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duffy3\OneDrive - McGill University\Storage Lists\REMAIN\"/>
    </mc:Choice>
  </mc:AlternateContent>
  <bookViews>
    <workbookView xWindow="0" yWindow="0" windowWidth="19200" windowHeight="7050"/>
  </bookViews>
  <sheets>
    <sheet name="Print Books" sheetId="1" r:id="rId1"/>
  </sheets>
  <definedNames>
    <definedName name="_xlnm._FilterDatabase" localSheetId="0" hidden="1">'Print Books'!$A$1:$BF$1</definedName>
  </definedNames>
  <calcPr calcId="162913"/>
</workbook>
</file>

<file path=xl/calcChain.xml><?xml version="1.0" encoding="utf-8"?>
<calcChain xmlns="http://schemas.openxmlformats.org/spreadsheetml/2006/main">
  <c r="BH3" i="1" l="1"/>
  <c r="BH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H1031" i="1"/>
  <c r="BH1032" i="1"/>
  <c r="BH1033" i="1"/>
  <c r="BH1034" i="1"/>
  <c r="BH1035" i="1"/>
  <c r="BH1036" i="1"/>
  <c r="BH1037" i="1"/>
  <c r="BH1038" i="1"/>
  <c r="BH1039" i="1"/>
  <c r="BH1040" i="1"/>
  <c r="BH1041" i="1"/>
  <c r="BH1042" i="1"/>
  <c r="BH1043" i="1"/>
  <c r="BH1044" i="1"/>
  <c r="BH1045" i="1"/>
  <c r="BH1046" i="1"/>
  <c r="BH1047" i="1"/>
  <c r="BH1048" i="1"/>
  <c r="BH1049" i="1"/>
  <c r="BH1050" i="1"/>
  <c r="BH1051" i="1"/>
  <c r="BH1052" i="1"/>
  <c r="BH1053" i="1"/>
  <c r="BH1054" i="1"/>
  <c r="BH1055" i="1"/>
  <c r="BH1056" i="1"/>
  <c r="BH1057" i="1"/>
  <c r="BH1058" i="1"/>
  <c r="BH1059" i="1"/>
  <c r="BH1060" i="1"/>
  <c r="BH1061" i="1"/>
  <c r="BH1062" i="1"/>
  <c r="BH1063" i="1"/>
  <c r="BH1064" i="1"/>
  <c r="BH1065" i="1"/>
  <c r="BH1066" i="1"/>
  <c r="BH1067" i="1"/>
  <c r="BH1068" i="1"/>
  <c r="BH1069" i="1"/>
  <c r="BH1070" i="1"/>
  <c r="BH1071" i="1"/>
  <c r="BH1072" i="1"/>
  <c r="BH1073" i="1"/>
  <c r="BH1074" i="1"/>
  <c r="BH1075" i="1"/>
  <c r="BH1076" i="1"/>
  <c r="BH1077" i="1"/>
  <c r="BH1078" i="1"/>
  <c r="BH1079" i="1"/>
  <c r="BH1080" i="1"/>
  <c r="BH1081" i="1"/>
  <c r="BH1082" i="1"/>
  <c r="BH1083" i="1"/>
  <c r="BH1084" i="1"/>
  <c r="BH1085" i="1"/>
  <c r="BH1086" i="1"/>
  <c r="BH1087" i="1"/>
  <c r="BH1088" i="1"/>
  <c r="BH1089" i="1"/>
  <c r="BH1090" i="1"/>
  <c r="BH1091" i="1"/>
  <c r="BH1092" i="1"/>
  <c r="BH1093" i="1"/>
  <c r="BH1094" i="1"/>
  <c r="BH1095" i="1"/>
  <c r="BH1096" i="1"/>
  <c r="BH1097" i="1"/>
  <c r="BH1098" i="1"/>
  <c r="BH1099" i="1"/>
  <c r="BH1100" i="1"/>
  <c r="BH1101" i="1"/>
  <c r="BH1102" i="1"/>
  <c r="BH1103" i="1"/>
  <c r="BH1104" i="1"/>
  <c r="BH1105" i="1"/>
  <c r="BH1106" i="1"/>
  <c r="BH1107" i="1"/>
  <c r="BH1108" i="1"/>
  <c r="BH1109" i="1"/>
  <c r="BH1110" i="1"/>
  <c r="BH1111" i="1"/>
  <c r="BH1112" i="1"/>
  <c r="BH1113" i="1"/>
  <c r="BH1114" i="1"/>
  <c r="BH1115" i="1"/>
  <c r="BH1116" i="1"/>
  <c r="BH1117" i="1"/>
  <c r="BH1118" i="1"/>
  <c r="BH1119" i="1"/>
  <c r="BH1120" i="1"/>
  <c r="BH1121" i="1"/>
  <c r="BH1122" i="1"/>
  <c r="BH1123" i="1"/>
  <c r="BH1124" i="1"/>
  <c r="BH1125" i="1"/>
  <c r="BH1126" i="1"/>
  <c r="BH1127" i="1"/>
  <c r="BH1128" i="1"/>
  <c r="BH1129" i="1"/>
  <c r="BH1130" i="1"/>
  <c r="BH1131" i="1"/>
  <c r="BH1132" i="1"/>
  <c r="BH1133" i="1"/>
  <c r="BH1134" i="1"/>
  <c r="BH1135" i="1"/>
  <c r="BH1136" i="1"/>
  <c r="BH1137" i="1"/>
  <c r="BH1138" i="1"/>
  <c r="BH1139" i="1"/>
  <c r="BH1140" i="1"/>
  <c r="BH1141" i="1"/>
  <c r="BH1142" i="1"/>
  <c r="BH1143" i="1"/>
  <c r="BH1144" i="1"/>
  <c r="BH1145" i="1"/>
  <c r="BH1146" i="1"/>
  <c r="BH1147" i="1"/>
  <c r="BH1148" i="1"/>
  <c r="BH1149" i="1"/>
  <c r="BH1150" i="1"/>
  <c r="BH1151" i="1"/>
  <c r="BH1152" i="1"/>
  <c r="BH1153" i="1"/>
  <c r="BH1154" i="1"/>
  <c r="BH1155" i="1"/>
  <c r="BH1156" i="1"/>
  <c r="BH1157" i="1"/>
  <c r="BH1158" i="1"/>
  <c r="BH1159" i="1"/>
  <c r="BH1160" i="1"/>
  <c r="BH1161" i="1"/>
  <c r="BH1162" i="1"/>
  <c r="BH1163" i="1"/>
  <c r="BH1164" i="1"/>
  <c r="BH1165" i="1"/>
  <c r="BH1166" i="1"/>
  <c r="BH1167" i="1"/>
  <c r="BH1168" i="1"/>
  <c r="BH1169" i="1"/>
  <c r="BH1170" i="1"/>
  <c r="BH1171" i="1"/>
  <c r="BH1172" i="1"/>
  <c r="BH1173" i="1"/>
  <c r="BH1174" i="1"/>
  <c r="BH1175" i="1"/>
  <c r="BH1176" i="1"/>
  <c r="BH1177" i="1"/>
  <c r="BH1178" i="1"/>
  <c r="BH1179" i="1"/>
  <c r="BH1180" i="1"/>
  <c r="BH1181" i="1"/>
  <c r="BH1182" i="1"/>
  <c r="BH1183" i="1"/>
  <c r="BH1184" i="1"/>
  <c r="BH1185" i="1"/>
  <c r="BH1186" i="1"/>
  <c r="BH1187" i="1"/>
  <c r="BH1188" i="1"/>
  <c r="BH1189" i="1"/>
  <c r="BH1190" i="1"/>
  <c r="BH1191" i="1"/>
  <c r="BH1192" i="1"/>
  <c r="BH1193" i="1"/>
  <c r="BH1194" i="1"/>
  <c r="BH1195" i="1"/>
  <c r="BH1196" i="1"/>
  <c r="BH1197" i="1"/>
  <c r="BH1198" i="1"/>
  <c r="BH1199" i="1"/>
  <c r="BH1200" i="1"/>
  <c r="BH1201" i="1"/>
  <c r="BH1202" i="1"/>
  <c r="BH1203" i="1"/>
  <c r="BH1204" i="1"/>
  <c r="BH1205" i="1"/>
  <c r="BH1206" i="1"/>
  <c r="BH1207" i="1"/>
  <c r="BH1208" i="1"/>
  <c r="BH1209" i="1"/>
  <c r="BH1210" i="1"/>
  <c r="BH1211" i="1"/>
  <c r="BH1212" i="1"/>
  <c r="BH1213" i="1"/>
  <c r="BH1214" i="1"/>
  <c r="BH1215" i="1"/>
  <c r="BH1216" i="1"/>
  <c r="BH1217" i="1"/>
  <c r="BH1218" i="1"/>
  <c r="BH1219" i="1"/>
  <c r="BH1220" i="1"/>
  <c r="BH1221" i="1"/>
  <c r="BH1222" i="1"/>
  <c r="BH1223" i="1"/>
  <c r="BH1224" i="1"/>
  <c r="BH1225" i="1"/>
  <c r="BH1226" i="1"/>
  <c r="BH1227" i="1"/>
  <c r="BH1228" i="1"/>
  <c r="BH1229" i="1"/>
  <c r="BH1230" i="1"/>
  <c r="BH1231" i="1"/>
  <c r="BH1232" i="1"/>
  <c r="BH1233" i="1"/>
  <c r="BH1234" i="1"/>
  <c r="BH1235" i="1"/>
  <c r="BH1236" i="1"/>
  <c r="BH1237" i="1"/>
  <c r="BH1238" i="1"/>
  <c r="BH1239" i="1"/>
  <c r="BH1240" i="1"/>
  <c r="BH1241" i="1"/>
  <c r="BH1242" i="1"/>
  <c r="BH1243" i="1"/>
  <c r="BH1244" i="1"/>
  <c r="BH1245" i="1"/>
  <c r="BH1246" i="1"/>
  <c r="BH1247" i="1"/>
  <c r="BH1248" i="1"/>
  <c r="BH1249" i="1"/>
  <c r="BH1250" i="1"/>
  <c r="BH1251" i="1"/>
  <c r="BH1252" i="1"/>
  <c r="BH1253" i="1"/>
  <c r="BH1254" i="1"/>
  <c r="BH1255" i="1"/>
  <c r="BH1256" i="1"/>
  <c r="BH1257" i="1"/>
  <c r="BH1258" i="1"/>
  <c r="BH1259" i="1"/>
  <c r="BH1260" i="1"/>
  <c r="BH1261" i="1"/>
  <c r="BH1262" i="1"/>
  <c r="BH1263" i="1"/>
  <c r="BH1264" i="1"/>
  <c r="BH1265" i="1"/>
  <c r="BH1266" i="1"/>
  <c r="BH1267" i="1"/>
  <c r="BH1268" i="1"/>
  <c r="BH1269" i="1"/>
  <c r="BH1270" i="1"/>
  <c r="BH1271" i="1"/>
  <c r="BH1272" i="1"/>
  <c r="BH1273" i="1"/>
  <c r="BH1274" i="1"/>
  <c r="BH1275" i="1"/>
  <c r="BH1276" i="1"/>
  <c r="BH1277" i="1"/>
  <c r="BH1278" i="1"/>
  <c r="BH1279" i="1"/>
  <c r="BH1280" i="1"/>
  <c r="BH1281" i="1"/>
  <c r="BH1282" i="1"/>
  <c r="BH1283" i="1"/>
  <c r="BH1284" i="1"/>
  <c r="BH1285" i="1"/>
  <c r="BH1286" i="1"/>
  <c r="BH1287" i="1"/>
  <c r="BH1288" i="1"/>
  <c r="BH1289" i="1"/>
  <c r="BH1290" i="1"/>
  <c r="BH1291" i="1"/>
  <c r="BH1292" i="1"/>
  <c r="BH1293" i="1"/>
  <c r="BH1294" i="1"/>
  <c r="BH1295" i="1"/>
  <c r="BH1296" i="1"/>
  <c r="BH1297" i="1"/>
  <c r="BH1298" i="1"/>
  <c r="BH1299" i="1"/>
  <c r="BH1300" i="1"/>
  <c r="BH1301" i="1"/>
  <c r="BH1302" i="1"/>
  <c r="BH1303" i="1"/>
  <c r="BH1304" i="1"/>
  <c r="BH1305" i="1"/>
  <c r="BH1306" i="1"/>
  <c r="BH1307" i="1"/>
  <c r="BH1308" i="1"/>
  <c r="BH1309" i="1"/>
  <c r="BH1310" i="1"/>
  <c r="BH1311" i="1"/>
  <c r="BH1312" i="1"/>
  <c r="BH1313" i="1"/>
  <c r="BH1314" i="1"/>
  <c r="BH1315" i="1"/>
  <c r="BH1316" i="1"/>
  <c r="BH1317" i="1"/>
  <c r="BH1318" i="1"/>
  <c r="BH1319" i="1"/>
  <c r="BH1320" i="1"/>
  <c r="BH1321" i="1"/>
  <c r="BH1322" i="1"/>
  <c r="BH1323" i="1"/>
  <c r="BH1324" i="1"/>
  <c r="BH1325" i="1"/>
  <c r="BH1326" i="1"/>
  <c r="BH1327" i="1"/>
  <c r="BH1328" i="1"/>
  <c r="BH1329" i="1"/>
  <c r="BH1330" i="1"/>
  <c r="BH1331" i="1"/>
  <c r="BH1332" i="1"/>
  <c r="BH1333" i="1"/>
  <c r="BH1334" i="1"/>
  <c r="BH1335" i="1"/>
  <c r="BH1336" i="1"/>
  <c r="BH1337" i="1"/>
  <c r="BH1338" i="1"/>
  <c r="BH1339" i="1"/>
  <c r="BH1340" i="1"/>
  <c r="BH1341" i="1"/>
  <c r="BH1342" i="1"/>
  <c r="BH1343" i="1"/>
  <c r="BH1344" i="1"/>
  <c r="BH1345" i="1"/>
  <c r="BH1346" i="1"/>
  <c r="BH1347" i="1"/>
  <c r="BH1348" i="1"/>
  <c r="BH1349" i="1"/>
  <c r="BH1350" i="1"/>
  <c r="BH1351" i="1"/>
  <c r="BH1352" i="1"/>
  <c r="BH1353" i="1"/>
  <c r="BH1354" i="1"/>
  <c r="BH1355" i="1"/>
  <c r="BH1356" i="1"/>
  <c r="BH1357" i="1"/>
  <c r="BH1358" i="1"/>
  <c r="BH1359" i="1"/>
  <c r="BH1360" i="1"/>
  <c r="BH1361" i="1"/>
  <c r="BH1362" i="1"/>
  <c r="BH1363" i="1"/>
  <c r="BH1364" i="1"/>
  <c r="BH1365" i="1"/>
  <c r="BH1366" i="1"/>
  <c r="BH1367" i="1"/>
  <c r="BH1368" i="1"/>
  <c r="BH1369" i="1"/>
  <c r="BH1370" i="1"/>
  <c r="BH1371" i="1"/>
  <c r="BH1372" i="1"/>
  <c r="BH1373" i="1"/>
  <c r="BH1374" i="1"/>
  <c r="BH1375" i="1"/>
  <c r="BH1376" i="1"/>
  <c r="BH1377" i="1"/>
  <c r="BH1378" i="1"/>
  <c r="BH1379" i="1"/>
  <c r="BH1380" i="1"/>
  <c r="BH1381" i="1"/>
  <c r="BH1382" i="1"/>
  <c r="BH1383" i="1"/>
  <c r="BH1384" i="1"/>
  <c r="BH1385" i="1"/>
  <c r="BH1386" i="1"/>
  <c r="BH1387" i="1"/>
  <c r="BH1388" i="1"/>
  <c r="BH1389" i="1"/>
  <c r="BH1390" i="1"/>
  <c r="BH1391" i="1"/>
  <c r="BH1392" i="1"/>
  <c r="BH1393" i="1"/>
  <c r="BH1394" i="1"/>
  <c r="BH1395" i="1"/>
  <c r="BH1396" i="1"/>
  <c r="BH1397" i="1"/>
  <c r="BH1398" i="1"/>
  <c r="BH1399" i="1"/>
  <c r="BH1400" i="1"/>
  <c r="BH1401" i="1"/>
  <c r="BH1402" i="1"/>
  <c r="BH1403" i="1"/>
  <c r="BH1404" i="1"/>
  <c r="BH1405" i="1"/>
  <c r="BH1406" i="1"/>
  <c r="BH1407" i="1"/>
  <c r="BH1408" i="1"/>
  <c r="BH1409" i="1"/>
  <c r="BH1410" i="1"/>
  <c r="BH1411" i="1"/>
  <c r="BH1412" i="1"/>
  <c r="BH1413" i="1"/>
  <c r="BH1414" i="1"/>
  <c r="BH1415" i="1"/>
  <c r="BH1416" i="1"/>
  <c r="BH1417" i="1"/>
  <c r="BH1418" i="1"/>
  <c r="BH1419" i="1"/>
  <c r="BH1420" i="1"/>
  <c r="BH1421" i="1"/>
  <c r="BH1422" i="1"/>
  <c r="BH1423" i="1"/>
  <c r="BH1424" i="1"/>
  <c r="BH1425" i="1"/>
  <c r="BH1426" i="1"/>
  <c r="BH1427" i="1"/>
  <c r="BH1428" i="1"/>
  <c r="BH1429" i="1"/>
  <c r="BH1430" i="1"/>
  <c r="BH1431" i="1"/>
  <c r="BH1432" i="1"/>
  <c r="BH1433" i="1"/>
  <c r="BH1434" i="1"/>
  <c r="BH1435" i="1"/>
  <c r="BH1436" i="1"/>
  <c r="BH1437" i="1"/>
  <c r="BH1438" i="1"/>
  <c r="BH1439" i="1"/>
  <c r="BH1440" i="1"/>
  <c r="BH1441" i="1"/>
  <c r="BH1442" i="1"/>
  <c r="BH1443" i="1"/>
  <c r="BH1444" i="1"/>
  <c r="BH1445" i="1"/>
  <c r="BH1446" i="1"/>
  <c r="BH1447" i="1"/>
  <c r="BH1448" i="1"/>
  <c r="BH1449" i="1"/>
  <c r="BH1450" i="1"/>
  <c r="BH1451" i="1"/>
  <c r="BH1452" i="1"/>
  <c r="BH1453" i="1"/>
  <c r="BH1454" i="1"/>
  <c r="BH1455" i="1"/>
  <c r="BH1456" i="1"/>
  <c r="BH1457" i="1"/>
  <c r="BH1458" i="1"/>
  <c r="BH1459" i="1"/>
  <c r="BH1460" i="1"/>
  <c r="BH1461" i="1"/>
  <c r="BH1462" i="1"/>
  <c r="BH1463" i="1"/>
  <c r="BH1464" i="1"/>
  <c r="BH1465" i="1"/>
  <c r="BH1466" i="1"/>
  <c r="BH1467" i="1"/>
  <c r="BH1468" i="1"/>
  <c r="BH1469" i="1"/>
  <c r="BH1470" i="1"/>
  <c r="BH1471" i="1"/>
  <c r="BH1472" i="1"/>
  <c r="BH1473" i="1"/>
  <c r="BH1474" i="1"/>
  <c r="BH1475" i="1"/>
  <c r="BH1476" i="1"/>
  <c r="BH1477" i="1"/>
  <c r="BH1478" i="1"/>
  <c r="BH1479" i="1"/>
  <c r="BH1480" i="1"/>
  <c r="BH1481" i="1"/>
  <c r="BH1482" i="1"/>
  <c r="BH1483" i="1"/>
  <c r="BH1484" i="1"/>
  <c r="BH1485" i="1"/>
  <c r="BH1486" i="1"/>
  <c r="BH1487" i="1"/>
  <c r="BH1488" i="1"/>
  <c r="BH1489" i="1"/>
  <c r="BH1490" i="1"/>
  <c r="BH1491" i="1"/>
  <c r="BH1492" i="1"/>
  <c r="BH1493" i="1"/>
  <c r="BH1494" i="1"/>
  <c r="BH1495" i="1"/>
  <c r="BH1496" i="1"/>
  <c r="BH1497" i="1"/>
  <c r="BH1498" i="1"/>
  <c r="BH1499" i="1"/>
  <c r="BH1500" i="1"/>
  <c r="BH1501" i="1"/>
  <c r="BH1502" i="1"/>
  <c r="BH1503" i="1"/>
  <c r="BH1504" i="1"/>
  <c r="BH1505" i="1"/>
  <c r="BH1506" i="1"/>
  <c r="BH1507" i="1"/>
  <c r="BH1508" i="1"/>
  <c r="BH1509" i="1"/>
  <c r="BH1510" i="1"/>
  <c r="BH1511" i="1"/>
  <c r="BH1512" i="1"/>
  <c r="BH1513" i="1"/>
  <c r="BH1514" i="1"/>
  <c r="BH1515" i="1"/>
  <c r="BH1516" i="1"/>
  <c r="BH1517" i="1"/>
  <c r="BH1518" i="1"/>
  <c r="BH1519" i="1"/>
  <c r="BH1520" i="1"/>
  <c r="BH1521" i="1"/>
  <c r="BH1522" i="1"/>
  <c r="BH1523" i="1"/>
  <c r="BH1524" i="1"/>
  <c r="BH1525" i="1"/>
  <c r="BH1526" i="1"/>
  <c r="BH1527" i="1"/>
  <c r="BH1528" i="1"/>
  <c r="BH1529" i="1"/>
  <c r="BH1530" i="1"/>
  <c r="BH1531" i="1"/>
  <c r="BH1532" i="1"/>
  <c r="BH1533" i="1"/>
  <c r="BH1534" i="1"/>
  <c r="BH1535" i="1"/>
  <c r="BH1536" i="1"/>
  <c r="BH1537" i="1"/>
  <c r="BH1538" i="1"/>
  <c r="BH1539" i="1"/>
  <c r="BH1540" i="1"/>
  <c r="BH1541" i="1"/>
  <c r="BH1542" i="1"/>
  <c r="BH1543" i="1"/>
  <c r="BH1544" i="1"/>
  <c r="BH1545" i="1"/>
  <c r="BH1546" i="1"/>
  <c r="BH1547" i="1"/>
  <c r="BH1548" i="1"/>
  <c r="BH1549" i="1"/>
  <c r="BH1550" i="1"/>
  <c r="BH1551" i="1"/>
  <c r="BH1552" i="1"/>
  <c r="BH1553" i="1"/>
  <c r="BH1554" i="1"/>
  <c r="BH1555" i="1"/>
  <c r="BH1556" i="1"/>
  <c r="BH1557" i="1"/>
  <c r="BH1558" i="1"/>
  <c r="BH1559" i="1"/>
  <c r="BH1560" i="1"/>
  <c r="BH1561" i="1"/>
  <c r="BH1562" i="1"/>
  <c r="BH1563" i="1"/>
  <c r="BH1564" i="1"/>
  <c r="BH1565" i="1"/>
  <c r="BH1566" i="1"/>
  <c r="BH1567" i="1"/>
  <c r="BH1568" i="1"/>
  <c r="BH1569" i="1"/>
  <c r="BH1570" i="1"/>
  <c r="BH1571" i="1"/>
  <c r="BH1572" i="1"/>
  <c r="BH1573" i="1"/>
  <c r="BH1574" i="1"/>
  <c r="BH1575" i="1"/>
  <c r="BH1576" i="1"/>
  <c r="BH1577" i="1"/>
  <c r="BH1578" i="1"/>
  <c r="BH1579" i="1"/>
  <c r="BH1580" i="1"/>
  <c r="BH1581" i="1"/>
  <c r="BH1582" i="1"/>
  <c r="BH1583" i="1"/>
  <c r="BH1584" i="1"/>
  <c r="BH1585" i="1"/>
  <c r="BH1586" i="1"/>
  <c r="BH1587" i="1"/>
  <c r="BH1588" i="1"/>
  <c r="BH1589" i="1"/>
  <c r="BH1590" i="1"/>
  <c r="BH1591" i="1"/>
  <c r="BH1592" i="1"/>
  <c r="BH1593" i="1"/>
  <c r="BH1594" i="1"/>
  <c r="BH1595" i="1"/>
  <c r="BH1596" i="1"/>
  <c r="BH1597" i="1"/>
  <c r="BH1598" i="1"/>
  <c r="BH1599" i="1"/>
  <c r="BH1600" i="1"/>
  <c r="BH1601" i="1"/>
  <c r="BH1602" i="1"/>
  <c r="BH1603" i="1"/>
  <c r="BH1604" i="1"/>
  <c r="BH1605" i="1"/>
  <c r="BH1606" i="1"/>
  <c r="BH1607" i="1"/>
  <c r="BH1608" i="1"/>
  <c r="BH1609" i="1"/>
  <c r="BH1610" i="1"/>
  <c r="BH1611" i="1"/>
  <c r="BH1612" i="1"/>
  <c r="BH1613" i="1"/>
  <c r="BH1614" i="1"/>
  <c r="BH1615" i="1"/>
  <c r="BH1616" i="1"/>
  <c r="BH1617" i="1"/>
  <c r="BH1618" i="1"/>
  <c r="BH1619" i="1"/>
  <c r="BH1620" i="1"/>
  <c r="BH1621" i="1"/>
  <c r="BH1622" i="1"/>
  <c r="BH1623" i="1"/>
  <c r="BH1624" i="1"/>
  <c r="BH1625" i="1"/>
  <c r="BH1626" i="1"/>
  <c r="BH1627" i="1"/>
  <c r="BH1628" i="1"/>
  <c r="BH1629" i="1"/>
  <c r="BH1630" i="1"/>
  <c r="BH1631" i="1"/>
  <c r="BH1632" i="1"/>
  <c r="BH1633" i="1"/>
  <c r="BH1634" i="1"/>
  <c r="BH1635" i="1"/>
  <c r="BH1636" i="1"/>
  <c r="BH1637" i="1"/>
  <c r="BH1638" i="1"/>
  <c r="BH1639" i="1"/>
  <c r="BH1640" i="1"/>
  <c r="BH1641" i="1"/>
  <c r="BH1642" i="1"/>
  <c r="BH1643" i="1"/>
  <c r="BH1644" i="1"/>
  <c r="BH1645" i="1"/>
  <c r="BH1646" i="1"/>
  <c r="BH1647" i="1"/>
  <c r="BH1648" i="1"/>
  <c r="BH1649" i="1"/>
  <c r="BH1650" i="1"/>
  <c r="BH1651" i="1"/>
  <c r="BH1652" i="1"/>
  <c r="BH1653" i="1"/>
  <c r="BH1654" i="1"/>
  <c r="BH1655" i="1"/>
  <c r="BH1656" i="1"/>
  <c r="BH1657" i="1"/>
  <c r="BH1658" i="1"/>
  <c r="BH1659" i="1"/>
  <c r="BH1660" i="1"/>
  <c r="BH1661" i="1"/>
  <c r="BH1662" i="1"/>
  <c r="BH1663" i="1"/>
  <c r="BH1664" i="1"/>
  <c r="BH1665" i="1"/>
  <c r="BH1666" i="1"/>
  <c r="BH1667" i="1"/>
  <c r="BH1668" i="1"/>
  <c r="BH1669" i="1"/>
  <c r="BH1670" i="1"/>
  <c r="BH1671" i="1"/>
  <c r="BH1672" i="1"/>
  <c r="BH1673" i="1"/>
  <c r="BH1674" i="1"/>
  <c r="BH1675" i="1"/>
  <c r="BH1676" i="1"/>
  <c r="BH1677" i="1"/>
  <c r="BH1678" i="1"/>
  <c r="BH1679" i="1"/>
  <c r="BH1680" i="1"/>
  <c r="BH1681" i="1"/>
  <c r="BH1682" i="1"/>
  <c r="BH1683" i="1"/>
  <c r="BH1684" i="1"/>
  <c r="BH1685" i="1"/>
  <c r="BH1686" i="1"/>
  <c r="BH1687" i="1"/>
  <c r="BH1688" i="1"/>
  <c r="BH1689" i="1"/>
  <c r="BH1690" i="1"/>
  <c r="BH1691" i="1"/>
  <c r="BH1692" i="1"/>
  <c r="BH1693" i="1"/>
  <c r="BH1694" i="1"/>
  <c r="BH1695" i="1"/>
  <c r="BH1696" i="1"/>
  <c r="BH1697" i="1"/>
  <c r="BH1698" i="1"/>
  <c r="BH1699" i="1"/>
  <c r="BH1700" i="1"/>
  <c r="BH1701" i="1"/>
  <c r="BH1702" i="1"/>
  <c r="BH1703" i="1"/>
  <c r="BH1704" i="1"/>
  <c r="BH1705" i="1"/>
  <c r="BH1706" i="1"/>
  <c r="BH1707" i="1"/>
  <c r="BH1708" i="1"/>
  <c r="BH1709" i="1"/>
  <c r="BH1710" i="1"/>
  <c r="BH1711" i="1"/>
  <c r="BH1712" i="1"/>
  <c r="BH1713" i="1"/>
  <c r="BH1714" i="1"/>
  <c r="BH1715" i="1"/>
  <c r="BH1716" i="1"/>
  <c r="BH1717" i="1"/>
  <c r="BH1718" i="1"/>
  <c r="BH1719" i="1"/>
  <c r="BH1720" i="1"/>
  <c r="BH1721" i="1"/>
  <c r="BH1722" i="1"/>
  <c r="BH1723" i="1"/>
  <c r="BH1724" i="1"/>
  <c r="BH1725" i="1"/>
  <c r="BH1726" i="1"/>
  <c r="BH1727" i="1"/>
  <c r="BH1728" i="1"/>
  <c r="BH1729" i="1"/>
  <c r="BH1730" i="1"/>
  <c r="BH1731" i="1"/>
  <c r="BH1732" i="1"/>
  <c r="BH1733" i="1"/>
  <c r="BH1734" i="1"/>
  <c r="BH1735" i="1"/>
  <c r="BH1736" i="1"/>
  <c r="BH1737" i="1"/>
  <c r="BH1738" i="1"/>
  <c r="BH1739" i="1"/>
  <c r="BH1740" i="1"/>
  <c r="BH1741" i="1"/>
  <c r="BH1742" i="1"/>
  <c r="BH1743" i="1"/>
  <c r="BH1744" i="1"/>
  <c r="BH1745" i="1"/>
  <c r="BH1746" i="1"/>
  <c r="BH1747" i="1"/>
  <c r="BH1748" i="1"/>
  <c r="BH1749" i="1"/>
  <c r="BH1750" i="1"/>
  <c r="BH1751" i="1"/>
  <c r="BH1752" i="1"/>
  <c r="BH1753" i="1"/>
  <c r="BH1754" i="1"/>
  <c r="BH1755" i="1"/>
  <c r="BH1756" i="1"/>
  <c r="BH1757" i="1"/>
  <c r="BH1758" i="1"/>
  <c r="BH1759" i="1"/>
  <c r="BH1760" i="1"/>
  <c r="BH1761" i="1"/>
  <c r="BH1762" i="1"/>
  <c r="BH1763" i="1"/>
  <c r="BH1764" i="1"/>
  <c r="BH1765" i="1"/>
  <c r="BH1766" i="1"/>
  <c r="BH1767" i="1"/>
  <c r="BH1768" i="1"/>
  <c r="BH1769" i="1"/>
  <c r="BH1770" i="1"/>
  <c r="BH1771" i="1"/>
  <c r="BH1772" i="1"/>
  <c r="BH1773" i="1"/>
  <c r="BH1774" i="1"/>
  <c r="BH1775" i="1"/>
  <c r="BH1776" i="1"/>
  <c r="BH1777" i="1"/>
  <c r="BH1778" i="1"/>
  <c r="BH1779" i="1"/>
  <c r="BH1780" i="1"/>
  <c r="BH1781" i="1"/>
  <c r="BH1782" i="1"/>
  <c r="BH1783" i="1"/>
  <c r="BH1784" i="1"/>
  <c r="BH1785" i="1"/>
  <c r="BH1786" i="1"/>
  <c r="BH1787" i="1"/>
  <c r="BH1788" i="1"/>
  <c r="BH1789" i="1"/>
  <c r="BH1790" i="1"/>
  <c r="BH1791" i="1"/>
  <c r="BH1792" i="1"/>
  <c r="BH1793" i="1"/>
  <c r="BH1794" i="1"/>
  <c r="BH1795" i="1"/>
  <c r="BH1796" i="1"/>
  <c r="BH1797" i="1"/>
  <c r="BH1798" i="1"/>
  <c r="BH1799" i="1"/>
  <c r="BH1800" i="1"/>
  <c r="BH1801" i="1"/>
  <c r="BH1802" i="1"/>
  <c r="BH1803" i="1"/>
  <c r="BH1804" i="1"/>
  <c r="BH1805" i="1"/>
  <c r="BH1806" i="1"/>
  <c r="BH1807" i="1"/>
  <c r="BH1808" i="1"/>
  <c r="BH1809" i="1"/>
  <c r="BH1810" i="1"/>
  <c r="BH1811" i="1"/>
  <c r="BH1812" i="1"/>
  <c r="BH1813" i="1"/>
  <c r="BH1814" i="1"/>
  <c r="BH1815" i="1"/>
  <c r="BH1816" i="1"/>
  <c r="BH1817" i="1"/>
  <c r="BH1818" i="1"/>
  <c r="BH1819" i="1"/>
  <c r="BH1820" i="1"/>
  <c r="BH1821" i="1"/>
  <c r="BH1822" i="1"/>
  <c r="BH1823" i="1"/>
  <c r="BH1824" i="1"/>
  <c r="BH1825" i="1"/>
  <c r="BH1826" i="1"/>
  <c r="BH1827" i="1"/>
  <c r="BH1828" i="1"/>
  <c r="BH1829" i="1"/>
  <c r="BH1830" i="1"/>
  <c r="BH1831" i="1"/>
  <c r="BH1832" i="1"/>
  <c r="BH1833" i="1"/>
  <c r="BH1834" i="1"/>
  <c r="BH1835" i="1"/>
  <c r="BH1836" i="1"/>
  <c r="BH1837" i="1"/>
  <c r="BH1838" i="1"/>
  <c r="BH1839" i="1"/>
  <c r="BH1840" i="1"/>
  <c r="BH1841" i="1"/>
  <c r="BH1842" i="1"/>
  <c r="BH1843" i="1"/>
  <c r="BH1844" i="1"/>
  <c r="BH1845" i="1"/>
  <c r="BH1846" i="1"/>
  <c r="BH1847" i="1"/>
  <c r="BH1848" i="1"/>
  <c r="BH1849" i="1"/>
  <c r="BH1850" i="1"/>
  <c r="BH1851" i="1"/>
  <c r="BH1852" i="1"/>
  <c r="BH1853" i="1"/>
  <c r="BH1854" i="1"/>
  <c r="BH1855" i="1"/>
  <c r="BH1856" i="1"/>
  <c r="BH1857" i="1"/>
  <c r="BH1858" i="1"/>
  <c r="BH1859" i="1"/>
  <c r="BH1860" i="1"/>
  <c r="BH1861" i="1"/>
  <c r="BH1862" i="1"/>
  <c r="BH1863" i="1"/>
  <c r="BH1864" i="1"/>
  <c r="BH1865" i="1"/>
  <c r="BH1866" i="1"/>
  <c r="BH1867" i="1"/>
  <c r="BH1868" i="1"/>
  <c r="BH1869" i="1"/>
  <c r="BH1870" i="1"/>
  <c r="BH1871" i="1"/>
  <c r="BH1872" i="1"/>
  <c r="BH1873" i="1"/>
  <c r="BH1874" i="1"/>
  <c r="BH1875" i="1"/>
  <c r="BH1876" i="1"/>
  <c r="BH1877" i="1"/>
  <c r="BH1878" i="1"/>
  <c r="BH1879" i="1"/>
  <c r="BH1880" i="1"/>
  <c r="BH1881" i="1"/>
  <c r="BH1882" i="1"/>
  <c r="BH1883" i="1"/>
  <c r="BH1884" i="1"/>
  <c r="BH1885" i="1"/>
  <c r="BH1886" i="1"/>
  <c r="BH1887" i="1"/>
  <c r="BH1888" i="1"/>
  <c r="BH1889" i="1"/>
  <c r="BH1890" i="1"/>
  <c r="BH1891" i="1"/>
  <c r="BH1892" i="1"/>
  <c r="BH1893" i="1"/>
  <c r="BH1894" i="1"/>
  <c r="BH1895" i="1"/>
  <c r="BH1896" i="1"/>
  <c r="BH1897" i="1"/>
  <c r="BH1898" i="1"/>
  <c r="BH1899" i="1"/>
  <c r="BH1900" i="1"/>
  <c r="BH1901" i="1"/>
  <c r="BH1902" i="1"/>
  <c r="BH1903" i="1"/>
  <c r="BH1904" i="1"/>
  <c r="BH1905" i="1"/>
  <c r="BH1906" i="1"/>
  <c r="BH1907" i="1"/>
  <c r="BH1908" i="1"/>
  <c r="BH1909" i="1"/>
  <c r="BH1910" i="1"/>
  <c r="BH1911" i="1"/>
  <c r="BH1912" i="1"/>
  <c r="BH1913" i="1"/>
  <c r="BH1914" i="1"/>
  <c r="BH1915" i="1"/>
  <c r="BH1916" i="1"/>
  <c r="BH1917" i="1"/>
  <c r="BH1918" i="1"/>
  <c r="BH1919" i="1"/>
  <c r="BH1920" i="1"/>
  <c r="BH1921" i="1"/>
  <c r="BH1922" i="1"/>
  <c r="BH1923" i="1"/>
  <c r="BH1924" i="1"/>
  <c r="BH1925" i="1"/>
  <c r="BH1926" i="1"/>
  <c r="BH1927" i="1"/>
  <c r="BH1928" i="1"/>
  <c r="BH1929" i="1"/>
  <c r="BH1930" i="1"/>
  <c r="BH1931" i="1"/>
  <c r="BH1932" i="1"/>
  <c r="BH1933" i="1"/>
  <c r="BH1934" i="1"/>
  <c r="BH1935" i="1"/>
  <c r="BH1936" i="1"/>
  <c r="BH1937" i="1"/>
  <c r="BH1938" i="1"/>
  <c r="BH1939" i="1"/>
  <c r="BH1940" i="1"/>
  <c r="BH1941" i="1"/>
  <c r="BH1942" i="1"/>
  <c r="BH1943" i="1"/>
  <c r="BH1944" i="1"/>
  <c r="BH1945" i="1"/>
  <c r="BH1946" i="1"/>
  <c r="BH1947" i="1"/>
  <c r="BH1948" i="1"/>
  <c r="BH1949" i="1"/>
  <c r="BH1950" i="1"/>
  <c r="BH1951" i="1"/>
  <c r="BH1952" i="1"/>
  <c r="BH1953" i="1"/>
  <c r="BH1954" i="1"/>
  <c r="BH1955" i="1"/>
  <c r="BH1956" i="1"/>
  <c r="BH1957" i="1"/>
  <c r="BH1958" i="1"/>
  <c r="BH1959" i="1"/>
  <c r="BH1960" i="1"/>
  <c r="BH1961" i="1"/>
  <c r="BH1962" i="1"/>
  <c r="BH1963" i="1"/>
  <c r="BH1964" i="1"/>
  <c r="BH1965" i="1"/>
  <c r="BH1966" i="1"/>
  <c r="BH1967" i="1"/>
  <c r="BH1968" i="1"/>
  <c r="BH1969" i="1"/>
  <c r="BH1970" i="1"/>
  <c r="BH1971" i="1"/>
  <c r="BH1972" i="1"/>
  <c r="BH1973" i="1"/>
  <c r="BH1974" i="1"/>
  <c r="BH1975" i="1"/>
  <c r="BH1976" i="1"/>
  <c r="BH1977" i="1"/>
  <c r="BH1978" i="1"/>
  <c r="BH1979" i="1"/>
  <c r="BH1980" i="1"/>
  <c r="BH1981" i="1"/>
  <c r="BH1982" i="1"/>
  <c r="BH1983" i="1"/>
  <c r="BH1984" i="1"/>
  <c r="BH1985" i="1"/>
  <c r="BH1986" i="1"/>
  <c r="BH1987" i="1"/>
  <c r="BH1988" i="1"/>
  <c r="BH1989" i="1"/>
  <c r="BH1990" i="1"/>
  <c r="BH1991" i="1"/>
  <c r="BH1992" i="1"/>
  <c r="BH1993" i="1"/>
  <c r="BH1994" i="1"/>
  <c r="BH1995" i="1"/>
  <c r="BH1996" i="1"/>
  <c r="BH1997" i="1"/>
  <c r="BH1998" i="1"/>
  <c r="BH1999" i="1"/>
  <c r="BH2000" i="1"/>
  <c r="BH2001" i="1"/>
  <c r="BH2002" i="1"/>
  <c r="BH2003" i="1"/>
  <c r="BH2004" i="1"/>
  <c r="BH2005" i="1"/>
  <c r="BH2006" i="1"/>
  <c r="BH2007" i="1"/>
  <c r="BH2008" i="1"/>
  <c r="BH2009" i="1"/>
  <c r="BH2010" i="1"/>
  <c r="BH2011" i="1"/>
  <c r="BH2012" i="1"/>
  <c r="BH2013" i="1"/>
  <c r="BH2014" i="1"/>
  <c r="BH2015" i="1"/>
  <c r="BH2016" i="1"/>
  <c r="BH2017" i="1"/>
  <c r="BH2018" i="1"/>
  <c r="BH2019" i="1"/>
  <c r="BH2020" i="1"/>
  <c r="BH2021" i="1"/>
  <c r="BH2022" i="1"/>
  <c r="BH2023" i="1"/>
  <c r="BH2024" i="1"/>
  <c r="BH2025" i="1"/>
  <c r="BH2026" i="1"/>
  <c r="BH2027" i="1"/>
  <c r="BH2028" i="1"/>
  <c r="BH2029" i="1"/>
  <c r="BH2030" i="1"/>
  <c r="BH2031" i="1"/>
  <c r="BH2032" i="1"/>
  <c r="BH2033" i="1"/>
  <c r="BH2034" i="1"/>
  <c r="BH2035" i="1"/>
  <c r="BH2036" i="1"/>
  <c r="BH2037" i="1"/>
  <c r="BH2038" i="1"/>
  <c r="BH2039" i="1"/>
  <c r="BH2040" i="1"/>
  <c r="BH2041" i="1"/>
  <c r="BH2042" i="1"/>
  <c r="BH2043" i="1"/>
  <c r="BH2044" i="1"/>
  <c r="BH2045" i="1"/>
  <c r="BH2046" i="1"/>
  <c r="BH2047" i="1"/>
  <c r="BH2048" i="1"/>
  <c r="BH2049" i="1"/>
  <c r="BH2050" i="1"/>
  <c r="BH2051" i="1"/>
  <c r="BH2052" i="1"/>
  <c r="BH2053" i="1"/>
  <c r="BH2054" i="1"/>
  <c r="BH2055" i="1"/>
  <c r="BH2056" i="1"/>
  <c r="BH2057" i="1"/>
  <c r="BH2058" i="1"/>
  <c r="BH2059" i="1"/>
  <c r="BH2060" i="1"/>
  <c r="BH2061" i="1"/>
  <c r="BH2062" i="1"/>
  <c r="BH2063" i="1"/>
  <c r="BH2064" i="1"/>
  <c r="BH2065" i="1"/>
  <c r="BH2066" i="1"/>
  <c r="BH2067" i="1"/>
  <c r="BH2068" i="1"/>
  <c r="BH2069" i="1"/>
  <c r="BH2070" i="1"/>
  <c r="BH2071" i="1"/>
  <c r="BH2072" i="1"/>
  <c r="BH2073" i="1"/>
  <c r="BH2074" i="1"/>
  <c r="BH2075" i="1"/>
  <c r="BH2076" i="1"/>
  <c r="BH2077" i="1"/>
  <c r="BH2078" i="1"/>
  <c r="BH2079" i="1"/>
  <c r="BH2080" i="1"/>
  <c r="BH2081" i="1"/>
  <c r="BH2082" i="1"/>
  <c r="BH2083" i="1"/>
  <c r="BH2084" i="1"/>
  <c r="BH2085" i="1"/>
  <c r="BH2086" i="1"/>
  <c r="BH2087" i="1"/>
  <c r="BH2088" i="1"/>
  <c r="BH2089" i="1"/>
  <c r="BH2090" i="1"/>
  <c r="BH2091" i="1"/>
  <c r="BH2092" i="1"/>
  <c r="BH2093" i="1"/>
  <c r="BH2094" i="1"/>
  <c r="BH2095" i="1"/>
  <c r="BH2096" i="1"/>
  <c r="BH2097" i="1"/>
  <c r="BH2098" i="1"/>
  <c r="BH2099" i="1"/>
  <c r="BH2100" i="1"/>
  <c r="BH2101" i="1"/>
  <c r="BH2102" i="1"/>
  <c r="BH2103" i="1"/>
  <c r="BH2104" i="1"/>
  <c r="BH2105" i="1"/>
  <c r="BH2106" i="1"/>
  <c r="BH2107" i="1"/>
  <c r="BH2108" i="1"/>
  <c r="BH2109" i="1"/>
  <c r="BH2110" i="1"/>
  <c r="BH2111" i="1"/>
  <c r="BH2112" i="1"/>
  <c r="BH2113" i="1"/>
  <c r="BH2114" i="1"/>
  <c r="BH2115" i="1"/>
  <c r="BH2116" i="1"/>
  <c r="BH2117" i="1"/>
  <c r="BH2118" i="1"/>
  <c r="BH2119" i="1"/>
  <c r="BH2120" i="1"/>
  <c r="BH2121" i="1"/>
  <c r="BH2122" i="1"/>
  <c r="BH2123" i="1"/>
  <c r="BH2124" i="1"/>
  <c r="BH2125" i="1"/>
  <c r="BH2126" i="1"/>
  <c r="BH2127" i="1"/>
  <c r="BH2128" i="1"/>
  <c r="BH2129" i="1"/>
  <c r="BH2130" i="1"/>
  <c r="BH2131" i="1"/>
  <c r="BH2132" i="1"/>
  <c r="BH2133" i="1"/>
  <c r="BH2134" i="1"/>
  <c r="BH2135" i="1"/>
  <c r="BH2136" i="1"/>
  <c r="BH2137" i="1"/>
  <c r="BH2138" i="1"/>
  <c r="BH2139" i="1"/>
  <c r="BH2140" i="1"/>
  <c r="BH2141" i="1"/>
  <c r="BH2142" i="1"/>
  <c r="BH2143" i="1"/>
  <c r="BH2144" i="1"/>
  <c r="BH2145" i="1"/>
  <c r="BH2146" i="1"/>
  <c r="BH2147" i="1"/>
  <c r="BH2148" i="1"/>
  <c r="BH2149" i="1"/>
  <c r="BH2150" i="1"/>
  <c r="BH2151" i="1"/>
  <c r="BH2152" i="1"/>
  <c r="BH2153" i="1"/>
  <c r="BH2154" i="1"/>
  <c r="BH2155" i="1"/>
  <c r="BH2156" i="1"/>
  <c r="BH2157" i="1"/>
  <c r="BH2158" i="1"/>
  <c r="BH2159" i="1"/>
  <c r="BH2160" i="1"/>
  <c r="BH2161" i="1"/>
  <c r="BH2162" i="1"/>
  <c r="BH2163" i="1"/>
  <c r="BH2164" i="1"/>
  <c r="BH2165" i="1"/>
  <c r="BH2166" i="1"/>
  <c r="BH2167" i="1"/>
  <c r="BH2168" i="1"/>
  <c r="BH2169" i="1"/>
  <c r="BH2170" i="1"/>
  <c r="BH2171" i="1"/>
  <c r="BH2172" i="1"/>
  <c r="BH2173" i="1"/>
  <c r="BH2174" i="1"/>
  <c r="BH2175" i="1"/>
  <c r="BH2176" i="1"/>
  <c r="BH2177" i="1"/>
  <c r="BH2178" i="1"/>
  <c r="BH2179" i="1"/>
  <c r="BH2180" i="1"/>
  <c r="BH2181" i="1"/>
  <c r="BH2182" i="1"/>
  <c r="BH2183" i="1"/>
  <c r="BH2184" i="1"/>
  <c r="BH2185" i="1"/>
  <c r="BH2186" i="1"/>
  <c r="BH2187" i="1"/>
  <c r="BH2188" i="1"/>
  <c r="BH2189" i="1"/>
  <c r="BH2190" i="1"/>
  <c r="BH2191" i="1"/>
  <c r="BH2192" i="1"/>
  <c r="BH2193" i="1"/>
  <c r="BH2194" i="1"/>
  <c r="BH2195" i="1"/>
  <c r="BH2196" i="1"/>
  <c r="BH2197" i="1"/>
  <c r="BH2198" i="1"/>
  <c r="BH2199" i="1"/>
  <c r="BH2200" i="1"/>
  <c r="BH2201" i="1"/>
  <c r="BH2202" i="1"/>
  <c r="BH2203" i="1"/>
  <c r="BH2204" i="1"/>
  <c r="BH2205" i="1"/>
  <c r="BH2206" i="1"/>
  <c r="BH2207" i="1"/>
  <c r="BH2208" i="1"/>
  <c r="BH2209" i="1"/>
  <c r="BH2210" i="1"/>
  <c r="BH2211" i="1"/>
  <c r="BH2212" i="1"/>
  <c r="BH2213" i="1"/>
  <c r="BH2214" i="1"/>
  <c r="BH2215" i="1"/>
  <c r="BH2216" i="1"/>
  <c r="BH2217" i="1"/>
  <c r="BH2218" i="1"/>
  <c r="BH2219" i="1"/>
  <c r="BH2220" i="1"/>
  <c r="BH2221" i="1"/>
  <c r="BH2222" i="1"/>
  <c r="BH2223" i="1"/>
  <c r="BH2224" i="1"/>
  <c r="BH2225" i="1"/>
  <c r="BH2226" i="1"/>
  <c r="BH2227" i="1"/>
  <c r="BH2228" i="1"/>
  <c r="BH2229" i="1"/>
  <c r="BH2230" i="1"/>
  <c r="BH2231" i="1"/>
  <c r="BH2232" i="1"/>
  <c r="BH2233" i="1"/>
  <c r="BH2234" i="1"/>
  <c r="BH2235" i="1"/>
  <c r="BH2236" i="1"/>
  <c r="BH2237" i="1"/>
  <c r="BH2238" i="1"/>
  <c r="BH2239" i="1"/>
  <c r="BH2240" i="1"/>
  <c r="BH2241" i="1"/>
  <c r="BH2242" i="1"/>
  <c r="BH2243" i="1"/>
  <c r="BH2244" i="1"/>
  <c r="BH2245" i="1"/>
  <c r="BH2246" i="1"/>
  <c r="BH2247" i="1"/>
  <c r="BH2248" i="1"/>
  <c r="BH2249" i="1"/>
  <c r="BH2250" i="1"/>
  <c r="BH2251" i="1"/>
  <c r="BH2252" i="1"/>
  <c r="BH2253" i="1"/>
  <c r="BH2254" i="1"/>
  <c r="BH2255" i="1"/>
  <c r="BH2256" i="1"/>
  <c r="BH2257" i="1"/>
  <c r="BH2258" i="1"/>
  <c r="BH2259" i="1"/>
  <c r="BH2260" i="1"/>
  <c r="BH2261" i="1"/>
  <c r="BH2262" i="1"/>
  <c r="BH2263" i="1"/>
  <c r="BH2264" i="1"/>
  <c r="BH2265" i="1"/>
  <c r="BH2266" i="1"/>
  <c r="BH2267" i="1"/>
  <c r="BH2268" i="1"/>
  <c r="BH2269" i="1"/>
  <c r="BH2270" i="1"/>
  <c r="BH2271" i="1"/>
  <c r="BH2272" i="1"/>
  <c r="BH2273" i="1"/>
  <c r="BH2274" i="1"/>
  <c r="BH2275" i="1"/>
  <c r="BH2276" i="1"/>
  <c r="BH2277" i="1"/>
  <c r="BH2278" i="1"/>
  <c r="BH2279" i="1"/>
  <c r="BH2280" i="1"/>
  <c r="BH2281" i="1"/>
  <c r="BH2282" i="1"/>
  <c r="BH2283" i="1"/>
  <c r="BH2284" i="1"/>
  <c r="BH2285" i="1"/>
  <c r="BH2286" i="1"/>
  <c r="BH2287" i="1"/>
  <c r="BH2288" i="1"/>
  <c r="BH2289" i="1"/>
  <c r="BH2290" i="1"/>
  <c r="BH2291" i="1"/>
  <c r="BH2292" i="1"/>
  <c r="BH2293" i="1"/>
  <c r="BH2294" i="1"/>
  <c r="BH2295" i="1"/>
  <c r="BH2296" i="1"/>
  <c r="BH2297" i="1"/>
  <c r="BH2298" i="1"/>
  <c r="BH2299" i="1"/>
  <c r="BH2300" i="1"/>
  <c r="BH2301" i="1"/>
  <c r="BH2302" i="1"/>
  <c r="BH2303" i="1"/>
  <c r="BH2304" i="1"/>
  <c r="BH2305" i="1"/>
  <c r="BH2306" i="1"/>
  <c r="BH2307" i="1"/>
  <c r="BH2308" i="1"/>
  <c r="BH2309" i="1"/>
  <c r="BH2310" i="1"/>
  <c r="BH2311" i="1"/>
  <c r="BH2312" i="1"/>
  <c r="BH2313" i="1"/>
  <c r="BH2314" i="1"/>
  <c r="BH2315" i="1"/>
  <c r="BH2316" i="1"/>
  <c r="BH2317" i="1"/>
  <c r="BH2318" i="1"/>
  <c r="BH2319" i="1"/>
  <c r="BH2320" i="1"/>
  <c r="BH2321" i="1"/>
  <c r="BH2322" i="1"/>
  <c r="BH2323" i="1"/>
  <c r="BH2324" i="1"/>
  <c r="BH2325" i="1"/>
  <c r="BH2326" i="1"/>
  <c r="BH2327" i="1"/>
  <c r="BH2328" i="1"/>
  <c r="BH2329" i="1"/>
  <c r="BH2330" i="1"/>
  <c r="BH2331" i="1"/>
  <c r="BH2332" i="1"/>
  <c r="BH2333" i="1"/>
  <c r="BH2334" i="1"/>
  <c r="BH2335" i="1"/>
  <c r="BH2336" i="1"/>
  <c r="BH2337" i="1"/>
  <c r="BH2338" i="1"/>
  <c r="BH2339" i="1"/>
  <c r="BH2340" i="1"/>
  <c r="BH2341" i="1"/>
  <c r="BH2342" i="1"/>
  <c r="BH2343" i="1"/>
  <c r="BH2344" i="1"/>
  <c r="BH2345" i="1"/>
  <c r="BH2346" i="1"/>
  <c r="BH2347" i="1"/>
  <c r="BH2348" i="1"/>
  <c r="BH2349" i="1"/>
  <c r="BH2350" i="1"/>
  <c r="BH2351" i="1"/>
  <c r="BH2352" i="1"/>
  <c r="BH2353" i="1"/>
  <c r="BH2354" i="1"/>
  <c r="BH2355" i="1"/>
  <c r="BH2356" i="1"/>
  <c r="BH2357" i="1"/>
  <c r="BH2358" i="1"/>
  <c r="BH2359" i="1"/>
  <c r="BH2360" i="1"/>
  <c r="BH2361" i="1"/>
  <c r="BH2362" i="1"/>
  <c r="BH2363" i="1"/>
  <c r="BH2364" i="1"/>
  <c r="BH2365" i="1"/>
  <c r="BH2366" i="1"/>
  <c r="BH2367" i="1"/>
  <c r="BH2368" i="1"/>
  <c r="BH2369" i="1"/>
  <c r="BH2370" i="1"/>
  <c r="BH2371" i="1"/>
  <c r="BH2372" i="1"/>
  <c r="BH2373" i="1"/>
  <c r="BH2374" i="1"/>
  <c r="BH2375" i="1"/>
  <c r="BH2376" i="1"/>
  <c r="BH2377" i="1"/>
  <c r="BH2378" i="1"/>
  <c r="BH2379" i="1"/>
  <c r="BH2380" i="1"/>
  <c r="BH2381" i="1"/>
  <c r="BH2382" i="1"/>
  <c r="BH2383" i="1"/>
  <c r="BH2384" i="1"/>
  <c r="BH2385" i="1"/>
  <c r="BH2386" i="1"/>
  <c r="BH2387" i="1"/>
  <c r="BH2388" i="1"/>
  <c r="BH2389" i="1"/>
  <c r="BH2390" i="1"/>
  <c r="BH2391" i="1"/>
  <c r="BH2392" i="1"/>
  <c r="BH2393" i="1"/>
  <c r="BH2394" i="1"/>
  <c r="BH2395" i="1"/>
  <c r="BH2396" i="1"/>
  <c r="BH2397" i="1"/>
  <c r="BH2398" i="1"/>
  <c r="BH2399" i="1"/>
  <c r="BH2400" i="1"/>
  <c r="BH2401" i="1"/>
  <c r="BH2402" i="1"/>
  <c r="BH2403" i="1"/>
  <c r="BH2404" i="1"/>
  <c r="BH2405" i="1"/>
  <c r="BH2406" i="1"/>
  <c r="BH2407" i="1"/>
  <c r="BH2408" i="1"/>
  <c r="BH2409" i="1"/>
  <c r="BH2410" i="1"/>
  <c r="BH2411" i="1"/>
  <c r="BH2412" i="1"/>
  <c r="BH2413" i="1"/>
  <c r="BH2414" i="1"/>
  <c r="BH2415" i="1"/>
  <c r="BH2416" i="1"/>
  <c r="BH2417" i="1"/>
  <c r="BH2418" i="1"/>
  <c r="BH2419" i="1"/>
  <c r="BH2420" i="1"/>
  <c r="BH2421" i="1"/>
  <c r="BH2422" i="1"/>
  <c r="BH2423" i="1"/>
  <c r="BH2424" i="1"/>
  <c r="BH2425" i="1"/>
  <c r="BH2426" i="1"/>
  <c r="BH2427" i="1"/>
  <c r="BH2428" i="1"/>
  <c r="BH2429" i="1"/>
  <c r="BH2430" i="1"/>
  <c r="BH2431" i="1"/>
  <c r="BH2432" i="1"/>
  <c r="BH2433" i="1"/>
  <c r="BH2434" i="1"/>
  <c r="BH2435" i="1"/>
  <c r="BH2436" i="1"/>
  <c r="BH2437" i="1"/>
  <c r="BH2438" i="1"/>
  <c r="BH2439" i="1"/>
  <c r="BH2440" i="1"/>
  <c r="BH2441" i="1"/>
  <c r="BH2442" i="1"/>
  <c r="BH2443" i="1"/>
  <c r="BH2444" i="1"/>
  <c r="BH2445" i="1"/>
  <c r="BH2446" i="1"/>
  <c r="BH2447" i="1"/>
  <c r="BH2448" i="1"/>
  <c r="BH2449" i="1"/>
  <c r="BH2450" i="1"/>
  <c r="BH2451" i="1"/>
  <c r="BH2452" i="1"/>
  <c r="BH2453" i="1"/>
  <c r="BH2454" i="1"/>
  <c r="BH2455" i="1"/>
  <c r="BH2456" i="1"/>
  <c r="BH2457" i="1"/>
  <c r="BH2458" i="1"/>
  <c r="BH2459" i="1"/>
  <c r="BH2460" i="1"/>
  <c r="BH2461" i="1"/>
  <c r="BH2462" i="1"/>
  <c r="BH2463" i="1"/>
  <c r="BH2464" i="1"/>
  <c r="BH2465" i="1"/>
  <c r="BH2466" i="1"/>
  <c r="BH2467" i="1"/>
  <c r="BH2468" i="1"/>
  <c r="BH2469" i="1"/>
  <c r="BH2470" i="1"/>
  <c r="BH2471" i="1"/>
  <c r="BH2472" i="1"/>
  <c r="BH2473" i="1"/>
  <c r="BH2474" i="1"/>
  <c r="BH2475" i="1"/>
  <c r="BH2476" i="1"/>
  <c r="BH2477" i="1"/>
  <c r="BH2478" i="1"/>
  <c r="BH2479" i="1"/>
  <c r="BH2480" i="1"/>
  <c r="BH2481" i="1"/>
  <c r="BH2482" i="1"/>
  <c r="BH2483" i="1"/>
  <c r="BH2484" i="1"/>
  <c r="BH2485" i="1"/>
  <c r="BH2486" i="1"/>
  <c r="BH2487" i="1"/>
  <c r="BH2488" i="1"/>
  <c r="BH2489" i="1"/>
  <c r="BH2490" i="1"/>
  <c r="BH2491" i="1"/>
  <c r="BH2492" i="1"/>
  <c r="BH2493" i="1"/>
  <c r="BH2494" i="1"/>
  <c r="BH2495" i="1"/>
  <c r="BH2496" i="1"/>
  <c r="BH2497" i="1"/>
  <c r="BH2498" i="1"/>
  <c r="BH2499" i="1"/>
  <c r="BH2500" i="1"/>
  <c r="BH2501" i="1"/>
  <c r="BH2502" i="1"/>
  <c r="BH2503" i="1"/>
  <c r="BH2504" i="1"/>
  <c r="BH2505" i="1"/>
  <c r="BH2506" i="1"/>
  <c r="BH2507" i="1"/>
  <c r="BH2508" i="1"/>
  <c r="BH2509" i="1"/>
  <c r="BH2510" i="1"/>
  <c r="BH2511" i="1"/>
  <c r="BH2512" i="1"/>
  <c r="BH2513" i="1"/>
  <c r="BH2514" i="1"/>
  <c r="BH2515" i="1"/>
  <c r="BH2516" i="1"/>
  <c r="BH2517" i="1"/>
  <c r="BH2518" i="1"/>
  <c r="BH2519" i="1"/>
  <c r="BH2520" i="1"/>
  <c r="BH2521" i="1"/>
  <c r="BH2522" i="1"/>
  <c r="BH2523" i="1"/>
  <c r="BH2524" i="1"/>
  <c r="BH2525" i="1"/>
  <c r="BH2526" i="1"/>
  <c r="BH2527" i="1"/>
  <c r="BH2528" i="1"/>
  <c r="BH2529" i="1"/>
  <c r="BH2530" i="1"/>
  <c r="BH2531" i="1"/>
  <c r="BH2532" i="1"/>
  <c r="BH2533" i="1"/>
  <c r="BH2534" i="1"/>
  <c r="BH2535" i="1"/>
  <c r="BH2536" i="1"/>
  <c r="BH2537" i="1"/>
  <c r="BH2538" i="1"/>
  <c r="BH2539" i="1"/>
  <c r="BH2540" i="1"/>
  <c r="BH2541" i="1"/>
  <c r="BH2542" i="1"/>
  <c r="BH2543" i="1"/>
  <c r="BH2544" i="1"/>
  <c r="BH2545" i="1"/>
  <c r="BH2546" i="1"/>
  <c r="BH2547" i="1"/>
  <c r="BH2548" i="1"/>
  <c r="BH2549" i="1"/>
  <c r="BH2550" i="1"/>
  <c r="BH2551" i="1"/>
  <c r="BH2552" i="1"/>
  <c r="BH2553" i="1"/>
  <c r="BH2554" i="1"/>
  <c r="BH2555" i="1"/>
  <c r="BH2556" i="1"/>
  <c r="BH2557" i="1"/>
  <c r="BH2558" i="1"/>
  <c r="BH2559" i="1"/>
  <c r="BH2560" i="1"/>
  <c r="BH2561" i="1"/>
  <c r="BH2562" i="1"/>
  <c r="BH2563" i="1"/>
  <c r="BH2564" i="1"/>
  <c r="BH2565" i="1"/>
  <c r="BH2566" i="1"/>
  <c r="BH2567" i="1"/>
  <c r="BH2568" i="1"/>
  <c r="BH2569" i="1"/>
  <c r="BH2570" i="1"/>
  <c r="BH2571" i="1"/>
  <c r="BH2572" i="1"/>
  <c r="BH2573" i="1"/>
  <c r="BH2574" i="1"/>
  <c r="BH2575" i="1"/>
  <c r="BH2576" i="1"/>
  <c r="BH2577" i="1"/>
  <c r="BH2578" i="1"/>
  <c r="BH2579" i="1"/>
  <c r="BH2580" i="1"/>
  <c r="BH2581" i="1"/>
  <c r="BH2582" i="1"/>
  <c r="BH2583" i="1"/>
  <c r="BH2584" i="1"/>
  <c r="BH2585" i="1"/>
  <c r="BH2586" i="1"/>
  <c r="BH2587" i="1"/>
  <c r="BH2588" i="1"/>
  <c r="BH2589" i="1"/>
  <c r="BH2590" i="1"/>
  <c r="BH2591" i="1"/>
  <c r="BH2592" i="1"/>
  <c r="BH2593" i="1"/>
  <c r="BH2594" i="1"/>
  <c r="BH2595" i="1"/>
  <c r="BH2596" i="1"/>
  <c r="BH2597" i="1"/>
  <c r="BH2598" i="1"/>
  <c r="BH2599" i="1"/>
  <c r="BH2600" i="1"/>
  <c r="BH2601" i="1"/>
  <c r="BH2602" i="1"/>
  <c r="BH2603" i="1"/>
  <c r="BH2604" i="1"/>
  <c r="BH2605" i="1"/>
  <c r="BH2606" i="1"/>
  <c r="BH2607" i="1"/>
  <c r="BH2608" i="1"/>
  <c r="BH2609" i="1"/>
  <c r="BH2610" i="1"/>
  <c r="BH2611" i="1"/>
  <c r="BH2612" i="1"/>
  <c r="BH2613" i="1"/>
  <c r="BH2614" i="1"/>
  <c r="BH2615" i="1"/>
  <c r="BH2616" i="1"/>
  <c r="BH2617" i="1"/>
  <c r="BH2618" i="1"/>
  <c r="BH2619" i="1"/>
  <c r="BH2620" i="1"/>
  <c r="BH2621" i="1"/>
  <c r="BH2622" i="1"/>
  <c r="BH2623" i="1"/>
  <c r="BH2624" i="1"/>
  <c r="BH2625" i="1"/>
  <c r="BH2626" i="1"/>
  <c r="BH2627" i="1"/>
  <c r="BH2628" i="1"/>
  <c r="BH2629" i="1"/>
  <c r="BH2630" i="1"/>
  <c r="BH2631" i="1"/>
  <c r="BH2632" i="1"/>
  <c r="BH2633" i="1"/>
  <c r="BH2634" i="1"/>
  <c r="BH2635" i="1"/>
  <c r="BH2636" i="1"/>
  <c r="BH2637" i="1"/>
  <c r="BH2638" i="1"/>
  <c r="BH2639" i="1"/>
  <c r="BH2640" i="1"/>
  <c r="BH2641" i="1"/>
  <c r="BH2642" i="1"/>
  <c r="BH2643" i="1"/>
  <c r="BH2644" i="1"/>
  <c r="BH2645" i="1"/>
  <c r="BH2646" i="1"/>
  <c r="BH2647" i="1"/>
  <c r="BH2648" i="1"/>
  <c r="BH2649" i="1"/>
  <c r="BH2650" i="1"/>
  <c r="BH2651" i="1"/>
  <c r="BH2652" i="1"/>
  <c r="BH2653" i="1"/>
  <c r="BH2654" i="1"/>
  <c r="BH2655" i="1"/>
  <c r="BH2656" i="1"/>
  <c r="BH2657" i="1"/>
  <c r="BH2658" i="1"/>
  <c r="BH2659" i="1"/>
  <c r="BH2660" i="1"/>
  <c r="BH2661" i="1"/>
  <c r="BH2662" i="1"/>
  <c r="BH2663" i="1"/>
  <c r="BH2664" i="1"/>
  <c r="BH2665" i="1"/>
  <c r="BH2666" i="1"/>
  <c r="BH2667" i="1"/>
  <c r="BH2668" i="1"/>
  <c r="BH2669" i="1"/>
  <c r="BH2670" i="1"/>
  <c r="BH2671" i="1"/>
  <c r="BH2672" i="1"/>
  <c r="BH2673" i="1"/>
  <c r="BH2674" i="1"/>
  <c r="BH2675" i="1"/>
  <c r="BH2676" i="1"/>
  <c r="BH2677" i="1"/>
  <c r="BH2678" i="1"/>
  <c r="BH2679" i="1"/>
  <c r="BH2680" i="1"/>
  <c r="BH2681" i="1"/>
  <c r="BH2682" i="1"/>
  <c r="BH2683" i="1"/>
  <c r="BH2684" i="1"/>
  <c r="BH2685" i="1"/>
  <c r="BH2686" i="1"/>
  <c r="BH2687" i="1"/>
  <c r="BH2688" i="1"/>
  <c r="BH2689" i="1"/>
  <c r="BH2690" i="1"/>
  <c r="BH2691" i="1"/>
  <c r="BH2692" i="1"/>
  <c r="BH2693" i="1"/>
  <c r="BH2694" i="1"/>
  <c r="BH2695" i="1"/>
  <c r="BH2696" i="1"/>
  <c r="BH2697" i="1"/>
  <c r="BH2698" i="1"/>
  <c r="BH2699" i="1"/>
  <c r="BH2700" i="1"/>
  <c r="BH2701" i="1"/>
  <c r="BH2702" i="1"/>
  <c r="BH2703" i="1"/>
  <c r="BH2704" i="1"/>
  <c r="BH2705" i="1"/>
  <c r="BH2706" i="1"/>
  <c r="BH2707" i="1"/>
  <c r="BH2708" i="1"/>
  <c r="BH2709" i="1"/>
  <c r="BH2710" i="1"/>
  <c r="BH2711" i="1"/>
  <c r="BH2712" i="1"/>
  <c r="BH2713" i="1"/>
  <c r="BH2714" i="1"/>
  <c r="BH2715" i="1"/>
  <c r="BH2716" i="1"/>
  <c r="BH2717" i="1"/>
  <c r="BH2718" i="1"/>
  <c r="BH2719" i="1"/>
  <c r="BH2720" i="1"/>
  <c r="BH2721" i="1"/>
  <c r="BH2722" i="1"/>
  <c r="BH2723" i="1"/>
  <c r="BH2724" i="1"/>
  <c r="BH2725" i="1"/>
  <c r="BH2726" i="1"/>
  <c r="BH2727" i="1"/>
  <c r="BH2728" i="1"/>
  <c r="BH2729" i="1"/>
  <c r="BH2730" i="1"/>
  <c r="BH2731" i="1"/>
  <c r="BH2732" i="1"/>
  <c r="BH2733" i="1"/>
  <c r="BH2734" i="1"/>
  <c r="BH2735" i="1"/>
  <c r="BH2736" i="1"/>
  <c r="BH2737" i="1"/>
  <c r="BH2738" i="1"/>
  <c r="BH2739" i="1"/>
  <c r="BH2740" i="1"/>
  <c r="BH2741" i="1"/>
  <c r="BH2742" i="1"/>
  <c r="BH2743" i="1"/>
  <c r="BH2744" i="1"/>
  <c r="BH2745" i="1"/>
  <c r="BH2746" i="1"/>
  <c r="BH2747" i="1"/>
  <c r="BH2748" i="1"/>
  <c r="BH2749" i="1"/>
  <c r="BH2750" i="1"/>
  <c r="BH2751" i="1"/>
  <c r="BH2752" i="1"/>
  <c r="BH2753" i="1"/>
  <c r="BH2754" i="1"/>
  <c r="BH2755" i="1"/>
  <c r="BH2756" i="1"/>
  <c r="BH2757" i="1"/>
  <c r="BH2758" i="1"/>
  <c r="BH2759" i="1"/>
  <c r="BH2760" i="1"/>
  <c r="BH2761" i="1"/>
  <c r="BH2762" i="1"/>
  <c r="BH2763" i="1"/>
  <c r="BH2764" i="1"/>
  <c r="BH2765" i="1"/>
  <c r="BH2766" i="1"/>
  <c r="BH2767" i="1"/>
  <c r="BH2768" i="1"/>
  <c r="BH2769" i="1"/>
  <c r="BH2770" i="1"/>
  <c r="BH2771" i="1"/>
  <c r="BH2772" i="1"/>
  <c r="BH2773" i="1"/>
  <c r="BH2774" i="1"/>
  <c r="BH2775" i="1"/>
  <c r="BH2776" i="1"/>
  <c r="BH2777" i="1"/>
  <c r="BH2778" i="1"/>
  <c r="BH2779" i="1"/>
  <c r="BH2780" i="1"/>
  <c r="BH2781" i="1"/>
  <c r="BH2782" i="1"/>
  <c r="BH2783" i="1"/>
  <c r="BH2784" i="1"/>
  <c r="BH2785" i="1"/>
  <c r="BH2786" i="1"/>
  <c r="BH2787" i="1"/>
  <c r="BH2788" i="1"/>
  <c r="BH2789" i="1"/>
  <c r="BH2790" i="1"/>
  <c r="BH2791" i="1"/>
  <c r="BH2792" i="1"/>
  <c r="BH2793" i="1"/>
  <c r="BH2794" i="1"/>
  <c r="BH2795" i="1"/>
  <c r="BH2796" i="1"/>
  <c r="BH2797" i="1"/>
  <c r="BH2798" i="1"/>
  <c r="BH2799" i="1"/>
  <c r="BH2800" i="1"/>
  <c r="BH2801" i="1"/>
  <c r="BH2802" i="1"/>
  <c r="BH2803" i="1"/>
  <c r="BH2804" i="1"/>
  <c r="BH2805" i="1"/>
  <c r="BH2806" i="1"/>
  <c r="BH2807" i="1"/>
  <c r="BH2808" i="1"/>
  <c r="BH2809" i="1"/>
  <c r="BH2810" i="1"/>
  <c r="BH2811" i="1"/>
  <c r="BH2812" i="1"/>
  <c r="BH2813" i="1"/>
  <c r="BH2814" i="1"/>
  <c r="BH2815" i="1"/>
  <c r="BH2816" i="1"/>
  <c r="BH2817" i="1"/>
  <c r="BH2818" i="1"/>
  <c r="BH2819" i="1"/>
  <c r="BH2820" i="1"/>
  <c r="BH2821" i="1"/>
  <c r="BH2822" i="1"/>
  <c r="BH2823" i="1"/>
  <c r="BH2824" i="1"/>
  <c r="BH2825" i="1"/>
  <c r="BH2826" i="1"/>
  <c r="BH2827" i="1"/>
  <c r="BH2828" i="1"/>
  <c r="BH2829" i="1"/>
  <c r="BH2830" i="1"/>
  <c r="BH2831" i="1"/>
  <c r="BH2832" i="1"/>
  <c r="BH2833" i="1"/>
  <c r="BH2834" i="1"/>
  <c r="BH2835" i="1"/>
  <c r="BH2836" i="1"/>
  <c r="BH2837" i="1"/>
  <c r="BH2838" i="1"/>
  <c r="BH2839" i="1"/>
  <c r="BH2840" i="1"/>
  <c r="BH2841" i="1"/>
  <c r="BH2842" i="1"/>
  <c r="BH2843" i="1"/>
  <c r="BH2844" i="1"/>
  <c r="BH2845" i="1"/>
  <c r="BH2846" i="1"/>
  <c r="BH2847" i="1"/>
  <c r="BH2848" i="1"/>
  <c r="BH2849" i="1"/>
  <c r="BH2850" i="1"/>
  <c r="BH2851" i="1"/>
  <c r="BH2852" i="1"/>
  <c r="BH2853" i="1"/>
  <c r="BH2854" i="1"/>
  <c r="BH2855" i="1"/>
  <c r="BH2856" i="1"/>
  <c r="BH2857" i="1"/>
  <c r="BH2858" i="1"/>
  <c r="BH2859" i="1"/>
  <c r="BH2860" i="1"/>
  <c r="BH2861" i="1"/>
  <c r="BH2862" i="1"/>
  <c r="BH2863" i="1"/>
  <c r="BH2864" i="1"/>
  <c r="BH2865" i="1"/>
  <c r="BH2866" i="1"/>
  <c r="BH2867" i="1"/>
  <c r="BH2868" i="1"/>
  <c r="BH2869" i="1"/>
  <c r="BH2870" i="1"/>
  <c r="BH2871" i="1"/>
  <c r="BH2872" i="1"/>
  <c r="BH2873" i="1"/>
  <c r="BH2874" i="1"/>
  <c r="BH2875" i="1"/>
  <c r="BH2876" i="1"/>
  <c r="BH2877" i="1"/>
  <c r="BH2878" i="1"/>
  <c r="BH2879" i="1"/>
  <c r="BH2880" i="1"/>
  <c r="BH2881" i="1"/>
  <c r="BH2882" i="1"/>
  <c r="BH2883" i="1"/>
  <c r="BH2884" i="1"/>
  <c r="BH2885" i="1"/>
  <c r="BH2886" i="1"/>
  <c r="BH2887" i="1"/>
  <c r="BH2888" i="1"/>
  <c r="BH2889" i="1"/>
  <c r="BH2890" i="1"/>
  <c r="BH2891" i="1"/>
  <c r="BH2892" i="1"/>
  <c r="BH2893" i="1"/>
  <c r="BH2894" i="1"/>
  <c r="BH2895" i="1"/>
  <c r="BH2896" i="1"/>
  <c r="BH2897" i="1"/>
  <c r="BH2898" i="1"/>
  <c r="BH2899" i="1"/>
  <c r="BH2900" i="1"/>
  <c r="BH2901" i="1"/>
  <c r="BH2902" i="1"/>
  <c r="BH2903" i="1"/>
  <c r="BH2904" i="1"/>
  <c r="BH2905" i="1"/>
  <c r="BH2906" i="1"/>
  <c r="BH2907" i="1"/>
  <c r="BH2908" i="1"/>
  <c r="BH2909" i="1"/>
  <c r="BH2910" i="1"/>
  <c r="BH2911" i="1"/>
  <c r="BH2912" i="1"/>
  <c r="BH2913" i="1"/>
  <c r="BH2914" i="1"/>
  <c r="BH2915" i="1"/>
  <c r="BH2916" i="1"/>
  <c r="BH2917" i="1"/>
  <c r="BH2918" i="1"/>
  <c r="BH2919" i="1"/>
  <c r="BH2920" i="1"/>
  <c r="BH2921" i="1"/>
  <c r="BH2922" i="1"/>
  <c r="BH2923" i="1"/>
  <c r="BH2924" i="1"/>
  <c r="BH2925" i="1"/>
  <c r="BH2926" i="1"/>
  <c r="BH2927" i="1"/>
  <c r="BH2928" i="1"/>
  <c r="BH2929" i="1"/>
  <c r="BH2930" i="1"/>
  <c r="BH2931" i="1"/>
  <c r="BH2932" i="1"/>
  <c r="BH2933" i="1"/>
  <c r="BH2934" i="1"/>
  <c r="BH2935" i="1"/>
  <c r="BH2936" i="1"/>
  <c r="BH2937" i="1"/>
  <c r="BH2938" i="1"/>
  <c r="BH2939" i="1"/>
  <c r="BH2940" i="1"/>
  <c r="BH2941" i="1"/>
  <c r="BH2942" i="1"/>
  <c r="BH2943" i="1"/>
  <c r="BH2944" i="1"/>
  <c r="BH2945" i="1"/>
  <c r="BH2946" i="1"/>
  <c r="BH2947" i="1"/>
  <c r="BH2948" i="1"/>
  <c r="BH2949" i="1"/>
  <c r="BH2950" i="1"/>
  <c r="BH2951" i="1"/>
  <c r="BH2952" i="1"/>
  <c r="BH2953" i="1"/>
  <c r="BH2954" i="1"/>
  <c r="BH2955" i="1"/>
  <c r="BH2956" i="1"/>
  <c r="BH2957" i="1"/>
  <c r="BH2958" i="1"/>
  <c r="BH2959" i="1"/>
  <c r="BH2960" i="1"/>
  <c r="BH2961" i="1"/>
  <c r="BH2962" i="1"/>
  <c r="BH2963" i="1"/>
  <c r="BH2964" i="1"/>
  <c r="BH2965" i="1"/>
  <c r="BH2966" i="1"/>
  <c r="BH2967" i="1"/>
  <c r="BH2968" i="1"/>
  <c r="BH2969" i="1"/>
  <c r="BH2970" i="1"/>
  <c r="BH2971" i="1"/>
  <c r="BH2972" i="1"/>
  <c r="BH2973" i="1"/>
  <c r="BH2974" i="1"/>
  <c r="BH2975" i="1"/>
  <c r="BH2976" i="1"/>
  <c r="BH2977" i="1"/>
  <c r="BH2978" i="1"/>
  <c r="BH2979" i="1"/>
  <c r="BH2980" i="1"/>
  <c r="BH2981" i="1"/>
  <c r="BH2982" i="1"/>
  <c r="BH2983" i="1"/>
  <c r="BH2984" i="1"/>
  <c r="BH2985" i="1"/>
  <c r="BH2986" i="1"/>
  <c r="BH2987" i="1"/>
  <c r="BH2988" i="1"/>
  <c r="BH2989" i="1"/>
  <c r="BH2990" i="1"/>
  <c r="BH2991" i="1"/>
  <c r="BH2992" i="1"/>
  <c r="BH2993" i="1"/>
  <c r="BH2994" i="1"/>
  <c r="BH2995" i="1"/>
  <c r="BH2996" i="1"/>
  <c r="BH2997" i="1"/>
  <c r="BH2998" i="1"/>
  <c r="BH2999" i="1"/>
  <c r="BH3000" i="1"/>
  <c r="BH3001" i="1"/>
  <c r="BH3002" i="1"/>
  <c r="BH3003" i="1"/>
  <c r="BH3004" i="1"/>
  <c r="BH3005" i="1"/>
  <c r="BH3006" i="1"/>
  <c r="BH3007" i="1"/>
  <c r="BH3008" i="1"/>
  <c r="BH3009" i="1"/>
  <c r="BH3010" i="1"/>
  <c r="BH3011" i="1"/>
  <c r="BH3012" i="1"/>
  <c r="BH3013" i="1"/>
  <c r="BH3014" i="1"/>
  <c r="BH3015" i="1"/>
  <c r="BH3016" i="1"/>
  <c r="BH3017" i="1"/>
  <c r="BH3018" i="1"/>
  <c r="BH3019" i="1"/>
  <c r="BH3020" i="1"/>
  <c r="BH3021" i="1"/>
  <c r="BH3022" i="1"/>
  <c r="BH3023" i="1"/>
  <c r="BH3024" i="1"/>
  <c r="BH3025" i="1"/>
  <c r="BH3026" i="1"/>
  <c r="BH3027" i="1"/>
  <c r="BH3028" i="1"/>
  <c r="BH3029" i="1"/>
  <c r="BH3030" i="1"/>
  <c r="BH3031" i="1"/>
  <c r="BH3032" i="1"/>
  <c r="BH3033" i="1"/>
  <c r="BH3034" i="1"/>
  <c r="BH3035" i="1"/>
  <c r="BH3036" i="1"/>
  <c r="BH3037" i="1"/>
  <c r="BH3038" i="1"/>
  <c r="BH3039" i="1"/>
  <c r="BH3040" i="1"/>
  <c r="BH3041" i="1"/>
  <c r="BH3042" i="1"/>
  <c r="BH3043" i="1"/>
  <c r="BH3044" i="1"/>
  <c r="BH3045" i="1"/>
  <c r="BH3046" i="1"/>
  <c r="BH3047" i="1"/>
  <c r="BH3048" i="1"/>
  <c r="BH3049" i="1"/>
  <c r="BH3050" i="1"/>
  <c r="BH3051" i="1"/>
  <c r="BH3052" i="1"/>
  <c r="BH3053" i="1"/>
  <c r="BH3054" i="1"/>
  <c r="BH3055" i="1"/>
  <c r="BH3056" i="1"/>
  <c r="BH3057" i="1"/>
  <c r="BH3058" i="1"/>
  <c r="BH3059" i="1"/>
  <c r="BH3060" i="1"/>
  <c r="BH3061" i="1"/>
  <c r="BH3062" i="1"/>
  <c r="BH3063" i="1"/>
  <c r="BH3064" i="1"/>
  <c r="BH3065" i="1"/>
  <c r="BH3066" i="1"/>
  <c r="BH3067" i="1"/>
  <c r="BH3068" i="1"/>
  <c r="BH3069" i="1"/>
  <c r="BH3070" i="1"/>
  <c r="BH3071" i="1"/>
  <c r="BH3072" i="1"/>
  <c r="BH3073" i="1"/>
  <c r="BH3074" i="1"/>
  <c r="BH3075" i="1"/>
  <c r="BH3076" i="1"/>
  <c r="BH3077" i="1"/>
  <c r="BH3078" i="1"/>
  <c r="BH3079" i="1"/>
  <c r="BH3080" i="1"/>
  <c r="BH3081" i="1"/>
  <c r="BH3082" i="1"/>
  <c r="BH3083" i="1"/>
  <c r="BH3084" i="1"/>
  <c r="BH3085" i="1"/>
  <c r="BH3086" i="1"/>
  <c r="BH3087" i="1"/>
  <c r="BH3088" i="1"/>
  <c r="BH3089" i="1"/>
  <c r="BH3090" i="1"/>
  <c r="BH3091" i="1"/>
  <c r="BH3092" i="1"/>
  <c r="BH3093" i="1"/>
  <c r="BH3094" i="1"/>
  <c r="BH3095" i="1"/>
  <c r="BH3096" i="1"/>
  <c r="BH3097" i="1"/>
  <c r="BH3098" i="1"/>
  <c r="BH3099" i="1"/>
  <c r="BH3100" i="1"/>
  <c r="BH3101" i="1"/>
  <c r="BH3102" i="1"/>
  <c r="BH3103" i="1"/>
  <c r="BH3104" i="1"/>
  <c r="BH3105" i="1"/>
  <c r="BH3106" i="1"/>
  <c r="BH3107" i="1"/>
  <c r="BH3108" i="1"/>
  <c r="BH3109" i="1"/>
  <c r="BH3110" i="1"/>
  <c r="BH3111" i="1"/>
  <c r="BH3112" i="1"/>
  <c r="BH3113" i="1"/>
  <c r="BH3114" i="1"/>
  <c r="BH3115" i="1"/>
  <c r="BH3116" i="1"/>
  <c r="BH3117" i="1"/>
  <c r="BH3118" i="1"/>
  <c r="BH3119" i="1"/>
  <c r="BH3120" i="1"/>
  <c r="BH3121" i="1"/>
  <c r="BH3122" i="1"/>
  <c r="BH3123" i="1"/>
  <c r="BH3124" i="1"/>
  <c r="BH3125" i="1"/>
  <c r="BH3126" i="1"/>
  <c r="BH3127" i="1"/>
  <c r="BH3128" i="1"/>
  <c r="BH3129" i="1"/>
  <c r="BH3130" i="1"/>
  <c r="BH3131" i="1"/>
  <c r="BH3132" i="1"/>
  <c r="BH3133" i="1"/>
  <c r="BH3134" i="1"/>
  <c r="BH3135" i="1"/>
  <c r="BH3136" i="1"/>
  <c r="BH3137" i="1"/>
  <c r="BH3138" i="1"/>
  <c r="BH3139" i="1"/>
  <c r="BH3140" i="1"/>
  <c r="BH3141" i="1"/>
  <c r="BH3142" i="1"/>
  <c r="BH3143" i="1"/>
  <c r="BH3144" i="1"/>
  <c r="BH3145" i="1"/>
  <c r="BH3146" i="1"/>
  <c r="BH3147" i="1"/>
  <c r="BH3148" i="1"/>
  <c r="BH3149" i="1"/>
  <c r="BH3150" i="1"/>
  <c r="BH3151" i="1"/>
  <c r="BH3152" i="1"/>
  <c r="BH3153" i="1"/>
  <c r="BH3154" i="1"/>
  <c r="BH3155" i="1"/>
  <c r="BH3156" i="1"/>
  <c r="BH3157" i="1"/>
  <c r="BH3158" i="1"/>
  <c r="BH3159" i="1"/>
  <c r="BH3160" i="1"/>
  <c r="BH3161" i="1"/>
  <c r="BH3162" i="1"/>
  <c r="BH3163" i="1"/>
  <c r="BH3164" i="1"/>
  <c r="BH3165" i="1"/>
  <c r="BH3166" i="1"/>
  <c r="BH3167" i="1"/>
  <c r="BH3168" i="1"/>
  <c r="BH3169" i="1"/>
  <c r="BH3170" i="1"/>
  <c r="BH3171" i="1"/>
  <c r="BH3172" i="1"/>
  <c r="BH3173" i="1"/>
  <c r="BH3174" i="1"/>
  <c r="BH3175" i="1"/>
  <c r="BH3176" i="1"/>
  <c r="BH3177" i="1"/>
  <c r="BH3178" i="1"/>
  <c r="BH3179" i="1"/>
  <c r="BH3180" i="1"/>
  <c r="BH3181" i="1"/>
  <c r="BH3182" i="1"/>
  <c r="BH3183" i="1"/>
  <c r="BH3184" i="1"/>
  <c r="BH3185" i="1"/>
  <c r="BH3186" i="1"/>
  <c r="BH3187" i="1"/>
  <c r="BH3188" i="1"/>
  <c r="BH3189" i="1"/>
  <c r="BH3190" i="1"/>
  <c r="BH3191" i="1"/>
  <c r="BH3192" i="1"/>
  <c r="BH3193" i="1"/>
  <c r="BH3194" i="1"/>
  <c r="BH3195" i="1"/>
  <c r="BH3196" i="1"/>
  <c r="BH3197" i="1"/>
  <c r="BH3198" i="1"/>
  <c r="BH3199" i="1"/>
  <c r="BH3200" i="1"/>
  <c r="BH3201" i="1"/>
  <c r="BH3202" i="1"/>
  <c r="BH3203" i="1"/>
  <c r="BH3204" i="1"/>
  <c r="BH3205" i="1"/>
  <c r="BH3206" i="1"/>
  <c r="BH3207" i="1"/>
  <c r="BH3208" i="1"/>
  <c r="BH3209" i="1"/>
  <c r="BH3210" i="1"/>
  <c r="BH3211" i="1"/>
  <c r="BH3212" i="1"/>
  <c r="BH3213" i="1"/>
  <c r="BH3214" i="1"/>
  <c r="BH3215" i="1"/>
  <c r="BH3216" i="1"/>
  <c r="BH3217" i="1"/>
  <c r="BH3218" i="1"/>
  <c r="BH3219" i="1"/>
  <c r="BH3220" i="1"/>
  <c r="BH3221" i="1"/>
  <c r="BH3222" i="1"/>
  <c r="BH3223" i="1"/>
  <c r="BH3224" i="1"/>
  <c r="BH3225" i="1"/>
  <c r="BH3226" i="1"/>
  <c r="BH3227" i="1"/>
  <c r="BH3228" i="1"/>
  <c r="BH3229" i="1"/>
  <c r="BH3230" i="1"/>
  <c r="BH3231" i="1"/>
  <c r="BH3232" i="1"/>
  <c r="BH3233" i="1"/>
  <c r="BH3234" i="1"/>
  <c r="BH3235" i="1"/>
  <c r="BH3236" i="1"/>
  <c r="BH3237" i="1"/>
  <c r="BH3238" i="1"/>
  <c r="BH3239" i="1"/>
  <c r="BH3240" i="1"/>
  <c r="BH3241" i="1"/>
  <c r="BH3242" i="1"/>
  <c r="BH3243" i="1"/>
  <c r="BH3244" i="1"/>
  <c r="BH3245" i="1"/>
  <c r="BH3246" i="1"/>
  <c r="BH3247" i="1"/>
  <c r="BH3248" i="1"/>
  <c r="BH3249" i="1"/>
  <c r="BH3250" i="1"/>
  <c r="BH3251" i="1"/>
  <c r="BH3252" i="1"/>
  <c r="BH3253" i="1"/>
  <c r="BH3254" i="1"/>
  <c r="BH3255" i="1"/>
  <c r="BH3256" i="1"/>
  <c r="BH3257" i="1"/>
  <c r="BH3258" i="1"/>
  <c r="BH3259" i="1"/>
  <c r="BH3260" i="1"/>
  <c r="BH3261" i="1"/>
  <c r="BH3262" i="1"/>
  <c r="BH3263" i="1"/>
  <c r="BH3264" i="1"/>
  <c r="BH3265" i="1"/>
  <c r="BH3266" i="1"/>
  <c r="BH3267" i="1"/>
  <c r="BH3268" i="1"/>
  <c r="BH3269" i="1"/>
  <c r="BH3270" i="1"/>
  <c r="BH3271" i="1"/>
  <c r="BH3272" i="1"/>
  <c r="BH3273" i="1"/>
  <c r="BH3274" i="1"/>
  <c r="BH3275" i="1"/>
  <c r="BH3276" i="1"/>
  <c r="BH3277" i="1"/>
  <c r="BH3278" i="1"/>
  <c r="BH3279" i="1"/>
  <c r="BH3280" i="1"/>
  <c r="BH3281" i="1"/>
  <c r="BH3282" i="1"/>
  <c r="BH3283" i="1"/>
  <c r="BH3284" i="1"/>
  <c r="BH3285" i="1"/>
  <c r="BH3286" i="1"/>
  <c r="BH3287" i="1"/>
  <c r="BH3288" i="1"/>
  <c r="BH3289" i="1"/>
  <c r="BH3290" i="1"/>
  <c r="BH3291" i="1"/>
  <c r="BH3292" i="1"/>
  <c r="BH3293" i="1"/>
  <c r="BH3294" i="1"/>
  <c r="BH3295" i="1"/>
  <c r="BH3296" i="1"/>
  <c r="BH3297" i="1"/>
  <c r="BH3298" i="1"/>
  <c r="BH3299" i="1"/>
  <c r="BH3300" i="1"/>
  <c r="BH3301" i="1"/>
  <c r="BH3302" i="1"/>
  <c r="BH3303" i="1"/>
  <c r="BH3304" i="1"/>
  <c r="BH3305" i="1"/>
  <c r="BH3306" i="1"/>
  <c r="BH3307" i="1"/>
  <c r="BH3308" i="1"/>
  <c r="BH3309" i="1"/>
  <c r="BH3310" i="1"/>
  <c r="BH3311" i="1"/>
  <c r="BH3312" i="1"/>
  <c r="BH3313" i="1"/>
  <c r="BH3314" i="1"/>
  <c r="BH3315" i="1"/>
  <c r="BH3316" i="1"/>
  <c r="BH3317" i="1"/>
  <c r="BH3318" i="1"/>
  <c r="BH3319" i="1"/>
  <c r="BH3320" i="1"/>
  <c r="BH3321" i="1"/>
  <c r="BH3322" i="1"/>
  <c r="BH3323" i="1"/>
  <c r="BH3324" i="1"/>
  <c r="BH3325" i="1"/>
  <c r="BH3326" i="1"/>
  <c r="BH3327" i="1"/>
  <c r="BH3328" i="1"/>
  <c r="BH3329" i="1"/>
  <c r="BH3330" i="1"/>
  <c r="BH3331" i="1"/>
  <c r="BH3332" i="1"/>
  <c r="BH3333" i="1"/>
  <c r="BH3334" i="1"/>
  <c r="BH3335" i="1"/>
  <c r="BH3336" i="1"/>
  <c r="BH3337" i="1"/>
  <c r="BH3338" i="1"/>
  <c r="BH3339" i="1"/>
  <c r="BH3340" i="1"/>
  <c r="BH3341" i="1"/>
  <c r="BH3342" i="1"/>
  <c r="BH3343" i="1"/>
  <c r="BH3344" i="1"/>
  <c r="BH3345" i="1"/>
  <c r="BH3346" i="1"/>
  <c r="BH3347" i="1"/>
  <c r="BH3348" i="1"/>
  <c r="BH3349" i="1"/>
  <c r="BH3350" i="1"/>
  <c r="BH3351" i="1"/>
  <c r="BH3352" i="1"/>
  <c r="BH3353" i="1"/>
  <c r="BH3354" i="1"/>
  <c r="BH3355" i="1"/>
  <c r="BH3356" i="1"/>
  <c r="BH3357" i="1"/>
  <c r="BH3358" i="1"/>
  <c r="BH3359" i="1"/>
  <c r="BH3360" i="1"/>
  <c r="BH3361" i="1"/>
  <c r="BH3362" i="1"/>
  <c r="BH3363" i="1"/>
  <c r="BH3364" i="1"/>
  <c r="BH3365" i="1"/>
  <c r="BH3366" i="1"/>
  <c r="BH3367" i="1"/>
  <c r="BH3368" i="1"/>
  <c r="BH3369" i="1"/>
  <c r="BH3370" i="1"/>
  <c r="BH3371" i="1"/>
  <c r="BH3372" i="1"/>
  <c r="BH3373" i="1"/>
  <c r="BH3374" i="1"/>
  <c r="BH3375" i="1"/>
  <c r="BH3376" i="1"/>
  <c r="BH3377" i="1"/>
  <c r="BH3378" i="1"/>
  <c r="BH3379" i="1"/>
  <c r="BH3380" i="1"/>
  <c r="BH3381" i="1"/>
  <c r="BH3382" i="1"/>
  <c r="BH3383" i="1"/>
  <c r="BH3384" i="1"/>
  <c r="BH3385" i="1"/>
  <c r="BH3386" i="1"/>
  <c r="BH3387" i="1"/>
  <c r="BH3388" i="1"/>
  <c r="BH3389" i="1"/>
  <c r="BH3390" i="1"/>
  <c r="BH3391" i="1"/>
  <c r="BH3392" i="1"/>
  <c r="BH3393" i="1"/>
  <c r="BH3394" i="1"/>
  <c r="BH3395" i="1"/>
  <c r="BH3396" i="1"/>
  <c r="BH3397" i="1"/>
  <c r="BH3398" i="1"/>
  <c r="BH3399" i="1"/>
  <c r="BH3400" i="1"/>
  <c r="BH3401" i="1"/>
  <c r="BH3402" i="1"/>
  <c r="BH3403" i="1"/>
  <c r="BH3404" i="1"/>
  <c r="BH3405" i="1"/>
  <c r="BH3406" i="1"/>
  <c r="BH3407" i="1"/>
  <c r="BH3408" i="1"/>
  <c r="BH3409" i="1"/>
  <c r="BH3410" i="1"/>
  <c r="BH3411" i="1"/>
  <c r="BH3412" i="1"/>
  <c r="BH3413" i="1"/>
  <c r="BH3414" i="1"/>
  <c r="BH3415" i="1"/>
  <c r="BH3416" i="1"/>
  <c r="BH3417" i="1"/>
  <c r="BH3418" i="1"/>
  <c r="BH3419" i="1"/>
  <c r="BH3420" i="1"/>
  <c r="BH3421" i="1"/>
  <c r="BH3422" i="1"/>
  <c r="BH3423" i="1"/>
  <c r="BH3424" i="1"/>
  <c r="BH3425" i="1"/>
  <c r="BH3426" i="1"/>
  <c r="BH3427" i="1"/>
  <c r="BH3428" i="1"/>
  <c r="BH3429" i="1"/>
  <c r="BH3430" i="1"/>
  <c r="BH3431" i="1"/>
  <c r="BH3432" i="1"/>
  <c r="BH3433" i="1"/>
  <c r="BH3434" i="1"/>
  <c r="BH3435" i="1"/>
  <c r="BH3436" i="1"/>
  <c r="BH3437" i="1"/>
  <c r="BH3438" i="1"/>
  <c r="BH3439" i="1"/>
  <c r="BH3440" i="1"/>
  <c r="BH3441" i="1"/>
  <c r="BH3442" i="1"/>
  <c r="BH3443" i="1"/>
  <c r="BH3444" i="1"/>
  <c r="BH3445" i="1"/>
  <c r="BH3446" i="1"/>
  <c r="BH3447" i="1"/>
  <c r="BH3448" i="1"/>
  <c r="BH3449" i="1"/>
  <c r="BH3450" i="1"/>
  <c r="BH3451" i="1"/>
  <c r="BH3452" i="1"/>
  <c r="BH3453" i="1"/>
  <c r="BH3454" i="1"/>
  <c r="BH3455" i="1"/>
  <c r="BH3456" i="1"/>
  <c r="BH3457" i="1"/>
  <c r="BH3458" i="1"/>
  <c r="BH3459" i="1"/>
  <c r="BH3460" i="1"/>
  <c r="BH3461" i="1"/>
  <c r="BH3462" i="1"/>
  <c r="BH3463" i="1"/>
  <c r="BH3464" i="1"/>
  <c r="BH3465" i="1"/>
  <c r="BH3466" i="1"/>
  <c r="BH3467" i="1"/>
  <c r="BH3468" i="1"/>
  <c r="BH3469" i="1"/>
  <c r="BH3470" i="1"/>
  <c r="BH3471" i="1"/>
  <c r="BH3472" i="1"/>
  <c r="BH3473" i="1"/>
  <c r="BH3474" i="1"/>
  <c r="BH3475" i="1"/>
  <c r="BH3476" i="1"/>
  <c r="BH3477" i="1"/>
  <c r="BH3478" i="1"/>
  <c r="BH3479" i="1"/>
  <c r="BH3480" i="1"/>
  <c r="BH3481" i="1"/>
  <c r="BH3482" i="1"/>
  <c r="BH3483" i="1"/>
  <c r="BH3484" i="1"/>
  <c r="BH3485" i="1"/>
  <c r="BH3486" i="1"/>
  <c r="BH3487" i="1"/>
  <c r="BH3488" i="1"/>
  <c r="BH3489" i="1"/>
  <c r="BH3490" i="1"/>
  <c r="BH3491" i="1"/>
  <c r="BH3492" i="1"/>
  <c r="BH3493" i="1"/>
  <c r="BH3494" i="1"/>
  <c r="BH3495" i="1"/>
  <c r="BH3496" i="1"/>
  <c r="BH3497" i="1"/>
  <c r="BH3498" i="1"/>
  <c r="BH3499" i="1"/>
  <c r="BH3500" i="1"/>
  <c r="BH3501" i="1"/>
  <c r="BH3502" i="1"/>
  <c r="BH3503" i="1"/>
  <c r="BH3504" i="1"/>
  <c r="BH3505" i="1"/>
  <c r="BH3506" i="1"/>
  <c r="BH3507" i="1"/>
  <c r="BH3508" i="1"/>
  <c r="BH3509" i="1"/>
  <c r="BH3510" i="1"/>
  <c r="BH3511" i="1"/>
  <c r="BH3512" i="1"/>
  <c r="BH3513" i="1"/>
  <c r="BH3514" i="1"/>
  <c r="BH3515" i="1"/>
  <c r="BH3516" i="1"/>
  <c r="BH3517" i="1"/>
  <c r="BH3518" i="1"/>
  <c r="BH3519" i="1"/>
  <c r="BH3520" i="1"/>
  <c r="BH3521" i="1"/>
  <c r="BH3522" i="1"/>
  <c r="BH3523" i="1"/>
  <c r="BH3524" i="1"/>
  <c r="BH3525" i="1"/>
  <c r="BH3526" i="1"/>
  <c r="BH3527" i="1"/>
  <c r="BH3528" i="1"/>
  <c r="BH3529" i="1"/>
  <c r="BH3530" i="1"/>
  <c r="BH3531" i="1"/>
  <c r="BH3532" i="1"/>
  <c r="BH3533" i="1"/>
  <c r="BH3534" i="1"/>
  <c r="BH3535" i="1"/>
  <c r="BH3536" i="1"/>
  <c r="BH3537" i="1"/>
  <c r="BH3538" i="1"/>
  <c r="BH3539" i="1"/>
  <c r="BH3540" i="1"/>
  <c r="BH3541" i="1"/>
  <c r="BH3542" i="1"/>
  <c r="BH3543" i="1"/>
  <c r="BH3544" i="1"/>
  <c r="BH3545" i="1"/>
  <c r="BH3546" i="1"/>
  <c r="BH3547" i="1"/>
  <c r="BH3548" i="1"/>
  <c r="BH3549" i="1"/>
  <c r="BH3550" i="1"/>
  <c r="BH3551" i="1"/>
  <c r="BH3552" i="1"/>
  <c r="BH3553" i="1"/>
  <c r="BH3554" i="1"/>
  <c r="BH3555" i="1"/>
  <c r="BH3556" i="1"/>
  <c r="BH3557" i="1"/>
  <c r="BH3558" i="1"/>
  <c r="BH3559" i="1"/>
  <c r="BH3560" i="1"/>
  <c r="BH3561" i="1"/>
  <c r="BH3562" i="1"/>
  <c r="BH3563" i="1"/>
  <c r="BH3564" i="1"/>
  <c r="BH3565" i="1"/>
  <c r="BH3566" i="1"/>
  <c r="BH3567" i="1"/>
  <c r="BH3568" i="1"/>
  <c r="BH3569" i="1"/>
  <c r="BH3570" i="1"/>
  <c r="BH3571" i="1"/>
  <c r="BH3572" i="1"/>
  <c r="BH3573" i="1"/>
  <c r="BH3574" i="1"/>
  <c r="BH3575" i="1"/>
  <c r="BH3576" i="1"/>
  <c r="BH3577" i="1"/>
  <c r="BH3578" i="1"/>
  <c r="BH3579" i="1"/>
  <c r="BH3580" i="1"/>
  <c r="BH3581" i="1"/>
  <c r="BH3582" i="1"/>
  <c r="BH3583" i="1"/>
  <c r="BH3584" i="1"/>
  <c r="BH3585" i="1"/>
  <c r="BH3586" i="1"/>
  <c r="BH3587" i="1"/>
  <c r="BH3588" i="1"/>
  <c r="BH3589" i="1"/>
  <c r="BH3590" i="1"/>
  <c r="BH3591" i="1"/>
  <c r="BH3592" i="1"/>
  <c r="BH3593" i="1"/>
  <c r="BH3594" i="1"/>
  <c r="BH3595" i="1"/>
  <c r="BH3596" i="1"/>
  <c r="BH3597" i="1"/>
  <c r="BH3598" i="1"/>
  <c r="BH3599" i="1"/>
  <c r="BH3600" i="1"/>
  <c r="BH3601" i="1"/>
  <c r="BH3602" i="1"/>
  <c r="BH3603" i="1"/>
  <c r="BH3604" i="1"/>
  <c r="BH3605" i="1"/>
  <c r="BH3606" i="1"/>
  <c r="BH3607" i="1"/>
  <c r="BH3608" i="1"/>
  <c r="BH3609" i="1"/>
  <c r="BH3610" i="1"/>
  <c r="BH3611" i="1"/>
  <c r="BH3612" i="1"/>
  <c r="BH3613" i="1"/>
  <c r="BH3614" i="1"/>
  <c r="BH3615" i="1"/>
  <c r="BH3616" i="1"/>
  <c r="BH3617" i="1"/>
  <c r="BH3618" i="1"/>
  <c r="BH3619" i="1"/>
  <c r="BH3620" i="1"/>
  <c r="BH3621" i="1"/>
  <c r="BH3622" i="1"/>
  <c r="BH3623" i="1"/>
  <c r="BH3624" i="1"/>
  <c r="BH3625" i="1"/>
  <c r="BH3626" i="1"/>
  <c r="BH3627" i="1"/>
  <c r="BH3628" i="1"/>
  <c r="BH3629" i="1"/>
  <c r="BH3630" i="1"/>
  <c r="BH3631" i="1"/>
  <c r="BH3632" i="1"/>
  <c r="BH3633" i="1"/>
  <c r="BH3634" i="1"/>
  <c r="BH3635" i="1"/>
  <c r="BH3636" i="1"/>
  <c r="BH3637" i="1"/>
  <c r="BH3638" i="1"/>
  <c r="BH3639" i="1"/>
  <c r="BH3640" i="1"/>
  <c r="BH3641" i="1"/>
  <c r="BH3642" i="1"/>
  <c r="BH3643" i="1"/>
  <c r="BH3644" i="1"/>
  <c r="BH3645" i="1"/>
  <c r="BH3646" i="1"/>
  <c r="BH3647" i="1"/>
  <c r="BH3648" i="1"/>
  <c r="BH3649" i="1"/>
  <c r="BH3650" i="1"/>
  <c r="BH3651" i="1"/>
  <c r="BH3652" i="1"/>
  <c r="BH3653" i="1"/>
  <c r="BH3654" i="1"/>
  <c r="BH3655" i="1"/>
  <c r="BH3656" i="1"/>
  <c r="BH3657" i="1"/>
  <c r="BH3658" i="1"/>
  <c r="BH3659" i="1"/>
  <c r="BH3660" i="1"/>
  <c r="BH3661" i="1"/>
  <c r="BH3662" i="1"/>
  <c r="BH3663" i="1"/>
  <c r="BH3664" i="1"/>
  <c r="BH3665" i="1"/>
  <c r="BH3666" i="1"/>
  <c r="BH3667" i="1"/>
  <c r="BH3668" i="1"/>
  <c r="BH3669" i="1"/>
  <c r="BH3670" i="1"/>
  <c r="BH3671" i="1"/>
  <c r="BH3672" i="1"/>
  <c r="BH3673" i="1"/>
  <c r="BH3674" i="1"/>
  <c r="BH3675" i="1"/>
  <c r="BH3676" i="1"/>
  <c r="BH3677" i="1"/>
  <c r="BH3678" i="1"/>
  <c r="BH3679" i="1"/>
  <c r="BH3680" i="1"/>
  <c r="BH3681" i="1"/>
  <c r="BH3682" i="1"/>
  <c r="BH3683" i="1"/>
  <c r="BH3684" i="1"/>
  <c r="BH3685" i="1"/>
  <c r="BH3686" i="1"/>
  <c r="BH3687" i="1"/>
  <c r="BH3688" i="1"/>
  <c r="BH3689" i="1"/>
  <c r="BH3690" i="1"/>
  <c r="BH3691" i="1"/>
  <c r="BH3692" i="1"/>
  <c r="BH3693" i="1"/>
  <c r="BH3694" i="1"/>
  <c r="BH3695" i="1"/>
  <c r="BH3696" i="1"/>
  <c r="BH3697" i="1"/>
  <c r="BH3698" i="1"/>
  <c r="BH3699" i="1"/>
  <c r="BH3700" i="1"/>
  <c r="BH3701" i="1"/>
  <c r="BH3702" i="1"/>
  <c r="BH3703" i="1"/>
  <c r="BH3704" i="1"/>
  <c r="BH3705" i="1"/>
  <c r="BH3706" i="1"/>
  <c r="BH3707" i="1"/>
  <c r="BH3708" i="1"/>
  <c r="BH3709" i="1"/>
  <c r="BH3710" i="1"/>
  <c r="BH3711" i="1"/>
  <c r="BH3712" i="1"/>
  <c r="BH3713" i="1"/>
  <c r="BH3714" i="1"/>
  <c r="BH3715" i="1"/>
  <c r="BH3716" i="1"/>
  <c r="BH3717" i="1"/>
  <c r="BH3718" i="1"/>
  <c r="BH3719" i="1"/>
  <c r="BH3720" i="1"/>
  <c r="BH3721" i="1"/>
  <c r="BH3722" i="1"/>
  <c r="BH3723" i="1"/>
  <c r="BH3724" i="1"/>
  <c r="BH3725" i="1"/>
  <c r="BH3726" i="1"/>
  <c r="BH3727" i="1"/>
  <c r="BH3728" i="1"/>
  <c r="BH3729" i="1"/>
  <c r="BH3730" i="1"/>
  <c r="BH3731" i="1"/>
  <c r="BH3732" i="1"/>
  <c r="BH3733" i="1"/>
  <c r="BH3734" i="1"/>
  <c r="BH3735" i="1"/>
  <c r="BH3736" i="1"/>
  <c r="BH3737" i="1"/>
  <c r="BH3738" i="1"/>
  <c r="BH3739" i="1"/>
  <c r="BH3740" i="1"/>
  <c r="BH3741" i="1"/>
  <c r="BH3742" i="1"/>
  <c r="BH3743" i="1"/>
  <c r="BH3744" i="1"/>
  <c r="BH3745" i="1"/>
  <c r="BH3746" i="1"/>
  <c r="BH3747" i="1"/>
  <c r="BH3748" i="1"/>
  <c r="BH3749" i="1"/>
  <c r="BH3750" i="1"/>
  <c r="BH3751" i="1"/>
  <c r="BH3752" i="1"/>
  <c r="BH3753" i="1"/>
  <c r="BH3754" i="1"/>
  <c r="BH3755" i="1"/>
  <c r="BH3756" i="1"/>
  <c r="BH3757" i="1"/>
  <c r="BH3758" i="1"/>
  <c r="BH3759" i="1"/>
  <c r="BH3760" i="1"/>
  <c r="BH3761" i="1"/>
  <c r="BH3762" i="1"/>
  <c r="BH3763" i="1"/>
  <c r="BH3764" i="1"/>
  <c r="BH3765" i="1"/>
  <c r="BH3766" i="1"/>
  <c r="BH3767" i="1"/>
  <c r="BH3768" i="1"/>
  <c r="BH3769" i="1"/>
  <c r="BH3770" i="1"/>
  <c r="BH3771" i="1"/>
  <c r="BH3772" i="1"/>
  <c r="BH3773" i="1"/>
  <c r="BH3774" i="1"/>
  <c r="BH3775" i="1"/>
  <c r="BH3776" i="1"/>
  <c r="BH3777" i="1"/>
  <c r="BH3778" i="1"/>
  <c r="BH3779" i="1"/>
  <c r="BH3780" i="1"/>
  <c r="BH3781" i="1"/>
  <c r="BH3782" i="1"/>
  <c r="BH3783" i="1"/>
  <c r="BH3784" i="1"/>
  <c r="BH3785" i="1"/>
  <c r="BH3786" i="1"/>
  <c r="BH3787" i="1"/>
  <c r="BH3788" i="1"/>
  <c r="BH3789" i="1"/>
  <c r="BH3790" i="1"/>
  <c r="BH3791" i="1"/>
  <c r="BH3792" i="1"/>
  <c r="BH3793" i="1"/>
  <c r="BH3794" i="1"/>
  <c r="BH3795" i="1"/>
  <c r="BH3796" i="1"/>
  <c r="BH3797" i="1"/>
  <c r="BH3798" i="1"/>
  <c r="BH3799" i="1"/>
  <c r="BH3800" i="1"/>
  <c r="BH3801" i="1"/>
  <c r="BH3802" i="1"/>
  <c r="BH3803" i="1"/>
  <c r="BH3804" i="1"/>
  <c r="BH3805" i="1"/>
  <c r="BH3806" i="1"/>
  <c r="BH3807" i="1"/>
  <c r="BH3808" i="1"/>
  <c r="BH3809" i="1"/>
  <c r="BH3810" i="1"/>
  <c r="BH3811" i="1"/>
  <c r="BH3812" i="1"/>
  <c r="BH3813" i="1"/>
  <c r="BH3814" i="1"/>
  <c r="BH3815" i="1"/>
  <c r="BH3816" i="1"/>
  <c r="BH3817" i="1"/>
  <c r="BH3818" i="1"/>
  <c r="BH3819" i="1"/>
  <c r="BH3820" i="1"/>
  <c r="BH3821" i="1"/>
  <c r="BH3822" i="1"/>
  <c r="BH3823" i="1"/>
  <c r="BH3824" i="1"/>
  <c r="BH3825" i="1"/>
  <c r="BH3826" i="1"/>
  <c r="BH3827" i="1"/>
  <c r="BH3828" i="1"/>
  <c r="BH3829" i="1"/>
  <c r="BH3830" i="1"/>
  <c r="BH3831" i="1"/>
  <c r="BH3832" i="1"/>
  <c r="BH3833" i="1"/>
  <c r="BH3834" i="1"/>
  <c r="BH3835" i="1"/>
  <c r="BH3836" i="1"/>
  <c r="BH3837" i="1"/>
  <c r="BH3838" i="1"/>
  <c r="BH3839" i="1"/>
  <c r="BH3840" i="1"/>
  <c r="BH3841" i="1"/>
  <c r="BH3842" i="1"/>
  <c r="BH3843" i="1"/>
  <c r="BH3844" i="1"/>
  <c r="BH3845" i="1"/>
  <c r="BH3846" i="1"/>
  <c r="BH3847" i="1"/>
  <c r="BH3848" i="1"/>
  <c r="BH3849" i="1"/>
  <c r="BH3850" i="1"/>
  <c r="BH3851" i="1"/>
  <c r="BH3852" i="1"/>
  <c r="BH3853" i="1"/>
  <c r="BH3854" i="1"/>
  <c r="BH3855" i="1"/>
  <c r="BH3856" i="1"/>
  <c r="BH3857" i="1"/>
  <c r="BH3858" i="1"/>
  <c r="BH3859" i="1"/>
  <c r="BH3860" i="1"/>
  <c r="BH3861" i="1"/>
  <c r="BH3862" i="1"/>
  <c r="BH3863" i="1"/>
  <c r="BH3864" i="1"/>
  <c r="BH3865" i="1"/>
  <c r="BH3866" i="1"/>
  <c r="BH3867" i="1"/>
  <c r="BH3868" i="1"/>
  <c r="BH3869" i="1"/>
  <c r="BH3870" i="1"/>
  <c r="BH3871" i="1"/>
  <c r="BH3872" i="1"/>
  <c r="BH3873" i="1"/>
  <c r="BH3874" i="1"/>
  <c r="BH3875" i="1"/>
  <c r="BH3876" i="1"/>
  <c r="BH3877" i="1"/>
  <c r="BH3878" i="1"/>
  <c r="BH3879" i="1"/>
  <c r="BH3880" i="1"/>
  <c r="BH3881" i="1"/>
  <c r="BH3882" i="1"/>
  <c r="BH3883" i="1"/>
  <c r="BH3884" i="1"/>
  <c r="BH3885" i="1"/>
  <c r="BH3886" i="1"/>
  <c r="BH3887" i="1"/>
  <c r="BH3888" i="1"/>
  <c r="BH3889" i="1"/>
  <c r="BH3890" i="1"/>
  <c r="BH3891" i="1"/>
  <c r="BH3892" i="1"/>
  <c r="BH3893" i="1"/>
  <c r="BH3894" i="1"/>
  <c r="BH3895" i="1"/>
  <c r="BH3896" i="1"/>
  <c r="BH3897" i="1"/>
  <c r="BH3898" i="1"/>
  <c r="BH3899" i="1"/>
  <c r="BH3900" i="1"/>
  <c r="BH3901" i="1"/>
  <c r="BH3902" i="1"/>
  <c r="BH3903" i="1"/>
  <c r="BH3904" i="1"/>
  <c r="BH3905" i="1"/>
  <c r="BH3906" i="1"/>
  <c r="BH3907" i="1"/>
  <c r="BH3908" i="1"/>
  <c r="BH3909" i="1"/>
  <c r="BH3910" i="1"/>
  <c r="BH3911" i="1"/>
  <c r="BH3912" i="1"/>
  <c r="BH3913" i="1"/>
  <c r="BH3914" i="1"/>
  <c r="BH3915" i="1"/>
  <c r="BH3916" i="1"/>
  <c r="BH3917" i="1"/>
  <c r="BH3918" i="1"/>
  <c r="BH3919" i="1"/>
  <c r="BH3920" i="1"/>
  <c r="BH3921" i="1"/>
  <c r="BH3922" i="1"/>
  <c r="BH3923" i="1"/>
  <c r="BH3924" i="1"/>
  <c r="BH3925" i="1"/>
  <c r="BH3926" i="1"/>
  <c r="BH3927" i="1"/>
  <c r="BH3928" i="1"/>
  <c r="BH3929" i="1"/>
  <c r="BH3930" i="1"/>
  <c r="BH3931" i="1"/>
  <c r="BH3932" i="1"/>
  <c r="BH3933" i="1"/>
  <c r="BH3934" i="1"/>
  <c r="BH3935" i="1"/>
  <c r="BH3936" i="1"/>
  <c r="BH3937" i="1"/>
  <c r="BH3938" i="1"/>
  <c r="BH3939" i="1"/>
  <c r="BH3940" i="1"/>
  <c r="BH3941" i="1"/>
  <c r="BH3942" i="1"/>
  <c r="BH3943" i="1"/>
  <c r="BH3944" i="1"/>
  <c r="BH3945" i="1"/>
  <c r="BH3946" i="1"/>
  <c r="BH3947" i="1"/>
  <c r="BH3948" i="1"/>
  <c r="BH3949" i="1"/>
  <c r="BH3950" i="1"/>
  <c r="BH3951" i="1"/>
  <c r="BH3952" i="1"/>
  <c r="BH3953" i="1"/>
  <c r="BH3954" i="1"/>
  <c r="BH3955" i="1"/>
  <c r="BH3956" i="1"/>
  <c r="BH3957" i="1"/>
  <c r="BH3958" i="1"/>
  <c r="BH3959" i="1"/>
  <c r="BH3960" i="1"/>
  <c r="BH3961" i="1"/>
  <c r="BH3962" i="1"/>
  <c r="BH3963" i="1"/>
  <c r="BH3964" i="1"/>
  <c r="BH3965" i="1"/>
  <c r="BH3966" i="1"/>
  <c r="BH3967" i="1"/>
  <c r="BH3968" i="1"/>
  <c r="BH3969" i="1"/>
  <c r="BH3970" i="1"/>
  <c r="BH3971" i="1"/>
  <c r="BH3972" i="1"/>
  <c r="BH3973" i="1"/>
  <c r="BH3974" i="1"/>
  <c r="BH3975" i="1"/>
  <c r="BH3976" i="1"/>
  <c r="BH3977" i="1"/>
  <c r="BH3978" i="1"/>
  <c r="BH3979" i="1"/>
  <c r="BH3980" i="1"/>
  <c r="BH3981" i="1"/>
  <c r="BH3982" i="1"/>
  <c r="BH3983" i="1"/>
  <c r="BH3984" i="1"/>
  <c r="BH3985" i="1"/>
  <c r="BH3986" i="1"/>
  <c r="BH3987" i="1"/>
  <c r="BH3988" i="1"/>
  <c r="BH3989" i="1"/>
  <c r="BH3990" i="1"/>
  <c r="BH3991" i="1"/>
  <c r="BH3992" i="1"/>
  <c r="BH3993" i="1"/>
  <c r="BH3994" i="1"/>
  <c r="BH3995" i="1"/>
  <c r="BH3996" i="1"/>
  <c r="BH3997" i="1"/>
  <c r="BH3998" i="1"/>
  <c r="BH3999" i="1"/>
  <c r="BH4000" i="1"/>
  <c r="BH4001" i="1"/>
  <c r="BH4002" i="1"/>
  <c r="BH4003" i="1"/>
  <c r="BH4004" i="1"/>
  <c r="BH4005" i="1"/>
  <c r="BH4006" i="1"/>
  <c r="BH4007" i="1"/>
  <c r="BH4008" i="1"/>
  <c r="BH4009" i="1"/>
  <c r="BH4010" i="1"/>
  <c r="BH4011" i="1"/>
  <c r="BH4012" i="1"/>
  <c r="BH4013" i="1"/>
  <c r="BH4014" i="1"/>
  <c r="BH4015" i="1"/>
  <c r="BH4016" i="1"/>
  <c r="BH4017" i="1"/>
  <c r="BH4018" i="1"/>
  <c r="BH4019" i="1"/>
  <c r="BH4020" i="1"/>
  <c r="BH4021" i="1"/>
  <c r="BH4022" i="1"/>
  <c r="BH4023" i="1"/>
  <c r="BH4024" i="1"/>
  <c r="BH4025" i="1"/>
  <c r="BH4026" i="1"/>
  <c r="BH4027" i="1"/>
  <c r="BH4028" i="1"/>
  <c r="BH4029" i="1"/>
  <c r="BH4030" i="1"/>
  <c r="BH4031" i="1"/>
  <c r="BH4032" i="1"/>
  <c r="BH4033" i="1"/>
  <c r="BH4034" i="1"/>
  <c r="BH4035" i="1"/>
  <c r="BH4036" i="1"/>
  <c r="BH4037" i="1"/>
  <c r="BH4038" i="1"/>
  <c r="BH4039" i="1"/>
  <c r="BH4040" i="1"/>
  <c r="BH4041" i="1"/>
  <c r="BH4042" i="1"/>
  <c r="BH4043" i="1"/>
  <c r="BH4044" i="1"/>
  <c r="BH4045" i="1"/>
  <c r="BH4046" i="1"/>
  <c r="BH4047" i="1"/>
  <c r="BH4048" i="1"/>
  <c r="BH4049" i="1"/>
  <c r="BH4050" i="1"/>
  <c r="BH4051" i="1"/>
  <c r="BH4052" i="1"/>
  <c r="BH4053" i="1"/>
  <c r="BH4054" i="1"/>
  <c r="BH4055" i="1"/>
  <c r="BH4056" i="1"/>
  <c r="BH4057" i="1"/>
  <c r="BH4058" i="1"/>
  <c r="BH4059" i="1"/>
  <c r="BH4060" i="1"/>
  <c r="BH4061" i="1"/>
  <c r="BH4062" i="1"/>
  <c r="BH4063" i="1"/>
  <c r="BH4064" i="1"/>
  <c r="BH4065" i="1"/>
  <c r="BH4066" i="1"/>
  <c r="BH4067" i="1"/>
  <c r="BH4068" i="1"/>
  <c r="BH4069" i="1"/>
  <c r="BH4070" i="1"/>
  <c r="BH4071" i="1"/>
  <c r="BH4072" i="1"/>
  <c r="BH4073" i="1"/>
  <c r="BH4074" i="1"/>
  <c r="BH4075" i="1"/>
  <c r="BH4076" i="1"/>
  <c r="BH4077" i="1"/>
  <c r="BH4078" i="1"/>
  <c r="BH4079" i="1"/>
  <c r="BH4080" i="1"/>
  <c r="BH4081" i="1"/>
  <c r="BH4082" i="1"/>
  <c r="BH4083" i="1"/>
  <c r="BH4084" i="1"/>
  <c r="BH4085" i="1"/>
  <c r="BH4086" i="1"/>
  <c r="BH4087" i="1"/>
  <c r="BH4088" i="1"/>
  <c r="BH4089" i="1"/>
  <c r="BH4090" i="1"/>
  <c r="BH4091" i="1"/>
  <c r="BH4092" i="1"/>
  <c r="BH4093" i="1"/>
  <c r="BH4094" i="1"/>
  <c r="BH4095" i="1"/>
  <c r="BH4096" i="1"/>
  <c r="BH4097" i="1"/>
  <c r="BH4098" i="1"/>
  <c r="BH4099" i="1"/>
  <c r="BH4100" i="1"/>
  <c r="BH4101" i="1"/>
  <c r="BH4102" i="1"/>
  <c r="BH4103" i="1"/>
  <c r="BH4104" i="1"/>
  <c r="BH4105" i="1"/>
  <c r="BH4106" i="1"/>
  <c r="BH4107" i="1"/>
  <c r="BH4108" i="1"/>
  <c r="BH4109" i="1"/>
  <c r="BH4110" i="1"/>
  <c r="BH4111" i="1"/>
  <c r="BH4112" i="1"/>
  <c r="BH4113" i="1"/>
  <c r="BH4114" i="1"/>
  <c r="BH4115" i="1"/>
  <c r="BH4116" i="1"/>
  <c r="BH4117" i="1"/>
  <c r="BH4118" i="1"/>
  <c r="BH4119" i="1"/>
  <c r="BH4120" i="1"/>
  <c r="BH4121" i="1"/>
  <c r="BH4122" i="1"/>
  <c r="BH4123" i="1"/>
  <c r="BH4124" i="1"/>
  <c r="BH4125" i="1"/>
  <c r="BH4126" i="1"/>
  <c r="BH4127" i="1"/>
  <c r="BH4128" i="1"/>
  <c r="BH4129" i="1"/>
  <c r="BH4130" i="1"/>
  <c r="BH4131" i="1"/>
  <c r="BH4132" i="1"/>
  <c r="BH4133" i="1"/>
  <c r="BH4134" i="1"/>
  <c r="BH4135" i="1"/>
  <c r="BH4136" i="1"/>
  <c r="BH4137" i="1"/>
  <c r="BH4138" i="1"/>
  <c r="BH4139" i="1"/>
  <c r="BH4140" i="1"/>
  <c r="BH4141" i="1"/>
  <c r="BH4142" i="1"/>
  <c r="BH4143" i="1"/>
  <c r="BH4144" i="1"/>
  <c r="BH4145" i="1"/>
  <c r="BH4146" i="1"/>
  <c r="BH4147" i="1"/>
  <c r="BH4148" i="1"/>
  <c r="BH4149" i="1"/>
  <c r="BH4150" i="1"/>
  <c r="BH4151" i="1"/>
  <c r="BH4152" i="1"/>
  <c r="BH4153" i="1"/>
  <c r="BH4154" i="1"/>
  <c r="BH4155" i="1"/>
  <c r="BH4156" i="1"/>
  <c r="BH4157" i="1"/>
  <c r="BH4158" i="1"/>
  <c r="BH4159" i="1"/>
  <c r="BH4160" i="1"/>
  <c r="BH4161" i="1"/>
  <c r="BH4162" i="1"/>
  <c r="BH4163" i="1"/>
  <c r="BH4164" i="1"/>
  <c r="BH4165" i="1"/>
  <c r="BH4166" i="1"/>
  <c r="BH4167" i="1"/>
  <c r="BH4168" i="1"/>
  <c r="BH4169" i="1"/>
  <c r="BH4170" i="1"/>
  <c r="BH4171" i="1"/>
  <c r="BH4172" i="1"/>
  <c r="BH4173" i="1"/>
  <c r="BH4174" i="1"/>
  <c r="BH4175" i="1"/>
  <c r="BH4176" i="1"/>
  <c r="BH4177" i="1"/>
  <c r="BH4178" i="1"/>
  <c r="BH4179" i="1"/>
  <c r="BH4180" i="1"/>
  <c r="BH4181" i="1"/>
  <c r="BH4182" i="1"/>
  <c r="BH4183" i="1"/>
  <c r="BH4184" i="1"/>
  <c r="BH4185" i="1"/>
  <c r="BH4186" i="1"/>
  <c r="BH4187" i="1"/>
  <c r="BH4188" i="1"/>
  <c r="BH4189" i="1"/>
  <c r="BH4190" i="1"/>
  <c r="BH4191" i="1"/>
  <c r="BH4192" i="1"/>
  <c r="BH4193" i="1"/>
  <c r="BH4194" i="1"/>
  <c r="BH4195" i="1"/>
  <c r="BH4196" i="1"/>
  <c r="BH4197" i="1"/>
  <c r="BH4198" i="1"/>
  <c r="BH4199" i="1"/>
  <c r="BH4200" i="1"/>
  <c r="BH4201" i="1"/>
  <c r="BH4202" i="1"/>
  <c r="BH4203" i="1"/>
  <c r="BH4204" i="1"/>
  <c r="BH4205" i="1"/>
  <c r="BH4206" i="1"/>
  <c r="BH4207" i="1"/>
  <c r="BH4208" i="1"/>
  <c r="BH4209" i="1"/>
  <c r="BH4210" i="1"/>
  <c r="BH4211" i="1"/>
  <c r="BH4212" i="1"/>
  <c r="BH4213" i="1"/>
  <c r="BH4214" i="1"/>
  <c r="BH4215" i="1"/>
  <c r="BH4216" i="1"/>
  <c r="BH4217" i="1"/>
  <c r="BH4218" i="1"/>
  <c r="BH4219" i="1"/>
  <c r="BH4220" i="1"/>
  <c r="BH4221" i="1"/>
  <c r="BH4222" i="1"/>
  <c r="BH4223" i="1"/>
  <c r="BH4224" i="1"/>
  <c r="BH4225" i="1"/>
  <c r="BH4226" i="1"/>
  <c r="BH4227" i="1"/>
  <c r="BH4228" i="1"/>
  <c r="BH4229" i="1"/>
  <c r="BH4230" i="1"/>
  <c r="BH4231" i="1"/>
  <c r="BH4232" i="1"/>
  <c r="BH4233" i="1"/>
  <c r="BH4234" i="1"/>
  <c r="BH4235" i="1"/>
  <c r="BH4236" i="1"/>
  <c r="BH4237" i="1"/>
  <c r="BH4238" i="1"/>
  <c r="BH4239" i="1"/>
  <c r="BH4240" i="1"/>
  <c r="BH4241" i="1"/>
  <c r="BH4242" i="1"/>
  <c r="BH4243" i="1"/>
  <c r="BH4244" i="1"/>
  <c r="BH4245" i="1"/>
  <c r="BH4246" i="1"/>
  <c r="BH4247" i="1"/>
  <c r="BH4248" i="1"/>
  <c r="BH4249" i="1"/>
  <c r="BH4250" i="1"/>
  <c r="BH4251" i="1"/>
  <c r="BH4252" i="1"/>
  <c r="BH4253" i="1"/>
  <c r="BH4254" i="1"/>
  <c r="BH4255" i="1"/>
  <c r="BH4256" i="1"/>
  <c r="BH4257" i="1"/>
  <c r="BH4258" i="1"/>
  <c r="BH4259" i="1"/>
  <c r="BH4260" i="1"/>
  <c r="BH4261" i="1"/>
  <c r="BH4262" i="1"/>
  <c r="BH4263" i="1"/>
  <c r="BH4264" i="1"/>
  <c r="BH4265" i="1"/>
  <c r="BH4266" i="1"/>
  <c r="BH4267" i="1"/>
  <c r="BH4268" i="1"/>
  <c r="BH4269" i="1"/>
  <c r="BH4270" i="1"/>
  <c r="BH4271" i="1"/>
  <c r="BH4272" i="1"/>
  <c r="BH4273" i="1"/>
  <c r="BH4274" i="1"/>
  <c r="BH4275" i="1"/>
  <c r="BH4276" i="1"/>
  <c r="BH4277" i="1"/>
  <c r="BH4278" i="1"/>
  <c r="BH4279" i="1"/>
  <c r="BH4280" i="1"/>
  <c r="BH4281" i="1"/>
  <c r="BH4282" i="1"/>
  <c r="BH4283" i="1"/>
  <c r="BH4284" i="1"/>
  <c r="BH4285" i="1"/>
  <c r="BH4286" i="1"/>
  <c r="BH4287" i="1"/>
  <c r="BH4288" i="1"/>
  <c r="BH4289" i="1"/>
  <c r="BH4290" i="1"/>
  <c r="BH4291" i="1"/>
  <c r="BH4292" i="1"/>
  <c r="BH4293" i="1"/>
  <c r="BH4294" i="1"/>
  <c r="BH4295" i="1"/>
  <c r="BH4296" i="1"/>
  <c r="BH4297" i="1"/>
  <c r="BH4298" i="1"/>
  <c r="BH4299" i="1"/>
  <c r="BH4300" i="1"/>
  <c r="BH4301" i="1"/>
  <c r="BH4302" i="1"/>
  <c r="BH4303" i="1"/>
  <c r="BH4304" i="1"/>
  <c r="BH4305" i="1"/>
  <c r="BH4306" i="1"/>
  <c r="BH4307" i="1"/>
  <c r="BH4308" i="1"/>
  <c r="BH4309" i="1"/>
  <c r="BH4310" i="1"/>
  <c r="BH4311" i="1"/>
  <c r="BH4312" i="1"/>
  <c r="BH4313" i="1"/>
  <c r="BH4314" i="1"/>
  <c r="BH4315" i="1"/>
  <c r="BH4316" i="1"/>
  <c r="BH4317" i="1"/>
  <c r="BH4318" i="1"/>
  <c r="BH4319" i="1"/>
  <c r="BH4320" i="1"/>
  <c r="BH4321" i="1"/>
  <c r="BH4322" i="1"/>
  <c r="BH4323" i="1"/>
  <c r="BH4324" i="1"/>
  <c r="BH4325" i="1"/>
  <c r="BH4326" i="1"/>
  <c r="BH4327" i="1"/>
  <c r="BH4328" i="1"/>
  <c r="BH4329" i="1"/>
  <c r="BH4330" i="1"/>
  <c r="BH4331" i="1"/>
  <c r="BH4332" i="1"/>
  <c r="BH4333" i="1"/>
  <c r="BH4334" i="1"/>
  <c r="BH4335" i="1"/>
  <c r="BH4336" i="1"/>
  <c r="BH4337" i="1"/>
  <c r="BH4338" i="1"/>
  <c r="BH4339" i="1"/>
  <c r="BH4340" i="1"/>
  <c r="BH4341" i="1"/>
  <c r="BH4342" i="1"/>
  <c r="BH4343" i="1"/>
  <c r="BH4344" i="1"/>
  <c r="BH4345" i="1"/>
  <c r="BH4346" i="1"/>
  <c r="BH4347" i="1"/>
  <c r="BH4348" i="1"/>
  <c r="BH4349" i="1"/>
  <c r="BH4350" i="1"/>
  <c r="BH4351" i="1"/>
  <c r="BH4352" i="1"/>
  <c r="BH4353" i="1"/>
  <c r="BH4354" i="1"/>
  <c r="BH4355" i="1"/>
  <c r="BH4356" i="1"/>
  <c r="BH4357" i="1"/>
  <c r="BH4358" i="1"/>
  <c r="BH4359" i="1"/>
  <c r="BH4360" i="1"/>
  <c r="BH4361" i="1"/>
  <c r="BH4362" i="1"/>
  <c r="BH4363" i="1"/>
  <c r="BH4364" i="1"/>
  <c r="BH4365" i="1"/>
  <c r="BH4366" i="1"/>
  <c r="BH4367" i="1"/>
  <c r="BH4368" i="1"/>
  <c r="BH4369" i="1"/>
  <c r="BH4370" i="1"/>
  <c r="BH4371" i="1"/>
  <c r="BH4372" i="1"/>
  <c r="BH4373" i="1"/>
  <c r="BH4374" i="1"/>
  <c r="BH4375" i="1"/>
  <c r="BH4376" i="1"/>
  <c r="BH4377" i="1"/>
  <c r="BH4378" i="1"/>
  <c r="BH4379" i="1"/>
  <c r="BH4380" i="1"/>
  <c r="BH4381" i="1"/>
  <c r="BH4382" i="1"/>
  <c r="BH4383" i="1"/>
  <c r="BH4384" i="1"/>
  <c r="BH4385" i="1"/>
  <c r="BH4386" i="1"/>
  <c r="BH4387" i="1"/>
  <c r="BH4388" i="1"/>
  <c r="BH4389" i="1"/>
  <c r="BH4390" i="1"/>
  <c r="BH4391" i="1"/>
  <c r="BH4392" i="1"/>
  <c r="BH4393" i="1"/>
  <c r="BH4394" i="1"/>
  <c r="BH4395" i="1"/>
  <c r="BH4396" i="1"/>
  <c r="BH4397" i="1"/>
  <c r="BH4398" i="1"/>
  <c r="BH4399" i="1"/>
  <c r="BH4400" i="1"/>
  <c r="BH4401" i="1"/>
  <c r="BH4402" i="1"/>
  <c r="BH4403" i="1"/>
  <c r="BH4404" i="1"/>
  <c r="BH4405" i="1"/>
  <c r="BH4406" i="1"/>
  <c r="BH4407" i="1"/>
  <c r="BH4408" i="1"/>
  <c r="BH4409" i="1"/>
  <c r="BH4410" i="1"/>
  <c r="BH4411" i="1"/>
  <c r="BH4412" i="1"/>
  <c r="BH4413" i="1"/>
  <c r="BH4414" i="1"/>
  <c r="BH4415" i="1"/>
  <c r="BH4416" i="1"/>
  <c r="BH4417" i="1"/>
  <c r="BH4418" i="1"/>
  <c r="BH4419" i="1"/>
  <c r="BH4420" i="1"/>
  <c r="BH4421" i="1"/>
  <c r="BH4422" i="1"/>
  <c r="BH4423" i="1"/>
  <c r="BH4424" i="1"/>
  <c r="BH4425" i="1"/>
  <c r="BH4426" i="1"/>
  <c r="BH4427" i="1"/>
  <c r="BH4428" i="1"/>
  <c r="BH4429" i="1"/>
  <c r="BH4430" i="1"/>
  <c r="BH4431" i="1"/>
  <c r="BH4432" i="1"/>
  <c r="BH4433" i="1"/>
  <c r="BH4434" i="1"/>
  <c r="BH4435" i="1"/>
  <c r="BH4436" i="1"/>
  <c r="BH4437" i="1"/>
  <c r="BH4438" i="1"/>
  <c r="BH4439" i="1"/>
  <c r="BH4440" i="1"/>
  <c r="BH4441" i="1"/>
  <c r="BH4442" i="1"/>
  <c r="BH4443" i="1"/>
  <c r="BH4444" i="1"/>
  <c r="BH4445" i="1"/>
  <c r="BH4446" i="1"/>
  <c r="BH4447" i="1"/>
  <c r="BH4448" i="1"/>
  <c r="BH4449" i="1"/>
  <c r="BH4450" i="1"/>
  <c r="BH4451" i="1"/>
  <c r="BH4452" i="1"/>
  <c r="BH4453" i="1"/>
  <c r="BH4454" i="1"/>
  <c r="BH4455" i="1"/>
  <c r="BH4456" i="1"/>
  <c r="BH4457" i="1"/>
  <c r="BH4458" i="1"/>
  <c r="BH4459" i="1"/>
  <c r="BH4460" i="1"/>
  <c r="BH4461" i="1"/>
  <c r="BH4462" i="1"/>
  <c r="BH4463" i="1"/>
  <c r="BH4464" i="1"/>
  <c r="BH4465" i="1"/>
  <c r="BH4466" i="1"/>
  <c r="BH4467" i="1"/>
  <c r="BH4468" i="1"/>
  <c r="BH4469" i="1"/>
  <c r="BH4470" i="1"/>
  <c r="BH4471" i="1"/>
  <c r="BH4472" i="1"/>
  <c r="BH4473" i="1"/>
  <c r="BH4474" i="1"/>
  <c r="BH4475" i="1"/>
  <c r="BH4476" i="1"/>
  <c r="BH4477" i="1"/>
  <c r="BH4478" i="1"/>
  <c r="BH4479" i="1"/>
  <c r="BH4480" i="1"/>
  <c r="BH4481" i="1"/>
  <c r="BH4482" i="1"/>
  <c r="BH4483" i="1"/>
  <c r="BH4484" i="1"/>
  <c r="BH4485" i="1"/>
  <c r="BH4486" i="1"/>
  <c r="BH4487" i="1"/>
  <c r="BH4488" i="1"/>
  <c r="BH4489" i="1"/>
  <c r="BH4490" i="1"/>
  <c r="BH4491" i="1"/>
  <c r="BH4492" i="1"/>
  <c r="BH4493" i="1"/>
  <c r="BH4494" i="1"/>
  <c r="BH4495" i="1"/>
  <c r="BH4496" i="1"/>
  <c r="BH4497" i="1"/>
  <c r="BH4498" i="1"/>
  <c r="BH4499" i="1"/>
  <c r="BH4500" i="1"/>
  <c r="BH4501" i="1"/>
  <c r="BH4502" i="1"/>
  <c r="BH4503" i="1"/>
  <c r="BH4504" i="1"/>
  <c r="BH4505" i="1"/>
  <c r="BH4506" i="1"/>
  <c r="BH4507" i="1"/>
  <c r="BH4508" i="1"/>
  <c r="BH4509" i="1"/>
  <c r="BH4510" i="1"/>
  <c r="BH4511" i="1"/>
  <c r="BH4512" i="1"/>
  <c r="BH4513" i="1"/>
  <c r="BH4514" i="1"/>
  <c r="BH4515" i="1"/>
  <c r="BH4516" i="1"/>
  <c r="BH4517" i="1"/>
  <c r="BH4518" i="1"/>
  <c r="BH4519" i="1"/>
  <c r="BH4520" i="1"/>
  <c r="BH4521" i="1"/>
  <c r="BH4522" i="1"/>
  <c r="BH4523" i="1"/>
  <c r="BH4524" i="1"/>
  <c r="BH4525" i="1"/>
  <c r="BH4526" i="1"/>
  <c r="BH4527" i="1"/>
  <c r="BH4528" i="1"/>
  <c r="BH4529" i="1"/>
  <c r="BH4530" i="1"/>
  <c r="BH4531" i="1"/>
  <c r="BH4532" i="1"/>
  <c r="BH4533" i="1"/>
  <c r="BH4534" i="1"/>
  <c r="BH4535" i="1"/>
  <c r="BH4536" i="1"/>
  <c r="BH4537" i="1"/>
  <c r="BH4538" i="1"/>
  <c r="BH4539" i="1"/>
  <c r="BH4540" i="1"/>
  <c r="BH4541" i="1"/>
  <c r="BH4542" i="1"/>
  <c r="BH4543" i="1"/>
  <c r="BH4544" i="1"/>
  <c r="BH4545" i="1"/>
  <c r="BH4546" i="1"/>
  <c r="BH4547" i="1"/>
  <c r="BH4548" i="1"/>
  <c r="BH4549" i="1"/>
  <c r="BH4550" i="1"/>
  <c r="BH4551" i="1"/>
  <c r="BH4552" i="1"/>
  <c r="BH4553" i="1"/>
  <c r="BH4554" i="1"/>
  <c r="BH4555" i="1"/>
  <c r="BH4556" i="1"/>
  <c r="BH4557" i="1"/>
  <c r="BH4558" i="1"/>
  <c r="BH4559" i="1"/>
  <c r="BH4560" i="1"/>
  <c r="BH4561" i="1"/>
  <c r="BH4562" i="1"/>
  <c r="BH4563" i="1"/>
  <c r="BH4564" i="1"/>
  <c r="BH4565" i="1"/>
  <c r="BH4566" i="1"/>
  <c r="BH4567" i="1"/>
  <c r="BH4568" i="1"/>
  <c r="BH4569" i="1"/>
  <c r="BH4570" i="1"/>
  <c r="BH4571" i="1"/>
  <c r="BH4572" i="1"/>
  <c r="BH4573" i="1"/>
  <c r="BH4574" i="1"/>
  <c r="BH4575" i="1"/>
  <c r="BH4576" i="1"/>
  <c r="BH4577" i="1"/>
  <c r="BH4578" i="1"/>
  <c r="BH4579" i="1"/>
  <c r="BH4580" i="1"/>
  <c r="BH4581" i="1"/>
  <c r="BH4582" i="1"/>
  <c r="BH4583" i="1"/>
  <c r="BH4584" i="1"/>
  <c r="BH4585" i="1"/>
  <c r="BH4586" i="1"/>
  <c r="BH4587" i="1"/>
  <c r="BH4588" i="1"/>
  <c r="BH4589" i="1"/>
  <c r="BH4590" i="1"/>
  <c r="BH4591" i="1"/>
  <c r="BH4592" i="1"/>
  <c r="BH4593" i="1"/>
  <c r="BH4594" i="1"/>
  <c r="BH4595" i="1"/>
  <c r="BH4596" i="1"/>
  <c r="BH4597" i="1"/>
  <c r="BH4598" i="1"/>
  <c r="BH4599" i="1"/>
  <c r="BH4600" i="1"/>
  <c r="BH4601" i="1"/>
  <c r="BH4602" i="1"/>
  <c r="BH4603" i="1"/>
  <c r="BH4604" i="1"/>
  <c r="BH4605" i="1"/>
  <c r="BH4606" i="1"/>
  <c r="BH4607" i="1"/>
  <c r="BH4608" i="1"/>
  <c r="BH4609" i="1"/>
  <c r="BH4610" i="1"/>
  <c r="BH4611" i="1"/>
  <c r="BH4612" i="1"/>
  <c r="BH4613" i="1"/>
  <c r="BH4614" i="1"/>
  <c r="BH4615" i="1"/>
  <c r="BH4616" i="1"/>
  <c r="BH4617" i="1"/>
  <c r="BH4618" i="1"/>
  <c r="BH4619" i="1"/>
  <c r="BH4620" i="1"/>
  <c r="BH4621" i="1"/>
  <c r="BH4622" i="1"/>
  <c r="BH4623" i="1"/>
  <c r="BH4624" i="1"/>
  <c r="BH4625" i="1"/>
  <c r="BH4626" i="1"/>
  <c r="BH4627" i="1"/>
  <c r="BH4628" i="1"/>
  <c r="BH4629" i="1"/>
  <c r="BH4630" i="1"/>
  <c r="BH4631" i="1"/>
  <c r="BH4632" i="1"/>
  <c r="BH4633" i="1"/>
  <c r="BH4634" i="1"/>
  <c r="BH4635" i="1"/>
  <c r="BH4636" i="1"/>
  <c r="BH4637" i="1"/>
  <c r="BH4638" i="1"/>
  <c r="BH4639" i="1"/>
  <c r="BH4640" i="1"/>
  <c r="BH4641" i="1"/>
  <c r="BH4642" i="1"/>
  <c r="BH4643" i="1"/>
  <c r="BH4644" i="1"/>
  <c r="BH4645" i="1"/>
  <c r="BH4646" i="1"/>
  <c r="BH4647" i="1"/>
  <c r="BH4648" i="1"/>
  <c r="BH4649" i="1"/>
  <c r="BH4650" i="1"/>
  <c r="BH4651" i="1"/>
  <c r="BH4652" i="1"/>
  <c r="BH4653" i="1"/>
  <c r="BH4654" i="1"/>
  <c r="BH4655" i="1"/>
  <c r="BH4656" i="1"/>
  <c r="BH4657" i="1"/>
  <c r="BH4658" i="1"/>
  <c r="BH4659" i="1"/>
  <c r="BH4660" i="1"/>
  <c r="BH4661" i="1"/>
  <c r="BH4662" i="1"/>
  <c r="BH4663" i="1"/>
  <c r="BH4664" i="1"/>
  <c r="BH4665" i="1"/>
  <c r="BH4666" i="1"/>
  <c r="BH4667" i="1"/>
  <c r="BH4668" i="1"/>
  <c r="BH4669" i="1"/>
  <c r="BH4670" i="1"/>
  <c r="BH4671" i="1"/>
  <c r="BH4672" i="1"/>
  <c r="BH4673" i="1"/>
  <c r="BH4674" i="1"/>
  <c r="BH4675" i="1"/>
  <c r="BH4676" i="1"/>
  <c r="BH4677" i="1"/>
  <c r="BH4678" i="1"/>
  <c r="BH4679" i="1"/>
  <c r="BH4680" i="1"/>
  <c r="BH4681" i="1"/>
  <c r="BH4682" i="1"/>
  <c r="BH4683" i="1"/>
  <c r="BH4684" i="1"/>
  <c r="BH4685" i="1"/>
  <c r="BH4686" i="1"/>
  <c r="BH4687" i="1"/>
  <c r="BH4688" i="1"/>
  <c r="BH4689" i="1"/>
  <c r="BH4690" i="1"/>
  <c r="BH4691" i="1"/>
  <c r="BH4692" i="1"/>
  <c r="BH4693" i="1"/>
  <c r="BH4694" i="1"/>
  <c r="BH4695" i="1"/>
  <c r="BH4696" i="1"/>
  <c r="BH4697" i="1"/>
  <c r="BH4698" i="1"/>
  <c r="BH4699" i="1"/>
  <c r="BH4700" i="1"/>
  <c r="BH4701" i="1"/>
  <c r="BH4702" i="1"/>
  <c r="BH4703" i="1"/>
  <c r="BH4704" i="1"/>
  <c r="BH4705" i="1"/>
  <c r="BH4706" i="1"/>
  <c r="BH4707" i="1"/>
  <c r="BH4708" i="1"/>
  <c r="BH4709" i="1"/>
  <c r="BH4710" i="1"/>
  <c r="BH4711" i="1"/>
  <c r="BH4712" i="1"/>
  <c r="BH4713" i="1"/>
  <c r="BH4714" i="1"/>
  <c r="BH4715" i="1"/>
  <c r="BH4716" i="1"/>
  <c r="BH4717" i="1"/>
  <c r="BH4718" i="1"/>
  <c r="BH4719" i="1"/>
  <c r="BH4720" i="1"/>
  <c r="BH4721" i="1"/>
  <c r="BH4722" i="1"/>
  <c r="BH4723" i="1"/>
  <c r="BH4724" i="1"/>
  <c r="BH4725" i="1"/>
  <c r="BH4726" i="1"/>
  <c r="BH4727" i="1"/>
  <c r="BH4728" i="1"/>
  <c r="BH4729" i="1"/>
  <c r="BH4730" i="1"/>
  <c r="BH4731" i="1"/>
  <c r="BH4732" i="1"/>
  <c r="BH4733" i="1"/>
  <c r="BH4734" i="1"/>
  <c r="BH4735" i="1"/>
  <c r="BH4736" i="1"/>
  <c r="BH4737" i="1"/>
  <c r="BH4738" i="1"/>
  <c r="BH4739" i="1"/>
  <c r="BH4740" i="1"/>
  <c r="BH4741" i="1"/>
  <c r="BH4742" i="1"/>
  <c r="BH4743" i="1"/>
  <c r="BH4744" i="1"/>
  <c r="BH4745" i="1"/>
  <c r="BH4746" i="1"/>
  <c r="BH4747" i="1"/>
  <c r="BH4748" i="1"/>
  <c r="BH4749" i="1"/>
  <c r="BH4750" i="1"/>
  <c r="BH4751" i="1"/>
  <c r="BH4752" i="1"/>
  <c r="BH4753" i="1"/>
  <c r="BH4754" i="1"/>
  <c r="BH4755" i="1"/>
  <c r="BH4756" i="1"/>
  <c r="BH4757" i="1"/>
  <c r="BH4758" i="1"/>
  <c r="BH4759" i="1"/>
  <c r="BH4760" i="1"/>
  <c r="BH4761" i="1"/>
  <c r="BH4762" i="1"/>
  <c r="BH4763" i="1"/>
  <c r="BH4764" i="1"/>
  <c r="BH4765" i="1"/>
  <c r="BH4766" i="1"/>
  <c r="BH4767" i="1"/>
  <c r="BH4768" i="1"/>
  <c r="BH4769" i="1"/>
  <c r="BH4770" i="1"/>
  <c r="BH4771" i="1"/>
  <c r="BH4772" i="1"/>
  <c r="BH4773" i="1"/>
  <c r="BH4774" i="1"/>
  <c r="BH4775" i="1"/>
  <c r="BH4776" i="1"/>
  <c r="BH4777" i="1"/>
  <c r="BH4778" i="1"/>
  <c r="BH4779" i="1"/>
  <c r="BH4780" i="1"/>
  <c r="BH4781" i="1"/>
  <c r="BH4782" i="1"/>
  <c r="BH4783" i="1"/>
  <c r="BH4784" i="1"/>
  <c r="BH4785" i="1"/>
  <c r="BH4786" i="1"/>
  <c r="BH4787" i="1"/>
  <c r="BH4788" i="1"/>
  <c r="BH4789" i="1"/>
  <c r="BH4790" i="1"/>
  <c r="BH4791" i="1"/>
  <c r="BH4792" i="1"/>
  <c r="BH4793" i="1"/>
  <c r="BH4794" i="1"/>
  <c r="BH4795" i="1"/>
  <c r="BH4796" i="1"/>
  <c r="BH4797" i="1"/>
  <c r="BH4798" i="1"/>
  <c r="BH4799" i="1"/>
  <c r="BH4800" i="1"/>
  <c r="BH4801" i="1"/>
  <c r="BH4802" i="1"/>
  <c r="BH4803" i="1"/>
  <c r="BH4804" i="1"/>
  <c r="BH4805" i="1"/>
  <c r="BH4806" i="1"/>
  <c r="BH4807" i="1"/>
  <c r="BH4808" i="1"/>
  <c r="BH4809" i="1"/>
  <c r="BH4810" i="1"/>
  <c r="BH4811" i="1"/>
  <c r="BH4812" i="1"/>
  <c r="BH4813" i="1"/>
  <c r="BH4814" i="1"/>
  <c r="BH4815" i="1"/>
  <c r="BH4816" i="1"/>
  <c r="BH4817" i="1"/>
  <c r="BH4818" i="1"/>
  <c r="BH4819" i="1"/>
  <c r="BH4820" i="1"/>
  <c r="BH4821" i="1"/>
  <c r="BH4822" i="1"/>
  <c r="BH4823" i="1"/>
  <c r="BH4824" i="1"/>
  <c r="BH4825" i="1"/>
  <c r="BH4826" i="1"/>
  <c r="BH4827" i="1"/>
  <c r="BH4828" i="1"/>
  <c r="BH4829" i="1"/>
  <c r="BH4830" i="1"/>
  <c r="BH4831" i="1"/>
  <c r="BH4832" i="1"/>
  <c r="BH4833" i="1"/>
  <c r="BH4834" i="1"/>
  <c r="BH4835" i="1"/>
  <c r="BH4836" i="1"/>
  <c r="BH4837" i="1"/>
  <c r="BH4838" i="1"/>
  <c r="BH4839" i="1"/>
  <c r="BH4840" i="1"/>
  <c r="BH4841" i="1"/>
  <c r="BH4842" i="1"/>
  <c r="BH4843" i="1"/>
  <c r="BH4844" i="1"/>
  <c r="BH4845" i="1"/>
  <c r="BH4846" i="1"/>
  <c r="BH4847" i="1"/>
  <c r="BH4848" i="1"/>
  <c r="BH4849" i="1"/>
  <c r="BH4850" i="1"/>
  <c r="BH4851" i="1"/>
  <c r="BH4852" i="1"/>
  <c r="BH4853" i="1"/>
  <c r="BH4854" i="1"/>
  <c r="BH4855" i="1"/>
  <c r="BH4856" i="1"/>
  <c r="BH4857" i="1"/>
  <c r="BH4858" i="1"/>
  <c r="BH4859" i="1"/>
  <c r="BH4860" i="1"/>
  <c r="BH4861" i="1"/>
  <c r="BH4862" i="1"/>
  <c r="BH4863" i="1"/>
  <c r="BH4864" i="1"/>
  <c r="BH4865" i="1"/>
  <c r="BH4866" i="1"/>
  <c r="BH4867" i="1"/>
  <c r="BH4868" i="1"/>
  <c r="BH4869" i="1"/>
  <c r="BH4870" i="1"/>
  <c r="BH4871" i="1"/>
  <c r="BH4872" i="1"/>
  <c r="BH4873" i="1"/>
  <c r="BH4874" i="1"/>
  <c r="BH4875" i="1"/>
  <c r="BH4876" i="1"/>
  <c r="BH4877" i="1"/>
  <c r="BH4878" i="1"/>
  <c r="BH4879" i="1"/>
  <c r="BH4880" i="1"/>
  <c r="BH4881" i="1"/>
  <c r="BH4882" i="1"/>
  <c r="BH4883" i="1"/>
  <c r="BH4884" i="1"/>
  <c r="BH4885" i="1"/>
  <c r="BH4886" i="1"/>
  <c r="BH4887" i="1"/>
  <c r="BH4888" i="1"/>
  <c r="BH4889" i="1"/>
  <c r="BH4890" i="1"/>
  <c r="BH4891" i="1"/>
  <c r="BH4892" i="1"/>
  <c r="BH4893" i="1"/>
  <c r="BH4894" i="1"/>
  <c r="BH4895" i="1"/>
  <c r="BH4896" i="1"/>
  <c r="BH4897" i="1"/>
  <c r="BH4898" i="1"/>
  <c r="BH4899" i="1"/>
  <c r="BH4900" i="1"/>
  <c r="BH4901" i="1"/>
  <c r="BH4902" i="1"/>
  <c r="BH4903" i="1"/>
  <c r="BH4904" i="1"/>
  <c r="BH4905" i="1"/>
  <c r="BH4906" i="1"/>
  <c r="BH4907" i="1"/>
  <c r="BH4908" i="1"/>
  <c r="BH4909" i="1"/>
  <c r="BH4910" i="1"/>
  <c r="BH4911" i="1"/>
  <c r="BH4912" i="1"/>
  <c r="BH4913" i="1"/>
  <c r="BH4914" i="1"/>
  <c r="BH4915" i="1"/>
  <c r="BH4916" i="1"/>
  <c r="BH4917" i="1"/>
  <c r="BH4918" i="1"/>
  <c r="BH4919" i="1"/>
  <c r="BH4920" i="1"/>
  <c r="BH4921" i="1"/>
  <c r="BH4922" i="1"/>
  <c r="BH4923" i="1"/>
  <c r="BH4924" i="1"/>
  <c r="BH4925" i="1"/>
  <c r="BH4926" i="1"/>
  <c r="BH4927" i="1"/>
  <c r="BH4928" i="1"/>
  <c r="BH4929" i="1"/>
  <c r="BH4930" i="1"/>
  <c r="BH4931" i="1"/>
  <c r="BH4932" i="1"/>
  <c r="BH4933" i="1"/>
  <c r="BH4934" i="1"/>
  <c r="BH4935" i="1"/>
  <c r="BH4936" i="1"/>
  <c r="BH4937" i="1"/>
  <c r="BH4938" i="1"/>
  <c r="BH4939" i="1"/>
  <c r="BH4940" i="1"/>
  <c r="BH4941" i="1"/>
  <c r="BH4942" i="1"/>
  <c r="BH4943" i="1"/>
  <c r="BH4944" i="1"/>
  <c r="BH4945" i="1"/>
  <c r="BH4946" i="1"/>
  <c r="BH4947" i="1"/>
  <c r="BH4948" i="1"/>
  <c r="BH4949" i="1"/>
  <c r="BH4950" i="1"/>
  <c r="BH4951" i="1"/>
  <c r="BH4952" i="1"/>
  <c r="BH4953" i="1"/>
  <c r="BH4954" i="1"/>
  <c r="BH4955" i="1"/>
  <c r="BH4956" i="1"/>
  <c r="BH4957" i="1"/>
  <c r="BH4958" i="1"/>
  <c r="BH4959" i="1"/>
  <c r="BH4960" i="1"/>
  <c r="BH4961" i="1"/>
  <c r="BH4962" i="1"/>
  <c r="BH4963" i="1"/>
  <c r="BH4964" i="1"/>
  <c r="BH4965" i="1"/>
  <c r="BH4966" i="1"/>
  <c r="BH4967" i="1"/>
  <c r="BH4968" i="1"/>
  <c r="BH4969" i="1"/>
  <c r="BH4970" i="1"/>
  <c r="BH4971" i="1"/>
  <c r="BH4972" i="1"/>
  <c r="BH4973" i="1"/>
  <c r="BH4974" i="1"/>
  <c r="BH4975" i="1"/>
  <c r="BH4976" i="1"/>
  <c r="BH4977" i="1"/>
  <c r="BH4978" i="1"/>
  <c r="BH4979" i="1"/>
  <c r="BH4980" i="1"/>
  <c r="BH4981" i="1"/>
  <c r="BH4982" i="1"/>
  <c r="BH4983" i="1"/>
  <c r="BH4984" i="1"/>
  <c r="BH4985" i="1"/>
  <c r="BH4986" i="1"/>
  <c r="BH4987" i="1"/>
  <c r="BH4988" i="1"/>
  <c r="BH4989" i="1"/>
  <c r="BH4990" i="1"/>
  <c r="BH4991" i="1"/>
  <c r="BH4992" i="1"/>
  <c r="BH4993" i="1"/>
  <c r="BH4994" i="1"/>
  <c r="BH4995" i="1"/>
  <c r="BH4996" i="1"/>
  <c r="BH4997" i="1"/>
  <c r="BH4998" i="1"/>
  <c r="BH4999" i="1"/>
  <c r="BH5000" i="1"/>
  <c r="BH5001" i="1"/>
  <c r="BH5002" i="1"/>
  <c r="BH5003" i="1"/>
  <c r="BH5004" i="1"/>
  <c r="BH5005" i="1"/>
  <c r="BH5006" i="1"/>
  <c r="BH5007" i="1"/>
  <c r="BH5008" i="1"/>
  <c r="BH5009" i="1"/>
  <c r="BH5010" i="1"/>
  <c r="BH5011" i="1"/>
  <c r="BH5012" i="1"/>
  <c r="BH5013" i="1"/>
  <c r="BH5014" i="1"/>
  <c r="BH5015" i="1"/>
  <c r="BH5016" i="1"/>
  <c r="BH5017" i="1"/>
  <c r="BH5018" i="1"/>
  <c r="BH5019" i="1"/>
  <c r="BH5020" i="1"/>
  <c r="BH5021" i="1"/>
  <c r="BH5022" i="1"/>
  <c r="BH5023" i="1"/>
  <c r="BH5024" i="1"/>
  <c r="BH5025" i="1"/>
  <c r="BH5026" i="1"/>
  <c r="BH5027" i="1"/>
  <c r="BH5028" i="1"/>
  <c r="BH5029" i="1"/>
  <c r="BH5030" i="1"/>
  <c r="BH5031" i="1"/>
  <c r="BH5032" i="1"/>
  <c r="BH5033" i="1"/>
  <c r="BH5034" i="1"/>
  <c r="BH5035" i="1"/>
  <c r="BH5036" i="1"/>
  <c r="BH5037" i="1"/>
  <c r="BH5038" i="1"/>
  <c r="BH5039" i="1"/>
  <c r="BH5040" i="1"/>
  <c r="BH5041" i="1"/>
  <c r="BH5042" i="1"/>
  <c r="BH5043" i="1"/>
  <c r="BH5044" i="1"/>
  <c r="BH5045" i="1"/>
  <c r="BH5046" i="1"/>
  <c r="BH5047" i="1"/>
  <c r="BH5048" i="1"/>
  <c r="BH5049" i="1"/>
  <c r="BH5050" i="1"/>
  <c r="BH5051" i="1"/>
  <c r="BH5052" i="1"/>
  <c r="BH5053" i="1"/>
  <c r="BH5054" i="1"/>
  <c r="BH5055" i="1"/>
  <c r="BH5056" i="1"/>
  <c r="BH5057" i="1"/>
  <c r="BH5058" i="1"/>
  <c r="BH5059" i="1"/>
  <c r="BH5060" i="1"/>
  <c r="BH5061" i="1"/>
  <c r="BH5062" i="1"/>
  <c r="BH5063" i="1"/>
  <c r="BH5064" i="1"/>
  <c r="BH5065" i="1"/>
  <c r="BH5066" i="1"/>
  <c r="BH5067" i="1"/>
  <c r="BH5068" i="1"/>
  <c r="BH5069" i="1"/>
  <c r="BH5070" i="1"/>
  <c r="BH5071" i="1"/>
  <c r="BH5072" i="1"/>
  <c r="BH5073" i="1"/>
  <c r="BH5074" i="1"/>
  <c r="BH5075" i="1"/>
  <c r="BH5076" i="1"/>
  <c r="BH5077" i="1"/>
  <c r="BH5078" i="1"/>
  <c r="BH5079" i="1"/>
  <c r="BH5080" i="1"/>
  <c r="BH5081" i="1"/>
  <c r="BH5082" i="1"/>
  <c r="BH5083" i="1"/>
  <c r="BH5084" i="1"/>
  <c r="BH5085" i="1"/>
  <c r="BH5086" i="1"/>
  <c r="BH5087" i="1"/>
  <c r="BH5088" i="1"/>
  <c r="BH5089" i="1"/>
  <c r="BH5090" i="1"/>
  <c r="BH5091" i="1"/>
  <c r="BH5092" i="1"/>
  <c r="BH5093" i="1"/>
  <c r="BH5094" i="1"/>
  <c r="BH5095" i="1"/>
  <c r="BH5096" i="1"/>
  <c r="BH5097" i="1"/>
  <c r="BH5098" i="1"/>
  <c r="BH5099" i="1"/>
  <c r="BH5100" i="1"/>
  <c r="BH5101" i="1"/>
  <c r="BH5102" i="1"/>
  <c r="BH5103" i="1"/>
  <c r="BH5104" i="1"/>
  <c r="BH5105" i="1"/>
  <c r="BH5106" i="1"/>
  <c r="BH5107" i="1"/>
  <c r="BH5108" i="1"/>
  <c r="BH5109" i="1"/>
  <c r="BH5110" i="1"/>
  <c r="BH5111" i="1"/>
  <c r="BH5112" i="1"/>
  <c r="BH5113" i="1"/>
  <c r="BH5114" i="1"/>
  <c r="BH5115" i="1"/>
  <c r="BH5116" i="1"/>
  <c r="BH5117" i="1"/>
  <c r="BH5118" i="1"/>
  <c r="BH5119" i="1"/>
  <c r="BH5120" i="1"/>
  <c r="BH5121" i="1"/>
  <c r="BH5122" i="1"/>
  <c r="BH5123" i="1"/>
  <c r="BH5124" i="1"/>
  <c r="BH5125" i="1"/>
  <c r="BH5126" i="1"/>
  <c r="BH5127" i="1"/>
  <c r="BH5128" i="1"/>
  <c r="BH5129" i="1"/>
  <c r="BH5130" i="1"/>
  <c r="BH5131" i="1"/>
  <c r="BH5132" i="1"/>
  <c r="BH5133" i="1"/>
  <c r="BH5134" i="1"/>
  <c r="BH5135" i="1"/>
  <c r="BH5136" i="1"/>
  <c r="BH5137" i="1"/>
  <c r="BH5138" i="1"/>
  <c r="BH5139" i="1"/>
  <c r="BH5140" i="1"/>
  <c r="BH5141" i="1"/>
  <c r="BH5142" i="1"/>
  <c r="BH5143" i="1"/>
  <c r="BH5144" i="1"/>
  <c r="BH5145" i="1"/>
  <c r="BH5146" i="1"/>
  <c r="BH5147" i="1"/>
  <c r="BH5148" i="1"/>
  <c r="BH5149" i="1"/>
  <c r="BH5150" i="1"/>
  <c r="BH5151" i="1"/>
  <c r="BH5152" i="1"/>
  <c r="BH5153" i="1"/>
  <c r="BH5154" i="1"/>
  <c r="BH5155" i="1"/>
  <c r="BH5156" i="1"/>
  <c r="BH5157" i="1"/>
  <c r="BH5158" i="1"/>
  <c r="BH5159" i="1"/>
  <c r="BH5160" i="1"/>
  <c r="BH5161" i="1"/>
  <c r="BH5162" i="1"/>
  <c r="BH5163" i="1"/>
  <c r="BH5164" i="1"/>
  <c r="BH5165" i="1"/>
  <c r="BH5166" i="1"/>
  <c r="BH5167" i="1"/>
  <c r="BH5168" i="1"/>
  <c r="BH5169" i="1"/>
  <c r="BH5170" i="1"/>
  <c r="BH5171" i="1"/>
  <c r="BH5172" i="1"/>
  <c r="BH5173" i="1"/>
  <c r="BH5174" i="1"/>
  <c r="BH5175" i="1"/>
  <c r="BH5176" i="1"/>
  <c r="BH5177" i="1"/>
  <c r="BH5178" i="1"/>
  <c r="BH5179" i="1"/>
  <c r="BH5180" i="1"/>
  <c r="BH5181" i="1"/>
  <c r="BH5182" i="1"/>
  <c r="BH5183" i="1"/>
  <c r="BH5184" i="1"/>
  <c r="BH5185" i="1"/>
  <c r="BH5186" i="1"/>
  <c r="BH5187" i="1"/>
  <c r="BH5188" i="1"/>
  <c r="BH5189" i="1"/>
  <c r="BH5190" i="1"/>
  <c r="BH5191" i="1"/>
  <c r="BH5192" i="1"/>
  <c r="BH5193" i="1"/>
  <c r="BH5194" i="1"/>
  <c r="BH5195" i="1"/>
  <c r="BH5196" i="1"/>
  <c r="BH5197" i="1"/>
  <c r="BH5198" i="1"/>
  <c r="BH5199" i="1"/>
  <c r="BH5200" i="1"/>
  <c r="BH5201" i="1"/>
  <c r="BH5202" i="1"/>
  <c r="BH5203" i="1"/>
  <c r="BH5204" i="1"/>
  <c r="BH5205" i="1"/>
  <c r="BH5206" i="1"/>
  <c r="BH5207" i="1"/>
  <c r="BH5208" i="1"/>
  <c r="BH5209" i="1"/>
  <c r="BH5210" i="1"/>
  <c r="BH5211" i="1"/>
  <c r="BH5212" i="1"/>
  <c r="BH5213" i="1"/>
  <c r="BH5214" i="1"/>
  <c r="BH5215" i="1"/>
  <c r="BH5216" i="1"/>
  <c r="BH5217" i="1"/>
  <c r="BH5218" i="1"/>
  <c r="BH5219" i="1"/>
  <c r="BH5220" i="1"/>
  <c r="BH5221" i="1"/>
  <c r="BH5222" i="1"/>
  <c r="BH5223" i="1"/>
  <c r="BH5224" i="1"/>
  <c r="BH5225" i="1"/>
  <c r="BH5226" i="1"/>
  <c r="BH5227" i="1"/>
  <c r="BH5228" i="1"/>
  <c r="BH5229" i="1"/>
  <c r="BH5230" i="1"/>
  <c r="BH5231" i="1"/>
  <c r="BH5232" i="1"/>
  <c r="BH5233" i="1"/>
  <c r="BH5234" i="1"/>
  <c r="BH5235" i="1"/>
  <c r="BH5236" i="1"/>
  <c r="BH5237" i="1"/>
  <c r="BH5238" i="1"/>
  <c r="BH5239" i="1"/>
  <c r="BH5240" i="1"/>
  <c r="BH5241" i="1"/>
  <c r="BH5242" i="1"/>
  <c r="BH5243" i="1"/>
  <c r="BH5244" i="1"/>
  <c r="BH5245" i="1"/>
  <c r="BH5246" i="1"/>
  <c r="BH5247" i="1"/>
  <c r="BH5248" i="1"/>
  <c r="BH5249" i="1"/>
  <c r="BH5250" i="1"/>
  <c r="BH5251" i="1"/>
  <c r="BH5252" i="1"/>
  <c r="BH5253" i="1"/>
  <c r="BH5254" i="1"/>
  <c r="BH5255" i="1"/>
  <c r="BH5256" i="1"/>
  <c r="BH5257" i="1"/>
  <c r="BH5258" i="1"/>
  <c r="BH5259" i="1"/>
  <c r="BH5260" i="1"/>
  <c r="BH5261" i="1"/>
  <c r="BH5262" i="1"/>
  <c r="BH5263" i="1"/>
  <c r="BH5264" i="1"/>
  <c r="BH5265" i="1"/>
  <c r="BH5266" i="1"/>
  <c r="BH5267" i="1"/>
  <c r="BH5268" i="1"/>
  <c r="BH5269" i="1"/>
  <c r="BH5270" i="1"/>
  <c r="BH5271" i="1"/>
  <c r="BH5272" i="1"/>
  <c r="BH5273" i="1"/>
  <c r="BH5274" i="1"/>
  <c r="BH5275" i="1"/>
  <c r="BH5276" i="1"/>
  <c r="BH5277" i="1"/>
  <c r="BH5278" i="1"/>
  <c r="BH5279" i="1"/>
  <c r="BH5280" i="1"/>
  <c r="BH5281" i="1"/>
  <c r="BH5282" i="1"/>
  <c r="BH5283" i="1"/>
  <c r="BH5284" i="1"/>
  <c r="BH5285" i="1"/>
  <c r="BH5286" i="1"/>
  <c r="BH5287" i="1"/>
  <c r="BH5288" i="1"/>
  <c r="BH5289" i="1"/>
  <c r="BH5290" i="1"/>
  <c r="BH5291" i="1"/>
  <c r="BH5292" i="1"/>
  <c r="BH5293" i="1"/>
  <c r="BH5294" i="1"/>
  <c r="BH5295" i="1"/>
  <c r="BH5296" i="1"/>
  <c r="BH5297" i="1"/>
  <c r="BH5298" i="1"/>
  <c r="BH5299" i="1"/>
  <c r="BH5300" i="1"/>
  <c r="BH5301" i="1"/>
  <c r="BH5302" i="1"/>
  <c r="BH5303" i="1"/>
  <c r="BH5304" i="1"/>
  <c r="BH5305" i="1"/>
  <c r="BH5306" i="1"/>
  <c r="BH5307" i="1"/>
  <c r="BH5308" i="1"/>
  <c r="BH5309" i="1"/>
  <c r="BH5310" i="1"/>
  <c r="BH5311" i="1"/>
  <c r="BH5312" i="1"/>
  <c r="BH5313" i="1"/>
  <c r="BH5314" i="1"/>
  <c r="BH5315" i="1"/>
  <c r="BH5316" i="1"/>
  <c r="BH5317" i="1"/>
  <c r="BH5318" i="1"/>
  <c r="BH5319" i="1"/>
  <c r="BH5320" i="1"/>
  <c r="BH5321" i="1"/>
  <c r="BH5322" i="1"/>
  <c r="BH5323" i="1"/>
  <c r="BH5324" i="1"/>
  <c r="BH5325" i="1"/>
  <c r="BH5326" i="1"/>
  <c r="BH5327" i="1"/>
  <c r="BH5328" i="1"/>
  <c r="BH5329" i="1"/>
  <c r="BH5330" i="1"/>
  <c r="BH5331" i="1"/>
  <c r="BH5332" i="1"/>
  <c r="BH5333" i="1"/>
  <c r="BH5334" i="1"/>
  <c r="BH5335" i="1"/>
  <c r="BH5336" i="1"/>
  <c r="BH5337" i="1"/>
  <c r="BH5338" i="1"/>
  <c r="BH5339" i="1"/>
  <c r="BH5340" i="1"/>
  <c r="BH5341" i="1"/>
  <c r="BH5342" i="1"/>
  <c r="BH5343" i="1"/>
  <c r="BH5344" i="1"/>
  <c r="BH5345" i="1"/>
  <c r="BH5346" i="1"/>
  <c r="BH5347" i="1"/>
  <c r="BH5348" i="1"/>
  <c r="BH5349" i="1"/>
  <c r="BH5350" i="1"/>
  <c r="BH5351" i="1"/>
  <c r="BH5352" i="1"/>
  <c r="BH5353" i="1"/>
  <c r="BH5354" i="1"/>
  <c r="BH5355" i="1"/>
  <c r="BH5356" i="1"/>
  <c r="BH5357" i="1"/>
  <c r="BH5358" i="1"/>
  <c r="BH5359" i="1"/>
  <c r="BH5360" i="1"/>
  <c r="BH5361" i="1"/>
  <c r="BH5362" i="1"/>
  <c r="BH5363" i="1"/>
  <c r="BH5364" i="1"/>
  <c r="BH5365" i="1"/>
  <c r="BH5366" i="1"/>
  <c r="BH5367" i="1"/>
  <c r="BH5368" i="1"/>
  <c r="BH5369" i="1"/>
  <c r="BH5370" i="1"/>
  <c r="BH5371" i="1"/>
  <c r="BH5372" i="1"/>
  <c r="BH5373" i="1"/>
  <c r="BH5374" i="1"/>
  <c r="BH5375" i="1"/>
  <c r="BH5376" i="1"/>
  <c r="BH5377" i="1"/>
  <c r="BH5378" i="1"/>
  <c r="BH5379" i="1"/>
  <c r="BH5380" i="1"/>
  <c r="BH5381" i="1"/>
  <c r="BH5382" i="1"/>
  <c r="BH5383" i="1"/>
  <c r="BH5384" i="1"/>
  <c r="BH5385" i="1"/>
  <c r="BH5386" i="1"/>
  <c r="BH5387" i="1"/>
  <c r="BH5388" i="1"/>
  <c r="BH5389" i="1"/>
  <c r="BH5390" i="1"/>
  <c r="BH5391" i="1"/>
  <c r="BH5392" i="1"/>
  <c r="BH5393" i="1"/>
  <c r="BH5394" i="1"/>
  <c r="BH5395" i="1"/>
  <c r="BH5396" i="1"/>
  <c r="BH5397" i="1"/>
  <c r="BH5398" i="1"/>
  <c r="BH5399" i="1"/>
  <c r="BH5400" i="1"/>
  <c r="BH5401" i="1"/>
  <c r="BH5402" i="1"/>
  <c r="BH5403" i="1"/>
  <c r="BH5404" i="1"/>
  <c r="BH5405" i="1"/>
  <c r="BH5406" i="1"/>
  <c r="BH5407" i="1"/>
  <c r="BH5408" i="1"/>
  <c r="BH5409" i="1"/>
  <c r="BH5410" i="1"/>
  <c r="BH5411" i="1"/>
  <c r="BH5412" i="1"/>
  <c r="BH5413" i="1"/>
  <c r="BH5414" i="1"/>
  <c r="BH5415" i="1"/>
  <c r="BH5416" i="1"/>
  <c r="BH5417" i="1"/>
  <c r="BH5418" i="1"/>
  <c r="BH5419" i="1"/>
  <c r="BH5420" i="1"/>
  <c r="BH5421" i="1"/>
  <c r="BH5422" i="1"/>
  <c r="BH5423" i="1"/>
  <c r="BH5424" i="1"/>
  <c r="BH5425" i="1"/>
  <c r="BH5426" i="1"/>
  <c r="BH5427" i="1"/>
  <c r="BH5428" i="1"/>
  <c r="BH5429" i="1"/>
  <c r="BH5430" i="1"/>
  <c r="BH5431" i="1"/>
  <c r="BH2" i="1"/>
  <c r="AW5431" i="1" l="1"/>
  <c r="AV5431" i="1"/>
  <c r="AW5430" i="1"/>
  <c r="AV5430" i="1"/>
  <c r="AU5430" i="1"/>
  <c r="AW5429" i="1"/>
  <c r="AV5429" i="1"/>
  <c r="AU5429" i="1"/>
  <c r="AW4" i="1"/>
  <c r="AV4" i="1"/>
  <c r="AW3" i="1"/>
  <c r="AV3" i="1"/>
  <c r="AW2" i="1"/>
  <c r="AV2" i="1"/>
  <c r="AW40" i="1"/>
  <c r="AV40" i="1"/>
  <c r="AU40" i="1"/>
  <c r="AW39" i="1"/>
  <c r="AV39" i="1"/>
  <c r="AU39" i="1"/>
  <c r="AW38" i="1"/>
  <c r="AV38" i="1"/>
  <c r="AU38" i="1"/>
  <c r="AW37" i="1"/>
  <c r="AV37" i="1"/>
  <c r="AU37" i="1"/>
  <c r="AW36" i="1"/>
  <c r="AV36" i="1"/>
  <c r="AU36" i="1"/>
  <c r="AW35" i="1"/>
  <c r="AV35" i="1"/>
  <c r="AU35" i="1"/>
  <c r="AW34" i="1"/>
  <c r="AV34" i="1"/>
  <c r="AU34" i="1"/>
  <c r="AW33" i="1"/>
  <c r="AV33" i="1"/>
  <c r="AU33" i="1"/>
  <c r="AW32" i="1"/>
  <c r="AV32" i="1"/>
  <c r="AU32" i="1"/>
  <c r="AW31" i="1"/>
  <c r="AV31" i="1"/>
  <c r="AU31" i="1"/>
  <c r="AW30" i="1"/>
  <c r="AV30" i="1"/>
  <c r="AU30" i="1"/>
  <c r="AW29" i="1"/>
  <c r="AV29" i="1"/>
  <c r="AU29" i="1"/>
  <c r="AW28" i="1"/>
  <c r="AV28" i="1"/>
  <c r="AU28" i="1"/>
  <c r="AW27" i="1"/>
  <c r="AV27" i="1"/>
  <c r="AU27" i="1"/>
  <c r="AW26" i="1"/>
  <c r="AV26" i="1"/>
  <c r="AU26" i="1"/>
  <c r="AW25" i="1"/>
  <c r="AV25" i="1"/>
  <c r="AU25" i="1"/>
  <c r="AW24" i="1"/>
  <c r="AV24" i="1"/>
  <c r="AU24" i="1"/>
  <c r="AW23" i="1"/>
  <c r="AV23" i="1"/>
  <c r="AU23" i="1"/>
  <c r="AW22" i="1"/>
  <c r="AV22" i="1"/>
  <c r="AU22" i="1"/>
  <c r="AW21" i="1"/>
  <c r="AV21" i="1"/>
  <c r="AU21" i="1"/>
  <c r="AW20" i="1"/>
  <c r="AV20" i="1"/>
  <c r="AU20" i="1"/>
  <c r="AW19" i="1"/>
  <c r="AV19" i="1"/>
  <c r="AU19" i="1"/>
  <c r="AW18" i="1"/>
  <c r="AV18" i="1"/>
  <c r="AU18" i="1"/>
  <c r="AW17" i="1"/>
  <c r="AV17" i="1"/>
  <c r="AU17" i="1"/>
  <c r="AW16" i="1"/>
  <c r="AV16" i="1"/>
  <c r="AU16" i="1"/>
  <c r="AW15" i="1"/>
  <c r="AV15" i="1"/>
  <c r="AU15" i="1"/>
  <c r="AW14" i="1"/>
  <c r="AV14" i="1"/>
  <c r="AU14" i="1"/>
  <c r="AW13" i="1"/>
  <c r="AV13" i="1"/>
  <c r="AU13" i="1"/>
  <c r="AW12" i="1"/>
  <c r="AV12" i="1"/>
  <c r="AU12" i="1"/>
  <c r="AW11" i="1"/>
  <c r="AV11" i="1"/>
  <c r="AU11" i="1"/>
  <c r="AW10" i="1"/>
  <c r="AV10" i="1"/>
  <c r="AU10" i="1"/>
  <c r="AW9" i="1"/>
  <c r="AV9" i="1"/>
  <c r="AU9" i="1"/>
  <c r="AW8" i="1"/>
  <c r="AV8" i="1"/>
  <c r="AW7" i="1"/>
  <c r="AV7" i="1"/>
  <c r="AW6" i="1"/>
  <c r="AV6" i="1"/>
  <c r="AW5" i="1"/>
  <c r="AV5" i="1"/>
  <c r="AW5428" i="1"/>
  <c r="AV5428" i="1"/>
  <c r="AW5427" i="1"/>
  <c r="AV5427" i="1"/>
  <c r="AW5426" i="1"/>
  <c r="AV5426" i="1"/>
  <c r="AW5425" i="1"/>
  <c r="AV5425" i="1"/>
  <c r="AW5424" i="1"/>
  <c r="AV5424" i="1"/>
  <c r="AW5423" i="1"/>
  <c r="AV5423" i="1"/>
  <c r="AW5422" i="1"/>
  <c r="AV5422" i="1"/>
  <c r="AU5422" i="1"/>
  <c r="AW5421" i="1"/>
  <c r="AV5421" i="1"/>
  <c r="AU5421" i="1"/>
  <c r="AW5420" i="1"/>
  <c r="AV5420" i="1"/>
  <c r="AU5420" i="1"/>
  <c r="AW5419" i="1"/>
  <c r="AV5419" i="1"/>
  <c r="AU5419" i="1"/>
  <c r="AW5418" i="1"/>
  <c r="AV5418" i="1"/>
  <c r="AU5418" i="1"/>
  <c r="AW5417" i="1"/>
  <c r="AV5417" i="1"/>
  <c r="AU5417" i="1"/>
  <c r="AW5416" i="1"/>
  <c r="AV5416" i="1"/>
  <c r="AU5416" i="1"/>
  <c r="AW5415" i="1"/>
  <c r="AV5415" i="1"/>
  <c r="AU5415" i="1"/>
  <c r="AW5414" i="1"/>
  <c r="AV5414" i="1"/>
  <c r="AU5414" i="1"/>
  <c r="AW5413" i="1"/>
  <c r="AV5413" i="1"/>
  <c r="AU5413" i="1"/>
  <c r="AW5412" i="1"/>
  <c r="AV5412" i="1"/>
  <c r="AU5412" i="1"/>
  <c r="AW5411" i="1"/>
  <c r="AV5411" i="1"/>
  <c r="AU5411" i="1"/>
  <c r="AW5410" i="1"/>
  <c r="AV5410" i="1"/>
  <c r="AU5410" i="1"/>
  <c r="AW5409" i="1"/>
  <c r="AV5409" i="1"/>
  <c r="AU5409" i="1"/>
  <c r="AW5408" i="1"/>
  <c r="AV5408" i="1"/>
  <c r="AU5408" i="1"/>
  <c r="AW5407" i="1"/>
  <c r="AV5407" i="1"/>
  <c r="AU5407" i="1"/>
  <c r="AW5406" i="1"/>
  <c r="AV5406" i="1"/>
  <c r="AU5406" i="1"/>
  <c r="AW5405" i="1"/>
  <c r="AV5405" i="1"/>
  <c r="AU5405" i="1"/>
  <c r="AW5404" i="1"/>
  <c r="AV5404" i="1"/>
  <c r="AU5404" i="1"/>
  <c r="AW5403" i="1"/>
  <c r="AV5403" i="1"/>
  <c r="AU5403" i="1"/>
  <c r="AW5402" i="1"/>
  <c r="AV5402" i="1"/>
  <c r="AU5402" i="1"/>
  <c r="AW5401" i="1"/>
  <c r="AV5401" i="1"/>
  <c r="AU5401" i="1"/>
  <c r="AW5400" i="1"/>
  <c r="AV5400" i="1"/>
  <c r="AU5400" i="1"/>
  <c r="AW5399" i="1"/>
  <c r="AV5399" i="1"/>
  <c r="AU5399" i="1"/>
  <c r="AW5398" i="1"/>
  <c r="AV5398" i="1"/>
  <c r="AU5398" i="1"/>
  <c r="AW5397" i="1"/>
  <c r="AV5397" i="1"/>
  <c r="AU5397" i="1"/>
  <c r="AW5396" i="1"/>
  <c r="AV5396" i="1"/>
  <c r="AU5396" i="1"/>
  <c r="AW5395" i="1"/>
  <c r="AV5395" i="1"/>
  <c r="AU5395" i="1"/>
  <c r="AW5394" i="1"/>
  <c r="AV5394" i="1"/>
  <c r="AU5394" i="1"/>
  <c r="AW5393" i="1"/>
  <c r="AV5393" i="1"/>
  <c r="AU5393" i="1"/>
  <c r="AW5392" i="1"/>
  <c r="AV5392" i="1"/>
  <c r="AW5391" i="1"/>
  <c r="AV5391" i="1"/>
  <c r="AW5390" i="1"/>
  <c r="AV5390" i="1"/>
  <c r="AW5389" i="1"/>
  <c r="AV5389" i="1"/>
  <c r="AW5388" i="1"/>
  <c r="AV5388" i="1"/>
  <c r="AW5387" i="1"/>
  <c r="AV5387" i="1"/>
  <c r="AW5386" i="1"/>
  <c r="AV5386" i="1"/>
  <c r="AW5385" i="1"/>
  <c r="AV5385" i="1"/>
  <c r="AW5384" i="1"/>
  <c r="AV5384" i="1"/>
  <c r="AW5383" i="1"/>
  <c r="AV5383" i="1"/>
  <c r="AW5382" i="1"/>
  <c r="AV5382" i="1"/>
  <c r="AW5381" i="1"/>
  <c r="AV5381" i="1"/>
  <c r="AW5380" i="1"/>
  <c r="AV5380" i="1"/>
  <c r="AW5379" i="1"/>
  <c r="AV5379" i="1"/>
  <c r="AW5378" i="1"/>
  <c r="AV5378" i="1"/>
  <c r="AW5377" i="1"/>
  <c r="AV5377" i="1"/>
  <c r="AW5376" i="1"/>
  <c r="AV5376" i="1"/>
  <c r="AW5375" i="1"/>
  <c r="AV5375" i="1"/>
  <c r="AW5374" i="1"/>
  <c r="AV5374" i="1"/>
  <c r="AW5373" i="1"/>
  <c r="AV5373" i="1"/>
  <c r="AW5372" i="1"/>
  <c r="AV5372" i="1"/>
  <c r="AW5371" i="1"/>
  <c r="AV5371" i="1"/>
  <c r="AU5371" i="1"/>
  <c r="AW5370" i="1"/>
  <c r="AV5370" i="1"/>
  <c r="AU5370" i="1"/>
  <c r="AW5369" i="1"/>
  <c r="AV5369" i="1"/>
  <c r="AU5369" i="1"/>
  <c r="AW5368" i="1"/>
  <c r="AV5368" i="1"/>
  <c r="AU5368" i="1"/>
  <c r="AW5367" i="1"/>
  <c r="AV5367" i="1"/>
  <c r="AU5367" i="1"/>
  <c r="AW5366" i="1"/>
  <c r="AV5366" i="1"/>
  <c r="AU5366" i="1"/>
  <c r="AW5365" i="1"/>
  <c r="AV5365" i="1"/>
  <c r="AW5364" i="1"/>
  <c r="AV5364" i="1"/>
  <c r="AW5363" i="1"/>
  <c r="AV5363" i="1"/>
  <c r="AW5362" i="1"/>
  <c r="AV5362" i="1"/>
  <c r="AW5361" i="1"/>
  <c r="AV5361" i="1"/>
  <c r="AW5360" i="1"/>
  <c r="AV5360" i="1"/>
  <c r="AW5359" i="1"/>
  <c r="AV5359" i="1"/>
  <c r="AW5358" i="1"/>
  <c r="AV5358" i="1"/>
  <c r="AW5357" i="1"/>
  <c r="AV5357" i="1"/>
  <c r="AW5356" i="1"/>
  <c r="AV5356" i="1"/>
  <c r="AW5355" i="1"/>
  <c r="AV5355" i="1"/>
  <c r="AW5354" i="1"/>
  <c r="AV5354" i="1"/>
  <c r="AW5353" i="1"/>
  <c r="AV5353" i="1"/>
  <c r="AW5352" i="1"/>
  <c r="AV5352" i="1"/>
  <c r="AW5351" i="1"/>
  <c r="AV5351" i="1"/>
  <c r="AW5350" i="1"/>
  <c r="AV5350" i="1"/>
  <c r="AW5349" i="1"/>
  <c r="AV5349" i="1"/>
  <c r="AW5348" i="1"/>
  <c r="AV5348" i="1"/>
  <c r="AU5348" i="1"/>
  <c r="AW5347" i="1"/>
  <c r="AV5347" i="1"/>
  <c r="AU5347" i="1"/>
  <c r="AW5346" i="1"/>
  <c r="AV5346" i="1"/>
  <c r="AW5345" i="1"/>
  <c r="AV5345" i="1"/>
  <c r="AW5344" i="1"/>
  <c r="AV5344" i="1"/>
  <c r="AU5344" i="1"/>
  <c r="AW5343" i="1"/>
  <c r="AV5343" i="1"/>
  <c r="AW5342" i="1"/>
  <c r="AV5342" i="1"/>
  <c r="AW5341" i="1"/>
  <c r="AV5341" i="1"/>
  <c r="AW5340" i="1"/>
  <c r="AV5340" i="1"/>
  <c r="AW5339" i="1"/>
  <c r="AV5339" i="1"/>
  <c r="AU5339" i="1"/>
  <c r="AW5338" i="1"/>
  <c r="AV5338" i="1"/>
  <c r="AU5338" i="1"/>
  <c r="AW5337" i="1"/>
  <c r="AV5337" i="1"/>
  <c r="AW5336" i="1"/>
  <c r="AV5336" i="1"/>
  <c r="AU5336" i="1"/>
  <c r="AW5335" i="1"/>
  <c r="AV5335" i="1"/>
  <c r="AW5334" i="1"/>
  <c r="AV5334" i="1"/>
  <c r="AW5333" i="1"/>
  <c r="AV5333" i="1"/>
  <c r="AW5332" i="1"/>
  <c r="AV5332" i="1"/>
  <c r="AW5331" i="1"/>
  <c r="AV5331" i="1"/>
  <c r="AW5330" i="1"/>
  <c r="AV5330" i="1"/>
  <c r="AW5329" i="1"/>
  <c r="AV5329" i="1"/>
  <c r="AW5328" i="1"/>
  <c r="AV5328" i="1"/>
  <c r="AW5327" i="1"/>
  <c r="AV5327" i="1"/>
  <c r="AU5327" i="1"/>
  <c r="AW5326" i="1"/>
  <c r="AV5326" i="1"/>
  <c r="AU5326" i="1"/>
  <c r="AW5325" i="1"/>
  <c r="AV5325" i="1"/>
  <c r="AW5324" i="1"/>
  <c r="AV5324" i="1"/>
  <c r="AW5323" i="1"/>
  <c r="AV5323" i="1"/>
  <c r="AU5323" i="1"/>
  <c r="AW5322" i="1"/>
  <c r="AV5322" i="1"/>
  <c r="AW5321" i="1"/>
  <c r="AV5321" i="1"/>
  <c r="AW5320" i="1"/>
  <c r="AV5320" i="1"/>
  <c r="AW5319" i="1"/>
  <c r="AV5319" i="1"/>
  <c r="AW5318" i="1"/>
  <c r="AV5318" i="1"/>
  <c r="AU5318" i="1"/>
  <c r="AW5317" i="1"/>
  <c r="AV5317" i="1"/>
  <c r="AW5316" i="1"/>
  <c r="AV5316" i="1"/>
  <c r="AW5315" i="1"/>
  <c r="AV5315" i="1"/>
  <c r="AW5314" i="1"/>
  <c r="AV5314" i="1"/>
  <c r="AW5313" i="1"/>
  <c r="AV5313" i="1"/>
  <c r="AW5312" i="1"/>
  <c r="AV5312" i="1"/>
  <c r="AW5311" i="1"/>
  <c r="AV5311" i="1"/>
  <c r="AW5310" i="1"/>
  <c r="AV5310" i="1"/>
  <c r="AW5309" i="1"/>
  <c r="AV5309" i="1"/>
  <c r="AW5308" i="1"/>
  <c r="AV5308" i="1"/>
  <c r="AW5307" i="1"/>
  <c r="AV5307" i="1"/>
  <c r="AW5306" i="1"/>
  <c r="AV5306" i="1"/>
  <c r="AW5305" i="1"/>
  <c r="AV5305" i="1"/>
  <c r="AW5304" i="1"/>
  <c r="AV5304" i="1"/>
  <c r="AW5303" i="1"/>
  <c r="AV5303" i="1"/>
  <c r="AW5302" i="1"/>
  <c r="AV5302" i="1"/>
  <c r="AW5301" i="1"/>
  <c r="AV5301" i="1"/>
  <c r="AW5300" i="1"/>
  <c r="AV5300" i="1"/>
  <c r="AW5299" i="1"/>
  <c r="AV5299" i="1"/>
  <c r="AW5298" i="1"/>
  <c r="AV5298" i="1"/>
  <c r="AW5297" i="1"/>
  <c r="AV5297" i="1"/>
  <c r="AW5296" i="1"/>
  <c r="AV5296" i="1"/>
  <c r="AU5296" i="1"/>
  <c r="AW5295" i="1"/>
  <c r="AV5295" i="1"/>
  <c r="AW5294" i="1"/>
  <c r="AV5294" i="1"/>
  <c r="AW5293" i="1"/>
  <c r="AV5293" i="1"/>
  <c r="AU5293" i="1"/>
  <c r="AW5292" i="1"/>
  <c r="AV5292" i="1"/>
  <c r="AW5291" i="1"/>
  <c r="AV5291" i="1"/>
  <c r="AW5290" i="1"/>
  <c r="AV5290" i="1"/>
  <c r="AU5290" i="1"/>
  <c r="AW5289" i="1"/>
  <c r="AV5289" i="1"/>
  <c r="AW5288" i="1"/>
  <c r="AV5288" i="1"/>
  <c r="AW5287" i="1"/>
  <c r="AV5287" i="1"/>
  <c r="AW5286" i="1"/>
  <c r="AV5286" i="1"/>
  <c r="AU5286" i="1"/>
  <c r="AW5285" i="1"/>
  <c r="AV5285" i="1"/>
  <c r="AW5284" i="1"/>
  <c r="AV5284" i="1"/>
  <c r="AW5283" i="1"/>
  <c r="AV5283" i="1"/>
  <c r="AW5282" i="1"/>
  <c r="AV5282" i="1"/>
  <c r="AW5281" i="1"/>
  <c r="AV5281" i="1"/>
  <c r="AW5280" i="1"/>
  <c r="AV5280" i="1"/>
  <c r="AW5279" i="1"/>
  <c r="AV5279" i="1"/>
  <c r="AU5279" i="1"/>
  <c r="AW5278" i="1"/>
  <c r="AV5278" i="1"/>
  <c r="AW5277" i="1"/>
  <c r="AV5277" i="1"/>
  <c r="AW5276" i="1"/>
  <c r="AV5276" i="1"/>
  <c r="AW5275" i="1"/>
  <c r="AV5275" i="1"/>
  <c r="AW5274" i="1"/>
  <c r="AV5274" i="1"/>
  <c r="AW5273" i="1"/>
  <c r="AV5273" i="1"/>
  <c r="AU5273" i="1"/>
  <c r="AW5272" i="1"/>
  <c r="AV5272" i="1"/>
  <c r="AW5271" i="1"/>
  <c r="AV5271" i="1"/>
  <c r="AW5270" i="1"/>
  <c r="AV5270" i="1"/>
  <c r="AU5270" i="1"/>
  <c r="AW5269" i="1"/>
  <c r="AV5269" i="1"/>
  <c r="AW5268" i="1"/>
  <c r="AV5268" i="1"/>
  <c r="AW5267" i="1"/>
  <c r="AV5267" i="1"/>
  <c r="AW5266" i="1"/>
  <c r="AV5266" i="1"/>
  <c r="AW5265" i="1"/>
  <c r="AV5265" i="1"/>
  <c r="AW5264" i="1"/>
  <c r="AV5264" i="1"/>
  <c r="AW5263" i="1"/>
  <c r="AV5263" i="1"/>
  <c r="AW5262" i="1"/>
  <c r="AV5262" i="1"/>
  <c r="AW5261" i="1"/>
  <c r="AV5261" i="1"/>
  <c r="AW5260" i="1"/>
  <c r="AV5260" i="1"/>
  <c r="AU5260" i="1"/>
  <c r="AW5259" i="1"/>
  <c r="AV5259" i="1"/>
  <c r="AU5259" i="1"/>
  <c r="AW5258" i="1"/>
  <c r="AV5258" i="1"/>
  <c r="AW5257" i="1"/>
  <c r="AV5257" i="1"/>
  <c r="AW5256" i="1"/>
  <c r="AV5256" i="1"/>
  <c r="AW5255" i="1"/>
  <c r="AV5255" i="1"/>
  <c r="AW5254" i="1"/>
  <c r="AV5254" i="1"/>
  <c r="AW5253" i="1"/>
  <c r="AV5253" i="1"/>
  <c r="AW5252" i="1"/>
  <c r="AV5252" i="1"/>
  <c r="AW5251" i="1"/>
  <c r="AV5251" i="1"/>
  <c r="AU5251" i="1"/>
  <c r="AW5250" i="1"/>
  <c r="AV5250" i="1"/>
  <c r="AW5249" i="1"/>
  <c r="AV5249" i="1"/>
  <c r="AW5248" i="1"/>
  <c r="AV5248" i="1"/>
  <c r="AW5247" i="1"/>
  <c r="AV5247" i="1"/>
  <c r="AW5246" i="1"/>
  <c r="AV5246" i="1"/>
  <c r="AW5245" i="1"/>
  <c r="AV5245" i="1"/>
  <c r="AW5244" i="1"/>
  <c r="AV5244" i="1"/>
  <c r="AW5243" i="1"/>
  <c r="AV5243" i="1"/>
  <c r="AU5243" i="1"/>
  <c r="AW5242" i="1"/>
  <c r="AV5242" i="1"/>
  <c r="AU5242" i="1"/>
  <c r="AW5241" i="1"/>
  <c r="AV5241" i="1"/>
  <c r="AU5241" i="1"/>
  <c r="AW5240" i="1"/>
  <c r="AV5240" i="1"/>
  <c r="AU5240" i="1"/>
  <c r="AW5239" i="1"/>
  <c r="AV5239" i="1"/>
  <c r="AU5239" i="1"/>
  <c r="AW5238" i="1"/>
  <c r="AV5238" i="1"/>
  <c r="AU5238" i="1"/>
  <c r="AW5237" i="1"/>
  <c r="AV5237" i="1"/>
  <c r="AW5236" i="1"/>
  <c r="AV5236" i="1"/>
  <c r="AW5235" i="1"/>
  <c r="AV5235" i="1"/>
  <c r="AW5234" i="1"/>
  <c r="AV5234" i="1"/>
  <c r="AW5233" i="1"/>
  <c r="AV5233" i="1"/>
  <c r="AW5232" i="1"/>
  <c r="AV5232" i="1"/>
  <c r="AW5231" i="1"/>
  <c r="AV5231" i="1"/>
  <c r="AW5230" i="1"/>
  <c r="AV5230" i="1"/>
  <c r="AW5229" i="1"/>
  <c r="AV5229" i="1"/>
  <c r="AW5228" i="1"/>
  <c r="AV5228" i="1"/>
  <c r="AU5228" i="1"/>
  <c r="AW5227" i="1"/>
  <c r="AV5227" i="1"/>
  <c r="AW5226" i="1"/>
  <c r="AV5226" i="1"/>
  <c r="AW5225" i="1"/>
  <c r="AV5225" i="1"/>
  <c r="AW5224" i="1"/>
  <c r="AV5224" i="1"/>
  <c r="AW5223" i="1"/>
  <c r="AV5223" i="1"/>
  <c r="AW5222" i="1"/>
  <c r="AV5222" i="1"/>
  <c r="AW5221" i="1"/>
  <c r="AV5221" i="1"/>
  <c r="AW5220" i="1"/>
  <c r="AV5220" i="1"/>
  <c r="AW5219" i="1"/>
  <c r="AV5219" i="1"/>
  <c r="AW5218" i="1"/>
  <c r="AV5218" i="1"/>
  <c r="AW5217" i="1"/>
  <c r="AV5217" i="1"/>
  <c r="AW5216" i="1"/>
  <c r="AV5216" i="1"/>
  <c r="AW5215" i="1"/>
  <c r="AV5215" i="1"/>
  <c r="AW5214" i="1"/>
  <c r="AV5214" i="1"/>
  <c r="AW5213" i="1"/>
  <c r="AV5213" i="1"/>
  <c r="AW5212" i="1"/>
  <c r="AV5212" i="1"/>
  <c r="AW5211" i="1"/>
  <c r="AV5211" i="1"/>
  <c r="AW5210" i="1"/>
  <c r="AV5210" i="1"/>
  <c r="AW5209" i="1"/>
  <c r="AV5209" i="1"/>
  <c r="AW5208" i="1"/>
  <c r="AV5208" i="1"/>
  <c r="AW5207" i="1"/>
  <c r="AV5207" i="1"/>
  <c r="AW5206" i="1"/>
  <c r="AV5206" i="1"/>
  <c r="AW5205" i="1"/>
  <c r="AV5205" i="1"/>
  <c r="AW5204" i="1"/>
  <c r="AV5204" i="1"/>
  <c r="AW5203" i="1"/>
  <c r="AV5203" i="1"/>
  <c r="AW5202" i="1"/>
  <c r="AV5202" i="1"/>
  <c r="AW5201" i="1"/>
  <c r="AV5201" i="1"/>
  <c r="AW5200" i="1"/>
  <c r="AV5200" i="1"/>
  <c r="AU5200" i="1"/>
  <c r="AW5199" i="1"/>
  <c r="AV5199" i="1"/>
  <c r="AU5199" i="1"/>
  <c r="AW5198" i="1"/>
  <c r="AV5198" i="1"/>
  <c r="AU5198" i="1"/>
  <c r="AW5197" i="1"/>
  <c r="AV5197" i="1"/>
  <c r="AU5197" i="1"/>
  <c r="AW5196" i="1"/>
  <c r="AV5196" i="1"/>
  <c r="AU5196" i="1"/>
  <c r="AW5195" i="1"/>
  <c r="AV5195" i="1"/>
  <c r="AW5194" i="1"/>
  <c r="AV5194" i="1"/>
  <c r="AW5193" i="1"/>
  <c r="AV5193" i="1"/>
  <c r="AW5192" i="1"/>
  <c r="AV5192" i="1"/>
  <c r="AW5191" i="1"/>
  <c r="AV5191" i="1"/>
  <c r="AW5190" i="1"/>
  <c r="AV5190" i="1"/>
  <c r="AW5189" i="1"/>
  <c r="AV5189" i="1"/>
  <c r="AU5189" i="1"/>
  <c r="AW5188" i="1"/>
  <c r="AV5188" i="1"/>
  <c r="AW5187" i="1"/>
  <c r="AV5187" i="1"/>
  <c r="AW5186" i="1"/>
  <c r="AV5186" i="1"/>
  <c r="AW5185" i="1"/>
  <c r="AV5185" i="1"/>
  <c r="AW5184" i="1"/>
  <c r="AV5184" i="1"/>
  <c r="AW5183" i="1"/>
  <c r="AV5183" i="1"/>
  <c r="AW5182" i="1"/>
  <c r="AV5182" i="1"/>
  <c r="AW5181" i="1"/>
  <c r="AV5181" i="1"/>
  <c r="AW5180" i="1"/>
  <c r="AV5180" i="1"/>
  <c r="AW5179" i="1"/>
  <c r="AV5179" i="1"/>
  <c r="AW5178" i="1"/>
  <c r="AV5178" i="1"/>
  <c r="AU5178" i="1"/>
  <c r="AW5177" i="1"/>
  <c r="AV5177" i="1"/>
  <c r="AW5176" i="1"/>
  <c r="AV5176" i="1"/>
  <c r="AW5175" i="1"/>
  <c r="AV5175" i="1"/>
  <c r="AW5174" i="1"/>
  <c r="AV5174" i="1"/>
  <c r="AW5173" i="1"/>
  <c r="AV5173" i="1"/>
  <c r="AW5172" i="1"/>
  <c r="AV5172" i="1"/>
  <c r="AW5171" i="1"/>
  <c r="AV5171" i="1"/>
  <c r="AW5170" i="1"/>
  <c r="AV5170" i="1"/>
  <c r="AW5169" i="1"/>
  <c r="AV5169" i="1"/>
  <c r="AW5168" i="1"/>
  <c r="AV5168" i="1"/>
  <c r="AW5167" i="1"/>
  <c r="AV5167" i="1"/>
  <c r="AW5166" i="1"/>
  <c r="AV5166" i="1"/>
  <c r="AW5165" i="1"/>
  <c r="AV5165" i="1"/>
  <c r="AW5164" i="1"/>
  <c r="AV5164" i="1"/>
  <c r="AW5163" i="1"/>
  <c r="AV5163" i="1"/>
  <c r="AW5162" i="1"/>
  <c r="AV5162" i="1"/>
  <c r="AW5161" i="1"/>
  <c r="AV5161" i="1"/>
  <c r="AW5160" i="1"/>
  <c r="AV5160" i="1"/>
  <c r="AW5159" i="1"/>
  <c r="AV5159" i="1"/>
  <c r="AU5159" i="1"/>
  <c r="AW5158" i="1"/>
  <c r="AV5158" i="1"/>
  <c r="AW5157" i="1"/>
  <c r="AV5157" i="1"/>
  <c r="AW5156" i="1"/>
  <c r="AV5156" i="1"/>
  <c r="AW5155" i="1"/>
  <c r="AV5155" i="1"/>
  <c r="AW5154" i="1"/>
  <c r="AV5154" i="1"/>
  <c r="AW5153" i="1"/>
  <c r="AV5153" i="1"/>
  <c r="AW5152" i="1"/>
  <c r="AV5152" i="1"/>
  <c r="AU5152" i="1"/>
  <c r="AW5151" i="1"/>
  <c r="AV5151" i="1"/>
  <c r="AW5150" i="1"/>
  <c r="AV5150" i="1"/>
  <c r="AW5149" i="1"/>
  <c r="AV5149" i="1"/>
  <c r="AU5149" i="1"/>
  <c r="AW5148" i="1"/>
  <c r="AV5148" i="1"/>
  <c r="AW5147" i="1"/>
  <c r="AV5147" i="1"/>
  <c r="AW5146" i="1"/>
  <c r="AV5146" i="1"/>
  <c r="AW5145" i="1"/>
  <c r="AV5145" i="1"/>
  <c r="AW5144" i="1"/>
  <c r="AV5144" i="1"/>
  <c r="AW5143" i="1"/>
  <c r="AV5143" i="1"/>
  <c r="AU5143" i="1"/>
  <c r="AW5142" i="1"/>
  <c r="AV5142" i="1"/>
  <c r="AW5141" i="1"/>
  <c r="AV5141" i="1"/>
  <c r="AW5140" i="1"/>
  <c r="AV5140" i="1"/>
  <c r="AW5139" i="1"/>
  <c r="AV5139" i="1"/>
  <c r="AW5138" i="1"/>
  <c r="AV5138" i="1"/>
  <c r="AW5137" i="1"/>
  <c r="AV5137" i="1"/>
  <c r="AW5136" i="1"/>
  <c r="AV5136" i="1"/>
  <c r="AW5135" i="1"/>
  <c r="AV5135" i="1"/>
  <c r="AW5134" i="1"/>
  <c r="AV5134" i="1"/>
  <c r="AW5133" i="1"/>
  <c r="AV5133" i="1"/>
  <c r="AW5132" i="1"/>
  <c r="AV5132" i="1"/>
  <c r="AW5131" i="1"/>
  <c r="AV5131" i="1"/>
  <c r="AW5130" i="1"/>
  <c r="AV5130" i="1"/>
  <c r="AW5129" i="1"/>
  <c r="AV5129" i="1"/>
  <c r="AW5128" i="1"/>
  <c r="AV5128" i="1"/>
  <c r="AW5127" i="1"/>
  <c r="AV5127" i="1"/>
  <c r="AW5126" i="1"/>
  <c r="AV5126" i="1"/>
  <c r="AW5125" i="1"/>
  <c r="AV5125" i="1"/>
  <c r="AW5124" i="1"/>
  <c r="AV5124" i="1"/>
  <c r="AW5123" i="1"/>
  <c r="AV5123" i="1"/>
  <c r="AW5122" i="1"/>
  <c r="AV5122" i="1"/>
  <c r="AW5121" i="1"/>
  <c r="AV5121" i="1"/>
  <c r="AW5120" i="1"/>
  <c r="AV5120" i="1"/>
  <c r="AW5119" i="1"/>
  <c r="AV5119" i="1"/>
  <c r="AW5118" i="1"/>
  <c r="AV5118" i="1"/>
  <c r="AU5118" i="1"/>
  <c r="AW5117" i="1"/>
  <c r="AV5117" i="1"/>
  <c r="AW5116" i="1"/>
  <c r="AV5116" i="1"/>
  <c r="AW5115" i="1"/>
  <c r="AV5115" i="1"/>
  <c r="AW5114" i="1"/>
  <c r="AV5114" i="1"/>
  <c r="AU5114" i="1"/>
  <c r="AW5113" i="1"/>
  <c r="AV5113" i="1"/>
  <c r="AW5112" i="1"/>
  <c r="AV5112" i="1"/>
  <c r="AW5111" i="1"/>
  <c r="AV5111" i="1"/>
  <c r="AW5110" i="1"/>
  <c r="AV5110" i="1"/>
  <c r="AW5109" i="1"/>
  <c r="AV5109" i="1"/>
  <c r="AW5108" i="1"/>
  <c r="AV5108" i="1"/>
  <c r="AU5108" i="1"/>
  <c r="AW5107" i="1"/>
  <c r="AV5107" i="1"/>
  <c r="AU5107" i="1"/>
  <c r="AW5106" i="1"/>
  <c r="AV5106" i="1"/>
  <c r="AU5106" i="1"/>
  <c r="AW5105" i="1"/>
  <c r="AV5105" i="1"/>
  <c r="AW5104" i="1"/>
  <c r="AV5104" i="1"/>
  <c r="AW5103" i="1"/>
  <c r="AV5103" i="1"/>
  <c r="AW5102" i="1"/>
  <c r="AV5102" i="1"/>
  <c r="AW5101" i="1"/>
  <c r="AV5101" i="1"/>
  <c r="AW5100" i="1"/>
  <c r="AV5100" i="1"/>
  <c r="AW5099" i="1"/>
  <c r="AV5099" i="1"/>
  <c r="AW5098" i="1"/>
  <c r="AV5098" i="1"/>
  <c r="AW5097" i="1"/>
  <c r="AV5097" i="1"/>
  <c r="AW5096" i="1"/>
  <c r="AV5096" i="1"/>
  <c r="AW5095" i="1"/>
  <c r="AV5095" i="1"/>
  <c r="AU5095" i="1"/>
  <c r="AW5094" i="1"/>
  <c r="AV5094" i="1"/>
  <c r="AW5093" i="1"/>
  <c r="AV5093" i="1"/>
  <c r="AW5092" i="1"/>
  <c r="AV5092" i="1"/>
  <c r="AW5091" i="1"/>
  <c r="AV5091" i="1"/>
  <c r="AU5091" i="1"/>
  <c r="AW5090" i="1"/>
  <c r="AV5090" i="1"/>
  <c r="AW5089" i="1"/>
  <c r="AV5089" i="1"/>
  <c r="AW5088" i="1"/>
  <c r="AV5088" i="1"/>
  <c r="AW5087" i="1"/>
  <c r="AV5087" i="1"/>
  <c r="AW5086" i="1"/>
  <c r="AV5086" i="1"/>
  <c r="AU5086" i="1"/>
  <c r="AW5085" i="1"/>
  <c r="AV5085" i="1"/>
  <c r="AW5084" i="1"/>
  <c r="AV5084" i="1"/>
  <c r="AW5083" i="1"/>
  <c r="AV5083" i="1"/>
  <c r="AW5082" i="1"/>
  <c r="AV5082" i="1"/>
  <c r="AW5081" i="1"/>
  <c r="AV5081" i="1"/>
  <c r="AW5080" i="1"/>
  <c r="AV5080" i="1"/>
  <c r="AW5079" i="1"/>
  <c r="AV5079" i="1"/>
  <c r="AW5078" i="1"/>
  <c r="AV5078" i="1"/>
  <c r="AW5077" i="1"/>
  <c r="AV5077" i="1"/>
  <c r="AW5076" i="1"/>
  <c r="AV5076" i="1"/>
  <c r="AW5075" i="1"/>
  <c r="AV5075" i="1"/>
  <c r="AW5074" i="1"/>
  <c r="AV5074" i="1"/>
  <c r="AW5073" i="1"/>
  <c r="AV5073" i="1"/>
  <c r="AW5072" i="1"/>
  <c r="AV5072" i="1"/>
  <c r="AW5071" i="1"/>
  <c r="AV5071" i="1"/>
  <c r="AW5070" i="1"/>
  <c r="AV5070" i="1"/>
  <c r="AW5069" i="1"/>
  <c r="AV5069" i="1"/>
  <c r="AW5068" i="1"/>
  <c r="AV5068" i="1"/>
  <c r="AW5067" i="1"/>
  <c r="AV5067" i="1"/>
  <c r="AW5066" i="1"/>
  <c r="AV5066" i="1"/>
  <c r="AW5065" i="1"/>
  <c r="AV5065" i="1"/>
  <c r="AW5064" i="1"/>
  <c r="AV5064" i="1"/>
  <c r="AW5063" i="1"/>
  <c r="AV5063" i="1"/>
  <c r="AW5062" i="1"/>
  <c r="AV5062" i="1"/>
  <c r="AU5062" i="1"/>
  <c r="AW5061" i="1"/>
  <c r="AV5061" i="1"/>
  <c r="AW5060" i="1"/>
  <c r="AV5060" i="1"/>
  <c r="AW5059" i="1"/>
  <c r="AV5059" i="1"/>
  <c r="AW5058" i="1"/>
  <c r="AV5058" i="1"/>
  <c r="AW5057" i="1"/>
  <c r="AV5057" i="1"/>
  <c r="AW5056" i="1"/>
  <c r="AV5056" i="1"/>
  <c r="AW5055" i="1"/>
  <c r="AV5055" i="1"/>
  <c r="AW5054" i="1"/>
  <c r="AV5054" i="1"/>
  <c r="AW5053" i="1"/>
  <c r="AV5053" i="1"/>
  <c r="AW5052" i="1"/>
  <c r="AV5052" i="1"/>
  <c r="AU5052" i="1"/>
  <c r="AW5051" i="1"/>
  <c r="AV5051" i="1"/>
  <c r="AW5050" i="1"/>
  <c r="AV5050" i="1"/>
  <c r="AW5049" i="1"/>
  <c r="AV5049" i="1"/>
  <c r="AW5048" i="1"/>
  <c r="AV5048" i="1"/>
  <c r="AW5047" i="1"/>
  <c r="AV5047" i="1"/>
  <c r="AW5046" i="1"/>
  <c r="AV5046" i="1"/>
  <c r="AW5045" i="1"/>
  <c r="AV5045" i="1"/>
  <c r="AW5044" i="1"/>
  <c r="AV5044" i="1"/>
  <c r="AW5043" i="1"/>
  <c r="AV5043" i="1"/>
  <c r="AU5043" i="1"/>
  <c r="AW5042" i="1"/>
  <c r="AV5042" i="1"/>
  <c r="AW5041" i="1"/>
  <c r="AV5041" i="1"/>
  <c r="AW5040" i="1"/>
  <c r="AV5040" i="1"/>
  <c r="AW5039" i="1"/>
  <c r="AV5039" i="1"/>
  <c r="AW5038" i="1"/>
  <c r="AV5038" i="1"/>
  <c r="AU5038" i="1"/>
  <c r="AW5037" i="1"/>
  <c r="AV5037" i="1"/>
  <c r="AW5036" i="1"/>
  <c r="AV5036" i="1"/>
  <c r="AU5036" i="1"/>
  <c r="AW5035" i="1"/>
  <c r="AV5035" i="1"/>
  <c r="AW5034" i="1"/>
  <c r="AV5034" i="1"/>
  <c r="AW5033" i="1"/>
  <c r="AV5033" i="1"/>
  <c r="AU5033" i="1"/>
  <c r="AW5032" i="1"/>
  <c r="AV5032" i="1"/>
  <c r="AU5032" i="1"/>
  <c r="AW5031" i="1"/>
  <c r="AV5031" i="1"/>
  <c r="AW5030" i="1"/>
  <c r="AV5030" i="1"/>
  <c r="AW5029" i="1"/>
  <c r="AV5029" i="1"/>
  <c r="AU5029" i="1"/>
  <c r="AW5028" i="1"/>
  <c r="AV5028" i="1"/>
  <c r="AU5028" i="1"/>
  <c r="AW5027" i="1"/>
  <c r="AV5027" i="1"/>
  <c r="AU5027" i="1"/>
  <c r="AW5026" i="1"/>
  <c r="AV5026" i="1"/>
  <c r="AU5026" i="1"/>
  <c r="AW5025" i="1"/>
  <c r="AV5025" i="1"/>
  <c r="AU5025" i="1"/>
  <c r="AW5024" i="1"/>
  <c r="AV5024" i="1"/>
  <c r="AU5024" i="1"/>
  <c r="AW5023" i="1"/>
  <c r="AV5023" i="1"/>
  <c r="AU5023" i="1"/>
  <c r="AW5022" i="1"/>
  <c r="AV5022" i="1"/>
  <c r="AU5022" i="1"/>
  <c r="AW5021" i="1"/>
  <c r="AV5021" i="1"/>
  <c r="AW5020" i="1"/>
  <c r="AV5020" i="1"/>
  <c r="AW5019" i="1"/>
  <c r="AV5019" i="1"/>
  <c r="AU5019" i="1"/>
  <c r="AW5018" i="1"/>
  <c r="AV5018" i="1"/>
  <c r="AW5017" i="1"/>
  <c r="AV5017" i="1"/>
  <c r="AW5016" i="1"/>
  <c r="AV5016" i="1"/>
  <c r="AW5015" i="1"/>
  <c r="AV5015" i="1"/>
  <c r="AW5014" i="1"/>
  <c r="AV5014" i="1"/>
  <c r="AW5013" i="1"/>
  <c r="AV5013" i="1"/>
  <c r="AW5012" i="1"/>
  <c r="AV5012" i="1"/>
  <c r="AW5011" i="1"/>
  <c r="AV5011" i="1"/>
  <c r="AU5011" i="1"/>
  <c r="AW5010" i="1"/>
  <c r="AV5010" i="1"/>
  <c r="AU5010" i="1"/>
  <c r="AW5009" i="1"/>
  <c r="AV5009" i="1"/>
  <c r="AU5009" i="1"/>
  <c r="AW5008" i="1"/>
  <c r="AV5008" i="1"/>
  <c r="AW5007" i="1"/>
  <c r="AV5007" i="1"/>
  <c r="AU5007" i="1"/>
  <c r="AW5006" i="1"/>
  <c r="AV5006" i="1"/>
  <c r="AW5005" i="1"/>
  <c r="AV5005" i="1"/>
  <c r="AU5005" i="1"/>
  <c r="AW5004" i="1"/>
  <c r="AV5004" i="1"/>
  <c r="AU5004" i="1"/>
  <c r="AW5003" i="1"/>
  <c r="AV5003" i="1"/>
  <c r="AW5002" i="1"/>
  <c r="AV5002" i="1"/>
  <c r="AW5001" i="1"/>
  <c r="AV5001" i="1"/>
  <c r="AU5001" i="1"/>
  <c r="AW5000" i="1"/>
  <c r="AV5000" i="1"/>
  <c r="AW4999" i="1"/>
  <c r="AV4999" i="1"/>
  <c r="AW4998" i="1"/>
  <c r="AV4998" i="1"/>
  <c r="AW4997" i="1"/>
  <c r="AV4997" i="1"/>
  <c r="AW4996" i="1"/>
  <c r="AV4996" i="1"/>
  <c r="AW4995" i="1"/>
  <c r="AV4995" i="1"/>
  <c r="AW4994" i="1"/>
  <c r="AV4994" i="1"/>
  <c r="AW4993" i="1"/>
  <c r="AV4993" i="1"/>
  <c r="AW4992" i="1"/>
  <c r="AV4992" i="1"/>
  <c r="AW4991" i="1"/>
  <c r="AV4991" i="1"/>
  <c r="AU4991" i="1"/>
  <c r="AW4990" i="1"/>
  <c r="AV4990" i="1"/>
  <c r="AW4989" i="1"/>
  <c r="AV4989" i="1"/>
  <c r="AU4989" i="1"/>
  <c r="AW4988" i="1"/>
  <c r="AV4988" i="1"/>
  <c r="AW4987" i="1"/>
  <c r="AV4987" i="1"/>
  <c r="AW4986" i="1"/>
  <c r="AV4986" i="1"/>
  <c r="AW4985" i="1"/>
  <c r="AV4985" i="1"/>
  <c r="AW4984" i="1"/>
  <c r="AV4984" i="1"/>
  <c r="AW4983" i="1"/>
  <c r="AV4983" i="1"/>
  <c r="AW4982" i="1"/>
  <c r="AV4982" i="1"/>
  <c r="AW4981" i="1"/>
  <c r="AV4981" i="1"/>
  <c r="AU4981" i="1"/>
  <c r="AW4980" i="1"/>
  <c r="AV4980" i="1"/>
  <c r="AU4980" i="1"/>
  <c r="AW4979" i="1"/>
  <c r="AV4979" i="1"/>
  <c r="AW4978" i="1"/>
  <c r="AV4978" i="1"/>
  <c r="AW4977" i="1"/>
  <c r="AV4977" i="1"/>
  <c r="AW4976" i="1"/>
  <c r="AV4976" i="1"/>
  <c r="AU4976" i="1"/>
  <c r="AW4975" i="1"/>
  <c r="AV4975" i="1"/>
  <c r="AW4974" i="1"/>
  <c r="AV4974" i="1"/>
  <c r="AU4974" i="1"/>
  <c r="AW4973" i="1"/>
  <c r="AV4973" i="1"/>
  <c r="AW4972" i="1"/>
  <c r="AV4972" i="1"/>
  <c r="AU4972" i="1"/>
  <c r="AW4971" i="1"/>
  <c r="AV4971" i="1"/>
  <c r="AU4971" i="1"/>
  <c r="AW4970" i="1"/>
  <c r="AV4970" i="1"/>
  <c r="AW4969" i="1"/>
  <c r="AV4969" i="1"/>
  <c r="AW4968" i="1"/>
  <c r="AV4968" i="1"/>
  <c r="AU4968" i="1"/>
  <c r="AW4967" i="1"/>
  <c r="AV4967" i="1"/>
  <c r="AW4966" i="1"/>
  <c r="AV4966" i="1"/>
  <c r="AU4966" i="1"/>
  <c r="AW4965" i="1"/>
  <c r="AV4965" i="1"/>
  <c r="AW4964" i="1"/>
  <c r="AV4964" i="1"/>
  <c r="AU4964" i="1"/>
  <c r="AW4963" i="1"/>
  <c r="AV4963" i="1"/>
  <c r="AW4962" i="1"/>
  <c r="AV4962" i="1"/>
  <c r="AW4961" i="1"/>
  <c r="AV4961" i="1"/>
  <c r="AU4961" i="1"/>
  <c r="AW4960" i="1"/>
  <c r="AV4960" i="1"/>
  <c r="AU4960" i="1"/>
  <c r="AW4959" i="1"/>
  <c r="AV4959" i="1"/>
  <c r="AU4959" i="1"/>
  <c r="AW4958" i="1"/>
  <c r="AV4958" i="1"/>
  <c r="AU4958" i="1"/>
  <c r="AW4957" i="1"/>
  <c r="AV4957" i="1"/>
  <c r="AU4957" i="1"/>
  <c r="AW4956" i="1"/>
  <c r="AV4956" i="1"/>
  <c r="AW4955" i="1"/>
  <c r="AV4955" i="1"/>
  <c r="AW4954" i="1"/>
  <c r="AV4954" i="1"/>
  <c r="AW4953" i="1"/>
  <c r="AV4953" i="1"/>
  <c r="AW4952" i="1"/>
  <c r="AV4952" i="1"/>
  <c r="AW4951" i="1"/>
  <c r="AV4951" i="1"/>
  <c r="AW4950" i="1"/>
  <c r="AV4950" i="1"/>
  <c r="AW4949" i="1"/>
  <c r="AV4949" i="1"/>
  <c r="AW4948" i="1"/>
  <c r="AV4948" i="1"/>
  <c r="AU4948" i="1"/>
  <c r="AW4947" i="1"/>
  <c r="AV4947" i="1"/>
  <c r="AW4946" i="1"/>
  <c r="AV4946" i="1"/>
  <c r="AW4945" i="1"/>
  <c r="AV4945" i="1"/>
  <c r="AU4945" i="1"/>
  <c r="AW4944" i="1"/>
  <c r="AV4944" i="1"/>
  <c r="AU4944" i="1"/>
  <c r="AW4943" i="1"/>
  <c r="AV4943" i="1"/>
  <c r="AU4943" i="1"/>
  <c r="AW4942" i="1"/>
  <c r="AV4942" i="1"/>
  <c r="AU4942" i="1"/>
  <c r="AW4941" i="1"/>
  <c r="AV4941" i="1"/>
  <c r="AU4941" i="1"/>
  <c r="AW4940" i="1"/>
  <c r="AV4940" i="1"/>
  <c r="AW4939" i="1"/>
  <c r="AV4939" i="1"/>
  <c r="AU4939" i="1"/>
  <c r="AW4938" i="1"/>
  <c r="AV4938" i="1"/>
  <c r="AU4938" i="1"/>
  <c r="AW4937" i="1"/>
  <c r="AV4937" i="1"/>
  <c r="AU4937" i="1"/>
  <c r="AW4936" i="1"/>
  <c r="AV4936" i="1"/>
  <c r="AU4936" i="1"/>
  <c r="AW4935" i="1"/>
  <c r="AV4935" i="1"/>
  <c r="AW4934" i="1"/>
  <c r="AV4934" i="1"/>
  <c r="AW4933" i="1"/>
  <c r="AV4933" i="1"/>
  <c r="AU4933" i="1"/>
  <c r="AW4932" i="1"/>
  <c r="AV4932" i="1"/>
  <c r="AW4931" i="1"/>
  <c r="AV4931" i="1"/>
  <c r="AU4931" i="1"/>
  <c r="AW4930" i="1"/>
  <c r="AV4930" i="1"/>
  <c r="AW4929" i="1"/>
  <c r="AV4929" i="1"/>
  <c r="AW4928" i="1"/>
  <c r="AV4928" i="1"/>
  <c r="AW4927" i="1"/>
  <c r="AV4927" i="1"/>
  <c r="AW4926" i="1"/>
  <c r="AV4926" i="1"/>
  <c r="AU4926" i="1"/>
  <c r="AW4925" i="1"/>
  <c r="AV4925" i="1"/>
  <c r="AW4924" i="1"/>
  <c r="AV4924" i="1"/>
  <c r="AW4923" i="1"/>
  <c r="AV4923" i="1"/>
  <c r="AW4922" i="1"/>
  <c r="AV4922" i="1"/>
  <c r="AW4921" i="1"/>
  <c r="AV4921" i="1"/>
  <c r="AW4920" i="1"/>
  <c r="AV4920" i="1"/>
  <c r="AW4919" i="1"/>
  <c r="AV4919" i="1"/>
  <c r="AW4918" i="1"/>
  <c r="AV4918" i="1"/>
  <c r="AW4917" i="1"/>
  <c r="AV4917" i="1"/>
  <c r="AW4916" i="1"/>
  <c r="AV4916" i="1"/>
  <c r="AW4915" i="1"/>
  <c r="AV4915" i="1"/>
  <c r="AU4915" i="1"/>
  <c r="AW4914" i="1"/>
  <c r="AV4914" i="1"/>
  <c r="AU4914" i="1"/>
  <c r="AW4913" i="1"/>
  <c r="AV4913" i="1"/>
  <c r="AW4912" i="1"/>
  <c r="AV4912" i="1"/>
  <c r="AW4911" i="1"/>
  <c r="AV4911" i="1"/>
  <c r="AW4910" i="1"/>
  <c r="AV4910" i="1"/>
  <c r="AW4909" i="1"/>
  <c r="AV4909" i="1"/>
  <c r="AU4909" i="1"/>
  <c r="AW4908" i="1"/>
  <c r="AV4908" i="1"/>
  <c r="AU4908" i="1"/>
  <c r="AW4907" i="1"/>
  <c r="AV4907" i="1"/>
  <c r="AW4906" i="1"/>
  <c r="AV4906" i="1"/>
  <c r="AU4906" i="1"/>
  <c r="AW4905" i="1"/>
  <c r="AV4905" i="1"/>
  <c r="AU4905" i="1"/>
  <c r="AW4904" i="1"/>
  <c r="AV4904" i="1"/>
  <c r="AW4903" i="1"/>
  <c r="AV4903" i="1"/>
  <c r="AU4903" i="1"/>
  <c r="AW4902" i="1"/>
  <c r="AV4902" i="1"/>
  <c r="AW4901" i="1"/>
  <c r="AV4901" i="1"/>
  <c r="AW4900" i="1"/>
  <c r="AV4900" i="1"/>
  <c r="AU4900" i="1"/>
  <c r="AW4899" i="1"/>
  <c r="AV4899" i="1"/>
  <c r="AW4898" i="1"/>
  <c r="AV4898" i="1"/>
  <c r="AW4897" i="1"/>
  <c r="AV4897" i="1"/>
  <c r="AU4897" i="1"/>
  <c r="AW4896" i="1"/>
  <c r="AV4896" i="1"/>
  <c r="AU4896" i="1"/>
  <c r="AW4895" i="1"/>
  <c r="AV4895" i="1"/>
  <c r="AU4895" i="1"/>
  <c r="AW4894" i="1"/>
  <c r="AV4894" i="1"/>
  <c r="AU4894" i="1"/>
  <c r="AW4893" i="1"/>
  <c r="AV4893" i="1"/>
  <c r="AW4892" i="1"/>
  <c r="AV4892" i="1"/>
  <c r="AW4891" i="1"/>
  <c r="AV4891" i="1"/>
  <c r="AU4891" i="1"/>
  <c r="AW4890" i="1"/>
  <c r="AV4890" i="1"/>
  <c r="AU4890" i="1"/>
  <c r="AW4889" i="1"/>
  <c r="AV4889" i="1"/>
  <c r="AU4889" i="1"/>
  <c r="AW4888" i="1"/>
  <c r="AV4888" i="1"/>
  <c r="AW4887" i="1"/>
  <c r="AV4887" i="1"/>
  <c r="AU4887" i="1"/>
  <c r="AW4886" i="1"/>
  <c r="AV4886" i="1"/>
  <c r="AU4886" i="1"/>
  <c r="AW4885" i="1"/>
  <c r="AV4885" i="1"/>
  <c r="AU4885" i="1"/>
  <c r="AW4884" i="1"/>
  <c r="AV4884" i="1"/>
  <c r="AW4883" i="1"/>
  <c r="AV4883" i="1"/>
  <c r="AU4883" i="1"/>
  <c r="AW4882" i="1"/>
  <c r="AV4882" i="1"/>
  <c r="AU4882" i="1"/>
  <c r="AW4881" i="1"/>
  <c r="AV4881" i="1"/>
  <c r="AU4881" i="1"/>
  <c r="AW4880" i="1"/>
  <c r="AV4880" i="1"/>
  <c r="AU4880" i="1"/>
  <c r="AW4879" i="1"/>
  <c r="AV4879" i="1"/>
  <c r="AW4878" i="1"/>
  <c r="AV4878" i="1"/>
  <c r="AW4877" i="1"/>
  <c r="AV4877" i="1"/>
  <c r="AW4876" i="1"/>
  <c r="AV4876" i="1"/>
  <c r="AW4875" i="1"/>
  <c r="AV4875" i="1"/>
  <c r="AU4875" i="1"/>
  <c r="AW4874" i="1"/>
  <c r="AV4874" i="1"/>
  <c r="AU4874" i="1"/>
  <c r="AW4873" i="1"/>
  <c r="AV4873" i="1"/>
  <c r="AW4872" i="1"/>
  <c r="AV4872" i="1"/>
  <c r="AW4871" i="1"/>
  <c r="AV4871" i="1"/>
  <c r="AU4871" i="1"/>
  <c r="AW4870" i="1"/>
  <c r="AV4870" i="1"/>
  <c r="AW4869" i="1"/>
  <c r="AV4869" i="1"/>
  <c r="AW4868" i="1"/>
  <c r="AV4868" i="1"/>
  <c r="AU4868" i="1"/>
  <c r="AW4867" i="1"/>
  <c r="AV4867" i="1"/>
  <c r="AW4866" i="1"/>
  <c r="AV4866" i="1"/>
  <c r="AU4866" i="1"/>
  <c r="AW4865" i="1"/>
  <c r="AV4865" i="1"/>
  <c r="AW4864" i="1"/>
  <c r="AV4864" i="1"/>
  <c r="AU4864" i="1"/>
  <c r="AW4863" i="1"/>
  <c r="AV4863" i="1"/>
  <c r="AU4863" i="1"/>
  <c r="AW4862" i="1"/>
  <c r="AV4862" i="1"/>
  <c r="AU4862" i="1"/>
  <c r="AW4861" i="1"/>
  <c r="AV4861" i="1"/>
  <c r="AU4861" i="1"/>
  <c r="AW4860" i="1"/>
  <c r="AV4860" i="1"/>
  <c r="AU4860" i="1"/>
  <c r="AW4859" i="1"/>
  <c r="AV4859" i="1"/>
  <c r="AW4858" i="1"/>
  <c r="AV4858" i="1"/>
  <c r="AW4857" i="1"/>
  <c r="AV4857" i="1"/>
  <c r="AW4856" i="1"/>
  <c r="AV4856" i="1"/>
  <c r="AU4856" i="1"/>
  <c r="AW4855" i="1"/>
  <c r="AV4855" i="1"/>
  <c r="AW4854" i="1"/>
  <c r="AV4854" i="1"/>
  <c r="AU4854" i="1"/>
  <c r="AW4853" i="1"/>
  <c r="AV4853" i="1"/>
  <c r="AU4853" i="1"/>
  <c r="AW4852" i="1"/>
  <c r="AV4852" i="1"/>
  <c r="AW4851" i="1"/>
  <c r="AV4851" i="1"/>
  <c r="AW4850" i="1"/>
  <c r="AV4850" i="1"/>
  <c r="AU4850" i="1"/>
  <c r="AW4849" i="1"/>
  <c r="AV4849" i="1"/>
  <c r="AU4849" i="1"/>
  <c r="AW4848" i="1"/>
  <c r="AV4848" i="1"/>
  <c r="AW4847" i="1"/>
  <c r="AV4847" i="1"/>
  <c r="AU4847" i="1"/>
  <c r="AW4846" i="1"/>
  <c r="AV4846" i="1"/>
  <c r="AU4846" i="1"/>
  <c r="AW4845" i="1"/>
  <c r="AV4845" i="1"/>
  <c r="AW4844" i="1"/>
  <c r="AV4844" i="1"/>
  <c r="AW4843" i="1"/>
  <c r="AV4843" i="1"/>
  <c r="AW4842" i="1"/>
  <c r="AV4842" i="1"/>
  <c r="AW4841" i="1"/>
  <c r="AV4841" i="1"/>
  <c r="AW4840" i="1"/>
  <c r="AV4840" i="1"/>
  <c r="AW4839" i="1"/>
  <c r="AV4839" i="1"/>
  <c r="AW4838" i="1"/>
  <c r="AV4838" i="1"/>
  <c r="AW4837" i="1"/>
  <c r="AV4837" i="1"/>
  <c r="AU4837" i="1"/>
  <c r="AW4836" i="1"/>
  <c r="AV4836" i="1"/>
  <c r="AW4835" i="1"/>
  <c r="AV4835" i="1"/>
  <c r="AU4835" i="1"/>
  <c r="AW4834" i="1"/>
  <c r="AV4834" i="1"/>
  <c r="AW4833" i="1"/>
  <c r="AV4833" i="1"/>
  <c r="AU4833" i="1"/>
  <c r="AW4832" i="1"/>
  <c r="AV4832" i="1"/>
  <c r="AW4831" i="1"/>
  <c r="AV4831" i="1"/>
  <c r="AU4831" i="1"/>
  <c r="AW4830" i="1"/>
  <c r="AV4830" i="1"/>
  <c r="AU4830" i="1"/>
  <c r="AW4829" i="1"/>
  <c r="AV4829" i="1"/>
  <c r="AW4828" i="1"/>
  <c r="AV4828" i="1"/>
  <c r="AW4827" i="1"/>
  <c r="AV4827" i="1"/>
  <c r="AU4827" i="1"/>
  <c r="AW4826" i="1"/>
  <c r="AV4826" i="1"/>
  <c r="AU4826" i="1"/>
  <c r="AW4825" i="1"/>
  <c r="AV4825" i="1"/>
  <c r="AW4824" i="1"/>
  <c r="AV4824" i="1"/>
  <c r="AU4824" i="1"/>
  <c r="AW4823" i="1"/>
  <c r="AV4823" i="1"/>
  <c r="AW4822" i="1"/>
  <c r="AV4822" i="1"/>
  <c r="AU4822" i="1"/>
  <c r="AW4821" i="1"/>
  <c r="AV4821" i="1"/>
  <c r="AU4821" i="1"/>
  <c r="AW4820" i="1"/>
  <c r="AV4820" i="1"/>
  <c r="AU4820" i="1"/>
  <c r="AW4819" i="1"/>
  <c r="AV4819" i="1"/>
  <c r="AU4819" i="1"/>
  <c r="AW4818" i="1"/>
  <c r="AV4818" i="1"/>
  <c r="AU4818" i="1"/>
  <c r="AW4817" i="1"/>
  <c r="AV4817" i="1"/>
  <c r="AU4817" i="1"/>
  <c r="AW4816" i="1"/>
  <c r="AV4816" i="1"/>
  <c r="AU4816" i="1"/>
  <c r="AW4815" i="1"/>
  <c r="AV4815" i="1"/>
  <c r="AW4814" i="1"/>
  <c r="AV4814" i="1"/>
  <c r="AU4814" i="1"/>
  <c r="AW4813" i="1"/>
  <c r="AV4813" i="1"/>
  <c r="AW4812" i="1"/>
  <c r="AV4812" i="1"/>
  <c r="AU4812" i="1"/>
  <c r="AW4811" i="1"/>
  <c r="AV4811" i="1"/>
  <c r="AU4811" i="1"/>
  <c r="AW4810" i="1"/>
  <c r="AV4810" i="1"/>
  <c r="AU4810" i="1"/>
  <c r="AW4809" i="1"/>
  <c r="AV4809" i="1"/>
  <c r="AU4809" i="1"/>
  <c r="AW4808" i="1"/>
  <c r="AV4808" i="1"/>
  <c r="AW4807" i="1"/>
  <c r="AV4807" i="1"/>
  <c r="AW4806" i="1"/>
  <c r="AV4806" i="1"/>
  <c r="AW4805" i="1"/>
  <c r="AV4805" i="1"/>
  <c r="AU4805" i="1"/>
  <c r="AW4804" i="1"/>
  <c r="AV4804" i="1"/>
  <c r="AW4803" i="1"/>
  <c r="AV4803" i="1"/>
  <c r="AU4803" i="1"/>
  <c r="AW4802" i="1"/>
  <c r="AV4802" i="1"/>
  <c r="AU4802" i="1"/>
  <c r="AW4801" i="1"/>
  <c r="AV4801" i="1"/>
  <c r="AU4801" i="1"/>
  <c r="AW4800" i="1"/>
  <c r="AV4800" i="1"/>
  <c r="AW4799" i="1"/>
  <c r="AV4799" i="1"/>
  <c r="AW4798" i="1"/>
  <c r="AV4798" i="1"/>
  <c r="AW4797" i="1"/>
  <c r="AV4797" i="1"/>
  <c r="AW4796" i="1"/>
  <c r="AV4796" i="1"/>
  <c r="AW4795" i="1"/>
  <c r="AV4795" i="1"/>
  <c r="AU4795" i="1"/>
  <c r="AW4794" i="1"/>
  <c r="AV4794" i="1"/>
  <c r="AU4794" i="1"/>
  <c r="AW4793" i="1"/>
  <c r="AV4793" i="1"/>
  <c r="AU4793" i="1"/>
  <c r="AW4792" i="1"/>
  <c r="AV4792" i="1"/>
  <c r="AU4792" i="1"/>
  <c r="AW4791" i="1"/>
  <c r="AV4791" i="1"/>
  <c r="AW4790" i="1"/>
  <c r="AV4790" i="1"/>
  <c r="AU4790" i="1"/>
  <c r="AW4789" i="1"/>
  <c r="AV4789" i="1"/>
  <c r="AU4789" i="1"/>
  <c r="AW4788" i="1"/>
  <c r="AV4788" i="1"/>
  <c r="AU4788" i="1"/>
  <c r="AW4787" i="1"/>
  <c r="AV4787" i="1"/>
  <c r="AW4786" i="1"/>
  <c r="AV4786" i="1"/>
  <c r="AU4786" i="1"/>
  <c r="AW4785" i="1"/>
  <c r="AV4785" i="1"/>
  <c r="AU4785" i="1"/>
  <c r="AW4784" i="1"/>
  <c r="AV4784" i="1"/>
  <c r="AU4784" i="1"/>
  <c r="AW4783" i="1"/>
  <c r="AV4783" i="1"/>
  <c r="AU4783" i="1"/>
  <c r="AW4782" i="1"/>
  <c r="AV4782" i="1"/>
  <c r="AU4782" i="1"/>
  <c r="AW4781" i="1"/>
  <c r="AV4781" i="1"/>
  <c r="AU4781" i="1"/>
  <c r="AW4780" i="1"/>
  <c r="AV4780" i="1"/>
  <c r="AW4779" i="1"/>
  <c r="AV4779" i="1"/>
  <c r="AU4779" i="1"/>
  <c r="AW4778" i="1"/>
  <c r="AV4778" i="1"/>
  <c r="AU4778" i="1"/>
  <c r="AW4777" i="1"/>
  <c r="AV4777" i="1"/>
  <c r="AW4776" i="1"/>
  <c r="AV4776" i="1"/>
  <c r="AU4776" i="1"/>
  <c r="AW4775" i="1"/>
  <c r="AV4775" i="1"/>
  <c r="AW4774" i="1"/>
  <c r="AV4774" i="1"/>
  <c r="AW4773" i="1"/>
  <c r="AV4773" i="1"/>
  <c r="AU4773" i="1"/>
  <c r="AW4772" i="1"/>
  <c r="AV4772" i="1"/>
  <c r="AU4772" i="1"/>
  <c r="AW4771" i="1"/>
  <c r="AV4771" i="1"/>
  <c r="AW4770" i="1"/>
  <c r="AV4770" i="1"/>
  <c r="AW4769" i="1"/>
  <c r="AV4769" i="1"/>
  <c r="AW4768" i="1"/>
  <c r="AV4768" i="1"/>
  <c r="AW4767" i="1"/>
  <c r="AV4767" i="1"/>
  <c r="AU4767" i="1"/>
  <c r="AW4766" i="1"/>
  <c r="AV4766" i="1"/>
  <c r="AW4765" i="1"/>
  <c r="AV4765" i="1"/>
  <c r="AW4764" i="1"/>
  <c r="AV4764" i="1"/>
  <c r="AU4764" i="1"/>
  <c r="AW4763" i="1"/>
  <c r="AV4763" i="1"/>
  <c r="AU4763" i="1"/>
  <c r="AW4762" i="1"/>
  <c r="AV4762" i="1"/>
  <c r="AW4761" i="1"/>
  <c r="AV4761" i="1"/>
  <c r="AW4760" i="1"/>
  <c r="AV4760" i="1"/>
  <c r="AW4759" i="1"/>
  <c r="AV4759" i="1"/>
  <c r="AU4759" i="1"/>
  <c r="AW4758" i="1"/>
  <c r="AV4758" i="1"/>
  <c r="AW4757" i="1"/>
  <c r="AV4757" i="1"/>
  <c r="AW4756" i="1"/>
  <c r="AV4756" i="1"/>
  <c r="AW4755" i="1"/>
  <c r="AV4755" i="1"/>
  <c r="AW4754" i="1"/>
  <c r="AV4754" i="1"/>
  <c r="AW4753" i="1"/>
  <c r="AV4753" i="1"/>
  <c r="AU4753" i="1"/>
  <c r="AW4752" i="1"/>
  <c r="AV4752" i="1"/>
  <c r="AW4751" i="1"/>
  <c r="AV4751" i="1"/>
  <c r="AW4750" i="1"/>
  <c r="AV4750" i="1"/>
  <c r="AU4750" i="1"/>
  <c r="AW4749" i="1"/>
  <c r="AV4749" i="1"/>
  <c r="AU4749" i="1"/>
  <c r="AW4748" i="1"/>
  <c r="AV4748" i="1"/>
  <c r="AU4748" i="1"/>
  <c r="AW4747" i="1"/>
  <c r="AV4747" i="1"/>
  <c r="AU4747" i="1"/>
  <c r="AW4746" i="1"/>
  <c r="AV4746" i="1"/>
  <c r="AU4746" i="1"/>
  <c r="AW4745" i="1"/>
  <c r="AV4745" i="1"/>
  <c r="AU4745" i="1"/>
  <c r="AW4744" i="1"/>
  <c r="AV4744" i="1"/>
  <c r="AU4744" i="1"/>
  <c r="AW4743" i="1"/>
  <c r="AV4743" i="1"/>
  <c r="AU4743" i="1"/>
  <c r="AW4742" i="1"/>
  <c r="AV4742" i="1"/>
  <c r="AU4742" i="1"/>
  <c r="AW4741" i="1"/>
  <c r="AV4741" i="1"/>
  <c r="AU4741" i="1"/>
  <c r="AW4740" i="1"/>
  <c r="AV4740" i="1"/>
  <c r="AU4740" i="1"/>
  <c r="AW4739" i="1"/>
  <c r="AV4739" i="1"/>
  <c r="AU4739" i="1"/>
  <c r="AW4738" i="1"/>
  <c r="AV4738" i="1"/>
  <c r="AU4738" i="1"/>
  <c r="AW4737" i="1"/>
  <c r="AV4737" i="1"/>
  <c r="AU4737" i="1"/>
  <c r="AW4736" i="1"/>
  <c r="AV4736" i="1"/>
  <c r="AW4735" i="1"/>
  <c r="AV4735" i="1"/>
  <c r="AW4734" i="1"/>
  <c r="AV4734" i="1"/>
  <c r="AW4733" i="1"/>
  <c r="AV4733" i="1"/>
  <c r="AU4733" i="1"/>
  <c r="AW4732" i="1"/>
  <c r="AV4732" i="1"/>
  <c r="AW4731" i="1"/>
  <c r="AV4731" i="1"/>
  <c r="AW4730" i="1"/>
  <c r="AV4730" i="1"/>
  <c r="AW4729" i="1"/>
  <c r="AV4729" i="1"/>
  <c r="AW4728" i="1"/>
  <c r="AV4728" i="1"/>
  <c r="AW4727" i="1"/>
  <c r="AV4727" i="1"/>
  <c r="AW4726" i="1"/>
  <c r="AV4726" i="1"/>
  <c r="AW4725" i="1"/>
  <c r="AV4725" i="1"/>
  <c r="AU4725" i="1"/>
  <c r="AW4724" i="1"/>
  <c r="AV4724" i="1"/>
  <c r="AU4724" i="1"/>
  <c r="AW4723" i="1"/>
  <c r="AV4723" i="1"/>
  <c r="AW4722" i="1"/>
  <c r="AV4722" i="1"/>
  <c r="AU4722" i="1"/>
  <c r="AW4721" i="1"/>
  <c r="AV4721" i="1"/>
  <c r="AU4721" i="1"/>
  <c r="AW4720" i="1"/>
  <c r="AV4720" i="1"/>
  <c r="AW4719" i="1"/>
  <c r="AV4719" i="1"/>
  <c r="AW4718" i="1"/>
  <c r="AV4718" i="1"/>
  <c r="AU4718" i="1"/>
  <c r="AW4717" i="1"/>
  <c r="AV4717" i="1"/>
  <c r="AW4716" i="1"/>
  <c r="AV4716" i="1"/>
  <c r="AW4715" i="1"/>
  <c r="AV4715" i="1"/>
  <c r="AU4715" i="1"/>
  <c r="AW4714" i="1"/>
  <c r="AV4714" i="1"/>
  <c r="AW4713" i="1"/>
  <c r="AV4713" i="1"/>
  <c r="AW4712" i="1"/>
  <c r="AV4712" i="1"/>
  <c r="AW4711" i="1"/>
  <c r="AV4711" i="1"/>
  <c r="AW4710" i="1"/>
  <c r="AV4710" i="1"/>
  <c r="AU4710" i="1"/>
  <c r="AW4709" i="1"/>
  <c r="AV4709" i="1"/>
  <c r="AW4708" i="1"/>
  <c r="AV4708" i="1"/>
  <c r="AW4707" i="1"/>
  <c r="AV4707" i="1"/>
  <c r="AW4706" i="1"/>
  <c r="AV4706" i="1"/>
  <c r="AW4705" i="1"/>
  <c r="AV4705" i="1"/>
  <c r="AU4705" i="1"/>
  <c r="AW4704" i="1"/>
  <c r="AV4704" i="1"/>
  <c r="AU4704" i="1"/>
  <c r="AW4703" i="1"/>
  <c r="AV4703" i="1"/>
  <c r="AW4702" i="1"/>
  <c r="AV4702" i="1"/>
  <c r="AW4701" i="1"/>
  <c r="AV4701" i="1"/>
  <c r="AU4701" i="1"/>
  <c r="AW4700" i="1"/>
  <c r="AV4700" i="1"/>
  <c r="AU4700" i="1"/>
  <c r="AW4699" i="1"/>
  <c r="AV4699" i="1"/>
  <c r="AU4699" i="1"/>
  <c r="AW4698" i="1"/>
  <c r="AV4698" i="1"/>
  <c r="AU4698" i="1"/>
  <c r="AW4697" i="1"/>
  <c r="AV4697" i="1"/>
  <c r="AU4697" i="1"/>
  <c r="AW4696" i="1"/>
  <c r="AV4696" i="1"/>
  <c r="AW4695" i="1"/>
  <c r="AV4695" i="1"/>
  <c r="AW4694" i="1"/>
  <c r="AV4694" i="1"/>
  <c r="AW4693" i="1"/>
  <c r="AV4693" i="1"/>
  <c r="AU4693" i="1"/>
  <c r="AW4692" i="1"/>
  <c r="AV4692" i="1"/>
  <c r="AW4691" i="1"/>
  <c r="AV4691" i="1"/>
  <c r="AU4691" i="1"/>
  <c r="AW4690" i="1"/>
  <c r="AV4690" i="1"/>
  <c r="AU4690" i="1"/>
  <c r="AW4689" i="1"/>
  <c r="AV4689" i="1"/>
  <c r="AU4689" i="1"/>
  <c r="AW4688" i="1"/>
  <c r="AV4688" i="1"/>
  <c r="AU4688" i="1"/>
  <c r="AW4687" i="1"/>
  <c r="AV4687" i="1"/>
  <c r="AU4687" i="1"/>
  <c r="AW4686" i="1"/>
  <c r="AV4686" i="1"/>
  <c r="AU4686" i="1"/>
  <c r="AW4685" i="1"/>
  <c r="AV4685" i="1"/>
  <c r="AU4685" i="1"/>
  <c r="AW4684" i="1"/>
  <c r="AV4684" i="1"/>
  <c r="AW4683" i="1"/>
  <c r="AV4683" i="1"/>
  <c r="AW4682" i="1"/>
  <c r="AV4682" i="1"/>
  <c r="AU4682" i="1"/>
  <c r="AW4681" i="1"/>
  <c r="AV4681" i="1"/>
  <c r="AW4680" i="1"/>
  <c r="AV4680" i="1"/>
  <c r="AU4680" i="1"/>
  <c r="AW4679" i="1"/>
  <c r="AV4679" i="1"/>
  <c r="AU4679" i="1"/>
  <c r="AW4678" i="1"/>
  <c r="AV4678" i="1"/>
  <c r="AW4677" i="1"/>
  <c r="AV4677" i="1"/>
  <c r="AW4676" i="1"/>
  <c r="AV4676" i="1"/>
  <c r="AW4675" i="1"/>
  <c r="AV4675" i="1"/>
  <c r="AU4675" i="1"/>
  <c r="AW4674" i="1"/>
  <c r="AV4674" i="1"/>
  <c r="AU4674" i="1"/>
  <c r="AW4673" i="1"/>
  <c r="AV4673" i="1"/>
  <c r="AW4672" i="1"/>
  <c r="AV4672" i="1"/>
  <c r="AW4671" i="1"/>
  <c r="AV4671" i="1"/>
  <c r="AW4670" i="1"/>
  <c r="AV4670" i="1"/>
  <c r="AW4669" i="1"/>
  <c r="AV4669" i="1"/>
  <c r="AU4669" i="1"/>
  <c r="AW4668" i="1"/>
  <c r="AV4668" i="1"/>
  <c r="AU4668" i="1"/>
  <c r="AW4667" i="1"/>
  <c r="AV4667" i="1"/>
  <c r="AU4667" i="1"/>
  <c r="AW4666" i="1"/>
  <c r="AV4666" i="1"/>
  <c r="AW4665" i="1"/>
  <c r="AV4665" i="1"/>
  <c r="AW4664" i="1"/>
  <c r="AV4664" i="1"/>
  <c r="AW4663" i="1"/>
  <c r="AV4663" i="1"/>
  <c r="AU4663" i="1"/>
  <c r="AW4662" i="1"/>
  <c r="AV4662" i="1"/>
  <c r="AU4662" i="1"/>
  <c r="AW4661" i="1"/>
  <c r="AV4661" i="1"/>
  <c r="AW4660" i="1"/>
  <c r="AV4660" i="1"/>
  <c r="AW4659" i="1"/>
  <c r="AV4659" i="1"/>
  <c r="AW4658" i="1"/>
  <c r="AV4658" i="1"/>
  <c r="AW4657" i="1"/>
  <c r="AV4657" i="1"/>
  <c r="AW4656" i="1"/>
  <c r="AV4656" i="1"/>
  <c r="AU4656" i="1"/>
  <c r="AW4655" i="1"/>
  <c r="AV4655" i="1"/>
  <c r="AU4655" i="1"/>
  <c r="AW4654" i="1"/>
  <c r="AV4654" i="1"/>
  <c r="AU4654" i="1"/>
  <c r="AW4653" i="1"/>
  <c r="AV4653" i="1"/>
  <c r="AW4652" i="1"/>
  <c r="AV4652" i="1"/>
  <c r="AW4651" i="1"/>
  <c r="AV4651" i="1"/>
  <c r="AW4650" i="1"/>
  <c r="AV4650" i="1"/>
  <c r="AU4650" i="1"/>
  <c r="AW4649" i="1"/>
  <c r="AV4649" i="1"/>
  <c r="AU4649" i="1"/>
  <c r="AW4648" i="1"/>
  <c r="AV4648" i="1"/>
  <c r="AW4647" i="1"/>
  <c r="AV4647" i="1"/>
  <c r="AU4647" i="1"/>
  <c r="AW4646" i="1"/>
  <c r="AV4646" i="1"/>
  <c r="AW4645" i="1"/>
  <c r="AV4645" i="1"/>
  <c r="AW4644" i="1"/>
  <c r="AV4644" i="1"/>
  <c r="AW4643" i="1"/>
  <c r="AV4643" i="1"/>
  <c r="AW4642" i="1"/>
  <c r="AV4642" i="1"/>
  <c r="AW4641" i="1"/>
  <c r="AV4641" i="1"/>
  <c r="AW4640" i="1"/>
  <c r="AV4640" i="1"/>
  <c r="AU4640" i="1"/>
  <c r="AW4639" i="1"/>
  <c r="AV4639" i="1"/>
  <c r="AU4639" i="1"/>
  <c r="AW4638" i="1"/>
  <c r="AV4638" i="1"/>
  <c r="AU4638" i="1"/>
  <c r="AW4637" i="1"/>
  <c r="AV4637" i="1"/>
  <c r="AU4637" i="1"/>
  <c r="AW4636" i="1"/>
  <c r="AV4636" i="1"/>
  <c r="AU4636" i="1"/>
  <c r="AW4635" i="1"/>
  <c r="AV4635" i="1"/>
  <c r="AU4635" i="1"/>
  <c r="AW4634" i="1"/>
  <c r="AV4634" i="1"/>
  <c r="AU4634" i="1"/>
  <c r="AW4633" i="1"/>
  <c r="AV4633" i="1"/>
  <c r="AW4632" i="1"/>
  <c r="AV4632" i="1"/>
  <c r="AW4631" i="1"/>
  <c r="AV4631" i="1"/>
  <c r="AU4631" i="1"/>
  <c r="AW4630" i="1"/>
  <c r="AV4630" i="1"/>
  <c r="AU4630" i="1"/>
  <c r="AW4629" i="1"/>
  <c r="AV4629" i="1"/>
  <c r="AU4629" i="1"/>
  <c r="AW4628" i="1"/>
  <c r="AV4628" i="1"/>
  <c r="AU4628" i="1"/>
  <c r="AW4627" i="1"/>
  <c r="AV4627" i="1"/>
  <c r="AU4627" i="1"/>
  <c r="AW4626" i="1"/>
  <c r="AV4626" i="1"/>
  <c r="AU4626" i="1"/>
  <c r="AW4625" i="1"/>
  <c r="AV4625" i="1"/>
  <c r="AU4625" i="1"/>
  <c r="AW4624" i="1"/>
  <c r="AV4624" i="1"/>
  <c r="AU4624" i="1"/>
  <c r="AW4623" i="1"/>
  <c r="AV4623" i="1"/>
  <c r="AW4622" i="1"/>
  <c r="AV4622" i="1"/>
  <c r="AU4622" i="1"/>
  <c r="AW4621" i="1"/>
  <c r="AV4621" i="1"/>
  <c r="AU4621" i="1"/>
  <c r="AW4620" i="1"/>
  <c r="AV4620" i="1"/>
  <c r="AU4620" i="1"/>
  <c r="AW4619" i="1"/>
  <c r="AV4619" i="1"/>
  <c r="AU4619" i="1"/>
  <c r="AW4618" i="1"/>
  <c r="AV4618" i="1"/>
  <c r="AU4618" i="1"/>
  <c r="AW4617" i="1"/>
  <c r="AV4617" i="1"/>
  <c r="AU4617" i="1"/>
  <c r="AW4616" i="1"/>
  <c r="AV4616" i="1"/>
  <c r="AU4616" i="1"/>
  <c r="AW4615" i="1"/>
  <c r="AV4615" i="1"/>
  <c r="AU4615" i="1"/>
  <c r="AW4614" i="1"/>
  <c r="AV4614" i="1"/>
  <c r="AU4614" i="1"/>
  <c r="AW4613" i="1"/>
  <c r="AV4613" i="1"/>
  <c r="AU4613" i="1"/>
  <c r="AW4612" i="1"/>
  <c r="AV4612" i="1"/>
  <c r="AW4611" i="1"/>
  <c r="AV4611" i="1"/>
  <c r="AW4610" i="1"/>
  <c r="AV4610" i="1"/>
  <c r="AU4610" i="1"/>
  <c r="AW4609" i="1"/>
  <c r="AV4609" i="1"/>
  <c r="AW4608" i="1"/>
  <c r="AV4608" i="1"/>
  <c r="AW4607" i="1"/>
  <c r="AV4607" i="1"/>
  <c r="AU4607" i="1"/>
  <c r="AW4606" i="1"/>
  <c r="AV4606" i="1"/>
  <c r="AU4606" i="1"/>
  <c r="AW4605" i="1"/>
  <c r="AV4605" i="1"/>
  <c r="AU4605" i="1"/>
  <c r="AW4604" i="1"/>
  <c r="AV4604" i="1"/>
  <c r="AU4604" i="1"/>
  <c r="AW4603" i="1"/>
  <c r="AV4603" i="1"/>
  <c r="AU4603" i="1"/>
  <c r="AW4602" i="1"/>
  <c r="AV4602" i="1"/>
  <c r="AW4601" i="1"/>
  <c r="AV4601" i="1"/>
  <c r="AW4600" i="1"/>
  <c r="AV4600" i="1"/>
  <c r="AW4599" i="1"/>
  <c r="AV4599" i="1"/>
  <c r="AW4598" i="1"/>
  <c r="AV4598" i="1"/>
  <c r="AW4597" i="1"/>
  <c r="AV4597" i="1"/>
  <c r="AW4596" i="1"/>
  <c r="AV4596" i="1"/>
  <c r="AU4596" i="1"/>
  <c r="AW4595" i="1"/>
  <c r="AV4595" i="1"/>
  <c r="AU4595" i="1"/>
  <c r="AW4594" i="1"/>
  <c r="AV4594" i="1"/>
  <c r="AW4593" i="1"/>
  <c r="AV4593" i="1"/>
  <c r="AW4592" i="1"/>
  <c r="AV4592" i="1"/>
  <c r="AW4591" i="1"/>
  <c r="AV4591" i="1"/>
  <c r="AU4591" i="1"/>
  <c r="AW4590" i="1"/>
  <c r="AV4590" i="1"/>
  <c r="AU4590" i="1"/>
  <c r="AW4589" i="1"/>
  <c r="AV4589" i="1"/>
  <c r="AU4589" i="1"/>
  <c r="AW4588" i="1"/>
  <c r="AV4588" i="1"/>
  <c r="AU4588" i="1"/>
  <c r="AW4587" i="1"/>
  <c r="AV4587" i="1"/>
  <c r="AU4587" i="1"/>
  <c r="AW4586" i="1"/>
  <c r="AV4586" i="1"/>
  <c r="AU4586" i="1"/>
  <c r="AW4585" i="1"/>
  <c r="AV4585" i="1"/>
  <c r="AU4585" i="1"/>
  <c r="AW4584" i="1"/>
  <c r="AV4584" i="1"/>
  <c r="AW4583" i="1"/>
  <c r="AV4583" i="1"/>
  <c r="AW4582" i="1"/>
  <c r="AV4582" i="1"/>
  <c r="AU4582" i="1"/>
  <c r="AW4581" i="1"/>
  <c r="AV4581" i="1"/>
  <c r="AU4581" i="1"/>
  <c r="AW4580" i="1"/>
  <c r="AV4580" i="1"/>
  <c r="AW4579" i="1"/>
  <c r="AV4579" i="1"/>
  <c r="AW4578" i="1"/>
  <c r="AV4578" i="1"/>
  <c r="AW4577" i="1"/>
  <c r="AV4577" i="1"/>
  <c r="AU4577" i="1"/>
  <c r="AW4576" i="1"/>
  <c r="AV4576" i="1"/>
  <c r="AU4576" i="1"/>
  <c r="AW4575" i="1"/>
  <c r="AV4575" i="1"/>
  <c r="AU4575" i="1"/>
  <c r="AW4574" i="1"/>
  <c r="AV4574" i="1"/>
  <c r="AU4574" i="1"/>
  <c r="AW4573" i="1"/>
  <c r="AV4573" i="1"/>
  <c r="AU4573" i="1"/>
  <c r="AW4572" i="1"/>
  <c r="AV4572" i="1"/>
  <c r="AU4572" i="1"/>
  <c r="AW4571" i="1"/>
  <c r="AV4571" i="1"/>
  <c r="AU4571" i="1"/>
  <c r="AW4570" i="1"/>
  <c r="AV4570" i="1"/>
  <c r="AU4570" i="1"/>
  <c r="AW4569" i="1"/>
  <c r="AV4569" i="1"/>
  <c r="AU4569" i="1"/>
  <c r="AW4568" i="1"/>
  <c r="AV4568" i="1"/>
  <c r="AU4568" i="1"/>
  <c r="AW4567" i="1"/>
  <c r="AV4567" i="1"/>
  <c r="AU4567" i="1"/>
  <c r="AW4566" i="1"/>
  <c r="AV4566" i="1"/>
  <c r="AW4565" i="1"/>
  <c r="AV4565" i="1"/>
  <c r="AW4564" i="1"/>
  <c r="AV4564" i="1"/>
  <c r="AU4564" i="1"/>
  <c r="AW4563" i="1"/>
  <c r="AV4563" i="1"/>
  <c r="AU4563" i="1"/>
  <c r="AW4562" i="1"/>
  <c r="AV4562" i="1"/>
  <c r="AU4562" i="1"/>
  <c r="AW4561" i="1"/>
  <c r="AV4561" i="1"/>
  <c r="AU4561" i="1"/>
  <c r="AW4560" i="1"/>
  <c r="AV4560" i="1"/>
  <c r="AU4560" i="1"/>
  <c r="AW4559" i="1"/>
  <c r="AV4559" i="1"/>
  <c r="AU4559" i="1"/>
  <c r="AW4558" i="1"/>
  <c r="AV4558" i="1"/>
  <c r="AU4558" i="1"/>
  <c r="AW4557" i="1"/>
  <c r="AV4557" i="1"/>
  <c r="AU4557" i="1"/>
  <c r="AW4556" i="1"/>
  <c r="AV4556" i="1"/>
  <c r="AU4556" i="1"/>
  <c r="AW4555" i="1"/>
  <c r="AV4555" i="1"/>
  <c r="AW4554" i="1"/>
  <c r="AV4554" i="1"/>
  <c r="AW4553" i="1"/>
  <c r="AV4553" i="1"/>
  <c r="AU4553" i="1"/>
  <c r="AW4552" i="1"/>
  <c r="AV4552" i="1"/>
  <c r="AU4552" i="1"/>
  <c r="AW4551" i="1"/>
  <c r="AV4551" i="1"/>
  <c r="AW4550" i="1"/>
  <c r="AV4550" i="1"/>
  <c r="AW4549" i="1"/>
  <c r="AV4549" i="1"/>
  <c r="AW4548" i="1"/>
  <c r="AV4548" i="1"/>
  <c r="AW4547" i="1"/>
  <c r="AV4547" i="1"/>
  <c r="AU4547" i="1"/>
  <c r="AW4546" i="1"/>
  <c r="AV4546" i="1"/>
  <c r="AW4545" i="1"/>
  <c r="AV4545" i="1"/>
  <c r="AW4544" i="1"/>
  <c r="AV4544" i="1"/>
  <c r="AW4543" i="1"/>
  <c r="AV4543" i="1"/>
  <c r="AW4542" i="1"/>
  <c r="AV4542" i="1"/>
  <c r="AW4541" i="1"/>
  <c r="AV4541" i="1"/>
  <c r="AW4540" i="1"/>
  <c r="AV4540" i="1"/>
  <c r="AW4539" i="1"/>
  <c r="AV4539" i="1"/>
  <c r="AW4538" i="1"/>
  <c r="AV4538" i="1"/>
  <c r="AW4537" i="1"/>
  <c r="AV4537" i="1"/>
  <c r="AW4536" i="1"/>
  <c r="AV4536" i="1"/>
  <c r="AU4536" i="1"/>
  <c r="AW4535" i="1"/>
  <c r="AV4535" i="1"/>
  <c r="AU4535" i="1"/>
  <c r="AW4534" i="1"/>
  <c r="AV4534" i="1"/>
  <c r="AW4533" i="1"/>
  <c r="AV4533" i="1"/>
  <c r="AU4533" i="1"/>
  <c r="AW4532" i="1"/>
  <c r="AV4532" i="1"/>
  <c r="AU4532" i="1"/>
  <c r="AW4531" i="1"/>
  <c r="AV4531" i="1"/>
  <c r="AW4530" i="1"/>
  <c r="AV4530" i="1"/>
  <c r="AW4529" i="1"/>
  <c r="AV4529" i="1"/>
  <c r="AW4528" i="1"/>
  <c r="AV4528" i="1"/>
  <c r="AW4527" i="1"/>
  <c r="AV4527" i="1"/>
  <c r="AU4527" i="1"/>
  <c r="AW4526" i="1"/>
  <c r="AV4526" i="1"/>
  <c r="AU4526" i="1"/>
  <c r="AW4525" i="1"/>
  <c r="AV4525" i="1"/>
  <c r="AW4524" i="1"/>
  <c r="AV4524" i="1"/>
  <c r="AW4523" i="1"/>
  <c r="AV4523" i="1"/>
  <c r="AW4522" i="1"/>
  <c r="AV4522" i="1"/>
  <c r="AU4522" i="1"/>
  <c r="AW4521" i="1"/>
  <c r="AV4521" i="1"/>
  <c r="AW4520" i="1"/>
  <c r="AV4520" i="1"/>
  <c r="AU4520" i="1"/>
  <c r="AW4519" i="1"/>
  <c r="AV4519" i="1"/>
  <c r="AW4518" i="1"/>
  <c r="AV4518" i="1"/>
  <c r="AW4517" i="1"/>
  <c r="AV4517" i="1"/>
  <c r="AU4517" i="1"/>
  <c r="AW4516" i="1"/>
  <c r="AV4516" i="1"/>
  <c r="AU4516" i="1"/>
  <c r="AW4515" i="1"/>
  <c r="AV4515" i="1"/>
  <c r="AW4514" i="1"/>
  <c r="AV4514" i="1"/>
  <c r="AW4513" i="1"/>
  <c r="AV4513" i="1"/>
  <c r="AW4512" i="1"/>
  <c r="AV4512" i="1"/>
  <c r="AW4511" i="1"/>
  <c r="AV4511" i="1"/>
  <c r="AW4510" i="1"/>
  <c r="AV4510" i="1"/>
  <c r="AU4510" i="1"/>
  <c r="AW4509" i="1"/>
  <c r="AV4509" i="1"/>
  <c r="AW4508" i="1"/>
  <c r="AV4508" i="1"/>
  <c r="AW4507" i="1"/>
  <c r="AV4507" i="1"/>
  <c r="AU4507" i="1"/>
  <c r="AW4506" i="1"/>
  <c r="AV4506" i="1"/>
  <c r="AU4506" i="1"/>
  <c r="AW4505" i="1"/>
  <c r="AV4505" i="1"/>
  <c r="AW4504" i="1"/>
  <c r="AV4504" i="1"/>
  <c r="AW4503" i="1"/>
  <c r="AV4503" i="1"/>
  <c r="AW4502" i="1"/>
  <c r="AV4502" i="1"/>
  <c r="AU4502" i="1"/>
  <c r="AW4501" i="1"/>
  <c r="AV4501" i="1"/>
  <c r="AW4500" i="1"/>
  <c r="AV4500" i="1"/>
  <c r="AW4499" i="1"/>
  <c r="AV4499" i="1"/>
  <c r="AU4499" i="1"/>
  <c r="AW4498" i="1"/>
  <c r="AV4498" i="1"/>
  <c r="AU4498" i="1"/>
  <c r="AW4497" i="1"/>
  <c r="AV4497" i="1"/>
  <c r="AU4497" i="1"/>
  <c r="AW4496" i="1"/>
  <c r="AV4496" i="1"/>
  <c r="AW4495" i="1"/>
  <c r="AV4495" i="1"/>
  <c r="AU4495" i="1"/>
  <c r="AW4494" i="1"/>
  <c r="AV4494" i="1"/>
  <c r="AW4493" i="1"/>
  <c r="AV4493" i="1"/>
  <c r="AU4493" i="1"/>
  <c r="AW4492" i="1"/>
  <c r="AV4492" i="1"/>
  <c r="AU4492" i="1"/>
  <c r="AW4491" i="1"/>
  <c r="AV4491" i="1"/>
  <c r="AW4490" i="1"/>
  <c r="AV4490" i="1"/>
  <c r="AW4489" i="1"/>
  <c r="AV4489" i="1"/>
  <c r="AW4488" i="1"/>
  <c r="AV4488" i="1"/>
  <c r="AW4487" i="1"/>
  <c r="AV4487" i="1"/>
  <c r="AU4487" i="1"/>
  <c r="AW4486" i="1"/>
  <c r="AV4486" i="1"/>
  <c r="AW4485" i="1"/>
  <c r="AV4485" i="1"/>
  <c r="AU4485" i="1"/>
  <c r="AW4484" i="1"/>
  <c r="AV4484" i="1"/>
  <c r="AU4484" i="1"/>
  <c r="AW4483" i="1"/>
  <c r="AV4483" i="1"/>
  <c r="AU4483" i="1"/>
  <c r="AW4482" i="1"/>
  <c r="AV4482" i="1"/>
  <c r="AU4482" i="1"/>
  <c r="AW4481" i="1"/>
  <c r="AV4481" i="1"/>
  <c r="AU4481" i="1"/>
  <c r="AW4480" i="1"/>
  <c r="AV4480" i="1"/>
  <c r="AU4480" i="1"/>
  <c r="AW4479" i="1"/>
  <c r="AV4479" i="1"/>
  <c r="AU4479" i="1"/>
  <c r="AW4478" i="1"/>
  <c r="AV4478" i="1"/>
  <c r="AU4478" i="1"/>
  <c r="AW4477" i="1"/>
  <c r="AV4477" i="1"/>
  <c r="AW4476" i="1"/>
  <c r="AV4476" i="1"/>
  <c r="AU4476" i="1"/>
  <c r="AW4475" i="1"/>
  <c r="AV4475" i="1"/>
  <c r="AU4475" i="1"/>
  <c r="AW4474" i="1"/>
  <c r="AV4474" i="1"/>
  <c r="AU4474" i="1"/>
  <c r="AW4473" i="1"/>
  <c r="AV4473" i="1"/>
  <c r="AW4472" i="1"/>
  <c r="AV4472" i="1"/>
  <c r="AW4471" i="1"/>
  <c r="AV4471" i="1"/>
  <c r="AW4470" i="1"/>
  <c r="AV4470" i="1"/>
  <c r="AW4469" i="1"/>
  <c r="AV4469" i="1"/>
  <c r="AW4468" i="1"/>
  <c r="AV4468" i="1"/>
  <c r="AW4467" i="1"/>
  <c r="AV4467" i="1"/>
  <c r="AU4467" i="1"/>
  <c r="AW4466" i="1"/>
  <c r="AV4466" i="1"/>
  <c r="AU4466" i="1"/>
  <c r="AW4465" i="1"/>
  <c r="AV4465" i="1"/>
  <c r="AU4465" i="1"/>
  <c r="AW4464" i="1"/>
  <c r="AV4464" i="1"/>
  <c r="AW4463" i="1"/>
  <c r="AV4463" i="1"/>
  <c r="AW4462" i="1"/>
  <c r="AV4462" i="1"/>
  <c r="AU4462" i="1"/>
  <c r="AW4461" i="1"/>
  <c r="AV4461" i="1"/>
  <c r="AU4461" i="1"/>
  <c r="AW4460" i="1"/>
  <c r="AV4460" i="1"/>
  <c r="AW4459" i="1"/>
  <c r="AV4459" i="1"/>
  <c r="AU4459" i="1"/>
  <c r="AW4458" i="1"/>
  <c r="AV4458" i="1"/>
  <c r="AU4458" i="1"/>
  <c r="AW4457" i="1"/>
  <c r="AV4457" i="1"/>
  <c r="AW4456" i="1"/>
  <c r="AV4456" i="1"/>
  <c r="AU4456" i="1"/>
  <c r="AW4455" i="1"/>
  <c r="AV4455" i="1"/>
  <c r="AU4455" i="1"/>
  <c r="AW4454" i="1"/>
  <c r="AV4454" i="1"/>
  <c r="AU4454" i="1"/>
  <c r="AW4453" i="1"/>
  <c r="AV4453" i="1"/>
  <c r="AU4453" i="1"/>
  <c r="AW4452" i="1"/>
  <c r="AV4452" i="1"/>
  <c r="AW4451" i="1"/>
  <c r="AV4451" i="1"/>
  <c r="AW4450" i="1"/>
  <c r="AV4450" i="1"/>
  <c r="AU4450" i="1"/>
  <c r="AW4449" i="1"/>
  <c r="AV4449" i="1"/>
  <c r="AW4448" i="1"/>
  <c r="AV4448" i="1"/>
  <c r="AW4447" i="1"/>
  <c r="AV4447" i="1"/>
  <c r="AW4446" i="1"/>
  <c r="AV4446" i="1"/>
  <c r="AW4445" i="1"/>
  <c r="AV4445" i="1"/>
  <c r="AU4445" i="1"/>
  <c r="AW4444" i="1"/>
  <c r="AV4444" i="1"/>
  <c r="AW4443" i="1"/>
  <c r="AV4443" i="1"/>
  <c r="AU4443" i="1"/>
  <c r="AW4442" i="1"/>
  <c r="AV4442" i="1"/>
  <c r="AW4441" i="1"/>
  <c r="AV4441" i="1"/>
  <c r="AW4440" i="1"/>
  <c r="AV4440" i="1"/>
  <c r="AW4439" i="1"/>
  <c r="AV4439" i="1"/>
  <c r="AU4439" i="1"/>
  <c r="AW4438" i="1"/>
  <c r="AV4438" i="1"/>
  <c r="AW4437" i="1"/>
  <c r="AV4437" i="1"/>
  <c r="AU4437" i="1"/>
  <c r="AW4436" i="1"/>
  <c r="AV4436" i="1"/>
  <c r="AW4435" i="1"/>
  <c r="AV4435" i="1"/>
  <c r="AU4435" i="1"/>
  <c r="AW4434" i="1"/>
  <c r="AV4434" i="1"/>
  <c r="AU4434" i="1"/>
  <c r="AW4433" i="1"/>
  <c r="AV4433" i="1"/>
  <c r="AW4432" i="1"/>
  <c r="AV4432" i="1"/>
  <c r="AW4431" i="1"/>
  <c r="AV4431" i="1"/>
  <c r="AW4430" i="1"/>
  <c r="AV4430" i="1"/>
  <c r="AU4430" i="1"/>
  <c r="AW4429" i="1"/>
  <c r="AV4429" i="1"/>
  <c r="AW4428" i="1"/>
  <c r="AV4428" i="1"/>
  <c r="AW4427" i="1"/>
  <c r="AV4427" i="1"/>
  <c r="AW4426" i="1"/>
  <c r="AV4426" i="1"/>
  <c r="AU4426" i="1"/>
  <c r="AW4425" i="1"/>
  <c r="AV4425" i="1"/>
  <c r="AU4425" i="1"/>
  <c r="AW4424" i="1"/>
  <c r="AV4424" i="1"/>
  <c r="AW4423" i="1"/>
  <c r="AV4423" i="1"/>
  <c r="AU4423" i="1"/>
  <c r="AW4422" i="1"/>
  <c r="AV4422" i="1"/>
  <c r="AW4421" i="1"/>
  <c r="AV4421" i="1"/>
  <c r="AW4420" i="1"/>
  <c r="AV4420" i="1"/>
  <c r="AU4420" i="1"/>
  <c r="AW4419" i="1"/>
  <c r="AV4419" i="1"/>
  <c r="AW4418" i="1"/>
  <c r="AV4418" i="1"/>
  <c r="AW4417" i="1"/>
  <c r="AV4417" i="1"/>
  <c r="AW4416" i="1"/>
  <c r="AV4416" i="1"/>
  <c r="AW4415" i="1"/>
  <c r="AV4415" i="1"/>
  <c r="AU4415" i="1"/>
  <c r="AW4414" i="1"/>
  <c r="AV4414" i="1"/>
  <c r="AU4414" i="1"/>
  <c r="AW4413" i="1"/>
  <c r="AV4413" i="1"/>
  <c r="AU4413" i="1"/>
  <c r="AW4412" i="1"/>
  <c r="AV4412" i="1"/>
  <c r="AW4411" i="1"/>
  <c r="AV4411" i="1"/>
  <c r="AU4411" i="1"/>
  <c r="AW4410" i="1"/>
  <c r="AV4410" i="1"/>
  <c r="AU4410" i="1"/>
  <c r="AW4409" i="1"/>
  <c r="AV4409" i="1"/>
  <c r="AU4409" i="1"/>
  <c r="AW4408" i="1"/>
  <c r="AV4408" i="1"/>
  <c r="AU4408" i="1"/>
  <c r="AW4407" i="1"/>
  <c r="AV4407" i="1"/>
  <c r="AU4407" i="1"/>
  <c r="AW4406" i="1"/>
  <c r="AV4406" i="1"/>
  <c r="AW4405" i="1"/>
  <c r="AV4405" i="1"/>
  <c r="AW4404" i="1"/>
  <c r="AV4404" i="1"/>
  <c r="AU4404" i="1"/>
  <c r="AW4403" i="1"/>
  <c r="AV4403" i="1"/>
  <c r="AW4402" i="1"/>
  <c r="AV4402" i="1"/>
  <c r="AW4401" i="1"/>
  <c r="AV4401" i="1"/>
  <c r="AU4401" i="1"/>
  <c r="AW4400" i="1"/>
  <c r="AV4400" i="1"/>
  <c r="AW4399" i="1"/>
  <c r="AV4399" i="1"/>
  <c r="AW4398" i="1"/>
  <c r="AV4398" i="1"/>
  <c r="AW4397" i="1"/>
  <c r="AV4397" i="1"/>
  <c r="AW4396" i="1"/>
  <c r="AV4396" i="1"/>
  <c r="AW4395" i="1"/>
  <c r="AV4395" i="1"/>
  <c r="AW4394" i="1"/>
  <c r="AV4394" i="1"/>
  <c r="AW4393" i="1"/>
  <c r="AV4393" i="1"/>
  <c r="AW4392" i="1"/>
  <c r="AV4392" i="1"/>
  <c r="AW4391" i="1"/>
  <c r="AV4391" i="1"/>
  <c r="AU4391" i="1"/>
  <c r="AW4390" i="1"/>
  <c r="AV4390" i="1"/>
  <c r="AW4389" i="1"/>
  <c r="AV4389" i="1"/>
  <c r="AW4388" i="1"/>
  <c r="AV4388" i="1"/>
  <c r="AW4387" i="1"/>
  <c r="AV4387" i="1"/>
  <c r="AW4386" i="1"/>
  <c r="AV4386" i="1"/>
  <c r="AW4385" i="1"/>
  <c r="AV4385" i="1"/>
  <c r="AU4385" i="1"/>
  <c r="AW4384" i="1"/>
  <c r="AV4384" i="1"/>
  <c r="AW4383" i="1"/>
  <c r="AV4383" i="1"/>
  <c r="AU4383" i="1"/>
  <c r="AW4382" i="1"/>
  <c r="AV4382" i="1"/>
  <c r="AU4382" i="1"/>
  <c r="AW4381" i="1"/>
  <c r="AV4381" i="1"/>
  <c r="AU4381" i="1"/>
  <c r="AW4380" i="1"/>
  <c r="AV4380" i="1"/>
  <c r="AU4380" i="1"/>
  <c r="AW4379" i="1"/>
  <c r="AV4379" i="1"/>
  <c r="AU4379" i="1"/>
  <c r="AW4378" i="1"/>
  <c r="AV4378" i="1"/>
  <c r="AU4378" i="1"/>
  <c r="AW4377" i="1"/>
  <c r="AV4377" i="1"/>
  <c r="AU4377" i="1"/>
  <c r="AW4376" i="1"/>
  <c r="AV4376" i="1"/>
  <c r="AU4376" i="1"/>
  <c r="AW4375" i="1"/>
  <c r="AV4375" i="1"/>
  <c r="AU4375" i="1"/>
  <c r="AW4374" i="1"/>
  <c r="AV4374" i="1"/>
  <c r="AU4374" i="1"/>
  <c r="AW4373" i="1"/>
  <c r="AV4373" i="1"/>
  <c r="AU4373" i="1"/>
  <c r="AW4372" i="1"/>
  <c r="AV4372" i="1"/>
  <c r="AU4372" i="1"/>
  <c r="AW4371" i="1"/>
  <c r="AV4371" i="1"/>
  <c r="AU4371" i="1"/>
  <c r="AW4370" i="1"/>
  <c r="AV4370" i="1"/>
  <c r="AW4369" i="1"/>
  <c r="AV4369" i="1"/>
  <c r="AW4368" i="1"/>
  <c r="AV4368" i="1"/>
  <c r="AU4368" i="1"/>
  <c r="AW4367" i="1"/>
  <c r="AV4367" i="1"/>
  <c r="AU4367" i="1"/>
  <c r="AW4366" i="1"/>
  <c r="AV4366" i="1"/>
  <c r="AW4365" i="1"/>
  <c r="AV4365" i="1"/>
  <c r="AW4364" i="1"/>
  <c r="AV4364" i="1"/>
  <c r="AW4363" i="1"/>
  <c r="AV4363" i="1"/>
  <c r="AU4363" i="1"/>
  <c r="AW4362" i="1"/>
  <c r="AV4362" i="1"/>
  <c r="AU4362" i="1"/>
  <c r="AW4361" i="1"/>
  <c r="AV4361" i="1"/>
  <c r="AW4360" i="1"/>
  <c r="AV4360" i="1"/>
  <c r="AW4359" i="1"/>
  <c r="AV4359" i="1"/>
  <c r="AW4358" i="1"/>
  <c r="AV4358" i="1"/>
  <c r="AW4357" i="1"/>
  <c r="AV4357" i="1"/>
  <c r="AW4356" i="1"/>
  <c r="AV4356" i="1"/>
  <c r="AW4355" i="1"/>
  <c r="AV4355" i="1"/>
  <c r="AW4354" i="1"/>
  <c r="AV4354" i="1"/>
  <c r="AU4354" i="1"/>
  <c r="AW4353" i="1"/>
  <c r="AV4353" i="1"/>
  <c r="AU4353" i="1"/>
  <c r="AW4352" i="1"/>
  <c r="AV4352" i="1"/>
  <c r="AU4352" i="1"/>
  <c r="AW4351" i="1"/>
  <c r="AV4351" i="1"/>
  <c r="AW4350" i="1"/>
  <c r="AV4350" i="1"/>
  <c r="AW4349" i="1"/>
  <c r="AV4349" i="1"/>
  <c r="AW4348" i="1"/>
  <c r="AV4348" i="1"/>
  <c r="AW4347" i="1"/>
  <c r="AV4347" i="1"/>
  <c r="AW4346" i="1"/>
  <c r="AV4346" i="1"/>
  <c r="AW4345" i="1"/>
  <c r="AV4345" i="1"/>
  <c r="AU4345" i="1"/>
  <c r="AW4344" i="1"/>
  <c r="AV4344" i="1"/>
  <c r="AU4344" i="1"/>
  <c r="AW4343" i="1"/>
  <c r="AV4343" i="1"/>
  <c r="AU4343" i="1"/>
  <c r="AW4342" i="1"/>
  <c r="AV4342" i="1"/>
  <c r="AW4341" i="1"/>
  <c r="AV4341" i="1"/>
  <c r="AW4340" i="1"/>
  <c r="AV4340" i="1"/>
  <c r="AW4339" i="1"/>
  <c r="AV4339" i="1"/>
  <c r="AW4338" i="1"/>
  <c r="AV4338" i="1"/>
  <c r="AW4337" i="1"/>
  <c r="AV4337" i="1"/>
  <c r="AW4336" i="1"/>
  <c r="AV4336" i="1"/>
  <c r="AW4335" i="1"/>
  <c r="AV4335" i="1"/>
  <c r="AW4334" i="1"/>
  <c r="AV4334" i="1"/>
  <c r="AW4333" i="1"/>
  <c r="AV4333" i="1"/>
  <c r="AW4332" i="1"/>
  <c r="AV4332" i="1"/>
  <c r="AW4331" i="1"/>
  <c r="AV4331" i="1"/>
  <c r="AW4330" i="1"/>
  <c r="AV4330" i="1"/>
  <c r="AW4329" i="1"/>
  <c r="AV4329" i="1"/>
  <c r="AW4328" i="1"/>
  <c r="AV4328" i="1"/>
  <c r="AW4327" i="1"/>
  <c r="AV4327" i="1"/>
  <c r="AW4326" i="1"/>
  <c r="AV4326" i="1"/>
  <c r="AW4325" i="1"/>
  <c r="AV4325" i="1"/>
  <c r="AW4324" i="1"/>
  <c r="AV4324" i="1"/>
  <c r="AW4323" i="1"/>
  <c r="AV4323" i="1"/>
  <c r="AW4322" i="1"/>
  <c r="AV4322" i="1"/>
  <c r="AW4321" i="1"/>
  <c r="AV4321" i="1"/>
  <c r="AW4320" i="1"/>
  <c r="AV4320" i="1"/>
  <c r="AW4319" i="1"/>
  <c r="AV4319" i="1"/>
  <c r="AW4318" i="1"/>
  <c r="AV4318" i="1"/>
  <c r="AW4317" i="1"/>
  <c r="AV4317" i="1"/>
  <c r="AW4316" i="1"/>
  <c r="AV4316" i="1"/>
  <c r="AU4316" i="1"/>
  <c r="AW4315" i="1"/>
  <c r="AV4315" i="1"/>
  <c r="AW4314" i="1"/>
  <c r="AV4314" i="1"/>
  <c r="AU4314" i="1"/>
  <c r="AW4313" i="1"/>
  <c r="AV4313" i="1"/>
  <c r="AW4312" i="1"/>
  <c r="AV4312" i="1"/>
  <c r="AW4311" i="1"/>
  <c r="AV4311" i="1"/>
  <c r="AU4311" i="1"/>
  <c r="AW4310" i="1"/>
  <c r="AV4310" i="1"/>
  <c r="AU4310" i="1"/>
  <c r="AW4309" i="1"/>
  <c r="AV4309" i="1"/>
  <c r="AU4309" i="1"/>
  <c r="AW4308" i="1"/>
  <c r="AV4308" i="1"/>
  <c r="AW4307" i="1"/>
  <c r="AV4307" i="1"/>
  <c r="AU4307" i="1"/>
  <c r="AW4306" i="1"/>
  <c r="AV4306" i="1"/>
  <c r="AU4306" i="1"/>
  <c r="AW4305" i="1"/>
  <c r="AV4305" i="1"/>
  <c r="AW4304" i="1"/>
  <c r="AV4304" i="1"/>
  <c r="AU4304" i="1"/>
  <c r="AW4303" i="1"/>
  <c r="AV4303" i="1"/>
  <c r="AW4302" i="1"/>
  <c r="AV4302" i="1"/>
  <c r="AW4301" i="1"/>
  <c r="AV4301" i="1"/>
  <c r="AW4300" i="1"/>
  <c r="AV4300" i="1"/>
  <c r="AU4300" i="1"/>
  <c r="AW4299" i="1"/>
  <c r="AV4299" i="1"/>
  <c r="AW4298" i="1"/>
  <c r="AV4298" i="1"/>
  <c r="AU4298" i="1"/>
  <c r="AW4297" i="1"/>
  <c r="AV4297" i="1"/>
  <c r="AU4297" i="1"/>
  <c r="AW4296" i="1"/>
  <c r="AV4296" i="1"/>
  <c r="AU4296" i="1"/>
  <c r="AW4295" i="1"/>
  <c r="AV4295" i="1"/>
  <c r="AU4295" i="1"/>
  <c r="AW4294" i="1"/>
  <c r="AV4294" i="1"/>
  <c r="AU4294" i="1"/>
  <c r="AW4293" i="1"/>
  <c r="AV4293" i="1"/>
  <c r="AU4293" i="1"/>
  <c r="AW4292" i="1"/>
  <c r="AV4292" i="1"/>
  <c r="AU4292" i="1"/>
  <c r="AW4291" i="1"/>
  <c r="AV4291" i="1"/>
  <c r="AU4291" i="1"/>
  <c r="AW4290" i="1"/>
  <c r="AV4290" i="1"/>
  <c r="AU4290" i="1"/>
  <c r="AW4289" i="1"/>
  <c r="AV4289" i="1"/>
  <c r="AU4289" i="1"/>
  <c r="AW4288" i="1"/>
  <c r="AV4288" i="1"/>
  <c r="AU4288" i="1"/>
  <c r="AW4287" i="1"/>
  <c r="AV4287" i="1"/>
  <c r="AW4286" i="1"/>
  <c r="AV4286" i="1"/>
  <c r="AW4285" i="1"/>
  <c r="AV4285" i="1"/>
  <c r="AW4284" i="1"/>
  <c r="AV4284" i="1"/>
  <c r="AW4283" i="1"/>
  <c r="AV4283" i="1"/>
  <c r="AW4282" i="1"/>
  <c r="AV4282" i="1"/>
  <c r="AW4281" i="1"/>
  <c r="AV4281" i="1"/>
  <c r="AU4281" i="1"/>
  <c r="AW4280" i="1"/>
  <c r="AV4280" i="1"/>
  <c r="AU4280" i="1"/>
  <c r="AW4279" i="1"/>
  <c r="AV4279" i="1"/>
  <c r="AU4279" i="1"/>
  <c r="AW4278" i="1"/>
  <c r="AV4278" i="1"/>
  <c r="AU4278" i="1"/>
  <c r="AW4277" i="1"/>
  <c r="AV4277" i="1"/>
  <c r="AU4277" i="1"/>
  <c r="AW4276" i="1"/>
  <c r="AV4276" i="1"/>
  <c r="AW4275" i="1"/>
  <c r="AV4275" i="1"/>
  <c r="AW4274" i="1"/>
  <c r="AV4274" i="1"/>
  <c r="AW4273" i="1"/>
  <c r="AV4273" i="1"/>
  <c r="AW4272" i="1"/>
  <c r="AV4272" i="1"/>
  <c r="AU4272" i="1"/>
  <c r="AW4271" i="1"/>
  <c r="AV4271" i="1"/>
  <c r="AW4270" i="1"/>
  <c r="AV4270" i="1"/>
  <c r="AW4269" i="1"/>
  <c r="AV4269" i="1"/>
  <c r="AW4268" i="1"/>
  <c r="AV4268" i="1"/>
  <c r="AW4267" i="1"/>
  <c r="AV4267" i="1"/>
  <c r="AW4266" i="1"/>
  <c r="AV4266" i="1"/>
  <c r="AW4265" i="1"/>
  <c r="AV4265" i="1"/>
  <c r="AW4264" i="1"/>
  <c r="AV4264" i="1"/>
  <c r="AW4263" i="1"/>
  <c r="AV4263" i="1"/>
  <c r="AW4262" i="1"/>
  <c r="AV4262" i="1"/>
  <c r="AW4261" i="1"/>
  <c r="AV4261" i="1"/>
  <c r="AW4260" i="1"/>
  <c r="AV4260" i="1"/>
  <c r="AW4259" i="1"/>
  <c r="AV4259" i="1"/>
  <c r="AU4259" i="1"/>
  <c r="AW4258" i="1"/>
  <c r="AV4258" i="1"/>
  <c r="AU4258" i="1"/>
  <c r="AW4257" i="1"/>
  <c r="AV4257" i="1"/>
  <c r="AU4257" i="1"/>
  <c r="AW4256" i="1"/>
  <c r="AV4256" i="1"/>
  <c r="AU4256" i="1"/>
  <c r="AW4255" i="1"/>
  <c r="AV4255" i="1"/>
  <c r="AU4255" i="1"/>
  <c r="AW4254" i="1"/>
  <c r="AV4254" i="1"/>
  <c r="AU4254" i="1"/>
  <c r="AW4253" i="1"/>
  <c r="AV4253" i="1"/>
  <c r="AW4252" i="1"/>
  <c r="AV4252" i="1"/>
  <c r="AU4252" i="1"/>
  <c r="AW4251" i="1"/>
  <c r="AV4251" i="1"/>
  <c r="AW4250" i="1"/>
  <c r="AV4250" i="1"/>
  <c r="AW4249" i="1"/>
  <c r="AV4249" i="1"/>
  <c r="AW4248" i="1"/>
  <c r="AV4248" i="1"/>
  <c r="AW4247" i="1"/>
  <c r="AV4247" i="1"/>
  <c r="AW4246" i="1"/>
  <c r="AV4246" i="1"/>
  <c r="AW4245" i="1"/>
  <c r="AV4245" i="1"/>
  <c r="AW4244" i="1"/>
  <c r="AV4244" i="1"/>
  <c r="AW4243" i="1"/>
  <c r="AV4243" i="1"/>
  <c r="AU4243" i="1"/>
  <c r="AW4242" i="1"/>
  <c r="AV4242" i="1"/>
  <c r="AW4241" i="1"/>
  <c r="AV4241" i="1"/>
  <c r="AU4241" i="1"/>
  <c r="AW4240" i="1"/>
  <c r="AV4240" i="1"/>
  <c r="AW4239" i="1"/>
  <c r="AV4239" i="1"/>
  <c r="AW4238" i="1"/>
  <c r="AV4238" i="1"/>
  <c r="AW4237" i="1"/>
  <c r="AV4237" i="1"/>
  <c r="AW4236" i="1"/>
  <c r="AV4236" i="1"/>
  <c r="AW4235" i="1"/>
  <c r="AV4235" i="1"/>
  <c r="AU4235" i="1"/>
  <c r="AW4234" i="1"/>
  <c r="AV4234" i="1"/>
  <c r="AW4233" i="1"/>
  <c r="AV4233" i="1"/>
  <c r="AW4232" i="1"/>
  <c r="AV4232" i="1"/>
  <c r="AW4231" i="1"/>
  <c r="AV4231" i="1"/>
  <c r="AU4231" i="1"/>
  <c r="AW4230" i="1"/>
  <c r="AV4230" i="1"/>
  <c r="AW4229" i="1"/>
  <c r="AV4229" i="1"/>
  <c r="AW4228" i="1"/>
  <c r="AV4228" i="1"/>
  <c r="AU4228" i="1"/>
  <c r="AW4227" i="1"/>
  <c r="AV4227" i="1"/>
  <c r="AW4226" i="1"/>
  <c r="AV4226" i="1"/>
  <c r="AW4225" i="1"/>
  <c r="AV4225" i="1"/>
  <c r="AW4224" i="1"/>
  <c r="AV4224" i="1"/>
  <c r="AU4224" i="1"/>
  <c r="AW4223" i="1"/>
  <c r="AV4223" i="1"/>
  <c r="AU4223" i="1"/>
  <c r="AW4222" i="1"/>
  <c r="AV4222" i="1"/>
  <c r="AU4222" i="1"/>
  <c r="AW4221" i="1"/>
  <c r="AV4221" i="1"/>
  <c r="AU4221" i="1"/>
  <c r="AW4220" i="1"/>
  <c r="AV4220" i="1"/>
  <c r="AU4220" i="1"/>
  <c r="AW4219" i="1"/>
  <c r="AV4219" i="1"/>
  <c r="AU4219" i="1"/>
  <c r="AW4218" i="1"/>
  <c r="AV4218" i="1"/>
  <c r="AU4218" i="1"/>
  <c r="AW4217" i="1"/>
  <c r="AV4217" i="1"/>
  <c r="AU4217" i="1"/>
  <c r="AW4216" i="1"/>
  <c r="AV4216" i="1"/>
  <c r="AU4216" i="1"/>
  <c r="AW4215" i="1"/>
  <c r="AV4215" i="1"/>
  <c r="AU4215" i="1"/>
  <c r="AW4214" i="1"/>
  <c r="AV4214" i="1"/>
  <c r="AU4214" i="1"/>
  <c r="AW4213" i="1"/>
  <c r="AV4213" i="1"/>
  <c r="AU4213" i="1"/>
  <c r="AW4212" i="1"/>
  <c r="AV4212" i="1"/>
  <c r="AW4211" i="1"/>
  <c r="AV4211" i="1"/>
  <c r="AW4210" i="1"/>
  <c r="AV4210" i="1"/>
  <c r="AW4209" i="1"/>
  <c r="AV4209" i="1"/>
  <c r="AW4208" i="1"/>
  <c r="AV4208" i="1"/>
  <c r="AU4208" i="1"/>
  <c r="AW4207" i="1"/>
  <c r="AV4207" i="1"/>
  <c r="AU4207" i="1"/>
  <c r="AW4206" i="1"/>
  <c r="AV4206" i="1"/>
  <c r="AU4206" i="1"/>
  <c r="AW4205" i="1"/>
  <c r="AV4205" i="1"/>
  <c r="AU4205" i="1"/>
  <c r="AW4204" i="1"/>
  <c r="AV4204" i="1"/>
  <c r="AU4204" i="1"/>
  <c r="AW4203" i="1"/>
  <c r="AV4203" i="1"/>
  <c r="AU4203" i="1"/>
  <c r="AW4202" i="1"/>
  <c r="AV4202" i="1"/>
  <c r="AW4201" i="1"/>
  <c r="AV4201" i="1"/>
  <c r="AW4200" i="1"/>
  <c r="AV4200" i="1"/>
  <c r="AU4200" i="1"/>
  <c r="AW4199" i="1"/>
  <c r="AV4199" i="1"/>
  <c r="AU4199" i="1"/>
  <c r="AW4198" i="1"/>
  <c r="AV4198" i="1"/>
  <c r="AU4198" i="1"/>
  <c r="AW4197" i="1"/>
  <c r="AV4197" i="1"/>
  <c r="AU4197" i="1"/>
  <c r="AW4196" i="1"/>
  <c r="AV4196" i="1"/>
  <c r="AU4196" i="1"/>
  <c r="AW4195" i="1"/>
  <c r="AV4195" i="1"/>
  <c r="AW4194" i="1"/>
  <c r="AV4194" i="1"/>
  <c r="AW4193" i="1"/>
  <c r="AV4193" i="1"/>
  <c r="AW4192" i="1"/>
  <c r="AV4192" i="1"/>
  <c r="AW4191" i="1"/>
  <c r="AV4191" i="1"/>
  <c r="AW4190" i="1"/>
  <c r="AV4190" i="1"/>
  <c r="AW4189" i="1"/>
  <c r="AV4189" i="1"/>
  <c r="AU4189" i="1"/>
  <c r="AW4188" i="1"/>
  <c r="AV4188" i="1"/>
  <c r="AW4187" i="1"/>
  <c r="AV4187" i="1"/>
  <c r="AW4186" i="1"/>
  <c r="AV4186" i="1"/>
  <c r="AU4186" i="1"/>
  <c r="AW4185" i="1"/>
  <c r="AV4185" i="1"/>
  <c r="AW4184" i="1"/>
  <c r="AV4184" i="1"/>
  <c r="AU4184" i="1"/>
  <c r="AW4183" i="1"/>
  <c r="AV4183" i="1"/>
  <c r="AU4183" i="1"/>
  <c r="AW4182" i="1"/>
  <c r="AV4182" i="1"/>
  <c r="AU4182" i="1"/>
  <c r="AW4181" i="1"/>
  <c r="AV4181" i="1"/>
  <c r="AW4180" i="1"/>
  <c r="AV4180" i="1"/>
  <c r="AW4179" i="1"/>
  <c r="AV4179" i="1"/>
  <c r="AW4178" i="1"/>
  <c r="AV4178" i="1"/>
  <c r="AW4177" i="1"/>
  <c r="AV4177" i="1"/>
  <c r="AW4176" i="1"/>
  <c r="AV4176" i="1"/>
  <c r="AW4175" i="1"/>
  <c r="AV4175" i="1"/>
  <c r="AW4174" i="1"/>
  <c r="AV4174" i="1"/>
  <c r="AW4173" i="1"/>
  <c r="AV4173" i="1"/>
  <c r="AU4173" i="1"/>
  <c r="AW4172" i="1"/>
  <c r="AV4172" i="1"/>
  <c r="AU4172" i="1"/>
  <c r="AW4171" i="1"/>
  <c r="AV4171" i="1"/>
  <c r="AU4171" i="1"/>
  <c r="AW4170" i="1"/>
  <c r="AV4170" i="1"/>
  <c r="AU4170" i="1"/>
  <c r="AW4169" i="1"/>
  <c r="AV4169" i="1"/>
  <c r="AW4168" i="1"/>
  <c r="AV4168" i="1"/>
  <c r="AW4167" i="1"/>
  <c r="AV4167" i="1"/>
  <c r="AU4167" i="1"/>
  <c r="AW4166" i="1"/>
  <c r="AV4166" i="1"/>
  <c r="AW4165" i="1"/>
  <c r="AV4165" i="1"/>
  <c r="AW4164" i="1"/>
  <c r="AV4164" i="1"/>
  <c r="AW4163" i="1"/>
  <c r="AV4163" i="1"/>
  <c r="AW4162" i="1"/>
  <c r="AV4162" i="1"/>
  <c r="AW4161" i="1"/>
  <c r="AV4161" i="1"/>
  <c r="AW4160" i="1"/>
  <c r="AV4160" i="1"/>
  <c r="AU4160" i="1"/>
  <c r="AW4159" i="1"/>
  <c r="AV4159" i="1"/>
  <c r="AW4158" i="1"/>
  <c r="AV4158" i="1"/>
  <c r="AU4158" i="1"/>
  <c r="AW4157" i="1"/>
  <c r="AV4157" i="1"/>
  <c r="AW4156" i="1"/>
  <c r="AV4156" i="1"/>
  <c r="AU4156" i="1"/>
  <c r="AW4155" i="1"/>
  <c r="AV4155" i="1"/>
  <c r="AU4155" i="1"/>
  <c r="AW4154" i="1"/>
  <c r="AV4154" i="1"/>
  <c r="AU4154" i="1"/>
  <c r="AW4153" i="1"/>
  <c r="AV4153" i="1"/>
  <c r="AW4152" i="1"/>
  <c r="AV4152" i="1"/>
  <c r="AW4151" i="1"/>
  <c r="AV4151" i="1"/>
  <c r="AW4150" i="1"/>
  <c r="AV4150" i="1"/>
  <c r="AU4150" i="1"/>
  <c r="AW4149" i="1"/>
  <c r="AV4149" i="1"/>
  <c r="AW4148" i="1"/>
  <c r="AV4148" i="1"/>
  <c r="AW4147" i="1"/>
  <c r="AV4147" i="1"/>
  <c r="AU4147" i="1"/>
  <c r="AW4146" i="1"/>
  <c r="AV4146" i="1"/>
  <c r="AU4146" i="1"/>
  <c r="AW4145" i="1"/>
  <c r="AV4145" i="1"/>
  <c r="AU4145" i="1"/>
  <c r="AW4144" i="1"/>
  <c r="AV4144" i="1"/>
  <c r="AU4144" i="1"/>
  <c r="AW4143" i="1"/>
  <c r="AV4143" i="1"/>
  <c r="AU4143" i="1"/>
  <c r="AW4142" i="1"/>
  <c r="AV4142" i="1"/>
  <c r="AU4142" i="1"/>
  <c r="AW4141" i="1"/>
  <c r="AV4141" i="1"/>
  <c r="AU4141" i="1"/>
  <c r="AW4140" i="1"/>
  <c r="AV4140" i="1"/>
  <c r="AU4140" i="1"/>
  <c r="AW4139" i="1"/>
  <c r="AV4139" i="1"/>
  <c r="AU4139" i="1"/>
  <c r="AW4138" i="1"/>
  <c r="AV4138" i="1"/>
  <c r="AW4137" i="1"/>
  <c r="AV4137" i="1"/>
  <c r="AW4136" i="1"/>
  <c r="AV4136" i="1"/>
  <c r="AW4135" i="1"/>
  <c r="AV4135" i="1"/>
  <c r="AW4134" i="1"/>
  <c r="AV4134" i="1"/>
  <c r="AW4133" i="1"/>
  <c r="AV4133" i="1"/>
  <c r="AU4133" i="1"/>
  <c r="AW4132" i="1"/>
  <c r="AV4132" i="1"/>
  <c r="AU4132" i="1"/>
  <c r="AW4131" i="1"/>
  <c r="AV4131" i="1"/>
  <c r="AU4131" i="1"/>
  <c r="AW4130" i="1"/>
  <c r="AV4130" i="1"/>
  <c r="AU4130" i="1"/>
  <c r="AW4129" i="1"/>
  <c r="AV4129" i="1"/>
  <c r="AU4129" i="1"/>
  <c r="AW4128" i="1"/>
  <c r="AV4128" i="1"/>
  <c r="AU4128" i="1"/>
  <c r="AW4127" i="1"/>
  <c r="AV4127" i="1"/>
  <c r="AW4126" i="1"/>
  <c r="AV4126" i="1"/>
  <c r="AW4125" i="1"/>
  <c r="AV4125" i="1"/>
  <c r="AU4125" i="1"/>
  <c r="AW4124" i="1"/>
  <c r="AV4124" i="1"/>
  <c r="AU4124" i="1"/>
  <c r="AW4123" i="1"/>
  <c r="AV4123" i="1"/>
  <c r="AW4122" i="1"/>
  <c r="AV4122" i="1"/>
  <c r="AW4121" i="1"/>
  <c r="AV4121" i="1"/>
  <c r="AU4121" i="1"/>
  <c r="AW4120" i="1"/>
  <c r="AV4120" i="1"/>
  <c r="AW4119" i="1"/>
  <c r="AV4119" i="1"/>
  <c r="AW4118" i="1"/>
  <c r="AV4118" i="1"/>
  <c r="AU4118" i="1"/>
  <c r="AW4117" i="1"/>
  <c r="AV4117" i="1"/>
  <c r="AW4116" i="1"/>
  <c r="AV4116" i="1"/>
  <c r="AW4115" i="1"/>
  <c r="AV4115" i="1"/>
  <c r="AW4114" i="1"/>
  <c r="AV4114" i="1"/>
  <c r="AW4113" i="1"/>
  <c r="AV4113" i="1"/>
  <c r="AU4113" i="1"/>
  <c r="AW4112" i="1"/>
  <c r="AV4112" i="1"/>
  <c r="AU4112" i="1"/>
  <c r="AW4111" i="1"/>
  <c r="AV4111" i="1"/>
  <c r="AU4111" i="1"/>
  <c r="AW4110" i="1"/>
  <c r="AV4110" i="1"/>
  <c r="AU4110" i="1"/>
  <c r="AW4109" i="1"/>
  <c r="AV4109" i="1"/>
  <c r="AW4108" i="1"/>
  <c r="AV4108" i="1"/>
  <c r="AU4108" i="1"/>
  <c r="AW4107" i="1"/>
  <c r="AV4107" i="1"/>
  <c r="AU4107" i="1"/>
  <c r="AW4106" i="1"/>
  <c r="AV4106" i="1"/>
  <c r="AW4105" i="1"/>
  <c r="AV4105" i="1"/>
  <c r="AW4104" i="1"/>
  <c r="AV4104" i="1"/>
  <c r="AU4104" i="1"/>
  <c r="AW4103" i="1"/>
  <c r="AV4103" i="1"/>
  <c r="AU4103" i="1"/>
  <c r="AW4102" i="1"/>
  <c r="AV4102" i="1"/>
  <c r="AW4101" i="1"/>
  <c r="AV4101" i="1"/>
  <c r="AW4100" i="1"/>
  <c r="AV4100" i="1"/>
  <c r="AU4100" i="1"/>
  <c r="AW4099" i="1"/>
  <c r="AV4099" i="1"/>
  <c r="AW4098" i="1"/>
  <c r="AV4098" i="1"/>
  <c r="AW4097" i="1"/>
  <c r="AV4097" i="1"/>
  <c r="AW4096" i="1"/>
  <c r="AV4096" i="1"/>
  <c r="AW4095" i="1"/>
  <c r="AV4095" i="1"/>
  <c r="AW4094" i="1"/>
  <c r="AV4094" i="1"/>
  <c r="AW4093" i="1"/>
  <c r="AV4093" i="1"/>
  <c r="AW4092" i="1"/>
  <c r="AV4092" i="1"/>
  <c r="AW4091" i="1"/>
  <c r="AV4091" i="1"/>
  <c r="AW4090" i="1"/>
  <c r="AV4090" i="1"/>
  <c r="AW4089" i="1"/>
  <c r="AV4089" i="1"/>
  <c r="AW4088" i="1"/>
  <c r="AV4088" i="1"/>
  <c r="AW4087" i="1"/>
  <c r="AV4087" i="1"/>
  <c r="AW4086" i="1"/>
  <c r="AV4086" i="1"/>
  <c r="AW4085" i="1"/>
  <c r="AV4085" i="1"/>
  <c r="AU4085" i="1"/>
  <c r="AW4084" i="1"/>
  <c r="AV4084" i="1"/>
  <c r="AU4084" i="1"/>
  <c r="AW4083" i="1"/>
  <c r="AV4083" i="1"/>
  <c r="AW4082" i="1"/>
  <c r="AV4082" i="1"/>
  <c r="AW4081" i="1"/>
  <c r="AV4081" i="1"/>
  <c r="AW4080" i="1"/>
  <c r="AV4080" i="1"/>
  <c r="AW4079" i="1"/>
  <c r="AV4079" i="1"/>
  <c r="AU4079" i="1"/>
  <c r="AW4078" i="1"/>
  <c r="AV4078" i="1"/>
  <c r="AU4078" i="1"/>
  <c r="AW4077" i="1"/>
  <c r="AV4077" i="1"/>
  <c r="AU4077" i="1"/>
  <c r="AW4076" i="1"/>
  <c r="AV4076" i="1"/>
  <c r="AU4076" i="1"/>
  <c r="AW4075" i="1"/>
  <c r="AV4075" i="1"/>
  <c r="AU4075" i="1"/>
  <c r="AW4074" i="1"/>
  <c r="AV4074" i="1"/>
  <c r="AU4074" i="1"/>
  <c r="AW4073" i="1"/>
  <c r="AV4073" i="1"/>
  <c r="AU4073" i="1"/>
  <c r="AW4072" i="1"/>
  <c r="AV4072" i="1"/>
  <c r="AW4071" i="1"/>
  <c r="AV4071" i="1"/>
  <c r="AU4071" i="1"/>
  <c r="AW4070" i="1"/>
  <c r="AV4070" i="1"/>
  <c r="AU4070" i="1"/>
  <c r="AW4069" i="1"/>
  <c r="AV4069" i="1"/>
  <c r="AU4069" i="1"/>
  <c r="AW4068" i="1"/>
  <c r="AV4068" i="1"/>
  <c r="AW4067" i="1"/>
  <c r="AV4067" i="1"/>
  <c r="AW4066" i="1"/>
  <c r="AV4066" i="1"/>
  <c r="AW4065" i="1"/>
  <c r="AV4065" i="1"/>
  <c r="AW4064" i="1"/>
  <c r="AV4064" i="1"/>
  <c r="AW4063" i="1"/>
  <c r="AV4063" i="1"/>
  <c r="AW4062" i="1"/>
  <c r="AV4062" i="1"/>
  <c r="AW4061" i="1"/>
  <c r="AV4061" i="1"/>
  <c r="AW4060" i="1"/>
  <c r="AV4060" i="1"/>
  <c r="AW4059" i="1"/>
  <c r="AV4059" i="1"/>
  <c r="AW4058" i="1"/>
  <c r="AV4058" i="1"/>
  <c r="AW4057" i="1"/>
  <c r="AV4057" i="1"/>
  <c r="AW4056" i="1"/>
  <c r="AV4056" i="1"/>
  <c r="AW4055" i="1"/>
  <c r="AV4055" i="1"/>
  <c r="AW4054" i="1"/>
  <c r="AV4054" i="1"/>
  <c r="AW4053" i="1"/>
  <c r="AV4053" i="1"/>
  <c r="AW4052" i="1"/>
  <c r="AV4052" i="1"/>
  <c r="AW4051" i="1"/>
  <c r="AV4051" i="1"/>
  <c r="AW4050" i="1"/>
  <c r="AV4050" i="1"/>
  <c r="AW4049" i="1"/>
  <c r="AV4049" i="1"/>
  <c r="AW4048" i="1"/>
  <c r="AV4048" i="1"/>
  <c r="AW4047" i="1"/>
  <c r="AV4047" i="1"/>
  <c r="AW4046" i="1"/>
  <c r="AV4046" i="1"/>
  <c r="AW4045" i="1"/>
  <c r="AV4045" i="1"/>
  <c r="AU4045" i="1"/>
  <c r="AW4044" i="1"/>
  <c r="AV4044" i="1"/>
  <c r="AU4044" i="1"/>
  <c r="AW4043" i="1"/>
  <c r="AV4043" i="1"/>
  <c r="AU4043" i="1"/>
  <c r="AW4042" i="1"/>
  <c r="AV4042" i="1"/>
  <c r="AU4042" i="1"/>
  <c r="AW4041" i="1"/>
  <c r="AV4041" i="1"/>
  <c r="AU4041" i="1"/>
  <c r="AW4040" i="1"/>
  <c r="AV4040" i="1"/>
  <c r="AU4040" i="1"/>
  <c r="AW4039" i="1"/>
  <c r="AV4039" i="1"/>
  <c r="AU4039" i="1"/>
  <c r="AW4038" i="1"/>
  <c r="AV4038" i="1"/>
  <c r="AW4037" i="1"/>
  <c r="AV4037" i="1"/>
  <c r="AW4036" i="1"/>
  <c r="AV4036" i="1"/>
  <c r="AW4035" i="1"/>
  <c r="AV4035" i="1"/>
  <c r="AW4034" i="1"/>
  <c r="AV4034" i="1"/>
  <c r="AU4034" i="1"/>
  <c r="AW4033" i="1"/>
  <c r="AV4033" i="1"/>
  <c r="AW4032" i="1"/>
  <c r="AV4032" i="1"/>
  <c r="AW4031" i="1"/>
  <c r="AV4031" i="1"/>
  <c r="AW4030" i="1"/>
  <c r="AV4030" i="1"/>
  <c r="AW4029" i="1"/>
  <c r="AV4029" i="1"/>
  <c r="AU4029" i="1"/>
  <c r="AW4028" i="1"/>
  <c r="AV4028" i="1"/>
  <c r="AU4028" i="1"/>
  <c r="AW4027" i="1"/>
  <c r="AV4027" i="1"/>
  <c r="AU4027" i="1"/>
  <c r="AW4026" i="1"/>
  <c r="AV4026" i="1"/>
  <c r="AW4025" i="1"/>
  <c r="AV4025" i="1"/>
  <c r="AU4025" i="1"/>
  <c r="AW4024" i="1"/>
  <c r="AV4024" i="1"/>
  <c r="AU4024" i="1"/>
  <c r="AW4023" i="1"/>
  <c r="AV4023" i="1"/>
  <c r="AW4022" i="1"/>
  <c r="AV4022" i="1"/>
  <c r="AW4021" i="1"/>
  <c r="AV4021" i="1"/>
  <c r="AU4021" i="1"/>
  <c r="AW4020" i="1"/>
  <c r="AV4020" i="1"/>
  <c r="AW4019" i="1"/>
  <c r="AV4019" i="1"/>
  <c r="AW4018" i="1"/>
  <c r="AV4018" i="1"/>
  <c r="AW4017" i="1"/>
  <c r="AV4017" i="1"/>
  <c r="AW4016" i="1"/>
  <c r="AV4016" i="1"/>
  <c r="AW4015" i="1"/>
  <c r="AV4015" i="1"/>
  <c r="AW4014" i="1"/>
  <c r="AV4014" i="1"/>
  <c r="AW4013" i="1"/>
  <c r="AV4013" i="1"/>
  <c r="AW4012" i="1"/>
  <c r="AV4012" i="1"/>
  <c r="AW4011" i="1"/>
  <c r="AV4011" i="1"/>
  <c r="AW4010" i="1"/>
  <c r="AV4010" i="1"/>
  <c r="AW4009" i="1"/>
  <c r="AV4009" i="1"/>
  <c r="AW4008" i="1"/>
  <c r="AV4008" i="1"/>
  <c r="AU4008" i="1"/>
  <c r="AW4007" i="1"/>
  <c r="AV4007" i="1"/>
  <c r="AW4006" i="1"/>
  <c r="AV4006" i="1"/>
  <c r="AW4005" i="1"/>
  <c r="AV4005" i="1"/>
  <c r="AW4004" i="1"/>
  <c r="AV4004" i="1"/>
  <c r="AU4004" i="1"/>
  <c r="AW4003" i="1"/>
  <c r="AV4003" i="1"/>
  <c r="AU4003" i="1"/>
  <c r="AW4002" i="1"/>
  <c r="AV4002" i="1"/>
  <c r="AU4002" i="1"/>
  <c r="AW4001" i="1"/>
  <c r="AV4001" i="1"/>
  <c r="AW4000" i="1"/>
  <c r="AV4000" i="1"/>
  <c r="AW3999" i="1"/>
  <c r="AV3999" i="1"/>
  <c r="AU3999" i="1"/>
  <c r="AW3998" i="1"/>
  <c r="AV3998" i="1"/>
  <c r="AW3997" i="1"/>
  <c r="AV3997" i="1"/>
  <c r="AW3995" i="1"/>
  <c r="AV3995" i="1"/>
  <c r="AU3995" i="1"/>
  <c r="AW3994" i="1"/>
  <c r="AV3994" i="1"/>
  <c r="AW3993" i="1"/>
  <c r="AV3993" i="1"/>
  <c r="AW3992" i="1"/>
  <c r="AV3992" i="1"/>
  <c r="AW3991" i="1"/>
  <c r="AV3991" i="1"/>
  <c r="AW3990" i="1"/>
  <c r="AV3990" i="1"/>
  <c r="AW3989" i="1"/>
  <c r="AV3989" i="1"/>
  <c r="AW3988" i="1"/>
  <c r="AV3988" i="1"/>
  <c r="AW3987" i="1"/>
  <c r="AV3987" i="1"/>
  <c r="AU3987" i="1"/>
  <c r="AW3986" i="1"/>
  <c r="AV3986" i="1"/>
  <c r="AW3985" i="1"/>
  <c r="AV3985" i="1"/>
  <c r="AW3984" i="1"/>
  <c r="AV3984" i="1"/>
  <c r="AW3983" i="1"/>
  <c r="AV3983" i="1"/>
  <c r="AW3982" i="1"/>
  <c r="AV3982" i="1"/>
  <c r="AU3982" i="1"/>
  <c r="AW3981" i="1"/>
  <c r="AV3981" i="1"/>
  <c r="AU3981" i="1"/>
  <c r="AW3980" i="1"/>
  <c r="AV3980" i="1"/>
  <c r="AU3980" i="1"/>
  <c r="AW3979" i="1"/>
  <c r="AV3979" i="1"/>
  <c r="AU3979" i="1"/>
  <c r="AW3978" i="1"/>
  <c r="AV3978" i="1"/>
  <c r="AW3977" i="1"/>
  <c r="AV3977" i="1"/>
  <c r="AW3976" i="1"/>
  <c r="AV3976" i="1"/>
  <c r="AW3975" i="1"/>
  <c r="AV3975" i="1"/>
  <c r="AU3975" i="1"/>
  <c r="AW3974" i="1"/>
  <c r="AV3974" i="1"/>
  <c r="AU3974" i="1"/>
  <c r="AW3973" i="1"/>
  <c r="AV3973" i="1"/>
  <c r="AW3972" i="1"/>
  <c r="AV3972" i="1"/>
  <c r="AW3971" i="1"/>
  <c r="AV3971" i="1"/>
  <c r="AW3970" i="1"/>
  <c r="AV3970" i="1"/>
  <c r="AW3969" i="1"/>
  <c r="AV3969" i="1"/>
  <c r="AW3968" i="1"/>
  <c r="AV3968" i="1"/>
  <c r="AW3967" i="1"/>
  <c r="AV3967" i="1"/>
  <c r="AW3966" i="1"/>
  <c r="AV3966" i="1"/>
  <c r="AW3965" i="1"/>
  <c r="AV3965" i="1"/>
  <c r="AW3964" i="1"/>
  <c r="AV3964" i="1"/>
  <c r="AW3963" i="1"/>
  <c r="AV3963" i="1"/>
  <c r="AU3963" i="1"/>
  <c r="AW3962" i="1"/>
  <c r="AV3962" i="1"/>
  <c r="AU3962" i="1"/>
  <c r="AW3961" i="1"/>
  <c r="AV3961" i="1"/>
  <c r="AW3960" i="1"/>
  <c r="AV3960" i="1"/>
  <c r="AU3960" i="1"/>
  <c r="AW3959" i="1"/>
  <c r="AV3959" i="1"/>
  <c r="AU3959" i="1"/>
  <c r="AW3958" i="1"/>
  <c r="AV3958" i="1"/>
  <c r="AW3957" i="1"/>
  <c r="AV3957" i="1"/>
  <c r="AU3957" i="1"/>
  <c r="AW3956" i="1"/>
  <c r="AV3956" i="1"/>
  <c r="AW3955" i="1"/>
  <c r="AV3955" i="1"/>
  <c r="AW3954" i="1"/>
  <c r="AV3954" i="1"/>
  <c r="AW3953" i="1"/>
  <c r="AV3953" i="1"/>
  <c r="AW3952" i="1"/>
  <c r="AV3952" i="1"/>
  <c r="AW3951" i="1"/>
  <c r="AV3951" i="1"/>
  <c r="AU3951" i="1"/>
  <c r="AW3950" i="1"/>
  <c r="AV3950" i="1"/>
  <c r="AU3950" i="1"/>
  <c r="AW3949" i="1"/>
  <c r="AV3949" i="1"/>
  <c r="AW3948" i="1"/>
  <c r="AV3948" i="1"/>
  <c r="AW3947" i="1"/>
  <c r="AV3947" i="1"/>
  <c r="AW3946" i="1"/>
  <c r="AV3946" i="1"/>
  <c r="AW3945" i="1"/>
  <c r="AV3945" i="1"/>
  <c r="AU3945" i="1"/>
  <c r="AW3944" i="1"/>
  <c r="AV3944" i="1"/>
  <c r="AU3944" i="1"/>
  <c r="AW3943" i="1"/>
  <c r="AV3943" i="1"/>
  <c r="AU3943" i="1"/>
  <c r="AW3942" i="1"/>
  <c r="AV3942" i="1"/>
  <c r="AW3941" i="1"/>
  <c r="AV3941" i="1"/>
  <c r="AW3940" i="1"/>
  <c r="AV3940" i="1"/>
  <c r="AW3939" i="1"/>
  <c r="AV3939" i="1"/>
  <c r="AW3938" i="1"/>
  <c r="AV3938" i="1"/>
  <c r="AW3937" i="1"/>
  <c r="AV3937" i="1"/>
  <c r="AW3936" i="1"/>
  <c r="AV3936" i="1"/>
  <c r="AW3935" i="1"/>
  <c r="AV3935" i="1"/>
  <c r="AW3934" i="1"/>
  <c r="AV3934" i="1"/>
  <c r="AW3933" i="1"/>
  <c r="AV3933" i="1"/>
  <c r="AW3932" i="1"/>
  <c r="AV3932" i="1"/>
  <c r="AW3931" i="1"/>
  <c r="AV3931" i="1"/>
  <c r="AW3930" i="1"/>
  <c r="AV3930" i="1"/>
  <c r="AW3929" i="1"/>
  <c r="AV3929" i="1"/>
  <c r="AU3929" i="1"/>
  <c r="AW3928" i="1"/>
  <c r="AV3928" i="1"/>
  <c r="AW3927" i="1"/>
  <c r="AV3927" i="1"/>
  <c r="AU3927" i="1"/>
  <c r="AW3926" i="1"/>
  <c r="AV3926" i="1"/>
  <c r="AW3925" i="1"/>
  <c r="AV3925" i="1"/>
  <c r="AW3924" i="1"/>
  <c r="AV3924" i="1"/>
  <c r="AW3923" i="1"/>
  <c r="AV3923" i="1"/>
  <c r="AW3922" i="1"/>
  <c r="AV3922" i="1"/>
  <c r="AU3922" i="1"/>
  <c r="AW3921" i="1"/>
  <c r="AV3921" i="1"/>
  <c r="AU3921" i="1"/>
  <c r="AW3920" i="1"/>
  <c r="AV3920" i="1"/>
  <c r="AU3920" i="1"/>
  <c r="AW3919" i="1"/>
  <c r="AV3919" i="1"/>
  <c r="AU3919" i="1"/>
  <c r="AW3918" i="1"/>
  <c r="AV3918" i="1"/>
  <c r="AU3918" i="1"/>
  <c r="AW3917" i="1"/>
  <c r="AV3917" i="1"/>
  <c r="AU3917" i="1"/>
  <c r="AW3916" i="1"/>
  <c r="AV3916" i="1"/>
  <c r="AW3915" i="1"/>
  <c r="AV3915" i="1"/>
  <c r="AW3914" i="1"/>
  <c r="AV3914" i="1"/>
  <c r="AW3913" i="1"/>
  <c r="AV3913" i="1"/>
  <c r="AW3912" i="1"/>
  <c r="AV3912" i="1"/>
  <c r="AW3911" i="1"/>
  <c r="AV3911" i="1"/>
  <c r="AW3910" i="1"/>
  <c r="AV3910" i="1"/>
  <c r="AW3909" i="1"/>
  <c r="AV3909" i="1"/>
  <c r="AW3908" i="1"/>
  <c r="AV3908" i="1"/>
  <c r="AW3907" i="1"/>
  <c r="AV3907" i="1"/>
  <c r="AW3906" i="1"/>
  <c r="AV3906" i="1"/>
  <c r="AW3905" i="1"/>
  <c r="AV3905" i="1"/>
  <c r="AU3905" i="1"/>
  <c r="AW3904" i="1"/>
  <c r="AV3904" i="1"/>
  <c r="AW3903" i="1"/>
  <c r="AV3903" i="1"/>
  <c r="AW3902" i="1"/>
  <c r="AV3902" i="1"/>
  <c r="AU3902" i="1"/>
  <c r="AW3901" i="1"/>
  <c r="AV3901" i="1"/>
  <c r="AU3901" i="1"/>
  <c r="AW3900" i="1"/>
  <c r="AV3900" i="1"/>
  <c r="AW3899" i="1"/>
  <c r="AV3899" i="1"/>
  <c r="AW3898" i="1"/>
  <c r="AV3898" i="1"/>
  <c r="AW3897" i="1"/>
  <c r="AV3897" i="1"/>
  <c r="AU3897" i="1"/>
  <c r="AW3896" i="1"/>
  <c r="AV3896" i="1"/>
  <c r="AW3895" i="1"/>
  <c r="AV3895" i="1"/>
  <c r="AU3895" i="1"/>
  <c r="AW3894" i="1"/>
  <c r="AV3894" i="1"/>
  <c r="AW3893" i="1"/>
  <c r="AV3893" i="1"/>
  <c r="AU3893" i="1"/>
  <c r="AW3892" i="1"/>
  <c r="AV3892" i="1"/>
  <c r="AU3892" i="1"/>
  <c r="AW3891" i="1"/>
  <c r="AV3891" i="1"/>
  <c r="AW3890" i="1"/>
  <c r="AV3890" i="1"/>
  <c r="AU3890" i="1"/>
  <c r="AW3889" i="1"/>
  <c r="AV3889" i="1"/>
  <c r="AW3888" i="1"/>
  <c r="AV3888" i="1"/>
  <c r="AW3887" i="1"/>
  <c r="AV3887" i="1"/>
  <c r="AW3886" i="1"/>
  <c r="AV3886" i="1"/>
  <c r="AW3885" i="1"/>
  <c r="AV3885" i="1"/>
  <c r="AW3884" i="1"/>
  <c r="AV3884" i="1"/>
  <c r="AW3883" i="1"/>
  <c r="AV3883" i="1"/>
  <c r="AW3882" i="1"/>
  <c r="AV3882" i="1"/>
  <c r="AW3881" i="1"/>
  <c r="AV3881" i="1"/>
  <c r="AW3880" i="1"/>
  <c r="AV3880" i="1"/>
  <c r="AW3879" i="1"/>
  <c r="AV3879" i="1"/>
  <c r="AW3878" i="1"/>
  <c r="AV3878" i="1"/>
  <c r="AW3877" i="1"/>
  <c r="AV3877" i="1"/>
  <c r="AW3876" i="1"/>
  <c r="AV3876" i="1"/>
  <c r="AW3875" i="1"/>
  <c r="AV3875" i="1"/>
  <c r="AW3874" i="1"/>
  <c r="AV3874" i="1"/>
  <c r="AU3874" i="1"/>
  <c r="AW3873" i="1"/>
  <c r="AV3873" i="1"/>
  <c r="AW3872" i="1"/>
  <c r="AV3872" i="1"/>
  <c r="AU3872" i="1"/>
  <c r="AW3871" i="1"/>
  <c r="AV3871" i="1"/>
  <c r="AU3871" i="1"/>
  <c r="AW3870" i="1"/>
  <c r="AV3870" i="1"/>
  <c r="AW3869" i="1"/>
  <c r="AV3869" i="1"/>
  <c r="AU3869" i="1"/>
  <c r="AW3868" i="1"/>
  <c r="AV3868" i="1"/>
  <c r="AW3867" i="1"/>
  <c r="AV3867" i="1"/>
  <c r="AU3867" i="1"/>
  <c r="AW3866" i="1"/>
  <c r="AV3866" i="1"/>
  <c r="AU3866" i="1"/>
  <c r="AW3865" i="1"/>
  <c r="AV3865" i="1"/>
  <c r="AU3865" i="1"/>
  <c r="AW3864" i="1"/>
  <c r="AV3864" i="1"/>
  <c r="AU3864" i="1"/>
  <c r="AW3863" i="1"/>
  <c r="AV3863" i="1"/>
  <c r="AU3863" i="1"/>
  <c r="AW3862" i="1"/>
  <c r="AV3862" i="1"/>
  <c r="AU3862" i="1"/>
  <c r="AW3861" i="1"/>
  <c r="AV3861" i="1"/>
  <c r="AU3861" i="1"/>
  <c r="AW3860" i="1"/>
  <c r="AV3860" i="1"/>
  <c r="AU3860" i="1"/>
  <c r="AW3859" i="1"/>
  <c r="AV3859" i="1"/>
  <c r="AU3859" i="1"/>
  <c r="AW3858" i="1"/>
  <c r="AV3858" i="1"/>
  <c r="AU3858" i="1"/>
  <c r="AW3857" i="1"/>
  <c r="AV3857" i="1"/>
  <c r="AU3857" i="1"/>
  <c r="AW3856" i="1"/>
  <c r="AV3856" i="1"/>
  <c r="AU3856" i="1"/>
  <c r="AW3855" i="1"/>
  <c r="AV3855" i="1"/>
  <c r="AU3855" i="1"/>
  <c r="AW3854" i="1"/>
  <c r="AV3854" i="1"/>
  <c r="AU3854" i="1"/>
  <c r="AW3853" i="1"/>
  <c r="AV3853" i="1"/>
  <c r="AU3853" i="1"/>
  <c r="AW3852" i="1"/>
  <c r="AV3852" i="1"/>
  <c r="AU3852" i="1"/>
  <c r="AW3851" i="1"/>
  <c r="AV3851" i="1"/>
  <c r="AU3851" i="1"/>
  <c r="AW3850" i="1"/>
  <c r="AV3850" i="1"/>
  <c r="AU3850" i="1"/>
  <c r="AW3849" i="1"/>
  <c r="AV3849" i="1"/>
  <c r="AU3849" i="1"/>
  <c r="AW3848" i="1"/>
  <c r="AV3848" i="1"/>
  <c r="AU3848" i="1"/>
  <c r="AW3847" i="1"/>
  <c r="AV3847" i="1"/>
  <c r="AU3847" i="1"/>
  <c r="AW3846" i="1"/>
  <c r="AV3846" i="1"/>
  <c r="AU3846" i="1"/>
  <c r="AW3845" i="1"/>
  <c r="AV3845" i="1"/>
  <c r="AU3845" i="1"/>
  <c r="AW3844" i="1"/>
  <c r="AV3844" i="1"/>
  <c r="AU3844" i="1"/>
  <c r="AW3843" i="1"/>
  <c r="AV3843" i="1"/>
  <c r="AU3843" i="1"/>
  <c r="AW3842" i="1"/>
  <c r="AV3842" i="1"/>
  <c r="AU3842" i="1"/>
  <c r="AW3841" i="1"/>
  <c r="AV3841" i="1"/>
  <c r="AU3841" i="1"/>
  <c r="AW3840" i="1"/>
  <c r="AV3840" i="1"/>
  <c r="AU3840" i="1"/>
  <c r="AW3839" i="1"/>
  <c r="AV3839" i="1"/>
  <c r="AU3839" i="1"/>
  <c r="AW3838" i="1"/>
  <c r="AV3838" i="1"/>
  <c r="AU3838" i="1"/>
  <c r="AW3837" i="1"/>
  <c r="AV3837" i="1"/>
  <c r="AU3837" i="1"/>
  <c r="AW3836" i="1"/>
  <c r="AV3836" i="1"/>
  <c r="AU3836" i="1"/>
  <c r="AW3835" i="1"/>
  <c r="AV3835" i="1"/>
  <c r="AU3835" i="1"/>
  <c r="AW3834" i="1"/>
  <c r="AV3834" i="1"/>
  <c r="AU3834" i="1"/>
  <c r="AW3833" i="1"/>
  <c r="AV3833" i="1"/>
  <c r="AU3833" i="1"/>
  <c r="AW3832" i="1"/>
  <c r="AV3832" i="1"/>
  <c r="AU3832" i="1"/>
  <c r="AW3831" i="1"/>
  <c r="AV3831" i="1"/>
  <c r="AU3831" i="1"/>
  <c r="AW3830" i="1"/>
  <c r="AV3830" i="1"/>
  <c r="AU3830" i="1"/>
  <c r="AW3829" i="1"/>
  <c r="AV3829" i="1"/>
  <c r="AU3829" i="1"/>
  <c r="AW3828" i="1"/>
  <c r="AV3828" i="1"/>
  <c r="AU3828" i="1"/>
  <c r="AW3827" i="1"/>
  <c r="AV3827" i="1"/>
  <c r="AU3827" i="1"/>
  <c r="AW3826" i="1"/>
  <c r="AV3826" i="1"/>
  <c r="AU3826" i="1"/>
  <c r="AW3825" i="1"/>
  <c r="AV3825" i="1"/>
  <c r="AU3825" i="1"/>
  <c r="AW3824" i="1"/>
  <c r="AV3824" i="1"/>
  <c r="AU3824" i="1"/>
  <c r="AW3823" i="1"/>
  <c r="AV3823" i="1"/>
  <c r="AU3823" i="1"/>
  <c r="AW3822" i="1"/>
  <c r="AV3822" i="1"/>
  <c r="AU3822" i="1"/>
  <c r="AW3821" i="1"/>
  <c r="AV3821" i="1"/>
  <c r="AU3821" i="1"/>
  <c r="AW3820" i="1"/>
  <c r="AV3820" i="1"/>
  <c r="AU3820" i="1"/>
  <c r="AW3819" i="1"/>
  <c r="AV3819" i="1"/>
  <c r="AU3819" i="1"/>
  <c r="AW3818" i="1"/>
  <c r="AV3818" i="1"/>
  <c r="AU3818" i="1"/>
  <c r="AW3817" i="1"/>
  <c r="AV3817" i="1"/>
  <c r="AU3817" i="1"/>
  <c r="AW3816" i="1"/>
  <c r="AV3816" i="1"/>
  <c r="AU3816" i="1"/>
  <c r="AW3815" i="1"/>
  <c r="AV3815" i="1"/>
  <c r="AU3815" i="1"/>
  <c r="AW3814" i="1"/>
  <c r="AV3814" i="1"/>
  <c r="AU3814" i="1"/>
  <c r="AW3813" i="1"/>
  <c r="AV3813" i="1"/>
  <c r="AU3813" i="1"/>
  <c r="AW3812" i="1"/>
  <c r="AV3812" i="1"/>
  <c r="AU3812" i="1"/>
  <c r="AW3811" i="1"/>
  <c r="AV3811" i="1"/>
  <c r="AU3811" i="1"/>
  <c r="AW3810" i="1"/>
  <c r="AV3810" i="1"/>
  <c r="AU3810" i="1"/>
  <c r="AW3809" i="1"/>
  <c r="AV3809" i="1"/>
  <c r="AU3809" i="1"/>
  <c r="AW3808" i="1"/>
  <c r="AV3808" i="1"/>
  <c r="AU3808" i="1"/>
  <c r="AW3807" i="1"/>
  <c r="AV3807" i="1"/>
  <c r="AU3807" i="1"/>
  <c r="AW3806" i="1"/>
  <c r="AV3806" i="1"/>
  <c r="AU3806" i="1"/>
  <c r="AW3805" i="1"/>
  <c r="AV3805" i="1"/>
  <c r="AU3805" i="1"/>
  <c r="AW3804" i="1"/>
  <c r="AV3804" i="1"/>
  <c r="AU3804" i="1"/>
  <c r="AW3803" i="1"/>
  <c r="AV3803" i="1"/>
  <c r="AU3803" i="1"/>
  <c r="AW3802" i="1"/>
  <c r="AV3802" i="1"/>
  <c r="AU3802" i="1"/>
  <c r="AW3801" i="1"/>
  <c r="AV3801" i="1"/>
  <c r="AU3801" i="1"/>
  <c r="AW3800" i="1"/>
  <c r="AV3800" i="1"/>
  <c r="AU3800" i="1"/>
  <c r="AW3799" i="1"/>
  <c r="AV3799" i="1"/>
  <c r="AU3799" i="1"/>
  <c r="AW3798" i="1"/>
  <c r="AV3798" i="1"/>
  <c r="AU3798" i="1"/>
  <c r="AW3797" i="1"/>
  <c r="AV3797" i="1"/>
  <c r="AU3797" i="1"/>
  <c r="AW3796" i="1"/>
  <c r="AV3796" i="1"/>
  <c r="AU3796" i="1"/>
  <c r="AW3795" i="1"/>
  <c r="AV3795" i="1"/>
  <c r="AU3795" i="1"/>
  <c r="AW3794" i="1"/>
  <c r="AV3794" i="1"/>
  <c r="AW3793" i="1"/>
  <c r="AV3793" i="1"/>
  <c r="AU3793" i="1"/>
  <c r="AW3792" i="1"/>
  <c r="AV3792" i="1"/>
  <c r="AU3792" i="1"/>
  <c r="AW3791" i="1"/>
  <c r="AV3791" i="1"/>
  <c r="AW3790" i="1"/>
  <c r="AV3790" i="1"/>
  <c r="AW3789" i="1"/>
  <c r="AV3789" i="1"/>
  <c r="AU3789" i="1"/>
  <c r="AW3788" i="1"/>
  <c r="AV3788" i="1"/>
  <c r="AW3787" i="1"/>
  <c r="AV3787" i="1"/>
  <c r="AW3786" i="1"/>
  <c r="AV3786" i="1"/>
  <c r="AU3786" i="1"/>
  <c r="AW3785" i="1"/>
  <c r="AV3785" i="1"/>
  <c r="AU3785" i="1"/>
  <c r="AW3784" i="1"/>
  <c r="AV3784" i="1"/>
  <c r="AW3783" i="1"/>
  <c r="AV3783" i="1"/>
  <c r="AW3782" i="1"/>
  <c r="AV3782" i="1"/>
  <c r="AU3782" i="1"/>
  <c r="AW3781" i="1"/>
  <c r="AV3781" i="1"/>
  <c r="AU3781" i="1"/>
  <c r="AW3780" i="1"/>
  <c r="AV3780" i="1"/>
  <c r="AW3779" i="1"/>
  <c r="AV3779" i="1"/>
  <c r="AU3779" i="1"/>
  <c r="AW3778" i="1"/>
  <c r="AV3778" i="1"/>
  <c r="AW3777" i="1"/>
  <c r="AV3777" i="1"/>
  <c r="AW3776" i="1"/>
  <c r="AV3776" i="1"/>
  <c r="AW3775" i="1"/>
  <c r="AV3775" i="1"/>
  <c r="AW3774" i="1"/>
  <c r="AV3774" i="1"/>
  <c r="AW3773" i="1"/>
  <c r="AV3773" i="1"/>
  <c r="AW3772" i="1"/>
  <c r="AV3772" i="1"/>
  <c r="AW3771" i="1"/>
  <c r="AV3771" i="1"/>
  <c r="AW3770" i="1"/>
  <c r="AV3770" i="1"/>
  <c r="AW3769" i="1"/>
  <c r="AV3769" i="1"/>
  <c r="AU3769" i="1"/>
  <c r="AW3768" i="1"/>
  <c r="AV3768" i="1"/>
  <c r="AU3768" i="1"/>
  <c r="AW3767" i="1"/>
  <c r="AV3767" i="1"/>
  <c r="AU3767" i="1"/>
  <c r="AW3766" i="1"/>
  <c r="AV3766" i="1"/>
  <c r="AW3765" i="1"/>
  <c r="AV3765" i="1"/>
  <c r="AW3764" i="1"/>
  <c r="AV3764" i="1"/>
  <c r="AW3763" i="1"/>
  <c r="AV3763" i="1"/>
  <c r="AU3763" i="1"/>
  <c r="AW3762" i="1"/>
  <c r="AV3762" i="1"/>
  <c r="AW3761" i="1"/>
  <c r="AV3761" i="1"/>
  <c r="AU3761" i="1"/>
  <c r="AW3760" i="1"/>
  <c r="AV3760" i="1"/>
  <c r="AW3759" i="1"/>
  <c r="AV3759" i="1"/>
  <c r="AW3758" i="1"/>
  <c r="AV3758" i="1"/>
  <c r="AW3757" i="1"/>
  <c r="AV3757" i="1"/>
  <c r="AW3756" i="1"/>
  <c r="AV3756" i="1"/>
  <c r="AU3756" i="1"/>
  <c r="AW3755" i="1"/>
  <c r="AV3755" i="1"/>
  <c r="AW3754" i="1"/>
  <c r="AV3754" i="1"/>
  <c r="AW3753" i="1"/>
  <c r="AV3753" i="1"/>
  <c r="AW3752" i="1"/>
  <c r="AV3752" i="1"/>
  <c r="AW3751" i="1"/>
  <c r="AV3751" i="1"/>
  <c r="AW3750" i="1"/>
  <c r="AV3750" i="1"/>
  <c r="AW3749" i="1"/>
  <c r="AV3749" i="1"/>
  <c r="AW3748" i="1"/>
  <c r="AV3748" i="1"/>
  <c r="AW3747" i="1"/>
  <c r="AV3747" i="1"/>
  <c r="AW3746" i="1"/>
  <c r="AV3746" i="1"/>
  <c r="AW3745" i="1"/>
  <c r="AV3745" i="1"/>
  <c r="AW3744" i="1"/>
  <c r="AV3744" i="1"/>
  <c r="AU3744" i="1"/>
  <c r="AW3743" i="1"/>
  <c r="AV3743" i="1"/>
  <c r="AW3741" i="1"/>
  <c r="AV3741" i="1"/>
  <c r="AW3740" i="1"/>
  <c r="AV3740" i="1"/>
  <c r="AU3740" i="1"/>
  <c r="AW3739" i="1"/>
  <c r="AV3739" i="1"/>
  <c r="AW3738" i="1"/>
  <c r="AV3738" i="1"/>
  <c r="AW3737" i="1"/>
  <c r="AV3737" i="1"/>
  <c r="AU3737" i="1"/>
  <c r="AW3736" i="1"/>
  <c r="AV3736" i="1"/>
  <c r="AU3736" i="1"/>
  <c r="AW3735" i="1"/>
  <c r="AV3735" i="1"/>
  <c r="AW3734" i="1"/>
  <c r="AV3734" i="1"/>
  <c r="AW3733" i="1"/>
  <c r="AV3733" i="1"/>
  <c r="AW3732" i="1"/>
  <c r="AV3732" i="1"/>
  <c r="AW3731" i="1"/>
  <c r="AV3731" i="1"/>
  <c r="AW3730" i="1"/>
  <c r="AV3730" i="1"/>
  <c r="AW3729" i="1"/>
  <c r="AV3729" i="1"/>
  <c r="AW3728" i="1"/>
  <c r="AV3728" i="1"/>
  <c r="AW3727" i="1"/>
  <c r="AV3727" i="1"/>
  <c r="AW3726" i="1"/>
  <c r="AV3726" i="1"/>
  <c r="AW3725" i="1"/>
  <c r="AV3725" i="1"/>
  <c r="AW3724" i="1"/>
  <c r="AV3724" i="1"/>
  <c r="AW3723" i="1"/>
  <c r="AV3723" i="1"/>
  <c r="AW3722" i="1"/>
  <c r="AV3722" i="1"/>
  <c r="AW3721" i="1"/>
  <c r="AV3721" i="1"/>
  <c r="AW3720" i="1"/>
  <c r="AV3720" i="1"/>
  <c r="AW3719" i="1"/>
  <c r="AV3719" i="1"/>
  <c r="AW3718" i="1"/>
  <c r="AV3718" i="1"/>
  <c r="AW3717" i="1"/>
  <c r="AV3717" i="1"/>
  <c r="AW3716" i="1"/>
  <c r="AV3716" i="1"/>
  <c r="AW3715" i="1"/>
  <c r="AV3715" i="1"/>
  <c r="AW3714" i="1"/>
  <c r="AV3714" i="1"/>
  <c r="AW3713" i="1"/>
  <c r="AV3713" i="1"/>
  <c r="AW3712" i="1"/>
  <c r="AV3712" i="1"/>
  <c r="AW3711" i="1"/>
  <c r="AV3711" i="1"/>
  <c r="AW3710" i="1"/>
  <c r="AV3710" i="1"/>
  <c r="AW3709" i="1"/>
  <c r="AV3709" i="1"/>
  <c r="AW3708" i="1"/>
  <c r="AV3708" i="1"/>
  <c r="AW3707" i="1"/>
  <c r="AV3707" i="1"/>
  <c r="AW3706" i="1"/>
  <c r="AV3706" i="1"/>
  <c r="AU3706" i="1"/>
  <c r="AW3705" i="1"/>
  <c r="AV3705" i="1"/>
  <c r="AW3704" i="1"/>
  <c r="AV3704" i="1"/>
  <c r="AW3703" i="1"/>
  <c r="AV3703" i="1"/>
  <c r="AW3702" i="1"/>
  <c r="AV3702" i="1"/>
  <c r="AW3701" i="1"/>
  <c r="AV3701" i="1"/>
  <c r="AU3701" i="1"/>
  <c r="AW3700" i="1"/>
  <c r="AV3700" i="1"/>
  <c r="AW3699" i="1"/>
  <c r="AV3699" i="1"/>
  <c r="AW3698" i="1"/>
  <c r="AV3698" i="1"/>
  <c r="AU3698" i="1"/>
  <c r="AW3697" i="1"/>
  <c r="AV3697" i="1"/>
  <c r="AW3696" i="1"/>
  <c r="AV3696" i="1"/>
  <c r="AW3695" i="1"/>
  <c r="AV3695" i="1"/>
  <c r="AW3694" i="1"/>
  <c r="AV3694" i="1"/>
  <c r="AW3693" i="1"/>
  <c r="AV3693" i="1"/>
  <c r="AW3692" i="1"/>
  <c r="AV3692" i="1"/>
  <c r="AW3691" i="1"/>
  <c r="AV3691" i="1"/>
  <c r="AW3690" i="1"/>
  <c r="AV3690" i="1"/>
  <c r="AW3689" i="1"/>
  <c r="AV3689" i="1"/>
  <c r="AW3688" i="1"/>
  <c r="AV3688" i="1"/>
  <c r="AW3687" i="1"/>
  <c r="AV3687" i="1"/>
  <c r="AW3686" i="1"/>
  <c r="AV3686" i="1"/>
  <c r="AW3685" i="1"/>
  <c r="AV3685" i="1"/>
  <c r="AW3684" i="1"/>
  <c r="AV3684" i="1"/>
  <c r="AW3683" i="1"/>
  <c r="AV3683" i="1"/>
  <c r="AW3682" i="1"/>
  <c r="AV3682" i="1"/>
  <c r="AW3681" i="1"/>
  <c r="AV3681" i="1"/>
  <c r="AW3680" i="1"/>
  <c r="AV3680" i="1"/>
  <c r="AW3679" i="1"/>
  <c r="AV3679" i="1"/>
  <c r="AW3678" i="1"/>
  <c r="AV3678" i="1"/>
  <c r="AW3677" i="1"/>
  <c r="AV3677" i="1"/>
  <c r="AW3676" i="1"/>
  <c r="AV3676" i="1"/>
  <c r="AW3675" i="1"/>
  <c r="AV3675" i="1"/>
  <c r="AU3675" i="1"/>
  <c r="AW3674" i="1"/>
  <c r="AV3674" i="1"/>
  <c r="AU3674" i="1"/>
  <c r="AW3673" i="1"/>
  <c r="AV3673" i="1"/>
  <c r="AU3673" i="1"/>
  <c r="AW3672" i="1"/>
  <c r="AV3672" i="1"/>
  <c r="AU3672" i="1"/>
  <c r="AW3671" i="1"/>
  <c r="AV3671" i="1"/>
  <c r="AW3670" i="1"/>
  <c r="AV3670" i="1"/>
  <c r="AU3670" i="1"/>
  <c r="AW3669" i="1"/>
  <c r="AV3669" i="1"/>
  <c r="AW3668" i="1"/>
  <c r="AV3668" i="1"/>
  <c r="AU3668" i="1"/>
  <c r="AW3667" i="1"/>
  <c r="AV3667" i="1"/>
  <c r="AU3667" i="1"/>
  <c r="AW3666" i="1"/>
  <c r="AV3666" i="1"/>
  <c r="AW3665" i="1"/>
  <c r="AV3665" i="1"/>
  <c r="AW3664" i="1"/>
  <c r="AV3664" i="1"/>
  <c r="AW3663" i="1"/>
  <c r="AV3663" i="1"/>
  <c r="AW3662" i="1"/>
  <c r="AV3662" i="1"/>
  <c r="AW3661" i="1"/>
  <c r="AV3661" i="1"/>
  <c r="AW3660" i="1"/>
  <c r="AV3660" i="1"/>
  <c r="AW3659" i="1"/>
  <c r="AV3659" i="1"/>
  <c r="AW3658" i="1"/>
  <c r="AV3658" i="1"/>
  <c r="AW3657" i="1"/>
  <c r="AV3657" i="1"/>
  <c r="AW3656" i="1"/>
  <c r="AV3656" i="1"/>
  <c r="AW3655" i="1"/>
  <c r="AV3655" i="1"/>
  <c r="AW3654" i="1"/>
  <c r="AV3654" i="1"/>
  <c r="AW3653" i="1"/>
  <c r="AV3653" i="1"/>
  <c r="AW3652" i="1"/>
  <c r="AV3652" i="1"/>
  <c r="AW3651" i="1"/>
  <c r="AV3651" i="1"/>
  <c r="AW3650" i="1"/>
  <c r="AV3650" i="1"/>
  <c r="AW3649" i="1"/>
  <c r="AV3649" i="1"/>
  <c r="AW3648" i="1"/>
  <c r="AV3648" i="1"/>
  <c r="AW3647" i="1"/>
  <c r="AV3647" i="1"/>
  <c r="AU3647" i="1"/>
  <c r="AW3646" i="1"/>
  <c r="AV3646" i="1"/>
  <c r="AW3645" i="1"/>
  <c r="AV3645" i="1"/>
  <c r="AW3644" i="1"/>
  <c r="AV3644" i="1"/>
  <c r="AU3644" i="1"/>
  <c r="AW3643" i="1"/>
  <c r="AV3643" i="1"/>
  <c r="AW3642" i="1"/>
  <c r="AV3642" i="1"/>
  <c r="AW3641" i="1"/>
  <c r="AV3641" i="1"/>
  <c r="AU3641" i="1"/>
  <c r="AW3640" i="1"/>
  <c r="AV3640" i="1"/>
  <c r="AU3640" i="1"/>
  <c r="AW3639" i="1"/>
  <c r="AV3639" i="1"/>
  <c r="AW3638" i="1"/>
  <c r="AV3638" i="1"/>
  <c r="AW3637" i="1"/>
  <c r="AV3637" i="1"/>
  <c r="AU3637" i="1"/>
  <c r="AW3636" i="1"/>
  <c r="AV3636" i="1"/>
  <c r="AU3636" i="1"/>
  <c r="AW3635" i="1"/>
  <c r="AV3635" i="1"/>
  <c r="AU3635" i="1"/>
  <c r="AW3634" i="1"/>
  <c r="AV3634" i="1"/>
  <c r="AW3633" i="1"/>
  <c r="AV3633" i="1"/>
  <c r="AU3633" i="1"/>
  <c r="AW3632" i="1"/>
  <c r="AV3632" i="1"/>
  <c r="AW3631" i="1"/>
  <c r="AV3631" i="1"/>
  <c r="AU3631" i="1"/>
  <c r="AW3630" i="1"/>
  <c r="AV3630" i="1"/>
  <c r="AU3630" i="1"/>
  <c r="AW3629" i="1"/>
  <c r="AV3629" i="1"/>
  <c r="AU3629" i="1"/>
  <c r="AW3628" i="1"/>
  <c r="AV3628" i="1"/>
  <c r="AW3627" i="1"/>
  <c r="AV3627" i="1"/>
  <c r="AU3627" i="1"/>
  <c r="AW3626" i="1"/>
  <c r="AV3626" i="1"/>
  <c r="AW3625" i="1"/>
  <c r="AV3625" i="1"/>
  <c r="AU3625" i="1"/>
  <c r="AW3624" i="1"/>
  <c r="AV3624" i="1"/>
  <c r="AU3624" i="1"/>
  <c r="AW3623" i="1"/>
  <c r="AV3623" i="1"/>
  <c r="AW3622" i="1"/>
  <c r="AV3622" i="1"/>
  <c r="AW3621" i="1"/>
  <c r="AV3621" i="1"/>
  <c r="AU3621" i="1"/>
  <c r="AW3620" i="1"/>
  <c r="AV3620" i="1"/>
  <c r="AW3619" i="1"/>
  <c r="AV3619" i="1"/>
  <c r="AU3619" i="1"/>
  <c r="AW3618" i="1"/>
  <c r="AV3618" i="1"/>
  <c r="AU3618" i="1"/>
  <c r="AW3617" i="1"/>
  <c r="AV3617" i="1"/>
  <c r="AW3616" i="1"/>
  <c r="AV3616" i="1"/>
  <c r="AW3615" i="1"/>
  <c r="AV3615" i="1"/>
  <c r="AW3614" i="1"/>
  <c r="AV3614" i="1"/>
  <c r="AW3613" i="1"/>
  <c r="AV3613" i="1"/>
  <c r="AU3613" i="1"/>
  <c r="AW3612" i="1"/>
  <c r="AV3612" i="1"/>
  <c r="AU3612" i="1"/>
  <c r="AW3611" i="1"/>
  <c r="AV3611" i="1"/>
  <c r="AW3610" i="1"/>
  <c r="AV3610" i="1"/>
  <c r="AU3610" i="1"/>
  <c r="AW3609" i="1"/>
  <c r="AV3609" i="1"/>
  <c r="AW3608" i="1"/>
  <c r="AV3608" i="1"/>
  <c r="AW3607" i="1"/>
  <c r="AV3607" i="1"/>
  <c r="AU3607" i="1"/>
  <c r="AW3606" i="1"/>
  <c r="AV3606" i="1"/>
  <c r="AU3606" i="1"/>
  <c r="AW3605" i="1"/>
  <c r="AV3605" i="1"/>
  <c r="AU3605" i="1"/>
  <c r="AW3604" i="1"/>
  <c r="AV3604" i="1"/>
  <c r="AW3603" i="1"/>
  <c r="AV3603" i="1"/>
  <c r="AW3602" i="1"/>
  <c r="AV3602" i="1"/>
  <c r="AW3601" i="1"/>
  <c r="AV3601" i="1"/>
  <c r="AW3600" i="1"/>
  <c r="AV3600" i="1"/>
  <c r="AW3599" i="1"/>
  <c r="AV3599" i="1"/>
  <c r="AW3598" i="1"/>
  <c r="AV3598" i="1"/>
  <c r="AW3597" i="1"/>
  <c r="AV3597" i="1"/>
  <c r="AW3596" i="1"/>
  <c r="AV3596" i="1"/>
  <c r="AW3595" i="1"/>
  <c r="AV3595" i="1"/>
  <c r="AW3594" i="1"/>
  <c r="AV3594" i="1"/>
  <c r="AW3593" i="1"/>
  <c r="AV3593" i="1"/>
  <c r="AU3593" i="1"/>
  <c r="AW3592" i="1"/>
  <c r="AV3592" i="1"/>
  <c r="AU3592" i="1"/>
  <c r="AW3591" i="1"/>
  <c r="AV3591" i="1"/>
  <c r="AW3590" i="1"/>
  <c r="AV3590" i="1"/>
  <c r="AW3589" i="1"/>
  <c r="AV3589" i="1"/>
  <c r="AW3588" i="1"/>
  <c r="AV3588" i="1"/>
  <c r="AW3587" i="1"/>
  <c r="AV3587" i="1"/>
  <c r="AW3586" i="1"/>
  <c r="AV3586" i="1"/>
  <c r="AW3585" i="1"/>
  <c r="AV3585" i="1"/>
  <c r="AW3584" i="1"/>
  <c r="AV3584" i="1"/>
  <c r="AW3583" i="1"/>
  <c r="AV3583" i="1"/>
  <c r="AW3582" i="1"/>
  <c r="AV3582" i="1"/>
  <c r="AU3582" i="1"/>
  <c r="AW3581" i="1"/>
  <c r="AV3581" i="1"/>
  <c r="AU3581" i="1"/>
  <c r="AW3580" i="1"/>
  <c r="AV3580" i="1"/>
  <c r="AU3580" i="1"/>
  <c r="AW3579" i="1"/>
  <c r="AV3579" i="1"/>
  <c r="AU3579" i="1"/>
  <c r="AW3578" i="1"/>
  <c r="AV3578" i="1"/>
  <c r="AU3578" i="1"/>
  <c r="AW3577" i="1"/>
  <c r="AV3577" i="1"/>
  <c r="AW3576" i="1"/>
  <c r="AV3576" i="1"/>
  <c r="AW3575" i="1"/>
  <c r="AV3575" i="1"/>
  <c r="AU3575" i="1"/>
  <c r="AW3574" i="1"/>
  <c r="AV3574" i="1"/>
  <c r="AU3574" i="1"/>
  <c r="AW3573" i="1"/>
  <c r="AV3573" i="1"/>
  <c r="AU3573" i="1"/>
  <c r="AW3572" i="1"/>
  <c r="AV3572" i="1"/>
  <c r="AW3571" i="1"/>
  <c r="AV3571" i="1"/>
  <c r="AW3570" i="1"/>
  <c r="AV3570" i="1"/>
  <c r="AW3569" i="1"/>
  <c r="AV3569" i="1"/>
  <c r="AU3569" i="1"/>
  <c r="AW3568" i="1"/>
  <c r="AV3568" i="1"/>
  <c r="AW3567" i="1"/>
  <c r="AV3567" i="1"/>
  <c r="AW3566" i="1"/>
  <c r="AV3566" i="1"/>
  <c r="AW3565" i="1"/>
  <c r="AV3565" i="1"/>
  <c r="AU3565" i="1"/>
  <c r="AW3564" i="1"/>
  <c r="AV3564" i="1"/>
  <c r="AU3564" i="1"/>
  <c r="AW3563" i="1"/>
  <c r="AV3563" i="1"/>
  <c r="AW3562" i="1"/>
  <c r="AV3562" i="1"/>
  <c r="AW3561" i="1"/>
  <c r="AV3561" i="1"/>
  <c r="AW3560" i="1"/>
  <c r="AV3560" i="1"/>
  <c r="AW3559" i="1"/>
  <c r="AV3559" i="1"/>
  <c r="AW3558" i="1"/>
  <c r="AV3558" i="1"/>
  <c r="AW3557" i="1"/>
  <c r="AV3557" i="1"/>
  <c r="AU3557" i="1"/>
  <c r="AW3556" i="1"/>
  <c r="AV3556" i="1"/>
  <c r="AU3556" i="1"/>
  <c r="AW3555" i="1"/>
  <c r="AV3555" i="1"/>
  <c r="AW3554" i="1"/>
  <c r="AV3554" i="1"/>
  <c r="AW3553" i="1"/>
  <c r="AV3553" i="1"/>
  <c r="AU3553" i="1"/>
  <c r="AW3552" i="1"/>
  <c r="AV3552" i="1"/>
  <c r="AU3552" i="1"/>
  <c r="AW3551" i="1"/>
  <c r="AV3551" i="1"/>
  <c r="AW3550" i="1"/>
  <c r="AV3550" i="1"/>
  <c r="AW3549" i="1"/>
  <c r="AV3549" i="1"/>
  <c r="AW3548" i="1"/>
  <c r="AV3548" i="1"/>
  <c r="AW3547" i="1"/>
  <c r="AV3547" i="1"/>
  <c r="AU3547" i="1"/>
  <c r="AW3546" i="1"/>
  <c r="AV3546" i="1"/>
  <c r="AW3545" i="1"/>
  <c r="AV3545" i="1"/>
  <c r="AW3544" i="1"/>
  <c r="AV3544" i="1"/>
  <c r="AW3543" i="1"/>
  <c r="AV3543" i="1"/>
  <c r="AU3543" i="1"/>
  <c r="AW3542" i="1"/>
  <c r="AV3542" i="1"/>
  <c r="AU3542" i="1"/>
  <c r="AW3541" i="1"/>
  <c r="AV3541" i="1"/>
  <c r="AU3541" i="1"/>
  <c r="AW3540" i="1"/>
  <c r="AV3540" i="1"/>
  <c r="AU3540" i="1"/>
  <c r="AW3539" i="1"/>
  <c r="AV3539" i="1"/>
  <c r="AU3539" i="1"/>
  <c r="AW3538" i="1"/>
  <c r="AV3538" i="1"/>
  <c r="AU3538" i="1"/>
  <c r="AW3537" i="1"/>
  <c r="AV3537" i="1"/>
  <c r="AU3537" i="1"/>
  <c r="AW3536" i="1"/>
  <c r="AV3536" i="1"/>
  <c r="AW3535" i="1"/>
  <c r="AV3535" i="1"/>
  <c r="AU3535" i="1"/>
  <c r="AW3534" i="1"/>
  <c r="AV3534" i="1"/>
  <c r="AU3534" i="1"/>
  <c r="AW3533" i="1"/>
  <c r="AV3533" i="1"/>
  <c r="AW3532" i="1"/>
  <c r="AV3532" i="1"/>
  <c r="AW3531" i="1"/>
  <c r="AV3531" i="1"/>
  <c r="AW3530" i="1"/>
  <c r="AV3530" i="1"/>
  <c r="AW3529" i="1"/>
  <c r="AV3529" i="1"/>
  <c r="AW3528" i="1"/>
  <c r="AV3528" i="1"/>
  <c r="AW3527" i="1"/>
  <c r="AV3527" i="1"/>
  <c r="AW3526" i="1"/>
  <c r="AV3526" i="1"/>
  <c r="AW3525" i="1"/>
  <c r="AV3525" i="1"/>
  <c r="AU3525" i="1"/>
  <c r="AW3524" i="1"/>
  <c r="AV3524" i="1"/>
  <c r="AW3523" i="1"/>
  <c r="AV3523" i="1"/>
  <c r="AW3522" i="1"/>
  <c r="AV3522" i="1"/>
  <c r="AW3521" i="1"/>
  <c r="AV3521" i="1"/>
  <c r="AW3520" i="1"/>
  <c r="AV3520" i="1"/>
  <c r="AU3520" i="1"/>
  <c r="AW3519" i="1"/>
  <c r="AV3519" i="1"/>
  <c r="AW3518" i="1"/>
  <c r="AV3518" i="1"/>
  <c r="AW3517" i="1"/>
  <c r="AV3517" i="1"/>
  <c r="AW3516" i="1"/>
  <c r="AV3516" i="1"/>
  <c r="AW3515" i="1"/>
  <c r="AV3515" i="1"/>
  <c r="AW3514" i="1"/>
  <c r="AV3514" i="1"/>
  <c r="AW3513" i="1"/>
  <c r="AV3513" i="1"/>
  <c r="AW3512" i="1"/>
  <c r="AV3512" i="1"/>
  <c r="AU3512" i="1"/>
  <c r="AW3511" i="1"/>
  <c r="AV3511" i="1"/>
  <c r="AU3511" i="1"/>
  <c r="AW3510" i="1"/>
  <c r="AV3510" i="1"/>
  <c r="AW3509" i="1"/>
  <c r="AV3509" i="1"/>
  <c r="AW3508" i="1"/>
  <c r="AV3508" i="1"/>
  <c r="AW3507" i="1"/>
  <c r="AV3507" i="1"/>
  <c r="AW3506" i="1"/>
  <c r="AV3506" i="1"/>
  <c r="AW3505" i="1"/>
  <c r="AV3505" i="1"/>
  <c r="AW3504" i="1"/>
  <c r="AV3504" i="1"/>
  <c r="AU3504" i="1"/>
  <c r="AW3503" i="1"/>
  <c r="AV3503" i="1"/>
  <c r="AW3502" i="1"/>
  <c r="AV3502" i="1"/>
  <c r="AW3501" i="1"/>
  <c r="AV3501" i="1"/>
  <c r="AW3500" i="1"/>
  <c r="AV3500" i="1"/>
  <c r="AU3500" i="1"/>
  <c r="AW3499" i="1"/>
  <c r="AV3499" i="1"/>
  <c r="AW3498" i="1"/>
  <c r="AV3498" i="1"/>
  <c r="AW3497" i="1"/>
  <c r="AV3497" i="1"/>
  <c r="AW3496" i="1"/>
  <c r="AV3496" i="1"/>
  <c r="AU3496" i="1"/>
  <c r="AW3495" i="1"/>
  <c r="AV3495" i="1"/>
  <c r="AU3495" i="1"/>
  <c r="AW3494" i="1"/>
  <c r="AV3494" i="1"/>
  <c r="AU3494" i="1"/>
  <c r="AW3493" i="1"/>
  <c r="AV3493" i="1"/>
  <c r="AU3493" i="1"/>
  <c r="AW3492" i="1"/>
  <c r="AV3492" i="1"/>
  <c r="AW3491" i="1"/>
  <c r="AV3491" i="1"/>
  <c r="AW3490" i="1"/>
  <c r="AV3490" i="1"/>
  <c r="AW3489" i="1"/>
  <c r="AV3489" i="1"/>
  <c r="AW3488" i="1"/>
  <c r="AV3488" i="1"/>
  <c r="AW3487" i="1"/>
  <c r="AV3487" i="1"/>
  <c r="AW3486" i="1"/>
  <c r="AV3486" i="1"/>
  <c r="AW3485" i="1"/>
  <c r="AV3485" i="1"/>
  <c r="AU3485" i="1"/>
  <c r="AW3484" i="1"/>
  <c r="AV3484" i="1"/>
  <c r="AU3484" i="1"/>
  <c r="AW3483" i="1"/>
  <c r="AV3483" i="1"/>
  <c r="AU3483" i="1"/>
  <c r="AW3482" i="1"/>
  <c r="AV3482" i="1"/>
  <c r="AW3481" i="1"/>
  <c r="AV3481" i="1"/>
  <c r="AW3480" i="1"/>
  <c r="AV3480" i="1"/>
  <c r="AU3480" i="1"/>
  <c r="AW3479" i="1"/>
  <c r="AV3479" i="1"/>
  <c r="AW3478" i="1"/>
  <c r="AV3478" i="1"/>
  <c r="AU3478" i="1"/>
  <c r="AW3477" i="1"/>
  <c r="AV3477" i="1"/>
  <c r="AW3476" i="1"/>
  <c r="AV3476" i="1"/>
  <c r="AW3475" i="1"/>
  <c r="AV3475" i="1"/>
  <c r="AU3475" i="1"/>
  <c r="AW3474" i="1"/>
  <c r="AV3474" i="1"/>
  <c r="AW3473" i="1"/>
  <c r="AV3473" i="1"/>
  <c r="AW3472" i="1"/>
  <c r="AV3472" i="1"/>
  <c r="AW3471" i="1"/>
  <c r="AV3471" i="1"/>
  <c r="AU3471" i="1"/>
  <c r="AW3470" i="1"/>
  <c r="AV3470" i="1"/>
  <c r="AW3469" i="1"/>
  <c r="AV3469" i="1"/>
  <c r="AW3468" i="1"/>
  <c r="AV3468" i="1"/>
  <c r="AU3468" i="1"/>
  <c r="AW3467" i="1"/>
  <c r="AV3467" i="1"/>
  <c r="AU3467" i="1"/>
  <c r="AW3466" i="1"/>
  <c r="AV3466" i="1"/>
  <c r="AW3465" i="1"/>
  <c r="AV3465" i="1"/>
  <c r="AU3465" i="1"/>
  <c r="AW3464" i="1"/>
  <c r="AV3464" i="1"/>
  <c r="AW3463" i="1"/>
  <c r="AV3463" i="1"/>
  <c r="AW3462" i="1"/>
  <c r="AV3462" i="1"/>
  <c r="AW3461" i="1"/>
  <c r="AV3461" i="1"/>
  <c r="AW3460" i="1"/>
  <c r="AV3460" i="1"/>
  <c r="AW3459" i="1"/>
  <c r="AV3459" i="1"/>
  <c r="AW3458" i="1"/>
  <c r="AV3458" i="1"/>
  <c r="AW3457" i="1"/>
  <c r="AV3457" i="1"/>
  <c r="AU3457" i="1"/>
  <c r="AW3456" i="1"/>
  <c r="AV3456" i="1"/>
  <c r="AU3456" i="1"/>
  <c r="AW3455" i="1"/>
  <c r="AV3455" i="1"/>
  <c r="AU3455" i="1"/>
  <c r="AW3454" i="1"/>
  <c r="AV3454" i="1"/>
  <c r="AU3454" i="1"/>
  <c r="AW3453" i="1"/>
  <c r="AV3453" i="1"/>
  <c r="AW3452" i="1"/>
  <c r="AV3452" i="1"/>
  <c r="AW3451" i="1"/>
  <c r="AV3451" i="1"/>
  <c r="AW3450" i="1"/>
  <c r="AV3450" i="1"/>
  <c r="AW3449" i="1"/>
  <c r="AV3449" i="1"/>
  <c r="AW3448" i="1"/>
  <c r="AV3448" i="1"/>
  <c r="AW3447" i="1"/>
  <c r="AV3447" i="1"/>
  <c r="AW3446" i="1"/>
  <c r="AV3446" i="1"/>
  <c r="AW3445" i="1"/>
  <c r="AV3445" i="1"/>
  <c r="AW3444" i="1"/>
  <c r="AV3444" i="1"/>
  <c r="AW3443" i="1"/>
  <c r="AV3443" i="1"/>
  <c r="AW3442" i="1"/>
  <c r="AV3442" i="1"/>
  <c r="AW3441" i="1"/>
  <c r="AV3441" i="1"/>
  <c r="AW3440" i="1"/>
  <c r="AV3440" i="1"/>
  <c r="AW3439" i="1"/>
  <c r="AV3439" i="1"/>
  <c r="AW3438" i="1"/>
  <c r="AV3438" i="1"/>
  <c r="AW3437" i="1"/>
  <c r="AV3437" i="1"/>
  <c r="AW3436" i="1"/>
  <c r="AV3436" i="1"/>
  <c r="AW3435" i="1"/>
  <c r="AV3435" i="1"/>
  <c r="AU3435" i="1"/>
  <c r="AW3434" i="1"/>
  <c r="AV3434" i="1"/>
  <c r="AW3433" i="1"/>
  <c r="AV3433" i="1"/>
  <c r="AU3433" i="1"/>
  <c r="AW3432" i="1"/>
  <c r="AV3432" i="1"/>
  <c r="AW3431" i="1"/>
  <c r="AV3431" i="1"/>
  <c r="AW3430" i="1"/>
  <c r="AV3430" i="1"/>
  <c r="AW3429" i="1"/>
  <c r="AV3429" i="1"/>
  <c r="AW3428" i="1"/>
  <c r="AV3428" i="1"/>
  <c r="AW3427" i="1"/>
  <c r="AV3427" i="1"/>
  <c r="AW3426" i="1"/>
  <c r="AV3426" i="1"/>
  <c r="AW3425" i="1"/>
  <c r="AV3425" i="1"/>
  <c r="AW3424" i="1"/>
  <c r="AV3424" i="1"/>
  <c r="AW3423" i="1"/>
  <c r="AV3423" i="1"/>
  <c r="AW3422" i="1"/>
  <c r="AV3422" i="1"/>
  <c r="AW3421" i="1"/>
  <c r="AV3421" i="1"/>
  <c r="AW3420" i="1"/>
  <c r="AV3420" i="1"/>
  <c r="AW3419" i="1"/>
  <c r="AV3419" i="1"/>
  <c r="AU3419" i="1"/>
  <c r="AW3418" i="1"/>
  <c r="AV3418" i="1"/>
  <c r="AW3417" i="1"/>
  <c r="AV3417" i="1"/>
  <c r="AW3416" i="1"/>
  <c r="AV3416" i="1"/>
  <c r="AW3415" i="1"/>
  <c r="AV3415" i="1"/>
  <c r="AU3415" i="1"/>
  <c r="AW3414" i="1"/>
  <c r="AV3414" i="1"/>
  <c r="AU3414" i="1"/>
  <c r="AW3413" i="1"/>
  <c r="AV3413" i="1"/>
  <c r="AU3413" i="1"/>
  <c r="AW3412" i="1"/>
  <c r="AV3412" i="1"/>
  <c r="AW3411" i="1"/>
  <c r="AV3411" i="1"/>
  <c r="AU3411" i="1"/>
  <c r="AW3410" i="1"/>
  <c r="AV3410" i="1"/>
  <c r="AU3410" i="1"/>
  <c r="AW3409" i="1"/>
  <c r="AV3409" i="1"/>
  <c r="AU3409" i="1"/>
  <c r="AW3408" i="1"/>
  <c r="AV3408" i="1"/>
  <c r="AU3408" i="1"/>
  <c r="AW3407" i="1"/>
  <c r="AV3407" i="1"/>
  <c r="AW3406" i="1"/>
  <c r="AV3406" i="1"/>
  <c r="AW3405" i="1"/>
  <c r="AV3405" i="1"/>
  <c r="AW3404" i="1"/>
  <c r="AV3404" i="1"/>
  <c r="AU3404" i="1"/>
  <c r="AW3403" i="1"/>
  <c r="AV3403" i="1"/>
  <c r="AU3403" i="1"/>
  <c r="AW3402" i="1"/>
  <c r="AV3402" i="1"/>
  <c r="AW3401" i="1"/>
  <c r="AV3401" i="1"/>
  <c r="AU3401" i="1"/>
  <c r="AW3400" i="1"/>
  <c r="AV3400" i="1"/>
  <c r="AW3399" i="1"/>
  <c r="AV3399" i="1"/>
  <c r="AU3399" i="1"/>
  <c r="AW3398" i="1"/>
  <c r="AV3398" i="1"/>
  <c r="AU3398" i="1"/>
  <c r="AW3397" i="1"/>
  <c r="AV3397" i="1"/>
  <c r="AW3396" i="1"/>
  <c r="AV3396" i="1"/>
  <c r="AU3396" i="1"/>
  <c r="AW3395" i="1"/>
  <c r="AV3395" i="1"/>
  <c r="AU3395" i="1"/>
  <c r="AW3394" i="1"/>
  <c r="AV3394" i="1"/>
  <c r="AU3394" i="1"/>
  <c r="AW3393" i="1"/>
  <c r="AV3393" i="1"/>
  <c r="AU3393" i="1"/>
  <c r="AW3392" i="1"/>
  <c r="AV3392" i="1"/>
  <c r="AU3392" i="1"/>
  <c r="AW3391" i="1"/>
  <c r="AV3391" i="1"/>
  <c r="AU3391" i="1"/>
  <c r="AW3390" i="1"/>
  <c r="AV3390" i="1"/>
  <c r="AU3390" i="1"/>
  <c r="AW3389" i="1"/>
  <c r="AV3389" i="1"/>
  <c r="AW3388" i="1"/>
  <c r="AV3388" i="1"/>
  <c r="AW3387" i="1"/>
  <c r="AV3387" i="1"/>
  <c r="AW3386" i="1"/>
  <c r="AV3386" i="1"/>
  <c r="AW3385" i="1"/>
  <c r="AV3385" i="1"/>
  <c r="AW3384" i="1"/>
  <c r="AV3384" i="1"/>
  <c r="AW3383" i="1"/>
  <c r="AV3383" i="1"/>
  <c r="AU3383" i="1"/>
  <c r="AW3382" i="1"/>
  <c r="AV3382" i="1"/>
  <c r="AW3381" i="1"/>
  <c r="AV3381" i="1"/>
  <c r="AW3380" i="1"/>
  <c r="AV3380" i="1"/>
  <c r="AU3380" i="1"/>
  <c r="AW3379" i="1"/>
  <c r="AV3379" i="1"/>
  <c r="AU3379" i="1"/>
  <c r="AW3378" i="1"/>
  <c r="AV3378" i="1"/>
  <c r="AW3377" i="1"/>
  <c r="AV3377" i="1"/>
  <c r="AU3377" i="1"/>
  <c r="AW3376" i="1"/>
  <c r="AV3376" i="1"/>
  <c r="AW3375" i="1"/>
  <c r="AV3375" i="1"/>
  <c r="AU3375" i="1"/>
  <c r="AW3374" i="1"/>
  <c r="AV3374" i="1"/>
  <c r="AU3374" i="1"/>
  <c r="AW3373" i="1"/>
  <c r="AV3373" i="1"/>
  <c r="AU3373" i="1"/>
  <c r="AW3372" i="1"/>
  <c r="AV3372" i="1"/>
  <c r="AW3371" i="1"/>
  <c r="AV3371" i="1"/>
  <c r="AW3370" i="1"/>
  <c r="AV3370" i="1"/>
  <c r="AU3370" i="1"/>
  <c r="AW3369" i="1"/>
  <c r="AV3369" i="1"/>
  <c r="AU3369" i="1"/>
  <c r="AW3368" i="1"/>
  <c r="AV3368" i="1"/>
  <c r="AU3368" i="1"/>
  <c r="AW3367" i="1"/>
  <c r="AV3367" i="1"/>
  <c r="AW3366" i="1"/>
  <c r="AV3366" i="1"/>
  <c r="AW3365" i="1"/>
  <c r="AV3365" i="1"/>
  <c r="AW3364" i="1"/>
  <c r="AV3364" i="1"/>
  <c r="AU3364" i="1"/>
  <c r="AW3363" i="1"/>
  <c r="AV3363" i="1"/>
  <c r="AW3362" i="1"/>
  <c r="AV3362" i="1"/>
  <c r="AW3361" i="1"/>
  <c r="AV3361" i="1"/>
  <c r="AW3360" i="1"/>
  <c r="AV3360" i="1"/>
  <c r="AW3359" i="1"/>
  <c r="AV3359" i="1"/>
  <c r="AW3358" i="1"/>
  <c r="AV3358" i="1"/>
  <c r="AW3357" i="1"/>
  <c r="AV3357" i="1"/>
  <c r="AU3357" i="1"/>
  <c r="AW3356" i="1"/>
  <c r="AV3356" i="1"/>
  <c r="AU3356" i="1"/>
  <c r="AW3355" i="1"/>
  <c r="AV3355" i="1"/>
  <c r="AW3354" i="1"/>
  <c r="AV3354" i="1"/>
  <c r="AW3353" i="1"/>
  <c r="AV3353" i="1"/>
  <c r="AW3352" i="1"/>
  <c r="AV3352" i="1"/>
  <c r="AU3352" i="1"/>
  <c r="AW3351" i="1"/>
  <c r="AV3351" i="1"/>
  <c r="AW3350" i="1"/>
  <c r="AV3350" i="1"/>
  <c r="AW3349" i="1"/>
  <c r="AV3349" i="1"/>
  <c r="AW3348" i="1"/>
  <c r="AV3348" i="1"/>
  <c r="AW3347" i="1"/>
  <c r="AV3347" i="1"/>
  <c r="AW3346" i="1"/>
  <c r="AV3346" i="1"/>
  <c r="AU3346" i="1"/>
  <c r="AW3345" i="1"/>
  <c r="AV3345" i="1"/>
  <c r="AU3345" i="1"/>
  <c r="AW3344" i="1"/>
  <c r="AV3344" i="1"/>
  <c r="AW3343" i="1"/>
  <c r="AV3343" i="1"/>
  <c r="AW3342" i="1"/>
  <c r="AV3342" i="1"/>
  <c r="AW3341" i="1"/>
  <c r="AV3341" i="1"/>
  <c r="AU3341" i="1"/>
  <c r="AW3340" i="1"/>
  <c r="AV3340" i="1"/>
  <c r="AU3340" i="1"/>
  <c r="AW3339" i="1"/>
  <c r="AV3339" i="1"/>
  <c r="AW3338" i="1"/>
  <c r="AV3338" i="1"/>
  <c r="AU3338" i="1"/>
  <c r="AW3337" i="1"/>
  <c r="AV3337" i="1"/>
  <c r="AU3337" i="1"/>
  <c r="AW3336" i="1"/>
  <c r="AV3336" i="1"/>
  <c r="AU3336" i="1"/>
  <c r="AW3335" i="1"/>
  <c r="AV3335" i="1"/>
  <c r="AW3334" i="1"/>
  <c r="AV3334" i="1"/>
  <c r="AU3334" i="1"/>
  <c r="AW3333" i="1"/>
  <c r="AV3333" i="1"/>
  <c r="AU3333" i="1"/>
  <c r="AW3332" i="1"/>
  <c r="AV3332" i="1"/>
  <c r="AW3331" i="1"/>
  <c r="AV3331" i="1"/>
  <c r="AU3331" i="1"/>
  <c r="AW3330" i="1"/>
  <c r="AV3330" i="1"/>
  <c r="AU3330" i="1"/>
  <c r="AW3329" i="1"/>
  <c r="AV3329" i="1"/>
  <c r="AU3329" i="1"/>
  <c r="AW3328" i="1"/>
  <c r="AV3328" i="1"/>
  <c r="AW3327" i="1"/>
  <c r="AV3327" i="1"/>
  <c r="AW3326" i="1"/>
  <c r="AV3326" i="1"/>
  <c r="AW3325" i="1"/>
  <c r="AV3325" i="1"/>
  <c r="AU3325" i="1"/>
  <c r="AW3324" i="1"/>
  <c r="AV3324" i="1"/>
  <c r="AU3324" i="1"/>
  <c r="AW3323" i="1"/>
  <c r="AV3323" i="1"/>
  <c r="AU3323" i="1"/>
  <c r="AW3322" i="1"/>
  <c r="AV3322" i="1"/>
  <c r="AW3321" i="1"/>
  <c r="AV3321" i="1"/>
  <c r="AW3320" i="1"/>
  <c r="AV3320" i="1"/>
  <c r="AU3320" i="1"/>
  <c r="AW3319" i="1"/>
  <c r="AV3319" i="1"/>
  <c r="AW3318" i="1"/>
  <c r="AV3318" i="1"/>
  <c r="AW3317" i="1"/>
  <c r="AV3317" i="1"/>
  <c r="AU3317" i="1"/>
  <c r="AW3316" i="1"/>
  <c r="AV3316" i="1"/>
  <c r="AU3316" i="1"/>
  <c r="AW3315" i="1"/>
  <c r="AV3315" i="1"/>
  <c r="AW3314" i="1"/>
  <c r="AV3314" i="1"/>
  <c r="AU3314" i="1"/>
  <c r="AW3313" i="1"/>
  <c r="AV3313" i="1"/>
  <c r="AW3312" i="1"/>
  <c r="AV3312" i="1"/>
  <c r="AU3312" i="1"/>
  <c r="AW3311" i="1"/>
  <c r="AV3311" i="1"/>
  <c r="AU3311" i="1"/>
  <c r="AW3310" i="1"/>
  <c r="AV3310" i="1"/>
  <c r="AW3309" i="1"/>
  <c r="AV3309" i="1"/>
  <c r="AW3308" i="1"/>
  <c r="AV3308" i="1"/>
  <c r="AW3307" i="1"/>
  <c r="AV3307" i="1"/>
  <c r="AW3306" i="1"/>
  <c r="AV3306" i="1"/>
  <c r="AU3306" i="1"/>
  <c r="AW3305" i="1"/>
  <c r="AV3305" i="1"/>
  <c r="AU3305" i="1"/>
  <c r="AW3304" i="1"/>
  <c r="AV3304" i="1"/>
  <c r="AW3303" i="1"/>
  <c r="AV3303" i="1"/>
  <c r="AU3303" i="1"/>
  <c r="AW3302" i="1"/>
  <c r="AV3302" i="1"/>
  <c r="AU3302" i="1"/>
  <c r="AW3301" i="1"/>
  <c r="AV3301" i="1"/>
  <c r="AU3301" i="1"/>
  <c r="AW3300" i="1"/>
  <c r="AV3300" i="1"/>
  <c r="AW3299" i="1"/>
  <c r="AV3299" i="1"/>
  <c r="AW3298" i="1"/>
  <c r="AV3298" i="1"/>
  <c r="AW3297" i="1"/>
  <c r="AV3297" i="1"/>
  <c r="AU3297" i="1"/>
  <c r="AW3296" i="1"/>
  <c r="AV3296" i="1"/>
  <c r="AU3296" i="1"/>
  <c r="AW3295" i="1"/>
  <c r="AV3295" i="1"/>
  <c r="AW3294" i="1"/>
  <c r="AV3294" i="1"/>
  <c r="AW3293" i="1"/>
  <c r="AV3293" i="1"/>
  <c r="AW3292" i="1"/>
  <c r="AV3292" i="1"/>
  <c r="AW3291" i="1"/>
  <c r="AV3291" i="1"/>
  <c r="AW3290" i="1"/>
  <c r="AV3290" i="1"/>
  <c r="AW3289" i="1"/>
  <c r="AV3289" i="1"/>
  <c r="AU3289" i="1"/>
  <c r="AW3288" i="1"/>
  <c r="AV3288" i="1"/>
  <c r="AU3288" i="1"/>
  <c r="AW3287" i="1"/>
  <c r="AV3287" i="1"/>
  <c r="AU3287" i="1"/>
  <c r="AW3286" i="1"/>
  <c r="AV3286" i="1"/>
  <c r="AW3285" i="1"/>
  <c r="AV3285" i="1"/>
  <c r="AW3284" i="1"/>
  <c r="AV3284" i="1"/>
  <c r="AW3283" i="1"/>
  <c r="AV3283" i="1"/>
  <c r="AW3282" i="1"/>
  <c r="AV3282" i="1"/>
  <c r="AU3282" i="1"/>
  <c r="AW3281" i="1"/>
  <c r="AV3281" i="1"/>
  <c r="AU3281" i="1"/>
  <c r="AW3280" i="1"/>
  <c r="AV3280" i="1"/>
  <c r="AW3279" i="1"/>
  <c r="AV3279" i="1"/>
  <c r="AU3279" i="1"/>
  <c r="AW3278" i="1"/>
  <c r="AV3278" i="1"/>
  <c r="AU3278" i="1"/>
  <c r="AW3277" i="1"/>
  <c r="AV3277" i="1"/>
  <c r="AU3277" i="1"/>
  <c r="AW3276" i="1"/>
  <c r="AV3276" i="1"/>
  <c r="AU3276" i="1"/>
  <c r="AW3275" i="1"/>
  <c r="AV3275" i="1"/>
  <c r="AU3275" i="1"/>
  <c r="AW3274" i="1"/>
  <c r="AV3274" i="1"/>
  <c r="AU3274" i="1"/>
  <c r="AW3273" i="1"/>
  <c r="AV3273" i="1"/>
  <c r="AU3273" i="1"/>
  <c r="AW3272" i="1"/>
  <c r="AV3272" i="1"/>
  <c r="AW3271" i="1"/>
  <c r="AV3271" i="1"/>
  <c r="AW3270" i="1"/>
  <c r="AV3270" i="1"/>
  <c r="AU3270" i="1"/>
  <c r="AW3269" i="1"/>
  <c r="AV3269" i="1"/>
  <c r="AW3268" i="1"/>
  <c r="AV3268" i="1"/>
  <c r="AU3268" i="1"/>
  <c r="AW3267" i="1"/>
  <c r="AV3267" i="1"/>
  <c r="AU3267" i="1"/>
  <c r="AW3266" i="1"/>
  <c r="AV3266" i="1"/>
  <c r="AU3266" i="1"/>
  <c r="AW3265" i="1"/>
  <c r="AV3265" i="1"/>
  <c r="AW3264" i="1"/>
  <c r="AV3264" i="1"/>
  <c r="AU3264" i="1"/>
  <c r="AW3263" i="1"/>
  <c r="AV3263" i="1"/>
  <c r="AW3262" i="1"/>
  <c r="AV3262" i="1"/>
  <c r="AW3261" i="1"/>
  <c r="AV3261" i="1"/>
  <c r="AW3260" i="1"/>
  <c r="AV3260" i="1"/>
  <c r="AW3259" i="1"/>
  <c r="AV3259" i="1"/>
  <c r="AW3258" i="1"/>
  <c r="AV3258" i="1"/>
  <c r="AW3257" i="1"/>
  <c r="AV3257" i="1"/>
  <c r="AW3256" i="1"/>
  <c r="AV3256" i="1"/>
  <c r="AU3256" i="1"/>
  <c r="AW3255" i="1"/>
  <c r="AV3255" i="1"/>
  <c r="AU3255" i="1"/>
  <c r="AW3254" i="1"/>
  <c r="AV3254" i="1"/>
  <c r="AU3254" i="1"/>
  <c r="AW3253" i="1"/>
  <c r="AV3253" i="1"/>
  <c r="AW3252" i="1"/>
  <c r="AV3252" i="1"/>
  <c r="AU3252" i="1"/>
  <c r="AW3251" i="1"/>
  <c r="AV3251" i="1"/>
  <c r="AW3250" i="1"/>
  <c r="AV3250" i="1"/>
  <c r="AU3250" i="1"/>
  <c r="AW3249" i="1"/>
  <c r="AV3249" i="1"/>
  <c r="AW3248" i="1"/>
  <c r="AV3248" i="1"/>
  <c r="AW3247" i="1"/>
  <c r="AV3247" i="1"/>
  <c r="AW3246" i="1"/>
  <c r="AV3246" i="1"/>
  <c r="AW3245" i="1"/>
  <c r="AV3245" i="1"/>
  <c r="AW3244" i="1"/>
  <c r="AV3244" i="1"/>
  <c r="AW3243" i="1"/>
  <c r="AV3243" i="1"/>
  <c r="AW3242" i="1"/>
  <c r="AV3242" i="1"/>
  <c r="AW3241" i="1"/>
  <c r="AV3241" i="1"/>
  <c r="AU3241" i="1"/>
  <c r="AW3240" i="1"/>
  <c r="AV3240" i="1"/>
  <c r="AW3239" i="1"/>
  <c r="AV3239" i="1"/>
  <c r="AW3238" i="1"/>
  <c r="AV3238" i="1"/>
  <c r="AW3237" i="1"/>
  <c r="AV3237" i="1"/>
  <c r="AW3236" i="1"/>
  <c r="AV3236" i="1"/>
  <c r="AW3235" i="1"/>
  <c r="AV3235" i="1"/>
  <c r="AW3234" i="1"/>
  <c r="AV3234" i="1"/>
  <c r="AW3233" i="1"/>
  <c r="AV3233" i="1"/>
  <c r="AW3232" i="1"/>
  <c r="AV3232" i="1"/>
  <c r="AW3231" i="1"/>
  <c r="AV3231" i="1"/>
  <c r="AU3231" i="1"/>
  <c r="AW3230" i="1"/>
  <c r="AV3230" i="1"/>
  <c r="AW3229" i="1"/>
  <c r="AV3229" i="1"/>
  <c r="AW3228" i="1"/>
  <c r="AV3228" i="1"/>
  <c r="AW3227" i="1"/>
  <c r="AV3227" i="1"/>
  <c r="AW3226" i="1"/>
  <c r="AV3226" i="1"/>
  <c r="AW3225" i="1"/>
  <c r="AV3225" i="1"/>
  <c r="AW3224" i="1"/>
  <c r="AV3224" i="1"/>
  <c r="AW3223" i="1"/>
  <c r="AV3223" i="1"/>
  <c r="AW3222" i="1"/>
  <c r="AV3222" i="1"/>
  <c r="AW3221" i="1"/>
  <c r="AV3221" i="1"/>
  <c r="AW3220" i="1"/>
  <c r="AV3220" i="1"/>
  <c r="AW3219" i="1"/>
  <c r="AV3219" i="1"/>
  <c r="AW3218" i="1"/>
  <c r="AV3218" i="1"/>
  <c r="AW3217" i="1"/>
  <c r="AV3217" i="1"/>
  <c r="AW3216" i="1"/>
  <c r="AV3216" i="1"/>
  <c r="AW3215" i="1"/>
  <c r="AV3215" i="1"/>
  <c r="AW3214" i="1"/>
  <c r="AV3214" i="1"/>
  <c r="AW3213" i="1"/>
  <c r="AV3213" i="1"/>
  <c r="AW3212" i="1"/>
  <c r="AV3212" i="1"/>
  <c r="AW3211" i="1"/>
  <c r="AV3211" i="1"/>
  <c r="AW3210" i="1"/>
  <c r="AV3210" i="1"/>
  <c r="AW3209" i="1"/>
  <c r="AV3209" i="1"/>
  <c r="AW3208" i="1"/>
  <c r="AV3208" i="1"/>
  <c r="AW3207" i="1"/>
  <c r="AV3207" i="1"/>
  <c r="AW3206" i="1"/>
  <c r="AV3206" i="1"/>
  <c r="AW3205" i="1"/>
  <c r="AV3205" i="1"/>
  <c r="AW3204" i="1"/>
  <c r="AV3204" i="1"/>
  <c r="AU3204" i="1"/>
  <c r="AW3203" i="1"/>
  <c r="AV3203" i="1"/>
  <c r="AW3202" i="1"/>
  <c r="AV3202" i="1"/>
  <c r="AW3201" i="1"/>
  <c r="AV3201" i="1"/>
  <c r="AW3200" i="1"/>
  <c r="AV3200" i="1"/>
  <c r="AW3199" i="1"/>
  <c r="AV3199" i="1"/>
  <c r="AW3198" i="1"/>
  <c r="AV3198" i="1"/>
  <c r="AW3197" i="1"/>
  <c r="AV3197" i="1"/>
  <c r="AW3196" i="1"/>
  <c r="AV3196" i="1"/>
  <c r="AU3196" i="1"/>
  <c r="AW3195" i="1"/>
  <c r="AV3195" i="1"/>
  <c r="AU3195" i="1"/>
  <c r="AW3194" i="1"/>
  <c r="AV3194" i="1"/>
  <c r="AW3193" i="1"/>
  <c r="AV3193" i="1"/>
  <c r="AW3192" i="1"/>
  <c r="AV3192" i="1"/>
  <c r="AW3191" i="1"/>
  <c r="AV3191" i="1"/>
  <c r="AW3190" i="1"/>
  <c r="AV3190" i="1"/>
  <c r="AW3189" i="1"/>
  <c r="AV3189" i="1"/>
  <c r="AW3188" i="1"/>
  <c r="AV3188" i="1"/>
  <c r="AW3187" i="1"/>
  <c r="AV3187" i="1"/>
  <c r="AW3186" i="1"/>
  <c r="AV3186" i="1"/>
  <c r="AW3185" i="1"/>
  <c r="AV3185" i="1"/>
  <c r="AW3184" i="1"/>
  <c r="AV3184" i="1"/>
  <c r="AW3183" i="1"/>
  <c r="AV3183" i="1"/>
  <c r="AW3182" i="1"/>
  <c r="AV3182" i="1"/>
  <c r="AW3181" i="1"/>
  <c r="AV3181" i="1"/>
  <c r="AW3180" i="1"/>
  <c r="AV3180" i="1"/>
  <c r="AW3179" i="1"/>
  <c r="AV3179" i="1"/>
  <c r="AW3178" i="1"/>
  <c r="AV3178" i="1"/>
  <c r="AW3177" i="1"/>
  <c r="AV3177" i="1"/>
  <c r="AW3176" i="1"/>
  <c r="AV3176" i="1"/>
  <c r="AW3175" i="1"/>
  <c r="AV3175" i="1"/>
  <c r="AW3174" i="1"/>
  <c r="AV3174" i="1"/>
  <c r="AW3173" i="1"/>
  <c r="AV3173" i="1"/>
  <c r="AW3172" i="1"/>
  <c r="AV3172" i="1"/>
  <c r="AW3171" i="1"/>
  <c r="AV3171" i="1"/>
  <c r="AW3170" i="1"/>
  <c r="AV3170" i="1"/>
  <c r="AW3169" i="1"/>
  <c r="AV3169" i="1"/>
  <c r="AW3168" i="1"/>
  <c r="AV3168" i="1"/>
  <c r="AW3167" i="1"/>
  <c r="AV3167" i="1"/>
  <c r="AW3166" i="1"/>
  <c r="AV3166" i="1"/>
  <c r="AW3165" i="1"/>
  <c r="AV3165" i="1"/>
  <c r="AW3164" i="1"/>
  <c r="AV3164" i="1"/>
  <c r="AW3163" i="1"/>
  <c r="AV3163" i="1"/>
  <c r="AU3163" i="1"/>
  <c r="AW3162" i="1"/>
  <c r="AV3162" i="1"/>
  <c r="AW3161" i="1"/>
  <c r="AV3161" i="1"/>
  <c r="AW3160" i="1"/>
  <c r="AV3160" i="1"/>
  <c r="AW3159" i="1"/>
  <c r="AV3159" i="1"/>
  <c r="AW3158" i="1"/>
  <c r="AV3158" i="1"/>
  <c r="AW3157" i="1"/>
  <c r="AV3157" i="1"/>
  <c r="AW3156" i="1"/>
  <c r="AV3156" i="1"/>
  <c r="AU3156" i="1"/>
  <c r="AW3155" i="1"/>
  <c r="AV3155" i="1"/>
  <c r="AW3154" i="1"/>
  <c r="AV3154" i="1"/>
  <c r="AW3153" i="1"/>
  <c r="AV3153" i="1"/>
  <c r="AW3152" i="1"/>
  <c r="AV3152" i="1"/>
  <c r="AW3151" i="1"/>
  <c r="AV3151" i="1"/>
  <c r="AW3150" i="1"/>
  <c r="AV3150" i="1"/>
  <c r="AW3149" i="1"/>
  <c r="AV3149" i="1"/>
  <c r="AW3148" i="1"/>
  <c r="AV3148" i="1"/>
  <c r="AW3147" i="1"/>
  <c r="AV3147" i="1"/>
  <c r="AW3146" i="1"/>
  <c r="AV3146" i="1"/>
  <c r="AW3145" i="1"/>
  <c r="AV3145" i="1"/>
  <c r="AW3144" i="1"/>
  <c r="AV3144" i="1"/>
  <c r="AW3143" i="1"/>
  <c r="AV3143" i="1"/>
  <c r="AW3142" i="1"/>
  <c r="AV3142" i="1"/>
  <c r="AW3141" i="1"/>
  <c r="AV3141" i="1"/>
  <c r="AW3140" i="1"/>
  <c r="AV3140" i="1"/>
  <c r="AW3139" i="1"/>
  <c r="AV3139" i="1"/>
  <c r="AU3139" i="1"/>
  <c r="AW3138" i="1"/>
  <c r="AV3138" i="1"/>
  <c r="AW3137" i="1"/>
  <c r="AV3137" i="1"/>
  <c r="AW3136" i="1"/>
  <c r="AV3136" i="1"/>
  <c r="AW3135" i="1"/>
  <c r="AV3135" i="1"/>
  <c r="AW3134" i="1"/>
  <c r="AV3134" i="1"/>
  <c r="AW3133" i="1"/>
  <c r="AV3133" i="1"/>
  <c r="AW3132" i="1"/>
  <c r="AV3132" i="1"/>
  <c r="AW3131" i="1"/>
  <c r="AV3131" i="1"/>
  <c r="AW3130" i="1"/>
  <c r="AV3130" i="1"/>
  <c r="AW3129" i="1"/>
  <c r="AV3129" i="1"/>
  <c r="AU3129" i="1"/>
  <c r="AW3128" i="1"/>
  <c r="AV3128" i="1"/>
  <c r="AW3127" i="1"/>
  <c r="AV3127" i="1"/>
  <c r="AW3126" i="1"/>
  <c r="AV3126" i="1"/>
  <c r="AW3125" i="1"/>
  <c r="AV3125" i="1"/>
  <c r="AU3125" i="1"/>
  <c r="AW3124" i="1"/>
  <c r="AV3124" i="1"/>
  <c r="AW3123" i="1"/>
  <c r="AV3123" i="1"/>
  <c r="AW3122" i="1"/>
  <c r="AV3122" i="1"/>
  <c r="AW3121" i="1"/>
  <c r="AV3121" i="1"/>
  <c r="AW3120" i="1"/>
  <c r="AV3120" i="1"/>
  <c r="AW3119" i="1"/>
  <c r="AV3119" i="1"/>
  <c r="AW3118" i="1"/>
  <c r="AV3118" i="1"/>
  <c r="AW3117" i="1"/>
  <c r="AV3117" i="1"/>
  <c r="AW3116" i="1"/>
  <c r="AV3116" i="1"/>
  <c r="AW3115" i="1"/>
  <c r="AV3115" i="1"/>
  <c r="AW3114" i="1"/>
  <c r="AV3114" i="1"/>
  <c r="AW3113" i="1"/>
  <c r="AV3113" i="1"/>
  <c r="AW3112" i="1"/>
  <c r="AV3112" i="1"/>
  <c r="AW3111" i="1"/>
  <c r="AV3111" i="1"/>
  <c r="AW3110" i="1"/>
  <c r="AV3110" i="1"/>
  <c r="AW3109" i="1"/>
  <c r="AV3109" i="1"/>
  <c r="AW3108" i="1"/>
  <c r="AV3108" i="1"/>
  <c r="AW3107" i="1"/>
  <c r="AV3107" i="1"/>
  <c r="AW3106" i="1"/>
  <c r="AV3106" i="1"/>
  <c r="AW3105" i="1"/>
  <c r="AV3105" i="1"/>
  <c r="AW3104" i="1"/>
  <c r="AV3104" i="1"/>
  <c r="AW3103" i="1"/>
  <c r="AV3103" i="1"/>
  <c r="AW3102" i="1"/>
  <c r="AV3102" i="1"/>
  <c r="AW3101" i="1"/>
  <c r="AV3101" i="1"/>
  <c r="AW3100" i="1"/>
  <c r="AV3100" i="1"/>
  <c r="AW3099" i="1"/>
  <c r="AV3099" i="1"/>
  <c r="AW3098" i="1"/>
  <c r="AV3098" i="1"/>
  <c r="AW3097" i="1"/>
  <c r="AV3097" i="1"/>
  <c r="AW3096" i="1"/>
  <c r="AV3096" i="1"/>
  <c r="AW3095" i="1"/>
  <c r="AV3095" i="1"/>
  <c r="AW3094" i="1"/>
  <c r="AV3094" i="1"/>
  <c r="AW3093" i="1"/>
  <c r="AV3093" i="1"/>
  <c r="AW3092" i="1"/>
  <c r="AV3092" i="1"/>
  <c r="AW3091" i="1"/>
  <c r="AV3091" i="1"/>
  <c r="AW3090" i="1"/>
  <c r="AV3090" i="1"/>
  <c r="AW3089" i="1"/>
  <c r="AV3089" i="1"/>
  <c r="AU3089" i="1"/>
  <c r="AW3088" i="1"/>
  <c r="AV3088" i="1"/>
  <c r="AW3087" i="1"/>
  <c r="AV3087" i="1"/>
  <c r="AW3086" i="1"/>
  <c r="AV3086" i="1"/>
  <c r="AW3085" i="1"/>
  <c r="AV3085" i="1"/>
  <c r="AW3084" i="1"/>
  <c r="AV3084" i="1"/>
  <c r="AU3084" i="1"/>
  <c r="AW3083" i="1"/>
  <c r="AV3083" i="1"/>
  <c r="AW3082" i="1"/>
  <c r="AV3082" i="1"/>
  <c r="AW3081" i="1"/>
  <c r="AV3081" i="1"/>
  <c r="AW3080" i="1"/>
  <c r="AV3080" i="1"/>
  <c r="AU3080" i="1"/>
  <c r="AW3079" i="1"/>
  <c r="AV3079" i="1"/>
  <c r="AW3078" i="1"/>
  <c r="AV3078" i="1"/>
  <c r="AW3077" i="1"/>
  <c r="AV3077" i="1"/>
  <c r="AW3076" i="1"/>
  <c r="AV3076" i="1"/>
  <c r="AU3076" i="1"/>
  <c r="AW3075" i="1"/>
  <c r="AV3075" i="1"/>
  <c r="AU3075" i="1"/>
  <c r="AW3074" i="1"/>
  <c r="AV3074" i="1"/>
  <c r="AW3073" i="1"/>
  <c r="AV3073" i="1"/>
  <c r="AW3072" i="1"/>
  <c r="AV3072" i="1"/>
  <c r="AW3071" i="1"/>
  <c r="AV3071" i="1"/>
  <c r="AU3071" i="1"/>
  <c r="AW3070" i="1"/>
  <c r="AV3070" i="1"/>
  <c r="AW3069" i="1"/>
  <c r="AV3069" i="1"/>
  <c r="AW3068" i="1"/>
  <c r="AV3068" i="1"/>
  <c r="AU3068" i="1"/>
  <c r="AW3067" i="1"/>
  <c r="AV3067" i="1"/>
  <c r="AW3066" i="1"/>
  <c r="AV3066" i="1"/>
  <c r="AW3065" i="1"/>
  <c r="AV3065" i="1"/>
  <c r="AW3064" i="1"/>
  <c r="AV3064" i="1"/>
  <c r="AW3063" i="1"/>
  <c r="AV3063" i="1"/>
  <c r="AW3062" i="1"/>
  <c r="AV3062" i="1"/>
  <c r="AW3061" i="1"/>
  <c r="AV3061" i="1"/>
  <c r="AW3060" i="1"/>
  <c r="AV3060" i="1"/>
  <c r="AW3059" i="1"/>
  <c r="AV3059" i="1"/>
  <c r="AW3058" i="1"/>
  <c r="AV3058" i="1"/>
  <c r="AW3057" i="1"/>
  <c r="AV3057" i="1"/>
  <c r="AW3056" i="1"/>
  <c r="AV3056" i="1"/>
  <c r="AW3055" i="1"/>
  <c r="AV3055" i="1"/>
  <c r="AW3054" i="1"/>
  <c r="AV3054" i="1"/>
  <c r="AW3053" i="1"/>
  <c r="AV3053" i="1"/>
  <c r="AW3052" i="1"/>
  <c r="AV3052" i="1"/>
  <c r="AW3051" i="1"/>
  <c r="AV3051" i="1"/>
  <c r="AW3050" i="1"/>
  <c r="AV3050" i="1"/>
  <c r="AW3049" i="1"/>
  <c r="AV3049" i="1"/>
  <c r="AW3048" i="1"/>
  <c r="AV3048" i="1"/>
  <c r="AW3047" i="1"/>
  <c r="AV3047" i="1"/>
  <c r="AW3046" i="1"/>
  <c r="AV3046" i="1"/>
  <c r="AW3045" i="1"/>
  <c r="AV3045" i="1"/>
  <c r="AW3044" i="1"/>
  <c r="AV3044" i="1"/>
  <c r="AW3043" i="1"/>
  <c r="AV3043" i="1"/>
  <c r="AW3042" i="1"/>
  <c r="AV3042" i="1"/>
  <c r="AW3041" i="1"/>
  <c r="AV3041" i="1"/>
  <c r="AW3040" i="1"/>
  <c r="AV3040" i="1"/>
  <c r="AW3039" i="1"/>
  <c r="AV3039" i="1"/>
  <c r="AW3038" i="1"/>
  <c r="AV3038" i="1"/>
  <c r="AW3037" i="1"/>
  <c r="AV3037" i="1"/>
  <c r="AW3036" i="1"/>
  <c r="AV3036" i="1"/>
  <c r="AU3036" i="1"/>
  <c r="AW3035" i="1"/>
  <c r="AV3035" i="1"/>
  <c r="AW3034" i="1"/>
  <c r="AV3034" i="1"/>
  <c r="AW3033" i="1"/>
  <c r="AV3033" i="1"/>
  <c r="AU3033" i="1"/>
  <c r="AW3032" i="1"/>
  <c r="AV3032" i="1"/>
  <c r="AW3031" i="1"/>
  <c r="AV3031" i="1"/>
  <c r="AW3030" i="1"/>
  <c r="AV3030" i="1"/>
  <c r="AW3029" i="1"/>
  <c r="AV3029" i="1"/>
  <c r="AW3028" i="1"/>
  <c r="AV3028" i="1"/>
  <c r="AU3028" i="1"/>
  <c r="AW3027" i="1"/>
  <c r="AV3027" i="1"/>
  <c r="AU3027" i="1"/>
  <c r="AW3026" i="1"/>
  <c r="AV3026" i="1"/>
  <c r="AW3025" i="1"/>
  <c r="AV3025" i="1"/>
  <c r="AW3024" i="1"/>
  <c r="AV3024" i="1"/>
  <c r="AW3023" i="1"/>
  <c r="AV3023" i="1"/>
  <c r="AW3022" i="1"/>
  <c r="AV3022" i="1"/>
  <c r="AW3021" i="1"/>
  <c r="AV3021" i="1"/>
  <c r="AW3020" i="1"/>
  <c r="AV3020" i="1"/>
  <c r="AW3019" i="1"/>
  <c r="AV3019" i="1"/>
  <c r="AW3018" i="1"/>
  <c r="AV3018" i="1"/>
  <c r="AU3018" i="1"/>
  <c r="AW3017" i="1"/>
  <c r="AV3017" i="1"/>
  <c r="AW3016" i="1"/>
  <c r="AV3016" i="1"/>
  <c r="AW3015" i="1"/>
  <c r="AV3015" i="1"/>
  <c r="AU3015" i="1"/>
  <c r="AW3014" i="1"/>
  <c r="AV3014" i="1"/>
  <c r="AW3013" i="1"/>
  <c r="AV3013" i="1"/>
  <c r="AW3012" i="1"/>
  <c r="AV3012" i="1"/>
  <c r="AW3011" i="1"/>
  <c r="AV3011" i="1"/>
  <c r="AW3010" i="1"/>
  <c r="AV3010" i="1"/>
  <c r="AW3009" i="1"/>
  <c r="AV3009" i="1"/>
  <c r="AW3008" i="1"/>
  <c r="AV3008" i="1"/>
  <c r="AW3007" i="1"/>
  <c r="AV3007" i="1"/>
  <c r="AW3006" i="1"/>
  <c r="AV3006" i="1"/>
  <c r="AU3006" i="1"/>
  <c r="AW3005" i="1"/>
  <c r="AV3005" i="1"/>
  <c r="AW3004" i="1"/>
  <c r="AV3004" i="1"/>
  <c r="AW3003" i="1"/>
  <c r="AV3003" i="1"/>
  <c r="AW3002" i="1"/>
  <c r="AV3002" i="1"/>
  <c r="AW3001" i="1"/>
  <c r="AV3001" i="1"/>
  <c r="AW3000" i="1"/>
  <c r="AV3000" i="1"/>
  <c r="AW2999" i="1"/>
  <c r="AV2999" i="1"/>
  <c r="AW2998" i="1"/>
  <c r="AV2998" i="1"/>
  <c r="AW2997" i="1"/>
  <c r="AV2997" i="1"/>
  <c r="AW2996" i="1"/>
  <c r="AV2996" i="1"/>
  <c r="AW2995" i="1"/>
  <c r="AV2995" i="1"/>
  <c r="AW2994" i="1"/>
  <c r="AV2994" i="1"/>
  <c r="AW2993" i="1"/>
  <c r="AV2993" i="1"/>
  <c r="AU2993" i="1"/>
  <c r="AW2992" i="1"/>
  <c r="AV2992" i="1"/>
  <c r="AU2992" i="1"/>
  <c r="AW2991" i="1"/>
  <c r="AV2991" i="1"/>
  <c r="AW2990" i="1"/>
  <c r="AV2990" i="1"/>
  <c r="AU2990" i="1"/>
  <c r="AW2989" i="1"/>
  <c r="AV2989" i="1"/>
  <c r="AW2988" i="1"/>
  <c r="AV2988" i="1"/>
  <c r="AU2988" i="1"/>
  <c r="AW2987" i="1"/>
  <c r="AV2987" i="1"/>
  <c r="AU2987" i="1"/>
  <c r="AW2986" i="1"/>
  <c r="AV2986" i="1"/>
  <c r="AW2985" i="1"/>
  <c r="AV2985" i="1"/>
  <c r="AU2985" i="1"/>
  <c r="AW2984" i="1"/>
  <c r="AV2984" i="1"/>
  <c r="AU2984" i="1"/>
  <c r="AW2983" i="1"/>
  <c r="AV2983" i="1"/>
  <c r="AU2983" i="1"/>
  <c r="AW2982" i="1"/>
  <c r="AV2982" i="1"/>
  <c r="AW2981" i="1"/>
  <c r="AV2981" i="1"/>
  <c r="AW2980" i="1"/>
  <c r="AV2980" i="1"/>
  <c r="AU2980" i="1"/>
  <c r="AW2979" i="1"/>
  <c r="AV2979" i="1"/>
  <c r="AW2978" i="1"/>
  <c r="AV2978" i="1"/>
  <c r="AW2977" i="1"/>
  <c r="AV2977" i="1"/>
  <c r="AW2976" i="1"/>
  <c r="AV2976" i="1"/>
  <c r="AW2975" i="1"/>
  <c r="AV2975" i="1"/>
  <c r="AW2974" i="1"/>
  <c r="AV2974" i="1"/>
  <c r="AW2973" i="1"/>
  <c r="AV2973" i="1"/>
  <c r="AW2972" i="1"/>
  <c r="AV2972" i="1"/>
  <c r="AW2971" i="1"/>
  <c r="AV2971" i="1"/>
  <c r="AW2970" i="1"/>
  <c r="AV2970" i="1"/>
  <c r="AU2970" i="1"/>
  <c r="AW2969" i="1"/>
  <c r="AV2969" i="1"/>
  <c r="AW2968" i="1"/>
  <c r="AV2968" i="1"/>
  <c r="AW2967" i="1"/>
  <c r="AV2967" i="1"/>
  <c r="AW2966" i="1"/>
  <c r="AV2966" i="1"/>
  <c r="AW2965" i="1"/>
  <c r="AV2965" i="1"/>
  <c r="AW2964" i="1"/>
  <c r="AV2964" i="1"/>
  <c r="AW2963" i="1"/>
  <c r="AV2963" i="1"/>
  <c r="AW2962" i="1"/>
  <c r="AV2962" i="1"/>
  <c r="AW2961" i="1"/>
  <c r="AV2961" i="1"/>
  <c r="AW2960" i="1"/>
  <c r="AV2960" i="1"/>
  <c r="AW2959" i="1"/>
  <c r="AV2959" i="1"/>
  <c r="AW2958" i="1"/>
  <c r="AV2958" i="1"/>
  <c r="AW2957" i="1"/>
  <c r="AV2957" i="1"/>
  <c r="AU2957" i="1"/>
  <c r="AW2956" i="1"/>
  <c r="AV2956" i="1"/>
  <c r="AU2956" i="1"/>
  <c r="AW2955" i="1"/>
  <c r="AV2955" i="1"/>
  <c r="AW2954" i="1"/>
  <c r="AV2954" i="1"/>
  <c r="AW2953" i="1"/>
  <c r="AV2953" i="1"/>
  <c r="AU2953" i="1"/>
  <c r="AW2952" i="1"/>
  <c r="AV2952" i="1"/>
  <c r="AW2951" i="1"/>
  <c r="AV2951" i="1"/>
  <c r="AW2950" i="1"/>
  <c r="AV2950" i="1"/>
  <c r="AU2950" i="1"/>
  <c r="AW2949" i="1"/>
  <c r="AV2949" i="1"/>
  <c r="AU2949" i="1"/>
  <c r="AW2948" i="1"/>
  <c r="AV2948" i="1"/>
  <c r="AW2947" i="1"/>
  <c r="AV2947" i="1"/>
  <c r="AW2946" i="1"/>
  <c r="AV2946" i="1"/>
  <c r="AW2945" i="1"/>
  <c r="AV2945" i="1"/>
  <c r="AU2945" i="1"/>
  <c r="AW2944" i="1"/>
  <c r="AV2944" i="1"/>
  <c r="AU2944" i="1"/>
  <c r="AW2943" i="1"/>
  <c r="AV2943" i="1"/>
  <c r="AW2942" i="1"/>
  <c r="AV2942" i="1"/>
  <c r="AU2942" i="1"/>
  <c r="AW2941" i="1"/>
  <c r="AV2941" i="1"/>
  <c r="AU2941" i="1"/>
  <c r="AW2940" i="1"/>
  <c r="AV2940" i="1"/>
  <c r="AW2939" i="1"/>
  <c r="AV2939" i="1"/>
  <c r="AW2938" i="1"/>
  <c r="AV2938" i="1"/>
  <c r="AU2938" i="1"/>
  <c r="AW2937" i="1"/>
  <c r="AV2937" i="1"/>
  <c r="AW2936" i="1"/>
  <c r="AV2936" i="1"/>
  <c r="AW2935" i="1"/>
  <c r="AV2935" i="1"/>
  <c r="AW2934" i="1"/>
  <c r="AV2934" i="1"/>
  <c r="AW2933" i="1"/>
  <c r="AV2933" i="1"/>
  <c r="AW2932" i="1"/>
  <c r="AV2932" i="1"/>
  <c r="AU2932" i="1"/>
  <c r="AW2931" i="1"/>
  <c r="AV2931" i="1"/>
  <c r="AW2930" i="1"/>
  <c r="AV2930" i="1"/>
  <c r="AW2929" i="1"/>
  <c r="AV2929" i="1"/>
  <c r="AW2928" i="1"/>
  <c r="AV2928" i="1"/>
  <c r="AW2927" i="1"/>
  <c r="AV2927" i="1"/>
  <c r="AW2926" i="1"/>
  <c r="AV2926" i="1"/>
  <c r="AW2925" i="1"/>
  <c r="AV2925" i="1"/>
  <c r="AW2924" i="1"/>
  <c r="AV2924" i="1"/>
  <c r="AW2923" i="1"/>
  <c r="AV2923" i="1"/>
  <c r="AU2923" i="1"/>
  <c r="AW2922" i="1"/>
  <c r="AV2922" i="1"/>
  <c r="AU2922" i="1"/>
  <c r="AW2921" i="1"/>
  <c r="AV2921" i="1"/>
  <c r="AU2921" i="1"/>
  <c r="AW2920" i="1"/>
  <c r="AV2920" i="1"/>
  <c r="AW2919" i="1"/>
  <c r="AV2919" i="1"/>
  <c r="AW2918" i="1"/>
  <c r="AV2918" i="1"/>
  <c r="AW2917" i="1"/>
  <c r="AV2917" i="1"/>
  <c r="AW2916" i="1"/>
  <c r="AV2916" i="1"/>
  <c r="AW2915" i="1"/>
  <c r="AV2915" i="1"/>
  <c r="AW2914" i="1"/>
  <c r="AV2914" i="1"/>
  <c r="AW2913" i="1"/>
  <c r="AV2913" i="1"/>
  <c r="AW2912" i="1"/>
  <c r="AV2912" i="1"/>
  <c r="AW2911" i="1"/>
  <c r="AV2911" i="1"/>
  <c r="AU2911" i="1"/>
  <c r="AW2910" i="1"/>
  <c r="AV2910" i="1"/>
  <c r="AW2909" i="1"/>
  <c r="AV2909" i="1"/>
  <c r="AW2908" i="1"/>
  <c r="AV2908" i="1"/>
  <c r="AW2907" i="1"/>
  <c r="AV2907" i="1"/>
  <c r="AW2906" i="1"/>
  <c r="AV2906" i="1"/>
  <c r="AW2905" i="1"/>
  <c r="AV2905" i="1"/>
  <c r="AW2904" i="1"/>
  <c r="AV2904" i="1"/>
  <c r="AW2903" i="1"/>
  <c r="AV2903" i="1"/>
  <c r="AW2902" i="1"/>
  <c r="AV2902" i="1"/>
  <c r="AW2901" i="1"/>
  <c r="AV2901" i="1"/>
  <c r="AW2900" i="1"/>
  <c r="AV2900" i="1"/>
  <c r="AW2899" i="1"/>
  <c r="AV2899" i="1"/>
  <c r="AU2899" i="1"/>
  <c r="AW2898" i="1"/>
  <c r="AV2898" i="1"/>
  <c r="AU2898" i="1"/>
  <c r="AW2897" i="1"/>
  <c r="AV2897" i="1"/>
  <c r="AW2896" i="1"/>
  <c r="AV2896" i="1"/>
  <c r="AU2896" i="1"/>
  <c r="AW2895" i="1"/>
  <c r="AV2895" i="1"/>
  <c r="AU2895" i="1"/>
  <c r="AW2894" i="1"/>
  <c r="AV2894" i="1"/>
  <c r="AU2894" i="1"/>
  <c r="AW2893" i="1"/>
  <c r="AV2893" i="1"/>
  <c r="AU2893" i="1"/>
  <c r="AW2892" i="1"/>
  <c r="AV2892" i="1"/>
  <c r="AU2892" i="1"/>
  <c r="AW2891" i="1"/>
  <c r="AV2891" i="1"/>
  <c r="AU2891" i="1"/>
  <c r="AW2890" i="1"/>
  <c r="AV2890" i="1"/>
  <c r="AU2890" i="1"/>
  <c r="AW2889" i="1"/>
  <c r="AV2889" i="1"/>
  <c r="AU2889" i="1"/>
  <c r="AW2888" i="1"/>
  <c r="AV2888" i="1"/>
  <c r="AU2888" i="1"/>
  <c r="AW2887" i="1"/>
  <c r="AV2887" i="1"/>
  <c r="AU2887" i="1"/>
  <c r="AW2886" i="1"/>
  <c r="AV2886" i="1"/>
  <c r="AU2886" i="1"/>
  <c r="AW2885" i="1"/>
  <c r="AV2885" i="1"/>
  <c r="AU2885" i="1"/>
  <c r="AW2884" i="1"/>
  <c r="AV2884" i="1"/>
  <c r="AW2883" i="1"/>
  <c r="AV2883" i="1"/>
  <c r="AW2882" i="1"/>
  <c r="AV2882" i="1"/>
  <c r="AW2881" i="1"/>
  <c r="AV2881" i="1"/>
  <c r="AU2881" i="1"/>
  <c r="AW2880" i="1"/>
  <c r="AV2880" i="1"/>
  <c r="AW2879" i="1"/>
  <c r="AV2879" i="1"/>
  <c r="AW2878" i="1"/>
  <c r="AV2878" i="1"/>
  <c r="AW2877" i="1"/>
  <c r="AV2877" i="1"/>
  <c r="AW2876" i="1"/>
  <c r="AV2876" i="1"/>
  <c r="AW2875" i="1"/>
  <c r="AV2875" i="1"/>
  <c r="AW2874" i="1"/>
  <c r="AV2874" i="1"/>
  <c r="AW2873" i="1"/>
  <c r="AV2873" i="1"/>
  <c r="AW2872" i="1"/>
  <c r="AV2872" i="1"/>
  <c r="AW2871" i="1"/>
  <c r="AV2871" i="1"/>
  <c r="AU2871" i="1"/>
  <c r="AW2870" i="1"/>
  <c r="AV2870" i="1"/>
  <c r="AU2870" i="1"/>
  <c r="AW2869" i="1"/>
  <c r="AV2869" i="1"/>
  <c r="AW2868" i="1"/>
  <c r="AV2868" i="1"/>
  <c r="AU2868" i="1"/>
  <c r="AW2867" i="1"/>
  <c r="AV2867" i="1"/>
  <c r="AW2866" i="1"/>
  <c r="AV2866" i="1"/>
  <c r="AU2866" i="1"/>
  <c r="AW2865" i="1"/>
  <c r="AV2865" i="1"/>
  <c r="AW2864" i="1"/>
  <c r="AV2864" i="1"/>
  <c r="AW2863" i="1"/>
  <c r="AV2863" i="1"/>
  <c r="AW2862" i="1"/>
  <c r="AV2862" i="1"/>
  <c r="AW2861" i="1"/>
  <c r="AV2861" i="1"/>
  <c r="AW2860" i="1"/>
  <c r="AV2860" i="1"/>
  <c r="AU2860" i="1"/>
  <c r="AW2859" i="1"/>
  <c r="AV2859" i="1"/>
  <c r="AW2858" i="1"/>
  <c r="AV2858" i="1"/>
  <c r="AW2857" i="1"/>
  <c r="AV2857" i="1"/>
  <c r="AW2856" i="1"/>
  <c r="AV2856" i="1"/>
  <c r="AU2856" i="1"/>
  <c r="AW2855" i="1"/>
  <c r="AV2855" i="1"/>
  <c r="AW2854" i="1"/>
  <c r="AV2854" i="1"/>
  <c r="AW2853" i="1"/>
  <c r="AV2853" i="1"/>
  <c r="AW2852" i="1"/>
  <c r="AV2852" i="1"/>
  <c r="AU2852" i="1"/>
  <c r="AW2851" i="1"/>
  <c r="AV2851" i="1"/>
  <c r="AU2851" i="1"/>
  <c r="AW2850" i="1"/>
  <c r="AV2850" i="1"/>
  <c r="AW2849" i="1"/>
  <c r="AV2849" i="1"/>
  <c r="AW2848" i="1"/>
  <c r="AV2848" i="1"/>
  <c r="AW2847" i="1"/>
  <c r="AV2847" i="1"/>
  <c r="AW2846" i="1"/>
  <c r="AV2846" i="1"/>
  <c r="AW2845" i="1"/>
  <c r="AV2845" i="1"/>
  <c r="AU2845" i="1"/>
  <c r="AW2844" i="1"/>
  <c r="AV2844" i="1"/>
  <c r="AW2843" i="1"/>
  <c r="AV2843" i="1"/>
  <c r="AW2842" i="1"/>
  <c r="AV2842" i="1"/>
  <c r="AU2842" i="1"/>
  <c r="AW2841" i="1"/>
  <c r="AV2841" i="1"/>
  <c r="AW2840" i="1"/>
  <c r="AV2840" i="1"/>
  <c r="AW2839" i="1"/>
  <c r="AV2839" i="1"/>
  <c r="AW2838" i="1"/>
  <c r="AV2838" i="1"/>
  <c r="AW2837" i="1"/>
  <c r="AV2837" i="1"/>
  <c r="AW2836" i="1"/>
  <c r="AV2836" i="1"/>
  <c r="AW2835" i="1"/>
  <c r="AV2835" i="1"/>
  <c r="AW2834" i="1"/>
  <c r="AV2834" i="1"/>
  <c r="AW2833" i="1"/>
  <c r="AV2833" i="1"/>
  <c r="AW2832" i="1"/>
  <c r="AV2832" i="1"/>
  <c r="AW2831" i="1"/>
  <c r="AV2831" i="1"/>
  <c r="AW2830" i="1"/>
  <c r="AV2830" i="1"/>
  <c r="AW2829" i="1"/>
  <c r="AV2829" i="1"/>
  <c r="AW2828" i="1"/>
  <c r="AV2828" i="1"/>
  <c r="AW2827" i="1"/>
  <c r="AV2827" i="1"/>
  <c r="AW2826" i="1"/>
  <c r="AV2826" i="1"/>
  <c r="AU2826" i="1"/>
  <c r="AW2825" i="1"/>
  <c r="AV2825" i="1"/>
  <c r="AW2824" i="1"/>
  <c r="AV2824" i="1"/>
  <c r="AW2823" i="1"/>
  <c r="AV2823" i="1"/>
  <c r="AU2823" i="1"/>
  <c r="AW2822" i="1"/>
  <c r="AV2822" i="1"/>
  <c r="AW2821" i="1"/>
  <c r="AV2821" i="1"/>
  <c r="AU2821" i="1"/>
  <c r="AW2820" i="1"/>
  <c r="AV2820" i="1"/>
  <c r="AW2819" i="1"/>
  <c r="AV2819" i="1"/>
  <c r="AU2819" i="1"/>
  <c r="AW2818" i="1"/>
  <c r="AV2818" i="1"/>
  <c r="AU2818" i="1"/>
  <c r="AW2817" i="1"/>
  <c r="AV2817" i="1"/>
  <c r="AU2817" i="1"/>
  <c r="AW2816" i="1"/>
  <c r="AV2816" i="1"/>
  <c r="AW2815" i="1"/>
  <c r="AV2815" i="1"/>
  <c r="AU2815" i="1"/>
  <c r="AW2814" i="1"/>
  <c r="AV2814" i="1"/>
  <c r="AW2813" i="1"/>
  <c r="AV2813" i="1"/>
  <c r="AW2812" i="1"/>
  <c r="AV2812" i="1"/>
  <c r="AW2811" i="1"/>
  <c r="AV2811" i="1"/>
  <c r="AW2810" i="1"/>
  <c r="AV2810" i="1"/>
  <c r="AU2810" i="1"/>
  <c r="AW2809" i="1"/>
  <c r="AV2809" i="1"/>
  <c r="AW2808" i="1"/>
  <c r="AV2808" i="1"/>
  <c r="AU2808" i="1"/>
  <c r="AW2807" i="1"/>
  <c r="AV2807" i="1"/>
  <c r="AU2807" i="1"/>
  <c r="AW2806" i="1"/>
  <c r="AV2806" i="1"/>
  <c r="AW2805" i="1"/>
  <c r="AV2805" i="1"/>
  <c r="AU2805" i="1"/>
  <c r="AW2804" i="1"/>
  <c r="AV2804" i="1"/>
  <c r="AW2803" i="1"/>
  <c r="AV2803" i="1"/>
  <c r="AU2803" i="1"/>
  <c r="AW2802" i="1"/>
  <c r="AV2802" i="1"/>
  <c r="AW2801" i="1"/>
  <c r="AV2801" i="1"/>
  <c r="AW2800" i="1"/>
  <c r="AV2800" i="1"/>
  <c r="AU2800" i="1"/>
  <c r="AW2799" i="1"/>
  <c r="AV2799" i="1"/>
  <c r="AW2798" i="1"/>
  <c r="AV2798" i="1"/>
  <c r="AW2797" i="1"/>
  <c r="AV2797" i="1"/>
  <c r="AW2796" i="1"/>
  <c r="AV2796" i="1"/>
  <c r="AW2795" i="1"/>
  <c r="AV2795" i="1"/>
  <c r="AW2794" i="1"/>
  <c r="AV2794" i="1"/>
  <c r="AU2794" i="1"/>
  <c r="AW2793" i="1"/>
  <c r="AV2793" i="1"/>
  <c r="AU2793" i="1"/>
  <c r="AW2792" i="1"/>
  <c r="AV2792" i="1"/>
  <c r="AU2792" i="1"/>
  <c r="AW2791" i="1"/>
  <c r="AV2791" i="1"/>
  <c r="AW2790" i="1"/>
  <c r="AV2790" i="1"/>
  <c r="AW2789" i="1"/>
  <c r="AV2789" i="1"/>
  <c r="AU2789" i="1"/>
  <c r="AW2788" i="1"/>
  <c r="AV2788" i="1"/>
  <c r="AU2788" i="1"/>
  <c r="AW2787" i="1"/>
  <c r="AV2787" i="1"/>
  <c r="AU2787" i="1"/>
  <c r="AW2786" i="1"/>
  <c r="AV2786" i="1"/>
  <c r="AU2786" i="1"/>
  <c r="AW2785" i="1"/>
  <c r="AV2785" i="1"/>
  <c r="AU2785" i="1"/>
  <c r="AW2784" i="1"/>
  <c r="AV2784" i="1"/>
  <c r="AU2784" i="1"/>
  <c r="AW2783" i="1"/>
  <c r="AV2783" i="1"/>
  <c r="AU2783" i="1"/>
  <c r="AW2782" i="1"/>
  <c r="AV2782" i="1"/>
  <c r="AU2782" i="1"/>
  <c r="AW2781" i="1"/>
  <c r="AV2781" i="1"/>
  <c r="AW2780" i="1"/>
  <c r="AV2780" i="1"/>
  <c r="AW2779" i="1"/>
  <c r="AV2779" i="1"/>
  <c r="AU2779" i="1"/>
  <c r="AW2778" i="1"/>
  <c r="AV2778" i="1"/>
  <c r="AW2777" i="1"/>
  <c r="AV2777" i="1"/>
  <c r="AW2776" i="1"/>
  <c r="AV2776" i="1"/>
  <c r="AU2776" i="1"/>
  <c r="AW2775" i="1"/>
  <c r="AV2775" i="1"/>
  <c r="AW2774" i="1"/>
  <c r="AV2774" i="1"/>
  <c r="AW2773" i="1"/>
  <c r="AV2773" i="1"/>
  <c r="AW2772" i="1"/>
  <c r="AV2772" i="1"/>
  <c r="AW2771" i="1"/>
  <c r="AV2771" i="1"/>
  <c r="AW2770" i="1"/>
  <c r="AV2770" i="1"/>
  <c r="AW2769" i="1"/>
  <c r="AV2769" i="1"/>
  <c r="AU2769" i="1"/>
  <c r="AW2768" i="1"/>
  <c r="AV2768" i="1"/>
  <c r="AU2768" i="1"/>
  <c r="AW2767" i="1"/>
  <c r="AV2767" i="1"/>
  <c r="AU2767" i="1"/>
  <c r="AW2766" i="1"/>
  <c r="AV2766" i="1"/>
  <c r="AW2765" i="1"/>
  <c r="AV2765" i="1"/>
  <c r="AU2765" i="1"/>
  <c r="AW2764" i="1"/>
  <c r="AV2764" i="1"/>
  <c r="AU2764" i="1"/>
  <c r="AW2763" i="1"/>
  <c r="AV2763" i="1"/>
  <c r="AU2763" i="1"/>
  <c r="AW2762" i="1"/>
  <c r="AV2762" i="1"/>
  <c r="AW2761" i="1"/>
  <c r="AV2761" i="1"/>
  <c r="AW2760" i="1"/>
  <c r="AV2760" i="1"/>
  <c r="AW2759" i="1"/>
  <c r="AV2759" i="1"/>
  <c r="AW2758" i="1"/>
  <c r="AV2758" i="1"/>
  <c r="AW2757" i="1"/>
  <c r="AV2757" i="1"/>
  <c r="AW2756" i="1"/>
  <c r="AV2756" i="1"/>
  <c r="AU2756" i="1"/>
  <c r="AW2755" i="1"/>
  <c r="AV2755" i="1"/>
  <c r="AW2754" i="1"/>
  <c r="AV2754" i="1"/>
  <c r="AW2753" i="1"/>
  <c r="AV2753" i="1"/>
  <c r="AU2753" i="1"/>
  <c r="AW2752" i="1"/>
  <c r="AV2752" i="1"/>
  <c r="AW2751" i="1"/>
  <c r="AV2751" i="1"/>
  <c r="AW2750" i="1"/>
  <c r="AV2750" i="1"/>
  <c r="AU2750" i="1"/>
  <c r="AW2749" i="1"/>
  <c r="AV2749" i="1"/>
  <c r="AU2749" i="1"/>
  <c r="AW2748" i="1"/>
  <c r="AV2748" i="1"/>
  <c r="AU2748" i="1"/>
  <c r="AW2747" i="1"/>
  <c r="AV2747" i="1"/>
  <c r="AW2746" i="1"/>
  <c r="AV2746" i="1"/>
  <c r="AU2746" i="1"/>
  <c r="AW2745" i="1"/>
  <c r="AV2745" i="1"/>
  <c r="AU2745" i="1"/>
  <c r="AW2744" i="1"/>
  <c r="AV2744" i="1"/>
  <c r="AW2743" i="1"/>
  <c r="AV2743" i="1"/>
  <c r="AW2742" i="1"/>
  <c r="AV2742" i="1"/>
  <c r="AW2741" i="1"/>
  <c r="AV2741" i="1"/>
  <c r="AW2740" i="1"/>
  <c r="AV2740" i="1"/>
  <c r="AU2740" i="1"/>
  <c r="AW2739" i="1"/>
  <c r="AV2739" i="1"/>
  <c r="AU2739" i="1"/>
  <c r="AW2738" i="1"/>
  <c r="AV2738" i="1"/>
  <c r="AW2737" i="1"/>
  <c r="AV2737" i="1"/>
  <c r="AW2736" i="1"/>
  <c r="AV2736" i="1"/>
  <c r="AW2735" i="1"/>
  <c r="AV2735" i="1"/>
  <c r="AU2735" i="1"/>
  <c r="AW2734" i="1"/>
  <c r="AV2734" i="1"/>
  <c r="AU2734" i="1"/>
  <c r="AW2733" i="1"/>
  <c r="AV2733" i="1"/>
  <c r="AW2732" i="1"/>
  <c r="AV2732" i="1"/>
  <c r="AU2732" i="1"/>
  <c r="AW2731" i="1"/>
  <c r="AV2731" i="1"/>
  <c r="AU2731" i="1"/>
  <c r="AW2730" i="1"/>
  <c r="AV2730" i="1"/>
  <c r="AU2730" i="1"/>
  <c r="AW2729" i="1"/>
  <c r="AV2729" i="1"/>
  <c r="AU2729" i="1"/>
  <c r="AW2728" i="1"/>
  <c r="AV2728" i="1"/>
  <c r="AU2728" i="1"/>
  <c r="AW2727" i="1"/>
  <c r="AV2727" i="1"/>
  <c r="AW2726" i="1"/>
  <c r="AV2726" i="1"/>
  <c r="AU2726" i="1"/>
  <c r="AW2725" i="1"/>
  <c r="AV2725" i="1"/>
  <c r="AU2725" i="1"/>
  <c r="AW2724" i="1"/>
  <c r="AV2724" i="1"/>
  <c r="AU2724" i="1"/>
  <c r="AW2723" i="1"/>
  <c r="AV2723" i="1"/>
  <c r="AU2723" i="1"/>
  <c r="AW2722" i="1"/>
  <c r="AV2722" i="1"/>
  <c r="AU2722" i="1"/>
  <c r="AW2721" i="1"/>
  <c r="AV2721" i="1"/>
  <c r="AU2721" i="1"/>
  <c r="AW2720" i="1"/>
  <c r="AV2720" i="1"/>
  <c r="AU2720" i="1"/>
  <c r="AW2719" i="1"/>
  <c r="AV2719" i="1"/>
  <c r="AU2719" i="1"/>
  <c r="AW2718" i="1"/>
  <c r="AV2718" i="1"/>
  <c r="AW2717" i="1"/>
  <c r="AV2717" i="1"/>
  <c r="AW2716" i="1"/>
  <c r="AV2716" i="1"/>
  <c r="AW2715" i="1"/>
  <c r="AV2715" i="1"/>
  <c r="AU2715" i="1"/>
  <c r="AW2714" i="1"/>
  <c r="AV2714" i="1"/>
  <c r="AU2714" i="1"/>
  <c r="AW2713" i="1"/>
  <c r="AV2713" i="1"/>
  <c r="AU2713" i="1"/>
  <c r="AW2712" i="1"/>
  <c r="AV2712" i="1"/>
  <c r="AW2711" i="1"/>
  <c r="AV2711" i="1"/>
  <c r="AW2710" i="1"/>
  <c r="AV2710" i="1"/>
  <c r="AW2709" i="1"/>
  <c r="AV2709" i="1"/>
  <c r="AW2708" i="1"/>
  <c r="AV2708" i="1"/>
  <c r="AW2707" i="1"/>
  <c r="AV2707" i="1"/>
  <c r="AU2707" i="1"/>
  <c r="AW2706" i="1"/>
  <c r="AV2706" i="1"/>
  <c r="AW2705" i="1"/>
  <c r="AV2705" i="1"/>
  <c r="AU2705" i="1"/>
  <c r="AW2704" i="1"/>
  <c r="AV2704" i="1"/>
  <c r="AU2704" i="1"/>
  <c r="AW2703" i="1"/>
  <c r="AV2703" i="1"/>
  <c r="AW2702" i="1"/>
  <c r="AV2702" i="1"/>
  <c r="AW2701" i="1"/>
  <c r="AV2701" i="1"/>
  <c r="AU2701" i="1"/>
  <c r="AW2700" i="1"/>
  <c r="AV2700" i="1"/>
  <c r="AU2700" i="1"/>
  <c r="AW2699" i="1"/>
  <c r="AV2699" i="1"/>
  <c r="AU2699" i="1"/>
  <c r="AW2698" i="1"/>
  <c r="AV2698" i="1"/>
  <c r="AU2698" i="1"/>
  <c r="AW2697" i="1"/>
  <c r="AV2697" i="1"/>
  <c r="AU2697" i="1"/>
  <c r="AW2696" i="1"/>
  <c r="AV2696" i="1"/>
  <c r="AU2696" i="1"/>
  <c r="AW2695" i="1"/>
  <c r="AV2695" i="1"/>
  <c r="AU2695" i="1"/>
  <c r="AW2694" i="1"/>
  <c r="AV2694" i="1"/>
  <c r="AW2693" i="1"/>
  <c r="AV2693" i="1"/>
  <c r="AU2693" i="1"/>
  <c r="AW2692" i="1"/>
  <c r="AV2692" i="1"/>
  <c r="AW2691" i="1"/>
  <c r="AV2691" i="1"/>
  <c r="AU2691" i="1"/>
  <c r="AW2690" i="1"/>
  <c r="AV2690" i="1"/>
  <c r="AU2690" i="1"/>
  <c r="AW2689" i="1"/>
  <c r="AV2689" i="1"/>
  <c r="AU2689" i="1"/>
  <c r="AW2688" i="1"/>
  <c r="AV2688" i="1"/>
  <c r="AW2687" i="1"/>
  <c r="AV2687" i="1"/>
  <c r="AU2687" i="1"/>
  <c r="AW2686" i="1"/>
  <c r="AV2686" i="1"/>
  <c r="AW2685" i="1"/>
  <c r="AV2685" i="1"/>
  <c r="AW2684" i="1"/>
  <c r="AV2684" i="1"/>
  <c r="AU2684" i="1"/>
  <c r="AW2683" i="1"/>
  <c r="AV2683" i="1"/>
  <c r="AU2683" i="1"/>
  <c r="AW2682" i="1"/>
  <c r="AV2682" i="1"/>
  <c r="AW2681" i="1"/>
  <c r="AV2681" i="1"/>
  <c r="AU2681" i="1"/>
  <c r="AW2680" i="1"/>
  <c r="AV2680" i="1"/>
  <c r="AW2679" i="1"/>
  <c r="AV2679" i="1"/>
  <c r="AW2678" i="1"/>
  <c r="AV2678" i="1"/>
  <c r="AW2677" i="1"/>
  <c r="AV2677" i="1"/>
  <c r="AU2677" i="1"/>
  <c r="AW2676" i="1"/>
  <c r="AV2676" i="1"/>
  <c r="AW2675" i="1"/>
  <c r="AV2675" i="1"/>
  <c r="AW2674" i="1"/>
  <c r="AV2674" i="1"/>
  <c r="AU2674" i="1"/>
  <c r="AW2673" i="1"/>
  <c r="AV2673" i="1"/>
  <c r="AW2672" i="1"/>
  <c r="AV2672" i="1"/>
  <c r="AW2671" i="1"/>
  <c r="AV2671" i="1"/>
  <c r="AW2670" i="1"/>
  <c r="AV2670" i="1"/>
  <c r="AW2669" i="1"/>
  <c r="AV2669" i="1"/>
  <c r="AW2668" i="1"/>
  <c r="AV2668" i="1"/>
  <c r="AW2667" i="1"/>
  <c r="AV2667" i="1"/>
  <c r="AW2666" i="1"/>
  <c r="AV2666" i="1"/>
  <c r="AU2666" i="1"/>
  <c r="AW2665" i="1"/>
  <c r="AV2665" i="1"/>
  <c r="AU2665" i="1"/>
  <c r="AW2664" i="1"/>
  <c r="AV2664" i="1"/>
  <c r="AU2664" i="1"/>
  <c r="AW2663" i="1"/>
  <c r="AV2663" i="1"/>
  <c r="AU2663" i="1"/>
  <c r="AW2662" i="1"/>
  <c r="AV2662" i="1"/>
  <c r="AU2662" i="1"/>
  <c r="AW2661" i="1"/>
  <c r="AV2661" i="1"/>
  <c r="AU2661" i="1"/>
  <c r="AW2660" i="1"/>
  <c r="AV2660" i="1"/>
  <c r="AU2660" i="1"/>
  <c r="AW2659" i="1"/>
  <c r="AV2659" i="1"/>
  <c r="AU2659" i="1"/>
  <c r="AW2658" i="1"/>
  <c r="AV2658" i="1"/>
  <c r="AW2657" i="1"/>
  <c r="AV2657" i="1"/>
  <c r="AW2656" i="1"/>
  <c r="AV2656" i="1"/>
  <c r="AW2655" i="1"/>
  <c r="AV2655" i="1"/>
  <c r="AW2654" i="1"/>
  <c r="AV2654" i="1"/>
  <c r="AW2653" i="1"/>
  <c r="AV2653" i="1"/>
  <c r="AU2653" i="1"/>
  <c r="AW2652" i="1"/>
  <c r="AV2652" i="1"/>
  <c r="AU2652" i="1"/>
  <c r="AW2651" i="1"/>
  <c r="AV2651" i="1"/>
  <c r="AU2651" i="1"/>
  <c r="AW2650" i="1"/>
  <c r="AV2650" i="1"/>
  <c r="AU2650" i="1"/>
  <c r="AW2649" i="1"/>
  <c r="AV2649" i="1"/>
  <c r="AU2649" i="1"/>
  <c r="AW2648" i="1"/>
  <c r="AV2648" i="1"/>
  <c r="AU2648" i="1"/>
  <c r="AW2647" i="1"/>
  <c r="AV2647" i="1"/>
  <c r="AU2647" i="1"/>
  <c r="AW2646" i="1"/>
  <c r="AV2646" i="1"/>
  <c r="AU2646" i="1"/>
  <c r="AW2645" i="1"/>
  <c r="AV2645" i="1"/>
  <c r="AW2644" i="1"/>
  <c r="AV2644" i="1"/>
  <c r="AW2643" i="1"/>
  <c r="AV2643" i="1"/>
  <c r="AW2642" i="1"/>
  <c r="AV2642" i="1"/>
  <c r="AW2641" i="1"/>
  <c r="AV2641" i="1"/>
  <c r="AU2641" i="1"/>
  <c r="AW2640" i="1"/>
  <c r="AV2640" i="1"/>
  <c r="AW2639" i="1"/>
  <c r="AV2639" i="1"/>
  <c r="AU2639" i="1"/>
  <c r="AW2638" i="1"/>
  <c r="AV2638" i="1"/>
  <c r="AU2638" i="1"/>
  <c r="AW2637" i="1"/>
  <c r="AV2637" i="1"/>
  <c r="AW2636" i="1"/>
  <c r="AV2636" i="1"/>
  <c r="AW2635" i="1"/>
  <c r="AV2635" i="1"/>
  <c r="AU2635" i="1"/>
  <c r="AW2634" i="1"/>
  <c r="AV2634" i="1"/>
  <c r="AU2634" i="1"/>
  <c r="AW2633" i="1"/>
  <c r="AV2633" i="1"/>
  <c r="AU2633" i="1"/>
  <c r="AW2632" i="1"/>
  <c r="AV2632" i="1"/>
  <c r="AW2631" i="1"/>
  <c r="AV2631" i="1"/>
  <c r="AU2631" i="1"/>
  <c r="AW2630" i="1"/>
  <c r="AV2630" i="1"/>
  <c r="AW2629" i="1"/>
  <c r="AV2629" i="1"/>
  <c r="AU2629" i="1"/>
  <c r="AW2628" i="1"/>
  <c r="AV2628" i="1"/>
  <c r="AW2627" i="1"/>
  <c r="AV2627" i="1"/>
  <c r="AW2626" i="1"/>
  <c r="AV2626" i="1"/>
  <c r="AW2625" i="1"/>
  <c r="AV2625" i="1"/>
  <c r="AU2625" i="1"/>
  <c r="AW2624" i="1"/>
  <c r="AV2624" i="1"/>
  <c r="AU2624" i="1"/>
  <c r="AW2623" i="1"/>
  <c r="AV2623" i="1"/>
  <c r="AU2623" i="1"/>
  <c r="AW2622" i="1"/>
  <c r="AV2622" i="1"/>
  <c r="AU2622" i="1"/>
  <c r="AW2621" i="1"/>
  <c r="AV2621" i="1"/>
  <c r="AW2620" i="1"/>
  <c r="AV2620" i="1"/>
  <c r="AW2619" i="1"/>
  <c r="AV2619" i="1"/>
  <c r="AW2618" i="1"/>
  <c r="AV2618" i="1"/>
  <c r="AW2617" i="1"/>
  <c r="AV2617" i="1"/>
  <c r="AW2616" i="1"/>
  <c r="AV2616" i="1"/>
  <c r="AW2615" i="1"/>
  <c r="AV2615" i="1"/>
  <c r="AW2614" i="1"/>
  <c r="AV2614" i="1"/>
  <c r="AW2613" i="1"/>
  <c r="AV2613" i="1"/>
  <c r="AW2612" i="1"/>
  <c r="AV2612" i="1"/>
  <c r="AW2611" i="1"/>
  <c r="AV2611" i="1"/>
  <c r="AU2611" i="1"/>
  <c r="AW2610" i="1"/>
  <c r="AV2610" i="1"/>
  <c r="AW2609" i="1"/>
  <c r="AV2609" i="1"/>
  <c r="AW2608" i="1"/>
  <c r="AV2608" i="1"/>
  <c r="AW2607" i="1"/>
  <c r="AV2607" i="1"/>
  <c r="AW2606" i="1"/>
  <c r="AV2606" i="1"/>
  <c r="AW2605" i="1"/>
  <c r="AV2605" i="1"/>
  <c r="AU2605" i="1"/>
  <c r="AW2604" i="1"/>
  <c r="AV2604" i="1"/>
  <c r="AW2603" i="1"/>
  <c r="AV2603" i="1"/>
  <c r="AW2602" i="1"/>
  <c r="AV2602" i="1"/>
  <c r="AW2601" i="1"/>
  <c r="AV2601" i="1"/>
  <c r="AW2600" i="1"/>
  <c r="AV2600" i="1"/>
  <c r="AW2599" i="1"/>
  <c r="AV2599" i="1"/>
  <c r="AW2598" i="1"/>
  <c r="AV2598" i="1"/>
  <c r="AW2597" i="1"/>
  <c r="AV2597" i="1"/>
  <c r="AW2596" i="1"/>
  <c r="AV2596" i="1"/>
  <c r="AW2595" i="1"/>
  <c r="AV2595" i="1"/>
  <c r="AW2594" i="1"/>
  <c r="AV2594" i="1"/>
  <c r="AW2593" i="1"/>
  <c r="AV2593" i="1"/>
  <c r="AW2592" i="1"/>
  <c r="AV2592" i="1"/>
  <c r="AW2591" i="1"/>
  <c r="AV2591" i="1"/>
  <c r="AW2590" i="1"/>
  <c r="AV2590" i="1"/>
  <c r="AW2589" i="1"/>
  <c r="AV2589" i="1"/>
  <c r="AU2589" i="1"/>
  <c r="AW2588" i="1"/>
  <c r="AV2588" i="1"/>
  <c r="AW2587" i="1"/>
  <c r="AV2587" i="1"/>
  <c r="AW2586" i="1"/>
  <c r="AV2586" i="1"/>
  <c r="AU2586" i="1"/>
  <c r="AW2585" i="1"/>
  <c r="AV2585" i="1"/>
  <c r="AU2585" i="1"/>
  <c r="AW2584" i="1"/>
  <c r="AV2584" i="1"/>
  <c r="AW2583" i="1"/>
  <c r="AV2583" i="1"/>
  <c r="AU2583" i="1"/>
  <c r="AW2582" i="1"/>
  <c r="AV2582" i="1"/>
  <c r="AW2581" i="1"/>
  <c r="AV2581" i="1"/>
  <c r="AU2581" i="1"/>
  <c r="AW2580" i="1"/>
  <c r="AV2580" i="1"/>
  <c r="AW2579" i="1"/>
  <c r="AV2579" i="1"/>
  <c r="AU2579" i="1"/>
  <c r="AW2578" i="1"/>
  <c r="AV2578" i="1"/>
  <c r="AU2578" i="1"/>
  <c r="AW2577" i="1"/>
  <c r="AV2577" i="1"/>
  <c r="AW2576" i="1"/>
  <c r="AV2576" i="1"/>
  <c r="AW2575" i="1"/>
  <c r="AV2575" i="1"/>
  <c r="AW2574" i="1"/>
  <c r="AV2574" i="1"/>
  <c r="AU2574" i="1"/>
  <c r="AW2573" i="1"/>
  <c r="AV2573" i="1"/>
  <c r="AU2573" i="1"/>
  <c r="AW2572" i="1"/>
  <c r="AV2572" i="1"/>
  <c r="AU2572" i="1"/>
  <c r="AW2571" i="1"/>
  <c r="AV2571" i="1"/>
  <c r="AW2570" i="1"/>
  <c r="AV2570" i="1"/>
  <c r="AU2570" i="1"/>
  <c r="AW2569" i="1"/>
  <c r="AV2569" i="1"/>
  <c r="AU2569" i="1"/>
  <c r="AW2568" i="1"/>
  <c r="AV2568" i="1"/>
  <c r="AU2568" i="1"/>
  <c r="AW2567" i="1"/>
  <c r="AV2567" i="1"/>
  <c r="AU2567" i="1"/>
  <c r="AW2566" i="1"/>
  <c r="AV2566" i="1"/>
  <c r="AW2565" i="1"/>
  <c r="AV2565" i="1"/>
  <c r="AU2565" i="1"/>
  <c r="AW2564" i="1"/>
  <c r="AV2564" i="1"/>
  <c r="AU2564" i="1"/>
  <c r="AW2563" i="1"/>
  <c r="AV2563" i="1"/>
  <c r="AW2562" i="1"/>
  <c r="AV2562" i="1"/>
  <c r="AW2561" i="1"/>
  <c r="AV2561" i="1"/>
  <c r="AW2560" i="1"/>
  <c r="AV2560" i="1"/>
  <c r="AW2559" i="1"/>
  <c r="AV2559" i="1"/>
  <c r="AW2558" i="1"/>
  <c r="AV2558" i="1"/>
  <c r="AW2557" i="1"/>
  <c r="AV2557" i="1"/>
  <c r="AW2556" i="1"/>
  <c r="AV2556" i="1"/>
  <c r="AW2555" i="1"/>
  <c r="AV2555" i="1"/>
  <c r="AW2554" i="1"/>
  <c r="AV2554" i="1"/>
  <c r="AW2553" i="1"/>
  <c r="AV2553" i="1"/>
  <c r="AW2552" i="1"/>
  <c r="AV2552" i="1"/>
  <c r="AW2551" i="1"/>
  <c r="AV2551" i="1"/>
  <c r="AW2550" i="1"/>
  <c r="AV2550" i="1"/>
  <c r="AW2549" i="1"/>
  <c r="AV2549" i="1"/>
  <c r="AW2548" i="1"/>
  <c r="AV2548" i="1"/>
  <c r="AW2547" i="1"/>
  <c r="AV2547" i="1"/>
  <c r="AW2546" i="1"/>
  <c r="AV2546" i="1"/>
  <c r="AU2546" i="1"/>
  <c r="AW2545" i="1"/>
  <c r="AV2545" i="1"/>
  <c r="AW2544" i="1"/>
  <c r="AV2544" i="1"/>
  <c r="AW2543" i="1"/>
  <c r="AV2543" i="1"/>
  <c r="AU2543" i="1"/>
  <c r="AW2542" i="1"/>
  <c r="AV2542" i="1"/>
  <c r="AU2542" i="1"/>
  <c r="AW2541" i="1"/>
  <c r="AV2541" i="1"/>
  <c r="AU2541" i="1"/>
  <c r="AW2540" i="1"/>
  <c r="AV2540" i="1"/>
  <c r="AU2540" i="1"/>
  <c r="AW2539" i="1"/>
  <c r="AV2539" i="1"/>
  <c r="AW2538" i="1"/>
  <c r="AV2538" i="1"/>
  <c r="AU2538" i="1"/>
  <c r="AW2537" i="1"/>
  <c r="AV2537" i="1"/>
  <c r="AU2537" i="1"/>
  <c r="AW2536" i="1"/>
  <c r="AV2536" i="1"/>
  <c r="AW2535" i="1"/>
  <c r="AV2535" i="1"/>
  <c r="AW2534" i="1"/>
  <c r="AV2534" i="1"/>
  <c r="AW2533" i="1"/>
  <c r="AV2533" i="1"/>
  <c r="AU2533" i="1"/>
  <c r="AW2532" i="1"/>
  <c r="AV2532" i="1"/>
  <c r="AU2532" i="1"/>
  <c r="AW2531" i="1"/>
  <c r="AV2531" i="1"/>
  <c r="AU2531" i="1"/>
  <c r="AW2530" i="1"/>
  <c r="AV2530" i="1"/>
  <c r="AW2529" i="1"/>
  <c r="AV2529" i="1"/>
  <c r="AW2528" i="1"/>
  <c r="AV2528" i="1"/>
  <c r="AW2527" i="1"/>
  <c r="AV2527" i="1"/>
  <c r="AU2527" i="1"/>
  <c r="AW2526" i="1"/>
  <c r="AV2526" i="1"/>
  <c r="AU2526" i="1"/>
  <c r="AW2525" i="1"/>
  <c r="AV2525" i="1"/>
  <c r="AU2525" i="1"/>
  <c r="AW2524" i="1"/>
  <c r="AV2524" i="1"/>
  <c r="AW2523" i="1"/>
  <c r="AV2523" i="1"/>
  <c r="AW2522" i="1"/>
  <c r="AV2522" i="1"/>
  <c r="AU2522" i="1"/>
  <c r="AW2521" i="1"/>
  <c r="AV2521" i="1"/>
  <c r="AW2520" i="1"/>
  <c r="AV2520" i="1"/>
  <c r="AW2519" i="1"/>
  <c r="AV2519" i="1"/>
  <c r="AW2518" i="1"/>
  <c r="AV2518" i="1"/>
  <c r="AU2518" i="1"/>
  <c r="AW2517" i="1"/>
  <c r="AV2517" i="1"/>
  <c r="AU2517" i="1"/>
  <c r="AW2516" i="1"/>
  <c r="AV2516" i="1"/>
  <c r="AU2516" i="1"/>
  <c r="AW2515" i="1"/>
  <c r="AV2515" i="1"/>
  <c r="AU2515" i="1"/>
  <c r="AW2514" i="1"/>
  <c r="AV2514" i="1"/>
  <c r="AU2514" i="1"/>
  <c r="AW2513" i="1"/>
  <c r="AV2513" i="1"/>
  <c r="AU2513" i="1"/>
  <c r="AW2512" i="1"/>
  <c r="AV2512" i="1"/>
  <c r="AW2511" i="1"/>
  <c r="AV2511" i="1"/>
  <c r="AW2510" i="1"/>
  <c r="AV2510" i="1"/>
  <c r="AW2509" i="1"/>
  <c r="AV2509" i="1"/>
  <c r="AW2508" i="1"/>
  <c r="AV2508" i="1"/>
  <c r="AU2508" i="1"/>
  <c r="AW2507" i="1"/>
  <c r="AV2507" i="1"/>
  <c r="AW2506" i="1"/>
  <c r="AV2506" i="1"/>
  <c r="AW2505" i="1"/>
  <c r="AV2505" i="1"/>
  <c r="AW2504" i="1"/>
  <c r="AV2504" i="1"/>
  <c r="AU2504" i="1"/>
  <c r="AW2503" i="1"/>
  <c r="AV2503" i="1"/>
  <c r="AU2503" i="1"/>
  <c r="AW2502" i="1"/>
  <c r="AV2502" i="1"/>
  <c r="AW2501" i="1"/>
  <c r="AV2501" i="1"/>
  <c r="AW2500" i="1"/>
  <c r="AV2500" i="1"/>
  <c r="AW2499" i="1"/>
  <c r="AV2499" i="1"/>
  <c r="AU2499" i="1"/>
  <c r="AW2498" i="1"/>
  <c r="AV2498" i="1"/>
  <c r="AU2498" i="1"/>
  <c r="AW2497" i="1"/>
  <c r="AV2497" i="1"/>
  <c r="AU2497" i="1"/>
  <c r="AW2496" i="1"/>
  <c r="AV2496" i="1"/>
  <c r="AU2496" i="1"/>
  <c r="AW2495" i="1"/>
  <c r="AV2495" i="1"/>
  <c r="AU2495" i="1"/>
  <c r="AW2494" i="1"/>
  <c r="AV2494" i="1"/>
  <c r="AU2494" i="1"/>
  <c r="AW2493" i="1"/>
  <c r="AV2493" i="1"/>
  <c r="AU2493" i="1"/>
  <c r="AW2492" i="1"/>
  <c r="AV2492" i="1"/>
  <c r="AW2491" i="1"/>
  <c r="AV2491" i="1"/>
  <c r="AU2491" i="1"/>
  <c r="AW2490" i="1"/>
  <c r="AV2490" i="1"/>
  <c r="AW2489" i="1"/>
  <c r="AV2489" i="1"/>
  <c r="AW2488" i="1"/>
  <c r="AV2488" i="1"/>
  <c r="AU2488" i="1"/>
  <c r="AW2487" i="1"/>
  <c r="AV2487" i="1"/>
  <c r="AW2486" i="1"/>
  <c r="AV2486" i="1"/>
  <c r="AW2485" i="1"/>
  <c r="AV2485" i="1"/>
  <c r="AW2484" i="1"/>
  <c r="AV2484" i="1"/>
  <c r="AU2484" i="1"/>
  <c r="AW2483" i="1"/>
  <c r="AV2483" i="1"/>
  <c r="AW2482" i="1"/>
  <c r="AV2482" i="1"/>
  <c r="AW2481" i="1"/>
  <c r="AV2481" i="1"/>
  <c r="AW2480" i="1"/>
  <c r="AV2480" i="1"/>
  <c r="AW2479" i="1"/>
  <c r="AV2479" i="1"/>
  <c r="AU2479" i="1"/>
  <c r="AW2478" i="1"/>
  <c r="AV2478" i="1"/>
  <c r="AW2477" i="1"/>
  <c r="AV2477" i="1"/>
  <c r="AU2477" i="1"/>
  <c r="AW2476" i="1"/>
  <c r="AV2476" i="1"/>
  <c r="AU2476" i="1"/>
  <c r="AW2475" i="1"/>
  <c r="AV2475" i="1"/>
  <c r="AU2475" i="1"/>
  <c r="AW2474" i="1"/>
  <c r="AV2474" i="1"/>
  <c r="AW2473" i="1"/>
  <c r="AV2473" i="1"/>
  <c r="AW2472" i="1"/>
  <c r="AV2472" i="1"/>
  <c r="AW2471" i="1"/>
  <c r="AV2471" i="1"/>
  <c r="AW2470" i="1"/>
  <c r="AV2470" i="1"/>
  <c r="AW2469" i="1"/>
  <c r="AV2469" i="1"/>
  <c r="AW2468" i="1"/>
  <c r="AV2468" i="1"/>
  <c r="AU2468" i="1"/>
  <c r="AW2467" i="1"/>
  <c r="AV2467" i="1"/>
  <c r="AW2466" i="1"/>
  <c r="AV2466" i="1"/>
  <c r="AW2465" i="1"/>
  <c r="AV2465" i="1"/>
  <c r="AW2464" i="1"/>
  <c r="AV2464" i="1"/>
  <c r="AW2463" i="1"/>
  <c r="AV2463" i="1"/>
  <c r="AW2462" i="1"/>
  <c r="AV2462" i="1"/>
  <c r="AW2461" i="1"/>
  <c r="AV2461" i="1"/>
  <c r="AW2460" i="1"/>
  <c r="AV2460" i="1"/>
  <c r="AW2459" i="1"/>
  <c r="AV2459" i="1"/>
  <c r="AW2458" i="1"/>
  <c r="AV2458" i="1"/>
  <c r="AW2457" i="1"/>
  <c r="AV2457" i="1"/>
  <c r="AW2456" i="1"/>
  <c r="AV2456" i="1"/>
  <c r="AW2455" i="1"/>
  <c r="AV2455" i="1"/>
  <c r="AW2454" i="1"/>
  <c r="AV2454" i="1"/>
  <c r="AW2453" i="1"/>
  <c r="AV2453" i="1"/>
  <c r="AW2452" i="1"/>
  <c r="AV2452" i="1"/>
  <c r="AW2451" i="1"/>
  <c r="AV2451" i="1"/>
  <c r="AU2451" i="1"/>
  <c r="AW2450" i="1"/>
  <c r="AV2450" i="1"/>
  <c r="AW2449" i="1"/>
  <c r="AV2449" i="1"/>
  <c r="AW2448" i="1"/>
  <c r="AV2448" i="1"/>
  <c r="AW2447" i="1"/>
  <c r="AV2447" i="1"/>
  <c r="AW2446" i="1"/>
  <c r="AV2446" i="1"/>
  <c r="AW2445" i="1"/>
  <c r="AV2445" i="1"/>
  <c r="AU2445" i="1"/>
  <c r="AW2444" i="1"/>
  <c r="AV2444" i="1"/>
  <c r="AW2443" i="1"/>
  <c r="AV2443" i="1"/>
  <c r="AU2443" i="1"/>
  <c r="AW2442" i="1"/>
  <c r="AV2442" i="1"/>
  <c r="AU2442" i="1"/>
  <c r="AW2441" i="1"/>
  <c r="AV2441" i="1"/>
  <c r="AU2441" i="1"/>
  <c r="AW2440" i="1"/>
  <c r="AV2440" i="1"/>
  <c r="AU2440" i="1"/>
  <c r="AW2439" i="1"/>
  <c r="AV2439" i="1"/>
  <c r="AW2438" i="1"/>
  <c r="AV2438" i="1"/>
  <c r="AW2437" i="1"/>
  <c r="AV2437" i="1"/>
  <c r="AU2437" i="1"/>
  <c r="AW2436" i="1"/>
  <c r="AV2436" i="1"/>
  <c r="AW2435" i="1"/>
  <c r="AV2435" i="1"/>
  <c r="AW2434" i="1"/>
  <c r="AV2434" i="1"/>
  <c r="AW2433" i="1"/>
  <c r="AV2433" i="1"/>
  <c r="AU2433" i="1"/>
  <c r="AW2432" i="1"/>
  <c r="AV2432" i="1"/>
  <c r="AW2431" i="1"/>
  <c r="AV2431" i="1"/>
  <c r="AW2430" i="1"/>
  <c r="AV2430" i="1"/>
  <c r="AW2429" i="1"/>
  <c r="AV2429" i="1"/>
  <c r="AW2428" i="1"/>
  <c r="AV2428" i="1"/>
  <c r="AW2427" i="1"/>
  <c r="AV2427" i="1"/>
  <c r="AU2427" i="1"/>
  <c r="AW2426" i="1"/>
  <c r="AV2426" i="1"/>
  <c r="AW2425" i="1"/>
  <c r="AV2425" i="1"/>
  <c r="AW2424" i="1"/>
  <c r="AV2424" i="1"/>
  <c r="AW2423" i="1"/>
  <c r="AV2423" i="1"/>
  <c r="AW2422" i="1"/>
  <c r="AV2422" i="1"/>
  <c r="AW2421" i="1"/>
  <c r="AV2421" i="1"/>
  <c r="AW2420" i="1"/>
  <c r="AV2420" i="1"/>
  <c r="AW2419" i="1"/>
  <c r="AV2419" i="1"/>
  <c r="AW2418" i="1"/>
  <c r="AV2418" i="1"/>
  <c r="AU2418" i="1"/>
  <c r="AW2417" i="1"/>
  <c r="AV2417" i="1"/>
  <c r="AU2417" i="1"/>
  <c r="AW2416" i="1"/>
  <c r="AV2416" i="1"/>
  <c r="AU2416" i="1"/>
  <c r="AW2415" i="1"/>
  <c r="AV2415" i="1"/>
  <c r="AW2414" i="1"/>
  <c r="AV2414" i="1"/>
  <c r="AW2413" i="1"/>
  <c r="AV2413" i="1"/>
  <c r="AW2412" i="1"/>
  <c r="AV2412" i="1"/>
  <c r="AW2411" i="1"/>
  <c r="AV2411" i="1"/>
  <c r="AW2410" i="1"/>
  <c r="AV2410" i="1"/>
  <c r="AW2409" i="1"/>
  <c r="AV2409" i="1"/>
  <c r="AU2409" i="1"/>
  <c r="AW2408" i="1"/>
  <c r="AV2408" i="1"/>
  <c r="AW2407" i="1"/>
  <c r="AV2407" i="1"/>
  <c r="AW2406" i="1"/>
  <c r="AV2406" i="1"/>
  <c r="AU2406" i="1"/>
  <c r="AW2405" i="1"/>
  <c r="AV2405" i="1"/>
  <c r="AU2405" i="1"/>
  <c r="AW2404" i="1"/>
  <c r="AV2404" i="1"/>
  <c r="AU2404" i="1"/>
  <c r="AW2403" i="1"/>
  <c r="AV2403" i="1"/>
  <c r="AW2402" i="1"/>
  <c r="AV2402" i="1"/>
  <c r="AU2402" i="1"/>
  <c r="AW2401" i="1"/>
  <c r="AV2401" i="1"/>
  <c r="AU2401" i="1"/>
  <c r="AW2400" i="1"/>
  <c r="AV2400" i="1"/>
  <c r="AU2400" i="1"/>
  <c r="AW2399" i="1"/>
  <c r="AV2399" i="1"/>
  <c r="AW2398" i="1"/>
  <c r="AV2398" i="1"/>
  <c r="AW2397" i="1"/>
  <c r="AV2397" i="1"/>
  <c r="AW2396" i="1"/>
  <c r="AV2396" i="1"/>
  <c r="AW2395" i="1"/>
  <c r="AV2395" i="1"/>
  <c r="AW2394" i="1"/>
  <c r="AV2394" i="1"/>
  <c r="AW2393" i="1"/>
  <c r="AV2393" i="1"/>
  <c r="AU2393" i="1"/>
  <c r="AW2392" i="1"/>
  <c r="AV2392" i="1"/>
  <c r="AU2392" i="1"/>
  <c r="AW2391" i="1"/>
  <c r="AV2391" i="1"/>
  <c r="AW2390" i="1"/>
  <c r="AV2390" i="1"/>
  <c r="AW2389" i="1"/>
  <c r="AV2389" i="1"/>
  <c r="AW2388" i="1"/>
  <c r="AV2388" i="1"/>
  <c r="AU2388" i="1"/>
  <c r="AW2387" i="1"/>
  <c r="AV2387" i="1"/>
  <c r="AW2386" i="1"/>
  <c r="AV2386" i="1"/>
  <c r="AW2385" i="1"/>
  <c r="AV2385" i="1"/>
  <c r="AU2385" i="1"/>
  <c r="AW2384" i="1"/>
  <c r="AV2384" i="1"/>
  <c r="AW2383" i="1"/>
  <c r="AV2383" i="1"/>
  <c r="AU2383" i="1"/>
  <c r="AW2382" i="1"/>
  <c r="AV2382" i="1"/>
  <c r="AW2381" i="1"/>
  <c r="AV2381" i="1"/>
  <c r="AU2381" i="1"/>
  <c r="AW2380" i="1"/>
  <c r="AV2380" i="1"/>
  <c r="AU2380" i="1"/>
  <c r="AW2379" i="1"/>
  <c r="AV2379" i="1"/>
  <c r="AW2378" i="1"/>
  <c r="AV2378" i="1"/>
  <c r="AW2377" i="1"/>
  <c r="AV2377" i="1"/>
  <c r="AW2376" i="1"/>
  <c r="AV2376" i="1"/>
  <c r="AW2375" i="1"/>
  <c r="AV2375" i="1"/>
  <c r="AW2374" i="1"/>
  <c r="AV2374" i="1"/>
  <c r="AU2374" i="1"/>
  <c r="AW2373" i="1"/>
  <c r="AV2373" i="1"/>
  <c r="AW2372" i="1"/>
  <c r="AV2372" i="1"/>
  <c r="AW2371" i="1"/>
  <c r="AV2371" i="1"/>
  <c r="AW2370" i="1"/>
  <c r="AV2370" i="1"/>
  <c r="AW2369" i="1"/>
  <c r="AV2369" i="1"/>
  <c r="AW2368" i="1"/>
  <c r="AV2368" i="1"/>
  <c r="AU2368" i="1"/>
  <c r="AW2367" i="1"/>
  <c r="AV2367" i="1"/>
  <c r="AW2366" i="1"/>
  <c r="AV2366" i="1"/>
  <c r="AW2365" i="1"/>
  <c r="AV2365" i="1"/>
  <c r="AW2364" i="1"/>
  <c r="AV2364" i="1"/>
  <c r="AW2363" i="1"/>
  <c r="AV2363" i="1"/>
  <c r="AW2362" i="1"/>
  <c r="AV2362" i="1"/>
  <c r="AW2361" i="1"/>
  <c r="AV2361" i="1"/>
  <c r="AU2361" i="1"/>
  <c r="AW2360" i="1"/>
  <c r="AV2360" i="1"/>
  <c r="AW2359" i="1"/>
  <c r="AV2359" i="1"/>
  <c r="AW2358" i="1"/>
  <c r="AV2358" i="1"/>
  <c r="AW2357" i="1"/>
  <c r="AV2357" i="1"/>
  <c r="AW2356" i="1"/>
  <c r="AV2356" i="1"/>
  <c r="AW2355" i="1"/>
  <c r="AV2355" i="1"/>
  <c r="AW2354" i="1"/>
  <c r="AV2354" i="1"/>
  <c r="AU2354" i="1"/>
  <c r="AW2353" i="1"/>
  <c r="AV2353" i="1"/>
  <c r="AW2352" i="1"/>
  <c r="AV2352" i="1"/>
  <c r="AW2351" i="1"/>
  <c r="AV2351" i="1"/>
  <c r="AW2350" i="1"/>
  <c r="AV2350" i="1"/>
  <c r="AW2349" i="1"/>
  <c r="AV2349" i="1"/>
  <c r="AW2348" i="1"/>
  <c r="AV2348" i="1"/>
  <c r="AW2347" i="1"/>
  <c r="AV2347" i="1"/>
  <c r="AW2346" i="1"/>
  <c r="AV2346" i="1"/>
  <c r="AW2345" i="1"/>
  <c r="AV2345" i="1"/>
  <c r="AW2344" i="1"/>
  <c r="AV2344" i="1"/>
  <c r="AU2344" i="1"/>
  <c r="AW2343" i="1"/>
  <c r="AV2343" i="1"/>
  <c r="AW2342" i="1"/>
  <c r="AV2342" i="1"/>
  <c r="AU2342" i="1"/>
  <c r="AW2341" i="1"/>
  <c r="AV2341" i="1"/>
  <c r="AW2340" i="1"/>
  <c r="AV2340" i="1"/>
  <c r="AW2339" i="1"/>
  <c r="AV2339" i="1"/>
  <c r="AU2339" i="1"/>
  <c r="AW2338" i="1"/>
  <c r="AV2338" i="1"/>
  <c r="AW2337" i="1"/>
  <c r="AV2337" i="1"/>
  <c r="AW2336" i="1"/>
  <c r="AV2336" i="1"/>
  <c r="AU2336" i="1"/>
  <c r="AW2335" i="1"/>
  <c r="AV2335" i="1"/>
  <c r="AW2334" i="1"/>
  <c r="AV2334" i="1"/>
  <c r="AU2334" i="1"/>
  <c r="AW2333" i="1"/>
  <c r="AV2333" i="1"/>
  <c r="AW2332" i="1"/>
  <c r="AV2332" i="1"/>
  <c r="AW2331" i="1"/>
  <c r="AV2331" i="1"/>
  <c r="AU2331" i="1"/>
  <c r="AW2330" i="1"/>
  <c r="AV2330" i="1"/>
  <c r="AU2330" i="1"/>
  <c r="AW2329" i="1"/>
  <c r="AV2329" i="1"/>
  <c r="AW2328" i="1"/>
  <c r="AV2328" i="1"/>
  <c r="AW2327" i="1"/>
  <c r="AV2327" i="1"/>
  <c r="AW2326" i="1"/>
  <c r="AV2326" i="1"/>
  <c r="AW2325" i="1"/>
  <c r="AV2325" i="1"/>
  <c r="AW2324" i="1"/>
  <c r="AV2324" i="1"/>
  <c r="AW2323" i="1"/>
  <c r="AV2323" i="1"/>
  <c r="AW2322" i="1"/>
  <c r="AV2322" i="1"/>
  <c r="AW2321" i="1"/>
  <c r="AV2321" i="1"/>
  <c r="AW2320" i="1"/>
  <c r="AV2320" i="1"/>
  <c r="AU2320" i="1"/>
  <c r="AW2319" i="1"/>
  <c r="AV2319" i="1"/>
  <c r="AW2318" i="1"/>
  <c r="AV2318" i="1"/>
  <c r="AW2317" i="1"/>
  <c r="AV2317" i="1"/>
  <c r="AU2317" i="1"/>
  <c r="AW2316" i="1"/>
  <c r="AV2316" i="1"/>
  <c r="AW2315" i="1"/>
  <c r="AV2315" i="1"/>
  <c r="AW2314" i="1"/>
  <c r="AV2314" i="1"/>
  <c r="AW2313" i="1"/>
  <c r="AV2313" i="1"/>
  <c r="AW2312" i="1"/>
  <c r="AV2312" i="1"/>
  <c r="AU2312" i="1"/>
  <c r="AW2311" i="1"/>
  <c r="AV2311" i="1"/>
  <c r="AW2310" i="1"/>
  <c r="AV2310" i="1"/>
  <c r="AW2309" i="1"/>
  <c r="AV2309" i="1"/>
  <c r="AW2308" i="1"/>
  <c r="AV2308" i="1"/>
  <c r="AU2308" i="1"/>
  <c r="AW2307" i="1"/>
  <c r="AV2307" i="1"/>
  <c r="AU2307" i="1"/>
  <c r="AW2306" i="1"/>
  <c r="AV2306" i="1"/>
  <c r="AW2305" i="1"/>
  <c r="AV2305" i="1"/>
  <c r="AU2305" i="1"/>
  <c r="AW2304" i="1"/>
  <c r="AV2304" i="1"/>
  <c r="AU2304" i="1"/>
  <c r="AW2303" i="1"/>
  <c r="AV2303" i="1"/>
  <c r="AU2303" i="1"/>
  <c r="AW2302" i="1"/>
  <c r="AV2302" i="1"/>
  <c r="AW2301" i="1"/>
  <c r="AV2301" i="1"/>
  <c r="AU2301" i="1"/>
  <c r="AW2300" i="1"/>
  <c r="AV2300" i="1"/>
  <c r="AU2300" i="1"/>
  <c r="AW2299" i="1"/>
  <c r="AV2299" i="1"/>
  <c r="AW2298" i="1"/>
  <c r="AV2298" i="1"/>
  <c r="AW2297" i="1"/>
  <c r="AV2297" i="1"/>
  <c r="AU2297" i="1"/>
  <c r="AW2296" i="1"/>
  <c r="AV2296" i="1"/>
  <c r="AU2296" i="1"/>
  <c r="AW2295" i="1"/>
  <c r="AV2295" i="1"/>
  <c r="AW2294" i="1"/>
  <c r="AV2294" i="1"/>
  <c r="AU2294" i="1"/>
  <c r="AW2293" i="1"/>
  <c r="AV2293" i="1"/>
  <c r="AW2292" i="1"/>
  <c r="AV2292" i="1"/>
  <c r="AW2291" i="1"/>
  <c r="AV2291" i="1"/>
  <c r="AW2290" i="1"/>
  <c r="AV2290" i="1"/>
  <c r="AU2290" i="1"/>
  <c r="AW2289" i="1"/>
  <c r="AV2289" i="1"/>
  <c r="AU2289" i="1"/>
  <c r="AW2288" i="1"/>
  <c r="AV2288" i="1"/>
  <c r="AW2287" i="1"/>
  <c r="AV2287" i="1"/>
  <c r="AW2286" i="1"/>
  <c r="AV2286" i="1"/>
  <c r="AW2285" i="1"/>
  <c r="AV2285" i="1"/>
  <c r="AW2284" i="1"/>
  <c r="AV2284" i="1"/>
  <c r="AW2283" i="1"/>
  <c r="AV2283" i="1"/>
  <c r="AW2282" i="1"/>
  <c r="AV2282" i="1"/>
  <c r="AW2281" i="1"/>
  <c r="AV2281" i="1"/>
  <c r="AW2280" i="1"/>
  <c r="AV2280" i="1"/>
  <c r="AW2279" i="1"/>
  <c r="AV2279" i="1"/>
  <c r="AW2278" i="1"/>
  <c r="AV2278" i="1"/>
  <c r="AW2277" i="1"/>
  <c r="AV2277" i="1"/>
  <c r="AW2276" i="1"/>
  <c r="AV2276" i="1"/>
  <c r="AW2275" i="1"/>
  <c r="AV2275" i="1"/>
  <c r="AW2274" i="1"/>
  <c r="AV2274" i="1"/>
  <c r="AW2273" i="1"/>
  <c r="AV2273" i="1"/>
  <c r="AW2272" i="1"/>
  <c r="AV2272" i="1"/>
  <c r="AW2271" i="1"/>
  <c r="AV2271" i="1"/>
  <c r="AW2270" i="1"/>
  <c r="AV2270" i="1"/>
  <c r="AW2269" i="1"/>
  <c r="AV2269" i="1"/>
  <c r="AW2268" i="1"/>
  <c r="AV2268" i="1"/>
  <c r="AW2267" i="1"/>
  <c r="AV2267" i="1"/>
  <c r="AW2266" i="1"/>
  <c r="AV2266" i="1"/>
  <c r="AW2265" i="1"/>
  <c r="AV2265" i="1"/>
  <c r="AU2265" i="1"/>
  <c r="AW2264" i="1"/>
  <c r="AV2264" i="1"/>
  <c r="AW2263" i="1"/>
  <c r="AV2263" i="1"/>
  <c r="AW2262" i="1"/>
  <c r="AV2262" i="1"/>
  <c r="AW2261" i="1"/>
  <c r="AV2261" i="1"/>
  <c r="AU2261" i="1"/>
  <c r="AW2260" i="1"/>
  <c r="AV2260" i="1"/>
  <c r="AW2259" i="1"/>
  <c r="AV2259" i="1"/>
  <c r="AW2258" i="1"/>
  <c r="AV2258" i="1"/>
  <c r="AU2258" i="1"/>
  <c r="AW2257" i="1"/>
  <c r="AV2257" i="1"/>
  <c r="AW2256" i="1"/>
  <c r="AV2256" i="1"/>
  <c r="AW2255" i="1"/>
  <c r="AV2255" i="1"/>
  <c r="AU2255" i="1"/>
  <c r="AW2254" i="1"/>
  <c r="AV2254" i="1"/>
  <c r="AW2253" i="1"/>
  <c r="AV2253" i="1"/>
  <c r="AW2252" i="1"/>
  <c r="AV2252" i="1"/>
  <c r="AW2251" i="1"/>
  <c r="AV2251" i="1"/>
  <c r="AW2250" i="1"/>
  <c r="AV2250" i="1"/>
  <c r="AU2250" i="1"/>
  <c r="AW2249" i="1"/>
  <c r="AV2249" i="1"/>
  <c r="AW2248" i="1"/>
  <c r="AV2248" i="1"/>
  <c r="AW2247" i="1"/>
  <c r="AV2247" i="1"/>
  <c r="AW2246" i="1"/>
  <c r="AV2246" i="1"/>
  <c r="AU2246" i="1"/>
  <c r="AW2245" i="1"/>
  <c r="AV2245" i="1"/>
  <c r="AW2244" i="1"/>
  <c r="AV2244" i="1"/>
  <c r="AW2243" i="1"/>
  <c r="AV2243" i="1"/>
  <c r="AW2242" i="1"/>
  <c r="AV2242" i="1"/>
  <c r="AU2242" i="1"/>
  <c r="AW2241" i="1"/>
  <c r="AV2241" i="1"/>
  <c r="AW2240" i="1"/>
  <c r="AV2240" i="1"/>
  <c r="AW2239" i="1"/>
  <c r="AV2239" i="1"/>
  <c r="AW2238" i="1"/>
  <c r="AV2238" i="1"/>
  <c r="AW2237" i="1"/>
  <c r="AV2237" i="1"/>
  <c r="AW2236" i="1"/>
  <c r="AV2236" i="1"/>
  <c r="AW2235" i="1"/>
  <c r="AV2235" i="1"/>
  <c r="AW2234" i="1"/>
  <c r="AV2234" i="1"/>
  <c r="AW2233" i="1"/>
  <c r="AV2233" i="1"/>
  <c r="AW2232" i="1"/>
  <c r="AV2232" i="1"/>
  <c r="AW2231" i="1"/>
  <c r="AV2231" i="1"/>
  <c r="AW2230" i="1"/>
  <c r="AV2230" i="1"/>
  <c r="AW2229" i="1"/>
  <c r="AV2229" i="1"/>
  <c r="AW2228" i="1"/>
  <c r="AV2228" i="1"/>
  <c r="AW2227" i="1"/>
  <c r="AV2227" i="1"/>
  <c r="AW2226" i="1"/>
  <c r="AV2226" i="1"/>
  <c r="AU2226" i="1"/>
  <c r="AW2225" i="1"/>
  <c r="AV2225" i="1"/>
  <c r="AW2224" i="1"/>
  <c r="AV2224" i="1"/>
  <c r="AU2224" i="1"/>
  <c r="AW2223" i="1"/>
  <c r="AV2223" i="1"/>
  <c r="AU2223" i="1"/>
  <c r="AW2222" i="1"/>
  <c r="AV2222" i="1"/>
  <c r="AW2221" i="1"/>
  <c r="AV2221" i="1"/>
  <c r="AU2221" i="1"/>
  <c r="AW2220" i="1"/>
  <c r="AV2220" i="1"/>
  <c r="AU2220" i="1"/>
  <c r="AW2219" i="1"/>
  <c r="AV2219" i="1"/>
  <c r="AW2218" i="1"/>
  <c r="AV2218" i="1"/>
  <c r="AW2217" i="1"/>
  <c r="AV2217" i="1"/>
  <c r="AW2216" i="1"/>
  <c r="AV2216" i="1"/>
  <c r="AW2215" i="1"/>
  <c r="AV2215" i="1"/>
  <c r="AW2214" i="1"/>
  <c r="AV2214" i="1"/>
  <c r="AU2214" i="1"/>
  <c r="AW2213" i="1"/>
  <c r="AV2213" i="1"/>
  <c r="AU2213" i="1"/>
  <c r="AW2212" i="1"/>
  <c r="AV2212" i="1"/>
  <c r="AU2212" i="1"/>
  <c r="AW2211" i="1"/>
  <c r="AV2211" i="1"/>
  <c r="AW2210" i="1"/>
  <c r="AV2210" i="1"/>
  <c r="AW2209" i="1"/>
  <c r="AV2209" i="1"/>
  <c r="AW2208" i="1"/>
  <c r="AV2208" i="1"/>
  <c r="AW2207" i="1"/>
  <c r="AV2207" i="1"/>
  <c r="AW2206" i="1"/>
  <c r="AV2206" i="1"/>
  <c r="AW2205" i="1"/>
  <c r="AV2205" i="1"/>
  <c r="AU2205" i="1"/>
  <c r="AW2204" i="1"/>
  <c r="AV2204" i="1"/>
  <c r="AW2203" i="1"/>
  <c r="AV2203" i="1"/>
  <c r="AW2202" i="1"/>
  <c r="AV2202" i="1"/>
  <c r="AU2202" i="1"/>
  <c r="AW2201" i="1"/>
  <c r="AV2201" i="1"/>
  <c r="AW2200" i="1"/>
  <c r="AV2200" i="1"/>
  <c r="AW2199" i="1"/>
  <c r="AV2199" i="1"/>
  <c r="AW2198" i="1"/>
  <c r="AV2198" i="1"/>
  <c r="AW2197" i="1"/>
  <c r="AV2197" i="1"/>
  <c r="AW2196" i="1"/>
  <c r="AV2196" i="1"/>
  <c r="AU2196" i="1"/>
  <c r="AW2195" i="1"/>
  <c r="AV2195" i="1"/>
  <c r="AW2194" i="1"/>
  <c r="AV2194" i="1"/>
  <c r="AU2194" i="1"/>
  <c r="AW2193" i="1"/>
  <c r="AV2193" i="1"/>
  <c r="AW2192" i="1"/>
  <c r="AV2192" i="1"/>
  <c r="AU2192" i="1"/>
  <c r="AW2191" i="1"/>
  <c r="AV2191" i="1"/>
  <c r="AU2191" i="1"/>
  <c r="AW2190" i="1"/>
  <c r="AV2190" i="1"/>
  <c r="AW2189" i="1"/>
  <c r="AV2189" i="1"/>
  <c r="AW2188" i="1"/>
  <c r="AV2188" i="1"/>
  <c r="AU2188" i="1"/>
  <c r="AW2187" i="1"/>
  <c r="AV2187" i="1"/>
  <c r="AU2187" i="1"/>
  <c r="AW2186" i="1"/>
  <c r="AV2186" i="1"/>
  <c r="AW2185" i="1"/>
  <c r="AV2185" i="1"/>
  <c r="AW2184" i="1"/>
  <c r="AV2184" i="1"/>
  <c r="AW2183" i="1"/>
  <c r="AV2183" i="1"/>
  <c r="AW2182" i="1"/>
  <c r="AV2182" i="1"/>
  <c r="AW2181" i="1"/>
  <c r="AV2181" i="1"/>
  <c r="AW2180" i="1"/>
  <c r="AV2180" i="1"/>
  <c r="AU2180" i="1"/>
  <c r="AW2179" i="1"/>
  <c r="AV2179" i="1"/>
  <c r="AW2178" i="1"/>
  <c r="AV2178" i="1"/>
  <c r="AW2177" i="1"/>
  <c r="AV2177" i="1"/>
  <c r="AW2176" i="1"/>
  <c r="AV2176" i="1"/>
  <c r="AW2175" i="1"/>
  <c r="AV2175" i="1"/>
  <c r="AW2174" i="1"/>
  <c r="AV2174" i="1"/>
  <c r="AW2173" i="1"/>
  <c r="AV2173" i="1"/>
  <c r="AU2173" i="1"/>
  <c r="AW2172" i="1"/>
  <c r="AV2172" i="1"/>
  <c r="AW2171" i="1"/>
  <c r="AV2171" i="1"/>
  <c r="AW2170" i="1"/>
  <c r="AV2170" i="1"/>
  <c r="AW2169" i="1"/>
  <c r="AV2169" i="1"/>
  <c r="AW2168" i="1"/>
  <c r="AV2168" i="1"/>
  <c r="AW2167" i="1"/>
  <c r="AV2167" i="1"/>
  <c r="AW2166" i="1"/>
  <c r="AV2166" i="1"/>
  <c r="AU2166" i="1"/>
  <c r="AW2165" i="1"/>
  <c r="AV2165" i="1"/>
  <c r="AW2164" i="1"/>
  <c r="AV2164" i="1"/>
  <c r="AW2163" i="1"/>
  <c r="AV2163" i="1"/>
  <c r="AW2162" i="1"/>
  <c r="AV2162" i="1"/>
  <c r="AU2162" i="1"/>
  <c r="AW2161" i="1"/>
  <c r="AV2161" i="1"/>
  <c r="AW2160" i="1"/>
  <c r="AV2160" i="1"/>
  <c r="AU2160" i="1"/>
  <c r="AW2159" i="1"/>
  <c r="AV2159" i="1"/>
  <c r="AW2158" i="1"/>
  <c r="AV2158" i="1"/>
  <c r="AU2158" i="1"/>
  <c r="AW2157" i="1"/>
  <c r="AV2157" i="1"/>
  <c r="AW2156" i="1"/>
  <c r="AV2156" i="1"/>
  <c r="AU2156" i="1"/>
  <c r="AW2155" i="1"/>
  <c r="AV2155" i="1"/>
  <c r="AW2154" i="1"/>
  <c r="AV2154" i="1"/>
  <c r="AW2153" i="1"/>
  <c r="AV2153" i="1"/>
  <c r="AW2152" i="1"/>
  <c r="AV2152" i="1"/>
  <c r="AW2151" i="1"/>
  <c r="AV2151" i="1"/>
  <c r="AU2151" i="1"/>
  <c r="AW2150" i="1"/>
  <c r="AV2150" i="1"/>
  <c r="AW2149" i="1"/>
  <c r="AV2149" i="1"/>
  <c r="AW2148" i="1"/>
  <c r="AV2148" i="1"/>
  <c r="AW2147" i="1"/>
  <c r="AV2147" i="1"/>
  <c r="AW2146" i="1"/>
  <c r="AV2146" i="1"/>
  <c r="AW2145" i="1"/>
  <c r="AV2145" i="1"/>
  <c r="AU2145" i="1"/>
  <c r="AW2144" i="1"/>
  <c r="AV2144" i="1"/>
  <c r="AW2143" i="1"/>
  <c r="AV2143" i="1"/>
  <c r="AW2142" i="1"/>
  <c r="AV2142" i="1"/>
  <c r="AU2142" i="1"/>
  <c r="AW2141" i="1"/>
  <c r="AV2141" i="1"/>
  <c r="AU2141" i="1"/>
  <c r="AW2140" i="1"/>
  <c r="AV2140" i="1"/>
  <c r="AU2140" i="1"/>
  <c r="AW2139" i="1"/>
  <c r="AV2139" i="1"/>
  <c r="AU2139" i="1"/>
  <c r="AW2138" i="1"/>
  <c r="AV2138" i="1"/>
  <c r="AW2137" i="1"/>
  <c r="AV2137" i="1"/>
  <c r="AW2136" i="1"/>
  <c r="AV2136" i="1"/>
  <c r="AU2136" i="1"/>
  <c r="AW2135" i="1"/>
  <c r="AV2135" i="1"/>
  <c r="AW2134" i="1"/>
  <c r="AV2134" i="1"/>
  <c r="AU2134" i="1"/>
  <c r="AW2133" i="1"/>
  <c r="AV2133" i="1"/>
  <c r="AW2132" i="1"/>
  <c r="AV2132" i="1"/>
  <c r="AW2131" i="1"/>
  <c r="AV2131" i="1"/>
  <c r="AW2130" i="1"/>
  <c r="AV2130" i="1"/>
  <c r="AW2129" i="1"/>
  <c r="AV2129" i="1"/>
  <c r="AW2128" i="1"/>
  <c r="AV2128" i="1"/>
  <c r="AW2127" i="1"/>
  <c r="AV2127" i="1"/>
  <c r="AW2126" i="1"/>
  <c r="AV2126" i="1"/>
  <c r="AW2125" i="1"/>
  <c r="AV2125" i="1"/>
  <c r="AW2124" i="1"/>
  <c r="AV2124" i="1"/>
  <c r="AW2123" i="1"/>
  <c r="AV2123" i="1"/>
  <c r="AU2123" i="1"/>
  <c r="AW2122" i="1"/>
  <c r="AV2122" i="1"/>
  <c r="AW2121" i="1"/>
  <c r="AV2121" i="1"/>
  <c r="AW2120" i="1"/>
  <c r="AV2120" i="1"/>
  <c r="AW2119" i="1"/>
  <c r="AV2119" i="1"/>
  <c r="AU2119" i="1"/>
  <c r="AW2118" i="1"/>
  <c r="AV2118" i="1"/>
  <c r="AW2117" i="1"/>
  <c r="AV2117" i="1"/>
  <c r="AU2117" i="1"/>
  <c r="AW2116" i="1"/>
  <c r="AV2116" i="1"/>
  <c r="AW2115" i="1"/>
  <c r="AV2115" i="1"/>
  <c r="AW2114" i="1"/>
  <c r="AV2114" i="1"/>
  <c r="AU2114" i="1"/>
  <c r="AW2113" i="1"/>
  <c r="AV2113" i="1"/>
  <c r="AU2113" i="1"/>
  <c r="AW2112" i="1"/>
  <c r="AV2112" i="1"/>
  <c r="AW2111" i="1"/>
  <c r="AV2111" i="1"/>
  <c r="AW2110" i="1"/>
  <c r="AV2110" i="1"/>
  <c r="AW2109" i="1"/>
  <c r="AV2109" i="1"/>
  <c r="AW2108" i="1"/>
  <c r="AV2108" i="1"/>
  <c r="AW2107" i="1"/>
  <c r="AV2107" i="1"/>
  <c r="AW2106" i="1"/>
  <c r="AV2106" i="1"/>
  <c r="AW2105" i="1"/>
  <c r="AV2105" i="1"/>
  <c r="AU2105" i="1"/>
  <c r="AW2104" i="1"/>
  <c r="AV2104" i="1"/>
  <c r="AW2103" i="1"/>
  <c r="AV2103" i="1"/>
  <c r="AU2103" i="1"/>
  <c r="AW2102" i="1"/>
  <c r="AV2102" i="1"/>
  <c r="AU2102" i="1"/>
  <c r="AW2101" i="1"/>
  <c r="AV2101" i="1"/>
  <c r="AU2101" i="1"/>
  <c r="AW2100" i="1"/>
  <c r="AV2100" i="1"/>
  <c r="AW2099" i="1"/>
  <c r="AV2099" i="1"/>
  <c r="AW2098" i="1"/>
  <c r="AV2098" i="1"/>
  <c r="AW2097" i="1"/>
  <c r="AV2097" i="1"/>
  <c r="AW2096" i="1"/>
  <c r="AV2096" i="1"/>
  <c r="AW2095" i="1"/>
  <c r="AV2095" i="1"/>
  <c r="AU2095" i="1"/>
  <c r="AW2094" i="1"/>
  <c r="AV2094" i="1"/>
  <c r="AW2093" i="1"/>
  <c r="AV2093" i="1"/>
  <c r="AW2092" i="1"/>
  <c r="AV2092" i="1"/>
  <c r="AU2092" i="1"/>
  <c r="AW2091" i="1"/>
  <c r="AV2091" i="1"/>
  <c r="AU2091" i="1"/>
  <c r="AW2090" i="1"/>
  <c r="AV2090" i="1"/>
  <c r="AW2089" i="1"/>
  <c r="AV2089" i="1"/>
  <c r="AU2089" i="1"/>
  <c r="AW2088" i="1"/>
  <c r="AV2088" i="1"/>
  <c r="AW2087" i="1"/>
  <c r="AV2087" i="1"/>
  <c r="AW2086" i="1"/>
  <c r="AV2086" i="1"/>
  <c r="AW2085" i="1"/>
  <c r="AV2085" i="1"/>
  <c r="AW2084" i="1"/>
  <c r="AV2084" i="1"/>
  <c r="AU2084" i="1"/>
  <c r="AW2083" i="1"/>
  <c r="AV2083" i="1"/>
  <c r="AW2082" i="1"/>
  <c r="AV2082" i="1"/>
  <c r="AU2082" i="1"/>
  <c r="AW2081" i="1"/>
  <c r="AV2081" i="1"/>
  <c r="AU2081" i="1"/>
  <c r="AW2080" i="1"/>
  <c r="AV2080" i="1"/>
  <c r="AU2080" i="1"/>
  <c r="AW2079" i="1"/>
  <c r="AV2079" i="1"/>
  <c r="AW2078" i="1"/>
  <c r="AV2078" i="1"/>
  <c r="AU2078" i="1"/>
  <c r="AW2077" i="1"/>
  <c r="AV2077" i="1"/>
  <c r="AW2076" i="1"/>
  <c r="AV2076" i="1"/>
  <c r="AW2075" i="1"/>
  <c r="AV2075" i="1"/>
  <c r="AW2074" i="1"/>
  <c r="AV2074" i="1"/>
  <c r="AW2073" i="1"/>
  <c r="AV2073" i="1"/>
  <c r="AW2072" i="1"/>
  <c r="AV2072" i="1"/>
  <c r="AW2071" i="1"/>
  <c r="AV2071" i="1"/>
  <c r="AW2070" i="1"/>
  <c r="AV2070" i="1"/>
  <c r="AW2069" i="1"/>
  <c r="AV2069" i="1"/>
  <c r="AW2068" i="1"/>
  <c r="AV2068" i="1"/>
  <c r="AW2067" i="1"/>
  <c r="AV2067" i="1"/>
  <c r="AW2066" i="1"/>
  <c r="AV2066" i="1"/>
  <c r="AW2065" i="1"/>
  <c r="AV2065" i="1"/>
  <c r="AW2064" i="1"/>
  <c r="AV2064" i="1"/>
  <c r="AW2063" i="1"/>
  <c r="AV2063" i="1"/>
  <c r="AW2062" i="1"/>
  <c r="AV2062" i="1"/>
  <c r="AW2061" i="1"/>
  <c r="AV2061" i="1"/>
  <c r="AW2060" i="1"/>
  <c r="AV2060" i="1"/>
  <c r="AW2059" i="1"/>
  <c r="AV2059" i="1"/>
  <c r="AW2058" i="1"/>
  <c r="AV2058" i="1"/>
  <c r="AW2057" i="1"/>
  <c r="AV2057" i="1"/>
  <c r="AW2056" i="1"/>
  <c r="AV2056" i="1"/>
  <c r="AW2055" i="1"/>
  <c r="AV2055" i="1"/>
  <c r="AW2054" i="1"/>
  <c r="AV2054" i="1"/>
  <c r="AW2053" i="1"/>
  <c r="AV2053" i="1"/>
  <c r="AW2052" i="1"/>
  <c r="AV2052" i="1"/>
  <c r="AW2051" i="1"/>
  <c r="AV2051" i="1"/>
  <c r="AW2050" i="1"/>
  <c r="AV2050" i="1"/>
  <c r="AW2049" i="1"/>
  <c r="AV2049" i="1"/>
  <c r="AW2048" i="1"/>
  <c r="AV2048" i="1"/>
  <c r="AW2047" i="1"/>
  <c r="AV2047" i="1"/>
  <c r="AW2046" i="1"/>
  <c r="AV2046" i="1"/>
  <c r="AW2045" i="1"/>
  <c r="AV2045" i="1"/>
  <c r="AW2044" i="1"/>
  <c r="AV2044" i="1"/>
  <c r="AW2043" i="1"/>
  <c r="AV2043" i="1"/>
  <c r="AW2042" i="1"/>
  <c r="AV2042" i="1"/>
  <c r="AW2041" i="1"/>
  <c r="AV2041" i="1"/>
  <c r="AW2040" i="1"/>
  <c r="AV2040" i="1"/>
  <c r="AW2039" i="1"/>
  <c r="AV2039" i="1"/>
  <c r="AU2039" i="1"/>
  <c r="AW2038" i="1"/>
  <c r="AV2038" i="1"/>
  <c r="AW2037" i="1"/>
  <c r="AV2037" i="1"/>
  <c r="AW2036" i="1"/>
  <c r="AV2036" i="1"/>
  <c r="AW2035" i="1"/>
  <c r="AV2035" i="1"/>
  <c r="AW2034" i="1"/>
  <c r="AV2034" i="1"/>
  <c r="AU2034" i="1"/>
  <c r="AW2033" i="1"/>
  <c r="AV2033" i="1"/>
  <c r="AW2032" i="1"/>
  <c r="AV2032" i="1"/>
  <c r="AW2031" i="1"/>
  <c r="AV2031" i="1"/>
  <c r="AW2030" i="1"/>
  <c r="AV2030" i="1"/>
  <c r="AW2029" i="1"/>
  <c r="AV2029" i="1"/>
  <c r="AU2029" i="1"/>
  <c r="AW2028" i="1"/>
  <c r="AV2028" i="1"/>
  <c r="AU2028" i="1"/>
  <c r="AW2027" i="1"/>
  <c r="AV2027" i="1"/>
  <c r="AW2026" i="1"/>
  <c r="AV2026" i="1"/>
  <c r="AU2026" i="1"/>
  <c r="AW2025" i="1"/>
  <c r="AV2025" i="1"/>
  <c r="AU2025" i="1"/>
  <c r="AW2024" i="1"/>
  <c r="AV2024" i="1"/>
  <c r="AU2024" i="1"/>
  <c r="AW2023" i="1"/>
  <c r="AV2023" i="1"/>
  <c r="AU2023" i="1"/>
  <c r="AW2022" i="1"/>
  <c r="AV2022" i="1"/>
  <c r="AW2021" i="1"/>
  <c r="AV2021" i="1"/>
  <c r="AW2020" i="1"/>
  <c r="AV2020" i="1"/>
  <c r="AU2020" i="1"/>
  <c r="AW2019" i="1"/>
  <c r="AV2019" i="1"/>
  <c r="AU2019" i="1"/>
  <c r="AW2018" i="1"/>
  <c r="AV2018" i="1"/>
  <c r="AW2017" i="1"/>
  <c r="AV2017" i="1"/>
  <c r="AW2016" i="1"/>
  <c r="AV2016" i="1"/>
  <c r="AW2015" i="1"/>
  <c r="AV2015" i="1"/>
  <c r="AW2014" i="1"/>
  <c r="AV2014" i="1"/>
  <c r="AW2013" i="1"/>
  <c r="AV2013" i="1"/>
  <c r="AW2012" i="1"/>
  <c r="AV2012" i="1"/>
  <c r="AW2011" i="1"/>
  <c r="AV2011" i="1"/>
  <c r="AU2011" i="1"/>
  <c r="AW2010" i="1"/>
  <c r="AV2010" i="1"/>
  <c r="AW2009" i="1"/>
  <c r="AV2009" i="1"/>
  <c r="AW2008" i="1"/>
  <c r="AV2008" i="1"/>
  <c r="AU2008" i="1"/>
  <c r="AW2007" i="1"/>
  <c r="AV2007" i="1"/>
  <c r="AW2006" i="1"/>
  <c r="AV2006" i="1"/>
  <c r="AW2005" i="1"/>
  <c r="AV2005" i="1"/>
  <c r="AU2005" i="1"/>
  <c r="AW2004" i="1"/>
  <c r="AV2004" i="1"/>
  <c r="AW2003" i="1"/>
  <c r="AV2003" i="1"/>
  <c r="AW2002" i="1"/>
  <c r="AV2002" i="1"/>
  <c r="AW2001" i="1"/>
  <c r="AV2001" i="1"/>
  <c r="AW2000" i="1"/>
  <c r="AV2000" i="1"/>
  <c r="AW1999" i="1"/>
  <c r="AV1999" i="1"/>
  <c r="AW1998" i="1"/>
  <c r="AV1998" i="1"/>
  <c r="AW1997" i="1"/>
  <c r="AV1997" i="1"/>
  <c r="AW1996" i="1"/>
  <c r="AV1996" i="1"/>
  <c r="AU1996" i="1"/>
  <c r="AW1995" i="1"/>
  <c r="AV1995" i="1"/>
  <c r="AU1995" i="1"/>
  <c r="AW1994" i="1"/>
  <c r="AV1994" i="1"/>
  <c r="AW1993" i="1"/>
  <c r="AV1993" i="1"/>
  <c r="AU1993" i="1"/>
  <c r="AW1992" i="1"/>
  <c r="AV1992" i="1"/>
  <c r="AU1992" i="1"/>
  <c r="AW1991" i="1"/>
  <c r="AV1991" i="1"/>
  <c r="AW1990" i="1"/>
  <c r="AV1990" i="1"/>
  <c r="AU1990" i="1"/>
  <c r="AW1989" i="1"/>
  <c r="AV1989" i="1"/>
  <c r="AU1989" i="1"/>
  <c r="AW1988" i="1"/>
  <c r="AV1988" i="1"/>
  <c r="AU1988" i="1"/>
  <c r="AW1987" i="1"/>
  <c r="AV1987" i="1"/>
  <c r="AU1987" i="1"/>
  <c r="AW1986" i="1"/>
  <c r="AV1986" i="1"/>
  <c r="AW1985" i="1"/>
  <c r="AV1985" i="1"/>
  <c r="AW1984" i="1"/>
  <c r="AV1984" i="1"/>
  <c r="AW1983" i="1"/>
  <c r="AV1983" i="1"/>
  <c r="AW1982" i="1"/>
  <c r="AV1982" i="1"/>
  <c r="AW1981" i="1"/>
  <c r="AV1981" i="1"/>
  <c r="AW1980" i="1"/>
  <c r="AV1980" i="1"/>
  <c r="AU1980" i="1"/>
  <c r="AW1979" i="1"/>
  <c r="AV1979" i="1"/>
  <c r="AW1978" i="1"/>
  <c r="AV1978" i="1"/>
  <c r="AW1977" i="1"/>
  <c r="AV1977" i="1"/>
  <c r="AU1977" i="1"/>
  <c r="AW1976" i="1"/>
  <c r="AV1976" i="1"/>
  <c r="AW1975" i="1"/>
  <c r="AV1975" i="1"/>
  <c r="AW1974" i="1"/>
  <c r="AV1974" i="1"/>
  <c r="AU1974" i="1"/>
  <c r="AW1973" i="1"/>
  <c r="AV1973" i="1"/>
  <c r="AW1972" i="1"/>
  <c r="AV1972" i="1"/>
  <c r="AU1972" i="1"/>
  <c r="AW1971" i="1"/>
  <c r="AV1971" i="1"/>
  <c r="AW1970" i="1"/>
  <c r="AV1970" i="1"/>
  <c r="AW1969" i="1"/>
  <c r="AV1969" i="1"/>
  <c r="AU1969" i="1"/>
  <c r="AW1968" i="1"/>
  <c r="AV1968" i="1"/>
  <c r="AW1967" i="1"/>
  <c r="AV1967" i="1"/>
  <c r="AU1967" i="1"/>
  <c r="AW1966" i="1"/>
  <c r="AV1966" i="1"/>
  <c r="AW1965" i="1"/>
  <c r="AV1965" i="1"/>
  <c r="AU1965" i="1"/>
  <c r="AW1964" i="1"/>
  <c r="AV1964" i="1"/>
  <c r="AU1964" i="1"/>
  <c r="AW1963" i="1"/>
  <c r="AV1963" i="1"/>
  <c r="AU1963" i="1"/>
  <c r="AW1962" i="1"/>
  <c r="AV1962" i="1"/>
  <c r="AW1961" i="1"/>
  <c r="AV1961" i="1"/>
  <c r="AU1961" i="1"/>
  <c r="AW1960" i="1"/>
  <c r="AV1960" i="1"/>
  <c r="AW1959" i="1"/>
  <c r="AV1959" i="1"/>
  <c r="AU1959" i="1"/>
  <c r="AW1958" i="1"/>
  <c r="AV1958" i="1"/>
  <c r="AU1958" i="1"/>
  <c r="AW1957" i="1"/>
  <c r="AV1957" i="1"/>
  <c r="AW1956" i="1"/>
  <c r="AV1956" i="1"/>
  <c r="AW1955" i="1"/>
  <c r="AV1955" i="1"/>
  <c r="AW1954" i="1"/>
  <c r="AV1954" i="1"/>
  <c r="AU1954" i="1"/>
  <c r="AW1953" i="1"/>
  <c r="AV1953" i="1"/>
  <c r="AW1952" i="1"/>
  <c r="AV1952" i="1"/>
  <c r="AU1952" i="1"/>
  <c r="AW1951" i="1"/>
  <c r="AV1951" i="1"/>
  <c r="AW1950" i="1"/>
  <c r="AV1950" i="1"/>
  <c r="AW1949" i="1"/>
  <c r="AV1949" i="1"/>
  <c r="AW1948" i="1"/>
  <c r="AV1948" i="1"/>
  <c r="AW1947" i="1"/>
  <c r="AV1947" i="1"/>
  <c r="AW1946" i="1"/>
  <c r="AV1946" i="1"/>
  <c r="AU1946" i="1"/>
  <c r="AW1945" i="1"/>
  <c r="AV1945" i="1"/>
  <c r="AW1944" i="1"/>
  <c r="AV1944" i="1"/>
  <c r="AW1943" i="1"/>
  <c r="AV1943" i="1"/>
  <c r="AW1942" i="1"/>
  <c r="AV1942" i="1"/>
  <c r="AW1941" i="1"/>
  <c r="AV1941" i="1"/>
  <c r="AW1940" i="1"/>
  <c r="AV1940" i="1"/>
  <c r="AU1940" i="1"/>
  <c r="AW1939" i="1"/>
  <c r="AV1939" i="1"/>
  <c r="AW1938" i="1"/>
  <c r="AV1938" i="1"/>
  <c r="AW1937" i="1"/>
  <c r="AV1937" i="1"/>
  <c r="AU1937" i="1"/>
  <c r="AW1936" i="1"/>
  <c r="AV1936" i="1"/>
  <c r="AW1935" i="1"/>
  <c r="AV1935" i="1"/>
  <c r="AW1934" i="1"/>
  <c r="AV1934" i="1"/>
  <c r="AW1933" i="1"/>
  <c r="AV1933" i="1"/>
  <c r="AW1932" i="1"/>
  <c r="AV1932" i="1"/>
  <c r="AW1931" i="1"/>
  <c r="AV1931" i="1"/>
  <c r="AU1931" i="1"/>
  <c r="AW1930" i="1"/>
  <c r="AV1930" i="1"/>
  <c r="AW1929" i="1"/>
  <c r="AV1929" i="1"/>
  <c r="AW1928" i="1"/>
  <c r="AV1928" i="1"/>
  <c r="AW1927" i="1"/>
  <c r="AV1927" i="1"/>
  <c r="AW1926" i="1"/>
  <c r="AV1926" i="1"/>
  <c r="AW1925" i="1"/>
  <c r="AV1925" i="1"/>
  <c r="AW1924" i="1"/>
  <c r="AV1924" i="1"/>
  <c r="AW1923" i="1"/>
  <c r="AV1923" i="1"/>
  <c r="AW1922" i="1"/>
  <c r="AV1922" i="1"/>
  <c r="AW1921" i="1"/>
  <c r="AV1921" i="1"/>
  <c r="AU1921" i="1"/>
  <c r="AW1920" i="1"/>
  <c r="AV1920" i="1"/>
  <c r="AW1919" i="1"/>
  <c r="AV1919" i="1"/>
  <c r="AW1918" i="1"/>
  <c r="AV1918" i="1"/>
  <c r="AW1917" i="1"/>
  <c r="AV1917" i="1"/>
  <c r="AW1916" i="1"/>
  <c r="AV1916" i="1"/>
  <c r="AW1915" i="1"/>
  <c r="AV1915" i="1"/>
  <c r="AW1914" i="1"/>
  <c r="AV1914" i="1"/>
  <c r="AW1913" i="1"/>
  <c r="AV1913" i="1"/>
  <c r="AW1912" i="1"/>
  <c r="AV1912" i="1"/>
  <c r="AW1911" i="1"/>
  <c r="AV1911" i="1"/>
  <c r="AW1910" i="1"/>
  <c r="AV1910" i="1"/>
  <c r="AW1909" i="1"/>
  <c r="AV1909" i="1"/>
  <c r="AW1908" i="1"/>
  <c r="AV1908" i="1"/>
  <c r="AW1907" i="1"/>
  <c r="AV1907" i="1"/>
  <c r="AW1906" i="1"/>
  <c r="AV1906" i="1"/>
  <c r="AW1905" i="1"/>
  <c r="AV1905" i="1"/>
  <c r="AW1904" i="1"/>
  <c r="AV1904" i="1"/>
  <c r="AW1903" i="1"/>
  <c r="AV1903" i="1"/>
  <c r="AU1903" i="1"/>
  <c r="AW1902" i="1"/>
  <c r="AV1902" i="1"/>
  <c r="AW1901" i="1"/>
  <c r="AV1901" i="1"/>
  <c r="AW1900" i="1"/>
  <c r="AV1900" i="1"/>
  <c r="AW1899" i="1"/>
  <c r="AV1899" i="1"/>
  <c r="AW1898" i="1"/>
  <c r="AV1898" i="1"/>
  <c r="AW1897" i="1"/>
  <c r="AV1897" i="1"/>
  <c r="AU1897" i="1"/>
  <c r="AW1896" i="1"/>
  <c r="AV1896" i="1"/>
  <c r="AW1895" i="1"/>
  <c r="AV1895" i="1"/>
  <c r="AW1894" i="1"/>
  <c r="AV1894" i="1"/>
  <c r="AW1893" i="1"/>
  <c r="AV1893" i="1"/>
  <c r="AW1892" i="1"/>
  <c r="AV1892" i="1"/>
  <c r="AW1891" i="1"/>
  <c r="AV1891" i="1"/>
  <c r="AW1890" i="1"/>
  <c r="AV1890" i="1"/>
  <c r="AW1889" i="1"/>
  <c r="AV1889" i="1"/>
  <c r="AW1888" i="1"/>
  <c r="AV1888" i="1"/>
  <c r="AW1887" i="1"/>
  <c r="AV1887" i="1"/>
  <c r="AW1886" i="1"/>
  <c r="AV1886" i="1"/>
  <c r="AW1885" i="1"/>
  <c r="AV1885" i="1"/>
  <c r="AW1884" i="1"/>
  <c r="AV1884" i="1"/>
  <c r="AW1883" i="1"/>
  <c r="AV1883" i="1"/>
  <c r="AW1882" i="1"/>
  <c r="AV1882" i="1"/>
  <c r="AW1881" i="1"/>
  <c r="AV1881" i="1"/>
  <c r="AU1881" i="1"/>
  <c r="AW1880" i="1"/>
  <c r="AV1880" i="1"/>
  <c r="AW1879" i="1"/>
  <c r="AV1879" i="1"/>
  <c r="AW1878" i="1"/>
  <c r="AV1878" i="1"/>
  <c r="AW1877" i="1"/>
  <c r="AV1877" i="1"/>
  <c r="AW1876" i="1"/>
  <c r="AV1876" i="1"/>
  <c r="AW1875" i="1"/>
  <c r="AV1875" i="1"/>
  <c r="AW1874" i="1"/>
  <c r="AV1874" i="1"/>
  <c r="AW1873" i="1"/>
  <c r="AV1873" i="1"/>
  <c r="AU1873" i="1"/>
  <c r="AW1872" i="1"/>
  <c r="AV1872" i="1"/>
  <c r="AU1872" i="1"/>
  <c r="AW1871" i="1"/>
  <c r="AV1871" i="1"/>
  <c r="AU1871" i="1"/>
  <c r="AW1870" i="1"/>
  <c r="AV1870" i="1"/>
  <c r="AU1870" i="1"/>
  <c r="AW1869" i="1"/>
  <c r="AV1869" i="1"/>
  <c r="AW1868" i="1"/>
  <c r="AV1868" i="1"/>
  <c r="AW1867" i="1"/>
  <c r="AV1867" i="1"/>
  <c r="AW1866" i="1"/>
  <c r="AV1866" i="1"/>
  <c r="AU1866" i="1"/>
  <c r="AW1865" i="1"/>
  <c r="AV1865" i="1"/>
  <c r="AW1864" i="1"/>
  <c r="AV1864" i="1"/>
  <c r="AW1863" i="1"/>
  <c r="AV1863" i="1"/>
  <c r="AW1862" i="1"/>
  <c r="AV1862" i="1"/>
  <c r="AW1861" i="1"/>
  <c r="AV1861" i="1"/>
  <c r="AW1860" i="1"/>
  <c r="AV1860" i="1"/>
  <c r="AW1859" i="1"/>
  <c r="AV1859" i="1"/>
  <c r="AW1858" i="1"/>
  <c r="AV1858" i="1"/>
  <c r="AW1857" i="1"/>
  <c r="AV1857" i="1"/>
  <c r="AW1856" i="1"/>
  <c r="AV1856" i="1"/>
  <c r="AW1855" i="1"/>
  <c r="AV1855" i="1"/>
  <c r="AW1854" i="1"/>
  <c r="AV1854" i="1"/>
  <c r="AW1853" i="1"/>
  <c r="AV1853" i="1"/>
  <c r="AW1852" i="1"/>
  <c r="AV1852" i="1"/>
  <c r="AW1851" i="1"/>
  <c r="AV1851" i="1"/>
  <c r="AW1850" i="1"/>
  <c r="AV1850" i="1"/>
  <c r="AW1849" i="1"/>
  <c r="AV1849" i="1"/>
  <c r="AW1848" i="1"/>
  <c r="AV1848" i="1"/>
  <c r="AW1847" i="1"/>
  <c r="AV1847" i="1"/>
  <c r="AW1846" i="1"/>
  <c r="AV1846" i="1"/>
  <c r="AU1846" i="1"/>
  <c r="AW1845" i="1"/>
  <c r="AV1845" i="1"/>
  <c r="AW1844" i="1"/>
  <c r="AV1844" i="1"/>
  <c r="AW1843" i="1"/>
  <c r="AV1843" i="1"/>
  <c r="AU1843" i="1"/>
  <c r="AW1842" i="1"/>
  <c r="AV1842" i="1"/>
  <c r="AU1842" i="1"/>
  <c r="AW1841" i="1"/>
  <c r="AV1841" i="1"/>
  <c r="AU1841" i="1"/>
  <c r="AW1840" i="1"/>
  <c r="AV1840" i="1"/>
  <c r="AU1840" i="1"/>
  <c r="AW1839" i="1"/>
  <c r="AV1839" i="1"/>
  <c r="AU1839" i="1"/>
  <c r="AW1838" i="1"/>
  <c r="AV1838" i="1"/>
  <c r="AW1837" i="1"/>
  <c r="AV1837" i="1"/>
  <c r="AW1836" i="1"/>
  <c r="AV1836" i="1"/>
  <c r="AU1836" i="1"/>
  <c r="AW1835" i="1"/>
  <c r="AV1835" i="1"/>
  <c r="AW1834" i="1"/>
  <c r="AV1834" i="1"/>
  <c r="AU1834" i="1"/>
  <c r="AW1833" i="1"/>
  <c r="AV1833" i="1"/>
  <c r="AW1832" i="1"/>
  <c r="AV1832" i="1"/>
  <c r="AW1831" i="1"/>
  <c r="AV1831" i="1"/>
  <c r="AW1830" i="1"/>
  <c r="AV1830" i="1"/>
  <c r="AW1829" i="1"/>
  <c r="AV1829" i="1"/>
  <c r="AU1829" i="1"/>
  <c r="AW1828" i="1"/>
  <c r="AV1828" i="1"/>
  <c r="AW1827" i="1"/>
  <c r="AV1827" i="1"/>
  <c r="AW1826" i="1"/>
  <c r="AV1826" i="1"/>
  <c r="AU1826" i="1"/>
  <c r="AW1825" i="1"/>
  <c r="AV1825" i="1"/>
  <c r="AW1824" i="1"/>
  <c r="AV1824" i="1"/>
  <c r="AW1823" i="1"/>
  <c r="AV1823" i="1"/>
  <c r="AW1822" i="1"/>
  <c r="AV1822" i="1"/>
  <c r="AW1821" i="1"/>
  <c r="AV1821" i="1"/>
  <c r="AW1820" i="1"/>
  <c r="AV1820" i="1"/>
  <c r="AU1820" i="1"/>
  <c r="AW1819" i="1"/>
  <c r="AV1819" i="1"/>
  <c r="AW1818" i="1"/>
  <c r="AV1818" i="1"/>
  <c r="AW1817" i="1"/>
  <c r="AV1817" i="1"/>
  <c r="AW1816" i="1"/>
  <c r="AV1816" i="1"/>
  <c r="AW1815" i="1"/>
  <c r="AV1815" i="1"/>
  <c r="AW1814" i="1"/>
  <c r="AV1814" i="1"/>
  <c r="AW1813" i="1"/>
  <c r="AV1813" i="1"/>
  <c r="AW1812" i="1"/>
  <c r="AV1812" i="1"/>
  <c r="AW1811" i="1"/>
  <c r="AV1811" i="1"/>
  <c r="AW1810" i="1"/>
  <c r="AV1810" i="1"/>
  <c r="AW1809" i="1"/>
  <c r="AV1809" i="1"/>
  <c r="AW1808" i="1"/>
  <c r="AV1808" i="1"/>
  <c r="AW1807" i="1"/>
  <c r="AV1807" i="1"/>
  <c r="AW1806" i="1"/>
  <c r="AV1806" i="1"/>
  <c r="AW1805" i="1"/>
  <c r="AV1805" i="1"/>
  <c r="AW1804" i="1"/>
  <c r="AV1804" i="1"/>
  <c r="AW1803" i="1"/>
  <c r="AV1803" i="1"/>
  <c r="AW1802" i="1"/>
  <c r="AV1802" i="1"/>
  <c r="AW1801" i="1"/>
  <c r="AV1801" i="1"/>
  <c r="AW1800" i="1"/>
  <c r="AV1800" i="1"/>
  <c r="AW1799" i="1"/>
  <c r="AV1799" i="1"/>
  <c r="AW1798" i="1"/>
  <c r="AV1798" i="1"/>
  <c r="AW1797" i="1"/>
  <c r="AV1797" i="1"/>
  <c r="AW1796" i="1"/>
  <c r="AV1796" i="1"/>
  <c r="AW1795" i="1"/>
  <c r="AV1795" i="1"/>
  <c r="AW1794" i="1"/>
  <c r="AV1794" i="1"/>
  <c r="AW1793" i="1"/>
  <c r="AV1793" i="1"/>
  <c r="AW1792" i="1"/>
  <c r="AV1792" i="1"/>
  <c r="AW1791" i="1"/>
  <c r="AV1791" i="1"/>
  <c r="AW1790" i="1"/>
  <c r="AV1790" i="1"/>
  <c r="AW1789" i="1"/>
  <c r="AV1789" i="1"/>
  <c r="AW1788" i="1"/>
  <c r="AV1788" i="1"/>
  <c r="AW1787" i="1"/>
  <c r="AV1787" i="1"/>
  <c r="AW1786" i="1"/>
  <c r="AV1786" i="1"/>
  <c r="AW1785" i="1"/>
  <c r="AV1785" i="1"/>
  <c r="AW1784" i="1"/>
  <c r="AV1784" i="1"/>
  <c r="AW1783" i="1"/>
  <c r="AV1783" i="1"/>
  <c r="AW1782" i="1"/>
  <c r="AV1782" i="1"/>
  <c r="AW1781" i="1"/>
  <c r="AV1781" i="1"/>
  <c r="AW1780" i="1"/>
  <c r="AV1780" i="1"/>
  <c r="AW1779" i="1"/>
  <c r="AV1779" i="1"/>
  <c r="AU1779" i="1"/>
  <c r="AW1778" i="1"/>
  <c r="AV1778" i="1"/>
  <c r="AW1777" i="1"/>
  <c r="AV1777" i="1"/>
  <c r="AW1776" i="1"/>
  <c r="AV1776" i="1"/>
  <c r="AW1775" i="1"/>
  <c r="AV1775" i="1"/>
  <c r="AU1775" i="1"/>
  <c r="AW1774" i="1"/>
  <c r="AV1774" i="1"/>
  <c r="AW1773" i="1"/>
  <c r="AV1773" i="1"/>
  <c r="AW1772" i="1"/>
  <c r="AV1772" i="1"/>
  <c r="AW1771" i="1"/>
  <c r="AV1771" i="1"/>
  <c r="AW1770" i="1"/>
  <c r="AV1770" i="1"/>
  <c r="AW1769" i="1"/>
  <c r="AV1769" i="1"/>
  <c r="AU1769" i="1"/>
  <c r="AW1768" i="1"/>
  <c r="AV1768" i="1"/>
  <c r="AU1768" i="1"/>
  <c r="AW1767" i="1"/>
  <c r="AV1767" i="1"/>
  <c r="AW1766" i="1"/>
  <c r="AV1766" i="1"/>
  <c r="AW1765" i="1"/>
  <c r="AV1765" i="1"/>
  <c r="AW1764" i="1"/>
  <c r="AV1764" i="1"/>
  <c r="AW1763" i="1"/>
  <c r="AV1763" i="1"/>
  <c r="AW1762" i="1"/>
  <c r="AV1762" i="1"/>
  <c r="AW1761" i="1"/>
  <c r="AV1761" i="1"/>
  <c r="AW1760" i="1"/>
  <c r="AV1760" i="1"/>
  <c r="AU1760" i="1"/>
  <c r="AW1759" i="1"/>
  <c r="AV1759" i="1"/>
  <c r="AW1758" i="1"/>
  <c r="AV1758" i="1"/>
  <c r="AU1758" i="1"/>
  <c r="AW1757" i="1"/>
  <c r="AV1757" i="1"/>
  <c r="AU1757" i="1"/>
  <c r="AW1756" i="1"/>
  <c r="AV1756" i="1"/>
  <c r="AU1756" i="1"/>
  <c r="AW1755" i="1"/>
  <c r="AV1755" i="1"/>
  <c r="AU1755" i="1"/>
  <c r="AW1754" i="1"/>
  <c r="AV1754" i="1"/>
  <c r="AW1753" i="1"/>
  <c r="AV1753" i="1"/>
  <c r="AU1753" i="1"/>
  <c r="AW1752" i="1"/>
  <c r="AV1752" i="1"/>
  <c r="AW1751" i="1"/>
  <c r="AV1751" i="1"/>
  <c r="AW1750" i="1"/>
  <c r="AV1750" i="1"/>
  <c r="AW1749" i="1"/>
  <c r="AV1749" i="1"/>
  <c r="AW1748" i="1"/>
  <c r="AV1748" i="1"/>
  <c r="AW1747" i="1"/>
  <c r="AV1747" i="1"/>
  <c r="AW1746" i="1"/>
  <c r="AV1746" i="1"/>
  <c r="AW1745" i="1"/>
  <c r="AV1745" i="1"/>
  <c r="AW1744" i="1"/>
  <c r="AV1744" i="1"/>
  <c r="AW1743" i="1"/>
  <c r="AV1743" i="1"/>
  <c r="AW1742" i="1"/>
  <c r="AV1742" i="1"/>
  <c r="AW1741" i="1"/>
  <c r="AV1741" i="1"/>
  <c r="AW1740" i="1"/>
  <c r="AV1740" i="1"/>
  <c r="AW1739" i="1"/>
  <c r="AV1739" i="1"/>
  <c r="AW1738" i="1"/>
  <c r="AV1738" i="1"/>
  <c r="AU1738" i="1"/>
  <c r="AW1737" i="1"/>
  <c r="AV1737" i="1"/>
  <c r="AW1736" i="1"/>
  <c r="AV1736" i="1"/>
  <c r="AW1735" i="1"/>
  <c r="AV1735" i="1"/>
  <c r="AW1734" i="1"/>
  <c r="AV1734" i="1"/>
  <c r="AU1734" i="1"/>
  <c r="AW1733" i="1"/>
  <c r="AV1733" i="1"/>
  <c r="AW1732" i="1"/>
  <c r="AV1732" i="1"/>
  <c r="AW1731" i="1"/>
  <c r="AV1731" i="1"/>
  <c r="AU1731" i="1"/>
  <c r="AW1730" i="1"/>
  <c r="AV1730" i="1"/>
  <c r="AW1729" i="1"/>
  <c r="AV1729" i="1"/>
  <c r="AW1728" i="1"/>
  <c r="AV1728" i="1"/>
  <c r="AW1727" i="1"/>
  <c r="AV1727" i="1"/>
  <c r="AW1726" i="1"/>
  <c r="AV1726" i="1"/>
  <c r="AW1725" i="1"/>
  <c r="AV1725" i="1"/>
  <c r="AW1724" i="1"/>
  <c r="AV1724" i="1"/>
  <c r="AW1723" i="1"/>
  <c r="AV1723" i="1"/>
  <c r="AW1722" i="1"/>
  <c r="AV1722" i="1"/>
  <c r="AW1721" i="1"/>
  <c r="AV1721" i="1"/>
  <c r="AW1720" i="1"/>
  <c r="AV1720" i="1"/>
  <c r="AW1719" i="1"/>
  <c r="AV1719" i="1"/>
  <c r="AU1719" i="1"/>
  <c r="AW1718" i="1"/>
  <c r="AV1718" i="1"/>
  <c r="AW1717" i="1"/>
  <c r="AV1717" i="1"/>
  <c r="AW1716" i="1"/>
  <c r="AV1716" i="1"/>
  <c r="AW1715" i="1"/>
  <c r="AV1715" i="1"/>
  <c r="AW1714" i="1"/>
  <c r="AV1714" i="1"/>
  <c r="AW1713" i="1"/>
  <c r="AV1713" i="1"/>
  <c r="AW1712" i="1"/>
  <c r="AV1712" i="1"/>
  <c r="AW1711" i="1"/>
  <c r="AV1711" i="1"/>
  <c r="AW1710" i="1"/>
  <c r="AV1710" i="1"/>
  <c r="AU1710" i="1"/>
  <c r="AW1709" i="1"/>
  <c r="AV1709" i="1"/>
  <c r="AW1708" i="1"/>
  <c r="AV1708" i="1"/>
  <c r="AU1708" i="1"/>
  <c r="AW1707" i="1"/>
  <c r="AV1707" i="1"/>
  <c r="AU1707" i="1"/>
  <c r="AW1706" i="1"/>
  <c r="AV1706" i="1"/>
  <c r="AW1705" i="1"/>
  <c r="AV1705" i="1"/>
  <c r="AW1704" i="1"/>
  <c r="AV1704" i="1"/>
  <c r="AW1703" i="1"/>
  <c r="AV1703" i="1"/>
  <c r="AW1702" i="1"/>
  <c r="AV1702" i="1"/>
  <c r="AU1702" i="1"/>
  <c r="AW1701" i="1"/>
  <c r="AV1701" i="1"/>
  <c r="AW1700" i="1"/>
  <c r="AV1700" i="1"/>
  <c r="AU1700" i="1"/>
  <c r="AW1699" i="1"/>
  <c r="AV1699" i="1"/>
  <c r="AW1698" i="1"/>
  <c r="AV1698" i="1"/>
  <c r="AU1698" i="1"/>
  <c r="AW1697" i="1"/>
  <c r="AV1697" i="1"/>
  <c r="AW1696" i="1"/>
  <c r="AV1696" i="1"/>
  <c r="AW1695" i="1"/>
  <c r="AV1695" i="1"/>
  <c r="AW1694" i="1"/>
  <c r="AV1694" i="1"/>
  <c r="AW1693" i="1"/>
  <c r="AV1693" i="1"/>
  <c r="AW1692" i="1"/>
  <c r="AV1692" i="1"/>
  <c r="AW1691" i="1"/>
  <c r="AV1691" i="1"/>
  <c r="AW1690" i="1"/>
  <c r="AV1690" i="1"/>
  <c r="AW1689" i="1"/>
  <c r="AV1689" i="1"/>
  <c r="AW1688" i="1"/>
  <c r="AV1688" i="1"/>
  <c r="AW1687" i="1"/>
  <c r="AV1687" i="1"/>
  <c r="AW1686" i="1"/>
  <c r="AV1686" i="1"/>
  <c r="AU1686" i="1"/>
  <c r="AW1685" i="1"/>
  <c r="AV1685" i="1"/>
  <c r="AU1685" i="1"/>
  <c r="AW1684" i="1"/>
  <c r="AV1684" i="1"/>
  <c r="AW1683" i="1"/>
  <c r="AV1683" i="1"/>
  <c r="AW1682" i="1"/>
  <c r="AV1682" i="1"/>
  <c r="AW1681" i="1"/>
  <c r="AV1681" i="1"/>
  <c r="AW1680" i="1"/>
  <c r="AV1680" i="1"/>
  <c r="AU1680" i="1"/>
  <c r="AW1679" i="1"/>
  <c r="AV1679" i="1"/>
  <c r="AW1678" i="1"/>
  <c r="AV1678" i="1"/>
  <c r="AW1677" i="1"/>
  <c r="AV1677" i="1"/>
  <c r="AW1676" i="1"/>
  <c r="AV1676" i="1"/>
  <c r="AW1675" i="1"/>
  <c r="AV1675" i="1"/>
  <c r="AW1674" i="1"/>
  <c r="AV1674" i="1"/>
  <c r="AW1673" i="1"/>
  <c r="AV1673" i="1"/>
  <c r="AW1672" i="1"/>
  <c r="AV1672" i="1"/>
  <c r="AW1671" i="1"/>
  <c r="AV1671" i="1"/>
  <c r="AW1670" i="1"/>
  <c r="AV1670" i="1"/>
  <c r="AW1669" i="1"/>
  <c r="AV1669" i="1"/>
  <c r="AW1668" i="1"/>
  <c r="AV1668" i="1"/>
  <c r="AW1667" i="1"/>
  <c r="AV1667" i="1"/>
  <c r="AW1666" i="1"/>
  <c r="AV1666" i="1"/>
  <c r="AW1665" i="1"/>
  <c r="AV1665" i="1"/>
  <c r="AW1664" i="1"/>
  <c r="AV1664" i="1"/>
  <c r="AW1663" i="1"/>
  <c r="AV1663" i="1"/>
  <c r="AW1662" i="1"/>
  <c r="AV1662" i="1"/>
  <c r="AW1661" i="1"/>
  <c r="AV1661" i="1"/>
  <c r="AW1660" i="1"/>
  <c r="AV1660" i="1"/>
  <c r="AW1659" i="1"/>
  <c r="AV1659" i="1"/>
  <c r="AW1658" i="1"/>
  <c r="AV1658" i="1"/>
  <c r="AW1657" i="1"/>
  <c r="AV1657" i="1"/>
  <c r="AW1656" i="1"/>
  <c r="AV1656" i="1"/>
  <c r="AW1655" i="1"/>
  <c r="AV1655" i="1"/>
  <c r="AW1654" i="1"/>
  <c r="AV1654" i="1"/>
  <c r="AW1653" i="1"/>
  <c r="AV1653" i="1"/>
  <c r="AW1652" i="1"/>
  <c r="AV1652" i="1"/>
  <c r="AW1651" i="1"/>
  <c r="AV1651" i="1"/>
  <c r="AW1650" i="1"/>
  <c r="AV1650" i="1"/>
  <c r="AW1649" i="1"/>
  <c r="AV1649" i="1"/>
  <c r="AW1648" i="1"/>
  <c r="AV1648" i="1"/>
  <c r="AW1647" i="1"/>
  <c r="AV1647" i="1"/>
  <c r="AU1647" i="1"/>
  <c r="AW1646" i="1"/>
  <c r="AV1646" i="1"/>
  <c r="AU1646" i="1"/>
  <c r="AW1645" i="1"/>
  <c r="AV1645" i="1"/>
  <c r="AU1645" i="1"/>
  <c r="AW1644" i="1"/>
  <c r="AV1644" i="1"/>
  <c r="AU1644" i="1"/>
  <c r="AW1643" i="1"/>
  <c r="AV1643" i="1"/>
  <c r="AU1643" i="1"/>
  <c r="AW1642" i="1"/>
  <c r="AV1642" i="1"/>
  <c r="AU1642" i="1"/>
  <c r="AW1641" i="1"/>
  <c r="AV1641" i="1"/>
  <c r="AW1640" i="1"/>
  <c r="AV1640" i="1"/>
  <c r="AU1640" i="1"/>
  <c r="AW1639" i="1"/>
  <c r="AV1639" i="1"/>
  <c r="AU1639" i="1"/>
  <c r="AW1638" i="1"/>
  <c r="AV1638" i="1"/>
  <c r="AW1637" i="1"/>
  <c r="AV1637" i="1"/>
  <c r="AW1636" i="1"/>
  <c r="AV1636" i="1"/>
  <c r="AW1635" i="1"/>
  <c r="AV1635" i="1"/>
  <c r="AW1634" i="1"/>
  <c r="AV1634" i="1"/>
  <c r="AW1633" i="1"/>
  <c r="AV1633" i="1"/>
  <c r="AW1632" i="1"/>
  <c r="AV1632" i="1"/>
  <c r="AW1631" i="1"/>
  <c r="AV1631" i="1"/>
  <c r="AW1630" i="1"/>
  <c r="AV1630" i="1"/>
  <c r="AW1629" i="1"/>
  <c r="AV1629" i="1"/>
  <c r="AW1628" i="1"/>
  <c r="AV1628" i="1"/>
  <c r="AW1627" i="1"/>
  <c r="AV1627" i="1"/>
  <c r="AW1626" i="1"/>
  <c r="AV1626" i="1"/>
  <c r="AW1625" i="1"/>
  <c r="AV1625" i="1"/>
  <c r="AW1624" i="1"/>
  <c r="AV1624" i="1"/>
  <c r="AW1623" i="1"/>
  <c r="AV1623" i="1"/>
  <c r="AW1622" i="1"/>
  <c r="AV1622" i="1"/>
  <c r="AU1622" i="1"/>
  <c r="AW1621" i="1"/>
  <c r="AV1621" i="1"/>
  <c r="AW1620" i="1"/>
  <c r="AV1620" i="1"/>
  <c r="AW1619" i="1"/>
  <c r="AV1619" i="1"/>
  <c r="AW1618" i="1"/>
  <c r="AV1618" i="1"/>
  <c r="AW1617" i="1"/>
  <c r="AV1617" i="1"/>
  <c r="AW1616" i="1"/>
  <c r="AV1616" i="1"/>
  <c r="AW1615" i="1"/>
  <c r="AV1615" i="1"/>
  <c r="AW1614" i="1"/>
  <c r="AV1614" i="1"/>
  <c r="AU1614" i="1"/>
  <c r="AW1613" i="1"/>
  <c r="AV1613" i="1"/>
  <c r="AW1612" i="1"/>
  <c r="AV1612" i="1"/>
  <c r="AW1611" i="1"/>
  <c r="AV1611" i="1"/>
  <c r="AW1610" i="1"/>
  <c r="AV1610" i="1"/>
  <c r="AW1609" i="1"/>
  <c r="AV1609" i="1"/>
  <c r="AU1609" i="1"/>
  <c r="AW1608" i="1"/>
  <c r="AV1608" i="1"/>
  <c r="AW1607" i="1"/>
  <c r="AV1607" i="1"/>
  <c r="AW1606" i="1"/>
  <c r="AV1606" i="1"/>
  <c r="AW1605" i="1"/>
  <c r="AV1605" i="1"/>
  <c r="AW1604" i="1"/>
  <c r="AV1604" i="1"/>
  <c r="AW1603" i="1"/>
  <c r="AV1603" i="1"/>
  <c r="AW1602" i="1"/>
  <c r="AV1602" i="1"/>
  <c r="AU1602" i="1"/>
  <c r="AW1601" i="1"/>
  <c r="AV1601" i="1"/>
  <c r="AW1600" i="1"/>
  <c r="AV1600" i="1"/>
  <c r="AU1600" i="1"/>
  <c r="AW1599" i="1"/>
  <c r="AV1599" i="1"/>
  <c r="AU1599" i="1"/>
  <c r="AW1598" i="1"/>
  <c r="AV1598" i="1"/>
  <c r="AW1597" i="1"/>
  <c r="AV1597" i="1"/>
  <c r="AU1597" i="1"/>
  <c r="AW1596" i="1"/>
  <c r="AV1596" i="1"/>
  <c r="AW1595" i="1"/>
  <c r="AV1595" i="1"/>
  <c r="AW1594" i="1"/>
  <c r="AV1594" i="1"/>
  <c r="AW1593" i="1"/>
  <c r="AV1593" i="1"/>
  <c r="AW1592" i="1"/>
  <c r="AV1592" i="1"/>
  <c r="AW1591" i="1"/>
  <c r="AV1591" i="1"/>
  <c r="AW1590" i="1"/>
  <c r="AV1590" i="1"/>
  <c r="AW1589" i="1"/>
  <c r="AV1589" i="1"/>
  <c r="AW1588" i="1"/>
  <c r="AV1588" i="1"/>
  <c r="AW1587" i="1"/>
  <c r="AV1587" i="1"/>
  <c r="AW1586" i="1"/>
  <c r="AV1586" i="1"/>
  <c r="AW1585" i="1"/>
  <c r="AV1585" i="1"/>
  <c r="AU1585" i="1"/>
  <c r="AW1584" i="1"/>
  <c r="AV1584" i="1"/>
  <c r="AW1583" i="1"/>
  <c r="AV1583" i="1"/>
  <c r="AW1582" i="1"/>
  <c r="AV1582" i="1"/>
  <c r="AW1581" i="1"/>
  <c r="AV1581" i="1"/>
  <c r="AW1580" i="1"/>
  <c r="AV1580" i="1"/>
  <c r="AU1580" i="1"/>
  <c r="AW1579" i="1"/>
  <c r="AV1579" i="1"/>
  <c r="AW1578" i="1"/>
  <c r="AV1578" i="1"/>
  <c r="AW1577" i="1"/>
  <c r="AV1577" i="1"/>
  <c r="AW1576" i="1"/>
  <c r="AV1576" i="1"/>
  <c r="AW1575" i="1"/>
  <c r="AV1575" i="1"/>
  <c r="AW1574" i="1"/>
  <c r="AV1574" i="1"/>
  <c r="AW1573" i="1"/>
  <c r="AV1573" i="1"/>
  <c r="AW1572" i="1"/>
  <c r="AV1572" i="1"/>
  <c r="AU1572" i="1"/>
  <c r="AW1571" i="1"/>
  <c r="AV1571" i="1"/>
  <c r="AW1570" i="1"/>
  <c r="AV1570" i="1"/>
  <c r="AW1569" i="1"/>
  <c r="AV1569" i="1"/>
  <c r="AW1568" i="1"/>
  <c r="AV1568" i="1"/>
  <c r="AW1567" i="1"/>
  <c r="AV1567" i="1"/>
  <c r="AU1567" i="1"/>
  <c r="AW1566" i="1"/>
  <c r="AV1566" i="1"/>
  <c r="AW1565" i="1"/>
  <c r="AV1565" i="1"/>
  <c r="AU1565" i="1"/>
  <c r="AW1564" i="1"/>
  <c r="AV1564" i="1"/>
  <c r="AU1564" i="1"/>
  <c r="AW1563" i="1"/>
  <c r="AV1563" i="1"/>
  <c r="AW1562" i="1"/>
  <c r="AV1562" i="1"/>
  <c r="AW1561" i="1"/>
  <c r="AV1561" i="1"/>
  <c r="AW1560" i="1"/>
  <c r="AV1560" i="1"/>
  <c r="AW1559" i="1"/>
  <c r="AV1559" i="1"/>
  <c r="AW1558" i="1"/>
  <c r="AV1558" i="1"/>
  <c r="AU1558" i="1"/>
  <c r="AW1557" i="1"/>
  <c r="AV1557" i="1"/>
  <c r="AW1556" i="1"/>
  <c r="AV1556" i="1"/>
  <c r="AW1555" i="1"/>
  <c r="AV1555" i="1"/>
  <c r="AW1554" i="1"/>
  <c r="AV1554" i="1"/>
  <c r="AW1553" i="1"/>
  <c r="AV1553" i="1"/>
  <c r="AU1553" i="1"/>
  <c r="AW1552" i="1"/>
  <c r="AV1552" i="1"/>
  <c r="AW1551" i="1"/>
  <c r="AV1551" i="1"/>
  <c r="AW1550" i="1"/>
  <c r="AV1550" i="1"/>
  <c r="AW1549" i="1"/>
  <c r="AV1549" i="1"/>
  <c r="AW1548" i="1"/>
  <c r="AV1548" i="1"/>
  <c r="AW1547" i="1"/>
  <c r="AV1547" i="1"/>
  <c r="AW1546" i="1"/>
  <c r="AV1546" i="1"/>
  <c r="AW1545" i="1"/>
  <c r="AV1545" i="1"/>
  <c r="AW1544" i="1"/>
  <c r="AV1544" i="1"/>
  <c r="AW1543" i="1"/>
  <c r="AV1543" i="1"/>
  <c r="AW1542" i="1"/>
  <c r="AV1542" i="1"/>
  <c r="AW1541" i="1"/>
  <c r="AV1541" i="1"/>
  <c r="AW1540" i="1"/>
  <c r="AV1540" i="1"/>
  <c r="AW1539" i="1"/>
  <c r="AV1539" i="1"/>
  <c r="AW1538" i="1"/>
  <c r="AV1538" i="1"/>
  <c r="AW1537" i="1"/>
  <c r="AV1537" i="1"/>
  <c r="AU1537" i="1"/>
  <c r="AW1536" i="1"/>
  <c r="AV1536" i="1"/>
  <c r="AW1535" i="1"/>
  <c r="AV1535" i="1"/>
  <c r="AU1535" i="1"/>
  <c r="AW1534" i="1"/>
  <c r="AV1534" i="1"/>
  <c r="AU1534" i="1"/>
  <c r="AW1533" i="1"/>
  <c r="AV1533" i="1"/>
  <c r="AU1533" i="1"/>
  <c r="AW1532" i="1"/>
  <c r="AV1532" i="1"/>
  <c r="AW1531" i="1"/>
  <c r="AV1531" i="1"/>
  <c r="AW1530" i="1"/>
  <c r="AV1530" i="1"/>
  <c r="AW1529" i="1"/>
  <c r="AV1529" i="1"/>
  <c r="AW1528" i="1"/>
  <c r="AV1528" i="1"/>
  <c r="AW1527" i="1"/>
  <c r="AV1527" i="1"/>
  <c r="AW1526" i="1"/>
  <c r="AV1526" i="1"/>
  <c r="AW1525" i="1"/>
  <c r="AV1525" i="1"/>
  <c r="AU1525" i="1"/>
  <c r="AW1524" i="1"/>
  <c r="AV1524" i="1"/>
  <c r="AW1523" i="1"/>
  <c r="AV1523" i="1"/>
  <c r="AW1522" i="1"/>
  <c r="AV1522" i="1"/>
  <c r="AW1521" i="1"/>
  <c r="AV1521" i="1"/>
  <c r="AW1520" i="1"/>
  <c r="AV1520" i="1"/>
  <c r="AW1519" i="1"/>
  <c r="AV1519" i="1"/>
  <c r="AW1518" i="1"/>
  <c r="AV1518" i="1"/>
  <c r="AW1517" i="1"/>
  <c r="AV1517" i="1"/>
  <c r="AW1516" i="1"/>
  <c r="AV1516" i="1"/>
  <c r="AU1516" i="1"/>
  <c r="AW1515" i="1"/>
  <c r="AV1515" i="1"/>
  <c r="AU1515" i="1"/>
  <c r="AW1514" i="1"/>
  <c r="AV1514" i="1"/>
  <c r="AW1513" i="1"/>
  <c r="AV1513" i="1"/>
  <c r="AW1512" i="1"/>
  <c r="AV1512" i="1"/>
  <c r="AW1511" i="1"/>
  <c r="AV1511" i="1"/>
  <c r="AW1510" i="1"/>
  <c r="AV1510" i="1"/>
  <c r="AU1510" i="1"/>
  <c r="AW1509" i="1"/>
  <c r="AV1509" i="1"/>
  <c r="AW1508" i="1"/>
  <c r="AV1508" i="1"/>
  <c r="AW1507" i="1"/>
  <c r="AV1507" i="1"/>
  <c r="AW1506" i="1"/>
  <c r="AV1506" i="1"/>
  <c r="AW1505" i="1"/>
  <c r="AV1505" i="1"/>
  <c r="AW1504" i="1"/>
  <c r="AV1504" i="1"/>
  <c r="AW1503" i="1"/>
  <c r="AV1503" i="1"/>
  <c r="AW1502" i="1"/>
  <c r="AV1502" i="1"/>
  <c r="AW1501" i="1"/>
  <c r="AV1501" i="1"/>
  <c r="AW1500" i="1"/>
  <c r="AV1500" i="1"/>
  <c r="AW1499" i="1"/>
  <c r="AV1499" i="1"/>
  <c r="AW1498" i="1"/>
  <c r="AV1498" i="1"/>
  <c r="AW1497" i="1"/>
  <c r="AV1497" i="1"/>
  <c r="AW1496" i="1"/>
  <c r="AV1496" i="1"/>
  <c r="AW1495" i="1"/>
  <c r="AV1495" i="1"/>
  <c r="AW1494" i="1"/>
  <c r="AV1494" i="1"/>
  <c r="AW1493" i="1"/>
  <c r="AV1493" i="1"/>
  <c r="AW1492" i="1"/>
  <c r="AV1492" i="1"/>
  <c r="AW1491" i="1"/>
  <c r="AV1491" i="1"/>
  <c r="AW1490" i="1"/>
  <c r="AV1490" i="1"/>
  <c r="AW1489" i="1"/>
  <c r="AV1489" i="1"/>
  <c r="AW1488" i="1"/>
  <c r="AV1488" i="1"/>
  <c r="AW1487" i="1"/>
  <c r="AV1487" i="1"/>
  <c r="AW1486" i="1"/>
  <c r="AV1486" i="1"/>
  <c r="AU1486" i="1"/>
  <c r="AW1485" i="1"/>
  <c r="AV1485" i="1"/>
  <c r="AW1484" i="1"/>
  <c r="AV1484" i="1"/>
  <c r="AW1483" i="1"/>
  <c r="AV1483" i="1"/>
  <c r="AW1482" i="1"/>
  <c r="AV1482" i="1"/>
  <c r="AW1481" i="1"/>
  <c r="AV1481" i="1"/>
  <c r="AW1480" i="1"/>
  <c r="AV1480" i="1"/>
  <c r="AU1480" i="1"/>
  <c r="AW1479" i="1"/>
  <c r="AV1479" i="1"/>
  <c r="AW1478" i="1"/>
  <c r="AV1478" i="1"/>
  <c r="AW1477" i="1"/>
  <c r="AV1477" i="1"/>
  <c r="AU1477" i="1"/>
  <c r="AW1476" i="1"/>
  <c r="AV1476" i="1"/>
  <c r="AW1475" i="1"/>
  <c r="AV1475" i="1"/>
  <c r="AW1474" i="1"/>
  <c r="AV1474" i="1"/>
  <c r="AW1473" i="1"/>
  <c r="AV1473" i="1"/>
  <c r="AW1472" i="1"/>
  <c r="AV1472" i="1"/>
  <c r="AU1472" i="1"/>
  <c r="AW1471" i="1"/>
  <c r="AV1471" i="1"/>
  <c r="AW1470" i="1"/>
  <c r="AV1470" i="1"/>
  <c r="AW1469" i="1"/>
  <c r="AV1469" i="1"/>
  <c r="AW1468" i="1"/>
  <c r="AV1468" i="1"/>
  <c r="AW1467" i="1"/>
  <c r="AV1467" i="1"/>
  <c r="AW1466" i="1"/>
  <c r="AV1466" i="1"/>
  <c r="AW1465" i="1"/>
  <c r="AV1465" i="1"/>
  <c r="AW1464" i="1"/>
  <c r="AV1464" i="1"/>
  <c r="AU1464" i="1"/>
  <c r="AW1463" i="1"/>
  <c r="AV1463" i="1"/>
  <c r="AU1463" i="1"/>
  <c r="AW1462" i="1"/>
  <c r="AV1462" i="1"/>
  <c r="AU1462" i="1"/>
  <c r="AW1461" i="1"/>
  <c r="AV1461" i="1"/>
  <c r="AW1460" i="1"/>
  <c r="AV1460" i="1"/>
  <c r="AU1460" i="1"/>
  <c r="AW1459" i="1"/>
  <c r="AV1459" i="1"/>
  <c r="AW1458" i="1"/>
  <c r="AV1458" i="1"/>
  <c r="AW1457" i="1"/>
  <c r="AV1457" i="1"/>
  <c r="AU1457" i="1"/>
  <c r="AW1456" i="1"/>
  <c r="AV1456" i="1"/>
  <c r="AW1455" i="1"/>
  <c r="AV1455" i="1"/>
  <c r="AW1454" i="1"/>
  <c r="AV1454" i="1"/>
  <c r="AW1453" i="1"/>
  <c r="AV1453" i="1"/>
  <c r="AW1452" i="1"/>
  <c r="AV1452" i="1"/>
  <c r="AW1451" i="1"/>
  <c r="AV1451" i="1"/>
  <c r="AW1450" i="1"/>
  <c r="AV1450" i="1"/>
  <c r="AW1449" i="1"/>
  <c r="AV1449" i="1"/>
  <c r="AU1449" i="1"/>
  <c r="AW1448" i="1"/>
  <c r="AV1448" i="1"/>
  <c r="AW1447" i="1"/>
  <c r="AV1447" i="1"/>
  <c r="AU1447" i="1"/>
  <c r="AW1446" i="1"/>
  <c r="AV1446" i="1"/>
  <c r="AW1445" i="1"/>
  <c r="AV1445" i="1"/>
  <c r="AU1445" i="1"/>
  <c r="AW1444" i="1"/>
  <c r="AV1444" i="1"/>
  <c r="AU1444" i="1"/>
  <c r="AW1443" i="1"/>
  <c r="AV1443" i="1"/>
  <c r="AU1443" i="1"/>
  <c r="AW1442" i="1"/>
  <c r="AV1442" i="1"/>
  <c r="AW1441" i="1"/>
  <c r="AV1441" i="1"/>
  <c r="AW1440" i="1"/>
  <c r="AV1440" i="1"/>
  <c r="AU1440" i="1"/>
  <c r="AW1439" i="1"/>
  <c r="AV1439" i="1"/>
  <c r="AW1438" i="1"/>
  <c r="AV1438" i="1"/>
  <c r="AU1438" i="1"/>
  <c r="AW1437" i="1"/>
  <c r="AV1437" i="1"/>
  <c r="AW1436" i="1"/>
  <c r="AV1436" i="1"/>
  <c r="AU1436" i="1"/>
  <c r="AW1435" i="1"/>
  <c r="AV1435" i="1"/>
  <c r="AU1435" i="1"/>
  <c r="AW1434" i="1"/>
  <c r="AV1434" i="1"/>
  <c r="AU1434" i="1"/>
  <c r="AW1433" i="1"/>
  <c r="AV1433" i="1"/>
  <c r="AW1432" i="1"/>
  <c r="AV1432" i="1"/>
  <c r="AU1432" i="1"/>
  <c r="AW1431" i="1"/>
  <c r="AV1431" i="1"/>
  <c r="AU1431" i="1"/>
  <c r="AW1430" i="1"/>
  <c r="AV1430" i="1"/>
  <c r="AW1429" i="1"/>
  <c r="AV1429" i="1"/>
  <c r="AW1428" i="1"/>
  <c r="AV1428" i="1"/>
  <c r="AU1428" i="1"/>
  <c r="AW1427" i="1"/>
  <c r="AV1427" i="1"/>
  <c r="AW1426" i="1"/>
  <c r="AV1426" i="1"/>
  <c r="AW1425" i="1"/>
  <c r="AV1425" i="1"/>
  <c r="AW1424" i="1"/>
  <c r="AV1424" i="1"/>
  <c r="AW1423" i="1"/>
  <c r="AV1423" i="1"/>
  <c r="AU1423" i="1"/>
  <c r="AW1422" i="1"/>
  <c r="AV1422" i="1"/>
  <c r="AW1421" i="1"/>
  <c r="AV1421" i="1"/>
  <c r="AW1420" i="1"/>
  <c r="AV1420" i="1"/>
  <c r="AU1420" i="1"/>
  <c r="AW1419" i="1"/>
  <c r="AV1419" i="1"/>
  <c r="AU1419" i="1"/>
  <c r="AW1418" i="1"/>
  <c r="AV1418" i="1"/>
  <c r="AW1417" i="1"/>
  <c r="AV1417" i="1"/>
  <c r="AW1416" i="1"/>
  <c r="AV1416" i="1"/>
  <c r="AW1415" i="1"/>
  <c r="AV1415" i="1"/>
  <c r="AW1414" i="1"/>
  <c r="AV1414" i="1"/>
  <c r="AW1413" i="1"/>
  <c r="AV1413" i="1"/>
  <c r="AW1412" i="1"/>
  <c r="AV1412" i="1"/>
  <c r="AW1411" i="1"/>
  <c r="AV1411" i="1"/>
  <c r="AU1411" i="1"/>
  <c r="AW1410" i="1"/>
  <c r="AV1410" i="1"/>
  <c r="AU1410" i="1"/>
  <c r="AW1409" i="1"/>
  <c r="AV1409" i="1"/>
  <c r="AW1408" i="1"/>
  <c r="AV1408" i="1"/>
  <c r="AW1407" i="1"/>
  <c r="AV1407" i="1"/>
  <c r="AW1406" i="1"/>
  <c r="AV1406" i="1"/>
  <c r="AW1405" i="1"/>
  <c r="AV1405" i="1"/>
  <c r="AW1404" i="1"/>
  <c r="AV1404" i="1"/>
  <c r="AW1403" i="1"/>
  <c r="AV1403" i="1"/>
  <c r="AW1402" i="1"/>
  <c r="AV1402" i="1"/>
  <c r="AW1401" i="1"/>
  <c r="AV1401" i="1"/>
  <c r="AW1400" i="1"/>
  <c r="AV1400" i="1"/>
  <c r="AW1399" i="1"/>
  <c r="AV1399" i="1"/>
  <c r="AW1398" i="1"/>
  <c r="AV1398" i="1"/>
  <c r="AW1397" i="1"/>
  <c r="AV1397" i="1"/>
  <c r="AW1396" i="1"/>
  <c r="AV1396" i="1"/>
  <c r="AW1395" i="1"/>
  <c r="AV1395" i="1"/>
  <c r="AW1394" i="1"/>
  <c r="AV1394" i="1"/>
  <c r="AW1393" i="1"/>
  <c r="AV1393" i="1"/>
  <c r="AW1392" i="1"/>
  <c r="AV1392" i="1"/>
  <c r="AW1391" i="1"/>
  <c r="AV1391" i="1"/>
  <c r="AW1390" i="1"/>
  <c r="AV1390" i="1"/>
  <c r="AU1390" i="1"/>
  <c r="AW1389" i="1"/>
  <c r="AV1389" i="1"/>
  <c r="AW1388" i="1"/>
  <c r="AV1388" i="1"/>
  <c r="AW1387" i="1"/>
  <c r="AV1387" i="1"/>
  <c r="AW1386" i="1"/>
  <c r="AV1386" i="1"/>
  <c r="AW1385" i="1"/>
  <c r="AV1385" i="1"/>
  <c r="AW1384" i="1"/>
  <c r="AV1384" i="1"/>
  <c r="AW1383" i="1"/>
  <c r="AV1383" i="1"/>
  <c r="AU1383" i="1"/>
  <c r="AW1382" i="1"/>
  <c r="AV1382" i="1"/>
  <c r="AW1381" i="1"/>
  <c r="AV1381" i="1"/>
  <c r="AW1380" i="1"/>
  <c r="AV1380" i="1"/>
  <c r="AU1380" i="1"/>
  <c r="AW1379" i="1"/>
  <c r="AV1379" i="1"/>
  <c r="AW1378" i="1"/>
  <c r="AV1378" i="1"/>
  <c r="AW1377" i="1"/>
  <c r="AV1377" i="1"/>
  <c r="AW1376" i="1"/>
  <c r="AV1376" i="1"/>
  <c r="AU1376" i="1"/>
  <c r="AW1375" i="1"/>
  <c r="AV1375" i="1"/>
  <c r="AW1374" i="1"/>
  <c r="AV1374" i="1"/>
  <c r="AW1373" i="1"/>
  <c r="AV1373" i="1"/>
  <c r="AW1372" i="1"/>
  <c r="AV1372" i="1"/>
  <c r="AW1371" i="1"/>
  <c r="AV1371" i="1"/>
  <c r="AW1370" i="1"/>
  <c r="AV1370" i="1"/>
  <c r="AW1369" i="1"/>
  <c r="AV1369" i="1"/>
  <c r="AW1368" i="1"/>
  <c r="AV1368" i="1"/>
  <c r="AW1367" i="1"/>
  <c r="AV1367" i="1"/>
  <c r="AU1367" i="1"/>
  <c r="AW1366" i="1"/>
  <c r="AV1366" i="1"/>
  <c r="AW1365" i="1"/>
  <c r="AV1365" i="1"/>
  <c r="AW1364" i="1"/>
  <c r="AV1364" i="1"/>
  <c r="AW1363" i="1"/>
  <c r="AV1363" i="1"/>
  <c r="AU1363" i="1"/>
  <c r="AW1362" i="1"/>
  <c r="AV1362" i="1"/>
  <c r="AW1361" i="1"/>
  <c r="AV1361" i="1"/>
  <c r="AW1360" i="1"/>
  <c r="AV1360" i="1"/>
  <c r="AW1359" i="1"/>
  <c r="AV1359" i="1"/>
  <c r="AW1358" i="1"/>
  <c r="AV1358" i="1"/>
  <c r="AW1357" i="1"/>
  <c r="AV1357" i="1"/>
  <c r="AU1357" i="1"/>
  <c r="AW1356" i="1"/>
  <c r="AV1356" i="1"/>
  <c r="AW1355" i="1"/>
  <c r="AV1355" i="1"/>
  <c r="AW1354" i="1"/>
  <c r="AV1354" i="1"/>
  <c r="AW1353" i="1"/>
  <c r="AV1353" i="1"/>
  <c r="AW1352" i="1"/>
  <c r="AV1352" i="1"/>
  <c r="AW1351" i="1"/>
  <c r="AV1351" i="1"/>
  <c r="AW1350" i="1"/>
  <c r="AV1350" i="1"/>
  <c r="AU1350" i="1"/>
  <c r="AW1349" i="1"/>
  <c r="AV1349" i="1"/>
  <c r="AW1348" i="1"/>
  <c r="AV1348" i="1"/>
  <c r="AW1347" i="1"/>
  <c r="AV1347" i="1"/>
  <c r="AW1346" i="1"/>
  <c r="AV1346" i="1"/>
  <c r="AW1345" i="1"/>
  <c r="AV1345" i="1"/>
  <c r="AW1344" i="1"/>
  <c r="AV1344" i="1"/>
  <c r="AU1344" i="1"/>
  <c r="AW1343" i="1"/>
  <c r="AV1343" i="1"/>
  <c r="AW1342" i="1"/>
  <c r="AV1342" i="1"/>
  <c r="AU1342" i="1"/>
  <c r="AW1341" i="1"/>
  <c r="AV1341" i="1"/>
  <c r="AW1340" i="1"/>
  <c r="AV1340" i="1"/>
  <c r="AU1340" i="1"/>
  <c r="AW1339" i="1"/>
  <c r="AV1339" i="1"/>
  <c r="AW1338" i="1"/>
  <c r="AV1338" i="1"/>
  <c r="AU1338" i="1"/>
  <c r="AW1337" i="1"/>
  <c r="AV1337" i="1"/>
  <c r="AW1336" i="1"/>
  <c r="AV1336" i="1"/>
  <c r="AW1335" i="1"/>
  <c r="AV1335" i="1"/>
  <c r="AW1334" i="1"/>
  <c r="AV1334" i="1"/>
  <c r="AU1334" i="1"/>
  <c r="AW1333" i="1"/>
  <c r="AV1333" i="1"/>
  <c r="AW1332" i="1"/>
  <c r="AV1332" i="1"/>
  <c r="AW1331" i="1"/>
  <c r="AV1331" i="1"/>
  <c r="AW1330" i="1"/>
  <c r="AV1330" i="1"/>
  <c r="AW1329" i="1"/>
  <c r="AV1329" i="1"/>
  <c r="AW1328" i="1"/>
  <c r="AV1328" i="1"/>
  <c r="AW1327" i="1"/>
  <c r="AV1327" i="1"/>
  <c r="AU1327" i="1"/>
  <c r="AW1326" i="1"/>
  <c r="AV1326" i="1"/>
  <c r="AU1326" i="1"/>
  <c r="AW1325" i="1"/>
  <c r="AV1325" i="1"/>
  <c r="AU1325" i="1"/>
  <c r="AW1324" i="1"/>
  <c r="AV1324" i="1"/>
  <c r="AU1324" i="1"/>
  <c r="AW1323" i="1"/>
  <c r="AV1323" i="1"/>
  <c r="AW1322" i="1"/>
  <c r="AV1322" i="1"/>
  <c r="AW1321" i="1"/>
  <c r="AV1321" i="1"/>
  <c r="AW1320" i="1"/>
  <c r="AV1320" i="1"/>
  <c r="AW1319" i="1"/>
  <c r="AV1319" i="1"/>
  <c r="AW1318" i="1"/>
  <c r="AV1318" i="1"/>
  <c r="AW1317" i="1"/>
  <c r="AV1317" i="1"/>
  <c r="AU1317" i="1"/>
  <c r="AW1316" i="1"/>
  <c r="AV1316" i="1"/>
  <c r="AW1315" i="1"/>
  <c r="AV1315" i="1"/>
  <c r="AW1314" i="1"/>
  <c r="AV1314" i="1"/>
  <c r="AU1314" i="1"/>
  <c r="AW1313" i="1"/>
  <c r="AV1313" i="1"/>
  <c r="AU1313" i="1"/>
  <c r="AW1312" i="1"/>
  <c r="AV1312" i="1"/>
  <c r="AW1311" i="1"/>
  <c r="AV1311" i="1"/>
  <c r="AU1311" i="1"/>
  <c r="AW1310" i="1"/>
  <c r="AV1310" i="1"/>
  <c r="AW1309" i="1"/>
  <c r="AV1309" i="1"/>
  <c r="AW1308" i="1"/>
  <c r="AV1308" i="1"/>
  <c r="AU1308" i="1"/>
  <c r="AW1307" i="1"/>
  <c r="AV1307" i="1"/>
  <c r="AW1306" i="1"/>
  <c r="AV1306" i="1"/>
  <c r="AW1305" i="1"/>
  <c r="AV1305" i="1"/>
  <c r="AW1304" i="1"/>
  <c r="AV1304" i="1"/>
  <c r="AW1303" i="1"/>
  <c r="AV1303" i="1"/>
  <c r="AU1303" i="1"/>
  <c r="AW1302" i="1"/>
  <c r="AV1302" i="1"/>
  <c r="AU1302" i="1"/>
  <c r="AW1301" i="1"/>
  <c r="AV1301" i="1"/>
  <c r="AW1300" i="1"/>
  <c r="AV1300" i="1"/>
  <c r="AW1299" i="1"/>
  <c r="AV1299" i="1"/>
  <c r="AW1298" i="1"/>
  <c r="AV1298" i="1"/>
  <c r="AW1297" i="1"/>
  <c r="AV1297" i="1"/>
  <c r="AW1296" i="1"/>
  <c r="AV1296" i="1"/>
  <c r="AU1296" i="1"/>
  <c r="AW1295" i="1"/>
  <c r="AV1295" i="1"/>
  <c r="AW1294" i="1"/>
  <c r="AV1294" i="1"/>
  <c r="AW1293" i="1"/>
  <c r="AV1293" i="1"/>
  <c r="AU1293" i="1"/>
  <c r="AW1292" i="1"/>
  <c r="AV1292" i="1"/>
  <c r="AU1292" i="1"/>
  <c r="AW1291" i="1"/>
  <c r="AV1291" i="1"/>
  <c r="AU1291" i="1"/>
  <c r="AW1290" i="1"/>
  <c r="AV1290" i="1"/>
  <c r="AU1290" i="1"/>
  <c r="AW1289" i="1"/>
  <c r="AV1289" i="1"/>
  <c r="AU1289" i="1"/>
  <c r="AW1288" i="1"/>
  <c r="AV1288" i="1"/>
  <c r="AU1288" i="1"/>
  <c r="AW1287" i="1"/>
  <c r="AV1287" i="1"/>
  <c r="AU1287" i="1"/>
  <c r="AW1286" i="1"/>
  <c r="AV1286" i="1"/>
  <c r="AU1286" i="1"/>
  <c r="AW1285" i="1"/>
  <c r="AV1285" i="1"/>
  <c r="AW1284" i="1"/>
  <c r="AV1284" i="1"/>
  <c r="AU1284" i="1"/>
  <c r="AW1283" i="1"/>
  <c r="AV1283" i="1"/>
  <c r="AW1282" i="1"/>
  <c r="AV1282" i="1"/>
  <c r="AW1281" i="1"/>
  <c r="AV1281" i="1"/>
  <c r="AW1280" i="1"/>
  <c r="AV1280" i="1"/>
  <c r="AW1279" i="1"/>
  <c r="AV1279" i="1"/>
  <c r="AW1278" i="1"/>
  <c r="AV1278" i="1"/>
  <c r="AW1277" i="1"/>
  <c r="AV1277" i="1"/>
  <c r="AW1276" i="1"/>
  <c r="AV1276" i="1"/>
  <c r="AW1275" i="1"/>
  <c r="AV1275" i="1"/>
  <c r="AW1274" i="1"/>
  <c r="AV1274" i="1"/>
  <c r="AW1273" i="1"/>
  <c r="AV1273" i="1"/>
  <c r="AU1273" i="1"/>
  <c r="AW1272" i="1"/>
  <c r="AV1272" i="1"/>
  <c r="AW1271" i="1"/>
  <c r="AV1271" i="1"/>
  <c r="AW1270" i="1"/>
  <c r="AV1270" i="1"/>
  <c r="AU1270" i="1"/>
  <c r="AW1269" i="1"/>
  <c r="AV1269" i="1"/>
  <c r="AU1269" i="1"/>
  <c r="AW1268" i="1"/>
  <c r="AV1268" i="1"/>
  <c r="AW1267" i="1"/>
  <c r="AV1267" i="1"/>
  <c r="AW1266" i="1"/>
  <c r="AV1266" i="1"/>
  <c r="AW1265" i="1"/>
  <c r="AV1265" i="1"/>
  <c r="AW1264" i="1"/>
  <c r="AV1264" i="1"/>
  <c r="AW1263" i="1"/>
  <c r="AV1263" i="1"/>
  <c r="AW1262" i="1"/>
  <c r="AV1262" i="1"/>
  <c r="AW1261" i="1"/>
  <c r="AV1261" i="1"/>
  <c r="AW1260" i="1"/>
  <c r="AV1260" i="1"/>
  <c r="AW1259" i="1"/>
  <c r="AV1259" i="1"/>
  <c r="AW1258" i="1"/>
  <c r="AV1258" i="1"/>
  <c r="AW1257" i="1"/>
  <c r="AV1257" i="1"/>
  <c r="AU1257" i="1"/>
  <c r="AW1256" i="1"/>
  <c r="AV1256" i="1"/>
  <c r="AW1255" i="1"/>
  <c r="AV1255" i="1"/>
  <c r="AW1254" i="1"/>
  <c r="AV1254" i="1"/>
  <c r="AW1253" i="1"/>
  <c r="AV1253" i="1"/>
  <c r="AW1252" i="1"/>
  <c r="AV1252" i="1"/>
  <c r="AW1251" i="1"/>
  <c r="AV1251" i="1"/>
  <c r="AW1250" i="1"/>
  <c r="AV1250" i="1"/>
  <c r="AW1249" i="1"/>
  <c r="AV1249" i="1"/>
  <c r="AU1249" i="1"/>
  <c r="AW1248" i="1"/>
  <c r="AV1248" i="1"/>
  <c r="AW1247" i="1"/>
  <c r="AV1247" i="1"/>
  <c r="AW1246" i="1"/>
  <c r="AV1246" i="1"/>
  <c r="AW1245" i="1"/>
  <c r="AV1245" i="1"/>
  <c r="AU1245" i="1"/>
  <c r="AW1244" i="1"/>
  <c r="AV1244" i="1"/>
  <c r="AW1243" i="1"/>
  <c r="AV1243" i="1"/>
  <c r="AW1242" i="1"/>
  <c r="AV1242" i="1"/>
  <c r="AW1241" i="1"/>
  <c r="AV1241" i="1"/>
  <c r="AU1241" i="1"/>
  <c r="AW1240" i="1"/>
  <c r="AV1240" i="1"/>
  <c r="AW1239" i="1"/>
  <c r="AV1239" i="1"/>
  <c r="AW1238" i="1"/>
  <c r="AV1238" i="1"/>
  <c r="AW1237" i="1"/>
  <c r="AV1237" i="1"/>
  <c r="AW1236" i="1"/>
  <c r="AV1236" i="1"/>
  <c r="AU1236" i="1"/>
  <c r="AW1235" i="1"/>
  <c r="AV1235" i="1"/>
  <c r="AU1235" i="1"/>
  <c r="AW1234" i="1"/>
  <c r="AV1234" i="1"/>
  <c r="AW1233" i="1"/>
  <c r="AV1233" i="1"/>
  <c r="AW1232" i="1"/>
  <c r="AV1232" i="1"/>
  <c r="AW1231" i="1"/>
  <c r="AV1231" i="1"/>
  <c r="AW1230" i="1"/>
  <c r="AV1230" i="1"/>
  <c r="AU1230" i="1"/>
  <c r="AW1229" i="1"/>
  <c r="AV1229" i="1"/>
  <c r="AU1229" i="1"/>
  <c r="AW1228" i="1"/>
  <c r="AV1228" i="1"/>
  <c r="AW1227" i="1"/>
  <c r="AV1227" i="1"/>
  <c r="AW1226" i="1"/>
  <c r="AV1226" i="1"/>
  <c r="AW1225" i="1"/>
  <c r="AV1225" i="1"/>
  <c r="AW1224" i="1"/>
  <c r="AV1224" i="1"/>
  <c r="AW1223" i="1"/>
  <c r="AV1223" i="1"/>
  <c r="AU1223" i="1"/>
  <c r="AW1222" i="1"/>
  <c r="AV1222" i="1"/>
  <c r="AW1221" i="1"/>
  <c r="AV1221" i="1"/>
  <c r="AU1221" i="1"/>
  <c r="AW1220" i="1"/>
  <c r="AV1220" i="1"/>
  <c r="AW1219" i="1"/>
  <c r="AV1219" i="1"/>
  <c r="AW1218" i="1"/>
  <c r="AV1218" i="1"/>
  <c r="AW1217" i="1"/>
  <c r="AV1217" i="1"/>
  <c r="AW1216" i="1"/>
  <c r="AV1216" i="1"/>
  <c r="AW1215" i="1"/>
  <c r="AV1215" i="1"/>
  <c r="AW1214" i="1"/>
  <c r="AV1214" i="1"/>
  <c r="AW1213" i="1"/>
  <c r="AV1213" i="1"/>
  <c r="AU1213" i="1"/>
  <c r="AW1212" i="1"/>
  <c r="AV1212" i="1"/>
  <c r="AU1212" i="1"/>
  <c r="AW1211" i="1"/>
  <c r="AV1211" i="1"/>
  <c r="AU1211" i="1"/>
  <c r="AW1210" i="1"/>
  <c r="AV1210" i="1"/>
  <c r="AW1209" i="1"/>
  <c r="AV1209" i="1"/>
  <c r="AU1209" i="1"/>
  <c r="AW1208" i="1"/>
  <c r="AV1208" i="1"/>
  <c r="AU1208" i="1"/>
  <c r="AW1207" i="1"/>
  <c r="AV1207" i="1"/>
  <c r="AU1207" i="1"/>
  <c r="AW1206" i="1"/>
  <c r="AV1206" i="1"/>
  <c r="AU1206" i="1"/>
  <c r="AW1205" i="1"/>
  <c r="AV1205" i="1"/>
  <c r="AW1204" i="1"/>
  <c r="AV1204" i="1"/>
  <c r="AW1203" i="1"/>
  <c r="AV1203" i="1"/>
  <c r="AW1202" i="1"/>
  <c r="AV1202" i="1"/>
  <c r="AW1201" i="1"/>
  <c r="AV1201" i="1"/>
  <c r="AW1200" i="1"/>
  <c r="AV1200" i="1"/>
  <c r="AW1199" i="1"/>
  <c r="AV1199" i="1"/>
  <c r="AU1199" i="1"/>
  <c r="AW1198" i="1"/>
  <c r="AV1198" i="1"/>
  <c r="AW1197" i="1"/>
  <c r="AV1197" i="1"/>
  <c r="AU1197" i="1"/>
  <c r="AW1196" i="1"/>
  <c r="AV1196" i="1"/>
  <c r="AW1195" i="1"/>
  <c r="AV1195" i="1"/>
  <c r="AW1194" i="1"/>
  <c r="AV1194" i="1"/>
  <c r="AW1193" i="1"/>
  <c r="AV1193" i="1"/>
  <c r="AW1192" i="1"/>
  <c r="AV1192" i="1"/>
  <c r="AW1191" i="1"/>
  <c r="AV1191" i="1"/>
  <c r="AW1190" i="1"/>
  <c r="AV1190" i="1"/>
  <c r="AU1190" i="1"/>
  <c r="AW1189" i="1"/>
  <c r="AV1189" i="1"/>
  <c r="AW1188" i="1"/>
  <c r="AV1188" i="1"/>
  <c r="AW1187" i="1"/>
  <c r="AV1187" i="1"/>
  <c r="AU1187" i="1"/>
  <c r="AW1186" i="1"/>
  <c r="AV1186" i="1"/>
  <c r="AW1185" i="1"/>
  <c r="AV1185" i="1"/>
  <c r="AW1184" i="1"/>
  <c r="AV1184" i="1"/>
  <c r="AW1183" i="1"/>
  <c r="AV1183" i="1"/>
  <c r="AW1182" i="1"/>
  <c r="AV1182" i="1"/>
  <c r="AW1181" i="1"/>
  <c r="AV1181" i="1"/>
  <c r="AW1180" i="1"/>
  <c r="AV1180" i="1"/>
  <c r="AW1179" i="1"/>
  <c r="AV1179" i="1"/>
  <c r="AW1178" i="1"/>
  <c r="AV1178" i="1"/>
  <c r="AW1177" i="1"/>
  <c r="AV1177" i="1"/>
  <c r="AW1176" i="1"/>
  <c r="AV1176" i="1"/>
  <c r="AW1175" i="1"/>
  <c r="AV1175" i="1"/>
  <c r="AW1174" i="1"/>
  <c r="AV1174" i="1"/>
  <c r="AW1173" i="1"/>
  <c r="AV1173" i="1"/>
  <c r="AW1172" i="1"/>
  <c r="AV1172" i="1"/>
  <c r="AU1172" i="1"/>
  <c r="AW1171" i="1"/>
  <c r="AV1171" i="1"/>
  <c r="AW1170" i="1"/>
  <c r="AV1170" i="1"/>
  <c r="AW1169" i="1"/>
  <c r="AV1169" i="1"/>
  <c r="AW1168" i="1"/>
  <c r="AV1168" i="1"/>
  <c r="AW1167" i="1"/>
  <c r="AV1167" i="1"/>
  <c r="AW1166" i="1"/>
  <c r="AV1166" i="1"/>
  <c r="AW1165" i="1"/>
  <c r="AV1165" i="1"/>
  <c r="AW1164" i="1"/>
  <c r="AV1164" i="1"/>
  <c r="AW1163" i="1"/>
  <c r="AV1163" i="1"/>
  <c r="AU1163" i="1"/>
  <c r="AW1162" i="1"/>
  <c r="AV1162" i="1"/>
  <c r="AW1161" i="1"/>
  <c r="AV1161" i="1"/>
  <c r="AW1160" i="1"/>
  <c r="AV1160" i="1"/>
  <c r="AW1159" i="1"/>
  <c r="AV1159" i="1"/>
  <c r="AW1158" i="1"/>
  <c r="AV1158" i="1"/>
  <c r="AW1157" i="1"/>
  <c r="AV1157" i="1"/>
  <c r="AU1157" i="1"/>
  <c r="AW1156" i="1"/>
  <c r="AV1156" i="1"/>
  <c r="AW1155" i="1"/>
  <c r="AV1155" i="1"/>
  <c r="AU1155" i="1"/>
  <c r="AW1154" i="1"/>
  <c r="AV1154" i="1"/>
  <c r="AU1154" i="1"/>
  <c r="AW1153" i="1"/>
  <c r="AV1153" i="1"/>
  <c r="AW1152" i="1"/>
  <c r="AV1152" i="1"/>
  <c r="AW1151" i="1"/>
  <c r="AV1151" i="1"/>
  <c r="AW1150" i="1"/>
  <c r="AV1150" i="1"/>
  <c r="AW1149" i="1"/>
  <c r="AV1149" i="1"/>
  <c r="AU1149" i="1"/>
  <c r="AW1148" i="1"/>
  <c r="AV1148" i="1"/>
  <c r="AW1147" i="1"/>
  <c r="AV1147" i="1"/>
  <c r="AU1147" i="1"/>
  <c r="AW1146" i="1"/>
  <c r="AV1146" i="1"/>
  <c r="AW1145" i="1"/>
  <c r="AV1145" i="1"/>
  <c r="AU1145" i="1"/>
  <c r="AW1144" i="1"/>
  <c r="AV1144" i="1"/>
  <c r="AU1144" i="1"/>
  <c r="AW1143" i="1"/>
  <c r="AV1143" i="1"/>
  <c r="AU1143" i="1"/>
  <c r="AW1142" i="1"/>
  <c r="AV1142" i="1"/>
  <c r="AU1142" i="1"/>
  <c r="AW1141" i="1"/>
  <c r="AV1141" i="1"/>
  <c r="AU1141" i="1"/>
  <c r="AW1140" i="1"/>
  <c r="AV1140" i="1"/>
  <c r="AU1140" i="1"/>
  <c r="AW1139" i="1"/>
  <c r="AV1139" i="1"/>
  <c r="AU1139" i="1"/>
  <c r="AW1138" i="1"/>
  <c r="AV1138" i="1"/>
  <c r="AU1138" i="1"/>
  <c r="AW1137" i="1"/>
  <c r="AV1137" i="1"/>
  <c r="AU1137" i="1"/>
  <c r="AW1136" i="1"/>
  <c r="AV1136" i="1"/>
  <c r="AW1135" i="1"/>
  <c r="AV1135" i="1"/>
  <c r="AW1134" i="1"/>
  <c r="AV1134" i="1"/>
  <c r="AW1133" i="1"/>
  <c r="AV1133" i="1"/>
  <c r="AW1132" i="1"/>
  <c r="AV1132" i="1"/>
  <c r="AW1131" i="1"/>
  <c r="AV1131" i="1"/>
  <c r="AW1130" i="1"/>
  <c r="AV1130" i="1"/>
  <c r="AW1129" i="1"/>
  <c r="AV1129" i="1"/>
  <c r="AW1128" i="1"/>
  <c r="AV1128" i="1"/>
  <c r="AU1128" i="1"/>
  <c r="AW1127" i="1"/>
  <c r="AV1127" i="1"/>
  <c r="AW1126" i="1"/>
  <c r="AV1126" i="1"/>
  <c r="AU1126" i="1"/>
  <c r="AW1125" i="1"/>
  <c r="AV1125" i="1"/>
  <c r="AW1124" i="1"/>
  <c r="AV1124" i="1"/>
  <c r="AU1124" i="1"/>
  <c r="AW1123" i="1"/>
  <c r="AV1123" i="1"/>
  <c r="AW1122" i="1"/>
  <c r="AV1122" i="1"/>
  <c r="AW1121" i="1"/>
  <c r="AV1121" i="1"/>
  <c r="AW1120" i="1"/>
  <c r="AV1120" i="1"/>
  <c r="AW1119" i="1"/>
  <c r="AV1119" i="1"/>
  <c r="AW1118" i="1"/>
  <c r="AV1118" i="1"/>
  <c r="AW1117" i="1"/>
  <c r="AV1117" i="1"/>
  <c r="AU1117" i="1"/>
  <c r="AW1116" i="1"/>
  <c r="AV1116" i="1"/>
  <c r="AU1116" i="1"/>
  <c r="AW1115" i="1"/>
  <c r="AV1115" i="1"/>
  <c r="AW1114" i="1"/>
  <c r="AV1114" i="1"/>
  <c r="AU1114" i="1"/>
  <c r="AW1113" i="1"/>
  <c r="AV1113" i="1"/>
  <c r="AW1112" i="1"/>
  <c r="AV1112" i="1"/>
  <c r="AU1112" i="1"/>
  <c r="AW1111" i="1"/>
  <c r="AV1111" i="1"/>
  <c r="AW1110" i="1"/>
  <c r="AV1110" i="1"/>
  <c r="AW1109" i="1"/>
  <c r="AV1109" i="1"/>
  <c r="AW1108" i="1"/>
  <c r="AV1108" i="1"/>
  <c r="AW1107" i="1"/>
  <c r="AV1107" i="1"/>
  <c r="AW1106" i="1"/>
  <c r="AV1106" i="1"/>
  <c r="AW1105" i="1"/>
  <c r="AV1105" i="1"/>
  <c r="AW1104" i="1"/>
  <c r="AV1104" i="1"/>
  <c r="AW1103" i="1"/>
  <c r="AV1103" i="1"/>
  <c r="AW1102" i="1"/>
  <c r="AV1102" i="1"/>
  <c r="AW1101" i="1"/>
  <c r="AV1101" i="1"/>
  <c r="AW1100" i="1"/>
  <c r="AV1100" i="1"/>
  <c r="AW1099" i="1"/>
  <c r="AV1099" i="1"/>
  <c r="AW1098" i="1"/>
  <c r="AV1098" i="1"/>
  <c r="AW1097" i="1"/>
  <c r="AV1097" i="1"/>
  <c r="AW1096" i="1"/>
  <c r="AV1096" i="1"/>
  <c r="AW1095" i="1"/>
  <c r="AV1095" i="1"/>
  <c r="AW1094" i="1"/>
  <c r="AV1094" i="1"/>
  <c r="AW1093" i="1"/>
  <c r="AV1093" i="1"/>
  <c r="AW1092" i="1"/>
  <c r="AV1092" i="1"/>
  <c r="AW1091" i="1"/>
  <c r="AV1091" i="1"/>
  <c r="AW1090" i="1"/>
  <c r="AV1090" i="1"/>
  <c r="AW1089" i="1"/>
  <c r="AV1089" i="1"/>
  <c r="AW1088" i="1"/>
  <c r="AV1088" i="1"/>
  <c r="AU1088" i="1"/>
  <c r="AW1087" i="1"/>
  <c r="AV1087" i="1"/>
  <c r="AU1087" i="1"/>
  <c r="AW1086" i="1"/>
  <c r="AV1086" i="1"/>
  <c r="AW1085" i="1"/>
  <c r="AV1085" i="1"/>
  <c r="AW1084" i="1"/>
  <c r="AV1084" i="1"/>
  <c r="AU1084" i="1"/>
  <c r="AW1083" i="1"/>
  <c r="AV1083" i="1"/>
  <c r="AW1082" i="1"/>
  <c r="AV1082" i="1"/>
  <c r="AW1081" i="1"/>
  <c r="AV1081" i="1"/>
  <c r="AW1080" i="1"/>
  <c r="AV1080" i="1"/>
  <c r="AW1079" i="1"/>
  <c r="AV1079" i="1"/>
  <c r="AW1078" i="1"/>
  <c r="AV1078" i="1"/>
  <c r="AW1077" i="1"/>
  <c r="AV1077" i="1"/>
  <c r="AW1076" i="1"/>
  <c r="AV1076" i="1"/>
  <c r="AW1075" i="1"/>
  <c r="AV1075" i="1"/>
  <c r="AW1074" i="1"/>
  <c r="AV1074" i="1"/>
  <c r="AW1073" i="1"/>
  <c r="AV1073" i="1"/>
  <c r="AW1072" i="1"/>
  <c r="AV1072" i="1"/>
  <c r="AW1071" i="1"/>
  <c r="AV1071" i="1"/>
  <c r="AW1070" i="1"/>
  <c r="AV1070" i="1"/>
  <c r="AW1069" i="1"/>
  <c r="AV1069" i="1"/>
  <c r="AW1068" i="1"/>
  <c r="AV1068" i="1"/>
  <c r="AU1068" i="1"/>
  <c r="AW1067" i="1"/>
  <c r="AV1067" i="1"/>
  <c r="AW1066" i="1"/>
  <c r="AV1066" i="1"/>
  <c r="AW1065" i="1"/>
  <c r="AV1065" i="1"/>
  <c r="AW1064" i="1"/>
  <c r="AV1064" i="1"/>
  <c r="AW1063" i="1"/>
  <c r="AV1063" i="1"/>
  <c r="AW1062" i="1"/>
  <c r="AV1062" i="1"/>
  <c r="AW1061" i="1"/>
  <c r="AV1061" i="1"/>
  <c r="AW1060" i="1"/>
  <c r="AV1060" i="1"/>
  <c r="AW1059" i="1"/>
  <c r="AV1059" i="1"/>
  <c r="AW1058" i="1"/>
  <c r="AV1058" i="1"/>
  <c r="AU1058" i="1"/>
  <c r="AW1057" i="1"/>
  <c r="AV1057" i="1"/>
  <c r="AW1056" i="1"/>
  <c r="AV1056" i="1"/>
  <c r="AW1055" i="1"/>
  <c r="AV1055" i="1"/>
  <c r="AW1054" i="1"/>
  <c r="AV1054" i="1"/>
  <c r="AW1053" i="1"/>
  <c r="AV1053" i="1"/>
  <c r="AU1053" i="1"/>
  <c r="AW1052" i="1"/>
  <c r="AV1052" i="1"/>
  <c r="AW1051" i="1"/>
  <c r="AV1051" i="1"/>
  <c r="AW1050" i="1"/>
  <c r="AV1050" i="1"/>
  <c r="AU1050" i="1"/>
  <c r="AW1049" i="1"/>
  <c r="AV1049" i="1"/>
  <c r="AW1048" i="1"/>
  <c r="AV1048" i="1"/>
  <c r="AU1048" i="1"/>
  <c r="AW1047" i="1"/>
  <c r="AV1047" i="1"/>
  <c r="AW1046" i="1"/>
  <c r="AV1046" i="1"/>
  <c r="AW1045" i="1"/>
  <c r="AV1045" i="1"/>
  <c r="AW1044" i="1"/>
  <c r="AV1044" i="1"/>
  <c r="AW1043" i="1"/>
  <c r="AV1043" i="1"/>
  <c r="AW1042" i="1"/>
  <c r="AV1042" i="1"/>
  <c r="AW1041" i="1"/>
  <c r="AV1041" i="1"/>
  <c r="AW1040" i="1"/>
  <c r="AV1040" i="1"/>
  <c r="AU1040" i="1"/>
  <c r="AW1039" i="1"/>
  <c r="AV1039" i="1"/>
  <c r="AU1039" i="1"/>
  <c r="AW1038" i="1"/>
  <c r="AV1038" i="1"/>
  <c r="AW1037" i="1"/>
  <c r="AV1037" i="1"/>
  <c r="AU1037" i="1"/>
  <c r="AW1036" i="1"/>
  <c r="AV1036" i="1"/>
  <c r="AU1036" i="1"/>
  <c r="AW1035" i="1"/>
  <c r="AV1035" i="1"/>
  <c r="AW1034" i="1"/>
  <c r="AV1034" i="1"/>
  <c r="AW1033" i="1"/>
  <c r="AV1033" i="1"/>
  <c r="AW1032" i="1"/>
  <c r="AV1032" i="1"/>
  <c r="AU1032" i="1"/>
  <c r="AW1031" i="1"/>
  <c r="AV1031" i="1"/>
  <c r="AW1030" i="1"/>
  <c r="AV1030" i="1"/>
  <c r="AW1029" i="1"/>
  <c r="AV1029" i="1"/>
  <c r="AW1028" i="1"/>
  <c r="AV1028" i="1"/>
  <c r="AW1027" i="1"/>
  <c r="AV1027" i="1"/>
  <c r="AU1027" i="1"/>
  <c r="AW1026" i="1"/>
  <c r="AV1026" i="1"/>
  <c r="AU1026" i="1"/>
  <c r="AW1025" i="1"/>
  <c r="AV1025" i="1"/>
  <c r="AW1024" i="1"/>
  <c r="AV1024" i="1"/>
  <c r="AU1024" i="1"/>
  <c r="AW1023" i="1"/>
  <c r="AV1023" i="1"/>
  <c r="AU1023" i="1"/>
  <c r="AW1022" i="1"/>
  <c r="AV1022" i="1"/>
  <c r="AU1022" i="1"/>
  <c r="AW1021" i="1"/>
  <c r="AV1021" i="1"/>
  <c r="AW1020" i="1"/>
  <c r="AV1020" i="1"/>
  <c r="AU1020" i="1"/>
  <c r="AW1019" i="1"/>
  <c r="AV1019" i="1"/>
  <c r="AW1018" i="1"/>
  <c r="AV1018" i="1"/>
  <c r="AW1017" i="1"/>
  <c r="AV1017" i="1"/>
  <c r="AW1016" i="1"/>
  <c r="AV1016" i="1"/>
  <c r="AU1016" i="1"/>
  <c r="AW1015" i="1"/>
  <c r="AV1015" i="1"/>
  <c r="AU1015" i="1"/>
  <c r="AW1014" i="1"/>
  <c r="AV1014" i="1"/>
  <c r="AU1014" i="1"/>
  <c r="AW1013" i="1"/>
  <c r="AV1013" i="1"/>
  <c r="AW1012" i="1"/>
  <c r="AV1012" i="1"/>
  <c r="AW1011" i="1"/>
  <c r="AV1011" i="1"/>
  <c r="AW1010" i="1"/>
  <c r="AV1010" i="1"/>
  <c r="AW1009" i="1"/>
  <c r="AV1009" i="1"/>
  <c r="AW1008" i="1"/>
  <c r="AV1008" i="1"/>
  <c r="AW1007" i="1"/>
  <c r="AV1007" i="1"/>
  <c r="AW1006" i="1"/>
  <c r="AV1006" i="1"/>
  <c r="AW1005" i="1"/>
  <c r="AV1005" i="1"/>
  <c r="AU1005" i="1"/>
  <c r="AW1004" i="1"/>
  <c r="AV1004" i="1"/>
  <c r="AU1004" i="1"/>
  <c r="AW1003" i="1"/>
  <c r="AV1003" i="1"/>
  <c r="AU1003" i="1"/>
  <c r="AW1002" i="1"/>
  <c r="AV1002" i="1"/>
  <c r="AU1002" i="1"/>
  <c r="AW1001" i="1"/>
  <c r="AV1001" i="1"/>
  <c r="AU1001" i="1"/>
  <c r="AW1000" i="1"/>
  <c r="AV1000" i="1"/>
  <c r="AU1000" i="1"/>
  <c r="AW999" i="1"/>
  <c r="AV999" i="1"/>
  <c r="AU999" i="1"/>
  <c r="AW998" i="1"/>
  <c r="AV998" i="1"/>
  <c r="AW997" i="1"/>
  <c r="AV997" i="1"/>
  <c r="AW996" i="1"/>
  <c r="AV996" i="1"/>
  <c r="AW995" i="1"/>
  <c r="AV995" i="1"/>
  <c r="AW994" i="1"/>
  <c r="AV994" i="1"/>
  <c r="AW993" i="1"/>
  <c r="AV993" i="1"/>
  <c r="AW992" i="1"/>
  <c r="AV992" i="1"/>
  <c r="AW991" i="1"/>
  <c r="AV991" i="1"/>
  <c r="AW990" i="1"/>
  <c r="AV990" i="1"/>
  <c r="AU990" i="1"/>
  <c r="AW989" i="1"/>
  <c r="AV989" i="1"/>
  <c r="AW988" i="1"/>
  <c r="AV988" i="1"/>
  <c r="AW987" i="1"/>
  <c r="AV987" i="1"/>
  <c r="AW986" i="1"/>
  <c r="AV986" i="1"/>
  <c r="AW985" i="1"/>
  <c r="AV985" i="1"/>
  <c r="AU985" i="1"/>
  <c r="AW984" i="1"/>
  <c r="AV984" i="1"/>
  <c r="AW983" i="1"/>
  <c r="AV983" i="1"/>
  <c r="AW982" i="1"/>
  <c r="AV982" i="1"/>
  <c r="AW981" i="1"/>
  <c r="AV981" i="1"/>
  <c r="AW980" i="1"/>
  <c r="AV980" i="1"/>
  <c r="AW979" i="1"/>
  <c r="AV979" i="1"/>
  <c r="AW978" i="1"/>
  <c r="AV978" i="1"/>
  <c r="AU978" i="1"/>
  <c r="AW977" i="1"/>
  <c r="AV977" i="1"/>
  <c r="AW976" i="1"/>
  <c r="AV976" i="1"/>
  <c r="AW975" i="1"/>
  <c r="AV975" i="1"/>
  <c r="AW974" i="1"/>
  <c r="AV974" i="1"/>
  <c r="AU974" i="1"/>
  <c r="AW973" i="1"/>
  <c r="AV973" i="1"/>
  <c r="AW972" i="1"/>
  <c r="AV972" i="1"/>
  <c r="AU972" i="1"/>
  <c r="AW971" i="1"/>
  <c r="AV971" i="1"/>
  <c r="AW970" i="1"/>
  <c r="AV970" i="1"/>
  <c r="AW969" i="1"/>
  <c r="AV969" i="1"/>
  <c r="AW968" i="1"/>
  <c r="AV968" i="1"/>
  <c r="AW967" i="1"/>
  <c r="AV967" i="1"/>
  <c r="AW966" i="1"/>
  <c r="AV966" i="1"/>
  <c r="AW965" i="1"/>
  <c r="AV965" i="1"/>
  <c r="AU965" i="1"/>
  <c r="AW964" i="1"/>
  <c r="AV964" i="1"/>
  <c r="AW963" i="1"/>
  <c r="AV963" i="1"/>
  <c r="AW962" i="1"/>
  <c r="AV962" i="1"/>
  <c r="AU962" i="1"/>
  <c r="AW961" i="1"/>
  <c r="AV961" i="1"/>
  <c r="AW960" i="1"/>
  <c r="AV960" i="1"/>
  <c r="AW959" i="1"/>
  <c r="AV959" i="1"/>
  <c r="AU959" i="1"/>
  <c r="AW958" i="1"/>
  <c r="AV958" i="1"/>
  <c r="AW957" i="1"/>
  <c r="AV957" i="1"/>
  <c r="AW956" i="1"/>
  <c r="AV956" i="1"/>
  <c r="AW955" i="1"/>
  <c r="AV955" i="1"/>
  <c r="AW954" i="1"/>
  <c r="AV954" i="1"/>
  <c r="AW953" i="1"/>
  <c r="AV953" i="1"/>
  <c r="AW952" i="1"/>
  <c r="AV952" i="1"/>
  <c r="AW951" i="1"/>
  <c r="AV951" i="1"/>
  <c r="AW950" i="1"/>
  <c r="AV950" i="1"/>
  <c r="AW949" i="1"/>
  <c r="AV949" i="1"/>
  <c r="AW948" i="1"/>
  <c r="AV948" i="1"/>
  <c r="AW947" i="1"/>
  <c r="AV947" i="1"/>
  <c r="AW946" i="1"/>
  <c r="AV946" i="1"/>
  <c r="AW945" i="1"/>
  <c r="AV945" i="1"/>
  <c r="AW944" i="1"/>
  <c r="AV944" i="1"/>
  <c r="AW943" i="1"/>
  <c r="AV943" i="1"/>
  <c r="AW942" i="1"/>
  <c r="AV942" i="1"/>
  <c r="AU942" i="1"/>
  <c r="AW941" i="1"/>
  <c r="AV941" i="1"/>
  <c r="AW940" i="1"/>
  <c r="AV940" i="1"/>
  <c r="AW939" i="1"/>
  <c r="AV939" i="1"/>
  <c r="AW938" i="1"/>
  <c r="AV938" i="1"/>
  <c r="AW937" i="1"/>
  <c r="AV937" i="1"/>
  <c r="AW936" i="1"/>
  <c r="AV936" i="1"/>
  <c r="AU936" i="1"/>
  <c r="AW935" i="1"/>
  <c r="AV935" i="1"/>
  <c r="AW934" i="1"/>
  <c r="AV934" i="1"/>
  <c r="AW933" i="1"/>
  <c r="AV933" i="1"/>
  <c r="AU933" i="1"/>
  <c r="AW932" i="1"/>
  <c r="AV932" i="1"/>
  <c r="AW931" i="1"/>
  <c r="AV931" i="1"/>
  <c r="AW930" i="1"/>
  <c r="AV930" i="1"/>
  <c r="AU930" i="1"/>
  <c r="AW929" i="1"/>
  <c r="AV929" i="1"/>
  <c r="AW928" i="1"/>
  <c r="AV928" i="1"/>
  <c r="AW927" i="1"/>
  <c r="AV927" i="1"/>
  <c r="AW926" i="1"/>
  <c r="AV926" i="1"/>
  <c r="AW925" i="1"/>
  <c r="AV925" i="1"/>
  <c r="AW924" i="1"/>
  <c r="AV924" i="1"/>
  <c r="AU924" i="1"/>
  <c r="AW923" i="1"/>
  <c r="AV923" i="1"/>
  <c r="AU923" i="1"/>
  <c r="AW922" i="1"/>
  <c r="AV922" i="1"/>
  <c r="AW921" i="1"/>
  <c r="AV921" i="1"/>
  <c r="AU921" i="1"/>
  <c r="AW920" i="1"/>
  <c r="AV920" i="1"/>
  <c r="AW919" i="1"/>
  <c r="AV919" i="1"/>
  <c r="AW918" i="1"/>
  <c r="AV918" i="1"/>
  <c r="AW917" i="1"/>
  <c r="AV917" i="1"/>
  <c r="AW916" i="1"/>
  <c r="AV916" i="1"/>
  <c r="AU916" i="1"/>
  <c r="AW915" i="1"/>
  <c r="AV915" i="1"/>
  <c r="AW914" i="1"/>
  <c r="AV914" i="1"/>
  <c r="AU914" i="1"/>
  <c r="AW913" i="1"/>
  <c r="AV913" i="1"/>
  <c r="AW912" i="1"/>
  <c r="AV912" i="1"/>
  <c r="AW911" i="1"/>
  <c r="AV911" i="1"/>
  <c r="AW910" i="1"/>
  <c r="AV910" i="1"/>
  <c r="AW909" i="1"/>
  <c r="AV909" i="1"/>
  <c r="AU909" i="1"/>
  <c r="AW908" i="1"/>
  <c r="AV908" i="1"/>
  <c r="AW907" i="1"/>
  <c r="AV907" i="1"/>
  <c r="AW906" i="1"/>
  <c r="AV906" i="1"/>
  <c r="AW905" i="1"/>
  <c r="AV905" i="1"/>
  <c r="AW904" i="1"/>
  <c r="AV904" i="1"/>
  <c r="AW903" i="1"/>
  <c r="AV903" i="1"/>
  <c r="AW902" i="1"/>
  <c r="AV902" i="1"/>
  <c r="AW901" i="1"/>
  <c r="AV901" i="1"/>
  <c r="AU901" i="1"/>
  <c r="AW900" i="1"/>
  <c r="AV900" i="1"/>
  <c r="AW899" i="1"/>
  <c r="AV899" i="1"/>
  <c r="AW898" i="1"/>
  <c r="AV898" i="1"/>
  <c r="AW897" i="1"/>
  <c r="AV897" i="1"/>
  <c r="AW896" i="1"/>
  <c r="AV896" i="1"/>
  <c r="AU896" i="1"/>
  <c r="AW895" i="1"/>
  <c r="AV895" i="1"/>
  <c r="AW894" i="1"/>
  <c r="AV894" i="1"/>
  <c r="AW893" i="1"/>
  <c r="AV893" i="1"/>
  <c r="AW892" i="1"/>
  <c r="AV892" i="1"/>
  <c r="AW891" i="1"/>
  <c r="AV891" i="1"/>
  <c r="AW890" i="1"/>
  <c r="AV890" i="1"/>
  <c r="AW889" i="1"/>
  <c r="AV889" i="1"/>
  <c r="AW888" i="1"/>
  <c r="AV888" i="1"/>
  <c r="AW887" i="1"/>
  <c r="AV887" i="1"/>
  <c r="AW886" i="1"/>
  <c r="AV886" i="1"/>
  <c r="AW885" i="1"/>
  <c r="AV885" i="1"/>
  <c r="AW884" i="1"/>
  <c r="AV884" i="1"/>
  <c r="AU884" i="1"/>
  <c r="AW883" i="1"/>
  <c r="AV883" i="1"/>
  <c r="AU883" i="1"/>
  <c r="AW882" i="1"/>
  <c r="AV882" i="1"/>
  <c r="AW881" i="1"/>
  <c r="AV881" i="1"/>
  <c r="AW880" i="1"/>
  <c r="AV880" i="1"/>
  <c r="AW879" i="1"/>
  <c r="AV879" i="1"/>
  <c r="AW878" i="1"/>
  <c r="AV878" i="1"/>
  <c r="AW877" i="1"/>
  <c r="AV877" i="1"/>
  <c r="AW876" i="1"/>
  <c r="AV876" i="1"/>
  <c r="AW875" i="1"/>
  <c r="AV875" i="1"/>
  <c r="AW874" i="1"/>
  <c r="AV874" i="1"/>
  <c r="AW873" i="1"/>
  <c r="AV873" i="1"/>
  <c r="AW872" i="1"/>
  <c r="AV872" i="1"/>
  <c r="AU872" i="1"/>
  <c r="AW871" i="1"/>
  <c r="AV871" i="1"/>
  <c r="AW870" i="1"/>
  <c r="AV870" i="1"/>
  <c r="AU870" i="1"/>
  <c r="AW869" i="1"/>
  <c r="AV869" i="1"/>
  <c r="AW868" i="1"/>
  <c r="AV868" i="1"/>
  <c r="AU868" i="1"/>
  <c r="AW867" i="1"/>
  <c r="AV867" i="1"/>
  <c r="AU867" i="1"/>
  <c r="AW866" i="1"/>
  <c r="AV866" i="1"/>
  <c r="AU866" i="1"/>
  <c r="AW865" i="1"/>
  <c r="AV865" i="1"/>
  <c r="AW864" i="1"/>
  <c r="AV864" i="1"/>
  <c r="AW863" i="1"/>
  <c r="AV863" i="1"/>
  <c r="AW862" i="1"/>
  <c r="AV862" i="1"/>
  <c r="AW861" i="1"/>
  <c r="AV861" i="1"/>
  <c r="AW860" i="1"/>
  <c r="AV860" i="1"/>
  <c r="AW859" i="1"/>
  <c r="AV859" i="1"/>
  <c r="AW858" i="1"/>
  <c r="AV858" i="1"/>
  <c r="AW857" i="1"/>
  <c r="AV857" i="1"/>
  <c r="AW856" i="1"/>
  <c r="AV856" i="1"/>
  <c r="AW855" i="1"/>
  <c r="AV855" i="1"/>
  <c r="AW854" i="1"/>
  <c r="AV854" i="1"/>
  <c r="AW853" i="1"/>
  <c r="AV853" i="1"/>
  <c r="AW852" i="1"/>
  <c r="AV852" i="1"/>
  <c r="AW851" i="1"/>
  <c r="AV851" i="1"/>
  <c r="AU851" i="1"/>
  <c r="AW850" i="1"/>
  <c r="AV850" i="1"/>
  <c r="AW849" i="1"/>
  <c r="AV849" i="1"/>
  <c r="AW848" i="1"/>
  <c r="AV848" i="1"/>
  <c r="AW847" i="1"/>
  <c r="AV847" i="1"/>
  <c r="AW846" i="1"/>
  <c r="AV846" i="1"/>
  <c r="AW845" i="1"/>
  <c r="AV845" i="1"/>
  <c r="AW844" i="1"/>
  <c r="AV844" i="1"/>
  <c r="AW842" i="1"/>
  <c r="AV842" i="1"/>
  <c r="AW841" i="1"/>
  <c r="AV841" i="1"/>
  <c r="AW840" i="1"/>
  <c r="AV840" i="1"/>
  <c r="AW839" i="1"/>
  <c r="AV839" i="1"/>
  <c r="AW838" i="1"/>
  <c r="AV838" i="1"/>
  <c r="AW837" i="1"/>
  <c r="AV837" i="1"/>
  <c r="AW836" i="1"/>
  <c r="AV836" i="1"/>
  <c r="AW835" i="1"/>
  <c r="AV835" i="1"/>
  <c r="AW834" i="1"/>
  <c r="AV834" i="1"/>
  <c r="AU834" i="1"/>
  <c r="AW833" i="1"/>
  <c r="AV833" i="1"/>
  <c r="AU833" i="1"/>
  <c r="AW832" i="1"/>
  <c r="AV832" i="1"/>
  <c r="AW831" i="1"/>
  <c r="AV831" i="1"/>
  <c r="AW830" i="1"/>
  <c r="AV830" i="1"/>
  <c r="AU830" i="1"/>
  <c r="AW829" i="1"/>
  <c r="AV829" i="1"/>
  <c r="AU829" i="1"/>
  <c r="AW828" i="1"/>
  <c r="AV828" i="1"/>
  <c r="AU828" i="1"/>
  <c r="AW827" i="1"/>
  <c r="AV827" i="1"/>
  <c r="AU827" i="1"/>
  <c r="AW826" i="1"/>
  <c r="AV826" i="1"/>
  <c r="AU826" i="1"/>
  <c r="AW825" i="1"/>
  <c r="AV825" i="1"/>
  <c r="AW824" i="1"/>
  <c r="AV824" i="1"/>
  <c r="AW823" i="1"/>
  <c r="AV823" i="1"/>
  <c r="AW822" i="1"/>
  <c r="AV822" i="1"/>
  <c r="AW821" i="1"/>
  <c r="AV821" i="1"/>
  <c r="AW820" i="1"/>
  <c r="AV820" i="1"/>
  <c r="AW819" i="1"/>
  <c r="AV819" i="1"/>
  <c r="AW818" i="1"/>
  <c r="AV818" i="1"/>
  <c r="AW817" i="1"/>
  <c r="AV817" i="1"/>
  <c r="AU817" i="1"/>
  <c r="AW816" i="1"/>
  <c r="AV816" i="1"/>
  <c r="AW815" i="1"/>
  <c r="AV815" i="1"/>
  <c r="AU815" i="1"/>
  <c r="AW814" i="1"/>
  <c r="AV814" i="1"/>
  <c r="AW813" i="1"/>
  <c r="AV813" i="1"/>
  <c r="AW812" i="1"/>
  <c r="AV812" i="1"/>
  <c r="AW811" i="1"/>
  <c r="AV811" i="1"/>
  <c r="AW810" i="1"/>
  <c r="AV810" i="1"/>
  <c r="AU810" i="1"/>
  <c r="AW809" i="1"/>
  <c r="AV809" i="1"/>
  <c r="AW808" i="1"/>
  <c r="AV808" i="1"/>
  <c r="AW807" i="1"/>
  <c r="AV807" i="1"/>
  <c r="AU807" i="1"/>
  <c r="AW806" i="1"/>
  <c r="AV806" i="1"/>
  <c r="AU806" i="1"/>
  <c r="AW805" i="1"/>
  <c r="AV805" i="1"/>
  <c r="AU805" i="1"/>
  <c r="AW804" i="1"/>
  <c r="AV804" i="1"/>
  <c r="AU804" i="1"/>
  <c r="AW803" i="1"/>
  <c r="AV803" i="1"/>
  <c r="AU803" i="1"/>
  <c r="AW802" i="1"/>
  <c r="AV802" i="1"/>
  <c r="AU802" i="1"/>
  <c r="AW801" i="1"/>
  <c r="AV801" i="1"/>
  <c r="AU801" i="1"/>
  <c r="AW800" i="1"/>
  <c r="AV800" i="1"/>
  <c r="AU800" i="1"/>
  <c r="AW799" i="1"/>
  <c r="AV799" i="1"/>
  <c r="AU799" i="1"/>
  <c r="AW798" i="1"/>
  <c r="AV798" i="1"/>
  <c r="AU798" i="1"/>
  <c r="AW797" i="1"/>
  <c r="AV797" i="1"/>
  <c r="AW796" i="1"/>
  <c r="AV796" i="1"/>
  <c r="AW795" i="1"/>
  <c r="AV795" i="1"/>
  <c r="AU795" i="1"/>
  <c r="AW794" i="1"/>
  <c r="AV794" i="1"/>
  <c r="AU794" i="1"/>
  <c r="AW793" i="1"/>
  <c r="AV793" i="1"/>
  <c r="AU793" i="1"/>
  <c r="AW792" i="1"/>
  <c r="AV792" i="1"/>
  <c r="AU792" i="1"/>
  <c r="AW791" i="1"/>
  <c r="AV791" i="1"/>
  <c r="AW790" i="1"/>
  <c r="AV790" i="1"/>
  <c r="AW789" i="1"/>
  <c r="AV789" i="1"/>
  <c r="AU789" i="1"/>
  <c r="AW788" i="1"/>
  <c r="AV788" i="1"/>
  <c r="AU788" i="1"/>
  <c r="AW787" i="1"/>
  <c r="AV787" i="1"/>
  <c r="AU787" i="1"/>
  <c r="AW786" i="1"/>
  <c r="AV786" i="1"/>
  <c r="AW785" i="1"/>
  <c r="AV785" i="1"/>
  <c r="AW784" i="1"/>
  <c r="AV784" i="1"/>
  <c r="AW783" i="1"/>
  <c r="AV783" i="1"/>
  <c r="AU783" i="1"/>
  <c r="AW782" i="1"/>
  <c r="AV782" i="1"/>
  <c r="AW781" i="1"/>
  <c r="AV781" i="1"/>
  <c r="AW780" i="1"/>
  <c r="AV780" i="1"/>
  <c r="AW779" i="1"/>
  <c r="AV779" i="1"/>
  <c r="AW778" i="1"/>
  <c r="AV778" i="1"/>
  <c r="AW777" i="1"/>
  <c r="AV777" i="1"/>
  <c r="AW776" i="1"/>
  <c r="AV776" i="1"/>
  <c r="AW775" i="1"/>
  <c r="AV775" i="1"/>
  <c r="AW774" i="1"/>
  <c r="AV774" i="1"/>
  <c r="AW773" i="1"/>
  <c r="AV773" i="1"/>
  <c r="AW772" i="1"/>
  <c r="AV772" i="1"/>
  <c r="AW771" i="1"/>
  <c r="AV771" i="1"/>
  <c r="AW770" i="1"/>
  <c r="AV770" i="1"/>
  <c r="AW769" i="1"/>
  <c r="AV769" i="1"/>
  <c r="AW768" i="1"/>
  <c r="AV768" i="1"/>
  <c r="AW767" i="1"/>
  <c r="AV767" i="1"/>
  <c r="AW766" i="1"/>
  <c r="AV766" i="1"/>
  <c r="AW765" i="1"/>
  <c r="AV765" i="1"/>
  <c r="AU765" i="1"/>
  <c r="AW764" i="1"/>
  <c r="AV764" i="1"/>
  <c r="AU764" i="1"/>
  <c r="AW763" i="1"/>
  <c r="AV763" i="1"/>
  <c r="AW762" i="1"/>
  <c r="AV762" i="1"/>
  <c r="AW761" i="1"/>
  <c r="AV761" i="1"/>
  <c r="AW760" i="1"/>
  <c r="AV760" i="1"/>
  <c r="AW759" i="1"/>
  <c r="AV759" i="1"/>
  <c r="AW758" i="1"/>
  <c r="AV758" i="1"/>
  <c r="AW757" i="1"/>
  <c r="AV757" i="1"/>
  <c r="AW756" i="1"/>
  <c r="AV756" i="1"/>
  <c r="AU756" i="1"/>
  <c r="AW755" i="1"/>
  <c r="AV755" i="1"/>
  <c r="AU755" i="1"/>
  <c r="AW754" i="1"/>
  <c r="AV754" i="1"/>
  <c r="AU754" i="1"/>
  <c r="AW753" i="1"/>
  <c r="AV753" i="1"/>
  <c r="AU753" i="1"/>
  <c r="AW752" i="1"/>
  <c r="AV752" i="1"/>
  <c r="AU752" i="1"/>
  <c r="AW751" i="1"/>
  <c r="AV751" i="1"/>
  <c r="AW750" i="1"/>
  <c r="AV750" i="1"/>
  <c r="AU750" i="1"/>
  <c r="AW749" i="1"/>
  <c r="AV749" i="1"/>
  <c r="AU749" i="1"/>
  <c r="AW748" i="1"/>
  <c r="AV748" i="1"/>
  <c r="AW747" i="1"/>
  <c r="AV747" i="1"/>
  <c r="AW746" i="1"/>
  <c r="AV746" i="1"/>
  <c r="AW745" i="1"/>
  <c r="AV745" i="1"/>
  <c r="AW744" i="1"/>
  <c r="AV744" i="1"/>
  <c r="AU744" i="1"/>
  <c r="AW743" i="1"/>
  <c r="AV743" i="1"/>
  <c r="AW742" i="1"/>
  <c r="AV742" i="1"/>
  <c r="AW741" i="1"/>
  <c r="AV741" i="1"/>
  <c r="AW740" i="1"/>
  <c r="AV740" i="1"/>
  <c r="AU740" i="1"/>
  <c r="AW739" i="1"/>
  <c r="AV739" i="1"/>
  <c r="AW738" i="1"/>
  <c r="AV738" i="1"/>
  <c r="AU738" i="1"/>
  <c r="AW737" i="1"/>
  <c r="AV737" i="1"/>
  <c r="AU737" i="1"/>
  <c r="AW736" i="1"/>
  <c r="AV736" i="1"/>
  <c r="AW735" i="1"/>
  <c r="AV735" i="1"/>
  <c r="AU735" i="1"/>
  <c r="AW734" i="1"/>
  <c r="AV734" i="1"/>
  <c r="AW733" i="1"/>
  <c r="AV733" i="1"/>
  <c r="AW732" i="1"/>
  <c r="AV732" i="1"/>
  <c r="AW731" i="1"/>
  <c r="AV731" i="1"/>
  <c r="AU731" i="1"/>
  <c r="AW730" i="1"/>
  <c r="AV730" i="1"/>
  <c r="AW729" i="1"/>
  <c r="AV729" i="1"/>
  <c r="AU729" i="1"/>
  <c r="AW728" i="1"/>
  <c r="AV728" i="1"/>
  <c r="AW727" i="1"/>
  <c r="AV727" i="1"/>
  <c r="AU727" i="1"/>
  <c r="AW726" i="1"/>
  <c r="AV726" i="1"/>
  <c r="AU726" i="1"/>
  <c r="AW725" i="1"/>
  <c r="AV725" i="1"/>
  <c r="AU725" i="1"/>
  <c r="AW724" i="1"/>
  <c r="AV724" i="1"/>
  <c r="AU724" i="1"/>
  <c r="AW723" i="1"/>
  <c r="AV723" i="1"/>
  <c r="AW722" i="1"/>
  <c r="AV722" i="1"/>
  <c r="AW721" i="1"/>
  <c r="AV721" i="1"/>
  <c r="AW720" i="1"/>
  <c r="AV720" i="1"/>
  <c r="AW719" i="1"/>
  <c r="AV719" i="1"/>
  <c r="AW718" i="1"/>
  <c r="AV718" i="1"/>
  <c r="AW717" i="1"/>
  <c r="AV717" i="1"/>
  <c r="AW716" i="1"/>
  <c r="AV716" i="1"/>
  <c r="AW715" i="1"/>
  <c r="AV715" i="1"/>
  <c r="AW714" i="1"/>
  <c r="AV714" i="1"/>
  <c r="AU714" i="1"/>
  <c r="AW713" i="1"/>
  <c r="AV713" i="1"/>
  <c r="AW712" i="1"/>
  <c r="AV712" i="1"/>
  <c r="AW711" i="1"/>
  <c r="AV711" i="1"/>
  <c r="AW710" i="1"/>
  <c r="AV710" i="1"/>
  <c r="AU710" i="1"/>
  <c r="AW709" i="1"/>
  <c r="AV709" i="1"/>
  <c r="AW708" i="1"/>
  <c r="AV708" i="1"/>
  <c r="AW706" i="1"/>
  <c r="AV706" i="1"/>
  <c r="AW705" i="1"/>
  <c r="AV705" i="1"/>
  <c r="AU705" i="1"/>
  <c r="AW704" i="1"/>
  <c r="AV704" i="1"/>
  <c r="AW703" i="1"/>
  <c r="AV703" i="1"/>
  <c r="AW702" i="1"/>
  <c r="AV702" i="1"/>
  <c r="AW701" i="1"/>
  <c r="AV701" i="1"/>
  <c r="AW700" i="1"/>
  <c r="AV700" i="1"/>
  <c r="AU700" i="1"/>
  <c r="AW699" i="1"/>
  <c r="AV699" i="1"/>
  <c r="AW697" i="1"/>
  <c r="AV697" i="1"/>
  <c r="AW696" i="1"/>
  <c r="AV696" i="1"/>
  <c r="AU696" i="1"/>
  <c r="AW695" i="1"/>
  <c r="AV695" i="1"/>
  <c r="AW694" i="1"/>
  <c r="AV694" i="1"/>
  <c r="AW693" i="1"/>
  <c r="AV693" i="1"/>
  <c r="AW692" i="1"/>
  <c r="AV692" i="1"/>
  <c r="AW691" i="1"/>
  <c r="AV691" i="1"/>
  <c r="AW690" i="1"/>
  <c r="AV690" i="1"/>
  <c r="AW689" i="1"/>
  <c r="AV689" i="1"/>
  <c r="AW688" i="1"/>
  <c r="AV688" i="1"/>
  <c r="AW687" i="1"/>
  <c r="AV687" i="1"/>
  <c r="AW686" i="1"/>
  <c r="AV686" i="1"/>
  <c r="AU686" i="1"/>
  <c r="AW685" i="1"/>
  <c r="AV685" i="1"/>
  <c r="AW684" i="1"/>
  <c r="AV684" i="1"/>
  <c r="AW683" i="1"/>
  <c r="AV683" i="1"/>
  <c r="AW682" i="1"/>
  <c r="AV682" i="1"/>
  <c r="AW681" i="1"/>
  <c r="AV681" i="1"/>
  <c r="AW680" i="1"/>
  <c r="AV680" i="1"/>
  <c r="AW679" i="1"/>
  <c r="AV679" i="1"/>
  <c r="AW678" i="1"/>
  <c r="AV678" i="1"/>
  <c r="AW677" i="1"/>
  <c r="AV677" i="1"/>
  <c r="AU677" i="1"/>
  <c r="AW676" i="1"/>
  <c r="AV676" i="1"/>
  <c r="AU676" i="1"/>
  <c r="AW675" i="1"/>
  <c r="AV675" i="1"/>
  <c r="AW674" i="1"/>
  <c r="AV674" i="1"/>
  <c r="AW673" i="1"/>
  <c r="AV673" i="1"/>
  <c r="AU673" i="1"/>
  <c r="AW672" i="1"/>
  <c r="AV672" i="1"/>
  <c r="AW671" i="1"/>
  <c r="AV671" i="1"/>
  <c r="AW670" i="1"/>
  <c r="AV670" i="1"/>
  <c r="AW669" i="1"/>
  <c r="AV669" i="1"/>
  <c r="AW668" i="1"/>
  <c r="AV668" i="1"/>
  <c r="AU668" i="1"/>
  <c r="AW667" i="1"/>
  <c r="AV667" i="1"/>
  <c r="AW666" i="1"/>
  <c r="AV666" i="1"/>
  <c r="AU666" i="1"/>
  <c r="AW665" i="1"/>
  <c r="AV665" i="1"/>
  <c r="AW664" i="1"/>
  <c r="AV664" i="1"/>
  <c r="AW663" i="1"/>
  <c r="AV663" i="1"/>
  <c r="AW662" i="1"/>
  <c r="AV662" i="1"/>
  <c r="AW661" i="1"/>
  <c r="AV661" i="1"/>
  <c r="AW660" i="1"/>
  <c r="AV660" i="1"/>
  <c r="AW659" i="1"/>
  <c r="AV659" i="1"/>
  <c r="AW658" i="1"/>
  <c r="AV658" i="1"/>
  <c r="AW657" i="1"/>
  <c r="AV657" i="1"/>
  <c r="AW656" i="1"/>
  <c r="AV656" i="1"/>
  <c r="AW655" i="1"/>
  <c r="AV655" i="1"/>
  <c r="AW654" i="1"/>
  <c r="AV654" i="1"/>
  <c r="AW653" i="1"/>
  <c r="AV653" i="1"/>
  <c r="AU653" i="1"/>
  <c r="AW652" i="1"/>
  <c r="AV652" i="1"/>
  <c r="AW651" i="1"/>
  <c r="AV651" i="1"/>
  <c r="AW650" i="1"/>
  <c r="AV650" i="1"/>
  <c r="AW649" i="1"/>
  <c r="AV649" i="1"/>
  <c r="AW648" i="1"/>
  <c r="AV648" i="1"/>
  <c r="AU648" i="1"/>
  <c r="AW647" i="1"/>
  <c r="AV647" i="1"/>
  <c r="AW646" i="1"/>
  <c r="AV646" i="1"/>
  <c r="AW645" i="1"/>
  <c r="AV645" i="1"/>
  <c r="AU645" i="1"/>
  <c r="AW644" i="1"/>
  <c r="AV644" i="1"/>
  <c r="AW643" i="1"/>
  <c r="AV643" i="1"/>
  <c r="AW642" i="1"/>
  <c r="AV642" i="1"/>
  <c r="AW641" i="1"/>
  <c r="AV641" i="1"/>
  <c r="AU641" i="1"/>
  <c r="AW640" i="1"/>
  <c r="AV640" i="1"/>
  <c r="AU640" i="1"/>
  <c r="AW639" i="1"/>
  <c r="AV639" i="1"/>
  <c r="AU639" i="1"/>
  <c r="AW638" i="1"/>
  <c r="AV638" i="1"/>
  <c r="AU638" i="1"/>
  <c r="AW637" i="1"/>
  <c r="AV637" i="1"/>
  <c r="AW636" i="1"/>
  <c r="AV636" i="1"/>
  <c r="AW635" i="1"/>
  <c r="AV635" i="1"/>
  <c r="AW634" i="1"/>
  <c r="AV634" i="1"/>
  <c r="AU634" i="1"/>
  <c r="AW633" i="1"/>
  <c r="AV633" i="1"/>
  <c r="AU633" i="1"/>
  <c r="AW632" i="1"/>
  <c r="AV632" i="1"/>
  <c r="AW631" i="1"/>
  <c r="AV631" i="1"/>
  <c r="AW630" i="1"/>
  <c r="AV630" i="1"/>
  <c r="AW629" i="1"/>
  <c r="AV629" i="1"/>
  <c r="AW628" i="1"/>
  <c r="AV628" i="1"/>
  <c r="AW627" i="1"/>
  <c r="AV627" i="1"/>
  <c r="AW626" i="1"/>
  <c r="AV626" i="1"/>
  <c r="AW625" i="1"/>
  <c r="AV625" i="1"/>
  <c r="AW624" i="1"/>
  <c r="AV624" i="1"/>
  <c r="AW623" i="1"/>
  <c r="AV623" i="1"/>
  <c r="AW622" i="1"/>
  <c r="AV622" i="1"/>
  <c r="AW621" i="1"/>
  <c r="AV621" i="1"/>
  <c r="AU621" i="1"/>
  <c r="AW620" i="1"/>
  <c r="AV620" i="1"/>
  <c r="AU620" i="1"/>
  <c r="AW619" i="1"/>
  <c r="AV619" i="1"/>
  <c r="AW618" i="1"/>
  <c r="AV618" i="1"/>
  <c r="AW617" i="1"/>
  <c r="AV617" i="1"/>
  <c r="AW616" i="1"/>
  <c r="AV616" i="1"/>
  <c r="AU616" i="1"/>
  <c r="AW615" i="1"/>
  <c r="AV615" i="1"/>
  <c r="AW614" i="1"/>
  <c r="AV614" i="1"/>
  <c r="AU614" i="1"/>
  <c r="AW613" i="1"/>
  <c r="AV613" i="1"/>
  <c r="AU613" i="1"/>
  <c r="AW612" i="1"/>
  <c r="AV612" i="1"/>
  <c r="AW611" i="1"/>
  <c r="AV611" i="1"/>
  <c r="AU611" i="1"/>
  <c r="AW610" i="1"/>
  <c r="AV610" i="1"/>
  <c r="AU610" i="1"/>
  <c r="AW609" i="1"/>
  <c r="AV609" i="1"/>
  <c r="AW608" i="1"/>
  <c r="AV608" i="1"/>
  <c r="AW607" i="1"/>
  <c r="AV607" i="1"/>
  <c r="AW606" i="1"/>
  <c r="AV606" i="1"/>
  <c r="AW605" i="1"/>
  <c r="AV605" i="1"/>
  <c r="AW604" i="1"/>
  <c r="AV604" i="1"/>
  <c r="AW603" i="1"/>
  <c r="AV603" i="1"/>
  <c r="AU603" i="1"/>
  <c r="AW602" i="1"/>
  <c r="AV602" i="1"/>
  <c r="AU602" i="1"/>
  <c r="AW601" i="1"/>
  <c r="AV601" i="1"/>
  <c r="AU601" i="1"/>
  <c r="AW600" i="1"/>
  <c r="AV600" i="1"/>
  <c r="AW599" i="1"/>
  <c r="AV599" i="1"/>
  <c r="AU599" i="1"/>
  <c r="AW598" i="1"/>
  <c r="AV598" i="1"/>
  <c r="AU598" i="1"/>
  <c r="AW597" i="1"/>
  <c r="AV597" i="1"/>
  <c r="AW596" i="1"/>
  <c r="AV596" i="1"/>
  <c r="AW595" i="1"/>
  <c r="AV595" i="1"/>
  <c r="AW594" i="1"/>
  <c r="AV594" i="1"/>
  <c r="AW593" i="1"/>
  <c r="AV593" i="1"/>
  <c r="AW592" i="1"/>
  <c r="AV592" i="1"/>
  <c r="AW591" i="1"/>
  <c r="AV591" i="1"/>
  <c r="AW590" i="1"/>
  <c r="AV590" i="1"/>
  <c r="AW589" i="1"/>
  <c r="AV589" i="1"/>
  <c r="AU589" i="1"/>
  <c r="AW588" i="1"/>
  <c r="AV588" i="1"/>
  <c r="AW587" i="1"/>
  <c r="AV587" i="1"/>
  <c r="AW586" i="1"/>
  <c r="AV586" i="1"/>
  <c r="AW585" i="1"/>
  <c r="AV585" i="1"/>
  <c r="AW584" i="1"/>
  <c r="AV584" i="1"/>
  <c r="AW583" i="1"/>
  <c r="AV583" i="1"/>
  <c r="AW582" i="1"/>
  <c r="AV582" i="1"/>
  <c r="AU582" i="1"/>
  <c r="AW581" i="1"/>
  <c r="AV581" i="1"/>
  <c r="AW580" i="1"/>
  <c r="AV580" i="1"/>
  <c r="AW579" i="1"/>
  <c r="AV579" i="1"/>
  <c r="AU579" i="1"/>
  <c r="AW578" i="1"/>
  <c r="AV578" i="1"/>
  <c r="AW577" i="1"/>
  <c r="AV577" i="1"/>
  <c r="AW576" i="1"/>
  <c r="AV576" i="1"/>
  <c r="AW575" i="1"/>
  <c r="AV575" i="1"/>
  <c r="AW574" i="1"/>
  <c r="AV574" i="1"/>
  <c r="AW573" i="1"/>
  <c r="AV573" i="1"/>
  <c r="AW572" i="1"/>
  <c r="AV572" i="1"/>
  <c r="AW571" i="1"/>
  <c r="AV571" i="1"/>
  <c r="AW570" i="1"/>
  <c r="AV570" i="1"/>
  <c r="AU570" i="1"/>
  <c r="AW569" i="1"/>
  <c r="AV569" i="1"/>
  <c r="AU569" i="1"/>
  <c r="AW568" i="1"/>
  <c r="AV568" i="1"/>
  <c r="AU568" i="1"/>
  <c r="AW567" i="1"/>
  <c r="AV567" i="1"/>
  <c r="AW566" i="1"/>
  <c r="AV566" i="1"/>
  <c r="AU566" i="1"/>
  <c r="AW565" i="1"/>
  <c r="AV565" i="1"/>
  <c r="AU565" i="1"/>
  <c r="AW564" i="1"/>
  <c r="AV564" i="1"/>
  <c r="AW563" i="1"/>
  <c r="AV563" i="1"/>
  <c r="AU563" i="1"/>
  <c r="AW562" i="1"/>
  <c r="AV562" i="1"/>
  <c r="AW561" i="1"/>
  <c r="AV561" i="1"/>
  <c r="AW560" i="1"/>
  <c r="AV560" i="1"/>
  <c r="AW559" i="1"/>
  <c r="AV559" i="1"/>
  <c r="AW558" i="1"/>
  <c r="AV558" i="1"/>
  <c r="AW557" i="1"/>
  <c r="AV557" i="1"/>
  <c r="AW556" i="1"/>
  <c r="AV556" i="1"/>
  <c r="AW555" i="1"/>
  <c r="AV555" i="1"/>
  <c r="AU555" i="1"/>
  <c r="AW554" i="1"/>
  <c r="AV554" i="1"/>
  <c r="AU554" i="1"/>
  <c r="AW553" i="1"/>
  <c r="AV553" i="1"/>
  <c r="AU553" i="1"/>
  <c r="AW552" i="1"/>
  <c r="AV552" i="1"/>
  <c r="AU552" i="1"/>
  <c r="AW551" i="1"/>
  <c r="AV551" i="1"/>
  <c r="AU551" i="1"/>
  <c r="AW550" i="1"/>
  <c r="AV550" i="1"/>
  <c r="AU550" i="1"/>
  <c r="AW549" i="1"/>
  <c r="AV549" i="1"/>
  <c r="AW548" i="1"/>
  <c r="AV548" i="1"/>
  <c r="AW547" i="1"/>
  <c r="AV547" i="1"/>
  <c r="AW546" i="1"/>
  <c r="AV546" i="1"/>
  <c r="AW545" i="1"/>
  <c r="AV545" i="1"/>
  <c r="AW544" i="1"/>
  <c r="AV544" i="1"/>
  <c r="AU544" i="1"/>
  <c r="AW543" i="1"/>
  <c r="AV543" i="1"/>
  <c r="AU543" i="1"/>
  <c r="AW542" i="1"/>
  <c r="AV542" i="1"/>
  <c r="AW541" i="1"/>
  <c r="AV541" i="1"/>
  <c r="AU541" i="1"/>
  <c r="AW540" i="1"/>
  <c r="AV540" i="1"/>
  <c r="AW539" i="1"/>
  <c r="AV539" i="1"/>
  <c r="AU539" i="1"/>
  <c r="AW538" i="1"/>
  <c r="AV538" i="1"/>
  <c r="AW537" i="1"/>
  <c r="AV537" i="1"/>
  <c r="AU537" i="1"/>
  <c r="AW536" i="1"/>
  <c r="AV536" i="1"/>
  <c r="AU536" i="1"/>
  <c r="AW535" i="1"/>
  <c r="AV535" i="1"/>
  <c r="AW534" i="1"/>
  <c r="AV534" i="1"/>
  <c r="AU534" i="1"/>
  <c r="AW533" i="1"/>
  <c r="AV533" i="1"/>
  <c r="AU533" i="1"/>
  <c r="AW532" i="1"/>
  <c r="AV532" i="1"/>
  <c r="AU532" i="1"/>
  <c r="AW531" i="1"/>
  <c r="AV531" i="1"/>
  <c r="AW530" i="1"/>
  <c r="AV530" i="1"/>
  <c r="AW529" i="1"/>
  <c r="AV529" i="1"/>
  <c r="AW528" i="1"/>
  <c r="AV528" i="1"/>
  <c r="AW527" i="1"/>
  <c r="AV527" i="1"/>
  <c r="AU527" i="1"/>
  <c r="AW526" i="1"/>
  <c r="AV526" i="1"/>
  <c r="AW525" i="1"/>
  <c r="AV525" i="1"/>
  <c r="AW524" i="1"/>
  <c r="AV524" i="1"/>
  <c r="AW523" i="1"/>
  <c r="AV523" i="1"/>
  <c r="AU523" i="1"/>
  <c r="AW522" i="1"/>
  <c r="AV522" i="1"/>
  <c r="AW521" i="1"/>
  <c r="AV521" i="1"/>
  <c r="AW520" i="1"/>
  <c r="AV520" i="1"/>
  <c r="AW519" i="1"/>
  <c r="AV519" i="1"/>
  <c r="AW518" i="1"/>
  <c r="AV518" i="1"/>
  <c r="AW517" i="1"/>
  <c r="AV517" i="1"/>
  <c r="AU517" i="1"/>
  <c r="AW516" i="1"/>
  <c r="AV516" i="1"/>
  <c r="AU516" i="1"/>
  <c r="AW515" i="1"/>
  <c r="AV515" i="1"/>
  <c r="AU515" i="1"/>
  <c r="AW514" i="1"/>
  <c r="AV514" i="1"/>
  <c r="AU514" i="1"/>
  <c r="AW513" i="1"/>
  <c r="AV513" i="1"/>
  <c r="AW512" i="1"/>
  <c r="AV512" i="1"/>
  <c r="AW511" i="1"/>
  <c r="AV511" i="1"/>
  <c r="AW510" i="1"/>
  <c r="AV510" i="1"/>
  <c r="AW509" i="1"/>
  <c r="AV509" i="1"/>
  <c r="AW508" i="1"/>
  <c r="AV508" i="1"/>
  <c r="AW507" i="1"/>
  <c r="AV507" i="1"/>
  <c r="AU507" i="1"/>
  <c r="AW506" i="1"/>
  <c r="AV506" i="1"/>
  <c r="AU506" i="1"/>
  <c r="AW505" i="1"/>
  <c r="AV505" i="1"/>
  <c r="AW504" i="1"/>
  <c r="AV504" i="1"/>
  <c r="AU504" i="1"/>
  <c r="AW503" i="1"/>
  <c r="AV503" i="1"/>
  <c r="AW502" i="1"/>
  <c r="AV502" i="1"/>
  <c r="AW501" i="1"/>
  <c r="AV501" i="1"/>
  <c r="AW500" i="1"/>
  <c r="AV500" i="1"/>
  <c r="AW499" i="1"/>
  <c r="AV499" i="1"/>
  <c r="AW498" i="1"/>
  <c r="AV498" i="1"/>
  <c r="AU498" i="1"/>
  <c r="AW497" i="1"/>
  <c r="AV497" i="1"/>
  <c r="AW496" i="1"/>
  <c r="AV496" i="1"/>
  <c r="AU496" i="1"/>
  <c r="AW495" i="1"/>
  <c r="AV495" i="1"/>
  <c r="AU495" i="1"/>
  <c r="AW494" i="1"/>
  <c r="AV494" i="1"/>
  <c r="AU494" i="1"/>
  <c r="AW493" i="1"/>
  <c r="AV493" i="1"/>
  <c r="AW492" i="1"/>
  <c r="AV492" i="1"/>
  <c r="AW491" i="1"/>
  <c r="AV491" i="1"/>
  <c r="AW490" i="1"/>
  <c r="AV490" i="1"/>
  <c r="AW489" i="1"/>
  <c r="AV489" i="1"/>
  <c r="AW488" i="1"/>
  <c r="AV488" i="1"/>
  <c r="AW487" i="1"/>
  <c r="AV487" i="1"/>
  <c r="AW486" i="1"/>
  <c r="AV486" i="1"/>
  <c r="AW485" i="1"/>
  <c r="AV485" i="1"/>
  <c r="AW484" i="1"/>
  <c r="AV484" i="1"/>
  <c r="AU484" i="1"/>
  <c r="AW483" i="1"/>
  <c r="AV483" i="1"/>
  <c r="AW482" i="1"/>
  <c r="AV482" i="1"/>
  <c r="AU482" i="1"/>
  <c r="AW481" i="1"/>
  <c r="AV481" i="1"/>
  <c r="AW480" i="1"/>
  <c r="AV480" i="1"/>
  <c r="AW479" i="1"/>
  <c r="AV479" i="1"/>
  <c r="AU479" i="1"/>
  <c r="AW478" i="1"/>
  <c r="AV478" i="1"/>
  <c r="AU478" i="1"/>
  <c r="AW477" i="1"/>
  <c r="AV477" i="1"/>
  <c r="AU477" i="1"/>
  <c r="AW476" i="1"/>
  <c r="AV476" i="1"/>
  <c r="AW475" i="1"/>
  <c r="AV475" i="1"/>
  <c r="AU475" i="1"/>
  <c r="AW474" i="1"/>
  <c r="AV474" i="1"/>
  <c r="AU474" i="1"/>
  <c r="AW473" i="1"/>
  <c r="AV473" i="1"/>
  <c r="AU473" i="1"/>
  <c r="AW472" i="1"/>
  <c r="AV472" i="1"/>
  <c r="AU472" i="1"/>
  <c r="AW471" i="1"/>
  <c r="AV471" i="1"/>
  <c r="AW470" i="1"/>
  <c r="AV470" i="1"/>
  <c r="AU470" i="1"/>
  <c r="AW469" i="1"/>
  <c r="AV469" i="1"/>
  <c r="AW468" i="1"/>
  <c r="AV468" i="1"/>
  <c r="AW467" i="1"/>
  <c r="AV467" i="1"/>
  <c r="AU467" i="1"/>
  <c r="AW466" i="1"/>
  <c r="AV466" i="1"/>
  <c r="AW465" i="1"/>
  <c r="AV465" i="1"/>
  <c r="AW464" i="1"/>
  <c r="AV464" i="1"/>
  <c r="AW463" i="1"/>
  <c r="AV463" i="1"/>
  <c r="AW462" i="1"/>
  <c r="AV462" i="1"/>
  <c r="AW461" i="1"/>
  <c r="AV461" i="1"/>
  <c r="AU461" i="1"/>
  <c r="AW460" i="1"/>
  <c r="AV460" i="1"/>
  <c r="AW459" i="1"/>
  <c r="AV459" i="1"/>
  <c r="AU459" i="1"/>
  <c r="AW458" i="1"/>
  <c r="AV458" i="1"/>
  <c r="AU458" i="1"/>
  <c r="AW457" i="1"/>
  <c r="AV457" i="1"/>
  <c r="AW456" i="1"/>
  <c r="AV456" i="1"/>
  <c r="AW455" i="1"/>
  <c r="AV455" i="1"/>
  <c r="AU455" i="1"/>
  <c r="AW454" i="1"/>
  <c r="AV454" i="1"/>
  <c r="AU454" i="1"/>
  <c r="AW453" i="1"/>
  <c r="AV453" i="1"/>
  <c r="AW452" i="1"/>
  <c r="AV452" i="1"/>
  <c r="AW451" i="1"/>
  <c r="AV451" i="1"/>
  <c r="AU451" i="1"/>
  <c r="AW450" i="1"/>
  <c r="AV450" i="1"/>
  <c r="AW449" i="1"/>
  <c r="AV449" i="1"/>
  <c r="AW448" i="1"/>
  <c r="AV448" i="1"/>
  <c r="AW447" i="1"/>
  <c r="AV447" i="1"/>
  <c r="AU447" i="1"/>
  <c r="AW446" i="1"/>
  <c r="AV446" i="1"/>
  <c r="AU446" i="1"/>
  <c r="AW445" i="1"/>
  <c r="AV445" i="1"/>
  <c r="AU445" i="1"/>
  <c r="AW444" i="1"/>
  <c r="AV444" i="1"/>
  <c r="AW443" i="1"/>
  <c r="AV443" i="1"/>
  <c r="AW442" i="1"/>
  <c r="AV442" i="1"/>
  <c r="AU442" i="1"/>
  <c r="AW440" i="1"/>
  <c r="AV440" i="1"/>
  <c r="AW439" i="1"/>
  <c r="AV439" i="1"/>
  <c r="AW438" i="1"/>
  <c r="AV438" i="1"/>
  <c r="AW437" i="1"/>
  <c r="AV437" i="1"/>
  <c r="AU437" i="1"/>
  <c r="AW436" i="1"/>
  <c r="AV436" i="1"/>
  <c r="AW435" i="1"/>
  <c r="AV435" i="1"/>
  <c r="AW434" i="1"/>
  <c r="AV434" i="1"/>
  <c r="AW432" i="1"/>
  <c r="AV432" i="1"/>
  <c r="AW431" i="1"/>
  <c r="AV431" i="1"/>
  <c r="AU431" i="1"/>
  <c r="AW430" i="1"/>
  <c r="AV430" i="1"/>
  <c r="AW429" i="1"/>
  <c r="AV429" i="1"/>
  <c r="AW428" i="1"/>
  <c r="AV428" i="1"/>
  <c r="AW427" i="1"/>
  <c r="AV427" i="1"/>
  <c r="AU427" i="1"/>
  <c r="AW426" i="1"/>
  <c r="AV426" i="1"/>
  <c r="AW425" i="1"/>
  <c r="AV425" i="1"/>
  <c r="AW424" i="1"/>
  <c r="AV424" i="1"/>
  <c r="AW423" i="1"/>
  <c r="AV423" i="1"/>
  <c r="AW422" i="1"/>
  <c r="AV422" i="1"/>
  <c r="AW421" i="1"/>
  <c r="AV421" i="1"/>
  <c r="AU421" i="1"/>
  <c r="AW420" i="1"/>
  <c r="AV420" i="1"/>
  <c r="AU420" i="1"/>
  <c r="AW419" i="1"/>
  <c r="AV419" i="1"/>
  <c r="AU419" i="1"/>
  <c r="AW418" i="1"/>
  <c r="AV418" i="1"/>
  <c r="AU418" i="1"/>
  <c r="AW417" i="1"/>
  <c r="AV417" i="1"/>
  <c r="AW416" i="1"/>
  <c r="AV416" i="1"/>
  <c r="AW415" i="1"/>
  <c r="AV415" i="1"/>
  <c r="AW414" i="1"/>
  <c r="AV414" i="1"/>
  <c r="AU414" i="1"/>
  <c r="AW413" i="1"/>
  <c r="AV413" i="1"/>
  <c r="AU413" i="1"/>
  <c r="AW412" i="1"/>
  <c r="AV412" i="1"/>
  <c r="AU412" i="1"/>
  <c r="AW411" i="1"/>
  <c r="AV411" i="1"/>
  <c r="AW410" i="1"/>
  <c r="AV410" i="1"/>
  <c r="AW409" i="1"/>
  <c r="AV409" i="1"/>
  <c r="AW408" i="1"/>
  <c r="AV408" i="1"/>
  <c r="AU408" i="1"/>
  <c r="AW407" i="1"/>
  <c r="AV407" i="1"/>
  <c r="AW406" i="1"/>
  <c r="AV406" i="1"/>
  <c r="AW405" i="1"/>
  <c r="AV405" i="1"/>
  <c r="AU405" i="1"/>
  <c r="AW404" i="1"/>
  <c r="AV404" i="1"/>
  <c r="AW403" i="1"/>
  <c r="AV403" i="1"/>
  <c r="AW402" i="1"/>
  <c r="AV402" i="1"/>
  <c r="AW401" i="1"/>
  <c r="AV401" i="1"/>
  <c r="AW400" i="1"/>
  <c r="AV400" i="1"/>
  <c r="AW399" i="1"/>
  <c r="AV399" i="1"/>
  <c r="AU399" i="1"/>
  <c r="AW398" i="1"/>
  <c r="AV398" i="1"/>
  <c r="AU398" i="1"/>
  <c r="AW397" i="1"/>
  <c r="AV397" i="1"/>
  <c r="AW396" i="1"/>
  <c r="AV396" i="1"/>
  <c r="AU396" i="1"/>
  <c r="AW395" i="1"/>
  <c r="AV395" i="1"/>
  <c r="AU395" i="1"/>
  <c r="AW394" i="1"/>
  <c r="AV394" i="1"/>
  <c r="AU394" i="1"/>
  <c r="AW393" i="1"/>
  <c r="AV393" i="1"/>
  <c r="AW392" i="1"/>
  <c r="AV392" i="1"/>
  <c r="AU392" i="1"/>
  <c r="AW391" i="1"/>
  <c r="AV391" i="1"/>
  <c r="AU391" i="1"/>
  <c r="AW390" i="1"/>
  <c r="AV390" i="1"/>
  <c r="AU390" i="1"/>
  <c r="AW389" i="1"/>
  <c r="AV389" i="1"/>
  <c r="AU389" i="1"/>
  <c r="AW388" i="1"/>
  <c r="AV388" i="1"/>
  <c r="AW387" i="1"/>
  <c r="AV387" i="1"/>
  <c r="AW386" i="1"/>
  <c r="AV386" i="1"/>
  <c r="AW385" i="1"/>
  <c r="AV385" i="1"/>
  <c r="AW384" i="1"/>
  <c r="AV384" i="1"/>
  <c r="AW383" i="1"/>
  <c r="AV383" i="1"/>
  <c r="AW382" i="1"/>
  <c r="AV382" i="1"/>
  <c r="AW381" i="1"/>
  <c r="AV381" i="1"/>
  <c r="AW380" i="1"/>
  <c r="AV380" i="1"/>
  <c r="AW379" i="1"/>
  <c r="AV379" i="1"/>
  <c r="AW378" i="1"/>
  <c r="AV378" i="1"/>
  <c r="AW377" i="1"/>
  <c r="AV377" i="1"/>
  <c r="AW376" i="1"/>
  <c r="AV376" i="1"/>
  <c r="AW375" i="1"/>
  <c r="AV375" i="1"/>
  <c r="AW374" i="1"/>
  <c r="AV374" i="1"/>
  <c r="AW373" i="1"/>
  <c r="AV373" i="1"/>
  <c r="AU373" i="1"/>
  <c r="AW372" i="1"/>
  <c r="AV372" i="1"/>
  <c r="AW371" i="1"/>
  <c r="AV371" i="1"/>
  <c r="AU371" i="1"/>
  <c r="AW370" i="1"/>
  <c r="AV370" i="1"/>
  <c r="AW369" i="1"/>
  <c r="AV369" i="1"/>
  <c r="AU369" i="1"/>
  <c r="AW368" i="1"/>
  <c r="AV368" i="1"/>
  <c r="AU368" i="1"/>
  <c r="AW367" i="1"/>
  <c r="AV367" i="1"/>
  <c r="AU367" i="1"/>
  <c r="AW366" i="1"/>
  <c r="AV366" i="1"/>
  <c r="AU366" i="1"/>
  <c r="AW365" i="1"/>
  <c r="AV365" i="1"/>
  <c r="AW364" i="1"/>
  <c r="AV364" i="1"/>
  <c r="AW363" i="1"/>
  <c r="AV363" i="1"/>
  <c r="AW362" i="1"/>
  <c r="AV362" i="1"/>
  <c r="AW361" i="1"/>
  <c r="AV361" i="1"/>
  <c r="AW360" i="1"/>
  <c r="AV360" i="1"/>
  <c r="AW359" i="1"/>
  <c r="AV359" i="1"/>
  <c r="AW358" i="1"/>
  <c r="AV358" i="1"/>
  <c r="AW357" i="1"/>
  <c r="AV357" i="1"/>
  <c r="AW356" i="1"/>
  <c r="AV356" i="1"/>
  <c r="AU356" i="1"/>
  <c r="AW355" i="1"/>
  <c r="AV355" i="1"/>
  <c r="AU355" i="1"/>
  <c r="AW354" i="1"/>
  <c r="AV354" i="1"/>
  <c r="AW353" i="1"/>
  <c r="AV353" i="1"/>
  <c r="AW352" i="1"/>
  <c r="AV352" i="1"/>
  <c r="AW351" i="1"/>
  <c r="AV351" i="1"/>
  <c r="AW350" i="1"/>
  <c r="AV350" i="1"/>
  <c r="AW349" i="1"/>
  <c r="AV349" i="1"/>
  <c r="AW348" i="1"/>
  <c r="AV348" i="1"/>
  <c r="AU348" i="1"/>
  <c r="AW347" i="1"/>
  <c r="AV347" i="1"/>
  <c r="AW346" i="1"/>
  <c r="AV346" i="1"/>
  <c r="AW345" i="1"/>
  <c r="AV345" i="1"/>
  <c r="AW343" i="1"/>
  <c r="AV343" i="1"/>
  <c r="AW341" i="1"/>
  <c r="AV341" i="1"/>
  <c r="AU341" i="1"/>
  <c r="AW340" i="1"/>
  <c r="AV340" i="1"/>
  <c r="AU340" i="1"/>
  <c r="AW339" i="1"/>
  <c r="AV339" i="1"/>
  <c r="AU339" i="1"/>
  <c r="AW338" i="1"/>
  <c r="AV338" i="1"/>
  <c r="AU338" i="1"/>
  <c r="AW337" i="1"/>
  <c r="AV337" i="1"/>
  <c r="AW336" i="1"/>
  <c r="AV336" i="1"/>
  <c r="AW335" i="1"/>
  <c r="AV335" i="1"/>
  <c r="AW334" i="1"/>
  <c r="AV334" i="1"/>
  <c r="AW333" i="1"/>
  <c r="AV333" i="1"/>
  <c r="AW332" i="1"/>
  <c r="AV332" i="1"/>
  <c r="AW331" i="1"/>
  <c r="AV331" i="1"/>
  <c r="AW330" i="1"/>
  <c r="AV330" i="1"/>
  <c r="AW329" i="1"/>
  <c r="AV329" i="1"/>
  <c r="AU329" i="1"/>
  <c r="AW328" i="1"/>
  <c r="AV328" i="1"/>
  <c r="AU328" i="1"/>
  <c r="AW327" i="1"/>
  <c r="AV327" i="1"/>
  <c r="AU327" i="1"/>
  <c r="AW326" i="1"/>
  <c r="AV326" i="1"/>
  <c r="AU326" i="1"/>
  <c r="AW325" i="1"/>
  <c r="AV325" i="1"/>
  <c r="AU325" i="1"/>
  <c r="AW324" i="1"/>
  <c r="AV324" i="1"/>
  <c r="AU324" i="1"/>
  <c r="AW323" i="1"/>
  <c r="AV323" i="1"/>
  <c r="AU323" i="1"/>
  <c r="AW322" i="1"/>
  <c r="AV322" i="1"/>
  <c r="AU322" i="1"/>
  <c r="AW321" i="1"/>
  <c r="AV321" i="1"/>
  <c r="AU321" i="1"/>
  <c r="AW320" i="1"/>
  <c r="AV320" i="1"/>
  <c r="AU320" i="1"/>
  <c r="AW319" i="1"/>
  <c r="AV319" i="1"/>
  <c r="AU319" i="1"/>
  <c r="AW318" i="1"/>
  <c r="AV318" i="1"/>
  <c r="AU318" i="1"/>
  <c r="AW317" i="1"/>
  <c r="AV317" i="1"/>
  <c r="AU317" i="1"/>
  <c r="AW316" i="1"/>
  <c r="AV316" i="1"/>
  <c r="AU316" i="1"/>
  <c r="AW315" i="1"/>
  <c r="AV315" i="1"/>
  <c r="AU315" i="1"/>
  <c r="AW314" i="1"/>
  <c r="AV314" i="1"/>
  <c r="AU314" i="1"/>
  <c r="AW313" i="1"/>
  <c r="AV313" i="1"/>
  <c r="AU313" i="1"/>
  <c r="AW312" i="1"/>
  <c r="AV312" i="1"/>
  <c r="AW311" i="1"/>
  <c r="AV311" i="1"/>
  <c r="AW310" i="1"/>
  <c r="AV310" i="1"/>
  <c r="AW309" i="1"/>
  <c r="AV309" i="1"/>
  <c r="AW308" i="1"/>
  <c r="AV308" i="1"/>
  <c r="AW307" i="1"/>
  <c r="AV307" i="1"/>
  <c r="AW306" i="1"/>
  <c r="AV306" i="1"/>
  <c r="AU306" i="1"/>
  <c r="AW305" i="1"/>
  <c r="AV305" i="1"/>
  <c r="AW304" i="1"/>
  <c r="AV304" i="1"/>
  <c r="AW303" i="1"/>
  <c r="AV303" i="1"/>
  <c r="AW302" i="1"/>
  <c r="AV302" i="1"/>
  <c r="AW301" i="1"/>
  <c r="AV301" i="1"/>
  <c r="AU301" i="1"/>
  <c r="AW300" i="1"/>
  <c r="AV300" i="1"/>
  <c r="AU300" i="1"/>
  <c r="AW299" i="1"/>
  <c r="AV299" i="1"/>
  <c r="AW298" i="1"/>
  <c r="AV298" i="1"/>
  <c r="AU298" i="1"/>
  <c r="AW297" i="1"/>
  <c r="AV297" i="1"/>
  <c r="AW296" i="1"/>
  <c r="AV296" i="1"/>
  <c r="AW295" i="1"/>
  <c r="AV295" i="1"/>
  <c r="AW294" i="1"/>
  <c r="AV294" i="1"/>
  <c r="AW293" i="1"/>
  <c r="AV293" i="1"/>
  <c r="AW292" i="1"/>
  <c r="AV292" i="1"/>
  <c r="AW291" i="1"/>
  <c r="AV291" i="1"/>
  <c r="AW290" i="1"/>
  <c r="AV290" i="1"/>
  <c r="AW289" i="1"/>
  <c r="AV289" i="1"/>
  <c r="AW288" i="1"/>
  <c r="AV288" i="1"/>
  <c r="AU288" i="1"/>
  <c r="AW287" i="1"/>
  <c r="AV287" i="1"/>
  <c r="AU287" i="1"/>
  <c r="AW286" i="1"/>
  <c r="AV286" i="1"/>
  <c r="AW285" i="1"/>
  <c r="AV285" i="1"/>
  <c r="AW284" i="1"/>
  <c r="AV284" i="1"/>
  <c r="AW283" i="1"/>
  <c r="AV283" i="1"/>
  <c r="AW282" i="1"/>
  <c r="AV282" i="1"/>
  <c r="AW281" i="1"/>
  <c r="AV281" i="1"/>
  <c r="AW280" i="1"/>
  <c r="AV280" i="1"/>
  <c r="AW279" i="1"/>
  <c r="AV279" i="1"/>
  <c r="AW278" i="1"/>
  <c r="AV278" i="1"/>
  <c r="AW277" i="1"/>
  <c r="AV277" i="1"/>
  <c r="AU277" i="1"/>
  <c r="AW276" i="1"/>
  <c r="AV276" i="1"/>
  <c r="AW275" i="1"/>
  <c r="AV275" i="1"/>
  <c r="AW274" i="1"/>
  <c r="AV274" i="1"/>
  <c r="AW273" i="1"/>
  <c r="AV273" i="1"/>
  <c r="AW272" i="1"/>
  <c r="AV272" i="1"/>
  <c r="AW271" i="1"/>
  <c r="AV271" i="1"/>
  <c r="AW270" i="1"/>
  <c r="AV270" i="1"/>
  <c r="AW269" i="1"/>
  <c r="AV269" i="1"/>
  <c r="AW268" i="1"/>
  <c r="AV268" i="1"/>
  <c r="AW267" i="1"/>
  <c r="AV267" i="1"/>
  <c r="AW266" i="1"/>
  <c r="AV266" i="1"/>
  <c r="AW265" i="1"/>
  <c r="AV265" i="1"/>
  <c r="AW264" i="1"/>
  <c r="AV264" i="1"/>
  <c r="AW263" i="1"/>
  <c r="AV263" i="1"/>
  <c r="AW262" i="1"/>
  <c r="AV262" i="1"/>
  <c r="AW261" i="1"/>
  <c r="AV261" i="1"/>
  <c r="AU261" i="1"/>
  <c r="AW260" i="1"/>
  <c r="AV260" i="1"/>
  <c r="AU260" i="1"/>
  <c r="AW259" i="1"/>
  <c r="AV259" i="1"/>
  <c r="AW258" i="1"/>
  <c r="AV258" i="1"/>
  <c r="AU258" i="1"/>
  <c r="AW257" i="1"/>
  <c r="AV257" i="1"/>
  <c r="AW256" i="1"/>
  <c r="AV256" i="1"/>
  <c r="AW255" i="1"/>
  <c r="AV255" i="1"/>
  <c r="AW254" i="1"/>
  <c r="AV254" i="1"/>
  <c r="AW253" i="1"/>
  <c r="AV253" i="1"/>
  <c r="AW252" i="1"/>
  <c r="AV252" i="1"/>
  <c r="AW251" i="1"/>
  <c r="AV251" i="1"/>
  <c r="AW250" i="1"/>
  <c r="AV250" i="1"/>
  <c r="AW249" i="1"/>
  <c r="AV249" i="1"/>
  <c r="AW248" i="1"/>
  <c r="AV248" i="1"/>
  <c r="AW247" i="1"/>
  <c r="AV247" i="1"/>
  <c r="AW246" i="1"/>
  <c r="AV246" i="1"/>
  <c r="AW245" i="1"/>
  <c r="AV245" i="1"/>
  <c r="AW244" i="1"/>
  <c r="AV244" i="1"/>
  <c r="AW243" i="1"/>
  <c r="AV243" i="1"/>
  <c r="AW242" i="1"/>
  <c r="AV242" i="1"/>
  <c r="AW241" i="1"/>
  <c r="AV241" i="1"/>
  <c r="AW240" i="1"/>
  <c r="AV240" i="1"/>
  <c r="AW239" i="1"/>
  <c r="AV239" i="1"/>
  <c r="AW238" i="1"/>
  <c r="AV238" i="1"/>
  <c r="AW237" i="1"/>
  <c r="AV237" i="1"/>
  <c r="AW236" i="1"/>
  <c r="AV236" i="1"/>
  <c r="AW235" i="1"/>
  <c r="AV235" i="1"/>
  <c r="AW234" i="1"/>
  <c r="AV234" i="1"/>
  <c r="AW233" i="1"/>
  <c r="AV233" i="1"/>
  <c r="AW232" i="1"/>
  <c r="AV232" i="1"/>
  <c r="AW231" i="1"/>
  <c r="AV231" i="1"/>
  <c r="AW230" i="1"/>
  <c r="AV230" i="1"/>
  <c r="AW229" i="1"/>
  <c r="AV229" i="1"/>
  <c r="AW228" i="1"/>
  <c r="AV228" i="1"/>
  <c r="AW227" i="1"/>
  <c r="AV227" i="1"/>
  <c r="AW226" i="1"/>
  <c r="AV226" i="1"/>
  <c r="AW225" i="1"/>
  <c r="AV225" i="1"/>
  <c r="AW224" i="1"/>
  <c r="AV224" i="1"/>
  <c r="AW223" i="1"/>
  <c r="AV223" i="1"/>
  <c r="AW222" i="1"/>
  <c r="AV222" i="1"/>
  <c r="AU222" i="1"/>
  <c r="AW221" i="1"/>
  <c r="AV221" i="1"/>
  <c r="AU221" i="1"/>
  <c r="AW220" i="1"/>
  <c r="AV220" i="1"/>
  <c r="AU220" i="1"/>
  <c r="AW219" i="1"/>
  <c r="AV219" i="1"/>
  <c r="AU219" i="1"/>
  <c r="AW218" i="1"/>
  <c r="AV218" i="1"/>
  <c r="AW217" i="1"/>
  <c r="AV217" i="1"/>
  <c r="AW216" i="1"/>
  <c r="AV216" i="1"/>
  <c r="AW215" i="1"/>
  <c r="AV215" i="1"/>
  <c r="AW214" i="1"/>
  <c r="AV214" i="1"/>
  <c r="AW213" i="1"/>
  <c r="AV213" i="1"/>
  <c r="AW212" i="1"/>
  <c r="AV212" i="1"/>
  <c r="AW211" i="1"/>
  <c r="AV211" i="1"/>
  <c r="AW210" i="1"/>
  <c r="AV210" i="1"/>
  <c r="AW209" i="1"/>
  <c r="AV209" i="1"/>
  <c r="AW208" i="1"/>
  <c r="AV208" i="1"/>
  <c r="AU208" i="1"/>
  <c r="AW207" i="1"/>
  <c r="AV207" i="1"/>
  <c r="AW206" i="1"/>
  <c r="AV206" i="1"/>
  <c r="AW205" i="1"/>
  <c r="AV205" i="1"/>
  <c r="AW204" i="1"/>
  <c r="AV204" i="1"/>
  <c r="AW203" i="1"/>
  <c r="AV203" i="1"/>
  <c r="AW202" i="1"/>
  <c r="AV202" i="1"/>
  <c r="AU202" i="1"/>
  <c r="AW201" i="1"/>
  <c r="AV201" i="1"/>
  <c r="AW200" i="1"/>
  <c r="AV200" i="1"/>
  <c r="AW199" i="1"/>
  <c r="AV199" i="1"/>
  <c r="AW198" i="1"/>
  <c r="AV198" i="1"/>
  <c r="AW197" i="1"/>
  <c r="AV197" i="1"/>
  <c r="AW196" i="1"/>
  <c r="AV196" i="1"/>
  <c r="AW195" i="1"/>
  <c r="AV195" i="1"/>
  <c r="AW194" i="1"/>
  <c r="AV194" i="1"/>
  <c r="AU194" i="1"/>
  <c r="AW193" i="1"/>
  <c r="AV193" i="1"/>
  <c r="AW192" i="1"/>
  <c r="AV192" i="1"/>
  <c r="AU192" i="1"/>
  <c r="AW191" i="1"/>
  <c r="AV191" i="1"/>
  <c r="AW190" i="1"/>
  <c r="AV190" i="1"/>
  <c r="AU190" i="1"/>
  <c r="AW189" i="1"/>
  <c r="AV189" i="1"/>
  <c r="AW188" i="1"/>
  <c r="AV188" i="1"/>
  <c r="AW187" i="1"/>
  <c r="AV187" i="1"/>
  <c r="AW186" i="1"/>
  <c r="AV186" i="1"/>
  <c r="AU186" i="1"/>
  <c r="AW185" i="1"/>
  <c r="AV185" i="1"/>
  <c r="AW184" i="1"/>
  <c r="AV184" i="1"/>
  <c r="AU184" i="1"/>
  <c r="AW183" i="1"/>
  <c r="AV183" i="1"/>
  <c r="AW182" i="1"/>
  <c r="AV182" i="1"/>
  <c r="AW181" i="1"/>
  <c r="AV181" i="1"/>
  <c r="AU181" i="1"/>
  <c r="AW180" i="1"/>
  <c r="AV180" i="1"/>
  <c r="AW179" i="1"/>
  <c r="AV179" i="1"/>
  <c r="AW178" i="1"/>
  <c r="AV178" i="1"/>
  <c r="AW177" i="1"/>
  <c r="AV177" i="1"/>
  <c r="AW176" i="1"/>
  <c r="AV176" i="1"/>
  <c r="AW175" i="1"/>
  <c r="AV175" i="1"/>
  <c r="AW174" i="1"/>
  <c r="AV174" i="1"/>
  <c r="AU174" i="1"/>
  <c r="AW173" i="1"/>
  <c r="AV173" i="1"/>
  <c r="AW172" i="1"/>
  <c r="AV172" i="1"/>
  <c r="AU172" i="1"/>
  <c r="AW171" i="1"/>
  <c r="AV171" i="1"/>
  <c r="AU171" i="1"/>
  <c r="AW170" i="1"/>
  <c r="AV170" i="1"/>
  <c r="AW169" i="1"/>
  <c r="AV169" i="1"/>
  <c r="AW168" i="1"/>
  <c r="AV168" i="1"/>
  <c r="AW167" i="1"/>
  <c r="AV167" i="1"/>
  <c r="AW166" i="1"/>
  <c r="AV166" i="1"/>
  <c r="AW165" i="1"/>
  <c r="AV165" i="1"/>
  <c r="AW164" i="1"/>
  <c r="AV164" i="1"/>
  <c r="AW163" i="1"/>
  <c r="AV163" i="1"/>
  <c r="AW162" i="1"/>
  <c r="AV162" i="1"/>
  <c r="AW161" i="1"/>
  <c r="AV161" i="1"/>
  <c r="AW160" i="1"/>
  <c r="AV160" i="1"/>
  <c r="AW159" i="1"/>
  <c r="AV159" i="1"/>
  <c r="AW158" i="1"/>
  <c r="AV158" i="1"/>
  <c r="AW157" i="1"/>
  <c r="AV157" i="1"/>
  <c r="AW156" i="1"/>
  <c r="AV156" i="1"/>
  <c r="AW155" i="1"/>
  <c r="AV155" i="1"/>
  <c r="AW154" i="1"/>
  <c r="AV154" i="1"/>
  <c r="AW153" i="1"/>
  <c r="AV153" i="1"/>
  <c r="AW152" i="1"/>
  <c r="AV152" i="1"/>
  <c r="AW151" i="1"/>
  <c r="AV151" i="1"/>
  <c r="AW150" i="1"/>
  <c r="AV150" i="1"/>
  <c r="AU150" i="1"/>
  <c r="AW149" i="1"/>
  <c r="AV149" i="1"/>
  <c r="AW148" i="1"/>
  <c r="AV148" i="1"/>
  <c r="AW147" i="1"/>
  <c r="AV147" i="1"/>
  <c r="AW146" i="1"/>
  <c r="AV146" i="1"/>
  <c r="AW145" i="1"/>
  <c r="AV145" i="1"/>
  <c r="AW144" i="1"/>
  <c r="AV144" i="1"/>
  <c r="AU144" i="1"/>
  <c r="AW143" i="1"/>
  <c r="AV143" i="1"/>
  <c r="AW142" i="1"/>
  <c r="AV142" i="1"/>
  <c r="AW141" i="1"/>
  <c r="AV141" i="1"/>
  <c r="AW140" i="1"/>
  <c r="AV140" i="1"/>
  <c r="AW139" i="1"/>
  <c r="AV139" i="1"/>
  <c r="AW138" i="1"/>
  <c r="AV138" i="1"/>
  <c r="AU138" i="1"/>
  <c r="AW137" i="1"/>
  <c r="AV137" i="1"/>
  <c r="AU137" i="1"/>
  <c r="AW136" i="1"/>
  <c r="AV136" i="1"/>
  <c r="AU136" i="1"/>
  <c r="AW135" i="1"/>
  <c r="AV135" i="1"/>
  <c r="AU135" i="1"/>
  <c r="AW134" i="1"/>
  <c r="AV134" i="1"/>
  <c r="AW133" i="1"/>
  <c r="AV133" i="1"/>
  <c r="AW132" i="1"/>
  <c r="AV132" i="1"/>
  <c r="AW131" i="1"/>
  <c r="AV131" i="1"/>
  <c r="AW130" i="1"/>
  <c r="AV130" i="1"/>
  <c r="AW129" i="1"/>
  <c r="AV129" i="1"/>
  <c r="AW128" i="1"/>
  <c r="AV128" i="1"/>
  <c r="AW127" i="1"/>
  <c r="AV127" i="1"/>
  <c r="AW126" i="1"/>
  <c r="AV126" i="1"/>
  <c r="AW125" i="1"/>
  <c r="AV125" i="1"/>
  <c r="AU125" i="1"/>
  <c r="AW123" i="1"/>
  <c r="AV123" i="1"/>
  <c r="AU123" i="1"/>
  <c r="AW122" i="1"/>
  <c r="AV122" i="1"/>
  <c r="AW121" i="1"/>
  <c r="AV121" i="1"/>
  <c r="AU121" i="1"/>
  <c r="AW120" i="1"/>
  <c r="AV120" i="1"/>
  <c r="AW119" i="1"/>
  <c r="AV119" i="1"/>
  <c r="AW118" i="1"/>
  <c r="AV118" i="1"/>
  <c r="AU118" i="1"/>
  <c r="AW117" i="1"/>
  <c r="AV117" i="1"/>
  <c r="AW116" i="1"/>
  <c r="AV116" i="1"/>
  <c r="AU116" i="1"/>
  <c r="AW115" i="1"/>
  <c r="AV115" i="1"/>
  <c r="AW114" i="1"/>
  <c r="AV114" i="1"/>
  <c r="AW113" i="1"/>
  <c r="AV113" i="1"/>
  <c r="AW112" i="1"/>
  <c r="AV112" i="1"/>
  <c r="AW111" i="1"/>
  <c r="AV111" i="1"/>
  <c r="AW110" i="1"/>
  <c r="AV110" i="1"/>
  <c r="AU110" i="1"/>
  <c r="AW109" i="1"/>
  <c r="AV109" i="1"/>
  <c r="AW108" i="1"/>
  <c r="AV108" i="1"/>
  <c r="AW107" i="1"/>
  <c r="AV107" i="1"/>
  <c r="AU107" i="1"/>
  <c r="AW106" i="1"/>
  <c r="AV106" i="1"/>
  <c r="AW105" i="1"/>
  <c r="AV105" i="1"/>
  <c r="AU105" i="1"/>
  <c r="AW104" i="1"/>
  <c r="AV104" i="1"/>
  <c r="AW103" i="1"/>
  <c r="AV103" i="1"/>
  <c r="AU103" i="1"/>
  <c r="AW102" i="1"/>
  <c r="AV102" i="1"/>
  <c r="AW101" i="1"/>
  <c r="AV101" i="1"/>
  <c r="AW100" i="1"/>
  <c r="AV100" i="1"/>
  <c r="AW99" i="1"/>
  <c r="AV99" i="1"/>
  <c r="AU99" i="1"/>
  <c r="AW98" i="1"/>
  <c r="AV98" i="1"/>
  <c r="AW97" i="1"/>
  <c r="AV97" i="1"/>
  <c r="AW96" i="1"/>
  <c r="AV96" i="1"/>
  <c r="AW93" i="1"/>
  <c r="AV93" i="1"/>
  <c r="AU93" i="1"/>
  <c r="AW92" i="1"/>
  <c r="AV92" i="1"/>
  <c r="AU92" i="1"/>
  <c r="AW91" i="1"/>
  <c r="AV91" i="1"/>
  <c r="AU91" i="1"/>
  <c r="AW90" i="1"/>
  <c r="AV90" i="1"/>
  <c r="AW89" i="1"/>
  <c r="AV89" i="1"/>
  <c r="AW88" i="1"/>
  <c r="AV88" i="1"/>
  <c r="AW87" i="1"/>
  <c r="AV87" i="1"/>
  <c r="AW86" i="1"/>
  <c r="AV86" i="1"/>
  <c r="AW85" i="1"/>
  <c r="AV85" i="1"/>
  <c r="AW84" i="1"/>
  <c r="AV84" i="1"/>
  <c r="AW83" i="1"/>
  <c r="AV83" i="1"/>
  <c r="AU83" i="1"/>
  <c r="AW82" i="1"/>
  <c r="AV82" i="1"/>
  <c r="AU82" i="1"/>
  <c r="AW81" i="1"/>
  <c r="AV81" i="1"/>
  <c r="AU81" i="1"/>
  <c r="AW80" i="1"/>
  <c r="AV80" i="1"/>
  <c r="AU80" i="1"/>
  <c r="AW79" i="1"/>
  <c r="AV79" i="1"/>
  <c r="AU79" i="1"/>
  <c r="AW78" i="1"/>
  <c r="AV78" i="1"/>
  <c r="AU78" i="1"/>
  <c r="AW77" i="1"/>
  <c r="AV77" i="1"/>
  <c r="AW76" i="1"/>
  <c r="AV76" i="1"/>
  <c r="AW75" i="1"/>
  <c r="AV75" i="1"/>
  <c r="AU75" i="1"/>
  <c r="AW74" i="1"/>
  <c r="AV74" i="1"/>
  <c r="AW73" i="1"/>
  <c r="AV73" i="1"/>
  <c r="AW72" i="1"/>
  <c r="AV72" i="1"/>
  <c r="AW71" i="1"/>
  <c r="AV71" i="1"/>
  <c r="AU71" i="1"/>
  <c r="AW70" i="1"/>
  <c r="AV70" i="1"/>
  <c r="AW69" i="1"/>
  <c r="AV69" i="1"/>
  <c r="AW68" i="1"/>
  <c r="AV68" i="1"/>
  <c r="AW67" i="1"/>
  <c r="AV67" i="1"/>
  <c r="AU67" i="1"/>
  <c r="AW66" i="1"/>
  <c r="AV66" i="1"/>
  <c r="AW65" i="1"/>
  <c r="AV65" i="1"/>
  <c r="AW64" i="1"/>
  <c r="AV64" i="1"/>
  <c r="AU64" i="1"/>
  <c r="AW63" i="1"/>
  <c r="AV63" i="1"/>
  <c r="AW62" i="1"/>
  <c r="AV62" i="1"/>
  <c r="AU62" i="1"/>
  <c r="AW61" i="1"/>
  <c r="AV61" i="1"/>
  <c r="AU61" i="1"/>
  <c r="AW60" i="1"/>
  <c r="AV60" i="1"/>
  <c r="AW59" i="1"/>
  <c r="AV59" i="1"/>
  <c r="AW58" i="1"/>
  <c r="AV58" i="1"/>
  <c r="AW57" i="1"/>
  <c r="AV57" i="1"/>
  <c r="AW56" i="1"/>
  <c r="AV56" i="1"/>
  <c r="AU56" i="1"/>
  <c r="AW55" i="1"/>
  <c r="AV55" i="1"/>
  <c r="AW54" i="1"/>
  <c r="AV54" i="1"/>
  <c r="AW53" i="1"/>
  <c r="AV53" i="1"/>
  <c r="AW52" i="1"/>
  <c r="AV52" i="1"/>
  <c r="AW51" i="1"/>
  <c r="AV51" i="1"/>
  <c r="AW50" i="1"/>
  <c r="AV50" i="1"/>
  <c r="AW49" i="1"/>
  <c r="AV49" i="1"/>
  <c r="AW48" i="1"/>
  <c r="AV48" i="1"/>
  <c r="AW47" i="1"/>
  <c r="AV47" i="1"/>
  <c r="AW46" i="1"/>
  <c r="AV46" i="1"/>
  <c r="AW45" i="1"/>
  <c r="AV45" i="1"/>
  <c r="AU45" i="1"/>
  <c r="AW44" i="1"/>
  <c r="AV44" i="1"/>
  <c r="AW43" i="1"/>
  <c r="AV43" i="1"/>
  <c r="AW42" i="1"/>
  <c r="AV42" i="1"/>
  <c r="AW41" i="1"/>
  <c r="AV41" i="1"/>
</calcChain>
</file>

<file path=xl/sharedStrings.xml><?xml version="1.0" encoding="utf-8"?>
<sst xmlns="http://schemas.openxmlformats.org/spreadsheetml/2006/main" count="167863" uniqueCount="53021">
  <si>
    <t>Collection Code</t>
  </si>
  <si>
    <t>Location Code</t>
  </si>
  <si>
    <t>Display Call Number</t>
  </si>
  <si>
    <t>Display Call Number Normalized</t>
  </si>
  <si>
    <t>Title</t>
  </si>
  <si>
    <t>Enumeration</t>
  </si>
  <si>
    <t>Possible Multi-Volume Set</t>
  </si>
  <si>
    <t>Copy Number</t>
  </si>
  <si>
    <t>Possible Duplicate</t>
  </si>
  <si>
    <t>Multi-Edition Title</t>
  </si>
  <si>
    <t>Number of Related Ebooks</t>
  </si>
  <si>
    <t>Author</t>
  </si>
  <si>
    <t>Publisher</t>
  </si>
  <si>
    <t>Publication Year</t>
  </si>
  <si>
    <t>Edition</t>
  </si>
  <si>
    <t>Primary Language</t>
  </si>
  <si>
    <t>Series</t>
  </si>
  <si>
    <t>LC Subclass</t>
  </si>
  <si>
    <t>Recorded Uses - Item</t>
  </si>
  <si>
    <t>Recorded Uses - Title</t>
  </si>
  <si>
    <t>Last Charge Date - Item</t>
  </si>
  <si>
    <t>Last Charge Date - Title</t>
  </si>
  <si>
    <t>Last Add Date - Item</t>
  </si>
  <si>
    <t>Last Add Date - Title</t>
  </si>
  <si>
    <t>Global Holdings - Same Edition</t>
  </si>
  <si>
    <t>Canada Holdings - Same Edition</t>
  </si>
  <si>
    <t>Canada Holdings - Any Edition</t>
  </si>
  <si>
    <t>Quebec Holdings - Same Edition</t>
  </si>
  <si>
    <t>Quebec Holdings - Any Edition</t>
  </si>
  <si>
    <t>All Comparator Library Holdings - Same Edition</t>
  </si>
  <si>
    <t>All Comparator Library Holdings - Any Edition</t>
  </si>
  <si>
    <t>BCI - Same Edition</t>
  </si>
  <si>
    <t>BCI - Any Edition</t>
  </si>
  <si>
    <t>ARL Libraries - Same Edition</t>
  </si>
  <si>
    <t>ARL Libraries - Any Edition</t>
  </si>
  <si>
    <t>CARL - Same Edition</t>
  </si>
  <si>
    <t>CARL - Any Edition</t>
  </si>
  <si>
    <t>AAU - Same Edition</t>
  </si>
  <si>
    <t>AAU - Any Edition</t>
  </si>
  <si>
    <t>HathiTrust Retention Commitments - Same Edition</t>
  </si>
  <si>
    <t>HathiTrust Retention Commitments - Any Edition</t>
  </si>
  <si>
    <t>CRKN - Same Edition</t>
  </si>
  <si>
    <t>CRKN - Any Edition</t>
  </si>
  <si>
    <t>Published in Canada</t>
  </si>
  <si>
    <t>HathiTrust Public Domain</t>
  </si>
  <si>
    <t>HathiTrust In Copyright</t>
  </si>
  <si>
    <t>HathiTrust URL</t>
  </si>
  <si>
    <t>OPAC URL</t>
  </si>
  <si>
    <t>WorldCat URL</t>
  </si>
  <si>
    <t>OCLC Work ID</t>
  </si>
  <si>
    <t>WorldCat OCLC Number</t>
  </si>
  <si>
    <t>Bib Record Number</t>
  </si>
  <si>
    <t>Bib Control Number</t>
  </si>
  <si>
    <t>Item Control Number</t>
  </si>
  <si>
    <t>Item Type Code</t>
  </si>
  <si>
    <t>Item Status Code</t>
  </si>
  <si>
    <t>ISBN</t>
  </si>
  <si>
    <t>Barcode</t>
  </si>
  <si>
    <t>SCS Item ID</t>
  </si>
  <si>
    <t>LGGG</t>
  </si>
  <si>
    <t>- Main Collection - Regular Loan</t>
  </si>
  <si>
    <t>Z4 A14 2014</t>
  </si>
  <si>
    <t>0                      Z  0004000A  14          2014</t>
  </si>
  <si>
    <t>50 ans d'histoire du livre, 1958-2008 / sous le [sic] direction de Dominique Varry.</t>
  </si>
  <si>
    <t>No</t>
  </si>
  <si>
    <t>0</t>
  </si>
  <si>
    <t>Villeurbanne : Presses de l'Enssib, ©2014.</t>
  </si>
  <si>
    <t>2014</t>
  </si>
  <si>
    <t>fre</t>
  </si>
  <si>
    <t>Papiers</t>
  </si>
  <si>
    <t xml:space="preserve">Z  </t>
  </si>
  <si>
    <t>2014-08-29</t>
  </si>
  <si>
    <t>2019-02-02</t>
  </si>
  <si>
    <t>1918394664:fre</t>
  </si>
  <si>
    <t>875868282</t>
  </si>
  <si>
    <t>ocn875868282</t>
  </si>
  <si>
    <t>31035738635</t>
  </si>
  <si>
    <t>Book</t>
  </si>
  <si>
    <t>AVAILABLE</t>
  </si>
  <si>
    <t>9791091281157</t>
  </si>
  <si>
    <t>794969669</t>
  </si>
  <si>
    <t>Z4 B375 2012</t>
  </si>
  <si>
    <t>0                      Z  0004000B  375         2012</t>
  </si>
  <si>
    <t>Histoire du livre en Occident / Frédéric Barbier.</t>
  </si>
  <si>
    <t>Barbier, Frédéric.</t>
  </si>
  <si>
    <t>Paris : A. Colin, ©2012.</t>
  </si>
  <si>
    <t>2012</t>
  </si>
  <si>
    <t>3e éd.</t>
  </si>
  <si>
    <t>Collection U . Histoire</t>
  </si>
  <si>
    <t>2017-04-05</t>
  </si>
  <si>
    <t>2909471017:fre</t>
  </si>
  <si>
    <t>806198387</t>
  </si>
  <si>
    <t>ocn806198387</t>
  </si>
  <si>
    <t>3103573723G</t>
  </si>
  <si>
    <t>9782200277512</t>
  </si>
  <si>
    <t>794926769</t>
  </si>
  <si>
    <t>Z4 B386 2003</t>
  </si>
  <si>
    <t>0                      Z  0004000B  386         2003</t>
  </si>
  <si>
    <t>Form and meaning in the history of the book : selected essays / Nicolas Barker.</t>
  </si>
  <si>
    <t>Barker, Nicolas.</t>
  </si>
  <si>
    <t>London : British Library, 2003.</t>
  </si>
  <si>
    <t>2003</t>
  </si>
  <si>
    <t>eng</t>
  </si>
  <si>
    <t>The British Library studies in the history of the book</t>
  </si>
  <si>
    <t>2017-04-06</t>
  </si>
  <si>
    <t>839305884:eng</t>
  </si>
  <si>
    <t>50935804</t>
  </si>
  <si>
    <t>ocm50935804</t>
  </si>
  <si>
    <t>3102302769T</t>
  </si>
  <si>
    <t>9780712347778</t>
  </si>
  <si>
    <t>793775563</t>
  </si>
  <si>
    <t>Z4 B395 2001</t>
  </si>
  <si>
    <t>0                      Z  0004000B  395         2001</t>
  </si>
  <si>
    <t>Patience &amp; fortitude : a roving chronicle of book people, book places, and book culture / Nicholas A. Basbanes.</t>
  </si>
  <si>
    <t>Basbanes, Nicholas A., 1943- author.</t>
  </si>
  <si>
    <t>New York, NY : HarperCollins Publishers Inc., [2001]</t>
  </si>
  <si>
    <t>2001</t>
  </si>
  <si>
    <t>First edition.</t>
  </si>
  <si>
    <t>2016-01-22</t>
  </si>
  <si>
    <t>763007427:eng</t>
  </si>
  <si>
    <t>46401699</t>
  </si>
  <si>
    <t>ocm46401699</t>
  </si>
  <si>
    <t>3102156677X</t>
  </si>
  <si>
    <t>9780060196950</t>
  </si>
  <si>
    <t>793684078</t>
  </si>
  <si>
    <t>Z4 B55 1962</t>
  </si>
  <si>
    <t>0                      Z  0004000B  55          1962</t>
  </si>
  <si>
    <t>An introduction to historical bibliography.</t>
  </si>
  <si>
    <t>Yes</t>
  </si>
  <si>
    <t>Binns, Norman E.</t>
  </si>
  <si>
    <t>London, Association of Assistant Librarians, 1962.</t>
  </si>
  <si>
    <t>1962</t>
  </si>
  <si>
    <t>2d ed., rev. and enl.</t>
  </si>
  <si>
    <t>2016-02-11</t>
  </si>
  <si>
    <t>1614095:eng</t>
  </si>
  <si>
    <t>654497</t>
  </si>
  <si>
    <t>ocm00654497</t>
  </si>
  <si>
    <t>3000853836V</t>
  </si>
  <si>
    <t>791438628</t>
  </si>
  <si>
    <t>Z4 B59 2008</t>
  </si>
  <si>
    <t>0                      Z  0004000B  59          2008</t>
  </si>
  <si>
    <t>Histoire du livre / Bruno Blasselle.</t>
  </si>
  <si>
    <t>Blasselle, Bruno.</t>
  </si>
  <si>
    <t>[Paris] : Gallimard, [2008]</t>
  </si>
  <si>
    <t>2008</t>
  </si>
  <si>
    <t>Découvertes Gallimard. Histoire</t>
  </si>
  <si>
    <t>2019-01-06</t>
  </si>
  <si>
    <t>26875599:fre</t>
  </si>
  <si>
    <t>318604174</t>
  </si>
  <si>
    <t>ocn318604174</t>
  </si>
  <si>
    <t>3103144066R</t>
  </si>
  <si>
    <t>9782070122479</t>
  </si>
  <si>
    <t>794482135</t>
  </si>
  <si>
    <t>1998</t>
  </si>
  <si>
    <t>2015-01-27</t>
  </si>
  <si>
    <t>Z4 B647 2002</t>
  </si>
  <si>
    <t>0                      Z  0004000B  647         2002</t>
  </si>
  <si>
    <t>The book history reader / edited by David Finkelstein and Alistair McCleery.</t>
  </si>
  <si>
    <t>London ; New York : Routledge, 2002.</t>
  </si>
  <si>
    <t>2002</t>
  </si>
  <si>
    <t>2019-03-18</t>
  </si>
  <si>
    <t>350316247:eng</t>
  </si>
  <si>
    <t>47192631</t>
  </si>
  <si>
    <t>ocm47192631</t>
  </si>
  <si>
    <t>3102741799K</t>
  </si>
  <si>
    <t>ON_LOAN</t>
  </si>
  <si>
    <t>9780415226578</t>
  </si>
  <si>
    <t>793700531</t>
  </si>
  <si>
    <t>Z4 B647 2006</t>
  </si>
  <si>
    <t>0                      Z  0004000B  647         2006</t>
  </si>
  <si>
    <t>Milton Park, Abingdon, Oxon ; New York : Routledge, 2006.</t>
  </si>
  <si>
    <t>2006</t>
  </si>
  <si>
    <t>2nd ed.</t>
  </si>
  <si>
    <t>2018-08-06</t>
  </si>
  <si>
    <t>2019-03-12</t>
  </si>
  <si>
    <t>2019-11-11</t>
  </si>
  <si>
    <t>65400154</t>
  </si>
  <si>
    <t>ocm65400154</t>
  </si>
  <si>
    <t>3103593119M</t>
  </si>
  <si>
    <t>9780415359474</t>
  </si>
  <si>
    <t>794134170</t>
  </si>
  <si>
    <t>31026318019</t>
  </si>
  <si>
    <t>794134169</t>
  </si>
  <si>
    <t>1</t>
  </si>
  <si>
    <t>31038928496</t>
  </si>
  <si>
    <t>794134168</t>
  </si>
  <si>
    <t>Z4 B66 2018</t>
  </si>
  <si>
    <t>0                      Z  0004000B  66          2018</t>
  </si>
  <si>
    <t>Book studies and islamic studies in conversation / edited by Marta Dominguez.</t>
  </si>
  <si>
    <t>Wiesbaden : Harrassowitz Verlag, 2018.</t>
  </si>
  <si>
    <t>2018</t>
  </si>
  <si>
    <t>Kodex: Jahrbuch der Internationalen Buchwissenschaftlichen Gesellschaft ; 8 (2018)</t>
  </si>
  <si>
    <t>5521479238:eng</t>
  </si>
  <si>
    <t>1059263808</t>
  </si>
  <si>
    <t>on1059263808</t>
  </si>
  <si>
    <t>31038631767</t>
  </si>
  <si>
    <t>9783447111270</t>
  </si>
  <si>
    <t>795064459</t>
  </si>
  <si>
    <t>Z4 B67 2018</t>
  </si>
  <si>
    <t>0                      Z  0004000B  67          2018</t>
  </si>
  <si>
    <t>The book / Amaranth Borsuk.</t>
  </si>
  <si>
    <t>Borsuk, Amaranth, 1980- author.</t>
  </si>
  <si>
    <t>Cambridge, MA : The MIT Press, [2018]</t>
  </si>
  <si>
    <t>MIT Press essential knowledge series</t>
  </si>
  <si>
    <t>2019-08-29</t>
  </si>
  <si>
    <t>4498789899:eng</t>
  </si>
  <si>
    <t>1004091449</t>
  </si>
  <si>
    <t>on1004091449</t>
  </si>
  <si>
    <t>3103669930K</t>
  </si>
  <si>
    <t>9780262535410</t>
  </si>
  <si>
    <t>795041732</t>
  </si>
  <si>
    <t>Z4 B74 2014</t>
  </si>
  <si>
    <t>0                      Z  0004000B  74          2014</t>
  </si>
  <si>
    <t>The visible text : textual production and reproduction from Beowulf to Maus / Thomas A. Bredehoft.</t>
  </si>
  <si>
    <t>Bredehoft, Thomas A.</t>
  </si>
  <si>
    <t>Oxford, United Kingdom : Oxford University Press, 2014.</t>
  </si>
  <si>
    <t>Oxford textual perspectives</t>
  </si>
  <si>
    <t>1356298785:eng</t>
  </si>
  <si>
    <t>869525975</t>
  </si>
  <si>
    <t>ocn869525975</t>
  </si>
  <si>
    <t>3103608337Y</t>
  </si>
  <si>
    <t>9780199603169</t>
  </si>
  <si>
    <t>794965546</t>
  </si>
  <si>
    <t>Z4 B765 2015</t>
  </si>
  <si>
    <t>0                      Z  0004000B  765         2015</t>
  </si>
  <si>
    <t>The Broadview reader in book history / edited by Michelle Levy &amp; Tom Mole.</t>
  </si>
  <si>
    <t>Peterborough, Ontario : Broadview Press, [2014]</t>
  </si>
  <si>
    <t>2019-05-09</t>
  </si>
  <si>
    <t>2266484859:eng</t>
  </si>
  <si>
    <t>866103385</t>
  </si>
  <si>
    <t>ocn866103385</t>
  </si>
  <si>
    <t>3103758920R</t>
  </si>
  <si>
    <t>9781554810888</t>
  </si>
  <si>
    <t>794963361</t>
  </si>
  <si>
    <t>2019-04-16</t>
  </si>
  <si>
    <t>3103495668$</t>
  </si>
  <si>
    <t>794963362</t>
  </si>
  <si>
    <t>Z4 B8</t>
  </si>
  <si>
    <t>0                      Z  0004000B  8</t>
  </si>
  <si>
    <t>From papyrus to print, a bibliographical miscellany, by George Herbert Bushnell ...</t>
  </si>
  <si>
    <t>Bushnell, George Herbert, 1896-1973.</t>
  </si>
  <si>
    <t>London, Grafton &amp; Co., 1947.</t>
  </si>
  <si>
    <t>1947</t>
  </si>
  <si>
    <t>2019-08-22</t>
  </si>
  <si>
    <t>21416083:eng</t>
  </si>
  <si>
    <t>6221068</t>
  </si>
  <si>
    <t>ocm06221068</t>
  </si>
  <si>
    <t>3103761394E</t>
  </si>
  <si>
    <t>792483925</t>
  </si>
  <si>
    <t>Z4 C26 2015</t>
  </si>
  <si>
    <t>0                      Z  0004000C  26          2015</t>
  </si>
  <si>
    <t>The Cambridge companion to the history of the book / edited by Leslie Howsam.</t>
  </si>
  <si>
    <t>Cambridge ; New York : Cambridge University Press, 2015.</t>
  </si>
  <si>
    <t>2015</t>
  </si>
  <si>
    <t>Cambridge companions to topics</t>
  </si>
  <si>
    <t>2031589743:eng</t>
  </si>
  <si>
    <t>890912093</t>
  </si>
  <si>
    <t>ocn890912093</t>
  </si>
  <si>
    <t>3103612610T</t>
  </si>
  <si>
    <t>9781107023734</t>
  </si>
  <si>
    <t>794979694</t>
  </si>
  <si>
    <t>Z4 C3</t>
  </si>
  <si>
    <t>0                      Z  0004000C  3</t>
  </si>
  <si>
    <t>Printing and the mind of man : a descriptive catalogue illustrating the impact of print on the evolution of Western civilization during five centuries / compiled and edited by John Carter &amp; Percy H. Muir ; assisted by Nicolas Barker, H.A. Feisenberger, Howard Nixon and S.H. Steinberg ; with an introductory essay by Denys Hay.</t>
  </si>
  <si>
    <t>Carter, John, 1905-1975.</t>
  </si>
  <si>
    <t>London : Cassell ; New York : Holt, Rinehart &amp; Winston, 1967.</t>
  </si>
  <si>
    <t>1967</t>
  </si>
  <si>
    <t>First edition</t>
  </si>
  <si>
    <t>2016-08-18</t>
  </si>
  <si>
    <t>2019-02-12</t>
  </si>
  <si>
    <t>1848022426:eng</t>
  </si>
  <si>
    <t>576854</t>
  </si>
  <si>
    <t>ocm00576854</t>
  </si>
  <si>
    <t>3102915664G</t>
  </si>
  <si>
    <t>791419320</t>
  </si>
  <si>
    <t>Z4 C39 2014</t>
  </si>
  <si>
    <t>0                      Z  0004000C  39          2014</t>
  </si>
  <si>
    <t>A history of the book in 100 books / Roderick Cave &amp; Sara Ayad.</t>
  </si>
  <si>
    <t>Cave, Roderick.</t>
  </si>
  <si>
    <t>London : The British Library, 2014.</t>
  </si>
  <si>
    <t>2019-03-15</t>
  </si>
  <si>
    <t>1784554989:eng</t>
  </si>
  <si>
    <t>884243226</t>
  </si>
  <si>
    <t>ocn884243226</t>
  </si>
  <si>
    <t>31035800247</t>
  </si>
  <si>
    <t>9780712357562</t>
  </si>
  <si>
    <t>794976188</t>
  </si>
  <si>
    <t>Z4 C73 2007</t>
  </si>
  <si>
    <t>0                      Z  0004000C  73          2007</t>
  </si>
  <si>
    <t>A companion to the history of the book / edited by Simon Eliot and Jonathan Rose.</t>
  </si>
  <si>
    <t>Malden, MA : Blackwell Pub., 2007.</t>
  </si>
  <si>
    <t>2007</t>
  </si>
  <si>
    <t>Blackwell companions to literature and culture ; 48</t>
  </si>
  <si>
    <t>766881420:eng</t>
  </si>
  <si>
    <t>86115301</t>
  </si>
  <si>
    <t>ocm86115301</t>
  </si>
  <si>
    <t>31026435113</t>
  </si>
  <si>
    <t>9781405127653</t>
  </si>
  <si>
    <t>794218553</t>
  </si>
  <si>
    <t>Z4 D133</t>
  </si>
  <si>
    <t>0                      Z  0004000D  133</t>
  </si>
  <si>
    <t>History of the book / by Svend Dahl.</t>
  </si>
  <si>
    <t>Dahl, Svend, 1887-1963.</t>
  </si>
  <si>
    <t>New York : Scarecrow Press, 1958.</t>
  </si>
  <si>
    <t>1958</t>
  </si>
  <si>
    <t>1st English ed.</t>
  </si>
  <si>
    <t>2019-09-05</t>
  </si>
  <si>
    <t>6115030:eng</t>
  </si>
  <si>
    <t>575689</t>
  </si>
  <si>
    <t>ocm00575689</t>
  </si>
  <si>
    <t>3000645848Y</t>
  </si>
  <si>
    <t>791418977</t>
  </si>
  <si>
    <t>Z4 D133 1968</t>
  </si>
  <si>
    <t>0                      Z  0004000D  133         1968</t>
  </si>
  <si>
    <t>Metuchen, N.J. : Scarecrow Press, 1968.</t>
  </si>
  <si>
    <t>1968</t>
  </si>
  <si>
    <t>2nd English ed.</t>
  </si>
  <si>
    <t>2016-10-03</t>
  </si>
  <si>
    <t>437356</t>
  </si>
  <si>
    <t>ocm00437356</t>
  </si>
  <si>
    <t>3000852238J</t>
  </si>
  <si>
    <t>791378147</t>
  </si>
  <si>
    <t>Z4 D57 2011</t>
  </si>
  <si>
    <t>0                      Z  0004000D  57          2011</t>
  </si>
  <si>
    <t>Le discours du livre : mise en scène du texte et fabrique de l'oeuvre sous l'Ancien régime / études réunies par Anna Arzoumanov, Anne Réach-Ngô et Trung Tran.</t>
  </si>
  <si>
    <t>Paris : Classiques Garnier, 2011.</t>
  </si>
  <si>
    <t>2011</t>
  </si>
  <si>
    <t>Études et essais sur la Renaissance, 2105-8814 ; 93</t>
  </si>
  <si>
    <t>1073495325:fre</t>
  </si>
  <si>
    <t>761846702</t>
  </si>
  <si>
    <t>ocn761846702</t>
  </si>
  <si>
    <t>3103555092P</t>
  </si>
  <si>
    <t>9782812403095</t>
  </si>
  <si>
    <t>794899598</t>
  </si>
  <si>
    <t>Z4 D75 1935</t>
  </si>
  <si>
    <t>0                      Z  0004000D  75          1935</t>
  </si>
  <si>
    <t>The story of books [by] Robert Bingham Downs ...</t>
  </si>
  <si>
    <t>Downs, Robert B. (Robert Bingham), 1903-1991.</t>
  </si>
  <si>
    <t>Chapel Hill, N.C., The University of North Carolina Press [1935]</t>
  </si>
  <si>
    <t>1935</t>
  </si>
  <si>
    <t>The University of North Carolina. Library extension publication, v. 1, no. 6</t>
  </si>
  <si>
    <t>251578126:eng</t>
  </si>
  <si>
    <t>2194857</t>
  </si>
  <si>
    <t>ocm02194857</t>
  </si>
  <si>
    <t>3000864683J</t>
  </si>
  <si>
    <t>792065237</t>
  </si>
  <si>
    <t>Z4 E25 2008</t>
  </si>
  <si>
    <t>0                      Z  0004000E  25          2008</t>
  </si>
  <si>
    <t>Printing the Middle Ages / Siân Echard.</t>
  </si>
  <si>
    <t>Echard, Siân.</t>
  </si>
  <si>
    <t>Philadelphia : PENN/University of Pennsylvania Press, ©2008.</t>
  </si>
  <si>
    <t>Material texts</t>
  </si>
  <si>
    <t>2019-04-14</t>
  </si>
  <si>
    <t>117302323:eng</t>
  </si>
  <si>
    <t>183261771</t>
  </si>
  <si>
    <t>ocn183261771</t>
  </si>
  <si>
    <t>3102972788S</t>
  </si>
  <si>
    <t>9780812240917</t>
  </si>
  <si>
    <t>794287427</t>
  </si>
  <si>
    <t>Z4 E76</t>
  </si>
  <si>
    <t>0                      Z  0004000E  76</t>
  </si>
  <si>
    <t>Manoscritto, libro a stampa, biblioteca.</t>
  </si>
  <si>
    <t>Esposito, Enzo.</t>
  </si>
  <si>
    <t>Ravenna, A. Longo, 1973.</t>
  </si>
  <si>
    <t>1973</t>
  </si>
  <si>
    <t>ita</t>
  </si>
  <si>
    <t>Il Portico, 45. Sezione Letteratura italiana</t>
  </si>
  <si>
    <t>2017-04-09</t>
  </si>
  <si>
    <t>9093629954:ita</t>
  </si>
  <si>
    <t>869506</t>
  </si>
  <si>
    <t>ocm00869506</t>
  </si>
  <si>
    <t>3000434123T</t>
  </si>
  <si>
    <t>791491119</t>
  </si>
  <si>
    <t>Z4 F39 1986</t>
  </si>
  <si>
    <t>0                      Z  0004000F  39          1986</t>
  </si>
  <si>
    <t>The history of books and libraries : two views / John P. Feather and David McKitterick.</t>
  </si>
  <si>
    <t>Feather, John.</t>
  </si>
  <si>
    <t>Washington, DC : Library of Congress, 1986.</t>
  </si>
  <si>
    <t>1986</t>
  </si>
  <si>
    <t>The Center for the Book viewpoint series ; no. 16</t>
  </si>
  <si>
    <t>2018-05-02</t>
  </si>
  <si>
    <t>5608870213:eng</t>
  </si>
  <si>
    <t>13395344</t>
  </si>
  <si>
    <t>ocm13395344</t>
  </si>
  <si>
    <t>31027685114</t>
  </si>
  <si>
    <t>9780844405261</t>
  </si>
  <si>
    <t>792851791</t>
  </si>
  <si>
    <t>Z4 F4 1999</t>
  </si>
  <si>
    <t>0                      Z  0004000F  4           1999</t>
  </si>
  <si>
    <t>L'apparition du livre / Lucien Febvre, Henri-Jean Martin, avec le concours de Anne Basanoff et al.</t>
  </si>
  <si>
    <t>Febvre, Lucien, 1878-1956.</t>
  </si>
  <si>
    <t>Paris : Albin Michel, 1999.</t>
  </si>
  <si>
    <t>1999</t>
  </si>
  <si>
    <t>Évolution de l'humanité ; 33</t>
  </si>
  <si>
    <t>2019-01-18</t>
  </si>
  <si>
    <t>349782694:fre</t>
  </si>
  <si>
    <t>222577902</t>
  </si>
  <si>
    <t>ocn222577902</t>
  </si>
  <si>
    <t>3102870723H</t>
  </si>
  <si>
    <t>9782226106896</t>
  </si>
  <si>
    <t>794332234</t>
  </si>
  <si>
    <t>Z4 F413 1976</t>
  </si>
  <si>
    <t>0                      Z  0004000F  413         1976</t>
  </si>
  <si>
    <t>The coming of the book : the impact of printing 1450-1800 / Lucien Febvre and Henri-Jean Martin ; translated by David Gerard ; edited by Geoffrey Nowell-Smith and David Wootton.</t>
  </si>
  <si>
    <t>London : N.L.B., 1976.</t>
  </si>
  <si>
    <t>1976</t>
  </si>
  <si>
    <t>[New ed.].</t>
  </si>
  <si>
    <t>The foundations of history library</t>
  </si>
  <si>
    <t>2016-08-07</t>
  </si>
  <si>
    <t>2017-07-31</t>
  </si>
  <si>
    <t>4915136635:eng</t>
  </si>
  <si>
    <t>2379181</t>
  </si>
  <si>
    <t>ocm02379181</t>
  </si>
  <si>
    <t>3102823836P</t>
  </si>
  <si>
    <t>9780902308176</t>
  </si>
  <si>
    <t>792113104</t>
  </si>
  <si>
    <t>31024561238</t>
  </si>
  <si>
    <t>792113103</t>
  </si>
  <si>
    <t>Z4 F413 1997</t>
  </si>
  <si>
    <t>0                      Z  0004000F  413         1997</t>
  </si>
  <si>
    <t>London : Verso, 1997.</t>
  </si>
  <si>
    <t>1997</t>
  </si>
  <si>
    <t>Verso classics ; 10</t>
  </si>
  <si>
    <t>2019-09-26</t>
  </si>
  <si>
    <t>37324725</t>
  </si>
  <si>
    <t>ocm37324725</t>
  </si>
  <si>
    <t>3102844644F</t>
  </si>
  <si>
    <t>9781859841082</t>
  </si>
  <si>
    <t>793495970</t>
  </si>
  <si>
    <t>Z4 F49 2005</t>
  </si>
  <si>
    <t>0                      Z  0004000F  49          2005</t>
  </si>
  <si>
    <t>An introduction to book history / David Finkelstein and Alistair McCleery.</t>
  </si>
  <si>
    <t>Finkelstein, David, 1964-</t>
  </si>
  <si>
    <t>New York : Routledge, 2005.</t>
  </si>
  <si>
    <t>2005</t>
  </si>
  <si>
    <t>2016-08-15</t>
  </si>
  <si>
    <t>418292:eng</t>
  </si>
  <si>
    <t>57391942</t>
  </si>
  <si>
    <t>ocm57391942</t>
  </si>
  <si>
    <t>3102519952H</t>
  </si>
  <si>
    <t>9780415314428</t>
  </si>
  <si>
    <t>793911989</t>
  </si>
  <si>
    <t>Z4 F49 2012</t>
  </si>
  <si>
    <t>0                      Z  0004000F  49          2012</t>
  </si>
  <si>
    <t>London ; New York : Routledge, 2012.</t>
  </si>
  <si>
    <t>2019-10-10</t>
  </si>
  <si>
    <t>797975935</t>
  </si>
  <si>
    <t>ocn797975935</t>
  </si>
  <si>
    <t>3103581213$</t>
  </si>
  <si>
    <t>9780415688062</t>
  </si>
  <si>
    <t>794922948</t>
  </si>
  <si>
    <t>Z4 F55</t>
  </si>
  <si>
    <t>0                      Z  0004000F  55</t>
  </si>
  <si>
    <t>L'univers des livres; étude historique des origines à la fin du XVIIIe siècle.</t>
  </si>
  <si>
    <t>Flocon, Albert.</t>
  </si>
  <si>
    <t>Paris, Hermann [1961]</t>
  </si>
  <si>
    <t>1961</t>
  </si>
  <si>
    <t>2018-06-05</t>
  </si>
  <si>
    <t>365489576:fre</t>
  </si>
  <si>
    <t>2013752</t>
  </si>
  <si>
    <t>ocm02013752</t>
  </si>
  <si>
    <t>31020945375</t>
  </si>
  <si>
    <t>792028639</t>
  </si>
  <si>
    <t>Z4 H32</t>
  </si>
  <si>
    <t>0                      Z  0004000H  32</t>
  </si>
  <si>
    <t>A book about books, by Frederick Harrison.</t>
  </si>
  <si>
    <t>Harrison, Frederick, 1884-</t>
  </si>
  <si>
    <t>London, J. Murray [1943]</t>
  </si>
  <si>
    <t>1943</t>
  </si>
  <si>
    <t>2015-01-29</t>
  </si>
  <si>
    <t>2154162:eng</t>
  </si>
  <si>
    <t>1246246</t>
  </si>
  <si>
    <t>ocm01246246</t>
  </si>
  <si>
    <t>3103602101J</t>
  </si>
  <si>
    <t>791582697</t>
  </si>
  <si>
    <t>Z4 H53 no. 3</t>
  </si>
  <si>
    <t>0                      Z  0004000H  53                                                      no. 3</t>
  </si>
  <si>
    <t>Livre, pouvoirs et société à Paris au 17e siècle (1598-1701).</t>
  </si>
  <si>
    <t>V. 1</t>
  </si>
  <si>
    <t>Martin, Henri-Jean, 1924-2007.</t>
  </si>
  <si>
    <t>Genève, Droz, 1969.</t>
  </si>
  <si>
    <t>1969</t>
  </si>
  <si>
    <t>Histoire et civilisation du livre, 3</t>
  </si>
  <si>
    <t>2018-04-30</t>
  </si>
  <si>
    <t>3901457060:fre</t>
  </si>
  <si>
    <t>265498</t>
  </si>
  <si>
    <t>ocm00265498</t>
  </si>
  <si>
    <t>3103387957W</t>
  </si>
  <si>
    <t>791315936</t>
  </si>
  <si>
    <t>V. 2</t>
  </si>
  <si>
    <t>3100849804A</t>
  </si>
  <si>
    <t>791315935</t>
  </si>
  <si>
    <t>Z4 H53 no. 5</t>
  </si>
  <si>
    <t>0                      Z  0004000H  53                                                      no. 5</t>
  </si>
  <si>
    <t>Claude Barbin, libraire de Paris sous le règne de Louis XIV / Gervais E. Reed.</t>
  </si>
  <si>
    <t>no. 5*</t>
  </si>
  <si>
    <t>Reed, Gervais E.</t>
  </si>
  <si>
    <t>Genève ; Paris : Droz, 1974.</t>
  </si>
  <si>
    <t>1974</t>
  </si>
  <si>
    <t>Histoire et civilisation du livre ; 5</t>
  </si>
  <si>
    <t>2015-10-08</t>
  </si>
  <si>
    <t>2202562:fre</t>
  </si>
  <si>
    <t>1274326</t>
  </si>
  <si>
    <t>ocm01274326</t>
  </si>
  <si>
    <t>3000452302R</t>
  </si>
  <si>
    <t>791589530</t>
  </si>
  <si>
    <t>Z4 H57 2010</t>
  </si>
  <si>
    <t>0                      Z  0004000H  57          2010</t>
  </si>
  <si>
    <t>The history of the book in the West : a library of critical essays / series editor, Alexis Weedon.</t>
  </si>
  <si>
    <t>v.3</t>
  </si>
  <si>
    <t>Farnham, Surrey ; Burlington, VT : Ashgate, ©2010.</t>
  </si>
  <si>
    <t>2010</t>
  </si>
  <si>
    <t>2019-04-26</t>
  </si>
  <si>
    <t>4915184206:eng</t>
  </si>
  <si>
    <t>614857304</t>
  </si>
  <si>
    <t>ocn614857304</t>
  </si>
  <si>
    <t>3103249357V</t>
  </si>
  <si>
    <t>9780754627807</t>
  </si>
  <si>
    <t>794822632</t>
  </si>
  <si>
    <t>v.5</t>
  </si>
  <si>
    <t>3103249367T</t>
  </si>
  <si>
    <t>794822630</t>
  </si>
  <si>
    <t>v.4</t>
  </si>
  <si>
    <t>3103249362T</t>
  </si>
  <si>
    <t>794822631</t>
  </si>
  <si>
    <t>v.1</t>
  </si>
  <si>
    <t>2016-08-10</t>
  </si>
  <si>
    <t>3103255822X</t>
  </si>
  <si>
    <t>794822634</t>
  </si>
  <si>
    <t>v.2</t>
  </si>
  <si>
    <t>3103255827X</t>
  </si>
  <si>
    <t>794822633</t>
  </si>
  <si>
    <t>Z4 H68 2016</t>
  </si>
  <si>
    <t>0                      Z  0004000H  68          2016</t>
  </si>
  <si>
    <t>The book : a cover-to-cover exploration of the most powerful object of our time / Keith Houston.</t>
  </si>
  <si>
    <t>Houston, Keith, 1977- author.</t>
  </si>
  <si>
    <t>New York : W.W. Norton &amp; Company, [2016]</t>
  </si>
  <si>
    <t>2016</t>
  </si>
  <si>
    <t>2019-04-09</t>
  </si>
  <si>
    <t>2019-04-08</t>
  </si>
  <si>
    <t>3805365642:eng</t>
  </si>
  <si>
    <t>956980330</t>
  </si>
  <si>
    <t>ocn956980330</t>
  </si>
  <si>
    <t>3103656859L</t>
  </si>
  <si>
    <t>9780393244793</t>
  </si>
  <si>
    <t>795020561</t>
  </si>
  <si>
    <t>Z4 H69 2009</t>
  </si>
  <si>
    <t>0                      Z  0004000H  69          2009</t>
  </si>
  <si>
    <t>The book : the life story of a technology / Nicole Howard.</t>
  </si>
  <si>
    <t>Howard, Nicole.</t>
  </si>
  <si>
    <t>Baltimore : Johns Hopkins University Press, 2009.</t>
  </si>
  <si>
    <t>2009</t>
  </si>
  <si>
    <t>Johns Hopkins pbk. ed.</t>
  </si>
  <si>
    <t>2017-05-09</t>
  </si>
  <si>
    <t>43760425:eng</t>
  </si>
  <si>
    <t>320193701</t>
  </si>
  <si>
    <t>ocn320193701</t>
  </si>
  <si>
    <t>3103629118T</t>
  </si>
  <si>
    <t>9780801893117</t>
  </si>
  <si>
    <t>794485521</t>
  </si>
  <si>
    <t>Z4 H697 2006</t>
  </si>
  <si>
    <t>0                      Z  0004000H  697         2006</t>
  </si>
  <si>
    <t>Old books and new histories : an orientation to studies in book and print culture / Leslie Howsam.</t>
  </si>
  <si>
    <t>Howsam, Leslie.</t>
  </si>
  <si>
    <t>Toronto ; Buffalo : University of Toronto Press, ©2006.</t>
  </si>
  <si>
    <t>Studies in book and print culture</t>
  </si>
  <si>
    <t>2018-08-09</t>
  </si>
  <si>
    <t>864043664:eng</t>
  </si>
  <si>
    <t>67860121</t>
  </si>
  <si>
    <t>ocm67860121</t>
  </si>
  <si>
    <t>3102552128I</t>
  </si>
  <si>
    <t>9780802091963</t>
  </si>
  <si>
    <t>794141607</t>
  </si>
  <si>
    <t>Z4 L59 2017</t>
  </si>
  <si>
    <t>0                      Z  0004000L  59          2017</t>
  </si>
  <si>
    <t>The Broadview introduction to book history / Michelle Levy &amp; Tom Mole.</t>
  </si>
  <si>
    <t>Levy, Michelle, 1968- author.</t>
  </si>
  <si>
    <t>Peterborough, Ontario, Canada : Broadview Press, [2017]</t>
  </si>
  <si>
    <t>2017</t>
  </si>
  <si>
    <t>2019-01-07</t>
  </si>
  <si>
    <t>4477557002:eng</t>
  </si>
  <si>
    <t>964384026</t>
  </si>
  <si>
    <t>ocn964384026</t>
  </si>
  <si>
    <t>31037018545</t>
  </si>
  <si>
    <t>9781554810871</t>
  </si>
  <si>
    <t>795025207</t>
  </si>
  <si>
    <t>Z4 L592 2012</t>
  </si>
  <si>
    <t>0                      Z  0004000L  592         2012</t>
  </si>
  <si>
    <t>Le livre au corps / édition établie sous la direction d'Alain Milon et Marc Perelman.</t>
  </si>
  <si>
    <t>[Nanterre] : Presses universitaires de Paris Ouest, 2012.</t>
  </si>
  <si>
    <t>Livre et société</t>
  </si>
  <si>
    <t>1209551950:fre</t>
  </si>
  <si>
    <t>829852785</t>
  </si>
  <si>
    <t>ocn829852785</t>
  </si>
  <si>
    <t>3103552651R</t>
  </si>
  <si>
    <t>9782840161271</t>
  </si>
  <si>
    <t>794942789</t>
  </si>
  <si>
    <t>Z4 L959 2011</t>
  </si>
  <si>
    <t>0                      Z  0004000L  959         2011</t>
  </si>
  <si>
    <t>Books : a living history / by Martyn Lyons.</t>
  </si>
  <si>
    <t>Lyons, Martyn.</t>
  </si>
  <si>
    <t>London : Thames &amp; Hudson, 2011.</t>
  </si>
  <si>
    <t>2016-04-11</t>
  </si>
  <si>
    <t>815001888:eng</t>
  </si>
  <si>
    <t>733723690</t>
  </si>
  <si>
    <t>ocn733723690</t>
  </si>
  <si>
    <t>3103405101Y</t>
  </si>
  <si>
    <t>9780500251652</t>
  </si>
  <si>
    <t>794882175</t>
  </si>
  <si>
    <t>Z4 L96 2010</t>
  </si>
  <si>
    <t>0                      Z  0004000L  96          2010</t>
  </si>
  <si>
    <t>A history of reading and writing in the Western world / Martyn Lyons.</t>
  </si>
  <si>
    <t>Houndmills, Basingstoke, Hampshire ; New York : Palgrave Macmillan, 2010.</t>
  </si>
  <si>
    <t>2016-11-08</t>
  </si>
  <si>
    <t>347136367:eng</t>
  </si>
  <si>
    <t>423584406</t>
  </si>
  <si>
    <t>ocn423584406</t>
  </si>
  <si>
    <t>31031582484</t>
  </si>
  <si>
    <t>9780230001619</t>
  </si>
  <si>
    <t>794506218</t>
  </si>
  <si>
    <t>Z4 M15 1943</t>
  </si>
  <si>
    <t>0                      Z  0004000M  15          1943</t>
  </si>
  <si>
    <t>The book : the story of printing &amp; bookmaking / by Douglas C. McMurtrie.</t>
  </si>
  <si>
    <t>McMurtrie, Douglas C. (Douglas Crawford), 1888-1944.</t>
  </si>
  <si>
    <t>New York : Oxford University Press, ©1943.</t>
  </si>
  <si>
    <t>3rd rev. ed. under present title.</t>
  </si>
  <si>
    <t>2017-11-13</t>
  </si>
  <si>
    <t>414624:eng</t>
  </si>
  <si>
    <t>1387180</t>
  </si>
  <si>
    <t>ocm01387180</t>
  </si>
  <si>
    <t>31030033827</t>
  </si>
  <si>
    <t>791615215</t>
  </si>
  <si>
    <t>Z4 M3</t>
  </si>
  <si>
    <t>0                      Z  0004000M  3</t>
  </si>
  <si>
    <t>An introduction to bibliography for literary students, by Ronald B. McKerrow.</t>
  </si>
  <si>
    <t>McKerrow, R. B. (Ronald Brunlees), 1872-1940.</t>
  </si>
  <si>
    <t>Oxford : At the Clarendon Press, 1962.</t>
  </si>
  <si>
    <t>907954528:eng</t>
  </si>
  <si>
    <t>352788112</t>
  </si>
  <si>
    <t>ocn352788112</t>
  </si>
  <si>
    <t>31036440812</t>
  </si>
  <si>
    <t>794491868</t>
  </si>
  <si>
    <t>Z4 M35 1943</t>
  </si>
  <si>
    <t>0                      Z  0004000M  35          1943</t>
  </si>
  <si>
    <t>2011-10-05</t>
  </si>
  <si>
    <t>3000852380G</t>
  </si>
  <si>
    <t>791615214</t>
  </si>
  <si>
    <t>Z4 M43 2014</t>
  </si>
  <si>
    <t>0                      Z  0004000M  43          2014</t>
  </si>
  <si>
    <t>Material moments in book cultures : essays in honour of Gabriele Müller-Oberhäuser / edited by Simon Rosenberg and Sandra Simon.</t>
  </si>
  <si>
    <t>Frankfurt am Main ; New York : Peter Lang Edition, [2014]</t>
  </si>
  <si>
    <t>2015-07-17</t>
  </si>
  <si>
    <t>2085798782:eng</t>
  </si>
  <si>
    <t>891941605</t>
  </si>
  <si>
    <t>ocn891941605</t>
  </si>
  <si>
    <t>3103610012M</t>
  </si>
  <si>
    <t>9783631647943</t>
  </si>
  <si>
    <t>794980533</t>
  </si>
  <si>
    <t>Z4 M68 2010</t>
  </si>
  <si>
    <t>0                      Z  0004000M  68          2010</t>
  </si>
  <si>
    <t>Moveable type, mobile nations : interactions in transnational book history / editors Simon Frost &amp; Robert W. Rix.</t>
  </si>
  <si>
    <t>Copenhagen : Museum Tusculanum Press, 2010.</t>
  </si>
  <si>
    <t>Angles on the English-speaking world ; v. 10</t>
  </si>
  <si>
    <t>865058271:eng</t>
  </si>
  <si>
    <t>665868976</t>
  </si>
  <si>
    <t>ocn665868976</t>
  </si>
  <si>
    <t>3103313613Q</t>
  </si>
  <si>
    <t>9788763535106</t>
  </si>
  <si>
    <t>794844792</t>
  </si>
  <si>
    <t>Z4 N56</t>
  </si>
  <si>
    <t>0                      Z  0004000N  56</t>
  </si>
  <si>
    <t>The story of the recorded word.</t>
  </si>
  <si>
    <t>New York Times Company, author.</t>
  </si>
  <si>
    <t>New York : The New York Times Company, [1939]</t>
  </si>
  <si>
    <t>1939</t>
  </si>
  <si>
    <t>2138627:eng</t>
  </si>
  <si>
    <t>1185578</t>
  </si>
  <si>
    <t>ocm01185578</t>
  </si>
  <si>
    <t>3000782815X</t>
  </si>
  <si>
    <t>791567523</t>
  </si>
  <si>
    <t>Z4 O66</t>
  </si>
  <si>
    <t>0                      Z  0004000O  66</t>
  </si>
  <si>
    <t>The magic of the book; more reminiscences and adventures of a bookman, by William Dana Orcutt.</t>
  </si>
  <si>
    <t>Orcutt, William Dana, 1870-1953.</t>
  </si>
  <si>
    <t>Boston, Little, Brown &amp; Company, 1930.</t>
  </si>
  <si>
    <t>1930</t>
  </si>
  <si>
    <t>2011-10-18</t>
  </si>
  <si>
    <t>2017-11-01</t>
  </si>
  <si>
    <t>1257419:eng</t>
  </si>
  <si>
    <t>1011943546</t>
  </si>
  <si>
    <t>on1011943546</t>
  </si>
  <si>
    <t>3000646160U</t>
  </si>
  <si>
    <t>795046088</t>
  </si>
  <si>
    <t>Z4 O74 2015</t>
  </si>
  <si>
    <t>0                      Z  0004000O  74          2015</t>
  </si>
  <si>
    <t>The reader in the book : a study of spaces and traces / Stephen Orgel.</t>
  </si>
  <si>
    <t>Orgel, Stephen, author.</t>
  </si>
  <si>
    <t>Oxford, United Kingdom : Oxford University Press, 2015.</t>
  </si>
  <si>
    <t>2017-11-06</t>
  </si>
  <si>
    <t>2501951754:eng</t>
  </si>
  <si>
    <t>907661319</t>
  </si>
  <si>
    <t>ocn907661319</t>
  </si>
  <si>
    <t>3103608632W</t>
  </si>
  <si>
    <t>9780198737568</t>
  </si>
  <si>
    <t>794993770</t>
  </si>
  <si>
    <t>Z4 O98 2010</t>
  </si>
  <si>
    <t>0                      Z  0004000O  98          2010</t>
  </si>
  <si>
    <t>The Oxford companion to the book / edited by Michael F. Suarez and H.R. Woudhuysen.</t>
  </si>
  <si>
    <t>Oxford ; New York : Oxford University Press, 2010.</t>
  </si>
  <si>
    <t>2019-09-23</t>
  </si>
  <si>
    <t>257205336:eng</t>
  </si>
  <si>
    <t>370356568</t>
  </si>
  <si>
    <t>ocn370356568</t>
  </si>
  <si>
    <t>3103254341B</t>
  </si>
  <si>
    <t>9780198606536</t>
  </si>
  <si>
    <t>794494520</t>
  </si>
  <si>
    <t>2019-09-13</t>
  </si>
  <si>
    <t>3103254336D</t>
  </si>
  <si>
    <t>794494519</t>
  </si>
  <si>
    <t>Z4 P43 2008</t>
  </si>
  <si>
    <t>0                      Z  0004000P  43          2008</t>
  </si>
  <si>
    <t>Books as history : the importance of books beyond their texts / David Pearson.</t>
  </si>
  <si>
    <t>Pearson, David, 1955-</t>
  </si>
  <si>
    <t>London : British Library ; New Castle, DE : Oak Knoll Press, 2008.</t>
  </si>
  <si>
    <t>2016-02-02</t>
  </si>
  <si>
    <t>793079989:eng</t>
  </si>
  <si>
    <t>231724429</t>
  </si>
  <si>
    <t>ocn231724429</t>
  </si>
  <si>
    <t>3103083925Z</t>
  </si>
  <si>
    <t>9781584562337</t>
  </si>
  <si>
    <t>794358024</t>
  </si>
  <si>
    <t>Z4 P43 2011</t>
  </si>
  <si>
    <t>0                      Z  0004000P  43          2011</t>
  </si>
  <si>
    <t>London : British Library ; New Castle, DE : Oak Knoll Press, 2011.</t>
  </si>
  <si>
    <t>Rev. ed.</t>
  </si>
  <si>
    <t>699379077</t>
  </si>
  <si>
    <t>ocn699379077</t>
  </si>
  <si>
    <t>3103408224F</t>
  </si>
  <si>
    <t>9781584562900</t>
  </si>
  <si>
    <t>794861380</t>
  </si>
  <si>
    <t>Z4 P5</t>
  </si>
  <si>
    <t>0                      Z  0004000P  5</t>
  </si>
  <si>
    <t>The world of books in classical antiquity.</t>
  </si>
  <si>
    <t>Pinner, H. L.</t>
  </si>
  <si>
    <t>Leiden, Sijthoff, 1958.</t>
  </si>
  <si>
    <t>2d ed.</t>
  </si>
  <si>
    <t>15079504:eng</t>
  </si>
  <si>
    <t>8156384</t>
  </si>
  <si>
    <t>ocm08156384</t>
  </si>
  <si>
    <t>3000853856P</t>
  </si>
  <si>
    <t>792602362</t>
  </si>
  <si>
    <t>Z4 R237 2018</t>
  </si>
  <si>
    <t>0                      Z  0004000R  237         2018</t>
  </si>
  <si>
    <t>What is the history of the book? / James Raven.</t>
  </si>
  <si>
    <t>Raven, James, 1959- author.</t>
  </si>
  <si>
    <t>Cambridge, UK ; Medford, MA, USA : Polity Press, 2018.</t>
  </si>
  <si>
    <t>What is history? series</t>
  </si>
  <si>
    <t>2019-11-24</t>
  </si>
  <si>
    <t>4458930108:eng</t>
  </si>
  <si>
    <t>1000581533</t>
  </si>
  <si>
    <t>on1000581533</t>
  </si>
  <si>
    <t>3103741102S</t>
  </si>
  <si>
    <t>9780745641614</t>
  </si>
  <si>
    <t>795040252</t>
  </si>
  <si>
    <t>Z4 R4</t>
  </si>
  <si>
    <t>0                      Z  0004000R  4</t>
  </si>
  <si>
    <t>Reader in the history of books and printing / edited by Paul A. Winckler.</t>
  </si>
  <si>
    <t>Englewood, Colo. : Information Handling Services, ©1978.</t>
  </si>
  <si>
    <t>1978</t>
  </si>
  <si>
    <t>Readers in librarianship and information science ; 26</t>
  </si>
  <si>
    <t>2019-11-26</t>
  </si>
  <si>
    <t>556541:eng</t>
  </si>
  <si>
    <t>4003931</t>
  </si>
  <si>
    <t>ocm04003931</t>
  </si>
  <si>
    <t>3102767307G</t>
  </si>
  <si>
    <t>9780910972789</t>
  </si>
  <si>
    <t>792312925</t>
  </si>
  <si>
    <t>Z4 R43 2011</t>
  </si>
  <si>
    <t>0                      Z  0004000R  43          2011</t>
  </si>
  <si>
    <t>Readings on audience and textual materiality / edited by Graham Allen, Carrie Griffin and Mary O'Connell.</t>
  </si>
  <si>
    <t>London ; Brookfield, Vermont : Pickering &amp; Chatto, 2011.</t>
  </si>
  <si>
    <t>History of the book ; no. 8</t>
  </si>
  <si>
    <t>766150970:eng</t>
  </si>
  <si>
    <t>693704895</t>
  </si>
  <si>
    <t>ocn693704895</t>
  </si>
  <si>
    <t>31033634295</t>
  </si>
  <si>
    <t>9781848931596</t>
  </si>
  <si>
    <t>794856676</t>
  </si>
  <si>
    <t>Z4 R53</t>
  </si>
  <si>
    <t>0                      Z  0004000R  53</t>
  </si>
  <si>
    <t>Books.</t>
  </si>
  <si>
    <t>Rickard, T. A. (Thomas Arthur), 1864-1953.</t>
  </si>
  <si>
    <t>Denver, The Society, 1923.</t>
  </si>
  <si>
    <t>1923</t>
  </si>
  <si>
    <t>16065087:eng</t>
  </si>
  <si>
    <t>427246316</t>
  </si>
  <si>
    <t>ocn427246316</t>
  </si>
  <si>
    <t>3000795438G</t>
  </si>
  <si>
    <t>794551044</t>
  </si>
  <si>
    <t>Z4 R535</t>
  </si>
  <si>
    <t>0                      Z  0004000R  535</t>
  </si>
  <si>
    <t>A story of books and libraries / by Alice Damon Rider.</t>
  </si>
  <si>
    <t>Rider, Alice Damon, 1895-</t>
  </si>
  <si>
    <t>Metuchen, N.J. : Scarecrow Press, 1976.</t>
  </si>
  <si>
    <t>4187797:eng</t>
  </si>
  <si>
    <t>2091581</t>
  </si>
  <si>
    <t>ocm02091581</t>
  </si>
  <si>
    <t>3000853859J</t>
  </si>
  <si>
    <t>9780810809307</t>
  </si>
  <si>
    <t>792043799</t>
  </si>
  <si>
    <t>Z4 R62 2014</t>
  </si>
  <si>
    <t>0                      Z  0004000R  62          2014</t>
  </si>
  <si>
    <t>The book in society : an introduction to print culture / Solveig C. Robinson.</t>
  </si>
  <si>
    <t>Robinson, Solveig C., 1962- author.</t>
  </si>
  <si>
    <t>Peterborough, Ontario, Canada : Broadview Press, [2014]</t>
  </si>
  <si>
    <t>1748595886:eng</t>
  </si>
  <si>
    <t>861535351</t>
  </si>
  <si>
    <t>ocn861535351</t>
  </si>
  <si>
    <t>3103646535G</t>
  </si>
  <si>
    <t>9781554810741</t>
  </si>
  <si>
    <t>794959296</t>
  </si>
  <si>
    <t>Z4 R67 2018</t>
  </si>
  <si>
    <t>0                      Z  0004000R  67          2018</t>
  </si>
  <si>
    <t>Printer's error : irreverent stories from book history / J.P. Romney and Rebecca Romney.</t>
  </si>
  <si>
    <t>Romney, J. P., author.</t>
  </si>
  <si>
    <t>New York, NY : Harper Perennial, [2018]</t>
  </si>
  <si>
    <t>2020-01-13</t>
  </si>
  <si>
    <t>3229097419:eng</t>
  </si>
  <si>
    <t>1090813391</t>
  </si>
  <si>
    <t>on1090813391</t>
  </si>
  <si>
    <t>31038084766</t>
  </si>
  <si>
    <t>9780062412324</t>
  </si>
  <si>
    <t>795080102</t>
  </si>
  <si>
    <t>Z4 S28 2006</t>
  </si>
  <si>
    <t>0                      Z  0004000S  28          2006</t>
  </si>
  <si>
    <t>Qu'est-ce qu'un livre? : de la page blanche à l'achevé d'imprimer / Madeleine Sauvé.</t>
  </si>
  <si>
    <t>Sauvé, Madeleine, 1924-</t>
  </si>
  <si>
    <t>[Saint-Laurent, Québec] : Fides, 2006.</t>
  </si>
  <si>
    <t>2019-06-23</t>
  </si>
  <si>
    <t>62982711:fre</t>
  </si>
  <si>
    <t>70884671</t>
  </si>
  <si>
    <t>ocm70884671</t>
  </si>
  <si>
    <t>31025526263</t>
  </si>
  <si>
    <t>9782762126143</t>
  </si>
  <si>
    <t>794160995</t>
  </si>
  <si>
    <t>Z4 S3865 2014</t>
  </si>
  <si>
    <t>0                      Z  0004000S  3865        2014</t>
  </si>
  <si>
    <t>Le livre / Neri Segrè avec la collaboration de Sonia Lévine.</t>
  </si>
  <si>
    <t>Segrè, Neri.</t>
  </si>
  <si>
    <t>Waterloo : Avant-Propos, [2014]</t>
  </si>
  <si>
    <t>Débats</t>
  </si>
  <si>
    <t>2265097618:fre</t>
  </si>
  <si>
    <t>904238112</t>
  </si>
  <si>
    <t>ocn904238112</t>
  </si>
  <si>
    <t>3103684139A</t>
  </si>
  <si>
    <t>9782930627991</t>
  </si>
  <si>
    <t>794990164</t>
  </si>
  <si>
    <t>Z4 S74 2007</t>
  </si>
  <si>
    <t>0                      Z  0004000S  74          2007</t>
  </si>
  <si>
    <t>Le silence des livres / George Steiner. suivi de Ce vice encore impuni / par Michel Crépu.</t>
  </si>
  <si>
    <t>Steiner, George, 1929- ...</t>
  </si>
  <si>
    <t>Paris : Arléa, impr. 2007</t>
  </si>
  <si>
    <t>Arléa poche ; 108</t>
  </si>
  <si>
    <t>5091297485:fre</t>
  </si>
  <si>
    <t>471004200</t>
  </si>
  <si>
    <t>ocn471004200</t>
  </si>
  <si>
    <t>31033176592</t>
  </si>
  <si>
    <t>9782869597631</t>
  </si>
  <si>
    <t>794796554</t>
  </si>
  <si>
    <t>Z4 T34 1981</t>
  </si>
  <si>
    <t>0                      Z  0004000T  34          1981</t>
  </si>
  <si>
    <t>The history of books as a field of study : a paper / presented by G. Thomas Tanselle.</t>
  </si>
  <si>
    <t>Tanselle, G. Thomas (George Thomas), 1934- author.</t>
  </si>
  <si>
    <t>[Chapel Hill] : Hanes Foundation, Rare Book Collection/Academic Affairs Library, University of North Carolina at Chapel Hill, 1981.</t>
  </si>
  <si>
    <t>1981</t>
  </si>
  <si>
    <t>The Second Hanes lecture</t>
  </si>
  <si>
    <t>17510280:eng</t>
  </si>
  <si>
    <t>8095671</t>
  </si>
  <si>
    <t>ocm08095671</t>
  </si>
  <si>
    <t>3103147202L</t>
  </si>
  <si>
    <t>792597851</t>
  </si>
  <si>
    <t>Z4 T423 2010</t>
  </si>
  <si>
    <t>0                      Z  0004000T  423         2010</t>
  </si>
  <si>
    <t>Textual cultures, cultural texts / edited by Orietta Da Rold and Elaine Treharne for the English Association.</t>
  </si>
  <si>
    <t>Cambridge ; Rochester, NY : D.S. Brewer, 2010.</t>
  </si>
  <si>
    <t>Essays and studies 2010, 0071-1357 ; n.s., v. 63</t>
  </si>
  <si>
    <t>2010-10-28</t>
  </si>
  <si>
    <t>484907823:eng</t>
  </si>
  <si>
    <t>619195612</t>
  </si>
  <si>
    <t>ocn619195612</t>
  </si>
  <si>
    <t>3103301056C</t>
  </si>
  <si>
    <t>9781843842392</t>
  </si>
  <si>
    <t>794823300</t>
  </si>
  <si>
    <t>Z4 T85</t>
  </si>
  <si>
    <t>0                      Z  0004000T  85</t>
  </si>
  <si>
    <t>The book : a lecture sponsored by the Center for the Book in the Library of Congress and the Authors' League of America, presented at the Library of Congress October 17, 1979 / by Barbara W. Tuchman ; with an introduction by John Hersey.</t>
  </si>
  <si>
    <t>Tuchman, Barbara W. (Barbara Wertheim), 1912-1989, author.</t>
  </si>
  <si>
    <t>Washington : Library of Congress, 1980.</t>
  </si>
  <si>
    <t>1980</t>
  </si>
  <si>
    <t>Viewpoint series / The Center for the Book ; no. 1</t>
  </si>
  <si>
    <t>9323259197:eng</t>
  </si>
  <si>
    <t>5891659</t>
  </si>
  <si>
    <t>ocm05891659</t>
  </si>
  <si>
    <t>3000842998G</t>
  </si>
  <si>
    <t>9780844403229</t>
  </si>
  <si>
    <t>792461264</t>
  </si>
  <si>
    <t>Z4 V27 2012</t>
  </si>
  <si>
    <t>0                      Z  0004000V  27          2012</t>
  </si>
  <si>
    <t>A social history of books and libraries from cuneiform to bytes / Patrick M. Valentine.</t>
  </si>
  <si>
    <t>Valentine, Patrick M.</t>
  </si>
  <si>
    <t>Lanham : The Scarecrow Press, Inc., [2012]</t>
  </si>
  <si>
    <t>2016-02-04</t>
  </si>
  <si>
    <t>1118905884:eng</t>
  </si>
  <si>
    <t>795020488</t>
  </si>
  <si>
    <t>ocn795020488</t>
  </si>
  <si>
    <t>3103469053I</t>
  </si>
  <si>
    <t>9780810885707</t>
  </si>
  <si>
    <t>794920821</t>
  </si>
  <si>
    <t>Z4 V46</t>
  </si>
  <si>
    <t>0                      Z  0004000V  46</t>
  </si>
  <si>
    <t>The book through five thousand years: : a survey / by Fernand Baudin [and others] ; edited by Hendrik D.L. Vervliet ; introduced by Herman Liebaers ; afterword by Ruari McLean.</t>
  </si>
  <si>
    <t>London : New York; Phaidon, [1972]</t>
  </si>
  <si>
    <t>1972</t>
  </si>
  <si>
    <t>4663506911:eng</t>
  </si>
  <si>
    <t>572095</t>
  </si>
  <si>
    <t>ocm00572095</t>
  </si>
  <si>
    <t>3000852694U</t>
  </si>
  <si>
    <t>9780714815534</t>
  </si>
  <si>
    <t>791417973</t>
  </si>
  <si>
    <t>Z4 V54 2010</t>
  </si>
  <si>
    <t>0                      Z  0004000V  54          2010</t>
  </si>
  <si>
    <t>Les vies du livre, passées, présentes et à venir = The lives of the book, past, present and to come / ouvrage dirigé par Nathalie Collé-Bak, Monica Latham et David Ten Eyck ; Equipe d'accueil IDEA.</t>
  </si>
  <si>
    <t>Nancy : Presses universitaires de Nancy, 2010.</t>
  </si>
  <si>
    <t>Regards croisés sur le monde anglophone</t>
  </si>
  <si>
    <t>898595124:fre</t>
  </si>
  <si>
    <t>669123691</t>
  </si>
  <si>
    <t>ocn669123691</t>
  </si>
  <si>
    <t>31033172868</t>
  </si>
  <si>
    <t>9782814300217</t>
  </si>
  <si>
    <t>794846733</t>
  </si>
  <si>
    <t>Z4 Z9 B54 2015</t>
  </si>
  <si>
    <t>0                      Z  0004000Z  9                  B  54          2015</t>
  </si>
  <si>
    <t>Bleiwüste und Bilderflut : Geschichten ü̈ber das geisteswissenschaftliche Buch / herausgegeben von Caspar Hirschi und Carlos Spoerhase ; unter redaktioneller Mitarbeit von Karen Lambrecht und Simone Zweifel.</t>
  </si>
  <si>
    <t>Wiesbaden : B Harrassowitz, [2015]</t>
  </si>
  <si>
    <t>ger</t>
  </si>
  <si>
    <t>Kodex--Jahrbuch der Internationalen Buchwissenschaftlichen Gesellschaft, 2193-4983 ; 5 (2015)</t>
  </si>
  <si>
    <t>2018-06-04</t>
  </si>
  <si>
    <t>10032863504:ger</t>
  </si>
  <si>
    <t>926066636</t>
  </si>
  <si>
    <t>ocn926066636</t>
  </si>
  <si>
    <t>3103641415E</t>
  </si>
  <si>
    <t>9783447104746</t>
  </si>
  <si>
    <t>795005260</t>
  </si>
  <si>
    <t>Z4 Z9 L54</t>
  </si>
  <si>
    <t>0                      Z  0004000Z  9                  L  54</t>
  </si>
  <si>
    <t>The history and importance of books / by Herman W. Liebert.</t>
  </si>
  <si>
    <t>Liebert, Herman W.</t>
  </si>
  <si>
    <t>Toledo, Ohio : Friends of the University of Toledo Libraries, 1978.</t>
  </si>
  <si>
    <t>14606008:eng</t>
  </si>
  <si>
    <t>4242374</t>
  </si>
  <si>
    <t>ocm04242374</t>
  </si>
  <si>
    <t>31034878062</t>
  </si>
  <si>
    <t>792334012</t>
  </si>
  <si>
    <t>Z4 Z9 T5</t>
  </si>
  <si>
    <t>0                      Z  0004000Z  9                  T  5</t>
  </si>
  <si>
    <t>Books: an anthology; compiled by James Thompson.</t>
  </si>
  <si>
    <t>Thompson, James, 1932- compiler.</t>
  </si>
  <si>
    <t>London, Anne Bingley, 1968.</t>
  </si>
  <si>
    <t>1139479:eng</t>
  </si>
  <si>
    <t>219476</t>
  </si>
  <si>
    <t>ocm00219476</t>
  </si>
  <si>
    <t>3000853887E</t>
  </si>
  <si>
    <t>9780851570570</t>
  </si>
  <si>
    <t>791297331</t>
  </si>
  <si>
    <t>Z4.35 U6 Z36 2000</t>
  </si>
  <si>
    <t>0                      Z  0004350U  6                  Z  36          2000</t>
  </si>
  <si>
    <t>A handbook for the study of book history in the United States / Ronald J. Zboray and Mary Saracino Zboray.</t>
  </si>
  <si>
    <t>Zboray, Ronald J.</t>
  </si>
  <si>
    <t>Washington, D.C. : Center for the Book, Library of Congress, 2000.</t>
  </si>
  <si>
    <t>2000</t>
  </si>
  <si>
    <t>2015-02-18</t>
  </si>
  <si>
    <t>32941439:eng</t>
  </si>
  <si>
    <t>43851353</t>
  </si>
  <si>
    <t>ocm43851353</t>
  </si>
  <si>
    <t>3102134924R</t>
  </si>
  <si>
    <t>9780844410159</t>
  </si>
  <si>
    <t>793636810</t>
  </si>
  <si>
    <t>Z5 H913 1972</t>
  </si>
  <si>
    <t>0                      Z  0005000H  913         1972</t>
  </si>
  <si>
    <t>Origins of the book; Egypt's contribution to the development of the book from papyrus to codex [by] Mohamed A. Hussein. [Translated by Dorothy Jaeschke and Douglas Sharp].</t>
  </si>
  <si>
    <t>Ḥusayn, Muḥammad Aḥmad.</t>
  </si>
  <si>
    <t>Greenwich, Conn., New York Graphic Society [1972]</t>
  </si>
  <si>
    <t>2016-08-16</t>
  </si>
  <si>
    <t>9323191:eng</t>
  </si>
  <si>
    <t>352140</t>
  </si>
  <si>
    <t>ocm00352140</t>
  </si>
  <si>
    <t>3103761440X</t>
  </si>
  <si>
    <t>9780821204467</t>
  </si>
  <si>
    <t>791347619</t>
  </si>
  <si>
    <t>Z5 R62 1983</t>
  </si>
  <si>
    <t>0                      Z  0005000R  62          1983</t>
  </si>
  <si>
    <t>The birth of the codex / Colin H. Roberts and T.C. Skeat.</t>
  </si>
  <si>
    <t>Roberts, Colin H. (Colin Henderson), 1909-1990.</t>
  </si>
  <si>
    <t>London ; New York : Published for the British Academy by the Oxford University Press, ©1983.</t>
  </si>
  <si>
    <t>1983</t>
  </si>
  <si>
    <t>2018-12-03</t>
  </si>
  <si>
    <t>4926472599:eng</t>
  </si>
  <si>
    <t>10447820</t>
  </si>
  <si>
    <t>ocm10447820</t>
  </si>
  <si>
    <t>31033497955</t>
  </si>
  <si>
    <t>9780197260241</t>
  </si>
  <si>
    <t>792726794</t>
  </si>
  <si>
    <t>Z5 S66</t>
  </si>
  <si>
    <t>0                      Z  0005000S  66</t>
  </si>
  <si>
    <t>Bücherfunde in der Glaubenswerbung der Antike. Mit einem Ausblick auf Mittelalter und Neuzeit.</t>
  </si>
  <si>
    <t>Speyer, Wolfgang.</t>
  </si>
  <si>
    <t>Göttingen, Vandenhoeck &amp; Ruprecht [©1970]</t>
  </si>
  <si>
    <t>1970</t>
  </si>
  <si>
    <t>Hypomnemata, Heft 24</t>
  </si>
  <si>
    <t>2019-07-24</t>
  </si>
  <si>
    <t>500442172:ger</t>
  </si>
  <si>
    <t>187214</t>
  </si>
  <si>
    <t>ocm00187214</t>
  </si>
  <si>
    <t>3000451213V</t>
  </si>
  <si>
    <t>791286895</t>
  </si>
  <si>
    <t>- Blackader-Lauterman Collection - Regular Loan</t>
  </si>
  <si>
    <t>Z6 D4 1992</t>
  </si>
  <si>
    <t>0                      Z  0006000D  4           1992</t>
  </si>
  <si>
    <t>Scribes and illuminators / Christopher De Hamel.</t>
  </si>
  <si>
    <t>De Hamel, Christopher, 1950- author.</t>
  </si>
  <si>
    <t>Toronto : University of Toronto Press, 1992.</t>
  </si>
  <si>
    <t>1992</t>
  </si>
  <si>
    <t>Medieval craftsmen</t>
  </si>
  <si>
    <t>2018-05-03</t>
  </si>
  <si>
    <t>30107005:eng</t>
  </si>
  <si>
    <t>27643390</t>
  </si>
  <si>
    <t>ocm27643390</t>
  </si>
  <si>
    <t>3102952288G</t>
  </si>
  <si>
    <t>9780802077073</t>
  </si>
  <si>
    <t>793268264</t>
  </si>
  <si>
    <t>LGSS</t>
  </si>
  <si>
    <t>- Main (Mossman Collection) - Regular Loan</t>
  </si>
  <si>
    <t>Z6 D57 1982</t>
  </si>
  <si>
    <t>0                      Z  0006000D  57          1982</t>
  </si>
  <si>
    <t>The book before printing : ancient, medieval, and oriental / David Diringer.</t>
  </si>
  <si>
    <t>Diringer, David, 1900-1975, author.</t>
  </si>
  <si>
    <t>New York : Dover Publications, Inc., 1982.</t>
  </si>
  <si>
    <t>1982</t>
  </si>
  <si>
    <t>Dover edition.</t>
  </si>
  <si>
    <t>2017-06-28</t>
  </si>
  <si>
    <t>2564901464:eng</t>
  </si>
  <si>
    <t>7945435</t>
  </si>
  <si>
    <t>ocm07945435</t>
  </si>
  <si>
    <t>30000122987</t>
  </si>
  <si>
    <t>9780486242439</t>
  </si>
  <si>
    <t>792588584</t>
  </si>
  <si>
    <t>Z6 G44 1985</t>
  </si>
  <si>
    <t>0                      Z  0006000G  44          1985</t>
  </si>
  <si>
    <t>The idea of the book in the Middle Ages : language theory, mythology, and fiction / Jesse M. Gellrich.</t>
  </si>
  <si>
    <t>Gellrich, Jesse M., 1942-</t>
  </si>
  <si>
    <t>Ithaca, NY : Cornell University Press, 1985.</t>
  </si>
  <si>
    <t>1985</t>
  </si>
  <si>
    <t>3819903:eng</t>
  </si>
  <si>
    <t>11315776</t>
  </si>
  <si>
    <t>ocm11315776</t>
  </si>
  <si>
    <t>3101918436L</t>
  </si>
  <si>
    <t>9780801417221</t>
  </si>
  <si>
    <t>792768245</t>
  </si>
  <si>
    <t>2018-12-06</t>
  </si>
  <si>
    <t>31027672823</t>
  </si>
  <si>
    <t>792768246</t>
  </si>
  <si>
    <t>Z6 M25 2013</t>
  </si>
  <si>
    <t>0                      Z  0006000M  25          2013</t>
  </si>
  <si>
    <t>Manuscripts and printed books in Europe 1350-1550 : packaging, presentation and consumption / edited by Emma Cayley and Susan Powell.</t>
  </si>
  <si>
    <t>Liverpool : Liverpool University Press, 2013.</t>
  </si>
  <si>
    <t>2013</t>
  </si>
  <si>
    <t>Exeter studies in medieval Europe. History, society and the arts.</t>
  </si>
  <si>
    <t>1120967423:eng</t>
  </si>
  <si>
    <t>788271991</t>
  </si>
  <si>
    <t>ocn788271991</t>
  </si>
  <si>
    <t>3103501632N</t>
  </si>
  <si>
    <t>9780859898706</t>
  </si>
  <si>
    <t>794916337</t>
  </si>
  <si>
    <t>Z6 M43 1991</t>
  </si>
  <si>
    <t>0                      Z  0006000M  43          1991</t>
  </si>
  <si>
    <t>Medieval texts and images : studies of manuscripts from the Middle Ages / edited by Margaret M. Manion and Bernard J. Muir.</t>
  </si>
  <si>
    <t>Chur ; Philadelphia : Harwood Academic Publishers ; Sydney : Craftsman House, ©1991.</t>
  </si>
  <si>
    <t>1991</t>
  </si>
  <si>
    <t>2019-10-30</t>
  </si>
  <si>
    <t>836977619:eng</t>
  </si>
  <si>
    <t>23355389</t>
  </si>
  <si>
    <t>ocm23355389</t>
  </si>
  <si>
    <t>3102952293E</t>
  </si>
  <si>
    <t>9783718651337</t>
  </si>
  <si>
    <t>793168154</t>
  </si>
  <si>
    <t>Z6 O95 1982</t>
  </si>
  <si>
    <t>0                      Z  0006000O  95          1982</t>
  </si>
  <si>
    <t>The role of the book in medieval culture : proceedings of the Oxford International Symposium, 26 September-1 October 1982 / edited by Peter Ganz.</t>
  </si>
  <si>
    <t>Oxford International Symposium (1982 : Christ Church (University of Oxford)), author.</t>
  </si>
  <si>
    <t>Turnhout : Brepols, 1986.</t>
  </si>
  <si>
    <t>Bibliologia ; vol. 3-4</t>
  </si>
  <si>
    <t>2016-07-28</t>
  </si>
  <si>
    <t>2016-09-22</t>
  </si>
  <si>
    <t>4923075365:eng</t>
  </si>
  <si>
    <t>13787961</t>
  </si>
  <si>
    <t>ocm13787961</t>
  </si>
  <si>
    <t>3102952298E</t>
  </si>
  <si>
    <t>792866389</t>
  </si>
  <si>
    <t>3102952303T</t>
  </si>
  <si>
    <t>792866388</t>
  </si>
  <si>
    <t>Z6 R68 1991</t>
  </si>
  <si>
    <t>0                      Z  0006000R  68          1991</t>
  </si>
  <si>
    <t>Authentic witnesses : approaches to medieval texts and manuscripts / Mary A. Rouse and Richard H. Rouse.</t>
  </si>
  <si>
    <t>Rouse, Mary A.</t>
  </si>
  <si>
    <t>Notre Dame, Ind. : University of Notre Dame Press, ©1991.</t>
  </si>
  <si>
    <t>Publications in medieval studies ; v. 17 [i.e. 27]</t>
  </si>
  <si>
    <t>2017-06-08</t>
  </si>
  <si>
    <t>889878239:eng</t>
  </si>
  <si>
    <t>20055977</t>
  </si>
  <si>
    <t>ocm20055977</t>
  </si>
  <si>
    <t>3102767308G</t>
  </si>
  <si>
    <t>9780268006228</t>
  </si>
  <si>
    <t>793076131</t>
  </si>
  <si>
    <t>Z6 W75 2013</t>
  </si>
  <si>
    <t>0                      Z  0006000W  75          2013</t>
  </si>
  <si>
    <t>Writing in context : insular manuscript culture, 500-1200 / edited by Erik Kwakkel.</t>
  </si>
  <si>
    <t>[Leiden] : Leiden University Press, [2013]</t>
  </si>
  <si>
    <t>Studies in medieval and Renaissance book culture</t>
  </si>
  <si>
    <t>2015-08-12</t>
  </si>
  <si>
    <t>1744873079:eng</t>
  </si>
  <si>
    <t>825746398</t>
  </si>
  <si>
    <t>ocn825746398</t>
  </si>
  <si>
    <t>3103529431O</t>
  </si>
  <si>
    <t>9789087281823</t>
  </si>
  <si>
    <t>794938770</t>
  </si>
  <si>
    <t>Z8 A78 H57 2013</t>
  </si>
  <si>
    <t>0                      Z  0008000A  78                 H  57          2013</t>
  </si>
  <si>
    <t>The history of the book in East Asia / edited by Cynthia Brokaw (Brown University, USA) / Peter Kornicki (University of Cambridge, UK).</t>
  </si>
  <si>
    <t>Farnham, Surrey, England ; Burlington, VT, USA : Ashgate, [2013]</t>
  </si>
  <si>
    <t>History of the book in the East</t>
  </si>
  <si>
    <t>2018-11-14</t>
  </si>
  <si>
    <t>1218980571:eng</t>
  </si>
  <si>
    <t>816162740</t>
  </si>
  <si>
    <t>ocn816162740</t>
  </si>
  <si>
    <t>3103531028S</t>
  </si>
  <si>
    <t>9781409437819</t>
  </si>
  <si>
    <t>794932994</t>
  </si>
  <si>
    <t>Z8 B7 B66 2014</t>
  </si>
  <si>
    <t>0                      Z  0008000B  7                  B  66          2014</t>
  </si>
  <si>
    <t>Books and periodicals in Brazil 1768-1930 : a transatlantic perspective / edited by Ana Cláudia Suriani Da Silva and Sandra Guardini Vasconcelos.</t>
  </si>
  <si>
    <t>London : Legenda, Modern Humanities Research Association and Maney Publishing, 2014.</t>
  </si>
  <si>
    <t>Studies in Hispanic and Lusophone cultures ; 9</t>
  </si>
  <si>
    <t>2454156711:eng</t>
  </si>
  <si>
    <t>897884252</t>
  </si>
  <si>
    <t>ocn897884252</t>
  </si>
  <si>
    <t>31035828556</t>
  </si>
  <si>
    <t>9781909662322</t>
  </si>
  <si>
    <t>794985509</t>
  </si>
  <si>
    <t>Z8 B9 B68 2018</t>
  </si>
  <si>
    <t>0                      Z  0008000B  9                  B  68          2018</t>
  </si>
  <si>
    <t>The codex and crafts in late antiquity / Georgios Boudalis.</t>
  </si>
  <si>
    <t>Boudalis, Georgios, author.</t>
  </si>
  <si>
    <t>New York City : Bard Graduate Center, [2018]</t>
  </si>
  <si>
    <t>2019-07-19</t>
  </si>
  <si>
    <t>4546245449:eng</t>
  </si>
  <si>
    <t>1006528322</t>
  </si>
  <si>
    <t>on1006528322</t>
  </si>
  <si>
    <t>31037047138</t>
  </si>
  <si>
    <t>9781941792124</t>
  </si>
  <si>
    <t>795043119</t>
  </si>
  <si>
    <t>Z8 C5 D82 2000</t>
  </si>
  <si>
    <t>0                      Z  0008000C  5                  D  82          2000</t>
  </si>
  <si>
    <t>Lost books of medieval China / Glen Dudbridge.</t>
  </si>
  <si>
    <t>Dudbridge, Glen.</t>
  </si>
  <si>
    <t>London : British Library, 2000.</t>
  </si>
  <si>
    <t>The Panizzi lectures ; 1999</t>
  </si>
  <si>
    <t>2015-02-19</t>
  </si>
  <si>
    <t>35694218:eng</t>
  </si>
  <si>
    <t>45683853</t>
  </si>
  <si>
    <t>ocm45683853</t>
  </si>
  <si>
    <t>3102444688V</t>
  </si>
  <si>
    <t>9780712346887</t>
  </si>
  <si>
    <t>793676202</t>
  </si>
  <si>
    <t>- Redpath Basement - Chinese Japanese Korean Collection - Regular Loan</t>
  </si>
  <si>
    <t>Z8 C5 J536 2003</t>
  </si>
  <si>
    <t>0                      Z  0008000C  5                  J  536         2003</t>
  </si>
  <si>
    <t>Xin wen xue ban ben / Jiang Deming zhu.</t>
  </si>
  <si>
    <t>Jiang, Deming, 1929-</t>
  </si>
  <si>
    <t>Nanjing Shi : Jiangsu gu ji chu ban she, 2002.</t>
  </si>
  <si>
    <t>Di 1 ban.</t>
  </si>
  <si>
    <t>chi</t>
  </si>
  <si>
    <t>Zhongguo ban ben wen hua cong shu</t>
  </si>
  <si>
    <t>2019-08-15</t>
  </si>
  <si>
    <t>10434449:chi</t>
  </si>
  <si>
    <t>52617893</t>
  </si>
  <si>
    <t>ocm52617893</t>
  </si>
  <si>
    <t>3102412628T</t>
  </si>
  <si>
    <t>9787806437896</t>
  </si>
  <si>
    <t>793811125</t>
  </si>
  <si>
    <t>Z8 E18 B665 2007</t>
  </si>
  <si>
    <t>0                      Z  0008000E  18                 B  665         2007</t>
  </si>
  <si>
    <t>Books in numbers : seventy-fifth anniversary of the Harvard-Yenching Library : conference papers / essays by Lucille Chia [and others] ; edited by Wilt L. Idema.</t>
  </si>
  <si>
    <t>Cambridge, Mass. : Harvard-Yenching Library, Harvard University ; Hong Kong : Distributed by the Chinese University Press, ©2007.</t>
  </si>
  <si>
    <t>Harvard-Yenching Library studies ; no. 8</t>
  </si>
  <si>
    <t>364965296:eng</t>
  </si>
  <si>
    <t>177006711</t>
  </si>
  <si>
    <t>ocn177006711</t>
  </si>
  <si>
    <t>3102881300O</t>
  </si>
  <si>
    <t>9789629963316</t>
  </si>
  <si>
    <t>794278106</t>
  </si>
  <si>
    <t>Z8 E9 A98 2013</t>
  </si>
  <si>
    <t>0                      Z  0008000E  9                  A  98          2013</t>
  </si>
  <si>
    <t>Authority in European book culture 1400-1600 / edited by Pollie Bromilow, University of Liverpool, UK.</t>
  </si>
  <si>
    <t>Farnham, Surrey, England ; Burlington, VT : Ashgate, [2013]</t>
  </si>
  <si>
    <t>Material readings in early modern culture</t>
  </si>
  <si>
    <t>2019-07-05</t>
  </si>
  <si>
    <t>1215910373:eng</t>
  </si>
  <si>
    <t>832608702</t>
  </si>
  <si>
    <t>ocn832608702</t>
  </si>
  <si>
    <t>3103501488J</t>
  </si>
  <si>
    <t>9781472410108</t>
  </si>
  <si>
    <t>794943965</t>
  </si>
  <si>
    <t>Z8 E9 B65 2011</t>
  </si>
  <si>
    <t>0                      Z  0008000E  9                  B  65          2011</t>
  </si>
  <si>
    <t>The book triumphant : print in transition in the sixteenth and seventeenth centuries / edited by Malcolm Walsby, Graeme Kemp.</t>
  </si>
  <si>
    <t>Leiden ; Boston : Brill, 2011.</t>
  </si>
  <si>
    <t>Library of the written word, 1874-4834 ; v. 15. The handpress world ; v. 9</t>
  </si>
  <si>
    <t>2013-06-14</t>
  </si>
  <si>
    <t>908770177:eng</t>
  </si>
  <si>
    <t>730114567</t>
  </si>
  <si>
    <t>ocn730114567</t>
  </si>
  <si>
    <t>3103382809S</t>
  </si>
  <si>
    <t>9789004207233</t>
  </si>
  <si>
    <t>794879889</t>
  </si>
  <si>
    <t>Z8 E9 B66 2011</t>
  </si>
  <si>
    <t>0                      Z  0008000E  9                  B  66          2011</t>
  </si>
  <si>
    <t>Books between Europe and the Americas : connections and communities, 1620-1860 / edited by Leslie Howsam, James Raven.</t>
  </si>
  <si>
    <t>Houndmills, Basingstoke, Hampshire, UK ; New York : Palgrave Macmillan, 2011.</t>
  </si>
  <si>
    <t>2017-12-20</t>
  </si>
  <si>
    <t>1005011661:eng</t>
  </si>
  <si>
    <t>698330365</t>
  </si>
  <si>
    <t>ocn698330365</t>
  </si>
  <si>
    <t>3103405962Z</t>
  </si>
  <si>
    <t>9780230285675</t>
  </si>
  <si>
    <t>794860850</t>
  </si>
  <si>
    <t>Z8 F8 F5713 1994</t>
  </si>
  <si>
    <t>0                      Z  0008000F  8                  F  5713        1994</t>
  </si>
  <si>
    <t>Manuscripts and libraries in the age of Charlemagne / Bernhard Bischoff ; translated and edited by Michael Gorman.</t>
  </si>
  <si>
    <t>Bischoff, Bernhard, 1906-1991.</t>
  </si>
  <si>
    <t>Cambridge ; New York : Cambridge University Press, ©1994.</t>
  </si>
  <si>
    <t>1994</t>
  </si>
  <si>
    <t>Cambridge studies in palaeography and codicology ; 1</t>
  </si>
  <si>
    <t>2018-11-19</t>
  </si>
  <si>
    <t>117896980:eng</t>
  </si>
  <si>
    <t>27147066</t>
  </si>
  <si>
    <t>ocm27147066</t>
  </si>
  <si>
    <t>3101336987O</t>
  </si>
  <si>
    <t>9780521383462</t>
  </si>
  <si>
    <t>793260042</t>
  </si>
  <si>
    <t>Z8 F8 M37314 1993</t>
  </si>
  <si>
    <t>0                      Z  0008000F  8                  M  37314       1993</t>
  </si>
  <si>
    <t>Print, power, and people in 17th-century France / by Henri-Jean Martin ; translated by David Gerard.</t>
  </si>
  <si>
    <t>Metuchen, N.J. : Scarecrow Press, 1993.</t>
  </si>
  <si>
    <t>1993</t>
  </si>
  <si>
    <t>2016-11-09</t>
  </si>
  <si>
    <t>2908596859:eng</t>
  </si>
  <si>
    <t>24671886</t>
  </si>
  <si>
    <t>ocm24671886</t>
  </si>
  <si>
    <t>3102865048J</t>
  </si>
  <si>
    <t>9780810824775</t>
  </si>
  <si>
    <t>793203524</t>
  </si>
  <si>
    <t>Z8 F8 M38 2004</t>
  </si>
  <si>
    <t>0                      Z  0008000F  8                  M  38          2004</t>
  </si>
  <si>
    <t>Les métamorphoses du livre / Henri-Jean Martin ; entretiens avec Jean-Marc Chatelain et Christian Jacob.</t>
  </si>
  <si>
    <t>Paris : A. Michel, ©2004.</t>
  </si>
  <si>
    <t>2004</t>
  </si>
  <si>
    <t>Itinéraires du savoir</t>
  </si>
  <si>
    <t>2017-06-26</t>
  </si>
  <si>
    <t>1865069:fre</t>
  </si>
  <si>
    <t>55086051</t>
  </si>
  <si>
    <t>ocm55086051</t>
  </si>
  <si>
    <t>3102444438A</t>
  </si>
  <si>
    <t>9782226142375</t>
  </si>
  <si>
    <t>793874126</t>
  </si>
  <si>
    <t>Z8 F82 B753 2010</t>
  </si>
  <si>
    <t>0                      Z  0008000F  82                 B  753         2010</t>
  </si>
  <si>
    <t>Manuscripts, market, and the transition to print in late medieval Brittany / Diane Booton.</t>
  </si>
  <si>
    <t>Booton, Diane E.</t>
  </si>
  <si>
    <t>Farnham, Surrey, England ; Burlington, VT : Ashgate, ©2010.</t>
  </si>
  <si>
    <t>2014-02-28</t>
  </si>
  <si>
    <t>370472063:eng</t>
  </si>
  <si>
    <t>496594368</t>
  </si>
  <si>
    <t>ocn496594368</t>
  </si>
  <si>
    <t>3103236128N</t>
  </si>
  <si>
    <t>9780754666233</t>
  </si>
  <si>
    <t>794802595</t>
  </si>
  <si>
    <t>Z8 F82 P377 2006</t>
  </si>
  <si>
    <t>0                      Z  0008000F  82                 P  377         2006</t>
  </si>
  <si>
    <t>Patrons, authors and workshops : books and book production in Paris around 1400 / edited by Godfried Croenen and Peter Ainsworth.</t>
  </si>
  <si>
    <t>Louvain [Belgium] ; Dudley, Mass. : Peeters, 2006.</t>
  </si>
  <si>
    <t>Synthema ; 4</t>
  </si>
  <si>
    <t>2016-08-30</t>
  </si>
  <si>
    <t>892222767:eng</t>
  </si>
  <si>
    <t>145989992</t>
  </si>
  <si>
    <t>ocn145989992</t>
  </si>
  <si>
    <t>3102644761K</t>
  </si>
  <si>
    <t>9789042917071</t>
  </si>
  <si>
    <t>794240297</t>
  </si>
  <si>
    <t>Z8 G7 B75 2013</t>
  </si>
  <si>
    <t>0                      Z  0008000G  7                  B  75          2013</t>
  </si>
  <si>
    <t>British literature and print culture / edited by Sandro Jung for the English Association.</t>
  </si>
  <si>
    <t>Cambridge [England] ; Rochester, N.Y. : D.S. Brewer, 2013.</t>
  </si>
  <si>
    <t>Essays and studies, 0071-1357 ; 2013 = volume 66</t>
  </si>
  <si>
    <t>2013-12-18</t>
  </si>
  <si>
    <t>1415625783:eng</t>
  </si>
  <si>
    <t>829738484</t>
  </si>
  <si>
    <t>ocn829738484</t>
  </si>
  <si>
    <t>3103504506K</t>
  </si>
  <si>
    <t>9781843843436</t>
  </si>
  <si>
    <t>794942697</t>
  </si>
  <si>
    <t>Z8 G7 C36 1999</t>
  </si>
  <si>
    <t>0                      Z  0008000G  7                  C  36          1999</t>
  </si>
  <si>
    <t>The Cambridge history of the book in Britain.</t>
  </si>
  <si>
    <t>v. 1</t>
  </si>
  <si>
    <t>Cambridge, UK ; New York : Cambridge University Press, 1999-2019.</t>
  </si>
  <si>
    <t>2018-01-11</t>
  </si>
  <si>
    <t>2018-01-15</t>
  </si>
  <si>
    <t>2824933998:eng</t>
  </si>
  <si>
    <t>38856036</t>
  </si>
  <si>
    <t>ocm38856036</t>
  </si>
  <si>
    <t>31034255288</t>
  </si>
  <si>
    <t>9780521583459</t>
  </si>
  <si>
    <t>793531453</t>
  </si>
  <si>
    <t>3102332406Z</t>
  </si>
  <si>
    <t>793531451</t>
  </si>
  <si>
    <t>v. 5</t>
  </si>
  <si>
    <t>3103248704X</t>
  </si>
  <si>
    <t>793531449</t>
  </si>
  <si>
    <t>31029204542</t>
  </si>
  <si>
    <t>793531452</t>
  </si>
  <si>
    <t>v. 6</t>
  </si>
  <si>
    <t>3103248707X</t>
  </si>
  <si>
    <t>793531448</t>
  </si>
  <si>
    <t>2017-07-08</t>
  </si>
  <si>
    <t>31027693166</t>
  </si>
  <si>
    <t>793531450</t>
  </si>
  <si>
    <t>Z8 G7 M38 2010</t>
  </si>
  <si>
    <t>0                      Z  0008000G  7                  M  38          2010</t>
  </si>
  <si>
    <t>Material readings of early modern culture : texts and social practices, 1580-1730 / edited by James Daybell, Peter Hinds.</t>
  </si>
  <si>
    <t>Houndmills, Basingstoke, Hampshire ; New York, NY : Palgrave Macmillan, 2010.</t>
  </si>
  <si>
    <t>Early modern literature in history</t>
  </si>
  <si>
    <t>2016-01-04</t>
  </si>
  <si>
    <t>480347751:eng</t>
  </si>
  <si>
    <t>613433789</t>
  </si>
  <si>
    <t>ocn613433789</t>
  </si>
  <si>
    <t>3103231720P</t>
  </si>
  <si>
    <t>9780230223523</t>
  </si>
  <si>
    <t>794822138</t>
  </si>
  <si>
    <t>Z8 G7 O73 1997</t>
  </si>
  <si>
    <t>0                      Z  0008000G  7                  O  73          1997</t>
  </si>
  <si>
    <t>Order and connexion : studies in bibliography and book history : selected papers from the Munby Seminar, Cambridge, July 1994 / edited by R.C. Alston.</t>
  </si>
  <si>
    <t>Munby Seminar (1994 : Cambridge, England)</t>
  </si>
  <si>
    <t>Woodbridge, Suffolk, U.K. ; Rochester, NY : D.S. Brewer, 1997.</t>
  </si>
  <si>
    <t>918585409:eng</t>
  </si>
  <si>
    <t>35390963</t>
  </si>
  <si>
    <t>ocm35390963</t>
  </si>
  <si>
    <t>3101732184H</t>
  </si>
  <si>
    <t>9780859915069</t>
  </si>
  <si>
    <t>793450498</t>
  </si>
  <si>
    <t>Z8 G72 E457 2013</t>
  </si>
  <si>
    <t>0                      Z  0008000G  72                 E  457         2013</t>
  </si>
  <si>
    <t>Aspects of book culture in early modern England / T.A. Birrell ; edited by Jos Blom.</t>
  </si>
  <si>
    <t>Birrell, T. A.</t>
  </si>
  <si>
    <t>Farnham : Ashgate Variorum, [2013]</t>
  </si>
  <si>
    <t>Variorum collected studies series ; CS1025</t>
  </si>
  <si>
    <t>2017-10-16</t>
  </si>
  <si>
    <t>1171949844:eng</t>
  </si>
  <si>
    <t>812687891</t>
  </si>
  <si>
    <t>ocn812687891</t>
  </si>
  <si>
    <t>31035308278</t>
  </si>
  <si>
    <t>9781409455691</t>
  </si>
  <si>
    <t>794931186</t>
  </si>
  <si>
    <t>Z8 G72 E536 2014</t>
  </si>
  <si>
    <t>0                      Z  0008000G  72                 E  536         2014</t>
  </si>
  <si>
    <t>A companion to the early printed book in Britain 1476-1558 / edited by Vincent Gillespie and Susan Powell.</t>
  </si>
  <si>
    <t>Cambridge [England] : D.S. Brewer, 2014.</t>
  </si>
  <si>
    <t>2014-10-02</t>
  </si>
  <si>
    <t>1217604315:eng</t>
  </si>
  <si>
    <t>834420335</t>
  </si>
  <si>
    <t>ocn834420335</t>
  </si>
  <si>
    <t>31035665509</t>
  </si>
  <si>
    <t>9781843843634</t>
  </si>
  <si>
    <t>794944336</t>
  </si>
  <si>
    <t>Z8 G72 E57 2009</t>
  </si>
  <si>
    <t>0                      Z  0008000G  72                 E  57          2009</t>
  </si>
  <si>
    <t>Producing the eighteenth-century book : writers and publishers in England, 1650-1800 / edited by Laura L. Runge and Pat Rogers.</t>
  </si>
  <si>
    <t>Newark : University of Delaware Press, [2009]</t>
  </si>
  <si>
    <t>793212959:eng</t>
  </si>
  <si>
    <t>314837938</t>
  </si>
  <si>
    <t>ocn314837938</t>
  </si>
  <si>
    <t>31031568082</t>
  </si>
  <si>
    <t>9780874130690</t>
  </si>
  <si>
    <t>794439233</t>
  </si>
  <si>
    <t>Z8 G72 E573 2011</t>
  </si>
  <si>
    <t>0                      Z  0008000G  72                 E  573         2011</t>
  </si>
  <si>
    <t>The production of books in England 1350-1500 / edited by Alexandra Gillespie and Daniel Wakelin.</t>
  </si>
  <si>
    <t>Cambridge ; New York : Cambridge University Press, 2011.</t>
  </si>
  <si>
    <t>Cambridge studies in palaeography and codicology ; [14]</t>
  </si>
  <si>
    <t>687616402:eng</t>
  </si>
  <si>
    <t>671709876</t>
  </si>
  <si>
    <t>ocn671709876</t>
  </si>
  <si>
    <t>31032347527</t>
  </si>
  <si>
    <t>9780521889797</t>
  </si>
  <si>
    <t>794849101</t>
  </si>
  <si>
    <t>Z8 G72 L62 2012</t>
  </si>
  <si>
    <t>0                      Z  0008000G  72                 L  62          2012</t>
  </si>
  <si>
    <t>Manuscript and print in London c.1475-1530 / Julia Boffey.</t>
  </si>
  <si>
    <t>Boffey, Julia, author.</t>
  </si>
  <si>
    <t>London : British Library, 2012.</t>
  </si>
  <si>
    <t>5619050922:eng</t>
  </si>
  <si>
    <t>788271980</t>
  </si>
  <si>
    <t>ocn788271980</t>
  </si>
  <si>
    <t>3103456243V</t>
  </si>
  <si>
    <t>9780712358811</t>
  </si>
  <si>
    <t>794916336</t>
  </si>
  <si>
    <t>Z8 I4 F68 2016</t>
  </si>
  <si>
    <t>0                      Z  0008000I  4                  F  68          2016</t>
  </si>
  <si>
    <t>Founts of knowledge : book history in India / edited by Abhijit Gupta, Swapan Chakravorty.</t>
  </si>
  <si>
    <t>New Delhi : Orient Blackswan, 2016.</t>
  </si>
  <si>
    <t>Book history in India</t>
  </si>
  <si>
    <t>2017-04-12</t>
  </si>
  <si>
    <t>2878034154:eng</t>
  </si>
  <si>
    <t>934582018</t>
  </si>
  <si>
    <t>ocn934582018</t>
  </si>
  <si>
    <t>31037230749</t>
  </si>
  <si>
    <t>9788125060536</t>
  </si>
  <si>
    <t>795009704</t>
  </si>
  <si>
    <t>Z8 I4 P75 2004</t>
  </si>
  <si>
    <t>0                      Z  0008000I  4                  P  75          2004</t>
  </si>
  <si>
    <t>Print areas : book history in India / edited by Abhijit Gupta and Swapan Chakravorty.</t>
  </si>
  <si>
    <t>Delhi : Permanent Black ; Bangalore : Distributed by Orient Longman, ©2004.</t>
  </si>
  <si>
    <t>2019-02-14</t>
  </si>
  <si>
    <t>478549039:eng</t>
  </si>
  <si>
    <t>55961353</t>
  </si>
  <si>
    <t>ocm55961353</t>
  </si>
  <si>
    <t>3102803833Z</t>
  </si>
  <si>
    <t>9788178240824</t>
  </si>
  <si>
    <t>793884629</t>
  </si>
  <si>
    <t>Z8 I82 V4627 2009</t>
  </si>
  <si>
    <t>0                      Z  0008000I  82                 V  4627        2009</t>
  </si>
  <si>
    <t>The books of Venice / Lisa Pon and Craig Kallendorf, editors = Il libro veneziano / a cura di Lisa Pon e Craig Kallendorf.</t>
  </si>
  <si>
    <t>Venezia : La Musa Talìa : Biblioteca Nazionale Marciana ; New Castle, DE : Oak Knoll Press, [2009?]</t>
  </si>
  <si>
    <t>Miscellanea marciana ; v. 20 (2005-2007)</t>
  </si>
  <si>
    <t>2019-03-01</t>
  </si>
  <si>
    <t>193019380:eng</t>
  </si>
  <si>
    <t>314837475</t>
  </si>
  <si>
    <t>ocn314837475</t>
  </si>
  <si>
    <t>3103136522H</t>
  </si>
  <si>
    <t>9781584562573</t>
  </si>
  <si>
    <t>794439229</t>
  </si>
  <si>
    <t>Z8 J3 K67 1998</t>
  </si>
  <si>
    <t>0                      Z  0008000J  3                  K  67          1998</t>
  </si>
  <si>
    <t>The book in Japan : a cultural history from the beginnings to the nineteenth century / by Peter Kornicki.</t>
  </si>
  <si>
    <t>Kornicki, Peter F. (Peter Francis)</t>
  </si>
  <si>
    <t>Leiden ; Boston : Brill, 1998.</t>
  </si>
  <si>
    <t>Handbuch der Orientalistik. Fünfte Abteilung, Japan, 0921-5239 ; 7. Bd. = Handbook of oriental studies. Japan</t>
  </si>
  <si>
    <t>2016-03-28</t>
  </si>
  <si>
    <t>10177791676:eng</t>
  </si>
  <si>
    <t>37675786</t>
  </si>
  <si>
    <t>ocm37675786</t>
  </si>
  <si>
    <t>31028485324</t>
  </si>
  <si>
    <t>9789004101951</t>
  </si>
  <si>
    <t>793504373</t>
  </si>
  <si>
    <t>Z8 L29 M37 1986</t>
  </si>
  <si>
    <t>0                      Z  0008000L  29                 M  37          1986</t>
  </si>
  <si>
    <t>El libro en Hispanoamérica : origen y desarrollo / José Luis Martínez.</t>
  </si>
  <si>
    <t>Martínez, José Luis, 1918-2007.</t>
  </si>
  <si>
    <t>Madrid : Fundación Germán Sánchez Ruipérez : Ediciones Pirámide, 1986.</t>
  </si>
  <si>
    <t>2a ed.</t>
  </si>
  <si>
    <t>spa</t>
  </si>
  <si>
    <t>Biblioteca del libro. Serie "Minor"</t>
  </si>
  <si>
    <t>2017-12-01</t>
  </si>
  <si>
    <t>1132090135:spa</t>
  </si>
  <si>
    <t>14166651</t>
  </si>
  <si>
    <t>ocm14166651</t>
  </si>
  <si>
    <t>30004719918</t>
  </si>
  <si>
    <t>9788486168148</t>
  </si>
  <si>
    <t>792880380</t>
  </si>
  <si>
    <t>Z8.L38 E45 2019</t>
  </si>
  <si>
    <t>0                      Z  0008000L  38                 E  45          2019</t>
  </si>
  <si>
    <t>El libro y sus circunstancias : in memoriam Klaus D. Vervuert / Mariano de la Campa, Ruth Fine, Aurelio González, Christoph Strosetzki (eds.).</t>
  </si>
  <si>
    <t>Madrid : Iberoamericana ; Frankfurt am Main : Vervuert, 2019.</t>
  </si>
  <si>
    <t>2019</t>
  </si>
  <si>
    <t>2019-09-30</t>
  </si>
  <si>
    <t>9398560614:spa</t>
  </si>
  <si>
    <t>1109971526</t>
  </si>
  <si>
    <t>on1109971526</t>
  </si>
  <si>
    <t>3103875192U</t>
  </si>
  <si>
    <t>9788491920694</t>
  </si>
  <si>
    <t>795083554</t>
  </si>
  <si>
    <t>Z8 S64 F73 2008</t>
  </si>
  <si>
    <t>0                      Z  0008000S  64                 F  73          2008</t>
  </si>
  <si>
    <t>Book history through postcolonial eyes : rewriting the script / Robert Fraser.</t>
  </si>
  <si>
    <t>Fraser, Robert, 1947-</t>
  </si>
  <si>
    <t>London ; New York, NY : Routledge, 2008.</t>
  </si>
  <si>
    <t>2015-10-15</t>
  </si>
  <si>
    <t>802546243:eng</t>
  </si>
  <si>
    <t>191846764</t>
  </si>
  <si>
    <t>ocn191846764</t>
  </si>
  <si>
    <t>3102976520U</t>
  </si>
  <si>
    <t>9780415402934</t>
  </si>
  <si>
    <t>794301378</t>
  </si>
  <si>
    <t>Z8 S8 D53 1985</t>
  </si>
  <si>
    <t>0                      Z  0008000S  8                  D  53          1985</t>
  </si>
  <si>
    <t>El libro : de la tradición oral a la cultura impresa / José Ma. Díez-Borque.</t>
  </si>
  <si>
    <t>Díez Borque, José María, 1947-</t>
  </si>
  <si>
    <t>Barcelona : Montesinos, ©1985.</t>
  </si>
  <si>
    <t>Biblioteca de divulgación temática ; 39</t>
  </si>
  <si>
    <t>365382707:spa</t>
  </si>
  <si>
    <t>14082810</t>
  </si>
  <si>
    <t>ocm14082810</t>
  </si>
  <si>
    <t>3100983106X</t>
  </si>
  <si>
    <t>9788476390061</t>
  </si>
  <si>
    <t>792876908</t>
  </si>
  <si>
    <t>Z8 T53 T53 2016</t>
  </si>
  <si>
    <t>0                      Z  0008000T  53                 T  53          2016</t>
  </si>
  <si>
    <t>Tibetan printing : comparisons, continuities and change / edited by Hildegard Diemberger, Franz-Karl Ehrhard and Peter Kornicki.</t>
  </si>
  <si>
    <t>Leiden ; Boston : Brill, [2016]</t>
  </si>
  <si>
    <t>Brill's Tibetan studies library, 1568-6183 ; volume 39</t>
  </si>
  <si>
    <t>2983880802:eng</t>
  </si>
  <si>
    <t>938394122</t>
  </si>
  <si>
    <t>ocn938394122</t>
  </si>
  <si>
    <t>31036565805</t>
  </si>
  <si>
    <t>9789004316065</t>
  </si>
  <si>
    <t>795011310</t>
  </si>
  <si>
    <t>Z40 B65 1983</t>
  </si>
  <si>
    <t>0                      Z  0040000B  65          1983</t>
  </si>
  <si>
    <t>Vindolanda : the Latin writing-tablets / by Alan K. Bowman and J. David Thomas ; with contributions by J.N. Adams and Richard Tapper.</t>
  </si>
  <si>
    <t>Bowman, Alan K.</t>
  </si>
  <si>
    <t>London : Society for the Promotion of Roman Studies, 1983.</t>
  </si>
  <si>
    <t>Britannia monograph series ; no. 4</t>
  </si>
  <si>
    <t>2018-03-19</t>
  </si>
  <si>
    <t>3771861746:eng</t>
  </si>
  <si>
    <t>11163427</t>
  </si>
  <si>
    <t>ocm11163427</t>
  </si>
  <si>
    <t>3103773712A</t>
  </si>
  <si>
    <t>9780907764021</t>
  </si>
  <si>
    <t>792761247</t>
  </si>
  <si>
    <t>Z40 G66 1987</t>
  </si>
  <si>
    <t>0                      Z  0040000G  66          1987</t>
  </si>
  <si>
    <t>The logic of writing and the organization of society / Jack Goody.</t>
  </si>
  <si>
    <t>Goody, Jack.</t>
  </si>
  <si>
    <t>Cambridge [Cambridgeshire] ; New York : Cambridge University Press, 1986.</t>
  </si>
  <si>
    <t>Studies in literacy, family, culture, and the state</t>
  </si>
  <si>
    <t>2019-09-18</t>
  </si>
  <si>
    <t>7395321:eng</t>
  </si>
  <si>
    <t>13526682</t>
  </si>
  <si>
    <t>ocm13526682</t>
  </si>
  <si>
    <t>3103592389Z</t>
  </si>
  <si>
    <t>9780521327459</t>
  </si>
  <si>
    <t>792856630</t>
  </si>
  <si>
    <t>Z40 H46 2012</t>
  </si>
  <si>
    <t>0                      Z  0040000H  46          2012</t>
  </si>
  <si>
    <t>The missing ink : the lost art of handwriting / Philip Hensher.</t>
  </si>
  <si>
    <t>Hensher, Philip, author.</t>
  </si>
  <si>
    <t>New York : Faber and Faber, 2012.</t>
  </si>
  <si>
    <t>1st American ed.</t>
  </si>
  <si>
    <t>2018-12-19</t>
  </si>
  <si>
    <t>3861801116:eng</t>
  </si>
  <si>
    <t>818359780</t>
  </si>
  <si>
    <t>ocn818359780</t>
  </si>
  <si>
    <t>3103469080C</t>
  </si>
  <si>
    <t>9780865478930</t>
  </si>
  <si>
    <t>794933849</t>
  </si>
  <si>
    <t>Z40 M3713 1994</t>
  </si>
  <si>
    <t>0                      Z  0040000M  3713        1994</t>
  </si>
  <si>
    <t>The history and power of writing / Henri-Jean Martin ; translated by Lydia G. Cochrane.</t>
  </si>
  <si>
    <t>Martin, Henri-Jean, 1924-2007, author.</t>
  </si>
  <si>
    <t>Chicago : University of Chicago Press, 1994.</t>
  </si>
  <si>
    <t>2018-03-13</t>
  </si>
  <si>
    <t>9490673520:eng</t>
  </si>
  <si>
    <t>28423039</t>
  </si>
  <si>
    <t>ocm28423039</t>
  </si>
  <si>
    <t>3101512142M</t>
  </si>
  <si>
    <t>9780226508351</t>
  </si>
  <si>
    <t>793287952</t>
  </si>
  <si>
    <t>Z40 R4</t>
  </si>
  <si>
    <t>0                      Z  0040000R  4</t>
  </si>
  <si>
    <t>Scribes and scholars : a guide to the transmission of Greek and Latin literature / by L.D. Reynolds and N.G. Wilson.</t>
  </si>
  <si>
    <t>Reynolds, L. D. (Leighton Durham)</t>
  </si>
  <si>
    <t>London : Oxford University Press, 1968.</t>
  </si>
  <si>
    <t>2015-01-30</t>
  </si>
  <si>
    <t>180122496:eng</t>
  </si>
  <si>
    <t>176578</t>
  </si>
  <si>
    <t>ocm00176578</t>
  </si>
  <si>
    <t>3000513159I</t>
  </si>
  <si>
    <t>791282491</t>
  </si>
  <si>
    <t>Z40 R63 2011</t>
  </si>
  <si>
    <t>0                      Z  0040000R  63          2011</t>
  </si>
  <si>
    <t>Middle-class writing in late medieval London / by Malcolm Richardson.</t>
  </si>
  <si>
    <t>Richardson, Malcolm, 1947- author.</t>
  </si>
  <si>
    <t>London ; Brookfield, Vt. : Pickering &amp; Chatto, 2011.</t>
  </si>
  <si>
    <t>The history of the book ; 7</t>
  </si>
  <si>
    <t>2015-03-03</t>
  </si>
  <si>
    <t>536935228:eng</t>
  </si>
  <si>
    <t>694227555</t>
  </si>
  <si>
    <t>ocn694227555</t>
  </si>
  <si>
    <t>3103321871B</t>
  </si>
  <si>
    <t>9781848930322</t>
  </si>
  <si>
    <t>794857292</t>
  </si>
  <si>
    <t>Z40 T46 1996</t>
  </si>
  <si>
    <t>0                      Z  0040000T  46          1996</t>
  </si>
  <si>
    <t>Handwriting in America : a cultural history / Tamara Plakins Thornton.</t>
  </si>
  <si>
    <t>Thornton, Tamara Plakins, 1957-</t>
  </si>
  <si>
    <t>New Haven : Yale University Press, ©1996.</t>
  </si>
  <si>
    <t>1996</t>
  </si>
  <si>
    <t>2015-10-23</t>
  </si>
  <si>
    <t>836911136:eng</t>
  </si>
  <si>
    <t>34285208</t>
  </si>
  <si>
    <t>ocm34285208</t>
  </si>
  <si>
    <t>3102060093G</t>
  </si>
  <si>
    <t>9780300064773</t>
  </si>
  <si>
    <t>793423385</t>
  </si>
  <si>
    <t>Z40 W75 1986</t>
  </si>
  <si>
    <t>0                      Z  0040000W  75          1986</t>
  </si>
  <si>
    <t>The Written word : literacy in transition / edited by Gerd Baumann.</t>
  </si>
  <si>
    <t>Oxford : Clarendon Press ; New York : Oxford University Press, 1986.</t>
  </si>
  <si>
    <t>Wolfson College lectures ; 1985</t>
  </si>
  <si>
    <t>2018-01-29</t>
  </si>
  <si>
    <t>865045069:eng</t>
  </si>
  <si>
    <t>12944972</t>
  </si>
  <si>
    <t>ocm12944972</t>
  </si>
  <si>
    <t>3000482460S</t>
  </si>
  <si>
    <t>9780198750680</t>
  </si>
  <si>
    <t>792834040</t>
  </si>
  <si>
    <t>Z42 J72</t>
  </si>
  <si>
    <t>0                      Z  0042000J  72</t>
  </si>
  <si>
    <t>The Alba amicorum of George Strachan, George Craig, Thomas Cumming, by James Fowler Kellas Johnstone.</t>
  </si>
  <si>
    <t>Johnstone, James Fowler Kellas, 1846-1928.</t>
  </si>
  <si>
    <t>[Aberdeen] Printed for the University of Aberdeen, 1924.</t>
  </si>
  <si>
    <t>1924</t>
  </si>
  <si>
    <t>Aberdeen University studies. no. 95</t>
  </si>
  <si>
    <t>2019-05-16</t>
  </si>
  <si>
    <t>29000203:eng</t>
  </si>
  <si>
    <t>7685200</t>
  </si>
  <si>
    <t>ocm07685200</t>
  </si>
  <si>
    <t>3000803476S</t>
  </si>
  <si>
    <t>792574455</t>
  </si>
  <si>
    <t>Z43 A2 H8</t>
  </si>
  <si>
    <t>0                      Z  0043000A  2                  H  8</t>
  </si>
  <si>
    <t>Les calligraphes et les miniaturistes de l'Orient musulman, par Cl. Huart ... ouvrage accompagné de 10 planches ...</t>
  </si>
  <si>
    <t>Huart, Clément, 1854-1926.</t>
  </si>
  <si>
    <t>Paris, E. Leroux, 1908.</t>
  </si>
  <si>
    <t>1908</t>
  </si>
  <si>
    <t>"Publié sous les auspices de la Société asiatique."</t>
  </si>
  <si>
    <t>2018-10-03</t>
  </si>
  <si>
    <t>349431325:fre</t>
  </si>
  <si>
    <t>2943024</t>
  </si>
  <si>
    <t>ocm02943024</t>
  </si>
  <si>
    <t>3102952309T</t>
  </si>
  <si>
    <t>792196907</t>
  </si>
  <si>
    <t>Z43 A2 L68 2017</t>
  </si>
  <si>
    <t>0                      Z  0043000A  2                  L  68          2017</t>
  </si>
  <si>
    <t>The art and history of calligraphy / Patricia Lovett.</t>
  </si>
  <si>
    <t>Lovett, Patricia, author.</t>
  </si>
  <si>
    <t>London : The British Library, 2017.</t>
  </si>
  <si>
    <t>3927567150:eng</t>
  </si>
  <si>
    <t>987069698</t>
  </si>
  <si>
    <t>ocn987069698</t>
  </si>
  <si>
    <t>3103738048G</t>
  </si>
  <si>
    <t>9780712356688</t>
  </si>
  <si>
    <t>795035885</t>
  </si>
  <si>
    <t>Z43 B58 1941a</t>
  </si>
  <si>
    <t>0                      Z  0043000B  58          1941a</t>
  </si>
  <si>
    <t>The universal penman, engraved by George Bickham, London, 1743.</t>
  </si>
  <si>
    <t>Bickham, George, 1684?-1758?</t>
  </si>
  <si>
    <t>New York, P.A. Struck, 1941.</t>
  </si>
  <si>
    <t>1941</t>
  </si>
  <si>
    <t>Facsimile ed. Foreword: The importance of The universal penman in relation to modern calligraphy, by Philip Hofer.</t>
  </si>
  <si>
    <t>2017-07-26</t>
  </si>
  <si>
    <t>491506:eng</t>
  </si>
  <si>
    <t>1071270</t>
  </si>
  <si>
    <t>ocm01071270</t>
  </si>
  <si>
    <t>3000897694I</t>
  </si>
  <si>
    <t>791538706</t>
  </si>
  <si>
    <t>Z43 B76 2015</t>
  </si>
  <si>
    <t>0                      Z  0043000B  76          2015</t>
  </si>
  <si>
    <t>The historical source book for scribes / Michelle P. Brown &amp; Patricia Lovett.</t>
  </si>
  <si>
    <t>Brown, Michelle (Michelle P.), author.</t>
  </si>
  <si>
    <t>Toronto ; Buffalo ; London : University of Toronto Press, 2015.</t>
  </si>
  <si>
    <t>Paperback edition.</t>
  </si>
  <si>
    <t>20806636:eng</t>
  </si>
  <si>
    <t>903770109</t>
  </si>
  <si>
    <t>ocn903770109</t>
  </si>
  <si>
    <t>3103496227F</t>
  </si>
  <si>
    <t>9781442629257</t>
  </si>
  <si>
    <t>794989688</t>
  </si>
  <si>
    <t>Z43 G27 1994</t>
  </si>
  <si>
    <t>0                      Z  0043000G  27          1994</t>
  </si>
  <si>
    <t>A history of calligraphy / Albertine Gaur.</t>
  </si>
  <si>
    <t>Gaur, Albertine.</t>
  </si>
  <si>
    <t>New York : Cross River Press, 1994.</t>
  </si>
  <si>
    <t>2018-04-11</t>
  </si>
  <si>
    <t>33784565:eng</t>
  </si>
  <si>
    <t>31594508</t>
  </si>
  <si>
    <t>ocm31594508</t>
  </si>
  <si>
    <t>3102952304T</t>
  </si>
  <si>
    <t>9781558598706</t>
  </si>
  <si>
    <t>793363638</t>
  </si>
  <si>
    <t>Z43 T785 2016</t>
  </si>
  <si>
    <t>0                      Z  0043000T  785         2016</t>
  </si>
  <si>
    <t>The history and uncertain future of handwriting / Anne Trubek.</t>
  </si>
  <si>
    <t>Trubek, Anne, 1966- author.</t>
  </si>
  <si>
    <t>New York, NY : Bloomsbury USA, an imprint of Bloomsbury Publishing Plc, 2016.</t>
  </si>
  <si>
    <t>2019-07-26</t>
  </si>
  <si>
    <t>2857321986:eng</t>
  </si>
  <si>
    <t>933590390</t>
  </si>
  <si>
    <t>ocn933590390</t>
  </si>
  <si>
    <t>3103738042S</t>
  </si>
  <si>
    <t>9781620402153</t>
  </si>
  <si>
    <t>795009299</t>
  </si>
  <si>
    <t>Z45 T84 2002</t>
  </si>
  <si>
    <t>0                      Z  0045000T  84          2002</t>
  </si>
  <si>
    <t>Shu yu zhu bo : Zhongguo gu dai de wen zi ji lu / Qian Cunxun zhu.</t>
  </si>
  <si>
    <t>Tsien, Tsuen-hsuin, 1910-2015.</t>
  </si>
  <si>
    <t>Shanghai : Shanghai shu dian chu ban she, 2002.</t>
  </si>
  <si>
    <t>Di 4 ci zeng ding ben, Di 1 ban.</t>
  </si>
  <si>
    <t>2019-04-28</t>
  </si>
  <si>
    <t>1376606:chi</t>
  </si>
  <si>
    <t>50793400</t>
  </si>
  <si>
    <t>ocm50793400</t>
  </si>
  <si>
    <t>31024173994</t>
  </si>
  <si>
    <t>9787806228487</t>
  </si>
  <si>
    <t>793773181</t>
  </si>
  <si>
    <t>Z45 T85 2004</t>
  </si>
  <si>
    <t>0                      Z  0045000T  85          2004</t>
  </si>
  <si>
    <t>Written on bamboo &amp; silk : the beginnings of Chinese books &amp; inscriptions / Tsuen-Hsuin Tsien.</t>
  </si>
  <si>
    <t>Chicago : University of Chicago Press, 2004.</t>
  </si>
  <si>
    <t>2nd ed. / with an afterword by Edward 1. Shaughnessy.</t>
  </si>
  <si>
    <t>1376606:eng</t>
  </si>
  <si>
    <t>53970654</t>
  </si>
  <si>
    <t>ocm53970654</t>
  </si>
  <si>
    <t>3102784857U</t>
  </si>
  <si>
    <t>9780226814186</t>
  </si>
  <si>
    <t>793854326</t>
  </si>
  <si>
    <t>Z45 W5</t>
  </si>
  <si>
    <t>0                      Z  0045000W  5</t>
  </si>
  <si>
    <t>Writing implements and accessories : from the Roman stylus to the typewriter / Joyce Irene Whalley.</t>
  </si>
  <si>
    <t>Whalley, Joyce Irene.</t>
  </si>
  <si>
    <t>Newton Abbot : David &amp; Charles, [1975]</t>
  </si>
  <si>
    <t>1975</t>
  </si>
  <si>
    <t>2016-09-21</t>
  </si>
  <si>
    <t>2270422:eng</t>
  </si>
  <si>
    <t>1411651</t>
  </si>
  <si>
    <t>ocm01411651</t>
  </si>
  <si>
    <t>3000853897B</t>
  </si>
  <si>
    <t>9780715368046</t>
  </si>
  <si>
    <t>791620392</t>
  </si>
  <si>
    <t>Z48 B44 1984</t>
  </si>
  <si>
    <t>0                      Z  0048000B  44          1984</t>
  </si>
  <si>
    <t>Thomas Jefferson and his copying machines / Silvio A. Bedini.</t>
  </si>
  <si>
    <t>Bedini, Silvio A.</t>
  </si>
  <si>
    <t>Charlottesville : University Press of Virginia, 1984.</t>
  </si>
  <si>
    <t>1984</t>
  </si>
  <si>
    <t>Monticello monograph series</t>
  </si>
  <si>
    <t>3552457:eng</t>
  </si>
  <si>
    <t>10727303</t>
  </si>
  <si>
    <t>ocm10727303</t>
  </si>
  <si>
    <t>30003691688</t>
  </si>
  <si>
    <t>9780813910253</t>
  </si>
  <si>
    <t>792740088</t>
  </si>
  <si>
    <t>Z48 V4</t>
  </si>
  <si>
    <t>0                      Z  0048000V  4</t>
  </si>
  <si>
    <t>Document copying and reproduction processes.</t>
  </si>
  <si>
    <t>Verry, H. R.</t>
  </si>
  <si>
    <t>London, Fountain Press [1958]</t>
  </si>
  <si>
    <t>146164663:eng</t>
  </si>
  <si>
    <t>575182</t>
  </si>
  <si>
    <t>ocm00575182</t>
  </si>
  <si>
    <t>3000864696A</t>
  </si>
  <si>
    <t>791418822</t>
  </si>
  <si>
    <t>Z49 A1 A33</t>
  </si>
  <si>
    <t>0                      Z  0049000A  1                  A  33</t>
  </si>
  <si>
    <t>The writing machine / by Michael H. Adler.</t>
  </si>
  <si>
    <t>Adler, Michael H.</t>
  </si>
  <si>
    <t>London : George Allen &amp; Unwin, 1973.</t>
  </si>
  <si>
    <t>2018-07-25</t>
  </si>
  <si>
    <t>1740456:eng</t>
  </si>
  <si>
    <t>791210</t>
  </si>
  <si>
    <t>ocm00791210</t>
  </si>
  <si>
    <t>3000172488X</t>
  </si>
  <si>
    <t>9780046520045</t>
  </si>
  <si>
    <t>791470770</t>
  </si>
  <si>
    <t>Z49 A1 B43 1974</t>
  </si>
  <si>
    <t>0                      Z  0049000A  1                  B  43          1974</t>
  </si>
  <si>
    <t>Century of the typewriter / Wilfred A. Beeching.</t>
  </si>
  <si>
    <t>Beeching, Wilfred A.</t>
  </si>
  <si>
    <t>London : Heinemann, 1974.</t>
  </si>
  <si>
    <t>2123899:eng</t>
  </si>
  <si>
    <t>1229841</t>
  </si>
  <si>
    <t>ocm01229841</t>
  </si>
  <si>
    <t>3103592873U</t>
  </si>
  <si>
    <t>9780434901203</t>
  </si>
  <si>
    <t>791578600</t>
  </si>
  <si>
    <t>Z49 A1 W47 2005</t>
  </si>
  <si>
    <t>0                      Z  0049000A  1                  W  47          2005</t>
  </si>
  <si>
    <t>The iron whim : a fragmented history of typewriting / Darren Wershler-Henry.</t>
  </si>
  <si>
    <t>Wershler-Henry, Darren S. (Darren Sean), 1966-</t>
  </si>
  <si>
    <t>Toronto : M &amp; S, ©2005.</t>
  </si>
  <si>
    <t>2019-05-13</t>
  </si>
  <si>
    <t>345018489:eng</t>
  </si>
  <si>
    <t>60670222</t>
  </si>
  <si>
    <t>ocm60670222</t>
  </si>
  <si>
    <t>3102542792S</t>
  </si>
  <si>
    <t>9780771089251</t>
  </si>
  <si>
    <t>793941906</t>
  </si>
  <si>
    <t>Z49 B72 1925</t>
  </si>
  <si>
    <t>0                      Z  0049000B  72          1925</t>
  </si>
  <si>
    <t>Learning to typewrite, with a discussion of the psychology and pedagogy of skill, by William F. Book.</t>
  </si>
  <si>
    <t>Book, William Frederick, 1873-1940.</t>
  </si>
  <si>
    <t>New York, The Gregg Pub. Co. [1925]</t>
  </si>
  <si>
    <t>1925</t>
  </si>
  <si>
    <t>2018-05-04</t>
  </si>
  <si>
    <t>2154951:eng</t>
  </si>
  <si>
    <t>1246833</t>
  </si>
  <si>
    <t>ocm01246833</t>
  </si>
  <si>
    <t>3000665873N</t>
  </si>
  <si>
    <t>791582871</t>
  </si>
  <si>
    <t>Z49.4 C4 M85 2017</t>
  </si>
  <si>
    <t>0                      Z  0049400C  4                  M  85          2017</t>
  </si>
  <si>
    <t>The Chinese typewriter : a history / Thomas S. Mullaney.</t>
  </si>
  <si>
    <t>Mullaney, Thomas S. (Thomas Shawn), author.</t>
  </si>
  <si>
    <t>Cambridge, Massachusetts : The MIT Press, [2017]</t>
  </si>
  <si>
    <t>Studies of the Weatherhead East Asian Institute, Columbia University</t>
  </si>
  <si>
    <t>2018-06-06</t>
  </si>
  <si>
    <t>4469575854:eng</t>
  </si>
  <si>
    <t>978286391</t>
  </si>
  <si>
    <t>ocn978286391</t>
  </si>
  <si>
    <t>31037034583</t>
  </si>
  <si>
    <t>9780262036368</t>
  </si>
  <si>
    <t>795033100</t>
  </si>
  <si>
    <t>Z52.4 B65 1991</t>
  </si>
  <si>
    <t>0                      Z  0052400B  65          1991</t>
  </si>
  <si>
    <t>Writing space : the computer, hypertext, and the history of writing / Jay David Bolter.</t>
  </si>
  <si>
    <t>Bolter, J. David, 1951-</t>
  </si>
  <si>
    <t>Hillsdale, N.J. : L. Erlbaum Associates, ©1991.</t>
  </si>
  <si>
    <t>2016-09-15</t>
  </si>
  <si>
    <t>3901230497:eng</t>
  </si>
  <si>
    <t>22310251</t>
  </si>
  <si>
    <t>ocm22310251</t>
  </si>
  <si>
    <t>31029447446</t>
  </si>
  <si>
    <t>9780805804270</t>
  </si>
  <si>
    <t>793140398</t>
  </si>
  <si>
    <t>Z52.4 B65 2001</t>
  </si>
  <si>
    <t>0                      Z  0052400B  65          2001</t>
  </si>
  <si>
    <t>Writing space : computers, hypertext, and the remediation of print / Jay David Bolter.</t>
  </si>
  <si>
    <t>Mahwah, N.J. : Lawrence Erlbaum Associates, ©2001.</t>
  </si>
  <si>
    <t>2018-03-25</t>
  </si>
  <si>
    <t>800048121:eng</t>
  </si>
  <si>
    <t>43885424</t>
  </si>
  <si>
    <t>ocm43885424</t>
  </si>
  <si>
    <t>3103214464O</t>
  </si>
  <si>
    <t>9780805829181</t>
  </si>
  <si>
    <t>793637705</t>
  </si>
  <si>
    <t>Z77 S37 2016</t>
  </si>
  <si>
    <t>0                      Z  0077000S  37          2016</t>
  </si>
  <si>
    <t>Scriver veloce : sistemi tachigrafici dall'antichità a Twitter : atti del convegno, Rovereto 22-24 maggio 2014 / a cura di Alessandro Tedesco.</t>
  </si>
  <si>
    <t>Scriver veloce, sistemi tachigrafici dall'antichità a Twitter (Conference) (2014 : Rovereto, Italy)</t>
  </si>
  <si>
    <t>Firenze : Leo S. Olschki editore, MMXVI.</t>
  </si>
  <si>
    <t>Biblioteca di bibliografia : documents and studies in book and library history ; CCIII</t>
  </si>
  <si>
    <t>4032218654:ita</t>
  </si>
  <si>
    <t>968800931</t>
  </si>
  <si>
    <t>ocn968800931</t>
  </si>
  <si>
    <t>3103710616K</t>
  </si>
  <si>
    <t>9788822264619</t>
  </si>
  <si>
    <t>795027292</t>
  </si>
  <si>
    <t>Z102 N48 2010</t>
  </si>
  <si>
    <t>0                      Z  0102000N  48          2010</t>
  </si>
  <si>
    <t>From hieroglyphics to Isotype : a visual autobiography / Otto Neurath ; edited by Matthew Eve and Christopher Burke.</t>
  </si>
  <si>
    <t>Neurath, Otto, 1882-1945.</t>
  </si>
  <si>
    <t>London : Hyphen Press, 2010.</t>
  </si>
  <si>
    <t>476781710:eng</t>
  </si>
  <si>
    <t>607976332</t>
  </si>
  <si>
    <t>ocn607976332</t>
  </si>
  <si>
    <t>3103346012H</t>
  </si>
  <si>
    <t>9780907259442</t>
  </si>
  <si>
    <t>794818629</t>
  </si>
  <si>
    <t>Z103 B535 2010</t>
  </si>
  <si>
    <t>0                      Z  0103000B  535         2010</t>
  </si>
  <si>
    <t>Secret language / Barry J. Blake.</t>
  </si>
  <si>
    <t>Blake, Barry J.</t>
  </si>
  <si>
    <t>348578644:eng</t>
  </si>
  <si>
    <t>465364155</t>
  </si>
  <si>
    <t>ocn465364155</t>
  </si>
  <si>
    <t>3103132936J</t>
  </si>
  <si>
    <t>9780199579280</t>
  </si>
  <si>
    <t>794793863</t>
  </si>
  <si>
    <t>Z103 K28 1996</t>
  </si>
  <si>
    <t>0                      Z  0103000K  28          1996</t>
  </si>
  <si>
    <t>The codebreakers : the story of secret writing / David Kahn.</t>
  </si>
  <si>
    <t>Kahn, David, 1930- author.</t>
  </si>
  <si>
    <t>New York : Scribner, [1996]</t>
  </si>
  <si>
    <t>Revised edition.</t>
  </si>
  <si>
    <t>1465714:eng</t>
  </si>
  <si>
    <t>35159231</t>
  </si>
  <si>
    <t>ocm35159231</t>
  </si>
  <si>
    <t>31033069326</t>
  </si>
  <si>
    <t>9780684831305</t>
  </si>
  <si>
    <t>793445680</t>
  </si>
  <si>
    <t>Z103 K5613 1999</t>
  </si>
  <si>
    <t>0                      Z  0103000K  5613        1999</t>
  </si>
  <si>
    <t>Code breaking : a history and exploration / Rudolf Kippenhahn ; translated from the German, in collaboration with the author, by Ewald Osers.</t>
  </si>
  <si>
    <t>Kippenhahn, Rudolf, 1926-</t>
  </si>
  <si>
    <t>Woodstock, New York : Overlook Press, 1999.</t>
  </si>
  <si>
    <t>1151638171:eng</t>
  </si>
  <si>
    <t>40150667</t>
  </si>
  <si>
    <t>ocm40150667</t>
  </si>
  <si>
    <t>31033066973</t>
  </si>
  <si>
    <t>9780879519193</t>
  </si>
  <si>
    <t>793560726</t>
  </si>
  <si>
    <t>Z103 M27 2012</t>
  </si>
  <si>
    <t>0                      Z  0103000M  27          2012</t>
  </si>
  <si>
    <t>Everyday cryptography : fundamental principles and applications / Keith M. Martin.</t>
  </si>
  <si>
    <t>Martin, Keith M.</t>
  </si>
  <si>
    <t>Oxford ; New York : Oxford University Press, 2012.</t>
  </si>
  <si>
    <t>2018-11-29</t>
  </si>
  <si>
    <t>1043466207:eng</t>
  </si>
  <si>
    <t>760290421</t>
  </si>
  <si>
    <t>ocn760290421</t>
  </si>
  <si>
    <t>3103406041P</t>
  </si>
  <si>
    <t>9780199695591</t>
  </si>
  <si>
    <t>794898509</t>
  </si>
  <si>
    <t>SSLS</t>
  </si>
  <si>
    <t>- Schulich Section 1 - By Request</t>
  </si>
  <si>
    <t>Z103 N85 1990</t>
  </si>
  <si>
    <t>0                      Z  0103000N  85          1990</t>
  </si>
  <si>
    <t>Number theory and cryptography / edited by J.H. Loxton.</t>
  </si>
  <si>
    <t>Cambridge : New York : Cambridge University Press, 1990.</t>
  </si>
  <si>
    <t>1990</t>
  </si>
  <si>
    <t>London Mathematical Society lecture note series ; 154</t>
  </si>
  <si>
    <t>2018-12-17</t>
  </si>
  <si>
    <t>352252458:eng</t>
  </si>
  <si>
    <t>22178663</t>
  </si>
  <si>
    <t>ocm22178663</t>
  </si>
  <si>
    <t>3103866978U</t>
  </si>
  <si>
    <t>9780521398770</t>
  </si>
  <si>
    <t>793136175</t>
  </si>
  <si>
    <t>Z103 S56 1999</t>
  </si>
  <si>
    <t>0                      Z  0103000S  56          1999</t>
  </si>
  <si>
    <t>The code book : the evolution of secrecy from Mary, Queen of Scots, to quantum cryptography / Simon Singh.</t>
  </si>
  <si>
    <t>Singh, Simon.</t>
  </si>
  <si>
    <t>New York : Doubleday, [1999]</t>
  </si>
  <si>
    <t>3901103997:eng</t>
  </si>
  <si>
    <t>41572673</t>
  </si>
  <si>
    <t>ocm41572673</t>
  </si>
  <si>
    <t>31037015759</t>
  </si>
  <si>
    <t>TRANSIT</t>
  </si>
  <si>
    <t>9780385495318</t>
  </si>
  <si>
    <t>793594388</t>
  </si>
  <si>
    <t>Z104 B33 2017</t>
  </si>
  <si>
    <t>0                      Z  0104000B  33          2017</t>
  </si>
  <si>
    <t>Unsolved! : the history and mystery of the world's greatest ciphers from ancient Egypt to online secret societies / Craig P. Bauer.</t>
  </si>
  <si>
    <t>Bauer, Craig P., author.</t>
  </si>
  <si>
    <t>Princeton : Princeton University Press, [2017]</t>
  </si>
  <si>
    <t>2019-07-03</t>
  </si>
  <si>
    <t>3957585518:eng</t>
  </si>
  <si>
    <t>963914459</t>
  </si>
  <si>
    <t>ocn963914459</t>
  </si>
  <si>
    <t>3103701800S</t>
  </si>
  <si>
    <t>9780691167671</t>
  </si>
  <si>
    <t>795025009</t>
  </si>
  <si>
    <t>Z104 M67</t>
  </si>
  <si>
    <t>0                      Z  0104000M  67</t>
  </si>
  <si>
    <t>The most mysterious manuscript : the Voynich "Roger Bacon" cipher manuscript / edited by Robert S. Brumbaugh.</t>
  </si>
  <si>
    <t>Carbondale : Southern Illinois University Press, ©1978.</t>
  </si>
  <si>
    <t>2006-03-09</t>
  </si>
  <si>
    <t>2016-03-22</t>
  </si>
  <si>
    <t>899579841:eng</t>
  </si>
  <si>
    <t>3327448</t>
  </si>
  <si>
    <t>ocm03327448</t>
  </si>
  <si>
    <t>30000402688</t>
  </si>
  <si>
    <t>9780809308088</t>
  </si>
  <si>
    <t>792242852</t>
  </si>
  <si>
    <t>30004465789</t>
  </si>
  <si>
    <t>792242850</t>
  </si>
  <si>
    <t>Z104 P56 2006</t>
  </si>
  <si>
    <t>0                      Z  0104000P  56          2006</t>
  </si>
  <si>
    <t>Codebreaker : the history of codes and ciphers, from the ancient pharaohs to quantum cryptography / Stephen Pincock.</t>
  </si>
  <si>
    <t>Pincock, Stephen.</t>
  </si>
  <si>
    <t>New York : Walker, ©2006.</t>
  </si>
  <si>
    <t>1st U.S. ed.</t>
  </si>
  <si>
    <t>3769496595:eng</t>
  </si>
  <si>
    <t>72056763</t>
  </si>
  <si>
    <t>ocm72056763</t>
  </si>
  <si>
    <t>3103057164D</t>
  </si>
  <si>
    <t>9780802715470</t>
  </si>
  <si>
    <t>794169573</t>
  </si>
  <si>
    <t>Z105 A54 1994</t>
  </si>
  <si>
    <t>0                      Z  0105000A  54          1994</t>
  </si>
  <si>
    <t>Anglo-Saxon manuscripts : basic readings / edited by Mary P. Richards.</t>
  </si>
  <si>
    <t>New York : Garland Pub., 1994.</t>
  </si>
  <si>
    <t>Garland reference library of the humanities ; v. 1434. Basic readings in Anglo-Saxon England ; v. 2</t>
  </si>
  <si>
    <t>2015-06-08</t>
  </si>
  <si>
    <t>836882637:eng</t>
  </si>
  <si>
    <t>30624757</t>
  </si>
  <si>
    <t>ocm30624757</t>
  </si>
  <si>
    <t>3101562301Z</t>
  </si>
  <si>
    <t>9780815301004</t>
  </si>
  <si>
    <t>793340537</t>
  </si>
  <si>
    <t>Z105 C66 2013</t>
  </si>
  <si>
    <t>0                      Z  0105000C  66          2013</t>
  </si>
  <si>
    <t>Medieval autograph manuscripts : proceedings of the XVIIth Colloquium of the Comité International de Paléographie Latine, held in Ljubljana, 7-10 September 2010 / edited by Nataša Golob.</t>
  </si>
  <si>
    <t>Comité international de paléographie latine. Coloquio (17th : 2010 : Ljubljana, Slovenia)</t>
  </si>
  <si>
    <t>Turnhout, Belgium : Brepols, [2013]</t>
  </si>
  <si>
    <t>Bibliologia ; volume 36</t>
  </si>
  <si>
    <t>1655041571:ita</t>
  </si>
  <si>
    <t>863141863</t>
  </si>
  <si>
    <t>ocn863141863</t>
  </si>
  <si>
    <t>3103612407Q</t>
  </si>
  <si>
    <t>9782503549163</t>
  </si>
  <si>
    <t>794960950</t>
  </si>
  <si>
    <t>Z105 D3 2018</t>
  </si>
  <si>
    <t>0                      Z  0105000D  3           2018</t>
  </si>
  <si>
    <t>Making medieval manuscripts / Christopher de Hamel.</t>
  </si>
  <si>
    <t>Oxford : Bodleian Library, University of Oxford, 2018.</t>
  </si>
  <si>
    <t>987050696</t>
  </si>
  <si>
    <t>ocn987050696</t>
  </si>
  <si>
    <t>3103669690E</t>
  </si>
  <si>
    <t>9781851244683</t>
  </si>
  <si>
    <t>795035874</t>
  </si>
  <si>
    <t>Z105 E87 1972</t>
  </si>
  <si>
    <t>0                      Z  0105000E  87          1972</t>
  </si>
  <si>
    <t>Essays presented to G.I. Lieftinck / [edited by J.P. Gumbert and M.J.M. de Haan].</t>
  </si>
  <si>
    <t>Amsterdam : Van Gendt, 1972-1976.</t>
  </si>
  <si>
    <t>Litterae textuales</t>
  </si>
  <si>
    <t>2017-08-28</t>
  </si>
  <si>
    <t>3770172286:eng</t>
  </si>
  <si>
    <t>524372</t>
  </si>
  <si>
    <t>ocm00524372</t>
  </si>
  <si>
    <t>30004724217</t>
  </si>
  <si>
    <t>9789063003197</t>
  </si>
  <si>
    <t>791403183</t>
  </si>
  <si>
    <t>3100849855U</t>
  </si>
  <si>
    <t>791403182</t>
  </si>
  <si>
    <t>V. 3</t>
  </si>
  <si>
    <t>3100849854W</t>
  </si>
  <si>
    <t>791403181</t>
  </si>
  <si>
    <t>V. 4</t>
  </si>
  <si>
    <t>3100849853Y</t>
  </si>
  <si>
    <t>791403180</t>
  </si>
  <si>
    <t>Z105 K83 2012</t>
  </si>
  <si>
    <t>0                      Z  0105000K  83          2012</t>
  </si>
  <si>
    <t>Turning over a new leaf : change and development in the Medieval manuscript / Erik Kwakkel, Rosamond McKitterick &amp; Rodney Thomson.</t>
  </si>
  <si>
    <t>[Leiden] : Leiden University Press, [2012]</t>
  </si>
  <si>
    <t>Studies in Medieval and Renaissance book culture</t>
  </si>
  <si>
    <t>2017-08-30</t>
  </si>
  <si>
    <t>3945063213:eng</t>
  </si>
  <si>
    <t>788275738</t>
  </si>
  <si>
    <t>ocn788275738</t>
  </si>
  <si>
    <t>3103457407T</t>
  </si>
  <si>
    <t>9789087281557</t>
  </si>
  <si>
    <t>794916380</t>
  </si>
  <si>
    <t>Z105 L45 1989</t>
  </si>
  <si>
    <t>0                      Z  0105000L  45          1989</t>
  </si>
  <si>
    <t>Introduction à la codicologie / par Jacques Lemaire.</t>
  </si>
  <si>
    <t>Lemaire, Jacques.</t>
  </si>
  <si>
    <t>Louvain-la-Neuve : Université catholique de Louvain, Institut d'études médiévales, 1989.</t>
  </si>
  <si>
    <t>1989</t>
  </si>
  <si>
    <t>Publications de l'Institut d'études médiévales. Textes, études, congrès / Université catholique de Louvain ; v. 9</t>
  </si>
  <si>
    <t>2017-10-23</t>
  </si>
  <si>
    <t>22775848:fre</t>
  </si>
  <si>
    <t>20498302</t>
  </si>
  <si>
    <t>ocm20498302</t>
  </si>
  <si>
    <t>3103000757D</t>
  </si>
  <si>
    <t>793089865</t>
  </si>
  <si>
    <t>Z105 L53 2018</t>
  </si>
  <si>
    <t>0                      Z  0105000L  53          2018</t>
  </si>
  <si>
    <t>Librorum studiosus : miscellanea palaeographica et codicologica Alberto Derolez dicata / edited by Lucien Reynhout and Benjamin Victor.</t>
  </si>
  <si>
    <t>Turnhout : Brepols, [2018]</t>
  </si>
  <si>
    <t>Bibliologia, 1375-9566 ; volume 46</t>
  </si>
  <si>
    <t>4536976813:fre</t>
  </si>
  <si>
    <t>1005712538</t>
  </si>
  <si>
    <t>on1005712538</t>
  </si>
  <si>
    <t>3103810118T</t>
  </si>
  <si>
    <t>9782503575728</t>
  </si>
  <si>
    <t>795042732</t>
  </si>
  <si>
    <t>Z105 M35 2014</t>
  </si>
  <si>
    <t>0                      Z  0105000M  35          2014</t>
  </si>
  <si>
    <t>Manuscript cultures : mapping the field / edited by Jörg B. Quenzer, Dmitry Bondarev, and Jan-Ulrich Sobisch.</t>
  </si>
  <si>
    <t>Berlin ; Boston : De Gruyter, [2014]</t>
  </si>
  <si>
    <t>Studies in manuscript cultures ; volume 1</t>
  </si>
  <si>
    <t>2016-09-13</t>
  </si>
  <si>
    <t>549869395:eng</t>
  </si>
  <si>
    <t>903974597</t>
  </si>
  <si>
    <t>ocn903974597</t>
  </si>
  <si>
    <t>3103608168V</t>
  </si>
  <si>
    <t>9783110225624</t>
  </si>
  <si>
    <t>794989880</t>
  </si>
  <si>
    <t>Z105 M43 2011</t>
  </si>
  <si>
    <t>0                      Z  0105000M  43          2011</t>
  </si>
  <si>
    <t>Medieval manuscripts, their makers and users : a special issue of Viator in honor of Richard and Mary Rouse / published under the auspices of the Center for Medieval and Renaissance Studies, University of California, Los Angeles ; [special issue associate editor, Christopher Baswell].</t>
  </si>
  <si>
    <t>Turnhout, Belgium : Brepols, ©2011.</t>
  </si>
  <si>
    <t>Viator</t>
  </si>
  <si>
    <t>2018-11-07</t>
  </si>
  <si>
    <t>891219744:eng</t>
  </si>
  <si>
    <t>742516100</t>
  </si>
  <si>
    <t>ocn742516100</t>
  </si>
  <si>
    <t>31035839059</t>
  </si>
  <si>
    <t>9782503538945</t>
  </si>
  <si>
    <t>794885176</t>
  </si>
  <si>
    <t>Z105 P29 2008</t>
  </si>
  <si>
    <t>0                      Z  0105000P  29          2008</t>
  </si>
  <si>
    <t>Their hands before our eyes : a closer look at scribes : the Lyell lectures delivered in the University of Oxford, 1999 / M.B. Parkes.</t>
  </si>
  <si>
    <t>Parkes, M. B. (Malcolm Beckwith)</t>
  </si>
  <si>
    <t>Aldershot, Hants, England ; Burlington, Vt. : Ashgate, ©2008.</t>
  </si>
  <si>
    <t>2016-09-02</t>
  </si>
  <si>
    <t>114458148:eng</t>
  </si>
  <si>
    <t>173748336</t>
  </si>
  <si>
    <t>ocn173748336</t>
  </si>
  <si>
    <t>3103055405O</t>
  </si>
  <si>
    <t>9780754663379</t>
  </si>
  <si>
    <t>794270240</t>
  </si>
  <si>
    <t>Z105 R68 2013</t>
  </si>
  <si>
    <t>0                      Z  0105000R  68          2013</t>
  </si>
  <si>
    <t>Bound fast with letters : medieval writers, readers, and texts / Richard H. Rouse and Mary A. Rouse ; foreword by Robert Somerville.</t>
  </si>
  <si>
    <t>Rouse, Richard H.</t>
  </si>
  <si>
    <t>Notre Dame, Indiana : University of Notre Dame Press, 2013.</t>
  </si>
  <si>
    <t>1491709359:eng</t>
  </si>
  <si>
    <t>821025223</t>
  </si>
  <si>
    <t>ocn821025223</t>
  </si>
  <si>
    <t>3103612813F</t>
  </si>
  <si>
    <t>9780268040338</t>
  </si>
  <si>
    <t>794935947</t>
  </si>
  <si>
    <t>Z105 R88 2007</t>
  </si>
  <si>
    <t>0                      Z  0105000R  88          2007</t>
  </si>
  <si>
    <t>Imaginary worlds in medieval books : exploring the manuscript matrix / Martha Rust.</t>
  </si>
  <si>
    <t>Rust, Martha Dana.</t>
  </si>
  <si>
    <t>Basingstoke : Palgrave Macmillan, 2007.</t>
  </si>
  <si>
    <t>The new Middle Ages</t>
  </si>
  <si>
    <t>865497596:eng</t>
  </si>
  <si>
    <t>122283895</t>
  </si>
  <si>
    <t>ocn122283895</t>
  </si>
  <si>
    <t>3103505031P</t>
  </si>
  <si>
    <t>9781403972224</t>
  </si>
  <si>
    <t>794219929</t>
  </si>
  <si>
    <t>Z105 S257 2012</t>
  </si>
  <si>
    <t>0                      Z  0105000S  257         2012</t>
  </si>
  <si>
    <t>The shape of script : how and why writing systems change / edited by Stephen D. Houston.</t>
  </si>
  <si>
    <t>Santa Fe, N.M. : School for Advanced Research Press, 2012.</t>
  </si>
  <si>
    <t>1st ed.</t>
  </si>
  <si>
    <t>School for Advanced Research advanced seminar series</t>
  </si>
  <si>
    <t>1118413449:eng</t>
  </si>
  <si>
    <t>698450348</t>
  </si>
  <si>
    <t>ocn698450348</t>
  </si>
  <si>
    <t>3103430914D</t>
  </si>
  <si>
    <t>9781934691427</t>
  </si>
  <si>
    <t>794861094</t>
  </si>
  <si>
    <t>Z105 S283 2013</t>
  </si>
  <si>
    <t>0                      Z  0105000S  283         2013</t>
  </si>
  <si>
    <t>Scraped, stroked, and bound : materially engaged readings of medieval manuscripts / edited by Jonathan Wilcox.</t>
  </si>
  <si>
    <t>Turnhout : Brepols, ©2013.</t>
  </si>
  <si>
    <t>Utrecht studies in medieval literacy ; 23</t>
  </si>
  <si>
    <t>2015-09-08</t>
  </si>
  <si>
    <t>1171950534:eng</t>
  </si>
  <si>
    <t>812689011</t>
  </si>
  <si>
    <t>ocn812689011</t>
  </si>
  <si>
    <t>31034990387</t>
  </si>
  <si>
    <t>9782503545493</t>
  </si>
  <si>
    <t>794931207</t>
  </si>
  <si>
    <t>Z105 S54 2007</t>
  </si>
  <si>
    <t>0                      Z  0105000S  54          2007</t>
  </si>
  <si>
    <t>Signs on the edge : space, text and margin in medieval manuscripts / edited by Sarah Larratt Keefer and Rolf H. Bremmer Jr.</t>
  </si>
  <si>
    <t>Paris ; Dudley, MA : Peeters, 2007.</t>
  </si>
  <si>
    <t>Mediaevalia groningana, 0924-9052 ; new ser., v. 10</t>
  </si>
  <si>
    <t>892726583:eng</t>
  </si>
  <si>
    <t>195924598</t>
  </si>
  <si>
    <t>ocn195924598</t>
  </si>
  <si>
    <t>3102872190D</t>
  </si>
  <si>
    <t>9789042919808</t>
  </si>
  <si>
    <t>794304286</t>
  </si>
  <si>
    <t>Z105 S75</t>
  </si>
  <si>
    <t>0                      Z  0105000S  75</t>
  </si>
  <si>
    <t>Paléographie du Moyen Age / Jacques Stiennon avec la collaboration de Geneviève Hasenohr.</t>
  </si>
  <si>
    <t>Stiennon, Jacques, author.</t>
  </si>
  <si>
    <t>Paris : Armand Colin, [1973]</t>
  </si>
  <si>
    <t>Collection U. Série Histoire médievale</t>
  </si>
  <si>
    <t>2003-04-03</t>
  </si>
  <si>
    <t>2018-10-23</t>
  </si>
  <si>
    <t>1742057:fre</t>
  </si>
  <si>
    <t>678360</t>
  </si>
  <si>
    <t>ocm00678360</t>
  </si>
  <si>
    <t>3102952284G</t>
  </si>
  <si>
    <t>9782200311834</t>
  </si>
  <si>
    <t>791444273</t>
  </si>
  <si>
    <t>3103000762B</t>
  </si>
  <si>
    <t>791444272</t>
  </si>
  <si>
    <t>Z105 T39 2015</t>
  </si>
  <si>
    <t>0                      Z  0105000T  39          2015</t>
  </si>
  <si>
    <t>Taxonomies of knowledge : information and order in medieval manuscripts / edited by Emily Steiner and Lynn Ransom.</t>
  </si>
  <si>
    <t>Philadelphia : The Schoenberg Institute for Manuscript Studies, University of Pennsylvania Libraries, [2015]</t>
  </si>
  <si>
    <t>The Lawrence J. Schoenberg studies in manuscript culture ; volume 2</t>
  </si>
  <si>
    <t>2894691902:eng</t>
  </si>
  <si>
    <t>910239505</t>
  </si>
  <si>
    <t>ocn910239505</t>
  </si>
  <si>
    <t>3103654662D</t>
  </si>
  <si>
    <t>9780812247596</t>
  </si>
  <si>
    <t>794996027</t>
  </si>
  <si>
    <t>Z105 T43 2011</t>
  </si>
  <si>
    <t>0                      Z  0105000T  43          2011</t>
  </si>
  <si>
    <t>The technological study of books and manuscripts as artefacts : research questions and analytical solutions / edited by Sarah Neate [and others].</t>
  </si>
  <si>
    <t>Oxford : Archaeopress, 2011.</t>
  </si>
  <si>
    <t>BAR international series ; 2209</t>
  </si>
  <si>
    <t>899022214:eng</t>
  </si>
  <si>
    <t>723137804</t>
  </si>
  <si>
    <t>ocn723137804</t>
  </si>
  <si>
    <t>3103235166J</t>
  </si>
  <si>
    <t>9781407307671</t>
  </si>
  <si>
    <t>794875881</t>
  </si>
  <si>
    <t>Z105.5 S79 S7 2015</t>
  </si>
  <si>
    <t>0                      Z  0105500S  79                 S  7           2015</t>
  </si>
  <si>
    <t>The St Cuthbert Gospel : studies on the Insular manuscript of the Gospel of John (BL, Additional MS 89000) / edited by Claire Breay &amp; Bernard Meehan.</t>
  </si>
  <si>
    <t>London : The British Library, 2015.</t>
  </si>
  <si>
    <t>2016-03-24</t>
  </si>
  <si>
    <t>2542931178:eng</t>
  </si>
  <si>
    <t>910834278</t>
  </si>
  <si>
    <t>ocn910834278</t>
  </si>
  <si>
    <t>31036119259</t>
  </si>
  <si>
    <t>9780712357654</t>
  </si>
  <si>
    <t>794996543</t>
  </si>
  <si>
    <t>Z105.5 V65 K46 2004</t>
  </si>
  <si>
    <t>0                      Z  0105500V  65                 K  46          2004</t>
  </si>
  <si>
    <t>The Voynich manuscript : the unsolved riddle of an extraordinary book which has defied interpretation for centuries / Gerry Kennedy and Rob Churchill.</t>
  </si>
  <si>
    <t>Kennedy, Gerry, 1943-</t>
  </si>
  <si>
    <t>London : Orion, 2004.</t>
  </si>
  <si>
    <t>2016-03-09</t>
  </si>
  <si>
    <t>169921:eng</t>
  </si>
  <si>
    <t>57683527</t>
  </si>
  <si>
    <t>ocm57683527</t>
  </si>
  <si>
    <t>3102486150O</t>
  </si>
  <si>
    <t>9780752859965</t>
  </si>
  <si>
    <t>793917636</t>
  </si>
  <si>
    <t>Z106.5 A3554 T73 2011</t>
  </si>
  <si>
    <t>0                      Z  0106500A  3554               T  73          2011</t>
  </si>
  <si>
    <t>The trans-Saharan book trade : manuscript culture, Arabic literacy and intellectual history in Muslim Africa / edited by Graziano Krätli, Ghislaine Lydon.</t>
  </si>
  <si>
    <t>Library of the written word, 1874-4834 ; v. 8. The manuscript world ; v. 3</t>
  </si>
  <si>
    <t>2012-06-13</t>
  </si>
  <si>
    <t>796532639:eng</t>
  </si>
  <si>
    <t>663772851</t>
  </si>
  <si>
    <t>ocn663772851</t>
  </si>
  <si>
    <t>3103312597H</t>
  </si>
  <si>
    <t>9789004187429</t>
  </si>
  <si>
    <t>794842677</t>
  </si>
  <si>
    <t>Z106.5 B452 L543 2017</t>
  </si>
  <si>
    <t>0                      Z  0106500B  452                L  543         2017</t>
  </si>
  <si>
    <t>The Psychomachia codex from St Lawrence (Bruxellensis 10066-77) and the schools of Liège in the tenth and eleventh centuries / Robert Gary Babcock.</t>
  </si>
  <si>
    <t>Babcock, Robert Gary, 1958- author.</t>
  </si>
  <si>
    <t>Turnhout, Belgium : Brepols, [2017]</t>
  </si>
  <si>
    <t>Bibliologia : elementa ad librorum studia pertinentia ; volume 42</t>
  </si>
  <si>
    <t>3938370666:eng</t>
  </si>
  <si>
    <t>962330864</t>
  </si>
  <si>
    <t>ocn962330864</t>
  </si>
  <si>
    <t>3103811819V</t>
  </si>
  <si>
    <t>9782503568713</t>
  </si>
  <si>
    <t>795024389</t>
  </si>
  <si>
    <t>Z106.5 E85 B87 2011</t>
  </si>
  <si>
    <t>0                      Z  0106500E  85                 B  87          2011</t>
  </si>
  <si>
    <t>Medieval manuscript production in the Latin West : explorations with a global database / by Eltjo Buringh.</t>
  </si>
  <si>
    <t>Buringh, E.</t>
  </si>
  <si>
    <t>Global economic history series, 1872-5155 ; v. 6</t>
  </si>
  <si>
    <t>2014-04-11</t>
  </si>
  <si>
    <t>796772882:eng</t>
  </si>
  <si>
    <t>666867888</t>
  </si>
  <si>
    <t>ocn666867888</t>
  </si>
  <si>
    <t>3103312429Y</t>
  </si>
  <si>
    <t>9789004175198</t>
  </si>
  <si>
    <t>794845351</t>
  </si>
  <si>
    <t>Z106.5 E85 C65 2018</t>
  </si>
  <si>
    <t>0                      Z  0106500E  85                 C  65          2018</t>
  </si>
  <si>
    <t>Collecting, organizing and transmitting knowledge : miscellanies in Late Medieval Europe / edited by Sabrina Corbellini, Giovanna Murano, Giacomo Signore.</t>
  </si>
  <si>
    <t>Late Medieval Manuscript Miscellanies (Workshop) (2014 : Amsterdam, Netherlands), author.</t>
  </si>
  <si>
    <t>Turnhout, Belgium : Brepols, [2018]</t>
  </si>
  <si>
    <t>Bibliologia. Elementa ad librorum studia pertinentia, 1375-9566 ; volume 49</t>
  </si>
  <si>
    <t>2018-10-10</t>
  </si>
  <si>
    <t>5165237981:eng</t>
  </si>
  <si>
    <t>1035752742</t>
  </si>
  <si>
    <t>on1035752742</t>
  </si>
  <si>
    <t>3103862223T</t>
  </si>
  <si>
    <t>9782503569703</t>
  </si>
  <si>
    <t>795057801</t>
  </si>
  <si>
    <t>Z106.5 E85 D44 2016</t>
  </si>
  <si>
    <t>0                      Z  0106500E  85                 D  44          2016</t>
  </si>
  <si>
    <t>Meetings with remarkable manuscripts / Christopher de Hamel.</t>
  </si>
  <si>
    <t>[London], UK : Allen Lane, an imprint of Penguin Books, 2016.</t>
  </si>
  <si>
    <t>2019-12-15</t>
  </si>
  <si>
    <t>2939285250:eng</t>
  </si>
  <si>
    <t>941875083</t>
  </si>
  <si>
    <t>ocn941875083</t>
  </si>
  <si>
    <t>3103654974V</t>
  </si>
  <si>
    <t>9780241003046</t>
  </si>
  <si>
    <t>795012338</t>
  </si>
  <si>
    <t>Z106.5 E85 D47 2003</t>
  </si>
  <si>
    <t>0                      Z  0106500E  85                 D  47          2003</t>
  </si>
  <si>
    <t>The palaeography of Gothic manuscript books : from the twelfth to the early sixteenth century / Albert Derolez.</t>
  </si>
  <si>
    <t>Derolez, Albert.</t>
  </si>
  <si>
    <t>Cambridge, U.K. ; New York : Cambridge University Press, 2003.</t>
  </si>
  <si>
    <t>Cambridge studies in palaeography and codicology ; 9</t>
  </si>
  <si>
    <t>293948362:eng</t>
  </si>
  <si>
    <t>50503173</t>
  </si>
  <si>
    <t>ocm50503173</t>
  </si>
  <si>
    <t>3102340563N</t>
  </si>
  <si>
    <t>9780521803151</t>
  </si>
  <si>
    <t>793766311</t>
  </si>
  <si>
    <t>Z106.5 E85 M43 2015</t>
  </si>
  <si>
    <t>0                      Z  0106500E  85                 M  43          2015</t>
  </si>
  <si>
    <t>The medieval manuscript book : cultural approaches / edited by Michael Johnston and Michael Van Dussen.</t>
  </si>
  <si>
    <t>Cambridge : Cambridge University Press, 2015.</t>
  </si>
  <si>
    <t>Cambridge studies in medieval literature ; 94</t>
  </si>
  <si>
    <t>2018-11-22</t>
  </si>
  <si>
    <t>2595434013:eng</t>
  </si>
  <si>
    <t>910092464</t>
  </si>
  <si>
    <t>ocn910092464</t>
  </si>
  <si>
    <t>3103583818A</t>
  </si>
  <si>
    <t>9781107066199</t>
  </si>
  <si>
    <t>794995879</t>
  </si>
  <si>
    <t>Z106.5 E85 T43 2010</t>
  </si>
  <si>
    <t>0                      Z  0106500E  85                 T  43          2010</t>
  </si>
  <si>
    <t>Teaching writing, learning to write : proceedings of the XVIth Colloquium of the Comité international de paléographie latine, held at the Institute of English Studies, University of London, 2-5 September 2008 / edited by P.R. Robinson.</t>
  </si>
  <si>
    <t>Comité international de paléographie latine. Coloquio (16th : 2008 : University of London)</t>
  </si>
  <si>
    <t>London : King's College London, Centre for Late Antique &amp; Medieval Studies, 2010.</t>
  </si>
  <si>
    <t>King's College London Medieval studies ; 22</t>
  </si>
  <si>
    <t>971741268:eng</t>
  </si>
  <si>
    <t>663953992</t>
  </si>
  <si>
    <t>ocn663953992</t>
  </si>
  <si>
    <t>3103324372E</t>
  </si>
  <si>
    <t>9780953983858</t>
  </si>
  <si>
    <t>794843060</t>
  </si>
  <si>
    <t>Z106.5 E85 T49 2012</t>
  </si>
  <si>
    <t>0                      Z  0106500E  85                 T  49          2012</t>
  </si>
  <si>
    <t>Le texte médiéval : de la variante à la recréation / Cécile Le Cornec-Rochelois, Anne Rochebouet, Anne Salamon (dir.).</t>
  </si>
  <si>
    <t>Paris : PUPS, [2011]</t>
  </si>
  <si>
    <t>Cultures et civilisations médiévales ; No 54</t>
  </si>
  <si>
    <t>2016-04-21</t>
  </si>
  <si>
    <t>1064732744:fre</t>
  </si>
  <si>
    <t>768813129</t>
  </si>
  <si>
    <t>ocn768813129</t>
  </si>
  <si>
    <t>3103482582F</t>
  </si>
  <si>
    <t>9782840507987</t>
  </si>
  <si>
    <t>794902896</t>
  </si>
  <si>
    <t>Z106.5 E85 W75 2015</t>
  </si>
  <si>
    <t>0                      Z  0106500E  85                 W  75          2015</t>
  </si>
  <si>
    <t>Writing Europe, 500-1450 : Texts and Contexts / Edited by Aidan Conti, Orietta Da Rold and Philip Shaw for the English Association.</t>
  </si>
  <si>
    <t>Cambridge : D.S. Brewer Ltd., 2015.</t>
  </si>
  <si>
    <t>Essays and studies, 0071-1357 ; volume 68</t>
  </si>
  <si>
    <t>2017-09-20</t>
  </si>
  <si>
    <t>2593925640:eng</t>
  </si>
  <si>
    <t>917364307</t>
  </si>
  <si>
    <t>ocn917364307</t>
  </si>
  <si>
    <t>3103613062T</t>
  </si>
  <si>
    <t>9781843844150</t>
  </si>
  <si>
    <t>795000877</t>
  </si>
  <si>
    <t>Z106.5 F8 B83 2011</t>
  </si>
  <si>
    <t>0                      Z  0106500F  8                  B  83          2011</t>
  </si>
  <si>
    <t>Dictionnaire de paléographie française : découvrir et comprendre les textes anciens (XVe-XVIIIe siècle) / Nicolas Buat &amp; Evelyne Van den Neste.</t>
  </si>
  <si>
    <t>Buat, Nicolas.</t>
  </si>
  <si>
    <t>Paris : Les Belles lettres, 2011.</t>
  </si>
  <si>
    <t>2017-12-13</t>
  </si>
  <si>
    <t>1149690674:fre</t>
  </si>
  <si>
    <t>703209083</t>
  </si>
  <si>
    <t>ocn703209083</t>
  </si>
  <si>
    <t>3103355535Y</t>
  </si>
  <si>
    <t>9782251444062</t>
  </si>
  <si>
    <t>794864639</t>
  </si>
  <si>
    <t>Z106.5 F8 D45 2014</t>
  </si>
  <si>
    <t>0                      Z  0106500F  8                  D  45          2014</t>
  </si>
  <si>
    <t>Les manuscrits autographes en français au Moyen Âge : guide de recherches / Olivier Delsaux &amp; Tania Van Hemelryck.</t>
  </si>
  <si>
    <t>Delsaux, Olivier, author.</t>
  </si>
  <si>
    <t>Turnhout, Belgium : Brepols, [2014]</t>
  </si>
  <si>
    <t>Texte, codex &amp; contexte ; XV</t>
  </si>
  <si>
    <t>1843145173:fre</t>
  </si>
  <si>
    <t>873518662</t>
  </si>
  <si>
    <t>ocn873518662</t>
  </si>
  <si>
    <t>31031997500</t>
  </si>
  <si>
    <t>9782503522791</t>
  </si>
  <si>
    <t>794968458</t>
  </si>
  <si>
    <t>Z106.5 F8 M36 2015</t>
  </si>
  <si>
    <t>0                      Z  0106500F  8                  M  36          2015</t>
  </si>
  <si>
    <t>Les manuscrits médiévaux témoins de lectures / études recueillies par Catherine Croizy-Naquet, Laurence Harf-Lancner, Michelle Szkilnik.</t>
  </si>
  <si>
    <t>Paris : Presses Sorbonne nouvelle, [2015]</t>
  </si>
  <si>
    <t>2555832960:fre</t>
  </si>
  <si>
    <t>913221776</t>
  </si>
  <si>
    <t>ocn913221776</t>
  </si>
  <si>
    <t>3103641134M</t>
  </si>
  <si>
    <t>9782878546392</t>
  </si>
  <si>
    <t>794999256</t>
  </si>
  <si>
    <t>Z106.5 G3 C97 2009</t>
  </si>
  <si>
    <t>0                      Z  0106500G  3                  C  97          2009</t>
  </si>
  <si>
    <t>The scribes for women's convents in late medieval Germany / Cynthia J. Cyrus.</t>
  </si>
  <si>
    <t>Cyrus, Cynthia J.</t>
  </si>
  <si>
    <t>Toronto : University of Toronto Press, ©2009.</t>
  </si>
  <si>
    <t>2017-01-19</t>
  </si>
  <si>
    <t>147031977:eng</t>
  </si>
  <si>
    <t>251891566</t>
  </si>
  <si>
    <t>ocn251891566</t>
  </si>
  <si>
    <t>3102709320Y</t>
  </si>
  <si>
    <t>9780802093691</t>
  </si>
  <si>
    <t>794385834</t>
  </si>
  <si>
    <t>Z106.5 G7 A54 2008</t>
  </si>
  <si>
    <t>0                      Z  0106500G  7                  A  54          2008</t>
  </si>
  <si>
    <t>Anglo-Saxon books and their readers : essays in celebration of Helmut Gneuss's Handlist of Anglo-Saxon manuscripts / edited by Thomas N. Hall and Donald Scragg.</t>
  </si>
  <si>
    <t>Kalamazoo : Medieval Institute Publications, Western Michigan University, ©2008.</t>
  </si>
  <si>
    <t>Publications of the Richard Rawlinson Center</t>
  </si>
  <si>
    <t>2018-09-26</t>
  </si>
  <si>
    <t>891295991:eng</t>
  </si>
  <si>
    <t>231745507</t>
  </si>
  <si>
    <t>ocn231745507</t>
  </si>
  <si>
    <t>3103083053J</t>
  </si>
  <si>
    <t>9781580441377</t>
  </si>
  <si>
    <t>794358054</t>
  </si>
  <si>
    <t>Z106.5 G7 B43 2008</t>
  </si>
  <si>
    <t>0                      Z  0106500G  7                  B  43          2008</t>
  </si>
  <si>
    <t>A dictionary of English manuscript terminology, 1450 to 2000 / Peter Beal.</t>
  </si>
  <si>
    <t>Beal, Peter.</t>
  </si>
  <si>
    <t>Oxford ; New York : Oxford University Press, 2008.</t>
  </si>
  <si>
    <t>2016-03-02</t>
  </si>
  <si>
    <t>5377584393:eng</t>
  </si>
  <si>
    <t>173498627</t>
  </si>
  <si>
    <t>ocn173498627</t>
  </si>
  <si>
    <t>3102574329V</t>
  </si>
  <si>
    <t>9780199265442</t>
  </si>
  <si>
    <t>794268556</t>
  </si>
  <si>
    <t>Z106.5 G7 B76 2007</t>
  </si>
  <si>
    <t>0                      Z  0106500G  7                  B  76          2007</t>
  </si>
  <si>
    <t>Manuscripts from the Anglo-Saxon age / Michelle P. Brown.</t>
  </si>
  <si>
    <t>Brown, Michelle (Michelle P.)</t>
  </si>
  <si>
    <t>London : British Library, 2007.</t>
  </si>
  <si>
    <t>104333679:eng</t>
  </si>
  <si>
    <t>153556415</t>
  </si>
  <si>
    <t>ocn153556415</t>
  </si>
  <si>
    <t>3102573849G</t>
  </si>
  <si>
    <t>9780712306805</t>
  </si>
  <si>
    <t>794249839</t>
  </si>
  <si>
    <t>Z106.5 G7 C66 2011</t>
  </si>
  <si>
    <t>0                      Z  0106500G  7                  C  66          2011</t>
  </si>
  <si>
    <t>Communicating early English manuscripts / edited by Päivi Pahta and Andreas H. Jucker.</t>
  </si>
  <si>
    <t>Studies in English language</t>
  </si>
  <si>
    <t>573625729:eng</t>
  </si>
  <si>
    <t>651916815</t>
  </si>
  <si>
    <t>ocn651916815</t>
  </si>
  <si>
    <t>3103232719N</t>
  </si>
  <si>
    <t>9780521193290</t>
  </si>
  <si>
    <t>794833215</t>
  </si>
  <si>
    <t>Z106.5 G7 D47 2008</t>
  </si>
  <si>
    <t>0                      Z  0106500G  7                  D  47          2008</t>
  </si>
  <si>
    <t>Design and distribution of late medieval manuscripts in England / edited by Margaret Connolly, Linne R. Mooney.</t>
  </si>
  <si>
    <t>[York, England] : York Medieval Press ; Woodbridge, UK ; Rochester, NY : in association with Boydell Press, 2008.</t>
  </si>
  <si>
    <t>Manuscript culture in the British Isles ; [1]</t>
  </si>
  <si>
    <t>2017-03-14</t>
  </si>
  <si>
    <t>475173438:eng</t>
  </si>
  <si>
    <t>176925284</t>
  </si>
  <si>
    <t>ocn176925284</t>
  </si>
  <si>
    <t>3102977409X</t>
  </si>
  <si>
    <t>9781903153246</t>
  </si>
  <si>
    <t>794277893</t>
  </si>
  <si>
    <t>Z106.5 G7 H66 2017</t>
  </si>
  <si>
    <t>0                      Z  0106500G  7                  H  66          2017</t>
  </si>
  <si>
    <t>Alchemy, medicine, and commercial book production : a codicological and linguistic study of the Voigts-Sloane Manuscript Group / by Alpo Honkapohja.</t>
  </si>
  <si>
    <t>Honkapohja, Alpo, author.</t>
  </si>
  <si>
    <t>Texts and transitions ; volume 9</t>
  </si>
  <si>
    <t>4019040904:eng</t>
  </si>
  <si>
    <t>967819942</t>
  </si>
  <si>
    <t>ocn967819942</t>
  </si>
  <si>
    <t>3103740916R</t>
  </si>
  <si>
    <t>9782503566474</t>
  </si>
  <si>
    <t>795026768</t>
  </si>
  <si>
    <t>Z106.5 G7 I43 2005</t>
  </si>
  <si>
    <t>0                      Z  0106500G  7                  I  43          2005</t>
  </si>
  <si>
    <t>Imagining the book / edited by Stephen Kelly and John J. Thompson.</t>
  </si>
  <si>
    <t>Turnhout, Belgium : Brepols, ©2005.</t>
  </si>
  <si>
    <t>Medieval texts and cultures of Northern Europe ; 7</t>
  </si>
  <si>
    <t>365110045:eng</t>
  </si>
  <si>
    <t>61441538</t>
  </si>
  <si>
    <t>ocm61441538</t>
  </si>
  <si>
    <t>3102548527O</t>
  </si>
  <si>
    <t>9782503516936</t>
  </si>
  <si>
    <t>793952800</t>
  </si>
  <si>
    <t>2013-11-28</t>
  </si>
  <si>
    <t>31025437251</t>
  </si>
  <si>
    <t>793952801</t>
  </si>
  <si>
    <t>Z106.5 G7 I57 2015</t>
  </si>
  <si>
    <t>0                      Z  0106500G  7                  I  57          2015</t>
  </si>
  <si>
    <t>Insular books : vernacular manuscript miscellanies in late Medieval Britain / edited by Margaret Connolly &amp; Raluca Radulescu.</t>
  </si>
  <si>
    <t>Oxford : Published for the British Academy by Oxford University Press, 2015.</t>
  </si>
  <si>
    <t>Proceedings of the British Academy, 0068-1202 ; 201</t>
  </si>
  <si>
    <t>2295423614:eng</t>
  </si>
  <si>
    <t>894201823</t>
  </si>
  <si>
    <t>ocn894201823</t>
  </si>
  <si>
    <t>3103611630S</t>
  </si>
  <si>
    <t>9780197265833</t>
  </si>
  <si>
    <t>794982485</t>
  </si>
  <si>
    <t>Z106.5 G7 I58 2012</t>
  </si>
  <si>
    <t>0                      Z  0106500G  7                  I  58          2012</t>
  </si>
  <si>
    <t>In the prayse of writing : early modern manuscript studies : essays in honour of Peter Beal / edited by S.P. Cerasano and Steven W. May.</t>
  </si>
  <si>
    <t>1044125836:eng</t>
  </si>
  <si>
    <t>760972802</t>
  </si>
  <si>
    <t>ocn760972802</t>
  </si>
  <si>
    <t>3103428883C</t>
  </si>
  <si>
    <t>9780712358576</t>
  </si>
  <si>
    <t>794898769</t>
  </si>
  <si>
    <t>Z106.5 G7 M35 2013</t>
  </si>
  <si>
    <t>0                      Z  0106500G  7                  M  35          2013</t>
  </si>
  <si>
    <t>The making of the Vernon manuscript : the production and contexts of Oxford, Bodleian Library, MS Eng. poet. a. 1 / edited by Wendy Scase.</t>
  </si>
  <si>
    <t>Turnhout : Brepols, [2013]</t>
  </si>
  <si>
    <t>Texts and transitions ; volume 6</t>
  </si>
  <si>
    <t>3944270144:eng</t>
  </si>
  <si>
    <t>847542485</t>
  </si>
  <si>
    <t>ocn847542485</t>
  </si>
  <si>
    <t>3103698139L</t>
  </si>
  <si>
    <t>9782503530468</t>
  </si>
  <si>
    <t>794949567</t>
  </si>
  <si>
    <t>Z106.5 G7 M36 2014</t>
  </si>
  <si>
    <t>0                      Z  0106500G  7                  M  36          2014</t>
  </si>
  <si>
    <t>Manuscript miscellanies in early modern England / edited by Joshua Eckhardt, Virginia Commonwealth University, USA and Daniel Starza Smith, Lincoln College, University of Oxford, UK.</t>
  </si>
  <si>
    <t>Farnham, Surrey, England ; Burlington, VT : Ashgate, [2014]</t>
  </si>
  <si>
    <t>1851902132:eng</t>
  </si>
  <si>
    <t>904507068</t>
  </si>
  <si>
    <t>ocn904507068</t>
  </si>
  <si>
    <t>31036099731</t>
  </si>
  <si>
    <t>9781472420275</t>
  </si>
  <si>
    <t>794990502</t>
  </si>
  <si>
    <t>Z106.5 G7 M37 2004</t>
  </si>
  <si>
    <t>0                      Z  0106500G  7                  M  37          2004</t>
  </si>
  <si>
    <t>Palaeography for family and local historians / Hilary Marshall.</t>
  </si>
  <si>
    <t>Marshall, Hilary.</t>
  </si>
  <si>
    <t>Chichester, West Sussex : Phillimore, 2004.</t>
  </si>
  <si>
    <t>2018-03-09</t>
  </si>
  <si>
    <t>19547917:eng</t>
  </si>
  <si>
    <t>58750992</t>
  </si>
  <si>
    <t>ocm58750992</t>
  </si>
  <si>
    <t>3102563113B</t>
  </si>
  <si>
    <t>9781860770722</t>
  </si>
  <si>
    <t>793923926</t>
  </si>
  <si>
    <t>Z106.5 G7 N49 2014</t>
  </si>
  <si>
    <t>0                      Z  0106500G  7                  N  49          2014</t>
  </si>
  <si>
    <t>New directions in medieval manuscript studies and reading practices : essays in honor of Derek Pearsall / edited by Kathryn Kerby-Fulton, John J. Thompson, and Sarah Baechle.</t>
  </si>
  <si>
    <t>Notre Dame, Indiana : University of Notre Dame Press, [2014]</t>
  </si>
  <si>
    <t>1890552710:eng</t>
  </si>
  <si>
    <t>880244311</t>
  </si>
  <si>
    <t>ocn880244311</t>
  </si>
  <si>
    <t>3103581304Z</t>
  </si>
  <si>
    <t>9780268033279</t>
  </si>
  <si>
    <t>794972795</t>
  </si>
  <si>
    <t>Z106.5 G7 O35 1997</t>
  </si>
  <si>
    <t>0                      Z  0106500G  7                  O  35          1997</t>
  </si>
  <si>
    <t>Of the making of books : Medieval manuscripts, their scribes and readers : essays presented to M.B. Parkes / edited by P.R. Robinson and Rivkah Zim.</t>
  </si>
  <si>
    <t>Aldershot, England : Scolar Press ; Brookfield, Vt., USA : Ashgate Pub. Co., ©1997.</t>
  </si>
  <si>
    <t>837041553:eng</t>
  </si>
  <si>
    <t>36029726</t>
  </si>
  <si>
    <t>ocm36029726</t>
  </si>
  <si>
    <t>3102790047U</t>
  </si>
  <si>
    <t>9781859280799</t>
  </si>
  <si>
    <t>793464442</t>
  </si>
  <si>
    <t>Z106.5 G7 P37 2012</t>
  </si>
  <si>
    <t>0                      Z  0106500G  7                  P  37          2012</t>
  </si>
  <si>
    <t>Pages from the past : medieval writing skills and manuscript books / M.B. Parkes ; edited by P.R. Robinson and Rivkah Zim.</t>
  </si>
  <si>
    <t>Farnham, Surrey, England ; Burlington, VT : Ashgate Pub., ©2012.</t>
  </si>
  <si>
    <t>Variorum collected studies series ; CS1000</t>
  </si>
  <si>
    <t>1082302370:eng</t>
  </si>
  <si>
    <t>779242781</t>
  </si>
  <si>
    <t>ocn779242781</t>
  </si>
  <si>
    <t>3103532517B</t>
  </si>
  <si>
    <t>9781409438069</t>
  </si>
  <si>
    <t>794910571</t>
  </si>
  <si>
    <t>Z106.5 G7 P74 2000</t>
  </si>
  <si>
    <t>0                      Z  0106500G  7                  P  74          2000</t>
  </si>
  <si>
    <t>Prestige, authority, and power in late medieval manuscripts and texts / edited by Felicity Riddy.</t>
  </si>
  <si>
    <t>Woodbridge, Suffolk ; Rochester, N.Y. : York Medieval Press, 2000.</t>
  </si>
  <si>
    <t>York manuscripts conferences, 0955-9663 ; v. 4</t>
  </si>
  <si>
    <t>2016-04-20</t>
  </si>
  <si>
    <t>9964552785:eng</t>
  </si>
  <si>
    <t>42934619</t>
  </si>
  <si>
    <t>ocm42934619</t>
  </si>
  <si>
    <t>31022519688</t>
  </si>
  <si>
    <t>9780952973461</t>
  </si>
  <si>
    <t>793617494</t>
  </si>
  <si>
    <t>Z106.5 G7 S37 2012</t>
  </si>
  <si>
    <t>0                      Z  0106500G  7                  S  37          2012</t>
  </si>
  <si>
    <t>A conspectus of scribal hands writing English, 960-1100 / Donald Scragg.</t>
  </si>
  <si>
    <t>Scragg, D. G.</t>
  </si>
  <si>
    <t>Cambridge : D.S. Brewer, 2012.</t>
  </si>
  <si>
    <t>Publications of the Manchester centre for Anglo-Saxon studies ; v. 11, 1478-6710</t>
  </si>
  <si>
    <t>1117812039:eng</t>
  </si>
  <si>
    <t>724651592</t>
  </si>
  <si>
    <t>ocn724651592</t>
  </si>
  <si>
    <t>3103469438A</t>
  </si>
  <si>
    <t>9781843842866</t>
  </si>
  <si>
    <t>794876516</t>
  </si>
  <si>
    <t>Z106.5 G7 T39 2002</t>
  </si>
  <si>
    <t>0                      Z  0106500G  7                  T  39          2002</t>
  </si>
  <si>
    <t>Textual situations : three medieval manuscripts and their readers / Andrew Taylor.</t>
  </si>
  <si>
    <t>Taylor, Andrew, 1958-</t>
  </si>
  <si>
    <t>Philadelphia : University of Pennsylvania Press, ©2002.</t>
  </si>
  <si>
    <t>2016-03-15</t>
  </si>
  <si>
    <t>837083992:eng</t>
  </si>
  <si>
    <t>48176729</t>
  </si>
  <si>
    <t>ocm48176729</t>
  </si>
  <si>
    <t>31021691717</t>
  </si>
  <si>
    <t>9780812236422</t>
  </si>
  <si>
    <t>793717551</t>
  </si>
  <si>
    <t>Z106.5 G7 W35 2014</t>
  </si>
  <si>
    <t>0                      Z  0106500G  7                  W  35          2014</t>
  </si>
  <si>
    <t>Scribal correction and literary craft : English manuscripts 1375-1510 / Daniel Wakelin.</t>
  </si>
  <si>
    <t>Wakelin, Daniel, 1977- author.</t>
  </si>
  <si>
    <t>New York : Cambridge University Press, 2014.</t>
  </si>
  <si>
    <t>Cambridge studies in medieval literature ; 91</t>
  </si>
  <si>
    <t>1924884216:eng</t>
  </si>
  <si>
    <t>880541460</t>
  </si>
  <si>
    <t>ocn880541460</t>
  </si>
  <si>
    <t>3103581842C</t>
  </si>
  <si>
    <t>9781107076228</t>
  </si>
  <si>
    <t>794973095</t>
  </si>
  <si>
    <t>Z106.5 G7 W35 2018</t>
  </si>
  <si>
    <t>0                      Z  0106500G  7                  W  35          2018</t>
  </si>
  <si>
    <t>Designing English : early literature on the page / Daniel Wakelin.</t>
  </si>
  <si>
    <t>Oxford : Bodleian Library, University of Oxford, [2018]</t>
  </si>
  <si>
    <t>4737744474:eng</t>
  </si>
  <si>
    <t>987037968</t>
  </si>
  <si>
    <t>ocn987037968</t>
  </si>
  <si>
    <t>3103704371A</t>
  </si>
  <si>
    <t>9781851244751</t>
  </si>
  <si>
    <t>795035857</t>
  </si>
  <si>
    <t>Z106.5 G72 E54 2015</t>
  </si>
  <si>
    <t>0                      Z  0106500G  72                 E  54          2015</t>
  </si>
  <si>
    <t>Textus Roffensis : law, language, and libraries in early medieval England / edited by Bruce O'Brien and Barbara Bombi.</t>
  </si>
  <si>
    <t>Turnhout, Belgium : Brepols, [2015]</t>
  </si>
  <si>
    <t>Studies in the Early Middle Ages ; v. 30</t>
  </si>
  <si>
    <t>2016-10-31</t>
  </si>
  <si>
    <t>2607510085:eng</t>
  </si>
  <si>
    <t>907631798</t>
  </si>
  <si>
    <t>ocn907631798</t>
  </si>
  <si>
    <t>3103607925M</t>
  </si>
  <si>
    <t>9782503542331</t>
  </si>
  <si>
    <t>794993626</t>
  </si>
  <si>
    <t>Z106.5 G72 E545 2000</t>
  </si>
  <si>
    <t>0                      Z  0106500G  72                 E  545         2000</t>
  </si>
  <si>
    <t>The English medieval book : studies in memory of Jeremy Griffiths / edited by A.S.G. Edwards, Vincent Gillespie and Ralph Hanna.</t>
  </si>
  <si>
    <t>London : The British Library, 2000.</t>
  </si>
  <si>
    <t>British Library studies in the history of the book</t>
  </si>
  <si>
    <t>837072365:eng</t>
  </si>
  <si>
    <t>44887321</t>
  </si>
  <si>
    <t>ocm44887321</t>
  </si>
  <si>
    <t>3102071405C</t>
  </si>
  <si>
    <t>9780712346504</t>
  </si>
  <si>
    <t>793659999</t>
  </si>
  <si>
    <t>Z106.5 G72 E59 2009</t>
  </si>
  <si>
    <t>0                      Z  0106500G  72                 E  59          2009</t>
  </si>
  <si>
    <t>Working with Anglo-saxon manuscripts / edited by Gale R. Owen-Crocker ; with contributions by Maria Cesario [and others].</t>
  </si>
  <si>
    <t>Exeter : University of Exeter Press, 2009.</t>
  </si>
  <si>
    <t>Exeter medieval texts and studies</t>
  </si>
  <si>
    <t>369397254:eng</t>
  </si>
  <si>
    <t>262883587</t>
  </si>
  <si>
    <t>ocn262883587</t>
  </si>
  <si>
    <t>3102858734U</t>
  </si>
  <si>
    <t>9780859898409</t>
  </si>
  <si>
    <t>794402453</t>
  </si>
  <si>
    <t>Z106.5 G72 E78 2013</t>
  </si>
  <si>
    <t>0                      Z  0106500G  72                 E  78          2013</t>
  </si>
  <si>
    <t>Introducing English medieval book history : manuscripts, their producers and their readers / Ralph Hanna.</t>
  </si>
  <si>
    <t>Hanna, Ralph, author.</t>
  </si>
  <si>
    <t>2013-12-17</t>
  </si>
  <si>
    <t>1376754592:eng</t>
  </si>
  <si>
    <t>854918561</t>
  </si>
  <si>
    <t>ocn854918561</t>
  </si>
  <si>
    <t>3103501439T</t>
  </si>
  <si>
    <t>9780859898713</t>
  </si>
  <si>
    <t>794952869</t>
  </si>
  <si>
    <t>Z106.5 I4 A86 2012</t>
  </si>
  <si>
    <t>0                      Z  0106500I  4                  A  86          2012</t>
  </si>
  <si>
    <t>Aspects of manuscript culture in South India / edited by Saraju Rath.</t>
  </si>
  <si>
    <t>Leiden ; Boston : Brill, 2012.</t>
  </si>
  <si>
    <t>Brill's Indological library ; v. 40</t>
  </si>
  <si>
    <t>1107752072:eng</t>
  </si>
  <si>
    <t>758393880</t>
  </si>
  <si>
    <t>ocn758393880</t>
  </si>
  <si>
    <t>3103631243N</t>
  </si>
  <si>
    <t>9789004219007</t>
  </si>
  <si>
    <t>794896239</t>
  </si>
  <si>
    <t>Z106.5 I4 I534 2009</t>
  </si>
  <si>
    <t>0                      Z  0106500I  4                  I  534         2009</t>
  </si>
  <si>
    <t>From birch bark to digital data : recent advances in Buddhist manuscript research : papers presented at the Conference Indic Buddhist Manuscripts: the state of the field, Stanford, June 15-19, 2009 / edited by Paul Harrison and Jens-Uwe Hartmann.</t>
  </si>
  <si>
    <t>Indic Buddhist Manuscripts: the State of the Field (Conference) (2009 : Stanford University)</t>
  </si>
  <si>
    <t>Wien : Verlag der Österreichischen Akademie der Wissenschaften, 2014.</t>
  </si>
  <si>
    <t>Beiträge zur Kultur- und Geistesgeschichte Asiens ; Nr. 80</t>
  </si>
  <si>
    <t>1843149077:eng</t>
  </si>
  <si>
    <t>873521023</t>
  </si>
  <si>
    <t>ocn873521023</t>
  </si>
  <si>
    <t>3103582040W</t>
  </si>
  <si>
    <t>9783700175810</t>
  </si>
  <si>
    <t>794968464</t>
  </si>
  <si>
    <t>Z106.5 I732 M39 2014</t>
  </si>
  <si>
    <t>0                      Z  0106500I  732                M  39          2014</t>
  </si>
  <si>
    <t>The medieval manuscripts at Maynooth : explorations in the unknown / Peter J. Lucas and Angela M. Lucas.</t>
  </si>
  <si>
    <t>Lucas, Peter J., author.</t>
  </si>
  <si>
    <t>Dublin, Ireland ; Portland, OR : Four Courts Press, [2014]</t>
  </si>
  <si>
    <t>2264364326:eng</t>
  </si>
  <si>
    <t>869345459</t>
  </si>
  <si>
    <t>ocn869345459</t>
  </si>
  <si>
    <t>31036097577</t>
  </si>
  <si>
    <t>9781846825347</t>
  </si>
  <si>
    <t>794965344</t>
  </si>
  <si>
    <t>Z106.5 M43 T49 2016</t>
  </si>
  <si>
    <t>0                      Z  0106500M  43                 T  49          2016</t>
  </si>
  <si>
    <t>Texts in transit in the medieval Mediterranean / edited by Y. Tzvi Langermann and Robert G. Morrison.</t>
  </si>
  <si>
    <t>University Park, Pennsylvania : The Pennsylvania State University Press, [2016]</t>
  </si>
  <si>
    <t>2797209238:eng</t>
  </si>
  <si>
    <t>929123061</t>
  </si>
  <si>
    <t>ocn929123061</t>
  </si>
  <si>
    <t>3103657017R</t>
  </si>
  <si>
    <t>9780271071091</t>
  </si>
  <si>
    <t>795006514</t>
  </si>
  <si>
    <t>Z106.5 N4 W5513 2010</t>
  </si>
  <si>
    <t>0                      Z  0106500N  4                  W  5513        2010</t>
  </si>
  <si>
    <t>Luxury bound : illustrated manuscript production and noble and princely book ownership in the Burgundian Netherlands (1400-1550) / Hanno Wijsman ; English translation, Lee Preedy.</t>
  </si>
  <si>
    <t>Wijsman, Hanno, 1970- author.</t>
  </si>
  <si>
    <t>Turnhout : Brepols, [2010]</t>
  </si>
  <si>
    <t>Burgundica ; XVI</t>
  </si>
  <si>
    <t>2018-04-20</t>
  </si>
  <si>
    <t>351474532:eng</t>
  </si>
  <si>
    <t>491905843</t>
  </si>
  <si>
    <t>ocn491905843</t>
  </si>
  <si>
    <t>3103334219O</t>
  </si>
  <si>
    <t>9782503525587</t>
  </si>
  <si>
    <t>794800781</t>
  </si>
  <si>
    <t>Z107 B69 1983</t>
  </si>
  <si>
    <t>0                      Z  0107000B  69          1983</t>
  </si>
  <si>
    <t>Pour une histoire du livre manuscrit au Moyen Âge : trois essais de codicologie quantitative / Carla Bozzolo et Ezio Ornato.</t>
  </si>
  <si>
    <t>Bozzolo, Carla.</t>
  </si>
  <si>
    <t>Paris : Éditions du Centre national de la recherche scientifique, 1983.</t>
  </si>
  <si>
    <t>2019-11-15</t>
  </si>
  <si>
    <t>915812901:eng</t>
  </si>
  <si>
    <t>220335141</t>
  </si>
  <si>
    <t>ocn220335141</t>
  </si>
  <si>
    <t>3000363882G</t>
  </si>
  <si>
    <t>9782222027126</t>
  </si>
  <si>
    <t>794321019</t>
  </si>
  <si>
    <t>2014-05-06</t>
  </si>
  <si>
    <t>3103479842S</t>
  </si>
  <si>
    <t>794321020</t>
  </si>
  <si>
    <t>Z107 M36 2015</t>
  </si>
  <si>
    <t>0                      Z  0107000M  36          2015</t>
  </si>
  <si>
    <t>Manuscripts of the Latin classics 800-1200 / edited by Erik Kwakkel.</t>
  </si>
  <si>
    <t>Leiden [The Netherlands] : Leiden University Press, [2015]</t>
  </si>
  <si>
    <t>2477463944:eng</t>
  </si>
  <si>
    <t>905524750</t>
  </si>
  <si>
    <t>ocn905524750</t>
  </si>
  <si>
    <t>3103608199K</t>
  </si>
  <si>
    <t>9789087282264</t>
  </si>
  <si>
    <t>794991496</t>
  </si>
  <si>
    <t>Z107 M39 1994</t>
  </si>
  <si>
    <t>0                      Z  0107000M  39          1994</t>
  </si>
  <si>
    <t>Books, scribes, and learning in the Frankish Kingdoms, 6th-9th centuries / Rosamond McKitterick.</t>
  </si>
  <si>
    <t>McKitterick, Rosamond.</t>
  </si>
  <si>
    <t>Aldershot, Great Britain ; Brookfield, Vt., USA : Variorum, 1994.</t>
  </si>
  <si>
    <t>Collected studies series ; CS452</t>
  </si>
  <si>
    <t>2019-04-10</t>
  </si>
  <si>
    <t>9021553766:eng</t>
  </si>
  <si>
    <t>29954645</t>
  </si>
  <si>
    <t>ocm29954645</t>
  </si>
  <si>
    <t>3101465528$</t>
  </si>
  <si>
    <t>9780860784067</t>
  </si>
  <si>
    <t>793325122</t>
  </si>
  <si>
    <t>Z107 S52 2003</t>
  </si>
  <si>
    <t>0                      Z  0107000S  52          2003</t>
  </si>
  <si>
    <t>Titulus : identifying medieval Latin texts : an evidence-based approach / Richard Sharpe.</t>
  </si>
  <si>
    <t>Sharpe, Richard.</t>
  </si>
  <si>
    <t>Turnhout : Brepols, 2003.</t>
  </si>
  <si>
    <t>Brepols essays in European culture ; [3]</t>
  </si>
  <si>
    <t>2016-07-11</t>
  </si>
  <si>
    <t>784453343:eng</t>
  </si>
  <si>
    <t>237789809</t>
  </si>
  <si>
    <t>ocn237789809</t>
  </si>
  <si>
    <t>3102310210K</t>
  </si>
  <si>
    <t>9782503512587</t>
  </si>
  <si>
    <t>794373525</t>
  </si>
  <si>
    <t>2015-01-15</t>
  </si>
  <si>
    <t>2012-12-03</t>
  </si>
  <si>
    <t>Z108 T49 1997</t>
  </si>
  <si>
    <t>0                      Z  0108000T  49          1997</t>
  </si>
  <si>
    <t>Texts and their contexts : papers from the Early Book Society / John Scattergood &amp; Julia Boffey, editors.</t>
  </si>
  <si>
    <t>Dublin ; Portland, OR : Four Courts, ©1997.</t>
  </si>
  <si>
    <t>2016-12-21</t>
  </si>
  <si>
    <t>375334858:eng</t>
  </si>
  <si>
    <t>38022869</t>
  </si>
  <si>
    <t>ocm38022869</t>
  </si>
  <si>
    <t>31018438011</t>
  </si>
  <si>
    <t>9781851822096</t>
  </si>
  <si>
    <t>793513107</t>
  </si>
  <si>
    <t>Z110 C7 I58 2011</t>
  </si>
  <si>
    <t>0                      Z  0110000C  7                  I  58          2011</t>
  </si>
  <si>
    <t>Care and conservation of manuscripts 13 : proceedings of the thirteenth international seminar held at the University of Copenhagen 13th-15th April 2011 / edited by M.J. Driscoll.</t>
  </si>
  <si>
    <t>Care and Conservation of Manuscripts (Seminar) (13th : 2011 : Københavns universitet)</t>
  </si>
  <si>
    <t>Copenhagen : Museum Tusculanum Press, 2012.</t>
  </si>
  <si>
    <t>Care and conservation of manuscripts ; 13. (13.-15. April 2011)</t>
  </si>
  <si>
    <t>1174547137:eng</t>
  </si>
  <si>
    <t>814408112</t>
  </si>
  <si>
    <t>ocn814408112</t>
  </si>
  <si>
    <t>3103581592B</t>
  </si>
  <si>
    <t>9788763540339</t>
  </si>
  <si>
    <t>794932214</t>
  </si>
  <si>
    <t>Z110 C7 I58 2012</t>
  </si>
  <si>
    <t>0                      Z  0110000C  7                  I  58          2012</t>
  </si>
  <si>
    <t>Care and conservation of manuscripts 14 : proceedings of the fourteenth international seminar held at the University of Copenhagen 17th-19th October 2012 / edited by M.J. Driscoll.</t>
  </si>
  <si>
    <t>Care and Conservation of Manuscripts (Seminar) (14th : 2012 : Københavns universitet)</t>
  </si>
  <si>
    <t>Copenhagen, Denmark : Museum Tusculanum Press, University of Copenhagen, 2014.</t>
  </si>
  <si>
    <t>Care and conservation of manuscripts, 1602-1339 ; 14</t>
  </si>
  <si>
    <t>9566165699:eng</t>
  </si>
  <si>
    <t>878493689</t>
  </si>
  <si>
    <t>ocn878493689</t>
  </si>
  <si>
    <t>3103581345R</t>
  </si>
  <si>
    <t>9788763542043</t>
  </si>
  <si>
    <t>794971447</t>
  </si>
  <si>
    <t>Z110 C7 I58 2014</t>
  </si>
  <si>
    <t>0                      Z  0110000C  7                  I  58          2014</t>
  </si>
  <si>
    <t>Care and conservation of manuscripts 15 : proceedings of the fifteenth international seminar held at the University of Copenhagen 2nd-4th April 2014 / edited by M.J. Driscoll.</t>
  </si>
  <si>
    <t>Care and Conservation of Manuscripts (Seminar) (15th : 2014 : Copenhagen, Denmark), author.</t>
  </si>
  <si>
    <t>Copenhagen, Denmark : Museum Tusculanum Press, University of Copenhagen, 2016.</t>
  </si>
  <si>
    <t>3020306949:eng</t>
  </si>
  <si>
    <t>951735130</t>
  </si>
  <si>
    <t>ocn951735130</t>
  </si>
  <si>
    <t>31036709726</t>
  </si>
  <si>
    <t>9788763544337</t>
  </si>
  <si>
    <t>795017680</t>
  </si>
  <si>
    <t>Z110 C7 R58 2010</t>
  </si>
  <si>
    <t>0                      Z  0110000C  7                  R  58          2010</t>
  </si>
  <si>
    <t>Preserving archives &amp; manuscripts / Mary Lynn Ritzenthaler.</t>
  </si>
  <si>
    <t>Ritzenthaler, Mary Lynn.</t>
  </si>
  <si>
    <t>Chicago : Society of American Archivists, ©2010.</t>
  </si>
  <si>
    <t>Archival fundamentals series II</t>
  </si>
  <si>
    <t>2017-07-14</t>
  </si>
  <si>
    <t>4202347815:eng</t>
  </si>
  <si>
    <t>496595620</t>
  </si>
  <si>
    <t>ocn496595620</t>
  </si>
  <si>
    <t>3103223438T</t>
  </si>
  <si>
    <t>9781931666329</t>
  </si>
  <si>
    <t>794802605</t>
  </si>
  <si>
    <t>Z110 P36 G38 2018</t>
  </si>
  <si>
    <t>0                      Z  0110000P  36                 G  38          2018</t>
  </si>
  <si>
    <t>The pharaoh's treasure : the origin of paper and the rise of Western civilization / John Gaudet.</t>
  </si>
  <si>
    <t>Gaudet, John J., author.</t>
  </si>
  <si>
    <t>New York : Pegasus Books, 2018.</t>
  </si>
  <si>
    <t>First Pegasus Books cloth edition.</t>
  </si>
  <si>
    <t>4769060397:eng</t>
  </si>
  <si>
    <t>1023547500</t>
  </si>
  <si>
    <t>on1023547500</t>
  </si>
  <si>
    <t>3103810316P</t>
  </si>
  <si>
    <t>9781681778532</t>
  </si>
  <si>
    <t>795051808</t>
  </si>
  <si>
    <t>Z110 P36 O98 2009</t>
  </si>
  <si>
    <t>0                      Z  0110000P  36                 O  98          2009</t>
  </si>
  <si>
    <t>The Oxford handbook of papyrology / edited by Roger S. Bagnall.</t>
  </si>
  <si>
    <t>Oxford ; New York : Oxford University Press, 2009.</t>
  </si>
  <si>
    <t>[Oxford handbooks]</t>
  </si>
  <si>
    <t>2017-11-07</t>
  </si>
  <si>
    <t>140490180:eng</t>
  </si>
  <si>
    <t>236082531</t>
  </si>
  <si>
    <t>ocn236082531</t>
  </si>
  <si>
    <t>31030808861</t>
  </si>
  <si>
    <t>9780195178388</t>
  </si>
  <si>
    <t>794371012</t>
  </si>
  <si>
    <t>Z110 P36 S35 2010</t>
  </si>
  <si>
    <t>0                      Z  0110000P  36                 S  35          2010</t>
  </si>
  <si>
    <t>To mega biblion : book-ends, end-titles, and coronides in papyri with hexametric poetry / by Francesca Schironi.</t>
  </si>
  <si>
    <t>Schironi, Francesca.</t>
  </si>
  <si>
    <t>Durham, N.C. : American Society of Papyrologists, ©2010.</t>
  </si>
  <si>
    <t>The American studies in papyrology ; v. 48</t>
  </si>
  <si>
    <t>2017-10-13</t>
  </si>
  <si>
    <t>3857567714:eng</t>
  </si>
  <si>
    <t>310395115</t>
  </si>
  <si>
    <t>ocn310395115</t>
  </si>
  <si>
    <t>3103228890M</t>
  </si>
  <si>
    <t>9780979975806</t>
  </si>
  <si>
    <t>794435350</t>
  </si>
  <si>
    <t>Z110 R4 M84 2016</t>
  </si>
  <si>
    <t>0                      Z  0110000R  4                  M  84          2016</t>
  </si>
  <si>
    <t>Copying early Christian texts : a study of scribal practice / Alan Mugridge.</t>
  </si>
  <si>
    <t>Mugridge, Alan, 1952- author.</t>
  </si>
  <si>
    <t>Tübingen : Mohr Siebeck, [2016]</t>
  </si>
  <si>
    <t>Wissenschaftliche Untersuchungen zum Neuen Testament ; 362</t>
  </si>
  <si>
    <t>3189303795:eng</t>
  </si>
  <si>
    <t>956637596</t>
  </si>
  <si>
    <t>ocn956637596</t>
  </si>
  <si>
    <t>3103698871Y</t>
  </si>
  <si>
    <t>Book_thsis</t>
  </si>
  <si>
    <t>9783161546884</t>
  </si>
  <si>
    <t>795020337</t>
  </si>
  <si>
    <t>Z111 C24</t>
  </si>
  <si>
    <t>0                      Z  0111000C  24</t>
  </si>
  <si>
    <t>Lexicon abbreviaturarum quae in lapidibus, codicibus et chartis praesertim medii-aevi occurrunt. Dizionario di abbreviature latine ed italiane usate nelle carte e codici specialmente nel medio-evo, riprodotte con oltre 13000 segni incisi, aggiuntovi uno studio sulla brachigrafia medioevale, un prontuario di sigle epigrafiche, l'antica numerazione romana ed arabica, i monogrammi, ed i segni indicanti monete, pesi, misure; per cura di Adriano Cappelli ...</t>
  </si>
  <si>
    <t>Cappelli, Adriano.</t>
  </si>
  <si>
    <t>Milano, U. Hoepli, 1899.</t>
  </si>
  <si>
    <t>1899</t>
  </si>
  <si>
    <t>Manuali Hoepli</t>
  </si>
  <si>
    <t>8908770347:ita</t>
  </si>
  <si>
    <t>3971424</t>
  </si>
  <si>
    <t>ocm03971424</t>
  </si>
  <si>
    <t>3000782682Q</t>
  </si>
  <si>
    <t>792309979</t>
  </si>
  <si>
    <t>Z111 C24 2011</t>
  </si>
  <si>
    <t>0                      Z  0111000C  24          2011</t>
  </si>
  <si>
    <t>Lexicon abbreviaturarum : dizionario di abbreviature latine ed italiane usate nelle carte e codici ... / per cura di Adriano Cappelli.</t>
  </si>
  <si>
    <t>Milano : U. Hoepli, ©2011.</t>
  </si>
  <si>
    <t>7. ed., ampliata e rinnovata da Mario Geymonat, Fabio Troncarelli.</t>
  </si>
  <si>
    <t>2018-07-26</t>
  </si>
  <si>
    <t>10032679833:ita</t>
  </si>
  <si>
    <t>740626511</t>
  </si>
  <si>
    <t>ocn740626511</t>
  </si>
  <si>
    <t>3103425793P</t>
  </si>
  <si>
    <t>9788820345464</t>
  </si>
  <si>
    <t>794883316</t>
  </si>
  <si>
    <t>Z112 K38 1951</t>
  </si>
  <si>
    <t>0                      Z  0112000K  38          1951</t>
  </si>
  <si>
    <t>Books and readers in ancient Greece and Rome.</t>
  </si>
  <si>
    <t>Kenyon, Frederic G. (Frederic George), Sir, 1863-1952.</t>
  </si>
  <si>
    <t>Oxford, Clarendon Press, 1951.</t>
  </si>
  <si>
    <t>1951</t>
  </si>
  <si>
    <t>2015-07-15</t>
  </si>
  <si>
    <t>1082654713:eng</t>
  </si>
  <si>
    <t>679815</t>
  </si>
  <si>
    <t>ocm00679815</t>
  </si>
  <si>
    <t>3100987289G</t>
  </si>
  <si>
    <t>791444584</t>
  </si>
  <si>
    <t>Z112 L67</t>
  </si>
  <si>
    <t>0                      Z  0112000L  67</t>
  </si>
  <si>
    <t>Papyrus in classical antiquity / Naphtali Lewis.</t>
  </si>
  <si>
    <t>Lewis, Naphtali.</t>
  </si>
  <si>
    <t>Oxford : Clarendon Press, 1974.</t>
  </si>
  <si>
    <t>2017-11-27</t>
  </si>
  <si>
    <t>415842:eng</t>
  </si>
  <si>
    <t>1189307</t>
  </si>
  <si>
    <t>ocm01189307</t>
  </si>
  <si>
    <t>30008539213</t>
  </si>
  <si>
    <t>9780198148036</t>
  </si>
  <si>
    <t>791568330</t>
  </si>
  <si>
    <t>Z113 R44 1899A</t>
  </si>
  <si>
    <t>0                      Z  0113000R  44                                                      1899A</t>
  </si>
  <si>
    <t>Éléments de paléographie.</t>
  </si>
  <si>
    <t>Reusens, Edmond Henri Joseph, 1831-1903.</t>
  </si>
  <si>
    <t>Louvain : [publisher not identified], 1899.</t>
  </si>
  <si>
    <t>12916386:fre</t>
  </si>
  <si>
    <t>427197106</t>
  </si>
  <si>
    <t>ocn427197106</t>
  </si>
  <si>
    <t>3000782832X</t>
  </si>
  <si>
    <t>794538584</t>
  </si>
  <si>
    <t>Z113.3 B35 2017</t>
  </si>
  <si>
    <t>0                      Z  0113300B  35          2017</t>
  </si>
  <si>
    <t>Introduction to working with manuscripts for medievalists / János M. Bak.</t>
  </si>
  <si>
    <t>Bak, János M., author.</t>
  </si>
  <si>
    <t>Piscataway, NJ, USA : Gorgias Press, 2017.</t>
  </si>
  <si>
    <t>Gorgias handbooks, 1935-6838</t>
  </si>
  <si>
    <t>4090127787:eng</t>
  </si>
  <si>
    <t>971333712</t>
  </si>
  <si>
    <t>ocn971333712</t>
  </si>
  <si>
    <t>3103703231V</t>
  </si>
  <si>
    <t>9781463206437</t>
  </si>
  <si>
    <t>795028139</t>
  </si>
  <si>
    <t>Z113.3 C652 2014</t>
  </si>
  <si>
    <t>0                      Z  0113300C  652         2014</t>
  </si>
  <si>
    <t>Conseils pour l'édition des textes médiévaux. Fascicule I, Conseils généraux / [sous la direction de Françoise Vielliard et Olivier Guyotjeannin].</t>
  </si>
  <si>
    <t>Paris : École nationale des chartes, Comité des travaux historiques et scientifiques, Centre Jean-Mabillon, 2014.</t>
  </si>
  <si>
    <t>Rev. et mis à jour.</t>
  </si>
  <si>
    <t>Collection Orientations et méthodes ; no 27</t>
  </si>
  <si>
    <t>2019-05-23</t>
  </si>
  <si>
    <t>354262476:fre</t>
  </si>
  <si>
    <t>880340988</t>
  </si>
  <si>
    <t>ocn880340988</t>
  </si>
  <si>
    <t>3103565067Q</t>
  </si>
  <si>
    <t>9782735508174</t>
  </si>
  <si>
    <t>794972848</t>
  </si>
  <si>
    <t>Z113.3 C653 2009</t>
  </si>
  <si>
    <t>0                      Z  0113300C  653         2009</t>
  </si>
  <si>
    <t>Conseils pour l'édition des textes médiévaux. Fascicule II, Actes et documents d'archives / coord. Olivier Guyotjeannin.</t>
  </si>
  <si>
    <t>Paris : École nationale des chartes, Equipe d'acceuil 3624 "Histoire, mémoire et patrimoine" : Éditions du Comité des travaux historiques et scientifiques, 2009.</t>
  </si>
  <si>
    <t>Nouv. éd.</t>
  </si>
  <si>
    <t>Collection Orientations et méthodes ; no 14</t>
  </si>
  <si>
    <t>4917454293:fre</t>
  </si>
  <si>
    <t>489374990</t>
  </si>
  <si>
    <t>ocn489374990</t>
  </si>
  <si>
    <t>3103565072O</t>
  </si>
  <si>
    <t>9782735506996</t>
  </si>
  <si>
    <t>794799693</t>
  </si>
  <si>
    <t>Z113.3 K55 2008</t>
  </si>
  <si>
    <t>0                      Z  0113300K  55          2008</t>
  </si>
  <si>
    <t>A guide to documentary editing / Mary-Jo Kline and Susan Holbrook Perdue.</t>
  </si>
  <si>
    <t>Kline, Mary-Jo.</t>
  </si>
  <si>
    <t>Charlottesville : University of Virginia Press, 2008.</t>
  </si>
  <si>
    <t>3rd ed.</t>
  </si>
  <si>
    <t>610371:eng</t>
  </si>
  <si>
    <t>214322937</t>
  </si>
  <si>
    <t>ocn214322937</t>
  </si>
  <si>
    <t>3102977609R</t>
  </si>
  <si>
    <t>9780813927268</t>
  </si>
  <si>
    <t>794313991</t>
  </si>
  <si>
    <t>Z113.3 R44 2011</t>
  </si>
  <si>
    <t>0                      Z  0113300R  44          2011</t>
  </si>
  <si>
    <t>Manuscripts and methods : essays on editing and transmission / Michael D. Reeve.</t>
  </si>
  <si>
    <t>Reeve, Michael D., author.</t>
  </si>
  <si>
    <t>Roma : Edizioni di storia e letteratura, 2011.</t>
  </si>
  <si>
    <t>Storia e letteratura ; 270</t>
  </si>
  <si>
    <t>1170735799:eng</t>
  </si>
  <si>
    <t>768810417</t>
  </si>
  <si>
    <t>ocn768810417</t>
  </si>
  <si>
    <t>3103126418R</t>
  </si>
  <si>
    <t>9788863723021</t>
  </si>
  <si>
    <t>794902863</t>
  </si>
  <si>
    <t>Z113.8 H37 2010</t>
  </si>
  <si>
    <t>0                      Z  0113800H  37          2010</t>
  </si>
  <si>
    <t>Handbuch der griechischen Paläographie / Hermann Harrauer.</t>
  </si>
  <si>
    <t>Harrauer, Hermann.</t>
  </si>
  <si>
    <t>Stuttgart : Hiersemann, 2010.</t>
  </si>
  <si>
    <t>Bibliothek des Buchwesens, 0340-8051 ; Bd. 20</t>
  </si>
  <si>
    <t>2015-01-21</t>
  </si>
  <si>
    <t>4202730691:ger</t>
  </si>
  <si>
    <t>517261895</t>
  </si>
  <si>
    <t>ocn517261895</t>
  </si>
  <si>
    <t>3103286336R</t>
  </si>
  <si>
    <t>9783777209241</t>
  </si>
  <si>
    <t>794808220</t>
  </si>
  <si>
    <t>v.2 (text + DVD-ROM)</t>
  </si>
  <si>
    <t>3103286331R</t>
  </si>
  <si>
    <t>794808219</t>
  </si>
  <si>
    <t>Z114 B5713 1990</t>
  </si>
  <si>
    <t>0                      Z  0114000B  5713        1990</t>
  </si>
  <si>
    <t>Latin palaeography : antiquity and the Middle Ages / Bernhard Bischoff ; translated by Dáibhí ó Cróinin and David Ganz.</t>
  </si>
  <si>
    <t>Cambridge [England] ; New York : Cambridge University Press, 1990.</t>
  </si>
  <si>
    <t>2017-08-22</t>
  </si>
  <si>
    <t>2019-08-13</t>
  </si>
  <si>
    <t>2019-02-03</t>
  </si>
  <si>
    <t>889732355:eng</t>
  </si>
  <si>
    <t>18908629</t>
  </si>
  <si>
    <t>ocm18908629</t>
  </si>
  <si>
    <t>3102734594J</t>
  </si>
  <si>
    <t>9780521364737</t>
  </si>
  <si>
    <t>793041036</t>
  </si>
  <si>
    <t>Z114 H46 1987</t>
  </si>
  <si>
    <t>0                      Z  0114000H  46          1987</t>
  </si>
  <si>
    <t>From Durrow to Kells : the Insular Gospel-books, 650-800 / George Henderson.</t>
  </si>
  <si>
    <t>Henderson, George, 1931-</t>
  </si>
  <si>
    <t>New York, N.Y. : Thames and Hudson, 1987.</t>
  </si>
  <si>
    <t>1987</t>
  </si>
  <si>
    <t>2018-10-31</t>
  </si>
  <si>
    <t>289679045:eng</t>
  </si>
  <si>
    <t>15687285</t>
  </si>
  <si>
    <t>ocm15687285</t>
  </si>
  <si>
    <t>3102952326P</t>
  </si>
  <si>
    <t>9780500234747</t>
  </si>
  <si>
    <t>792939515</t>
  </si>
  <si>
    <t>Z114 P16 2016</t>
  </si>
  <si>
    <t>0                      Z  0114000P  16          2016</t>
  </si>
  <si>
    <t>Palaeography, manuscript illumination and humanism in Renaissance Italy : studies in memory of A.C. de la Mare / edited by Robert Black, Jill Kraye and Laura Nuvoloni.</t>
  </si>
  <si>
    <t>London : The Warburg Institute, 2016.</t>
  </si>
  <si>
    <t>Warburg Institute colloquia, 1352-9986 ; 28</t>
  </si>
  <si>
    <t>3835203696:eng</t>
  </si>
  <si>
    <t>951846281</t>
  </si>
  <si>
    <t>ocn951846281</t>
  </si>
  <si>
    <t>3103655578Y</t>
  </si>
  <si>
    <t>9781908590510</t>
  </si>
  <si>
    <t>795017790</t>
  </si>
  <si>
    <t>Z114 S25</t>
  </si>
  <si>
    <t>0                      Z  0114000S  25</t>
  </si>
  <si>
    <t>Catalogue des manuscrits en écriture latine portant des indications de date, de lieu ou de copiste, par Charles Samaran et Robert Marichal ...</t>
  </si>
  <si>
    <t>t.1, pt.1</t>
  </si>
  <si>
    <t>Samaran, Charles, 1879-1982.</t>
  </si>
  <si>
    <t>Paris, Centre national de la recherche scientifique, 1959-1984 [i.e. 1985]</t>
  </si>
  <si>
    <t>1959</t>
  </si>
  <si>
    <t>2010-09-15</t>
  </si>
  <si>
    <t>2016-10-02</t>
  </si>
  <si>
    <t>2136481:fre</t>
  </si>
  <si>
    <t>228772314</t>
  </si>
  <si>
    <t>ocn228772314</t>
  </si>
  <si>
    <t>3000331131F</t>
  </si>
  <si>
    <t>9782222034377</t>
  </si>
  <si>
    <t>794351418</t>
  </si>
  <si>
    <t>t.6, pt.1</t>
  </si>
  <si>
    <t>2006-01-31</t>
  </si>
  <si>
    <t>3103773937N</t>
  </si>
  <si>
    <t>794351408</t>
  </si>
  <si>
    <t>t.7, pt.2</t>
  </si>
  <si>
    <t>3100435265V</t>
  </si>
  <si>
    <t>794351405</t>
  </si>
  <si>
    <t>t.5;pt.1</t>
  </si>
  <si>
    <t>3100435276Q</t>
  </si>
  <si>
    <t>794351410</t>
  </si>
  <si>
    <t>t.4, pt.1/2</t>
  </si>
  <si>
    <t>31004352701</t>
  </si>
  <si>
    <t>794351411</t>
  </si>
  <si>
    <t>t.2;pt.1</t>
  </si>
  <si>
    <t>31004352418</t>
  </si>
  <si>
    <t>794351416</t>
  </si>
  <si>
    <t>t.7, pt.1</t>
  </si>
  <si>
    <t>3100435277O</t>
  </si>
  <si>
    <t>794351406</t>
  </si>
  <si>
    <t>t.3, pt.2</t>
  </si>
  <si>
    <t>3103773932X</t>
  </si>
  <si>
    <t>794351413</t>
  </si>
  <si>
    <t>t.5, pt.2</t>
  </si>
  <si>
    <t>3100435275S</t>
  </si>
  <si>
    <t>794351409</t>
  </si>
  <si>
    <t>t.6, pt.2</t>
  </si>
  <si>
    <t>3100435267R</t>
  </si>
  <si>
    <t>794351407</t>
  </si>
  <si>
    <t>t.4, pt.1/1</t>
  </si>
  <si>
    <t>31004352434</t>
  </si>
  <si>
    <t>794351412</t>
  </si>
  <si>
    <t>t.3, pt.1</t>
  </si>
  <si>
    <t>31004352426</t>
  </si>
  <si>
    <t>794351414</t>
  </si>
  <si>
    <t>t.1, pt.2</t>
  </si>
  <si>
    <t>2010-07-24</t>
  </si>
  <si>
    <t>3100435240A</t>
  </si>
  <si>
    <t>794351417</t>
  </si>
  <si>
    <t>t.2, pt.2</t>
  </si>
  <si>
    <t>31004352507</t>
  </si>
  <si>
    <t>794351415</t>
  </si>
  <si>
    <t>Z115 A7 G6</t>
  </si>
  <si>
    <t>0                      Z  0115000A  7                  G  6</t>
  </si>
  <si>
    <t>Fragments from the Cairo genizah in the Freer collection / edited by Richard Gottheil and William H. Worrell.</t>
  </si>
  <si>
    <t>New York : Macmillan Co. ; London : Macmillan and Co., 1927.</t>
  </si>
  <si>
    <t>1927</t>
  </si>
  <si>
    <t>jrb</t>
  </si>
  <si>
    <t>University of Michigan studies. Humanistic series ; v. 13</t>
  </si>
  <si>
    <t>2017-02-09</t>
  </si>
  <si>
    <t>1517086:jrb</t>
  </si>
  <si>
    <t>1378288</t>
  </si>
  <si>
    <t>ocm01378288</t>
  </si>
  <si>
    <t>3000783394Q</t>
  </si>
  <si>
    <t>791613401</t>
  </si>
  <si>
    <t>Z115 E5 E55 v.10</t>
  </si>
  <si>
    <t>0                      Z  0115000E  5                  E  55                                v.10</t>
  </si>
  <si>
    <t>Decoration and illustration in medieval English manuscripts / edited by A.S.G. Edwards.</t>
  </si>
  <si>
    <t>v.10</t>
  </si>
  <si>
    <t>London : British Library, 2002.</t>
  </si>
  <si>
    <t>English manuscript studies, 1100-1700 ; v. 10</t>
  </si>
  <si>
    <t>2019-02-23</t>
  </si>
  <si>
    <t>1083441:eng</t>
  </si>
  <si>
    <t>51708174</t>
  </si>
  <si>
    <t>ocm51708174</t>
  </si>
  <si>
    <t>3102206903P</t>
  </si>
  <si>
    <t>9780712347327</t>
  </si>
  <si>
    <t>793789500</t>
  </si>
  <si>
    <t>Z115 E5 E55 v.12</t>
  </si>
  <si>
    <t>0                      Z  0115000E  5                  E  55                                v.12</t>
  </si>
  <si>
    <t>Scribes and transmission in English Manuscripts, 1400-1700 / edited by Peter Beal &amp; A.S.G. Edwards.</t>
  </si>
  <si>
    <t>v.12</t>
  </si>
  <si>
    <t>London : British Library, 2005.</t>
  </si>
  <si>
    <t>English manuscript studies, 1100-1700 ; v. 12</t>
  </si>
  <si>
    <t>351018464:eng</t>
  </si>
  <si>
    <t>60494832</t>
  </si>
  <si>
    <t>ocm60494832</t>
  </si>
  <si>
    <t>3102501260$</t>
  </si>
  <si>
    <t>9780712348942</t>
  </si>
  <si>
    <t>793938234</t>
  </si>
  <si>
    <t>Z115 E5 E55 v.17</t>
  </si>
  <si>
    <t>0                      Z  0115000E  5                  E  55                                v.17</t>
  </si>
  <si>
    <t>English manuscripts before 1400 / edited by A.S.G. Edwards &amp; Orietta Da Rold.</t>
  </si>
  <si>
    <t>v.17</t>
  </si>
  <si>
    <t>English manuscript studies, 1100-1700 ; volume 17</t>
  </si>
  <si>
    <t>1209541887:eng</t>
  </si>
  <si>
    <t>828410841</t>
  </si>
  <si>
    <t>ocn828410841</t>
  </si>
  <si>
    <t>31034559944</t>
  </si>
  <si>
    <t>9780712358835</t>
  </si>
  <si>
    <t>794941107</t>
  </si>
  <si>
    <t>Z115 E5 E55 v.18</t>
  </si>
  <si>
    <t>0                      Z  0115000E  5                  E  55                                v.18</t>
  </si>
  <si>
    <t>Discovering, identifying and editing early modern manuscripts / edited by Peter Beal.</t>
  </si>
  <si>
    <t>v.18</t>
  </si>
  <si>
    <t>London : The British Library, 2013.</t>
  </si>
  <si>
    <t>English manuscript studies, 1100-1700 ; volume 18</t>
  </si>
  <si>
    <t>1783971437:eng</t>
  </si>
  <si>
    <t>809911130</t>
  </si>
  <si>
    <t>ocn809911130</t>
  </si>
  <si>
    <t>31035038309</t>
  </si>
  <si>
    <t>9780712358934</t>
  </si>
  <si>
    <t>794928852</t>
  </si>
  <si>
    <t>Z115 E5 E77 v.16</t>
  </si>
  <si>
    <t>0                      Z  0115000E  5                  E  77                                v.16</t>
  </si>
  <si>
    <t>Manuscript miscellanies, c. 1450-1700 / volume editors, Richard Beadle and Colin Burrow.</t>
  </si>
  <si>
    <t>v.16</t>
  </si>
  <si>
    <t>London : British Library, 2011.</t>
  </si>
  <si>
    <t>English manuscript studies, 1100-1700 ; volume 16</t>
  </si>
  <si>
    <t>1074081021:eng</t>
  </si>
  <si>
    <t>772965342</t>
  </si>
  <si>
    <t>ocn772965342</t>
  </si>
  <si>
    <t>3103422424N</t>
  </si>
  <si>
    <t>9780712358279</t>
  </si>
  <si>
    <t>794905023</t>
  </si>
  <si>
    <t>Z115 E5 G46 2011</t>
  </si>
  <si>
    <t>0                      Z  0115000E  5                  G  46          2011</t>
  </si>
  <si>
    <t>The genesis of books : studies in the scribal culture of medieval England in honour of A.N. Doane / edited by Matthew T. Hussey and John D. Niles.</t>
  </si>
  <si>
    <t>Studies in the early Middle Ages ; v. 9</t>
  </si>
  <si>
    <t>2018-10-27</t>
  </si>
  <si>
    <t>1082288305:eng</t>
  </si>
  <si>
    <t>719415540</t>
  </si>
  <si>
    <t>ocn719415540</t>
  </si>
  <si>
    <t>31034291332</t>
  </si>
  <si>
    <t>9782503534732</t>
  </si>
  <si>
    <t>794874437</t>
  </si>
  <si>
    <t>Z115 E5 G64 1990</t>
  </si>
  <si>
    <t>0                      Z  0115000E  5                  G  64          1990</t>
  </si>
  <si>
    <t>Writing matter : from the hands of the English Renaissance / Jonathan Goldberg.</t>
  </si>
  <si>
    <t>Goldberg, Jonathan.</t>
  </si>
  <si>
    <t>Stanford, Calif. : Stanford University Press, ©1990.</t>
  </si>
  <si>
    <t>346459427:eng</t>
  </si>
  <si>
    <t>20057604</t>
  </si>
  <si>
    <t>ocm20057604</t>
  </si>
  <si>
    <t>31026408470</t>
  </si>
  <si>
    <t>9780804717434</t>
  </si>
  <si>
    <t>793076394</t>
  </si>
  <si>
    <t>Z115 E5 H4 1958</t>
  </si>
  <si>
    <t>0                      Z  0115000E  5                  H  4           1958</t>
  </si>
  <si>
    <t>The handwriting of English documents.</t>
  </si>
  <si>
    <t>Hector, Leonard Charles.</t>
  </si>
  <si>
    <t>London, Arnold [1958]</t>
  </si>
  <si>
    <t>2016-05-19</t>
  </si>
  <si>
    <t>1737641:eng</t>
  </si>
  <si>
    <t>2231881</t>
  </si>
  <si>
    <t>ocm02231881</t>
  </si>
  <si>
    <t>3103476189G</t>
  </si>
  <si>
    <t>792071065</t>
  </si>
  <si>
    <t>Z115 E5 L38 1989</t>
  </si>
  <si>
    <t>0                      Z  0115000E  5                  L  38          1989</t>
  </si>
  <si>
    <t>Latin and vernacular : studies in late-medieval texts and manuscripts / edited by A.J. Minnis.</t>
  </si>
  <si>
    <t>Cambridge [England] ; Wolfeboro, N.H., USA : D.S. Brewer, 1989.</t>
  </si>
  <si>
    <t>York manuscripts conferences, 0955-9663 ; v. 1</t>
  </si>
  <si>
    <t>808804591:eng</t>
  </si>
  <si>
    <t>19517979</t>
  </si>
  <si>
    <t>ocm19517979</t>
  </si>
  <si>
    <t>3103349613O</t>
  </si>
  <si>
    <t>9780859912860</t>
  </si>
  <si>
    <t>793060799</t>
  </si>
  <si>
    <t>Z115 E5 P37</t>
  </si>
  <si>
    <t>0                      Z  0115000E  5                  P  37</t>
  </si>
  <si>
    <t>English cursive book hands, 1250-1500, by M.B. Parkes.</t>
  </si>
  <si>
    <t>Oxford, Clarendon P., 1969.</t>
  </si>
  <si>
    <t>Oxford palaeographical handbooks</t>
  </si>
  <si>
    <t>502154:eng</t>
  </si>
  <si>
    <t>62638</t>
  </si>
  <si>
    <t>ocm00062638</t>
  </si>
  <si>
    <t>30005717757</t>
  </si>
  <si>
    <t>9780198182214</t>
  </si>
  <si>
    <t>791243424</t>
  </si>
  <si>
    <t>Z115 F73 L33 1982</t>
  </si>
  <si>
    <t>0                      Z  0115000F  73                 L  33          1982</t>
  </si>
  <si>
    <t>Initiation à la paléographie franco-canadienne : les écritures des notaires aux XVIIe-XVIIIe siècles / par Marcel Lafortune ; collaboration artistique, Luce Bourdon.</t>
  </si>
  <si>
    <t>Lafortune, Marcel.</t>
  </si>
  <si>
    <t>Montréal : Société de recherche historique archiv-histo, 1982.</t>
  </si>
  <si>
    <t>Collection Méthode ; 1</t>
  </si>
  <si>
    <t>2016-11-17</t>
  </si>
  <si>
    <t>3347224:fre</t>
  </si>
  <si>
    <t>10824799</t>
  </si>
  <si>
    <t>ocm10824799</t>
  </si>
  <si>
    <t>31032931333</t>
  </si>
  <si>
    <t>792745407</t>
  </si>
  <si>
    <t>2016-08-23</t>
  </si>
  <si>
    <t>3100653974N</t>
  </si>
  <si>
    <t>792745405</t>
  </si>
  <si>
    <t>3100653963S</t>
  </si>
  <si>
    <t>792745406</t>
  </si>
  <si>
    <t>Z115 I8 L68</t>
  </si>
  <si>
    <t>0                      Z  0115000I  8                  L  68</t>
  </si>
  <si>
    <t>The Beneventan script; a history of the South Italian minuscule, by E.A. Loew ...</t>
  </si>
  <si>
    <t>Lowe, E. A. (Elias Avery), 1879-1969.</t>
  </si>
  <si>
    <t>Oxford, Clarendon Press, 1914.</t>
  </si>
  <si>
    <t>1914</t>
  </si>
  <si>
    <t>2017-08-25</t>
  </si>
  <si>
    <t>157656800:eng</t>
  </si>
  <si>
    <t>1007319</t>
  </si>
  <si>
    <t>ocm01007319</t>
  </si>
  <si>
    <t>30007827987</t>
  </si>
  <si>
    <t>791523436</t>
  </si>
  <si>
    <t>Z115.4 B48 1981</t>
  </si>
  <si>
    <t>0                      Z  0115400B  48          1981</t>
  </si>
  <si>
    <t>Hebrew codicology : tentative typology of technical practices employed in Hebrew dated medieval manuscripts / by Malachi Beit-Arié.</t>
  </si>
  <si>
    <t>Beit-Arié, Malachi.</t>
  </si>
  <si>
    <t>Jerusalem : Israel Academy of Sciences and Humanities, 1981.</t>
  </si>
  <si>
    <t>2016-10-18</t>
  </si>
  <si>
    <t>14508830:eng</t>
  </si>
  <si>
    <t>8154710</t>
  </si>
  <si>
    <t>ocm08154710</t>
  </si>
  <si>
    <t>3000368859N</t>
  </si>
  <si>
    <t>9789652080295</t>
  </si>
  <si>
    <t>792602319</t>
  </si>
  <si>
    <t>Z115.4 G465 2010</t>
  </si>
  <si>
    <t>0                      Z  0115400G  465         2010</t>
  </si>
  <si>
    <t>'Genizat Germania' - Hebrew and Aramaic binding fragments from Germany in context / edited by Andreas Lehnardt.</t>
  </si>
  <si>
    <t>Leiden ; Boston : Brill, 2010.</t>
  </si>
  <si>
    <t>Studies in Jewish history and culture, 1568-5004 ; volume 28</t>
  </si>
  <si>
    <t>866864165:eng</t>
  </si>
  <si>
    <t>429634783</t>
  </si>
  <si>
    <t>ocn429634783</t>
  </si>
  <si>
    <t>3103238014K</t>
  </si>
  <si>
    <t>9789004179547</t>
  </si>
  <si>
    <t>794780195</t>
  </si>
  <si>
    <t>Z115.4 O44 2013</t>
  </si>
  <si>
    <t>0                      Z  0115400O  44          2013</t>
  </si>
  <si>
    <t>Illuminated piety : pietistic texts and images in the north French Hebrew miscellany / Sara Offenberg.</t>
  </si>
  <si>
    <t>Offenberg, Sara, author.</t>
  </si>
  <si>
    <t>Los Angeles : Cherub Press, 2013.</t>
  </si>
  <si>
    <t>Sources and studies in the literature of Jewish mysticism ; 35</t>
  </si>
  <si>
    <t>2017-03-18</t>
  </si>
  <si>
    <t>1372419855:eng</t>
  </si>
  <si>
    <t>854945712</t>
  </si>
  <si>
    <t>ocn854945712</t>
  </si>
  <si>
    <t>31035029614</t>
  </si>
  <si>
    <t>9781933379395</t>
  </si>
  <si>
    <t>794952926</t>
  </si>
  <si>
    <t>Z115.4 P38 2014</t>
  </si>
  <si>
    <t>0                      Z  0115400P  38          2014</t>
  </si>
  <si>
    <t>Patronage, production, and transmission of texts in medieval and early modern Jewish cultures / edited by Esperanza Alfonso and Jonathan Decter.</t>
  </si>
  <si>
    <t>Turnhout, Belgium : Brepols Publishers, 2014.</t>
  </si>
  <si>
    <t>Medieval church studies ; volume 34</t>
  </si>
  <si>
    <t>2244506347:eng</t>
  </si>
  <si>
    <t>900912320</t>
  </si>
  <si>
    <t>ocn900912320</t>
  </si>
  <si>
    <t>31036531079</t>
  </si>
  <si>
    <t>9782503542904</t>
  </si>
  <si>
    <t>794988024</t>
  </si>
  <si>
    <t>Z115.4 S54 1988</t>
  </si>
  <si>
    <t>0                      Z  0115400S  54          1988</t>
  </si>
  <si>
    <t>A Sign and a witness : 2,000 years of Hebrew books and illuminated manuscripts / edited with an introduction by Leonard Singer Gold.</t>
  </si>
  <si>
    <t>New York : New York Public Library : Oxford University Press, ©1988.</t>
  </si>
  <si>
    <t>1988</t>
  </si>
  <si>
    <t>Studies in Jewish history</t>
  </si>
  <si>
    <t>2016-04-12</t>
  </si>
  <si>
    <t>1149369967:eng</t>
  </si>
  <si>
    <t>18191950</t>
  </si>
  <si>
    <t>ocm18191950</t>
  </si>
  <si>
    <t>31036788719</t>
  </si>
  <si>
    <t>9780871044099</t>
  </si>
  <si>
    <t>793017258</t>
  </si>
  <si>
    <t>Z115.4 S56313 2002</t>
  </si>
  <si>
    <t>0                      Z  0115400S  56313       2002</t>
  </si>
  <si>
    <t>Hebrew manuscripts of the Middle Ages / Colette Sirat ; edited and translated by Nicholas de Lange.</t>
  </si>
  <si>
    <t>Sirat, Colette.</t>
  </si>
  <si>
    <t>Cambridge ; New York : Cambridge University Press, 2002.</t>
  </si>
  <si>
    <t>2019-10-09</t>
  </si>
  <si>
    <t>6358739:eng</t>
  </si>
  <si>
    <t>47364087</t>
  </si>
  <si>
    <t>ocm47364087</t>
  </si>
  <si>
    <t>31022367634</t>
  </si>
  <si>
    <t>9780521770798</t>
  </si>
  <si>
    <t>793703283</t>
  </si>
  <si>
    <t>Z115.4 T35 2007</t>
  </si>
  <si>
    <t>0                      Z  0115400T  35          2007</t>
  </si>
  <si>
    <t>Hebrew manuscripts : the power of script and image / Ilana Tahan.</t>
  </si>
  <si>
    <t>Tahan, Ilana.</t>
  </si>
  <si>
    <t>2017-03-16</t>
  </si>
  <si>
    <t>899919914:eng</t>
  </si>
  <si>
    <t>148874083</t>
  </si>
  <si>
    <t>ocn148874083</t>
  </si>
  <si>
    <t>3102645674H</t>
  </si>
  <si>
    <t>9780712349215</t>
  </si>
  <si>
    <t>794241094</t>
  </si>
  <si>
    <t>Z115.4 T54 2016</t>
  </si>
  <si>
    <t>0                      Z  0115400T  54          2016</t>
  </si>
  <si>
    <t>The lost book of Moses : the hunt for the world's oldest Bible / Chanan Tigay.</t>
  </si>
  <si>
    <t>Tigay, Chanan, author.</t>
  </si>
  <si>
    <t>New York, NY : Ecco, an imprint of HarperCollins Publishers, [2016]</t>
  </si>
  <si>
    <t>2018-08-27</t>
  </si>
  <si>
    <t>2977674389:eng</t>
  </si>
  <si>
    <t>936359381</t>
  </si>
  <si>
    <t>ocn936359381</t>
  </si>
  <si>
    <t>31036972052</t>
  </si>
  <si>
    <t>9780062206411</t>
  </si>
  <si>
    <t>795010730</t>
  </si>
  <si>
    <t>Z115.5 G6 C7 1970</t>
  </si>
  <si>
    <t>0                      Z  0115500G  6                  C  7           1970</t>
  </si>
  <si>
    <t>Die gotischen Schriftarten. [Von] Ernst Crous [u.] Joachim Kirchner.</t>
  </si>
  <si>
    <t>Crous, Ernst, 1882-1967.</t>
  </si>
  <si>
    <t>Braunschweig, Klinkhardt u. Biermann [1970]</t>
  </si>
  <si>
    <t>[2. Aufl.].</t>
  </si>
  <si>
    <t>2016-01-11</t>
  </si>
  <si>
    <t>347825691:ger</t>
  </si>
  <si>
    <t>2891602</t>
  </si>
  <si>
    <t>ocm02891602</t>
  </si>
  <si>
    <t>3102952325P</t>
  </si>
  <si>
    <t>792189935</t>
  </si>
  <si>
    <t>Z116 A2 D3 2003</t>
  </si>
  <si>
    <t>0                      Z  0116000A  2                  D  3           2003</t>
  </si>
  <si>
    <t>The myth of print culture : essays on evidence, textuality, and bibliographical method / Joseph A. Dane.</t>
  </si>
  <si>
    <t>Dane, Joseph A.</t>
  </si>
  <si>
    <t>Toronto ; Buffalo : University of Toronto Press, ©2003.</t>
  </si>
  <si>
    <t>2018-05-22</t>
  </si>
  <si>
    <t>864055851:eng</t>
  </si>
  <si>
    <t>52152816</t>
  </si>
  <si>
    <t>ocm52152816</t>
  </si>
  <si>
    <t>3103017580H</t>
  </si>
  <si>
    <t>9780802087751</t>
  </si>
  <si>
    <t>793799681</t>
  </si>
  <si>
    <t>Z116 A2 D37 2009</t>
  </si>
  <si>
    <t>0                      Z  0116000A  2                  D  37          2009</t>
  </si>
  <si>
    <t>The case for books : past, present, and future / Robert Darnton.</t>
  </si>
  <si>
    <t>Darnton, Robert.</t>
  </si>
  <si>
    <t>New York, NY : PublicAffairs, ©2009.</t>
  </si>
  <si>
    <t>2018-04-26</t>
  </si>
  <si>
    <t>795343167:eng</t>
  </si>
  <si>
    <t>401147025</t>
  </si>
  <si>
    <t>ocn401147025</t>
  </si>
  <si>
    <t>31031553983</t>
  </si>
  <si>
    <t>9781586488260</t>
  </si>
  <si>
    <t>794498486</t>
  </si>
  <si>
    <t>Z116 A2 G27</t>
  </si>
  <si>
    <t>0                      Z  0116000A  2                  G  27</t>
  </si>
  <si>
    <t>A new introduction to bibliography / by Philip Gaskell.</t>
  </si>
  <si>
    <t>Gaskell, Philip.</t>
  </si>
  <si>
    <t>Oxford ; New York : Clarendon Press, 1972.</t>
  </si>
  <si>
    <t>2017-01-28</t>
  </si>
  <si>
    <t>2019-04-22</t>
  </si>
  <si>
    <t>4820500952:eng</t>
  </si>
  <si>
    <t>503498</t>
  </si>
  <si>
    <t>ocm00503498</t>
  </si>
  <si>
    <t>3102917355J</t>
  </si>
  <si>
    <t>9780198181507</t>
  </si>
  <si>
    <t>791396351</t>
  </si>
  <si>
    <t>3103523892O</t>
  </si>
  <si>
    <t>791396352</t>
  </si>
  <si>
    <t>Z116 A2 G27 1995</t>
  </si>
  <si>
    <t>0                      Z  0116000A  2                  G  27          1995</t>
  </si>
  <si>
    <t>Winchester, UK : St. Paul's Bibliographies ; New Castle, Del. : Oak Knoll Press ; New York : Distributed in the USA by Lyons &amp; Burford, 1995.</t>
  </si>
  <si>
    <t>1995</t>
  </si>
  <si>
    <t>[Corr. ed.].</t>
  </si>
  <si>
    <t>2018-07-05</t>
  </si>
  <si>
    <t>2019-09-12</t>
  </si>
  <si>
    <t>32821740</t>
  </si>
  <si>
    <t>ocm32821740</t>
  </si>
  <si>
    <t>31035843857</t>
  </si>
  <si>
    <t>9781884718137</t>
  </si>
  <si>
    <t>793395213</t>
  </si>
  <si>
    <t>3103748692K</t>
  </si>
  <si>
    <t>793395214</t>
  </si>
  <si>
    <t>Z116 A2 G7</t>
  </si>
  <si>
    <t>0                      Z  0116000A  2                  G  7</t>
  </si>
  <si>
    <t>Books &amp; documents; dating, permanence and preservation, by Julius Grant ...</t>
  </si>
  <si>
    <t>Grant, Julius, 1901-1991.</t>
  </si>
  <si>
    <t>London, Grafton &amp; Co., 1937.</t>
  </si>
  <si>
    <t>1937</t>
  </si>
  <si>
    <t>2563318:eng</t>
  </si>
  <si>
    <t>1710267</t>
  </si>
  <si>
    <t>ocm01710267</t>
  </si>
  <si>
    <t>3000864734S</t>
  </si>
  <si>
    <t>791841543</t>
  </si>
  <si>
    <t>Z116 A2 J47 1973</t>
  </si>
  <si>
    <t>0                      Z  0116000A  2                  J  47          1973</t>
  </si>
  <si>
    <t>The making of books.</t>
  </si>
  <si>
    <t>Jennett, Seán.</t>
  </si>
  <si>
    <t>[London] Faber [1973]</t>
  </si>
  <si>
    <t>5th ed.</t>
  </si>
  <si>
    <t>2015-11-09</t>
  </si>
  <si>
    <t>1465942:eng</t>
  </si>
  <si>
    <t>1296599</t>
  </si>
  <si>
    <t>ocm01296599</t>
  </si>
  <si>
    <t>30008539310</t>
  </si>
  <si>
    <t>9780571047864</t>
  </si>
  <si>
    <t>791593775</t>
  </si>
  <si>
    <t>Z116 A2 L826 2013</t>
  </si>
  <si>
    <t>0                      Z  0116000A  2                  L  826         2013</t>
  </si>
  <si>
    <t>Post-digital print : the mutation of publishing since 1894 / Alessandro Ludovico.</t>
  </si>
  <si>
    <t>Ludovico, Alessandro.</t>
  </si>
  <si>
    <t>[Eindhoven] : Onomatopee, 2013.</t>
  </si>
  <si>
    <t>[2nd ed.].</t>
  </si>
  <si>
    <t>Onomatopee ; 77</t>
  </si>
  <si>
    <t>2016-12-16</t>
  </si>
  <si>
    <t>1176441114:eng</t>
  </si>
  <si>
    <t>848162570</t>
  </si>
  <si>
    <t>ocn848162570</t>
  </si>
  <si>
    <t>3103566977U</t>
  </si>
  <si>
    <t>9789491677014</t>
  </si>
  <si>
    <t>794949921</t>
  </si>
  <si>
    <t>Z116 A3 A77 2001</t>
  </si>
  <si>
    <t>0                      Z  0116000A  3                  A  77          2001</t>
  </si>
  <si>
    <t>The art of the book : from medieval manuscript to graphic novel / edited by James Bettley.</t>
  </si>
  <si>
    <t>National Art Library (Great Britain), issuing body.</t>
  </si>
  <si>
    <t>London : V &amp; A Publications, 2001.</t>
  </si>
  <si>
    <t>806818630:eng</t>
  </si>
  <si>
    <t>55699872</t>
  </si>
  <si>
    <t>ocm55699872</t>
  </si>
  <si>
    <t>3102952335N</t>
  </si>
  <si>
    <t>9780810965720</t>
  </si>
  <si>
    <t>793881367</t>
  </si>
  <si>
    <t>Z116 A3 B37 2001</t>
  </si>
  <si>
    <t>0                      Z  0116000A  3                  B  37          2001</t>
  </si>
  <si>
    <t>Five hundred years of book design / Alan Bartram.</t>
  </si>
  <si>
    <t>Bartram, Alan, 1932-</t>
  </si>
  <si>
    <t>New Haven, CT : Yale University Press, ©2001.</t>
  </si>
  <si>
    <t>2017-11-03</t>
  </si>
  <si>
    <t>24134253:eng</t>
  </si>
  <si>
    <t>48260555</t>
  </si>
  <si>
    <t>ocm48260555</t>
  </si>
  <si>
    <t>3102952340L</t>
  </si>
  <si>
    <t>9780300090581</t>
  </si>
  <si>
    <t>793718982</t>
  </si>
  <si>
    <t>Z116 A3 F88 2004</t>
  </si>
  <si>
    <t>0                      Z  0116000A  3                  F  88          2004</t>
  </si>
  <si>
    <t>The future of the page / edited by Peter Stoicheff and Andrew Taylor.</t>
  </si>
  <si>
    <t>Toronto ; Buffalo ; London : University of Toronto Press, [2004]</t>
  </si>
  <si>
    <t>351417526:eng</t>
  </si>
  <si>
    <t>56065718</t>
  </si>
  <si>
    <t>ocm56065718</t>
  </si>
  <si>
    <t>3102607005O</t>
  </si>
  <si>
    <t>9780802088024</t>
  </si>
  <si>
    <t>793886971</t>
  </si>
  <si>
    <t>Z116 A3 H37 2006</t>
  </si>
  <si>
    <t>0                      Z  0116000A  3                  H  37          2006</t>
  </si>
  <si>
    <t>Book design / Andrew Haslam.</t>
  </si>
  <si>
    <t>Haslam, Andrew.</t>
  </si>
  <si>
    <t>London : Laurence King, 2006.</t>
  </si>
  <si>
    <t>Portfolio</t>
  </si>
  <si>
    <t>341649006:eng</t>
  </si>
  <si>
    <t>70765900</t>
  </si>
  <si>
    <t>ocm70765900</t>
  </si>
  <si>
    <t>31025685686</t>
  </si>
  <si>
    <t>9781856694735</t>
  </si>
  <si>
    <t>794158756</t>
  </si>
  <si>
    <t>Z116 A3 M25</t>
  </si>
  <si>
    <t>0                      Z  0116000A  3                  M  25</t>
  </si>
  <si>
    <t>Victorian book design &amp; colour printing.</t>
  </si>
  <si>
    <t>McLean, Ruari.</t>
  </si>
  <si>
    <t>London, Faber &amp; Faber, 1963.</t>
  </si>
  <si>
    <t>1963</t>
  </si>
  <si>
    <t>2016-01-26</t>
  </si>
  <si>
    <t>1434027:eng</t>
  </si>
  <si>
    <t>2360559</t>
  </si>
  <si>
    <t>ocm02360559</t>
  </si>
  <si>
    <t>3000853936R</t>
  </si>
  <si>
    <t>792109392</t>
  </si>
  <si>
    <t>Z116 A3 M25 1972</t>
  </si>
  <si>
    <t>0                      Z  0116000A  3                  M  25          1972</t>
  </si>
  <si>
    <t>Victorian book design and colour printing.</t>
  </si>
  <si>
    <t>[Berkeley] : University of California Press, ©1972</t>
  </si>
  <si>
    <t>[2d ed.].</t>
  </si>
  <si>
    <t>447251</t>
  </si>
  <si>
    <t>ocm00447251</t>
  </si>
  <si>
    <t>3102952345L</t>
  </si>
  <si>
    <t>9780520020788</t>
  </si>
  <si>
    <t>791381170</t>
  </si>
  <si>
    <t>Z116 A3 M3</t>
  </si>
  <si>
    <t>0                      Z  0116000A  3                  M  3</t>
  </si>
  <si>
    <t>A primer of bibliography.</t>
  </si>
  <si>
    <t>Mallaber, Kenneth Aldridge.</t>
  </si>
  <si>
    <t>London, Association of Assistant Librarians, 1954.</t>
  </si>
  <si>
    <t>1954</t>
  </si>
  <si>
    <t>151950648:eng</t>
  </si>
  <si>
    <t>4092730</t>
  </si>
  <si>
    <t>ocm04092730</t>
  </si>
  <si>
    <t>30008643371</t>
  </si>
  <si>
    <t>792320855</t>
  </si>
  <si>
    <t>Z116 A3 M65425 1982</t>
  </si>
  <si>
    <t>0                      Z  0116000A  3                  M  65425       1982</t>
  </si>
  <si>
    <t>The ideal book : essays and lectures on the arts of the book / by William Morris ; edited by William S. Peterson.</t>
  </si>
  <si>
    <t>Morris, William, 1834-1896.</t>
  </si>
  <si>
    <t>Berkeley, Calif. : University of California Press, 1982.</t>
  </si>
  <si>
    <t>2015-09-22</t>
  </si>
  <si>
    <t>1059159084:eng</t>
  </si>
  <si>
    <t>8001344</t>
  </si>
  <si>
    <t>ocm08001344</t>
  </si>
  <si>
    <t>30003466222</t>
  </si>
  <si>
    <t>9780520045637</t>
  </si>
  <si>
    <t>792592591</t>
  </si>
  <si>
    <t>Z116 A3 R68 2002</t>
  </si>
  <si>
    <t>0                      Z  0116000A  3                  R  68          2002</t>
  </si>
  <si>
    <t>The Russian avant-garde book, 1910-1934 / Margit Rowell, Deborah Wye ; with essays by Jared Ash [and others].</t>
  </si>
  <si>
    <t>Rowell, Margit.</t>
  </si>
  <si>
    <t>New York, N.Y . : Museum of Modern Art, 2002.</t>
  </si>
  <si>
    <t>2019-03-20</t>
  </si>
  <si>
    <t>20767788:eng</t>
  </si>
  <si>
    <t>49779415</t>
  </si>
  <si>
    <t>ocm49779415</t>
  </si>
  <si>
    <t>3102664295J</t>
  </si>
  <si>
    <t>9780870700071</t>
  </si>
  <si>
    <t>793747671</t>
  </si>
  <si>
    <t>Z116 A3 T47</t>
  </si>
  <si>
    <t>0                      Z  0116000A  3                  T  47</t>
  </si>
  <si>
    <t>American book design and William Morris / Susan Otis Thompson.</t>
  </si>
  <si>
    <t>Thompson, Susan Otis, author.</t>
  </si>
  <si>
    <t>New York : R.R. Bowker Co., 1977.</t>
  </si>
  <si>
    <t>1977</t>
  </si>
  <si>
    <t>2016-01-27</t>
  </si>
  <si>
    <t>496922:eng</t>
  </si>
  <si>
    <t>3168961</t>
  </si>
  <si>
    <t>ocm03168961</t>
  </si>
  <si>
    <t>3103523303K</t>
  </si>
  <si>
    <t>9780835209847</t>
  </si>
  <si>
    <t>792225270</t>
  </si>
  <si>
    <t>Z116 A3 T47 1996</t>
  </si>
  <si>
    <t>0                      Z  0116000A  3                  T  47          1996</t>
  </si>
  <si>
    <t>American book design and William Morris / Susan Otis Thompson ; foreword by Jean-François Vilain.</t>
  </si>
  <si>
    <t>New Castle, DE : Oak Knoll Press ; London : British Library, 1996.</t>
  </si>
  <si>
    <t>Second expanded edition.</t>
  </si>
  <si>
    <t>British Library</t>
  </si>
  <si>
    <t>35029714</t>
  </si>
  <si>
    <t>ocm35029714</t>
  </si>
  <si>
    <t>3102952355J</t>
  </si>
  <si>
    <t>9781884718267</t>
  </si>
  <si>
    <t>793442150</t>
  </si>
  <si>
    <t>Z116 A3 T7613 1991</t>
  </si>
  <si>
    <t>0                      Z  0116000A  3                  T  7613        1991</t>
  </si>
  <si>
    <t>The form of the book : essays on the morality of good design / Jan Tschichold ; translated from the German by Hajo Hadeler ; edited, with an introduction, by Robert Bringhurst.</t>
  </si>
  <si>
    <t>Tschichold, Jan, 1902-1974.</t>
  </si>
  <si>
    <t>Point Roberts, Washington : Hartley &amp; Marks, 1991.</t>
  </si>
  <si>
    <t>2019-09-17</t>
  </si>
  <si>
    <t>10632688:eng</t>
  </si>
  <si>
    <t>24429154</t>
  </si>
  <si>
    <t>ocm24429154</t>
  </si>
  <si>
    <t>31036313772</t>
  </si>
  <si>
    <t>9780881790344</t>
  </si>
  <si>
    <t>793197961</t>
  </si>
  <si>
    <t>Z116 A44 R45 2008</t>
  </si>
  <si>
    <t>0                      Z  0116000A  44                 R  45          2008</t>
  </si>
  <si>
    <t>Pie Tree Press : memories from the composing room floor : with illustrations &amp; type designs / by Jim Rimmer.</t>
  </si>
  <si>
    <t>Rimmer, Jim.</t>
  </si>
  <si>
    <t>Kentville, N.S. : Gaspereau Press, 2008.</t>
  </si>
  <si>
    <t>New and expanded ed.</t>
  </si>
  <si>
    <t>2015-10-06</t>
  </si>
  <si>
    <t>1862946911:eng</t>
  </si>
  <si>
    <t>242052826</t>
  </si>
  <si>
    <t>ocn242052826</t>
  </si>
  <si>
    <t>3103073170H</t>
  </si>
  <si>
    <t>9781554470624</t>
  </si>
  <si>
    <t>794376325</t>
  </si>
  <si>
    <t>Z116 M15</t>
  </si>
  <si>
    <t>0                      Z  0116000M  15</t>
  </si>
  <si>
    <t>The Gutenberg galaxy : the making of typographic man.</t>
  </si>
  <si>
    <t>McLuhan, Marshall, 1911-1980.</t>
  </si>
  <si>
    <t>[Toronto] : University of Toronto Press, [1962]</t>
  </si>
  <si>
    <t>2019-11-05</t>
  </si>
  <si>
    <t>53969907:eng</t>
  </si>
  <si>
    <t>428949</t>
  </si>
  <si>
    <t>ocm00428949</t>
  </si>
  <si>
    <t>3102848498W</t>
  </si>
  <si>
    <t>9780802060419</t>
  </si>
  <si>
    <t>791376514</t>
  </si>
  <si>
    <t>Z116 M15 1962</t>
  </si>
  <si>
    <t>0                      Z  0116000M  15          1962</t>
  </si>
  <si>
    <t>2013-11-08</t>
  </si>
  <si>
    <t>3102823751O</t>
  </si>
  <si>
    <t>791376515</t>
  </si>
  <si>
    <t>3000977932X</t>
  </si>
  <si>
    <t>791376520</t>
  </si>
  <si>
    <t>3103013420B</t>
  </si>
  <si>
    <t>791376518</t>
  </si>
  <si>
    <t>3000175104P</t>
  </si>
  <si>
    <t>791376517</t>
  </si>
  <si>
    <t>2019-04-12</t>
  </si>
  <si>
    <t>3102740566$</t>
  </si>
  <si>
    <t>791376519</t>
  </si>
  <si>
    <t>Z116 M15 1968</t>
  </si>
  <si>
    <t>0                      Z  0116000M  15          1968</t>
  </si>
  <si>
    <t>The Gutenberg galaxy : the making of typographic man / by Marshall McLuhan.</t>
  </si>
  <si>
    <t>[Buffalo?] : University of Toronto Press, 1968 printing, ©1962.</t>
  </si>
  <si>
    <t>Canadian university paperbooks ; 39</t>
  </si>
  <si>
    <t>2017-04-26</t>
  </si>
  <si>
    <t>4484270</t>
  </si>
  <si>
    <t>ocm04484270</t>
  </si>
  <si>
    <t>3103224468J</t>
  </si>
  <si>
    <t>792353675</t>
  </si>
  <si>
    <t>2017-01-14</t>
  </si>
  <si>
    <t>3102802603E</t>
  </si>
  <si>
    <t>792353676</t>
  </si>
  <si>
    <t>Z116 M15 2011</t>
  </si>
  <si>
    <t>0                      Z  0116000M  15          2011</t>
  </si>
  <si>
    <t>The Gutenberg galaxy : the making of typographic man / Marshall McLuhan ; with new essays by W. Terrence Gordon, Elena Lamberti, and Dominique Scheffel-Dunand.</t>
  </si>
  <si>
    <t>Toronto ; Buffalo : University of Toronto Press, ©2011.</t>
  </si>
  <si>
    <t>2019-05-02</t>
  </si>
  <si>
    <t>754889694</t>
  </si>
  <si>
    <t>ocn754889694</t>
  </si>
  <si>
    <t>3103729422J</t>
  </si>
  <si>
    <t>9781442612693</t>
  </si>
  <si>
    <t>794893243</t>
  </si>
  <si>
    <t>2018-04-09</t>
  </si>
  <si>
    <t>3103729417C</t>
  </si>
  <si>
    <t>794893242</t>
  </si>
  <si>
    <t>2018-05-28</t>
  </si>
  <si>
    <t>31037294279</t>
  </si>
  <si>
    <t>794893241</t>
  </si>
  <si>
    <t>Z116 M1514 1967</t>
  </si>
  <si>
    <t>0                      Z  0116000M  1514        1967</t>
  </si>
  <si>
    <t>La galaxie Gutenberg : la genèse de l'homme typographique. Traduit de l'anglais par Jean Paré.</t>
  </si>
  <si>
    <t>Montréal Éditions HMH 1967.</t>
  </si>
  <si>
    <t>Collection constantes, v. 9</t>
  </si>
  <si>
    <t>4202558418:fre</t>
  </si>
  <si>
    <t>1043985975</t>
  </si>
  <si>
    <t>on1043985975</t>
  </si>
  <si>
    <t>3102920722$</t>
  </si>
  <si>
    <t>795059859</t>
  </si>
  <si>
    <t>Z117 A53 1977</t>
  </si>
  <si>
    <t>0                      Z  0117000A  53          1977</t>
  </si>
  <si>
    <t>Private press work : a bibliographic approach to printing as an avocation / Frank J. Anderson.</t>
  </si>
  <si>
    <t>Anderson, Frank J., 1919-</t>
  </si>
  <si>
    <t>South Brunswick [N.J.] : A.S. Barnes, ©1977.</t>
  </si>
  <si>
    <t>181431951:eng</t>
  </si>
  <si>
    <t>3121461</t>
  </si>
  <si>
    <t>ocm03121461</t>
  </si>
  <si>
    <t>3000848614U</t>
  </si>
  <si>
    <t>9780498018763</t>
  </si>
  <si>
    <t>792219989</t>
  </si>
  <si>
    <t>Z117 G63 2009</t>
  </si>
  <si>
    <t>0                      Z  0117000G  63          2009</t>
  </si>
  <si>
    <t>Bibliographic : 100 classic graphic design books / Jason Godfrey ; foreword by Steven Heller.</t>
  </si>
  <si>
    <t>Godfrey, Jason.</t>
  </si>
  <si>
    <t>[London] : Laurence King, 2009.</t>
  </si>
  <si>
    <t>2019-12-10</t>
  </si>
  <si>
    <t>9349925818:eng</t>
  </si>
  <si>
    <t>339957056</t>
  </si>
  <si>
    <t>ocn339957056</t>
  </si>
  <si>
    <t>31028600178</t>
  </si>
  <si>
    <t>9781856695923</t>
  </si>
  <si>
    <t>794491004</t>
  </si>
  <si>
    <t>Z117 W54</t>
  </si>
  <si>
    <t>0                      Z  0117000W  54</t>
  </si>
  <si>
    <t>History of books and printing : a guide to information sources / Paul A. Winckler.</t>
  </si>
  <si>
    <t>Winckler, Paul A.</t>
  </si>
  <si>
    <t>Detroit, Mich. : Gale Research Co., ©1979.</t>
  </si>
  <si>
    <t>1979</t>
  </si>
  <si>
    <t>Books, publishing, and libraries information guide series ; v. 2</t>
  </si>
  <si>
    <t>2015-06-25</t>
  </si>
  <si>
    <t>792312143:eng</t>
  </si>
  <si>
    <t>4957209</t>
  </si>
  <si>
    <t>ocm04957209</t>
  </si>
  <si>
    <t>3000842474D</t>
  </si>
  <si>
    <t>9780810314085</t>
  </si>
  <si>
    <t>792396848</t>
  </si>
  <si>
    <t>Z118 D535 2002</t>
  </si>
  <si>
    <t>0                      Z  0118000D  535         2002</t>
  </si>
  <si>
    <t>Dictionnaire encyclopédique du livre / sous la direction de Pascal Fouché, Daniel Péchoin, Philippe Schuwer ; et la responsabilité scientifique de Pascal Fouché, Jean-Dominique Mellot, Alain Nave [and others] ; préface de Henri-Jean Martin ; [direction générale Pascal Fouché].</t>
  </si>
  <si>
    <t>Paris : Édition du cercle de la librairie, ©2002-©2011.</t>
  </si>
  <si>
    <t>2015-09-09</t>
  </si>
  <si>
    <t>3944161705:fre</t>
  </si>
  <si>
    <t>52757647</t>
  </si>
  <si>
    <t>ocm52757647</t>
  </si>
  <si>
    <t>3102509713$</t>
  </si>
  <si>
    <t>9782765408413</t>
  </si>
  <si>
    <t>793813375</t>
  </si>
  <si>
    <t>31022178725</t>
  </si>
  <si>
    <t>793813376</t>
  </si>
  <si>
    <t>v. 3 (+ index)</t>
  </si>
  <si>
    <t>31034281620</t>
  </si>
  <si>
    <t>793813374</t>
  </si>
  <si>
    <t>Z118 D535 2016</t>
  </si>
  <si>
    <t>0                      Z  0118000D  535         2016</t>
  </si>
  <si>
    <t>Le livre : dictionnaire terminologique des métiers du livre / sous la direction de Pascal Fouché, Daniel Péchoin, Philippe Schuwer ; et la responsabilité scientifique de Pascal Fouché [and 4 others].</t>
  </si>
  <si>
    <t>[Paris] : Éditions du Cercle de la librairie, [2016]</t>
  </si>
  <si>
    <t>3924589346:fre</t>
  </si>
  <si>
    <t>961342250</t>
  </si>
  <si>
    <t>ocn961342250</t>
  </si>
  <si>
    <t>3103663751D</t>
  </si>
  <si>
    <t>9782765415091</t>
  </si>
  <si>
    <t>795023829</t>
  </si>
  <si>
    <t>Z118 G55</t>
  </si>
  <si>
    <t>0                      Z  0118000G  55</t>
  </si>
  <si>
    <t>An encyclopedia of the book : terms used in paper-making, printing, bookbinding and publishing, with notes on illuminated manuscripts, bibliophiles, private presses, and printing societies : including illustrations and translated extracts from Grafisk Uppslagsbok (Esselte, Stockholm) / Geoffrey Ashall Glaister.</t>
  </si>
  <si>
    <t>Glaister, Geoffrey Ashall.</t>
  </si>
  <si>
    <t>Cleveland : World Pub. Co., 1960.</t>
  </si>
  <si>
    <t>1960</t>
  </si>
  <si>
    <t>2015-01-14</t>
  </si>
  <si>
    <t>1152386307:eng</t>
  </si>
  <si>
    <t>270104241</t>
  </si>
  <si>
    <t>ocn270104241</t>
  </si>
  <si>
    <t>3100770810C</t>
  </si>
  <si>
    <t>794409833</t>
  </si>
  <si>
    <t>2010-03-04</t>
  </si>
  <si>
    <t>3000404805L</t>
  </si>
  <si>
    <t>794409832</t>
  </si>
  <si>
    <t>Z118 H34</t>
  </si>
  <si>
    <t>0                      Z  0118000H  34</t>
  </si>
  <si>
    <t>The book collector's fact book / Margaret Haller.</t>
  </si>
  <si>
    <t>Haller, Margaret E.</t>
  </si>
  <si>
    <t>New York : Arco Pub. Co., ©1976.</t>
  </si>
  <si>
    <t>4208717:eng</t>
  </si>
  <si>
    <t>2095485</t>
  </si>
  <si>
    <t>ocm02095485</t>
  </si>
  <si>
    <t>3000863141N</t>
  </si>
  <si>
    <t>9780668037563</t>
  </si>
  <si>
    <t>792045016</t>
  </si>
  <si>
    <t>Z118.5 R67 2016</t>
  </si>
  <si>
    <t>0                      Z  0118500R  67          2016</t>
  </si>
  <si>
    <t>The typographic desk reference / Theo Rosendorf ; foreword by Erik Spiekermann.</t>
  </si>
  <si>
    <t>Rosendorf, Theodore, author.</t>
  </si>
  <si>
    <t>New Castle, Delaware : Oak Knoll Press, 2016.</t>
  </si>
  <si>
    <t>Second edition.</t>
  </si>
  <si>
    <t>2017-10-10</t>
  </si>
  <si>
    <t>4149727014:eng</t>
  </si>
  <si>
    <t>934504013</t>
  </si>
  <si>
    <t>ocn934504013</t>
  </si>
  <si>
    <t>3103656983K</t>
  </si>
  <si>
    <t>9781584563129</t>
  </si>
  <si>
    <t>795009639</t>
  </si>
  <si>
    <t>1940</t>
  </si>
  <si>
    <t>2016-02-06</t>
  </si>
  <si>
    <t>2014-10-23</t>
  </si>
  <si>
    <t>Z120 I773</t>
  </si>
  <si>
    <t>0                      Z  0120000I  773</t>
  </si>
  <si>
    <t>Union democracy; the internal politics of the International Typographical Union [by] Seymour Martin Lipset, Martin A. Trow [and] James S. Coleman. With a foreword by Clark Kerr.</t>
  </si>
  <si>
    <t>See Amin Oct.21</t>
  </si>
  <si>
    <t>Lipset, Seymour Martin.</t>
  </si>
  <si>
    <t>Glencoe, Ill., Free Press [1956]</t>
  </si>
  <si>
    <t>1956</t>
  </si>
  <si>
    <t>2019-06-03</t>
  </si>
  <si>
    <t>400640:eng</t>
  </si>
  <si>
    <t>574030</t>
  </si>
  <si>
    <t>ocm00574030</t>
  </si>
  <si>
    <t>31033788117</t>
  </si>
  <si>
    <t>791418502</t>
  </si>
  <si>
    <t>Z120 I773 1956</t>
  </si>
  <si>
    <t>0                      Z  0120000I  773         1956</t>
  </si>
  <si>
    <t>2019-04-02</t>
  </si>
  <si>
    <t>3000251011K</t>
  </si>
  <si>
    <t>791418503</t>
  </si>
  <si>
    <t>Z121 B48 2015</t>
  </si>
  <si>
    <t>0                      Z  0121000B  48          2015</t>
  </si>
  <si>
    <t>Between author and reader: the archive / a publication by Groupe de recherches et d'études sur le livre au Québec (GRÉLQ) ; text: Marie-Pier Luneau ; general editing and assistant to the curators: Kristina Bernier ; linguistic revision: Cécile Delbecchi ; translation: Michelle Ariss ; photography: Denis Farley.</t>
  </si>
  <si>
    <t>Sherbrooke, Québec : Université de Sherbrooke, Service des bibliothèques et archives, 2015.</t>
  </si>
  <si>
    <t>2619591682:eng</t>
  </si>
  <si>
    <t>921032264</t>
  </si>
  <si>
    <t>ocn921032264</t>
  </si>
  <si>
    <t>3103859759X</t>
  </si>
  <si>
    <t>9782980050930</t>
  </si>
  <si>
    <t>795002840</t>
  </si>
  <si>
    <t>Z121 O4x</t>
  </si>
  <si>
    <t>0                      Z  0121000O  4x</t>
  </si>
  <si>
    <t>Books of the people of the Book : an exhibition of Hebraica and Judaica at the Ohio State University Libraries, February 20-April 1, 1968 / [exhibit created by Zvi Ankori and Robert L. Chazan ; catalog designed by Donald G. Deitch].</t>
  </si>
  <si>
    <t>Ankori, Zvi, 1920-2012.</t>
  </si>
  <si>
    <t>[Place of publication not identified] : [publisher not identified], [1968?]</t>
  </si>
  <si>
    <t>2016-01-07</t>
  </si>
  <si>
    <t>2702795:eng</t>
  </si>
  <si>
    <t>2020408</t>
  </si>
  <si>
    <t>ocm02020408</t>
  </si>
  <si>
    <t>30006375663</t>
  </si>
  <si>
    <t>792029938</t>
  </si>
  <si>
    <t>Z124 A2 M85 2018</t>
  </si>
  <si>
    <t>0                      Z  0124000A  2                  M  85          2018</t>
  </si>
  <si>
    <t>Interacting with print : elements of reading in the era of print saturation / the Multigraph Collective.</t>
  </si>
  <si>
    <t>Multigraph Collective (Scholarly group), author.</t>
  </si>
  <si>
    <t>Chicago : The University of Chicago Press, 2018.</t>
  </si>
  <si>
    <t>2018-03-20</t>
  </si>
  <si>
    <t>3874962643:eng</t>
  </si>
  <si>
    <t>958781742</t>
  </si>
  <si>
    <t>ocn958781742</t>
  </si>
  <si>
    <t>3103759471P</t>
  </si>
  <si>
    <t>9780226469140</t>
  </si>
  <si>
    <t>795021963</t>
  </si>
  <si>
    <t>Z124 A39 1987</t>
  </si>
  <si>
    <t>0                      Z  0124000A  39          1987</t>
  </si>
  <si>
    <t>The advent of printing : historians of science respond to Elizabeth Eisenstein's The printing press as an agent of change / edited by Peter F. McNally.</t>
  </si>
  <si>
    <t>Montreal : Graduate School of Library and Information Studies, McGill University, 1987.</t>
  </si>
  <si>
    <t>Occasional paper ; 10</t>
  </si>
  <si>
    <t>2019-02-01</t>
  </si>
  <si>
    <t>5609775615:eng</t>
  </si>
  <si>
    <t>18932322</t>
  </si>
  <si>
    <t>ocm18932322</t>
  </si>
  <si>
    <t>3102690226Y</t>
  </si>
  <si>
    <t>793041678</t>
  </si>
  <si>
    <t>Z124 A519 2011</t>
  </si>
  <si>
    <t>0                      Z  0124000A  519         2011</t>
  </si>
  <si>
    <t>The Gutenberg revolution : a history of print culture / Richard Abel.</t>
  </si>
  <si>
    <t>Abel, Richard, 1925-</t>
  </si>
  <si>
    <t>New Brunswick : Transaction Publishers, [2011], ©2011.</t>
  </si>
  <si>
    <t>2018-09-24</t>
  </si>
  <si>
    <t>914916697:eng</t>
  </si>
  <si>
    <t>682902872</t>
  </si>
  <si>
    <t>ocn682902872</t>
  </si>
  <si>
    <t>31033621768</t>
  </si>
  <si>
    <t>9781412818575</t>
  </si>
  <si>
    <t>794853161</t>
  </si>
  <si>
    <t>Z124 A54 2007</t>
  </si>
  <si>
    <t>0                      Z  0124000A  54          2007</t>
  </si>
  <si>
    <t>Agent of change : print culture studies after Elizabeth L. Eisenstein / edited by Sabrina Alcorn Baron, Eric N. Lindquist, and Eleanor F. Shevlin.</t>
  </si>
  <si>
    <t>Amherst : University of Massachusetts Press ; Washington, D.C. : in association with the Center for the Book, Library of Congress, ©2007.</t>
  </si>
  <si>
    <t>Studies in print culture and the history of the book</t>
  </si>
  <si>
    <t>891434478:eng</t>
  </si>
  <si>
    <t>84837827</t>
  </si>
  <si>
    <t>ocm84837827</t>
  </si>
  <si>
    <t>3102639058S</t>
  </si>
  <si>
    <t>9781558495920</t>
  </si>
  <si>
    <t>794212059</t>
  </si>
  <si>
    <t>Z124 A97 2016</t>
  </si>
  <si>
    <t>0                      Z  0124000A  97          2016</t>
  </si>
  <si>
    <t>The aura of the word in the early age of print (1450-1600) / edited by Jessica Buskirk and Samuel Mareel.</t>
  </si>
  <si>
    <t>Farnham, Surrey, England ; Burlington, VT : Ashgate, [2016]</t>
  </si>
  <si>
    <t>2850759155:eng</t>
  </si>
  <si>
    <t>933446629</t>
  </si>
  <si>
    <t>ocn933446629</t>
  </si>
  <si>
    <t>3103698946T</t>
  </si>
  <si>
    <t>9781472434685</t>
  </si>
  <si>
    <t>795009163</t>
  </si>
  <si>
    <t>Z124 B39 2009</t>
  </si>
  <si>
    <t>0                      Z  0124000B  39          2009</t>
  </si>
  <si>
    <t>The art of the printmaker : 1500-1860 / by Roger Baynton-Williams.</t>
  </si>
  <si>
    <t>Baynton-Williams, Roger.</t>
  </si>
  <si>
    <t>London : A. &amp; C. Black, 2009.</t>
  </si>
  <si>
    <t>2016-10-15</t>
  </si>
  <si>
    <t>303486252:eng</t>
  </si>
  <si>
    <t>416263945</t>
  </si>
  <si>
    <t>ocn416263945</t>
  </si>
  <si>
    <t>3103130487W</t>
  </si>
  <si>
    <t>9781408112663</t>
  </si>
  <si>
    <t>794500666</t>
  </si>
  <si>
    <t>Z124 B64</t>
  </si>
  <si>
    <t>0                      Z  0124000B  64</t>
  </si>
  <si>
    <t>The Pentateuch of printing : with a chapter on Judges / by William Blades ; with a memoir of the author, and list of his works, by Talbot B. Reed.</t>
  </si>
  <si>
    <t>Blades, William, 1824-1890.</t>
  </si>
  <si>
    <t>London : E. Stock, 1891.</t>
  </si>
  <si>
    <t>1891</t>
  </si>
  <si>
    <t>2192541:eng</t>
  </si>
  <si>
    <t>12549165</t>
  </si>
  <si>
    <t>ocm12549165</t>
  </si>
  <si>
    <t>3000775577E</t>
  </si>
  <si>
    <t>792818115</t>
  </si>
  <si>
    <t>Z124 B86 2017</t>
  </si>
  <si>
    <t>0                      Z  0124000B  86          2017</t>
  </si>
  <si>
    <t>Broadsheets : single-sheet publishing in the first age of print / edited by Andrew Pettegree.</t>
  </si>
  <si>
    <t>Leiden ; Boston : Brill, [2017]</t>
  </si>
  <si>
    <t>Library of the Written Word, 1874-4834 ; volume 60</t>
  </si>
  <si>
    <t>4250326859:eng</t>
  </si>
  <si>
    <t>982652319</t>
  </si>
  <si>
    <t>ocn982652319</t>
  </si>
  <si>
    <t>31037386343</t>
  </si>
  <si>
    <t>9789004340305</t>
  </si>
  <si>
    <t>795034591</t>
  </si>
  <si>
    <t>Z124 C37 2017</t>
  </si>
  <si>
    <t>0                      Z  0124000C  37          2017</t>
  </si>
  <si>
    <t>Flickering of the flame : print and the Reformation / exhibition and catalogue by Pearce J. Carefoote.</t>
  </si>
  <si>
    <t>Carefoote, Pearce J., 1961- author, organizer.</t>
  </si>
  <si>
    <t>Toronto : Thomas Fisher Rare Book Library, 2017.</t>
  </si>
  <si>
    <t>4225197526:eng</t>
  </si>
  <si>
    <t>988154335</t>
  </si>
  <si>
    <t>ocn988154335</t>
  </si>
  <si>
    <t>31037596961</t>
  </si>
  <si>
    <t>9780772761224</t>
  </si>
  <si>
    <t>795036582</t>
  </si>
  <si>
    <t>Z124 C43 2014</t>
  </si>
  <si>
    <t>0                      Z  0124000C  43          2014</t>
  </si>
  <si>
    <t>The author's hand and the printer's mind / Roger Chartier ; translated by Lydia G. Cochrane.</t>
  </si>
  <si>
    <t>Chartier, Roger, 1945- author.</t>
  </si>
  <si>
    <t>Cambridge, UK : Polity Press, 2014.</t>
  </si>
  <si>
    <t>1414383096:eng</t>
  </si>
  <si>
    <t>828664488</t>
  </si>
  <si>
    <t>ocn828664488</t>
  </si>
  <si>
    <t>3103566192D</t>
  </si>
  <si>
    <t>9780745656014</t>
  </si>
  <si>
    <t>794941467</t>
  </si>
  <si>
    <t>Z124 C47</t>
  </si>
  <si>
    <t>0                      Z  0124000C  47</t>
  </si>
  <si>
    <t>A short history of the printed word / Warren Chappell.</t>
  </si>
  <si>
    <t>Chappell, Warren, 1904-1991, author, typographer, bookjacket designer.</t>
  </si>
  <si>
    <t>New York : Knopf, 1970.</t>
  </si>
  <si>
    <t>[First edition].</t>
  </si>
  <si>
    <t>A New York Times book</t>
  </si>
  <si>
    <t>2011-04-20</t>
  </si>
  <si>
    <t>2018-08-03</t>
  </si>
  <si>
    <t>140560737:eng</t>
  </si>
  <si>
    <t>140865</t>
  </si>
  <si>
    <t>ocm00140865</t>
  </si>
  <si>
    <t>30002260155</t>
  </si>
  <si>
    <t>9780394445342</t>
  </si>
  <si>
    <t>791270018</t>
  </si>
  <si>
    <t>3000513177G</t>
  </si>
  <si>
    <t>791270017</t>
  </si>
  <si>
    <t>Z124 C614</t>
  </si>
  <si>
    <t>0                      Z  0124000C  614</t>
  </si>
  <si>
    <t>A history of European printing / Colin Clair.</t>
  </si>
  <si>
    <t>Clair, Colin.</t>
  </si>
  <si>
    <t>London ; New York : Academic Press, 1976.</t>
  </si>
  <si>
    <t>2016-11-30</t>
  </si>
  <si>
    <t>408709:eng</t>
  </si>
  <si>
    <t>2810401</t>
  </si>
  <si>
    <t>ocm02810401</t>
  </si>
  <si>
    <t>30008539977</t>
  </si>
  <si>
    <t>9780121748500</t>
  </si>
  <si>
    <t>792179529</t>
  </si>
  <si>
    <t>Z124 C68 2005</t>
  </si>
  <si>
    <t>0                      Z  0124000C  68          2005</t>
  </si>
  <si>
    <t>Cognition and the book : typologies of formal organisation of knowledge in the printed book of the early modern period / edited by Karl A.E. Enenkel and Wolfgang Neuber.</t>
  </si>
  <si>
    <t>Leiden ; Boston : Brill, 2005.</t>
  </si>
  <si>
    <t>Intersections : yearbook for early modern studies, 1568-1181 ; v. 4, 2004</t>
  </si>
  <si>
    <t>2017-04-28</t>
  </si>
  <si>
    <t>866291216:eng</t>
  </si>
  <si>
    <t>58872208</t>
  </si>
  <si>
    <t>ocm58872208</t>
  </si>
  <si>
    <t>31025945715</t>
  </si>
  <si>
    <t>9789004124509</t>
  </si>
  <si>
    <t>793925407</t>
  </si>
  <si>
    <t>Z124 D78 1994</t>
  </si>
  <si>
    <t>0                      Z  0124000D  78          1994</t>
  </si>
  <si>
    <t>The visible word : experimental typography and modern art, 1909-1923 / Johanna Drucker.</t>
  </si>
  <si>
    <t>Drucker, Johanna, 1952-</t>
  </si>
  <si>
    <t>2017-06-01</t>
  </si>
  <si>
    <t>836928375:eng</t>
  </si>
  <si>
    <t>29184703</t>
  </si>
  <si>
    <t>ocm29184703</t>
  </si>
  <si>
    <t>3102952344L</t>
  </si>
  <si>
    <t>9780226165011</t>
  </si>
  <si>
    <t>793304944</t>
  </si>
  <si>
    <t>Z124 E368 2011</t>
  </si>
  <si>
    <t>0                      Z  0124000E  368         2011</t>
  </si>
  <si>
    <t>Divine art, infernal machine : the reception of printing in the West from first impressions to the sense of an ending / Elizabeth L. Eisenstein.</t>
  </si>
  <si>
    <t>Eisenstein, Elizabeth L.</t>
  </si>
  <si>
    <t>Philadelphia : Oxford : University of Pennsylvania Press, ©2011.</t>
  </si>
  <si>
    <t>796329451:eng</t>
  </si>
  <si>
    <t>606785076</t>
  </si>
  <si>
    <t>ocn606785076</t>
  </si>
  <si>
    <t>31033249570</t>
  </si>
  <si>
    <t>9780812242805</t>
  </si>
  <si>
    <t>794817265</t>
  </si>
  <si>
    <t>Z124 E37</t>
  </si>
  <si>
    <t>0                      Z  0124000E  37</t>
  </si>
  <si>
    <t>The printing press as an agent of change : communications and cultural transformations in early modern Europe / Elizabeth L. Eisenstein.</t>
  </si>
  <si>
    <t>Cambridge [England] ; New York : Cambridge University Press, 1979.</t>
  </si>
  <si>
    <t>2018-05-08</t>
  </si>
  <si>
    <t>2019-07-29</t>
  </si>
  <si>
    <t>836672833:eng</t>
  </si>
  <si>
    <t>3608722</t>
  </si>
  <si>
    <t>ocm03608722</t>
  </si>
  <si>
    <t>3102952339N</t>
  </si>
  <si>
    <t>9780521220446</t>
  </si>
  <si>
    <t>792272780</t>
  </si>
  <si>
    <t>V.2</t>
  </si>
  <si>
    <t>3103487867R</t>
  </si>
  <si>
    <t>792272777</t>
  </si>
  <si>
    <t>2018-03-16</t>
  </si>
  <si>
    <t>3102952334N</t>
  </si>
  <si>
    <t>792272779</t>
  </si>
  <si>
    <t>3103487942S</t>
  </si>
  <si>
    <t>792272778</t>
  </si>
  <si>
    <t>Z124 E374 1983</t>
  </si>
  <si>
    <t>0                      Z  0124000E  374         1983</t>
  </si>
  <si>
    <t>The printing revolution in early modern Europe / Elizabeth L. Eisenstein.</t>
  </si>
  <si>
    <t>Cambridge [Cambridgeshire] ; New York : Cambridge University Press, 1983.</t>
  </si>
  <si>
    <t>2017-02-22</t>
  </si>
  <si>
    <t>179404:eng</t>
  </si>
  <si>
    <t>9576748</t>
  </si>
  <si>
    <t>ocm09576748</t>
  </si>
  <si>
    <t>31030057053</t>
  </si>
  <si>
    <t>9780521258586</t>
  </si>
  <si>
    <t>792682983</t>
  </si>
  <si>
    <t>2016-12-19</t>
  </si>
  <si>
    <t>3103013337C</t>
  </si>
  <si>
    <t>792682982</t>
  </si>
  <si>
    <t>3101701944K</t>
  </si>
  <si>
    <t>792682981</t>
  </si>
  <si>
    <t>Z124 E374 2005</t>
  </si>
  <si>
    <t>0                      Z  0124000E  374         2005</t>
  </si>
  <si>
    <t>Cambridge ; New York : Cambridge University Press, 2005.</t>
  </si>
  <si>
    <t>57641550</t>
  </si>
  <si>
    <t>ocm57641550</t>
  </si>
  <si>
    <t>3102531357K</t>
  </si>
  <si>
    <t>9780521845434</t>
  </si>
  <si>
    <t>793916967</t>
  </si>
  <si>
    <t>Z124 E74 1999</t>
  </si>
  <si>
    <t>0                      Z  0124000E  74          1999</t>
  </si>
  <si>
    <t>My gracious silence : women in the mirror of 16th century printing in Western Europe / Axel Erdmann.</t>
  </si>
  <si>
    <t>Erdmann, Axel.</t>
  </si>
  <si>
    <t>Luzern, Switzerland : Gilhofer &amp; Ranschburg, ©1999.</t>
  </si>
  <si>
    <t>2018-11-01</t>
  </si>
  <si>
    <t>220107113:eng</t>
  </si>
  <si>
    <t>40796769</t>
  </si>
  <si>
    <t>ocm40796769</t>
  </si>
  <si>
    <t>31034129763</t>
  </si>
  <si>
    <t>793575822</t>
  </si>
  <si>
    <t>Z124 F785 2001</t>
  </si>
  <si>
    <t>0                      Z  0124000F  785         2001</t>
  </si>
  <si>
    <t>From letter to publication : Studies on correspondence and the history of the book. With the Besterman Lecture 2000 / [general editor Anthony Strugnell ; Robert V. McNamee, Robert Darnton, Daniel Droixhe ... et al.].</t>
  </si>
  <si>
    <t>Oxford : Voltaire Foundation, 2001.</t>
  </si>
  <si>
    <t>SVEC, 0435-2866 ; 2001:10</t>
  </si>
  <si>
    <t>2018-06-18</t>
  </si>
  <si>
    <t>9093597913:eng</t>
  </si>
  <si>
    <t>240901574</t>
  </si>
  <si>
    <t>ocn240901574</t>
  </si>
  <si>
    <t>31028485178</t>
  </si>
  <si>
    <t>9780729407144</t>
  </si>
  <si>
    <t>794375551</t>
  </si>
  <si>
    <t>Z124 H36 2016</t>
  </si>
  <si>
    <t>0                      Z  0124000H  36          2016</t>
  </si>
  <si>
    <t>Modernism's print cultures / Faye Hammill and Mark Hussey.</t>
  </si>
  <si>
    <t>Hammill, Faye, author.</t>
  </si>
  <si>
    <t>London ; New York : Bloomsbury Academic, an imprint of Bloomsbury Publishing Plc, 2016.</t>
  </si>
  <si>
    <t>New modernisms series</t>
  </si>
  <si>
    <t>2998245839:eng</t>
  </si>
  <si>
    <t>910412685</t>
  </si>
  <si>
    <t>ocn910412685</t>
  </si>
  <si>
    <t>3103656869I</t>
  </si>
  <si>
    <t>9781472573261</t>
  </si>
  <si>
    <t>794996144</t>
  </si>
  <si>
    <t>Z124 I48 2015</t>
  </si>
  <si>
    <t>0                      Z  0124000I  48          2015</t>
  </si>
  <si>
    <t>Harold Innis's History of communications. Paper and printing. Antiquity to early modernity / edited by William J. Buxton, Michael R. Cheney, and Paul Heyer ; foreword by John Durham Peters.</t>
  </si>
  <si>
    <t>Innis, Harold A. (Harold Adams), 1894-1952.</t>
  </si>
  <si>
    <t>Lanham : Rowman &amp; Littlefield, [2015]</t>
  </si>
  <si>
    <t>Critical media studies : institutions, politics, and culture</t>
  </si>
  <si>
    <t>2258731749:eng</t>
  </si>
  <si>
    <t>889184963</t>
  </si>
  <si>
    <t>ocn889184963</t>
  </si>
  <si>
    <t>3103728722C</t>
  </si>
  <si>
    <t>9781442243385</t>
  </si>
  <si>
    <t>794978289</t>
  </si>
  <si>
    <t>Z124 J64 1998</t>
  </si>
  <si>
    <t>0                      Z  0124000J  64          1998</t>
  </si>
  <si>
    <t>The nature of the book : print and knowledge in the making / Adrian Johns.</t>
  </si>
  <si>
    <t>Johns, Adrian.</t>
  </si>
  <si>
    <t>Chicago, Ill. : University of Chicago Press, 1998.</t>
  </si>
  <si>
    <t>801325627:eng</t>
  </si>
  <si>
    <t>38048198</t>
  </si>
  <si>
    <t>ocm38048198</t>
  </si>
  <si>
    <t>3102823756O</t>
  </si>
  <si>
    <t>9780226401218</t>
  </si>
  <si>
    <t>793513805</t>
  </si>
  <si>
    <t>Z124 J78713 2006</t>
  </si>
  <si>
    <t>0                      Z  0124000J  78713       2006</t>
  </si>
  <si>
    <t>Typography and graphic design : from antiquity to the present / Roxane Jubert ; forewords by Ellen Lupton and Serge Lemoine ; translated from the French by Deke Dusinberre and David Radzinowicz.</t>
  </si>
  <si>
    <t>Jubert, Roxane.</t>
  </si>
  <si>
    <t>Paris : Flammarion, 2006.</t>
  </si>
  <si>
    <t>46888588:eng</t>
  </si>
  <si>
    <t>76910187</t>
  </si>
  <si>
    <t>ocm76910187</t>
  </si>
  <si>
    <t>3102634640W</t>
  </si>
  <si>
    <t>9782080305237</t>
  </si>
  <si>
    <t>794179003</t>
  </si>
  <si>
    <t>Z124 L597 2011</t>
  </si>
  <si>
    <t>0                      Z  0124000L  597         2011</t>
  </si>
  <si>
    <t>Le livre demeure : studies in book history in honour of Alison Saunders / edited by Alison Adams and Philip Ford ; assisted by Stephen Rawles.</t>
  </si>
  <si>
    <t>Genève : Droz, 2011.</t>
  </si>
  <si>
    <t>Cahiers d'humanisme et Renaissance, 1422-5581 ; vol. 97</t>
  </si>
  <si>
    <t>2017-04-19</t>
  </si>
  <si>
    <t>1020513170:eng</t>
  </si>
  <si>
    <t>747528693</t>
  </si>
  <si>
    <t>ocn747528693</t>
  </si>
  <si>
    <t>31036234287</t>
  </si>
  <si>
    <t>9782600015233</t>
  </si>
  <si>
    <t>794888188</t>
  </si>
  <si>
    <t>Z124 M39 2003</t>
  </si>
  <si>
    <t>0                      Z  0124000M  39          2003</t>
  </si>
  <si>
    <t>Print, manuscript, and the search for order, 1450-1830 / David McKitterick.</t>
  </si>
  <si>
    <t>McKitterick, David.</t>
  </si>
  <si>
    <t>Cambridge, UK ; New York : Cambridge University Press, 2003.</t>
  </si>
  <si>
    <t>2018-04-10</t>
  </si>
  <si>
    <t>710998:eng</t>
  </si>
  <si>
    <t>51020274</t>
  </si>
  <si>
    <t>ocm51020274</t>
  </si>
  <si>
    <t>3102422426U</t>
  </si>
  <si>
    <t>9780521826907</t>
  </si>
  <si>
    <t>793776958</t>
  </si>
  <si>
    <t>3103088839G</t>
  </si>
  <si>
    <t>793776959</t>
  </si>
  <si>
    <t>Z124 N685 2014</t>
  </si>
  <si>
    <t>0                      Z  0124000N  685         2014</t>
  </si>
  <si>
    <t>Nouveaux aspects de la culture de l'imprimé : questions et perspectives (XVe-XVIIe siècles) / études réunies par Grégoire Holtz.</t>
  </si>
  <si>
    <t>Genève : Librarie Droz S.A., 2014.</t>
  </si>
  <si>
    <t>Cahiers d'Humanisme et Renaissance ; Vol. 119</t>
  </si>
  <si>
    <t>2018-05-24</t>
  </si>
  <si>
    <t>2030185154:fre</t>
  </si>
  <si>
    <t>881224264</t>
  </si>
  <si>
    <t>ocn881224264</t>
  </si>
  <si>
    <t>3103622633B</t>
  </si>
  <si>
    <t>9782600017671</t>
  </si>
  <si>
    <t>794973975</t>
  </si>
  <si>
    <t>Z124 O64</t>
  </si>
  <si>
    <t>0                      Z  0124000O  64</t>
  </si>
  <si>
    <t>Master makers of the book; being a consecutive story of the book from a century before the invention of printing through the era of the Doves press, by William Dana Orcutt.</t>
  </si>
  <si>
    <t>London, Allen &amp; Unwin [1928?]</t>
  </si>
  <si>
    <t>1928</t>
  </si>
  <si>
    <t>1971098:eng</t>
  </si>
  <si>
    <t>1247585</t>
  </si>
  <si>
    <t>ocm01247585</t>
  </si>
  <si>
    <t>3000864738K</t>
  </si>
  <si>
    <t>791583304</t>
  </si>
  <si>
    <t>Z124 P58 2013</t>
  </si>
  <si>
    <t>0                      Z  0124000P  58          2013</t>
  </si>
  <si>
    <t>Le livre à la Renaissance : introduction à la bibliographie historique et matérielle / Jean-Paul Pittion ; préface de Frédéric Barbier.</t>
  </si>
  <si>
    <t>Pittion, J.-P. (Jean-Paul), author.</t>
  </si>
  <si>
    <t>Turnhout : Brepols ; Genève : Bibliothèque de Genève, 2013.</t>
  </si>
  <si>
    <t>Nugae humanisticae ; 15</t>
  </si>
  <si>
    <t>1891704791:fre</t>
  </si>
  <si>
    <t>882902982</t>
  </si>
  <si>
    <t>ocn882902982</t>
  </si>
  <si>
    <t>3103198637B</t>
  </si>
  <si>
    <t>9782503530567</t>
  </si>
  <si>
    <t>794975265</t>
  </si>
  <si>
    <t>Z124 P86 1986</t>
  </si>
  <si>
    <t>0                      Z  0124000P  86          1986</t>
  </si>
  <si>
    <t>Print and culture in the Renaissance : essays on the advent of printing in Europe / edited by Gerald P. Tyson, Sylvia S. Wagonheim.</t>
  </si>
  <si>
    <t>Newark : University of Delaware Press ; London : Associated University Presses, ©1986.</t>
  </si>
  <si>
    <t>2016-06-14</t>
  </si>
  <si>
    <t>836682914:eng</t>
  </si>
  <si>
    <t>12908617</t>
  </si>
  <si>
    <t>ocm12908617</t>
  </si>
  <si>
    <t>3102767314E</t>
  </si>
  <si>
    <t>9780874132861</t>
  </si>
  <si>
    <t>792832469</t>
  </si>
  <si>
    <t>Z124 P863 2013</t>
  </si>
  <si>
    <t>0                      Z  0124000P  863         2013</t>
  </si>
  <si>
    <t>Print culture and peripheries in early modern Europe : a contribution to the history of printing and the book trade in small European and Spanish cities / edited by Benito Rial Costas.</t>
  </si>
  <si>
    <t>Leiden ; Boston : Brill, 2013.</t>
  </si>
  <si>
    <t>Library of the written word ; v. 24. The handpress world ; v. 18</t>
  </si>
  <si>
    <t>2079934234:eng</t>
  </si>
  <si>
    <t>805831482</t>
  </si>
  <si>
    <t>ocn805831482</t>
  </si>
  <si>
    <t>3103529435O</t>
  </si>
  <si>
    <t>9789004235748</t>
  </si>
  <si>
    <t>794926426</t>
  </si>
  <si>
    <t>Z124 R42313 1998</t>
  </si>
  <si>
    <t>0                      Z  0124000R  42313       1998</t>
  </si>
  <si>
    <t>The Reformation and the book / edited by Jean-François Gilmont ; English edition and translation by Karin Maag.</t>
  </si>
  <si>
    <t>Réforme et le livre. English.</t>
  </si>
  <si>
    <t>Aldershot, Hants, England ; Brookfield USA : Ashgate, 1998.</t>
  </si>
  <si>
    <t>St. Andrews studies in Reformation history</t>
  </si>
  <si>
    <t>695084:eng</t>
  </si>
  <si>
    <t>37588433</t>
  </si>
  <si>
    <t>ocm37588433</t>
  </si>
  <si>
    <t>3102271443H</t>
  </si>
  <si>
    <t>9781859284483</t>
  </si>
  <si>
    <t>793502147</t>
  </si>
  <si>
    <t>Z124 R46 2000</t>
  </si>
  <si>
    <t>0                      Z  0124000R  46          2000</t>
  </si>
  <si>
    <t>The Renaissance computer : knowledge technology in the first age of print / edited by Neil Rhodes and Jonathan Sawday.</t>
  </si>
  <si>
    <t>London ; New York : Routledge, 2000.</t>
  </si>
  <si>
    <t>2019-06-10</t>
  </si>
  <si>
    <t>866513196:eng</t>
  </si>
  <si>
    <t>43245929</t>
  </si>
  <si>
    <t>ocm43245929</t>
  </si>
  <si>
    <t>3102917376F</t>
  </si>
  <si>
    <t>9780415220637</t>
  </si>
  <si>
    <t>793622180</t>
  </si>
  <si>
    <t>Z124 R467 2014</t>
  </si>
  <si>
    <t>0                      Z  0124000R  467         2014</t>
  </si>
  <si>
    <t>De l'autorité à la référence / études réunies par Isabelle Diu et Raphaële Mouren.</t>
  </si>
  <si>
    <t>Renaissance Society of America. Meeting (2010 : Venice, Italy)</t>
  </si>
  <si>
    <t>Paris : École des Chartes, 2014.</t>
  </si>
  <si>
    <t>Études et rencontres de l'École des chartes, 1289-7566 ; 44</t>
  </si>
  <si>
    <t>1922431651:fre</t>
  </si>
  <si>
    <t>882439037</t>
  </si>
  <si>
    <t>ocn882439037</t>
  </si>
  <si>
    <t>3103623487S</t>
  </si>
  <si>
    <t>9782357230491</t>
  </si>
  <si>
    <t>794975072</t>
  </si>
  <si>
    <t>Z124 S8 1996</t>
  </si>
  <si>
    <t>0                      Z  0124000S  8           1996</t>
  </si>
  <si>
    <t>Five hundred years of printing / S.H. Steinberg.</t>
  </si>
  <si>
    <t>Steinberg, S. H. (Sigfrid Henry), 1899-1969.</t>
  </si>
  <si>
    <t>London : British Library ; New Castle, DE : Oak Knoll Press, 1996.</t>
  </si>
  <si>
    <t>New ed. / rev. by John Trevitt.</t>
  </si>
  <si>
    <t>2019-02-21</t>
  </si>
  <si>
    <t>1177387:eng</t>
  </si>
  <si>
    <t>34356379</t>
  </si>
  <si>
    <t>ocm34356379</t>
  </si>
  <si>
    <t>31023804862</t>
  </si>
  <si>
    <t>9781884718199</t>
  </si>
  <si>
    <t>793425093</t>
  </si>
  <si>
    <t>31018476545</t>
  </si>
  <si>
    <t>793425094</t>
  </si>
  <si>
    <t>Z124 T58</t>
  </si>
  <si>
    <t>0                      Z  0124000T  58</t>
  </si>
  <si>
    <t>Printing in the twentieth century : a survey : reprinted from the special number of the Times, October 29, 1929.</t>
  </si>
  <si>
    <t>Times (London, England)</t>
  </si>
  <si>
    <t>[London] : The Times Publishing Company Ltd., 1930.</t>
  </si>
  <si>
    <t>2015-08-25</t>
  </si>
  <si>
    <t>355127998:eng</t>
  </si>
  <si>
    <t>1363153</t>
  </si>
  <si>
    <t>ocm01363153</t>
  </si>
  <si>
    <t>3000646233T</t>
  </si>
  <si>
    <t>791609706</t>
  </si>
  <si>
    <t>Z124 T89 1998</t>
  </si>
  <si>
    <t>0                      Z  0124000T  89          1998</t>
  </si>
  <si>
    <t>The British Library guide to printing : history and techniques / Michael Twyman.</t>
  </si>
  <si>
    <t>Twyman, Michael.</t>
  </si>
  <si>
    <t>Toronto ; Buffalo : University of Toronto Press, 1999.</t>
  </si>
  <si>
    <t>The British Library guides</t>
  </si>
  <si>
    <t>56325690:eng</t>
  </si>
  <si>
    <t>39905617</t>
  </si>
  <si>
    <t>ocm39905617</t>
  </si>
  <si>
    <t>3101969905E</t>
  </si>
  <si>
    <t>9780802081797</t>
  </si>
  <si>
    <t>793556494</t>
  </si>
  <si>
    <t>Z124 U8313 1989</t>
  </si>
  <si>
    <t>0                      Z  0124000U  8313        1989</t>
  </si>
  <si>
    <t>The Culture of print : power and the uses of print in early modern Europe / Alain Boureau [and others] ; edited by Roger Chartier ; translated by Lydia G. Cochrane.</t>
  </si>
  <si>
    <t>Usages de l'imprimé. English.</t>
  </si>
  <si>
    <t>Princeton, N.J. : Princeton University Press, ©1989.</t>
  </si>
  <si>
    <t>2016-11-21</t>
  </si>
  <si>
    <t>2019-05-29</t>
  </si>
  <si>
    <t>889576685:eng</t>
  </si>
  <si>
    <t>19552988</t>
  </si>
  <si>
    <t>ocm19552988</t>
  </si>
  <si>
    <t>3103653016C</t>
  </si>
  <si>
    <t>9780691055800</t>
  </si>
  <si>
    <t>793061760</t>
  </si>
  <si>
    <t>31022285559</t>
  </si>
  <si>
    <t>793061759</t>
  </si>
  <si>
    <t>Z125 P37</t>
  </si>
  <si>
    <t>0                      Z  0125000P  37</t>
  </si>
  <si>
    <t>Place names in imprints : an index to the Latin and other forms used on title pages / by R.A. Peddie.</t>
  </si>
  <si>
    <t>Peddie, Robert Alexander, 1869-1951.</t>
  </si>
  <si>
    <t>Detroit : Republished by Gale Research Company, 1968.</t>
  </si>
  <si>
    <t>2015-03-24</t>
  </si>
  <si>
    <t>1589896:eng</t>
  </si>
  <si>
    <t>449658</t>
  </si>
  <si>
    <t>ocm00449658</t>
  </si>
  <si>
    <t>3000854013X</t>
  </si>
  <si>
    <t>791381970</t>
  </si>
  <si>
    <t>Z126 E27 2010</t>
  </si>
  <si>
    <t>0                      Z  0126000E  27          2010</t>
  </si>
  <si>
    <t>Early printed books as material objects : proceedings of the conference organized by the IFLA Rare Books and Manuscripts Section, Munich, 19-21 August 2009 / edited by Bettina Wagner and Marcia Reed.</t>
  </si>
  <si>
    <t>Berlin ; New York : De Gruyter Saur, ©2010.</t>
  </si>
  <si>
    <t>IFLA publications, 0344-6891 ; 149</t>
  </si>
  <si>
    <t>2017-01-27</t>
  </si>
  <si>
    <t>1079995708:eng</t>
  </si>
  <si>
    <t>698585332</t>
  </si>
  <si>
    <t>ocn698585332</t>
  </si>
  <si>
    <t>3103213766J</t>
  </si>
  <si>
    <t>9783110253245</t>
  </si>
  <si>
    <t>794861189</t>
  </si>
  <si>
    <t>Z126 H48 2014</t>
  </si>
  <si>
    <t>0                      Z  0126000H  48          2014</t>
  </si>
  <si>
    <t>Texts in transit : manuscript to proof and print in the fifteenth century / by Lotte Hellinga.</t>
  </si>
  <si>
    <t>Hellinga, Lotte, author.</t>
  </si>
  <si>
    <t>Leiden ; Boston : Brill, [2014]</t>
  </si>
  <si>
    <t>Library of the written word, 1874-4834 ; volume 38</t>
  </si>
  <si>
    <t>2196537116:eng</t>
  </si>
  <si>
    <t>881318236</t>
  </si>
  <si>
    <t>ocn881318236</t>
  </si>
  <si>
    <t>3103654743D</t>
  </si>
  <si>
    <t>9789004277168</t>
  </si>
  <si>
    <t>794974130</t>
  </si>
  <si>
    <t>Z126 H65</t>
  </si>
  <si>
    <t>0                      Z  0126000H  65</t>
  </si>
  <si>
    <t>Printing, selling and reading, 1450-1550 / by Rudolf Hirsch.</t>
  </si>
  <si>
    <t>Hirsch, Rudolf, 1906-1990.</t>
  </si>
  <si>
    <t>Wiesbaden : Harrassowitz, 1967.</t>
  </si>
  <si>
    <t>1150934256:eng</t>
  </si>
  <si>
    <t>252878</t>
  </si>
  <si>
    <t>ocm00252878</t>
  </si>
  <si>
    <t>3000554097M</t>
  </si>
  <si>
    <t>791310341</t>
  </si>
  <si>
    <t>Z126 P73 1991</t>
  </si>
  <si>
    <t>0                      Z  0126000P  73          1991</t>
  </si>
  <si>
    <t>Printing the written word : the social history of books, circa 1450-1520 / edited by Sandra Hindman.</t>
  </si>
  <si>
    <t>Ithaca : Cornell University Press, 1991.</t>
  </si>
  <si>
    <t>Cornell paperbacks</t>
  </si>
  <si>
    <t>836865227:eng</t>
  </si>
  <si>
    <t>23732411</t>
  </si>
  <si>
    <t>ocm23732411</t>
  </si>
  <si>
    <t>3102767304G</t>
  </si>
  <si>
    <t>9780801425783</t>
  </si>
  <si>
    <t>793181284</t>
  </si>
  <si>
    <t>Z126 Z7 F9613 2005</t>
  </si>
  <si>
    <t>0                      Z  0126000Z  7                  F  9613        2005</t>
  </si>
  <si>
    <t>Gutenberg and the impact of printing / Stephan Füssel ; translated from the German by Douglas Martin.</t>
  </si>
  <si>
    <t>Füssel, Stephan.</t>
  </si>
  <si>
    <t>Aldershot, Hampshire ; Burlington, Vt. : Ashgate Pub., ©2005.</t>
  </si>
  <si>
    <t>English ed.</t>
  </si>
  <si>
    <t>719592:eng</t>
  </si>
  <si>
    <t>54356533</t>
  </si>
  <si>
    <t>ocm54356533</t>
  </si>
  <si>
    <t>3102493442O</t>
  </si>
  <si>
    <t>9780754635376</t>
  </si>
  <si>
    <t>793859932</t>
  </si>
  <si>
    <t>Z144 A757 2000</t>
  </si>
  <si>
    <t>0                      Z  0144000A  757         2000</t>
  </si>
  <si>
    <t>Technique and technology : script, print, and poetics in France, 1470-1550 / Adrian Armstrong.</t>
  </si>
  <si>
    <t>Armstrong, Adrian.</t>
  </si>
  <si>
    <t>Oxford : Clarendon Press ; New York : Oxford University Press, 2000.</t>
  </si>
  <si>
    <t>Oxford modern languages and literature monographs</t>
  </si>
  <si>
    <t>2018-05-17</t>
  </si>
  <si>
    <t>784454330:eng</t>
  </si>
  <si>
    <t>42912153</t>
  </si>
  <si>
    <t>ocm42912153</t>
  </si>
  <si>
    <t>3102016217O</t>
  </si>
  <si>
    <t>9780198159896</t>
  </si>
  <si>
    <t>793617112</t>
  </si>
  <si>
    <t>Z144 B76 2002</t>
  </si>
  <si>
    <t>0                      Z  0144000B  76          2002</t>
  </si>
  <si>
    <t>Women and the book trade in sixteenth-century France / Susan Broomhall.</t>
  </si>
  <si>
    <t>Broomhall, Susan.</t>
  </si>
  <si>
    <t>Aldershot, Hampshire, England ; Burlington, VT : Ashgate, ©2002.</t>
  </si>
  <si>
    <t>Women and gender in the early modern world</t>
  </si>
  <si>
    <t>2018-11-06</t>
  </si>
  <si>
    <t>2019-02-15</t>
  </si>
  <si>
    <t>38978233:eng</t>
  </si>
  <si>
    <t>49240019</t>
  </si>
  <si>
    <t>ocm49240019</t>
  </si>
  <si>
    <t>31022096836</t>
  </si>
  <si>
    <t>9780754606710</t>
  </si>
  <si>
    <t>793735703</t>
  </si>
  <si>
    <t>31022096886</t>
  </si>
  <si>
    <t>793735702</t>
  </si>
  <si>
    <t>Z144 B85 1969</t>
  </si>
  <si>
    <t>0                      Z  0144000B  85          1969</t>
  </si>
  <si>
    <t>Le Livre francais.</t>
  </si>
  <si>
    <t>Brun, Robert, 1896-1978.</t>
  </si>
  <si>
    <t>Paris, Presses universitaires de France, 1969.</t>
  </si>
  <si>
    <t>2017-01-17</t>
  </si>
  <si>
    <t>348914046:fre</t>
  </si>
  <si>
    <t>2360885</t>
  </si>
  <si>
    <t>ocm02360885</t>
  </si>
  <si>
    <t>30006359390</t>
  </si>
  <si>
    <t>792109414</t>
  </si>
  <si>
    <t>Z144 J67</t>
  </si>
  <si>
    <t>0                      Z  0144000J  67</t>
  </si>
  <si>
    <t>French sixteenth century printing, by A.F. Johnson. With fifty illustrations.</t>
  </si>
  <si>
    <t>Johnson, A. F. (Alfred Forbes)</t>
  </si>
  <si>
    <t>London, E. Benn, 1928.</t>
  </si>
  <si>
    <t>Periods of typography</t>
  </si>
  <si>
    <t>1151060703:eng</t>
  </si>
  <si>
    <t>2611293</t>
  </si>
  <si>
    <t>ocm02611293</t>
  </si>
  <si>
    <t>3103293079Z</t>
  </si>
  <si>
    <t>792152600</t>
  </si>
  <si>
    <t>Z144 M39 2011</t>
  </si>
  <si>
    <t>0                      Z  0144000M  39          2011</t>
  </si>
  <si>
    <t>Licensing loyalty : printers, patrons, and the state in early modern France / Jane McLeod.</t>
  </si>
  <si>
    <t>McLeod, Jane.</t>
  </si>
  <si>
    <t>University Park : Pennsylvania State University Press, ©2011.</t>
  </si>
  <si>
    <t>The Penn State series in the history of the book</t>
  </si>
  <si>
    <t>2012-07-05</t>
  </si>
  <si>
    <t>686065494:eng</t>
  </si>
  <si>
    <t>670238154</t>
  </si>
  <si>
    <t>ocn670238154</t>
  </si>
  <si>
    <t>3103324994T</t>
  </si>
  <si>
    <t>9780271037684</t>
  </si>
  <si>
    <t>794847474</t>
  </si>
  <si>
    <t>Z144 M68 2006</t>
  </si>
  <si>
    <t>0                      Z  0144000M  68          2006</t>
  </si>
  <si>
    <t>La plume et le plomb : espaces de l'imprimé et du manuscrit au siècle des Lumières / François Moureau ; préface de Robert Darnton.</t>
  </si>
  <si>
    <t>Moureau, François.</t>
  </si>
  <si>
    <t>Paris : Presses de l'Université Paris-Sorbonne, 2006.</t>
  </si>
  <si>
    <t>Lettres françaises</t>
  </si>
  <si>
    <t>2018-03-07</t>
  </si>
  <si>
    <t>190789601:fre</t>
  </si>
  <si>
    <t>71799268</t>
  </si>
  <si>
    <t>ocm71799268</t>
  </si>
  <si>
    <t>3102671900N</t>
  </si>
  <si>
    <t>9782840504665</t>
  </si>
  <si>
    <t>794168309</t>
  </si>
  <si>
    <t>Z144 R5 1989</t>
  </si>
  <si>
    <t>0                      Z  0144000R  5           1989</t>
  </si>
  <si>
    <t>Revolution in print : the press in France, 1775-1800 / Robert Darnton and Daniel Roche, editors.</t>
  </si>
  <si>
    <t>Berkeley : University of California Press in collaboration with the New York Public Library, ©1989.</t>
  </si>
  <si>
    <t>2020-01-07</t>
  </si>
  <si>
    <t>836713716:eng</t>
  </si>
  <si>
    <t>18322907</t>
  </si>
  <si>
    <t>ocm18322907</t>
  </si>
  <si>
    <t>3102848507A</t>
  </si>
  <si>
    <t>9780520064300</t>
  </si>
  <si>
    <t>793021455</t>
  </si>
  <si>
    <t>Z144 R534 2011</t>
  </si>
  <si>
    <t>0                      Z  0144000R  534         2011</t>
  </si>
  <si>
    <t>Une archéologie du livre français moderne / Alain Riffaud ; préface, Isabelle Pantin ; dessins, Paul Désiles.</t>
  </si>
  <si>
    <t>Riffaud, Alain.</t>
  </si>
  <si>
    <t>Travaux du Grand Siècle ; no XXXIX</t>
  </si>
  <si>
    <t>908529457:fre</t>
  </si>
  <si>
    <t>746303404</t>
  </si>
  <si>
    <t>ocn746303404</t>
  </si>
  <si>
    <t>3103553765I</t>
  </si>
  <si>
    <t>9782600014533</t>
  </si>
  <si>
    <t>794887062</t>
  </si>
  <si>
    <t>Z145 B8 W35 2011</t>
  </si>
  <si>
    <t>0                      Z  0145000B  8                  W  35          2011</t>
  </si>
  <si>
    <t>The printed book in Brittany, 1484-1600 / by Malcolm Walsby.</t>
  </si>
  <si>
    <t>Walsby, Malcolm.</t>
  </si>
  <si>
    <t>Library of the written word, 1874-4834 ; v. 14</t>
  </si>
  <si>
    <t>2012-06-06</t>
  </si>
  <si>
    <t>895693506:eng</t>
  </si>
  <si>
    <t>720259166</t>
  </si>
  <si>
    <t>ocn720259166</t>
  </si>
  <si>
    <t>3103363782L</t>
  </si>
  <si>
    <t>9789004204515</t>
  </si>
  <si>
    <t>794874934</t>
  </si>
  <si>
    <t>Z145 L3 I4 v. 1</t>
  </si>
  <si>
    <t>0                      Z  0145000L  3                  I  4                                 v. 1</t>
  </si>
  <si>
    <t>Barthélemy Berton, 1563-1573.</t>
  </si>
  <si>
    <t>v. 1*</t>
  </si>
  <si>
    <t>Droz, E. (Eugénie), 1893-1976.</t>
  </si>
  <si>
    <t>Genève, E. Droz, 1960.</t>
  </si>
  <si>
    <t>L'Imprimerie à La Rochelle, 1</t>
  </si>
  <si>
    <t>2017-03-21</t>
  </si>
  <si>
    <t>5534255949:fre</t>
  </si>
  <si>
    <t>311297</t>
  </si>
  <si>
    <t>ocm00311297</t>
  </si>
  <si>
    <t>31037068880</t>
  </si>
  <si>
    <t>791332739</t>
  </si>
  <si>
    <t>Z145 L9 S28 2017</t>
  </si>
  <si>
    <t>0                      Z  0145000L  9                  S  28          2017</t>
  </si>
  <si>
    <t>Le savoir italien sous les presses lyonnaises à la Renaissance / études réunies par Silvia D'Amico et Susanna Gambino Longo.</t>
  </si>
  <si>
    <t>Genève : Droz, [2017]</t>
  </si>
  <si>
    <t>Cahiers d'Humanisme et Renaissance, 1422-5581 ; 142</t>
  </si>
  <si>
    <t>4413587282:fre</t>
  </si>
  <si>
    <t>993440285</t>
  </si>
  <si>
    <t>ocn993440285</t>
  </si>
  <si>
    <t>31037198075</t>
  </si>
  <si>
    <t>9782600019545</t>
  </si>
  <si>
    <t>795038649</t>
  </si>
  <si>
    <t>Z145 S74 S77 2017</t>
  </si>
  <si>
    <t>0                      Z  0145000S  74                 S  77          2017</t>
  </si>
  <si>
    <t>Strasbourg, ville de l'imprimerie : l'édition princeps aux XVe et XVIe siècles (textes et images) : tradition et innovations / textes réunis et édités par Edith Karagiannis-Mazeaud.</t>
  </si>
  <si>
    <t>Bibliologia ; volume 44</t>
  </si>
  <si>
    <t>2019-03-19</t>
  </si>
  <si>
    <t>4019088280:fre</t>
  </si>
  <si>
    <t>967849997</t>
  </si>
  <si>
    <t>ocn967849997</t>
  </si>
  <si>
    <t>3103812197Y</t>
  </si>
  <si>
    <t>9782503570471</t>
  </si>
  <si>
    <t>795026783</t>
  </si>
  <si>
    <t>Z147 R47 2007</t>
  </si>
  <si>
    <t>0                      Z  0147000R  47          2007</t>
  </si>
  <si>
    <t>Die Buchdrucker des 16. und 17. Jahrhunderts im deutschen Sprachgebiet : auf der Grundlage des gleichnamigen Werkes von Josef Benzing / Christoph Reske.</t>
  </si>
  <si>
    <t>Reske, Christoph.</t>
  </si>
  <si>
    <t>Wiesbaden : Harrassowitz, 2007.</t>
  </si>
  <si>
    <t>Beiträge zum Buch- und Bibliothekswesen, 0408-8107 ; Bd. 51</t>
  </si>
  <si>
    <t>1908997176:ger</t>
  </si>
  <si>
    <t>133048076</t>
  </si>
  <si>
    <t>ocn133048076</t>
  </si>
  <si>
    <t>31030377841</t>
  </si>
  <si>
    <t>9783447054508</t>
  </si>
  <si>
    <t>794232127</t>
  </si>
  <si>
    <t>Z151 B4 1969</t>
  </si>
  <si>
    <t>0                      Z  0151000B  4           1969</t>
  </si>
  <si>
    <t>English books &amp; readers, 1475 to 1557: being a study in the history of the book trade from Caxton to the incorporation of the Stationers' Company, by H.S. Bennett.</t>
  </si>
  <si>
    <t>Bennett, H. S. (Henry Stanley), 1889-1972.</t>
  </si>
  <si>
    <t>London, Cambridge U.P., 1969.</t>
  </si>
  <si>
    <t>2015-02-16</t>
  </si>
  <si>
    <t>3768377859:eng</t>
  </si>
  <si>
    <t>13868</t>
  </si>
  <si>
    <t>ocm00013868</t>
  </si>
  <si>
    <t>3000638426E</t>
  </si>
  <si>
    <t>9780521076098</t>
  </si>
  <si>
    <t>791228688</t>
  </si>
  <si>
    <t>Z151 B68 1983</t>
  </si>
  <si>
    <t>0                      Z  0151000B  68          1983</t>
  </si>
  <si>
    <t>Book printing in Britain and America : a guide to the literature and a directory of printers / compiled by Vito J. Brenni.</t>
  </si>
  <si>
    <t>Brenni, Vito Joseph, 1923-</t>
  </si>
  <si>
    <t>Westport, Conn. : Greenwood Press, 1983.</t>
  </si>
  <si>
    <t>836624157:eng</t>
  </si>
  <si>
    <t>9685679</t>
  </si>
  <si>
    <t>ocm09685679</t>
  </si>
  <si>
    <t>30008459015</t>
  </si>
  <si>
    <t>9780313239885</t>
  </si>
  <si>
    <t>792688733</t>
  </si>
  <si>
    <t>Z151 C55 1965</t>
  </si>
  <si>
    <t>0                      Z  0151000C  55          1965</t>
  </si>
  <si>
    <t>A history of printing in Britain.</t>
  </si>
  <si>
    <t>London, Cassell [1965]</t>
  </si>
  <si>
    <t>1965</t>
  </si>
  <si>
    <t>2226140:eng</t>
  </si>
  <si>
    <t>1289677</t>
  </si>
  <si>
    <t>ocm01289677</t>
  </si>
  <si>
    <t>3103145715C</t>
  </si>
  <si>
    <t>791592672</t>
  </si>
  <si>
    <t>2012-02-10</t>
  </si>
  <si>
    <t>30008484141</t>
  </si>
  <si>
    <t>791592673</t>
  </si>
  <si>
    <t>Z151 D53 1968</t>
  </si>
  <si>
    <t>0                      Z  0151000D  53          1968</t>
  </si>
  <si>
    <t>A dictionary of the printers and booksellers who were at work in England, Scotland and Ireland from 1668 to 1725, by Henry R. Plomer with the help of H.G. Aldis [and others]; edited by Arundell Esdaile.</t>
  </si>
  <si>
    <t>Plomer, Henry R. (Henry Robert), 1856-1928.</t>
  </si>
  <si>
    <t>London, Bibliographical Society, 1968.</t>
  </si>
  <si>
    <t>2017-09-21</t>
  </si>
  <si>
    <t>918051191:eng</t>
  </si>
  <si>
    <t>61243</t>
  </si>
  <si>
    <t>ocm00061243</t>
  </si>
  <si>
    <t>3000960361H</t>
  </si>
  <si>
    <t>9780197217801</t>
  </si>
  <si>
    <t>791242968</t>
  </si>
  <si>
    <t>Z151 H455 2010</t>
  </si>
  <si>
    <t>0                      Z  0151000H  455         2010</t>
  </si>
  <si>
    <t>William Caxton and early printing in England / Lotte Hellinga.</t>
  </si>
  <si>
    <t>Hellinga, Lotte.</t>
  </si>
  <si>
    <t>London : British Library, 2010.</t>
  </si>
  <si>
    <t>2017-06-15</t>
  </si>
  <si>
    <t>342042254:eng</t>
  </si>
  <si>
    <t>457149475</t>
  </si>
  <si>
    <t>ocn457149475</t>
  </si>
  <si>
    <t>3103230637U</t>
  </si>
  <si>
    <t>9780712350884</t>
  </si>
  <si>
    <t>794789777</t>
  </si>
  <si>
    <t>Z151 P67 1965</t>
  </si>
  <si>
    <t>0                      Z  0151000P  67          1965</t>
  </si>
  <si>
    <t>The English book trade; an economic history of the making and sale of books.</t>
  </si>
  <si>
    <t>Plant, Marjorie.</t>
  </si>
  <si>
    <t>London, Allen and Unwin [1965]</t>
  </si>
  <si>
    <t>1695996:eng</t>
  </si>
  <si>
    <t>574061</t>
  </si>
  <si>
    <t>ocm00574061</t>
  </si>
  <si>
    <t>3000430246X</t>
  </si>
  <si>
    <t>791418513</t>
  </si>
  <si>
    <t>31028485276</t>
  </si>
  <si>
    <t>791418514</t>
  </si>
  <si>
    <t>Z151 T93</t>
  </si>
  <si>
    <t>0                      Z  0151000T  93</t>
  </si>
  <si>
    <t>Printing 1770-1970: an illustrated history of its development and uses in England.</t>
  </si>
  <si>
    <t>London, Eyre &amp; Spottiswoode, 1970.</t>
  </si>
  <si>
    <t>1172980:eng</t>
  </si>
  <si>
    <t>151709</t>
  </si>
  <si>
    <t>ocm00151709</t>
  </si>
  <si>
    <t>3103146947X</t>
  </si>
  <si>
    <t>9780413264206</t>
  </si>
  <si>
    <t>791273460</t>
  </si>
  <si>
    <t>Z151 U84 2004</t>
  </si>
  <si>
    <t>0                      Z  0151000U  84          2004</t>
  </si>
  <si>
    <t>The uses of script and print, 1300-1700 / edited by Julia Crick and Alexandra Walsham.</t>
  </si>
  <si>
    <t>Cambridge, U.K. ; New York : Cambridge University Press, 2004.</t>
  </si>
  <si>
    <t>350215665:eng</t>
  </si>
  <si>
    <t>52134661</t>
  </si>
  <si>
    <t>ocm52134661</t>
  </si>
  <si>
    <t>3102785145C</t>
  </si>
  <si>
    <t>9780521810630</t>
  </si>
  <si>
    <t>793799251</t>
  </si>
  <si>
    <t>Z151.2 G55 2006</t>
  </si>
  <si>
    <t>0                      Z  0151200G  55          2006</t>
  </si>
  <si>
    <t>Print culture and the medieval author : Chaucer, Lydgate, and their books, 1473-1557 / Alexandra Gillespie.</t>
  </si>
  <si>
    <t>Gillespie, Alexandra.</t>
  </si>
  <si>
    <t>Oxford, UK ; New York : Oxford University Press, 2006.</t>
  </si>
  <si>
    <t>Oxford English monographs</t>
  </si>
  <si>
    <t>794241903:eng</t>
  </si>
  <si>
    <t>67869310</t>
  </si>
  <si>
    <t>ocm67869310</t>
  </si>
  <si>
    <t>3102567978X</t>
  </si>
  <si>
    <t>9780199262953</t>
  </si>
  <si>
    <t>794141665</t>
  </si>
  <si>
    <t>Z151.2 G75</t>
  </si>
  <si>
    <t>0                      Z  0151200G  75</t>
  </si>
  <si>
    <t>Fifty-five books printed before 1525, representing the works of England's first printers : an exhibition from the collection of Paul Mellon, January 17-March 3, 1968.</t>
  </si>
  <si>
    <t>[New York] : Grolier Club, 1968</t>
  </si>
  <si>
    <t>853741346:eng</t>
  </si>
  <si>
    <t>2722495</t>
  </si>
  <si>
    <t>ocm02722495</t>
  </si>
  <si>
    <t>30004557594</t>
  </si>
  <si>
    <t>792167662</t>
  </si>
  <si>
    <t>Z151.2 T66 2016</t>
  </si>
  <si>
    <t>0                      Z  0151200T  66          2016</t>
  </si>
  <si>
    <t>Agency and intention in English print, 1476-1526 / by Kathleen Tonry.</t>
  </si>
  <si>
    <t>Tonry, Kathleen Ann, author.</t>
  </si>
  <si>
    <t>Turnhout, Belgium : Brepols, [2016]</t>
  </si>
  <si>
    <t>Texts and transitions ; 7</t>
  </si>
  <si>
    <t>9593878745:eng</t>
  </si>
  <si>
    <t>934618569</t>
  </si>
  <si>
    <t>ocn934618569</t>
  </si>
  <si>
    <t>31036983848</t>
  </si>
  <si>
    <t>9782503535760</t>
  </si>
  <si>
    <t>795009735</t>
  </si>
  <si>
    <t>Z151.3 B4</t>
  </si>
  <si>
    <t>0                      Z  0151300B  4</t>
  </si>
  <si>
    <t>English books &amp; readers, 1558-1603 : being a study in the history of the book trade in the reign of Elizabeth I / by H.S. Bennett.</t>
  </si>
  <si>
    <t>Cambridge [England] : University Press, 1965.</t>
  </si>
  <si>
    <t>2016-01-23</t>
  </si>
  <si>
    <t>4140411514:eng</t>
  </si>
  <si>
    <t>188933</t>
  </si>
  <si>
    <t>ocm00188933</t>
  </si>
  <si>
    <t>3103678351Z</t>
  </si>
  <si>
    <t>791287708</t>
  </si>
  <si>
    <t>Z151.3 M45 2018</t>
  </si>
  <si>
    <t>0                      Z  0151300M  45          2018</t>
  </si>
  <si>
    <t>Elizabethan publishing and the makings of literary culture / Kirk Melnikoff.</t>
  </si>
  <si>
    <t>Melnikoff, Kirk, 1969- author.</t>
  </si>
  <si>
    <t>Toronto ; Buffalo ; London : University of Toronto Press, [2018]</t>
  </si>
  <si>
    <t>4982706724:eng</t>
  </si>
  <si>
    <t>1005117700</t>
  </si>
  <si>
    <t>on1005117700</t>
  </si>
  <si>
    <t>3103729686M</t>
  </si>
  <si>
    <t>9781487502232</t>
  </si>
  <si>
    <t>795042434</t>
  </si>
  <si>
    <t>Z151.4 B45</t>
  </si>
  <si>
    <t>0                      Z  0151400B  45</t>
  </si>
  <si>
    <t>English books &amp; readers 1603 to 1640 : being a study in the history of the book trade in the reigns of James I and Charles I / by H.S. Bennett.</t>
  </si>
  <si>
    <t>Cambridge [England] : University Press, 1970.</t>
  </si>
  <si>
    <t>4161155608:eng</t>
  </si>
  <si>
    <t>192111559</t>
  </si>
  <si>
    <t>ocn192111559</t>
  </si>
  <si>
    <t>3101093379A</t>
  </si>
  <si>
    <t>9780521077019</t>
  </si>
  <si>
    <t>794303501</t>
  </si>
  <si>
    <t>2006-10-24</t>
  </si>
  <si>
    <t>3000847703$</t>
  </si>
  <si>
    <t>794303502</t>
  </si>
  <si>
    <t>30004381409</t>
  </si>
  <si>
    <t>794303500</t>
  </si>
  <si>
    <t>Z151.4 J64 2017</t>
  </si>
  <si>
    <t>0                      Z  0151400J  64          2017</t>
  </si>
  <si>
    <t>John Baskerville : art and industry of the Enlightenment / edited by Caroline Archer-Parré and Malcolm Dick ; foreword by Jenny Uglow.</t>
  </si>
  <si>
    <t>Liverpool : Liverpool University Press, 2017.</t>
  </si>
  <si>
    <t>Eighteenth-Century Worlds</t>
  </si>
  <si>
    <t>4676699343:eng</t>
  </si>
  <si>
    <t>987728146</t>
  </si>
  <si>
    <t>ocn987728146</t>
  </si>
  <si>
    <t>3103669745F</t>
  </si>
  <si>
    <t>9781786940643</t>
  </si>
  <si>
    <t>795036355</t>
  </si>
  <si>
    <t>Z151.5 B67 2008</t>
  </si>
  <si>
    <t>0                      Z  0151500B  67          2008</t>
  </si>
  <si>
    <t>The British book trade : an oral history / edited by Sue Bradley.</t>
  </si>
  <si>
    <t>London : British Library, 2008.</t>
  </si>
  <si>
    <t>2015-02-12</t>
  </si>
  <si>
    <t>865582483:eng</t>
  </si>
  <si>
    <t>225876136</t>
  </si>
  <si>
    <t>ocn225876136</t>
  </si>
  <si>
    <t>31030846145</t>
  </si>
  <si>
    <t>9780712349574</t>
  </si>
  <si>
    <t>794343221</t>
  </si>
  <si>
    <t>Z151.5 C65 2016</t>
  </si>
  <si>
    <t>0                      Z  0151500C  65          2016</t>
  </si>
  <si>
    <t>Modern print artefacts : textual materiality and literary value in British print culture, 1890-1930s / Patrick Collier.</t>
  </si>
  <si>
    <t>Collier, Patrick, author.</t>
  </si>
  <si>
    <t>Edinburgh : Edinburgh University Press, [2016]</t>
  </si>
  <si>
    <t>Edinburgh critical studies in modernist culture</t>
  </si>
  <si>
    <t>4007656415:eng</t>
  </si>
  <si>
    <t>950449788</t>
  </si>
  <si>
    <t>ocn950449788</t>
  </si>
  <si>
    <t>3103697849W</t>
  </si>
  <si>
    <t>9781474413473</t>
  </si>
  <si>
    <t>795016625</t>
  </si>
  <si>
    <t>Z152.6 B37 2017</t>
  </si>
  <si>
    <t>0                      Z  0152600B  37          2017</t>
  </si>
  <si>
    <t>Brought to book : print in Ireland, 1680-1784 / Toby Barnard.</t>
  </si>
  <si>
    <t>Barnard, T. C. (Toby Christopher), author.</t>
  </si>
  <si>
    <t>Dublin : Four Courts Press, [2017]</t>
  </si>
  <si>
    <t>4030765684:eng</t>
  </si>
  <si>
    <t>968777002</t>
  </si>
  <si>
    <t>ocn968777002</t>
  </si>
  <si>
    <t>3103655602Q</t>
  </si>
  <si>
    <t>9781846826290</t>
  </si>
  <si>
    <t>795027254</t>
  </si>
  <si>
    <t>Z155 B6413 2001</t>
  </si>
  <si>
    <t>0                      Z  0155000B  6413        2001</t>
  </si>
  <si>
    <t>The gallery of memory : literary and iconographic models in the age of the printing press / Lina Bolzoni ; translated by Jeremy Parzen.</t>
  </si>
  <si>
    <t>Bolzoni, Lina, author.</t>
  </si>
  <si>
    <t>Toronto ; Buffalo : University of Toronto Press, [2001]</t>
  </si>
  <si>
    <t>Toronto Italian studies</t>
  </si>
  <si>
    <t>1152034019:eng</t>
  </si>
  <si>
    <t>46620672</t>
  </si>
  <si>
    <t>ocm46620672</t>
  </si>
  <si>
    <t>3102553055B</t>
  </si>
  <si>
    <t>9780802043306</t>
  </si>
  <si>
    <t>793687623</t>
  </si>
  <si>
    <t>Z155 L53 1997</t>
  </si>
  <si>
    <t>0                      Z  0155000L  53          1997</t>
  </si>
  <si>
    <t>Libri, tipografi, biblioteche : ricerche storiche dedicate a Luigi Balsamo / a cura dell'Istituto di Biblioteconomia e Paleografia Università degli Studi, Parma.</t>
  </si>
  <si>
    <t>[Firenze] : Leo S. Olschki Editore, 1997.</t>
  </si>
  <si>
    <t>Biblioteca di bibliografia italiana, 0067-7418 ; 148</t>
  </si>
  <si>
    <t>808285605:ita</t>
  </si>
  <si>
    <t>37623677</t>
  </si>
  <si>
    <t>ocm37623677</t>
  </si>
  <si>
    <t>31017492776</t>
  </si>
  <si>
    <t>9788822245045</t>
  </si>
  <si>
    <t>793503096</t>
  </si>
  <si>
    <t>2002-03-19</t>
  </si>
  <si>
    <t>3101749283B</t>
  </si>
  <si>
    <t>793503095</t>
  </si>
  <si>
    <t>Z156 B6 S85 1994</t>
  </si>
  <si>
    <t>0                      Z  0156000B  6                  S  85          1994</t>
  </si>
  <si>
    <t>Sul libro bolognese del Rinascimento / a cura di Luigi Balsamo e Leonardo Quaquarelli.</t>
  </si>
  <si>
    <t>Bologna : CLUEB, ©1994.</t>
  </si>
  <si>
    <t>Quaderni di Schede umanistiche ; n. 3</t>
  </si>
  <si>
    <t>2016-12-08</t>
  </si>
  <si>
    <t>365071577:ita</t>
  </si>
  <si>
    <t>31856794</t>
  </si>
  <si>
    <t>ocm31856794</t>
  </si>
  <si>
    <t>3101485040H</t>
  </si>
  <si>
    <t>793369601</t>
  </si>
  <si>
    <t>Z156 R7 M37</t>
  </si>
  <si>
    <t>0                      Z  0156000R  7                  M  37</t>
  </si>
  <si>
    <t>Stampatori e librai a Roma nella seconda metà del Cinquecento : documenti inediti / Gian Ludovico Masetti Zannini ; prefazione di Francesco Barberi.</t>
  </si>
  <si>
    <t>Masetti Zannini, Gian Ludovico, 1929-</t>
  </si>
  <si>
    <t>Roma : Fratelli Palombi, 1980.</t>
  </si>
  <si>
    <t>196950343:ita</t>
  </si>
  <si>
    <t>6890134</t>
  </si>
  <si>
    <t>ocm06890134</t>
  </si>
  <si>
    <t>3102739526D</t>
  </si>
  <si>
    <t>792528942</t>
  </si>
  <si>
    <t>Z156 V4 B8</t>
  </si>
  <si>
    <t>0                      Z  0156000V  4                  B  8</t>
  </si>
  <si>
    <t>The Venetian printing press : an historical study based upon documents for the most part hitherto unpublished / by Horatio F. Brown ; with twenty-two facsimiles of early printing.</t>
  </si>
  <si>
    <t>Brown, Horatio F. (Horatio Forbes), 1854-1926, author.</t>
  </si>
  <si>
    <t>New York : G.P. Putnam's Sons ; London : John C. Nimmo, 1891.</t>
  </si>
  <si>
    <t>2017-03-27</t>
  </si>
  <si>
    <t>9323367815:eng</t>
  </si>
  <si>
    <t>7587965</t>
  </si>
  <si>
    <t>ocm07587965</t>
  </si>
  <si>
    <t>31037056080</t>
  </si>
  <si>
    <t>792568200</t>
  </si>
  <si>
    <t>Z156 V4 M37 2012</t>
  </si>
  <si>
    <t>0                      Z  0156000V  4                  M  37          2012</t>
  </si>
  <si>
    <t>L'alba dei libri : quando Venezia ha fatto leggere il mondo / Alessandro Marzo Magno.</t>
  </si>
  <si>
    <t>Marzo Magno, Alessandro.</t>
  </si>
  <si>
    <t>Milano : Garzanti, 2012.</t>
  </si>
  <si>
    <t>1. ed.</t>
  </si>
  <si>
    <t>Collezione storica</t>
  </si>
  <si>
    <t>2017-02-24</t>
  </si>
  <si>
    <t>1079611728:ita</t>
  </si>
  <si>
    <t>776487981</t>
  </si>
  <si>
    <t>ocn776487981</t>
  </si>
  <si>
    <t>3103663020F</t>
  </si>
  <si>
    <t>9788811682080</t>
  </si>
  <si>
    <t>794908056</t>
  </si>
  <si>
    <t>Z156 V4 M3713 2013</t>
  </si>
  <si>
    <t>0                      Z  0156000V  4                  M  3713        2013</t>
  </si>
  <si>
    <t>Bound in Venice : the serene republic and the dawn of the book / Alessandro Marzo Magno ; translated from the Italian by Gregory Conti.</t>
  </si>
  <si>
    <t>Marzo Magno, Alessandro, author.</t>
  </si>
  <si>
    <t>New York, N.Y. : Europa Editions, 2013.</t>
  </si>
  <si>
    <t>2017-01-26</t>
  </si>
  <si>
    <t>1211923958:eng</t>
  </si>
  <si>
    <t>829451627</t>
  </si>
  <si>
    <t>ocn829451627</t>
  </si>
  <si>
    <t>31035523295</t>
  </si>
  <si>
    <t>9781609451394</t>
  </si>
  <si>
    <t>794942527</t>
  </si>
  <si>
    <t>Z156 V4 Z67 2016</t>
  </si>
  <si>
    <t>0                      Z  0156000V  4                  Z  67          2016</t>
  </si>
  <si>
    <t>Essor et déclin du livre imprimé vénitien / Marino Zorzi.</t>
  </si>
  <si>
    <t>Zorzi, Marino, author.</t>
  </si>
  <si>
    <t>Paris : Bibliothèque nationale de France, [2016]</t>
  </si>
  <si>
    <t>Conférences Léopold Delisle</t>
  </si>
  <si>
    <t>3153346742:fre</t>
  </si>
  <si>
    <t>948551051</t>
  </si>
  <si>
    <t>ocn948551051</t>
  </si>
  <si>
    <t>3103715429V</t>
  </si>
  <si>
    <t>9782717726503</t>
  </si>
  <si>
    <t>795015555</t>
  </si>
  <si>
    <t>Z161 B66 2010</t>
  </si>
  <si>
    <t>0                      Z  0161000B  66          2010</t>
  </si>
  <si>
    <t>Books in transition at the time of Philip the Fair : manuscripts and printed books in the late fifteenth and early sixteenth century Low Countries / edited by Hanno Wijsman ; with the collaboration of Ann Kelders and Susie Speakman Sutch.</t>
  </si>
  <si>
    <t>Turnhout, Belgium : Brepols, [2010]</t>
  </si>
  <si>
    <t>Burgundica ; 15</t>
  </si>
  <si>
    <t>189785809:eng</t>
  </si>
  <si>
    <t>310395306</t>
  </si>
  <si>
    <t>ocn310395306</t>
  </si>
  <si>
    <t>3103255581U</t>
  </si>
  <si>
    <t>9782503529844</t>
  </si>
  <si>
    <t>794435369</t>
  </si>
  <si>
    <t>Z161 P48 2019</t>
  </si>
  <si>
    <t>0                      Z  0161000P  48          2019</t>
  </si>
  <si>
    <t>The bookshop of the world : making and trading books in the Dutch golden age / Andrew Pettegree &amp; Arthur der Weduwen.</t>
  </si>
  <si>
    <t>Pettegree, Andrew, author.</t>
  </si>
  <si>
    <t>New Haven ; London : Yale University Press, [2019]</t>
  </si>
  <si>
    <t>8949893754:eng</t>
  </si>
  <si>
    <t>1046552747</t>
  </si>
  <si>
    <t>on1046552747</t>
  </si>
  <si>
    <t>3103808428H</t>
  </si>
  <si>
    <t>9780300230079</t>
  </si>
  <si>
    <t>795060511</t>
  </si>
  <si>
    <t>Z161 P6</t>
  </si>
  <si>
    <t>0                      Z  0161000P  6</t>
  </si>
  <si>
    <t>Post-incunabula and their publishers in the low countries : a selection based on Wouter Nijhoff's L'art typographique published in commemoration of the 125th anniversary of Martinus Nijhoff on January 1, 1978 / edited and introducted [sic] by Hendrik D.L. Vervliet.</t>
  </si>
  <si>
    <t>The Hague ; Boston : M. Nijhoff, 1978.</t>
  </si>
  <si>
    <t>2015-04-10</t>
  </si>
  <si>
    <t>10177526845:eng</t>
  </si>
  <si>
    <t>5099784</t>
  </si>
  <si>
    <t>ocm05099784</t>
  </si>
  <si>
    <t>30008540769</t>
  </si>
  <si>
    <t>9789024720798</t>
  </si>
  <si>
    <t>792407300</t>
  </si>
  <si>
    <t>Z161 V35 2013</t>
  </si>
  <si>
    <t>0                      Z  0161000V  35          2013</t>
  </si>
  <si>
    <t>Dutch typography in the sixteenth century : the collected works of Paul Valkema Blouw / edited by Ton Croiset van Uchelen, Paul Dijstelberge.</t>
  </si>
  <si>
    <t>Valkema Blouw, Paul, author.</t>
  </si>
  <si>
    <t>Leiden : Brill, 2013.</t>
  </si>
  <si>
    <t>Library of the written word, 1874-4834 ; volume 18</t>
  </si>
  <si>
    <t>1648401003:eng</t>
  </si>
  <si>
    <t>852688896</t>
  </si>
  <si>
    <t>ocn852688896</t>
  </si>
  <si>
    <t>3103529606O</t>
  </si>
  <si>
    <t>9789004256545</t>
  </si>
  <si>
    <t>794951491</t>
  </si>
  <si>
    <t>Z165 A38</t>
  </si>
  <si>
    <t>0                      Z  0165000A  38</t>
  </si>
  <si>
    <t>Chetyresta let russkogo knigopechatanii︠a︡, 1564-1964 / [Akademii︠a︡ nauk SSSR. Otdelenie istorii].</t>
  </si>
  <si>
    <t>Moskva : Nauka, 1964.</t>
  </si>
  <si>
    <t>1964</t>
  </si>
  <si>
    <t>rus</t>
  </si>
  <si>
    <t>1874625848:rus</t>
  </si>
  <si>
    <t>1580665</t>
  </si>
  <si>
    <t>ocm01580665</t>
  </si>
  <si>
    <t>30006359358</t>
  </si>
  <si>
    <t>791755840</t>
  </si>
  <si>
    <t>3100413616D</t>
  </si>
  <si>
    <t>791755839</t>
  </si>
  <si>
    <t>Z165 P75 2017</t>
  </si>
  <si>
    <t>0                      Z  0165000P  75          2017</t>
  </si>
  <si>
    <t>The new Russian book : a graphic cultural history / Birgitte Beck Pristed.</t>
  </si>
  <si>
    <t>Pristed, Birgitte Beck, author.</t>
  </si>
  <si>
    <t>Cham, Switzerland : Palgrave MacMillan, [2017]</t>
  </si>
  <si>
    <t>New directions in book history</t>
  </si>
  <si>
    <t>4420243395:eng</t>
  </si>
  <si>
    <t>993761616</t>
  </si>
  <si>
    <t>ocn993761616</t>
  </si>
  <si>
    <t>3103738040W</t>
  </si>
  <si>
    <t>9783319507071</t>
  </si>
  <si>
    <t>795038782</t>
  </si>
  <si>
    <t>Z173 E88 2018</t>
  </si>
  <si>
    <t>0                      Z  0173000E  88          2018</t>
  </si>
  <si>
    <t>Diccionario de mujeres impresoras y libreras de España e Iberoamérica entre los siglos XV y XVII / Sandra Establés Susán.</t>
  </si>
  <si>
    <t>Establés Susán, Sandra, author.</t>
  </si>
  <si>
    <t>Zaragoza : Prensas de la Universidad de Zaragoza, 2018.</t>
  </si>
  <si>
    <t>1a. edición.</t>
  </si>
  <si>
    <t>In culpa est ; no. 5</t>
  </si>
  <si>
    <t>2019-11-29</t>
  </si>
  <si>
    <t>5509383278:spa</t>
  </si>
  <si>
    <t>1045014865</t>
  </si>
  <si>
    <t>on1045014865</t>
  </si>
  <si>
    <t>3103976349B</t>
  </si>
  <si>
    <t>9788417358686</t>
  </si>
  <si>
    <t>795060202</t>
  </si>
  <si>
    <t>Z173 G66 2013</t>
  </si>
  <si>
    <t>0                      Z  0173000G  66          2013</t>
  </si>
  <si>
    <t>Textual agency : writing culture and social networks in fifteenth-century Spain / Ana M. Gómez-Bravo.</t>
  </si>
  <si>
    <t>Gómez-Bravo, Ana M. (Ana María), author.</t>
  </si>
  <si>
    <t>Toronto : University of Toronto Press, [2013]</t>
  </si>
  <si>
    <t>Toronto Iberic ; [7]</t>
  </si>
  <si>
    <t>1749815330:eng</t>
  </si>
  <si>
    <t>830628003</t>
  </si>
  <si>
    <t>ocn830628003</t>
  </si>
  <si>
    <t>3103493632D</t>
  </si>
  <si>
    <t>9781442647206</t>
  </si>
  <si>
    <t>794943539</t>
  </si>
  <si>
    <t>Z173 G75 2005</t>
  </si>
  <si>
    <t>0                      Z  0173000G  75          2005</t>
  </si>
  <si>
    <t>Journeymen-printers, heresy, and the Inquisition in sixteenth-century Spain / Clive Griffin.</t>
  </si>
  <si>
    <t>Griffin, Clive.</t>
  </si>
  <si>
    <t>Oxford ; New York : Oxford University Press, 2005.</t>
  </si>
  <si>
    <t>5571:eng</t>
  </si>
  <si>
    <t>58998807</t>
  </si>
  <si>
    <t>ocm58998807</t>
  </si>
  <si>
    <t>3102546838L</t>
  </si>
  <si>
    <t>9780199280735</t>
  </si>
  <si>
    <t>793926432</t>
  </si>
  <si>
    <t>Z173 M47 2003</t>
  </si>
  <si>
    <t>0                      Z  0173000M  47          2003</t>
  </si>
  <si>
    <t>Los primeros tiempos de la imprenta en España, c. 1471-1520 / Julián Martín Abad.</t>
  </si>
  <si>
    <t>Martín Abad, Julián.</t>
  </si>
  <si>
    <t>Madrid : Ediciones del Laberinto, ©2003.</t>
  </si>
  <si>
    <t>Colección Arcadia de las letras ; 19</t>
  </si>
  <si>
    <t>2017-11-22</t>
  </si>
  <si>
    <t>348220418:spa</t>
  </si>
  <si>
    <t>52623674</t>
  </si>
  <si>
    <t>ocm52623674</t>
  </si>
  <si>
    <t>31023874979</t>
  </si>
  <si>
    <t>9788484830863</t>
  </si>
  <si>
    <t>793811307</t>
  </si>
  <si>
    <t>Z174 S5 P35 2012</t>
  </si>
  <si>
    <t>0                      Z  0174000S  5                  P  35          2012</t>
  </si>
  <si>
    <t>L'organisation du commerce du livre à Séville au XVIIIe siècle (1680-1755). : imprimeurs, libraire et marchands de livres espagnols et étrangers à Sevilla / Clara Palmiste.</t>
  </si>
  <si>
    <t>Palmiste, Clara.</t>
  </si>
  <si>
    <t>Paris : Publibook Editions, 2012.</t>
  </si>
  <si>
    <t>Sciences humaines &amp; sociales</t>
  </si>
  <si>
    <t>1146150966:fre</t>
  </si>
  <si>
    <t>795008521</t>
  </si>
  <si>
    <t>ocn795008521</t>
  </si>
  <si>
    <t>3103556164O</t>
  </si>
  <si>
    <t>9782748382426</t>
  </si>
  <si>
    <t>794920772</t>
  </si>
  <si>
    <t>Z186 C5 B37 2008</t>
  </si>
  <si>
    <t>0                      Z  0186000C  5                  B  37          2008</t>
  </si>
  <si>
    <t>The woman who discovered printing / T.H. Barrett.</t>
  </si>
  <si>
    <t>Barrett, T. H. (Timothy Hugh), author.</t>
  </si>
  <si>
    <t>New Haven [Conn.] ; London : Yale University Press, ©2008.</t>
  </si>
  <si>
    <t>2019-12-04</t>
  </si>
  <si>
    <t>104798102:eng</t>
  </si>
  <si>
    <t>155755601</t>
  </si>
  <si>
    <t>ocn155755601</t>
  </si>
  <si>
    <t>31026521576</t>
  </si>
  <si>
    <t>9780300127287</t>
  </si>
  <si>
    <t>794253603</t>
  </si>
  <si>
    <t>Z186 C5 C3 1955</t>
  </si>
  <si>
    <t>0                      Z  0186000C  5                  C  3           1955</t>
  </si>
  <si>
    <t>The invention of printing in China and its spread westward. Rev. by L. Carrington Goodrich.</t>
  </si>
  <si>
    <t>Carter, Thomas Francis, 1882-1925.</t>
  </si>
  <si>
    <t>New York, Ronald Press Co. [1955]</t>
  </si>
  <si>
    <t>1955</t>
  </si>
  <si>
    <t>2015-04-19</t>
  </si>
  <si>
    <t>1570065:eng</t>
  </si>
  <si>
    <t>485767</t>
  </si>
  <si>
    <t>ocm00485767</t>
  </si>
  <si>
    <t>3100136227I</t>
  </si>
  <si>
    <t>791390674</t>
  </si>
  <si>
    <t>2005-09-21</t>
  </si>
  <si>
    <t>30000145480</t>
  </si>
  <si>
    <t>791390675</t>
  </si>
  <si>
    <t>3000353312Q</t>
  </si>
  <si>
    <t>791390673</t>
  </si>
  <si>
    <t>Z186 C5 C56 2004</t>
  </si>
  <si>
    <t>0                      Z  0186000C  5                  C  56          2004</t>
  </si>
  <si>
    <t>Publishing, culture, and power in early modern China / Kai-wing Chow.</t>
  </si>
  <si>
    <t>Chow, Kai-wing, 1951-</t>
  </si>
  <si>
    <t>Stanford, Calif. : Stanford University Press, c 2004.</t>
  </si>
  <si>
    <t>2015-12-06</t>
  </si>
  <si>
    <t>141063433:eng</t>
  </si>
  <si>
    <t>52001939</t>
  </si>
  <si>
    <t>ocm52001939</t>
  </si>
  <si>
    <t>3102449812J</t>
  </si>
  <si>
    <t>9780804733670</t>
  </si>
  <si>
    <t>793796433</t>
  </si>
  <si>
    <t>Z186 C5 D46 2015</t>
  </si>
  <si>
    <t>0                      Z  0186000C  5                  D  46          2015</t>
  </si>
  <si>
    <t>Writing, publishing, and reading local gazetteers in imperial China, 1100-1700 / Joseph Dennis.</t>
  </si>
  <si>
    <t>Dennis, Joseph, 1963-</t>
  </si>
  <si>
    <t>Cambridge, Massachusetts : Harvard University Asia Center : Distributed by Harvard University Press, 2015.</t>
  </si>
  <si>
    <t>Harvard East Asian monographs ; 379</t>
  </si>
  <si>
    <t>2019-01-16</t>
  </si>
  <si>
    <t>2452365484:eng</t>
  </si>
  <si>
    <t>891001506</t>
  </si>
  <si>
    <t>ocn891001506</t>
  </si>
  <si>
    <t>3103495838$</t>
  </si>
  <si>
    <t>9780674504295</t>
  </si>
  <si>
    <t>794979783</t>
  </si>
  <si>
    <t>Z186 C5 F57 2007</t>
  </si>
  <si>
    <t>0                      Z  0186000C  5                  F  57          2007</t>
  </si>
  <si>
    <t>Knowledge and text production in an age of print : China, 900-1400 / edited by Lucille Chia and Hilde De Weerdt.</t>
  </si>
  <si>
    <t>First Impressions: the Cultural History of Print in Imperial China (8th-14th Centuries) (Conference) (2007 : Fairbank Center for East Asian Research)</t>
  </si>
  <si>
    <t>Leiden ; Boston : Brill, 2011, ©2011.</t>
  </si>
  <si>
    <t>Sinica Leidensia, 0169-9563 ; v. 100</t>
  </si>
  <si>
    <t>2016-07-06</t>
  </si>
  <si>
    <t>773009687:eng</t>
  </si>
  <si>
    <t>671870272</t>
  </si>
  <si>
    <t>ocn671870272</t>
  </si>
  <si>
    <t>3103363717Z</t>
  </si>
  <si>
    <t>9789004192287</t>
  </si>
  <si>
    <t>794849271</t>
  </si>
  <si>
    <t>Z186 C5 H57 2010</t>
  </si>
  <si>
    <t>0                      Z  0186000C  5                  H  57          2010</t>
  </si>
  <si>
    <t>The history and cultural heritage of Chinese calligraphy, printing and library work / edited by Susan M. Allen [and others].</t>
  </si>
  <si>
    <t>Berlin : De Gruyter Saur, ©2010.</t>
  </si>
  <si>
    <t>IFLA publications, 0344-6891 ; 141</t>
  </si>
  <si>
    <t>2011-03-09</t>
  </si>
  <si>
    <t>1071204592:eng</t>
  </si>
  <si>
    <t>505420867</t>
  </si>
  <si>
    <t>ocn505420867</t>
  </si>
  <si>
    <t>31032743333</t>
  </si>
  <si>
    <t>9783598220463</t>
  </si>
  <si>
    <t>794807125</t>
  </si>
  <si>
    <t>Z186 C5 H83 2002</t>
  </si>
  <si>
    <t>0                      Z  0186000C  5                  H  83          2002</t>
  </si>
  <si>
    <t>Fang ke ben / Huang Zhenwei zhu.</t>
  </si>
  <si>
    <t>Huang, Zhenwei.</t>
  </si>
  <si>
    <t>2016-03-31</t>
  </si>
  <si>
    <t>9558474:chi</t>
  </si>
  <si>
    <t>52126402</t>
  </si>
  <si>
    <t>ocm52126402</t>
  </si>
  <si>
    <t>3102412706U</t>
  </si>
  <si>
    <t>9787806437940</t>
  </si>
  <si>
    <t>793798920</t>
  </si>
  <si>
    <t>Z186 C5 P4</t>
  </si>
  <si>
    <t>0                      Z  0186000C  5                  P  4</t>
  </si>
  <si>
    <t>Les debuts de l'imprimerie en Chine.</t>
  </si>
  <si>
    <t>Pelliot, Paul, 1878-1945.</t>
  </si>
  <si>
    <t>Paris, Impr. nationale, Librairie d'Amérique et d' Orient, 1953.</t>
  </si>
  <si>
    <t>1953</t>
  </si>
  <si>
    <t>His Œuvres posthumes, 4</t>
  </si>
  <si>
    <t>2019-04-01</t>
  </si>
  <si>
    <t>9585675771:fre</t>
  </si>
  <si>
    <t>1747484</t>
  </si>
  <si>
    <t>ocm01747484</t>
  </si>
  <si>
    <t>3001172792M</t>
  </si>
  <si>
    <t>791858750</t>
  </si>
  <si>
    <t>Z186 C5 U55 2010</t>
  </si>
  <si>
    <t>0                      Z  0186000C  5                  U  55          2010</t>
  </si>
  <si>
    <t>Leaves of enchantment, bones of inspiration : the dawn of Chinese studies in Canada : an exhibition of Chinese rare books = Wen yuan ju zhen : Duolunduo da xue Dong ya tu shu guan, Huang jia an da lue bo wu guan Zhongwen shan ben te zhan / by the Cheng Yu Tung East Asian Library, University of Toronto &amp; the Royal Ontario Museum.</t>
  </si>
  <si>
    <t>Cheng Yu Tung East Asian Library.</t>
  </si>
  <si>
    <t>Toronto : Thomas Fisher Rare Book Library, [2010]</t>
  </si>
  <si>
    <t>477488138:eng</t>
  </si>
  <si>
    <t>608945287</t>
  </si>
  <si>
    <t>ocn608945287</t>
  </si>
  <si>
    <t>3103073335J</t>
  </si>
  <si>
    <t>9780772760821</t>
  </si>
  <si>
    <t>794819733</t>
  </si>
  <si>
    <t>Z186 C5 W66 2010</t>
  </si>
  <si>
    <t>0                      Z  0186000C  5                  W  66          2010</t>
  </si>
  <si>
    <t>The Diamond Sutra : the story of the world's earliest dated printed book / Frances Wood and Mark Barnard.</t>
  </si>
  <si>
    <t>Wood, Frances, 1948-</t>
  </si>
  <si>
    <t>2014-10-27</t>
  </si>
  <si>
    <t>768874508:eng</t>
  </si>
  <si>
    <t>457149465</t>
  </si>
  <si>
    <t>ocn457149465</t>
  </si>
  <si>
    <t>3103237413C</t>
  </si>
  <si>
    <t>9780712350907</t>
  </si>
  <si>
    <t>794789775</t>
  </si>
  <si>
    <t>Z186 C5 Y36 2011</t>
  </si>
  <si>
    <t>0                      Z  0186000C  5                  Y  36          2011</t>
  </si>
  <si>
    <t>Ming dai fan ke Song ben yan jiu / Yang Jun zhu ; dao shi Yan Zuozhi.</t>
  </si>
  <si>
    <t>Yang, Jun, 1965-</t>
  </si>
  <si>
    <t>Beijing : Zhongguo she hui ke xue chu ban she, 2011.</t>
  </si>
  <si>
    <t>Zhongguo she hui ke xue bo shi lun wen wen ku = A library of doctoral dissertations in social sciences in China</t>
  </si>
  <si>
    <t>1044592171:chi</t>
  </si>
  <si>
    <t>761367786</t>
  </si>
  <si>
    <t>ocn761367786</t>
  </si>
  <si>
    <t>31034424881</t>
  </si>
  <si>
    <t>9787516100417</t>
  </si>
  <si>
    <t>794899212</t>
  </si>
  <si>
    <t>Z186 C5 Y4 2000</t>
  </si>
  <si>
    <t>0                      Z  0186000C  5                  Y  4           2000</t>
  </si>
  <si>
    <t>Ming Qing jiang nan si ren ke shu shi lüe / Ye Shusheng, Yu Minhui zhu.</t>
  </si>
  <si>
    <t>Ye, Shusheng.</t>
  </si>
  <si>
    <t>Hefei Shi : Anhui da xue chu ban she, 2000.</t>
  </si>
  <si>
    <t>36032178:chi</t>
  </si>
  <si>
    <t>46632524</t>
  </si>
  <si>
    <t>ocm46632524</t>
  </si>
  <si>
    <t>3102226351N</t>
  </si>
  <si>
    <t>9787810523301</t>
  </si>
  <si>
    <t>793688109</t>
  </si>
  <si>
    <t>Z186 C5 Y5813 2010</t>
  </si>
  <si>
    <t>0                      Z  0186000C  5                  Y  5813        2010</t>
  </si>
  <si>
    <t>Chinese publishing : homeland of printing / Yang Hu, Xiao Yang ; translated by Zha Xiaoyun &amp; Lei Jing.</t>
  </si>
  <si>
    <t>Yang, Hu, 1980-</t>
  </si>
  <si>
    <t>Beijing : China Intercontinental Press, 2010.</t>
  </si>
  <si>
    <t>Cultural China series</t>
  </si>
  <si>
    <t>2070544050:eng</t>
  </si>
  <si>
    <t>645588567</t>
  </si>
  <si>
    <t>ocn645588567</t>
  </si>
  <si>
    <t>31033724322</t>
  </si>
  <si>
    <t>9787508513157</t>
  </si>
  <si>
    <t>794829558</t>
  </si>
  <si>
    <t>Z186 C5 Y5813 2012</t>
  </si>
  <si>
    <t>0                      Z  0186000C  5                  Y  5813        2012</t>
  </si>
  <si>
    <t>Chinese publishing / by Hu Yang, Yang Xiao.</t>
  </si>
  <si>
    <t>Cambridge : Cambridge University Press, 2012.</t>
  </si>
  <si>
    <t>Introductions to Chinese culture</t>
  </si>
  <si>
    <t>2013-04-09</t>
  </si>
  <si>
    <t>761380355</t>
  </si>
  <si>
    <t>ocn761380355</t>
  </si>
  <si>
    <t>3103405874$</t>
  </si>
  <si>
    <t>9780521186759</t>
  </si>
  <si>
    <t>794899296</t>
  </si>
  <si>
    <t>Z186 C5 Z444 2006</t>
  </si>
  <si>
    <t>0                      Z  0186000C  5                  Z  444         2006</t>
  </si>
  <si>
    <t>Zhongguo yin shua shi / Zhang Xiumin zhu ; Han Qi zeng ding.</t>
  </si>
  <si>
    <t>Zhang, Xiumin, 1908-2006.</t>
  </si>
  <si>
    <t>Hangzhou shi : Zhejiang gu ji chu ban she, 2006.</t>
  </si>
  <si>
    <t>Cha tu zhen cang zeng ding ban, di1 ban.</t>
  </si>
  <si>
    <t>2013-03-05</t>
  </si>
  <si>
    <t>33431810:chi</t>
  </si>
  <si>
    <t>78198126</t>
  </si>
  <si>
    <t>ocm78198126</t>
  </si>
  <si>
    <t>3103218310L</t>
  </si>
  <si>
    <t>9787805187273</t>
  </si>
  <si>
    <t>794194607</t>
  </si>
  <si>
    <t>3103218326J</t>
  </si>
  <si>
    <t>794194608</t>
  </si>
  <si>
    <t>Z186 I4 B53 2003</t>
  </si>
  <si>
    <t>0                      Z  0186000I  4                  B  53          2003</t>
  </si>
  <si>
    <t>Print, folklore, and nationalism in colonial South India / Stuart Blackburn.</t>
  </si>
  <si>
    <t>Blackburn, Stuart H.</t>
  </si>
  <si>
    <t>Delhi : Permanent Black, ©2003.</t>
  </si>
  <si>
    <t>2019-02-08</t>
  </si>
  <si>
    <t>11989989:eng</t>
  </si>
  <si>
    <t>53951333</t>
  </si>
  <si>
    <t>ocm53951333</t>
  </si>
  <si>
    <t>3102422229$</t>
  </si>
  <si>
    <t>9788178240558</t>
  </si>
  <si>
    <t>793853850</t>
  </si>
  <si>
    <t>Z186 I4 G46 2006</t>
  </si>
  <si>
    <t>0                      Z  0186000I  4                  G  46          2006</t>
  </si>
  <si>
    <t>Power in print : popular publishing and the politics of language and culture in a colonial society, 1778-1905 / Anindita Ghosh.</t>
  </si>
  <si>
    <t>Ghosh, Anindita, 1967-</t>
  </si>
  <si>
    <t>New Delhi : Oxford University Press, 2006.</t>
  </si>
  <si>
    <t>2018-07-03</t>
  </si>
  <si>
    <t>48532033:eng</t>
  </si>
  <si>
    <t>64588834</t>
  </si>
  <si>
    <t>ocm64588834</t>
  </si>
  <si>
    <t>3102631880U</t>
  </si>
  <si>
    <t>9780195673296</t>
  </si>
  <si>
    <t>794130456</t>
  </si>
  <si>
    <t>Z186 I4 K35 1984</t>
  </si>
  <si>
    <t>0                      Z  0186000I  4                  K  35          1984</t>
  </si>
  <si>
    <t>History of printing and publishing in India : a story of cultural re-awakening / B.S. Kesavan ; assisted by P.N. Venkatachari.</t>
  </si>
  <si>
    <t>Kesavan, B. S. (Bellary Shamanna), 1909-2000.</t>
  </si>
  <si>
    <t>New Delhi : National Book Trust, India, 1984-</t>
  </si>
  <si>
    <t>286930856:eng</t>
  </si>
  <si>
    <t>12052899</t>
  </si>
  <si>
    <t>ocm12052899</t>
  </si>
  <si>
    <t>31029121528</t>
  </si>
  <si>
    <t>792798924</t>
  </si>
  <si>
    <t>Z186 I4 M33</t>
  </si>
  <si>
    <t>0                      Z  0186000I  4                  M  33</t>
  </si>
  <si>
    <t>Book printing in India : with special reference to the contribution of European scholars to Telugu, 1746-1857 / J. Mangamma.</t>
  </si>
  <si>
    <t>Mangamma, J., 1925-</t>
  </si>
  <si>
    <t>Nellore : Bangorey Books ; Tirupati : For copies, C.P. Brown Research Project, S.V. University, 1975.</t>
  </si>
  <si>
    <t>1043953465:eng</t>
  </si>
  <si>
    <t>2799518</t>
  </si>
  <si>
    <t>ocm02799518</t>
  </si>
  <si>
    <t>3000435844P</t>
  </si>
  <si>
    <t>792178190</t>
  </si>
  <si>
    <t>Z186 I4 M64 1990</t>
  </si>
  <si>
    <t>0                      Z  0186000I  4                  M  64          1990</t>
  </si>
  <si>
    <t>Glimpses of early printing and publishing in India : their contribution towards democratisation of knowledge / P.A. Mohanrajan.</t>
  </si>
  <si>
    <t>Mohanrajan, P. A.</t>
  </si>
  <si>
    <t>Madras : Mohanavalli Publications, [1990?]</t>
  </si>
  <si>
    <t>2016-05-06</t>
  </si>
  <si>
    <t>29348326:eng</t>
  </si>
  <si>
    <t>27011073</t>
  </si>
  <si>
    <t>ocm27011073</t>
  </si>
  <si>
    <t>3101338687Q</t>
  </si>
  <si>
    <t>793256767</t>
  </si>
  <si>
    <t>Z186 I4 S5</t>
  </si>
  <si>
    <t>0                      Z  0186000I  4                  S  5</t>
  </si>
  <si>
    <t>Printing in Calcutta to 1800 : a description and checklist of printing in late 18th-century Calcutta / by Graham Shaw.</t>
  </si>
  <si>
    <t>Shaw, Graham.</t>
  </si>
  <si>
    <t>London : Bibliographical Society ; New York : Oxford University Press, 1981.</t>
  </si>
  <si>
    <t>Bibliographical Society publication for the year 1976</t>
  </si>
  <si>
    <t>304016586:eng</t>
  </si>
  <si>
    <t>7494845</t>
  </si>
  <si>
    <t>ocm07494845</t>
  </si>
  <si>
    <t>3000315057U</t>
  </si>
  <si>
    <t>9780197217924</t>
  </si>
  <si>
    <t>792561902</t>
  </si>
  <si>
    <t>Z186 J3 B47 2006</t>
  </si>
  <si>
    <t>0                      Z  0186000J  3                  B  47          2006</t>
  </si>
  <si>
    <t>Japan in print : information and nation in the early modern period / Mary Elizabeth Berry.</t>
  </si>
  <si>
    <t>Berry, Mary Elizabeth, 1947-</t>
  </si>
  <si>
    <t>Berkeley, Calif. : University of California Press, ©2006.</t>
  </si>
  <si>
    <t>Asia--local studies/global themes ; 12</t>
  </si>
  <si>
    <t>2016-09-10</t>
  </si>
  <si>
    <t>793971406:eng</t>
  </si>
  <si>
    <t>60697079</t>
  </si>
  <si>
    <t>ocm60697079</t>
  </si>
  <si>
    <t>31025811385</t>
  </si>
  <si>
    <t>9780520237667</t>
  </si>
  <si>
    <t>793942363</t>
  </si>
  <si>
    <t>Z186 J3 K3</t>
  </si>
  <si>
    <t>0                      Z  0186000J  3                  K  3</t>
  </si>
  <si>
    <t>An introduction to the history of pre-Meiji publishing : history of wood-block printing in Japan / by Kazuma Kawase ; [translated and annotated by Yukihisa Suzuki and May T. Suzuki].</t>
  </si>
  <si>
    <t>Kawase, Kazuma, 1906-1999.</t>
  </si>
  <si>
    <t>Tokyo : Yushodo Booksellers, ©1973.</t>
  </si>
  <si>
    <t>2015-09-12</t>
  </si>
  <si>
    <t>422844648:eng</t>
  </si>
  <si>
    <t>976558</t>
  </si>
  <si>
    <t>ocm00976558</t>
  </si>
  <si>
    <t>3101012924R</t>
  </si>
  <si>
    <t>791516294</t>
  </si>
  <si>
    <t>Z186 K67 Y82 2014</t>
  </si>
  <si>
    <t>0                      Z  0186000K  67                 Y  82          2014</t>
  </si>
  <si>
    <t>Han'guk inswae munhwasa / Yu Ch'ang-jun chiŭm.</t>
  </si>
  <si>
    <t>Yu, Ch'ang-jun, author.</t>
  </si>
  <si>
    <t>Sŏul-si : (Chu) Chihaksa, 2014.</t>
  </si>
  <si>
    <t>Ch'op'an.</t>
  </si>
  <si>
    <t>kor</t>
  </si>
  <si>
    <t>2184719730:kor</t>
  </si>
  <si>
    <t>892817670</t>
  </si>
  <si>
    <t>ocn892817670</t>
  </si>
  <si>
    <t>3103901026S</t>
  </si>
  <si>
    <t>9788905041427</t>
  </si>
  <si>
    <t>794981082</t>
  </si>
  <si>
    <t>Z206 B3</t>
  </si>
  <si>
    <t>0                      Z  0206000B  3</t>
  </si>
  <si>
    <t>The first printers and newspapers in Canada.</t>
  </si>
  <si>
    <t>Bassam, Bertha.</t>
  </si>
  <si>
    <t>[Toronto] University of Toronto, School of Library Science [1968]</t>
  </si>
  <si>
    <t>Monograph series in librarianship, no. 1</t>
  </si>
  <si>
    <t>1307995:eng</t>
  </si>
  <si>
    <t>92968</t>
  </si>
  <si>
    <t>ocm00092968</t>
  </si>
  <si>
    <t>3000852532J</t>
  </si>
  <si>
    <t>791253300</t>
  </si>
  <si>
    <t>Z206 F27</t>
  </si>
  <si>
    <t>0                      Z  0206000F  27</t>
  </si>
  <si>
    <t>L'introduction de l'imprimerie au Canada : une brève histoire / par Aegidius Fauteux.</t>
  </si>
  <si>
    <t>v.1/6</t>
  </si>
  <si>
    <t>Fauteux, Aegidius, 1876-1941.</t>
  </si>
  <si>
    <t>Montréal, Canada : Compagnie de Papier Rolland, 1957.</t>
  </si>
  <si>
    <t>1957</t>
  </si>
  <si>
    <t>2016-02-01</t>
  </si>
  <si>
    <t>3901161759:fre</t>
  </si>
  <si>
    <t>232325601</t>
  </si>
  <si>
    <t>ocn232325601</t>
  </si>
  <si>
    <t>3101570065P</t>
  </si>
  <si>
    <t>794363401</t>
  </si>
  <si>
    <t>Z206 F2713</t>
  </si>
  <si>
    <t>0                      Z  0206000F  2713</t>
  </si>
  <si>
    <t>The introduction of printing into Canada; a brief history, by Ægidius Fauteux, F.R.S.C.</t>
  </si>
  <si>
    <t>Montreal, Can., Rolland Paper Co., 1930.</t>
  </si>
  <si>
    <t>2017-02-23</t>
  </si>
  <si>
    <t>4656245:eng</t>
  </si>
  <si>
    <t>11837120</t>
  </si>
  <si>
    <t>ocm11837120</t>
  </si>
  <si>
    <t>3101397519G</t>
  </si>
  <si>
    <t>792790147</t>
  </si>
  <si>
    <t>2010-10-07</t>
  </si>
  <si>
    <t>3000554650O</t>
  </si>
  <si>
    <t>792790152</t>
  </si>
  <si>
    <t>Z206 G78</t>
  </si>
  <si>
    <t>0                      Z  0206000G  78</t>
  </si>
  <si>
    <t>Canada, by H. Pearson Gundy.</t>
  </si>
  <si>
    <t>Gundy, H. Pearson.</t>
  </si>
  <si>
    <t>Amsterdam, Van Gendt; New York, A. Schram, 1972.</t>
  </si>
  <si>
    <t>The Spread of printing, western hemisphere</t>
  </si>
  <si>
    <t>1497168:eng</t>
  </si>
  <si>
    <t>516093</t>
  </si>
  <si>
    <t>ocm00516093</t>
  </si>
  <si>
    <t>3103146972R</t>
  </si>
  <si>
    <t>9780839000365</t>
  </si>
  <si>
    <t>791400533</t>
  </si>
  <si>
    <t>30005392769</t>
  </si>
  <si>
    <t>791400534</t>
  </si>
  <si>
    <t>Z206 G8 1964</t>
  </si>
  <si>
    <t>0                      Z  0206000G  8           1964</t>
  </si>
  <si>
    <t>Early printers and printing in the Canadas / H. Pearson Gundy.</t>
  </si>
  <si>
    <t>Toronto : Bibliographical Society of Canada, 1964.</t>
  </si>
  <si>
    <t>Monographs / Bibliographical Society of Canada ; no. 1</t>
  </si>
  <si>
    <t>2019-04-30</t>
  </si>
  <si>
    <t>4655430:eng</t>
  </si>
  <si>
    <t>4125999</t>
  </si>
  <si>
    <t>ocm04125999</t>
  </si>
  <si>
    <t>30005894792</t>
  </si>
  <si>
    <t>792323783</t>
  </si>
  <si>
    <t>3103007370U</t>
  </si>
  <si>
    <t>792323784</t>
  </si>
  <si>
    <t>Z206 H3</t>
  </si>
  <si>
    <t>0                      Z  0206000H  3</t>
  </si>
  <si>
    <t>Imprint of a nation.</t>
  </si>
  <si>
    <t>Haworth, Eric.</t>
  </si>
  <si>
    <t>Toronto, New York, Baxter Pub. [1969]</t>
  </si>
  <si>
    <t>1327908:eng</t>
  </si>
  <si>
    <t>222242</t>
  </si>
  <si>
    <t>ocm00222242</t>
  </si>
  <si>
    <t>3000852534F</t>
  </si>
  <si>
    <t>791298342</t>
  </si>
  <si>
    <t>Z206 .H57 2004</t>
  </si>
  <si>
    <t>0                      Z  0206000H  57          2004</t>
  </si>
  <si>
    <t>History of the book in Canada / general editors, Patricia Lockhart Fleming and Yvan Lamonde.</t>
  </si>
  <si>
    <t>Toronto ; Buffalo : University of Toronto Press, ©2004-©2007.</t>
  </si>
  <si>
    <t>2008-12-11</t>
  </si>
  <si>
    <t>2018-11-16</t>
  </si>
  <si>
    <t>9989200967:eng</t>
  </si>
  <si>
    <t>54692696</t>
  </si>
  <si>
    <t>ocm54692696</t>
  </si>
  <si>
    <t>3102508496X</t>
  </si>
  <si>
    <t>9780802089434</t>
  </si>
  <si>
    <t>793865736</t>
  </si>
  <si>
    <t>31024001848</t>
  </si>
  <si>
    <t>793865737</t>
  </si>
  <si>
    <t>Z206 H58 2004</t>
  </si>
  <si>
    <t>0                      Z  0206000H  58          2004</t>
  </si>
  <si>
    <t>2018-10-17</t>
  </si>
  <si>
    <t>3102683015Z</t>
  </si>
  <si>
    <t>793865733</t>
  </si>
  <si>
    <t>3102536471U</t>
  </si>
  <si>
    <t>793865735</t>
  </si>
  <si>
    <t>2017-11-30</t>
  </si>
  <si>
    <t>31025110366</t>
  </si>
  <si>
    <t>793865734</t>
  </si>
  <si>
    <t>Z206 K3</t>
  </si>
  <si>
    <t>0                      Z  0206000K  3</t>
  </si>
  <si>
    <t>The history of the pioneer German language press of Ontario, 1835-1918.</t>
  </si>
  <si>
    <t>Kalbfleisch, Herbert Karl, 1902-</t>
  </si>
  <si>
    <t>[Toronto] University of Toronto Press, 1968.</t>
  </si>
  <si>
    <t>2018-03-10</t>
  </si>
  <si>
    <t>3901031114:eng</t>
  </si>
  <si>
    <t>113801</t>
  </si>
  <si>
    <t>ocm00113801</t>
  </si>
  <si>
    <t>3103772705C</t>
  </si>
  <si>
    <t>9780802015792</t>
  </si>
  <si>
    <t>791261171</t>
  </si>
  <si>
    <t>Z206 M4</t>
  </si>
  <si>
    <t>0                      Z  0206000M  4</t>
  </si>
  <si>
    <t>Fleury Mesplet, the first printer at Montreal.</t>
  </si>
  <si>
    <t>McLachlan, R. W. (Robert Wallace), 1845-1926.</t>
  </si>
  <si>
    <t>1906</t>
  </si>
  <si>
    <t>12282976:eng</t>
  </si>
  <si>
    <t>427324358</t>
  </si>
  <si>
    <t>ocn427324358</t>
  </si>
  <si>
    <t>31025192325</t>
  </si>
  <si>
    <t>794595746</t>
  </si>
  <si>
    <t>Z206 T78x</t>
  </si>
  <si>
    <t>0                      Z  0206000T  78x</t>
  </si>
  <si>
    <t>A half-century of Canadian life and print, 1751-1800 / by Marie Tremaine.</t>
  </si>
  <si>
    <t>Tremaine, Marie.</t>
  </si>
  <si>
    <t>[Place of publication not identified] : F.R. Goff, 1951.</t>
  </si>
  <si>
    <t>46125213:eng</t>
  </si>
  <si>
    <t>61551921</t>
  </si>
  <si>
    <t>ocm61551921</t>
  </si>
  <si>
    <t>3103773957H</t>
  </si>
  <si>
    <t>793983623</t>
  </si>
  <si>
    <t>3000447563H</t>
  </si>
  <si>
    <t>793983621</t>
  </si>
  <si>
    <t>Z207 M65 A15 2008</t>
  </si>
  <si>
    <t>0                      Z  0207000M  65                 A  15          2008</t>
  </si>
  <si>
    <t>1776 : naissance de l'imprimerie et de la liberté d'expression à Montréal / sous la direction de Jacques G. Ruelland ; avec la collaboration de Jean-Pierre Boyer et de Jean-Paul de Lagrave ; préface de Jean-François Leclerc.</t>
  </si>
  <si>
    <t>[Montréal] : Petit musée de l'impression, c2008.</t>
  </si>
  <si>
    <t>197630861:fre</t>
  </si>
  <si>
    <t>282481625</t>
  </si>
  <si>
    <t>ocn282481625</t>
  </si>
  <si>
    <t>3102708528W</t>
  </si>
  <si>
    <t>9782980856525</t>
  </si>
  <si>
    <t>794420561</t>
  </si>
  <si>
    <t>Z207 P44x</t>
  </si>
  <si>
    <t>0                      Z  0207000P  44x</t>
  </si>
  <si>
    <t>Early printing in the Red River Settlement 1859-1870 : and its effect on the Riel Rebellion / by Bruce Peel.</t>
  </si>
  <si>
    <t>Peel, Bruce, 1916-1998.</t>
  </si>
  <si>
    <t>Winnipeg : Peguis Publishers, 1974.</t>
  </si>
  <si>
    <t>283892329:eng</t>
  </si>
  <si>
    <t>1262725</t>
  </si>
  <si>
    <t>ocm01262725</t>
  </si>
  <si>
    <t>30004163827</t>
  </si>
  <si>
    <t>9780919566286</t>
  </si>
  <si>
    <t>791587027</t>
  </si>
  <si>
    <t>2012-11-08</t>
  </si>
  <si>
    <t>31017404881</t>
  </si>
  <si>
    <t>791587028</t>
  </si>
  <si>
    <t>Z207 Q3 L47 2005</t>
  </si>
  <si>
    <t>0                      Z  0207000Q  3                  L  47          2005</t>
  </si>
  <si>
    <t>Histoire de l'imprimerie au Québec : portraits d'ateliers, 1938-1967 / Éric Leroux.</t>
  </si>
  <si>
    <t>Leroux, Éric, 1967-</t>
  </si>
  <si>
    <t>Sherbrooke, Québec : Éditions Ex Libris, c2005.</t>
  </si>
  <si>
    <t>Collection Études sur l'édition, 0840-4216</t>
  </si>
  <si>
    <t>46620947:fre</t>
  </si>
  <si>
    <t>58930586</t>
  </si>
  <si>
    <t>ocm58930586</t>
  </si>
  <si>
    <t>3102511687F</t>
  </si>
  <si>
    <t>9782921061155</t>
  </si>
  <si>
    <t>793925835</t>
  </si>
  <si>
    <t>Z208 B4</t>
  </si>
  <si>
    <t>0                      Z  0208000B  4</t>
  </si>
  <si>
    <t>The printed book in America / by Joseph Blumenthal.</t>
  </si>
  <si>
    <t>Blumenthal, Joseph, 1897-1990, author, typographer.</t>
  </si>
  <si>
    <t>Boston : David R. Godine, ©1977.</t>
  </si>
  <si>
    <t>2015-02-07</t>
  </si>
  <si>
    <t>131673432:eng</t>
  </si>
  <si>
    <t>3419368</t>
  </si>
  <si>
    <t>ocm03419368</t>
  </si>
  <si>
    <t>3000854109K</t>
  </si>
  <si>
    <t>9780879232108</t>
  </si>
  <si>
    <t>792253571</t>
  </si>
  <si>
    <t>Z208 S5</t>
  </si>
  <si>
    <t>0                      Z  0208000S  5</t>
  </si>
  <si>
    <t>The American printer, 1787-1825 [by] Rollo G. Silver.</t>
  </si>
  <si>
    <t>Silver, Rollo G. (Rollo Gabriel), 1909-1989.</t>
  </si>
  <si>
    <t>Charlottesville, Published for the Bibliographical Society of the University of Virginia [by] the University Press of Virginia [1967]</t>
  </si>
  <si>
    <t>199150042:eng</t>
  </si>
  <si>
    <t>574433</t>
  </si>
  <si>
    <t>ocm00574433</t>
  </si>
  <si>
    <t>31036438935</t>
  </si>
  <si>
    <t>791418612</t>
  </si>
  <si>
    <t>Z209 C3 W77 1945</t>
  </si>
  <si>
    <t>0                      Z  0209000C  3                  W  77          1945</t>
  </si>
  <si>
    <t>The Cambridge press, 1638-1692; a reëxamination of the evidence concerning the Bay Psalm book and the Eliot Indian Bible as well as other contemporary books and people, by George Parker Winship.</t>
  </si>
  <si>
    <t>Winship, George Parker, 1871-1952.</t>
  </si>
  <si>
    <t>Philadelphia, University of Pennsylvania Press, 1945.</t>
  </si>
  <si>
    <t>1945</t>
  </si>
  <si>
    <t>The A.S.W. Rosenbach fellowship in bibliography fund</t>
  </si>
  <si>
    <t>2017-11-14</t>
  </si>
  <si>
    <t>1439894:eng</t>
  </si>
  <si>
    <t>1247628</t>
  </si>
  <si>
    <t>ocm01247628</t>
  </si>
  <si>
    <t>3000787222Z</t>
  </si>
  <si>
    <t>9780848606152</t>
  </si>
  <si>
    <t>791583311</t>
  </si>
  <si>
    <t>Z209 S24 H37 1985</t>
  </si>
  <si>
    <t>0                      Z  0209000S  24                 H  37          1985</t>
  </si>
  <si>
    <t>Fine printing : the San Francisco tradition / by James D. Hart.</t>
  </si>
  <si>
    <t>Hart, James David, 1911-</t>
  </si>
  <si>
    <t>Washington : Library of Congress, 1985.</t>
  </si>
  <si>
    <t>Engelhard lectures on the book</t>
  </si>
  <si>
    <t>495963191:eng</t>
  </si>
  <si>
    <t>11043773</t>
  </si>
  <si>
    <t>ocm11043773</t>
  </si>
  <si>
    <t>30008462903</t>
  </si>
  <si>
    <t>9780844404721</t>
  </si>
  <si>
    <t>792755375</t>
  </si>
  <si>
    <t>Z210 M3 1953</t>
  </si>
  <si>
    <t>0                      Z  0210000M  3           1953</t>
  </si>
  <si>
    <t>El primer libro impreso en América fué para el rezo del santo rosario (Méjico, 1532-34) Facsímil, estudios y comentarios [por] Francisco Vindel.</t>
  </si>
  <si>
    <t>9438605475:spa</t>
  </si>
  <si>
    <t>2490065</t>
  </si>
  <si>
    <t>ocm02490065</t>
  </si>
  <si>
    <t>3000787213$</t>
  </si>
  <si>
    <t>792134465</t>
  </si>
  <si>
    <t>Z210 Y48 1990</t>
  </si>
  <si>
    <t>0                      Z  0210000Y  48          1990</t>
  </si>
  <si>
    <t>Los impresos mexicanos del siglo XVI en la Biblioteca Nacional de México / Jesús Yhmoff Cabrera.</t>
  </si>
  <si>
    <t>Yhmoff Cabrera, Jesús.</t>
  </si>
  <si>
    <t>México : Universidad Nacional Autónoma de México, Instituto de Investigaciones Bibliográficas, Coordinación de Humanidades, 1990.</t>
  </si>
  <si>
    <t>349870267:spa</t>
  </si>
  <si>
    <t>32134087</t>
  </si>
  <si>
    <t>ocm32134087</t>
  </si>
  <si>
    <t>3102805792I</t>
  </si>
  <si>
    <t>9789683611291</t>
  </si>
  <si>
    <t>793376637</t>
  </si>
  <si>
    <t>Z212 T5</t>
  </si>
  <si>
    <t>0                      Z  0212000T  5</t>
  </si>
  <si>
    <t>Printing in colonial Spanish America.</t>
  </si>
  <si>
    <t>Thompson, Lawrence S. (Lawrence Sidney), 1916-1986.</t>
  </si>
  <si>
    <t>Hamden, Conn., Archon Books [1962]</t>
  </si>
  <si>
    <t>476742944:eng</t>
  </si>
  <si>
    <t>1247649</t>
  </si>
  <si>
    <t>ocm01247649</t>
  </si>
  <si>
    <t>30007871994</t>
  </si>
  <si>
    <t>791583312</t>
  </si>
  <si>
    <t>Z212 T66 1973</t>
  </si>
  <si>
    <t>0                      Z  0212000T  66          1973</t>
  </si>
  <si>
    <t>El libro, la imprenta y el periodismo en América durante la dominación española. Con ilus. y apéndice documental.</t>
  </si>
  <si>
    <t>Torre Revello, José, 1893-1964.</t>
  </si>
  <si>
    <t>New York, B. Franklin [1973]</t>
  </si>
  <si>
    <t>Burt Franklin research and source works series. Essays in literature and criticism, 193</t>
  </si>
  <si>
    <t>4663690680:spa</t>
  </si>
  <si>
    <t>579263</t>
  </si>
  <si>
    <t>ocm00579263</t>
  </si>
  <si>
    <t>3103001120X</t>
  </si>
  <si>
    <t>9780833735591</t>
  </si>
  <si>
    <t>791420092</t>
  </si>
  <si>
    <t>Z213.L5 G85 2019</t>
  </si>
  <si>
    <t>0                      Z  0213000L  5                  G  85          2019</t>
  </si>
  <si>
    <t>Imprimir en Lima durante la colonia : historia y documentos, 1584-1750 / Pedro Guibovich Pérez.</t>
  </si>
  <si>
    <t>Guibovich Pérez, Pedro, author.</t>
  </si>
  <si>
    <t>Parecos y australes ; 26</t>
  </si>
  <si>
    <t>2019-12-18</t>
  </si>
  <si>
    <t>9639304317:spa</t>
  </si>
  <si>
    <t>1128035113</t>
  </si>
  <si>
    <t>on1128035113</t>
  </si>
  <si>
    <t>3103875456M</t>
  </si>
  <si>
    <t>9788491920779</t>
  </si>
  <si>
    <t>795086285</t>
  </si>
  <si>
    <t>Z228 H4 A27 2014</t>
  </si>
  <si>
    <t>0                      Z  0228000H  4                  A  27          2014</t>
  </si>
  <si>
    <t>People of the book : five hundred years of the Hebrew book from the beginning of printing until the twentieth century / Akiva Aaronson.</t>
  </si>
  <si>
    <t>Aaronson, Akiva, author.</t>
  </si>
  <si>
    <t>Nanuet, NY : Feldheim Publishers, 2014.</t>
  </si>
  <si>
    <t>2016-03-30</t>
  </si>
  <si>
    <t>1749314737:eng</t>
  </si>
  <si>
    <t>867549685</t>
  </si>
  <si>
    <t>ocn867549685</t>
  </si>
  <si>
    <t>31035313877</t>
  </si>
  <si>
    <t>9781598269567</t>
  </si>
  <si>
    <t>794963931</t>
  </si>
  <si>
    <t>Z228 H4 H425 2011</t>
  </si>
  <si>
    <t>0                      Z  0228000H  4                  H  425         2011</t>
  </si>
  <si>
    <t>The Hebrew book in early modern Italy / edited by Joseph R. Hacker and Adam Shear.</t>
  </si>
  <si>
    <t>Philadelphia : University of Pennsylvania Press, ©2011.</t>
  </si>
  <si>
    <t>Jewish culture and contexts</t>
  </si>
  <si>
    <t>863001448:eng</t>
  </si>
  <si>
    <t>710045161</t>
  </si>
  <si>
    <t>ocn710045161</t>
  </si>
  <si>
    <t>31033839787</t>
  </si>
  <si>
    <t>9780812243529</t>
  </si>
  <si>
    <t>794870097</t>
  </si>
  <si>
    <t>Z228 H4 H442 2013</t>
  </si>
  <si>
    <t>0                      Z  0228000H  4                  H  442         2013</t>
  </si>
  <si>
    <t>Further studies in the making of the early Hebrew book / by Marvin J. Heller.</t>
  </si>
  <si>
    <t>Heller, Marvin J.</t>
  </si>
  <si>
    <t>Brill reference library of Judaism, 1571-5000 ; v. 37</t>
  </si>
  <si>
    <t>1172223392:eng</t>
  </si>
  <si>
    <t>812791758</t>
  </si>
  <si>
    <t>ocn812791758</t>
  </si>
  <si>
    <t>3103531098E</t>
  </si>
  <si>
    <t>9789004234611</t>
  </si>
  <si>
    <t>794931306</t>
  </si>
  <si>
    <t>Z228 H4 H449 2011</t>
  </si>
  <si>
    <t>0                      Z  0228000H  4                  H  449         2011</t>
  </si>
  <si>
    <t>The seventeenth century Hebrew book : an abridged thesaurus / by Marvin J. Heller.</t>
  </si>
  <si>
    <t>Leiden ; Boston : Brill, ©2011.</t>
  </si>
  <si>
    <t>Brill's series in Jewish studies ; v. 41</t>
  </si>
  <si>
    <t>1910530402:eng</t>
  </si>
  <si>
    <t>607613476</t>
  </si>
  <si>
    <t>ocn607613476</t>
  </si>
  <si>
    <t>3103345818Y</t>
  </si>
  <si>
    <t>9789004186385</t>
  </si>
  <si>
    <t>794818346</t>
  </si>
  <si>
    <t>3103345813Y</t>
  </si>
  <si>
    <t>794818347</t>
  </si>
  <si>
    <t>Z228 H4 P47 2012</t>
  </si>
  <si>
    <t>0                      Z  0228000H  4                  P  47          2012</t>
  </si>
  <si>
    <t>Perspectives on the Hebraic book : the Myron M. Weinstein memorial lectures at the Library of Congress / edited by Peggy K. Pearlstein.</t>
  </si>
  <si>
    <t>Washington, D.C. : Library of Congress, 2012.</t>
  </si>
  <si>
    <t>1185200214:eng</t>
  </si>
  <si>
    <t>772715727</t>
  </si>
  <si>
    <t>ocn772715727</t>
  </si>
  <si>
    <t>3103454539W</t>
  </si>
  <si>
    <t>9780844495361</t>
  </si>
  <si>
    <t>794904873</t>
  </si>
  <si>
    <t>Z228 H4 T74 2011</t>
  </si>
  <si>
    <t>0                      Z  0228000H  4                  T  74          2011</t>
  </si>
  <si>
    <t>Treasures of the Valmadonna Trust Library : a catalogue of 15th-century books and five centuries of deluxe Hebrew printing / edited by David Sclar with bibliographic studies by Brad Sabin Hill, Adri K. Offenberg, Isaac Yudlov.</t>
  </si>
  <si>
    <t>New York : Valmadonna Trust Library, ©2011.</t>
  </si>
  <si>
    <t>2016-10-07</t>
  </si>
  <si>
    <t>895328685:eng</t>
  </si>
  <si>
    <t>720057439</t>
  </si>
  <si>
    <t>ocn720057439</t>
  </si>
  <si>
    <t>3103373208A</t>
  </si>
  <si>
    <t>794874862</t>
  </si>
  <si>
    <t>Z231.5 L5 D47 1984</t>
  </si>
  <si>
    <t>0                      Z  0231500L  5                  D  47          1984</t>
  </si>
  <si>
    <t>Alternative literary publishing : five modern histories / Sally Dennison.</t>
  </si>
  <si>
    <t>Dennison, Sally, 1946-</t>
  </si>
  <si>
    <t>Iowa City : University of Iowa Press, ©1984.</t>
  </si>
  <si>
    <t>370974700:eng</t>
  </si>
  <si>
    <t>10877492</t>
  </si>
  <si>
    <t>ocm10877492</t>
  </si>
  <si>
    <t>30003745210</t>
  </si>
  <si>
    <t>9780877451266</t>
  </si>
  <si>
    <t>792747766</t>
  </si>
  <si>
    <t>Z231.5 P7 F7 1969</t>
  </si>
  <si>
    <t>0                      Z  0231500P  7                  F  7           1969</t>
  </si>
  <si>
    <t>The private presses.</t>
  </si>
  <si>
    <t>Franklin, Colin.</t>
  </si>
  <si>
    <t>London, Studio Vista, 1969.</t>
  </si>
  <si>
    <t>2004-12-03</t>
  </si>
  <si>
    <t>1150939364:eng</t>
  </si>
  <si>
    <t>29758</t>
  </si>
  <si>
    <t>ocm00029758</t>
  </si>
  <si>
    <t>31014463747</t>
  </si>
  <si>
    <t>9780289796207</t>
  </si>
  <si>
    <t>791233769</t>
  </si>
  <si>
    <t>Z232 B2 B4 1944</t>
  </si>
  <si>
    <t>0                      Z  0232000B  2                  B  4           1944</t>
  </si>
  <si>
    <t>John Baskerville, type-founder and printer, 1706-1775 / by Josiah Henry Benton ; with an introduction by Zoltán Haraszti.</t>
  </si>
  <si>
    <t>Benton, Josiah H. (Josiah Henry), 1843-1917.</t>
  </si>
  <si>
    <t>New York : Typophiles, 1944.</t>
  </si>
  <si>
    <t>1944</t>
  </si>
  <si>
    <t>Typophile chap books ; 11</t>
  </si>
  <si>
    <t>2017-09-18</t>
  </si>
  <si>
    <t>2017-10-05</t>
  </si>
  <si>
    <t>14897237:eng</t>
  </si>
  <si>
    <t>1417441</t>
  </si>
  <si>
    <t>ocm01417441</t>
  </si>
  <si>
    <t>3000788695O</t>
  </si>
  <si>
    <t>791621717</t>
  </si>
  <si>
    <t>Z232 B2 P37</t>
  </si>
  <si>
    <t>0                      Z  0232000B  2                  P  37</t>
  </si>
  <si>
    <t>John Baskerville of Birmingham : letter-founder &amp; printer / F.E. Pardoe.</t>
  </si>
  <si>
    <t>Pardoe, F. E. (Frank Ernest)</t>
  </si>
  <si>
    <t>London : Frederick Muller Limited, 1975.</t>
  </si>
  <si>
    <t>The Ars Typographica library</t>
  </si>
  <si>
    <t>2015-09-23</t>
  </si>
  <si>
    <t>117935489:eng</t>
  </si>
  <si>
    <t>1735680</t>
  </si>
  <si>
    <t>ocm01735680</t>
  </si>
  <si>
    <t>3000855119C</t>
  </si>
  <si>
    <t>9780584103540</t>
  </si>
  <si>
    <t>791857005</t>
  </si>
  <si>
    <t>Z232 B66 A2313 1925</t>
  </si>
  <si>
    <t>0                      Z  0232000B  66                 A  2313        1925</t>
  </si>
  <si>
    <t>G.B. Bodoni's preface to the Manuale tipografico of 1818 / now first translated into English, with an introduction, by H.V. Marrot.</t>
  </si>
  <si>
    <t>Bodoni, Giambattista, 1740-1813, author.</t>
  </si>
  <si>
    <t>London : Elkin Mathews Ltd., 1925</t>
  </si>
  <si>
    <t>2018-09-21</t>
  </si>
  <si>
    <t>2018-10-11</t>
  </si>
  <si>
    <t>3901240789:eng</t>
  </si>
  <si>
    <t>41503285</t>
  </si>
  <si>
    <t>ocm41503285</t>
  </si>
  <si>
    <t>3000787255K</t>
  </si>
  <si>
    <t>793593004</t>
  </si>
  <si>
    <t>Z232 B66 L47 2015</t>
  </si>
  <si>
    <t>0                      Z  0232000B  66                 L  47          2015</t>
  </si>
  <si>
    <t>Giambattista Bodoni : his life and his world / Valerie Lester.</t>
  </si>
  <si>
    <t>Lester, Valerie Browne, 1939-</t>
  </si>
  <si>
    <t>Boston : David R. Godine, Publisher, [2015]</t>
  </si>
  <si>
    <t>3753732316:eng</t>
  </si>
  <si>
    <t>898408405</t>
  </si>
  <si>
    <t>ocn898408405</t>
  </si>
  <si>
    <t>3103656217O</t>
  </si>
  <si>
    <t>9781567925289</t>
  </si>
  <si>
    <t>794986285</t>
  </si>
  <si>
    <t>Z232 C17 M373 1992</t>
  </si>
  <si>
    <t>0                      Z  0232000C  17                 M  373         1992</t>
  </si>
  <si>
    <t>A history of Cambridge University Press / David McKitterick.</t>
  </si>
  <si>
    <t>Cambridge [England] ; New York : Cambridge University Press, 1992-2004.</t>
  </si>
  <si>
    <t>3768700737:eng</t>
  </si>
  <si>
    <t>24373376</t>
  </si>
  <si>
    <t>ocm24373376</t>
  </si>
  <si>
    <t>31022896755</t>
  </si>
  <si>
    <t>9780521308014</t>
  </si>
  <si>
    <t>793196349</t>
  </si>
  <si>
    <t>3102292958N</t>
  </si>
  <si>
    <t>793196350</t>
  </si>
  <si>
    <t>3102693783W</t>
  </si>
  <si>
    <t>793196348</t>
  </si>
  <si>
    <t>Z232 C17 M6 1973</t>
  </si>
  <si>
    <t>0                      Z  0232000C  17                 M  6           1973</t>
  </si>
  <si>
    <t>A tally of types / With additions by several hands ; edited by Brooke Crutchley.</t>
  </si>
  <si>
    <t>Morison, Stanley, 1889-1967, author.</t>
  </si>
  <si>
    <t>Cambridge [England] : University Press, 1973.</t>
  </si>
  <si>
    <t>New edition with additions.</t>
  </si>
  <si>
    <t>1726326:eng</t>
  </si>
  <si>
    <t>627971</t>
  </si>
  <si>
    <t>ocm00627971</t>
  </si>
  <si>
    <t>3000855122N</t>
  </si>
  <si>
    <t>9780521200431</t>
  </si>
  <si>
    <t>791431968</t>
  </si>
  <si>
    <t>Z232 C38 A9 1965</t>
  </si>
  <si>
    <t>0                      Z  0232000C  38                 A  9           1965</t>
  </si>
  <si>
    <t>Caxton, mirrour of fifteenth-century letters; a study of the literature of the first English press.</t>
  </si>
  <si>
    <t>Aurner, Nellie Slayton, 1873-</t>
  </si>
  <si>
    <t>New York, Russell &amp; Russell, 1965.</t>
  </si>
  <si>
    <t>2017-02-02</t>
  </si>
  <si>
    <t>1391532:eng</t>
  </si>
  <si>
    <t>268284</t>
  </si>
  <si>
    <t>ocm00268284</t>
  </si>
  <si>
    <t>3000450407N</t>
  </si>
  <si>
    <t>791317324</t>
  </si>
  <si>
    <t>Z232 C38 B4</t>
  </si>
  <si>
    <t>0                      Z  0232000C  38                 B  4</t>
  </si>
  <si>
    <t>Caxton : England's first publisher / N.F. Blake.</t>
  </si>
  <si>
    <t>Blake, N. F. (Norman Francis)</t>
  </si>
  <si>
    <t>New York : Barnes &amp; Noble, 1975.</t>
  </si>
  <si>
    <t>4804392:eng</t>
  </si>
  <si>
    <t>427325557</t>
  </si>
  <si>
    <t>ocn427325557</t>
  </si>
  <si>
    <t>3000855130O</t>
  </si>
  <si>
    <t>794598079</t>
  </si>
  <si>
    <t>Z232 C38 B63 1969</t>
  </si>
  <si>
    <t>0                      Z  0232000C  38                 B  63          1969</t>
  </si>
  <si>
    <t>Caxton and his world [by] N.F. Blake.</t>
  </si>
  <si>
    <t>London, Deutsch, 1969.</t>
  </si>
  <si>
    <t>The Language library</t>
  </si>
  <si>
    <t>1181094:eng</t>
  </si>
  <si>
    <t>31010</t>
  </si>
  <si>
    <t>ocm00031010</t>
  </si>
  <si>
    <t>3103049642$</t>
  </si>
  <si>
    <t>9780233960937</t>
  </si>
  <si>
    <t>791234164</t>
  </si>
  <si>
    <t>Z232 C38 B645 1985</t>
  </si>
  <si>
    <t>0                      Z  0232000C  38                 B  645         1985</t>
  </si>
  <si>
    <t>William Caxton : a bibliographical guide / N.F. Blake.</t>
  </si>
  <si>
    <t>New York : Garland Pub., 1985.</t>
  </si>
  <si>
    <t>Garland reference library of the humanities ; vol. 524</t>
  </si>
  <si>
    <t>2286744855:eng</t>
  </si>
  <si>
    <t>11814422</t>
  </si>
  <si>
    <t>ocm11814422</t>
  </si>
  <si>
    <t>31035504338</t>
  </si>
  <si>
    <t>9780824088910</t>
  </si>
  <si>
    <t>792789253</t>
  </si>
  <si>
    <t>Z232 C38 B65 1991</t>
  </si>
  <si>
    <t>0                      Z  0232000C  38                 B  65          1991</t>
  </si>
  <si>
    <t>William Caxton and English literary culture / N.F. Blake.</t>
  </si>
  <si>
    <t>London ; Rio Grande, Ohio : Hambledon Press, 1991.</t>
  </si>
  <si>
    <t>25393292:eng</t>
  </si>
  <si>
    <t>23733610</t>
  </si>
  <si>
    <t>ocm23733610</t>
  </si>
  <si>
    <t>31035516034</t>
  </si>
  <si>
    <t>9781852850517</t>
  </si>
  <si>
    <t>793181381</t>
  </si>
  <si>
    <t>Z232 C38 C39 1852</t>
  </si>
  <si>
    <t>0                      Z  0232000C  38                 C  39          1852</t>
  </si>
  <si>
    <t>Caxton and the art of printing.</t>
  </si>
  <si>
    <t>New York : Carlton &amp; Porter, [1852]</t>
  </si>
  <si>
    <t>1852</t>
  </si>
  <si>
    <t>2017-02-16</t>
  </si>
  <si>
    <t>137924871:eng</t>
  </si>
  <si>
    <t>61613288</t>
  </si>
  <si>
    <t>ocm61613288</t>
  </si>
  <si>
    <t>3000788586T</t>
  </si>
  <si>
    <t>794051520</t>
  </si>
  <si>
    <t>Z232 C38 C43 2006</t>
  </si>
  <si>
    <t>0                      Z  0232000C  38                 C  43          2006</t>
  </si>
  <si>
    <t>Caxton's trace : studies in the history of English printing / edited by William Kuskin.</t>
  </si>
  <si>
    <t>Notre Dame, Ind. : University of Notre Dame Press, ©2006.</t>
  </si>
  <si>
    <t>46754900:eng</t>
  </si>
  <si>
    <t>62392998</t>
  </si>
  <si>
    <t>ocm62392998</t>
  </si>
  <si>
    <t>31025788004</t>
  </si>
  <si>
    <t>9780268033088</t>
  </si>
  <si>
    <t>794106450</t>
  </si>
  <si>
    <t>Z232 C38 C5</t>
  </si>
  <si>
    <t>0                      Z  0232000C  38                 C  5</t>
  </si>
  <si>
    <t>William Caxton : a portrait in a background / Edmund Childs.</t>
  </si>
  <si>
    <t>Childs, Edmund Lunness.</t>
  </si>
  <si>
    <t>London : Northwood Publications, 1976.</t>
  </si>
  <si>
    <t>3619465:eng</t>
  </si>
  <si>
    <t>2645159</t>
  </si>
  <si>
    <t>ocm02645159</t>
  </si>
  <si>
    <t>3000855133I</t>
  </si>
  <si>
    <t>9780719825798</t>
  </si>
  <si>
    <t>792157250</t>
  </si>
  <si>
    <t>Z232 C38 C8</t>
  </si>
  <si>
    <t>0                      Z  0232000C  38                 C  8</t>
  </si>
  <si>
    <t>The story of William Caxton, by Susan Cunnington ... With nine illustrations.</t>
  </si>
  <si>
    <t>Cunnington, Susan.</t>
  </si>
  <si>
    <t>London, G.G. Harrap &amp; Company, 1917.</t>
  </si>
  <si>
    <t>1917</t>
  </si>
  <si>
    <t>Heroes of all time</t>
  </si>
  <si>
    <t>43709216:eng</t>
  </si>
  <si>
    <t>9534164</t>
  </si>
  <si>
    <t>ocm09534164</t>
  </si>
  <si>
    <t>3000788579Q</t>
  </si>
  <si>
    <t>792680632</t>
  </si>
  <si>
    <t>Z232 C38 D42</t>
  </si>
  <si>
    <t>0                      Z  0232000C  38                 D  42</t>
  </si>
  <si>
    <t>A biography of William Caxton : the first English editor, printer, merchant, and translator / Richard Deacon [i.e. D. McCormick].</t>
  </si>
  <si>
    <t>Deacon, Richard, 1911-1998.</t>
  </si>
  <si>
    <t>London : F. Muller, 1976.</t>
  </si>
  <si>
    <t>2017-01-25</t>
  </si>
  <si>
    <t>889339455:eng</t>
  </si>
  <si>
    <t>2202686</t>
  </si>
  <si>
    <t>ocm02202686</t>
  </si>
  <si>
    <t>3000855135E</t>
  </si>
  <si>
    <t>9780584100228</t>
  </si>
  <si>
    <t>792066320</t>
  </si>
  <si>
    <t>Z232 C38 D66</t>
  </si>
  <si>
    <t>0                      Z  0232000C  38                 D  66</t>
  </si>
  <si>
    <t>William Caxton and his quincentenary / by John Dreyfus.</t>
  </si>
  <si>
    <t>Dreyfus, John.</t>
  </si>
  <si>
    <t>New York : Typophiles, 1976.</t>
  </si>
  <si>
    <t>Typophile chap book ; 51</t>
  </si>
  <si>
    <t>6144847:eng</t>
  </si>
  <si>
    <t>2796886</t>
  </si>
  <si>
    <t>ocm02796886</t>
  </si>
  <si>
    <t>30008551388</t>
  </si>
  <si>
    <t>792177342</t>
  </si>
  <si>
    <t>Z232 C38 K88 2008</t>
  </si>
  <si>
    <t>0                      Z  0232000C  38                 K  88          2008</t>
  </si>
  <si>
    <t>Symbolic Caxton : literary culture and print capitalism / William Kuskin.</t>
  </si>
  <si>
    <t>Kuskin, William.</t>
  </si>
  <si>
    <t>Notre Dame, Ind. : University of Notre Dame Press, ©2008.</t>
  </si>
  <si>
    <t>314978951:eng</t>
  </si>
  <si>
    <t>166290605</t>
  </si>
  <si>
    <t>ocn166290605</t>
  </si>
  <si>
    <t>3102649218P</t>
  </si>
  <si>
    <t>9780268033170</t>
  </si>
  <si>
    <t>794259921</t>
  </si>
  <si>
    <t>Z232 C38 N44 1986</t>
  </si>
  <si>
    <t>0                      Z  0232000C  38                 N  44          1986</t>
  </si>
  <si>
    <t>The printer &amp; the pardoner : an unrecorded indulgence printed by William Caxton for the Hospital of St. Mary Rounceval, Charing Cross / Paul Needham.</t>
  </si>
  <si>
    <t>Needham, Paul, 1943- author.</t>
  </si>
  <si>
    <t>Washington : Library of Congress, 1986.</t>
  </si>
  <si>
    <t>5066967:eng</t>
  </si>
  <si>
    <t>12422369</t>
  </si>
  <si>
    <t>ocm12422369</t>
  </si>
  <si>
    <t>31036011810</t>
  </si>
  <si>
    <t>9780844405087</t>
  </si>
  <si>
    <t>792815400</t>
  </si>
  <si>
    <t>Z232 C38 P33</t>
  </si>
  <si>
    <t>0                      Z  0232000C  38                 P  33</t>
  </si>
  <si>
    <t>William Caxton : a biography / by George D. Painter.</t>
  </si>
  <si>
    <t>Painter, George D. (George Duncan), 1914-2005.</t>
  </si>
  <si>
    <t>New York : G.P. Putnam's Sons, 1977.</t>
  </si>
  <si>
    <t>9906674020:eng</t>
  </si>
  <si>
    <t>2787098</t>
  </si>
  <si>
    <t>ocm02787098</t>
  </si>
  <si>
    <t>3000855141J</t>
  </si>
  <si>
    <t>9780399118883</t>
  </si>
  <si>
    <t>792176218</t>
  </si>
  <si>
    <t>Z232 C38 P5 1925</t>
  </si>
  <si>
    <t>0                      Z  0232000C  38                 P  5           1925</t>
  </si>
  <si>
    <t>William Caxton, 1424-1491 / by Henry R. Plomer.</t>
  </si>
  <si>
    <t>Plomer, Henry R. (Henry Robert), 1856-1928, author.</t>
  </si>
  <si>
    <t>London : Leonard Parsons ; Boston : Small, Maynard and Company, 1925.</t>
  </si>
  <si>
    <t>The Roadmaker series</t>
  </si>
  <si>
    <t>1311694:eng</t>
  </si>
  <si>
    <t>1969658</t>
  </si>
  <si>
    <t>ocm01969658</t>
  </si>
  <si>
    <t>3000788493$</t>
  </si>
  <si>
    <t>792020370</t>
  </si>
  <si>
    <t>Z232 C38 T5</t>
  </si>
  <si>
    <t>0                      Z  0232000C  38                 T  5</t>
  </si>
  <si>
    <t>Caxton : an American contribution to the quincentenary celebration / edited by Susan Otis Thompson.</t>
  </si>
  <si>
    <t>New York : The Typophiles, 1976.</t>
  </si>
  <si>
    <t>Typophile chap book ; 52</t>
  </si>
  <si>
    <t>20791499:eng</t>
  </si>
  <si>
    <t>2986148</t>
  </si>
  <si>
    <t>ocm02986148</t>
  </si>
  <si>
    <t>3000855150I</t>
  </si>
  <si>
    <t>792203193</t>
  </si>
  <si>
    <t>Z232 C69 A44 2012</t>
  </si>
  <si>
    <t>0                      Z  0232000C  69                 A  44          2012</t>
  </si>
  <si>
    <t>The scythe and the rabbit : Simon de Colines and the culture of the book in Renaissance Paris / Kay Amert ; edited by Robert Bringhurst.</t>
  </si>
  <si>
    <t>Amert, Kay.</t>
  </si>
  <si>
    <t>Rochester, New York : Cary Graphic Arts Press, 2012.</t>
  </si>
  <si>
    <t>2015-01-12</t>
  </si>
  <si>
    <t>1118755064:eng</t>
  </si>
  <si>
    <t>794973717</t>
  </si>
  <si>
    <t>ocn794973717</t>
  </si>
  <si>
    <t>3103471547W</t>
  </si>
  <si>
    <t>9781933360560</t>
  </si>
  <si>
    <t>794920698</t>
  </si>
  <si>
    <t>Z232 C7 G5</t>
  </si>
  <si>
    <t>0                      Z  0232000C  7                  G  5</t>
  </si>
  <si>
    <t>Jean Crespin : un éditeur réformé du XVIe siècle / Jean-François Gilmont.</t>
  </si>
  <si>
    <t>Gilmont, Jean François.</t>
  </si>
  <si>
    <t>Genève : Droz, 1981.</t>
  </si>
  <si>
    <t>Travaux d'humanisme et Renaissance ; 186</t>
  </si>
  <si>
    <t>2016-04-18</t>
  </si>
  <si>
    <t>43745584:fre</t>
  </si>
  <si>
    <t>9732251</t>
  </si>
  <si>
    <t>ocm09732251</t>
  </si>
  <si>
    <t>30003274633</t>
  </si>
  <si>
    <t>792690921</t>
  </si>
  <si>
    <t>Z232 D15 E65 2015</t>
  </si>
  <si>
    <t>0                      Z  0232000D  15                 E  65          2015</t>
  </si>
  <si>
    <t>Epistles to the Torontonians : with articles from Canadian printer &amp; publisher / Carl Dair ; with an introduction by William Ross and notes by Rod McDonald.</t>
  </si>
  <si>
    <t>&lt;text + 1 DVD&gt;</t>
  </si>
  <si>
    <t>Dair, Carl, author.</t>
  </si>
  <si>
    <t>Toronto : Coach House Press with Sheridan College ; New Castle, Delaware : Oak Knoll Press, 2015.</t>
  </si>
  <si>
    <t>2018-04-12</t>
  </si>
  <si>
    <t>2784999114:eng</t>
  </si>
  <si>
    <t>930633562</t>
  </si>
  <si>
    <t>ocn930633562</t>
  </si>
  <si>
    <t>3103670997R</t>
  </si>
  <si>
    <t>9781552453353</t>
  </si>
  <si>
    <t>795007200</t>
  </si>
  <si>
    <t>Z232 D18 P48 2016</t>
  </si>
  <si>
    <t>0                      Z  0232000D  18                 P  48          2016</t>
  </si>
  <si>
    <t>The Daniel Press &amp; the Garland of Rachel / William S. Peterson and Sylvia Holton Peterson.</t>
  </si>
  <si>
    <t>Peterson, William S., author.</t>
  </si>
  <si>
    <t>2945069918:eng</t>
  </si>
  <si>
    <t>943710043</t>
  </si>
  <si>
    <t>ocn943710043</t>
  </si>
  <si>
    <t>31036570112</t>
  </si>
  <si>
    <t>9781584563532</t>
  </si>
  <si>
    <t>795012601</t>
  </si>
  <si>
    <t>Z232 D277 E94 2008</t>
  </si>
  <si>
    <t>0                      Z  0232000D  277                E  94          2008</t>
  </si>
  <si>
    <t>Patents, pictures and patronage : John Day and the Tudor book trade / Elizabeth Evenden.</t>
  </si>
  <si>
    <t>Evenden, Elizabeth.</t>
  </si>
  <si>
    <t>Aldershot, Hampshire, England ; Burlington, VT : Ashgate, ©2008.</t>
  </si>
  <si>
    <t>2018-01-23</t>
  </si>
  <si>
    <t>890798517:eng</t>
  </si>
  <si>
    <t>181516865</t>
  </si>
  <si>
    <t>ocn181516865</t>
  </si>
  <si>
    <t>3102855021S</t>
  </si>
  <si>
    <t>9780754654803</t>
  </si>
  <si>
    <t>794282544</t>
  </si>
  <si>
    <t>Z232 E5 D3</t>
  </si>
  <si>
    <t>0                      Z  0232000E  5                  D  3</t>
  </si>
  <si>
    <t>The world of the Elseviers, 1580-1712.</t>
  </si>
  <si>
    <t>Davies, David W., 1908-1984.</t>
  </si>
  <si>
    <t>The Hague, Nijoff, 1954.</t>
  </si>
  <si>
    <t>1328130:eng</t>
  </si>
  <si>
    <t>574524</t>
  </si>
  <si>
    <t>ocm00574524</t>
  </si>
  <si>
    <t>3000842523Q</t>
  </si>
  <si>
    <t>791418637</t>
  </si>
  <si>
    <t>Z232 E8 A7</t>
  </si>
  <si>
    <t>0                      Z  0232000E  8                  A  7</t>
  </si>
  <si>
    <t>Robert Estienne, royal printer; an historical study of the elder Stephanus.</t>
  </si>
  <si>
    <t>Armstrong, Elizabeth, 1917-2001.</t>
  </si>
  <si>
    <t>Cambridge [England] Univ. Press, 1954.</t>
  </si>
  <si>
    <t>2016-08-19</t>
  </si>
  <si>
    <t>865902604:eng</t>
  </si>
  <si>
    <t>14667591</t>
  </si>
  <si>
    <t>ocm14667591</t>
  </si>
  <si>
    <t>31036796843</t>
  </si>
  <si>
    <t>792898103</t>
  </si>
  <si>
    <t>Z232 F245 P48 2018</t>
  </si>
  <si>
    <t>0                      Z  0232000F  245                P  48          2018</t>
  </si>
  <si>
    <t>L'impresa tipografica di Battista Farfengo a Brescia : fra cultura umanistica ed editoria popolare (1489-1500) / Giancarlo Petrella.</t>
  </si>
  <si>
    <t>Petrella, Giancarlo, 1974- author.</t>
  </si>
  <si>
    <t>Firenze : Leo S. Olschki editore, MMXVIII.</t>
  </si>
  <si>
    <t>Biblioteca di bibliografia. Documents and studies in book and library history ; CCVIII</t>
  </si>
  <si>
    <t>5600289055:ita</t>
  </si>
  <si>
    <t>1079401422</t>
  </si>
  <si>
    <t>on1079401422</t>
  </si>
  <si>
    <t>3103863150P</t>
  </si>
  <si>
    <t>9788822266071</t>
  </si>
  <si>
    <t>795068230</t>
  </si>
  <si>
    <t>Z232 F27 A4 1972</t>
  </si>
  <si>
    <t>0                      Z  0232000F  27                 A  4           1972</t>
  </si>
  <si>
    <t>Prince of Dublin printers : the letters of George Faulkner / Robert E. Ward.</t>
  </si>
  <si>
    <t>Ward, Robert E., editor.</t>
  </si>
  <si>
    <t>[Lexington] : The University Press of Kentucky, 1972.</t>
  </si>
  <si>
    <t>817348768:eng</t>
  </si>
  <si>
    <t>524009</t>
  </si>
  <si>
    <t>ocm00524009</t>
  </si>
  <si>
    <t>3000636457D</t>
  </si>
  <si>
    <t>9780813112589</t>
  </si>
  <si>
    <t>791403065</t>
  </si>
  <si>
    <t>Z232 F5 Z72 1983</t>
  </si>
  <si>
    <t>0                      Z  0232000F  5                  Z  72          1983</t>
  </si>
  <si>
    <t>The beginning of Cyrillic printing in Crakow, 1491 : from the Orthodox past in Poland / Szczepan K. Zimmer ; edited by Ludwik Krzyżanowski and Irene Nagurski with the assistance of Krystyna M. Olszer.</t>
  </si>
  <si>
    <t>Zimmer, Szczepan K.</t>
  </si>
  <si>
    <t>Boulder, Colo. : Social Science Monographs ; New York : Distributed by Columbia University Press, 1983.</t>
  </si>
  <si>
    <t>East European monographs ; no. 136</t>
  </si>
  <si>
    <t>2017-01-13</t>
  </si>
  <si>
    <t>8913577695:eng</t>
  </si>
  <si>
    <t>9678370</t>
  </si>
  <si>
    <t>ocm09678370</t>
  </si>
  <si>
    <t>3100250779R</t>
  </si>
  <si>
    <t>9780880330275</t>
  </si>
  <si>
    <t>792688039</t>
  </si>
  <si>
    <t>Z232 G24 S74 2017</t>
  </si>
  <si>
    <t>0                      Z  0232000G  24                 S  74          2017</t>
  </si>
  <si>
    <t>Sixty over twenty : letterpress books &amp; broadsides printed at Gaspereau Press, 1997-2017 / Andrew Steeves.</t>
  </si>
  <si>
    <t>Steeves, Andrew, 1970- author.</t>
  </si>
  <si>
    <t>Kentville, Nova Scotia : Gaspereau Press Printers &amp; Publishers, 2017.</t>
  </si>
  <si>
    <t>4681339421:eng</t>
  </si>
  <si>
    <t>1010403183</t>
  </si>
  <si>
    <t>on1010403183</t>
  </si>
  <si>
    <t>31037293760</t>
  </si>
  <si>
    <t>9781554471799</t>
  </si>
  <si>
    <t>795045152</t>
  </si>
  <si>
    <t>Z232 G43 D4</t>
  </si>
  <si>
    <t>0                      Z  0232000G  43                 D  4</t>
  </si>
  <si>
    <t>Éloi Gibier, imprimeur à Orléans (1536-1588).</t>
  </si>
  <si>
    <t>Desgraves, Louis.</t>
  </si>
  <si>
    <t>Genève, Droz, 1966.</t>
  </si>
  <si>
    <t>1966</t>
  </si>
  <si>
    <t>Travaux d'humanisme et Renaissance, 78</t>
  </si>
  <si>
    <t>9093717425:fre</t>
  </si>
  <si>
    <t>3668232</t>
  </si>
  <si>
    <t>ocm03668232</t>
  </si>
  <si>
    <t>30006358807</t>
  </si>
  <si>
    <t>792278921</t>
  </si>
  <si>
    <t>Z232 H73 B38 2018</t>
  </si>
  <si>
    <t>0                      Z  0232000H  73                 B  38          2018</t>
  </si>
  <si>
    <t>Modernist lives : biography and autobiography at Leonard and Virginia Woolf's Hogarth Press / Claire Battershill.</t>
  </si>
  <si>
    <t>Battershill, Claire, author.</t>
  </si>
  <si>
    <t>London ; New York : Bloomsbury Academic, 2018.</t>
  </si>
  <si>
    <t>Historicizing modernism</t>
  </si>
  <si>
    <t>4474913543:eng</t>
  </si>
  <si>
    <t>1002114118</t>
  </si>
  <si>
    <t>on1002114118</t>
  </si>
  <si>
    <t>3103812589H</t>
  </si>
  <si>
    <t>9781350043817</t>
  </si>
  <si>
    <t>795040914</t>
  </si>
  <si>
    <t>Z232 H73 B78 2009</t>
  </si>
  <si>
    <t>0                      Z  0232000H  73                 B  78          2009</t>
  </si>
  <si>
    <t>Woolf's-head Publishing : the highlights and new lights of the Hogarth Press / Elizabeth Willson Gordon.</t>
  </si>
  <si>
    <t>Bruce Peel Special Collections Library.</t>
  </si>
  <si>
    <t>Edmonton : University of Alberta Libraries, c2009.</t>
  </si>
  <si>
    <t>2018-03-27</t>
  </si>
  <si>
    <t>941551241:eng</t>
  </si>
  <si>
    <t>299228500</t>
  </si>
  <si>
    <t>ocn299228500</t>
  </si>
  <si>
    <t>3103150636Q</t>
  </si>
  <si>
    <t>9781551952406</t>
  </si>
  <si>
    <t>794428928</t>
  </si>
  <si>
    <t>Z232 H73 L46 2010</t>
  </si>
  <si>
    <t>0                      Z  0232000H  73                 L  46          2010</t>
  </si>
  <si>
    <t>Leonard and Virginia Woolf, the Hogarth Press and the networks of modernism / edited by Helen Southworth.</t>
  </si>
  <si>
    <t>Edinburgh : Edinburgh University Press, 2010.</t>
  </si>
  <si>
    <t>2015-12-01</t>
  </si>
  <si>
    <t>861954488:eng</t>
  </si>
  <si>
    <t>646397154</t>
  </si>
  <si>
    <t>ocn646397154</t>
  </si>
  <si>
    <t>3103233283K</t>
  </si>
  <si>
    <t>9780748642274</t>
  </si>
  <si>
    <t>794830397</t>
  </si>
  <si>
    <t>Z232 H73 R47 1985</t>
  </si>
  <si>
    <t>0                      Z  0232000H  73                 R  47          1985</t>
  </si>
  <si>
    <t>The handprinted books of Leonard and Virginia Woolf at the Hogarth Press, 1917-1932 / by Donna E. Rhein.</t>
  </si>
  <si>
    <t>Rhein, Donna E. (Donna Elizabeth), 1943-</t>
  </si>
  <si>
    <t>Ann Arbor, Mich. : UMI Research Press, ©1985.</t>
  </si>
  <si>
    <t>Studies in modern literature ; no. 52</t>
  </si>
  <si>
    <t>1024397:eng</t>
  </si>
  <si>
    <t>12238379</t>
  </si>
  <si>
    <t>ocm12238379</t>
  </si>
  <si>
    <t>3100250138S</t>
  </si>
  <si>
    <t>9780835716949</t>
  </si>
  <si>
    <t>792807398</t>
  </si>
  <si>
    <t>Z232 H83 C8</t>
  </si>
  <si>
    <t>0                      Z  0232000H  83                 C  8</t>
  </si>
  <si>
    <t>These were the Hours : memories of my Hours Press, Reanville and Paris, 1928-1931 / edited with a foreword by Hugh Ford.</t>
  </si>
  <si>
    <t>Cunard, Nancy, 1896-1965.</t>
  </si>
  <si>
    <t>Carbondale : Southern Illinois University Press, [1969]</t>
  </si>
  <si>
    <t>2015-11-03</t>
  </si>
  <si>
    <t>231560860:eng</t>
  </si>
  <si>
    <t>11734</t>
  </si>
  <si>
    <t>ocm00011734</t>
  </si>
  <si>
    <t>3000226047T</t>
  </si>
  <si>
    <t>9780809321636</t>
  </si>
  <si>
    <t>791227740</t>
  </si>
  <si>
    <t>Z232 J54 L69 1991</t>
  </si>
  <si>
    <t>0                      Z  0232000J  54                 L  69          1991</t>
  </si>
  <si>
    <t>Nicholas Jenson and the rise of Venetian publishing in Renaissance Europe / Martin Lowry.</t>
  </si>
  <si>
    <t>Lowry, Martin.</t>
  </si>
  <si>
    <t>Oxford, UK ; Cambridge, Mass., USA : B. Blackwell, 1991.</t>
  </si>
  <si>
    <t>2019-04-04</t>
  </si>
  <si>
    <t>10170009:eng</t>
  </si>
  <si>
    <t>21406285</t>
  </si>
  <si>
    <t>ocm21406285</t>
  </si>
  <si>
    <t>31035864326</t>
  </si>
  <si>
    <t>9780631173946</t>
  </si>
  <si>
    <t>793117851</t>
  </si>
  <si>
    <t>Z232 M3 A32 2018</t>
  </si>
  <si>
    <t>0                      Z  0232000M  3                  A  32          2018</t>
  </si>
  <si>
    <t>The afterlife of Aldus : posthumous fame, collectors and the book trade / edited by Jill Kraye and Paolo Sachet.</t>
  </si>
  <si>
    <t>London : The Warburg Institute, 2018.</t>
  </si>
  <si>
    <t>Warburg Institute colloquia, 1352-9986 ; 32</t>
  </si>
  <si>
    <t>4764626524:eng</t>
  </si>
  <si>
    <t>1023389170</t>
  </si>
  <si>
    <t>on1023389170</t>
  </si>
  <si>
    <t>31037363866</t>
  </si>
  <si>
    <t>9781908590558</t>
  </si>
  <si>
    <t>795051680</t>
  </si>
  <si>
    <t>Z232 M3 A585 2016</t>
  </si>
  <si>
    <t>0                      Z  0232000M  3                  A  585         2016</t>
  </si>
  <si>
    <t>Aldo Manuzio : Renaissance in Venice / exhibition curated by Guido Beltramini, Davide Gasparotto, Giulio Manieri Elia ; catalogue edited by Guido Beltramini, Davide Gasparotto ; essays by Guido Beltramini [and 10 others].</t>
  </si>
  <si>
    <t>Venezia : Marsilio, 2016.</t>
  </si>
  <si>
    <t>3772355433:eng</t>
  </si>
  <si>
    <t>947856533</t>
  </si>
  <si>
    <t>ocn947856533</t>
  </si>
  <si>
    <t>31037161291</t>
  </si>
  <si>
    <t>9788831723800</t>
  </si>
  <si>
    <t>795015268</t>
  </si>
  <si>
    <t>Z232.M3 A5945 1998</t>
  </si>
  <si>
    <t>0                      Z  0232000M  3                  A  5945        1998</t>
  </si>
  <si>
    <t>Aldus Manutius and Renaissance culture : essays in memory of Franklin D. Murphy : acts of an international conference, Venice and Florence, 14-17 June 1994 / edited by David S. Zeidberg with the assistance of Fiorella Gioffredi Superbi.</t>
  </si>
  <si>
    <t>Florence : L.S. Olschki, [1998]</t>
  </si>
  <si>
    <t>Villa I Tatti ; 15</t>
  </si>
  <si>
    <t>2019-05-25</t>
  </si>
  <si>
    <t>806836399:eng</t>
  </si>
  <si>
    <t>39098121</t>
  </si>
  <si>
    <t>ocm39098121</t>
  </si>
  <si>
    <t>3103662999J</t>
  </si>
  <si>
    <t>9788822245755</t>
  </si>
  <si>
    <t>793538004</t>
  </si>
  <si>
    <t>Z232 M3 B2 1867</t>
  </si>
  <si>
    <t>0                      Z  0232000M  3                  B  2           1867</t>
  </si>
  <si>
    <t>Lettres et documents, 1495-1515.</t>
  </si>
  <si>
    <t>Manuzio, Aldo, 1449 or 1450-1515.</t>
  </si>
  <si>
    <t>Venetiis : [publisher not identified], 1867.</t>
  </si>
  <si>
    <t>1867</t>
  </si>
  <si>
    <t>17721081:ita</t>
  </si>
  <si>
    <t>427540605</t>
  </si>
  <si>
    <t>ocn427540605</t>
  </si>
  <si>
    <t>3102781062R</t>
  </si>
  <si>
    <t>794680307</t>
  </si>
  <si>
    <t>Z232 M3 B6514 2005</t>
  </si>
  <si>
    <t>0                      Z  0232000M  3                  B  6514        2005</t>
  </si>
  <si>
    <t>La chambre de la mémoire : modèles littéraires et iconographies à l'âge de l'imprimerie / Lina Bolzoni ; traduit par Marie-France Merger.</t>
  </si>
  <si>
    <t>Bolzoni, Lina.</t>
  </si>
  <si>
    <t>Genève : Droz, 2005.</t>
  </si>
  <si>
    <t>Titre courant, 1420-5254 ; 28</t>
  </si>
  <si>
    <t>2018-03-05</t>
  </si>
  <si>
    <t>4495005445:fre</t>
  </si>
  <si>
    <t>57526454</t>
  </si>
  <si>
    <t>ocm57526454</t>
  </si>
  <si>
    <t>3102507131L</t>
  </si>
  <si>
    <t>9782600005289</t>
  </si>
  <si>
    <t>793914699</t>
  </si>
  <si>
    <t>Z232 M3 C44 2015</t>
  </si>
  <si>
    <t>0                      Z  0232000M  3                  C  44          2015</t>
  </si>
  <si>
    <t>Aldus Manutius : a legacy more lasting than bronze / G. Scott Clemons and H. George Fletcher.</t>
  </si>
  <si>
    <t>Clemons, G. Scott, author.</t>
  </si>
  <si>
    <t>New York : The Grolier Club, MMXV [2015]</t>
  </si>
  <si>
    <t>2017-11-02</t>
  </si>
  <si>
    <t>2821028264:eng</t>
  </si>
  <si>
    <t>928032965</t>
  </si>
  <si>
    <t>ocn928032965</t>
  </si>
  <si>
    <t>3103657493W</t>
  </si>
  <si>
    <t>9781605830612</t>
  </si>
  <si>
    <t>795006086</t>
  </si>
  <si>
    <t>Z232 M3 D35 1999</t>
  </si>
  <si>
    <t>0                      Z  0232000M  3                  D  35          1999</t>
  </si>
  <si>
    <t>Aldus Manutius : printer and publisher of Renaissance Venice / Martin Davies.</t>
  </si>
  <si>
    <t>Davies, Martin, 1951-</t>
  </si>
  <si>
    <t>Tempe, Ariz. : Arizona Center for Medieval and Renaissance Studies, 1999.</t>
  </si>
  <si>
    <t>Medieval &amp; Renaissance texts &amp; studies ; v. 214</t>
  </si>
  <si>
    <t>24128279:eng</t>
  </si>
  <si>
    <t>43477218</t>
  </si>
  <si>
    <t>ocm43477218</t>
  </si>
  <si>
    <t>31020149710</t>
  </si>
  <si>
    <t>9780866982566</t>
  </si>
  <si>
    <t>793627679</t>
  </si>
  <si>
    <t>3103586206I</t>
  </si>
  <si>
    <t>793627680</t>
  </si>
  <si>
    <t>Z232 M3 F47 1996</t>
  </si>
  <si>
    <t>0                      Z  0232000M  3                  F  47          1996</t>
  </si>
  <si>
    <t>Festina lente : a celebration of the Wosk-McDonald Aldine Collection at SFU.</t>
  </si>
  <si>
    <t>Burnaby, B.C. : SFU Friends of the Library ; Vancouver : Alcuin Society, 1996.</t>
  </si>
  <si>
    <t>368078332:eng</t>
  </si>
  <si>
    <t>35972854</t>
  </si>
  <si>
    <t>ocm35972854</t>
  </si>
  <si>
    <t>3102690335T</t>
  </si>
  <si>
    <t>9780864911551</t>
  </si>
  <si>
    <t>793462763</t>
  </si>
  <si>
    <t>Z232 M3 F58 2015</t>
  </si>
  <si>
    <t>0                      Z  0232000M  3                  F  58          2015</t>
  </si>
  <si>
    <t>Five centuries later : Aldus Manutius : culture, typography and philology / a cura di Natale Vacalebre.</t>
  </si>
  <si>
    <t>Five Centuries Later, Aldus Manutius, Culture, Typography and Philology (Conference) (2015 : Milan, Italy)</t>
  </si>
  <si>
    <t>Firenze : Leo S. Olschki editore ; Milano : Biblioteca Ambrosiana, [2018]</t>
  </si>
  <si>
    <t>Biblioteca di bibliografia ; CCVII</t>
  </si>
  <si>
    <t>2018-12-13</t>
  </si>
  <si>
    <t>6256282218:ita</t>
  </si>
  <si>
    <t>1079040183</t>
  </si>
  <si>
    <t>on1079040183</t>
  </si>
  <si>
    <t>31038631937</t>
  </si>
  <si>
    <t>9788822266019</t>
  </si>
  <si>
    <t>795068119</t>
  </si>
  <si>
    <t>Z232 M3 F6 1930</t>
  </si>
  <si>
    <t>0                      Z  0232000M  3                  F  6           1930</t>
  </si>
  <si>
    <t>Bibliotheca Aldina. Eine sammlung von 800 drucken des Aldus Manutius und seiner nachfolger, mit einer bibliographischen einführung und einem autoren register ... A collection of 800 prints of Aldus Manutius and his successors, with a bibliographical introduction and an authors index.</t>
  </si>
  <si>
    <t>Gustav Fock (Firm)</t>
  </si>
  <si>
    <t>2017-02-20</t>
  </si>
  <si>
    <t>1151302406:ger</t>
  </si>
  <si>
    <t>22013079</t>
  </si>
  <si>
    <t>ocm22013079</t>
  </si>
  <si>
    <t>3000788091J</t>
  </si>
  <si>
    <t>793133133</t>
  </si>
  <si>
    <t>Z232 M3 G6 1887</t>
  </si>
  <si>
    <t>0                      Z  0232000M  3                  G  6           1887</t>
  </si>
  <si>
    <t>A bibliographical sketch of the Aldine press at Venice : forming a catalogue of all works issued by Aldus and his successors, from 1494 to 1597, and a list of all known forgeries or imitations / translated and abridged from Ant. Aug. Renourd's "Annales de l'imprimerie des Aldes," and revised and corrected by Edmund Goldsmid ... in three parts ...</t>
  </si>
  <si>
    <t>Renouard, Ant. Aug. (Antoine Augustin), 1765-1853.</t>
  </si>
  <si>
    <t>Edinburgh : E. &amp; G. Goldsmid, 1887.</t>
  </si>
  <si>
    <t>1887</t>
  </si>
  <si>
    <t>Bibliotheca curiosa</t>
  </si>
  <si>
    <t>41340291:eng</t>
  </si>
  <si>
    <t>51471514</t>
  </si>
  <si>
    <t>ocm51471514</t>
  </si>
  <si>
    <t>3000780613I</t>
  </si>
  <si>
    <t>793784916</t>
  </si>
  <si>
    <t>Z232 M3 L68 1979</t>
  </si>
  <si>
    <t>0                      Z  0232000M  3                  L  68          1979</t>
  </si>
  <si>
    <t>The world of Aldus Manutius : business and scholarship in Renaissance Venice / Martin Lowry.</t>
  </si>
  <si>
    <t>[Ithaca, N.Y.] : Cornell University Press, 1979.</t>
  </si>
  <si>
    <t>450453:eng</t>
  </si>
  <si>
    <t>5367689</t>
  </si>
  <si>
    <t>ocm05367689</t>
  </si>
  <si>
    <t>3103294252T</t>
  </si>
  <si>
    <t>9780801412141</t>
  </si>
  <si>
    <t>792428457</t>
  </si>
  <si>
    <t>SHSS</t>
  </si>
  <si>
    <t>- Boxed - Unavailable - REQUEST VIA ILL</t>
  </si>
  <si>
    <t>Z232 M3 M35 2000</t>
  </si>
  <si>
    <t>0                      Z  0232000M  3                  M  35          2000</t>
  </si>
  <si>
    <t>Apud Aldum : Aldines in the libraries of McGill University / Richard Virr and Milada Vlach = Apud Aldum : les Aldines dans les bibliothèques de l'Université McGill / Richard Virr et Milada Vlach.</t>
  </si>
  <si>
    <t>McGill University. Rare Books and Special Collections Division.</t>
  </si>
  <si>
    <t>Montréal : Rare Books and Special Collections Division, McGill University Libraries, 2000.</t>
  </si>
  <si>
    <t>Marginalia ; 5</t>
  </si>
  <si>
    <t>2010-01-29</t>
  </si>
  <si>
    <t>64342863:eng</t>
  </si>
  <si>
    <t>79062798</t>
  </si>
  <si>
    <t>ocm79062798</t>
  </si>
  <si>
    <t>31020813424</t>
  </si>
  <si>
    <t>794197066</t>
  </si>
  <si>
    <t>Z232 M324 G83 2001</t>
  </si>
  <si>
    <t>0                      Z  0232000M  324                G  83          2001</t>
  </si>
  <si>
    <t>Annali dei Marescotti tipografi editori di Firenze : 1563-1613 / Giampiero Guarducci.</t>
  </si>
  <si>
    <t>Guarducci, Giampiero.</t>
  </si>
  <si>
    <t>Firenze : L.S. Olschki, 2001.</t>
  </si>
  <si>
    <t>Biblioteca di bibliografia italiana ; 168</t>
  </si>
  <si>
    <t>2018-07-30</t>
  </si>
  <si>
    <t>230939304:ita</t>
  </si>
  <si>
    <t>47677997</t>
  </si>
  <si>
    <t>ocm47677997</t>
  </si>
  <si>
    <t>3102306343T</t>
  </si>
  <si>
    <t>9788822250162</t>
  </si>
  <si>
    <t>793705173</t>
  </si>
  <si>
    <t>Z232 M58 L3413 1996</t>
  </si>
  <si>
    <t>0                      Z  0232000M  58                 L  3413        1996</t>
  </si>
  <si>
    <t>Voltaire's man in America / Jean-Paul de Lagrave ; translated by Arnold Bennett.</t>
  </si>
  <si>
    <t>Lagrave, Jean-Paul de.</t>
  </si>
  <si>
    <t>Montréal : R. Davies Multimedia ; Buffalo, N.Y. : General Distribution Service [distributor], ©1997.</t>
  </si>
  <si>
    <t>2016-06-22</t>
  </si>
  <si>
    <t>143409258:eng</t>
  </si>
  <si>
    <t>39106009</t>
  </si>
  <si>
    <t>ocm39106009</t>
  </si>
  <si>
    <t>3101841174C</t>
  </si>
  <si>
    <t>9781552070079</t>
  </si>
  <si>
    <t>793538125</t>
  </si>
  <si>
    <t>3101841145J</t>
  </si>
  <si>
    <t>793538126</t>
  </si>
  <si>
    <t>Z232 M87 T5</t>
  </si>
  <si>
    <t>0                      Z  0232000M  87                 T  5</t>
  </si>
  <si>
    <t>William Morris : romantic to revolutionary / E.P. Thompson.</t>
  </si>
  <si>
    <t>Thompson, E. P. (Edward Palmer), 1924-1993, author.</t>
  </si>
  <si>
    <t>New York : Pantheon Books, [1977]</t>
  </si>
  <si>
    <t>First American edition.</t>
  </si>
  <si>
    <t>2010-04-01</t>
  </si>
  <si>
    <t>196567543:eng</t>
  </si>
  <si>
    <t>2967708</t>
  </si>
  <si>
    <t>ocm02967708</t>
  </si>
  <si>
    <t>30008551752</t>
  </si>
  <si>
    <t>9780394411361</t>
  </si>
  <si>
    <t>792200203</t>
  </si>
  <si>
    <t>Z232 O98 F58</t>
  </si>
  <si>
    <t>0                      Z  0232000O  98                 F  58</t>
  </si>
  <si>
    <t>Five centuries, the Oxford University Press : an exhibition at the Library of Congress, September 7-November 26, 1978.</t>
  </si>
  <si>
    <t>Washington : The Library, 1978.</t>
  </si>
  <si>
    <t>2015-11-02</t>
  </si>
  <si>
    <t>14587047:eng</t>
  </si>
  <si>
    <t>4135198</t>
  </si>
  <si>
    <t>ocm04135198</t>
  </si>
  <si>
    <t>3103636147V</t>
  </si>
  <si>
    <t>9780844402741</t>
  </si>
  <si>
    <t>792324678</t>
  </si>
  <si>
    <t>Z232 O98 H57 2013</t>
  </si>
  <si>
    <t>0                      Z  0232000O  98                 H  57          2013</t>
  </si>
  <si>
    <t>The history of Oxford University Press / general editor Simon Eliot ; edited by Ian Gadd, Simon Eliot, Wm. Roger Louis.</t>
  </si>
  <si>
    <t>Oxford : Oxford University Press, 2013-2017.</t>
  </si>
  <si>
    <t>2014-04-25</t>
  </si>
  <si>
    <t>2015-05-06</t>
  </si>
  <si>
    <t>1400637833:eng</t>
  </si>
  <si>
    <t>865160947</t>
  </si>
  <si>
    <t>ocn865160947</t>
  </si>
  <si>
    <t>3103555525O</t>
  </si>
  <si>
    <t>9780198702795</t>
  </si>
  <si>
    <t>794962749</t>
  </si>
  <si>
    <t>3103555526O</t>
  </si>
  <si>
    <t>794962748</t>
  </si>
  <si>
    <t>3103555524O</t>
  </si>
  <si>
    <t>794962750</t>
  </si>
  <si>
    <t>Z232 P25 P37 2012</t>
  </si>
  <si>
    <t>0                      Z  0232000P  25                 P  37          2012</t>
  </si>
  <si>
    <t>William Parks : the colonial printer in the transatlantic world of the eighteenth century / A. Franklin Parks.</t>
  </si>
  <si>
    <t>Parks, A. Franklin.</t>
  </si>
  <si>
    <t>University Park, Pa. : Pennsylvania State University Press, ©2012.</t>
  </si>
  <si>
    <t>1014025634:eng</t>
  </si>
  <si>
    <t>754518522</t>
  </si>
  <si>
    <t>ocn754518522</t>
  </si>
  <si>
    <t>3103410712T</t>
  </si>
  <si>
    <t>9780271052113</t>
  </si>
  <si>
    <t>794892822</t>
  </si>
  <si>
    <t>Z232 P447 D66 2012</t>
  </si>
  <si>
    <t>0                      Z  0232000P  447                D  66          2012</t>
  </si>
  <si>
    <t>The Peter Pauper Press of Peter and Edna Beilenson : 1928-1979, a bibliography and history / by Sean Donnelly &amp; J.B. Dobkin ; with an essay by Richard Mathews.</t>
  </si>
  <si>
    <t>Donnelly, Sean, 1976-</t>
  </si>
  <si>
    <t>Tampa, FL : The University of Tampa Press, [2013]</t>
  </si>
  <si>
    <t>1364370973:eng</t>
  </si>
  <si>
    <t>851283362</t>
  </si>
  <si>
    <t>ocn851283362</t>
  </si>
  <si>
    <t>3103497632Y</t>
  </si>
  <si>
    <t>9781597320979</t>
  </si>
  <si>
    <t>794950786</t>
  </si>
  <si>
    <t>- Burney Centre - By Request</t>
  </si>
  <si>
    <t>Z232 R595 M38 2001</t>
  </si>
  <si>
    <t>0                      Z  0232000R  595                M  38          2001</t>
  </si>
  <si>
    <t>Samuel Richardson of London, printer : a study of his printing based on ornament use and business accounts / Keith Maslen.</t>
  </si>
  <si>
    <t>Maslen, K. I. D.</t>
  </si>
  <si>
    <t>Dunedin, N.Z. : Dept. of English, University of Otago, ©2001.</t>
  </si>
  <si>
    <t>Otago studies in English, 1170-6082 ; 7</t>
  </si>
  <si>
    <t>2018-01-27</t>
  </si>
  <si>
    <t>478776607:eng</t>
  </si>
  <si>
    <t>56731385</t>
  </si>
  <si>
    <t>ocm56731385</t>
  </si>
  <si>
    <t>3102288282J</t>
  </si>
  <si>
    <t>9780473077600</t>
  </si>
  <si>
    <t>793899782</t>
  </si>
  <si>
    <t>Z232 R595 S3 1950</t>
  </si>
  <si>
    <t>0                      Z  0232000R  595                S  3           1950</t>
  </si>
  <si>
    <t>Samuel Richardson: master printer.</t>
  </si>
  <si>
    <t>Sale, William Merritt, 1899-1981.</t>
  </si>
  <si>
    <t>Ithaca, N.Y., Cornell University Press, 1950.</t>
  </si>
  <si>
    <t>1950</t>
  </si>
  <si>
    <t>Cornell studies in English, v. 37</t>
  </si>
  <si>
    <t>288588705:eng</t>
  </si>
  <si>
    <t>575888</t>
  </si>
  <si>
    <t>ocm00575888</t>
  </si>
  <si>
    <t>3103102074G</t>
  </si>
  <si>
    <t>791419030</t>
  </si>
  <si>
    <t>Z232 T4 L33 2014</t>
  </si>
  <si>
    <t>0                      Z  0232000T  4                  L  33          2014</t>
  </si>
  <si>
    <t>The illustrated imprints of Isaiah Thomas / Barbara E. Lacey.</t>
  </si>
  <si>
    <t>Lacey, Barbara E., 1937-</t>
  </si>
  <si>
    <t>Philadelphia : American Philosophical Society Press, 2014.</t>
  </si>
  <si>
    <t>Transactions of the American Philosophical Society held at Philadelphia for promoting useful knowledge, 0065-9746 ; volume 104, part 2</t>
  </si>
  <si>
    <t>2468614916:eng</t>
  </si>
  <si>
    <t>893721597</t>
  </si>
  <si>
    <t>ocn893721597</t>
  </si>
  <si>
    <t>3103646045X</t>
  </si>
  <si>
    <t>9781606180426</t>
  </si>
  <si>
    <t>794981987</t>
  </si>
  <si>
    <t>Z232 T863 B87 2007</t>
  </si>
  <si>
    <t>0                      Z  0232000T  863                B  87          2007</t>
  </si>
  <si>
    <t>Active literature : Jan Tschichold and new typography / Christopher Burke.</t>
  </si>
  <si>
    <t>Burke, Christopher, 1967-</t>
  </si>
  <si>
    <t>London : Hyphen, 2007.</t>
  </si>
  <si>
    <t>891379742:eng</t>
  </si>
  <si>
    <t>75713727</t>
  </si>
  <si>
    <t>ocm75713727</t>
  </si>
  <si>
    <t>31030835338</t>
  </si>
  <si>
    <t>9780907259329</t>
  </si>
  <si>
    <t>794175171</t>
  </si>
  <si>
    <t>Z232 V36 C66 2017</t>
  </si>
  <si>
    <t>0                      Z  0232000V  36                 C  66          2017</t>
  </si>
  <si>
    <t>Comino Ventura : tra lettere e libri di lettere (1579-1617) / a cura di Gianmaria Savoldelli e Roberta Frigeni.</t>
  </si>
  <si>
    <t>Firenze : Leo S. Olschki editore, MMXVII [2017]</t>
  </si>
  <si>
    <t>Biblioteca di bibliografia ; CCI</t>
  </si>
  <si>
    <t>4221848448:ita</t>
  </si>
  <si>
    <t>986400556</t>
  </si>
  <si>
    <t>ocn986400556</t>
  </si>
  <si>
    <t>3103728317L</t>
  </si>
  <si>
    <t>9788822264787</t>
  </si>
  <si>
    <t>795035596</t>
  </si>
  <si>
    <t>Z232 V36 S28 2011</t>
  </si>
  <si>
    <t>0                      Z  0232000V  36                 S  28          2011</t>
  </si>
  <si>
    <t>Comino Ventura : annali tipografici dello stampatore a Bergamo dal 1578 al 1616 / Gianmaria Savoldelli.</t>
  </si>
  <si>
    <t>Savoldelli, Gianmaria.</t>
  </si>
  <si>
    <t>Firenze : L.S. Olschki, 2011.</t>
  </si>
  <si>
    <t>Biblioteca di bibliografia italiana, 0067-7418 ; 191</t>
  </si>
  <si>
    <t>864638635:ita</t>
  </si>
  <si>
    <t>711513984</t>
  </si>
  <si>
    <t>ocn711513984</t>
  </si>
  <si>
    <t>3103370310H</t>
  </si>
  <si>
    <t>9788822260123</t>
  </si>
  <si>
    <t>794870994</t>
  </si>
  <si>
    <t>Z232 W84 H83 1988</t>
  </si>
  <si>
    <t>0                      Z  0232000W  84                 H  83          1988</t>
  </si>
  <si>
    <t>Elizabethan impressions : John Wolfe and his press / Clifford Chalmers Huffman.</t>
  </si>
  <si>
    <t>Huffman, Clifford Chalmers, 1940-</t>
  </si>
  <si>
    <t>New York : AMS Press, ©1988.</t>
  </si>
  <si>
    <t>AMS studies in the Renaissance ; no. 21</t>
  </si>
  <si>
    <t>2017-06-12</t>
  </si>
  <si>
    <t>11490608:eng</t>
  </si>
  <si>
    <t>16079678</t>
  </si>
  <si>
    <t>ocm16079678</t>
  </si>
  <si>
    <t>3000538797N</t>
  </si>
  <si>
    <t>9780404622916</t>
  </si>
  <si>
    <t>792953747</t>
  </si>
  <si>
    <t>Z232 Y42 H37 1996</t>
  </si>
  <si>
    <t>0                      Z  0232000Y  42                 H  37          1996</t>
  </si>
  <si>
    <t>The Yeats sisters : a biography of Susan and Elizabeth Yeats / Joan Hardwick.</t>
  </si>
  <si>
    <t>Hardwick, Joan.</t>
  </si>
  <si>
    <t>London : Pandora, 1996.</t>
  </si>
  <si>
    <t>2016-11-16</t>
  </si>
  <si>
    <t>365692909:eng</t>
  </si>
  <si>
    <t>34174111</t>
  </si>
  <si>
    <t>ocm34174111</t>
  </si>
  <si>
    <t>3101546303N</t>
  </si>
  <si>
    <t>9780044409243</t>
  </si>
  <si>
    <t>793420857</t>
  </si>
  <si>
    <t>Z232 Z18 B65 2016</t>
  </si>
  <si>
    <t>0                      Z  0232000Z  18                 B  65          2016</t>
  </si>
  <si>
    <t>The fifteenth-century printing practices of Johann Zainer, Ulm, 1473-1478 / Claire M. Bolton.</t>
  </si>
  <si>
    <t>Bolton, Claire (Claire M.), author.</t>
  </si>
  <si>
    <t>Oxford : Oxford Bibliographical Society ; London : Printing Historical Society, 2016.</t>
  </si>
  <si>
    <t>Oxford Bibliographical Society publications ; third series, volume viii</t>
  </si>
  <si>
    <t>2018-07-17</t>
  </si>
  <si>
    <t>2019-06-19</t>
  </si>
  <si>
    <t>8913189846:eng</t>
  </si>
  <si>
    <t>957222023</t>
  </si>
  <si>
    <t>ocn957222023</t>
  </si>
  <si>
    <t>3103748367V</t>
  </si>
  <si>
    <t>9780901420596</t>
  </si>
  <si>
    <t>795020788</t>
  </si>
  <si>
    <t>31037376461</t>
  </si>
  <si>
    <t>795020787</t>
  </si>
  <si>
    <t>Z232 Z67 B35 2011</t>
  </si>
  <si>
    <t>0                      Z  0232000Z  67                 B  35          2011</t>
  </si>
  <si>
    <t>Alle origini dell'editoria in volgare : Niccolo Zoppino : da Ferrara a Venezia, annali (1503-1544) / Lorenzo Baldacchini ; nota di Amedeo Quondam.</t>
  </si>
  <si>
    <t>Baldacchini, Lorenzo, 1946-</t>
  </si>
  <si>
    <t>Manziana (Roma) : Vecchiarelli, ©2011.</t>
  </si>
  <si>
    <t>Cinquecento : N. s. ; 4</t>
  </si>
  <si>
    <t>2017-06-06</t>
  </si>
  <si>
    <t>5619312387:ita</t>
  </si>
  <si>
    <t>774489188</t>
  </si>
  <si>
    <t>ocn774489188</t>
  </si>
  <si>
    <t>31035568389</t>
  </si>
  <si>
    <t>9788882473068</t>
  </si>
  <si>
    <t>794906442</t>
  </si>
  <si>
    <t>Z235 T97 2018</t>
  </si>
  <si>
    <t>0                      Z  0235000T  97          2018</t>
  </si>
  <si>
    <t>Typographorum emblemata : the printer's mark in the context of early modern culture / edited by Anja Wolkenhauer and Bernhard F. Scholz.</t>
  </si>
  <si>
    <t>Berlin : De Gruyter Saur, [2018]</t>
  </si>
  <si>
    <t>Schriftmedien = Written media, 2364-9771 ; Band 4</t>
  </si>
  <si>
    <t>2485581672:eng</t>
  </si>
  <si>
    <t>1023604341</t>
  </si>
  <si>
    <t>on1023604341</t>
  </si>
  <si>
    <t>3103704123T</t>
  </si>
  <si>
    <t>9783110439199</t>
  </si>
  <si>
    <t>795051854</t>
  </si>
  <si>
    <t>Z237 I58 1996</t>
  </si>
  <si>
    <t>0                      Z  0237000I  58          1996</t>
  </si>
  <si>
    <t>Puzzles in paper : concepts in historical watermarks : essays from the International Conference on Watermarks in Roanoke, Virginia / edited by Daniel W. Mosser, Michael Saffle, Ernest W. Sullivan II.</t>
  </si>
  <si>
    <t>International Conference on the History, Function, and Study of Watermarks (1996 : Roanoke, Va.)</t>
  </si>
  <si>
    <t>New Castle, Del. : Oak Knoll Press, 2000.</t>
  </si>
  <si>
    <t>2016-04-07</t>
  </si>
  <si>
    <t>353839012:eng</t>
  </si>
  <si>
    <t>270747249</t>
  </si>
  <si>
    <t>ocn270747249</t>
  </si>
  <si>
    <t>3102952338N</t>
  </si>
  <si>
    <t>9781584560296</t>
  </si>
  <si>
    <t>794411810</t>
  </si>
  <si>
    <t>Z237 L329 2016</t>
  </si>
  <si>
    <t>0                      Z  0237000L  329         2016</t>
  </si>
  <si>
    <t>Italian watermarks, 1750-1860 / by Theo Laurentius and Frans Laurentius.</t>
  </si>
  <si>
    <t>Laurentius, Theo, 1936- author.</t>
  </si>
  <si>
    <t>Library of the written word, 1874-4834 ; volume 50</t>
  </si>
  <si>
    <t>2956955046:eng</t>
  </si>
  <si>
    <t>945029534</t>
  </si>
  <si>
    <t>ocn945029534</t>
  </si>
  <si>
    <t>3103656606D</t>
  </si>
  <si>
    <t>9789004310612</t>
  </si>
  <si>
    <t>795013224</t>
  </si>
  <si>
    <t>Z237 S36 2018</t>
  </si>
  <si>
    <t>0                      Z  0237000S  36          2018</t>
  </si>
  <si>
    <t>Watermarked paper from archives in Ravenna (1287-1693) / Nicolangelo Scianna ; translation by Jennifer Monroe.</t>
  </si>
  <si>
    <t>Scianna, Nicolangelo, author.</t>
  </si>
  <si>
    <t>Bibliologia : elementa ad librorum studia pertinentia ; volume 43</t>
  </si>
  <si>
    <t>4883843153:eng</t>
  </si>
  <si>
    <t>1030907248</t>
  </si>
  <si>
    <t>on1030907248</t>
  </si>
  <si>
    <t>3103810177D</t>
  </si>
  <si>
    <t>9782503569697</t>
  </si>
  <si>
    <t>795054915</t>
  </si>
  <si>
    <t>3103810172N</t>
  </si>
  <si>
    <t>795054916</t>
  </si>
  <si>
    <t>Z237 S76 1961</t>
  </si>
  <si>
    <t>0                      Z  0237000S  76          1961</t>
  </si>
  <si>
    <t>Observations on paper as evidence.</t>
  </si>
  <si>
    <t>Stevenson, Allan, 1903-1970.</t>
  </si>
  <si>
    <t>Lawrence, Univ. of Kansas Libraries, 1961.</t>
  </si>
  <si>
    <t>Kansas. University. Publications. Library series, no. 11</t>
  </si>
  <si>
    <t>1366419:eng</t>
  </si>
  <si>
    <t>259797</t>
  </si>
  <si>
    <t>ocm00259797</t>
  </si>
  <si>
    <t>3102015713H</t>
  </si>
  <si>
    <t>791313358</t>
  </si>
  <si>
    <t>Z240 A1 C66 2013</t>
  </si>
  <si>
    <t>0                      Z  0240000A  1                  C  66          2013</t>
  </si>
  <si>
    <t>Incunabula in the Westminster Abbey and Westminster School libraries / by Christopher D. Cook ; bookbinding descriptions by Mirjam M. Foot.</t>
  </si>
  <si>
    <t>Cook, Christopher D., 1982- author.</t>
  </si>
  <si>
    <t>London : The Bibliographical Society, 2013.</t>
  </si>
  <si>
    <t>Bibliographical Society publication ; 2013</t>
  </si>
  <si>
    <t>1375100757:eng</t>
  </si>
  <si>
    <t>830737280</t>
  </si>
  <si>
    <t>ocn830737280</t>
  </si>
  <si>
    <t>3103529151T</t>
  </si>
  <si>
    <t>9780948170232</t>
  </si>
  <si>
    <t>794943642</t>
  </si>
  <si>
    <t>3103527628S</t>
  </si>
  <si>
    <t>794943643</t>
  </si>
  <si>
    <t>Z240 A1 Z36 2012</t>
  </si>
  <si>
    <t>0                      Z  0240000A  1                  Z  36          2012</t>
  </si>
  <si>
    <t>Catalogo degli incunaboli della Biblioteca Antoniana di Padova / Maria Cristina Zanardi ; presentazione di Carlo Carena ; introduzione di Alberto Fanton.</t>
  </si>
  <si>
    <t>Zanardi, Maria Cristina.</t>
  </si>
  <si>
    <t>Firenze : L.S. Olschki, 2012.</t>
  </si>
  <si>
    <t>Biblioteca di bibliografia italiana ; 196</t>
  </si>
  <si>
    <t>1208528603:ita</t>
  </si>
  <si>
    <t>827934900</t>
  </si>
  <si>
    <t>ocn827934900</t>
  </si>
  <si>
    <t>3103492032Z</t>
  </si>
  <si>
    <t>9788822262226</t>
  </si>
  <si>
    <t>794940405</t>
  </si>
  <si>
    <t>Z240 B47 2010</t>
  </si>
  <si>
    <t>0                      Z  0240000B  47          2010</t>
  </si>
  <si>
    <t>Le berceau du livre imprimé, autour des incunables : actes des "Rencontres Marie Pellechet", 22-24 septembre 1997 et des Journées d'étude des 29 et 30 septembre 2005 / textes réunis et édités par Pierre Aquilon &amp; Thierry Claerr.</t>
  </si>
  <si>
    <t>Turnhout : Brepols, ©2010.</t>
  </si>
  <si>
    <t>Études renaissantes ; [5]</t>
  </si>
  <si>
    <t>2013-05-16</t>
  </si>
  <si>
    <t>891832322:fre</t>
  </si>
  <si>
    <t>228443538</t>
  </si>
  <si>
    <t>ocn228443538</t>
  </si>
  <si>
    <t>31033553373</t>
  </si>
  <si>
    <t>9782503525754</t>
  </si>
  <si>
    <t>794349594</t>
  </si>
  <si>
    <t>Z240 B56 1987</t>
  </si>
  <si>
    <t>0                      Z  0240000B  56          1987</t>
  </si>
  <si>
    <t>Bibliography and the study of 15th-century civilisation : papers presented at a colloquium at the British Library, 26-28 September 1984 / organised in conjunction with the Warburg Institute of the University of London ; edited by Lotte Hellinga and John Goldfinch.</t>
  </si>
  <si>
    <t>London ; Wolfeboro, N.H. : British Library, 1987.</t>
  </si>
  <si>
    <t>British Library occasional papers ; 5</t>
  </si>
  <si>
    <t>854636600:eng</t>
  </si>
  <si>
    <t>17676890</t>
  </si>
  <si>
    <t>ocm17676890</t>
  </si>
  <si>
    <t>3102539190N</t>
  </si>
  <si>
    <t>9780712300490</t>
  </si>
  <si>
    <t>792999739</t>
  </si>
  <si>
    <t>Z240 B76 2011</t>
  </si>
  <si>
    <t>0                      Z  0240000B  76          2011</t>
  </si>
  <si>
    <t>The book and the transformation of Britain, c.550-1050 : a study in written and visual literacy and orality / Michelle P. Brown.</t>
  </si>
  <si>
    <t>The Sandars lectures in bibliography, Cambridge University Library, 2009</t>
  </si>
  <si>
    <t>2014-10-10</t>
  </si>
  <si>
    <t>686116134:eng</t>
  </si>
  <si>
    <t>670282516</t>
  </si>
  <si>
    <t>ocn670282516</t>
  </si>
  <si>
    <t>3103396218N</t>
  </si>
  <si>
    <t>9780712358286</t>
  </si>
  <si>
    <t>794847586</t>
  </si>
  <si>
    <t>Z240 H425 2013</t>
  </si>
  <si>
    <t>0                      Z  0240000H  425         2013</t>
  </si>
  <si>
    <t>Home and the world : editing the "Glorious Ming" in woodblock-printed books of the sixteenth and seventeenth centuries / Yuming He.</t>
  </si>
  <si>
    <t>He, Yuming, 1968-</t>
  </si>
  <si>
    <t>Cambridge, Massachusetts ; London : Harvard University Asia Center, 2013.</t>
  </si>
  <si>
    <t>Harvard-Yenching Institute monograph series ; 82</t>
  </si>
  <si>
    <t>2016-08-03</t>
  </si>
  <si>
    <t>1348785299:eng</t>
  </si>
  <si>
    <t>792886786</t>
  </si>
  <si>
    <t>ocn792886786</t>
  </si>
  <si>
    <t>3103535803T</t>
  </si>
  <si>
    <t>9780674066809</t>
  </si>
  <si>
    <t>794917271</t>
  </si>
  <si>
    <t>Z240.4 Z36 1996 Suppl.</t>
  </si>
  <si>
    <t>0                      Z  0240400Z  36          1996                                        Suppl.</t>
  </si>
  <si>
    <t>Bononia manifesta : supplemento al Catalogo dei bandi, editti, costituzioni e provvedimenti diversi, stampati nel XVI secolo per Bologna e il suo territorio / a cura di Zita Zanardi.</t>
  </si>
  <si>
    <t>Suppl.*</t>
  </si>
  <si>
    <t>Zanardi, Zita, author.</t>
  </si>
  <si>
    <t>Firenze : Leo S. Olschki editore, 2014.</t>
  </si>
  <si>
    <t>Biblioteca di bibliografia italiana, 0067-7418 ; 197</t>
  </si>
  <si>
    <t>2070499184:ita</t>
  </si>
  <si>
    <t>876685850</t>
  </si>
  <si>
    <t>ocn876685850</t>
  </si>
  <si>
    <t>3103553080Z</t>
  </si>
  <si>
    <t>9788822263049</t>
  </si>
  <si>
    <t>794970234</t>
  </si>
  <si>
    <t>Z241 B58 D39 2019</t>
  </si>
  <si>
    <t>0                      Z  0241000B  58                 D  39          2019</t>
  </si>
  <si>
    <t>The lost Gutenberg / Margaret Leslie Davis.</t>
  </si>
  <si>
    <t>Davis, Margaret Leslie, author.</t>
  </si>
  <si>
    <t>Crows Nest, NSW : Allen &amp; Unwin, 2019.</t>
  </si>
  <si>
    <t>5399489320:eng</t>
  </si>
  <si>
    <t>1089801553</t>
  </si>
  <si>
    <t>on1089801553</t>
  </si>
  <si>
    <t>3103812709X</t>
  </si>
  <si>
    <t>9781760529611</t>
  </si>
  <si>
    <t>795079610</t>
  </si>
  <si>
    <t>Z241.3 C6 v. 11</t>
  </si>
  <si>
    <t>0                      Z  0241300C  6                                                       v. 11</t>
  </si>
  <si>
    <t>Arauco domado : Obra impresa en Lima / por Antonio Ricardo de Turin en 1596, y ahora editada en facsímil.</t>
  </si>
  <si>
    <t>v. 11*</t>
  </si>
  <si>
    <t>Oña, Pedro de, 1570-1643.</t>
  </si>
  <si>
    <t>Madrid, Ediciones Cultura Hispánica, 1944.</t>
  </si>
  <si>
    <t>Colección de incunables americanos, siglo XVI, v. 11</t>
  </si>
  <si>
    <t>4913047998:spa</t>
  </si>
  <si>
    <t>27795864</t>
  </si>
  <si>
    <t>ocm27795864</t>
  </si>
  <si>
    <t>3103743400A</t>
  </si>
  <si>
    <t>793272210</t>
  </si>
  <si>
    <t>Z242 P37 T73 2016</t>
  </si>
  <si>
    <t>0                      Z  0242000P  37                 T  73          2016</t>
  </si>
  <si>
    <t>Tracing manuscripts in time and space through paratexts / edited by Giovanni Ciotti and Hang Lin.</t>
  </si>
  <si>
    <t>Berlin ; Boston : De Gruyter, [2016]</t>
  </si>
  <si>
    <t>Studies in manuscript cultures ; volume 7</t>
  </si>
  <si>
    <t>3763424028:eng</t>
  </si>
  <si>
    <t>956637771</t>
  </si>
  <si>
    <t>ocn956637771</t>
  </si>
  <si>
    <t>3103698706C</t>
  </si>
  <si>
    <t>9783110473148</t>
  </si>
  <si>
    <t>795020339</t>
  </si>
  <si>
    <t>Z242 T6 F694 2017</t>
  </si>
  <si>
    <t>0                      Z  0242000T  6                  F  694         2017</t>
  </si>
  <si>
    <t>The mind of the book : pictorial title pages / Alastair Fowler.</t>
  </si>
  <si>
    <t>Fowler, Alastair, author.</t>
  </si>
  <si>
    <t>Oxford, United Kingdom : Oxford University Press, 2017.</t>
  </si>
  <si>
    <t>2019-07-30</t>
  </si>
  <si>
    <t>3755221306:eng</t>
  </si>
  <si>
    <t>951759839</t>
  </si>
  <si>
    <t>ocn951759839</t>
  </si>
  <si>
    <t>3103739021V</t>
  </si>
  <si>
    <t>9780198717669</t>
  </si>
  <si>
    <t>795017728</t>
  </si>
  <si>
    <t>Z243 G7 C62 1983</t>
  </si>
  <si>
    <t>0                      Z  0243000G  7                  C  62          1983</t>
  </si>
  <si>
    <t>Brothers : male dominance and technological change / Cynthia Cockburn.</t>
  </si>
  <si>
    <t>Cockburn, Cynthia.</t>
  </si>
  <si>
    <t>London : Pluto Press, 1983.</t>
  </si>
  <si>
    <t>2016-07-15</t>
  </si>
  <si>
    <t>101441:eng</t>
  </si>
  <si>
    <t>9419752</t>
  </si>
  <si>
    <t>ocm09419752</t>
  </si>
  <si>
    <t>3000354293$</t>
  </si>
  <si>
    <t>9780861043842</t>
  </si>
  <si>
    <t>792675479</t>
  </si>
  <si>
    <t>Z244 B3</t>
  </si>
  <si>
    <t>0                      Z  0244000B  3</t>
  </si>
  <si>
    <t>Comment on imprime, par Georges Baudry [et] Robert Marange.</t>
  </si>
  <si>
    <t>Baudry, Georges.</t>
  </si>
  <si>
    <t>Paris, Dunod, 1956.</t>
  </si>
  <si>
    <t>2017-05-23</t>
  </si>
  <si>
    <t>14809961:fre</t>
  </si>
  <si>
    <t>4609587</t>
  </si>
  <si>
    <t>ocm04609587</t>
  </si>
  <si>
    <t>3100654867J</t>
  </si>
  <si>
    <t>792367837</t>
  </si>
  <si>
    <t>Z244 F38 1989</t>
  </si>
  <si>
    <t>0                      Z  0244000F  38          1989</t>
  </si>
  <si>
    <t>Dictionnaire technique des industries graphiques = Technical dictionary of graphic arts industries / Jean-Claude Faudouas.</t>
  </si>
  <si>
    <t>Faudouas, Jean-Claude.</t>
  </si>
  <si>
    <t>Paris : Maison du dictionnaire, ©1989.</t>
  </si>
  <si>
    <t>890430420:fre</t>
  </si>
  <si>
    <t>22117323</t>
  </si>
  <si>
    <t>ocm22117323</t>
  </si>
  <si>
    <t>3100416503B</t>
  </si>
  <si>
    <t>9782856080306</t>
  </si>
  <si>
    <t>793134584</t>
  </si>
  <si>
    <t>Z244.3 B36 1997</t>
  </si>
  <si>
    <t>0                      Z  0244300B  36          1997</t>
  </si>
  <si>
    <t>The new print production handbook / David Bann.</t>
  </si>
  <si>
    <t>Bann, David.</t>
  </si>
  <si>
    <t>London : Little, Brown, 1997.</t>
  </si>
  <si>
    <t>New ed.</t>
  </si>
  <si>
    <t>3343949692:eng</t>
  </si>
  <si>
    <t>59585831</t>
  </si>
  <si>
    <t>ocm59585831</t>
  </si>
  <si>
    <t>3101873936Y</t>
  </si>
  <si>
    <t>9780316641517</t>
  </si>
  <si>
    <t>793930671</t>
  </si>
  <si>
    <t>Z244.3 M45</t>
  </si>
  <si>
    <t>0                      Z  0244300M  45</t>
  </si>
  <si>
    <t>The Thames and Hudson manual of typography / Ruari McLean.</t>
  </si>
  <si>
    <t>New York, N.Y. : Thames and Hudson, ©1980.</t>
  </si>
  <si>
    <t>Thames and Hudson manuals</t>
  </si>
  <si>
    <t>2018-10-01</t>
  </si>
  <si>
    <t>18101310:eng</t>
  </si>
  <si>
    <t>7614463</t>
  </si>
  <si>
    <t>ocm07614463</t>
  </si>
  <si>
    <t>30008441015</t>
  </si>
  <si>
    <t>9780500670224</t>
  </si>
  <si>
    <t>792569668</t>
  </si>
  <si>
    <t>Z244.3 S97</t>
  </si>
  <si>
    <t>0                      Z  0244300S  97</t>
  </si>
  <si>
    <t>Techniques of typography.</t>
  </si>
  <si>
    <t>Swann, Cal.</t>
  </si>
  <si>
    <t>New York, Watson-Guptill Publications [1969]</t>
  </si>
  <si>
    <t>2015-11-25</t>
  </si>
  <si>
    <t>1179931:eng</t>
  </si>
  <si>
    <t>96090</t>
  </si>
  <si>
    <t>ocm00096090</t>
  </si>
  <si>
    <t>3102952328P</t>
  </si>
  <si>
    <t>791254766</t>
  </si>
  <si>
    <t>Z244.5 B855 2013</t>
  </si>
  <si>
    <t>0                      Z  0244500B  855         2013</t>
  </si>
  <si>
    <t>The green design and print production handbook / Adrian Bullock &amp; Meredith Walsh.</t>
  </si>
  <si>
    <t>Bullock, Adrian.</t>
  </si>
  <si>
    <t>Cincinnati, Ohio : How Books, ©2013.</t>
  </si>
  <si>
    <t>1369557277:eng</t>
  </si>
  <si>
    <t>846736853</t>
  </si>
  <si>
    <t>ocn846736853</t>
  </si>
  <si>
    <t>3103505092D</t>
  </si>
  <si>
    <t>9781440320941</t>
  </si>
  <si>
    <t>794949270</t>
  </si>
  <si>
    <t>Z244.6 C6 C438 2002</t>
  </si>
  <si>
    <t>0                      Z  0244600C  6                  C  438         2002</t>
  </si>
  <si>
    <t>Printing for profit : the commercial publishers of Jianyang, Fujian (11th-17th centuries) / Lucille Chia.</t>
  </si>
  <si>
    <t>Chia, Lucille.</t>
  </si>
  <si>
    <t>Cambridge, MA : Published by Harvard University Asia Center for Harvard-Yenching Institute : Distributed by Harvard University Press, 2002.</t>
  </si>
  <si>
    <t>Harvard-Yenching Institute monograph series ; 56</t>
  </si>
  <si>
    <t>3798913758:eng</t>
  </si>
  <si>
    <t>50192128</t>
  </si>
  <si>
    <t>ocm50192128</t>
  </si>
  <si>
    <t>31030046432</t>
  </si>
  <si>
    <t>9780674009554</t>
  </si>
  <si>
    <t>793757587</t>
  </si>
  <si>
    <t>Z246 A52 2015</t>
  </si>
  <si>
    <t>0                      Z  0246000A  52          2015</t>
  </si>
  <si>
    <t>Alt-neue Schriften : typographische und buch-gestalterische Arbeiten von Moshe Spitzer, Franzisca Baruch und Henri Friedlaender : the Israel Museum, Jerusalem, 20. Oktober 2015 bis 19. März 2016 / redaktion: Philine Erni, Caroline Jessen ; texte: Caroline Jessen, Philipp Messner, Ada Wardi.</t>
  </si>
  <si>
    <t>Marbach : Deutsches Literatur Archiv, 2015.</t>
  </si>
  <si>
    <t>2780345339:ger</t>
  </si>
  <si>
    <t>927149231</t>
  </si>
  <si>
    <t>ocn927149231</t>
  </si>
  <si>
    <t>3103622884N</t>
  </si>
  <si>
    <t>9783000500114</t>
  </si>
  <si>
    <t>795005703</t>
  </si>
  <si>
    <t>Z246 A87 2013</t>
  </si>
  <si>
    <t>0                      Z  0246000A  87          2013</t>
  </si>
  <si>
    <t>Aspects of contemporary book design / edited by Richard Hendel ; [with an extended essay by Andrew Barker].</t>
  </si>
  <si>
    <t>Iowa City : University of Iowa Press, ©2013.</t>
  </si>
  <si>
    <t>2018-01-31</t>
  </si>
  <si>
    <t>1372690371:eng</t>
  </si>
  <si>
    <t>816564667</t>
  </si>
  <si>
    <t>ocn816564667</t>
  </si>
  <si>
    <t>31034993112</t>
  </si>
  <si>
    <t>9781609381752</t>
  </si>
  <si>
    <t>794933268</t>
  </si>
  <si>
    <t>Z246 B737 2007</t>
  </si>
  <si>
    <t>0                      Z  0246000B  737         2007</t>
  </si>
  <si>
    <t>Breaking the rules : the printed face of the European avant garde 1900-1937 / edited by Stephen Bury.</t>
  </si>
  <si>
    <t>2019-09-14</t>
  </si>
  <si>
    <t>853711614:eng</t>
  </si>
  <si>
    <t>179835973</t>
  </si>
  <si>
    <t>ocn179835973</t>
  </si>
  <si>
    <t>3102978235T</t>
  </si>
  <si>
    <t>9780712309752</t>
  </si>
  <si>
    <t>794279255</t>
  </si>
  <si>
    <t>- Education Migration Project - By Request</t>
  </si>
  <si>
    <t>Z246 B74 2012</t>
  </si>
  <si>
    <t>0                      Z  0246000B  74          2012</t>
  </si>
  <si>
    <t>The elements of typographic style / Robert Bringhurst.</t>
  </si>
  <si>
    <t>Bringhurst, Robert.</t>
  </si>
  <si>
    <t>Seattle, WA ; Vancouver, BC : Hartley &amp; Marks, ©2012.</t>
  </si>
  <si>
    <t>4th ed. (version 4.0).</t>
  </si>
  <si>
    <t>2018-10-12</t>
  </si>
  <si>
    <t>930975:eng</t>
  </si>
  <si>
    <t>808199932</t>
  </si>
  <si>
    <t>ocn808199932</t>
  </si>
  <si>
    <t>3103565970Y</t>
  </si>
  <si>
    <t>9780881792119</t>
  </si>
  <si>
    <t>794927464</t>
  </si>
  <si>
    <t>Z246 B74 2015</t>
  </si>
  <si>
    <t>0                      Z  0246000B  74          2015</t>
  </si>
  <si>
    <t>Bringhurst, Robert, author.</t>
  </si>
  <si>
    <t>Seattle, WA ; Vancouver, BC : Hartley &amp; Marks, [2015]</t>
  </si>
  <si>
    <t>Fourth edition (version 4.1).</t>
  </si>
  <si>
    <t>928629408</t>
  </si>
  <si>
    <t>ocn928629408</t>
  </si>
  <si>
    <t>3103687042A</t>
  </si>
  <si>
    <t>9780881792126</t>
  </si>
  <si>
    <t>795006287</t>
  </si>
  <si>
    <t>Z246 C37 2012</t>
  </si>
  <si>
    <t>0                      Z  0246000C  37          2012</t>
  </si>
  <si>
    <t>"Dialog" : what makes a great design partnership / Ken Carbone &amp; Leslie Smolan ; text by Raul Barreneche ; with essays by Massimo Vignelli and Steven Heller.</t>
  </si>
  <si>
    <t>Carbone, Ken.</t>
  </si>
  <si>
    <t>New York, NY : Pointed Leaf Press, LLC, [2012]</t>
  </si>
  <si>
    <t>2014-12-12</t>
  </si>
  <si>
    <t>1118131121:eng</t>
  </si>
  <si>
    <t>794707654</t>
  </si>
  <si>
    <t>ocn794707654</t>
  </si>
  <si>
    <t>31034714360</t>
  </si>
  <si>
    <t>9781938461026</t>
  </si>
  <si>
    <t>794920372</t>
  </si>
  <si>
    <t>Z246 D44 2007</t>
  </si>
  <si>
    <t>0                      Z  0246000D  44          2007</t>
  </si>
  <si>
    <t>Design and the modern magazine / edited by Jeremy Aynsley and Kate Forde.</t>
  </si>
  <si>
    <t>Manchester : Manchester University Press, 2007.</t>
  </si>
  <si>
    <t>Studies in design</t>
  </si>
  <si>
    <t>2015-02-14</t>
  </si>
  <si>
    <t>351962921:eng</t>
  </si>
  <si>
    <t>72868360</t>
  </si>
  <si>
    <t>ocm72868360</t>
  </si>
  <si>
    <t>3102570235B</t>
  </si>
  <si>
    <t>9780719075490</t>
  </si>
  <si>
    <t>794170704</t>
  </si>
  <si>
    <t>Z246 D78 2013</t>
  </si>
  <si>
    <t>0                      Z  0246000D  78          2013</t>
  </si>
  <si>
    <t>What is? : nine epistemological essays / Johanna Drucker.</t>
  </si>
  <si>
    <t>[Victoria, Texas] : Cuneiform Press, ©2013.</t>
  </si>
  <si>
    <t>1915106454:eng</t>
  </si>
  <si>
    <t>861774726</t>
  </si>
  <si>
    <t>ocn861774726</t>
  </si>
  <si>
    <t>3103567039O</t>
  </si>
  <si>
    <t>9780986004025</t>
  </si>
  <si>
    <t>794959662</t>
  </si>
  <si>
    <t>Z246 E88 2010</t>
  </si>
  <si>
    <t>0                      Z  0246000E  88          2010</t>
  </si>
  <si>
    <t>L'esthétique du livre / édition établie sous la direction d'Alain Milon et Marc Perelman.</t>
  </si>
  <si>
    <t>Nanterre : Presses universitaires de Paris ouest, 2010.</t>
  </si>
  <si>
    <t>2019-04-24</t>
  </si>
  <si>
    <t>500059110:fre</t>
  </si>
  <si>
    <t>636955792</t>
  </si>
  <si>
    <t>ocn636955792</t>
  </si>
  <si>
    <t>3103317176D</t>
  </si>
  <si>
    <t>9782840160526</t>
  </si>
  <si>
    <t>794826181</t>
  </si>
  <si>
    <t>Z246 I44 2001</t>
  </si>
  <si>
    <t>0                      Z  0246000I  44          2001</t>
  </si>
  <si>
    <t>Illuminating letters : typography and literary interpretation / edited by Paul C. Gutjahr and Megan L. Benton.</t>
  </si>
  <si>
    <t>Amherst : University of Massachusetts Press, ©2001.</t>
  </si>
  <si>
    <t>2018-03-31</t>
  </si>
  <si>
    <t>837045101:eng</t>
  </si>
  <si>
    <t>44627147</t>
  </si>
  <si>
    <t>ocm44627147</t>
  </si>
  <si>
    <t>31036375658</t>
  </si>
  <si>
    <t>9781558492882</t>
  </si>
  <si>
    <t>793654554</t>
  </si>
  <si>
    <t>Z246 K45 2011</t>
  </si>
  <si>
    <t>0                      Z  0246000K  45          2011</t>
  </si>
  <si>
    <t>The art of the book in the twentieth century : a study of eleven influential book designers from 1900 to 2000 / Jerry Kelly.</t>
  </si>
  <si>
    <t>Kelly, Jerry, 1955-</t>
  </si>
  <si>
    <t>Rochester, N.Y. : RIT Cary Graphic Arts Press, 2011.</t>
  </si>
  <si>
    <t>2017-10-09</t>
  </si>
  <si>
    <t>489605752:eng</t>
  </si>
  <si>
    <t>624041907</t>
  </si>
  <si>
    <t>ocn624041907</t>
  </si>
  <si>
    <t>3103529207$</t>
  </si>
  <si>
    <t>9781933360461</t>
  </si>
  <si>
    <t>794823762</t>
  </si>
  <si>
    <t>Z246 M33 2011</t>
  </si>
  <si>
    <t>0                      Z  0246000M  33          2011</t>
  </si>
  <si>
    <t>How the page matters / Bonnie Mak.</t>
  </si>
  <si>
    <t>Mak, Bonnie.</t>
  </si>
  <si>
    <t>Toronto : University of Toronto Press, c2011.</t>
  </si>
  <si>
    <t>Studies in book and print culture series</t>
  </si>
  <si>
    <t>766361651:eng</t>
  </si>
  <si>
    <t>693814340</t>
  </si>
  <si>
    <t>ocn693814340</t>
  </si>
  <si>
    <t>3103325943Z</t>
  </si>
  <si>
    <t>9780802097606</t>
  </si>
  <si>
    <t>794856942</t>
  </si>
  <si>
    <t>Z246 M43 1998</t>
  </si>
  <si>
    <t>0                      Z  0246000M  43          1998</t>
  </si>
  <si>
    <t>A history of graphic design / Philip B. Meggs.</t>
  </si>
  <si>
    <t>Meggs, Philip B.</t>
  </si>
  <si>
    <t>New York : John Wiley &amp; Sons, ©1998.</t>
  </si>
  <si>
    <t>2016-08-22</t>
  </si>
  <si>
    <t>6696065:eng</t>
  </si>
  <si>
    <t>37594815</t>
  </si>
  <si>
    <t>ocm37594815</t>
  </si>
  <si>
    <t>3102952322P</t>
  </si>
  <si>
    <t>9780471291985</t>
  </si>
  <si>
    <t>793502311</t>
  </si>
  <si>
    <t>Z246 M58 2017</t>
  </si>
  <si>
    <t>0                      Z  0246000M  58          2017</t>
  </si>
  <si>
    <t>Typographic style handbook / Mitchell &amp; Wightman.</t>
  </si>
  <si>
    <t>Mitchell, Michael, 1939- author.</t>
  </si>
  <si>
    <t>London : MacLehose Press, 2017.</t>
  </si>
  <si>
    <t>4206641049:eng</t>
  </si>
  <si>
    <t>986618272</t>
  </si>
  <si>
    <t>ocn986618272</t>
  </si>
  <si>
    <t>3103704862S</t>
  </si>
  <si>
    <t>9780857057532</t>
  </si>
  <si>
    <t>795035700</t>
  </si>
  <si>
    <t>Z246 S267 2012</t>
  </si>
  <si>
    <t>0                      Z  0246000S  267         2012</t>
  </si>
  <si>
    <t>The electric information age book : McLuhan/Agel/Fiore and the experimental paperback / Jeffrey T. Schnapp, Adam Michaels.</t>
  </si>
  <si>
    <t>Schnapp, Jeffrey T. (Jeffrey Thompson), 1954-</t>
  </si>
  <si>
    <t>New York : Princeton Architectural Press, ©2012.</t>
  </si>
  <si>
    <t>Inventory books ; 03</t>
  </si>
  <si>
    <t>2018-09-13</t>
  </si>
  <si>
    <t>894533414:eng</t>
  </si>
  <si>
    <t>719428971</t>
  </si>
  <si>
    <t>ocn719428971</t>
  </si>
  <si>
    <t>3103528808M</t>
  </si>
  <si>
    <t>9781616890346</t>
  </si>
  <si>
    <t>794874596</t>
  </si>
  <si>
    <t>Z246 S74 2012</t>
  </si>
  <si>
    <t>0                      Z  0246000S  74          2012</t>
  </si>
  <si>
    <t>La chair du livre : matérialité, imaginaire et poétique du livre fin-de-siècle / Evanghélia Stead.</t>
  </si>
  <si>
    <t>Stead, Evanghélia.</t>
  </si>
  <si>
    <t>Paris : PUPS, ©2012.</t>
  </si>
  <si>
    <t>Histoire de l'imprimé. Références</t>
  </si>
  <si>
    <t>2017-05-16</t>
  </si>
  <si>
    <t>1176863722:fre</t>
  </si>
  <si>
    <t>824353968</t>
  </si>
  <si>
    <t>ocn824353968</t>
  </si>
  <si>
    <t>3103551993E</t>
  </si>
  <si>
    <t>9782840508366</t>
  </si>
  <si>
    <t>794937748</t>
  </si>
  <si>
    <t>Z246 T55 2015</t>
  </si>
  <si>
    <t>0                      Z  0246000T  55          2015</t>
  </si>
  <si>
    <t>Aesthetic tracts : innovation in late-nineteenth-century book design / Ellen Mazur Thomson.</t>
  </si>
  <si>
    <t>Thomson, Ellen Mazur, author.</t>
  </si>
  <si>
    <t>New Castle, Delaware : Oak Knoll Press, 2015.</t>
  </si>
  <si>
    <t>2017-02-07</t>
  </si>
  <si>
    <t>2616043741:eng</t>
  </si>
  <si>
    <t>920469618</t>
  </si>
  <si>
    <t>ocn920469618</t>
  </si>
  <si>
    <t>3103608640X</t>
  </si>
  <si>
    <t>9781584563365</t>
  </si>
  <si>
    <t>795002289</t>
  </si>
  <si>
    <t>Z246 W55 2010</t>
  </si>
  <si>
    <t>0                      Z  0246000W  55          2010</t>
  </si>
  <si>
    <t>Design : Takaaki Matsumoto / written by Amy Wilkins ; introduction by Harold Koda.</t>
  </si>
  <si>
    <t>Wilkins, Amy (Amy S.)</t>
  </si>
  <si>
    <t>[Mount Desert Island, ME] : Acadia Summer Arts Program ; New York : [Distributed by] D.A.P./Distributed Art Publishers, ©2010.</t>
  </si>
  <si>
    <t>369780557:eng</t>
  </si>
  <si>
    <t>495778893</t>
  </si>
  <si>
    <t>ocn495778893</t>
  </si>
  <si>
    <t>31032292723</t>
  </si>
  <si>
    <t>9780979764233</t>
  </si>
  <si>
    <t>794801942</t>
  </si>
  <si>
    <t>Z246.5 M34 L47 2013</t>
  </si>
  <si>
    <t>0                      Z  0246500M  34                 L  47          2013</t>
  </si>
  <si>
    <t>The modern magazine : visual journalism in the digital age / Jeremy Leslie.</t>
  </si>
  <si>
    <t>Leslie, Jeremy.</t>
  </si>
  <si>
    <t>London : Laurence King Publishing, 2013.</t>
  </si>
  <si>
    <t>2014-04-16</t>
  </si>
  <si>
    <t>1622437736:eng</t>
  </si>
  <si>
    <t>827974124</t>
  </si>
  <si>
    <t>ocn827974124</t>
  </si>
  <si>
    <t>3103504612F</t>
  </si>
  <si>
    <t>9781780672984</t>
  </si>
  <si>
    <t>794940507</t>
  </si>
  <si>
    <t>Z247 B34 2013</t>
  </si>
  <si>
    <t>0                      Z  0247000B  34          2013</t>
  </si>
  <si>
    <t>On paper : the everything of its two-thousand-year history / Nicholas A. Basbanes.</t>
  </si>
  <si>
    <t>Basbanes, Nicholas A., 1943-</t>
  </si>
  <si>
    <t>New York : Alfred A. Knopf, 2013.</t>
  </si>
  <si>
    <t>1406360841:eng</t>
  </si>
  <si>
    <t>824119601</t>
  </si>
  <si>
    <t>ocn824119601</t>
  </si>
  <si>
    <t>3103502567G</t>
  </si>
  <si>
    <t>9780307266422</t>
  </si>
  <si>
    <t>794937587</t>
  </si>
  <si>
    <t>Z247 C58</t>
  </si>
  <si>
    <t>0                      Z  0247000C  58</t>
  </si>
  <si>
    <t>Paper and its relationship to books / by R.H. Clapperton ; with a foreword by Hugh R. Dent.</t>
  </si>
  <si>
    <t>Clapperton, Robert Henderson.</t>
  </si>
  <si>
    <t>London : J.M. Dent and Sons, 1934.</t>
  </si>
  <si>
    <t>1934</t>
  </si>
  <si>
    <t>2019211:eng</t>
  </si>
  <si>
    <t>1068420</t>
  </si>
  <si>
    <t>ocm01068420</t>
  </si>
  <si>
    <t>3000687445M</t>
  </si>
  <si>
    <t>791538013</t>
  </si>
  <si>
    <t>Z249.3 K59 1999</t>
  </si>
  <si>
    <t>0                      Z  0249300K  59          1999</t>
  </si>
  <si>
    <t>Digital typography / Donald E. Knuth.</t>
  </si>
  <si>
    <t>Knuth, Donald Ervin, 1938-</t>
  </si>
  <si>
    <t>Stanford, Calif. : CSLI Publications, ©1999.</t>
  </si>
  <si>
    <t>CSLI lecture notes ; no. 78</t>
  </si>
  <si>
    <t>5612670523:eng</t>
  </si>
  <si>
    <t>39281946</t>
  </si>
  <si>
    <t>ocm39281946</t>
  </si>
  <si>
    <t>3102423505R</t>
  </si>
  <si>
    <t>9781575860114</t>
  </si>
  <si>
    <t>793542437</t>
  </si>
  <si>
    <t>Z250 A2 B57 2004</t>
  </si>
  <si>
    <t>0                      Z  0250000A  2                  B  57          2004</t>
  </si>
  <si>
    <t>20th-century type / written by Lewis Blackwell ; designed by Angus Hyland/Pentagram.</t>
  </si>
  <si>
    <t>Blackwell, Lewis, 1958-</t>
  </si>
  <si>
    <t>New Haven, CT : Yale University Press, ©2004.</t>
  </si>
  <si>
    <t>New &amp; rev. ed.</t>
  </si>
  <si>
    <t>2018-09-17</t>
  </si>
  <si>
    <t>15995998:eng</t>
  </si>
  <si>
    <t>55129340</t>
  </si>
  <si>
    <t>ocm55129340</t>
  </si>
  <si>
    <t>31023896573</t>
  </si>
  <si>
    <t>9780300100730</t>
  </si>
  <si>
    <t>793874923</t>
  </si>
  <si>
    <t>Z250 A2 B7</t>
  </si>
  <si>
    <t>0                      Z  0250000A  2                  B  7</t>
  </si>
  <si>
    <t>Eric Gill; the man who loved letters.</t>
  </si>
  <si>
    <t>Brewer, Roy, 1924-</t>
  </si>
  <si>
    <t>London, Muller, 1973.</t>
  </si>
  <si>
    <t>The Ars Typographica Library.</t>
  </si>
  <si>
    <t>117935465:eng</t>
  </si>
  <si>
    <t>875009</t>
  </si>
  <si>
    <t>ocm00875009</t>
  </si>
  <si>
    <t>30008552821</t>
  </si>
  <si>
    <t>9780584103519</t>
  </si>
  <si>
    <t>791492425</t>
  </si>
  <si>
    <t>Z250 A2 C36 2002</t>
  </si>
  <si>
    <t>0                      Z  0250000A  2                  C  36          2002</t>
  </si>
  <si>
    <t>A view of early typography up to about 1600 / Harry Carter ; with an introduction by James Mosley.</t>
  </si>
  <si>
    <t>Carter, Harry.</t>
  </si>
  <si>
    <t>London : Hyphen, 2002, ©1969.</t>
  </si>
  <si>
    <t>2018-10-05</t>
  </si>
  <si>
    <t>1038418:eng</t>
  </si>
  <si>
    <t>49691067</t>
  </si>
  <si>
    <t>ocm49691067</t>
  </si>
  <si>
    <t>3102952312R</t>
  </si>
  <si>
    <t>9780907259213</t>
  </si>
  <si>
    <t>793745738</t>
  </si>
  <si>
    <t>Z250 A2 C66 2011</t>
  </si>
  <si>
    <t>0                      Z  0250000A  2                  C  66          2011</t>
  </si>
  <si>
    <t>Classic typefaces : American type &amp; type designers / David Consuegra.</t>
  </si>
  <si>
    <t>Consuegra, David.</t>
  </si>
  <si>
    <t>New York : Allworth Press, 2011.</t>
  </si>
  <si>
    <t>1043056197:eng</t>
  </si>
  <si>
    <t>711052382</t>
  </si>
  <si>
    <t>ocn711052382</t>
  </si>
  <si>
    <t>31034723271</t>
  </si>
  <si>
    <t>9781581158946</t>
  </si>
  <si>
    <t>794870904</t>
  </si>
  <si>
    <t>Z250 A2 D35 2017</t>
  </si>
  <si>
    <t>0                      Z  0250000A  2                  D  35          2017</t>
  </si>
  <si>
    <t>Carl Dair &amp; the Cartier typeface : selected correspondence / edited by Kristine Tortora.</t>
  </si>
  <si>
    <t>Kentville, Nova Scotia : Gaspereau Press, 2017.</t>
  </si>
  <si>
    <t>4681397088:eng</t>
  </si>
  <si>
    <t>1016436456</t>
  </si>
  <si>
    <t>on1016436456</t>
  </si>
  <si>
    <t>3103729395X</t>
  </si>
  <si>
    <t>9781554471768</t>
  </si>
  <si>
    <t>795048431</t>
  </si>
  <si>
    <t>Z250 A2 D59 2006</t>
  </si>
  <si>
    <t>0                      Z  0250000A  2                  D  59          2006</t>
  </si>
  <si>
    <t>From Gutenberg to opentype : an illustrated history of type from the earliest letterforms to the latest digital fonts / Robin Dodd.</t>
  </si>
  <si>
    <t>Dodd, Robin.</t>
  </si>
  <si>
    <t>Lewes : Ilex, 2006.</t>
  </si>
  <si>
    <t>863907837:eng</t>
  </si>
  <si>
    <t>64748181</t>
  </si>
  <si>
    <t>ocm64748181</t>
  </si>
  <si>
    <t>31025686407</t>
  </si>
  <si>
    <t>9781904705772</t>
  </si>
  <si>
    <t>794131661</t>
  </si>
  <si>
    <t>Z250 A2 G65</t>
  </si>
  <si>
    <t>0                      Z  0250000A  2                  G  65</t>
  </si>
  <si>
    <t>Heritage of the graphic arts; a selection of lectures delivered at Gallery 303, New York City under the direction of Dr. Robert L. Leslie. Edited by Chandler B. Grannis.</t>
  </si>
  <si>
    <t>Grannis, Chandler B., compiler.</t>
  </si>
  <si>
    <t>New York, Bowker, 1972.</t>
  </si>
  <si>
    <t>111956341:eng</t>
  </si>
  <si>
    <t>297520</t>
  </si>
  <si>
    <t>ocm00297520</t>
  </si>
  <si>
    <t>3102952317R</t>
  </si>
  <si>
    <t>9780835202138</t>
  </si>
  <si>
    <t>791328163</t>
  </si>
  <si>
    <t>Z250 A2 G7 1976b</t>
  </si>
  <si>
    <t>0                      Z  0250000A  2                  G  7           1976b</t>
  </si>
  <si>
    <t>Nineteenth century ornamented typefaces / Nicolete Gray.</t>
  </si>
  <si>
    <t>Gray, Nicolete, 1911-1997.</t>
  </si>
  <si>
    <t>London : Faber, 1976.</t>
  </si>
  <si>
    <t>New ed. / with a chapter on ornamented types in America by Ray Nash.</t>
  </si>
  <si>
    <t>2017-09-22</t>
  </si>
  <si>
    <t>102572534:eng</t>
  </si>
  <si>
    <t>2801231</t>
  </si>
  <si>
    <t>ocm02801231</t>
  </si>
  <si>
    <t>3102952381D</t>
  </si>
  <si>
    <t>9780571102174</t>
  </si>
  <si>
    <t>792178327</t>
  </si>
  <si>
    <t>Z250 A2 H455 2011</t>
  </si>
  <si>
    <t>0                      Z  0250000A  2                  H  455         2011</t>
  </si>
  <si>
    <t>Vintage type and graphics : an eclectic collection of typography, ornament, letterheads, and trademarks from 1896-1936 / Steven Heller &amp; Louise Fili.</t>
  </si>
  <si>
    <t>(text + CD-ROM)</t>
  </si>
  <si>
    <t>Heller, Steven.</t>
  </si>
  <si>
    <t>New York, NY : Allworth Press, ©2011.</t>
  </si>
  <si>
    <t>2017-06-09</t>
  </si>
  <si>
    <t>1043056291:eng</t>
  </si>
  <si>
    <t>711052383</t>
  </si>
  <si>
    <t>ocn711052383</t>
  </si>
  <si>
    <t>3103406288B</t>
  </si>
  <si>
    <t>9781581158922</t>
  </si>
  <si>
    <t>794870905</t>
  </si>
  <si>
    <t>Z250 A2 J6 1967</t>
  </si>
  <si>
    <t>0                      Z  0250000A  2                  J  6           1967</t>
  </si>
  <si>
    <t>Type designs: their history and development [by] A.F. Johnson.</t>
  </si>
  <si>
    <t>London, Deutsch [1967]</t>
  </si>
  <si>
    <t>A Grafton book</t>
  </si>
  <si>
    <t>1697735:eng</t>
  </si>
  <si>
    <t>574446</t>
  </si>
  <si>
    <t>ocm00574446</t>
  </si>
  <si>
    <t>3000855322F</t>
  </si>
  <si>
    <t>791418617</t>
  </si>
  <si>
    <t>Z250 A2 L69 2016</t>
  </si>
  <si>
    <t>0                      Z  0250000A  2                  L  69          2016</t>
  </si>
  <si>
    <t>Type is beautiful : the story of fifty remarkable fonts / Simon Loxley.</t>
  </si>
  <si>
    <t>Loxley, Simon, author.</t>
  </si>
  <si>
    <t>Oxford : Bodleian Library, University of Oxford, [2016]</t>
  </si>
  <si>
    <t>3775511193:eng</t>
  </si>
  <si>
    <t>921866075</t>
  </si>
  <si>
    <t>ocn921866075</t>
  </si>
  <si>
    <t>3103698141Y</t>
  </si>
  <si>
    <t>9781851244317</t>
  </si>
  <si>
    <t>795003396</t>
  </si>
  <si>
    <t>Z250 A2 M156 2006b</t>
  </si>
  <si>
    <t>0                      Z  0250000A  2                  M  156         2006b</t>
  </si>
  <si>
    <t>An A-Z of type designers / Neil Macmillan.</t>
  </si>
  <si>
    <t>Macmillan, Neil, 1946-</t>
  </si>
  <si>
    <t>New Haven, CT : Yale University Press, ©2006.</t>
  </si>
  <si>
    <t>341266649:eng</t>
  </si>
  <si>
    <t>71231333</t>
  </si>
  <si>
    <t>ocm71231333</t>
  </si>
  <si>
    <t>3102590613U</t>
  </si>
  <si>
    <t>9780300111514</t>
  </si>
  <si>
    <t>794163767</t>
  </si>
  <si>
    <t>Z250 A2 M36 2017</t>
  </si>
  <si>
    <t>0                      Z  0250000A  2                  M  36          2017</t>
  </si>
  <si>
    <t>The visual history of type / Paul McNeil.</t>
  </si>
  <si>
    <t>McNeil, Paul (Graphic designer), author.</t>
  </si>
  <si>
    <t>London : Laurence King Publishing, 2017.</t>
  </si>
  <si>
    <t>4027512587:eng</t>
  </si>
  <si>
    <t>968290428</t>
  </si>
  <si>
    <t>ocn968290428</t>
  </si>
  <si>
    <t>3103759146$</t>
  </si>
  <si>
    <t>9781780679761</t>
  </si>
  <si>
    <t>795027071</t>
  </si>
  <si>
    <t>Z250 A2 S43 2015</t>
  </si>
  <si>
    <t>0                      Z  0250000A  2                  S  43          2015</t>
  </si>
  <si>
    <t>The evolution of type : a graphic guide to 100 landmark typefaces / Tony Seddon.</t>
  </si>
  <si>
    <t>Seddon, Tony, 1965- author.</t>
  </si>
  <si>
    <t>London : Thames &amp; Hudson, 2015.</t>
  </si>
  <si>
    <t>2496076459:eng</t>
  </si>
  <si>
    <t>917375914</t>
  </si>
  <si>
    <t>ocn917375914</t>
  </si>
  <si>
    <t>3103612991S</t>
  </si>
  <si>
    <t>9780500241486</t>
  </si>
  <si>
    <t>795000913</t>
  </si>
  <si>
    <t>Z250 A2 S64 2011</t>
  </si>
  <si>
    <t>0                      Z  0250000A  2                  S  64          2011</t>
  </si>
  <si>
    <t>Counterpunch : making type in the sixteenth century, designing typefaces now / Fred Smeijers.</t>
  </si>
  <si>
    <t>Smeijers, Fred, author.</t>
  </si>
  <si>
    <t>London : Hyphen Press, 2011.</t>
  </si>
  <si>
    <t>2nd ed. rev. and reset.</t>
  </si>
  <si>
    <t>11547118:eng</t>
  </si>
  <si>
    <t>762673127</t>
  </si>
  <si>
    <t>ocn762673127</t>
  </si>
  <si>
    <t>3103470876L</t>
  </si>
  <si>
    <t>9780907259428</t>
  </si>
  <si>
    <t>794899942</t>
  </si>
  <si>
    <t>Z250 A2 S66 2014</t>
  </si>
  <si>
    <t>0                      Z  0250000A  2                  S  66          2014</t>
  </si>
  <si>
    <t>History of the Monotype Corporation / Judy Slinn, Sebastian Carter, Richard Southall ; edited by Andrew Boag &amp; Christopher Burke.</t>
  </si>
  <si>
    <t>Slinn, Judy, author.</t>
  </si>
  <si>
    <t>London : Printing Historical Society ; Woodstock, UK : Vanbrugh Press, [2014]</t>
  </si>
  <si>
    <t>2018-10-09</t>
  </si>
  <si>
    <t>2239711002:eng</t>
  </si>
  <si>
    <t>897835820</t>
  </si>
  <si>
    <t>ocn897835820</t>
  </si>
  <si>
    <t>3103688440U</t>
  </si>
  <si>
    <t>9780900003158</t>
  </si>
  <si>
    <t>794985477</t>
  </si>
  <si>
    <t>Z250 A2 S68 2005</t>
  </si>
  <si>
    <t>0                      Z  0250000A  2                  S  68          2005</t>
  </si>
  <si>
    <t>Printer's type in the twentieth century : manufacturing and design methods / Richard Southall.</t>
  </si>
  <si>
    <t>Southall, Richard, author.</t>
  </si>
  <si>
    <t>London : British Library ; New Castle, DE : Oak Knoll Press, 2005.</t>
  </si>
  <si>
    <t>293191285:eng</t>
  </si>
  <si>
    <t>56752380</t>
  </si>
  <si>
    <t>ocm56752380</t>
  </si>
  <si>
    <t>31025939257</t>
  </si>
  <si>
    <t>9780712348126</t>
  </si>
  <si>
    <t>793901193</t>
  </si>
  <si>
    <t>The origins of Beowulf : from Vergil to Wiglaf / Richard North.</t>
  </si>
  <si>
    <t>North, Richard, 1961-</t>
  </si>
  <si>
    <t>Oxford ; New York : Oxford University Press, 2006.</t>
  </si>
  <si>
    <t>2018-04-03</t>
  </si>
  <si>
    <t>219335423:eng</t>
  </si>
  <si>
    <t>70292043</t>
  </si>
  <si>
    <t>ocm70292043</t>
  </si>
  <si>
    <t>3102569086D</t>
  </si>
  <si>
    <t>9780199206612</t>
  </si>
  <si>
    <t>794152614</t>
  </si>
  <si>
    <t>Z250 A2 U6 1962</t>
  </si>
  <si>
    <t>0                      Z  0250000A  2                  U  6           1962</t>
  </si>
  <si>
    <t>Printing types : their history, forms, and use; a study in survivals.</t>
  </si>
  <si>
    <t>Updike, Daniel Berkeley, 1860-1941.</t>
  </si>
  <si>
    <t>Cambridge, Mass., Belknap Press, 1962.</t>
  </si>
  <si>
    <t>[3d ed.].</t>
  </si>
  <si>
    <t>2018-03-29</t>
  </si>
  <si>
    <t>2018-10-02</t>
  </si>
  <si>
    <t>343137345:eng</t>
  </si>
  <si>
    <t>2909773</t>
  </si>
  <si>
    <t>ocm02909773</t>
  </si>
  <si>
    <t>3100381950D</t>
  </si>
  <si>
    <t>792191984</t>
  </si>
  <si>
    <t>30008487000</t>
  </si>
  <si>
    <t>792191985</t>
  </si>
  <si>
    <t>Z250 A4 P9 1926</t>
  </si>
  <si>
    <t>0                      Z  0250000A  4                  P  9           1926</t>
  </si>
  <si>
    <t>Report on the legibility of print / by R.L. Pyke, M.A.</t>
  </si>
  <si>
    <t>Pyke, R. L., author.</t>
  </si>
  <si>
    <t>London : Published by His Majesty's Stationery Office, 1926.</t>
  </si>
  <si>
    <t>1926</t>
  </si>
  <si>
    <t>Special report series ; no. 110</t>
  </si>
  <si>
    <t>2017-10-02</t>
  </si>
  <si>
    <t>5612525924:eng</t>
  </si>
  <si>
    <t>3907082</t>
  </si>
  <si>
    <t>ocm03907082</t>
  </si>
  <si>
    <t>31023805437</t>
  </si>
  <si>
    <t>792303864</t>
  </si>
  <si>
    <t>Z250 A409</t>
  </si>
  <si>
    <t>0                      Z  0250000A  409</t>
  </si>
  <si>
    <t>Legibility, atmosphere-value and forms of printing types, by Dr. G.W. Ovink.</t>
  </si>
  <si>
    <t>Ovink, G. W.</t>
  </si>
  <si>
    <t>Leiden, A.W. Sijthoff, 1938.</t>
  </si>
  <si>
    <t>1938</t>
  </si>
  <si>
    <t>Mededeelingen uit het Psychologisch Laboratorium der Rijksuniversiteit te Utrecht ; 10</t>
  </si>
  <si>
    <t>2019-01-21</t>
  </si>
  <si>
    <t>146460151:eng</t>
  </si>
  <si>
    <t>843117</t>
  </si>
  <si>
    <t>ocm00843117</t>
  </si>
  <si>
    <t>31032939798</t>
  </si>
  <si>
    <t>791484589</t>
  </si>
  <si>
    <t>Z250 B15 2005</t>
  </si>
  <si>
    <t>0                      Z  0250000B  15          2005</t>
  </si>
  <si>
    <t>Type &amp; typography / Phil Baines &amp; Andrew Haslam.</t>
  </si>
  <si>
    <t>Baines, Phil, 1958-</t>
  </si>
  <si>
    <t>New York : Watson-Guptill Publications, [2005]</t>
  </si>
  <si>
    <t>1020267:eng</t>
  </si>
  <si>
    <t>62253460</t>
  </si>
  <si>
    <t>ocm62253460</t>
  </si>
  <si>
    <t>31026327450</t>
  </si>
  <si>
    <t>9780823055289</t>
  </si>
  <si>
    <t>794102914</t>
  </si>
  <si>
    <t>Z250 B562</t>
  </si>
  <si>
    <t>0                      Z  0250000B  562</t>
  </si>
  <si>
    <t>The book of 100 type face alphabets; a guide to better lettering [by] J.I. Biegeleisen.</t>
  </si>
  <si>
    <t>Biegeleisen, J. I. (Jacob Israel), 1910-</t>
  </si>
  <si>
    <t>[Cincinnati], [Signs of the Times Pub. Co.], [1965]</t>
  </si>
  <si>
    <t>5608778878:eng</t>
  </si>
  <si>
    <t>1214498</t>
  </si>
  <si>
    <t>ocm01214498</t>
  </si>
  <si>
    <t>3001172795G</t>
  </si>
  <si>
    <t>791575056</t>
  </si>
  <si>
    <t>Z250 B75 2016</t>
  </si>
  <si>
    <t>0                      Z  0250000B  75          2016</t>
  </si>
  <si>
    <t>Palatino : the natural history of a typeface / Robert Bringhurst.</t>
  </si>
  <si>
    <t>Bringhurst, Robert, author, compositor.</t>
  </si>
  <si>
    <t>Boston : David R. Godine, Publisher ; San Francisco : in association with the Book Club of California, 2016.</t>
  </si>
  <si>
    <t>First trade edition.</t>
  </si>
  <si>
    <t>2019-01-24</t>
  </si>
  <si>
    <t>3039866674:eng</t>
  </si>
  <si>
    <t>961937513</t>
  </si>
  <si>
    <t>ocn961937513</t>
  </si>
  <si>
    <t>3103422729E</t>
  </si>
  <si>
    <t>9781567925722</t>
  </si>
  <si>
    <t>795024069</t>
  </si>
  <si>
    <t>Z250 B95 2012</t>
  </si>
  <si>
    <t>0                      Z  0250000B  95          2012</t>
  </si>
  <si>
    <t>Design:type : a seductive collection of alluring type designs / [compiled by] Paul Burgess/Burge Agency ; with Tony Seddon.</t>
  </si>
  <si>
    <t>Burgess, Paul, 1969- author.</t>
  </si>
  <si>
    <t>Beverly, MA : Rockport Publishers, [2012]</t>
  </si>
  <si>
    <t>Design</t>
  </si>
  <si>
    <t>1170004466:eng</t>
  </si>
  <si>
    <t>781679563</t>
  </si>
  <si>
    <t>ocn781679563</t>
  </si>
  <si>
    <t>3103472392O</t>
  </si>
  <si>
    <t>9781592537983</t>
  </si>
  <si>
    <t>794913117</t>
  </si>
  <si>
    <t>Z250 F44 2012</t>
  </si>
  <si>
    <t>0                      Z  0250000F  44          2012</t>
  </si>
  <si>
    <t>The complete manual of typography : a guide to setting perfect type / James Felici.</t>
  </si>
  <si>
    <t>Felici, James.</t>
  </si>
  <si>
    <t>Berkeley, CA : Peachpit Press, ©2012.</t>
  </si>
  <si>
    <t>865286787:eng</t>
  </si>
  <si>
    <t>698331824</t>
  </si>
  <si>
    <t>ocn698331824</t>
  </si>
  <si>
    <t>3103396126O</t>
  </si>
  <si>
    <t>9780321773265</t>
  </si>
  <si>
    <t>794860903</t>
  </si>
  <si>
    <t>Z250 G4413 1964</t>
  </si>
  <si>
    <t>0                      Z  0250000G  4413        1964</t>
  </si>
  <si>
    <t>Designing programmes; four essays and an introduction. With an introd. to the introduction by Paul Gredinger. English version by D.Q. Stephenson.</t>
  </si>
  <si>
    <t>Gerstner, Karl.</t>
  </si>
  <si>
    <t>Teufen, A. Niggli, 1964.</t>
  </si>
  <si>
    <t>2019-05-10</t>
  </si>
  <si>
    <t>4776534941:eng</t>
  </si>
  <si>
    <t>8137118</t>
  </si>
  <si>
    <t>ocm08137118</t>
  </si>
  <si>
    <t>3102952385D</t>
  </si>
  <si>
    <t>792601438</t>
  </si>
  <si>
    <t>Z250 L35</t>
  </si>
  <si>
    <t>0                      Z  0250000L  35</t>
  </si>
  <si>
    <t>Printing types; an introduction [by] Alexander Lawson.</t>
  </si>
  <si>
    <t>Lawson, Alexander S.</t>
  </si>
  <si>
    <t>Boston, Beacon Press [1971]</t>
  </si>
  <si>
    <t>1971</t>
  </si>
  <si>
    <t>1258169:eng</t>
  </si>
  <si>
    <t>128498</t>
  </si>
  <si>
    <t>ocm00128498</t>
  </si>
  <si>
    <t>3000855376T</t>
  </si>
  <si>
    <t>9780807066584</t>
  </si>
  <si>
    <t>791265675</t>
  </si>
  <si>
    <t>Z250 L6</t>
  </si>
  <si>
    <t>0                      Z  0250000L  6</t>
  </si>
  <si>
    <t>Types of typefaces and how to recognize them / by J. Ben Lieberman.</t>
  </si>
  <si>
    <t>Lieberman, J. Ben, author.</t>
  </si>
  <si>
    <t>New York : Sterling Publishing Co., Inc., [1967]</t>
  </si>
  <si>
    <t>2019-11-07</t>
  </si>
  <si>
    <t>1791535:eng</t>
  </si>
  <si>
    <t>852052</t>
  </si>
  <si>
    <t>ocm00852052</t>
  </si>
  <si>
    <t>30008553801</t>
  </si>
  <si>
    <t>791486980</t>
  </si>
  <si>
    <t>Z250 M84 1962</t>
  </si>
  <si>
    <t>0                      Z  0250000M  84          1962</t>
  </si>
  <si>
    <t>A dissertation upon English typographical founders and founderies (1778) : with a catalogue and specimen of the typefoundry of John James (1782) / edited with an introduction and notes by Harry Carter &amp; Christopher Ricks.</t>
  </si>
  <si>
    <t>Mores, Edward Rowe, 1730-1778.</t>
  </si>
  <si>
    <t>Oxford : Oxford Bibliographical Society, 1961.</t>
  </si>
  <si>
    <t>Oxford Bibliographical Society. Publications ; new ser., v. 9</t>
  </si>
  <si>
    <t>2017-03-06</t>
  </si>
  <si>
    <t>375582811:eng</t>
  </si>
  <si>
    <t>1952802</t>
  </si>
  <si>
    <t>ocm01952802</t>
  </si>
  <si>
    <t>3000636443O</t>
  </si>
  <si>
    <t>792017316</t>
  </si>
  <si>
    <t>Z250 M858 1925</t>
  </si>
  <si>
    <t>0                      Z  0250000M  858         1925</t>
  </si>
  <si>
    <t>The art of the printer : 250 title &amp; text pages selected from books composed in the roman letter printed from 1500 to 1900.</t>
  </si>
  <si>
    <t>Morison, Stanley, 1889-1967.</t>
  </si>
  <si>
    <t>London : E. Benn Limited, 1925.</t>
  </si>
  <si>
    <t>4482202:eng</t>
  </si>
  <si>
    <t>2275289</t>
  </si>
  <si>
    <t>ocm02275289</t>
  </si>
  <si>
    <t>3100245777C</t>
  </si>
  <si>
    <t>792096277</t>
  </si>
  <si>
    <t>Z250 M86 1960</t>
  </si>
  <si>
    <t>0                      Z  0250000M  86          1960</t>
  </si>
  <si>
    <t>Four centuries of fine printing; one hundred and ninety-two facsimiles of pages from books printed at presses established between 1465 and 1924. With an historical introd. by Stanley Morison.</t>
  </si>
  <si>
    <t>London, E. Benn [1960]</t>
  </si>
  <si>
    <t>New ed. [i.e. 4th rev. (reset) ed.].</t>
  </si>
  <si>
    <t>2018-09-14</t>
  </si>
  <si>
    <t>3740844494:eng</t>
  </si>
  <si>
    <t>1351838</t>
  </si>
  <si>
    <t>ocm01351838</t>
  </si>
  <si>
    <t>3000226053Y</t>
  </si>
  <si>
    <t>791606950</t>
  </si>
  <si>
    <t>Z250 N49 2015</t>
  </si>
  <si>
    <t>0                      Z  0250000N  49          2015</t>
  </si>
  <si>
    <t>Type : new perspectives in typography.</t>
  </si>
  <si>
    <t>Kubel, Henrik.</t>
  </si>
  <si>
    <t>[Place of publication not identified] : Laurence King Publishing, 2015.</t>
  </si>
  <si>
    <t>8961819276:eng</t>
  </si>
  <si>
    <t>883650555</t>
  </si>
  <si>
    <t>ocn883650555</t>
  </si>
  <si>
    <t>3103609895W</t>
  </si>
  <si>
    <t>9781780673066</t>
  </si>
  <si>
    <t>794975759</t>
  </si>
  <si>
    <t>Z250 P953 Y68 2012</t>
  </si>
  <si>
    <t>0                      Z  0250000P  953                Y  68          2012</t>
  </si>
  <si>
    <t>The rise and fall of the Printers' international specimen exchange / Matthew McLennan Young.</t>
  </si>
  <si>
    <t>Young, Matthew McLennan.</t>
  </si>
  <si>
    <t>New Castle, DE : Oak Knoll Press, 2012.</t>
  </si>
  <si>
    <t>2018-11-23</t>
  </si>
  <si>
    <t>1126674456:eng</t>
  </si>
  <si>
    <t>801051395</t>
  </si>
  <si>
    <t>ocn801051395</t>
  </si>
  <si>
    <t>3103506030L</t>
  </si>
  <si>
    <t>9781584563099</t>
  </si>
  <si>
    <t>794924787</t>
  </si>
  <si>
    <t>Z250 T985 2012</t>
  </si>
  <si>
    <t>0                      Z  0250000T  985         2012</t>
  </si>
  <si>
    <t>Typography, referenced : a comprehensive visual guide to the language, history, and practice of typography / Allan Haley [and others].</t>
  </si>
  <si>
    <t>Beverly, MA. : Rockport Publishers, ©2012.</t>
  </si>
  <si>
    <t>1100866475:eng</t>
  </si>
  <si>
    <t>757931752</t>
  </si>
  <si>
    <t>ocn757931752</t>
  </si>
  <si>
    <t>3103469439A</t>
  </si>
  <si>
    <t>9781592537020</t>
  </si>
  <si>
    <t>794895891</t>
  </si>
  <si>
    <t>Z250.3 P5</t>
  </si>
  <si>
    <t>0                      Z  0250300P  5</t>
  </si>
  <si>
    <t>Pictorial archive of printer's ornaments from the Renaissance to the 20th century / selected by Carol Belanger Grafton.</t>
  </si>
  <si>
    <t>New York : Dover Publications, 1980.</t>
  </si>
  <si>
    <t>Dover pictorial archive series</t>
  </si>
  <si>
    <t>2018-01-25</t>
  </si>
  <si>
    <t>1808807799:eng</t>
  </si>
  <si>
    <t>6531185</t>
  </si>
  <si>
    <t>ocm06531185</t>
  </si>
  <si>
    <t>3000842975S</t>
  </si>
  <si>
    <t>9780486239446</t>
  </si>
  <si>
    <t>792506866</t>
  </si>
  <si>
    <t>Z250.5 F88 F88 2017</t>
  </si>
  <si>
    <t>0                      Z  0250500F  88                 F  88          2017</t>
  </si>
  <si>
    <t>Futura : the typeface / edited by Petra Eisele, Annette Ludwig, Isabel Naegele ; translator, Phyllis Elago.</t>
  </si>
  <si>
    <t>Futura. English.</t>
  </si>
  <si>
    <t>4674337151:eng</t>
  </si>
  <si>
    <t>994231781</t>
  </si>
  <si>
    <t>ocn994231781</t>
  </si>
  <si>
    <t>31037036276</t>
  </si>
  <si>
    <t>9781786270931</t>
  </si>
  <si>
    <t>795038978</t>
  </si>
  <si>
    <t>Z250.5 W65 K58 2015</t>
  </si>
  <si>
    <t>0                      Z  0250500W  65                 K  58          2015</t>
  </si>
  <si>
    <t>Alan Kitching's A-Z of letterpress : founts from the typography workshop.</t>
  </si>
  <si>
    <t>Kitching, Alan, 1940- author.</t>
  </si>
  <si>
    <t>London, United Kingdom : Laurence King Publishing, 2015.</t>
  </si>
  <si>
    <t>2520764813:eng</t>
  </si>
  <si>
    <t>907360183</t>
  </si>
  <si>
    <t>ocn907360183</t>
  </si>
  <si>
    <t>31036101259</t>
  </si>
  <si>
    <t>9781780674810</t>
  </si>
  <si>
    <t>794993266</t>
  </si>
  <si>
    <t>Z250.6 B5 C6 1994</t>
  </si>
  <si>
    <t>0                      Z  0250600B  5                  C  6           1994</t>
  </si>
  <si>
    <t>Scientific style and format : the CBE manual for authors, editors, and publishers / Style Manual Committee, Council of Biology Editors.</t>
  </si>
  <si>
    <t>Cambridge ; New York : Cambridge University Press, 1994.</t>
  </si>
  <si>
    <t>6th edition.</t>
  </si>
  <si>
    <t>2016-11-15</t>
  </si>
  <si>
    <t>808414197:eng</t>
  </si>
  <si>
    <t>30624179</t>
  </si>
  <si>
    <t>ocm30624179</t>
  </si>
  <si>
    <t>3101713800S</t>
  </si>
  <si>
    <t>9780521471541</t>
  </si>
  <si>
    <t>793340449</t>
  </si>
  <si>
    <t>Z250.7 J58 2012</t>
  </si>
  <si>
    <t>0                      Z  0250700J  58          2012</t>
  </si>
  <si>
    <t>Digital fonts : the complete guide to creating, marketing and selling / by Alec Julien.</t>
  </si>
  <si>
    <t>Julien, Alec.</t>
  </si>
  <si>
    <t>London : Thames &amp; Hudson, 2012.</t>
  </si>
  <si>
    <t>2015-11-19</t>
  </si>
  <si>
    <t>1126284487:eng</t>
  </si>
  <si>
    <t>800642252</t>
  </si>
  <si>
    <t>ocn800642252</t>
  </si>
  <si>
    <t>3103458096J</t>
  </si>
  <si>
    <t>9780500290460</t>
  </si>
  <si>
    <t>794924602</t>
  </si>
  <si>
    <t>Z250.8 M46 K58 1986</t>
  </si>
  <si>
    <t>0                      Z  0250800M  46                 K  58          1986</t>
  </si>
  <si>
    <t>The METAFONTbook / Donald E. Knuth ; illustrations by Duane Bibby.</t>
  </si>
  <si>
    <t>Reading, Mass. : Addison-Wesley, ©1986.</t>
  </si>
  <si>
    <t>Computers &amp; typesetting ; C</t>
  </si>
  <si>
    <t>1122423422:eng</t>
  </si>
  <si>
    <t>12973675</t>
  </si>
  <si>
    <t>ocm12973675</t>
  </si>
  <si>
    <t>3101441990A</t>
  </si>
  <si>
    <t>9780201134452</t>
  </si>
  <si>
    <t>792835344</t>
  </si>
  <si>
    <t>Z251 E5 L4</t>
  </si>
  <si>
    <t>0                      Z  0251000E  5                  L  4</t>
  </si>
  <si>
    <t>Printed ephemera : the changing uses of type and letterforms in English and American printing / John Lewis.</t>
  </si>
  <si>
    <t>Lewis, John, 1912-1996, author.</t>
  </si>
  <si>
    <t>Ipswich, Suffolk : W.S. Cowell, 1962.</t>
  </si>
  <si>
    <t>836684473:eng</t>
  </si>
  <si>
    <t>322709</t>
  </si>
  <si>
    <t>ocm00322709</t>
  </si>
  <si>
    <t>3000852328I</t>
  </si>
  <si>
    <t>791336673</t>
  </si>
  <si>
    <t>- Blackader-Lauterman Collection - Reference Collection - In Library Use</t>
  </si>
  <si>
    <t>Z253 U69:1993</t>
  </si>
  <si>
    <t>0                      Z  0253000                                                           U69:1993</t>
  </si>
  <si>
    <t>The Chicago manual of style.</t>
  </si>
  <si>
    <t>University of Chicago. Press.</t>
  </si>
  <si>
    <t>Chicago, Ill. : University of Chicago Press, 1993.</t>
  </si>
  <si>
    <t>14th ed.</t>
  </si>
  <si>
    <t>2017-04-04</t>
  </si>
  <si>
    <t>4927515844:eng</t>
  </si>
  <si>
    <t>26929668</t>
  </si>
  <si>
    <t>ocm26929668</t>
  </si>
  <si>
    <t>31017048465</t>
  </si>
  <si>
    <t>9780226103891</t>
  </si>
  <si>
    <t>793255003</t>
  </si>
  <si>
    <t>- Life Sciences Section - By Request</t>
  </si>
  <si>
    <t>Z 253 A512.4 1966</t>
  </si>
  <si>
    <t>0                      Z  0253000A  512                                                     .4 1966</t>
  </si>
  <si>
    <t>Style book and editorial manual.</t>
  </si>
  <si>
    <t>American Medical Association. Scientific Publications Division.</t>
  </si>
  <si>
    <t>[4th ed.].</t>
  </si>
  <si>
    <t>3855352823:eng</t>
  </si>
  <si>
    <t>14491574</t>
  </si>
  <si>
    <t>ocm14491574</t>
  </si>
  <si>
    <t>3101357212T</t>
  </si>
  <si>
    <t>792892051</t>
  </si>
  <si>
    <t>Z 253 C532 2003</t>
  </si>
  <si>
    <t>0                      Z  0253000C  532         2003</t>
  </si>
  <si>
    <t>The Chicago manual of style / John Grossman, managing editor.</t>
  </si>
  <si>
    <t>Chicago : The University of Chicago Press, [2003]</t>
  </si>
  <si>
    <t>Fifteenth edition.</t>
  </si>
  <si>
    <t>10177697641:eng</t>
  </si>
  <si>
    <t>51553085</t>
  </si>
  <si>
    <t>ocm51553085</t>
  </si>
  <si>
    <t>3102302910X</t>
  </si>
  <si>
    <t>9780226104034</t>
  </si>
  <si>
    <t>793786676</t>
  </si>
  <si>
    <t>Z253 C572 1982</t>
  </si>
  <si>
    <t>0                      Z  0253000C  572         1982</t>
  </si>
  <si>
    <t>The Chicago manual of style : for authors, editors, and copywriters.</t>
  </si>
  <si>
    <t>Chicago : University of Chicago Press, 1982.</t>
  </si>
  <si>
    <t>13th ed., rev. and expanded.</t>
  </si>
  <si>
    <t>2019-11-16</t>
  </si>
  <si>
    <t>4919429014:eng</t>
  </si>
  <si>
    <t>8283180</t>
  </si>
  <si>
    <t>ocm08283180</t>
  </si>
  <si>
    <t>3000155631E</t>
  </si>
  <si>
    <t>9780226103907</t>
  </si>
  <si>
    <t>792609770</t>
  </si>
  <si>
    <t>3102674700H</t>
  </si>
  <si>
    <t>792609764</t>
  </si>
  <si>
    <t>2001-10-26</t>
  </si>
  <si>
    <t>3100104955D</t>
  </si>
  <si>
    <t>792609765</t>
  </si>
  <si>
    <t>Z253 M33 2003</t>
  </si>
  <si>
    <t>0                      Z  0253000M  33          2003</t>
  </si>
  <si>
    <t>The Globe and mail style book : a guide to language and usage / [edited by] J.A. (Sandy) McFarlane and Warren Clements.</t>
  </si>
  <si>
    <t>Toronto, Ont. : McClelland &amp; Stewart, 2003.</t>
  </si>
  <si>
    <t>9th ed.</t>
  </si>
  <si>
    <t>25845848:eng</t>
  </si>
  <si>
    <t>57894157</t>
  </si>
  <si>
    <t>ocm57894157</t>
  </si>
  <si>
    <t>3102386193M</t>
  </si>
  <si>
    <t>9780771056857</t>
  </si>
  <si>
    <t>793919299</t>
  </si>
  <si>
    <t>Z253 M6</t>
  </si>
  <si>
    <t>0                      Z  0253000M  6</t>
  </si>
  <si>
    <t>First principles of typography / by Stanley Morison.</t>
  </si>
  <si>
    <t>Cambridge : At the University Press, 1951.</t>
  </si>
  <si>
    <t>Cambridge authors' and printers' guides ; 1</t>
  </si>
  <si>
    <t>1480824:eng</t>
  </si>
  <si>
    <t>42217765</t>
  </si>
  <si>
    <t>ocm42217765</t>
  </si>
  <si>
    <t>3000855449S</t>
  </si>
  <si>
    <t>793603364</t>
  </si>
  <si>
    <t>Z253 R32 2008</t>
  </si>
  <si>
    <t>0                      Z  0253000R  32          2008</t>
  </si>
  <si>
    <t>Le Ramat de la typographie / Aurel Ramat.</t>
  </si>
  <si>
    <t>Ramat, A. (Aurel), 1926-</t>
  </si>
  <si>
    <t>Montréal : Aurel Ramat, 2008.</t>
  </si>
  <si>
    <t>9e éd.</t>
  </si>
  <si>
    <t>2019-09-16</t>
  </si>
  <si>
    <t>352054373:fre</t>
  </si>
  <si>
    <t>319481939</t>
  </si>
  <si>
    <t>ocn319481939</t>
  </si>
  <si>
    <t>31033255812</t>
  </si>
  <si>
    <t>9782922366044</t>
  </si>
  <si>
    <t>794483783</t>
  </si>
  <si>
    <t>Z253 R32 2017</t>
  </si>
  <si>
    <t>0                      Z  0253000R  32          2017</t>
  </si>
  <si>
    <t>Le Ramat de la typographie / Aurel Ramat, Anne-Marie Benoit.</t>
  </si>
  <si>
    <t>Ramat, A. (Aurel), author.</t>
  </si>
  <si>
    <t>[Montréal] : Anne-Marie Benoit éditrice, [2017]</t>
  </si>
  <si>
    <t>Onzième édition.</t>
  </si>
  <si>
    <t>1031407820</t>
  </si>
  <si>
    <t>on1031407820</t>
  </si>
  <si>
    <t>3103730593V</t>
  </si>
  <si>
    <t>9782981351326</t>
  </si>
  <si>
    <t>795055388</t>
  </si>
  <si>
    <t>Z253 U69 1993</t>
  </si>
  <si>
    <t>0                      Z  0253000U  69          1993</t>
  </si>
  <si>
    <t>2015-01-09</t>
  </si>
  <si>
    <t>3102797688D</t>
  </si>
  <si>
    <t>793255005</t>
  </si>
  <si>
    <t>3101341105T</t>
  </si>
  <si>
    <t>793255007</t>
  </si>
  <si>
    <t>2007-05-02</t>
  </si>
  <si>
    <t>3101274970Y</t>
  </si>
  <si>
    <t>793255004</t>
  </si>
  <si>
    <t>Z253 U69 2003</t>
  </si>
  <si>
    <t>0                      Z  0253000U  69          2003</t>
  </si>
  <si>
    <t>3102741784M</t>
  </si>
  <si>
    <t>ON_HOLD</t>
  </si>
  <si>
    <t>793786677</t>
  </si>
  <si>
    <t>3102294817Q</t>
  </si>
  <si>
    <t>793786673</t>
  </si>
  <si>
    <t>Z253 U69 2010</t>
  </si>
  <si>
    <t>0                      Z  0253000U  69          2010</t>
  </si>
  <si>
    <t>Chicago : The University of Chicago Press, ©2010.</t>
  </si>
  <si>
    <t>16th ed.</t>
  </si>
  <si>
    <t>2019-03-23</t>
  </si>
  <si>
    <t>10177723040:eng</t>
  </si>
  <si>
    <t>495102182</t>
  </si>
  <si>
    <t>ocn495102182</t>
  </si>
  <si>
    <t>3102783956V</t>
  </si>
  <si>
    <t>9780226104201</t>
  </si>
  <si>
    <t>794801603</t>
  </si>
  <si>
    <t>2018-05-31</t>
  </si>
  <si>
    <t>3102783961T</t>
  </si>
  <si>
    <t>794801596</t>
  </si>
  <si>
    <t>2016-08-24</t>
  </si>
  <si>
    <t>3103290123H</t>
  </si>
  <si>
    <t>794801604</t>
  </si>
  <si>
    <t>2016-05-16</t>
  </si>
  <si>
    <t>3103289795S</t>
  </si>
  <si>
    <t>794801600</t>
  </si>
  <si>
    <t>3103290118J</t>
  </si>
  <si>
    <t>794801602</t>
  </si>
  <si>
    <t>2017-02-08</t>
  </si>
  <si>
    <t>3103622048M</t>
  </si>
  <si>
    <t>794801595</t>
  </si>
  <si>
    <t>Z253 U69 2017</t>
  </si>
  <si>
    <t>0                      Z  0253000U  69          2017</t>
  </si>
  <si>
    <t>Chicago : The University of Chicago Press, 2017.</t>
  </si>
  <si>
    <t>Seventeenth edition.</t>
  </si>
  <si>
    <t>2019-04-23</t>
  </si>
  <si>
    <t>2019-11-08</t>
  </si>
  <si>
    <t>4225691270:eng</t>
  </si>
  <si>
    <t>988171830</t>
  </si>
  <si>
    <t>ocn988171830</t>
  </si>
  <si>
    <t>3103759057Z</t>
  </si>
  <si>
    <t>9780226287058</t>
  </si>
  <si>
    <t>795036616</t>
  </si>
  <si>
    <t>3103759042B</t>
  </si>
  <si>
    <t>795036618</t>
  </si>
  <si>
    <t>3103759058X</t>
  </si>
  <si>
    <t>795036621</t>
  </si>
  <si>
    <t>3103759048$</t>
  </si>
  <si>
    <t>795036615</t>
  </si>
  <si>
    <t>31037590471</t>
  </si>
  <si>
    <t>795036617</t>
  </si>
  <si>
    <t>- Reference Collection - In Library Use</t>
  </si>
  <si>
    <t>2018-08-21</t>
  </si>
  <si>
    <t>31037590536</t>
  </si>
  <si>
    <t>795036622</t>
  </si>
  <si>
    <t>2019-04-11</t>
  </si>
  <si>
    <t>31037590528</t>
  </si>
  <si>
    <t>795036620</t>
  </si>
  <si>
    <t>2017-11-24</t>
  </si>
  <si>
    <t>31037590633</t>
  </si>
  <si>
    <t>795036619</t>
  </si>
  <si>
    <t>Z253.4 L38 G66 2004</t>
  </si>
  <si>
    <t>0                      Z  0253400L  38                 G  66          2004</t>
  </si>
  <si>
    <t>The LaTeX companion.</t>
  </si>
  <si>
    <t>text</t>
  </si>
  <si>
    <t>Mittelbach, Frank.</t>
  </si>
  <si>
    <t>Boston : Addison-Wesley, ©2004.</t>
  </si>
  <si>
    <t>2nd ed. / Frank Mittelbach, Michel Goossens, with Johannes Braams, David Carlisle, and Chris Rowley.</t>
  </si>
  <si>
    <t>Addison-Wesley series on tools and techniques for computer typesetting</t>
  </si>
  <si>
    <t>30681540:eng</t>
  </si>
  <si>
    <t>53972111</t>
  </si>
  <si>
    <t>ocm53972111</t>
  </si>
  <si>
    <t>3102617109G</t>
  </si>
  <si>
    <t>9780201362992</t>
  </si>
  <si>
    <t>793854464</t>
  </si>
  <si>
    <t>CD-ROM</t>
  </si>
  <si>
    <t>31023645363</t>
  </si>
  <si>
    <t>793854465</t>
  </si>
  <si>
    <t>Z253.4 L38 G75 1997</t>
  </si>
  <si>
    <t>0                      Z  0253400L  38                 G  75          1997</t>
  </si>
  <si>
    <t>Learning LATEX / David F. Griffiths, Desmond J. Higham.</t>
  </si>
  <si>
    <t>Griffiths, D. F. (David Francis)</t>
  </si>
  <si>
    <t>Philadelphia : SIAM, ©1997.</t>
  </si>
  <si>
    <t>35005155:eng</t>
  </si>
  <si>
    <t>35559196</t>
  </si>
  <si>
    <t>ocm35559196</t>
  </si>
  <si>
    <t>3101807846K</t>
  </si>
  <si>
    <t>9780898713831</t>
  </si>
  <si>
    <t>793452138</t>
  </si>
  <si>
    <t>Z253.4 L38 K66 1995</t>
  </si>
  <si>
    <t>0                      Z  0253400L  38                 K  66          1995</t>
  </si>
  <si>
    <t>A guide to Latex2[epsilon] : document preparation for beginners and advanced users / Helmut Kopka, Patrick W. Daly.</t>
  </si>
  <si>
    <t>Kopka, Helmut.</t>
  </si>
  <si>
    <t>Wokingham, England ; Reading, Mass. : Addison-Wesley Pub. Co., 1995.</t>
  </si>
  <si>
    <t>2017-10-14</t>
  </si>
  <si>
    <t>2908579682:eng</t>
  </si>
  <si>
    <t>31971409</t>
  </si>
  <si>
    <t>ocm31971409</t>
  </si>
  <si>
    <t>31032598903</t>
  </si>
  <si>
    <t>9780201427776</t>
  </si>
  <si>
    <t>793372546</t>
  </si>
  <si>
    <t>Z253.4 L38 K66 2004</t>
  </si>
  <si>
    <t>0                      Z  0253400L  38                 K  66          2004</t>
  </si>
  <si>
    <t>Guide to LATEX / Helmut Kopka, Patrick W. Daly.</t>
  </si>
  <si>
    <t>4th ed.</t>
  </si>
  <si>
    <t>2014-06-13</t>
  </si>
  <si>
    <t>2018-09-06</t>
  </si>
  <si>
    <t>679100:eng</t>
  </si>
  <si>
    <t>52948906</t>
  </si>
  <si>
    <t>ocm52948906</t>
  </si>
  <si>
    <t>31022466308</t>
  </si>
  <si>
    <t>9780321173850</t>
  </si>
  <si>
    <t>793817993</t>
  </si>
  <si>
    <t>(Text+CD-ROM)</t>
  </si>
  <si>
    <t>2017-03-31</t>
  </si>
  <si>
    <t>3103225880$</t>
  </si>
  <si>
    <t>793817991</t>
  </si>
  <si>
    <t>3103147885O</t>
  </si>
  <si>
    <t>793817992</t>
  </si>
  <si>
    <t>Z253.4 L38 L35 1994</t>
  </si>
  <si>
    <t>0                      Z  0253400L  38                 L  35          1994</t>
  </si>
  <si>
    <t>LATEX : a document preparation system : user's guide and reference manual / Leslie Lamport ; illustrations by Duane Bibby.</t>
  </si>
  <si>
    <t>Lamport, Leslie.</t>
  </si>
  <si>
    <t>Reading, Mass. : Addison-Wesley Pub. Co., ©1994.</t>
  </si>
  <si>
    <t>2014-05-30</t>
  </si>
  <si>
    <t>892651:eng</t>
  </si>
  <si>
    <t>29225162</t>
  </si>
  <si>
    <t>ocm29225162</t>
  </si>
  <si>
    <t>3103347275W</t>
  </si>
  <si>
    <t>9780201529838</t>
  </si>
  <si>
    <t>793305866</t>
  </si>
  <si>
    <t>31034355077</t>
  </si>
  <si>
    <t>793305868</t>
  </si>
  <si>
    <t>3101886256Z</t>
  </si>
  <si>
    <t>793305867</t>
  </si>
  <si>
    <t>Z253.4 L38 S97 2003</t>
  </si>
  <si>
    <t>0                      Z  0253400L  38                 S  97          2003</t>
  </si>
  <si>
    <t>Digital typography using LaTeX / Apostolos Syropoulos, Antonis Tsolomitis, Nick Sofroniou.</t>
  </si>
  <si>
    <t>Syropoulos, Apostolos.</t>
  </si>
  <si>
    <t>New York : Springer, ©2003.</t>
  </si>
  <si>
    <t>Springer professional computing</t>
  </si>
  <si>
    <t>11153835:eng</t>
  </si>
  <si>
    <t>49959273</t>
  </si>
  <si>
    <t>ocm49959273</t>
  </si>
  <si>
    <t>3102616470Y</t>
  </si>
  <si>
    <t>9780387952178</t>
  </si>
  <si>
    <t>793752317</t>
  </si>
  <si>
    <t>2010-02-18</t>
  </si>
  <si>
    <t>3102364205I</t>
  </si>
  <si>
    <t>793752318</t>
  </si>
  <si>
    <t>Z253.4 T47 K578 1986</t>
  </si>
  <si>
    <t>0                      Z  0253400T  47                 K  578         1986</t>
  </si>
  <si>
    <t>TEX : the program / Donald E. Knuth ; illustrations by Duane Bibby.</t>
  </si>
  <si>
    <t>Reading, Mass. : Addison-Wesley Pub. Co., ©1986.</t>
  </si>
  <si>
    <t>Computers &amp; typesetting ; B</t>
  </si>
  <si>
    <t>3943330242:eng</t>
  </si>
  <si>
    <t>13157593</t>
  </si>
  <si>
    <t>ocm13157593</t>
  </si>
  <si>
    <t>3101442005L</t>
  </si>
  <si>
    <t>9780201134377</t>
  </si>
  <si>
    <t>792842998</t>
  </si>
  <si>
    <t>Z253.4 T47 K58 1986</t>
  </si>
  <si>
    <t>0                      Z  0253400T  47                 K  58          1986</t>
  </si>
  <si>
    <t>The TeXbook / Donald E. Knuth ; illustrations by Duane Bibby.</t>
  </si>
  <si>
    <t>Knuth, Donald Ervin, 1938- author.</t>
  </si>
  <si>
    <t>Reading, Mass. : Addison-Wesley, [1986]</t>
  </si>
  <si>
    <t>Computers &amp; typesetting ; A</t>
  </si>
  <si>
    <t>417205:eng</t>
  </si>
  <si>
    <t>12973034</t>
  </si>
  <si>
    <t>ocm12973034</t>
  </si>
  <si>
    <t>31038398829</t>
  </si>
  <si>
    <t>9780201134476</t>
  </si>
  <si>
    <t>792835277</t>
  </si>
  <si>
    <t>Z253.532 A34 M33 2004</t>
  </si>
  <si>
    <t>0                      Z  0253532A  34                 M  33          2004</t>
  </si>
  <si>
    <t>Adobe InDesign CS one-on-One / Deke McLelland.</t>
  </si>
  <si>
    <t>McClelland, Deke, 1962-</t>
  </si>
  <si>
    <t>Beijing ; Cambridge : Deke Press/O'Reilly, ©2004.</t>
  </si>
  <si>
    <t>2015-12-21</t>
  </si>
  <si>
    <t>1031379:eng</t>
  </si>
  <si>
    <t>56656002</t>
  </si>
  <si>
    <t>ocm56656002</t>
  </si>
  <si>
    <t>3103245080D</t>
  </si>
  <si>
    <t>9780596007362</t>
  </si>
  <si>
    <t>793898418</t>
  </si>
  <si>
    <t>3102363699T</t>
  </si>
  <si>
    <t>793898419</t>
  </si>
  <si>
    <t>Z254 H85 2011</t>
  </si>
  <si>
    <t>0                      Z  0254000H  85          2011</t>
  </si>
  <si>
    <t>Humanists with inky fingers : the culture of correction in Renaissance Europe / by Anthony Thomas Grafton.</t>
  </si>
  <si>
    <t>Grafton, Anthony.</t>
  </si>
  <si>
    <t>The annual Balzan lecture ; 2</t>
  </si>
  <si>
    <t>2017-12-08</t>
  </si>
  <si>
    <t>1075966656:eng</t>
  </si>
  <si>
    <t>773025276</t>
  </si>
  <si>
    <t>ocn773025276</t>
  </si>
  <si>
    <t>3103506240D</t>
  </si>
  <si>
    <t>9788822261274</t>
  </si>
  <si>
    <t>794905271</t>
  </si>
  <si>
    <t>Z257 B46 2008</t>
  </si>
  <si>
    <t>0                      Z  0257000B  46          2008</t>
  </si>
  <si>
    <t>The printed picture / Richard Benson.</t>
  </si>
  <si>
    <t>Benson, Richard, 1943-2017.</t>
  </si>
  <si>
    <t>New York : Museum of Modern Art : Distributed in the United States and Canada by D.A.P./Distributed Art Publishers, ©2008.</t>
  </si>
  <si>
    <t>353779411:eng</t>
  </si>
  <si>
    <t>216939337</t>
  </si>
  <si>
    <t>ocn216939337</t>
  </si>
  <si>
    <t>3103227301M</t>
  </si>
  <si>
    <t>9780870707216</t>
  </si>
  <si>
    <t>794316059</t>
  </si>
  <si>
    <t>Z257 W34</t>
  </si>
  <si>
    <t>0                      Z  0257000W  34</t>
  </si>
  <si>
    <t>Victorian book illustration: the Technical revolution.</t>
  </si>
  <si>
    <t>Wakeman, Geoffrey.</t>
  </si>
  <si>
    <t>Newton Abbot, David &amp; Charles [1973]</t>
  </si>
  <si>
    <t>2015-03-25</t>
  </si>
  <si>
    <t>1641980:eng</t>
  </si>
  <si>
    <t>741551</t>
  </si>
  <si>
    <t>ocm00741551</t>
  </si>
  <si>
    <t>3000848926B</t>
  </si>
  <si>
    <t>9780715359365</t>
  </si>
  <si>
    <t>791459290</t>
  </si>
  <si>
    <t>2009-04-17</t>
  </si>
  <si>
    <t>3102952441I</t>
  </si>
  <si>
    <t>791459289</t>
  </si>
  <si>
    <t>2015-03-04</t>
  </si>
  <si>
    <t>2015-03-02</t>
  </si>
  <si>
    <t>Z265 R4</t>
  </si>
  <si>
    <t>0                      Z  0265000R  4</t>
  </si>
  <si>
    <t>Reading devices for micro-images, by Jean Stewart [and others].</t>
  </si>
  <si>
    <t>Stewart, Jean.</t>
  </si>
  <si>
    <t>New Brunswick, N.J., Graduate School of Library Service, Rutgers, State University, 1960.</t>
  </si>
  <si>
    <t>Shaw, Ralph Robert, 1907- ed. The state of the library art, v. 5, pt. 2</t>
  </si>
  <si>
    <t>2016-11-14</t>
  </si>
  <si>
    <t>1705059:eng</t>
  </si>
  <si>
    <t>576188</t>
  </si>
  <si>
    <t>ocm00576188</t>
  </si>
  <si>
    <t>3000855753P</t>
  </si>
  <si>
    <t>791419096</t>
  </si>
  <si>
    <t>Z266 D5 1946</t>
  </si>
  <si>
    <t>0                      Z  0266000D  5           1946</t>
  </si>
  <si>
    <t>Bookbinding, its background and technique, by Edith Diehl.</t>
  </si>
  <si>
    <t>Diehl, Edith.</t>
  </si>
  <si>
    <t>New York, Toronto, Rinehart &amp; company, inc., 1946.</t>
  </si>
  <si>
    <t>1946</t>
  </si>
  <si>
    <t>2015-12-04</t>
  </si>
  <si>
    <t>494497:eng</t>
  </si>
  <si>
    <t>903412450</t>
  </si>
  <si>
    <t>ocn903412450</t>
  </si>
  <si>
    <t>3100435041G</t>
  </si>
  <si>
    <t>794989079</t>
  </si>
  <si>
    <t>3000784789Z</t>
  </si>
  <si>
    <t>794989080</t>
  </si>
  <si>
    <t>Z266 M84 1978</t>
  </si>
  <si>
    <t>0                      Z  0266000M  84          1978</t>
  </si>
  <si>
    <t>Binding and repairing books by hand / David Muir ; with drawings by Richard Bawden.</t>
  </si>
  <si>
    <t>Muir, David.</t>
  </si>
  <si>
    <t>New York : Arco, 1978.</t>
  </si>
  <si>
    <t>2016-03-08</t>
  </si>
  <si>
    <t>514409:eng</t>
  </si>
  <si>
    <t>3481694</t>
  </si>
  <si>
    <t>ocm03481694</t>
  </si>
  <si>
    <t>3102952431K</t>
  </si>
  <si>
    <t>9780668045414</t>
  </si>
  <si>
    <t>792259853</t>
  </si>
  <si>
    <t>Z269 G62 1967</t>
  </si>
  <si>
    <t>0                      Z  0269000G  62          1967</t>
  </si>
  <si>
    <t>Gothic &amp; Renaissance bookbindings : exemplified and illustrated from the author's collection / E.Ph. Goldschmidt, M.A. Cantab.</t>
  </si>
  <si>
    <t>Goldschmidt, E. Ph. (Ernst Philip), author.</t>
  </si>
  <si>
    <t>Nieuwkoop : B. de Graaf ; Amsterdam : N. Israel, 1967.</t>
  </si>
  <si>
    <t>Second unchanged edition.</t>
  </si>
  <si>
    <t>2019-01-25</t>
  </si>
  <si>
    <t>1901762:eng</t>
  </si>
  <si>
    <t>2223273</t>
  </si>
  <si>
    <t>ocm02223273</t>
  </si>
  <si>
    <t>3102952421M</t>
  </si>
  <si>
    <t>792069757</t>
  </si>
  <si>
    <t>3102952362H</t>
  </si>
  <si>
    <t>792069756</t>
  </si>
  <si>
    <t>Z269 H67 1894</t>
  </si>
  <si>
    <t>0                      Z  0269000H  67          1894</t>
  </si>
  <si>
    <t>The binding of books; an essay in the history of gold-tooled bindings, by Herbert P. Horne.</t>
  </si>
  <si>
    <t>Horne, Herbert P. (Herbert Percy), 1864-1916.</t>
  </si>
  <si>
    <t>London, K. Paul, Trench, Trübner &amp; Co., ltd.; New York, C. Scribner's Sons, 1894.</t>
  </si>
  <si>
    <t>1894</t>
  </si>
  <si>
    <t>Books about books / edited by Alfred W. Pollard</t>
  </si>
  <si>
    <t>2016-03-10</t>
  </si>
  <si>
    <t>1226460:eng</t>
  </si>
  <si>
    <t>9359539</t>
  </si>
  <si>
    <t>ocm09359539</t>
  </si>
  <si>
    <t>3000534143G</t>
  </si>
  <si>
    <t>792671907</t>
  </si>
  <si>
    <t>30009272571</t>
  </si>
  <si>
    <t>792671908</t>
  </si>
  <si>
    <t>Z269 M368 2011</t>
  </si>
  <si>
    <t>0                      Z  0269000M  368         2011</t>
  </si>
  <si>
    <t>Beautiful bookbindings : a thousand years of the bookbinder's art / P.J.M. Marks.</t>
  </si>
  <si>
    <t>Marks, P. J. M., author.</t>
  </si>
  <si>
    <t>2016-02-03</t>
  </si>
  <si>
    <t>686116130:eng</t>
  </si>
  <si>
    <t>670282510</t>
  </si>
  <si>
    <t>ocn670282510</t>
  </si>
  <si>
    <t>3103505109S</t>
  </si>
  <si>
    <t>9781584562931</t>
  </si>
  <si>
    <t>794847584</t>
  </si>
  <si>
    <t>Z269 M64 2010</t>
  </si>
  <si>
    <t>0                      Z  0269000M  64          2010</t>
  </si>
  <si>
    <t>Books will speak plain : a handbook for identifying and describing historical bindings / Julia Miller.</t>
  </si>
  <si>
    <t>(text + 1 DVD-ROM)</t>
  </si>
  <si>
    <t>Miller, Julia (Conservator)</t>
  </si>
  <si>
    <t>Ann Arbor, Mich. : Legacy Press, 2010.</t>
  </si>
  <si>
    <t>2019-01-23</t>
  </si>
  <si>
    <t>766151066:eng</t>
  </si>
  <si>
    <t>693705002</t>
  </si>
  <si>
    <t>ocn693705002</t>
  </si>
  <si>
    <t>3103321579K</t>
  </si>
  <si>
    <t>9780979797439</t>
  </si>
  <si>
    <t>794856687</t>
  </si>
  <si>
    <t>Z269 N66</t>
  </si>
  <si>
    <t>0                      Z  0269000N  66</t>
  </si>
  <si>
    <t>Five centuries of English bookbinding / Howard M. Nixon.</t>
  </si>
  <si>
    <t>Nixon, Howard M.</t>
  </si>
  <si>
    <t>London : Scolar Press, 1978.</t>
  </si>
  <si>
    <t>511053:eng</t>
  </si>
  <si>
    <t>4225836</t>
  </si>
  <si>
    <t>ocm04225836</t>
  </si>
  <si>
    <t>3000855861M</t>
  </si>
  <si>
    <t>9780859674119</t>
  </si>
  <si>
    <t>792332638</t>
  </si>
  <si>
    <t>Z269.2 S26 S54 2015</t>
  </si>
  <si>
    <t>0                      Z  0269200S  26                 S  54          2015</t>
  </si>
  <si>
    <t>The Cinderella of the arts : a short history of Sangorski &amp; Sutcliffe, a London bookbinding firm established in 1901 including the story of the Great Omar a jewelled binding of the Rubá́́iyát of Omar Khayyám lost on the RMS Titanic in 1912 / Rob Shepherd.</t>
  </si>
  <si>
    <t>Shepherd, Rob, 1952- author.</t>
  </si>
  <si>
    <t>London : Shepherds ; New Castle, Delaware : Oak Knoll Press, 2015.</t>
  </si>
  <si>
    <t>2016-09-16</t>
  </si>
  <si>
    <t>2974622744:eng</t>
  </si>
  <si>
    <t>923665819</t>
  </si>
  <si>
    <t>ocn923665819</t>
  </si>
  <si>
    <t>3103656436C</t>
  </si>
  <si>
    <t>9780954107215</t>
  </si>
  <si>
    <t>795004583</t>
  </si>
  <si>
    <t>Z269.3 F55 P64 2016</t>
  </si>
  <si>
    <t>0                      Z  0269300F  55                 P  64          2016</t>
  </si>
  <si>
    <t>The poet of them all : William Shakespeare and miniature designer bindings from the collection of Neale and Margaret Albert / [edited by] Elisabeth R. Fairman.</t>
  </si>
  <si>
    <t>New Haven : Yale Center for British Art, [2016]</t>
  </si>
  <si>
    <t>2790358169:eng</t>
  </si>
  <si>
    <t>928112802</t>
  </si>
  <si>
    <t>ocn928112802</t>
  </si>
  <si>
    <t>3103654006A</t>
  </si>
  <si>
    <t>9780300219128</t>
  </si>
  <si>
    <t>795006104</t>
  </si>
  <si>
    <t>Z269.3 M44 S48 2017</t>
  </si>
  <si>
    <t>0                      Z  0269300M  44                 S  48          2017</t>
  </si>
  <si>
    <t>The medieval girdle book / Margit J. Smith.</t>
  </si>
  <si>
    <t>Smith, Margit J., author.</t>
  </si>
  <si>
    <t>New Castle, Delaware : Oak Knoll Press, 2017.</t>
  </si>
  <si>
    <t>4736857750:eng</t>
  </si>
  <si>
    <t>999669306</t>
  </si>
  <si>
    <t>ocn999669306</t>
  </si>
  <si>
    <t>3103670284R</t>
  </si>
  <si>
    <t>9781584563686</t>
  </si>
  <si>
    <t>795039979</t>
  </si>
  <si>
    <t>Z269.3 P37 C57 1991</t>
  </si>
  <si>
    <t>0                      Z  0269300P  37                 C  57          1991</t>
  </si>
  <si>
    <t>Early bindings in paper : a brief history of European hand-made paper-covered books with a multilingual glossary / Michèle Valerie Cloonan.</t>
  </si>
  <si>
    <t>Cloonan, Michèle Valerie, 1955-</t>
  </si>
  <si>
    <t>Boston, MA : G.K. Hall, 1991.</t>
  </si>
  <si>
    <t>2016-11-26</t>
  </si>
  <si>
    <t>803867054:eng</t>
  </si>
  <si>
    <t>22892385</t>
  </si>
  <si>
    <t>ocm22892385</t>
  </si>
  <si>
    <t>3100944050G</t>
  </si>
  <si>
    <t>9780816119714</t>
  </si>
  <si>
    <t>793156240</t>
  </si>
  <si>
    <t>Z271 B32 1931</t>
  </si>
  <si>
    <t>0                      Z  0271000B  32          1931</t>
  </si>
  <si>
    <t>Bookbinding for beginners, by Florence O. Bean [and] John C. Brodhead.</t>
  </si>
  <si>
    <t>Bean, Florence O. (Florence Ordway)</t>
  </si>
  <si>
    <t>Worchester, Mass., The Davis Press, Inc., 1931.</t>
  </si>
  <si>
    <t>1931</t>
  </si>
  <si>
    <t>3943287459:eng</t>
  </si>
  <si>
    <t>3254725</t>
  </si>
  <si>
    <t>ocm03254725</t>
  </si>
  <si>
    <t>3000784766A</t>
  </si>
  <si>
    <t>792235661</t>
  </si>
  <si>
    <t>Z271 C6924 1949</t>
  </si>
  <si>
    <t>0                      Z  0271000C  6924        1949</t>
  </si>
  <si>
    <t>Book crafts for seniors : a handbook for teachers, students and craftworkers / by A.F. Collins.</t>
  </si>
  <si>
    <t>Collins, Arthur Frederick.</t>
  </si>
  <si>
    <t>Leicester [England] : Dryad Press, 1949.</t>
  </si>
  <si>
    <t>1949</t>
  </si>
  <si>
    <t>6124906:eng</t>
  </si>
  <si>
    <t>6055362</t>
  </si>
  <si>
    <t>ocm06055362</t>
  </si>
  <si>
    <t>30007847783</t>
  </si>
  <si>
    <t>792472265</t>
  </si>
  <si>
    <t>Z271 C87</t>
  </si>
  <si>
    <t>0                      Z  0271000C  87</t>
  </si>
  <si>
    <t>Cowie's bookbinder's manual: containing a full description of leather and vellum binding; directions for gilding of paper and book-edges and numerous valuable recipes for sprinkling, colouring, &amp; marbling; together with a scale of bookbinders' charges; a list of all the book and vellum binders in London, &amp;c. &amp;c.</t>
  </si>
  <si>
    <t>2</t>
  </si>
  <si>
    <t>London, W. Strange [186-?]</t>
  </si>
  <si>
    <t>7th and new ed.</t>
  </si>
  <si>
    <t>3699195898:eng</t>
  </si>
  <si>
    <t>9619027</t>
  </si>
  <si>
    <t>ocm09619027</t>
  </si>
  <si>
    <t>3000784782C</t>
  </si>
  <si>
    <t>792685004</t>
  </si>
  <si>
    <t>Z271 D28</t>
  </si>
  <si>
    <t>0                      Z  0271000D  28</t>
  </si>
  <si>
    <t>Introduction to book binding / by Lionel S. Darley ; with sketches by the author.</t>
  </si>
  <si>
    <t>Darley, Lionel S.</t>
  </si>
  <si>
    <t>London : Faber and Faber, 1976.</t>
  </si>
  <si>
    <t>Faber paperbacks</t>
  </si>
  <si>
    <t>7203176:eng</t>
  </si>
  <si>
    <t>16730968</t>
  </si>
  <si>
    <t>ocm16730968</t>
  </si>
  <si>
    <t>30008558777</t>
  </si>
  <si>
    <t>9780571110827</t>
  </si>
  <si>
    <t>792970576</t>
  </si>
  <si>
    <t>Z271 G7</t>
  </si>
  <si>
    <t>0                      Z  0271000G  7</t>
  </si>
  <si>
    <t>Hinge &amp; joint repair / Jane Greenfield.</t>
  </si>
  <si>
    <t>Greenfield, Jane.</t>
  </si>
  <si>
    <t>New Haven, Conn. : Yale University Library, 1982.</t>
  </si>
  <si>
    <t>Yale University Library preservation pamphlet ; no. 6</t>
  </si>
  <si>
    <t>2015-09-15</t>
  </si>
  <si>
    <t>32506543:eng</t>
  </si>
  <si>
    <t>8623918</t>
  </si>
  <si>
    <t>ocm08623918</t>
  </si>
  <si>
    <t>30008443909</t>
  </si>
  <si>
    <t>792630671</t>
  </si>
  <si>
    <t>Z271 H18 1915</t>
  </si>
  <si>
    <t>0                      Z  0271000H  18          1915</t>
  </si>
  <si>
    <t>Bookbinding as a handwork subject : being a full explanation of how books can be bound with simple apparatus in a school classroom / by J. Halliday, with a foreword by Canon H.D. Rawnsley.</t>
  </si>
  <si>
    <t>Halliday, J. (John)</t>
  </si>
  <si>
    <t>London : [publisher not identified], [19--?]</t>
  </si>
  <si>
    <t>1900</t>
  </si>
  <si>
    <t>Pitman's handwork series</t>
  </si>
  <si>
    <t>2016-02-15</t>
  </si>
  <si>
    <t>2115907:eng</t>
  </si>
  <si>
    <t>427202337</t>
  </si>
  <si>
    <t>ocn427202337</t>
  </si>
  <si>
    <t>3000784798Y</t>
  </si>
  <si>
    <t>794540482</t>
  </si>
  <si>
    <t>Z271 H24 2013</t>
  </si>
  <si>
    <t>0                      Z  0271000H  24          2013</t>
  </si>
  <si>
    <t>Bibliopegia : or the art of bookbinding, in all its branches / John Hannett.</t>
  </si>
  <si>
    <t>Hannett, John, 1803-1893, author.</t>
  </si>
  <si>
    <t>Cambridge : Cambridge University Press, 2010.</t>
  </si>
  <si>
    <t>Cambridge Library Collection</t>
  </si>
  <si>
    <t>43112279:eng</t>
  </si>
  <si>
    <t>862149553</t>
  </si>
  <si>
    <t>ocn862149553</t>
  </si>
  <si>
    <t>3103688571F</t>
  </si>
  <si>
    <t>9781108021449</t>
  </si>
  <si>
    <t>794960146</t>
  </si>
  <si>
    <t>Z271 H35 1940</t>
  </si>
  <si>
    <t>0                      Z  0271000H  35          1940</t>
  </si>
  <si>
    <t>Bookbinding.</t>
  </si>
  <si>
    <t>Hasluck, Paul N. (Paul Nooncree), 1854-1931.</t>
  </si>
  <si>
    <t>London : Cassell, 1940.</t>
  </si>
  <si>
    <t>13th ed.</t>
  </si>
  <si>
    <t>Amateur mechanic and work handbooks</t>
  </si>
  <si>
    <t>4241232405:eng</t>
  </si>
  <si>
    <t>271691030</t>
  </si>
  <si>
    <t>ocn271691030</t>
  </si>
  <si>
    <t>3000784811V</t>
  </si>
  <si>
    <t>794414748</t>
  </si>
  <si>
    <t>Z271 J66</t>
  </si>
  <si>
    <t>0                      Z  0271000J  66</t>
  </si>
  <si>
    <t>The Thames and Hudson manual of bookbinding / Arthur W. Johnson.</t>
  </si>
  <si>
    <t>Johnson, Arthur W.</t>
  </si>
  <si>
    <t>London : Thames &amp; Hudson, 1978.</t>
  </si>
  <si>
    <t>The Thames and Hudson manuals</t>
  </si>
  <si>
    <t>2015-12-08</t>
  </si>
  <si>
    <t>496025:eng</t>
  </si>
  <si>
    <t>4230376</t>
  </si>
  <si>
    <t>ocm04230376</t>
  </si>
  <si>
    <t>30008472429</t>
  </si>
  <si>
    <t>9780500670118</t>
  </si>
  <si>
    <t>792332995</t>
  </si>
  <si>
    <t>Z271 K18 1980</t>
  </si>
  <si>
    <t>0                      Z  0271000K  18          1980</t>
  </si>
  <si>
    <t>How to clothbind a paperback book : a step-by-step guide for beginners / Francis J. Kafka.</t>
  </si>
  <si>
    <t>Kafka, Francis J.</t>
  </si>
  <si>
    <t>494274:eng</t>
  </si>
  <si>
    <t>6303569</t>
  </si>
  <si>
    <t>ocm06303569</t>
  </si>
  <si>
    <t>30008426591</t>
  </si>
  <si>
    <t>9780486238371</t>
  </si>
  <si>
    <t>792489799</t>
  </si>
  <si>
    <t>Z271 M37 2018</t>
  </si>
  <si>
    <t>0                      Z  0271000M  37          2018</t>
  </si>
  <si>
    <t>A practical course in bookcrafts and bookbinding / by John Mason ; with introduction by Kenneth Holmes.</t>
  </si>
  <si>
    <t>Mason, John, 1901-1980.</t>
  </si>
  <si>
    <t>Milton Keynes, UK : Lightning Source UK Ltd., [2018?]</t>
  </si>
  <si>
    <t>2018-04-18</t>
  </si>
  <si>
    <t>195472398:eng</t>
  </si>
  <si>
    <t>1031482617</t>
  </si>
  <si>
    <t>on1031482617</t>
  </si>
  <si>
    <t>31037667869</t>
  </si>
  <si>
    <t>9781447436843</t>
  </si>
  <si>
    <t>795055493</t>
  </si>
  <si>
    <t>Z271 M53 1972</t>
  </si>
  <si>
    <t>0                      Z  0271000M  53          1972</t>
  </si>
  <si>
    <t>The restoration of leather bindings / Bernard C. Middleton ; drawings by Aldren A. Watson.</t>
  </si>
  <si>
    <t>Middleton, Bernard C., 1924-2019.</t>
  </si>
  <si>
    <t>Chicago : American Library Association, ©1972.</t>
  </si>
  <si>
    <t>LTP publications ; no. 18</t>
  </si>
  <si>
    <t>2016-06-12</t>
  </si>
  <si>
    <t>503951:eng</t>
  </si>
  <si>
    <t>348076</t>
  </si>
  <si>
    <t>ocm00348076</t>
  </si>
  <si>
    <t>3103679697V</t>
  </si>
  <si>
    <t>9780838931332</t>
  </si>
  <si>
    <t>791345855</t>
  </si>
  <si>
    <t>Z271 P46</t>
  </si>
  <si>
    <t>0                      Z  0271000P  46</t>
  </si>
  <si>
    <t>The binding of books [by] Kenneth F. Perry [and] Clarence T. Baab.</t>
  </si>
  <si>
    <t>Perry, Kenneth Frederick, 1902-</t>
  </si>
  <si>
    <t>Bloomington, Ill., McKnight &amp; McKnight Pub. Co. [1967]</t>
  </si>
  <si>
    <t>[Rev. ed.].</t>
  </si>
  <si>
    <t>1747106:eng</t>
  </si>
  <si>
    <t>728701</t>
  </si>
  <si>
    <t>ocm00728701</t>
  </si>
  <si>
    <t>30008558971</t>
  </si>
  <si>
    <t>791456548</t>
  </si>
  <si>
    <t>Z271 R6</t>
  </si>
  <si>
    <t>0                      Z  0271000R  6</t>
  </si>
  <si>
    <t>Introducing bookbinding.</t>
  </si>
  <si>
    <t>Robinson, Ivor.</t>
  </si>
  <si>
    <t>London, Batsford; New York, Watson-Guptill Pub., 1968.</t>
  </si>
  <si>
    <t>1566476:eng</t>
  </si>
  <si>
    <t>440584</t>
  </si>
  <si>
    <t>ocm00440584</t>
  </si>
  <si>
    <t>3000855899Y</t>
  </si>
  <si>
    <t>791379280</t>
  </si>
  <si>
    <t>Z271 U55</t>
  </si>
  <si>
    <t>0                      Z  0271000U  55</t>
  </si>
  <si>
    <t>Theory and practice of bookbinding / United States Government Printing Office.</t>
  </si>
  <si>
    <t>United States. Government Printing Office.</t>
  </si>
  <si>
    <t>Washington, D.C. : Print. Office, 1962.</t>
  </si>
  <si>
    <t>Rev. [ed.].</t>
  </si>
  <si>
    <t>United States Government Printing Office training series.</t>
  </si>
  <si>
    <t>4020087331:eng</t>
  </si>
  <si>
    <t>187489506</t>
  </si>
  <si>
    <t>ocn187489506</t>
  </si>
  <si>
    <t>3000855902Y</t>
  </si>
  <si>
    <t>794294868</t>
  </si>
  <si>
    <t>Z271.3 B65 B3 2005</t>
  </si>
  <si>
    <t>0                      Z  0271300B  65                 B  3           2005</t>
  </si>
  <si>
    <t>Penguin by design : a cover story, 1935-2005 / Phil Baines.</t>
  </si>
  <si>
    <t>London : Allen Lane, 2005.</t>
  </si>
  <si>
    <t>864613309:eng</t>
  </si>
  <si>
    <t>57692203</t>
  </si>
  <si>
    <t>ocm57692203</t>
  </si>
  <si>
    <t>3102531306U</t>
  </si>
  <si>
    <t>9780713998399</t>
  </si>
  <si>
    <t>793917784</t>
  </si>
  <si>
    <t>Z271.3 B65 P46 2010</t>
  </si>
  <si>
    <t>0                      Z  0271300B  65                 P  46          2010</t>
  </si>
  <si>
    <t>Penguin 75 : designers, authors, commentary (the good, the bad-- ) / [edited with an introduction by Paul Buckley ; foreword by Chris Ware].</t>
  </si>
  <si>
    <t>New York : Penguin Books, 2010.</t>
  </si>
  <si>
    <t>2018-10-26</t>
  </si>
  <si>
    <t>1105335692:eng</t>
  </si>
  <si>
    <t>468974939</t>
  </si>
  <si>
    <t>ocn468974939</t>
  </si>
  <si>
    <t>31032408809</t>
  </si>
  <si>
    <t>9780143117629</t>
  </si>
  <si>
    <t>794795629</t>
  </si>
  <si>
    <t>Z271.3 M37 C48 1986</t>
  </si>
  <si>
    <t>0                      Z  0271300M  37                 C  48          1986</t>
  </si>
  <si>
    <t>The practical guide to marbling paper / Anne Chambers ; introduction by Bernard C. Middleton.</t>
  </si>
  <si>
    <t>Chambers, Anne, 1925-</t>
  </si>
  <si>
    <t>New York, N.Y. : Thames and Hudson, [1986]</t>
  </si>
  <si>
    <t>2017-12-05</t>
  </si>
  <si>
    <t>9143314:eng</t>
  </si>
  <si>
    <t>14643457</t>
  </si>
  <si>
    <t>ocm14643457</t>
  </si>
  <si>
    <t>3103735905D</t>
  </si>
  <si>
    <t>9780500274217</t>
  </si>
  <si>
    <t>792897077</t>
  </si>
  <si>
    <t>Z275 G73</t>
  </si>
  <si>
    <t>0                      Z  0275000G  73</t>
  </si>
  <si>
    <t>Wraparounds / Jane Greenfield.</t>
  </si>
  <si>
    <t>New Haven, Conn. : Yale University Library, 1980.</t>
  </si>
  <si>
    <t>Yale University Library preservation pamphlet ; no. 1</t>
  </si>
  <si>
    <t>29752441:eng</t>
  </si>
  <si>
    <t>7738013</t>
  </si>
  <si>
    <t>ocm07738013</t>
  </si>
  <si>
    <t>3000844065K</t>
  </si>
  <si>
    <t>792576909</t>
  </si>
  <si>
    <t>Z278 B52 1972</t>
  </si>
  <si>
    <t>0                      Z  0278000B  52          1972</t>
  </si>
  <si>
    <t>The business of book publishing.</t>
  </si>
  <si>
    <t>Bingley, Clive.</t>
  </si>
  <si>
    <t>Oxford, New York, Pergamon Press [1972]</t>
  </si>
  <si>
    <t>[1st ed.].</t>
  </si>
  <si>
    <t>101805:eng</t>
  </si>
  <si>
    <t>323774</t>
  </si>
  <si>
    <t>ocm00323774</t>
  </si>
  <si>
    <t>3000855925M</t>
  </si>
  <si>
    <t>9780080168449</t>
  </si>
  <si>
    <t>791337020</t>
  </si>
  <si>
    <t>Z278 B866 2016</t>
  </si>
  <si>
    <t>0                      Z  0278000B  866         2016</t>
  </si>
  <si>
    <t>Browse : the world in bookshops / edited by Henry Hitchings.</t>
  </si>
  <si>
    <t>London : Pushkin Press, 2016.</t>
  </si>
  <si>
    <t>3872281171:eng</t>
  </si>
  <si>
    <t>948549214</t>
  </si>
  <si>
    <t>ocn948549214</t>
  </si>
  <si>
    <t>3103702921B</t>
  </si>
  <si>
    <t>9781782272120</t>
  </si>
  <si>
    <t>795015553</t>
  </si>
  <si>
    <t>Z278 B87 1935</t>
  </si>
  <si>
    <t>0                      Z  0278000B  87          1935</t>
  </si>
  <si>
    <t>Contacts / Curtis Brown.</t>
  </si>
  <si>
    <t>Brown, Curtis, 1866-1945.</t>
  </si>
  <si>
    <t>London : Cassell, [1935]</t>
  </si>
  <si>
    <t>2015-06-01</t>
  </si>
  <si>
    <t>8924645:eng</t>
  </si>
  <si>
    <t>1332695</t>
  </si>
  <si>
    <t>ocm01332695</t>
  </si>
  <si>
    <t>3000739394Q</t>
  </si>
  <si>
    <t>791602314</t>
  </si>
  <si>
    <t>Z278 B93 2012</t>
  </si>
  <si>
    <t>0                      Z  0278000B  93          2012</t>
  </si>
  <si>
    <t>Book production / Adrian Bullock ; with a foreword by John Peacock.</t>
  </si>
  <si>
    <t>Abingdon, Oxon ; New York, NY : Routledge, 2012.</t>
  </si>
  <si>
    <t>2014-01-21</t>
  </si>
  <si>
    <t>1082320792:eng</t>
  </si>
  <si>
    <t>712124044</t>
  </si>
  <si>
    <t>ocn712124044</t>
  </si>
  <si>
    <t>3103468458A</t>
  </si>
  <si>
    <t>9780415593793</t>
  </si>
  <si>
    <t>794871771</t>
  </si>
  <si>
    <t>Z278 C28 2013</t>
  </si>
  <si>
    <t>0                      Z  0278000C  28          2013</t>
  </si>
  <si>
    <t>L'impronta dell'editore / Roberto Calasso.</t>
  </si>
  <si>
    <t>Calasso, Roberto.</t>
  </si>
  <si>
    <t>Milano : Adelphi, ©2013.</t>
  </si>
  <si>
    <t>Piccola biblioteca Adelphi ; 642</t>
  </si>
  <si>
    <t>2518074189:ita</t>
  </si>
  <si>
    <t>840403878</t>
  </si>
  <si>
    <t>ocn840403878</t>
  </si>
  <si>
    <t>31036245084</t>
  </si>
  <si>
    <t>9788845927744</t>
  </si>
  <si>
    <t>794945929</t>
  </si>
  <si>
    <t>Z278 C2813 2015</t>
  </si>
  <si>
    <t>0                      Z  0278000C  2813        2015</t>
  </si>
  <si>
    <t>The art of the publisher / Roberto Calasso ; translated from the Italian by Richard Dixon.</t>
  </si>
  <si>
    <t>Calasso, Roberto, author.</t>
  </si>
  <si>
    <t>New York : Farrar, Straus and Giroux, 2015.</t>
  </si>
  <si>
    <t>2018-01-26</t>
  </si>
  <si>
    <t>2518074189:eng</t>
  </si>
  <si>
    <t>898419525</t>
  </si>
  <si>
    <t>ocn898419525</t>
  </si>
  <si>
    <t>31036082169</t>
  </si>
  <si>
    <t>9780374188238</t>
  </si>
  <si>
    <t>794986315</t>
  </si>
  <si>
    <t>Z278 C34 2017</t>
  </si>
  <si>
    <t>0                      Z  0278000C  34          2017</t>
  </si>
  <si>
    <t>Bookshops : a reader's history / Jorge Carrión ; translated from the Spanish by Peter Bush.</t>
  </si>
  <si>
    <t>Carrión, Jorge, 1976- author.</t>
  </si>
  <si>
    <t>Windsor, Ontario : Biblioasis, [2017]</t>
  </si>
  <si>
    <t>Biblioasis international translation series ; 21</t>
  </si>
  <si>
    <t>8942575644:eng</t>
  </si>
  <si>
    <t>974677335</t>
  </si>
  <si>
    <t>ocn974677335</t>
  </si>
  <si>
    <t>3103729426B</t>
  </si>
  <si>
    <t>9781771961745</t>
  </si>
  <si>
    <t>795029761</t>
  </si>
  <si>
    <t>Z278 C66 2006</t>
  </si>
  <si>
    <t>0                      Z  0278000C  66          2006</t>
  </si>
  <si>
    <t>Consuming books : the marketing and consumption of literature / edited by Stephen Brown.</t>
  </si>
  <si>
    <t>Abingdon, Oxon, England ; New York : Routledge, 2006.</t>
  </si>
  <si>
    <t>Routledge interpretive marketing research</t>
  </si>
  <si>
    <t>2018-04-23</t>
  </si>
  <si>
    <t>866517093:eng</t>
  </si>
  <si>
    <t>61295865</t>
  </si>
  <si>
    <t>ocm61295865</t>
  </si>
  <si>
    <t>3102556859C</t>
  </si>
  <si>
    <t>9780415367677</t>
  </si>
  <si>
    <t>793950683</t>
  </si>
  <si>
    <t>Z278 C665 2009</t>
  </si>
  <si>
    <t>0                      Z  0278000C  665         2009</t>
  </si>
  <si>
    <t>Les contradictions de la globalisation éditoriale / sous la direction de Gisèle Sapiro.</t>
  </si>
  <si>
    <t>Paris : Nouveau monde, ©2009.</t>
  </si>
  <si>
    <t>Collection culture/médias</t>
  </si>
  <si>
    <t>2018-04-04</t>
  </si>
  <si>
    <t>351923507:fre</t>
  </si>
  <si>
    <t>300413121</t>
  </si>
  <si>
    <t>ocn300413121</t>
  </si>
  <si>
    <t>31032141430</t>
  </si>
  <si>
    <t>9782847363920</t>
  </si>
  <si>
    <t>794431524</t>
  </si>
  <si>
    <t>Z278 D38 2011</t>
  </si>
  <si>
    <t>0                      Z  0278000D  38          2011</t>
  </si>
  <si>
    <t>The professionals' guide to publishing : a practical introduction to working in the publishing industry / Gill Davies, Richard Balkwill.</t>
  </si>
  <si>
    <t>Davies, Gill, 1945-</t>
  </si>
  <si>
    <t>Philadelphia : Kogan Page Limited, 2011.</t>
  </si>
  <si>
    <t>2012-07-17</t>
  </si>
  <si>
    <t>865320775:eng</t>
  </si>
  <si>
    <t>669754690</t>
  </si>
  <si>
    <t>ocn669754690</t>
  </si>
  <si>
    <t>3103406183E</t>
  </si>
  <si>
    <t>9780749455415</t>
  </si>
  <si>
    <t>794847085</t>
  </si>
  <si>
    <t>Z278 D54 2010</t>
  </si>
  <si>
    <t>0                      Z  0278000D  54          2010</t>
  </si>
  <si>
    <t>Digital book printing : Market analysis &amp; forecast, 2010-2015 / Interquest.</t>
  </si>
  <si>
    <t>Charlottesville, VA : Interquest Ltd., [2010].</t>
  </si>
  <si>
    <t>1415082513:eng</t>
  </si>
  <si>
    <t>862454387</t>
  </si>
  <si>
    <t>ocn862454387</t>
  </si>
  <si>
    <t>3103513867Z</t>
  </si>
  <si>
    <t>794960387</t>
  </si>
  <si>
    <t>Z278 D54 2011</t>
  </si>
  <si>
    <t>0                      Z  0278000D  54          2011</t>
  </si>
  <si>
    <t>La diplomatie par le livre : réseaux et circulation internationale de l'imprimé de 1880 à nos jours / sous la direction de Claude Hauser [and others].</t>
  </si>
  <si>
    <t>Paris : Nouveau Monde, ©2011.</t>
  </si>
  <si>
    <t>Culture-médias</t>
  </si>
  <si>
    <t>1060287221:fre</t>
  </si>
  <si>
    <t>721821186</t>
  </si>
  <si>
    <t>ocn721821186</t>
  </si>
  <si>
    <t>103556092L</t>
  </si>
  <si>
    <t>9782847365412</t>
  </si>
  <si>
    <t>794875341</t>
  </si>
  <si>
    <t>Z278 .F475 2019</t>
  </si>
  <si>
    <t>0                      Z  0278000F  475         2019</t>
  </si>
  <si>
    <t>Las ferias del libro como espacios de negociación cultural y económica / Marco Thomas Bosshard, Fernando García Naharro (eds.).</t>
  </si>
  <si>
    <t>Madrid : Iberoamericana ; Frankfurt am Main : Vervuert, 2019-</t>
  </si>
  <si>
    <t>8925256314:spa</t>
  </si>
  <si>
    <t>1085664556</t>
  </si>
  <si>
    <t>on1085664556</t>
  </si>
  <si>
    <t>3103875177Q</t>
  </si>
  <si>
    <t>9788491920281</t>
  </si>
  <si>
    <t>795078779</t>
  </si>
  <si>
    <t>Z278 G4213 1977</t>
  </si>
  <si>
    <t>0                      Z  0278000G  4213        1977</t>
  </si>
  <si>
    <t>Literature in the marketplace / Per Gedin ; translated by George Bisset.</t>
  </si>
  <si>
    <t>Gedin, Per I., 1928-</t>
  </si>
  <si>
    <t>London : Faber, 1977.</t>
  </si>
  <si>
    <t>4379087:eng</t>
  </si>
  <si>
    <t>3291428</t>
  </si>
  <si>
    <t>ocm03291428</t>
  </si>
  <si>
    <t>3000360150Z</t>
  </si>
  <si>
    <t>9780571110537</t>
  </si>
  <si>
    <t>792239351</t>
  </si>
  <si>
    <t>Z278 G87 2009</t>
  </si>
  <si>
    <t>0                      Z  0278000G  87          2009</t>
  </si>
  <si>
    <t>Globalization and literature / Suman Gupta.</t>
  </si>
  <si>
    <t>Gupta, Suman, 1966-</t>
  </si>
  <si>
    <t>Cambridge : Polity, 2009.</t>
  </si>
  <si>
    <t>Themes in 20th century literature and culture</t>
  </si>
  <si>
    <t>147031373:eng</t>
  </si>
  <si>
    <t>251890816</t>
  </si>
  <si>
    <t>ocn251890816</t>
  </si>
  <si>
    <t>3103058019M</t>
  </si>
  <si>
    <t>9780745640235</t>
  </si>
  <si>
    <t>794385827</t>
  </si>
  <si>
    <t>Z278 G88 2011</t>
  </si>
  <si>
    <t>0                      Z  0278000G  88          2011</t>
  </si>
  <si>
    <t>Publishing : principles &amp; practice / Richard Guthrie.</t>
  </si>
  <si>
    <t>Guthrie, R. (Richard)</t>
  </si>
  <si>
    <t>Thousand Oaks, Calif. : SAGE Publications, 2011.</t>
  </si>
  <si>
    <t>2014-08-27</t>
  </si>
  <si>
    <t>1020786386:eng</t>
  </si>
  <si>
    <t>726819506</t>
  </si>
  <si>
    <t>ocn726819506</t>
  </si>
  <si>
    <t>3103396033P</t>
  </si>
  <si>
    <t>9781847870148</t>
  </si>
  <si>
    <t>794877419</t>
  </si>
  <si>
    <t>Z278 H25</t>
  </si>
  <si>
    <t>0                      Z  0278000H  25</t>
  </si>
  <si>
    <t>The book world today; a new survey of the making and distribution of books in Britain. With an introd. by Stanley Unwin.</t>
  </si>
  <si>
    <t>Hampden, John, 1898-1974.</t>
  </si>
  <si>
    <t>London, Allen &amp; Unwin [1957]</t>
  </si>
  <si>
    <t>896552526:eng</t>
  </si>
  <si>
    <t>1457550</t>
  </si>
  <si>
    <t>ocm01457550</t>
  </si>
  <si>
    <t>3000778995I</t>
  </si>
  <si>
    <t>791629863</t>
  </si>
  <si>
    <t>Z278 H6</t>
  </si>
  <si>
    <t>0                      Z  0278000H  6</t>
  </si>
  <si>
    <t>Editor, author and publisher; papers. Edited by Wm. J. Howard.</t>
  </si>
  <si>
    <t>Editorial Conference (4th : 1968 : University of Toronto)</t>
  </si>
  <si>
    <t>[Toronto] Published for the Editorial Conference Committee by University of Toronto Press [©1969]</t>
  </si>
  <si>
    <t>2008-03-20</t>
  </si>
  <si>
    <t>4020658139:eng</t>
  </si>
  <si>
    <t>47057</t>
  </si>
  <si>
    <t>ocm00047057</t>
  </si>
  <si>
    <t>3000852425K</t>
  </si>
  <si>
    <t>9780802032386</t>
  </si>
  <si>
    <t>791238492</t>
  </si>
  <si>
    <t>Z278 J84 2007</t>
  </si>
  <si>
    <t>0                      Z  0278000J  84          2007</t>
  </si>
  <si>
    <t>Judging a book by its cover : fans, publishers, designers, and the marketing of fiction / edited by Nicole Matthews and Nickianne Moody.</t>
  </si>
  <si>
    <t>Aldershot, England ; Burlington, VT : Ashgate Pub., ©2007.</t>
  </si>
  <si>
    <t>901212714:eng</t>
  </si>
  <si>
    <t>85822482</t>
  </si>
  <si>
    <t>ocm85822482</t>
  </si>
  <si>
    <t>31026534101</t>
  </si>
  <si>
    <t>9780754657316</t>
  </si>
  <si>
    <t>794216495</t>
  </si>
  <si>
    <t>Z278 M54 2009</t>
  </si>
  <si>
    <t>0                      Z  0278000M  54          2009</t>
  </si>
  <si>
    <t>The story behind the book : preserving authors' and publishers' archives / Laura Millar.</t>
  </si>
  <si>
    <t>Millar, Laura, 1959- author.</t>
  </si>
  <si>
    <t>Vancouver : CCSP Press, [2009]</t>
  </si>
  <si>
    <t>JJ Douglas Library</t>
  </si>
  <si>
    <t>2018-10-24</t>
  </si>
  <si>
    <t>552118944:eng</t>
  </si>
  <si>
    <t>310153527</t>
  </si>
  <si>
    <t>ocn310153527</t>
  </si>
  <si>
    <t>3103071374J</t>
  </si>
  <si>
    <t>9780973872743</t>
  </si>
  <si>
    <t>794435056</t>
  </si>
  <si>
    <t>Z278 .O95 2011</t>
  </si>
  <si>
    <t>0                      Z  0278000O  95          2011</t>
  </si>
  <si>
    <t>The Oxford history of popular print culture / general editor, Gary Kelly.</t>
  </si>
  <si>
    <t>Oxford ; New York : Oxford University Press, 2011-</t>
  </si>
  <si>
    <t>2012-03-27</t>
  </si>
  <si>
    <t>2019-01-15</t>
  </si>
  <si>
    <t>2867415795:eng</t>
  </si>
  <si>
    <t>727942262</t>
  </si>
  <si>
    <t>ocn727942262</t>
  </si>
  <si>
    <t>3103341350K</t>
  </si>
  <si>
    <t>9780199287048</t>
  </si>
  <si>
    <t>794878684</t>
  </si>
  <si>
    <t>Z278 P68 2010</t>
  </si>
  <si>
    <t>0                      Z  0278000P  68          2010</t>
  </si>
  <si>
    <t>Pressing the fight : print, propaganda, and the Cold War / edited by Greg Barnhisel and Catherine Turner.</t>
  </si>
  <si>
    <t>Amherst : University of Massachusetts Press, ©2010.</t>
  </si>
  <si>
    <t>2013-04-08</t>
  </si>
  <si>
    <t>350273899:eng</t>
  </si>
  <si>
    <t>368048049</t>
  </si>
  <si>
    <t>ocn368048049</t>
  </si>
  <si>
    <t>3103243515K</t>
  </si>
  <si>
    <t>9781558497368</t>
  </si>
  <si>
    <t>794494110</t>
  </si>
  <si>
    <t>Z278 S5 1989</t>
  </si>
  <si>
    <t>0                      Z  0278000S  5           1989</t>
  </si>
  <si>
    <t>A guide to book publishing / by Datus C. Smith, Jr.</t>
  </si>
  <si>
    <t>Smith, Datus C. (Datus Clifford), 1907-1999.</t>
  </si>
  <si>
    <t>Seattle : University of Washington Press, ©1989.</t>
  </si>
  <si>
    <t>350889351:eng</t>
  </si>
  <si>
    <t>17731731</t>
  </si>
  <si>
    <t>ocm17731731</t>
  </si>
  <si>
    <t>31035237450</t>
  </si>
  <si>
    <t>9780295966519</t>
  </si>
  <si>
    <t>793001571</t>
  </si>
  <si>
    <t>Z278 S55 2012</t>
  </si>
  <si>
    <t>0                      Z  0278000S  55          2012</t>
  </si>
  <si>
    <t>The publishing business : from p-books to e-books / Kelvin Smith.</t>
  </si>
  <si>
    <t>Smith, Kelvin (Kelvin John)</t>
  </si>
  <si>
    <t>Lausanne, Switzerland : AVA Academia ; La Vergne, TN : Distributed in the USA by Ingram Publisher Services Inc., ©2012.</t>
  </si>
  <si>
    <t>Creative careers</t>
  </si>
  <si>
    <t>1088910769:eng</t>
  </si>
  <si>
    <t>780335397</t>
  </si>
  <si>
    <t>ocn780335397</t>
  </si>
  <si>
    <t>3103471204C</t>
  </si>
  <si>
    <t>9782940411627</t>
  </si>
  <si>
    <t>794912018</t>
  </si>
  <si>
    <t>Z278 S825 2014</t>
  </si>
  <si>
    <t>0                      Z  0278000S  825         2014</t>
  </si>
  <si>
    <t>Smoke proofs : essays on literary publishing, printing and typography / Andrew Steeves.</t>
  </si>
  <si>
    <t>Kentville, NS : Gaspereau Press, [2014]</t>
  </si>
  <si>
    <t>2529320661:eng</t>
  </si>
  <si>
    <t>888557724</t>
  </si>
  <si>
    <t>ocn888557724</t>
  </si>
  <si>
    <t>31034956227</t>
  </si>
  <si>
    <t>9781554471416</t>
  </si>
  <si>
    <t>794978131</t>
  </si>
  <si>
    <t>Z279 G7</t>
  </si>
  <si>
    <t>0                      Z  0279000G  7</t>
  </si>
  <si>
    <t>Book-trade bibliography in the United States in the XIXth century; by A. Growoll ... to which is added A catalogue of all the books printed in the United States, with the prices, and place where published, annexed. Published by the booksellers in Boston, January, 1804.</t>
  </si>
  <si>
    <t>Growoll, Adolf, 1850-1909.</t>
  </si>
  <si>
    <t>New York, Printed for the Dibdin club, 1898; Burt Franklin [1965]</t>
  </si>
  <si>
    <t>Burt Franklin: Bibliography and reference series, no. 89</t>
  </si>
  <si>
    <t>2015-02-06</t>
  </si>
  <si>
    <t>5623078835:eng</t>
  </si>
  <si>
    <t>9076814</t>
  </si>
  <si>
    <t>ocm09076814</t>
  </si>
  <si>
    <t>30008559781</t>
  </si>
  <si>
    <t>792655544</t>
  </si>
  <si>
    <t>Z280 A26 2000</t>
  </si>
  <si>
    <t>0                      Z  0280000A  26          2000</t>
  </si>
  <si>
    <t>Across boundaries : the book in culture &amp; commerce / edited by Bill Bell, Philip Benet &amp; Jonquil Bevan.</t>
  </si>
  <si>
    <t>Winchester, Hampshire, UK : St Paul's Bibliographies ; New Castle, DE : Oak Knoll Press, 2000.</t>
  </si>
  <si>
    <t>2018-06-28</t>
  </si>
  <si>
    <t>837009138:eng</t>
  </si>
  <si>
    <t>42861576</t>
  </si>
  <si>
    <t>ocm42861576</t>
  </si>
  <si>
    <t>3102952372F</t>
  </si>
  <si>
    <t>9781584560067</t>
  </si>
  <si>
    <t>793616005</t>
  </si>
  <si>
    <t>Z280 B65 2011</t>
  </si>
  <si>
    <t>0                      Z  0280000B  65          2011</t>
  </si>
  <si>
    <t>Book publishing : critical concepts in media and cultural studies / edited by John Feather.</t>
  </si>
  <si>
    <t>Milton Park, Abingdon : Routledge, 2011, ©2011.</t>
  </si>
  <si>
    <t>Critical concepts in media and cultural studies</t>
  </si>
  <si>
    <t>536751708:eng</t>
  </si>
  <si>
    <t>676062564</t>
  </si>
  <si>
    <t>ocn676062564</t>
  </si>
  <si>
    <t>3103405034V</t>
  </si>
  <si>
    <t>9780415490092</t>
  </si>
  <si>
    <t>794849673</t>
  </si>
  <si>
    <t>3103405039V</t>
  </si>
  <si>
    <t>794849672</t>
  </si>
  <si>
    <t>3103405053R</t>
  </si>
  <si>
    <t>794849674</t>
  </si>
  <si>
    <t>3103405048T</t>
  </si>
  <si>
    <t>794849675</t>
  </si>
  <si>
    <t>Z280 B66 1983</t>
  </si>
  <si>
    <t>0                      Z  0280000B  66          1983</t>
  </si>
  <si>
    <t>Books and society in history : papers of the Association of College and Research Libraries rare books and manuscripts preconference, 24-28 June, 1980, Boston, Massachusetts / edited by Kenneth E. Carpenter.</t>
  </si>
  <si>
    <t>New York : R.R. Bowker, 1983.</t>
  </si>
  <si>
    <t>42819198:eng</t>
  </si>
  <si>
    <t>8929288</t>
  </si>
  <si>
    <t>ocm08929288</t>
  </si>
  <si>
    <t>3000845148B</t>
  </si>
  <si>
    <t>9780835216753</t>
  </si>
  <si>
    <t>792648593</t>
  </si>
  <si>
    <t>Z280 B68 2009</t>
  </si>
  <si>
    <t>0                      Z  0280000B  68          2009</t>
  </si>
  <si>
    <t>Books for sale : the advertising and promotion of print since the fifteenth century / edited by Robin Myers, Michael Harris and Giles Mandelbrote.</t>
  </si>
  <si>
    <t>New Castle, DE : Oak Knoll Press ; London : British Library, 2009.</t>
  </si>
  <si>
    <t>Publishing pathways</t>
  </si>
  <si>
    <t>796276892:eng</t>
  </si>
  <si>
    <t>456373702</t>
  </si>
  <si>
    <t>ocn456373702</t>
  </si>
  <si>
    <t>31036284679</t>
  </si>
  <si>
    <t>9781584562658</t>
  </si>
  <si>
    <t>794788794</t>
  </si>
  <si>
    <t>2017-03-13</t>
  </si>
  <si>
    <t>3103214665I</t>
  </si>
  <si>
    <t>794788793</t>
  </si>
  <si>
    <t>Z280 F67 2018</t>
  </si>
  <si>
    <t>0                      Z  0280000F  67          2018</t>
  </si>
  <si>
    <t>Rudolph Ackermann &amp; the Regency world / John Ford.</t>
  </si>
  <si>
    <t>Ford, John, 1936- author.</t>
  </si>
  <si>
    <t>Sussex : Warnham Books, [2018]</t>
  </si>
  <si>
    <t>5470486718:eng</t>
  </si>
  <si>
    <t>1055678030</t>
  </si>
  <si>
    <t>on1055678030</t>
  </si>
  <si>
    <t>31038802499</t>
  </si>
  <si>
    <t>9781527219441</t>
  </si>
  <si>
    <t>795063477</t>
  </si>
  <si>
    <t>Z280 K68 2008</t>
  </si>
  <si>
    <t>0                      Z  0280000K  68          2008</t>
  </si>
  <si>
    <t>Never mind the web : here comes the book / Miha Kovac.</t>
  </si>
  <si>
    <t>Kovač, Miha.</t>
  </si>
  <si>
    <t>Oxford : Chandos, 2008.</t>
  </si>
  <si>
    <t>Chandos publishing series</t>
  </si>
  <si>
    <t>2015-07-14</t>
  </si>
  <si>
    <t>479498104:eng</t>
  </si>
  <si>
    <t>232713011</t>
  </si>
  <si>
    <t>ocn232713011</t>
  </si>
  <si>
    <t>3102855183D</t>
  </si>
  <si>
    <t>9781843344063</t>
  </si>
  <si>
    <t>794364330</t>
  </si>
  <si>
    <t>Z280 M35 2013</t>
  </si>
  <si>
    <t>0                      Z  0280000M  35          2013</t>
  </si>
  <si>
    <t>Old books, new technologies : the representation, conservation and transformation of books since 1700 / David McKitterick.</t>
  </si>
  <si>
    <t>McKitterick, David, author.</t>
  </si>
  <si>
    <t>Cambridge [England] ; New York : Cambridge University Press, [2013]</t>
  </si>
  <si>
    <t>1174821291:eng</t>
  </si>
  <si>
    <t>814529370</t>
  </si>
  <si>
    <t>ocn814529370</t>
  </si>
  <si>
    <t>3103498359Z</t>
  </si>
  <si>
    <t>9781107035935</t>
  </si>
  <si>
    <t>794932255</t>
  </si>
  <si>
    <t>Z280 M88 2001</t>
  </si>
  <si>
    <t>0                      Z  0280000M  88          2001</t>
  </si>
  <si>
    <t>Les mutations du livre et de l'édition dans le monde, du XVIIIe siècle à l'an 2000 : actes du colloque international / sous la direction de Jacques Michon et Jean-Yves Mollier.</t>
  </si>
  <si>
    <t>[Sainte-Foy, Quebec] : Presses de l'Université Laval, 2001.</t>
  </si>
  <si>
    <t>2017-02-26</t>
  </si>
  <si>
    <t>890694421:eng</t>
  </si>
  <si>
    <t>47990482</t>
  </si>
  <si>
    <t>ocm47990482</t>
  </si>
  <si>
    <t>3102155066U</t>
  </si>
  <si>
    <t>9782763778051</t>
  </si>
  <si>
    <t>793712974</t>
  </si>
  <si>
    <t>Z280 R85 2010</t>
  </si>
  <si>
    <t>0                      Z  0280000R  85          2010</t>
  </si>
  <si>
    <t>The development of the international book trade, 1870-1895 : tangled networks / by Alison Rukavina.</t>
  </si>
  <si>
    <t>Rukavina, Alison.</t>
  </si>
  <si>
    <t>2013-08-15</t>
  </si>
  <si>
    <t>793279758:eng</t>
  </si>
  <si>
    <t>656768599</t>
  </si>
  <si>
    <t>ocn656768599</t>
  </si>
  <si>
    <t>3103232900J</t>
  </si>
  <si>
    <t>9780230275638</t>
  </si>
  <si>
    <t>794835014</t>
  </si>
  <si>
    <t>Z280 S57 2017</t>
  </si>
  <si>
    <t>0                      Z  0280000S  57          2017</t>
  </si>
  <si>
    <t>Modernist experiments in genre, media, and transatlantic print culture. Jennifer Julia Sorensen.</t>
  </si>
  <si>
    <t>Julia Sorensen, Jennifer.</t>
  </si>
  <si>
    <t>Basingstoke : Taylor &amp; Francis Ltd 2016.</t>
  </si>
  <si>
    <t>Studies in Publishing History: Manuscript, Print, Digital</t>
  </si>
  <si>
    <t>3988921488:eng</t>
  </si>
  <si>
    <t>965461616</t>
  </si>
  <si>
    <t>ocn965461616</t>
  </si>
  <si>
    <t>3103655415P</t>
  </si>
  <si>
    <t>9781472458834</t>
  </si>
  <si>
    <t>795025708</t>
  </si>
  <si>
    <t>Z280 T66 2015</t>
  </si>
  <si>
    <t>0                      Z  0280000T  66          2015</t>
  </si>
  <si>
    <t>The literary correspondences of the Tonsons / edited by Stephen Bernard.</t>
  </si>
  <si>
    <t>2525524514:eng</t>
  </si>
  <si>
    <t>910885911</t>
  </si>
  <si>
    <t>ocn910885911</t>
  </si>
  <si>
    <t>3103653266Q</t>
  </si>
  <si>
    <t>9780198700852</t>
  </si>
  <si>
    <t>794996646</t>
  </si>
  <si>
    <t>Z280 W38 2019</t>
  </si>
  <si>
    <t>0                      Z  0280000W  38          2019</t>
  </si>
  <si>
    <t>The face pressed against a window : a memoir / Tim Waterstone.</t>
  </si>
  <si>
    <t>Waterstone, Tim, 1939- author.</t>
  </si>
  <si>
    <t>London : Atlantic Books, 2019.</t>
  </si>
  <si>
    <t>2019-06-26</t>
  </si>
  <si>
    <t>5224796861:eng</t>
  </si>
  <si>
    <t>1040193458</t>
  </si>
  <si>
    <t>on1040193458</t>
  </si>
  <si>
    <t>31037377700</t>
  </si>
  <si>
    <t>9781786496300</t>
  </si>
  <si>
    <t>795059019</t>
  </si>
  <si>
    <t>1922</t>
  </si>
  <si>
    <t>2016-03-19</t>
  </si>
  <si>
    <t>2015-01-26</t>
  </si>
  <si>
    <t>Z282.35 R42 L69 1999</t>
  </si>
  <si>
    <t>0                      Z  0282350R  42                 L  69          1999</t>
  </si>
  <si>
    <t>Recruiting library staff : a how-to-do-it manual for librarians / Kathleen Low.</t>
  </si>
  <si>
    <t>Low, Kathleen.</t>
  </si>
  <si>
    <t>New York : Neal-Schuman Publishers, ©1999.</t>
  </si>
  <si>
    <t>How-to-do-it manuals for librarians ; no. 94</t>
  </si>
  <si>
    <t>836991715:eng</t>
  </si>
  <si>
    <t>41338166</t>
  </si>
  <si>
    <t>ocm41338166</t>
  </si>
  <si>
    <t>31019919886</t>
  </si>
  <si>
    <t>9781555703554</t>
  </si>
  <si>
    <t>793589372</t>
  </si>
  <si>
    <t>Z284 B635 2013</t>
  </si>
  <si>
    <t>0                      Z  0284000B  635         2013</t>
  </si>
  <si>
    <t>The book is a--live! / editors: Emanuelle Waeckerlé, Richard Sawdon Smith.</t>
  </si>
  <si>
    <t>BOOKLIVE! (Conference) (2012 : London South Bank University)</t>
  </si>
  <si>
    <t>Sheffield, United Kingdom : RGAP, [2013]</t>
  </si>
  <si>
    <t>First edition of 500.</t>
  </si>
  <si>
    <t>1749387078:eng</t>
  </si>
  <si>
    <t>870530365</t>
  </si>
  <si>
    <t>ocn870530365</t>
  </si>
  <si>
    <t>31035326432</t>
  </si>
  <si>
    <t>9780956902450</t>
  </si>
  <si>
    <t>794966657</t>
  </si>
  <si>
    <t>Z284 C65 2011</t>
  </si>
  <si>
    <t>0                      Z  0284000C  65          2011</t>
  </si>
  <si>
    <t>Gens du livre &amp; gens de lettres à la Renaissance / textes réunis &amp; édités par Christine Bénévent, Isabelle Diu &amp; Chiara Lastraioli.</t>
  </si>
  <si>
    <t>Colloque international d'études humanistes (54th : 2011 : Tours, France)</t>
  </si>
  <si>
    <t>[Turnhout] : Brepols, 2014.</t>
  </si>
  <si>
    <t>Collection "Études Renaissantes"</t>
  </si>
  <si>
    <t>2016-02-05</t>
  </si>
  <si>
    <t>1894580510:fre</t>
  </si>
  <si>
    <t>894847221</t>
  </si>
  <si>
    <t>ocn894847221</t>
  </si>
  <si>
    <t>3103623412M</t>
  </si>
  <si>
    <t>9782503552422</t>
  </si>
  <si>
    <t>794983033</t>
  </si>
  <si>
    <t>Z285.5 F45 2014</t>
  </si>
  <si>
    <t>0                      Z  0285500F  45          2014</t>
  </si>
  <si>
    <t>Maîtres de leurs ouvrages : l'édition à compte d'auteur à Paris au XVIIIe siècle / Marie-Claude Felton ; préface de Roger Chartier.</t>
  </si>
  <si>
    <t>Felton, Marie-Claude, author.</t>
  </si>
  <si>
    <t>Oxford : Voltaire Foundation, 2014.</t>
  </si>
  <si>
    <t>Oxford University studies in the Enlightenment, 0435-2866 ; 2014:03</t>
  </si>
  <si>
    <t>2017-09-29</t>
  </si>
  <si>
    <t>1846654993:fre</t>
  </si>
  <si>
    <t>866583647</t>
  </si>
  <si>
    <t>ocn866583647</t>
  </si>
  <si>
    <t>3103573728G</t>
  </si>
  <si>
    <t>9780729410816</t>
  </si>
  <si>
    <t>794963432</t>
  </si>
  <si>
    <t>Z286 A55 M37 2007</t>
  </si>
  <si>
    <t>0                      Z  0286000A  55                 M  37          2007</t>
  </si>
  <si>
    <t>A book of booksellers : conversations with the antiquarian book trade, 1991-2003 / Sheila Markham.</t>
  </si>
  <si>
    <t>Markham, Sheila.</t>
  </si>
  <si>
    <t>London : Sheila Markham Rare Books ; New Castle, DE : Oak Knoll Press, 2007.</t>
  </si>
  <si>
    <t>1st pbk. ed.</t>
  </si>
  <si>
    <t>2016-01-09</t>
  </si>
  <si>
    <t>375628396:eng</t>
  </si>
  <si>
    <t>128236646</t>
  </si>
  <si>
    <t>ocn128236646</t>
  </si>
  <si>
    <t>3102647079R</t>
  </si>
  <si>
    <t>9780954799717</t>
  </si>
  <si>
    <t>794231432</t>
  </si>
  <si>
    <t>Z286 A55 R44 2018</t>
  </si>
  <si>
    <t>0                      Z  0286000A  55                 R  44          2018</t>
  </si>
  <si>
    <t>Collectors, booksellers, and libraries : essays on Americanists and the rare book market / William S. Reese.</t>
  </si>
  <si>
    <t>Reese, William S., author.</t>
  </si>
  <si>
    <t>New Haven : Overland Press, 2018.</t>
  </si>
  <si>
    <t>2019-12-05</t>
  </si>
  <si>
    <t>5368537363:eng</t>
  </si>
  <si>
    <t>1028578594</t>
  </si>
  <si>
    <t>on1028578594</t>
  </si>
  <si>
    <t>3103877195E</t>
  </si>
  <si>
    <t>795053199</t>
  </si>
  <si>
    <t>Z286 A55 R67</t>
  </si>
  <si>
    <t>0                      Z  0286000A  55                 R  67</t>
  </si>
  <si>
    <t>Old &amp; rare; thirty years in the book business [by] Leona Rostenberg and Madeleine B. Stern.</t>
  </si>
  <si>
    <t>Leona Rostenberg (Firm)</t>
  </si>
  <si>
    <t>New York, A. Schram [1974]</t>
  </si>
  <si>
    <t>2003-05-30</t>
  </si>
  <si>
    <t>2015-07-13</t>
  </si>
  <si>
    <t>2714404:eng</t>
  </si>
  <si>
    <t>1009322</t>
  </si>
  <si>
    <t>ocm01009322</t>
  </si>
  <si>
    <t>3000856570S</t>
  </si>
  <si>
    <t>9780839001300</t>
  </si>
  <si>
    <t>791524085</t>
  </si>
  <si>
    <t>3102952397B</t>
  </si>
  <si>
    <t>791524087</t>
  </si>
  <si>
    <t>Z286 A77 M34 2016</t>
  </si>
  <si>
    <t>0                      Z  0286000A  77                 M  34          2016</t>
  </si>
  <si>
    <t>The magazine / edited by Gwen Allen.</t>
  </si>
  <si>
    <t>Magazine (M.I.T. Press)</t>
  </si>
  <si>
    <t>London : Whitechapel Gallery ; Cambridge, MA : The MIT Press, 2016.</t>
  </si>
  <si>
    <t>Whitechapel: documents of contemporary art</t>
  </si>
  <si>
    <t>2784495552:eng</t>
  </si>
  <si>
    <t>935674857</t>
  </si>
  <si>
    <t>ocn935674857</t>
  </si>
  <si>
    <t>3103657228E</t>
  </si>
  <si>
    <t>9780262528665</t>
  </si>
  <si>
    <t>795010103</t>
  </si>
  <si>
    <t>Z286 A77 T39 2017</t>
  </si>
  <si>
    <t>0                      Z  0286000A  77                 T  39          2017</t>
  </si>
  <si>
    <t>The grey guide to artist-run publishing &amp; circulation / edited by Anne Bertrand ; original essays by Felicity Tayler = Le petit gris : guide de l'édition en art &amp; de la distribution autogérée / dirigé par Anne Bertrand ; essais inédits de Felicity Tayler.</t>
  </si>
  <si>
    <t>Tayler, Felicity, 1977- author.</t>
  </si>
  <si>
    <t>Montréal : Artist-Run Centres and Collectives Conference = Conférence des collectifs et des centres d'artistes autogérés, 2017.</t>
  </si>
  <si>
    <t>4403526165:eng</t>
  </si>
  <si>
    <t>992558344</t>
  </si>
  <si>
    <t>ocn992558344</t>
  </si>
  <si>
    <t>31037662723</t>
  </si>
  <si>
    <t>9780995996809</t>
  </si>
  <si>
    <t>795038273</t>
  </si>
  <si>
    <t>Z286 C48 G38 1986</t>
  </si>
  <si>
    <t>0                      Z  0286000C  48                 G  38          1986</t>
  </si>
  <si>
    <t>How to write, illustrate, and design children's books / by Frieda Gates.</t>
  </si>
  <si>
    <t>Gates, Frieda.</t>
  </si>
  <si>
    <t>Monsey, N.Y. : Lloyd-Simone Pub. Co. ; Monroe, N.Y. : Distributed by Library Research Associates, 1986.</t>
  </si>
  <si>
    <t>2017-09-19</t>
  </si>
  <si>
    <t>1076058229:eng</t>
  </si>
  <si>
    <t>15000449</t>
  </si>
  <si>
    <t>ocm15000449</t>
  </si>
  <si>
    <t>31011410262</t>
  </si>
  <si>
    <t>9780938249252</t>
  </si>
  <si>
    <t>792916168</t>
  </si>
  <si>
    <t>Z286 E43 B68 2010</t>
  </si>
  <si>
    <t>0                      Z  0286000E  43                 B  68          2010</t>
  </si>
  <si>
    <t>The book of MPub : new perspectives on technology and publishing / edited by Vanessa Chan [and others].</t>
  </si>
  <si>
    <t>Vancouver, B.C. : CCSP Press, 2010.</t>
  </si>
  <si>
    <t>675058690:eng</t>
  </si>
  <si>
    <t>667848347</t>
  </si>
  <si>
    <t>ocn667848347</t>
  </si>
  <si>
    <t>3103268492E8</t>
  </si>
  <si>
    <t>9780973872750</t>
  </si>
  <si>
    <t>794845703</t>
  </si>
  <si>
    <t>Z286 E43 C65 2003</t>
  </si>
  <si>
    <t>0                      Z  0286000E  43                 C  65          2003</t>
  </si>
  <si>
    <t>The Columbia guide to digital publishing / edited by William E. Kasdorf.</t>
  </si>
  <si>
    <t>New York : Columbia University Press, ©2003.</t>
  </si>
  <si>
    <t>2015-03-14</t>
  </si>
  <si>
    <t>56876954:eng</t>
  </si>
  <si>
    <t>51223526</t>
  </si>
  <si>
    <t>ocm51223526</t>
  </si>
  <si>
    <t>3102262458G</t>
  </si>
  <si>
    <t>9780231124980</t>
  </si>
  <si>
    <t>793780813</t>
  </si>
  <si>
    <t>3102580765M</t>
  </si>
  <si>
    <t>793780812</t>
  </si>
  <si>
    <t>Z286 E43 D45 2015</t>
  </si>
  <si>
    <t>0                      Z  0286000E  43                 D  45          2015</t>
  </si>
  <si>
    <t>Dejitaru jidai no chishiki sōzō : hen'yōsuru chosakuken / Nagao Makoto kanshū.</t>
  </si>
  <si>
    <t>Tōkyō-to Chiyoda-ku : Kabushiki Kaisha Kadokawa, Heisei 27 [2015]</t>
  </si>
  <si>
    <t>Shohan.</t>
  </si>
  <si>
    <t>jpn</t>
  </si>
  <si>
    <t>Intānetto kōza / Kadokawa = Course-internet / Kadokawa ; 03</t>
  </si>
  <si>
    <t>2506422179:jpn</t>
  </si>
  <si>
    <t>908113212</t>
  </si>
  <si>
    <t>ocn908113212</t>
  </si>
  <si>
    <t>3103632153J</t>
  </si>
  <si>
    <t>9784046538833</t>
  </si>
  <si>
    <t>794994238</t>
  </si>
  <si>
    <t>Z286 E43 E4385 2010</t>
  </si>
  <si>
    <t>0                      Z  0286000E  43                 E  4385        2010</t>
  </si>
  <si>
    <t>Electronic publishing : politics and pragmatics / edited by Gabriel Egan.</t>
  </si>
  <si>
    <t>Tempe, Ariz. : Iter Inc. in collaboration with ACMRS (Arizona Center for Medieval and Renaissance Studies), ©2010.</t>
  </si>
  <si>
    <t>New technologies in medieval and Renaissance studies ; v. 2</t>
  </si>
  <si>
    <t>2011-10-17</t>
  </si>
  <si>
    <t>694094539:eng</t>
  </si>
  <si>
    <t>678923700</t>
  </si>
  <si>
    <t>ocn678923700</t>
  </si>
  <si>
    <t>3103313436S</t>
  </si>
  <si>
    <t>9780866984492</t>
  </si>
  <si>
    <t>794850544</t>
  </si>
  <si>
    <t>Z286 E43 E46 2014</t>
  </si>
  <si>
    <t>0                      Z  0286000E  43                 E  46          2014</t>
  </si>
  <si>
    <t>Publishing &amp; marketing in the digital age / Debbie Elicksen.</t>
  </si>
  <si>
    <t>Elicksen, Debbie, author.</t>
  </si>
  <si>
    <t>Bellingham, WA, USA ; North Vancouver, BC, Canada : Self-Counsel Press (a division of) Internatonal Self-Counsel Press Ltd., 2014.</t>
  </si>
  <si>
    <t>First edition: 2014.</t>
  </si>
  <si>
    <t>Self-Counsel Press reference</t>
  </si>
  <si>
    <t>2016-05-27</t>
  </si>
  <si>
    <t>1840320370:eng</t>
  </si>
  <si>
    <t>873007135</t>
  </si>
  <si>
    <t>ocn873007135</t>
  </si>
  <si>
    <t>3103495516C</t>
  </si>
  <si>
    <t>9781770401952</t>
  </si>
  <si>
    <t>794968369</t>
  </si>
  <si>
    <t>Z286 E43 E55 2010</t>
  </si>
  <si>
    <t>0                      Z  0286000E  43                 E  55          2010</t>
  </si>
  <si>
    <t>Enjeux et perspectives de l'édition électronique / textes réunis par Federico Bravo.</t>
  </si>
  <si>
    <t>Pessac : Presses universitaires de Bordeaux, 2010.</t>
  </si>
  <si>
    <t>Collection de la Maison des pays ibériques. Série Études ibériques &amp; ibéro-américaines</t>
  </si>
  <si>
    <t>510826027:fre</t>
  </si>
  <si>
    <t>647902939</t>
  </si>
  <si>
    <t>ocn647902939</t>
  </si>
  <si>
    <t>3103297974T</t>
  </si>
  <si>
    <t>9782867816697</t>
  </si>
  <si>
    <t>794830950</t>
  </si>
  <si>
    <t>Z286 E43 G73 2018</t>
  </si>
  <si>
    <t>0                      Z  0286000E  43                 G  73          2018</t>
  </si>
  <si>
    <t>The republic of games : textual culture between old books and new media / Elyse Graham.</t>
  </si>
  <si>
    <t>White, E. J. (Elyse J.), author.</t>
  </si>
  <si>
    <t>Montreal ; Kingston ; London ; Chicago : McGill-Queen's University Press, [2018]</t>
  </si>
  <si>
    <t>5086809295:eng</t>
  </si>
  <si>
    <t>1013530634</t>
  </si>
  <si>
    <t>on1013530634</t>
  </si>
  <si>
    <t>31037301980</t>
  </si>
  <si>
    <t>9780773553392</t>
  </si>
  <si>
    <t>795047139</t>
  </si>
  <si>
    <t>Z286 E43 I45 1998</t>
  </si>
  <si>
    <t>0                      Z  0286000E  43                 I  45          1998</t>
  </si>
  <si>
    <t>The impact of electronic publishing on the academic community : an international workshop organized by the Academia Europaea and the Wenner-Gren Foundation / edited by I. Butterworth.</t>
  </si>
  <si>
    <t>London ; Miami : Portland Press, ©1998.</t>
  </si>
  <si>
    <t>Wenner-Gren international series ; v. 73</t>
  </si>
  <si>
    <t>836994767:eng</t>
  </si>
  <si>
    <t>39891325</t>
  </si>
  <si>
    <t>ocm39891325</t>
  </si>
  <si>
    <t>3101948957C</t>
  </si>
  <si>
    <t>9781855781221</t>
  </si>
  <si>
    <t>793556123</t>
  </si>
  <si>
    <t>Z286 E43 M37 2010</t>
  </si>
  <si>
    <t>0                      Z  0286000E  43                 M  37          2010</t>
  </si>
  <si>
    <t>Books, bytes, and business : the promise of digital publishing / Bill Martin and Xuemei Tian.</t>
  </si>
  <si>
    <t>Martin, William J., 1938-</t>
  </si>
  <si>
    <t>2013-09-03</t>
  </si>
  <si>
    <t>796759580:eng</t>
  </si>
  <si>
    <t>586123162</t>
  </si>
  <si>
    <t>ocn586123162</t>
  </si>
  <si>
    <t>3103230465U</t>
  </si>
  <si>
    <t>9780754678373</t>
  </si>
  <si>
    <t>794814199</t>
  </si>
  <si>
    <t>Z286 E43 P72 2014</t>
  </si>
  <si>
    <t>0                      Z  0286000E  43                 P  72          2014</t>
  </si>
  <si>
    <t>Pratiques de l'édition numérique / sous la direction de Michaël E. Sinatra et Marcello Vitali-Rosati.</t>
  </si>
  <si>
    <t>[Montréal] : Les Presses de l'Université de Montréal, [2014]</t>
  </si>
  <si>
    <t>Parcours numériques ; 1</t>
  </si>
  <si>
    <t>2018-06-11</t>
  </si>
  <si>
    <t>1784555295:fre</t>
  </si>
  <si>
    <t>880711801</t>
  </si>
  <si>
    <t>ocn880711801</t>
  </si>
  <si>
    <t>3103494451B</t>
  </si>
  <si>
    <t>9782760632028</t>
  </si>
  <si>
    <t>794973381</t>
  </si>
  <si>
    <t>Z286 E43 S52 2006</t>
  </si>
  <si>
    <t>0                      Z  0286000E  43                 S  52          2006</t>
  </si>
  <si>
    <t>From Gutenberg to Google : electronic representations of literary texts / Peter L. Shillingsburg.</t>
  </si>
  <si>
    <t>Shillingsburg, Peter L.</t>
  </si>
  <si>
    <t>Cambridge, UK ; New York : Cambridge University Press, 2006.</t>
  </si>
  <si>
    <t>2017-05-08</t>
  </si>
  <si>
    <t>802711306:eng</t>
  </si>
  <si>
    <t>70059788</t>
  </si>
  <si>
    <t>ocm70059788</t>
  </si>
  <si>
    <t>3102565316Y</t>
  </si>
  <si>
    <t>9780521864985</t>
  </si>
  <si>
    <t>794147975</t>
  </si>
  <si>
    <t>2019-03-21</t>
  </si>
  <si>
    <t>Z286 H5 H69 2009</t>
  </si>
  <si>
    <t>0                      Z  0286000H  5                  H  69          2009</t>
  </si>
  <si>
    <t>Past into print : the publishing of history in Britain, 1850-1950 / Leslie Howsam.</t>
  </si>
  <si>
    <t>London : British Library ; [Toronto] : University of Toronto Press, 2009.</t>
  </si>
  <si>
    <t>892506821:eng</t>
  </si>
  <si>
    <t>312626235</t>
  </si>
  <si>
    <t>ocn312626235</t>
  </si>
  <si>
    <t>3103072466E</t>
  </si>
  <si>
    <t>9780712350273</t>
  </si>
  <si>
    <t>794436867</t>
  </si>
  <si>
    <t>Z286 L58 G46 1987</t>
  </si>
  <si>
    <t>0                      Z  0286000L  58                 G  46          1987</t>
  </si>
  <si>
    <t>Seuils / Gérard Genette.</t>
  </si>
  <si>
    <t>Genette, Gérard, 1930-2018.</t>
  </si>
  <si>
    <t>Paris : Editions du Seuil, ©1987.</t>
  </si>
  <si>
    <t>Collection Poétique</t>
  </si>
  <si>
    <t>2019-11-25</t>
  </si>
  <si>
    <t>2242267682:fre</t>
  </si>
  <si>
    <t>24872949</t>
  </si>
  <si>
    <t>ocm24872949</t>
  </si>
  <si>
    <t>3102930131A</t>
  </si>
  <si>
    <t>9782020095259</t>
  </si>
  <si>
    <t>793207229</t>
  </si>
  <si>
    <t>Z286 L58 G4613 1997</t>
  </si>
  <si>
    <t>0                      Z  0286000L  58                 G  4613        1997</t>
  </si>
  <si>
    <t>Paratexts : thresholds of interpretation / Gérard Genette ; translated by Jane E. Lewin ; foreword by Richard Macksey.</t>
  </si>
  <si>
    <t>Cambridge ; New York, NY, USA : Cambridge University Press, 1997.</t>
  </si>
  <si>
    <t>Literature, culture, theory ; 20</t>
  </si>
  <si>
    <t>2019-01-29</t>
  </si>
  <si>
    <t>2019-06-08</t>
  </si>
  <si>
    <t>2242267682:eng</t>
  </si>
  <si>
    <t>36778284</t>
  </si>
  <si>
    <t>ocm36778284</t>
  </si>
  <si>
    <t>31031448565</t>
  </si>
  <si>
    <t>9780521413503</t>
  </si>
  <si>
    <t>793484108</t>
  </si>
  <si>
    <t>31029983876</t>
  </si>
  <si>
    <t>793484107</t>
  </si>
  <si>
    <t>Z286 L58 L58 2007</t>
  </si>
  <si>
    <t>0                      Z  0286000L  58                 L  58          2007</t>
  </si>
  <si>
    <t>Literary cultures and the material book / edited by Simon Eliot, Andrew Nash and Ian Willison.</t>
  </si>
  <si>
    <t>343357425:eng</t>
  </si>
  <si>
    <t>159592416</t>
  </si>
  <si>
    <t>ocn159592416</t>
  </si>
  <si>
    <t>31026451099</t>
  </si>
  <si>
    <t>9780712306843</t>
  </si>
  <si>
    <t>794256528</t>
  </si>
  <si>
    <t>Z286 L58 M36 2017</t>
  </si>
  <si>
    <t>0                      Z  0286000L  58                 M  36          2017</t>
  </si>
  <si>
    <t>Recoding world literature : libraries, print culture, and Germany's pact with books / B. Venkat Mani.</t>
  </si>
  <si>
    <t>Mani, B. Venkat, author.</t>
  </si>
  <si>
    <t>New York : Fordham University Press, 2017.</t>
  </si>
  <si>
    <t>4164023234:eng</t>
  </si>
  <si>
    <t>947147158</t>
  </si>
  <si>
    <t>ocn947147158</t>
  </si>
  <si>
    <t>31036979093</t>
  </si>
  <si>
    <t>9780823273409</t>
  </si>
  <si>
    <t>795015158</t>
  </si>
  <si>
    <t>Z286 L58 P57 2009</t>
  </si>
  <si>
    <t>0                      Z  0286000L  58                 P  57          2009</t>
  </si>
  <si>
    <t>Dreaming in books : the making of the bibliographic imagination in the Romantic age / Andrew Piper.</t>
  </si>
  <si>
    <t>Piper, Andrew, 1973-</t>
  </si>
  <si>
    <t>Chicago : The University of Chicago Press, ©2009.</t>
  </si>
  <si>
    <t>2017-12-11</t>
  </si>
  <si>
    <t>499363368:eng</t>
  </si>
  <si>
    <t>262429408</t>
  </si>
  <si>
    <t>ocn262429408</t>
  </si>
  <si>
    <t>3103080170O</t>
  </si>
  <si>
    <t>9780226669724</t>
  </si>
  <si>
    <t>794401689</t>
  </si>
  <si>
    <t>3103524668W</t>
  </si>
  <si>
    <t>794401688</t>
  </si>
  <si>
    <t>Z286 M3 P43 2005</t>
  </si>
  <si>
    <t>0                      Z  0286000M  3                  P  43          2005</t>
  </si>
  <si>
    <t>The commerce of cartography : making and marketing maps in eighteenth-century France and England / Mary Sponberg Pedley.</t>
  </si>
  <si>
    <t>Pedley, Mary Sponberg.</t>
  </si>
  <si>
    <t>Chicago : University of Chicago Press, ©2005.</t>
  </si>
  <si>
    <t>The Kenneth Nebenzahl, Jr., lectures in the history of cartography</t>
  </si>
  <si>
    <t>2018-04-02</t>
  </si>
  <si>
    <t>16144648:eng</t>
  </si>
  <si>
    <t>55877685</t>
  </si>
  <si>
    <t>ocm55877685</t>
  </si>
  <si>
    <t>3102482894B</t>
  </si>
  <si>
    <t>9780226653419</t>
  </si>
  <si>
    <t>793883472</t>
  </si>
  <si>
    <t>Z286 N48 C3</t>
  </si>
  <si>
    <t>0                      Z  0286000N  48                 C  3</t>
  </si>
  <si>
    <t>Royal Commission on Newspapers : [report].</t>
  </si>
  <si>
    <t>Canada. Royal Commission on Newspapers.</t>
  </si>
  <si>
    <t>Hull, Qué. : The Commission, ©1981.</t>
  </si>
  <si>
    <t>2019-04-13</t>
  </si>
  <si>
    <t>9021109645:eng</t>
  </si>
  <si>
    <t>317293712</t>
  </si>
  <si>
    <t>ocn317293712</t>
  </si>
  <si>
    <t>3102827119Y</t>
  </si>
  <si>
    <t>9780660109541</t>
  </si>
  <si>
    <t>794452067</t>
  </si>
  <si>
    <t>Z286 N48 C314</t>
  </si>
  <si>
    <t>0                      Z  0286000N  48                 C  314</t>
  </si>
  <si>
    <t>Commission royale sur les quotidiens.</t>
  </si>
  <si>
    <t>Canada. Commission royale sur les quotidiens.</t>
  </si>
  <si>
    <t>[Ottawa] : La Commission, ©1981.</t>
  </si>
  <si>
    <t>2016-04-05</t>
  </si>
  <si>
    <t>8961604249:fre</t>
  </si>
  <si>
    <t>850987010</t>
  </si>
  <si>
    <t>ocn850987010</t>
  </si>
  <si>
    <t>30001535685</t>
  </si>
  <si>
    <t>9780660907727</t>
  </si>
  <si>
    <t>794950667</t>
  </si>
  <si>
    <t>Z286 O63 C73 2011</t>
  </si>
  <si>
    <t>0                      Z  0286000O  63                 C  73          2011</t>
  </si>
  <si>
    <t>Open access : what you need to know now / by Walt Crawford.</t>
  </si>
  <si>
    <t>Crawford, Walt.</t>
  </si>
  <si>
    <t>Chicago : American Library Association, ©2011.</t>
  </si>
  <si>
    <t>ALA Editions special report</t>
  </si>
  <si>
    <t>2015-06-15</t>
  </si>
  <si>
    <t>786706729:eng</t>
  </si>
  <si>
    <t>701672509</t>
  </si>
  <si>
    <t>ocn701672509</t>
  </si>
  <si>
    <t>3103350420M</t>
  </si>
  <si>
    <t>9780838911068</t>
  </si>
  <si>
    <t>794863319</t>
  </si>
  <si>
    <t>Z286 O63 H35 2008</t>
  </si>
  <si>
    <t>0                      Z  0286000O  63                 H  35          2008</t>
  </si>
  <si>
    <t>Digitize this book! : the politics of new media, or why we need open access now / Gary Hall.</t>
  </si>
  <si>
    <t>Hall, Gary, 1962-</t>
  </si>
  <si>
    <t>Minneapolis : University of Minnesota Press, ©2008.</t>
  </si>
  <si>
    <t>Electronic mediations ; 24</t>
  </si>
  <si>
    <t>240261691:eng</t>
  </si>
  <si>
    <t>222249169</t>
  </si>
  <si>
    <t>ocn222249169</t>
  </si>
  <si>
    <t>3102977572G</t>
  </si>
  <si>
    <t>9780816648702</t>
  </si>
  <si>
    <t>794329869</t>
  </si>
  <si>
    <t>Z286 O63 M85 2010</t>
  </si>
  <si>
    <t>0                      Z  0286000O  63                 M  85          2010</t>
  </si>
  <si>
    <t>Open access and its practical impact on the work of academic librarians : collection development, public services, and the library and information science literature / Laura Bowering Mullen.</t>
  </si>
  <si>
    <t>Mullen, Laura Bowering.</t>
  </si>
  <si>
    <t>Oxford : Chandos Pub., 2010.</t>
  </si>
  <si>
    <t>Chandos information professional series</t>
  </si>
  <si>
    <t>796012641:eng</t>
  </si>
  <si>
    <t>567554583</t>
  </si>
  <si>
    <t>ocn567554583</t>
  </si>
  <si>
    <t>31032265992</t>
  </si>
  <si>
    <t>9781843345930</t>
  </si>
  <si>
    <t>794813356</t>
  </si>
  <si>
    <t>Z286 O63 O64 2006</t>
  </si>
  <si>
    <t>0                      Z  0286000O  63                 O  64          2006</t>
  </si>
  <si>
    <t>Open access : key strategic, technical and economic aspects / edited by Neil Jacobs.</t>
  </si>
  <si>
    <t>Oxford : Chandos, 2006.</t>
  </si>
  <si>
    <t>2019-07-31</t>
  </si>
  <si>
    <t>890982704:eng</t>
  </si>
  <si>
    <t>64098406</t>
  </si>
  <si>
    <t>ocm64098406</t>
  </si>
  <si>
    <t>31025684727</t>
  </si>
  <si>
    <t>9781843342045</t>
  </si>
  <si>
    <t>794124228</t>
  </si>
  <si>
    <t>Z286 O63 S822 2016</t>
  </si>
  <si>
    <t>0                      Z  0286000O  63                 S  822         2016</t>
  </si>
  <si>
    <t>Knowledge unbound : selected writings on open access, 2002-2011 / Peter Suber.</t>
  </si>
  <si>
    <t>Suber, Peter, author.</t>
  </si>
  <si>
    <t>Cambridge, Massachussets ; London, England : The MIT Press, [2016]</t>
  </si>
  <si>
    <t>2986767455:eng</t>
  </si>
  <si>
    <t>907512631</t>
  </si>
  <si>
    <t>ocn907512631</t>
  </si>
  <si>
    <t>31037410690</t>
  </si>
  <si>
    <t>9780262029902</t>
  </si>
  <si>
    <t>794993510</t>
  </si>
  <si>
    <t>Z286 O63 W55 2006</t>
  </si>
  <si>
    <t>0                      Z  0286000O  63                 W  55          2006</t>
  </si>
  <si>
    <t>The access principle : the case for open access to research and scholarship / John Willinsky.</t>
  </si>
  <si>
    <t>Willinsky, John, 1950-</t>
  </si>
  <si>
    <t>Cambridge, Mass. : MIT Press, 2006.</t>
  </si>
  <si>
    <t>Digital libraries and electronic publishing</t>
  </si>
  <si>
    <t>323150466:eng</t>
  </si>
  <si>
    <t>59756105</t>
  </si>
  <si>
    <t>ocm59756105</t>
  </si>
  <si>
    <t>3102492900L</t>
  </si>
  <si>
    <t>9780262232425</t>
  </si>
  <si>
    <t>793931527</t>
  </si>
  <si>
    <t>Z286 S37 F58 2011</t>
  </si>
  <si>
    <t>0                      Z  0286000S  37                 F  58          2011</t>
  </si>
  <si>
    <t>Planned obsolescence : publishing, technology, and the future of the academy / Kathleen Fitzpatrick.</t>
  </si>
  <si>
    <t>Fitzpatrick, Kathleen, 1967-</t>
  </si>
  <si>
    <t>New York : New York University Press, ©2011.</t>
  </si>
  <si>
    <t>2013-06-17</t>
  </si>
  <si>
    <t>862933522:eng</t>
  </si>
  <si>
    <t>710019002</t>
  </si>
  <si>
    <t>ocn710019002</t>
  </si>
  <si>
    <t>3103383605U</t>
  </si>
  <si>
    <t>9780814727874</t>
  </si>
  <si>
    <t>794870051</t>
  </si>
  <si>
    <t>Z286 S37 F88 2013</t>
  </si>
  <si>
    <t>0                      Z  0286000S  37                 F  88          2013</t>
  </si>
  <si>
    <t>The future of scholarly communication / edited by Deborah Shorley and Michael Jubb.</t>
  </si>
  <si>
    <t>London : Facet Publishing, 2013.</t>
  </si>
  <si>
    <t>1436396103:eng</t>
  </si>
  <si>
    <t>846504089</t>
  </si>
  <si>
    <t>ocn846504089</t>
  </si>
  <si>
    <t>3103500393O</t>
  </si>
  <si>
    <t>9781856048170</t>
  </si>
  <si>
    <t>794949102</t>
  </si>
  <si>
    <t>Z286 S37 H35 2013</t>
  </si>
  <si>
    <t>0                      Z  0286000S  37                 H  35          2013</t>
  </si>
  <si>
    <t>The handbook of journal publishing / Sally Morris [and others].</t>
  </si>
  <si>
    <t>Cambridge [England] ; New York : Cambridge University Press, 2013.</t>
  </si>
  <si>
    <t>2014-06-03</t>
  </si>
  <si>
    <t>1121037594:eng</t>
  </si>
  <si>
    <t>796354972</t>
  </si>
  <si>
    <t>ocn796354972</t>
  </si>
  <si>
    <t>3103456561I</t>
  </si>
  <si>
    <t>9781107020856</t>
  </si>
  <si>
    <t>794922171</t>
  </si>
  <si>
    <t>Z286 S37 J64 2011</t>
  </si>
  <si>
    <t>0                      Z  0286000S  37                 J  64          2011</t>
  </si>
  <si>
    <t>Publishing from your PhD : negotiating a crowded jungle / Nicola F. Johnson.</t>
  </si>
  <si>
    <t>Johnson, Nicola F., 1976-</t>
  </si>
  <si>
    <t>Farnham, Surrey : Gower ; Burlington, VT : Ashgate, ©2011.</t>
  </si>
  <si>
    <t>2012-10-15</t>
  </si>
  <si>
    <t>793848241:eng</t>
  </si>
  <si>
    <t>643569186</t>
  </si>
  <si>
    <t>ocn643569186</t>
  </si>
  <si>
    <t>3103324536G</t>
  </si>
  <si>
    <t>9780566091629</t>
  </si>
  <si>
    <t>794828871</t>
  </si>
  <si>
    <t>Z286 S37 K58 2005</t>
  </si>
  <si>
    <t>0                      Z  0286000S  37                 K  58          2005</t>
  </si>
  <si>
    <t>The academic's guide to publishing / Rob Kitchin and Duncan Fuller.</t>
  </si>
  <si>
    <t>Kitchin, Rob.</t>
  </si>
  <si>
    <t>London : SAGE Publications, 2005.</t>
  </si>
  <si>
    <t>2018-02-26</t>
  </si>
  <si>
    <t>1026429:eng</t>
  </si>
  <si>
    <t>57484007</t>
  </si>
  <si>
    <t>ocm57484007</t>
  </si>
  <si>
    <t>3102639164N</t>
  </si>
  <si>
    <t>9781412900829</t>
  </si>
  <si>
    <t>793913851</t>
  </si>
  <si>
    <t>Z286 S37 L87 2010</t>
  </si>
  <si>
    <t>0                      Z  0286000S  37                 L  87          2010</t>
  </si>
  <si>
    <t>Publish don't perish : 100 tips that improve your ability to get published / by Robert N. Lussier.</t>
  </si>
  <si>
    <t>Lussier, Robert N.</t>
  </si>
  <si>
    <t>Charoltte, NC : Information Age Pub., ©2010.</t>
  </si>
  <si>
    <t>2017-02-03</t>
  </si>
  <si>
    <t>793967282:eng</t>
  </si>
  <si>
    <t>645889672</t>
  </si>
  <si>
    <t>ocn645889672</t>
  </si>
  <si>
    <t>3103323327S</t>
  </si>
  <si>
    <t>9781617351136</t>
  </si>
  <si>
    <t>794829894</t>
  </si>
  <si>
    <t>Z286 S37 M678 2009</t>
  </si>
  <si>
    <t>0                      Z  0286000S  37                 M  678         2009</t>
  </si>
  <si>
    <t>Scholarly communication for librarians / Heather Morrison.</t>
  </si>
  <si>
    <t>Morrison, Heather (Heather Grace)</t>
  </si>
  <si>
    <t>Oxford : Chandos Pub., 2009.</t>
  </si>
  <si>
    <t>2018-09-05</t>
  </si>
  <si>
    <t>347353567:eng</t>
  </si>
  <si>
    <t>463505752</t>
  </si>
  <si>
    <t>ocn463505752</t>
  </si>
  <si>
    <t>3103131720V</t>
  </si>
  <si>
    <t>9781843344889</t>
  </si>
  <si>
    <t>794792749</t>
  </si>
  <si>
    <t>Z286 S37 N467 2005</t>
  </si>
  <si>
    <t>0                      Z  0286000S  37                 N  467         2005</t>
  </si>
  <si>
    <t>New challenges facing academic librarians today : electronic journals, archival digitization, document delivery, etc. / edited by Jean Caswell, Paul G. Haschak, and Dayne Sherman.</t>
  </si>
  <si>
    <t>Lewiston, N.Y. : Edwin Mellen Press, ©2005.</t>
  </si>
  <si>
    <t>2015-12-03</t>
  </si>
  <si>
    <t>367993909:eng</t>
  </si>
  <si>
    <t>62172913</t>
  </si>
  <si>
    <t>ocm62172913</t>
  </si>
  <si>
    <t>3102576037U</t>
  </si>
  <si>
    <t>9780773460133</t>
  </si>
  <si>
    <t>794101757</t>
  </si>
  <si>
    <t>Z286 S37 O64 2017</t>
  </si>
  <si>
    <t>0                      Z  0286000S  37                 O  64          2017</t>
  </si>
  <si>
    <t>Open book : a librarian's guide to academic publishing / James Wiser and Rolf A. Janke, editors.</t>
  </si>
  <si>
    <t>[Santa Barbara] : Mission Bell Media, [2017]</t>
  </si>
  <si>
    <t>First Edition.</t>
  </si>
  <si>
    <t>MBM peak series</t>
  </si>
  <si>
    <t>4059526435:eng</t>
  </si>
  <si>
    <t>967725183</t>
  </si>
  <si>
    <t>ocn967725183</t>
  </si>
  <si>
    <t>3103740025P</t>
  </si>
  <si>
    <t>9780997175714</t>
  </si>
  <si>
    <t>795026676</t>
  </si>
  <si>
    <t>Z286 S37 P67 2010</t>
  </si>
  <si>
    <t>0                      Z  0286000S  37                 P  67          2010</t>
  </si>
  <si>
    <t>Inking the deal : a guide for successful academic publishing / Stanley E. Porter.</t>
  </si>
  <si>
    <t>Porter, Stanley E., 1956-</t>
  </si>
  <si>
    <t>Waco, Tex. : Baylor University Press, ©2010.</t>
  </si>
  <si>
    <t>2019-01-17</t>
  </si>
  <si>
    <t>796934567:eng</t>
  </si>
  <si>
    <t>501402195</t>
  </si>
  <si>
    <t>ocn501402195</t>
  </si>
  <si>
    <t>3103226071L</t>
  </si>
  <si>
    <t>9781602582651</t>
  </si>
  <si>
    <t>794805047</t>
  </si>
  <si>
    <t>Z286 S37 P83 2010</t>
  </si>
  <si>
    <t>0                      Z  0286000S  37                 P  83          2010</t>
  </si>
  <si>
    <t>Publishing pedagogies for the doctorate and beyond / edited by Claire Aitchison, Barbara Kamler, and Alison Lee.</t>
  </si>
  <si>
    <t>New York ; London : Routledge, 2010.</t>
  </si>
  <si>
    <t>888466577:eng</t>
  </si>
  <si>
    <t>244057491</t>
  </si>
  <si>
    <t>ocn244057491</t>
  </si>
  <si>
    <t>3103097723K</t>
  </si>
  <si>
    <t>9780415480185</t>
  </si>
  <si>
    <t>794380616</t>
  </si>
  <si>
    <t>Z286 S37 R44 2015</t>
  </si>
  <si>
    <t>0                      Z  0286000S  37                 R  44          2015</t>
  </si>
  <si>
    <t>Scholarly communications : a history from content as king to content as kingmaker / John J. Regazzi.</t>
  </si>
  <si>
    <t>Regazzi, John J., 1948- author.</t>
  </si>
  <si>
    <t>2218644439:eng</t>
  </si>
  <si>
    <t>894625618</t>
  </si>
  <si>
    <t>ocn894625618</t>
  </si>
  <si>
    <t>3103656526B</t>
  </si>
  <si>
    <t>9780810890879</t>
  </si>
  <si>
    <t>794982916</t>
  </si>
  <si>
    <t>Z286 S37 S3 2010</t>
  </si>
  <si>
    <t>0                      Z  0286000S  37                 S  3           2010</t>
  </si>
  <si>
    <t>Scholarly publishing in Africa : opportunities &amp; impediments / edited by Solani Ngobeni.</t>
  </si>
  <si>
    <t>Pretoria : Africa Institute of South Africa, ©2010.</t>
  </si>
  <si>
    <t>796658291:eng</t>
  </si>
  <si>
    <t>502097484</t>
  </si>
  <si>
    <t>ocn502097484</t>
  </si>
  <si>
    <t>3103134414U</t>
  </si>
  <si>
    <t>9780798302272</t>
  </si>
  <si>
    <t>794805421</t>
  </si>
  <si>
    <t>Z286 S37 S3323 2005</t>
  </si>
  <si>
    <t>0                      Z  0286000S  37                 S  3323        2005</t>
  </si>
  <si>
    <t>Scholarly publishing in an electronic era / edited by G.E. Gorman, School of Information Management, Victoria University of Wellington ; associate editor Fytton Rowland, Department of Information Science, Loughborough University.</t>
  </si>
  <si>
    <t>London : Facet Publishing, [2005]</t>
  </si>
  <si>
    <t>International yearbook of library and information management ; 2004/2005</t>
  </si>
  <si>
    <t>18415866:eng</t>
  </si>
  <si>
    <t>57411890</t>
  </si>
  <si>
    <t>ocm57411890</t>
  </si>
  <si>
    <t>3102506517H</t>
  </si>
  <si>
    <t>9781856045360</t>
  </si>
  <si>
    <t>793912375</t>
  </si>
  <si>
    <t>Z286 S37 S333 2002</t>
  </si>
  <si>
    <t>0                      Z  0286000S  37                 S  333         2002</t>
  </si>
  <si>
    <t>Scholarly publishing : books, journals, publishers, and libraries in the twentieth century / edited by Richard E. Abel, Lyman W. Newlin ; editors-in-chief, Katina Strauch, Bruce Strauch.</t>
  </si>
  <si>
    <t>New York : Wiley, ©2002.</t>
  </si>
  <si>
    <t>2018-08-01</t>
  </si>
  <si>
    <t>837085548:eng</t>
  </si>
  <si>
    <t>48249081</t>
  </si>
  <si>
    <t>ocm48249081</t>
  </si>
  <si>
    <t>3102997241L</t>
  </si>
  <si>
    <t>9780471219293</t>
  </si>
  <si>
    <t>793718760</t>
  </si>
  <si>
    <t>Z286 S37 T53 2003</t>
  </si>
  <si>
    <t>0                      Z  0286000S  37                 T  53          2003</t>
  </si>
  <si>
    <t>The thesis and the book : a guide for first-time academic authors / edited by Eleanor Harman [and others].</t>
  </si>
  <si>
    <t>2019-01-31</t>
  </si>
  <si>
    <t>352279213:eng</t>
  </si>
  <si>
    <t>51087674</t>
  </si>
  <si>
    <t>ocm51087674</t>
  </si>
  <si>
    <t>31027386990</t>
  </si>
  <si>
    <t>9780802088062</t>
  </si>
  <si>
    <t>793778576</t>
  </si>
  <si>
    <t>Z286 S37 W45 2001</t>
  </si>
  <si>
    <t>0                      Z  0286000S  37                 W  45          2001</t>
  </si>
  <si>
    <t>Editorial peer review : its strengths and weaknesses / Ann C. Weller.</t>
  </si>
  <si>
    <t>Weller, Ann C.</t>
  </si>
  <si>
    <t>Medford, N.J. : Information Today, 2001.</t>
  </si>
  <si>
    <t>ASIST monograph series</t>
  </si>
  <si>
    <t>2015-08-11</t>
  </si>
  <si>
    <t>891248109:eng</t>
  </si>
  <si>
    <t>45207939</t>
  </si>
  <si>
    <t>ocm45207939</t>
  </si>
  <si>
    <t>3102579385$</t>
  </si>
  <si>
    <t>9781573871006</t>
  </si>
  <si>
    <t>793666861</t>
  </si>
  <si>
    <t>Z286 S4 L43 2015</t>
  </si>
  <si>
    <t>0                      Z  0286000S  4                  L  43          2015</t>
  </si>
  <si>
    <t>Learning from the BRICS : open access to scientific information in emerging countries / edited by Joachim Schöpfel, Departement of Information and Document Sciences, University of Lille (France).</t>
  </si>
  <si>
    <t>Sacramento, CA : Litwin Books, [2015]</t>
  </si>
  <si>
    <t>2535493313:eng</t>
  </si>
  <si>
    <t>908146046</t>
  </si>
  <si>
    <t>ocn908146046</t>
  </si>
  <si>
    <t>3103610828C</t>
  </si>
  <si>
    <t>9781936117840</t>
  </si>
  <si>
    <t>794994263</t>
  </si>
  <si>
    <t>Z286 S4 S25 2010</t>
  </si>
  <si>
    <t>0                      Z  0286000S  4                  S  25          2010</t>
  </si>
  <si>
    <t>Scientific publishing : from vanity to strategy / Hans E. Roosendaal [and others].</t>
  </si>
  <si>
    <t>Oxford : Chandos, 2010.</t>
  </si>
  <si>
    <t>2011-11-22</t>
  </si>
  <si>
    <t>891205094:eng</t>
  </si>
  <si>
    <t>280426606</t>
  </si>
  <si>
    <t>ocn280426606</t>
  </si>
  <si>
    <t>3103232341T</t>
  </si>
  <si>
    <t>9781843344919</t>
  </si>
  <si>
    <t>794420378</t>
  </si>
  <si>
    <t>Z286 S4 T46 2000</t>
  </si>
  <si>
    <t>0                      Z  0286000S  4                  T  46          2000</t>
  </si>
  <si>
    <t>Towards electronic journals : realities for scientists, librarians, and publishers / Carol Tenopir and Donald W. King.</t>
  </si>
  <si>
    <t>Tenopir, Carol.</t>
  </si>
  <si>
    <t>Washington, DC : Special Libraries Association, ©2000.</t>
  </si>
  <si>
    <t>2016-07-20</t>
  </si>
  <si>
    <t>308302563:eng</t>
  </si>
  <si>
    <t>44066756</t>
  </si>
  <si>
    <t>ocm44066756</t>
  </si>
  <si>
    <t>3102671432W</t>
  </si>
  <si>
    <t>9780871115072</t>
  </si>
  <si>
    <t>793641614</t>
  </si>
  <si>
    <t>Z286 S47 C85 2011</t>
  </si>
  <si>
    <t>0                      Z  0286000S  47                 C  85          2011</t>
  </si>
  <si>
    <t>The culture of the publisher's series / edited and with an introduction by John Spiers.</t>
  </si>
  <si>
    <t>Houndmills, Basingstoke, Hampshire [England] ; New York : Palgrave Macmillan, 2011.</t>
  </si>
  <si>
    <t>2865994199:eng</t>
  </si>
  <si>
    <t>698360124</t>
  </si>
  <si>
    <t>ocn698360124</t>
  </si>
  <si>
    <t>3103552675N</t>
  </si>
  <si>
    <t>9780230284029</t>
  </si>
  <si>
    <t>794860977</t>
  </si>
  <si>
    <t>3103552684L</t>
  </si>
  <si>
    <t>794860978</t>
  </si>
  <si>
    <t>Z286 T8 K45 2015</t>
  </si>
  <si>
    <t>0                      Z  0286000T  8                  K  45          2015</t>
  </si>
  <si>
    <t>Travels into print : exploration, writing, and publishing with John Murray, 1773-1859 / Innes M. Keighren, Charles W.J. Withers, and Bill Bell.</t>
  </si>
  <si>
    <t>Keighren, Innes M., author.</t>
  </si>
  <si>
    <t>Chicago ; London : The University of Chicago Press, [2015]</t>
  </si>
  <si>
    <t>2018-03-21</t>
  </si>
  <si>
    <t>2487039991:eng</t>
  </si>
  <si>
    <t>885313482</t>
  </si>
  <si>
    <t>ocn885313482</t>
  </si>
  <si>
    <t>3103609642O</t>
  </si>
  <si>
    <t>9780226429533</t>
  </si>
  <si>
    <t>794977208</t>
  </si>
  <si>
    <t>Z286 T8 Y68 2015</t>
  </si>
  <si>
    <t>0                      Z  0286000T  8                  Y  68          2015</t>
  </si>
  <si>
    <t>The early modern global south in print : textual form and the production of human difference as knowledge / Sandra Young.</t>
  </si>
  <si>
    <t>Young, Sandra M. (Sandra Michele), author.</t>
  </si>
  <si>
    <t>Farnham, Surrey, England : Ashgate Publishing Limited, [2015]</t>
  </si>
  <si>
    <t>Literary and scientific cultures of early modernity</t>
  </si>
  <si>
    <t>2875667312:eng</t>
  </si>
  <si>
    <t>919451917</t>
  </si>
  <si>
    <t>ocn919451917</t>
  </si>
  <si>
    <t>31036108680</t>
  </si>
  <si>
    <t>9781472453716</t>
  </si>
  <si>
    <t>795001831</t>
  </si>
  <si>
    <t>Z286 U54 L4 2016</t>
  </si>
  <si>
    <t>0                      Z  0286000U  54                 L  4           2016</t>
  </si>
  <si>
    <t>A social history of the university presses in apartheid South Africa : between complicity and resistance / by Elizabeth le Roux.</t>
  </si>
  <si>
    <t>Le Roux, E. (Elizabeth), author.</t>
  </si>
  <si>
    <t>Library of the written word, 1874-4834 ; volume 43</t>
  </si>
  <si>
    <t>2017-07-20</t>
  </si>
  <si>
    <t>2758906290:eng</t>
  </si>
  <si>
    <t>918591054</t>
  </si>
  <si>
    <t>ocn918591054</t>
  </si>
  <si>
    <t>31036547475</t>
  </si>
  <si>
    <t>9789004293472</t>
  </si>
  <si>
    <t>795001084</t>
  </si>
  <si>
    <t>Z291.3 A98 2012</t>
  </si>
  <si>
    <t>0                      Z  0291300A  98          2012</t>
  </si>
  <si>
    <t>Auteur, traducteur, collaborateur, imprimeur-- : qui écrit? / sous la direction de Martine Furno et Raphaële Mouren.</t>
  </si>
  <si>
    <t>Paris : Classiques Garnier, 2012.</t>
  </si>
  <si>
    <t>Études et essais sur la Renaissance, 2105-8814 ; 99. Série Pratiques éditoriales ; 3</t>
  </si>
  <si>
    <t>2019-08-16</t>
  </si>
  <si>
    <t>5511844735:fre</t>
  </si>
  <si>
    <t>829104814</t>
  </si>
  <si>
    <t>ocn829104814</t>
  </si>
  <si>
    <t>3103506506C</t>
  </si>
  <si>
    <t>9782812406157</t>
  </si>
  <si>
    <t>794942105</t>
  </si>
  <si>
    <t>Z291.3 B67 2014</t>
  </si>
  <si>
    <t>0                      Z  0291300B  67          2014</t>
  </si>
  <si>
    <t>Books in the Catholic world during the early modern period / edited by Natalia Maillard Álvarez.</t>
  </si>
  <si>
    <t>Leiden ; Boston : Brill, 2014.</t>
  </si>
  <si>
    <t>Library of the written word ; volume 33</t>
  </si>
  <si>
    <t>2015-03-12</t>
  </si>
  <si>
    <t>1779403813:eng</t>
  </si>
  <si>
    <t>862399727</t>
  </si>
  <si>
    <t>ocn862399727</t>
  </si>
  <si>
    <t>3103528867A</t>
  </si>
  <si>
    <t>9789004262898</t>
  </si>
  <si>
    <t>794960342</t>
  </si>
  <si>
    <t>Z291.3 I57 2016</t>
  </si>
  <si>
    <t>0                      Z  0291300I  57          2016</t>
  </si>
  <si>
    <t>International exchange in the early modern book world / edited by Matthew McLean, Sara Barker.</t>
  </si>
  <si>
    <t>Library of the written word ; volume 51. The handpress world ; volume 38</t>
  </si>
  <si>
    <t>2984274453:eng</t>
  </si>
  <si>
    <t>938394183</t>
  </si>
  <si>
    <t>ocn938394183</t>
  </si>
  <si>
    <t>3103656640D</t>
  </si>
  <si>
    <t>9789004316447</t>
  </si>
  <si>
    <t>795011311</t>
  </si>
  <si>
    <t>Z291.3 M335 2012</t>
  </si>
  <si>
    <t>0                      Z  0291300M  335         2012</t>
  </si>
  <si>
    <t>Scholarship, commerce, religion : the learned book in the age of confessions, 1560-1630 / Ian Maclean.</t>
  </si>
  <si>
    <t>Maclean, Ian, 1945-</t>
  </si>
  <si>
    <t>Cambridge, Mass. : Harvard University Press, 2012.</t>
  </si>
  <si>
    <t>2014-03-03</t>
  </si>
  <si>
    <t>1065944185:eng</t>
  </si>
  <si>
    <t>758383789</t>
  </si>
  <si>
    <t>ocn758383789</t>
  </si>
  <si>
    <t>3103411356T</t>
  </si>
  <si>
    <t>9780674062085</t>
  </si>
  <si>
    <t>794896149</t>
  </si>
  <si>
    <t>Z291.3 P48 2010</t>
  </si>
  <si>
    <t>0                      Z  0291300P  48          2010</t>
  </si>
  <si>
    <t>The book in the Renaissance / Andrew Pettegree.</t>
  </si>
  <si>
    <t>Pettegree, Andrew.</t>
  </si>
  <si>
    <t>New Haven, Conn. : Yale University Press, ©2010.</t>
  </si>
  <si>
    <t>312744781:eng</t>
  </si>
  <si>
    <t>424454760</t>
  </si>
  <si>
    <t>ocn424454760</t>
  </si>
  <si>
    <t>3103241554K</t>
  </si>
  <si>
    <t>9780300110098</t>
  </si>
  <si>
    <t>794506709</t>
  </si>
  <si>
    <t>Z291.3 S64 2015</t>
  </si>
  <si>
    <t>0                      Z  0291300S  64          2015</t>
  </si>
  <si>
    <t>Specialist markets in the early modern book world / edited by Richard Kirwan, Sophie Mullins.</t>
  </si>
  <si>
    <t>Leiden ; Boston : Brill, [2015]</t>
  </si>
  <si>
    <t>Library of the written word ; volume 40. The handpress world ; volume 31</t>
  </si>
  <si>
    <t>2016-08-28</t>
  </si>
  <si>
    <t>2943897006:eng</t>
  </si>
  <si>
    <t>899707289</t>
  </si>
  <si>
    <t>ocn899707289</t>
  </si>
  <si>
    <t>3103607650Z</t>
  </si>
  <si>
    <t>9789004288102</t>
  </si>
  <si>
    <t>794986883</t>
  </si>
  <si>
    <t>Z291.4 C66 2012</t>
  </si>
  <si>
    <t>0                      Z  0291400C  66          2012</t>
  </si>
  <si>
    <t>Publishing the fine and applied arts, 1500-2000 / edited by Robin Myers, Michael Harris and Giles Mandelbrote.</t>
  </si>
  <si>
    <t>Annual Conference on Book Trade History (31st : 2009 : Bloomsbury, London, England)</t>
  </si>
  <si>
    <t>London : The British Library ; New Castle, DE : Oak Knoll Press, 2012.</t>
  </si>
  <si>
    <t>2015-02-13</t>
  </si>
  <si>
    <t>1169785563:eng</t>
  </si>
  <si>
    <t>727710713</t>
  </si>
  <si>
    <t>ocn727710713</t>
  </si>
  <si>
    <t>3103530968Y</t>
  </si>
  <si>
    <t>9781584562993</t>
  </si>
  <si>
    <t>794878594</t>
  </si>
  <si>
    <t>Z291.7 B66 2007</t>
  </si>
  <si>
    <t>0                      Z  0291700B  66          2007</t>
  </si>
  <si>
    <t>Books on the move : tracking copies through collections and the book trade / edited by Robin Myers, Michael Harris, and Giles Mandelbrote.</t>
  </si>
  <si>
    <t>New Castle, DE : Oak Knoll Press ; London : British Library, 2007.</t>
  </si>
  <si>
    <t>892717647:eng</t>
  </si>
  <si>
    <t>166874013</t>
  </si>
  <si>
    <t>ocn166874013</t>
  </si>
  <si>
    <t>31030410834</t>
  </si>
  <si>
    <t>9781584562191</t>
  </si>
  <si>
    <t>794262262</t>
  </si>
  <si>
    <t>Z291.7 .B66 2007</t>
  </si>
  <si>
    <t>2008-01-28</t>
  </si>
  <si>
    <t>3102645084X</t>
  </si>
  <si>
    <t>794262263</t>
  </si>
  <si>
    <t>Z291.7 R45 2015</t>
  </si>
  <si>
    <t>0                      Z  0291700R  45          2015</t>
  </si>
  <si>
    <t>Religion and the book trade / edited by Caroline Archer and Lisa Peters.</t>
  </si>
  <si>
    <t>Newcastle upon Tyne, UK : Cambridge Scholars Publishing, 2015.</t>
  </si>
  <si>
    <t>2530411560:eng</t>
  </si>
  <si>
    <t>910092803</t>
  </si>
  <si>
    <t>ocn910092803</t>
  </si>
  <si>
    <t>3103653129$</t>
  </si>
  <si>
    <t>9781443877244</t>
  </si>
  <si>
    <t>794995884</t>
  </si>
  <si>
    <t>Z301 S53 2011</t>
  </si>
  <si>
    <t>0                      Z  0301000S  53          2011</t>
  </si>
  <si>
    <t>Cold War books in the "other" Europe and what came after / by Jiřina Šmejkalová.</t>
  </si>
  <si>
    <t>Šmejkalová, Jiřina.</t>
  </si>
  <si>
    <t>Library of the written word. The industrial world ; v. 11</t>
  </si>
  <si>
    <t>2012-06-07</t>
  </si>
  <si>
    <t>552713481:eng</t>
  </si>
  <si>
    <t>652363066</t>
  </si>
  <si>
    <t>ocn652363066</t>
  </si>
  <si>
    <t>31032373459</t>
  </si>
  <si>
    <t>9789004187450</t>
  </si>
  <si>
    <t>794833415</t>
  </si>
  <si>
    <t>Z303 A38 2010</t>
  </si>
  <si>
    <t>0                      Z  0303000A  38          2010</t>
  </si>
  <si>
    <t>L'acte éditorial : publier à la renaissance et aujourd'hui / sous la direction de Brigitte Ouvry-Vial et Anne Réach-Ngô.</t>
  </si>
  <si>
    <t>Paris : Classiques Garnier, 2010.</t>
  </si>
  <si>
    <t>Etudes et essais sur la renaissance, 2105-8814 ; 89</t>
  </si>
  <si>
    <t>2017-02-10</t>
  </si>
  <si>
    <t>836880691:fre</t>
  </si>
  <si>
    <t>683412123</t>
  </si>
  <si>
    <t>ocn683412123</t>
  </si>
  <si>
    <t>3103484192H</t>
  </si>
  <si>
    <t>9782812401718</t>
  </si>
  <si>
    <t>794853436</t>
  </si>
  <si>
    <t>Z303 B47 2009</t>
  </si>
  <si>
    <t>0                      Z  0303000B  47          2009</t>
  </si>
  <si>
    <t>La vie du livre contemporain : étude sur l'édition littéraire, 1975-2005 / Olivier Bessard-Banquy.</t>
  </si>
  <si>
    <t>Bessard-Banquy, Olivier.</t>
  </si>
  <si>
    <t>Pessac : Presses universitaires de Bordeaux ; Tusson : Du Lérot, ©2009.</t>
  </si>
  <si>
    <t>351722290:fre</t>
  </si>
  <si>
    <t>316977828</t>
  </si>
  <si>
    <t>ocn316977828</t>
  </si>
  <si>
    <t>3103214264U</t>
  </si>
  <si>
    <t>9782867815515</t>
  </si>
  <si>
    <t>794450357</t>
  </si>
  <si>
    <t>Z303 D875 2008</t>
  </si>
  <si>
    <t>0                      Z  0303000D  875         2008</t>
  </si>
  <si>
    <t>Naissance de l'éditeur : l'édition à l'âge romantique / Pascal Durand, Anthony Glinoer ; préface d'Hubert Nyssen.</t>
  </si>
  <si>
    <t>Durand, Pascal.</t>
  </si>
  <si>
    <t>Bruxelles : Les Impressions Nouvelles, ©2008.</t>
  </si>
  <si>
    <t>2e éd. rev. et corr.</t>
  </si>
  <si>
    <t>Réflexions faites</t>
  </si>
  <si>
    <t>248818217:fre</t>
  </si>
  <si>
    <t>276992894</t>
  </si>
  <si>
    <t>ocn276992894</t>
  </si>
  <si>
    <t>31033463178</t>
  </si>
  <si>
    <t>9782906131910</t>
  </si>
  <si>
    <t>794417626</t>
  </si>
  <si>
    <t>Z303 P79 2009</t>
  </si>
  <si>
    <t>0                      Z  0303000P  79          2009</t>
  </si>
  <si>
    <t>Edition : l'envers du décor / Martine Prosper.</t>
  </si>
  <si>
    <t>Prosper, Martine.</t>
  </si>
  <si>
    <t>Paris : Nouvelles Éditions Lignes, ©2009.</t>
  </si>
  <si>
    <t>2017-11-15</t>
  </si>
  <si>
    <t>1865757020:fre</t>
  </si>
  <si>
    <t>437049707</t>
  </si>
  <si>
    <t>ocn437049707</t>
  </si>
  <si>
    <t>31032509733</t>
  </si>
  <si>
    <t>9782355260377</t>
  </si>
  <si>
    <t>794785316</t>
  </si>
  <si>
    <t>Z303 R68 2007</t>
  </si>
  <si>
    <t>0                      Z  0303000R  68          2007</t>
  </si>
  <si>
    <t>Le livre : mutations d'une industrie culturelle / François Rouet.</t>
  </si>
  <si>
    <t>Rouet, François.</t>
  </si>
  <si>
    <t>Paris : La Documentation française, ©2007.</t>
  </si>
  <si>
    <t>[Nouv. éd.].</t>
  </si>
  <si>
    <t>Les Études de la Documentation française</t>
  </si>
  <si>
    <t>792608106:fre</t>
  </si>
  <si>
    <t>123339836</t>
  </si>
  <si>
    <t>ocn123339836</t>
  </si>
  <si>
    <t>31027143694</t>
  </si>
  <si>
    <t>794226412</t>
  </si>
  <si>
    <t>Z305 B33 A3 2010</t>
  </si>
  <si>
    <t>0                      Z  0305000B  33                 A  3           2010</t>
  </si>
  <si>
    <t>The letters of Sylvia Beach / edited by Keri Walsh ; with a foreword by Noel Riley Fitch.</t>
  </si>
  <si>
    <t>Beach, Sylvia.</t>
  </si>
  <si>
    <t>New York : Columbia University Press, ©2010.</t>
  </si>
  <si>
    <t>2019-03-03</t>
  </si>
  <si>
    <t>1059067866:eng</t>
  </si>
  <si>
    <t>320798611</t>
  </si>
  <si>
    <t>ocn320798611</t>
  </si>
  <si>
    <t>3103243231P</t>
  </si>
  <si>
    <t>9780231145367</t>
  </si>
  <si>
    <t>794486847</t>
  </si>
  <si>
    <t>Z305 B33 F57 1983</t>
  </si>
  <si>
    <t>0                      Z  0305000B  33                 F  57          1983</t>
  </si>
  <si>
    <t>Sylvia Beach and the lost generation : a history of literary Paris in the twenties and thirties / Noel Riley Fitch.</t>
  </si>
  <si>
    <t>Fitch, Noel Riley.</t>
  </si>
  <si>
    <t>New York : Norton, ©1983.</t>
  </si>
  <si>
    <t>Norton paperback</t>
  </si>
  <si>
    <t>2015-02-23</t>
  </si>
  <si>
    <t>836697633:eng</t>
  </si>
  <si>
    <t>9133273</t>
  </si>
  <si>
    <t>ocm09133273</t>
  </si>
  <si>
    <t>3103535374U</t>
  </si>
  <si>
    <t>9780393017137</t>
  </si>
  <si>
    <t>792658994</t>
  </si>
  <si>
    <t>Z305 B43 1962</t>
  </si>
  <si>
    <t>0                      Z  0305000B  43          1962</t>
  </si>
  <si>
    <t>Le commerce des livres prohib̋és à Paris de 1750 à 1789 / J.-P. Belin.</t>
  </si>
  <si>
    <t>Belin, Jean Paul.</t>
  </si>
  <si>
    <t>New York : B. Franklin, [1962?]</t>
  </si>
  <si>
    <t>Burt Franklin research and source works series ; 28</t>
  </si>
  <si>
    <t>2017-02-04</t>
  </si>
  <si>
    <t>351991295:fre</t>
  </si>
  <si>
    <t>427323208</t>
  </si>
  <si>
    <t>ocn427323208</t>
  </si>
  <si>
    <t>3100177641G</t>
  </si>
  <si>
    <t>794592629</t>
  </si>
  <si>
    <t>Z305 B55 B53 2009</t>
  </si>
  <si>
    <t>0                      Z  0305000B  55                 B  53          2009</t>
  </si>
  <si>
    <t>La bibliothèque de la Pléiade : travail éditorial et valeur littéraire / sous la direction de Joëlle Gleize et Philippe Roussin.</t>
  </si>
  <si>
    <t>Paris : Editions des Archives contemporaines, ©2009.</t>
  </si>
  <si>
    <t>2018-02-04</t>
  </si>
  <si>
    <t>891664933:fre</t>
  </si>
  <si>
    <t>436342555</t>
  </si>
  <si>
    <t>ocn436342555</t>
  </si>
  <si>
    <t>3103255674T</t>
  </si>
  <si>
    <t>9782813000064</t>
  </si>
  <si>
    <t>794784678</t>
  </si>
  <si>
    <t>Z305 C543 2009</t>
  </si>
  <si>
    <t>0                      Z  0305000C  543         2009</t>
  </si>
  <si>
    <t>Into print : the production of female authorship in early modern France / Leah L. Chang.</t>
  </si>
  <si>
    <t>Chang, Leah L., 1973-</t>
  </si>
  <si>
    <t>973339908:eng</t>
  </si>
  <si>
    <t>255141784</t>
  </si>
  <si>
    <t>ocn255141784</t>
  </si>
  <si>
    <t>3103080056V</t>
  </si>
  <si>
    <t>9780874130539</t>
  </si>
  <si>
    <t>794398698</t>
  </si>
  <si>
    <t>Z305 C585 2012</t>
  </si>
  <si>
    <t>0                      Z  0305000C  585         2012</t>
  </si>
  <si>
    <t>Créations d'atelier : l'éditeur et la fabrique de l'œuvre à la Renaissance / sous la direction d'Anne Réach-Ngô.</t>
  </si>
  <si>
    <t>Colloque "Créations d'atelier : l'éditeur et la fabrique de l'œuvre à la Renaissance" (2012 : Université de Paris IV: Paris-Sorbonne)</t>
  </si>
  <si>
    <t>Paris : Classiques Garnier, 2014.</t>
  </si>
  <si>
    <t>Études et essais sur la Renaissance, 2105-8814 ; 104. Série Pratiques éditoriales ; 4</t>
  </si>
  <si>
    <t>2017-08-31</t>
  </si>
  <si>
    <t>9490141646:fre</t>
  </si>
  <si>
    <t>884707534</t>
  </si>
  <si>
    <t>ocn884707534</t>
  </si>
  <si>
    <t>3103623582Y</t>
  </si>
  <si>
    <t>9782812429460</t>
  </si>
  <si>
    <t>794976575</t>
  </si>
  <si>
    <t>Z305 D34 2018</t>
  </si>
  <si>
    <t>0                      Z  0305000D  34          2018</t>
  </si>
  <si>
    <t>A literary tour de France : the world of books on the eve of the French Revolution / Robert Darnton.</t>
  </si>
  <si>
    <t>Darnton, Robert, author.</t>
  </si>
  <si>
    <t>New York, NY : Oxford University Press, [2018]</t>
  </si>
  <si>
    <t>4165777371:eng</t>
  </si>
  <si>
    <t>982092908</t>
  </si>
  <si>
    <t>ocn982092908</t>
  </si>
  <si>
    <t>3103703215T</t>
  </si>
  <si>
    <t>9780195144512</t>
  </si>
  <si>
    <t>795034295</t>
  </si>
  <si>
    <t>Z305 D37x</t>
  </si>
  <si>
    <t>0                      Z  0305000D  37x</t>
  </si>
  <si>
    <t>The widening circle : essays on the circulation of literature in eighteenth-century Europe / Robert Darnton, Bernhard Fabian, Roy McKeen Wiles ; edited by Paul J. Korshin.</t>
  </si>
  <si>
    <t>[Philadelphia] : University of Pennsylvania Press, 1976.</t>
  </si>
  <si>
    <t>The Haney Foundation series ; 20</t>
  </si>
  <si>
    <t>2016-02-24</t>
  </si>
  <si>
    <t>889580826:eng</t>
  </si>
  <si>
    <t>4368368</t>
  </si>
  <si>
    <t>ocm04368368</t>
  </si>
  <si>
    <t>3000432249H</t>
  </si>
  <si>
    <t>9780812277173</t>
  </si>
  <si>
    <t>792344304</t>
  </si>
  <si>
    <t>Z305 E293 S562 2008</t>
  </si>
  <si>
    <t>0                      Z  0305000E  293                S  562         2008</t>
  </si>
  <si>
    <t>Les Editions de Minuit, 1942-1955 : le devoir d'insoumission / Anne Simonin.</t>
  </si>
  <si>
    <t>Simonin, Anne.</t>
  </si>
  <si>
    <t>Paris : IMEC Editions, ©2008.</t>
  </si>
  <si>
    <t>Collection "L'Edition contemporaine"</t>
  </si>
  <si>
    <t>807331055:fre</t>
  </si>
  <si>
    <t>316187093</t>
  </si>
  <si>
    <t>ocn316187093</t>
  </si>
  <si>
    <t>31030655684</t>
  </si>
  <si>
    <t>9782908295894</t>
  </si>
  <si>
    <t>794446336</t>
  </si>
  <si>
    <t>Z305 E293 S563 2012</t>
  </si>
  <si>
    <t>0                      Z  0305000E  293                S  563         2012</t>
  </si>
  <si>
    <t>Le droit de désobéissance : Les Éditions de Minuit en guerre d'Algérie / Anne Simonin.</t>
  </si>
  <si>
    <t>[Paris] : Les Éditions de Minuit, [2012]</t>
  </si>
  <si>
    <t>Documents</t>
  </si>
  <si>
    <t>1086981532:fre</t>
  </si>
  <si>
    <t>795912018</t>
  </si>
  <si>
    <t>ocn795912018</t>
  </si>
  <si>
    <t>3103561708X</t>
  </si>
  <si>
    <t>9782707322227</t>
  </si>
  <si>
    <t>794921899</t>
  </si>
  <si>
    <t>Z305 E34 L33 2010</t>
  </si>
  <si>
    <t>0                      Z  0305000E  34                 L  33          2010</t>
  </si>
  <si>
    <t>Paul Flamand, éditeur : [la grande aventure des Éditions du Seuil] / Jean Lacouture.</t>
  </si>
  <si>
    <t>Lacouture, Jean.</t>
  </si>
  <si>
    <t>Paris : Arènes, 2010.</t>
  </si>
  <si>
    <t>2017-04-10</t>
  </si>
  <si>
    <t>686019312:fre</t>
  </si>
  <si>
    <t>670176502</t>
  </si>
  <si>
    <t>ocn670176502</t>
  </si>
  <si>
    <t>31035524016</t>
  </si>
  <si>
    <t>9782352041184</t>
  </si>
  <si>
    <t>794847409</t>
  </si>
  <si>
    <t>Z305 F74 2012</t>
  </si>
  <si>
    <t>0                      Z  0305000F  74          2012</t>
  </si>
  <si>
    <t>Books without borders in Enlightenment Europe : French cosmopolitanism and German literary markets / Jeffrey Freedman.</t>
  </si>
  <si>
    <t>Freedman, Jeffrey, 1957-</t>
  </si>
  <si>
    <t>Philadelphia : University of Pennsylvania Press, ©2012.</t>
  </si>
  <si>
    <t>2019-11-13</t>
  </si>
  <si>
    <t>1056758710:eng</t>
  </si>
  <si>
    <t>765880345</t>
  </si>
  <si>
    <t>ocn765880345</t>
  </si>
  <si>
    <t>3103430329T</t>
  </si>
  <si>
    <t>9780812243895</t>
  </si>
  <si>
    <t>794900730</t>
  </si>
  <si>
    <t>Z305 G28 G346 2012</t>
  </si>
  <si>
    <t>0                      Z  0305000G  28                 G  346         2012</t>
  </si>
  <si>
    <t>Gallimard 1911-2011 : lectures d'un catalogue / actes des entretiens dirigés par Alban Cerisier, Pascal Fouché et Robert Kopp ; textes réunis par Pascal Fouché.</t>
  </si>
  <si>
    <t>[Paris] : Gallimard, ©2012.</t>
  </si>
  <si>
    <t>Les cahiers de la NRF</t>
  </si>
  <si>
    <t>2018-11-02</t>
  </si>
  <si>
    <t>1212935704:fre</t>
  </si>
  <si>
    <t>829676099</t>
  </si>
  <si>
    <t>ocn829676099</t>
  </si>
  <si>
    <t>3103551992E</t>
  </si>
  <si>
    <t>9782070139491</t>
  </si>
  <si>
    <t>794942576</t>
  </si>
  <si>
    <t>Z305 G3 A4 2011</t>
  </si>
  <si>
    <t>0                      Z  0305000G  3                  A  4           2011</t>
  </si>
  <si>
    <t>Correspondance : 1919-1968 / Gaston Gallimard, Jean Paulhan ; édition établie, présentée et annotée par Laurence Brisset.</t>
  </si>
  <si>
    <t>Gallimard, Gaston, 1881-1975.</t>
  </si>
  <si>
    <t>Paris : Éds. Gallimard, ©2011.</t>
  </si>
  <si>
    <t>Nrf</t>
  </si>
  <si>
    <t>1044136243:fre</t>
  </si>
  <si>
    <t>760990082</t>
  </si>
  <si>
    <t>ocn760990082</t>
  </si>
  <si>
    <t>3103401927M</t>
  </si>
  <si>
    <t>9782070786978</t>
  </si>
  <si>
    <t>794898946</t>
  </si>
  <si>
    <t>Z305 G3 A87 1984</t>
  </si>
  <si>
    <t>0                      Z  0305000G  3                  A  87          1984</t>
  </si>
  <si>
    <t>Gaston Gallimard : un demi-siècle d'édition française / Pierre Assouline.</t>
  </si>
  <si>
    <t>Assouline, Pierre.</t>
  </si>
  <si>
    <t>[Paris] : Balland, ©1984.</t>
  </si>
  <si>
    <t>2019-08-11</t>
  </si>
  <si>
    <t>4422212:fre</t>
  </si>
  <si>
    <t>11718148</t>
  </si>
  <si>
    <t>ocm11718148</t>
  </si>
  <si>
    <t>30003661262</t>
  </si>
  <si>
    <t>9782715804869</t>
  </si>
  <si>
    <t>792784465</t>
  </si>
  <si>
    <t>Z305 H39 2010</t>
  </si>
  <si>
    <t>0                      Z  0305000H  39          2010</t>
  </si>
  <si>
    <t>Lost illusions : the politics of publishing in nineteenth-century France / Christine Haynes.</t>
  </si>
  <si>
    <t>Haynes, Christine, 1970-</t>
  </si>
  <si>
    <t>Cambridge, Massachusetts : Harvard University Press, 2010.</t>
  </si>
  <si>
    <t>Harvard historical studies ; 167</t>
  </si>
  <si>
    <t>793212744:eng</t>
  </si>
  <si>
    <t>317777937</t>
  </si>
  <si>
    <t>ocn317777937</t>
  </si>
  <si>
    <t>31031547641</t>
  </si>
  <si>
    <t>9780674035768</t>
  </si>
  <si>
    <t>794464411</t>
  </si>
  <si>
    <t>Z305 H55 2008</t>
  </si>
  <si>
    <t>0                      Z  0305000H  55          2008</t>
  </si>
  <si>
    <t>Histoire de la librairie française / sous la direction de Patricia Sorel et Frédérique Leblanc ; avec la collaboration de Jean-François Loisy.</t>
  </si>
  <si>
    <t>Paris : Cercle de la librairie, 2008.</t>
  </si>
  <si>
    <t>368619154:fre</t>
  </si>
  <si>
    <t>276645200</t>
  </si>
  <si>
    <t>ocn276645200</t>
  </si>
  <si>
    <t>3103117176P</t>
  </si>
  <si>
    <t>9782765409663</t>
  </si>
  <si>
    <t>794416942</t>
  </si>
  <si>
    <t>Z305 H78 2012</t>
  </si>
  <si>
    <t>0                      Z  0305000H  78          2012</t>
  </si>
  <si>
    <t>Editeurs et éditions pendant la guerre d'Algérie, 1954-1962 / Nicolas Hubert.</t>
  </si>
  <si>
    <t>Hubert, Nicolas.</t>
  </si>
  <si>
    <t>[Saint-Denis] : Bouchène, ©2012.</t>
  </si>
  <si>
    <t>1174398203:fre</t>
  </si>
  <si>
    <t>814303009</t>
  </si>
  <si>
    <t>ocn814303009</t>
  </si>
  <si>
    <t>3103552547W</t>
  </si>
  <si>
    <t>9782356760067</t>
  </si>
  <si>
    <t>794932114</t>
  </si>
  <si>
    <t>Z305 I58 2011</t>
  </si>
  <si>
    <t>0                      Z  0305000I  58          2011</t>
  </si>
  <si>
    <t>Into print : limits and legacies of the Enlightenment : essays in honor of Robert Darnton / edited by Charles Walton.</t>
  </si>
  <si>
    <t>University Park, Pa. : Pennsylvania State University Press, ©2011.</t>
  </si>
  <si>
    <t>2016-10-01</t>
  </si>
  <si>
    <t>908661878:eng</t>
  </si>
  <si>
    <t>730054520</t>
  </si>
  <si>
    <t>ocn730054520</t>
  </si>
  <si>
    <t>31033954749</t>
  </si>
  <si>
    <t>9780271050126</t>
  </si>
  <si>
    <t>794879849</t>
  </si>
  <si>
    <t>Z305 L588 2002</t>
  </si>
  <si>
    <t>0                      Z  0305000L  588         2002</t>
  </si>
  <si>
    <t>Le livre d'architecture, XVe-XXe siècle : édition, représentations et bibliothèques / sous la direction [de] Jean-Michel Leniaud et Béatrice Bouvier.</t>
  </si>
  <si>
    <t>Paris : École des chartes, 2002.</t>
  </si>
  <si>
    <t>Etudes et rencontres de l'Ecole des chartes ; no. 11</t>
  </si>
  <si>
    <t>2017-09-11</t>
  </si>
  <si>
    <t>918719312:fre</t>
  </si>
  <si>
    <t>52348969</t>
  </si>
  <si>
    <t>ocm52348969</t>
  </si>
  <si>
    <t>3103447296M</t>
  </si>
  <si>
    <t>9782900791530</t>
  </si>
  <si>
    <t>793804274</t>
  </si>
  <si>
    <t>Z305 O59 D47 1996</t>
  </si>
  <si>
    <t>0                      Z  0305000O  59                 D  47          1996</t>
  </si>
  <si>
    <t>Venus bound : the erotic voyage of the Olympia Press and its writers / John de St. Jorre.</t>
  </si>
  <si>
    <t>De St. Jorre, John, 1936-</t>
  </si>
  <si>
    <t>New York : Random House, [1996]</t>
  </si>
  <si>
    <t>996141869:eng</t>
  </si>
  <si>
    <t>33009091</t>
  </si>
  <si>
    <t>ocm33009091</t>
  </si>
  <si>
    <t>3101706258C</t>
  </si>
  <si>
    <t>9780679443360</t>
  </si>
  <si>
    <t>793399569</t>
  </si>
  <si>
    <t>Z305 P18 T82 1977</t>
  </si>
  <si>
    <t>0                      Z  0305000P  18                 T  82          1977</t>
  </si>
  <si>
    <t>Charles-Joseph Panckoucke &amp; la Librairie française, 1736-1798 / Suzanne Tucoo-Chala.</t>
  </si>
  <si>
    <t>Tucoo-Chala, Suzanne.</t>
  </si>
  <si>
    <t>Pau : Éditions Marrimpouey jeune, [1977]</t>
  </si>
  <si>
    <t>13275289:fre</t>
  </si>
  <si>
    <t>3965948</t>
  </si>
  <si>
    <t>ocm03965948</t>
  </si>
  <si>
    <t>3103423458D</t>
  </si>
  <si>
    <t>9782853020015</t>
  </si>
  <si>
    <t>792309514</t>
  </si>
  <si>
    <t>Z305 P377 2012</t>
  </si>
  <si>
    <t>0                      Z  0305000P  377         2012</t>
  </si>
  <si>
    <t>Passeurs de textes : imprimeurs et libraires à l'âge de l'humanisme / études réunies par Christine Bénévent, Annie Charon, Isabelle Diu et Magali Vène.</t>
  </si>
  <si>
    <t>Paris : Ecole des Chartes Editions, 2012.</t>
  </si>
  <si>
    <t>Etudes et rencontres de l'Ecole des Chartes, 1760-5687 ; 37</t>
  </si>
  <si>
    <t>2017-08-24</t>
  </si>
  <si>
    <t>1178162441:fre</t>
  </si>
  <si>
    <t>812786806</t>
  </si>
  <si>
    <t>ocn812786806</t>
  </si>
  <si>
    <t>3103556091L</t>
  </si>
  <si>
    <t>9782357230293</t>
  </si>
  <si>
    <t>794931289</t>
  </si>
  <si>
    <t>Z305 P69 2006</t>
  </si>
  <si>
    <t>0                      Z  0305000P  69          2006</t>
  </si>
  <si>
    <t>Print and power in France and England, 1500-1800 / [edited by] David Adams, Adrian Armstrong.</t>
  </si>
  <si>
    <t>Aldershot, England ; Burlington, VT : Ashgate Pub., 2006.</t>
  </si>
  <si>
    <t>351116114:eng</t>
  </si>
  <si>
    <t>64591913</t>
  </si>
  <si>
    <t>ocm64591913</t>
  </si>
  <si>
    <t>3102635111C</t>
  </si>
  <si>
    <t>9780754655916</t>
  </si>
  <si>
    <t>794130518</t>
  </si>
  <si>
    <t>Z305 P75 2017</t>
  </si>
  <si>
    <t>0                      Z  0305000P  75          2017</t>
  </si>
  <si>
    <t>Privilèges de librairie en France et en Europe : XVIe-XVIIe siècles / sous la direction d'Edwige Keller-Rahbé ; avec la collaboration d'Henriette Pommier et Daniel Régnier-Roux.</t>
  </si>
  <si>
    <t>Paris : Classiques Garnier, 2017.</t>
  </si>
  <si>
    <t>Études et essais sur la Renaissance, 2105-8814 ; 116. Série Pratiques éditoriales ; 5</t>
  </si>
  <si>
    <t>4405419972:fre</t>
  </si>
  <si>
    <t>990755891</t>
  </si>
  <si>
    <t>ocn990755891</t>
  </si>
  <si>
    <t>3103717816E</t>
  </si>
  <si>
    <t>9782406059837</t>
  </si>
  <si>
    <t>795037869</t>
  </si>
  <si>
    <t>Z305 P758 2017</t>
  </si>
  <si>
    <t>0                      Z  0305000P  758         2017</t>
  </si>
  <si>
    <t>Privilèges d'auteurs et d'autrices en France (XVIe-XVIIe siècles) : anthologie critique / édition critique par Michèle Clément et Edwige Keller-Rahbé.</t>
  </si>
  <si>
    <t>Textes de la Renaissance ; 207. Série Discours éditoriaux, 2105-9950 ; 1</t>
  </si>
  <si>
    <t>9490216457:fre</t>
  </si>
  <si>
    <t>990505380</t>
  </si>
  <si>
    <t>ocn990505380</t>
  </si>
  <si>
    <t>3103717821L</t>
  </si>
  <si>
    <t>9782406059868</t>
  </si>
  <si>
    <t>795037832</t>
  </si>
  <si>
    <t>Z305 P78 1993</t>
  </si>
  <si>
    <t>0                      Z  0305000P  78          1993</t>
  </si>
  <si>
    <t>Publishing and readership in Revolutionary France and America : a symposium at the Library of Congress / sponsored by the Center for the Book and the European Division ; edited with an introduction by Carol Armbruster ; foreword by John Y. Cole.</t>
  </si>
  <si>
    <t>Westport, Conn. : Greenwood Press, 1993.</t>
  </si>
  <si>
    <t>Beta Phi Mu monograph series, 1041-2751 ; no. 4</t>
  </si>
  <si>
    <t>2019-12-19</t>
  </si>
  <si>
    <t>836871209:eng</t>
  </si>
  <si>
    <t>26975098</t>
  </si>
  <si>
    <t>ocm26975098</t>
  </si>
  <si>
    <t>31013385734</t>
  </si>
  <si>
    <t>9780313287930</t>
  </si>
  <si>
    <t>793256190</t>
  </si>
  <si>
    <t>Z305 R54 2007</t>
  </si>
  <si>
    <t>0                      Z  0305000R  54          2007</t>
  </si>
  <si>
    <t>Between state and market : printing and bookselling in eighteenth-century France / Thierry Rigogne.</t>
  </si>
  <si>
    <t>Rigogne, Thierry, 1963-</t>
  </si>
  <si>
    <t>Oxford : Voltaire Foundation, 2007.</t>
  </si>
  <si>
    <t>SVEC : Studies on Voltaire and the eighteenth century, 0435-2866 ; 2007:05</t>
  </si>
  <si>
    <t>288422692:eng</t>
  </si>
  <si>
    <t>144568510</t>
  </si>
  <si>
    <t>ocn144568510</t>
  </si>
  <si>
    <t>31028287652</t>
  </si>
  <si>
    <t>9780729409070</t>
  </si>
  <si>
    <t>794236112</t>
  </si>
  <si>
    <t>Z305 S37 R45 2019</t>
  </si>
  <si>
    <t>0                      Z  0305000S  37                 R  45          2019</t>
  </si>
  <si>
    <t>Jacques Schiffrin : a publisher in exile, from Pléiade to Pantheon / Amos Reichman ; foreword by Robert O. Paxton ; translated by Sandra Smith.</t>
  </si>
  <si>
    <t>Reichman, Amos, author.</t>
  </si>
  <si>
    <t>New York : Columbia University Press, [2019]</t>
  </si>
  <si>
    <t>5535326848:eng</t>
  </si>
  <si>
    <t>1061865361</t>
  </si>
  <si>
    <t>on1061865361</t>
  </si>
  <si>
    <t>3103808453I</t>
  </si>
  <si>
    <t>9780231189583</t>
  </si>
  <si>
    <t>795064968</t>
  </si>
  <si>
    <t>Z305 S452 S53 2016</t>
  </si>
  <si>
    <t>0                      Z  0305000S  452                S  53          2016</t>
  </si>
  <si>
    <t>Shakespeare and Company, Paris : a history of the rag &amp; bone shop of the heart / edited by Krista Halverson ; foreword by Jeanette Winterson ; epilogue by Sylvia Whitman.</t>
  </si>
  <si>
    <t>Paris : Shakespeare and Company, [2016]</t>
  </si>
  <si>
    <t>2997471715:eng</t>
  </si>
  <si>
    <t>948734608</t>
  </si>
  <si>
    <t>ocn948734608</t>
  </si>
  <si>
    <t>3103670692C</t>
  </si>
  <si>
    <t>9791096101009</t>
  </si>
  <si>
    <t>795015709</t>
  </si>
  <si>
    <t>Z305 T44 2017</t>
  </si>
  <si>
    <t>0                      Z  0305000T  44          2017</t>
  </si>
  <si>
    <t>Publishing the grail in medieval and renaissance France. Leah Tether.</t>
  </si>
  <si>
    <t>Tether, Leah.</t>
  </si>
  <si>
    <t>Woodbridge : Boydell &amp; Brewer Ltd. 2017.</t>
  </si>
  <si>
    <t>Arthurian Studies 85</t>
  </si>
  <si>
    <t>9226278643:eng</t>
  </si>
  <si>
    <t>990416053</t>
  </si>
  <si>
    <t>ocn990416053</t>
  </si>
  <si>
    <t>3103740053K</t>
  </si>
  <si>
    <t>9781843844266</t>
  </si>
  <si>
    <t>795037788</t>
  </si>
  <si>
    <t>Z306 P37 2014</t>
  </si>
  <si>
    <t>0                      Z  0306000P  37          2014</t>
  </si>
  <si>
    <t>Le Parti communiste français et le livre : écrire et diffuser le politique en France au XXe siècle (1920-1992) / sous la direction de Jean-Numa Ducange, Julien Hage, Jean-Yves Mollier.</t>
  </si>
  <si>
    <t>Dijon : Éditions universitaires de Dijon, 2014.</t>
  </si>
  <si>
    <t>Collection Sociétés</t>
  </si>
  <si>
    <t>2018-03-24</t>
  </si>
  <si>
    <t>1879993897:fre</t>
  </si>
  <si>
    <t>879564656</t>
  </si>
  <si>
    <t>ocn879564656</t>
  </si>
  <si>
    <t>3103553807R</t>
  </si>
  <si>
    <t>9782364410831</t>
  </si>
  <si>
    <t>794972228</t>
  </si>
  <si>
    <t>Z307 R41 1901</t>
  </si>
  <si>
    <t>0                      Z  0307000R  41          1901</t>
  </si>
  <si>
    <t>Documents sur les imprimeurs, libraires, cartiers, graveurs, fondeurs de lettres, relieurs, doreurs de livres, faiseurs de fermoirs, enlumineurs, parcheminiers et papetiers ayant exercé à Paris de 1450 à 1600. Recueillis aux Archives nationales et au Département des manuscrits de la Bibliothèque nationale, par Ph. Renouard.</t>
  </si>
  <si>
    <t>Renouard, Philippe, 1862-1934.</t>
  </si>
  <si>
    <t>Paris, H. Champion, 1901.</t>
  </si>
  <si>
    <t>1901</t>
  </si>
  <si>
    <t>Société de l'histoire de Paris et de l'Île-de-France. [Publications]</t>
  </si>
  <si>
    <t>15005522:fre</t>
  </si>
  <si>
    <t>5385034</t>
  </si>
  <si>
    <t>ocm05385034</t>
  </si>
  <si>
    <t>3000431543M</t>
  </si>
  <si>
    <t>792429549</t>
  </si>
  <si>
    <t>Z310.6 L96 R35 2016</t>
  </si>
  <si>
    <t>0                      Z  0310600L  96                 R  35          2016</t>
  </si>
  <si>
    <t>"Mais devant tous est le Lyon marchant" : construction littéraire d'un milieu éditorial et livres de poésie française à Lyon (1536-1551) / Elise Rajchenbach-Teller.</t>
  </si>
  <si>
    <t>Rajchenbach, Elise, author.</t>
  </si>
  <si>
    <t>Genève : Librairie Droz S.A., 2016.</t>
  </si>
  <si>
    <t>Travaux d'humanisme et renaissance, 0082-6081 ; no DLX</t>
  </si>
  <si>
    <t>2987980981:fre</t>
  </si>
  <si>
    <t>948968224</t>
  </si>
  <si>
    <t>ocn948968224</t>
  </si>
  <si>
    <t>3103709523P</t>
  </si>
  <si>
    <t>9782600018821</t>
  </si>
  <si>
    <t>795015855</t>
  </si>
  <si>
    <t>Z310.6 P37 B35 2015</t>
  </si>
  <si>
    <t>0                      Z  0310600P  37                 B  35          2015</t>
  </si>
  <si>
    <t>L'amorevolezza verso le cose Italiche : le livre italien à Paris au XVIe siècle / Jean Balsamo.</t>
  </si>
  <si>
    <t>Balsamo, Jean, author.</t>
  </si>
  <si>
    <t>Genève : Librairie Droz, 2015.</t>
  </si>
  <si>
    <t>De lingua et linguis ; Vol. II</t>
  </si>
  <si>
    <t>2298697058:fre</t>
  </si>
  <si>
    <t>903637898</t>
  </si>
  <si>
    <t>ocn903637898</t>
  </si>
  <si>
    <t>3103623411O</t>
  </si>
  <si>
    <t>9782600018258</t>
  </si>
  <si>
    <t>794989533</t>
  </si>
  <si>
    <t>Z310.6 P37 C65 2014</t>
  </si>
  <si>
    <t>0                      Z  0310600P  37                 C  65          2014</t>
  </si>
  <si>
    <t>A publisher's paradise : expatriate literary culture in Paris, 1890/1960 / Colette Colligan.</t>
  </si>
  <si>
    <t>Colligan, Colette, 1974-</t>
  </si>
  <si>
    <t>Amherst : University of Massachusetts Press, [2014]</t>
  </si>
  <si>
    <t>1873780953:eng</t>
  </si>
  <si>
    <t>844729419</t>
  </si>
  <si>
    <t>ocn844729419</t>
  </si>
  <si>
    <t>3103698365C</t>
  </si>
  <si>
    <t>9781625340375</t>
  </si>
  <si>
    <t>794948692</t>
  </si>
  <si>
    <t>Z310.6 P37 H47 1991</t>
  </si>
  <si>
    <t>0                      Z  0310600P  37                 H  47          1991</t>
  </si>
  <si>
    <t>Publishing and cultural politics in revolutionary Paris, 1789-1810 / Carla Hesse.</t>
  </si>
  <si>
    <t>Hesse, Carla Alison.</t>
  </si>
  <si>
    <t>Berkeley : University of California Press, ©1991.</t>
  </si>
  <si>
    <t>Studies on the history of society and culture ; 12</t>
  </si>
  <si>
    <t>2016-12-20</t>
  </si>
  <si>
    <t>1022471:eng</t>
  </si>
  <si>
    <t>22892064</t>
  </si>
  <si>
    <t>ocm22892064</t>
  </si>
  <si>
    <t>3102739799U</t>
  </si>
  <si>
    <t>9780520074439</t>
  </si>
  <si>
    <t>793156197</t>
  </si>
  <si>
    <t>Z310.6 P37 M64 2012</t>
  </si>
  <si>
    <t>0                      Z  0310600P  37                 M  64          2012</t>
  </si>
  <si>
    <t>Histoire de la librairie Larousse : 1852-2010 / Jean-Yves Mollier, Bruno Dubot.</t>
  </si>
  <si>
    <t>Mollier, Jean-Yves.</t>
  </si>
  <si>
    <t>[Paris] : Fayard, ©2012.</t>
  </si>
  <si>
    <t>2012-10-31</t>
  </si>
  <si>
    <t>1099421016:fre</t>
  </si>
  <si>
    <t>784362624</t>
  </si>
  <si>
    <t>ocn784362624</t>
  </si>
  <si>
    <t>3103463527X</t>
  </si>
  <si>
    <t>9782213644073</t>
  </si>
  <si>
    <t>794914478</t>
  </si>
  <si>
    <t>Z315 A453 T76 2017</t>
  </si>
  <si>
    <t>0                      Z  0315000A  453                T  76          2017</t>
  </si>
  <si>
    <t>Strange bird : the Albatross Press and the Third Reich / Michele K. Troy.</t>
  </si>
  <si>
    <t>Troy, Michele K., author.</t>
  </si>
  <si>
    <t>New Haven, Connecticut : Yale University Press, [2017]</t>
  </si>
  <si>
    <t>New directions in narrative history</t>
  </si>
  <si>
    <t>3690108683:eng</t>
  </si>
  <si>
    <t>953985619</t>
  </si>
  <si>
    <t>ocn953985619</t>
  </si>
  <si>
    <t>3103740306H</t>
  </si>
  <si>
    <t>9780300215687</t>
  </si>
  <si>
    <t>795019500</t>
  </si>
  <si>
    <t>Z315 C84 J643 2017</t>
  </si>
  <si>
    <t>0                      Z  0315000C  84                 J  643         2017</t>
  </si>
  <si>
    <t>Johann Friedrich Cotta : Verleger, Unternehmer, Technikpionier / Helmuth Mojem, Barbara Potthast (Hg.).</t>
  </si>
  <si>
    <t>Cotta-Tagung (2013 : Marbach am Neckar, Germany), author.</t>
  </si>
  <si>
    <t>Heidelberg : Universitätsverlag Winter, [2017]</t>
  </si>
  <si>
    <t>Beihefte zum Euphorion, 0531-2167 ; Heft 98</t>
  </si>
  <si>
    <t>4083296902:ger</t>
  </si>
  <si>
    <t>973875986</t>
  </si>
  <si>
    <t>ocn973875986</t>
  </si>
  <si>
    <t>3103705125K</t>
  </si>
  <si>
    <t>9783825364229</t>
  </si>
  <si>
    <t>795029296</t>
  </si>
  <si>
    <t>Z315 D64 2014</t>
  </si>
  <si>
    <t>0                      Z  0315000D  64          2014</t>
  </si>
  <si>
    <t>Distant readings : topologies of German culture in the long nineteenth century / edited by Matt Erlin and Lynne Tatlock.</t>
  </si>
  <si>
    <t>Rochester, New York : Camden House, 2014.</t>
  </si>
  <si>
    <t>Studies in German literature, linguistics, and culture</t>
  </si>
  <si>
    <t>2019-03-28</t>
  </si>
  <si>
    <t>1393278494:eng</t>
  </si>
  <si>
    <t>858601733</t>
  </si>
  <si>
    <t>ocn858601733</t>
  </si>
  <si>
    <t>3103581409W</t>
  </si>
  <si>
    <t>9781571135391</t>
  </si>
  <si>
    <t>794956303</t>
  </si>
  <si>
    <t>Z315 G488 2001</t>
  </si>
  <si>
    <t>0                      Z  0315000G  488         2001</t>
  </si>
  <si>
    <t>Geschichte des Deutschen Buchhandels im 19. und 20. Jahrhundert / im Auftrag der Historischen Kommission herausgegeben von Georg Jäger in Verbindung mit Dieter Langewiesche und Wolfram Siemann.</t>
  </si>
  <si>
    <t>Bd.2 T.1</t>
  </si>
  <si>
    <t>Frankfurt : Buchhändler-Vereinigung, 2001-&lt;c2015&gt;</t>
  </si>
  <si>
    <t>2016-12-05</t>
  </si>
  <si>
    <t>4924818350:ger</t>
  </si>
  <si>
    <t>50205520</t>
  </si>
  <si>
    <t>ocm50205520</t>
  </si>
  <si>
    <t>31030377703</t>
  </si>
  <si>
    <t>9783765723513</t>
  </si>
  <si>
    <t>793757884</t>
  </si>
  <si>
    <t>Bd.1 T.3</t>
  </si>
  <si>
    <t>2013-01-24</t>
  </si>
  <si>
    <t>3103285336V</t>
  </si>
  <si>
    <t>793757885</t>
  </si>
  <si>
    <t>Bd.2 T.2</t>
  </si>
  <si>
    <t>3103439580C</t>
  </si>
  <si>
    <t>793757883</t>
  </si>
  <si>
    <t>Bd.1 T.2</t>
  </si>
  <si>
    <t>31030377695</t>
  </si>
  <si>
    <t>793757886</t>
  </si>
  <si>
    <t>Bd.1 T.1</t>
  </si>
  <si>
    <t>31030377685</t>
  </si>
  <si>
    <t>793757887</t>
  </si>
  <si>
    <t>Z315 .G488 2001</t>
  </si>
  <si>
    <t>Standing order: Bd.2 T.2-</t>
  </si>
  <si>
    <t>B001601732</t>
  </si>
  <si>
    <t>793757888</t>
  </si>
  <si>
    <t>Bd.3:T.1</t>
  </si>
  <si>
    <t>3103638152S</t>
  </si>
  <si>
    <t>793757882</t>
  </si>
  <si>
    <t>Z315 H47 A5 2013</t>
  </si>
  <si>
    <t>0                      Z  0315000H  47                 A  5           2013</t>
  </si>
  <si>
    <t>Der Schild des Achill : Begegnungen mit dem Verleger / Hermann Herder ; herausgegeben von Manuel Herder.</t>
  </si>
  <si>
    <t>Herder, Hermann, 1926-2011, author.</t>
  </si>
  <si>
    <t>Freiburg ; Basel ; Wien : Herder, [2013]</t>
  </si>
  <si>
    <t>1341277957:ger</t>
  </si>
  <si>
    <t>837500764</t>
  </si>
  <si>
    <t>ocn837500764</t>
  </si>
  <si>
    <t>3103513708D</t>
  </si>
  <si>
    <t>9783451299889</t>
  </si>
  <si>
    <t>794945154</t>
  </si>
  <si>
    <t>Z315 K84 O76 2010</t>
  </si>
  <si>
    <t>0                      Z  0315000K  84                 O  76          2010</t>
  </si>
  <si>
    <t>"Wer an sich verzagt, der ist verloren" : Joseph Kürschner : Zeugnisse aus dem Leben des literarischen Enzyklopädikers und Eisenacher Kulturförderers / Gudrun Osmann.</t>
  </si>
  <si>
    <t>Osmann, Gudrun.</t>
  </si>
  <si>
    <t>Bucha bei Jena : Quartus, 2010.</t>
  </si>
  <si>
    <t>1. Aufl.</t>
  </si>
  <si>
    <t>Palmbaum Texte. Kulturgeschichte ; Bd. 29</t>
  </si>
  <si>
    <t>601641370:ger</t>
  </si>
  <si>
    <t>670471973</t>
  </si>
  <si>
    <t>ocn670471973</t>
  </si>
  <si>
    <t>3103281855S</t>
  </si>
  <si>
    <t>9783936455847</t>
  </si>
  <si>
    <t>794847826</t>
  </si>
  <si>
    <t>Z315 P83 2010</t>
  </si>
  <si>
    <t>0                      Z  0315000P  83          2010</t>
  </si>
  <si>
    <t>Publishing culture and the "reading nation" : German book history in the long nineteenth century / edited by Lynne Tatlock.</t>
  </si>
  <si>
    <t>Rochester, N.Y. : Camden House, 2010.</t>
  </si>
  <si>
    <t>796391691:eng</t>
  </si>
  <si>
    <t>437299847</t>
  </si>
  <si>
    <t>ocn437299847</t>
  </si>
  <si>
    <t>3103227275B</t>
  </si>
  <si>
    <t>9781571134028</t>
  </si>
  <si>
    <t>794785687</t>
  </si>
  <si>
    <t>Z315.S92 U57 2010</t>
  </si>
  <si>
    <t>0                      Z  0315000S  92                 U  57          2010</t>
  </si>
  <si>
    <t>Chronik / Siegfried Unseld ; herausgegeben von Raimund Fellinger.</t>
  </si>
  <si>
    <t>standing order: bd.1-</t>
  </si>
  <si>
    <t>Unseld, Siegfried.</t>
  </si>
  <si>
    <t>Berlin : Suhrkamp, 2010-</t>
  </si>
  <si>
    <t>2013-06-27</t>
  </si>
  <si>
    <t>3770544245:ger</t>
  </si>
  <si>
    <t>663944987</t>
  </si>
  <si>
    <t>ocn663944987</t>
  </si>
  <si>
    <t>B001387069</t>
  </si>
  <si>
    <t>9783518421611</t>
  </si>
  <si>
    <t>794842919</t>
  </si>
  <si>
    <t>Z315 S92 U68 2010</t>
  </si>
  <si>
    <t>0                      Z  0315000S  92                 U  68          2010</t>
  </si>
  <si>
    <t>Bd.1</t>
  </si>
  <si>
    <t>3103334043O</t>
  </si>
  <si>
    <t>794842918</t>
  </si>
  <si>
    <t>Bd.2</t>
  </si>
  <si>
    <t>3103200115R</t>
  </si>
  <si>
    <t>794842917</t>
  </si>
  <si>
    <t>Z316 K68 2000</t>
  </si>
  <si>
    <t>0                      Z  0316000K  68          2000</t>
  </si>
  <si>
    <t>German travel cultures / Rudy Koshar.</t>
  </si>
  <si>
    <t>Koshar, Rudy.</t>
  </si>
  <si>
    <t>Oxford : Berg, 2000.</t>
  </si>
  <si>
    <t>Leisure, consumption, and culture</t>
  </si>
  <si>
    <t>2015-10-30</t>
  </si>
  <si>
    <t>7757740:eng</t>
  </si>
  <si>
    <t>44785861</t>
  </si>
  <si>
    <t>ocm44785861</t>
  </si>
  <si>
    <t>3102077379V</t>
  </si>
  <si>
    <t>9781859734469</t>
  </si>
  <si>
    <t>793657982</t>
  </si>
  <si>
    <t>Z320.6 G68 P33 2010</t>
  </si>
  <si>
    <t>0                      Z  0320600G  68                 P  33          2010</t>
  </si>
  <si>
    <t>Concentric circles : a chronicle of Steidl publishers / Monte Packham ; with contributions by Lewis Baltz [and 10 others].</t>
  </si>
  <si>
    <t>Packham, Monte, 1981- author.</t>
  </si>
  <si>
    <t>Göttingen : Steidl ; London : Thames &amp; Hudson [distributor], 2010.</t>
  </si>
  <si>
    <t>430891519:eng</t>
  </si>
  <si>
    <t>559856347</t>
  </si>
  <si>
    <t>ocn559856347</t>
  </si>
  <si>
    <t>31033437138</t>
  </si>
  <si>
    <t>9783869300245</t>
  </si>
  <si>
    <t>794812749</t>
  </si>
  <si>
    <t>Z323 B35</t>
  </si>
  <si>
    <t>0                      Z  0323000B  35</t>
  </si>
  <si>
    <t>Free trade in books; a study of the London book trade since 1800.</t>
  </si>
  <si>
    <t>Barnes, James J.</t>
  </si>
  <si>
    <t>Oxford, Clarendon Press, 1964.</t>
  </si>
  <si>
    <t>230812693:eng</t>
  </si>
  <si>
    <t>573797</t>
  </si>
  <si>
    <t>ocm00573797</t>
  </si>
  <si>
    <t>3000852810H</t>
  </si>
  <si>
    <t>791418435</t>
  </si>
  <si>
    <t>Z323 B4</t>
  </si>
  <si>
    <t>0                      Z  0323000B  4</t>
  </si>
  <si>
    <t>Library bookselling: a history and handbook of current practice, by F.T. Bell and F. Seymour Smith.</t>
  </si>
  <si>
    <t>Bell, F. T.</t>
  </si>
  <si>
    <t>London, Deutsch [©1966]</t>
  </si>
  <si>
    <t>Grafton book</t>
  </si>
  <si>
    <t>2015-01-07</t>
  </si>
  <si>
    <t>836617826:eng</t>
  </si>
  <si>
    <t>1488131</t>
  </si>
  <si>
    <t>ocm01488131</t>
  </si>
  <si>
    <t>3000853272E</t>
  </si>
  <si>
    <t>9780233958385</t>
  </si>
  <si>
    <t>791673021</t>
  </si>
  <si>
    <t>Z323 B58 1985</t>
  </si>
  <si>
    <t>0                      Z  0323000B  58          1985</t>
  </si>
  <si>
    <t>The book book / Anthony Blond.</t>
  </si>
  <si>
    <t>Blond, Anthony.</t>
  </si>
  <si>
    <t>London : J. Cape, 1985.</t>
  </si>
  <si>
    <t>2017-02-19</t>
  </si>
  <si>
    <t>5021280:eng</t>
  </si>
  <si>
    <t>13498684</t>
  </si>
  <si>
    <t>ocm13498684</t>
  </si>
  <si>
    <t>3000374522Z</t>
  </si>
  <si>
    <t>9780224020749</t>
  </si>
  <si>
    <t>792855605</t>
  </si>
  <si>
    <t>Z323 O94 2011</t>
  </si>
  <si>
    <t>0                      Z  0323000O  94          2011</t>
  </si>
  <si>
    <t>v.6</t>
  </si>
  <si>
    <t>2017-03-25</t>
  </si>
  <si>
    <t>31034048703</t>
  </si>
  <si>
    <t>794878685</t>
  </si>
  <si>
    <t>3103474140W</t>
  </si>
  <si>
    <t>794878686</t>
  </si>
  <si>
    <t>Z323 R39 2014</t>
  </si>
  <si>
    <t>0                      Z  0323000R  39          2014</t>
  </si>
  <si>
    <t>Bookscape : geographies of printing and publishing in London before 1800 / James Raven.</t>
  </si>
  <si>
    <t>The Panizzi lectures ; 2010</t>
  </si>
  <si>
    <t>2016-02-25</t>
  </si>
  <si>
    <t>1404993187:eng</t>
  </si>
  <si>
    <t>872979617</t>
  </si>
  <si>
    <t>ocn872979617</t>
  </si>
  <si>
    <t>3103628462J</t>
  </si>
  <si>
    <t>9780712357333</t>
  </si>
  <si>
    <t>794968323</t>
  </si>
  <si>
    <t>Z323 S7</t>
  </si>
  <si>
    <t>0                      Z  0323000S  7</t>
  </si>
  <si>
    <t>Bibliography in the bookshop.</t>
  </si>
  <si>
    <t>Smith, F. Seymour.</t>
  </si>
  <si>
    <t>[London] A. Deutsch [1964]</t>
  </si>
  <si>
    <t>Grafton book. ^A1379053 ^A1379053</t>
  </si>
  <si>
    <t>319565173:eng</t>
  </si>
  <si>
    <t>574443</t>
  </si>
  <si>
    <t>ocm00574443</t>
  </si>
  <si>
    <t>3000853282B</t>
  </si>
  <si>
    <t>791418615</t>
  </si>
  <si>
    <t>Z323 S87</t>
  </si>
  <si>
    <t>0                      Z  0323000S  87</t>
  </si>
  <si>
    <t>Fiction and the fiction industry / J.A. Sutherland.</t>
  </si>
  <si>
    <t>Sutherland, John, 1938-</t>
  </si>
  <si>
    <t>London : Athlone Press, 1978.</t>
  </si>
  <si>
    <t>2017-07-15</t>
  </si>
  <si>
    <t>13562291:eng</t>
  </si>
  <si>
    <t>4002396</t>
  </si>
  <si>
    <t>ocm04002396</t>
  </si>
  <si>
    <t>3000424302Z</t>
  </si>
  <si>
    <t>9780485111774</t>
  </si>
  <si>
    <t>792312559</t>
  </si>
  <si>
    <t>Z323 W5</t>
  </si>
  <si>
    <t>0                      Z  0323000W  5</t>
  </si>
  <si>
    <t>Serial publication in England before 1750 / by R.M. Wiles.</t>
  </si>
  <si>
    <t>Wiles, R. M. (Roy McKeen), 1903-1974.</t>
  </si>
  <si>
    <t>Cambridge : Cambridge University Press, 1957.</t>
  </si>
  <si>
    <t>2015-11-29</t>
  </si>
  <si>
    <t>1695018:eng</t>
  </si>
  <si>
    <t>573791</t>
  </si>
  <si>
    <t>ocm00573791</t>
  </si>
  <si>
    <t>30008643436</t>
  </si>
  <si>
    <t>791418433</t>
  </si>
  <si>
    <t>Z324 G7</t>
  </si>
  <si>
    <t>0                      Z  0324000G  7</t>
  </si>
  <si>
    <t>Three centuries of English booktrade bibliography; an essay on the beginnings of booktrade bibliography since the introduction of printing and in England since 1595, by A. Growoll. Also a list of the catalogues, etcetera published for the English booktrade from 1595-1902, by Wilberforce Eames.</t>
  </si>
  <si>
    <t>London, Holland Press, 1964.</t>
  </si>
  <si>
    <t>2016-12-07</t>
  </si>
  <si>
    <t>1896967:eng</t>
  </si>
  <si>
    <t>320968042</t>
  </si>
  <si>
    <t>ocn320968042</t>
  </si>
  <si>
    <t>30008532855</t>
  </si>
  <si>
    <t>794487690</t>
  </si>
  <si>
    <t>Z324 M9</t>
  </si>
  <si>
    <t>0                      Z  0324000M  9</t>
  </si>
  <si>
    <t>The British book trade from Caxton to the present day; a bibliographical guide based on the libraries of the National Book League and St. Bride Institute.</t>
  </si>
  <si>
    <t>Myers, Robin (Book trade historian)</t>
  </si>
  <si>
    <t>[London] Deutsch in association with the National Book League [1973]</t>
  </si>
  <si>
    <t>1808725:eng</t>
  </si>
  <si>
    <t>741667</t>
  </si>
  <si>
    <t>ocm00741667</t>
  </si>
  <si>
    <t>30008532863</t>
  </si>
  <si>
    <t>9780233963532</t>
  </si>
  <si>
    <t>791459320</t>
  </si>
  <si>
    <t>Z325 B13 R53 2015</t>
  </si>
  <si>
    <t>0                      Z  0325000B  13                 R  53          2015</t>
  </si>
  <si>
    <t>Scholars, poets &amp; radicals : discovering forgotten lives in the Blackwell Collections / Rita Ricketts.</t>
  </si>
  <si>
    <t>Ricketts, Rita, author.</t>
  </si>
  <si>
    <t>Oxford : Bodleian Library, 2015.</t>
  </si>
  <si>
    <t>2831418904:eng</t>
  </si>
  <si>
    <t>905840665</t>
  </si>
  <si>
    <t>ocn905840665</t>
  </si>
  <si>
    <t>31037021208</t>
  </si>
  <si>
    <t>9781851244256</t>
  </si>
  <si>
    <t>794991904</t>
  </si>
  <si>
    <t>Z325 B45 G4 1960</t>
  </si>
  <si>
    <t>0                      Z  0325000B  45                 G  4           1960</t>
  </si>
  <si>
    <t>A Victorian publisher : a study of the Bentley papers / by Royal A. Gettmann.</t>
  </si>
  <si>
    <t>Gettmann, Royal A. (Royal Alfred), 1904-1996, author.</t>
  </si>
  <si>
    <t>Cambridge : University Press, 1960.</t>
  </si>
  <si>
    <t>2019-03-07</t>
  </si>
  <si>
    <t>365287250:eng</t>
  </si>
  <si>
    <t>946918</t>
  </si>
  <si>
    <t>ocm00946918</t>
  </si>
  <si>
    <t>3101347352J</t>
  </si>
  <si>
    <t>791509193</t>
  </si>
  <si>
    <t>Z325 B45 I53</t>
  </si>
  <si>
    <t>0                      Z  0325000B  45                 I  53</t>
  </si>
  <si>
    <t>Index to the archives of Richard Bentley &amp; Son, 1829-1898 / compiled by Alison Ingram.</t>
  </si>
  <si>
    <t>Ingram, Alison.</t>
  </si>
  <si>
    <t>Cambridge, Eng. : Chadwyck-Healey ; Teaneck, N.J. : Somerset House, 1977.</t>
  </si>
  <si>
    <t>14918744:eng</t>
  </si>
  <si>
    <t>4591270</t>
  </si>
  <si>
    <t>ocm04591270</t>
  </si>
  <si>
    <t>30009576558</t>
  </si>
  <si>
    <t>9780859640138</t>
  </si>
  <si>
    <t>792365809</t>
  </si>
  <si>
    <t>Z325 B63 F46 2006</t>
  </si>
  <si>
    <t>0                      Z  0325000B  63                 F  46          2006</t>
  </si>
  <si>
    <t>Print culture and the Blackwood tradition, 1805-1930 / edited by David Finkelstein.</t>
  </si>
  <si>
    <t>2019-03-13</t>
  </si>
  <si>
    <t>351833410:eng</t>
  </si>
  <si>
    <t>69785584</t>
  </si>
  <si>
    <t>ocm69785584</t>
  </si>
  <si>
    <t>3102552887M</t>
  </si>
  <si>
    <t>9780802087119</t>
  </si>
  <si>
    <t>794147144</t>
  </si>
  <si>
    <t>Z325 B66 2014</t>
  </si>
  <si>
    <t>0                      Z  0325000B  66          2014</t>
  </si>
  <si>
    <t>The book trade in early modern England : practices, perceptions, connections / edited by John Hinks and Victoria Gardner.</t>
  </si>
  <si>
    <t>New Castle, DE : Oak Knoll Press ; London : The British Library, 2014.</t>
  </si>
  <si>
    <t>Print networks</t>
  </si>
  <si>
    <t>1783971722:eng</t>
  </si>
  <si>
    <t>848162233</t>
  </si>
  <si>
    <t>ocn848162233</t>
  </si>
  <si>
    <t>3103566093G</t>
  </si>
  <si>
    <t>9780712357111</t>
  </si>
  <si>
    <t>794949917</t>
  </si>
  <si>
    <t>Z325 B7 L36 1987</t>
  </si>
  <si>
    <t>0                      Z  0325000B  7                  L  36          1987</t>
  </si>
  <si>
    <t>The Bodley Head, 1887-1987 / J.W. Lambert &amp; Michael Ratcliffe.</t>
  </si>
  <si>
    <t>Lambert, J. W. (Jack Walter), 1917-1986.</t>
  </si>
  <si>
    <t>London : Bodley Head, 1987.</t>
  </si>
  <si>
    <t>19989281:eng</t>
  </si>
  <si>
    <t>22305134</t>
  </si>
  <si>
    <t>ocm22305134</t>
  </si>
  <si>
    <t>3000534090B</t>
  </si>
  <si>
    <t>9780370309491</t>
  </si>
  <si>
    <t>793139884</t>
  </si>
  <si>
    <t>Z325 B727 2016</t>
  </si>
  <si>
    <t>0                      Z  0325000B  727         2016</t>
  </si>
  <si>
    <t>The book world : selling and distributing British literature, 1900-1940 / edited by Nicola Wilson.</t>
  </si>
  <si>
    <t>Book world (Wilson)</t>
  </si>
  <si>
    <t>Library of the written word, 1874-4834 ; volume 49</t>
  </si>
  <si>
    <t>2018-01-17</t>
  </si>
  <si>
    <t>2996443691:eng</t>
  </si>
  <si>
    <t>947104925</t>
  </si>
  <si>
    <t>ocn947104925</t>
  </si>
  <si>
    <t>3103656520N</t>
  </si>
  <si>
    <t>9789004315860</t>
  </si>
  <si>
    <t>795015093</t>
  </si>
  <si>
    <t>Z325 B735 B78 1985</t>
  </si>
  <si>
    <t>0                      Z  0325000B  735                B  78          1985</t>
  </si>
  <si>
    <t>John Boydell, 1719-1804 : a study of art patronage and publishing in Georgian London / Sven H.A. Bruntjen.</t>
  </si>
  <si>
    <t>Bruntjen, Sven H. A.</t>
  </si>
  <si>
    <t>Outstanding dissertations in the fine arts</t>
  </si>
  <si>
    <t>2015-12-20</t>
  </si>
  <si>
    <t>4826265:eng</t>
  </si>
  <si>
    <t>12049935</t>
  </si>
  <si>
    <t>ocm12049935</t>
  </si>
  <si>
    <t>3102952383D</t>
  </si>
  <si>
    <t>9780824068806</t>
  </si>
  <si>
    <t>792798483</t>
  </si>
  <si>
    <t>Z325 B78 B78 2016</t>
  </si>
  <si>
    <t>0                      Z  0325000B  78                 B  78          2016</t>
  </si>
  <si>
    <t>Bruno Cassirer Publishers Ltd. Oxford, 1940-1990 : an annotated bibliography with essays (English and German) / Rahel E. Feilchenfeldt, Jutta Weber (eds.) ; in cooperation with Staatsbibliothek zu Berlin-Preussischer Kulturbesitz ; with 116 photos of the books by Stephan Rosenthal.</t>
  </si>
  <si>
    <t>Göttingen : V&amp;R Unipress, [2016]</t>
  </si>
  <si>
    <t>V &amp; R Academic</t>
  </si>
  <si>
    <t>2950182823:eng</t>
  </si>
  <si>
    <t>959659918</t>
  </si>
  <si>
    <t>ocn959659918</t>
  </si>
  <si>
    <t>3103700577A</t>
  </si>
  <si>
    <t>9783847105435</t>
  </si>
  <si>
    <t>795022580</t>
  </si>
  <si>
    <t>Z325 C44 F94 2012</t>
  </si>
  <si>
    <t>0                      Z  0325000C  44                 F  94          2012</t>
  </si>
  <si>
    <t>Steam-powered knowledge : William Chambers and the business of publishing, 1820-1860 / Aileen Fyfe.</t>
  </si>
  <si>
    <t>Fyfe, Aileen.</t>
  </si>
  <si>
    <t>Chicago : The University of Chicago Press, 2012.</t>
  </si>
  <si>
    <t>2018-02-16</t>
  </si>
  <si>
    <t>945696685:eng</t>
  </si>
  <si>
    <t>741937777</t>
  </si>
  <si>
    <t>ocn741937777</t>
  </si>
  <si>
    <t>31033967148</t>
  </si>
  <si>
    <t>9780226276519</t>
  </si>
  <si>
    <t>794884521</t>
  </si>
  <si>
    <t>Z325 C96 B35 2007</t>
  </si>
  <si>
    <t>0                      Z  0325000C  96                 B  35          2007</t>
  </si>
  <si>
    <t>Edmund Curll, bookseller / Paul Baines and Pat Rogers.</t>
  </si>
  <si>
    <t>Baines, Paul, 1961-</t>
  </si>
  <si>
    <t>Oxford : Clarendon Press ; Oxford ; New York : Oxford University Press, 2007.</t>
  </si>
  <si>
    <t>2019-03-09</t>
  </si>
  <si>
    <t>140784079:eng</t>
  </si>
  <si>
    <t>71807827</t>
  </si>
  <si>
    <t>ocm71807827</t>
  </si>
  <si>
    <t>31025685606</t>
  </si>
  <si>
    <t>9780199278985</t>
  </si>
  <si>
    <t>794168442</t>
  </si>
  <si>
    <t>Z325 C96 S8</t>
  </si>
  <si>
    <t>0                      Z  0325000C  96                 S  8</t>
  </si>
  <si>
    <t>The unspeakable Curll : being some account of Edmund Curll, bookseller ; to which is added a full list of his books / by Ralph Straus.</t>
  </si>
  <si>
    <t>Straus, Ralph, 1882-1950.</t>
  </si>
  <si>
    <t>London : Chapman and Hall, 1927.</t>
  </si>
  <si>
    <t>2019-04-17</t>
  </si>
  <si>
    <t>1300215:eng</t>
  </si>
  <si>
    <t>10247739</t>
  </si>
  <si>
    <t>ocm10247739</t>
  </si>
  <si>
    <t>3000690853$</t>
  </si>
  <si>
    <t>792716324</t>
  </si>
  <si>
    <t>Z325 D48 1982</t>
  </si>
  <si>
    <t>0                      Z  0325000D  48          1982</t>
  </si>
  <si>
    <t>Development of the English book trade, 1700-1899 / edited by Robin Myers and Michael Harris.</t>
  </si>
  <si>
    <t>Oxford : Oxford Polytechnic Press, 1981</t>
  </si>
  <si>
    <t>2019-10-15</t>
  </si>
  <si>
    <t>351016293:eng</t>
  </si>
  <si>
    <t>8929737</t>
  </si>
  <si>
    <t>ocm08929737</t>
  </si>
  <si>
    <t>3000333922B</t>
  </si>
  <si>
    <t>9780902692268</t>
  </si>
  <si>
    <t>792648648</t>
  </si>
  <si>
    <t>Z325 E38 B46 2015</t>
  </si>
  <si>
    <t>0                      Z  0325000E  38                 B  46          2015</t>
  </si>
  <si>
    <t>The Edwardses of Halifax : the making and selling of beautiful books in London and Halifax, 1749-1826 / G.E. Bentley, Jr.</t>
  </si>
  <si>
    <t>Bentley, G. E., Jr. (Gerald Eades), 1930-2017, author.</t>
  </si>
  <si>
    <t>Toronto ; Buffalo : University of Toronto Press, [2015]</t>
  </si>
  <si>
    <t>2248274688:eng</t>
  </si>
  <si>
    <t>898163102</t>
  </si>
  <si>
    <t>ocn898163102</t>
  </si>
  <si>
    <t>3103496668W</t>
  </si>
  <si>
    <t>9781442645189</t>
  </si>
  <si>
    <t>794986013</t>
  </si>
  <si>
    <t>Z325 E45 1994</t>
  </si>
  <si>
    <t>0                      Z  0325000E  45          1994</t>
  </si>
  <si>
    <t>Some patterns and trends in British publishing, 1800-1919 / Simon Eliot.</t>
  </si>
  <si>
    <t>Eliot, Simon.</t>
  </si>
  <si>
    <t>London : Bibliographical Society, 1994.</t>
  </si>
  <si>
    <t>Occasional papers, 0267-5242 ; no. 8</t>
  </si>
  <si>
    <t>2018-06-27</t>
  </si>
  <si>
    <t>203304220:eng</t>
  </si>
  <si>
    <t>30642535</t>
  </si>
  <si>
    <t>ocm30642535</t>
  </si>
  <si>
    <t>31013812310</t>
  </si>
  <si>
    <t>793341019</t>
  </si>
  <si>
    <t>Z325 E47 S6</t>
  </si>
  <si>
    <t>0                      Z  0325000E  47                 S  6</t>
  </si>
  <si>
    <t>The oldest London bookshop, a history of two hundred years, by George Smith and Frank Benger, to which is appended a family correspondence of the eighteenth century.</t>
  </si>
  <si>
    <t>Smith, George, 1871-</t>
  </si>
  <si>
    <t>London, Ellis, 1928.</t>
  </si>
  <si>
    <t>1809156126:eng</t>
  </si>
  <si>
    <t>3740148</t>
  </si>
  <si>
    <t>ocm03740148</t>
  </si>
  <si>
    <t>30007790117</t>
  </si>
  <si>
    <t>792286869</t>
  </si>
  <si>
    <t>Z325 F32 F334 2019</t>
  </si>
  <si>
    <t>0                      Z  0325000F  32                 F  334         2019</t>
  </si>
  <si>
    <t>Faber &amp; Faber : the untold story / Toby Faber.</t>
  </si>
  <si>
    <t>Faber, Toby, 1965- author.</t>
  </si>
  <si>
    <t>London : Faber &amp; Faber, 2019.</t>
  </si>
  <si>
    <t>9017591862:eng</t>
  </si>
  <si>
    <t>1090422979</t>
  </si>
  <si>
    <t>on1090422979</t>
  </si>
  <si>
    <t>31038127046</t>
  </si>
  <si>
    <t>9780571339044</t>
  </si>
  <si>
    <t>795079889</t>
  </si>
  <si>
    <t>Z325 F414 2006</t>
  </si>
  <si>
    <t>0                      Z  0325000F  414         2006</t>
  </si>
  <si>
    <t>A history of British publishing / John Feather.</t>
  </si>
  <si>
    <t>London ; New York : Routledge, 2006.</t>
  </si>
  <si>
    <t>9463461728:eng</t>
  </si>
  <si>
    <t>57670110</t>
  </si>
  <si>
    <t>ocm57670110</t>
  </si>
  <si>
    <t>3102489768T</t>
  </si>
  <si>
    <t>9780415302258</t>
  </si>
  <si>
    <t>793917351</t>
  </si>
  <si>
    <t>Z325 F76 2012</t>
  </si>
  <si>
    <t>0                      Z  0325000F  76          2012</t>
  </si>
  <si>
    <t>From compositors to collectors : essays on book-trade history / edited by John Hinks &amp; Matthew Day.</t>
  </si>
  <si>
    <t>New Castle, DE : Oak Knoll Press ; London : The British Library, 2012.</t>
  </si>
  <si>
    <t>1068326547:eng</t>
  </si>
  <si>
    <t>769763881</t>
  </si>
  <si>
    <t>ocn769763881</t>
  </si>
  <si>
    <t>31034712356</t>
  </si>
  <si>
    <t>9781584563013</t>
  </si>
  <si>
    <t>794903600</t>
  </si>
  <si>
    <t>Z325 G64 E38 1987</t>
  </si>
  <si>
    <t>0                      Z  0325000G  64                 E  38          1987</t>
  </si>
  <si>
    <t>Victor Gollancz : a biography / by Ruth Dudley Edwards.</t>
  </si>
  <si>
    <t>Edwards, Ruth Dudley.</t>
  </si>
  <si>
    <t>London : V. Gollancz, 1987.</t>
  </si>
  <si>
    <t>2018-02-15</t>
  </si>
  <si>
    <t>836702810:eng</t>
  </si>
  <si>
    <t>18049647</t>
  </si>
  <si>
    <t>ocm18049647</t>
  </si>
  <si>
    <t>30004823223</t>
  </si>
  <si>
    <t>9780575031753</t>
  </si>
  <si>
    <t>793011943</t>
  </si>
  <si>
    <t>Z325 G64 H63</t>
  </si>
  <si>
    <t>0                      Z  0325000G  64                 H  63</t>
  </si>
  <si>
    <t>Gollancz : the story of a publishing house, 1928-1978 / by Sheila Hodges.</t>
  </si>
  <si>
    <t>Hodges, Sheila.</t>
  </si>
  <si>
    <t>London : Gollancz, 1978.</t>
  </si>
  <si>
    <t>2016-10-09</t>
  </si>
  <si>
    <t>864045937:eng</t>
  </si>
  <si>
    <t>3983643</t>
  </si>
  <si>
    <t>ocm03983643</t>
  </si>
  <si>
    <t>3103705965D</t>
  </si>
  <si>
    <t>9780575024472</t>
  </si>
  <si>
    <t>792311145</t>
  </si>
  <si>
    <t>Z325 H57 2017</t>
  </si>
  <si>
    <t>0                      Z  0325000H  57          2017</t>
  </si>
  <si>
    <t>Historical networks in the book trade / edited by John Hinks and Catherine Feely.</t>
  </si>
  <si>
    <t>London : Routledge, Taylor &amp; Francis Group, 2017.</t>
  </si>
  <si>
    <t>The History of the Book ; 14</t>
  </si>
  <si>
    <t>3912854563:eng</t>
  </si>
  <si>
    <t>962394915</t>
  </si>
  <si>
    <t>ocn962394915</t>
  </si>
  <si>
    <t>31036967745</t>
  </si>
  <si>
    <t>9781848935891</t>
  </si>
  <si>
    <t>795024448</t>
  </si>
  <si>
    <t>Z325 H65 2008</t>
  </si>
  <si>
    <t>0                      Z  0325000H  65          2008</t>
  </si>
  <si>
    <t>Print for victory : book publishing in England, 1939-1945 / Valerie Holman.</t>
  </si>
  <si>
    <t>Holman, Valerie.</t>
  </si>
  <si>
    <t>2017-10-30</t>
  </si>
  <si>
    <t>865560847:eng</t>
  </si>
  <si>
    <t>191810612</t>
  </si>
  <si>
    <t>ocn191810612</t>
  </si>
  <si>
    <t>3103082878W</t>
  </si>
  <si>
    <t>9780712350013</t>
  </si>
  <si>
    <t>794301248</t>
  </si>
  <si>
    <t>Z325 I28 1997</t>
  </si>
  <si>
    <t>0                      Z  0325000I  28          1997</t>
  </si>
  <si>
    <t>Images &amp; texts : their production and distribution in the 18th and 19th centuries / edited by Peter Isaac and Barry McKay.</t>
  </si>
  <si>
    <t>Winchester [England] : St. Paul's Bibliographies ; New Castle, Del. : Oak Knoll Press, 1997.</t>
  </si>
  <si>
    <t>Print networks ; 1</t>
  </si>
  <si>
    <t>807901106:eng</t>
  </si>
  <si>
    <t>36582013</t>
  </si>
  <si>
    <t>ocm36582013</t>
  </si>
  <si>
    <t>3103529364L</t>
  </si>
  <si>
    <t>9781884718373</t>
  </si>
  <si>
    <t>793479015</t>
  </si>
  <si>
    <t>Z325 J72 A4 2016</t>
  </si>
  <si>
    <t>0                      Z  0325000J  72                 A  4           2016</t>
  </si>
  <si>
    <t>The Joseph Johnson letterbook. John Bugg.</t>
  </si>
  <si>
    <t>Corby : Oxford University Press 2016.</t>
  </si>
  <si>
    <t>2018-09-07</t>
  </si>
  <si>
    <t>2936105019:eng</t>
  </si>
  <si>
    <t>909250771</t>
  </si>
  <si>
    <t>ocn909250771</t>
  </si>
  <si>
    <t>3103654163V</t>
  </si>
  <si>
    <t>9780199644247</t>
  </si>
  <si>
    <t>794995353</t>
  </si>
  <si>
    <t>Z325 J89</t>
  </si>
  <si>
    <t>0                      Z  0325000J  89</t>
  </si>
  <si>
    <t>Elizabethan book-pirates.</t>
  </si>
  <si>
    <t>Judge, Cyril Bathurst.</t>
  </si>
  <si>
    <t>Cambridge, Harvard Univ. Press, 1934.</t>
  </si>
  <si>
    <t>Harvard Studies in English, vol. VIII</t>
  </si>
  <si>
    <t>2015-01-25</t>
  </si>
  <si>
    <t>2245153:eng</t>
  </si>
  <si>
    <t>14736119</t>
  </si>
  <si>
    <t>ocm14736119</t>
  </si>
  <si>
    <t>30007790060</t>
  </si>
  <si>
    <t>792901489</t>
  </si>
  <si>
    <t>Z325 K4 H68 1998</t>
  </si>
  <si>
    <t>0                      Z  0325000K  4                  H  68          1998</t>
  </si>
  <si>
    <t>Kegan Paul, a Victorian imprint : publishers, books, and cultural history / Leslie Howsam.</t>
  </si>
  <si>
    <t>London ; New York : Kegan Paul International ; Toronto ; Buffalo : University of Toronto Press, 1998.</t>
  </si>
  <si>
    <t>2015-10-07</t>
  </si>
  <si>
    <t>796077383:eng</t>
  </si>
  <si>
    <t>40838891</t>
  </si>
  <si>
    <t>ocm40838891</t>
  </si>
  <si>
    <t>3103495929Z</t>
  </si>
  <si>
    <t>9780710306050</t>
  </si>
  <si>
    <t>793576994</t>
  </si>
  <si>
    <t>Z325 K56 R44 2009</t>
  </si>
  <si>
    <t>0                      Z  0325000K  56                 R  44          2009</t>
  </si>
  <si>
    <t>Publishing, politics, and culture : the King's Printers in the reign of James I and VI / by Graham Rees and Maria Wakely.</t>
  </si>
  <si>
    <t>Rees, Graham, author.</t>
  </si>
  <si>
    <t>Oxford : Oxford University Press, 2009.</t>
  </si>
  <si>
    <t>2015-09-04</t>
  </si>
  <si>
    <t>793218267:eng</t>
  </si>
  <si>
    <t>558730694</t>
  </si>
  <si>
    <t>ocn558730694</t>
  </si>
  <si>
    <t>3103131388V</t>
  </si>
  <si>
    <t>9780199576319</t>
  </si>
  <si>
    <t>794812541</t>
  </si>
  <si>
    <t>Z325 L247 L49 2005</t>
  </si>
  <si>
    <t>0                      Z  0325000L  247                L  49          2005</t>
  </si>
  <si>
    <t>Penguin special : the life and times of Allen Lane / Jeremy Lewis.</t>
  </si>
  <si>
    <t>Lewis, Jeremy.</t>
  </si>
  <si>
    <t>London ; New York : Viking, 2005.</t>
  </si>
  <si>
    <t>19491953:eng</t>
  </si>
  <si>
    <t>57637625</t>
  </si>
  <si>
    <t>ocm57637625</t>
  </si>
  <si>
    <t>31024948526</t>
  </si>
  <si>
    <t>9780670914852</t>
  </si>
  <si>
    <t>793916711</t>
  </si>
  <si>
    <t>Z325 L247 M67</t>
  </si>
  <si>
    <t>0                      Z  0325000L  247                M  67</t>
  </si>
  <si>
    <t>Allen Lane, King Penguin : a biography / J.E. Morpurgo.</t>
  </si>
  <si>
    <t>Morpurgo, J. E.</t>
  </si>
  <si>
    <t>London : Hutchinson, 1979.</t>
  </si>
  <si>
    <t>20889049:eng</t>
  </si>
  <si>
    <t>5935261</t>
  </si>
  <si>
    <t>ocm05935261</t>
  </si>
  <si>
    <t>3000301047M</t>
  </si>
  <si>
    <t>9780091396909</t>
  </si>
  <si>
    <t>792464639</t>
  </si>
  <si>
    <t>Z325 L58 2003</t>
  </si>
  <si>
    <t>0                      Z  0325000L  58          2003</t>
  </si>
  <si>
    <t>Literature in the marketplace : nineteenth-century British publishing and reading practices / editors, John O. Jordan, Robert L. Patten.</t>
  </si>
  <si>
    <t>Cambridge : Cambridge University Press, 2003.</t>
  </si>
  <si>
    <t>Cambridge studies in nineteenth-century literature and culture ; 5</t>
  </si>
  <si>
    <t>2019-07-17</t>
  </si>
  <si>
    <t>809106425:eng</t>
  </si>
  <si>
    <t>842508622</t>
  </si>
  <si>
    <t>ocn842508622</t>
  </si>
  <si>
    <t>3103357562K</t>
  </si>
  <si>
    <t>9780521893930</t>
  </si>
  <si>
    <t>794947566</t>
  </si>
  <si>
    <t>Z325 M382 2007</t>
  </si>
  <si>
    <t>0                      Z  0325000M  382         2007</t>
  </si>
  <si>
    <t>The work of print : authorship and the English text trades, 1660-1760 / Lisa Maruca.</t>
  </si>
  <si>
    <t>Maruca, Lisa.</t>
  </si>
  <si>
    <t>Seattle : University of Washington Press, ©2007.</t>
  </si>
  <si>
    <t>Literary conjugations</t>
  </si>
  <si>
    <t>315146312:eng</t>
  </si>
  <si>
    <t>123955023</t>
  </si>
  <si>
    <t>ocn123955023</t>
  </si>
  <si>
    <t>31035307731</t>
  </si>
  <si>
    <t>9780295987446</t>
  </si>
  <si>
    <t>794228761</t>
  </si>
  <si>
    <t>Z325 N44 2011</t>
  </si>
  <si>
    <t>0                      Z  0325000N  44          2011</t>
  </si>
  <si>
    <t>Negotiating the Jacobean printed book / edited by Pete Langman.</t>
  </si>
  <si>
    <t>Farnham, Surrey ; Burlington, VT : Ashgate, ©2011.</t>
  </si>
  <si>
    <t>865299347:eng</t>
  </si>
  <si>
    <t>711988995</t>
  </si>
  <si>
    <t>ocn711988995</t>
  </si>
  <si>
    <t>31035308298</t>
  </si>
  <si>
    <t>9780754666332</t>
  </si>
  <si>
    <t>794871496</t>
  </si>
  <si>
    <t>Z325 N48 J33 2001</t>
  </si>
  <si>
    <t>0                      Z  0325000N  48                 J  33          2001</t>
  </si>
  <si>
    <t>George Newnes and the new journalism in Britain, 1880-1910 : culture and profit / Kate Jackson.</t>
  </si>
  <si>
    <t>Jackson, Kate.</t>
  </si>
  <si>
    <t>Aldershot ; Burlington, USA : Ashgate, ©2001.</t>
  </si>
  <si>
    <t>[The nineteenth century]</t>
  </si>
  <si>
    <t>836981734:eng</t>
  </si>
  <si>
    <t>45349926</t>
  </si>
  <si>
    <t>ocm45349926</t>
  </si>
  <si>
    <t>3102785585T</t>
  </si>
  <si>
    <t>9780754603177</t>
  </si>
  <si>
    <t>793669871</t>
  </si>
  <si>
    <t>Z325 P36</t>
  </si>
  <si>
    <t>0                      Z  0325000P  36</t>
  </si>
  <si>
    <t>The Penguin story, 1935-1956 / Sir William Emrys Williams.</t>
  </si>
  <si>
    <t>Penguin (Firm)</t>
  </si>
  <si>
    <t>Harmondsworth : Middlesex, 1956.</t>
  </si>
  <si>
    <t>1909041915:eng</t>
  </si>
  <si>
    <t>427341323</t>
  </si>
  <si>
    <t>ocn427341323</t>
  </si>
  <si>
    <t>3103773796F</t>
  </si>
  <si>
    <t>794610876</t>
  </si>
  <si>
    <t>Z325 R27 2007</t>
  </si>
  <si>
    <t>0                      Z  0325000R  27          2007</t>
  </si>
  <si>
    <t>The business of books : booksellers and the English book trade, 1450-1850 / James Raven.</t>
  </si>
  <si>
    <t>Raven, James, 1959-</t>
  </si>
  <si>
    <t>New Haven : Yale University Press, ©2007.</t>
  </si>
  <si>
    <t>329480096:eng</t>
  </si>
  <si>
    <t>71948623</t>
  </si>
  <si>
    <t>ocm71948623</t>
  </si>
  <si>
    <t>3102637839G</t>
  </si>
  <si>
    <t>9780300122619</t>
  </si>
  <si>
    <t>794169477</t>
  </si>
  <si>
    <t>Z325 R38 2014</t>
  </si>
  <si>
    <t>0                      Z  0325000R  38          2014</t>
  </si>
  <si>
    <t>Publishing business in eighteenth-century England / James Raven.</t>
  </si>
  <si>
    <t>Woodbridge : The Boydell Press, 2014.</t>
  </si>
  <si>
    <t>People, markets, goods: economies and societies in history ; volume 3</t>
  </si>
  <si>
    <t>2056983872:eng</t>
  </si>
  <si>
    <t>888467797</t>
  </si>
  <si>
    <t>ocn888467797</t>
  </si>
  <si>
    <t>31035817827</t>
  </si>
  <si>
    <t>9781843839101</t>
  </si>
  <si>
    <t>794978074</t>
  </si>
  <si>
    <t>Z325 S14 2006</t>
  </si>
  <si>
    <t>0                      Z  0325000S  14          2006</t>
  </si>
  <si>
    <t>The commodification of textual engagements in the English Renaissance / Michael Saenger.</t>
  </si>
  <si>
    <t>Saenger, Michael.</t>
  </si>
  <si>
    <t>Aldershot, England ; Burlington, VT : Ashgate Pub., ©2006.</t>
  </si>
  <si>
    <t>46514647:eng</t>
  </si>
  <si>
    <t>62090725</t>
  </si>
  <si>
    <t>ocm62090725</t>
  </si>
  <si>
    <t>3102591810K</t>
  </si>
  <si>
    <t>9780754654131</t>
  </si>
  <si>
    <t>794100001</t>
  </si>
  <si>
    <t>Z325 S655 2012</t>
  </si>
  <si>
    <t>0                      Z  0325000S  655         2012</t>
  </si>
  <si>
    <t>'Grossly material things' : women and book production in early modern England / Helen Smith.</t>
  </si>
  <si>
    <t>Smith, Helen, 1977-</t>
  </si>
  <si>
    <t>Oxford : Oxford University Press, 2012.</t>
  </si>
  <si>
    <t>1077876540:eng</t>
  </si>
  <si>
    <t>769989346</t>
  </si>
  <si>
    <t>ocn769989346</t>
  </si>
  <si>
    <t>3103422542G</t>
  </si>
  <si>
    <t>9780199651580</t>
  </si>
  <si>
    <t>794903783</t>
  </si>
  <si>
    <t>Z325 S667 C86 2017</t>
  </si>
  <si>
    <t>0                      Z  0325000S  667                C  86          2017</t>
  </si>
  <si>
    <t>The vanishing man : in pursuit of Velázquez / Laura Cumming.</t>
  </si>
  <si>
    <t>Cumming, Laura, author.</t>
  </si>
  <si>
    <t>London : Vintage Books, 2017.</t>
  </si>
  <si>
    <t>2020-01-10</t>
  </si>
  <si>
    <t>2892535623:eng</t>
  </si>
  <si>
    <t>969653754</t>
  </si>
  <si>
    <t>ocn969653754</t>
  </si>
  <si>
    <t>31037378154</t>
  </si>
  <si>
    <t>9780099587040</t>
  </si>
  <si>
    <t>795027459</t>
  </si>
  <si>
    <t>Z325 S69 G73 2011</t>
  </si>
  <si>
    <t>0                      Z  0325000S  69                 G  73          2011</t>
  </si>
  <si>
    <t>Bookmen: London : 250 years of Sotheran bookselling / Victor Gray.</t>
  </si>
  <si>
    <t>Gray, Victor.</t>
  </si>
  <si>
    <t>London : Henry Sotheran Ltd., 2011.</t>
  </si>
  <si>
    <t>Special limited Anniversary edition.</t>
  </si>
  <si>
    <t>1006796320:eng</t>
  </si>
  <si>
    <t>748939158</t>
  </si>
  <si>
    <t>ocn748939158</t>
  </si>
  <si>
    <t>31034328236</t>
  </si>
  <si>
    <t>9780950821955</t>
  </si>
  <si>
    <t>794889645</t>
  </si>
  <si>
    <t>Z325 S75 M94 1990</t>
  </si>
  <si>
    <t>0                      Z  0325000S  75                 M  94          1990</t>
  </si>
  <si>
    <t>The Stationers' Company archive : an account of the records, 1554-1984 / Robin Myers.</t>
  </si>
  <si>
    <t>Winchester : St. Paul's Bibliographies ; Detroit : Omnigraphics, 1990.</t>
  </si>
  <si>
    <t>2017-11-21</t>
  </si>
  <si>
    <t>836896279:eng</t>
  </si>
  <si>
    <t>21411295</t>
  </si>
  <si>
    <t>ocm21411295</t>
  </si>
  <si>
    <t>31028485128</t>
  </si>
  <si>
    <t>9780906795712</t>
  </si>
  <si>
    <t>793118241</t>
  </si>
  <si>
    <t>Z325 S75 2010</t>
  </si>
  <si>
    <t>0                      Z  0325000S  75          2010</t>
  </si>
  <si>
    <t>Book makers : British publishing in the twentieth century / Iain Stevenson.</t>
  </si>
  <si>
    <t>Stevenson, Iain, Ph. D.</t>
  </si>
  <si>
    <t>London : The British Library, 2010.</t>
  </si>
  <si>
    <t>2014-10-06</t>
  </si>
  <si>
    <t>891030999:eng</t>
  </si>
  <si>
    <t>457149307</t>
  </si>
  <si>
    <t>ocn457149307</t>
  </si>
  <si>
    <t>3103134268Q</t>
  </si>
  <si>
    <t>9780712309615</t>
  </si>
  <si>
    <t>794789734</t>
  </si>
  <si>
    <t>Z325 S76 A9 1912</t>
  </si>
  <si>
    <t>0                      Z  0325000S  76                 A  9           1912</t>
  </si>
  <si>
    <t>The story of a printing house : being a short account of the Strahans and Spottiswoodes.</t>
  </si>
  <si>
    <t>Austen-Leigh, Richard Arthur, 1872-1961.</t>
  </si>
  <si>
    <t>London : Spottiswoode, 1912.</t>
  </si>
  <si>
    <t>1912</t>
  </si>
  <si>
    <t>2641767:eng</t>
  </si>
  <si>
    <t>1722647</t>
  </si>
  <si>
    <t>ocm01722647</t>
  </si>
  <si>
    <t>3000786128W</t>
  </si>
  <si>
    <t>791854258</t>
  </si>
  <si>
    <t>Z325 T56 2010</t>
  </si>
  <si>
    <t>0                      Z  0325000T  56          2010</t>
  </si>
  <si>
    <t>Merchants of culture : the publishing business in the twenty-first century / John B. Thompson.</t>
  </si>
  <si>
    <t>Thompson, John B. (John Brookshire)</t>
  </si>
  <si>
    <t>Cambridge, UK ; Malden, MA : Polity, 2010.</t>
  </si>
  <si>
    <t>2015-06-16</t>
  </si>
  <si>
    <t>776093080:eng</t>
  </si>
  <si>
    <t>620321123</t>
  </si>
  <si>
    <t>ocn620321123</t>
  </si>
  <si>
    <t>3103230896C</t>
  </si>
  <si>
    <t>9780745647869</t>
  </si>
  <si>
    <t>794823609</t>
  </si>
  <si>
    <t>Z325 T56 2012</t>
  </si>
  <si>
    <t>0                      Z  0325000T  56          2012</t>
  </si>
  <si>
    <t>Cambridge : Polity, 2012.</t>
  </si>
  <si>
    <t>793212616</t>
  </si>
  <si>
    <t>ocn793212616</t>
  </si>
  <si>
    <t>31033968273</t>
  </si>
  <si>
    <t>9780745661063</t>
  </si>
  <si>
    <t>794917693</t>
  </si>
  <si>
    <t>Z325 T6 G4 1969</t>
  </si>
  <si>
    <t>0                      Z  0325000T  6                  G  4           1969</t>
  </si>
  <si>
    <t>Prince of publishers; a study of the work and career of Jacob Tonson [by] Harry M. Geduld.</t>
  </si>
  <si>
    <t>Geduld, Harry M.</t>
  </si>
  <si>
    <t>Bloomington, Indiana University Press, 1969.</t>
  </si>
  <si>
    <t>Indiana University humanities series, no. 66</t>
  </si>
  <si>
    <t>1215810:eng</t>
  </si>
  <si>
    <t>46347</t>
  </si>
  <si>
    <t>ocm00046347</t>
  </si>
  <si>
    <t>3101010126S</t>
  </si>
  <si>
    <t>9780253386663</t>
  </si>
  <si>
    <t>791238273</t>
  </si>
  <si>
    <t>Z325 T6 L95</t>
  </si>
  <si>
    <t>0                      Z  0325000T  6                  L  95</t>
  </si>
  <si>
    <t>Jacob Tonson, Kit-Cat publisher, by Kathleen M. Lynch.</t>
  </si>
  <si>
    <t>Lynch, Kathleen M. (Kathleen Martha)</t>
  </si>
  <si>
    <t>Knoxville] University of Tennessee Press [1971]</t>
  </si>
  <si>
    <t>[1st ed.</t>
  </si>
  <si>
    <t>1313090:eng</t>
  </si>
  <si>
    <t>143075</t>
  </si>
  <si>
    <t>ocm00143075</t>
  </si>
  <si>
    <t>3000635843D</t>
  </si>
  <si>
    <t>9780870491221</t>
  </si>
  <si>
    <t>791270777</t>
  </si>
  <si>
    <t>Z325 W425 2003</t>
  </si>
  <si>
    <t>0                      Z  0325000W  425         2003</t>
  </si>
  <si>
    <t>Victorian publishing : the economics of book production for a mass market, 1836-1916 / Alexis Weedon.</t>
  </si>
  <si>
    <t>Weedon, Alexis.</t>
  </si>
  <si>
    <t>Aldershot, England ; Burlington, VT : Ashgate, ©2003.</t>
  </si>
  <si>
    <t>The nineteenth century series</t>
  </si>
  <si>
    <t>839525895:eng</t>
  </si>
  <si>
    <t>51022630</t>
  </si>
  <si>
    <t>ocm51022630</t>
  </si>
  <si>
    <t>3102987829C</t>
  </si>
  <si>
    <t>9780754635277</t>
  </si>
  <si>
    <t>793777060</t>
  </si>
  <si>
    <t>Z325 W83 1994</t>
  </si>
  <si>
    <t>0                      Z  0325000W  83          1994</t>
  </si>
  <si>
    <t>Writers, books, and trade : an eighteenth-century miscellany for William B. Todd / edited by O M Brack, Jr.</t>
  </si>
  <si>
    <t>New York : AMS Press, ©1994.</t>
  </si>
  <si>
    <t>AMS studies in the eighteenth century ; no. 19</t>
  </si>
  <si>
    <t>2016-06-16</t>
  </si>
  <si>
    <t>889999380:eng</t>
  </si>
  <si>
    <t>23939736</t>
  </si>
  <si>
    <t>ocm23939736</t>
  </si>
  <si>
    <t>3101405971I</t>
  </si>
  <si>
    <t>9780404635190</t>
  </si>
  <si>
    <t>793185327</t>
  </si>
  <si>
    <t>Z326 B65 2008</t>
  </si>
  <si>
    <t>0                      Z  0326000B  65          2008</t>
  </si>
  <si>
    <t>The most disreputable trade : publishing the classics of English poetry, 1765-1810 / Thomas F. Bonnell.</t>
  </si>
  <si>
    <t>Bonnell, Thomas Frank, 1953-</t>
  </si>
  <si>
    <t>802839185:eng</t>
  </si>
  <si>
    <t>181862564</t>
  </si>
  <si>
    <t>ocn181862564</t>
  </si>
  <si>
    <t>31029716504</t>
  </si>
  <si>
    <t>9780199532209</t>
  </si>
  <si>
    <t>794283912</t>
  </si>
  <si>
    <t>Z326 F44 1986</t>
  </si>
  <si>
    <t>0                      Z  0326000F  44          1986</t>
  </si>
  <si>
    <t>Modes of production of Victorian novels / N.N. Feltes.</t>
  </si>
  <si>
    <t>Feltes, N. N. (Norman N.)</t>
  </si>
  <si>
    <t>Chicago : University of Chicago Press, 1986.</t>
  </si>
  <si>
    <t>6865046:eng</t>
  </si>
  <si>
    <t>13358218</t>
  </si>
  <si>
    <t>ocm13358218</t>
  </si>
  <si>
    <t>30004735200</t>
  </si>
  <si>
    <t>9780226241173</t>
  </si>
  <si>
    <t>792849847</t>
  </si>
  <si>
    <t>Z326 M55 2015</t>
  </si>
  <si>
    <t>0                      Z  0326000M  55          2015</t>
  </si>
  <si>
    <t>The publication of plays in London 1660-1800 : playwrights, publishers, and the market / Judith Milhous and Robert D. Hume.</t>
  </si>
  <si>
    <t>Milhous, Judith, author.</t>
  </si>
  <si>
    <t>2592092552:eng</t>
  </si>
  <si>
    <t>914163601</t>
  </si>
  <si>
    <t>ocn914163601</t>
  </si>
  <si>
    <t>3103654325V</t>
  </si>
  <si>
    <t>9780712357739</t>
  </si>
  <si>
    <t>794999849</t>
  </si>
  <si>
    <t>Z326 P47 2009</t>
  </si>
  <si>
    <t>0                      Z  0326000P  47          2009</t>
  </si>
  <si>
    <t>Periodicals and publishers : the newspaper and journal trade, 1750-1914 / edited by John Hinks, Catherine Armstrong &amp; Matthew Day.</t>
  </si>
  <si>
    <t>Print networks ; . [v. 10]</t>
  </si>
  <si>
    <t>891379700:eng</t>
  </si>
  <si>
    <t>320524073</t>
  </si>
  <si>
    <t>ocn320524073</t>
  </si>
  <si>
    <t>3102860707Q</t>
  </si>
  <si>
    <t>9781584562665</t>
  </si>
  <si>
    <t>794486437</t>
  </si>
  <si>
    <t>Z326 S25 2014</t>
  </si>
  <si>
    <t>0                      Z  0326000S  25          2014</t>
  </si>
  <si>
    <t>Pedlars and the popular press : itinerant distribution networks in England and the Netherlands 1600-1850 / by Jeroen Salman.</t>
  </si>
  <si>
    <t>Salman, Jeroen.</t>
  </si>
  <si>
    <t>Library of the written word, 1874-4834 ; volume 29</t>
  </si>
  <si>
    <t>3770541589:eng</t>
  </si>
  <si>
    <t>858080464</t>
  </si>
  <si>
    <t>ocn858080464</t>
  </si>
  <si>
    <t>31035055890</t>
  </si>
  <si>
    <t>9789004252844</t>
  </si>
  <si>
    <t>794955793</t>
  </si>
  <si>
    <t>Z326 S67 2007</t>
  </si>
  <si>
    <t>0                      Z  0326000S  67          2007</t>
  </si>
  <si>
    <t>Marketing literature : the making of contemporary writing in Britain / Claire Squires.</t>
  </si>
  <si>
    <t>Squires, Claire.</t>
  </si>
  <si>
    <t>Basingstoke [England] ; New York : Palgrave Macmillan, 2007.</t>
  </si>
  <si>
    <t>793942229:eng</t>
  </si>
  <si>
    <t>124157801</t>
  </si>
  <si>
    <t>ocn124157801</t>
  </si>
  <si>
    <t>3102645902M</t>
  </si>
  <si>
    <t>9781403997739</t>
  </si>
  <si>
    <t>794230612</t>
  </si>
  <si>
    <t>Z329 S79 B5</t>
  </si>
  <si>
    <t>0                      Z  0329000S  79                 B  5</t>
  </si>
  <si>
    <t>The Stationers' Company, a history, 1403-1959.</t>
  </si>
  <si>
    <t>Blagden, Cyprian.</t>
  </si>
  <si>
    <t>Cambridge, Harvard Univ. Press, 1960.</t>
  </si>
  <si>
    <t>459624:eng</t>
  </si>
  <si>
    <t>14619192</t>
  </si>
  <si>
    <t>ocm14619192</t>
  </si>
  <si>
    <t>3000861866Q</t>
  </si>
  <si>
    <t>792896080</t>
  </si>
  <si>
    <t>Z329.S79 B53 2013</t>
  </si>
  <si>
    <t>0                      Z  0329000S  79                 B  53          2013</t>
  </si>
  <si>
    <t>The Stationers' Company and the printers of London, 1501-1557 / Peter W.M. Blayney.</t>
  </si>
  <si>
    <t>Blayney, Peter W. M., 1944- author.</t>
  </si>
  <si>
    <t>Cambridge ; New York : Cambridge University Press, 2013.</t>
  </si>
  <si>
    <t>2017-04-11</t>
  </si>
  <si>
    <t>4154438361:eng</t>
  </si>
  <si>
    <t>826076087</t>
  </si>
  <si>
    <t>ocn826076087</t>
  </si>
  <si>
    <t>31035862616</t>
  </si>
  <si>
    <t>9781107035010</t>
  </si>
  <si>
    <t>794938944</t>
  </si>
  <si>
    <t>31035862666</t>
  </si>
  <si>
    <t>794938945</t>
  </si>
  <si>
    <t>Z330.3 G7 M36 2000</t>
  </si>
  <si>
    <t>0                      Z  0330300G  7                  M  36          2000</t>
  </si>
  <si>
    <t>The Scottish book trade, 1500-1720 : print commerce and print control in early modern Scotland / Alastair J. Mann.</t>
  </si>
  <si>
    <t>Mann, Alastair J.</t>
  </si>
  <si>
    <t>East Linton : Tuckwell, 2000.</t>
  </si>
  <si>
    <t>38696517:eng</t>
  </si>
  <si>
    <t>48895579</t>
  </si>
  <si>
    <t>ocm48895579</t>
  </si>
  <si>
    <t>3102572108C</t>
  </si>
  <si>
    <t>9781862321151</t>
  </si>
  <si>
    <t>793729960</t>
  </si>
  <si>
    <t>Z330.6 C3 B68 2016</t>
  </si>
  <si>
    <t>0                      Z  0330600C  3                  B  68          2016</t>
  </si>
  <si>
    <t>This book is about Heffers : the bookshop that is known all over the world / Julie E Bounford.</t>
  </si>
  <si>
    <t>Bounford, Julie E., author.</t>
  </si>
  <si>
    <t>Great Gransden, Cambridgeshire : Gottahavebooks, 2016.</t>
  </si>
  <si>
    <t>3981045112:eng</t>
  </si>
  <si>
    <t>965613876</t>
  </si>
  <si>
    <t>ocn965613876</t>
  </si>
  <si>
    <t>3103737685S</t>
  </si>
  <si>
    <t>9780993378133</t>
  </si>
  <si>
    <t>795025791</t>
  </si>
  <si>
    <t>Z330.6 L6 A27 2014</t>
  </si>
  <si>
    <t>0                      Z  0330600L  6                  A  27          2014</t>
  </si>
  <si>
    <t>The house of twenty thousand books / Sasha Abramsky.</t>
  </si>
  <si>
    <t>Abramsky, Sasha, author.</t>
  </si>
  <si>
    <t>London : Halban Publishers Ltd., 2014.</t>
  </si>
  <si>
    <t>2016-07-08</t>
  </si>
  <si>
    <t>1916071554:eng</t>
  </si>
  <si>
    <t>880683462</t>
  </si>
  <si>
    <t>ocn880683462</t>
  </si>
  <si>
    <t>31036096945</t>
  </si>
  <si>
    <t>9781905559640</t>
  </si>
  <si>
    <t>794973354</t>
  </si>
  <si>
    <t>Z330.6 L6 L66 2003</t>
  </si>
  <si>
    <t>0                      Z  0330600L  6                  L  66          2003</t>
  </si>
  <si>
    <t>The London book trade : topographies of print in the metropolis from the sixteenth century / edited by Robin Myers, Michael Harris, and Giles Mandelbrote.</t>
  </si>
  <si>
    <t>New Castle, DE : Oak Knoll ; London : British Library, 2003.</t>
  </si>
  <si>
    <t>892766084:eng</t>
  </si>
  <si>
    <t>54413988</t>
  </si>
  <si>
    <t>ocm54413988</t>
  </si>
  <si>
    <t>3102396207W</t>
  </si>
  <si>
    <t>9781584561323</t>
  </si>
  <si>
    <t>793861237</t>
  </si>
  <si>
    <t>Z331.3 C64 1986</t>
  </si>
  <si>
    <t>0                      Z  0331300C  64          1986</t>
  </si>
  <si>
    <t>Irish booksellers and English writers, 1740-1800 / Richard Cargill Cole.</t>
  </si>
  <si>
    <t>Cole, Richard Cargill, 1926-</t>
  </si>
  <si>
    <t>London, England : Mansell Pub. ; Atlantic Highlands, N.J. : Humanities Press International, 1986.</t>
  </si>
  <si>
    <t>4946504:eng</t>
  </si>
  <si>
    <t>12558385</t>
  </si>
  <si>
    <t>ocm12558385</t>
  </si>
  <si>
    <t>3000530255P</t>
  </si>
  <si>
    <t>9780391034327</t>
  </si>
  <si>
    <t>792819210</t>
  </si>
  <si>
    <t>Z331.3 I75 2011</t>
  </si>
  <si>
    <t>0                      Z  0331300I  75          2011</t>
  </si>
  <si>
    <t>The Irish book in English, 1891-2000 / edited by Clare Hutton, co-editor Patrick Walsh.</t>
  </si>
  <si>
    <t>Oxford ; New York : Oxford University Press, 2011.</t>
  </si>
  <si>
    <t>The Oxford history of the Irish book ; v. 5</t>
  </si>
  <si>
    <t>2016-09-27</t>
  </si>
  <si>
    <t>946445607:eng</t>
  </si>
  <si>
    <t>742004103</t>
  </si>
  <si>
    <t>ocn742004103</t>
  </si>
  <si>
    <t>3103341628H</t>
  </si>
  <si>
    <t>9780199249114</t>
  </si>
  <si>
    <t>794884656</t>
  </si>
  <si>
    <t>The Irish book in English, 1800-1891 / edited by James H. Murphy.</t>
  </si>
  <si>
    <t>Oxford history of the Irish book ; v. 4</t>
  </si>
  <si>
    <t>2013-01-31</t>
  </si>
  <si>
    <t>1017133422:eng</t>
  </si>
  <si>
    <t>755066814</t>
  </si>
  <si>
    <t>ocn755066814</t>
  </si>
  <si>
    <t>3103380819Y</t>
  </si>
  <si>
    <t>9780198187318</t>
  </si>
  <si>
    <t>794893532</t>
  </si>
  <si>
    <t>Z331.3 P75 2006</t>
  </si>
  <si>
    <t>0                      Z  0331300P  75          2006</t>
  </si>
  <si>
    <t>Print culture and intellectual life in Ireland, 1660-1941 : essays in honour of Michael Adams / edited by Martin Fanning &amp; Raymond Gillespie.</t>
  </si>
  <si>
    <t>Dublin : Woodfield, ©2006.</t>
  </si>
  <si>
    <t>2015-11-14</t>
  </si>
  <si>
    <t>809920405:eng</t>
  </si>
  <si>
    <t>64967140</t>
  </si>
  <si>
    <t>ocm64967140</t>
  </si>
  <si>
    <t>3102568612D</t>
  </si>
  <si>
    <t>9781905094004</t>
  </si>
  <si>
    <t>794132041</t>
  </si>
  <si>
    <t>Z340 C56 R46 2013</t>
  </si>
  <si>
    <t>0                      Z  0340000C  56                 R  46          2013</t>
  </si>
  <si>
    <t>Giovanni Battista Ciotti (1562-1627?) : publisher extraordinary at Venice / Dennis E. Rhodes.</t>
  </si>
  <si>
    <t>Rhodes, Dennis E.</t>
  </si>
  <si>
    <t>Venezia : Marcianum Press, ©2013.</t>
  </si>
  <si>
    <t>Anecdota Veneta ; 4</t>
  </si>
  <si>
    <t>1746027043:eng</t>
  </si>
  <si>
    <t>812249951</t>
  </si>
  <si>
    <t>ocn812249951</t>
  </si>
  <si>
    <t>3103553767I</t>
  </si>
  <si>
    <t>9788865121450</t>
  </si>
  <si>
    <t>794930754</t>
  </si>
  <si>
    <t>Z340 C666 2009</t>
  </si>
  <si>
    <t>0                      Z  0340000C  666         2009</t>
  </si>
  <si>
    <t>Nel mondo dei libri : intellettuali, editoria e biblioteche nel Novecento italiano / a cura di Giovanni Di Domenico e Marco Santoro.</t>
  </si>
  <si>
    <t>Convegno "Nel mondo dei libri, intellettuali, editoria e biblioteche nel Novecento italiano" (2009 : Urbino, Italy)</t>
  </si>
  <si>
    <t>Roma : Vecchiarelli, 2010.</t>
  </si>
  <si>
    <t>Miscellanea ; 10</t>
  </si>
  <si>
    <t>796659505:ita</t>
  </si>
  <si>
    <t>670470391</t>
  </si>
  <si>
    <t>ocn670470391</t>
  </si>
  <si>
    <t>31035567794</t>
  </si>
  <si>
    <t>9788882472740</t>
  </si>
  <si>
    <t>794847803</t>
  </si>
  <si>
    <t>Z340 .D428 2019</t>
  </si>
  <si>
    <t>0                      Z  0340000D  428         2019</t>
  </si>
  <si>
    <t>Libri in guerra : editoria e letture per i soldati nel primo Novecento / Loretta De Franceschi.</t>
  </si>
  <si>
    <t>De Franceschi, Loretta, author.</t>
  </si>
  <si>
    <t>Milano : Mimesis, [2019]</t>
  </si>
  <si>
    <t>Libricolae ; VI</t>
  </si>
  <si>
    <t>2019-10-23</t>
  </si>
  <si>
    <t>8994446050:ita</t>
  </si>
  <si>
    <t>1086297211</t>
  </si>
  <si>
    <t>on1086297211</t>
  </si>
  <si>
    <t>31037865865</t>
  </si>
  <si>
    <t>9788857551074</t>
  </si>
  <si>
    <t>795078847</t>
  </si>
  <si>
    <t>Z340 M38 D3 2014</t>
  </si>
  <si>
    <t>0                      Z  0340000M  38                 D  3           2014</t>
  </si>
  <si>
    <t>Da Lucca a New York a Lugano : Giuseppe Martini libraio tra Otto e Novecento : atti del convegno di Lucca, 17-18 ottobre 2014 / a cura di Edoardo Barbieri.</t>
  </si>
  <si>
    <t>Firenze : Leo S. Olschki editore, MMXVII.</t>
  </si>
  <si>
    <t>Biblioteca di bibliografia = Documents and studies in book and library history, 0067-7418 ; 206</t>
  </si>
  <si>
    <t>4729112787:ita</t>
  </si>
  <si>
    <t>1009068984</t>
  </si>
  <si>
    <t>on1009068984</t>
  </si>
  <si>
    <t>3103766518Y</t>
  </si>
  <si>
    <t>9788822265418</t>
  </si>
  <si>
    <t>795045065</t>
  </si>
  <si>
    <t>Z340 N857 2013</t>
  </si>
  <si>
    <t>0                      Z  0340000N  857         2013</t>
  </si>
  <si>
    <t>The book trade in the Italian Renaissance / by Angela Nuovo ; translated by Lydia G. Cochrane.</t>
  </si>
  <si>
    <t>Nuovo, Angela.</t>
  </si>
  <si>
    <t>Library of the written word ; volume 26</t>
  </si>
  <si>
    <t>350629966:eng</t>
  </si>
  <si>
    <t>842350532</t>
  </si>
  <si>
    <t>ocn842350532</t>
  </si>
  <si>
    <t>3103528910H</t>
  </si>
  <si>
    <t>9789004245471</t>
  </si>
  <si>
    <t>794947483</t>
  </si>
  <si>
    <t>Z340 P75 2011</t>
  </si>
  <si>
    <t>0                      Z  0340000P  75          2011</t>
  </si>
  <si>
    <t>The printed media in fin-de-siècle Italy : publishers, writers, and readers / edited by Ann Hallamore Caesar, Gabriella Romani, and Jennifer Burns.</t>
  </si>
  <si>
    <t>London : Legenda, 2011.</t>
  </si>
  <si>
    <t>Italian perspectives ; 21</t>
  </si>
  <si>
    <t>899461710:eng</t>
  </si>
  <si>
    <t>761901649</t>
  </si>
  <si>
    <t>ocn761901649</t>
  </si>
  <si>
    <t>3103556736C</t>
  </si>
  <si>
    <t>9781906540746</t>
  </si>
  <si>
    <t>794899773</t>
  </si>
  <si>
    <t>Z340 R53 1999</t>
  </si>
  <si>
    <t>0                      Z  0340000R  53          1999</t>
  </si>
  <si>
    <t>Printing, writers, and readers in Renaissance Italy / Brian Richardson.</t>
  </si>
  <si>
    <t>Richardson, Brian (Brian F.)</t>
  </si>
  <si>
    <t>Cambridge ; New York : Cambridge University Press, 1999.</t>
  </si>
  <si>
    <t>25774193:eng</t>
  </si>
  <si>
    <t>39523304</t>
  </si>
  <si>
    <t>ocm39523304</t>
  </si>
  <si>
    <t>31020319438</t>
  </si>
  <si>
    <t>9780521571616</t>
  </si>
  <si>
    <t>793547779</t>
  </si>
  <si>
    <t>Z340 R628 2007</t>
  </si>
  <si>
    <t>0                      Z  0340000R  628         2007</t>
  </si>
  <si>
    <t>Publishing women : salons, the presses, and the Counter-Reformation in sixteenth-century Italy / Diana Robin.</t>
  </si>
  <si>
    <t>Robin, Diana Maury.</t>
  </si>
  <si>
    <t>Chicago : University of Chicago Press, 2007.</t>
  </si>
  <si>
    <t>Women in culture and society</t>
  </si>
  <si>
    <t>2016-02-17</t>
  </si>
  <si>
    <t>478769650:eng</t>
  </si>
  <si>
    <t>71945533</t>
  </si>
  <si>
    <t>ocm71945533</t>
  </si>
  <si>
    <t>3102595755$</t>
  </si>
  <si>
    <t>9780226721569</t>
  </si>
  <si>
    <t>794169437</t>
  </si>
  <si>
    <t>Z340 V53 2012</t>
  </si>
  <si>
    <t>0                      Z  0340000V  53          2012</t>
  </si>
  <si>
    <t>Viaggiare con i libri : saggi su editoria e viaggi nell'Ottocento / a cura di Gianfranco Tortorelli.</t>
  </si>
  <si>
    <t>Bologna : Pendragon, ©2012.</t>
  </si>
  <si>
    <t>Le sfere</t>
  </si>
  <si>
    <t>1090957164:ita</t>
  </si>
  <si>
    <t>781673101</t>
  </si>
  <si>
    <t>ocn781673101</t>
  </si>
  <si>
    <t>31035567714</t>
  </si>
  <si>
    <t>9788865981030</t>
  </si>
  <si>
    <t>794912982</t>
  </si>
  <si>
    <t>Z341 R86 2010</t>
  </si>
  <si>
    <t>0                      Z  0341000R  86          2010</t>
  </si>
  <si>
    <t>Publishing translations in Fascist Italy / Christopher Rundle.</t>
  </si>
  <si>
    <t>Rundle, Christopher, 1963-</t>
  </si>
  <si>
    <t>New York : Peter Lang, 2010.</t>
  </si>
  <si>
    <t>Italian modernities ; v. 6</t>
  </si>
  <si>
    <t>341919151:eng</t>
  </si>
  <si>
    <t>457010481</t>
  </si>
  <si>
    <t>ocn457010481</t>
  </si>
  <si>
    <t>3103233748D</t>
  </si>
  <si>
    <t>9783039118311</t>
  </si>
  <si>
    <t>794789504</t>
  </si>
  <si>
    <t>Z345.3 P37 T67 2013</t>
  </si>
  <si>
    <t>0                      Z  0345300P  37                 T  67          2013</t>
  </si>
  <si>
    <t>Il torchio e l'architetto : opere a stampa e biblioteche di architettura nei ducati di Parma e Piacenza in età farnesiana, 1545-1731 / a cura di Carlo Mambriani.</t>
  </si>
  <si>
    <t>Roma : Edizioni Quasar, [2013]</t>
  </si>
  <si>
    <t>1784248667:ita</t>
  </si>
  <si>
    <t>864824596</t>
  </si>
  <si>
    <t>ocn864824596</t>
  </si>
  <si>
    <t>3103126411R</t>
  </si>
  <si>
    <t>9788871405278</t>
  </si>
  <si>
    <t>794962545</t>
  </si>
  <si>
    <t>Z345.3 V4 C37 2016</t>
  </si>
  <si>
    <t>0                      Z  0345300V  4                  C  37          2016</t>
  </si>
  <si>
    <t>L'industria del libro a Venezia durante la Restaurazione : (1815-1848) / Marco Callegari.</t>
  </si>
  <si>
    <t>Callegari, Marco, author.</t>
  </si>
  <si>
    <t>Biblioteca di bibliografia, 0067-7418 ; CC</t>
  </si>
  <si>
    <t>3868410869:ita</t>
  </si>
  <si>
    <t>958364037</t>
  </si>
  <si>
    <t>ocn958364037</t>
  </si>
  <si>
    <t>3103687550S</t>
  </si>
  <si>
    <t>9788822264503</t>
  </si>
  <si>
    <t>795021715</t>
  </si>
  <si>
    <t>Z345.6 B65 B45 2013</t>
  </si>
  <si>
    <t>0                      Z  0345600B  65                 B  45          2013</t>
  </si>
  <si>
    <t>I mestieri del libro nella Bologna del Settecento / Alberto Beltramo, Maria Gioia Tavoni.</t>
  </si>
  <si>
    <t>Beltramo, Alberto, author.</t>
  </si>
  <si>
    <t>Sala Bolognese Bo : Arnaldo Forni editore, 2013.</t>
  </si>
  <si>
    <t>Bibliografia e storie del libro e della stampa. Documenta ; 2</t>
  </si>
  <si>
    <t>1415548162:ita</t>
  </si>
  <si>
    <t>861183874</t>
  </si>
  <si>
    <t>ocn861183874</t>
  </si>
  <si>
    <t>31035567528</t>
  </si>
  <si>
    <t>9788827130841</t>
  </si>
  <si>
    <t>794958836</t>
  </si>
  <si>
    <t>Z345.6 V45 C37 2012</t>
  </si>
  <si>
    <t>0                      Z  0345600V  45                 C  37          2012</t>
  </si>
  <si>
    <t>"Con libri alla mano" : l'editoria di larga diffusione a Venezia tra Sei e Settecento / Laura Carnelos.</t>
  </si>
  <si>
    <t>Carnelos, Laura.</t>
  </si>
  <si>
    <t>Milano : UNICOPLI, 2012.</t>
  </si>
  <si>
    <t>1a ed.</t>
  </si>
  <si>
    <t>L'Europa del libro ; 9</t>
  </si>
  <si>
    <t>1750084909:ita</t>
  </si>
  <si>
    <t>830362560</t>
  </si>
  <si>
    <t>ocn830362560</t>
  </si>
  <si>
    <t>3103662859Z</t>
  </si>
  <si>
    <t>9788840015743</t>
  </si>
  <si>
    <t>794943335</t>
  </si>
  <si>
    <t>Z345.6 V45 K55 2018</t>
  </si>
  <si>
    <t>0                      Z  0345600V  45                 K  55          2018</t>
  </si>
  <si>
    <t>La Venise des livres : 1469-1530 / Catherine Kikuchi ; préface d'Elisabeth Crouzet-Pavan.</t>
  </si>
  <si>
    <t>Kikuchi, Catherine, 1990-</t>
  </si>
  <si>
    <t>Ceyzérieu : Champ Vallon, 2018.</t>
  </si>
  <si>
    <t>Epoques, 0298-4792</t>
  </si>
  <si>
    <t>5217233558:fre</t>
  </si>
  <si>
    <t>1039698932</t>
  </si>
  <si>
    <t>on1039698932</t>
  </si>
  <si>
    <t>3103784214F</t>
  </si>
  <si>
    <t>9791026707028</t>
  </si>
  <si>
    <t>795058880</t>
  </si>
  <si>
    <t>Z345.6 V45 S25 2014</t>
  </si>
  <si>
    <t>0                      Z  0345600V  45                 S  25          2014</t>
  </si>
  <si>
    <t>Ephemeral city : cheap print and urban culture in Renaissance Venice / Rosa Salzberg.</t>
  </si>
  <si>
    <t>Salzberg, Rosa, author.</t>
  </si>
  <si>
    <t>Manchester : Manchester University Press, 2014.</t>
  </si>
  <si>
    <t>1919619680:eng</t>
  </si>
  <si>
    <t>881859132</t>
  </si>
  <si>
    <t>ocn881859132</t>
  </si>
  <si>
    <t>3103581552J</t>
  </si>
  <si>
    <t>9780719087035</t>
  </si>
  <si>
    <t>794974917</t>
  </si>
  <si>
    <t>Z345.6 V46 D54 1988</t>
  </si>
  <si>
    <t>0                      Z  0345600V  46                 D  54          1988</t>
  </si>
  <si>
    <t>Il mestiere di scrivere : lavoro intellettuale e mercato librario a Venezia nel Cinquecento / Claudia Di Filippo Bareggi.</t>
  </si>
  <si>
    <t>Di Filippo Bareggi, Claudia.</t>
  </si>
  <si>
    <t>Roma : Bulzoni, ©1988.</t>
  </si>
  <si>
    <t>Biblioteca del Cinquecento ; 43</t>
  </si>
  <si>
    <t>2019-02-27</t>
  </si>
  <si>
    <t>809121294:ita</t>
  </si>
  <si>
    <t>20751294</t>
  </si>
  <si>
    <t>ocm20751294</t>
  </si>
  <si>
    <t>3101009859K</t>
  </si>
  <si>
    <t>793097423</t>
  </si>
  <si>
    <t>Z355.6 T68 V36 2000</t>
  </si>
  <si>
    <t>0                      Z  0355600T  68                 V  36          2000</t>
  </si>
  <si>
    <t>De fin or et d'azur : les commanditaires de livres et le métier de l'enluminure à Tournai à la fin du Moyen Age (XIVe-XVe siècles) / Dominique Vanwijnsberghe.</t>
  </si>
  <si>
    <t>Vanwijnsberghe, Dominique.</t>
  </si>
  <si>
    <t>Leuven, Belgium : Peeters, 2001.</t>
  </si>
  <si>
    <t>Corpus of illuminated manuscripts ; vol. 10</t>
  </si>
  <si>
    <t>477869377:fre</t>
  </si>
  <si>
    <t>44541792</t>
  </si>
  <si>
    <t>ocm44541792</t>
  </si>
  <si>
    <t>3103531086G</t>
  </si>
  <si>
    <t>9789042908833</t>
  </si>
  <si>
    <t>793652695</t>
  </si>
  <si>
    <t>Z358 A32 B35 2013</t>
  </si>
  <si>
    <t>0                      Z  0358000A  32                 B  35          2013</t>
  </si>
  <si>
    <t>Publishing policies and family strategies : the fortunes of a Dutch publishing house in the 18th and early 19th centuries / by Arianne Baggerman.</t>
  </si>
  <si>
    <t>Baggerman, Arianne.</t>
  </si>
  <si>
    <t>Library of the written word, 1874-4834 ; volume 32. The handpress world ; volume 24</t>
  </si>
  <si>
    <t>3771917918:eng</t>
  </si>
  <si>
    <t>858080477</t>
  </si>
  <si>
    <t>ocn858080477</t>
  </si>
  <si>
    <t>3103505611B</t>
  </si>
  <si>
    <t>9789004257948</t>
  </si>
  <si>
    <t>794955794</t>
  </si>
  <si>
    <t>Z359 E34 2010</t>
  </si>
  <si>
    <t>0                      Z  0359000E  34          2010</t>
  </si>
  <si>
    <t>International publishing in the Netherlands, 1933-1945 : German exile, scholarly expansion, war-time clandestinity / by Hendrik Edelman.</t>
  </si>
  <si>
    <t>Edelman, Hendrik.</t>
  </si>
  <si>
    <t>Library of the written word, 1874-4834 ; v. 13</t>
  </si>
  <si>
    <t>796556910:eng</t>
  </si>
  <si>
    <t>651486834</t>
  </si>
  <si>
    <t>ocn651486834</t>
  </si>
  <si>
    <t>3103236172D</t>
  </si>
  <si>
    <t>9789004187771</t>
  </si>
  <si>
    <t>794832956</t>
  </si>
  <si>
    <t>Z366 G63</t>
  </si>
  <si>
    <t>0                      Z  0366000G  63</t>
  </si>
  <si>
    <t>Publishing in the U.S.S.R.</t>
  </si>
  <si>
    <t>Gorokhoff, Boris Ivanovitch, 1917-</t>
  </si>
  <si>
    <t>Indiana University publications. Slavic and East European series ; v. 19</t>
  </si>
  <si>
    <t>2015-10-20</t>
  </si>
  <si>
    <t>118211394:eng</t>
  </si>
  <si>
    <t>14606013</t>
  </si>
  <si>
    <t>ocm14606013</t>
  </si>
  <si>
    <t>3000513191M</t>
  </si>
  <si>
    <t>792895437</t>
  </si>
  <si>
    <t>Z366 L39 1988</t>
  </si>
  <si>
    <t>0                      Z  0366000L  39          1988</t>
  </si>
  <si>
    <t>Knigoizdanie i literaturnyĭ prot︠s︡ess / N.P. Lavrov.</t>
  </si>
  <si>
    <t>Lavrov, N. P.</t>
  </si>
  <si>
    <t>Moskva : Kniga, 1988.</t>
  </si>
  <si>
    <t>18624415:rus</t>
  </si>
  <si>
    <t>19113893</t>
  </si>
  <si>
    <t>ocm19113893</t>
  </si>
  <si>
    <t>3100419001K</t>
  </si>
  <si>
    <t>9785212000024</t>
  </si>
  <si>
    <t>793047287</t>
  </si>
  <si>
    <t>Z366 N39</t>
  </si>
  <si>
    <t>0                      Z  0366000N  39</t>
  </si>
  <si>
    <t>Ocherki istorii sovetskogo knigoizdatelʹstva.</t>
  </si>
  <si>
    <t>Nazarov, A. I. (Alekseĭ Ivanovich)</t>
  </si>
  <si>
    <t>Moskva : Iskusstvo, 1952.</t>
  </si>
  <si>
    <t>1952</t>
  </si>
  <si>
    <t>3769139487:rus</t>
  </si>
  <si>
    <t>8673721</t>
  </si>
  <si>
    <t>ocm08673721</t>
  </si>
  <si>
    <t>3000787553C</t>
  </si>
  <si>
    <t>792634573</t>
  </si>
  <si>
    <t>Z366 W34</t>
  </si>
  <si>
    <t>0                      Z  0366000W  34</t>
  </si>
  <si>
    <t>Soviet book publishing policy / Gregory Walker.</t>
  </si>
  <si>
    <t>Walker, G. P. M. (Gregory Piers Mountford)</t>
  </si>
  <si>
    <t>Cambridge ; New York : Cambridge University Press, 1978.</t>
  </si>
  <si>
    <t>Soviet and East European studies</t>
  </si>
  <si>
    <t>319713622:eng</t>
  </si>
  <si>
    <t>3275519</t>
  </si>
  <si>
    <t>ocm03275519</t>
  </si>
  <si>
    <t>3000848476G</t>
  </si>
  <si>
    <t>9780521218436</t>
  </si>
  <si>
    <t>792237939</t>
  </si>
  <si>
    <t>Z368 B65 1948</t>
  </si>
  <si>
    <t>0                      Z  0368000B  65          1948</t>
  </si>
  <si>
    <t>Book publishing in Soviet Russia; an official survey based upon the data of the All-Union Book Department. Tr. by Helen Lambert Shadick.</t>
  </si>
  <si>
    <t>[Washington] Public Affairs Press [1948]</t>
  </si>
  <si>
    <t>1948</t>
  </si>
  <si>
    <t>Current Soviet thought</t>
  </si>
  <si>
    <t>2099897:eng</t>
  </si>
  <si>
    <t>1211206</t>
  </si>
  <si>
    <t>ocm01211206</t>
  </si>
  <si>
    <t>3000787544D</t>
  </si>
  <si>
    <t>791574481</t>
  </si>
  <si>
    <t>Z368 K4</t>
  </si>
  <si>
    <t>0                      Z  0368000K  4</t>
  </si>
  <si>
    <t>Khrestomatii︠a︡ po istorii russkoĭ knigi, 1564-1917 / sostavitelʹ L.A. Vezirova ; redaktor A.D. Ėĭkhengolʹt︠s︡.</t>
  </si>
  <si>
    <t>Moskva : Kniga, 1965.</t>
  </si>
  <si>
    <t>3901674790:rus</t>
  </si>
  <si>
    <t>4115726</t>
  </si>
  <si>
    <t>ocm04115726</t>
  </si>
  <si>
    <t>30006487899</t>
  </si>
  <si>
    <t>792322791</t>
  </si>
  <si>
    <t>Z368 M27 1985</t>
  </si>
  <si>
    <t>0                      Z  0368000M  27          1985</t>
  </si>
  <si>
    <t>Publishing, printing, and the origins of intellectual life in Russia, 1700-1800 / by Gary Marker.</t>
  </si>
  <si>
    <t>Marker, Gary, 1948-</t>
  </si>
  <si>
    <t>Princeton, N.J. : Princeton University Press, ©1985.</t>
  </si>
  <si>
    <t>2016-01-25</t>
  </si>
  <si>
    <t>4242595:eng</t>
  </si>
  <si>
    <t>11399890</t>
  </si>
  <si>
    <t>ocm11399890</t>
  </si>
  <si>
    <t>3102721886T</t>
  </si>
  <si>
    <t>9780691054414</t>
  </si>
  <si>
    <t>792772175</t>
  </si>
  <si>
    <t>Z368 S9 A313 2012</t>
  </si>
  <si>
    <t>0                      Z  0368000S  9                  A  313         2012</t>
  </si>
  <si>
    <t>My life for the book : the memoirs of a Russian publisher / Ivan D. Sytin ; translated, edited, and annotated by Charles A. Ruud and Marina E. Soroka.</t>
  </si>
  <si>
    <t>Sytin, Ivan Dmitrievich, 1851-1934.</t>
  </si>
  <si>
    <t>Montreal ; Ithaca [N.Y.] : McGill-Queen's University Press, ©2012.</t>
  </si>
  <si>
    <t>2014-09-22</t>
  </si>
  <si>
    <t>4915865918:eng</t>
  </si>
  <si>
    <t>764385441</t>
  </si>
  <si>
    <t>ocn764385441</t>
  </si>
  <si>
    <t>3103402572K</t>
  </si>
  <si>
    <t>9780773540248</t>
  </si>
  <si>
    <t>794900444</t>
  </si>
  <si>
    <t>Z375 L3 F73 2014</t>
  </si>
  <si>
    <t>0                      Z  0375000L  3                  F  73          2014</t>
  </si>
  <si>
    <t>Publishing and book design in Latvia 1919-1940 : a re-discovery / James H. Fraser.</t>
  </si>
  <si>
    <t>Fraser, James H. (James Howard), 1934-2013, author.</t>
  </si>
  <si>
    <t>Rīga : Neputns, [2014]</t>
  </si>
  <si>
    <t>1853731277:eng</t>
  </si>
  <si>
    <t>875307401</t>
  </si>
  <si>
    <t>ocn875307401</t>
  </si>
  <si>
    <t>31036291124</t>
  </si>
  <si>
    <t>9789934512186</t>
  </si>
  <si>
    <t>794969392</t>
  </si>
  <si>
    <t>Z394 D34 2011</t>
  </si>
  <si>
    <t>0                      Z  0394000D  34          2011</t>
  </si>
  <si>
    <t>Books in early modern Norway / by Gina Dahl.</t>
  </si>
  <si>
    <t>Dahl, Gina.</t>
  </si>
  <si>
    <t>Library of the written word, 1874-4834 ; v. 17. The handpress world ; v. 11</t>
  </si>
  <si>
    <t>2015-02-28</t>
  </si>
  <si>
    <t>902956275:eng</t>
  </si>
  <si>
    <t>726695788</t>
  </si>
  <si>
    <t>ocn726695788</t>
  </si>
  <si>
    <t>3103530636C</t>
  </si>
  <si>
    <t>9789004207202</t>
  </si>
  <si>
    <t>794877304</t>
  </si>
  <si>
    <t>Z402 L8613 2015</t>
  </si>
  <si>
    <t>0                      Z  0402000L  8613        2015</t>
  </si>
  <si>
    <t>Bound to be modern : publishers' cloth bindings and the material culture of the book, 1840-1914 / Kristina Lundblad ; translated by Alan Crozier.</t>
  </si>
  <si>
    <t>Lundblad, Kristina, 1965- author.</t>
  </si>
  <si>
    <t>New Castle, DE : Oak Knoll Press, 2015.</t>
  </si>
  <si>
    <t>First English language edition.</t>
  </si>
  <si>
    <t>2019-08-23</t>
  </si>
  <si>
    <t>2501966035:eng</t>
  </si>
  <si>
    <t>907680824</t>
  </si>
  <si>
    <t>ocn907680824</t>
  </si>
  <si>
    <t>3103656133U</t>
  </si>
  <si>
    <t>9781584563136</t>
  </si>
  <si>
    <t>794993818</t>
  </si>
  <si>
    <t>Z412 M385 2017</t>
  </si>
  <si>
    <t>0                      Z  0412000M  385         2017</t>
  </si>
  <si>
    <t>A maturing market : the Iberian book world in the first half of the seventeenth century / edited by Alexander S. Wilkinson, Alejandra Ulla Lorenzo.</t>
  </si>
  <si>
    <t>Library of the written word, 1874-4834 ; volume 59</t>
  </si>
  <si>
    <t>4411167390:eng</t>
  </si>
  <si>
    <t>987282781</t>
  </si>
  <si>
    <t>ocn987282781</t>
  </si>
  <si>
    <t>3103739008N</t>
  </si>
  <si>
    <t>9789004340374</t>
  </si>
  <si>
    <t>795035975</t>
  </si>
  <si>
    <t>Z412 R4 T4 1984</t>
  </si>
  <si>
    <t>0                      Z  0412000R  4                  T  4           1984</t>
  </si>
  <si>
    <t>The Royal Company of Printers and Booksellers of Spain, 1763-1794 / by Diana M. Thomas.</t>
  </si>
  <si>
    <t>Thomas, Diana M.</t>
  </si>
  <si>
    <t>Troy, N.Y. : Whitston Pub. Co., 1984.</t>
  </si>
  <si>
    <t>4092607:eng</t>
  </si>
  <si>
    <t>11341707</t>
  </si>
  <si>
    <t>ocm11341707</t>
  </si>
  <si>
    <t>3000364054B</t>
  </si>
  <si>
    <t>9780878752379</t>
  </si>
  <si>
    <t>792769223</t>
  </si>
  <si>
    <t>Z413 C45</t>
  </si>
  <si>
    <t>0                      Z  0413000C  45</t>
  </si>
  <si>
    <t>Lectura y lectores en la España de los siglos XVI y XVII / Maxime Chevalier.</t>
  </si>
  <si>
    <t>Chevalier, Maxime.</t>
  </si>
  <si>
    <t>Madrid : Turner, 1976.</t>
  </si>
  <si>
    <t>Ediciones Turner ; 29</t>
  </si>
  <si>
    <t>2015-01-23</t>
  </si>
  <si>
    <t>15045124:spa</t>
  </si>
  <si>
    <t>4778333</t>
  </si>
  <si>
    <t>ocm04778333</t>
  </si>
  <si>
    <t>3102741788M</t>
  </si>
  <si>
    <t>9788485137367</t>
  </si>
  <si>
    <t>792382661</t>
  </si>
  <si>
    <t>Z428 K7</t>
  </si>
  <si>
    <t>0                      Z  0428000K  7</t>
  </si>
  <si>
    <t>Publishing in Switzerland; the press and the book trade [by] Linda S. Kropf.</t>
  </si>
  <si>
    <t>Kropf, Linda Stoddart.</t>
  </si>
  <si>
    <t>Littleton, Colo., Libraries Unlimited, 1973.</t>
  </si>
  <si>
    <t>Research studies in library science, no. 11</t>
  </si>
  <si>
    <t>2015-03-06</t>
  </si>
  <si>
    <t>288289856:eng</t>
  </si>
  <si>
    <t>707547</t>
  </si>
  <si>
    <t>ocm00707547</t>
  </si>
  <si>
    <t>30008532952</t>
  </si>
  <si>
    <t>9780872870727</t>
  </si>
  <si>
    <t>791451320</t>
  </si>
  <si>
    <t>Z453 G58 M85 2015</t>
  </si>
  <si>
    <t>0                      Z  0453000G  58                 M  85          2015</t>
  </si>
  <si>
    <t>Gita Press and the making of Hindu India / Akshaya Mukul.</t>
  </si>
  <si>
    <t>Mukul, Akshaya, author.</t>
  </si>
  <si>
    <t>Noida, India : HarperCollins Publishers India, 2015.</t>
  </si>
  <si>
    <t>2016-01-28</t>
  </si>
  <si>
    <t>2894835620:eng</t>
  </si>
  <si>
    <t>919068636</t>
  </si>
  <si>
    <t>ocn919068636</t>
  </si>
  <si>
    <t>31036233825</t>
  </si>
  <si>
    <t>9789351772309</t>
  </si>
  <si>
    <t>795001482</t>
  </si>
  <si>
    <t>Z453 N38 S83 2007</t>
  </si>
  <si>
    <t>0                      Z  0453000N  38                 S  83          2007</t>
  </si>
  <si>
    <t>An empire of books : the Naval Kishore Press and the diffusion of the printed word in colonial India / Ulrike Stark.</t>
  </si>
  <si>
    <t>Stark, Ulrike, Dr. phil.</t>
  </si>
  <si>
    <t>Ranikhet : Permanent Black : Distributed by Orient Longman, 2007.</t>
  </si>
  <si>
    <t>2019-01-09</t>
  </si>
  <si>
    <t>323078046:eng</t>
  </si>
  <si>
    <t>181072796</t>
  </si>
  <si>
    <t>ocn181072796</t>
  </si>
  <si>
    <t>31030323620</t>
  </si>
  <si>
    <t>9788178241968</t>
  </si>
  <si>
    <t>794281368</t>
  </si>
  <si>
    <t>Z453 O77 2009</t>
  </si>
  <si>
    <t>0                      Z  0453000O  77          2009</t>
  </si>
  <si>
    <t>Print and pleasure : popular literature and entertaining fictions in colonial North India / Francesca Orsini.</t>
  </si>
  <si>
    <t>Orsini, Francesca.</t>
  </si>
  <si>
    <t>Ranikhet : Permanent Black ; Bangalore : Distributed by Orient Blackswan, ©2009.</t>
  </si>
  <si>
    <t>2019-11-06</t>
  </si>
  <si>
    <t>368279717:eng</t>
  </si>
  <si>
    <t>493992645</t>
  </si>
  <si>
    <t>ocn493992645</t>
  </si>
  <si>
    <t>31033040314</t>
  </si>
  <si>
    <t>9788178242491</t>
  </si>
  <si>
    <t>794801342</t>
  </si>
  <si>
    <t>Z462 P75 2005</t>
  </si>
  <si>
    <t>0                      Z  0462000P  75          2005</t>
  </si>
  <si>
    <t>Printing and book culture in late Imperial China / edited by Cynthia J. Brokaw and Kai-wing Chow.</t>
  </si>
  <si>
    <t>Berkeley : University of California Press, 2005.</t>
  </si>
  <si>
    <t>Studies on China ; 27</t>
  </si>
  <si>
    <t>2017-01-16</t>
  </si>
  <si>
    <t>350906863:eng</t>
  </si>
  <si>
    <t>53932654</t>
  </si>
  <si>
    <t>ocm53932654</t>
  </si>
  <si>
    <t>31025464170</t>
  </si>
  <si>
    <t>9780520231269</t>
  </si>
  <si>
    <t>793853381</t>
  </si>
  <si>
    <t>Z462 R53 2006</t>
  </si>
  <si>
    <t>0                      Z  0462000R  53          2006</t>
  </si>
  <si>
    <t>Riben xue ren Zhongguo fang shu ji / Neiteng Hunan, Changze Guijuye deng zhu ; Qian Wanyue, Song Yan ji yi.</t>
  </si>
  <si>
    <t>Beijing shi : Zhonghua shu ju, 2006.</t>
  </si>
  <si>
    <t>Beijing di 1 ban.</t>
  </si>
  <si>
    <t>2016-06-28</t>
  </si>
  <si>
    <t>182668134:chi</t>
  </si>
  <si>
    <t>68556537</t>
  </si>
  <si>
    <t>ocm68556537</t>
  </si>
  <si>
    <t>31033336606</t>
  </si>
  <si>
    <t>9787101049046</t>
  </si>
  <si>
    <t>794143406</t>
  </si>
  <si>
    <t>Z462.3 F76 2010</t>
  </si>
  <si>
    <t>0                      Z  0462300F  76          2010</t>
  </si>
  <si>
    <t>From woodblocks to the Internet : Chinese publishing and print culture in transition, circa 1800 to 2008 / edited by Cynthia Brokaw and Christopher A. Reed.</t>
  </si>
  <si>
    <t>Sinica Leidensia, 0169-9563 ; v. 97</t>
  </si>
  <si>
    <t>796627629:eng</t>
  </si>
  <si>
    <t>614983435</t>
  </si>
  <si>
    <t>ocn614983435</t>
  </si>
  <si>
    <t>3103383082W</t>
  </si>
  <si>
    <t>9789004185272</t>
  </si>
  <si>
    <t>794822650</t>
  </si>
  <si>
    <t>Z462.3 H66 A3 2003</t>
  </si>
  <si>
    <t>0                      Z  0462300H  66                 A  3           2003</t>
  </si>
  <si>
    <t>Wo de fei zheng chang sheng huo = My abnormal life as a publisher / [Hong Huang zhu].</t>
  </si>
  <si>
    <t>Hong, Huang, 1961-</t>
  </si>
  <si>
    <t>Haikou Shi : Hainan chu ban she, 2003.</t>
  </si>
  <si>
    <t>"Zhongguo bai ling nü xing feng cai ji shi" cong shu</t>
  </si>
  <si>
    <t>438009827:chi</t>
  </si>
  <si>
    <t>52639755</t>
  </si>
  <si>
    <t>ocm52639755</t>
  </si>
  <si>
    <t>31027854395</t>
  </si>
  <si>
    <t>9787544307376</t>
  </si>
  <si>
    <t>793811611</t>
  </si>
  <si>
    <t>Z462.3 I67 2015</t>
  </si>
  <si>
    <t>0                      Z  0462300I  67          2015</t>
  </si>
  <si>
    <t>Imprimer sans profit? : le livre non commercial dans la Chine impériale = Non commercial books in Imperial China / textes édités par Michela Bussotti &amp; Jean-Pierre Drège.</t>
  </si>
  <si>
    <t>Genève : Librairie Droz S.A., [2015]</t>
  </si>
  <si>
    <t>École pratique des hautes études. Sciences historiques et philologiques ; II</t>
  </si>
  <si>
    <t>2763682399:fre</t>
  </si>
  <si>
    <t>925300037</t>
  </si>
  <si>
    <t>ocn925300037</t>
  </si>
  <si>
    <t>3103623401R</t>
  </si>
  <si>
    <t>9782600013765</t>
  </si>
  <si>
    <t>795004920</t>
  </si>
  <si>
    <t>Z462.3 T73 2016</t>
  </si>
  <si>
    <t>0                      Z  0462300T  73          2016</t>
  </si>
  <si>
    <t>Transforming book culture in China, 1600-2016 / edited by Daria Berg and Giorgio Strafella.</t>
  </si>
  <si>
    <t>Wiesbaden : Harrassowitz Verlag, [2016]</t>
  </si>
  <si>
    <t>Kodex--Jahrbuch der Internationalen Buchwissenschaftlichen Gesellschaft, 2193-4983 ; 6.2016</t>
  </si>
  <si>
    <t>2018-05-15</t>
  </si>
  <si>
    <t>4026324019:eng</t>
  </si>
  <si>
    <t>975273266</t>
  </si>
  <si>
    <t>ocn975273266</t>
  </si>
  <si>
    <t>3103701551N</t>
  </si>
  <si>
    <t>9783447107280</t>
  </si>
  <si>
    <t>795030076</t>
  </si>
  <si>
    <t>Z462.3 Y364 2010</t>
  </si>
  <si>
    <t>0                      Z  0462300Y  364         2010</t>
  </si>
  <si>
    <t>Zhongguo shu ye / Yang Hu, Xiao Yang zhu.</t>
  </si>
  <si>
    <t>Beijing : Wu zhou chuan bo chu ban she, 2010.</t>
  </si>
  <si>
    <t>Ren wen Zhongguo shu xi. Di 2 ji.</t>
  </si>
  <si>
    <t>2011-10-04</t>
  </si>
  <si>
    <t>10178137585:chi</t>
  </si>
  <si>
    <t>697772805</t>
  </si>
  <si>
    <t>ocn697772805</t>
  </si>
  <si>
    <t>3103329709X</t>
  </si>
  <si>
    <t>9787508513140</t>
  </si>
  <si>
    <t>794860264</t>
  </si>
  <si>
    <t>Z462.3 Z46 2008</t>
  </si>
  <si>
    <t>0                      Z  0462300Z  46          2008</t>
  </si>
  <si>
    <t>Zhongguo chu ban tong shi / zong gu wen Shi Zongyuan, Liu Binjie ; [Xiao Dongfa and others].</t>
  </si>
  <si>
    <t>Beijing : Zhongguo shu ji chu ban she, 2008.</t>
  </si>
  <si>
    <t>866284369:chi</t>
  </si>
  <si>
    <t>400645653</t>
  </si>
  <si>
    <t>ocn400645653</t>
  </si>
  <si>
    <t>3103333808C</t>
  </si>
  <si>
    <t>9787506817837</t>
  </si>
  <si>
    <t>794498039</t>
  </si>
  <si>
    <t>3103333806C</t>
  </si>
  <si>
    <t>794498041</t>
  </si>
  <si>
    <t>3103333809C</t>
  </si>
  <si>
    <t>794498038</t>
  </si>
  <si>
    <t>2011-11-15</t>
  </si>
  <si>
    <t>3103333807C</t>
  </si>
  <si>
    <t>794498040</t>
  </si>
  <si>
    <t>3103333805C</t>
  </si>
  <si>
    <t>794498042</t>
  </si>
  <si>
    <t>v.9</t>
  </si>
  <si>
    <t>3103333813A</t>
  </si>
  <si>
    <t>794498034</t>
  </si>
  <si>
    <t>v.8</t>
  </si>
  <si>
    <t>3103333812A</t>
  </si>
  <si>
    <t>794498035</t>
  </si>
  <si>
    <t>v.7</t>
  </si>
  <si>
    <t>3103333811A</t>
  </si>
  <si>
    <t>794498036</t>
  </si>
  <si>
    <t>3103333810A</t>
  </si>
  <si>
    <t>794498037</t>
  </si>
  <si>
    <t>Z462.86 S46 R44 2004b</t>
  </si>
  <si>
    <t>0                      Z  0462860S  46                 R  44          2004b</t>
  </si>
  <si>
    <t>Gutenberg in Shanghai : Chinese print capitalism, 1876-1937 / Christopher A. Reed.</t>
  </si>
  <si>
    <t>Reed, Christopher A. (Christopher Alexander), 1954-</t>
  </si>
  <si>
    <t>Vancouver, BC : UBC Press, 2004.</t>
  </si>
  <si>
    <t>Contemporary Chinese Studies</t>
  </si>
  <si>
    <t>793978696:eng</t>
  </si>
  <si>
    <t>52704669</t>
  </si>
  <si>
    <t>ocm52704669</t>
  </si>
  <si>
    <t>31023670610</t>
  </si>
  <si>
    <t>9780774810401</t>
  </si>
  <si>
    <t>793812173</t>
  </si>
  <si>
    <t>Z462.86 S53 B76 2007</t>
  </si>
  <si>
    <t>0                      Z  0462860S  53                 B  76          2007</t>
  </si>
  <si>
    <t>Commerce in culture : the Sibao book trade in the Qing and Republican periods / Cynthia J. Brokaw.</t>
  </si>
  <si>
    <t>Brokaw, Cynthia Joanne.</t>
  </si>
  <si>
    <t>Cambridge, Mass. : Harvard University Asia Center : Distributed by Harvard University Press, 2007.</t>
  </si>
  <si>
    <t>Harvard East Asian monographs ; 280</t>
  </si>
  <si>
    <t>478648202:eng</t>
  </si>
  <si>
    <t>82470669</t>
  </si>
  <si>
    <t>ocm82470669</t>
  </si>
  <si>
    <t>3102704208O</t>
  </si>
  <si>
    <t>9780674024496</t>
  </si>
  <si>
    <t>794206014</t>
  </si>
  <si>
    <t>Z463 K67 2018</t>
  </si>
  <si>
    <t>0                      Z  0463000K  67          2018</t>
  </si>
  <si>
    <t>Umi o watatta Nihon shoseki : Yōroppa e soshite bakumatsu Meiji no Rondon de / Pītā Kōnitsukī.</t>
  </si>
  <si>
    <t>Kornicki, Peter F. (Peter Francis), author.</t>
  </si>
  <si>
    <t>Tōkyō-to Chiyoda-ku : Heibonsha, 2018.</t>
  </si>
  <si>
    <t>Bukkuretto "shomotsu o hiraku" ; 14</t>
  </si>
  <si>
    <t>5390621635:jpn</t>
  </si>
  <si>
    <t>1048878799</t>
  </si>
  <si>
    <t>on1048878799</t>
  </si>
  <si>
    <t>3103860509L</t>
  </si>
  <si>
    <t>9784582364545</t>
  </si>
  <si>
    <t>795060981</t>
  </si>
  <si>
    <t>Z463.3 N79 1934a</t>
  </si>
  <si>
    <t>0                      Z  0463300N  79          1934a</t>
  </si>
  <si>
    <t>Noma of Japan, the nine magazines of Kodansha; being the autobiography of a Japanese publisher, by Seiji Noma.</t>
  </si>
  <si>
    <t>Noma, Seiji, 1878-1938.</t>
  </si>
  <si>
    <t>New York, Vanguard Press, 1934.</t>
  </si>
  <si>
    <t>2015-07-06</t>
  </si>
  <si>
    <t>3944395284:eng</t>
  </si>
  <si>
    <t>729370</t>
  </si>
  <si>
    <t>ocm00729370</t>
  </si>
  <si>
    <t>3103599749X</t>
  </si>
  <si>
    <t>791456667</t>
  </si>
  <si>
    <t>Z463.4 M33 2010</t>
  </si>
  <si>
    <t>0                      Z  0463400M  33          2010</t>
  </si>
  <si>
    <t>Manufacturing modern Japanese literature : publishing, prizes, and the ascription of literary value / Edward Mack.</t>
  </si>
  <si>
    <t>Mack, Edward Thomas.</t>
  </si>
  <si>
    <t>Durham [NC] : Duke University Press, ©2010.</t>
  </si>
  <si>
    <t>Asia-Pacific : culture, politics, and society</t>
  </si>
  <si>
    <t>796552745:eng</t>
  </si>
  <si>
    <t>529958009</t>
  </si>
  <si>
    <t>ocn529958009</t>
  </si>
  <si>
    <t>3103227686Y</t>
  </si>
  <si>
    <t>9780822346609</t>
  </si>
  <si>
    <t>794809780</t>
  </si>
  <si>
    <t>Z464 K6 K96 2016</t>
  </si>
  <si>
    <t>0                      Z  0464000K  6                  K  96          2016</t>
  </si>
  <si>
    <t>Sinmun'gwan ŭi ch'ulp'an kihoek kwa munhwa undong / Kwŏn Tu-yŏn chiŭm.</t>
  </si>
  <si>
    <t>Kwŏn, Tu-yŏn, author.</t>
  </si>
  <si>
    <t>Sŏul T'ŭkpyŏlsi : Koryŏ Taehakkyo Minjok Munhwa Yŏn'guwŏn, 2016.</t>
  </si>
  <si>
    <t>Minjok munhwa yŏn'gu ch'ongsŏ ; 139</t>
  </si>
  <si>
    <t>4625115027:kor</t>
  </si>
  <si>
    <t>962225815</t>
  </si>
  <si>
    <t>ocn962225815</t>
  </si>
  <si>
    <t>3103741732W</t>
  </si>
  <si>
    <t>9788971551639</t>
  </si>
  <si>
    <t>795024273</t>
  </si>
  <si>
    <t>Z464 K63 K36 2014</t>
  </si>
  <si>
    <t>0                      Z  0464000K  63                 K  36          2014</t>
  </si>
  <si>
    <t>Chosŏn sidae ch'aek kwa chisik ŭi yŏksa : Chosŏn ŭi ch'aek kwa chisik ŭn Chosŏn sahoe wa ŏttŏk'e mannago heŏjyŏssŭlkka? / Kang Myŏng-gwan chiŭm.</t>
  </si>
  <si>
    <t>Kang, Myŏng-gwan, 1958- author.</t>
  </si>
  <si>
    <t>Sŏul-si : Ch'ŏnnyŏn ŭi Sangsang, 2014.</t>
  </si>
  <si>
    <t>2948791623:kor</t>
  </si>
  <si>
    <t>879553176</t>
  </si>
  <si>
    <t>ocn879553176</t>
  </si>
  <si>
    <t>3103861512R</t>
  </si>
  <si>
    <t>9788996870661</t>
  </si>
  <si>
    <t>794972223</t>
  </si>
  <si>
    <t>Z464 S957 2005</t>
  </si>
  <si>
    <t>0                      Z  0464000S  957         2005</t>
  </si>
  <si>
    <t>Printing and publishing in the Middle East : papers from the second Symposium on the History of Printing and Publishing in the Languages and Countries of the Middle East, Bibliothèque nationale de France, Paris, 2-4 November 2005 = contributions au deuxième colloque sur l'histoire de l'imprimé dans les langues et les pays du Moyen Orient, Bibliothèque nationale de France, Paris, 2-4 novembre 2005 / edited by Philip Sadgrove.</t>
  </si>
  <si>
    <t>Symposium on the History of Printing and Publishing in the Languages and Countries of the Middle East (2nd : 2005 : Paris, France)</t>
  </si>
  <si>
    <t>Oxford : Published by Oxford University Press on behalf of the University of Manchester, 2008.</t>
  </si>
  <si>
    <t>Journal of Semitic studies. Supplement ; 24</t>
  </si>
  <si>
    <t>3857489247:eng</t>
  </si>
  <si>
    <t>303646631</t>
  </si>
  <si>
    <t>ocn303646631</t>
  </si>
  <si>
    <t>3102857988I</t>
  </si>
  <si>
    <t>9780199561094</t>
  </si>
  <si>
    <t>794433966</t>
  </si>
  <si>
    <t>Z465 K67 1981</t>
  </si>
  <si>
    <t>0                      Z  0465000K  67          1981</t>
  </si>
  <si>
    <t>The book today in Africa / S.I.A. Kotei.</t>
  </si>
  <si>
    <t>Kotei, S. I. A.</t>
  </si>
  <si>
    <t>Paris : Unesco, 1981.</t>
  </si>
  <si>
    <t>Books about books</t>
  </si>
  <si>
    <t>29398987:eng</t>
  </si>
  <si>
    <t>7860064</t>
  </si>
  <si>
    <t>ocm07860064</t>
  </si>
  <si>
    <t>31017276034</t>
  </si>
  <si>
    <t>9789231018763</t>
  </si>
  <si>
    <t>792583902</t>
  </si>
  <si>
    <t>Z465 P83 1994</t>
  </si>
  <si>
    <t>0                      Z  0465000P  83          1994</t>
  </si>
  <si>
    <t>Publishing co-operation in Afro-Asian region / edited by Bangar N. Reddy.</t>
  </si>
  <si>
    <t>New Delhi : Afro-Asian Book Council : Distributed by Wiley Eastern, ©1994.</t>
  </si>
  <si>
    <t>32221366:eng</t>
  </si>
  <si>
    <t>30513299</t>
  </si>
  <si>
    <t>ocm30513299</t>
  </si>
  <si>
    <t>3101544902B</t>
  </si>
  <si>
    <t>793337507</t>
  </si>
  <si>
    <t>Z465.4 A37 2006</t>
  </si>
  <si>
    <t>0                      Z  0465400A  37          2006</t>
  </si>
  <si>
    <t>African scholarly publishing : essays / edited by Alois Mlambo.</t>
  </si>
  <si>
    <t>Oxford : African Books Collective, 2006.</t>
  </si>
  <si>
    <t>62618322:eng</t>
  </si>
  <si>
    <t>76853176</t>
  </si>
  <si>
    <t>ocm76853176</t>
  </si>
  <si>
    <t>31025701776</t>
  </si>
  <si>
    <t>9781904855835</t>
  </si>
  <si>
    <t>794177839</t>
  </si>
  <si>
    <t>Z465.7 P8</t>
  </si>
  <si>
    <t>0                      Z  0465700P  8</t>
  </si>
  <si>
    <t>Publishing in Africa in the seventies : proceedings of an international conference on publishing and book development held at the University of Ife, Ile-Ife, Nigeria, 16-20 December 1973 / edited by Edwina Oluwasanmi, Eva McLean, and Hans Zell.</t>
  </si>
  <si>
    <t>Ile-Ife : University of Ife Press, 1975.</t>
  </si>
  <si>
    <t>863890368:eng</t>
  </si>
  <si>
    <t>2508023</t>
  </si>
  <si>
    <t>ocm02508023</t>
  </si>
  <si>
    <t>3000848556I</t>
  </si>
  <si>
    <t>792137009</t>
  </si>
  <si>
    <t>Z466 M8 S47 2017</t>
  </si>
  <si>
    <t>0                      Z  0466000M  8                  S  47          2017</t>
  </si>
  <si>
    <t>Le livre à l'épreuve : les failles de la chaîne au Maroc / Kenza Sefrioui.</t>
  </si>
  <si>
    <t>Sefrioui, Kenza, 1979- author.</t>
  </si>
  <si>
    <t>Casablanca : En toutes lettres, [2017].</t>
  </si>
  <si>
    <t>Collection Enquêtes, 2351-9525</t>
  </si>
  <si>
    <t>4207203937:fre</t>
  </si>
  <si>
    <t>1001307317</t>
  </si>
  <si>
    <t>on1001307317</t>
  </si>
  <si>
    <t>3103720803F</t>
  </si>
  <si>
    <t>9789954393871</t>
  </si>
  <si>
    <t>795040488</t>
  </si>
  <si>
    <t>Z471 B45 2009</t>
  </si>
  <si>
    <t>0                      Z  0471000B  45          2009</t>
  </si>
  <si>
    <t>Writing your journal article in 12 weeks : a guide to academic publishing success / Wendy Laura Belcher, Princeton University.</t>
  </si>
  <si>
    <t>Belcher, Wendy Laura, author.</t>
  </si>
  <si>
    <t>Thousand Oaks, California : SAGE Publications, Inc., [2009]</t>
  </si>
  <si>
    <t>2019-08-26</t>
  </si>
  <si>
    <t>855395195:eng</t>
  </si>
  <si>
    <t>233937614</t>
  </si>
  <si>
    <t>ocn233937614</t>
  </si>
  <si>
    <t>3103642258$</t>
  </si>
  <si>
    <t>9781412957014</t>
  </si>
  <si>
    <t>794367474</t>
  </si>
  <si>
    <t>2019-05-21</t>
  </si>
  <si>
    <t>31030523170</t>
  </si>
  <si>
    <t>794367476</t>
  </si>
  <si>
    <t>2019-06-18</t>
  </si>
  <si>
    <t>3103622299Y</t>
  </si>
  <si>
    <t>794367475</t>
  </si>
  <si>
    <t>Z471 B45 2019</t>
  </si>
  <si>
    <t>0                      Z  0471000B  45          2019</t>
  </si>
  <si>
    <t>Writing your journal article in twelve weeks : a guide to academic publishing success / Wendy Laura Belcher.</t>
  </si>
  <si>
    <t>Chicago : The University of Chicago Press, 2019.</t>
  </si>
  <si>
    <t>Chicago guides to writing, editing, and publishing</t>
  </si>
  <si>
    <t>1079401118</t>
  </si>
  <si>
    <t>on1079401118</t>
  </si>
  <si>
    <t>3103808615I</t>
  </si>
  <si>
    <t>9780226499918</t>
  </si>
  <si>
    <t>795068228</t>
  </si>
  <si>
    <t>Z471 G74 1997</t>
  </si>
  <si>
    <t>0                      Z  0471000G  74          1997</t>
  </si>
  <si>
    <t>The book publishing industry / Albert N. Greco.</t>
  </si>
  <si>
    <t>Greco, Albert N., 1945-</t>
  </si>
  <si>
    <t>Boston : Allyn &amp; Bacon, ©1997.</t>
  </si>
  <si>
    <t>960902:eng</t>
  </si>
  <si>
    <t>34412658</t>
  </si>
  <si>
    <t>ocm34412658</t>
  </si>
  <si>
    <t>3103006765O</t>
  </si>
  <si>
    <t>9780205261000</t>
  </si>
  <si>
    <t>793426270</t>
  </si>
  <si>
    <t>Z471 G74 2004</t>
  </si>
  <si>
    <t>0                      Z  0471000G  74          2004</t>
  </si>
  <si>
    <t>Mahwah, N.J. : Lawrence Erlbaum Associates, ©2004.</t>
  </si>
  <si>
    <t>2017-12-14</t>
  </si>
  <si>
    <t>52429769</t>
  </si>
  <si>
    <t>ocm52429769</t>
  </si>
  <si>
    <t>3102362407K</t>
  </si>
  <si>
    <t>9780805849431</t>
  </si>
  <si>
    <t>793806356</t>
  </si>
  <si>
    <t>Z471 G743 2007</t>
  </si>
  <si>
    <t>0                      Z  0471000G  743         2007</t>
  </si>
  <si>
    <t>The culture and commerce of publishing in the 21st century / Albert N. Greco, Clara E. Rodríguez, and Robert M. Wharton.</t>
  </si>
  <si>
    <t>Stanford, Calif. : Stanford Business Books, 2007.</t>
  </si>
  <si>
    <t>2019-10-29</t>
  </si>
  <si>
    <t>56506100:eng</t>
  </si>
  <si>
    <t>70207952</t>
  </si>
  <si>
    <t>ocm70207952</t>
  </si>
  <si>
    <t>3102591752F</t>
  </si>
  <si>
    <t>9780804750318</t>
  </si>
  <si>
    <t>794150793</t>
  </si>
  <si>
    <t>Z471 H67 2011</t>
  </si>
  <si>
    <t>0                      Z  0471000H  67          2011</t>
  </si>
  <si>
    <t>Publishing as a vocation : studies of an old occupation in a new technological era / Irving Louis Horowitz.</t>
  </si>
  <si>
    <t>Horowitz, Irving Louis.</t>
  </si>
  <si>
    <t>New Brunswick, N.J. : Transaction Publishers, ©2011.</t>
  </si>
  <si>
    <t>2011-04-17</t>
  </si>
  <si>
    <t>794837175:eng</t>
  </si>
  <si>
    <t>668986097</t>
  </si>
  <si>
    <t>ocn668986097</t>
  </si>
  <si>
    <t>3103227343E</t>
  </si>
  <si>
    <t>9781412811101</t>
  </si>
  <si>
    <t>794846620</t>
  </si>
  <si>
    <t>Z471 M92 2017</t>
  </si>
  <si>
    <t>0                      Z  0471000M  92          2017</t>
  </si>
  <si>
    <t>My bookstore : writers celebrate their favorite places to browse, read, and shop / edited by Ronald Rice and booksellers across North America ; introduction by Richard Russo ; afterword by Emily St. John Mandel ; illustrations by Leif Parsons.</t>
  </si>
  <si>
    <t>New York : Black Dog &amp; Leventhal Publishers, 2017.</t>
  </si>
  <si>
    <t>First trade paperback edition.</t>
  </si>
  <si>
    <t>2019-04-18</t>
  </si>
  <si>
    <t>1090959259:eng</t>
  </si>
  <si>
    <t>987276139</t>
  </si>
  <si>
    <t>ocn987276139</t>
  </si>
  <si>
    <t>3103812413H</t>
  </si>
  <si>
    <t>9780316395076</t>
  </si>
  <si>
    <t>795035955</t>
  </si>
  <si>
    <t>Z471 P83 1997</t>
  </si>
  <si>
    <t>0                      Z  0471000P  83          1997</t>
  </si>
  <si>
    <t>Publishing books / Everette E. Dennis, Craig L. LaMay, and Edward C. Pease, editors.</t>
  </si>
  <si>
    <t>New Brunswick, N.J. : Transaction Publishers, 1997.</t>
  </si>
  <si>
    <t>2015-08-28</t>
  </si>
  <si>
    <t>350541925:eng</t>
  </si>
  <si>
    <t>35159217</t>
  </si>
  <si>
    <t>ocm35159217</t>
  </si>
  <si>
    <t>31018128349</t>
  </si>
  <si>
    <t>9781560009054</t>
  </si>
  <si>
    <t>793445679</t>
  </si>
  <si>
    <t>Z471 R26 2016</t>
  </si>
  <si>
    <t>0                      Z  0471000R  26          2016</t>
  </si>
  <si>
    <t>Revolutions in book publishing : the effects of digital innovation on the industry / Lall Ramrattan, Instructor, University of California, Berkeley, USA and Michael Szenberg, Distinguished Professor of Economics and Chair of Business and Economics, Touro College and University System, USA.</t>
  </si>
  <si>
    <t>Ramrattan, Lall, 1951- author.</t>
  </si>
  <si>
    <t>New York, NY : Palgrave Macmillan, 2016.</t>
  </si>
  <si>
    <t>Palgrave pivot</t>
  </si>
  <si>
    <t>2625418213:eng</t>
  </si>
  <si>
    <t>933788471</t>
  </si>
  <si>
    <t>ocn933788471</t>
  </si>
  <si>
    <t>31036566275</t>
  </si>
  <si>
    <t>9781137576200</t>
  </si>
  <si>
    <t>795009443</t>
  </si>
  <si>
    <t>Z473 A48 C58 2014</t>
  </si>
  <si>
    <t>0                      Z  0473000A  48                 C  58          2014</t>
  </si>
  <si>
    <t>The art of prestige : the formative years at Knopf, 1915-1929 / Amy Root Clements.</t>
  </si>
  <si>
    <t>Clements, Amy Root, 1967-</t>
  </si>
  <si>
    <t>2078505275:eng</t>
  </si>
  <si>
    <t>867765675</t>
  </si>
  <si>
    <t>ocn867765675</t>
  </si>
  <si>
    <t>3103698370J</t>
  </si>
  <si>
    <t>9781625340924</t>
  </si>
  <si>
    <t>794964106</t>
  </si>
  <si>
    <t>Z473 A485 M37 2004</t>
  </si>
  <si>
    <t>0                      Z  0473000A  485                M  37          2004</t>
  </si>
  <si>
    <t>Amazonia / James Marcus.</t>
  </si>
  <si>
    <t>Marcus, James.</t>
  </si>
  <si>
    <t>New York : New Press : Distributed by W.W. Norton &amp; Co., ©2004.</t>
  </si>
  <si>
    <t>2015-04-01</t>
  </si>
  <si>
    <t>1050494:eng</t>
  </si>
  <si>
    <t>53330767</t>
  </si>
  <si>
    <t>ocm53330767</t>
  </si>
  <si>
    <t>3102440757D</t>
  </si>
  <si>
    <t>9781565848702</t>
  </si>
  <si>
    <t>793826421</t>
  </si>
  <si>
    <t>Z473 A485 S76 2013</t>
  </si>
  <si>
    <t>0                      Z  0473000A  485                S  76          2013</t>
  </si>
  <si>
    <t>The everything store : Jeff Bezos and the age of Amazon / Brad Stone.</t>
  </si>
  <si>
    <t>Stone, Brad, author.</t>
  </si>
  <si>
    <t>New York : Little, Brown and Company, 2013.</t>
  </si>
  <si>
    <t>2019-11-02</t>
  </si>
  <si>
    <t>1748997172:eng</t>
  </si>
  <si>
    <t>856249407</t>
  </si>
  <si>
    <t>ocn856249407</t>
  </si>
  <si>
    <t>3103505161G</t>
  </si>
  <si>
    <t>9780316219266</t>
  </si>
  <si>
    <t>794954209</t>
  </si>
  <si>
    <t>Z473 A695 S76 2010</t>
  </si>
  <si>
    <t>0                      Z  0473000A  695                S  76          2010</t>
  </si>
  <si>
    <t>Orthodox by design : Judaism, print politics, and the ArtScroll revolution / Jeremy Stolow.</t>
  </si>
  <si>
    <t>Stolow, Jeremy, 1965-</t>
  </si>
  <si>
    <t>Berkeley : University of California Press, ©2010.</t>
  </si>
  <si>
    <t>The S. Mark Taper Foundation book in Jewish studies</t>
  </si>
  <si>
    <t>2014-10-05</t>
  </si>
  <si>
    <t>796240304:eng</t>
  </si>
  <si>
    <t>449860207</t>
  </si>
  <si>
    <t>ocn449860207</t>
  </si>
  <si>
    <t>3103243114W</t>
  </si>
  <si>
    <t>9780520264250</t>
  </si>
  <si>
    <t>794787520</t>
  </si>
  <si>
    <t>Z473 B98 2006</t>
  </si>
  <si>
    <t>0                      Z  0473000B  98          2006</t>
  </si>
  <si>
    <t>The yellow-lighted bookshop : a memoir, a history / Lewis Buzbee.</t>
  </si>
  <si>
    <t>Buzbee, Lewis, 1957-</t>
  </si>
  <si>
    <t>Graywolf Press, ©2006.</t>
  </si>
  <si>
    <t>198083069:eng</t>
  </si>
  <si>
    <t>671272805</t>
  </si>
  <si>
    <t>ocn671272805</t>
  </si>
  <si>
    <t>3103610018A</t>
  </si>
  <si>
    <t>9781555975104</t>
  </si>
  <si>
    <t>794848406</t>
  </si>
  <si>
    <t>Z473 C47 2014</t>
  </si>
  <si>
    <t>0                      Z  0473000C  47          2014</t>
  </si>
  <si>
    <t>Making noise, making news : suffrage print culture and U.S. modernism / Mary Chapman.</t>
  </si>
  <si>
    <t>Chapman, Mary, 1962-</t>
  </si>
  <si>
    <t>Oxford ; New York : Oxford University Press, [2014]</t>
  </si>
  <si>
    <t>Oxford studies in American literary history ; 6</t>
  </si>
  <si>
    <t>1917656446:eng</t>
  </si>
  <si>
    <t>862399540</t>
  </si>
  <si>
    <t>ocn862399540</t>
  </si>
  <si>
    <t>3103698360M</t>
  </si>
  <si>
    <t>9780199988297</t>
  </si>
  <si>
    <t>794960341</t>
  </si>
  <si>
    <t>Z473 C72 2017</t>
  </si>
  <si>
    <t>0                      Z  0473000C  72          2017</t>
  </si>
  <si>
    <t>Literary agents in the transatlantic book trade : American fiction, French rights, and the Hoffman Agency / Cécile Cottenet.</t>
  </si>
  <si>
    <t>Cottenet, Cécile, author.</t>
  </si>
  <si>
    <t>New York : Routledge, 2017.</t>
  </si>
  <si>
    <t>Studies in publishing history: manuscript, print, digital</t>
  </si>
  <si>
    <t>4167403429:eng</t>
  </si>
  <si>
    <t>962325994</t>
  </si>
  <si>
    <t>ocn962325994</t>
  </si>
  <si>
    <t>3103702036Y</t>
  </si>
  <si>
    <t>9781138678590</t>
  </si>
  <si>
    <t>795024373</t>
  </si>
  <si>
    <t>Z473 E53 2009</t>
  </si>
  <si>
    <t>0                      Z  0473000E  53          2009</t>
  </si>
  <si>
    <t>The enduring book : print culture in postwar America / edited by David Paul Nord, Joan Shelley Rubin, and Michael Schudson.</t>
  </si>
  <si>
    <t>Chapel Hill : Published in association with the American Antiquarian Society by the University of North Carolina Press, ©2009.</t>
  </si>
  <si>
    <t>A history of the book in America ; v. 5</t>
  </si>
  <si>
    <t>3772339458:eng</t>
  </si>
  <si>
    <t>261174626</t>
  </si>
  <si>
    <t>ocn261174626</t>
  </si>
  <si>
    <t>31030871324</t>
  </si>
  <si>
    <t>9780807832851</t>
  </si>
  <si>
    <t>794400771</t>
  </si>
  <si>
    <t>Z473 E95 2011</t>
  </si>
  <si>
    <t>0                      Z  0473000E  95          2011</t>
  </si>
  <si>
    <t>The grand chorus of complaint : authors and the business ethics of American publishing / Michael J. Everton.</t>
  </si>
  <si>
    <t>Everton, Michael J.</t>
  </si>
  <si>
    <t>Oxford ; New York : Oxford University Press, ©2011.</t>
  </si>
  <si>
    <t>2016-10-25</t>
  </si>
  <si>
    <t>916593745:eng</t>
  </si>
  <si>
    <t>664839088</t>
  </si>
  <si>
    <t>ocn664839088</t>
  </si>
  <si>
    <t>3103382460S</t>
  </si>
  <si>
    <t>9780199751785</t>
  </si>
  <si>
    <t>794844366</t>
  </si>
  <si>
    <t>Z473 E98 2010</t>
  </si>
  <si>
    <t>0                      Z  0473000E  98          2010</t>
  </si>
  <si>
    <t>An extensive republic : print, culture, and society in the new nation, 1790-1840 / edited by Robert A. Gross and Mary Kelley.</t>
  </si>
  <si>
    <t>Chapel Hill : Published in association with the American Antiquarian Society by the University of North Carolina Press, ©2010.</t>
  </si>
  <si>
    <t>A history of the book in America ; v. 2</t>
  </si>
  <si>
    <t>2017-07-11</t>
  </si>
  <si>
    <t>3772157352:eng</t>
  </si>
  <si>
    <t>495597235</t>
  </si>
  <si>
    <t>ocn495597235</t>
  </si>
  <si>
    <t>3103238823V</t>
  </si>
  <si>
    <t>9780807833391</t>
  </si>
  <si>
    <t>794801832</t>
  </si>
  <si>
    <t>Z473 F37 K33 2014</t>
  </si>
  <si>
    <t>0                      Z  0473000F  37                 K  33          2014</t>
  </si>
  <si>
    <t>Hothouse : the art of survival and the survival of art at America's most celebrated publishing house, Farrar, Straus, &amp; Giroux / Boris Kachka.</t>
  </si>
  <si>
    <t>Kachka, Boris.</t>
  </si>
  <si>
    <t>New York : Simon &amp; Schuster Paperbacks, 2014.</t>
  </si>
  <si>
    <t>First Simon &amp; Schuster trade paperback edition.</t>
  </si>
  <si>
    <t>1378174926:eng</t>
  </si>
  <si>
    <t>885476522</t>
  </si>
  <si>
    <t>ocn885476522</t>
  </si>
  <si>
    <t>31036564485</t>
  </si>
  <si>
    <t>9781451691917</t>
  </si>
  <si>
    <t>794977314</t>
  </si>
  <si>
    <t>Z473 G53 M37 2007</t>
  </si>
  <si>
    <t>0                      Z  0473000G  53                 M  37          2007</t>
  </si>
  <si>
    <t>Golden legacy : how Golden Books won children's hearts, changed publishing forever, and became an American icon along the way / Leonard S. Marcus.</t>
  </si>
  <si>
    <t>Marcus, Leonard S., 1950-</t>
  </si>
  <si>
    <t>New York : Golden Books, an imprint of Random House Children's Books, ©2007.</t>
  </si>
  <si>
    <t>140851911:eng</t>
  </si>
  <si>
    <t>176632736</t>
  </si>
  <si>
    <t>ocn176632736</t>
  </si>
  <si>
    <t>3102646360O</t>
  </si>
  <si>
    <t>9780375829963</t>
  </si>
  <si>
    <t>794277434</t>
  </si>
  <si>
    <t>Z473 G63 M35 2019</t>
  </si>
  <si>
    <t>0                      Z  0473000G  63                 M  35          2019</t>
  </si>
  <si>
    <t>Wise men fished here : a centennial exhibition in honor of the Gotham Book Mart, 1920-2020 / David McKnight, curator; Katherine Aid, assistant curator; Camille Davis, assistant curator.</t>
  </si>
  <si>
    <t>Philadelphia, PA : Kislak Center for Special Collections, Rare Books and Manuscripts University of Pennsylvania Libraries, 2019</t>
  </si>
  <si>
    <t>2019-09-03</t>
  </si>
  <si>
    <t>9674513675:eng</t>
  </si>
  <si>
    <t>1089694262</t>
  </si>
  <si>
    <t>on1089694262</t>
  </si>
  <si>
    <t>3103903310L</t>
  </si>
  <si>
    <t>9780990448754</t>
  </si>
  <si>
    <t>795079562</t>
  </si>
  <si>
    <t>Z473 G7 A3 1997</t>
  </si>
  <si>
    <t>0                      Z  0473000G  7                  A  3           1997</t>
  </si>
  <si>
    <t>Personal history / Katharine Graham.</t>
  </si>
  <si>
    <t>Graham, Katharine, 1917-2001.</t>
  </si>
  <si>
    <t>New York : A.A. Knopf, 1997.</t>
  </si>
  <si>
    <t>2018-10-29</t>
  </si>
  <si>
    <t>49047335:eng</t>
  </si>
  <si>
    <t>36001300</t>
  </si>
  <si>
    <t>ocm36001300</t>
  </si>
  <si>
    <t>3102968063Y</t>
  </si>
  <si>
    <t>9780394585857</t>
  </si>
  <si>
    <t>793463676</t>
  </si>
  <si>
    <t>Z473 G74 R67 2017</t>
  </si>
  <si>
    <t>0                      Z  0473000G  74                 R  67          2017</t>
  </si>
  <si>
    <t>Barney : Grove Press and Barney Rosset, America's maverick publisher and his battle against censorship / Michael Rosenthal.</t>
  </si>
  <si>
    <t>Rosenthal, Michael, 1937- author.</t>
  </si>
  <si>
    <t>New York : Arcade Publishing, [2017]</t>
  </si>
  <si>
    <t>4141447452:eng</t>
  </si>
  <si>
    <t>956349354</t>
  </si>
  <si>
    <t>ocn956349354</t>
  </si>
  <si>
    <t>3103740107N</t>
  </si>
  <si>
    <t>9781628726503</t>
  </si>
  <si>
    <t>795020038</t>
  </si>
  <si>
    <t>Z473 G76 G6 2000</t>
  </si>
  <si>
    <t>0                      Z  0473000G  76                 G  6           2000</t>
  </si>
  <si>
    <t>Modernism, censorship, and the politics of publishing : the Grove Press legacy / S.E. Gontarski.</t>
  </si>
  <si>
    <t>Gontarski, S. E., author.</t>
  </si>
  <si>
    <t>[Chapel Hill, N.C.] : Hanes Foundation, Rare Book Collection, University Library, University of North Carolina at Chapel Hill, 2000.</t>
  </si>
  <si>
    <t>Thirteenth Hanes lecture</t>
  </si>
  <si>
    <t>2017-02-13</t>
  </si>
  <si>
    <t>35749510:eng</t>
  </si>
  <si>
    <t>46337496</t>
  </si>
  <si>
    <t>ocm46337496</t>
  </si>
  <si>
    <t>3102187646L</t>
  </si>
  <si>
    <t>793682706</t>
  </si>
  <si>
    <t>Z473 H23 2008</t>
  </si>
  <si>
    <t>0                      Z  0473000H  23          2008</t>
  </si>
  <si>
    <t>Ways of writing : the practice and politics of text-making in seventeenth-century New England / David D. Hall.</t>
  </si>
  <si>
    <t>Hall, David D.</t>
  </si>
  <si>
    <t>Philadelphia : University of Pennsylvania Press, ©2008.</t>
  </si>
  <si>
    <t>2018-08-07</t>
  </si>
  <si>
    <t>321867902:eng</t>
  </si>
  <si>
    <t>215171882</t>
  </si>
  <si>
    <t>ocn215171882</t>
  </si>
  <si>
    <t>3103053705N</t>
  </si>
  <si>
    <t>9780812241020</t>
  </si>
  <si>
    <t>794314833</t>
  </si>
  <si>
    <t>Z473 H29 E92</t>
  </si>
  <si>
    <t>0                      Z  0473000H  29                 E  92</t>
  </si>
  <si>
    <t>The house of Harper; one hundred and fifty years of publishing.</t>
  </si>
  <si>
    <t>Exman, Eugene.</t>
  </si>
  <si>
    <t>New York, Harper &amp; Row [1967]</t>
  </si>
  <si>
    <t>370682296:eng</t>
  </si>
  <si>
    <t>586430</t>
  </si>
  <si>
    <t>ocm00586430</t>
  </si>
  <si>
    <t>31036824649</t>
  </si>
  <si>
    <t>791421864</t>
  </si>
  <si>
    <t>Z473 H88 2012</t>
  </si>
  <si>
    <t>0                      Z  0473000H  88          2012</t>
  </si>
  <si>
    <t>How books came to America : the rise of the American book trade / John Hruschka.</t>
  </si>
  <si>
    <t>Hruschka, John, 1956- author.</t>
  </si>
  <si>
    <t>University Park : Pennsylvania State University Press, [2012]</t>
  </si>
  <si>
    <t>2015-07-21</t>
  </si>
  <si>
    <t>917598767:eng</t>
  </si>
  <si>
    <t>732809778</t>
  </si>
  <si>
    <t>ocn732809778</t>
  </si>
  <si>
    <t>31034218795</t>
  </si>
  <si>
    <t>9780271050812</t>
  </si>
  <si>
    <t>794881434</t>
  </si>
  <si>
    <t>Z473 I53 2007</t>
  </si>
  <si>
    <t>0                      Z  0473000I  53          2007</t>
  </si>
  <si>
    <t>The industrial book, 1840-1880 / edited by Scott E. Casper [and others].</t>
  </si>
  <si>
    <t>Chapel Hill : Published in association with the American Antiquarian Society by the University of North Carolina Press, ©2007.</t>
  </si>
  <si>
    <t>A history of the book in America ; v. 3</t>
  </si>
  <si>
    <t>2017-07-22</t>
  </si>
  <si>
    <t>3901332411:eng</t>
  </si>
  <si>
    <t>76901778</t>
  </si>
  <si>
    <t>ocm76901778</t>
  </si>
  <si>
    <t>3102832003H</t>
  </si>
  <si>
    <t>9780807830857</t>
  </si>
  <si>
    <t>794178852</t>
  </si>
  <si>
    <t>Z473 K47 D69 2012</t>
  </si>
  <si>
    <t>0                      Z  0473000K  47                 D  69          2012</t>
  </si>
  <si>
    <t>Radical chapters : pacifist bookseller Roy Kepler and the paperback revolution / Michael Doyle.</t>
  </si>
  <si>
    <t>Doyle, Michael, 1956-</t>
  </si>
  <si>
    <t>Syracuse, New York : Syracuse University Press, 2012.</t>
  </si>
  <si>
    <t>1171402622:eng</t>
  </si>
  <si>
    <t>795164614</t>
  </si>
  <si>
    <t>ocn795164614</t>
  </si>
  <si>
    <t>3103455853F</t>
  </si>
  <si>
    <t>9780815610069</t>
  </si>
  <si>
    <t>794920914</t>
  </si>
  <si>
    <t>Z473 K72 C58 2016</t>
  </si>
  <si>
    <t>0                      Z  0473000K  72                 C  58          2016</t>
  </si>
  <si>
    <t>The lady with the Borzoi : Blanche Knopf, literary tastemaker extraordinaire / Laura Claridge.</t>
  </si>
  <si>
    <t>Claridge, Laura P., author.</t>
  </si>
  <si>
    <t>New York : Farrar, Straus and Giroux, 2016.</t>
  </si>
  <si>
    <t>2507670080:eng</t>
  </si>
  <si>
    <t>908176194</t>
  </si>
  <si>
    <t>ocn908176194</t>
  </si>
  <si>
    <t>3103654084R</t>
  </si>
  <si>
    <t>9780374114251</t>
  </si>
  <si>
    <t>794994339</t>
  </si>
  <si>
    <t>Z473 L284 A3 2013</t>
  </si>
  <si>
    <t>0                      Z  0473000L  284                A  3           2013</t>
  </si>
  <si>
    <t>The sun never sets : reflections on a western life / L.W. "Bill" Lane, Jr ; with Bertrand M. Patenaude ; and an Introduction by Kevin Starr.</t>
  </si>
  <si>
    <t>Lane, L. W., Jr. (Laurence William), 1919-2010.</t>
  </si>
  <si>
    <t>Stanford, California : Stanford General Books, an imprint of Stanford University Press, 2013.</t>
  </si>
  <si>
    <t>1379520679:eng</t>
  </si>
  <si>
    <t>817721816</t>
  </si>
  <si>
    <t>ocn817721816</t>
  </si>
  <si>
    <t>31034974451</t>
  </si>
  <si>
    <t>9780804785112</t>
  </si>
  <si>
    <t>794933609</t>
  </si>
  <si>
    <t>Z473 L287 F69 2016</t>
  </si>
  <si>
    <t>0                      Z  0473000L  287                F  69          2016</t>
  </si>
  <si>
    <t>Larkspur Press : forty years of making letterpress books in a rural Kentucky community, 1974-2014 : comprised of interviews, tributes &amp; an annotated bibliography / compiled by Gabrielle Fox, with contributions of many hands.</t>
  </si>
  <si>
    <t>Fox, Gabrielle, 1955- compiler.</t>
  </si>
  <si>
    <t>Kentville, Nova Scotia : Gaspereau Press Limited, 2016.</t>
  </si>
  <si>
    <t>4050531599:eng</t>
  </si>
  <si>
    <t>958271798</t>
  </si>
  <si>
    <t>ocn958271798</t>
  </si>
  <si>
    <t>3103646983Q</t>
  </si>
  <si>
    <t>9781554471621</t>
  </si>
  <si>
    <t>795021634</t>
  </si>
  <si>
    <t>Z473 L554 G76 2017</t>
  </si>
  <si>
    <t>0                      Z  0473000L  554                G  76          2017</t>
  </si>
  <si>
    <t>The history of the Limited Editions Club / by Carol Porter Grossman.</t>
  </si>
  <si>
    <t>Grossman, Carol P., author.</t>
  </si>
  <si>
    <t>New Castle, DE : Oak Knoll Press, 2017.</t>
  </si>
  <si>
    <t>4211071261:eng</t>
  </si>
  <si>
    <t>974487345</t>
  </si>
  <si>
    <t>ocn974487345</t>
  </si>
  <si>
    <t>3103738775M</t>
  </si>
  <si>
    <t>9781584563655</t>
  </si>
  <si>
    <t>795029596</t>
  </si>
  <si>
    <t>Z473 L826 2007</t>
  </si>
  <si>
    <t>0                      Z  0473000L  826         2007</t>
  </si>
  <si>
    <t>The republic in print : print culture in the age of U.S. nation building, 1770-1870 / Trish Loughran.</t>
  </si>
  <si>
    <t>Loughran, Trish, 1968-</t>
  </si>
  <si>
    <t>New York : Columbia University Press, ©2007.</t>
  </si>
  <si>
    <t>2017-06-21</t>
  </si>
  <si>
    <t>197407703:eng</t>
  </si>
  <si>
    <t>78790285</t>
  </si>
  <si>
    <t>ocm78790285</t>
  </si>
  <si>
    <t>3102642490V</t>
  </si>
  <si>
    <t>9780231139083</t>
  </si>
  <si>
    <t>794196045</t>
  </si>
  <si>
    <t>Z473 N47 F45 1998</t>
  </si>
  <si>
    <t>0                      Z  0473000N  47                 F  45          1998</t>
  </si>
  <si>
    <t>Citizen Newhouse : portrait of a media merchant / Carol Felsenthal.</t>
  </si>
  <si>
    <t>Felsenthal, Carol.</t>
  </si>
  <si>
    <t>New York : Seven Stories Press, ©1998.</t>
  </si>
  <si>
    <t>Seven Stories Press 1st ed.</t>
  </si>
  <si>
    <t>2019-01-11</t>
  </si>
  <si>
    <t>196661335:eng</t>
  </si>
  <si>
    <t>39458907</t>
  </si>
  <si>
    <t>ocm39458907</t>
  </si>
  <si>
    <t>3101909426P</t>
  </si>
  <si>
    <t>9781888363876</t>
  </si>
  <si>
    <t>793546099</t>
  </si>
  <si>
    <t>Z473 N68 A4 1998</t>
  </si>
  <si>
    <t>0                      Z  0473000N  68                 A  4           1998</t>
  </si>
  <si>
    <t>Dear genius : the letters of Ursula Nordstrom / collected and edited by Leonard S. Marcus.</t>
  </si>
  <si>
    <t>Nordstrom, Ursula, author.</t>
  </si>
  <si>
    <t>New York, NY : HarperCollins Publishers, ©1998.</t>
  </si>
  <si>
    <t>587361:eng</t>
  </si>
  <si>
    <t>36858006</t>
  </si>
  <si>
    <t>ocm36858006</t>
  </si>
  <si>
    <t>3101899549$</t>
  </si>
  <si>
    <t>9780060236250</t>
  </si>
  <si>
    <t>793485922</t>
  </si>
  <si>
    <t>Z473 O64 2006</t>
  </si>
  <si>
    <t>0                      Z  0473000O  64          2006</t>
  </si>
  <si>
    <t>Feminist revolution in literacy : women's bookstores in the United States / Junko R. Onosaka.</t>
  </si>
  <si>
    <t>Onosaka, Junko R., author.</t>
  </si>
  <si>
    <t>New York : Routledge, 2006.</t>
  </si>
  <si>
    <t>Studies in American popular history and culture</t>
  </si>
  <si>
    <t>47111270:eng</t>
  </si>
  <si>
    <t>62804988</t>
  </si>
  <si>
    <t>ocm62804988</t>
  </si>
  <si>
    <t>31025783677</t>
  </si>
  <si>
    <t>9780415975964</t>
  </si>
  <si>
    <t>794112978</t>
  </si>
  <si>
    <t>Z473 P75 2009</t>
  </si>
  <si>
    <t>0                      Z  0473000P  75          2009</t>
  </si>
  <si>
    <t>Print in motion : the expansion of publishing and reading in the United States, 1880-1940 / edited by Carl F. Kaestle and Janice A. Radway.</t>
  </si>
  <si>
    <t>A history of the book in America ; v. 4</t>
  </si>
  <si>
    <t>864622555:eng</t>
  </si>
  <si>
    <t>221141654</t>
  </si>
  <si>
    <t>ocn221141654</t>
  </si>
  <si>
    <t>3103055104X</t>
  </si>
  <si>
    <t>9780807831861</t>
  </si>
  <si>
    <t>794324273</t>
  </si>
  <si>
    <t>Z473 P95 G74 2000</t>
  </si>
  <si>
    <t>0                      Z  0473000P  95                 G  74          2000</t>
  </si>
  <si>
    <t>George Palmer Putnam : representative American publisher / Ezra Greenspan.</t>
  </si>
  <si>
    <t>Greenspan, Ezra.</t>
  </si>
  <si>
    <t>University Park, Pa. : Pennsylvania State University Press, ©2000.</t>
  </si>
  <si>
    <t>26435578:eng</t>
  </si>
  <si>
    <t>41601292</t>
  </si>
  <si>
    <t>ocm41601292</t>
  </si>
  <si>
    <t>3102492432U</t>
  </si>
  <si>
    <t>9780271020051</t>
  </si>
  <si>
    <t>793594946</t>
  </si>
  <si>
    <t>Z473 R655 2015</t>
  </si>
  <si>
    <t>0                      Z  0473000R  655         2015</t>
  </si>
  <si>
    <t>The rise of the modernist bookshop : books and the commerce of culture in the twentieth century / edited by Huw Osborne.</t>
  </si>
  <si>
    <t>Farnham, Surrey, UK ; Burlington, VT : Ashgate, [2015]</t>
  </si>
  <si>
    <t>Ashgate studies in publishing history : manuscript, print, digital</t>
  </si>
  <si>
    <t>2453861419:eng</t>
  </si>
  <si>
    <t>904528633</t>
  </si>
  <si>
    <t>ocn904528633</t>
  </si>
  <si>
    <t>3103608051F</t>
  </si>
  <si>
    <t>9781472446992</t>
  </si>
  <si>
    <t>794990511</t>
  </si>
  <si>
    <t>Z473 R74 A3 2016</t>
  </si>
  <si>
    <t>0                      Z  0473000R  74                 A  3           2016</t>
  </si>
  <si>
    <t>Rosset : my life in publishing and how I fought censorship / by Barney Rosset.</t>
  </si>
  <si>
    <t>Rosset, Barney, author.</t>
  </si>
  <si>
    <t>New York : OR Books, in partnership with Counterpoint Press, [2016]</t>
  </si>
  <si>
    <t>3695609940:eng</t>
  </si>
  <si>
    <t>967392230</t>
  </si>
  <si>
    <t>ocn967392230</t>
  </si>
  <si>
    <t>3103671162$</t>
  </si>
  <si>
    <t>9781944869045</t>
  </si>
  <si>
    <t>795026547</t>
  </si>
  <si>
    <t>Z473 S426 S43 2012</t>
  </si>
  <si>
    <t>0                      Z  0473000S  426                S  43          2012</t>
  </si>
  <si>
    <t>The tender hour of twilight : Paris in the '50s, New York in the '60s : a memoir of publishing's golden age / Richard Seaver ; edited by Jeannette Seaver.</t>
  </si>
  <si>
    <t>Seaver, Richard.</t>
  </si>
  <si>
    <t>New York : Farrar, Straus and Giroux, 2012.</t>
  </si>
  <si>
    <t>918585665:eng</t>
  </si>
  <si>
    <t>733546674</t>
  </si>
  <si>
    <t>ocn733546674</t>
  </si>
  <si>
    <t>3103406308O</t>
  </si>
  <si>
    <t>9780374273781</t>
  </si>
  <si>
    <t>794882094</t>
  </si>
  <si>
    <t>Z473 S95 N45 2010</t>
  </si>
  <si>
    <t>0                      Z  0473000S  95                 N  45          2010</t>
  </si>
  <si>
    <t>The imprint of Alan Swallow : quality publishing in the West / W. Dale Nelson ; foreword by Marilyn Auer.</t>
  </si>
  <si>
    <t>Nelson, W. Dale.</t>
  </si>
  <si>
    <t>Syracuse, N.Y. : Syracuse University Press, 2010.</t>
  </si>
  <si>
    <t>1118125206:eng</t>
  </si>
  <si>
    <t>607977555</t>
  </si>
  <si>
    <t>ocn607977555</t>
  </si>
  <si>
    <t>3103238651V</t>
  </si>
  <si>
    <t>9780815609520</t>
  </si>
  <si>
    <t>794818684</t>
  </si>
  <si>
    <t>Z473 T4 1987</t>
  </si>
  <si>
    <t>0                      Z  0473000T  4           1987</t>
  </si>
  <si>
    <t>Between covers : the rise and transformation of book publishing in America / John Tebbel.</t>
  </si>
  <si>
    <t>Tebbel, John William, 1912-2004.</t>
  </si>
  <si>
    <t>New York : Oxford University Press, 1987.</t>
  </si>
  <si>
    <t>2015-09-24</t>
  </si>
  <si>
    <t>865004023:eng</t>
  </si>
  <si>
    <t>13795376</t>
  </si>
  <si>
    <t>ocm13795376</t>
  </si>
  <si>
    <t>3102788552N</t>
  </si>
  <si>
    <t>9780195041897</t>
  </si>
  <si>
    <t>792866928</t>
  </si>
  <si>
    <t>Z473 T42</t>
  </si>
  <si>
    <t>0                      Z  0473000T  42</t>
  </si>
  <si>
    <t>A history of book publishing in the United States, by John Tebbel.</t>
  </si>
  <si>
    <t>New York, R. R. Bowker Co. [1972]-1981.</t>
  </si>
  <si>
    <t>2004-03-03</t>
  </si>
  <si>
    <t>2864128750:eng</t>
  </si>
  <si>
    <t>354115</t>
  </si>
  <si>
    <t>ocm00354115</t>
  </si>
  <si>
    <t>3103742953B</t>
  </si>
  <si>
    <t>9780835204897</t>
  </si>
  <si>
    <t>791348360</t>
  </si>
  <si>
    <t>2009-01-31</t>
  </si>
  <si>
    <t>3100382655A</t>
  </si>
  <si>
    <t>791348361</t>
  </si>
  <si>
    <t>3103388241E</t>
  </si>
  <si>
    <t>791348362</t>
  </si>
  <si>
    <t>3000843598R</t>
  </si>
  <si>
    <t>791348363</t>
  </si>
  <si>
    <t>Z473 T54 V36 2010</t>
  </si>
  <si>
    <t>0                      Z  0473000T  54                 V  36          2010</t>
  </si>
  <si>
    <t>Intellectuals incorporated : politics, art, and ideas inside Henry Luce's media empire / Robert Vanderlan.</t>
  </si>
  <si>
    <t>Vanderlan, Robert.</t>
  </si>
  <si>
    <t>Philadelphia : University of Pennsylvania Press, ©2010.</t>
  </si>
  <si>
    <t>Politics and culture in modern America</t>
  </si>
  <si>
    <t>2013-03-03</t>
  </si>
  <si>
    <t>423197865:eng</t>
  </si>
  <si>
    <t>551718261</t>
  </si>
  <si>
    <t>ocn551718261</t>
  </si>
  <si>
    <t>3103233181N</t>
  </si>
  <si>
    <t>9780812242713</t>
  </si>
  <si>
    <t>794811763</t>
  </si>
  <si>
    <t>Z473 W36 1990</t>
  </si>
  <si>
    <t>0                      Z  0473000W  36          1990</t>
  </si>
  <si>
    <t>The letters of the Republic : publication and the public sphere in eighteenth-century America / Michael Warner.</t>
  </si>
  <si>
    <t>Warner, Michael, 1958-</t>
  </si>
  <si>
    <t>Cambridge, Mass. : Harvard University Press, 1990.</t>
  </si>
  <si>
    <t>2015-02-20</t>
  </si>
  <si>
    <t>2018-06-12</t>
  </si>
  <si>
    <t>234149382:eng</t>
  </si>
  <si>
    <t>20691540</t>
  </si>
  <si>
    <t>ocm20691540</t>
  </si>
  <si>
    <t>31028258877</t>
  </si>
  <si>
    <t>9780674527850</t>
  </si>
  <si>
    <t>793095840</t>
  </si>
  <si>
    <t>31028258925</t>
  </si>
  <si>
    <t>793095839</t>
  </si>
  <si>
    <t>31027353190</t>
  </si>
  <si>
    <t>793095841</t>
  </si>
  <si>
    <t>Z473 W68 2006</t>
  </si>
  <si>
    <t>0                      Z  0473000W  68          2006</t>
  </si>
  <si>
    <t>Women in print : essays on the print culture of American women from the nineteenth and twentieth centuries / edited by James P. Danky and Wayne A. Wiegand ; foreword by Elizabeth Long.</t>
  </si>
  <si>
    <t>Madison : University of Wisconsin Press, ©2006.</t>
  </si>
  <si>
    <t>Print culture history in modern America</t>
  </si>
  <si>
    <t>2015-02-05</t>
  </si>
  <si>
    <t>1117993429:eng</t>
  </si>
  <si>
    <t>61211259</t>
  </si>
  <si>
    <t>ocm61211259</t>
  </si>
  <si>
    <t>3102575559F</t>
  </si>
  <si>
    <t>9780299217846</t>
  </si>
  <si>
    <t>793948763</t>
  </si>
  <si>
    <t>Z473 Z37 2005</t>
  </si>
  <si>
    <t>0                      Z  0473000Z  37          2005</t>
  </si>
  <si>
    <t>Literary dollars and social sense : a people's history of the mass market book / Ronald J. Zboray and Mary Saracino Zboray.</t>
  </si>
  <si>
    <t>2018-01-24</t>
  </si>
  <si>
    <t>138475937:eng</t>
  </si>
  <si>
    <t>56920737</t>
  </si>
  <si>
    <t>ocm56920737</t>
  </si>
  <si>
    <t>3102587922X</t>
  </si>
  <si>
    <t>9780415949842</t>
  </si>
  <si>
    <t>793904037</t>
  </si>
  <si>
    <t>Z476 M8 1979</t>
  </si>
  <si>
    <t>0                      Z  0476000M  8           1979</t>
  </si>
  <si>
    <t>Book sale manual / compiled by Elaine Mundy and Richard Reinhardt.</t>
  </si>
  <si>
    <t>Mundy, Elaine, compiler.</t>
  </si>
  <si>
    <t>San Francisco : Friends of the San Francisco Public Library, 1979, ©1975.</t>
  </si>
  <si>
    <t>Rev.</t>
  </si>
  <si>
    <t>2016-03-07</t>
  </si>
  <si>
    <t>1913555:eng</t>
  </si>
  <si>
    <t>6908468</t>
  </si>
  <si>
    <t>ocm06908468</t>
  </si>
  <si>
    <t>3000842989H</t>
  </si>
  <si>
    <t>792529701</t>
  </si>
  <si>
    <t>Z478 M9 2012</t>
  </si>
  <si>
    <t>0                      Z  0478000M  9           2012</t>
  </si>
  <si>
    <t>My bookstore : writers celebrate their favorite places to browse, read, and shop / edited by Ronald Rice and Booksellers across America ; introduction by Richard Russo ; afterword by Emily St. John Mandel ; illustrations by Leif Parsons.</t>
  </si>
  <si>
    <t>New York : Black Dog &amp; Leventhal Publishers : Distributed by Workman Publishing Company, 2012.</t>
  </si>
  <si>
    <t>781675833</t>
  </si>
  <si>
    <t>ocn781675833</t>
  </si>
  <si>
    <t>3103497571T</t>
  </si>
  <si>
    <t>9781579129101</t>
  </si>
  <si>
    <t>794913059</t>
  </si>
  <si>
    <t>Z478.6 N5 S64 2017</t>
  </si>
  <si>
    <t>0                      Z  0478600N  5                  S  64          2017</t>
  </si>
  <si>
    <t>An empire of print : the New York publishing trade in the early American republic / Steven Carl Smith.</t>
  </si>
  <si>
    <t>Smith, Steven Carl, 1981- author.</t>
  </si>
  <si>
    <t>University Park, Pennsylvania : The Pennsylvania State University Press, [2017]</t>
  </si>
  <si>
    <t>3962933414:eng</t>
  </si>
  <si>
    <t>964292172</t>
  </si>
  <si>
    <t>ocn964292172</t>
  </si>
  <si>
    <t>3103670464P</t>
  </si>
  <si>
    <t>9780271078519</t>
  </si>
  <si>
    <t>795025082</t>
  </si>
  <si>
    <t>Z478.6 P5 V64 2011</t>
  </si>
  <si>
    <t>0                      Z  0478600P  5                  V  64          2011</t>
  </si>
  <si>
    <t>The bookrunner : a history of inter-American relations : print, politics, and commerce in the United States and Mexico, 1800-1830 / Nancy Vogeley.</t>
  </si>
  <si>
    <t>Vogeley, Nancy J.</t>
  </si>
  <si>
    <t>Philadelphia : American Philosophical Society, 2011.</t>
  </si>
  <si>
    <t>Transactions of the American Philosophical society held at Philadelphia for promoting useful knowledge, 0065-9746 ; v. 101, pt. 1</t>
  </si>
  <si>
    <t>896689936:eng</t>
  </si>
  <si>
    <t>721085541</t>
  </si>
  <si>
    <t>ocn721085541</t>
  </si>
  <si>
    <t>3103326592X</t>
  </si>
  <si>
    <t>9781606180112</t>
  </si>
  <si>
    <t>794875250</t>
  </si>
  <si>
    <t>Z479 B475 2000</t>
  </si>
  <si>
    <t>0                      Z  0479000B  475         2000</t>
  </si>
  <si>
    <t>Beauty and the book : fine editions and cultural distinction in America / Megan L. Benton.</t>
  </si>
  <si>
    <t>Benton, Megan.</t>
  </si>
  <si>
    <t>New Haven : Yale University Press, [2000]</t>
  </si>
  <si>
    <t>Henry McBride series in modernism and modernity</t>
  </si>
  <si>
    <t>836677293:eng</t>
  </si>
  <si>
    <t>41662612</t>
  </si>
  <si>
    <t>ocm41662612</t>
  </si>
  <si>
    <t>3102018277X</t>
  </si>
  <si>
    <t>9780300082135</t>
  </si>
  <si>
    <t>793596410</t>
  </si>
  <si>
    <t>Z479 B63 1982</t>
  </si>
  <si>
    <t>0                      Z  0479000B  63          1982</t>
  </si>
  <si>
    <t>Under cover : an illustrated history of American mass-market paperbacks / by Thomas L. Bonn ; foreword by John Tebbel.</t>
  </si>
  <si>
    <t>Bonn, Thomas L.</t>
  </si>
  <si>
    <t>Harmondsworth, Middlesex, England ; New York : Penguin Books, 1982.</t>
  </si>
  <si>
    <t>196755295:eng</t>
  </si>
  <si>
    <t>7999484</t>
  </si>
  <si>
    <t>ocm07999484</t>
  </si>
  <si>
    <t>30001571479</t>
  </si>
  <si>
    <t>9780140060713</t>
  </si>
  <si>
    <t>792592393</t>
  </si>
  <si>
    <t>Z479 S79 1985</t>
  </si>
  <si>
    <t>0                      Z  0479000S  79          1985</t>
  </si>
  <si>
    <t>Antiquarian bookselling in the United States : a history from the origins to the 1940s / Madeleine B. Stern.</t>
  </si>
  <si>
    <t>Stern, Madeleine B., 1912-2007.</t>
  </si>
  <si>
    <t>Westport, Conn. : Greenwood Press, 1985.</t>
  </si>
  <si>
    <t>836679089:eng</t>
  </si>
  <si>
    <t>11187913</t>
  </si>
  <si>
    <t>ocm11187913</t>
  </si>
  <si>
    <t>3000846401K</t>
  </si>
  <si>
    <t>9780313247293</t>
  </si>
  <si>
    <t>792762317</t>
  </si>
  <si>
    <t>Z479 W43 1988</t>
  </si>
  <si>
    <t>0                      Z  0479000W  43          1988</t>
  </si>
  <si>
    <t>American authors and the literary marketplace since 1900 / James L.W. West III.</t>
  </si>
  <si>
    <t>West, James L. W.</t>
  </si>
  <si>
    <t>Philadelphia : University of Pennsylvania Press, ©1988.</t>
  </si>
  <si>
    <t>A Publication of the A.S.W. Rosenbach fellowship in bibliography</t>
  </si>
  <si>
    <t>2017-01-11</t>
  </si>
  <si>
    <t>17256167:eng</t>
  </si>
  <si>
    <t>18257382</t>
  </si>
  <si>
    <t>ocm18257382</t>
  </si>
  <si>
    <t>31033869215</t>
  </si>
  <si>
    <t>9780812281149</t>
  </si>
  <si>
    <t>793018891</t>
  </si>
  <si>
    <t>Z480 L44 H64 2010</t>
  </si>
  <si>
    <t>0                      Z  0480000L  44                 H  64          2010</t>
  </si>
  <si>
    <t>Legal publishing in antebellum America / M.H. Hoeflich.</t>
  </si>
  <si>
    <t>Hoeflich, Michael H.</t>
  </si>
  <si>
    <t>New York : Cambridge University Press, 2010.</t>
  </si>
  <si>
    <t>2014-08-26</t>
  </si>
  <si>
    <t>364612805:eng</t>
  </si>
  <si>
    <t>489001671</t>
  </si>
  <si>
    <t>ocn489001671</t>
  </si>
  <si>
    <t>3103241942A</t>
  </si>
  <si>
    <t>9780521192064</t>
  </si>
  <si>
    <t>794799420</t>
  </si>
  <si>
    <t>Z480 L58 E17 2012</t>
  </si>
  <si>
    <t>0                      Z  0480000L  58                 E  17          2012</t>
  </si>
  <si>
    <t>Early African American print culture / edited by Lara Langer Cohen and Jordan Alexander Stein.</t>
  </si>
  <si>
    <t>Philadelphia : University of Pennsylvania Press : Library Company of Philadelphia, ©2012.</t>
  </si>
  <si>
    <t>1190082684:eng</t>
  </si>
  <si>
    <t>768792994</t>
  </si>
  <si>
    <t>ocn768792994</t>
  </si>
  <si>
    <t>3103413138V</t>
  </si>
  <si>
    <t>9780812244250</t>
  </si>
  <si>
    <t>794902731</t>
  </si>
  <si>
    <t>Z480 L58 L58 2016</t>
  </si>
  <si>
    <t>0                      Z  0480000L  58                 L  58          2016</t>
  </si>
  <si>
    <t>Literary publishing in the twenty-first century / edited by Travis Kurowski, Wayne Miller &amp; Kevin Prufer.</t>
  </si>
  <si>
    <t>Minneapolis, Minnesota : Milkweed Editions, 2016.</t>
  </si>
  <si>
    <t>2625492585:eng</t>
  </si>
  <si>
    <t>921865621</t>
  </si>
  <si>
    <t>ocn921865621</t>
  </si>
  <si>
    <t>31036545871</t>
  </si>
  <si>
    <t>9781571313546</t>
  </si>
  <si>
    <t>795003384</t>
  </si>
  <si>
    <t>Z480 L58 T87 2003</t>
  </si>
  <si>
    <t>0                      Z  0480000L  58                 T  87          2003</t>
  </si>
  <si>
    <t>Marketing modernism between the two world wars / Catherine Turner.</t>
  </si>
  <si>
    <t>Turner, Catherine, 1968-</t>
  </si>
  <si>
    <t>Amherst : University of Massachusetts Press, ©2003.</t>
  </si>
  <si>
    <t>6699338:eng</t>
  </si>
  <si>
    <t>50803654</t>
  </si>
  <si>
    <t>ocm50803654</t>
  </si>
  <si>
    <t>3102545522$</t>
  </si>
  <si>
    <t>9781558493766</t>
  </si>
  <si>
    <t>793773381</t>
  </si>
  <si>
    <t>Z480 P4 M63 2013</t>
  </si>
  <si>
    <t>0                      Z  0480000P  4                  M  63          2013</t>
  </si>
  <si>
    <t>Modern print activism in the United States / [edited by] Rachel Schreiber.</t>
  </si>
  <si>
    <t>1185779066:eng</t>
  </si>
  <si>
    <t>820665475</t>
  </si>
  <si>
    <t>ocn820665475</t>
  </si>
  <si>
    <t>31034999729</t>
  </si>
  <si>
    <t>9781409454779</t>
  </si>
  <si>
    <t>794935594</t>
  </si>
  <si>
    <t>Z481 B76</t>
  </si>
  <si>
    <t>0                      Z  0481000B  76</t>
  </si>
  <si>
    <t>Paper phoenix : a history of book publishing in English Canada / Delores Broten, Peter Birdsall.</t>
  </si>
  <si>
    <t>Broten, Delores.</t>
  </si>
  <si>
    <t>Victoria, B.C. : CANLIT, 1980.</t>
  </si>
  <si>
    <t>23093621:eng</t>
  </si>
  <si>
    <t>6531795</t>
  </si>
  <si>
    <t>ocm06531795</t>
  </si>
  <si>
    <t>3102674552D</t>
  </si>
  <si>
    <t>9780920566084</t>
  </si>
  <si>
    <t>792506904</t>
  </si>
  <si>
    <t>Z481 C55 1973</t>
  </si>
  <si>
    <t>0                      Z  0481000C  55          1973</t>
  </si>
  <si>
    <t>A response to the Royal Commission on Book Publishing: Canadian publishers &amp; Canadian publishing.</t>
  </si>
  <si>
    <t>Canadian Book Publishers' Council.</t>
  </si>
  <si>
    <t>2015-08-31</t>
  </si>
  <si>
    <t>2053105:eng</t>
  </si>
  <si>
    <t>1086070</t>
  </si>
  <si>
    <t>ocm01086070</t>
  </si>
  <si>
    <t>31026405547</t>
  </si>
  <si>
    <t>791543537</t>
  </si>
  <si>
    <t>Z481 I58 2013</t>
  </si>
  <si>
    <t>0                      Z  0481000I  58          2013</t>
  </si>
  <si>
    <t>In the grip of technological change / compiled and edited by Iva Cheung &amp; Rowland Lorimer.</t>
  </si>
  <si>
    <t>Vancouver : CCSP Press, 2014.</t>
  </si>
  <si>
    <t>Publishing studies ; 2</t>
  </si>
  <si>
    <t>1756721363:eng</t>
  </si>
  <si>
    <t>867897539</t>
  </si>
  <si>
    <t>ocn867897539</t>
  </si>
  <si>
    <t>3103495204N</t>
  </si>
  <si>
    <t>9780991811809</t>
  </si>
  <si>
    <t>794964242</t>
  </si>
  <si>
    <t>Z481 L673 2012</t>
  </si>
  <si>
    <t>0                      Z  0481000L  673         2012</t>
  </si>
  <si>
    <t>Ultra libris : policy, technology, and the creative economy of book publishing in Canada / Rowland Lorimer.</t>
  </si>
  <si>
    <t>Lorimer, Rowland, 1944-</t>
  </si>
  <si>
    <t>Toronto : ECW Press, c2012.</t>
  </si>
  <si>
    <t>1110203331:eng</t>
  </si>
  <si>
    <t>783156276</t>
  </si>
  <si>
    <t>ocn783156276</t>
  </si>
  <si>
    <t>3103402193S</t>
  </si>
  <si>
    <t>9781770410763</t>
  </si>
  <si>
    <t>794913988</t>
  </si>
  <si>
    <t>Z481 M323 2003</t>
  </si>
  <si>
    <t>0                      Z  0481000M  323         2003</t>
  </si>
  <si>
    <t>The perilous trade : publishing Canada's writers / Roy MacSkimming.</t>
  </si>
  <si>
    <t>MacSkimming, Roy, 1944-</t>
  </si>
  <si>
    <t>Toronto : McClelland &amp; Stewart, ©2003.</t>
  </si>
  <si>
    <t>764223:eng</t>
  </si>
  <si>
    <t>55962178</t>
  </si>
  <si>
    <t>ocm55962178</t>
  </si>
  <si>
    <t>3102721606E</t>
  </si>
  <si>
    <t>9780771054938</t>
  </si>
  <si>
    <t>793884649</t>
  </si>
  <si>
    <t>Z481 M323 2007</t>
  </si>
  <si>
    <t>0                      Z  0481000M  323         2007</t>
  </si>
  <si>
    <t>The perilous trade : book publishing in Canada, 1946-2006 / Roy MacSkimming.</t>
  </si>
  <si>
    <t>Toronto : McClelland &amp; Stewart, 2007.</t>
  </si>
  <si>
    <t>New updated ed.</t>
  </si>
  <si>
    <t>3856755775:eng</t>
  </si>
  <si>
    <t>67860030</t>
  </si>
  <si>
    <t>ocm67860030</t>
  </si>
  <si>
    <t>3102552898K</t>
  </si>
  <si>
    <t>9780771054945</t>
  </si>
  <si>
    <t>794141594</t>
  </si>
  <si>
    <t>Z481 O5</t>
  </si>
  <si>
    <t>0                      Z  0481000O  5</t>
  </si>
  <si>
    <t>Canadian publishers &amp; Canadian publishing / Royal Commission on Book Publishing.</t>
  </si>
  <si>
    <t>[Toronto] : [Ministry of the Attorney General], [©1973]</t>
  </si>
  <si>
    <t>199075982:eng</t>
  </si>
  <si>
    <t>723259</t>
  </si>
  <si>
    <t>ocm00723259</t>
  </si>
  <si>
    <t>3000853406J</t>
  </si>
  <si>
    <t>9780774300025</t>
  </si>
  <si>
    <t>791455438</t>
  </si>
  <si>
    <t>Z481 O57 1973</t>
  </si>
  <si>
    <t>0                      Z  0481000O  57          1973</t>
  </si>
  <si>
    <t>3102870169R</t>
  </si>
  <si>
    <t>791455439</t>
  </si>
  <si>
    <t>Z481 T56 2013</t>
  </si>
  <si>
    <t>0                      Z  0481000T  56          2013</t>
  </si>
  <si>
    <t>A death greatly exaggerated : Canada's thriving small and fine press / exhibition and catalogue by John Shoesmith.</t>
  </si>
  <si>
    <t>Thomas Fisher Rare Book Library, host institution, issuing body.</t>
  </si>
  <si>
    <t>[Toronto] : Thomas Fisher Rare Book Library, University of Toronto, [2013]</t>
  </si>
  <si>
    <t>2013-12-03</t>
  </si>
  <si>
    <t>1380216606:eng</t>
  </si>
  <si>
    <t>842523877</t>
  </si>
  <si>
    <t>ocn842523877</t>
  </si>
  <si>
    <t>3103492818F</t>
  </si>
  <si>
    <t>9780772760937</t>
  </si>
  <si>
    <t>794947569</t>
  </si>
  <si>
    <t>Z483 A4 M3 1987</t>
  </si>
  <si>
    <t>0                      Z  0483000A  4                  M  3           1987</t>
  </si>
  <si>
    <t>Bernard Amtmann 1907-1979 : a personal memoir / by John Mappin and John Archer.</t>
  </si>
  <si>
    <t>Mappin, John.</t>
  </si>
  <si>
    <t>[Place of publication not identified] : Amtmann Circle, 1987.</t>
  </si>
  <si>
    <t>2015-07-09</t>
  </si>
  <si>
    <t>15539225:eng</t>
  </si>
  <si>
    <t>17209078</t>
  </si>
  <si>
    <t>ocm17209078</t>
  </si>
  <si>
    <t>3000482712R</t>
  </si>
  <si>
    <t>792984205</t>
  </si>
  <si>
    <t>Z483 B42 L35 1997</t>
  </si>
  <si>
    <t>0                      Z  0483000B  42                 L  35          1997</t>
  </si>
  <si>
    <t>Beauchemin et l'édition au Québec, 1840-1940 : une culture modèle / François Landry.</t>
  </si>
  <si>
    <t>Landry, François, 1962-</t>
  </si>
  <si>
    <t>[Saint-Laurent, Québec] : Fides, 1997.</t>
  </si>
  <si>
    <t>197325882:eng</t>
  </si>
  <si>
    <t>37371710</t>
  </si>
  <si>
    <t>ocm37371710</t>
  </si>
  <si>
    <t>3101847802G</t>
  </si>
  <si>
    <t>9782762119916</t>
  </si>
  <si>
    <t>793497123</t>
  </si>
  <si>
    <t>Z483 B48 C53 2017</t>
  </si>
  <si>
    <t>0                      Z  0483000B  48                 C  53          2017</t>
  </si>
  <si>
    <t>Books without bosses : 40 years of reading Between the Lines / Robert Clarke ; illustrated by Kara Sievewright.</t>
  </si>
  <si>
    <t>Clarke, Robert G. (Robert Ganton), 1944- author.</t>
  </si>
  <si>
    <t>Toronto, Ontario : Between the Lines, 2017.</t>
  </si>
  <si>
    <t>4525639568:eng</t>
  </si>
  <si>
    <t>1005097207</t>
  </si>
  <si>
    <t>on1005097207</t>
  </si>
  <si>
    <t>3103729280D</t>
  </si>
  <si>
    <t>9781771133272</t>
  </si>
  <si>
    <t>795042388</t>
  </si>
  <si>
    <t>Z483 B74 2008</t>
  </si>
  <si>
    <t>0                      Z  0483000B  74          2008</t>
  </si>
  <si>
    <t>The surface of meaning : books and book design in Canada / Robert Bringhurst.</t>
  </si>
  <si>
    <t>Bringhurst, Robert, 1946-</t>
  </si>
  <si>
    <t>Vancouver : CCSP Press, ©2008.</t>
  </si>
  <si>
    <t>The Atkins library ; no. 1</t>
  </si>
  <si>
    <t>195119457:eng</t>
  </si>
  <si>
    <t>213103354</t>
  </si>
  <si>
    <t>ocn213103354</t>
  </si>
  <si>
    <t>3102708177Y</t>
  </si>
  <si>
    <t>9780973872729</t>
  </si>
  <si>
    <t>794306868</t>
  </si>
  <si>
    <t>Z483 D73 D73 2015</t>
  </si>
  <si>
    <t>0                      Z  0483000D  73                 D  73          2015</t>
  </si>
  <si>
    <t>Drawn &amp; Quarterly / edited by Tom Devlin, with Chris Oliveros, Peggy Burns, Tracy Hurren and Julia Pohl-Miranda ; designed by Tracy Hurren and Tom Devlin ; production by Marie-Jade Menni, Tracy Hurren, Kathleen Fraser, Alexandra Auger and Marcela Huerta ; translations by Helge Dascher.</t>
  </si>
  <si>
    <t>[Montréal, Québec] : Drawn &amp; Quarterly, 2015.</t>
  </si>
  <si>
    <t>First hardcover edition.</t>
  </si>
  <si>
    <t>2830069159:eng</t>
  </si>
  <si>
    <t>894141106</t>
  </si>
  <si>
    <t>ocn894141106</t>
  </si>
  <si>
    <t>31034965108</t>
  </si>
  <si>
    <t>9781770461994</t>
  </si>
  <si>
    <t>794982429</t>
  </si>
  <si>
    <t>Z483 E27 A56 2016</t>
  </si>
  <si>
    <t>0                      Z  0483000E  27                 A  56          2016</t>
  </si>
  <si>
    <t>À nous demain. Pratiques éditoriales et poétiques d'auteurs aux Écrits des Forges (1971-2011) / sous la direction de Jacques Paquin et Hélène Marcotte.</t>
  </si>
  <si>
    <t>[Montréal] : Nota bene, 2016</t>
  </si>
  <si>
    <t>2981980855:fre</t>
  </si>
  <si>
    <t>957590285</t>
  </si>
  <si>
    <t>ocn957590285</t>
  </si>
  <si>
    <t>3103646344N</t>
  </si>
  <si>
    <t>9782895185208</t>
  </si>
  <si>
    <t>795021127</t>
  </si>
  <si>
    <t>Z483 E326 M35 2018</t>
  </si>
  <si>
    <t>0                      Z  0483000E  326                M  35          2018</t>
  </si>
  <si>
    <t>Entre le risque et le rêve : une brève histoire des Éditions David / Yvon Malette.</t>
  </si>
  <si>
    <t>Malette, Yvon, 1943- author.</t>
  </si>
  <si>
    <t>Ottawa (Ontario) : David, [2018]</t>
  </si>
  <si>
    <t>5465249096:fre</t>
  </si>
  <si>
    <t>1055272249</t>
  </si>
  <si>
    <t>on1055272249</t>
  </si>
  <si>
    <t>3103730319E</t>
  </si>
  <si>
    <t>9782895976554</t>
  </si>
  <si>
    <t>795063330</t>
  </si>
  <si>
    <t>Z483 E34 J36 1983</t>
  </si>
  <si>
    <t>0                      Z  0483000E  34                 J  36          1983</t>
  </si>
  <si>
    <t>Les Editions du Jour : une génération d'écrivains / Claude Janelle ; préface d'André Major.</t>
  </si>
  <si>
    <t>Janelle, Claude, 1952-</t>
  </si>
  <si>
    <t>Montréal, Québec : Hurtubise HMH, ©1983.</t>
  </si>
  <si>
    <t>Cahiers du Québec ; 73. Collection Littérature</t>
  </si>
  <si>
    <t>2017-02-21</t>
  </si>
  <si>
    <t>345885491:fre</t>
  </si>
  <si>
    <t>11290240</t>
  </si>
  <si>
    <t>ocm11290240</t>
  </si>
  <si>
    <t>30003804349</t>
  </si>
  <si>
    <t>9782890455801</t>
  </si>
  <si>
    <t>792767161</t>
  </si>
  <si>
    <t>Z483 E39 2010</t>
  </si>
  <si>
    <t>0                      Z  0483000E  39          2010</t>
  </si>
  <si>
    <t>Picturing Canada : a history of Canadian children's illustrated books and publishing / Gail Edwards and Judith Saltman.</t>
  </si>
  <si>
    <t>Edwards, Gail, 1957-</t>
  </si>
  <si>
    <t>Toronto : University of Toronto Press, ©2010.</t>
  </si>
  <si>
    <t>795517274:eng</t>
  </si>
  <si>
    <t>466429803</t>
  </si>
  <si>
    <t>ocn466429803</t>
  </si>
  <si>
    <t>3103073012W</t>
  </si>
  <si>
    <t>9780802037596</t>
  </si>
  <si>
    <t>794794649</t>
  </si>
  <si>
    <t>Z483 G53 A3 2011</t>
  </si>
  <si>
    <t>0                      Z  0483000G  53                 A  3           2011</t>
  </si>
  <si>
    <t>Stories about storytellers : publishing Alice Munro, Robertson Davies, Alistair MacLeod, Pierre Trudeau, and others / by Douglas Gibson ; with illustrations by Anthony Jenkins.</t>
  </si>
  <si>
    <t>Gibson, Douglas.</t>
  </si>
  <si>
    <t>Toronto : ECW Press, c2011.</t>
  </si>
  <si>
    <t>865577088:eng</t>
  </si>
  <si>
    <t>712124499</t>
  </si>
  <si>
    <t>ocn712124499</t>
  </si>
  <si>
    <t>3103326209N</t>
  </si>
  <si>
    <t>9781770410688</t>
  </si>
  <si>
    <t>794871829</t>
  </si>
  <si>
    <t>Z483 G53 A3 2015</t>
  </si>
  <si>
    <t>0                      Z  0483000G  53                 A  3           2015</t>
  </si>
  <si>
    <t>Across Canada by story : a coast-to-coast literary adventure / by Douglas Gibson ; with illustrations by Anthony Jenkins.</t>
  </si>
  <si>
    <t>Gibson, Douglas, author.</t>
  </si>
  <si>
    <t>Toronto, Ontario, Canada : ECW Press, [2015]</t>
  </si>
  <si>
    <t>2519012561:eng</t>
  </si>
  <si>
    <t>908654792</t>
  </si>
  <si>
    <t>ocn908654792</t>
  </si>
  <si>
    <t>3103646207X</t>
  </si>
  <si>
    <t>9781770412538</t>
  </si>
  <si>
    <t>794994890</t>
  </si>
  <si>
    <t>Z483 G8</t>
  </si>
  <si>
    <t>0                      Z  0483000G  8</t>
  </si>
  <si>
    <t>Book publishing and publishers in Canada before 1900, by H. Pearson Gundy.</t>
  </si>
  <si>
    <t>Toronto, Bibliographical Society of Canada, 1965.</t>
  </si>
  <si>
    <t>1804250:eng</t>
  </si>
  <si>
    <t>855850</t>
  </si>
  <si>
    <t>ocm00855850</t>
  </si>
  <si>
    <t>3103678614T</t>
  </si>
  <si>
    <t>791488027</t>
  </si>
  <si>
    <t>Z483 H33 B75 2012</t>
  </si>
  <si>
    <t>0                      Z  0483000H  33                 B  75          2012</t>
  </si>
  <si>
    <t>La pieuvre verte : Hachette et le Québec depuis 1950 / Frédéric Brisson.</t>
  </si>
  <si>
    <t>Brisson, Frédéric.</t>
  </si>
  <si>
    <t>Montréal (Québec) : Leméac, [2012]</t>
  </si>
  <si>
    <t>Domaine histoire</t>
  </si>
  <si>
    <t>1210997061:fre</t>
  </si>
  <si>
    <t>841051115</t>
  </si>
  <si>
    <t>ocn841051115</t>
  </si>
  <si>
    <t>3103403801L</t>
  </si>
  <si>
    <t>9782760906051</t>
  </si>
  <si>
    <t>794946471</t>
  </si>
  <si>
    <t>Z483 H37 G73 1996</t>
  </si>
  <si>
    <t>0                      Z  0483000H  37                 G  73          1996</t>
  </si>
  <si>
    <t>The merchants of Venus : inside Harlequin and the empire of romance / Paul Grescoe.</t>
  </si>
  <si>
    <t>Grescoe, Paul, 1939-</t>
  </si>
  <si>
    <t>Vancouver : Raincoast Books, 1996.</t>
  </si>
  <si>
    <t>665204:eng</t>
  </si>
  <si>
    <t>35945671</t>
  </si>
  <si>
    <t>ocm35945671</t>
  </si>
  <si>
    <t>3102870085Q</t>
  </si>
  <si>
    <t>9781551920108</t>
  </si>
  <si>
    <t>793462055</t>
  </si>
  <si>
    <t>Z483 H37 J46 1984</t>
  </si>
  <si>
    <t>0                      Z  0483000H  37                 J  46          1984</t>
  </si>
  <si>
    <t>Love's $weet return : the Harlequin story / Margaret Ann Jensen.</t>
  </si>
  <si>
    <t>Jensen, Margaret Ann.</t>
  </si>
  <si>
    <t>Bowling Green, Ohio : Bowling Green State University Popular Press, ©1984.</t>
  </si>
  <si>
    <t>293843046:eng</t>
  </si>
  <si>
    <t>11484539</t>
  </si>
  <si>
    <t>ocm11484539</t>
  </si>
  <si>
    <t>31012014409</t>
  </si>
  <si>
    <t>9780879723187</t>
  </si>
  <si>
    <t>792775263</t>
  </si>
  <si>
    <t>Love's sweet return : the Harlequin story / Margaret Ann Jensen.</t>
  </si>
  <si>
    <t>Toronto : Women's Press, c1984.</t>
  </si>
  <si>
    <t>15952968</t>
  </si>
  <si>
    <t>ocm15952968</t>
  </si>
  <si>
    <t>3000358332W</t>
  </si>
  <si>
    <t>9780889610866</t>
  </si>
  <si>
    <t>792948828</t>
  </si>
  <si>
    <t>Z483 H52 2004</t>
  </si>
  <si>
    <t>0                      Z  0483000H  52          2004</t>
  </si>
  <si>
    <t>Histoire du livre et de l'imprimé au Canada / directeurs généraux, Patricia Lockhart Fleming, Yvan Lamonde ; [traduction par Dominique Bouchard ... et al.].</t>
  </si>
  <si>
    <t>[Montréal] : Presses de l'Université de Montréal, ©2004-2007.</t>
  </si>
  <si>
    <t>2013-12-05</t>
  </si>
  <si>
    <t>476233466:fre</t>
  </si>
  <si>
    <t>55015914</t>
  </si>
  <si>
    <t>ocm55015914</t>
  </si>
  <si>
    <t>3102543847V</t>
  </si>
  <si>
    <t>9782760617681</t>
  </si>
  <si>
    <t>793872592</t>
  </si>
  <si>
    <t>3102864971R</t>
  </si>
  <si>
    <t>793872591</t>
  </si>
  <si>
    <t>3102404922H</t>
  </si>
  <si>
    <t>793872593</t>
  </si>
  <si>
    <t>Z483 H6</t>
  </si>
  <si>
    <t>0                      Z  0483000H  6</t>
  </si>
  <si>
    <t>The side door; twenty-six years in my Book Room.</t>
  </si>
  <si>
    <t>Hood, Dora, 1885-1974.</t>
  </si>
  <si>
    <t>Toronto, Ryerson Press [1958]</t>
  </si>
  <si>
    <t>1928894:eng</t>
  </si>
  <si>
    <t>971151</t>
  </si>
  <si>
    <t>ocm00971151</t>
  </si>
  <si>
    <t>30006459700</t>
  </si>
  <si>
    <t>791514898</t>
  </si>
  <si>
    <t>Z483 L43 A3 2006</t>
  </si>
  <si>
    <t>0                      Z  0483000L  43                 A  3           2006</t>
  </si>
  <si>
    <t>Dr. Delicious : memoirs of a life in CanLit / Robert Lecker.</t>
  </si>
  <si>
    <t>Lecker, Robert, 1951-</t>
  </si>
  <si>
    <t>Montreal, Quebec : Véhicule Press ; [Chicago, Ill.] : Distribution in U.S. by Independent Publishers Group, ©2006.</t>
  </si>
  <si>
    <t>2019-03-25</t>
  </si>
  <si>
    <t>46890366:eng</t>
  </si>
  <si>
    <t>62535591</t>
  </si>
  <si>
    <t>ocm62535591</t>
  </si>
  <si>
    <t>31025335702</t>
  </si>
  <si>
    <t>9781550652109</t>
  </si>
  <si>
    <t>794109493</t>
  </si>
  <si>
    <t>Z483 M32 P35 2012</t>
  </si>
  <si>
    <t>0                      Z  0483000M  32                 P  35          2012</t>
  </si>
  <si>
    <t>The literary legacy of the Macmillan Company of Canada : making books and mapping culture / Ruth Panofsky.</t>
  </si>
  <si>
    <t>Panofsky, Ruth.</t>
  </si>
  <si>
    <t>Toronto : University of Toronto Press, c2012.</t>
  </si>
  <si>
    <t>2018-04-13</t>
  </si>
  <si>
    <t>1081650367:eng</t>
  </si>
  <si>
    <t>727326109</t>
  </si>
  <si>
    <t>ocn727326109</t>
  </si>
  <si>
    <t>3103326698U</t>
  </si>
  <si>
    <t>9780802098771</t>
  </si>
  <si>
    <t>794877931</t>
  </si>
  <si>
    <t>Z483 M33 D48 2017</t>
  </si>
  <si>
    <t>0                      Z  0483000M  33                 D  48          2017</t>
  </si>
  <si>
    <t>The handover : how bigwigs and bureaucrats transferred Canada's best publisher and the best part of our literary heritage to a foreign multinational / Elaine Dewar.</t>
  </si>
  <si>
    <t>Dewar, Elaine, author.</t>
  </si>
  <si>
    <t>3882202407:eng</t>
  </si>
  <si>
    <t>959038143</t>
  </si>
  <si>
    <t>ocn959038143</t>
  </si>
  <si>
    <t>3103647389X</t>
  </si>
  <si>
    <t>9781771961110</t>
  </si>
  <si>
    <t>795022202</t>
  </si>
  <si>
    <t>3103702345L</t>
  </si>
  <si>
    <t>795022203</t>
  </si>
  <si>
    <t>Z483 M33 F75 2007</t>
  </si>
  <si>
    <t>0                      Z  0483000M  33                 F  75          2007</t>
  </si>
  <si>
    <t>New Canadian library : the Ross-McClelland years, 1952-1978 / Janet B. Friskney.</t>
  </si>
  <si>
    <t>Friskney, Janet B. (Janet Beverly), 1968-</t>
  </si>
  <si>
    <t>Toronto ; Buffalo : University of Toronto Press, ©2007.</t>
  </si>
  <si>
    <t>863913260:eng</t>
  </si>
  <si>
    <t>145429165</t>
  </si>
  <si>
    <t>ocn145429165</t>
  </si>
  <si>
    <t>3102705482Z</t>
  </si>
  <si>
    <t>9780802097460</t>
  </si>
  <si>
    <t>794239681</t>
  </si>
  <si>
    <t>Z483 M33 K56 1999</t>
  </si>
  <si>
    <t>0                      Z  0483000M  33                 K  56          1999</t>
  </si>
  <si>
    <t>Jack : a life with writers : the story of Jack McClelland / James King.</t>
  </si>
  <si>
    <t>King, James, 1942-</t>
  </si>
  <si>
    <t>Toronto : Knopf Canada, 1999.</t>
  </si>
  <si>
    <t>287529597:eng</t>
  </si>
  <si>
    <t>45446373</t>
  </si>
  <si>
    <t>ocm45446373</t>
  </si>
  <si>
    <t>3102018937H</t>
  </si>
  <si>
    <t>9780676971507</t>
  </si>
  <si>
    <t>793671803</t>
  </si>
  <si>
    <t>Z483 M43 A3 2013</t>
  </si>
  <si>
    <t>0                      Z  0483000M  43                 A  3           2013</t>
  </si>
  <si>
    <t>The Pope's bookbinder : a memoir / David Mason.</t>
  </si>
  <si>
    <t>Mason, David, 1938-</t>
  </si>
  <si>
    <t>Windsor, Ont. : Biblioasis, 2013.</t>
  </si>
  <si>
    <t>1183135003:eng</t>
  </si>
  <si>
    <t>847237681</t>
  </si>
  <si>
    <t>ocn847237681</t>
  </si>
  <si>
    <t>3103492919C</t>
  </si>
  <si>
    <t>9781927428177</t>
  </si>
  <si>
    <t>794949426</t>
  </si>
  <si>
    <t>Z483 M48 A3 2014</t>
  </si>
  <si>
    <t>0                      Z  0483000M  48                 A  3           2014</t>
  </si>
  <si>
    <t>An aesthetic underground : a literary memoir / John Metcalf.</t>
  </si>
  <si>
    <t>Metcalf, John, 1938- author.</t>
  </si>
  <si>
    <t>Windsor : Biblioasis, [2014]</t>
  </si>
  <si>
    <t>Biblioasis renditions series</t>
  </si>
  <si>
    <t>2017-06-13</t>
  </si>
  <si>
    <t>8467787:eng</t>
  </si>
  <si>
    <t>883940069</t>
  </si>
  <si>
    <t>ocn883940069</t>
  </si>
  <si>
    <t>31034958221</t>
  </si>
  <si>
    <t>9781927428955</t>
  </si>
  <si>
    <t>794976072</t>
  </si>
  <si>
    <t>Z483 O52</t>
  </si>
  <si>
    <t>0                      Z  0483000O  52</t>
  </si>
  <si>
    <t>Final report on the distribution of paperbacks and periodicals in Ontario.</t>
  </si>
  <si>
    <t>Ontario. Royal Commission on Book Publishing.</t>
  </si>
  <si>
    <t>[Toronto] : Royal Commission on Book Pub., 1972.</t>
  </si>
  <si>
    <t>2175099:eng</t>
  </si>
  <si>
    <t>1256443</t>
  </si>
  <si>
    <t>ocm01256443</t>
  </si>
  <si>
    <t>31036792988</t>
  </si>
  <si>
    <t>791584947</t>
  </si>
  <si>
    <t>Z483 P36 1985</t>
  </si>
  <si>
    <t>0                      Z  0483000P  36          1985</t>
  </si>
  <si>
    <t>The beginnings of the book trade in Canada / George L. Parker.</t>
  </si>
  <si>
    <t>Parker, George L.</t>
  </si>
  <si>
    <t>Toronto ; Buffalo : University of Toronto Press, ©1985.</t>
  </si>
  <si>
    <t>5054375:eng</t>
  </si>
  <si>
    <t>12373033</t>
  </si>
  <si>
    <t>ocm12373033</t>
  </si>
  <si>
    <t>3103023803Z</t>
  </si>
  <si>
    <t>9780802025470</t>
  </si>
  <si>
    <t>792812696</t>
  </si>
  <si>
    <t>Z483 P53 C34 2013</t>
  </si>
  <si>
    <t>0                      Z  0483000P  53                 C  34          2013</t>
  </si>
  <si>
    <t>Both hands : a life of Lorne Pierce of Ryerson Press / Sandra Campbell.</t>
  </si>
  <si>
    <t>Campbell, Sandra, author.</t>
  </si>
  <si>
    <t>Montréal &amp; Kingston : McGill-Queen's University Press, [2013]</t>
  </si>
  <si>
    <t>1182285346:eng</t>
  </si>
  <si>
    <t>818414611</t>
  </si>
  <si>
    <t>ocn818414611</t>
  </si>
  <si>
    <t>3103423953Z</t>
  </si>
  <si>
    <t>9780773541160</t>
  </si>
  <si>
    <t>794933916</t>
  </si>
  <si>
    <t>Z488.3 Q4 B4x</t>
  </si>
  <si>
    <t>0                      Z  0488300Q  4                  B  4x</t>
  </si>
  <si>
    <t>La bataille du livre au Québec; oui à la culture française, non au colonialisme culturel [par] Pierre de Bellefeuille, Alain Pontaut et collaborateurs. Préf de J.-Z. Léon Patenaude.</t>
  </si>
  <si>
    <t>Bellefeuille, Pierre de, 1923-</t>
  </si>
  <si>
    <t>[Montréal] Leméac, [1972]</t>
  </si>
  <si>
    <t>Dossiers</t>
  </si>
  <si>
    <t>2017-03-09</t>
  </si>
  <si>
    <t>37728906:fre</t>
  </si>
  <si>
    <t>2311024</t>
  </si>
  <si>
    <t>ocm02311024</t>
  </si>
  <si>
    <t>3000442404P</t>
  </si>
  <si>
    <t>792101705</t>
  </si>
  <si>
    <t>Z488.3 Q4 C38 1981</t>
  </si>
  <si>
    <t>0                      Z  0488300Q  4                  C  38          1981</t>
  </si>
  <si>
    <t>L'édition au Québec de 1960 à 1977 / Ignace Cau.</t>
  </si>
  <si>
    <t>Cau, Ignace.</t>
  </si>
  <si>
    <t>Québec : Ministère des affaires culturelles, 1981.</t>
  </si>
  <si>
    <t>Civilisation du Québec ; 30</t>
  </si>
  <si>
    <t>43603752:fre</t>
  </si>
  <si>
    <t>9732289</t>
  </si>
  <si>
    <t>ocm09732289</t>
  </si>
  <si>
    <t>3000344475$</t>
  </si>
  <si>
    <t>9782551045013</t>
  </si>
  <si>
    <t>792690930</t>
  </si>
  <si>
    <t>Z488.3 Q4 E32 1991</t>
  </si>
  <si>
    <t>0                      Z  0488300Q  4                  E  32          1991</t>
  </si>
  <si>
    <t>Editeurs transatlantiques : études sur les éditions de l'Arbre, Lucien Parizeau, Fernand Pilon, Serge Brousseau, Mangin, B.D. Simpson / rassemblés et présentées par Jacques Michon.</t>
  </si>
  <si>
    <t>Sherbrooke, Québec : Editions Ex Libris ; Montréal, Québec : Editions Tryptique ; Boisbriand, Québec : Diffusion Prologue, ©1991.</t>
  </si>
  <si>
    <t>Collection "Etudes sur l'édition"</t>
  </si>
  <si>
    <t>890228430:fre</t>
  </si>
  <si>
    <t>30039007</t>
  </si>
  <si>
    <t>ocm30039007</t>
  </si>
  <si>
    <t>3103680014D</t>
  </si>
  <si>
    <t>9782921061049</t>
  </si>
  <si>
    <t>793327699</t>
  </si>
  <si>
    <t>Z488.3 Q4 E34 1988</t>
  </si>
  <si>
    <t>0                      Z  0488300Q  4                  E  34          1988</t>
  </si>
  <si>
    <t>L'Édition du livre populaire : études sur les éditions Édouard Garand, de l'Étoile, Marquis, Granger frères / rassemblées et présentées par Jacques Michon.</t>
  </si>
  <si>
    <t>Sherbrooke, Québec : Éditions Ex libris, 1988.</t>
  </si>
  <si>
    <t>55116340:fre</t>
  </si>
  <si>
    <t>18258416</t>
  </si>
  <si>
    <t>ocm18258416</t>
  </si>
  <si>
    <t>31007542645</t>
  </si>
  <si>
    <t>9782921061018</t>
  </si>
  <si>
    <t>793019015</t>
  </si>
  <si>
    <t>Z488.3 Q4 E35 1985</t>
  </si>
  <si>
    <t>0                      Z  0488300Q  4                  E  35          1985</t>
  </si>
  <si>
    <t>L'Édition littéraire au Québec de 1940 à 1960 / GRELQ ; Silvie Bernier ... [et al.].</t>
  </si>
  <si>
    <t>Sherbrooke, Québec : Dép. d'études françaises, Université de Sherbrooke, 1985.</t>
  </si>
  <si>
    <t>Cahiers d'études littéraires et culturelles ; no 9</t>
  </si>
  <si>
    <t>2018-01-04</t>
  </si>
  <si>
    <t>195349863:fre</t>
  </si>
  <si>
    <t>243537317</t>
  </si>
  <si>
    <t>ocn243537317</t>
  </si>
  <si>
    <t>3102951713J</t>
  </si>
  <si>
    <t>9782893430003</t>
  </si>
  <si>
    <t>794378291</t>
  </si>
  <si>
    <t>Z488.3 Q4 E36 1994</t>
  </si>
  <si>
    <t>0                      Z  0488300Q  4                  E  36          1994</t>
  </si>
  <si>
    <t>L'édition littéraire en quête d'autonomie : Albert Lévesque et son temps / sous la direction de Jacques Michon.</t>
  </si>
  <si>
    <t>Sainte-Foy [Québec] : Presses de l'Université Laval, 1994.</t>
  </si>
  <si>
    <t>2015-01-20</t>
  </si>
  <si>
    <t>55808800:fre</t>
  </si>
  <si>
    <t>32205238</t>
  </si>
  <si>
    <t>ocm32205238</t>
  </si>
  <si>
    <t>3101430568U</t>
  </si>
  <si>
    <t>9782763773490</t>
  </si>
  <si>
    <t>793378174</t>
  </si>
  <si>
    <t>Z488.3 Q4 H57 1999</t>
  </si>
  <si>
    <t>0                      Z  0488300Q  4                  H  57          1999</t>
  </si>
  <si>
    <t>Histoire de l'édition littéraire au Québec au XXe siècle / sous la direction de Jacques Michon.</t>
  </si>
  <si>
    <t>[Saint-Laurent, Québec] : Fides, 1999-2010.</t>
  </si>
  <si>
    <t>5048891322:fre</t>
  </si>
  <si>
    <t>41467866</t>
  </si>
  <si>
    <t>ocm41467866</t>
  </si>
  <si>
    <t>3102406972$</t>
  </si>
  <si>
    <t>9782762120912</t>
  </si>
  <si>
    <t>793592251</t>
  </si>
  <si>
    <t>31019911970</t>
  </si>
  <si>
    <t>793592252</t>
  </si>
  <si>
    <t>3103303395O</t>
  </si>
  <si>
    <t>793592250</t>
  </si>
  <si>
    <t>Z488.3 Q4 M45 2001</t>
  </si>
  <si>
    <t>0                      Z  0488300Q  4                  M  45          2001</t>
  </si>
  <si>
    <t>Les chiffres des mots : portrait économique du livre au Québec / Marc Ménard.</t>
  </si>
  <si>
    <t>Ménard, Marc, 1960-</t>
  </si>
  <si>
    <t>Montréal : Société de développement des entreprises culturelles, 2001.</t>
  </si>
  <si>
    <t>Collection Culture et économie</t>
  </si>
  <si>
    <t>56782069:fre</t>
  </si>
  <si>
    <t>49007184</t>
  </si>
  <si>
    <t>ocm49007184</t>
  </si>
  <si>
    <t>3102167388T</t>
  </si>
  <si>
    <t>9782550371878</t>
  </si>
  <si>
    <t>793732717</t>
  </si>
  <si>
    <t>Z488.3 Q4 M52 2009</t>
  </si>
  <si>
    <t>0                      Z  0488300Q  4                  M  52          2009</t>
  </si>
  <si>
    <t>1940-1948 : les éditeurs québecois et l'effort de guerre / [commissariat] Jacques Michon.</t>
  </si>
  <si>
    <t>Québec : Presses de l'Université Laval, 2009.</t>
  </si>
  <si>
    <t>353778058:fre</t>
  </si>
  <si>
    <t>1017556139</t>
  </si>
  <si>
    <t>ocn473576345</t>
  </si>
  <si>
    <t>31030726942</t>
  </si>
  <si>
    <t>9782763789613</t>
  </si>
  <si>
    <t>794797971</t>
  </si>
  <si>
    <t>Z488.3 Q4 R69 2000</t>
  </si>
  <si>
    <t>0                      Z  0488300Q  4                  R  69          2000</t>
  </si>
  <si>
    <t>Histoire de la librairie au Québec / Fernande Roy.</t>
  </si>
  <si>
    <t>Roy, Fernande, 1946-</t>
  </si>
  <si>
    <t>Montréal : Leméac, 2000.</t>
  </si>
  <si>
    <t>2017-09-04</t>
  </si>
  <si>
    <t>14142839:fre</t>
  </si>
  <si>
    <t>45191010</t>
  </si>
  <si>
    <t>ocm45191010</t>
  </si>
  <si>
    <t>3102108222K</t>
  </si>
  <si>
    <t>9782760994454</t>
  </si>
  <si>
    <t>793666491</t>
  </si>
  <si>
    <t>Z488.3 Q4 R694 2008</t>
  </si>
  <si>
    <t>0                      Z  0488300Q  4                  R  694         2008</t>
  </si>
  <si>
    <t>Le livre français au Québec, 1939-1972 / Philippe Roy.</t>
  </si>
  <si>
    <t>Roy-Lysencourt, Philippe, 1981-</t>
  </si>
  <si>
    <t>Paris : Publibook, 2008.</t>
  </si>
  <si>
    <t>Sciences humaines et sociales histroire</t>
  </si>
  <si>
    <t>351723555:fre</t>
  </si>
  <si>
    <t>234041099</t>
  </si>
  <si>
    <t>ocn234041099</t>
  </si>
  <si>
    <t>31031195617</t>
  </si>
  <si>
    <t>9782748341997</t>
  </si>
  <si>
    <t>794367988</t>
  </si>
  <si>
    <t>Z533.3 H57 2001</t>
  </si>
  <si>
    <t>0                      Z  0533300H  57          2001</t>
  </si>
  <si>
    <t>A history of the book in Australia, 1891-1945 : a national culture in a colonised market / edited by Martyn Lyons &amp; John Arnold.</t>
  </si>
  <si>
    <t>St Lucia, Qld. : University of Queensland Press ; Portland, Or. : Distributed in the USA and Canada by International Specialized Book Services, 2001.</t>
  </si>
  <si>
    <t>A history of the book in Australia</t>
  </si>
  <si>
    <t>2015-10-21</t>
  </si>
  <si>
    <t>351057308:eng</t>
  </si>
  <si>
    <t>48968227</t>
  </si>
  <si>
    <t>ocm48968227</t>
  </si>
  <si>
    <t>3102189258K</t>
  </si>
  <si>
    <t>9780702232343</t>
  </si>
  <si>
    <t>793731943</t>
  </si>
  <si>
    <t>Z533.3 P36 2006</t>
  </si>
  <si>
    <t>0                      Z  0533300P  36          2006</t>
  </si>
  <si>
    <t>Paper empires : a history of the book in Australia, 1946-2005 / edited by Craig Munro &amp; Robyn Sheahan-Bright.</t>
  </si>
  <si>
    <t>St Lucia, Qld. : University of Queensland Press, 2006.</t>
  </si>
  <si>
    <t>836897298:eng</t>
  </si>
  <si>
    <t>70818980</t>
  </si>
  <si>
    <t>ocm70818980</t>
  </si>
  <si>
    <t>3102590930H</t>
  </si>
  <si>
    <t>9780702235597</t>
  </si>
  <si>
    <t>794159556</t>
  </si>
  <si>
    <t>Z551 R28 1860</t>
  </si>
  <si>
    <t>0                      Z  0551000R  28          1860</t>
  </si>
  <si>
    <t>The eighth commandment. Charles Reade.</t>
  </si>
  <si>
    <t>Reade, Charles, 1814-1884.</t>
  </si>
  <si>
    <t>London : Trübner &amp; Co., 1860.</t>
  </si>
  <si>
    <t>1860</t>
  </si>
  <si>
    <t>2015-01-24</t>
  </si>
  <si>
    <t>12254552:eng</t>
  </si>
  <si>
    <t>427209712</t>
  </si>
  <si>
    <t>ocn427209712</t>
  </si>
  <si>
    <t>3000787693X</t>
  </si>
  <si>
    <t>794542629</t>
  </si>
  <si>
    <t>Z552 H46 2004</t>
  </si>
  <si>
    <t>0                      Z  0552000H  46          2004</t>
  </si>
  <si>
    <t>No trespassing : authorship, intellectual property rights, and the boundaries of globalization / Eva Hemmungs Wirtén.</t>
  </si>
  <si>
    <t>Hemmungs Wirtén, Eva.</t>
  </si>
  <si>
    <t>Toronto ; Buffalo : University of Toronto Press, ©2004.</t>
  </si>
  <si>
    <t>312282516:eng</t>
  </si>
  <si>
    <t>52574776</t>
  </si>
  <si>
    <t>ocm52574776</t>
  </si>
  <si>
    <t>3102907449N</t>
  </si>
  <si>
    <t>9780802088352</t>
  </si>
  <si>
    <t>793810095</t>
  </si>
  <si>
    <t>Z552 I63x 1952</t>
  </si>
  <si>
    <t>0                      Z  0552000I  63x         1952</t>
  </si>
  <si>
    <t>The law of copyright under the Universal convention, by Arpad Bogsch.</t>
  </si>
  <si>
    <t>Bogsch, Arpad.</t>
  </si>
  <si>
    <t>Leyden, A.W. Sijthoff; New York, R.R. Bowker, 1968.</t>
  </si>
  <si>
    <t>3d rev. ed.</t>
  </si>
  <si>
    <t>2017-09-07</t>
  </si>
  <si>
    <t>193932031:eng</t>
  </si>
  <si>
    <t>38168</t>
  </si>
  <si>
    <t>ocm00038168</t>
  </si>
  <si>
    <t>3000498547H</t>
  </si>
  <si>
    <t>791236199</t>
  </si>
  <si>
    <t>Z552 L15</t>
  </si>
  <si>
    <t>0                      Z  0552000L  15</t>
  </si>
  <si>
    <t>The international protection of literary and artistic property / by Stephen P. Ladas.</t>
  </si>
  <si>
    <t>Ladas, Stephen P. (Stephen Pericles), 1898-1976.</t>
  </si>
  <si>
    <t>New York : Macmillan, 1938.</t>
  </si>
  <si>
    <t>Harvard studies in international law / Bureau of International Research, Harvard University and Radcliffe College ; 3</t>
  </si>
  <si>
    <t>9592950248:eng</t>
  </si>
  <si>
    <t>570118</t>
  </si>
  <si>
    <t>ocm00570118</t>
  </si>
  <si>
    <t>3000779016Y</t>
  </si>
  <si>
    <t>791417410</t>
  </si>
  <si>
    <t>2003-12-08</t>
  </si>
  <si>
    <t>3100430829$</t>
  </si>
  <si>
    <t>791417409</t>
  </si>
  <si>
    <t>Z553 B6 1968</t>
  </si>
  <si>
    <t>0                      Z  0553000B  6           1968</t>
  </si>
  <si>
    <t>3000851446H</t>
  </si>
  <si>
    <t>791236198</t>
  </si>
  <si>
    <t>Z565 F75 1984</t>
  </si>
  <si>
    <t>0                      Z  0565000F  75          1984</t>
  </si>
  <si>
    <t>From Gutenberg to Telidon : a white paper on copyright : proposals for the revision of the Canadian Copyright Act.</t>
  </si>
  <si>
    <t>[Ottawa] : Govt. of Canada, Consumer and Corporate Affairs Canada : Govt. of Canada, Dept. of Communications, ©1984.</t>
  </si>
  <si>
    <t>2016-11-27</t>
  </si>
  <si>
    <t>5623476935:eng</t>
  </si>
  <si>
    <t>11400504</t>
  </si>
  <si>
    <t>ocm11400504</t>
  </si>
  <si>
    <t>3000845692P</t>
  </si>
  <si>
    <t>9780662130253</t>
  </si>
  <si>
    <t>792772219</t>
  </si>
  <si>
    <t>Z630 B65</t>
  </si>
  <si>
    <t>0                      Z  0630000B  65</t>
  </si>
  <si>
    <t>Uchastie SSSR v mezhdunarodnoĭ okhrane avtorskikh prav / M.M. Boguslavskiĭ.</t>
  </si>
  <si>
    <t>Boguslavskiĭ, M. M. (Mark Moiseevich)</t>
  </si>
  <si>
    <t>Moskva : I︠U︡rid. lit-ra, 1974.</t>
  </si>
  <si>
    <t>Besedy o sovetskom zakonodatel'stve.</t>
  </si>
  <si>
    <t>14891544:rus</t>
  </si>
  <si>
    <t>4632816</t>
  </si>
  <si>
    <t>ocm04632816</t>
  </si>
  <si>
    <t>3000327681U</t>
  </si>
  <si>
    <t>792369710</t>
  </si>
  <si>
    <t>Z642 K3</t>
  </si>
  <si>
    <t>0                      Z  0642000K  3</t>
  </si>
  <si>
    <t>An unhurried view of copyright / Benjamin Kaplan ; preface by William C. Warren.</t>
  </si>
  <si>
    <t>Kaplan, Benjamin, 1911-2010.</t>
  </si>
  <si>
    <t>New York : Columbia University Press, 1967.</t>
  </si>
  <si>
    <t>James S. Carpentier lectures ; 1966</t>
  </si>
  <si>
    <t>2018-03-22</t>
  </si>
  <si>
    <t>695027818:eng</t>
  </si>
  <si>
    <t>546426</t>
  </si>
  <si>
    <t>ocm00546426</t>
  </si>
  <si>
    <t>3000853495V</t>
  </si>
  <si>
    <t>791410310</t>
  </si>
  <si>
    <t>Z642 M3</t>
  </si>
  <si>
    <t>0                      Z  0642000M  3</t>
  </si>
  <si>
    <t>Copyright and intellectual property, by Julius J. Marke.</t>
  </si>
  <si>
    <t>Marke, Julius J.</t>
  </si>
  <si>
    <t>[New York] Fund for the Advancement of Education [1967]</t>
  </si>
  <si>
    <t>1950788:eng</t>
  </si>
  <si>
    <t>1022168</t>
  </si>
  <si>
    <t>ocm01022168</t>
  </si>
  <si>
    <t>3000853498P</t>
  </si>
  <si>
    <t>791526942</t>
  </si>
  <si>
    <t>Z642 P3</t>
  </si>
  <si>
    <t>0                      Z  0642000P  3</t>
  </si>
  <si>
    <t>Copyright in historical perspective.</t>
  </si>
  <si>
    <t>Patterson, L. Ray (Lyman Ray)</t>
  </si>
  <si>
    <t>Nashville, Vanderbilt University Press, 1968.</t>
  </si>
  <si>
    <t>1571794:eng</t>
  </si>
  <si>
    <t>442447</t>
  </si>
  <si>
    <t>ocm00442447</t>
  </si>
  <si>
    <t>3000853504J</t>
  </si>
  <si>
    <t>9780826513731</t>
  </si>
  <si>
    <t>791379856</t>
  </si>
  <si>
    <t>Z653.7 A36 2008</t>
  </si>
  <si>
    <t>0                      Z  0653700A  36          2008</t>
  </si>
  <si>
    <t>Digital rights management : a librarian's guide to technology and practise / Grace Agnew.</t>
  </si>
  <si>
    <t>Agnew, Grace.</t>
  </si>
  <si>
    <t>Oxford : Chandos Pub., 2008.</t>
  </si>
  <si>
    <t>2018-12-04</t>
  </si>
  <si>
    <t>815127040:eng</t>
  </si>
  <si>
    <t>62715356</t>
  </si>
  <si>
    <t>ocm62715356</t>
  </si>
  <si>
    <t>31028549079</t>
  </si>
  <si>
    <t>9781843341253</t>
  </si>
  <si>
    <t>794111171</t>
  </si>
  <si>
    <t>Z653.7 A43 2008</t>
  </si>
  <si>
    <t>0                      Z  0653700A  43          2008</t>
  </si>
  <si>
    <t>Licensing and managing electronic resources / Becky Albitz.</t>
  </si>
  <si>
    <t>Albitz, Becky, author.</t>
  </si>
  <si>
    <t>Oxford, England : Chandos Pub., 2008.</t>
  </si>
  <si>
    <t>121932135:eng</t>
  </si>
  <si>
    <t>195722935</t>
  </si>
  <si>
    <t>ocn195722935</t>
  </si>
  <si>
    <t>3102854449G</t>
  </si>
  <si>
    <t>9781843344322</t>
  </si>
  <si>
    <t>794304214</t>
  </si>
  <si>
    <t>Z653.7 P43 2012</t>
  </si>
  <si>
    <t>0                      Z  0653700P  43          2012</t>
  </si>
  <si>
    <t>The e-copyright handbook / Paul Pedley.</t>
  </si>
  <si>
    <t>Pedley, Paul, author.</t>
  </si>
  <si>
    <t>London : Facet Pub., 2012.</t>
  </si>
  <si>
    <t>2014-12-06</t>
  </si>
  <si>
    <t>1169627919:eng</t>
  </si>
  <si>
    <t>811247058</t>
  </si>
  <si>
    <t>ocn811247058</t>
  </si>
  <si>
    <t>3103502069V</t>
  </si>
  <si>
    <t>9781856048279</t>
  </si>
  <si>
    <t>794929919</t>
  </si>
  <si>
    <t>Z657 C348 2007</t>
  </si>
  <si>
    <t>0                      Z  0657000C  348         2007</t>
  </si>
  <si>
    <t>Forbidden fruit : banned, censored, and challenged books from Dante to Harry Potter / Pearce J. Carefoote ; with an introduction by Alberto Manguel.</t>
  </si>
  <si>
    <t>Carefoote, Pearce J., 1961-</t>
  </si>
  <si>
    <t>Toronto : LMB Editions, 2007.</t>
  </si>
  <si>
    <t>2019-11-14</t>
  </si>
  <si>
    <t>499430471:eng</t>
  </si>
  <si>
    <t>165871318</t>
  </si>
  <si>
    <t>ocn165871318</t>
  </si>
  <si>
    <t>3102705108N</t>
  </si>
  <si>
    <t>9780978176549</t>
  </si>
  <si>
    <t>794259404</t>
  </si>
  <si>
    <t>Z657 C38 2008</t>
  </si>
  <si>
    <t>0                      Z  0657000C  38          2008</t>
  </si>
  <si>
    <t>Censorship / Frank Caso ; foreword by Richard B. Collins.</t>
  </si>
  <si>
    <t>Caso, Frank.</t>
  </si>
  <si>
    <t>New York : Facts On File, ©2008.</t>
  </si>
  <si>
    <t>Global issues</t>
  </si>
  <si>
    <t>116924820:eng</t>
  </si>
  <si>
    <t>181862718</t>
  </si>
  <si>
    <t>ocn181862718</t>
  </si>
  <si>
    <t>3102971998O</t>
  </si>
  <si>
    <t>9780816071234</t>
  </si>
  <si>
    <t>794283927</t>
  </si>
  <si>
    <t>Z657 C43 1978</t>
  </si>
  <si>
    <t>0                      Z  0657000C  43          1978</t>
  </si>
  <si>
    <t>Censorship and obscenity / edited by Rajeev Dhavan and Christie Davies.</t>
  </si>
  <si>
    <t>London : M. Robertson, 1978.</t>
  </si>
  <si>
    <t>Law in society series</t>
  </si>
  <si>
    <t>352015809:eng</t>
  </si>
  <si>
    <t>4465389</t>
  </si>
  <si>
    <t>ocm04465389</t>
  </si>
  <si>
    <t>3000847847C</t>
  </si>
  <si>
    <t>9780855201883</t>
  </si>
  <si>
    <t>792352230</t>
  </si>
  <si>
    <t>Z657 C467 2011</t>
  </si>
  <si>
    <t>0                      Z  0657000C  467         2011</t>
  </si>
  <si>
    <t>Censures : les violences du sens / sous la direction de Nassim Amrouche [and others].</t>
  </si>
  <si>
    <t>Aix-en-Provence : Publications de l'Université de Provence, 2011.</t>
  </si>
  <si>
    <t>Publications de l'Université de Provence</t>
  </si>
  <si>
    <t>2015-05-28</t>
  </si>
  <si>
    <t>1035645914:fre</t>
  </si>
  <si>
    <t>743989718</t>
  </si>
  <si>
    <t>ocn743989718</t>
  </si>
  <si>
    <t>3103401985A</t>
  </si>
  <si>
    <t>9782853997812</t>
  </si>
  <si>
    <t>794885878</t>
  </si>
  <si>
    <t>Z657 F45</t>
  </si>
  <si>
    <t>0                      Z  0657000F  45</t>
  </si>
  <si>
    <t>Press and party in Canada : issues of freedom.</t>
  </si>
  <si>
    <t>Ferguson, G. V. (George Victor), 1897-1977.</t>
  </si>
  <si>
    <t>Toronto : Ryerson Press, [1955]</t>
  </si>
  <si>
    <t>Chancellor Dunning Trust lectures ; 1955</t>
  </si>
  <si>
    <t>2016-09-29</t>
  </si>
  <si>
    <t>9093872741:eng</t>
  </si>
  <si>
    <t>61596949</t>
  </si>
  <si>
    <t>ocm61596949</t>
  </si>
  <si>
    <t>3000688247L</t>
  </si>
  <si>
    <t>794036375</t>
  </si>
  <si>
    <t>Z657 F48 1961</t>
  </si>
  <si>
    <t>0                      Z  0657000F  48          1961</t>
  </si>
  <si>
    <t>Howl of the censor / edited with introduction by J.W. Ehrlich.</t>
  </si>
  <si>
    <t>San Carlos, Calif. : Nourse Pub. Co., [1961]</t>
  </si>
  <si>
    <t>2017-11-05</t>
  </si>
  <si>
    <t>501631:eng</t>
  </si>
  <si>
    <t>1576999</t>
  </si>
  <si>
    <t>ocm01576999</t>
  </si>
  <si>
    <t>31028639008</t>
  </si>
  <si>
    <t>9780837186856</t>
  </si>
  <si>
    <t>791755010</t>
  </si>
  <si>
    <t>Z657 F5 1994</t>
  </si>
  <si>
    <t>0                      Z  0657000F  5           1994</t>
  </si>
  <si>
    <t>There's no such thing as free speech, and it's a good thing, too / Stanley Fish.</t>
  </si>
  <si>
    <t>Fish, Stanley Eugene.</t>
  </si>
  <si>
    <t>New York : Oxford University Press, 1994.</t>
  </si>
  <si>
    <t>Oxford paperbacks</t>
  </si>
  <si>
    <t>2018-09-04</t>
  </si>
  <si>
    <t>327954:eng</t>
  </si>
  <si>
    <t>28063095</t>
  </si>
  <si>
    <t>ocm28063095</t>
  </si>
  <si>
    <t>3103089304X</t>
  </si>
  <si>
    <t>9780195080186</t>
  </si>
  <si>
    <t>793278848</t>
  </si>
  <si>
    <t>Z657 H87</t>
  </si>
  <si>
    <t>0                      Z  0657000H  87</t>
  </si>
  <si>
    <t>Hier zensur - wer dort? Antworten von gestern auf fragen von heute.</t>
  </si>
  <si>
    <t>Houben, H. H. (Heinrich Hubert), 1875-1935.</t>
  </si>
  <si>
    <t>Leipzig, H. Haessel [©1918]</t>
  </si>
  <si>
    <t>1918</t>
  </si>
  <si>
    <t>2. Aufl.</t>
  </si>
  <si>
    <t>367395358:ger</t>
  </si>
  <si>
    <t>51746293</t>
  </si>
  <si>
    <t>ocm51746293</t>
  </si>
  <si>
    <t>30007036532</t>
  </si>
  <si>
    <t>793790109</t>
  </si>
  <si>
    <t>Z657 J3 1991</t>
  </si>
  <si>
    <t>0                      Z  0657000J  3           1991</t>
  </si>
  <si>
    <t>Censorship : the knot that binds power and knowledge / Sue Curry Jansen.</t>
  </si>
  <si>
    <t>Jansen, Sue Curry.</t>
  </si>
  <si>
    <t>New York : Oxford University Press, ©1991.</t>
  </si>
  <si>
    <t>1102504027:eng</t>
  </si>
  <si>
    <t>23733172</t>
  </si>
  <si>
    <t>ocm23733172</t>
  </si>
  <si>
    <t>3101271575I</t>
  </si>
  <si>
    <t>9780195069068</t>
  </si>
  <si>
    <t>793181355</t>
  </si>
  <si>
    <t>Z657 M38 1959</t>
  </si>
  <si>
    <t>0                      Z  0657000M  38          1959</t>
  </si>
  <si>
    <t>Die österreichische Zensur im Vormärz.</t>
  </si>
  <si>
    <t>Marx, Julius.</t>
  </si>
  <si>
    <t>München, R. Oldenbourg [©1959]</t>
  </si>
  <si>
    <t>Österreich Archiv</t>
  </si>
  <si>
    <t>350289384:ger</t>
  </si>
  <si>
    <t>378607</t>
  </si>
  <si>
    <t>ocm00378607</t>
  </si>
  <si>
    <t>30006364866</t>
  </si>
  <si>
    <t>791358114</t>
  </si>
  <si>
    <t>Z657 P48 2009</t>
  </si>
  <si>
    <t>0                      Z  0657000P  48          2009</t>
  </si>
  <si>
    <t>Censorship : a beginner's guide / Julian Petley.</t>
  </si>
  <si>
    <t>Petley, Julian.</t>
  </si>
  <si>
    <t>Oxford : Oneworld, 2009.</t>
  </si>
  <si>
    <t>Oneworld beginners guides</t>
  </si>
  <si>
    <t>196186142:eng</t>
  </si>
  <si>
    <t>319211327</t>
  </si>
  <si>
    <t>ocn319211327</t>
  </si>
  <si>
    <t>3103135201Y</t>
  </si>
  <si>
    <t>9781851686742</t>
  </si>
  <si>
    <t>794483594</t>
  </si>
  <si>
    <t>Z657 Z46 2017</t>
  </si>
  <si>
    <t>0                      Z  0657000Z  46          2017</t>
  </si>
  <si>
    <t>Zensur und Medienkontrolle in demokratischen Gesellschaften / herausgegeben von Ulrich Ernst Huse.</t>
  </si>
  <si>
    <t>Wiesbaden : Harrassowitz Verlag, [2017]</t>
  </si>
  <si>
    <t>Kodex--Jahrbuch der Internationalen Buchwissenschaftlichen Gesellschaft, 2193-4983 ; 7 (2017)</t>
  </si>
  <si>
    <t>4576505067:ger</t>
  </si>
  <si>
    <t>1015838430</t>
  </si>
  <si>
    <t>on1015838430</t>
  </si>
  <si>
    <t>31037663290</t>
  </si>
  <si>
    <t>9783447108942</t>
  </si>
  <si>
    <t>795048180</t>
  </si>
  <si>
    <t>Z658 C2 D53 2006</t>
  </si>
  <si>
    <t>0                      Z  0658000C  2                  D  53          2006</t>
  </si>
  <si>
    <t>Dictionnaire de la censure au Québec : littérature et cinéma / sous la direction de Pierre Hébert, Yves Lever et Kenneth Landry.</t>
  </si>
  <si>
    <t>[Saint-Laurent, Québec] : Fides, ©2006.</t>
  </si>
  <si>
    <t>2017-12-22</t>
  </si>
  <si>
    <t>796560959:fre</t>
  </si>
  <si>
    <t>70292364</t>
  </si>
  <si>
    <t>ocm70292364</t>
  </si>
  <si>
    <t>3102552068D</t>
  </si>
  <si>
    <t>9782762126365</t>
  </si>
  <si>
    <t>794152651</t>
  </si>
  <si>
    <t>Z658 C3 B57</t>
  </si>
  <si>
    <t>0                      Z  0658000C  3                  B  57</t>
  </si>
  <si>
    <t>Mind war : book censorship in English Canada / Peter Birdsall, Delores Broten.</t>
  </si>
  <si>
    <t>Birdsall, Peter, 1948-</t>
  </si>
  <si>
    <t>Victoria, B.C. : CANLIT, 1978.</t>
  </si>
  <si>
    <t>21013298:eng</t>
  </si>
  <si>
    <t>6041487</t>
  </si>
  <si>
    <t>ocm06041487</t>
  </si>
  <si>
    <t>3102987074Q</t>
  </si>
  <si>
    <t>9780920566015</t>
  </si>
  <si>
    <t>792471560</t>
  </si>
  <si>
    <t>Z658 C3 F85 1996</t>
  </si>
  <si>
    <t>0                      Z  0658000C  3                  F  85          1996</t>
  </si>
  <si>
    <t>Restricted entry : censorship on trial / Janine Fuller &amp; Stuart Blackley ; edited by Nancy Pollak.</t>
  </si>
  <si>
    <t>Fuller, Janine, 1958-</t>
  </si>
  <si>
    <t>Vancouver : Press Gang Publishers, c1996.</t>
  </si>
  <si>
    <t>2016-10-30</t>
  </si>
  <si>
    <t>39630095:eng</t>
  </si>
  <si>
    <t>35924970</t>
  </si>
  <si>
    <t>ocm35924970</t>
  </si>
  <si>
    <t>31017481045</t>
  </si>
  <si>
    <t>9780889740662</t>
  </si>
  <si>
    <t>793460964</t>
  </si>
  <si>
    <t>Z658 C3 H42 1996</t>
  </si>
  <si>
    <t>0                      Z  0658000C  3                  H  42          1996</t>
  </si>
  <si>
    <t>Censure et littérature au Québec / Pierre Hébert.</t>
  </si>
  <si>
    <t>Hébert, Pierre, 1949-</t>
  </si>
  <si>
    <t>Saint-Laurent, Québec : Fides, 1996-2004.</t>
  </si>
  <si>
    <t>2018-11-20</t>
  </si>
  <si>
    <t>9965154142:fre</t>
  </si>
  <si>
    <t>428013087</t>
  </si>
  <si>
    <t>ocn428013087</t>
  </si>
  <si>
    <t>3101825679B</t>
  </si>
  <si>
    <t>9782762118995</t>
  </si>
  <si>
    <t>794748465</t>
  </si>
  <si>
    <t>3102423153T</t>
  </si>
  <si>
    <t>794748464</t>
  </si>
  <si>
    <t>Z658 C3 H425 2010</t>
  </si>
  <si>
    <t>0                      Z  0658000C  3                  H  425         2010</t>
  </si>
  <si>
    <t>La littérature québécoise et les fruits amers de la censure / Pierre Hébert.</t>
  </si>
  <si>
    <t>Montréal : Fides, 2010.</t>
  </si>
  <si>
    <t>Les grandes conférences</t>
  </si>
  <si>
    <t>373071969:fre</t>
  </si>
  <si>
    <t>499432003</t>
  </si>
  <si>
    <t>ocn499432003</t>
  </si>
  <si>
    <t>3103073079K</t>
  </si>
  <si>
    <t>9782762130300</t>
  </si>
  <si>
    <t>794803590</t>
  </si>
  <si>
    <t>Z658 C3 I57 1999</t>
  </si>
  <si>
    <t>0                      Z  0658000C  3                  I  57          1999</t>
  </si>
  <si>
    <t>Interpreting censorship in Canada / Klaus Petersen and Allan C. Hutchinson, editors.</t>
  </si>
  <si>
    <t>Toronto ; Buffalo : University of Toronto Press, ©1999.</t>
  </si>
  <si>
    <t>766888100:eng</t>
  </si>
  <si>
    <t>41026779</t>
  </si>
  <si>
    <t>ocm41026779</t>
  </si>
  <si>
    <t>3101982948J</t>
  </si>
  <si>
    <t>9780802041647</t>
  </si>
  <si>
    <t>793582301</t>
  </si>
  <si>
    <t>Z658 C3 S37 1995</t>
  </si>
  <si>
    <t>0                      Z  0658000C  3                  S  37          1995</t>
  </si>
  <si>
    <t>Fear of words : censorship and the public libraries of Canada / Alvin M. Schrader.</t>
  </si>
  <si>
    <t>Schrader, Alvin M.</t>
  </si>
  <si>
    <t>Ottawa, Ont. : Canadian Library Association, ©1995.</t>
  </si>
  <si>
    <t>2019-10-07</t>
  </si>
  <si>
    <t>476228698:eng</t>
  </si>
  <si>
    <t>34001117</t>
  </si>
  <si>
    <t>ocm34001117</t>
  </si>
  <si>
    <t>3102825168W</t>
  </si>
  <si>
    <t>9780888022745</t>
  </si>
  <si>
    <t>793416232</t>
  </si>
  <si>
    <t>Z658 C6 G75 2019</t>
  </si>
  <si>
    <t>0                      Z  0658000C  6                  G  75          2019</t>
  </si>
  <si>
    <t>The great firewall of China : how to build and control an alternative version of the internet / James Griffiths.</t>
  </si>
  <si>
    <t>Griffiths, James T. (James Tomos), 1988- author.</t>
  </si>
  <si>
    <t>London : Zed Books, [2019]</t>
  </si>
  <si>
    <t>2019-12-11</t>
  </si>
  <si>
    <t>8842847253:eng</t>
  </si>
  <si>
    <t>1040998629</t>
  </si>
  <si>
    <t>on1040998629</t>
  </si>
  <si>
    <t>3103880333K</t>
  </si>
  <si>
    <t>9781786995353</t>
  </si>
  <si>
    <t>795059110</t>
  </si>
  <si>
    <t>Z658 E85 G64 1989</t>
  </si>
  <si>
    <t>0                      Z  0658000E  85                 G  64          1989</t>
  </si>
  <si>
    <t>Political censorship of the arts and the press in nineteenth-century Europe / Robert Justin Goldstein.</t>
  </si>
  <si>
    <t>Goldstein, Robert Justin.</t>
  </si>
  <si>
    <t>New York : St. Martin's Press, 1989.</t>
  </si>
  <si>
    <t>17629169:eng</t>
  </si>
  <si>
    <t>18290820</t>
  </si>
  <si>
    <t>ocm18290820</t>
  </si>
  <si>
    <t>3102952039W</t>
  </si>
  <si>
    <t>9780312024703</t>
  </si>
  <si>
    <t>793019896</t>
  </si>
  <si>
    <t>Z658 E85 U84 2009</t>
  </si>
  <si>
    <t>0                      Z  0658000E  85                 U  84          2009</t>
  </si>
  <si>
    <t>The use of censorship in the Enlightenment / edited by Mogens Lærke.</t>
  </si>
  <si>
    <t>Leiden ; Boston : Brill, 2009.</t>
  </si>
  <si>
    <t>Brill's studies in intellectual history, 0920-8607 ; v. 175</t>
  </si>
  <si>
    <t>866382760:eng</t>
  </si>
  <si>
    <t>310392863</t>
  </si>
  <si>
    <t>ocn310392863</t>
  </si>
  <si>
    <t>3103406619D</t>
  </si>
  <si>
    <t>9789004175587</t>
  </si>
  <si>
    <t>794435338</t>
  </si>
  <si>
    <t>Z658 E85 Z458 2006</t>
  </si>
  <si>
    <t>0                      Z  0658000E  85                 Z  458         2006</t>
  </si>
  <si>
    <t>Zensur im Jahrhundert der Aufklärung : Geschichte, Theorie, Praxis / herausgegeben von Wilhelm Haefs und York-Gothart Mix.</t>
  </si>
  <si>
    <t>Göttingen, Niedersachs : Wallstein, 2006.</t>
  </si>
  <si>
    <t>Das achtzehnte Jahrhundert. Supplementa ; Bd. 12</t>
  </si>
  <si>
    <t>899781936:ger</t>
  </si>
  <si>
    <t>124066009</t>
  </si>
  <si>
    <t>ocn124066009</t>
  </si>
  <si>
    <t>3102806102D</t>
  </si>
  <si>
    <t>9783892448099</t>
  </si>
  <si>
    <t>794230356</t>
  </si>
  <si>
    <t>Z658 F7 B57 2007</t>
  </si>
  <si>
    <t>0                      Z  0658000F  7                  B  57          2007</t>
  </si>
  <si>
    <t>La censure royale des livres dans la France des lumières / Raymond Birn ; préface de Daniel Roche.</t>
  </si>
  <si>
    <t>Birn, Raymond.</t>
  </si>
  <si>
    <t>Paris : O. Jacob, ©2007.</t>
  </si>
  <si>
    <t>Collège de France, 1265-9835</t>
  </si>
  <si>
    <t>4202468712:fre</t>
  </si>
  <si>
    <t>85335580</t>
  </si>
  <si>
    <t>ocm85335580</t>
  </si>
  <si>
    <t>31033550626</t>
  </si>
  <si>
    <t>9782738118516</t>
  </si>
  <si>
    <t>794213381</t>
  </si>
  <si>
    <t>Z658 F7 B5713 2012</t>
  </si>
  <si>
    <t>0                      Z  0658000F  7                  B  5713        2012</t>
  </si>
  <si>
    <t>Royal censorship of books in eighteenth-century France / Raymond Birn.</t>
  </si>
  <si>
    <t>Birn, Raymond, author.</t>
  </si>
  <si>
    <t>Stanford, California : Stanford University Press, [2012]</t>
  </si>
  <si>
    <t>1167138988:eng</t>
  </si>
  <si>
    <t>704908476</t>
  </si>
  <si>
    <t>ocn704908476</t>
  </si>
  <si>
    <t>3103395961X</t>
  </si>
  <si>
    <t>9780804763592</t>
  </si>
  <si>
    <t>794865956</t>
  </si>
  <si>
    <t>Z658 F7 N45 1995</t>
  </si>
  <si>
    <t>0                      Z  0658000F  7                  N  45          1995</t>
  </si>
  <si>
    <t>Lectures interdites : le travail des censeurs au XVIIIe siècle, 1723-1774 / Barbara de Negroni.</t>
  </si>
  <si>
    <t>Negroni, Barbara de.</t>
  </si>
  <si>
    <t>Paris : A. Michel, ©1995.</t>
  </si>
  <si>
    <t>Bibliothèque Albin Michel. Histoire, 1158-6443</t>
  </si>
  <si>
    <t>296480709:fre</t>
  </si>
  <si>
    <t>35184195</t>
  </si>
  <si>
    <t>ocm35184195</t>
  </si>
  <si>
    <t>31028888646</t>
  </si>
  <si>
    <t>9782226079121</t>
  </si>
  <si>
    <t>793446282</t>
  </si>
  <si>
    <t>Z658 F7 P38 1994</t>
  </si>
  <si>
    <t>0                      Z  0658000F  7                  P  38          1994</t>
  </si>
  <si>
    <t>Nouveaux (et moins nouveaux) visages de la censure / Jean-Jacques Pauvert. Suivi de L'affaire Sade.</t>
  </si>
  <si>
    <t>Pauvert, Jean-Jacques.</t>
  </si>
  <si>
    <t>Paris : Les Belles Lettres, 1994.</t>
  </si>
  <si>
    <t>2016-01-17</t>
  </si>
  <si>
    <t>2453018826:fre</t>
  </si>
  <si>
    <t>33405610</t>
  </si>
  <si>
    <t>ocm33405610</t>
  </si>
  <si>
    <t>3101444276H</t>
  </si>
  <si>
    <t>9782251440194</t>
  </si>
  <si>
    <t>793408721</t>
  </si>
  <si>
    <t>Z658 F7 S5</t>
  </si>
  <si>
    <t>0                      Z  0658000F  7                  S  5</t>
  </si>
  <si>
    <t>Censure and censorship : impediments to free publication in the age of enlightenment / by Robert Shackleton.</t>
  </si>
  <si>
    <t>Shackleton, Robert.</t>
  </si>
  <si>
    <t>[Austin] : Humanities Research Center, University of Texas at Austin, ©1975.</t>
  </si>
  <si>
    <t>Lew David Feldman lectureship in bibliography ; 5</t>
  </si>
  <si>
    <t>2016-03-27</t>
  </si>
  <si>
    <t>423433132:eng</t>
  </si>
  <si>
    <t>2071068</t>
  </si>
  <si>
    <t>ocm02071068</t>
  </si>
  <si>
    <t>30008535633</t>
  </si>
  <si>
    <t>792039838</t>
  </si>
  <si>
    <t>Z658 F7 W456 1999</t>
  </si>
  <si>
    <t>0                      Z  0658000F  7                  W  456         1999</t>
  </si>
  <si>
    <t>Livres interdits, livres persécutés, 1720-1770 / Françoise Weil.</t>
  </si>
  <si>
    <t>Weil, Françoise.</t>
  </si>
  <si>
    <t>Oxford : Voltaire Foundation, 1999.</t>
  </si>
  <si>
    <t>Histoire du livre = History of the book</t>
  </si>
  <si>
    <t>286853022:fre</t>
  </si>
  <si>
    <t>41890533</t>
  </si>
  <si>
    <t>ocm41890533</t>
  </si>
  <si>
    <t>3102188388C</t>
  </si>
  <si>
    <t>9780729406352</t>
  </si>
  <si>
    <t>793598309</t>
  </si>
  <si>
    <t>Z658 F8 C445 2015</t>
  </si>
  <si>
    <t>0                      Z  0658000F  8                  C  445         2015</t>
  </si>
  <si>
    <t>Censure et critique / sous la direction de Laurence Macé, Claudine Poulouin et Yvan Leclerc.</t>
  </si>
  <si>
    <t>Paris : Classiques Garnier, 2015.</t>
  </si>
  <si>
    <t>Littérature et censure ; 2</t>
  </si>
  <si>
    <t>2924450438:fre</t>
  </si>
  <si>
    <t>945734426</t>
  </si>
  <si>
    <t>ocn945734426</t>
  </si>
  <si>
    <t>3103708195L</t>
  </si>
  <si>
    <t>9782812460333</t>
  </si>
  <si>
    <t>795013856</t>
  </si>
  <si>
    <t>Z658 F8 G37 2016</t>
  </si>
  <si>
    <t>0                      Z  0658000F  8                  G  37          2016</t>
  </si>
  <si>
    <t>Contre la censure : et autres plaidoyers pour les Arts et les Lettres / Maurice Garçon (de l'Académie française).</t>
  </si>
  <si>
    <t>Garçon, Maurice, 1889-1967, author.</t>
  </si>
  <si>
    <t>Paris : Les Belles Lettres, 2016.</t>
  </si>
  <si>
    <t>Le goût des idées, 2111-5524 ; 61</t>
  </si>
  <si>
    <t>3936281043:fre</t>
  </si>
  <si>
    <t>962247723</t>
  </si>
  <si>
    <t>ocn962247723</t>
  </si>
  <si>
    <t>31037095837</t>
  </si>
  <si>
    <t>9782251200637</t>
  </si>
  <si>
    <t>795024315</t>
  </si>
  <si>
    <t>Z658 F8 S67 1971</t>
  </si>
  <si>
    <t>0                      Z  0658000F  8                  S  67          1971</t>
  </si>
  <si>
    <t>Le régime de la presse pendant la Révolution française.</t>
  </si>
  <si>
    <t>Söderhjelm, Alma, 1870-1949.</t>
  </si>
  <si>
    <t>Genève, Slatkine Reprints, 1971.</t>
  </si>
  <si>
    <t>3372183302:fre</t>
  </si>
  <si>
    <t>427349921</t>
  </si>
  <si>
    <t>ocn427349921</t>
  </si>
  <si>
    <t>3000359699K</t>
  </si>
  <si>
    <t>794618291</t>
  </si>
  <si>
    <t>Z658 G3 L49 2016</t>
  </si>
  <si>
    <t>0                      Z  0658000G  3                  L  49          2016</t>
  </si>
  <si>
    <t>Harmful and undesirable : book censorship in Nazi Germany / Guenter Lewy.</t>
  </si>
  <si>
    <t>Lewy, Guenter, 1923- author.</t>
  </si>
  <si>
    <t>New York, NY : Oxford University Press, [2016]</t>
  </si>
  <si>
    <t>2967013148:eng</t>
  </si>
  <si>
    <t>945693481</t>
  </si>
  <si>
    <t>ocn945693481</t>
  </si>
  <si>
    <t>3103657879A</t>
  </si>
  <si>
    <t>9780190275280</t>
  </si>
  <si>
    <t>795013793</t>
  </si>
  <si>
    <t>Z658 G3 O35 1992</t>
  </si>
  <si>
    <t>0                      Z  0658000G  3                  O  35          1992</t>
  </si>
  <si>
    <t>Germany's rude awakening : censorship in the land of the Brothers Grimm / Frederik Ohles.</t>
  </si>
  <si>
    <t>Ohles, Frederik, 1953-</t>
  </si>
  <si>
    <t>Kent, Ohio : Kent State University Press, ©1992.</t>
  </si>
  <si>
    <t>2019-11-10</t>
  </si>
  <si>
    <t>836865174:eng</t>
  </si>
  <si>
    <t>25200719</t>
  </si>
  <si>
    <t>ocm25200719</t>
  </si>
  <si>
    <t>3101259075A</t>
  </si>
  <si>
    <t>9780873384605</t>
  </si>
  <si>
    <t>793214115</t>
  </si>
  <si>
    <t>Z658 G3 P74 2013</t>
  </si>
  <si>
    <t>0                      Z  0658000G  3                  P  74          2013</t>
  </si>
  <si>
    <t>The preservation of Jewish religious books in sixteenth-century Germany: Johannes Reuchlin's Augenspiegel / edited and translated by Daniel O'Callaghan.</t>
  </si>
  <si>
    <t>Studies in medieval and Reformation traditions, 1573-4188 ; v. 163</t>
  </si>
  <si>
    <t>2018-10-18</t>
  </si>
  <si>
    <t>3374499434:eng</t>
  </si>
  <si>
    <t>808628394</t>
  </si>
  <si>
    <t>ocn808628394</t>
  </si>
  <si>
    <t>3103483315V</t>
  </si>
  <si>
    <t>9789004241855</t>
  </si>
  <si>
    <t>794927787</t>
  </si>
  <si>
    <t>Z658 G7 C467 1992</t>
  </si>
  <si>
    <t>0                      Z  0658000G  7                  C  467         1992</t>
  </si>
  <si>
    <t>Censorship &amp; the control of print : in England and France 1600-1910 / edited by Robin Myers and Michael Harris.</t>
  </si>
  <si>
    <t>Winchester : St Paul's Bibliographies, 1992.</t>
  </si>
  <si>
    <t>263870947:eng</t>
  </si>
  <si>
    <t>27769186</t>
  </si>
  <si>
    <t>ocm27769186</t>
  </si>
  <si>
    <t>3102315855B</t>
  </si>
  <si>
    <t>9781873040164</t>
  </si>
  <si>
    <t>793271620</t>
  </si>
  <si>
    <t>Z658 G7 P37 1990</t>
  </si>
  <si>
    <t>0                      Z  0658000G  7                  P  37          1990</t>
  </si>
  <si>
    <t>Censorship and interpretation : the conditions of writing and reading in early modern England / Annabel Patterson.</t>
  </si>
  <si>
    <t>Patterson, Annabel M.</t>
  </si>
  <si>
    <t>Madison, Wis. ; London : University of Wisconsin Press, 1990.</t>
  </si>
  <si>
    <t>2016-04-25</t>
  </si>
  <si>
    <t>3720417:eng</t>
  </si>
  <si>
    <t>22308831</t>
  </si>
  <si>
    <t>ocm22308831</t>
  </si>
  <si>
    <t>3101953956X</t>
  </si>
  <si>
    <t>9780299099541</t>
  </si>
  <si>
    <t>793140295</t>
  </si>
  <si>
    <t>3101546779B</t>
  </si>
  <si>
    <t>793140296</t>
  </si>
  <si>
    <t>Z658 G7 R63 2009</t>
  </si>
  <si>
    <t>0                      Z  0658000G  7                  R  63          2009</t>
  </si>
  <si>
    <t>Censorship and conflict in seventeenth-century England : the subtle art of division / Randy Robertson.</t>
  </si>
  <si>
    <t>Robertson, Randy, 1969-</t>
  </si>
  <si>
    <t>University Park, Pa. : Pennsylvania State University Press, ©2009.</t>
  </si>
  <si>
    <t>801026048:eng</t>
  </si>
  <si>
    <t>259754302</t>
  </si>
  <si>
    <t>ocn259754302</t>
  </si>
  <si>
    <t>3103082157K</t>
  </si>
  <si>
    <t>9780271034669</t>
  </si>
  <si>
    <t>794400142</t>
  </si>
  <si>
    <t>Z658 G7 S87 1983</t>
  </si>
  <si>
    <t>0                      Z  0658000G  7                  S  87          1983</t>
  </si>
  <si>
    <t>Offensive literature : decensorship in Britain, 1960-1982 / John Sutherland.</t>
  </si>
  <si>
    <t>London : Junction Books, ©1982.</t>
  </si>
  <si>
    <t>43197625:eng</t>
  </si>
  <si>
    <t>9118177</t>
  </si>
  <si>
    <t>ocm09118177</t>
  </si>
  <si>
    <t>3000347667C</t>
  </si>
  <si>
    <t>9780862450649</t>
  </si>
  <si>
    <t>792658133</t>
  </si>
  <si>
    <t>Z658 G7 W75 1992</t>
  </si>
  <si>
    <t>0                      Z  0658000G  7                  W  75          1992</t>
  </si>
  <si>
    <t>Writing and censorship in Britain / edited by Paul Hyland and Neil Sammells.</t>
  </si>
  <si>
    <t>London ; New York : Routledge, 1992.</t>
  </si>
  <si>
    <t>2016-11-07</t>
  </si>
  <si>
    <t>350476510:eng</t>
  </si>
  <si>
    <t>25130944</t>
  </si>
  <si>
    <t>ocm25130944</t>
  </si>
  <si>
    <t>3101160690$</t>
  </si>
  <si>
    <t>9780415073325</t>
  </si>
  <si>
    <t>793212835</t>
  </si>
  <si>
    <t>Z658 I4 B37</t>
  </si>
  <si>
    <t>0                      Z  0658000I  4                  B  37</t>
  </si>
  <si>
    <t>Banned; controversial literature and political control in British India, 1907-1947 [by] N. Gerald Barrier.</t>
  </si>
  <si>
    <t>Barrier, N. Gerald (Norman Gerald)</t>
  </si>
  <si>
    <t>[Columbia] University of Missouri Press [1974]</t>
  </si>
  <si>
    <t>University of Missouri studies ; v. 61</t>
  </si>
  <si>
    <t>2039496:eng</t>
  </si>
  <si>
    <t>1127499</t>
  </si>
  <si>
    <t>ocm01127499</t>
  </si>
  <si>
    <t>31037059857</t>
  </si>
  <si>
    <t>9780826201591</t>
  </si>
  <si>
    <t>791553120</t>
  </si>
  <si>
    <t>Z658 I4 C46 2009</t>
  </si>
  <si>
    <t>0                      Z  0658000I  4                  C  46          2009</t>
  </si>
  <si>
    <t>Censorship in South Asia : cultural regulation from sedition to seduction / edited by Raminder Kaur, William Mazzarella.</t>
  </si>
  <si>
    <t>Bloomington : Indiana University Press, ©2009.</t>
  </si>
  <si>
    <t>1044588107:eng</t>
  </si>
  <si>
    <t>261176960</t>
  </si>
  <si>
    <t>ocn261176960</t>
  </si>
  <si>
    <t>3103080138W</t>
  </si>
  <si>
    <t>9780253353351</t>
  </si>
  <si>
    <t>794400873</t>
  </si>
  <si>
    <t>Z658 I4 M3</t>
  </si>
  <si>
    <t>0                      Z  0658000I  4                  M  3</t>
  </si>
  <si>
    <t>The press vs the government, before and during emergency / D.R. Mankekar.</t>
  </si>
  <si>
    <t>Mankekar, D. R.</t>
  </si>
  <si>
    <t>Delhi : Clarion Books, ©1978.</t>
  </si>
  <si>
    <t>14936726:eng</t>
  </si>
  <si>
    <t>4596227</t>
  </si>
  <si>
    <t>ocm04596227</t>
  </si>
  <si>
    <t>3103386531F</t>
  </si>
  <si>
    <t>792366568</t>
  </si>
  <si>
    <t>Z658 I77 M37 2011</t>
  </si>
  <si>
    <t>0                      Z  0658000I  77                 M  37          2011</t>
  </si>
  <si>
    <t>Silenced : how apostasy and blasphemy codes are choking freedom worldwide / Paul Marshall and Nina Shea ; with a foreword by Kyai Haji Abdurrahman Wahid.</t>
  </si>
  <si>
    <t>Marshall, Paul A., 1948-</t>
  </si>
  <si>
    <t>2018-10-15</t>
  </si>
  <si>
    <t>776315975:eng</t>
  </si>
  <si>
    <t>700468603</t>
  </si>
  <si>
    <t>ocn700468603</t>
  </si>
  <si>
    <t>3103385477E</t>
  </si>
  <si>
    <t>9780199812264</t>
  </si>
  <si>
    <t>794862095</t>
  </si>
  <si>
    <t>Z658 J3 C38 2012</t>
  </si>
  <si>
    <t>0                      Z  0658000J  3                  C  38          2012</t>
  </si>
  <si>
    <t>The art of censorship in postwar Japan / Kirsten Cather.</t>
  </si>
  <si>
    <t>Cather, Kirsten.</t>
  </si>
  <si>
    <t>Honolulu : University of Hawaiʻi Press, ©2012.</t>
  </si>
  <si>
    <t>Studies of the Weatherhead East Asian Institute</t>
  </si>
  <si>
    <t>2012-12-13</t>
  </si>
  <si>
    <t>1102139766:eng</t>
  </si>
  <si>
    <t>786447142</t>
  </si>
  <si>
    <t>ocn786447142</t>
  </si>
  <si>
    <t>3103412928D</t>
  </si>
  <si>
    <t>9780824835873</t>
  </si>
  <si>
    <t>794916068</t>
  </si>
  <si>
    <t>Z658 J3 K45 2012</t>
  </si>
  <si>
    <t>0                      Z  0658000J  3                  K  45          2012</t>
  </si>
  <si>
    <t>Ken'etsu, media, bungaku : Edo kara sengo made / Suzuki Tomi [and others] hen.</t>
  </si>
  <si>
    <t>Tōkyō : Shin'yōsha, 2012.</t>
  </si>
  <si>
    <t>2013-10-21</t>
  </si>
  <si>
    <t>1124024386:jpn</t>
  </si>
  <si>
    <t>785066988</t>
  </si>
  <si>
    <t>ocn785066988</t>
  </si>
  <si>
    <t>3103438276R</t>
  </si>
  <si>
    <t>9784788512849</t>
  </si>
  <si>
    <t>794914627</t>
  </si>
  <si>
    <t>Z658 K6 M86 2017</t>
  </si>
  <si>
    <t>0                      Z  0658000K  6                  M  86          2017</t>
  </si>
  <si>
    <t>Kŏmyŏl, silchong toen chakp'um kwa munhaksa ŭi pogwŏn / Mun Han-byŏl chiŭm.</t>
  </si>
  <si>
    <t>Mun, Han-byŏl, author.</t>
  </si>
  <si>
    <t>Sŏul T'ŭkpyŏlsi : Koryŏ Taehakkyo Minjok Munhwa Yŏn'guwŏn, 2017.</t>
  </si>
  <si>
    <t>Minjok munhwa yŏn'gu ch'ongsŏ ; 149</t>
  </si>
  <si>
    <t>4499511250:kor</t>
  </si>
  <si>
    <t>1004204355</t>
  </si>
  <si>
    <t>on1004204355</t>
  </si>
  <si>
    <t>3103901057H</t>
  </si>
  <si>
    <t>9788971551691</t>
  </si>
  <si>
    <t>795041744</t>
  </si>
  <si>
    <t>Z658 S6 M33 2009</t>
  </si>
  <si>
    <t>0                      Z  0658000S  6                  M  33          2009</t>
  </si>
  <si>
    <t>The literature police : apartheid censorship and its cultural consequences / Peter D. McDonald.</t>
  </si>
  <si>
    <t>McDonald, Peter D.</t>
  </si>
  <si>
    <t>Oxford ; New York, N.Y. : Oxford University Press, 2009.</t>
  </si>
  <si>
    <t>2018-03-28</t>
  </si>
  <si>
    <t>793115425:eng</t>
  </si>
  <si>
    <t>243545879</t>
  </si>
  <si>
    <t>ocn243545879</t>
  </si>
  <si>
    <t>31030816813</t>
  </si>
  <si>
    <t>9780199283347</t>
  </si>
  <si>
    <t>794378481</t>
  </si>
  <si>
    <t>Z658 S6 V36 2011</t>
  </si>
  <si>
    <t>0                      Z  0658000S  6                  V  36          2011</t>
  </si>
  <si>
    <t>A South African censor's tale / Kobus van Rooyen ; with a preface by André Brink ; and sketches by Marinus Wiechers.</t>
  </si>
  <si>
    <t>Van Rooyen, Kobus.</t>
  </si>
  <si>
    <t>Pretoria : Protea Book House, 2011.</t>
  </si>
  <si>
    <t>2014-09-30</t>
  </si>
  <si>
    <t>1058330206:eng</t>
  </si>
  <si>
    <t>743290905</t>
  </si>
  <si>
    <t>ocn743290905</t>
  </si>
  <si>
    <t>31034147417</t>
  </si>
  <si>
    <t>9781869194154</t>
  </si>
  <si>
    <t>794885645</t>
  </si>
  <si>
    <t>Z658 S65 B574 2005</t>
  </si>
  <si>
    <t>0                      Z  0658000S  65                 B  574         2005</t>
  </si>
  <si>
    <t>Kak ėto delalosʹ v Leningrade : t︠s︡enzura v gody ottepeli, zastoi︠a︡ i perestroĭki, 1953-1991 / Arlen Bli︠u︡m.</t>
  </si>
  <si>
    <t>Bli︠u︡m, A. V. (Arlen Viktorovich)</t>
  </si>
  <si>
    <t>Sankt-Peterburg : Akademicheskiĭ proekt, 2005.</t>
  </si>
  <si>
    <t>2016-01-29</t>
  </si>
  <si>
    <t>140776913:rus</t>
  </si>
  <si>
    <t>70213914</t>
  </si>
  <si>
    <t>ocm70213914</t>
  </si>
  <si>
    <t>31027164271</t>
  </si>
  <si>
    <t>9785733103297</t>
  </si>
  <si>
    <t>794150854</t>
  </si>
  <si>
    <t>Z658 S65 B575 2000</t>
  </si>
  <si>
    <t>0                      Z  0658000S  65                 B  575         2000</t>
  </si>
  <si>
    <t>Sovetskai︠a︡ t︠s︡enzura v ėpokhu totalʹnogo terrora, 1929-1953 / A.V. Bli︠u︡m.</t>
  </si>
  <si>
    <t>S.-Peterburg : Akademicheskiĭ proekt, 2000.</t>
  </si>
  <si>
    <t>44745772:rus</t>
  </si>
  <si>
    <t>44830885</t>
  </si>
  <si>
    <t>ocm44830885</t>
  </si>
  <si>
    <t>3102417762Z</t>
  </si>
  <si>
    <t>9785733101903</t>
  </si>
  <si>
    <t>793658975</t>
  </si>
  <si>
    <t>Z658 S65 C36 1985</t>
  </si>
  <si>
    <t>0                      Z  0658000S  65                 C  36          1985</t>
  </si>
  <si>
    <t>A fence around the empire : Russian censorship of Western ideas under the tsars / Marianna Tax Choldin.</t>
  </si>
  <si>
    <t>Choldin, Marianna Tax.</t>
  </si>
  <si>
    <t>Durham [N.C.] : Duke University Press, 1985.</t>
  </si>
  <si>
    <t>Duke Press policy studies</t>
  </si>
  <si>
    <t>4417515:eng</t>
  </si>
  <si>
    <t>11865880</t>
  </si>
  <si>
    <t>ocm11865880</t>
  </si>
  <si>
    <t>3000379674O</t>
  </si>
  <si>
    <t>9780822306252</t>
  </si>
  <si>
    <t>792791517</t>
  </si>
  <si>
    <t>Z658 S65 S54 2015</t>
  </si>
  <si>
    <t>0                      Z  0658000S  65                 S  54          2015</t>
  </si>
  <si>
    <t>Discourses of regulation and resistance : censoring translation in the Stalin and Khrushchev era Soviet Union / Samantha Sherry.</t>
  </si>
  <si>
    <t>Sherry, Samantha, author.</t>
  </si>
  <si>
    <t>Edinburgh: Edinburgh University Press, [2015]</t>
  </si>
  <si>
    <t>Russian language and society</t>
  </si>
  <si>
    <t>2270784617:eng</t>
  </si>
  <si>
    <t>900445645</t>
  </si>
  <si>
    <t>ocn900445645</t>
  </si>
  <si>
    <t>3103608723T</t>
  </si>
  <si>
    <t>9780748698028</t>
  </si>
  <si>
    <t>794987513</t>
  </si>
  <si>
    <t>Z658 S7 C57 2002</t>
  </si>
  <si>
    <t>0                      Z  0658000S  7                  C  57          2002</t>
  </si>
  <si>
    <t>La represión cultural en el franquismo : diez años de censura de libros durante la Ley de Prensa, 1966-1976 / Georgina Cisquella, José Luis Erviti, José A. Sorolla.</t>
  </si>
  <si>
    <t>Cisquella, Georgina, 1954-</t>
  </si>
  <si>
    <t>Barcelona : Anagrama, ©2002.</t>
  </si>
  <si>
    <t>Crónicas ; 55</t>
  </si>
  <si>
    <t>2017-07-28</t>
  </si>
  <si>
    <t>366906975:spa</t>
  </si>
  <si>
    <t>52429784</t>
  </si>
  <si>
    <t>ocm52429784</t>
  </si>
  <si>
    <t>31023223360</t>
  </si>
  <si>
    <t>9788433925558</t>
  </si>
  <si>
    <t>793806362</t>
  </si>
  <si>
    <t>Z658 S7 I57 2016</t>
  </si>
  <si>
    <t>0                      Z  0658000S  7                  I  57          2016</t>
  </si>
  <si>
    <t>Instituciones censoras : nuevos acercamientos a la censura de libros en la España de la Ilustración / Fernando Durán López (coord.) ; Víctor Pampliega Pedreira, Eva Velasco Moreno, Esteban Conde Naranjo, Elena de Lorenzo Álvarez.</t>
  </si>
  <si>
    <t>Madrid : Consejo Superior de Investigaciones Científicas, 2016.</t>
  </si>
  <si>
    <t>Biblioteca de historia ; 82</t>
  </si>
  <si>
    <t>2017-10-20</t>
  </si>
  <si>
    <t>3169684767:spa</t>
  </si>
  <si>
    <t>951392273</t>
  </si>
  <si>
    <t>ocn951392273</t>
  </si>
  <si>
    <t>31037157200</t>
  </si>
  <si>
    <t>9788400100650</t>
  </si>
  <si>
    <t>795017349</t>
  </si>
  <si>
    <t>Z658 S7 N4818 1994</t>
  </si>
  <si>
    <t>0                      Z  0658000S  7                  N  4818        1994</t>
  </si>
  <si>
    <t>Adiós a la España eterna : la dialéctica de la censura : novela, teatro y cine bajo el franquismo / Hans-Jörg Neuschäfer ; traducción de Rosa Pilar Blanco.</t>
  </si>
  <si>
    <t>Neuschäfer, Hans-Jörg.</t>
  </si>
  <si>
    <t>Barcelona : Anthropos ; Madrid : Ministerio de Asuntos Exteriores, Dirección General de Relaciones Culturales y Científicas, 1994.</t>
  </si>
  <si>
    <t>Pensamiento crítico/pensamiento utópico ; 86</t>
  </si>
  <si>
    <t>2015-11-27</t>
  </si>
  <si>
    <t>341592782:spa</t>
  </si>
  <si>
    <t>32920891</t>
  </si>
  <si>
    <t>ocm32920891</t>
  </si>
  <si>
    <t>3101542058U</t>
  </si>
  <si>
    <t>9788476584613</t>
  </si>
  <si>
    <t>793397430</t>
  </si>
  <si>
    <t>Z658 S7 S23 2018</t>
  </si>
  <si>
    <t>0                      Z  0658000S  7                  S  23          2018</t>
  </si>
  <si>
    <t>Saberes inestables : estudios sobre expurgación y censura en la España de los siglos XVI y XVII / Dámaris Montes, Víctor Lillo, María José Vega (eds.).</t>
  </si>
  <si>
    <t>Madrid : Iberoamericana ; Frankfurt am Main : Vervuert, 2018.</t>
  </si>
  <si>
    <t>Biblioteca Aurea hispánica; 118</t>
  </si>
  <si>
    <t>4975343916:spa</t>
  </si>
  <si>
    <t>1031459911</t>
  </si>
  <si>
    <t>on1031459911</t>
  </si>
  <si>
    <t>3103785673F</t>
  </si>
  <si>
    <t>9788416922543</t>
  </si>
  <si>
    <t>795055467</t>
  </si>
  <si>
    <t>Z658 U5 D45 1988</t>
  </si>
  <si>
    <t>0                      Z  0658000U  5                  D  45          1988</t>
  </si>
  <si>
    <t>Liberty denied : the current rise of censorship in America / Donna A. Demac ; preface by Arthur Miller ; foreword by Walter Karp. introduction by Larry McMurtry.</t>
  </si>
  <si>
    <t>Demac, Donna A.</t>
  </si>
  <si>
    <t>New York, N.Y. : PEN American Center, ©1988.</t>
  </si>
  <si>
    <t>51387:eng</t>
  </si>
  <si>
    <t>18072057</t>
  </si>
  <si>
    <t>ocm18072057</t>
  </si>
  <si>
    <t>3000852607E</t>
  </si>
  <si>
    <t>9780934638098</t>
  </si>
  <si>
    <t>793012811</t>
  </si>
  <si>
    <t>Z658 U5 H42 2001</t>
  </si>
  <si>
    <t>0                      Z  0658000U  5                  H  42          2001</t>
  </si>
  <si>
    <t>Not in front of the children : "indecency," censorship and the innocence of youth / Marjorie Heins.</t>
  </si>
  <si>
    <t>Heins, Marjorie, author.</t>
  </si>
  <si>
    <t>New York : Hill and Wang, 2001.</t>
  </si>
  <si>
    <t>801917370:eng</t>
  </si>
  <si>
    <t>45080058</t>
  </si>
  <si>
    <t>ocm45080058</t>
  </si>
  <si>
    <t>3102095261F</t>
  </si>
  <si>
    <t>9780374175450</t>
  </si>
  <si>
    <t>793664069</t>
  </si>
  <si>
    <t>Z658 U5 K37 1998</t>
  </si>
  <si>
    <t>0                      Z  0658000U  5                  K  37          1998</t>
  </si>
  <si>
    <t>Literature suppressed on political grounds / Nicholas J. Karolides ; introduction by Ken Wachsberger ; foreword by Robert M. O'Neil.</t>
  </si>
  <si>
    <t>Karolides, Nicholas J.</t>
  </si>
  <si>
    <t>New York, NY : Facts on File, ©1998.</t>
  </si>
  <si>
    <t>Banned books</t>
  </si>
  <si>
    <t>619779:eng</t>
  </si>
  <si>
    <t>37675656</t>
  </si>
  <si>
    <t>ocm37675656</t>
  </si>
  <si>
    <t>3102808902I</t>
  </si>
  <si>
    <t>9780816033041</t>
  </si>
  <si>
    <t>793504334</t>
  </si>
  <si>
    <t>Z658 U5 S69 1998</t>
  </si>
  <si>
    <t>0                      Z  0658000U  5                  S  69          1998</t>
  </si>
  <si>
    <t>Literature suppressed on social grounds / Dawn B. Sova ; introduction by Ken Wachsberger ; foreword by Joan Bertin.</t>
  </si>
  <si>
    <t>Sova, Dawn B.</t>
  </si>
  <si>
    <t>New York, NY : Facts On File, ©1998.</t>
  </si>
  <si>
    <t>3857782163:eng</t>
  </si>
  <si>
    <t>37935163</t>
  </si>
  <si>
    <t>ocm37935163</t>
  </si>
  <si>
    <t>31028088825</t>
  </si>
  <si>
    <t>9780816033034</t>
  </si>
  <si>
    <t>793510738</t>
  </si>
  <si>
    <t>Z658 U5 S69 2011</t>
  </si>
  <si>
    <t>0                      Z  0658000U  5                  S  69          2011</t>
  </si>
  <si>
    <t>Literature suppressed on social grounds / Dawn B. Sova ; preface by Ken wachsberger.</t>
  </si>
  <si>
    <t>New York : Facts On File, 2011.</t>
  </si>
  <si>
    <t>664353195</t>
  </si>
  <si>
    <t>ocn664353195</t>
  </si>
  <si>
    <t>3103406624B</t>
  </si>
  <si>
    <t>9780816082285</t>
  </si>
  <si>
    <t>794843455</t>
  </si>
  <si>
    <t>Z658 U6 D692 2010</t>
  </si>
  <si>
    <t>0                      Z  0658000U  6                  D  692         2010</t>
  </si>
  <si>
    <t>Banned books : challenging our freedom to read / Robert P. Doyle.</t>
  </si>
  <si>
    <t>Doyle, Robert P.</t>
  </si>
  <si>
    <t>Chicago, IL : American Library Association, ©2010.</t>
  </si>
  <si>
    <t>552563475:eng</t>
  </si>
  <si>
    <t>652123098</t>
  </si>
  <si>
    <t>ocn652123098</t>
  </si>
  <si>
    <t>3103237913Y</t>
  </si>
  <si>
    <t>9780838982792</t>
  </si>
  <si>
    <t>794833282</t>
  </si>
  <si>
    <t>Z659 B3413 2008</t>
  </si>
  <si>
    <t>0                      Z  0659000B  3413        2008</t>
  </si>
  <si>
    <t>A universal history of the destruction of books : from ancient Sumer to modern-day Iraq / Fernando Báez.</t>
  </si>
  <si>
    <t>Báez, Fernando, 1970-</t>
  </si>
  <si>
    <t>New York : Atlas ; London : Turnaround [distributor], 2008.</t>
  </si>
  <si>
    <t>57132853:eng</t>
  </si>
  <si>
    <t>233265548</t>
  </si>
  <si>
    <t>ocn233265548</t>
  </si>
  <si>
    <t>3102977229Z</t>
  </si>
  <si>
    <t>9781934633014</t>
  </si>
  <si>
    <t>794365965</t>
  </si>
  <si>
    <t>Z659 B35 2016</t>
  </si>
  <si>
    <t>0                      Z  0659000B  35          2016</t>
  </si>
  <si>
    <t>On the burning of books / Kenneth Baker.</t>
  </si>
  <si>
    <t>Baker, Kenneth, 1934- author.</t>
  </si>
  <si>
    <t>London : Unicorn Press, 2016.</t>
  </si>
  <si>
    <t>2946703970:eng</t>
  </si>
  <si>
    <t>951611208</t>
  </si>
  <si>
    <t>ocn951611208</t>
  </si>
  <si>
    <t>3103670821R</t>
  </si>
  <si>
    <t>9781910787113</t>
  </si>
  <si>
    <t>795017572</t>
  </si>
  <si>
    <t>Z659 B66 2014</t>
  </si>
  <si>
    <t>0                      Z  0659000B  66          2014</t>
  </si>
  <si>
    <t>Book destruction from the medieval to the contemporary / edited by Gill Partington and Adam Smyth.</t>
  </si>
  <si>
    <t>Houndmills, Basingstoke, Hampshire ; New York, NY : Palgrave Macmillan, 2014.</t>
  </si>
  <si>
    <t>2017-08-12</t>
  </si>
  <si>
    <t>2062185648:eng</t>
  </si>
  <si>
    <t>881655933</t>
  </si>
  <si>
    <t>ocn881655933</t>
  </si>
  <si>
    <t>3103610635N</t>
  </si>
  <si>
    <t>9781137367655</t>
  </si>
  <si>
    <t>794974701</t>
  </si>
  <si>
    <t>Z659 B67 2006</t>
  </si>
  <si>
    <t>0                      Z  0659000B  67          2006</t>
  </si>
  <si>
    <t>Burning books / Haig Bosmajian.</t>
  </si>
  <si>
    <t>Bosmajian, Haig A.</t>
  </si>
  <si>
    <t>Jefferson, N.C. : McFarland, ©2006.</t>
  </si>
  <si>
    <t>47024760:eng</t>
  </si>
  <si>
    <t>62697065</t>
  </si>
  <si>
    <t>ocm62697065</t>
  </si>
  <si>
    <t>3102631858$</t>
  </si>
  <si>
    <t>9780786422081</t>
  </si>
  <si>
    <t>794110826</t>
  </si>
  <si>
    <t>Z659 B96</t>
  </si>
  <si>
    <t>0                      Z  0659000B  96</t>
  </si>
  <si>
    <t>An Intellectual freedom primer / Charles H. Busha, editor.</t>
  </si>
  <si>
    <t>Busha, Charles H.</t>
  </si>
  <si>
    <t>Littleton, Colo. : Libraries Unlimited, 1977.</t>
  </si>
  <si>
    <t>7022169:eng</t>
  </si>
  <si>
    <t>2984228</t>
  </si>
  <si>
    <t>ocm02984228</t>
  </si>
  <si>
    <t>3000853566Y</t>
  </si>
  <si>
    <t>9780872871724</t>
  </si>
  <si>
    <t>792202751</t>
  </si>
  <si>
    <t>Z659 C46 1985</t>
  </si>
  <si>
    <t>0                      Z  0659000C  46          1985</t>
  </si>
  <si>
    <t>Censorship, opposing viewpoints / Terry O'Neill, book editor.</t>
  </si>
  <si>
    <t>St. Paul, Minn. : Greenhaven Press, ©1985.</t>
  </si>
  <si>
    <t>Opposing viewpoints series</t>
  </si>
  <si>
    <t>4953239:eng</t>
  </si>
  <si>
    <t>12313728</t>
  </si>
  <si>
    <t>ocm12313728</t>
  </si>
  <si>
    <t>3102823965G</t>
  </si>
  <si>
    <t>9780899083773</t>
  </si>
  <si>
    <t>792810152</t>
  </si>
  <si>
    <t>Z659 E7</t>
  </si>
  <si>
    <t>0                      Z  0659000E  7</t>
  </si>
  <si>
    <t>To the pure ... A study of obscenity and the censor, by Morris L. Ernst and William Seagle.</t>
  </si>
  <si>
    <t>Ernst, Morris L. (Morris Leopold), 1888-1976.</t>
  </si>
  <si>
    <t>New York, Viking Press, 1928.</t>
  </si>
  <si>
    <t>2006-11-14</t>
  </si>
  <si>
    <t>2016-11-03</t>
  </si>
  <si>
    <t>196140813:eng</t>
  </si>
  <si>
    <t>972798</t>
  </si>
  <si>
    <t>ocm00972798</t>
  </si>
  <si>
    <t>3000543572T</t>
  </si>
  <si>
    <t>791515403</t>
  </si>
  <si>
    <t>Z659 H22 2016</t>
  </si>
  <si>
    <t>0                      Z  0659000H  22          2016</t>
  </si>
  <si>
    <t>The bad-ass librarians of Timbuktu : and their race to save the world's most precious manuscripts / Joshua Hammer.</t>
  </si>
  <si>
    <t>Hammer, Joshua, 1957-</t>
  </si>
  <si>
    <t>New York : Simon &amp; Schuster, 2016.</t>
  </si>
  <si>
    <t>First Simon &amp; Schuster hardcover edition.</t>
  </si>
  <si>
    <t>9381295088:eng</t>
  </si>
  <si>
    <t>913303671</t>
  </si>
  <si>
    <t>ocn913303671</t>
  </si>
  <si>
    <t>31036565279</t>
  </si>
  <si>
    <t>9781476777405</t>
  </si>
  <si>
    <t>794999282</t>
  </si>
  <si>
    <t>Z659 H38 2013</t>
  </si>
  <si>
    <t>0                      Z  0659000H  38          2013</t>
  </si>
  <si>
    <t>Buchzerstörung und Buchvernichtung hrsg. von Christine Haug ...</t>
  </si>
  <si>
    <t>Wiesbaden Harrassowitz 2013</t>
  </si>
  <si>
    <t>5620771590:ger</t>
  </si>
  <si>
    <t>861740137</t>
  </si>
  <si>
    <t>ocn861740137</t>
  </si>
  <si>
    <t>3103539420L</t>
  </si>
  <si>
    <t>9783447100250</t>
  </si>
  <si>
    <t>794959543</t>
  </si>
  <si>
    <t>Z659 H55 2013</t>
  </si>
  <si>
    <t>0                      Z  0659000H  55          2013</t>
  </si>
  <si>
    <t>Dear sir, I intend to burn your book : an anatomy of a book burning / Lawrence Hill.</t>
  </si>
  <si>
    <t>Hill, Lawrence, 1957-</t>
  </si>
  <si>
    <t>Edmonton, Alberta, Canada : University of Alberta Press, 2013.</t>
  </si>
  <si>
    <t>Henry Kreisel memorial lecture series</t>
  </si>
  <si>
    <t>2015-11-06</t>
  </si>
  <si>
    <t>1166045455:eng</t>
  </si>
  <si>
    <t>818451019</t>
  </si>
  <si>
    <t>ocn818451019</t>
  </si>
  <si>
    <t>3103544801S</t>
  </si>
  <si>
    <t>9780888646798</t>
  </si>
  <si>
    <t>794934002</t>
  </si>
  <si>
    <t>Z659 K57 2006</t>
  </si>
  <si>
    <t>0                      Z  0659000K  57          2006</t>
  </si>
  <si>
    <t>Burning books and leveling libraries : extremist violence and cultural destruction / Rebecca Knuth.</t>
  </si>
  <si>
    <t>Knuth, Rebecca, 1949- author.</t>
  </si>
  <si>
    <t>Westport, Conn. : Praeger, 2006.</t>
  </si>
  <si>
    <t>802899507:eng</t>
  </si>
  <si>
    <t>63703782</t>
  </si>
  <si>
    <t>ocm63703782</t>
  </si>
  <si>
    <t>31026319086</t>
  </si>
  <si>
    <t>9780275990077</t>
  </si>
  <si>
    <t>794122751</t>
  </si>
  <si>
    <t>Z662 J64 2015</t>
  </si>
  <si>
    <t>0                      Z  0662000J  64          2015</t>
  </si>
  <si>
    <t>Improbable libraries / Alex Johnson.</t>
  </si>
  <si>
    <t>Johnson, Alex, 1969-</t>
  </si>
  <si>
    <t>2018-12-18</t>
  </si>
  <si>
    <t>2500725132:eng</t>
  </si>
  <si>
    <t>904541619</t>
  </si>
  <si>
    <t>ocn904541619</t>
  </si>
  <si>
    <t>3103583300R</t>
  </si>
  <si>
    <t>9780500517772</t>
  </si>
  <si>
    <t>794990579</t>
  </si>
  <si>
    <t>Z665 A32 1985</t>
  </si>
  <si>
    <t>0                      Z  0665000A  32          1985</t>
  </si>
  <si>
    <t>Lectures on universe of knowledge / D.S. Aggarwal.</t>
  </si>
  <si>
    <t>Aggarwal, D. S., 1931-</t>
  </si>
  <si>
    <t>Delhi, India : Academic Publications, ©1985.</t>
  </si>
  <si>
    <t>Academic series in library and information science ; v. 4</t>
  </si>
  <si>
    <t>2018-10-16</t>
  </si>
  <si>
    <t>5843704:eng</t>
  </si>
  <si>
    <t>12944363</t>
  </si>
  <si>
    <t>ocm12944363</t>
  </si>
  <si>
    <t>30003841317</t>
  </si>
  <si>
    <t>792833996</t>
  </si>
  <si>
    <t>Z665 A727</t>
  </si>
  <si>
    <t>0                      Z  0665000A  727</t>
  </si>
  <si>
    <t>The humanities and the library : problems in the interpretation, evaluation and use of library materials / by Lester Asheim and associates.</t>
  </si>
  <si>
    <t>Asheim, Lester, 1914-1997.</t>
  </si>
  <si>
    <t>Chicago : American Library Association, 1957.</t>
  </si>
  <si>
    <t>104288650:eng</t>
  </si>
  <si>
    <t>574413</t>
  </si>
  <si>
    <t>ocm00574413</t>
  </si>
  <si>
    <t>3100382472I</t>
  </si>
  <si>
    <t>791418607</t>
  </si>
  <si>
    <t>Z665 A74 2011</t>
  </si>
  <si>
    <t>0                      Z  0665000A  74          2011</t>
  </si>
  <si>
    <t>Il nuovo manuale del bibliotecario : il sistema bibliotecario in Italia, biblioteconomia, bibliografia, catalogazione . / Viola Ardone.</t>
  </si>
  <si>
    <t>Ardone, Viola.</t>
  </si>
  <si>
    <t>Santarcangelo di Romagna (Rimini) : Maggioli, 2011.</t>
  </si>
  <si>
    <t>Esami &amp; professioni ; 88</t>
  </si>
  <si>
    <t>1044377428:ita</t>
  </si>
  <si>
    <t>732280737</t>
  </si>
  <si>
    <t>ocn732280737</t>
  </si>
  <si>
    <t>3103484470C</t>
  </si>
  <si>
    <t>794881232</t>
  </si>
  <si>
    <t>Z665 B39 2013</t>
  </si>
  <si>
    <t>0                      Z  0665000B  39          2013</t>
  </si>
  <si>
    <t>Introduction to information science / David Bawden and Lyn Robinson.</t>
  </si>
  <si>
    <t>Bawden, David, author.</t>
  </si>
  <si>
    <t>Chicago : Neal-Schuman, 2013.</t>
  </si>
  <si>
    <t>1045858847:eng</t>
  </si>
  <si>
    <t>816519170</t>
  </si>
  <si>
    <t>ocn816519170</t>
  </si>
  <si>
    <t>3103470928S</t>
  </si>
  <si>
    <t>9781555708610</t>
  </si>
  <si>
    <t>794933192</t>
  </si>
  <si>
    <t>Z665 B92 2008</t>
  </si>
  <si>
    <t>0                      Z  0665000B  92          2008</t>
  </si>
  <si>
    <t>Self-examination : the present and future of librarianship / John M. Budd.</t>
  </si>
  <si>
    <t>Budd, John, 1953-</t>
  </si>
  <si>
    <t>Westport, Conn. : Libraries Unlimited, 2008.</t>
  </si>
  <si>
    <t>Beta Phi Mu monograph series, 1041-2751</t>
  </si>
  <si>
    <t>2015-03-19</t>
  </si>
  <si>
    <t>223056303:eng</t>
  </si>
  <si>
    <t>133465477</t>
  </si>
  <si>
    <t>ocn133465477</t>
  </si>
  <si>
    <t>31026493926</t>
  </si>
  <si>
    <t>9781591585916</t>
  </si>
  <si>
    <t>794232338</t>
  </si>
  <si>
    <t>Z665 B98 1961</t>
  </si>
  <si>
    <t>0                      Z  0665000B  98          1961</t>
  </si>
  <si>
    <t>An introduction to library science. With and introd. by Lester E. Asheim.</t>
  </si>
  <si>
    <t>Butler, Pierce, 1886-1953.</t>
  </si>
  <si>
    <t>Chicago, University of Chicago Press [1961, ©1933]</t>
  </si>
  <si>
    <t>Phoenix books ; P59</t>
  </si>
  <si>
    <t>1558078:eng</t>
  </si>
  <si>
    <t>574401</t>
  </si>
  <si>
    <t>ocm00574401</t>
  </si>
  <si>
    <t>3000645368B</t>
  </si>
  <si>
    <t>791418602</t>
  </si>
  <si>
    <t>Z665 C37 2017</t>
  </si>
  <si>
    <t>0                      Z  0665000C  37          2017</t>
  </si>
  <si>
    <t>Les bibliothèques / Pierre Carbone.</t>
  </si>
  <si>
    <t>Carbone, Pierre, author.</t>
  </si>
  <si>
    <t>Paris : Presses universitaires de France, 2017.</t>
  </si>
  <si>
    <t>Deuxième édition mise à jour.</t>
  </si>
  <si>
    <t>Que sais-je? ; no 3934</t>
  </si>
  <si>
    <t>1171684847:fre</t>
  </si>
  <si>
    <t>971043810</t>
  </si>
  <si>
    <t>ocn971043810</t>
  </si>
  <si>
    <t>3103709193K</t>
  </si>
  <si>
    <t>9782130787549</t>
  </si>
  <si>
    <t>795027979</t>
  </si>
  <si>
    <t>Z665 C67 2010</t>
  </si>
  <si>
    <t>0                      Z  0665000C  67          2010</t>
  </si>
  <si>
    <t>Information policies and strategies / Ian Cornelius.</t>
  </si>
  <si>
    <t>Cornelius, Ian V.</t>
  </si>
  <si>
    <t>London : Facet Pub., 2010.</t>
  </si>
  <si>
    <t>891576634:eng</t>
  </si>
  <si>
    <t>359240316</t>
  </si>
  <si>
    <t>ocn359240316</t>
  </si>
  <si>
    <t>3103132903P</t>
  </si>
  <si>
    <t>9781856046770</t>
  </si>
  <si>
    <t>794492236</t>
  </si>
  <si>
    <t>Z665 C7465 1992</t>
  </si>
  <si>
    <t>0                      Z  0665000C  7465        1992</t>
  </si>
  <si>
    <t>Conceptions of library and information science : historical, empirical, and theoretical perspectives / edited by Pertti Vakkari and Blaise Cronin.</t>
  </si>
  <si>
    <t>London ; Los Angeles : T. Graham, ©1992.</t>
  </si>
  <si>
    <t>836759102:eng</t>
  </si>
  <si>
    <t>29223133</t>
  </si>
  <si>
    <t>ocm29223133</t>
  </si>
  <si>
    <t>3101208341D</t>
  </si>
  <si>
    <t>9780947568528</t>
  </si>
  <si>
    <t>793305717</t>
  </si>
  <si>
    <t>Z665 C7565 1996</t>
  </si>
  <si>
    <t>0                      Z  0665000C  7565        1996</t>
  </si>
  <si>
    <t>Meaning and method in information studies / by Ian Cornelius.</t>
  </si>
  <si>
    <t>Norwood, N.J. : Ablex Pub., ©1996.</t>
  </si>
  <si>
    <t>Information management, policy, and services</t>
  </si>
  <si>
    <t>2015-10-24</t>
  </si>
  <si>
    <t>324973382:eng</t>
  </si>
  <si>
    <t>34618102</t>
  </si>
  <si>
    <t>ocm34618102</t>
  </si>
  <si>
    <t>31018668995</t>
  </si>
  <si>
    <t>9781567502275</t>
  </si>
  <si>
    <t>793431444</t>
  </si>
  <si>
    <t>Z665 C75813 2009</t>
  </si>
  <si>
    <t>0                      Z  0665000C  75813       2009</t>
  </si>
  <si>
    <t>Humanism and libraries : an essay on the philosophy of librarianship / by André Cossette ; translated and edited by Rory Litwin.</t>
  </si>
  <si>
    <t>Cossette, André.</t>
  </si>
  <si>
    <t>Duluth, Minn. : Library Juice Press, 2009.</t>
  </si>
  <si>
    <t>6581627:eng</t>
  </si>
  <si>
    <t>449283795</t>
  </si>
  <si>
    <t>ocn449283795</t>
  </si>
  <si>
    <t>3103155011S</t>
  </si>
  <si>
    <t>9781936117178</t>
  </si>
  <si>
    <t>794787320</t>
  </si>
  <si>
    <t>Z665 C76</t>
  </si>
  <si>
    <t>0                      Z  0665000C  76</t>
  </si>
  <si>
    <t>Humanisme et bibliothèques : essai sur la philosophie de la bibliothéconomie / André Cossette.</t>
  </si>
  <si>
    <t>Montréal : ASTED, 1976.</t>
  </si>
  <si>
    <t>Collection Documentation en diagonale ; no 4</t>
  </si>
  <si>
    <t>180515089:fre</t>
  </si>
  <si>
    <t>2964349</t>
  </si>
  <si>
    <t>ocm02964349</t>
  </si>
  <si>
    <t>31015661275</t>
  </si>
  <si>
    <t>792199436</t>
  </si>
  <si>
    <t>Z665 C777 2015</t>
  </si>
  <si>
    <t>0                      Z  0665000C  777         2015</t>
  </si>
  <si>
    <t>The critical component : standards in the information exchange environment / edited by Todd A. Carpenter.</t>
  </si>
  <si>
    <t>Chicago : Association for Library Collections &amp; Technical Services, American Library Association, 2015.</t>
  </si>
  <si>
    <t>An ALCTS monograph</t>
  </si>
  <si>
    <t>2585073702:eng</t>
  </si>
  <si>
    <t>903687909</t>
  </si>
  <si>
    <t>ocn903687909</t>
  </si>
  <si>
    <t>3103609006F</t>
  </si>
  <si>
    <t>9780838987445</t>
  </si>
  <si>
    <t>794989628</t>
  </si>
  <si>
    <t>Z665 C786 2005</t>
  </si>
  <si>
    <t>0                      Z  0665000C  786         2005</t>
  </si>
  <si>
    <t>Spanning the theory-practice divide in library and information science / Bill Crowley.</t>
  </si>
  <si>
    <t>Crowley, William A., 1949-</t>
  </si>
  <si>
    <t>Lanham, Md. : Scarecrow Press, 2005.</t>
  </si>
  <si>
    <t>15288112:eng</t>
  </si>
  <si>
    <t>55800763</t>
  </si>
  <si>
    <t>ocm55800763</t>
  </si>
  <si>
    <t>3102740951Q</t>
  </si>
  <si>
    <t>9780810851658</t>
  </si>
  <si>
    <t>793882734</t>
  </si>
  <si>
    <t>Z665 D685 2010</t>
  </si>
  <si>
    <t>0                      Z  0665000D  685         2010</t>
  </si>
  <si>
    <t>What they don't teach you in library school / Elisabeth Doucett.</t>
  </si>
  <si>
    <t>Doucett, Elisabeth. author.</t>
  </si>
  <si>
    <t>Chicago : American Library Association, 2011.</t>
  </si>
  <si>
    <t>ALA guides for the busy librarian</t>
  </si>
  <si>
    <t>2015-12-14</t>
  </si>
  <si>
    <t>471527047:eng</t>
  </si>
  <si>
    <t>601086615</t>
  </si>
  <si>
    <t>ocn601086615</t>
  </si>
  <si>
    <t>3103226215R</t>
  </si>
  <si>
    <t>9780838935927</t>
  </si>
  <si>
    <t>794815250</t>
  </si>
  <si>
    <t>Z 665 E93 2004</t>
  </si>
  <si>
    <t>0                      Z  0665000E  93          2004</t>
  </si>
  <si>
    <t>Evidence-based practice for information professionals : a handbook / edited by Andrew Booth and Anne Brice.</t>
  </si>
  <si>
    <t>London : Facet, 2004.</t>
  </si>
  <si>
    <t>2018-08-14</t>
  </si>
  <si>
    <t>796141837:eng</t>
  </si>
  <si>
    <t>52396668</t>
  </si>
  <si>
    <t>ocm52396668</t>
  </si>
  <si>
    <t>3103546418U</t>
  </si>
  <si>
    <t>9781856044714</t>
  </si>
  <si>
    <t>793805495</t>
  </si>
  <si>
    <t>Z665 F615 2011</t>
  </si>
  <si>
    <t>0                      Z  0665000F  615         2011</t>
  </si>
  <si>
    <t>The philosophy of information / Luciano Floridi.</t>
  </si>
  <si>
    <t>Floridi, Luciano, 1964-</t>
  </si>
  <si>
    <t>Oxford [England] ; New York : Oxford University Press, 2011.</t>
  </si>
  <si>
    <t>509889297:eng</t>
  </si>
  <si>
    <t>646111446</t>
  </si>
  <si>
    <t>ocn646111446</t>
  </si>
  <si>
    <t>3103234123V</t>
  </si>
  <si>
    <t>9780199232383</t>
  </si>
  <si>
    <t>794830125</t>
  </si>
  <si>
    <t>Z665 G547 2011</t>
  </si>
  <si>
    <t>0                      Z  0665000G  547         2011</t>
  </si>
  <si>
    <t>The information : a history, a theory, a flood / James Gleick.</t>
  </si>
  <si>
    <t>Gleick, James.</t>
  </si>
  <si>
    <t>New York : Pantheon Books, ©2011.</t>
  </si>
  <si>
    <t>2019-08-28</t>
  </si>
  <si>
    <t>792066881:eng</t>
  </si>
  <si>
    <t>607975727</t>
  </si>
  <si>
    <t>ocn607975727</t>
  </si>
  <si>
    <t>3103345897I</t>
  </si>
  <si>
    <t>9780375423727</t>
  </si>
  <si>
    <t>794818608</t>
  </si>
  <si>
    <t>3103345902X</t>
  </si>
  <si>
    <t>794818610</t>
  </si>
  <si>
    <t>3103621571C</t>
  </si>
  <si>
    <t>794818609</t>
  </si>
  <si>
    <t>31034102285</t>
  </si>
  <si>
    <t>794818607</t>
  </si>
  <si>
    <t>Z665 G825 2013</t>
  </si>
  <si>
    <t>0                      Z  0665000G  825         2013</t>
  </si>
  <si>
    <t>Introduction to the library and information professions / Roger C. Greer, Robert J. Grover, and Susan G. Fowler.</t>
  </si>
  <si>
    <t>Greer, Roger C., 1928-2014.</t>
  </si>
  <si>
    <t>Santa Barbara, California : Libraries Unlimited, an imprint of ABC-CLIO, LLC, [2013]</t>
  </si>
  <si>
    <t>2014-09-17</t>
  </si>
  <si>
    <t>102038243:eng</t>
  </si>
  <si>
    <t>810111242</t>
  </si>
  <si>
    <t>ocn810111242</t>
  </si>
  <si>
    <t>3103499437W</t>
  </si>
  <si>
    <t>9781610691574</t>
  </si>
  <si>
    <t>794929078</t>
  </si>
  <si>
    <t>Z665 H287 1998</t>
  </si>
  <si>
    <t>0                      Z  0665000H  287         1998</t>
  </si>
  <si>
    <t>Into the future : the foundations of library and information services in the post-industrial era / by Michael H. Harris, Stan A. Hannah, and Pamela C. Harris.</t>
  </si>
  <si>
    <t>Harris, Michael H.</t>
  </si>
  <si>
    <t>Greenwich, Conn. : Ablex Pub., ©1998.</t>
  </si>
  <si>
    <t>Contemporary studies in information management, policy, and services</t>
  </si>
  <si>
    <t>2015-03-05</t>
  </si>
  <si>
    <t>320018462:eng</t>
  </si>
  <si>
    <t>37211169</t>
  </si>
  <si>
    <t>ocm37211169</t>
  </si>
  <si>
    <t>31019120070</t>
  </si>
  <si>
    <t>9781567503548</t>
  </si>
  <si>
    <t>793493295</t>
  </si>
  <si>
    <t>Z665 H54 2006</t>
  </si>
  <si>
    <t>0                      Z  0665000H  54          2006</t>
  </si>
  <si>
    <t>Characteristics of the successful 21st century information professional / Dennie Heye.</t>
  </si>
  <si>
    <t>Heye, Dennie.</t>
  </si>
  <si>
    <t>9489760291:eng</t>
  </si>
  <si>
    <t>64097870</t>
  </si>
  <si>
    <t>ocm64097870</t>
  </si>
  <si>
    <t>3102556365P</t>
  </si>
  <si>
    <t>9781843341970</t>
  </si>
  <si>
    <t>794124156</t>
  </si>
  <si>
    <t>Z665 H574 1998</t>
  </si>
  <si>
    <t>0                      Z  0665000H  574         1998</t>
  </si>
  <si>
    <t>Historical studies in information science / edited by Trudi Bellardo Hahn and Michael Buckland.</t>
  </si>
  <si>
    <t>Medford, NJ : Published for the American Society for Information Science by Information Today, 1998.</t>
  </si>
  <si>
    <t>ASIS monograph series</t>
  </si>
  <si>
    <t>2017-07-13</t>
  </si>
  <si>
    <t>477570072:eng</t>
  </si>
  <si>
    <t>39765449</t>
  </si>
  <si>
    <t>ocm39765449</t>
  </si>
  <si>
    <t>31019402681</t>
  </si>
  <si>
    <t>9781573870627</t>
  </si>
  <si>
    <t>793552869</t>
  </si>
  <si>
    <t>Z665 I57 2009</t>
  </si>
  <si>
    <t>0                      Z  0665000I  57          2009</t>
  </si>
  <si>
    <t>Introduction aux sciences de l'information / sous la direction de Jean-Michel Salaün et de Clément Arsenault.</t>
  </si>
  <si>
    <t>[Montréal] : Presses de l'Université de Montréal, 2009.</t>
  </si>
  <si>
    <t>Paramètres</t>
  </si>
  <si>
    <t>2016-05-05</t>
  </si>
  <si>
    <t>1042437719:fre</t>
  </si>
  <si>
    <t>320584406</t>
  </si>
  <si>
    <t>ocn320584406</t>
  </si>
  <si>
    <t>3103071385H</t>
  </si>
  <si>
    <t>9782760621145</t>
  </si>
  <si>
    <t>794486531</t>
  </si>
  <si>
    <t>Z665 I5825 2011</t>
  </si>
  <si>
    <t>0                      Z  0665000I  5825        2011</t>
  </si>
  <si>
    <t>Information history in the modern world : histories of the information age / edited by Toni Weller.</t>
  </si>
  <si>
    <t>Houndmills, Basingstoke, Hampshire ; New York : Palgrave Macmillan, 2011.</t>
  </si>
  <si>
    <t>Themes in focus</t>
  </si>
  <si>
    <t>2015-07-31</t>
  </si>
  <si>
    <t>478753204:eng</t>
  </si>
  <si>
    <t>610852832</t>
  </si>
  <si>
    <t>ocn610852832</t>
  </si>
  <si>
    <t>31032330005</t>
  </si>
  <si>
    <t>9780230237360</t>
  </si>
  <si>
    <t>794820838</t>
  </si>
  <si>
    <t>Z665 I665 2011</t>
  </si>
  <si>
    <t>0                      Z  0665000I  665         2011</t>
  </si>
  <si>
    <t>Introduction to information science and technology / edited by Charles H. Davis and Debora Shaw.</t>
  </si>
  <si>
    <t>Medford, N.J. : Published for the American Society for Information Science and Technology by Information Today, ©2011.</t>
  </si>
  <si>
    <t>2017-09-15</t>
  </si>
  <si>
    <t>775736684:eng</t>
  </si>
  <si>
    <t>731009662</t>
  </si>
  <si>
    <t>ocn731009662</t>
  </si>
  <si>
    <t>3103383662I</t>
  </si>
  <si>
    <t>9781573874236</t>
  </si>
  <si>
    <t>794880502</t>
  </si>
  <si>
    <t>Z665 I67 2010</t>
  </si>
  <si>
    <t>0                      Z  0665000I  67          2010</t>
  </si>
  <si>
    <t>Introductory concepts in information science / [edited by] Melanie J. Norton.</t>
  </si>
  <si>
    <t>Medford, N.J. : Published on behalf of the American Society for Information Science and Technology by Information Today, ©2010.</t>
  </si>
  <si>
    <t>ASIS &amp; T, ASIST monograph series</t>
  </si>
  <si>
    <t>477930742:eng</t>
  </si>
  <si>
    <t>609871817</t>
  </si>
  <si>
    <t>ocn609871817</t>
  </si>
  <si>
    <t>3103229151A</t>
  </si>
  <si>
    <t>9781573873949</t>
  </si>
  <si>
    <t>794820336</t>
  </si>
  <si>
    <t>Z665 K787 2019</t>
  </si>
  <si>
    <t>0                      Z  0665000K  787         2019</t>
  </si>
  <si>
    <t>How we became our data : a genealogy of the informational person / Colin Koopman.</t>
  </si>
  <si>
    <t>Koopman, Colin, author.</t>
  </si>
  <si>
    <t>2019-09-20</t>
  </si>
  <si>
    <t>5436312210:eng</t>
  </si>
  <si>
    <t>1051697173</t>
  </si>
  <si>
    <t>on1051697173</t>
  </si>
  <si>
    <t>3103903625X</t>
  </si>
  <si>
    <t>9780226626444</t>
  </si>
  <si>
    <t>795062112</t>
  </si>
  <si>
    <t>2019-08-27</t>
  </si>
  <si>
    <t>3103903257$</t>
  </si>
  <si>
    <t>795062113</t>
  </si>
  <si>
    <t>Z665 L36 2011</t>
  </si>
  <si>
    <t>0                      Z  0665000L  36          2011</t>
  </si>
  <si>
    <t>The Atlas of New Librarianship / R. David Lankes.</t>
  </si>
  <si>
    <t>Lankes, R. David, 1970- author.</t>
  </si>
  <si>
    <t>Cambridge, Massachusetts : The MIT Press ; [Chicago] : Association of College &amp; Research Libraries, [2011]</t>
  </si>
  <si>
    <t>503148842:eng</t>
  </si>
  <si>
    <t>641998875</t>
  </si>
  <si>
    <t>ocn641998875</t>
  </si>
  <si>
    <t>3103363957L</t>
  </si>
  <si>
    <t>9780262015097</t>
  </si>
  <si>
    <t>794827832</t>
  </si>
  <si>
    <t>Z665 L53 2006</t>
  </si>
  <si>
    <t>0                      Z  0665000L  53          2006</t>
  </si>
  <si>
    <t>Library juice concentrate / edited by Rory Litwin.</t>
  </si>
  <si>
    <t>Duluth, Minn. : Library Juice Press LLC, 2006.</t>
  </si>
  <si>
    <t>766925074:eng</t>
  </si>
  <si>
    <t>81249221</t>
  </si>
  <si>
    <t>ocm81249221</t>
  </si>
  <si>
    <t>31025983245</t>
  </si>
  <si>
    <t>9780977861736</t>
  </si>
  <si>
    <t>794202831</t>
  </si>
  <si>
    <t>Z665 L565 2008</t>
  </si>
  <si>
    <t>0                      Z  0665000L  565         2008</t>
  </si>
  <si>
    <t>Librarianship : an introduction / G.G. Chowdhury, Paul F. Burton, David McMenemy and Alan Poulter.</t>
  </si>
  <si>
    <t>Chowdhury, G. G. (Gobinda G.)</t>
  </si>
  <si>
    <t>London : Facet Publishing, 2008.</t>
  </si>
  <si>
    <t>865598148:eng</t>
  </si>
  <si>
    <t>137313678</t>
  </si>
  <si>
    <t>ocn137313678</t>
  </si>
  <si>
    <t>3103130651W</t>
  </si>
  <si>
    <t>9781856046176</t>
  </si>
  <si>
    <t>794233682</t>
  </si>
  <si>
    <t>Z665 L565 2010</t>
  </si>
  <si>
    <t>0                      Z  0665000L  565         2010</t>
  </si>
  <si>
    <t>The librarian's book of lists / edited by George M. Eberhart.</t>
  </si>
  <si>
    <t>Chicago : American Library Association, 2010.</t>
  </si>
  <si>
    <t>2011-07-04</t>
  </si>
  <si>
    <t>370472288:eng</t>
  </si>
  <si>
    <t>496595556</t>
  </si>
  <si>
    <t>ocn496595556</t>
  </si>
  <si>
    <t>3103231952D</t>
  </si>
  <si>
    <t>9780838910634</t>
  </si>
  <si>
    <t>794802602</t>
  </si>
  <si>
    <t>Z665 L58</t>
  </si>
  <si>
    <t>0                      Z  0665000L  58</t>
  </si>
  <si>
    <t>Livre, bibliothèque et culture québécoise : mélanges offerts à Edmond Desrochers, s.j. / sous la direction de Georges-A. Chartrand ; préf. par Jean-Charles Bonenfant.</t>
  </si>
  <si>
    <t>Montréal : ASTED, 1977.</t>
  </si>
  <si>
    <t>2017-01-31</t>
  </si>
  <si>
    <t>53730600:fre</t>
  </si>
  <si>
    <t>3706227</t>
  </si>
  <si>
    <t>ocm03706227</t>
  </si>
  <si>
    <t>31030333312</t>
  </si>
  <si>
    <t>9780886060008</t>
  </si>
  <si>
    <t>792283172</t>
  </si>
  <si>
    <t>3000460062P</t>
  </si>
  <si>
    <t>792283173</t>
  </si>
  <si>
    <t>Z665 L656 2012</t>
  </si>
  <si>
    <t>0                      Z  0665000L  656         2012</t>
  </si>
  <si>
    <t>The library book.</t>
  </si>
  <si>
    <t>London : Profile, 2012.</t>
  </si>
  <si>
    <t>2018-12-14</t>
  </si>
  <si>
    <t>5620111059:eng</t>
  </si>
  <si>
    <t>769546834</t>
  </si>
  <si>
    <t>ocn769546834</t>
  </si>
  <si>
    <t>31034091626</t>
  </si>
  <si>
    <t>9781781250051</t>
  </si>
  <si>
    <t>794903539</t>
  </si>
  <si>
    <t>Z665 L69 2007</t>
  </si>
  <si>
    <t>0                      Z  0665000L  69          2007</t>
  </si>
  <si>
    <t>Casanova was a librarian : a light-hearted look at the profession / Kathleen Low.</t>
  </si>
  <si>
    <t>Jefferson, N.C. : McFarland &amp; Co., ©2007.</t>
  </si>
  <si>
    <t>318094366:eng</t>
  </si>
  <si>
    <t>85018199</t>
  </si>
  <si>
    <t>ocm85018199</t>
  </si>
  <si>
    <t>3102596677V</t>
  </si>
  <si>
    <t>9780786429813</t>
  </si>
  <si>
    <t>794212706</t>
  </si>
  <si>
    <t>Z665 L785 2016</t>
  </si>
  <si>
    <t>0                      Z  0665000L  785         2016</t>
  </si>
  <si>
    <t>The future of the library : from electric media to digital media / Robert K. Logan with Marshall McLuhan.</t>
  </si>
  <si>
    <t>Logan, Robert K., 1939- author.</t>
  </si>
  <si>
    <t>New York : Peter Lang, [2016]</t>
  </si>
  <si>
    <t>Understanding media ecology ; vol. 3</t>
  </si>
  <si>
    <t>2978085009:eng</t>
  </si>
  <si>
    <t>932003490</t>
  </si>
  <si>
    <t>ocn932003490</t>
  </si>
  <si>
    <t>31036531451</t>
  </si>
  <si>
    <t>9781433132643</t>
  </si>
  <si>
    <t>795008152</t>
  </si>
  <si>
    <t>Z665 M35 2006</t>
  </si>
  <si>
    <t>0                      Z  0665000M  35          2006</t>
  </si>
  <si>
    <t>The library at night / Alberto Manguel.</t>
  </si>
  <si>
    <t>Manguel, Alberto.</t>
  </si>
  <si>
    <t>Toronto : Knopf Canada, ©2006.</t>
  </si>
  <si>
    <t>2019-10-06</t>
  </si>
  <si>
    <t>4925929919:eng</t>
  </si>
  <si>
    <t>69186546</t>
  </si>
  <si>
    <t>ocm69186546</t>
  </si>
  <si>
    <t>3102672186R</t>
  </si>
  <si>
    <t>9780676975888</t>
  </si>
  <si>
    <t>794145544</t>
  </si>
  <si>
    <t>2018-05-05</t>
  </si>
  <si>
    <t>3102672181R</t>
  </si>
  <si>
    <t>794145543</t>
  </si>
  <si>
    <t>Z665 M678 2007</t>
  </si>
  <si>
    <t>0                      Z  0665000M  678         2007</t>
  </si>
  <si>
    <t>Le métier de bibliothécaire / ABF ; sous la direction de Raphaële Mouren et Dominique Peignet.</t>
  </si>
  <si>
    <t>Paris : Éditions du Cercle de la librairie, ©2007.</t>
  </si>
  <si>
    <t>Ed. mise à jour et corrigée.</t>
  </si>
  <si>
    <t>4784068927:fre</t>
  </si>
  <si>
    <t>427840692</t>
  </si>
  <si>
    <t>ocn427840692</t>
  </si>
  <si>
    <t>3102872370B</t>
  </si>
  <si>
    <t>9782765409571</t>
  </si>
  <si>
    <t>794701529</t>
  </si>
  <si>
    <t>Z665 M678 2019</t>
  </si>
  <si>
    <t>0                      Z  0665000M  678         2019</t>
  </si>
  <si>
    <t>Le métier de bibliothécaire / Association des bibliothécaires de France; sous la direction de Charlotte Henard avec le concours de Romain Gailard, Coline Ranaudin et Melanie Villenet-Hamel.</t>
  </si>
  <si>
    <t>Paris : Éditions du Cercle de la librairie, ©2019.</t>
  </si>
  <si>
    <t>[13e édition].</t>
  </si>
  <si>
    <t>2019-12-02</t>
  </si>
  <si>
    <t>10177621418:fre</t>
  </si>
  <si>
    <t>1129251901</t>
  </si>
  <si>
    <t>on1129251901</t>
  </si>
  <si>
    <t>3103864044J</t>
  </si>
  <si>
    <t>9782765415787</t>
  </si>
  <si>
    <t>795086528</t>
  </si>
  <si>
    <t>Z665 M8</t>
  </si>
  <si>
    <t>0                      Z  0665000M  8</t>
  </si>
  <si>
    <t>Librarianship, its philosophy and history.</t>
  </si>
  <si>
    <t>Mukherjee, Ajit Kumar.</t>
  </si>
  <si>
    <t>Bombay, New York, Asia Pub. House [1966]</t>
  </si>
  <si>
    <t>1697953:eng</t>
  </si>
  <si>
    <t>574495</t>
  </si>
  <si>
    <t>ocm00574495</t>
  </si>
  <si>
    <t>30008536710</t>
  </si>
  <si>
    <t>791418630</t>
  </si>
  <si>
    <t>Z665 M84 1989</t>
  </si>
  <si>
    <t>0                      Z  0665000M  84          1989</t>
  </si>
  <si>
    <t>Managing small library collections in businesses and community organizations : advice for nonlibrarians / John A. Moorman.</t>
  </si>
  <si>
    <t>Moorman, John A.</t>
  </si>
  <si>
    <t>Chicago : American Library Association, 1989.</t>
  </si>
  <si>
    <t>2019-08-02</t>
  </si>
  <si>
    <t>18433642:eng</t>
  </si>
  <si>
    <t>18961863</t>
  </si>
  <si>
    <t>ocm18961863</t>
  </si>
  <si>
    <t>31004190345</t>
  </si>
  <si>
    <t>9780838905067</t>
  </si>
  <si>
    <t>793042729</t>
  </si>
  <si>
    <t>Z665 M87 1948</t>
  </si>
  <si>
    <t>0                      Z  0665000M  87          1948</t>
  </si>
  <si>
    <t>Library a b c's.</t>
  </si>
  <si>
    <t>Mustard, Mary Isabella.</t>
  </si>
  <si>
    <t>Toronto : Longmans, Green, 1948.</t>
  </si>
  <si>
    <t>46170565:eng</t>
  </si>
  <si>
    <t>61610039</t>
  </si>
  <si>
    <t>ocm61610039</t>
  </si>
  <si>
    <t>3000856012P</t>
  </si>
  <si>
    <t>794048518</t>
  </si>
  <si>
    <t>Z665 N415 1992</t>
  </si>
  <si>
    <t>0                      Z  0665000N  415         1992</t>
  </si>
  <si>
    <t>Dilemmas in the study of information : exploring the boundaries of information science / S.D. Neill.</t>
  </si>
  <si>
    <t>Neill, S. D. (Samuel D.), 1928-</t>
  </si>
  <si>
    <t>New York : Greenwood Press, 1992.</t>
  </si>
  <si>
    <t>Contributions in librarianship and information science, 0084-9243 ; no. 70</t>
  </si>
  <si>
    <t>2015-10-02</t>
  </si>
  <si>
    <t>836885618:eng</t>
  </si>
  <si>
    <t>24067069</t>
  </si>
  <si>
    <t>ocm24067069</t>
  </si>
  <si>
    <t>3101116170P</t>
  </si>
  <si>
    <t>9780313277344</t>
  </si>
  <si>
    <t>793188704</t>
  </si>
  <si>
    <t>Z665 O83 2009</t>
  </si>
  <si>
    <t>0                      Z  0665000O  83          2009</t>
  </si>
  <si>
    <t>The social transcript : uncovering library philosophy / Charles B. Osburn.</t>
  </si>
  <si>
    <t>Osburn, Charles B.</t>
  </si>
  <si>
    <t>Westport, Conn. : Libraries Unlimited, 2009.</t>
  </si>
  <si>
    <t>2015-09-17</t>
  </si>
  <si>
    <t>907753738:eng</t>
  </si>
  <si>
    <t>236082411</t>
  </si>
  <si>
    <t>ocn236082411</t>
  </si>
  <si>
    <t>3103058049G</t>
  </si>
  <si>
    <t>9781591587583</t>
  </si>
  <si>
    <t>794371002</t>
  </si>
  <si>
    <t>Z665 P65 2018</t>
  </si>
  <si>
    <t>0                      Z  0665000P  65          2018</t>
  </si>
  <si>
    <t>The politics of theory and the practice of critical librarianship / editors, Karen P. Nicholson and Maura Seale.</t>
  </si>
  <si>
    <t>Sacramento, CA : Library Juice Press, 2018.</t>
  </si>
  <si>
    <t>4837221714:eng</t>
  </si>
  <si>
    <t>992307225</t>
  </si>
  <si>
    <t>ocn992307225</t>
  </si>
  <si>
    <t>3103738005Y</t>
  </si>
  <si>
    <t>9781634000307</t>
  </si>
  <si>
    <t>795038209</t>
  </si>
  <si>
    <t>Z665 P8185 2009</t>
  </si>
  <si>
    <t>0                      Z  0665000P  8185        2009</t>
  </si>
  <si>
    <t>The politics of libraries and librarianship : challenges and realities / edited by Kerry Smith.</t>
  </si>
  <si>
    <t>Oxford : Chandos, 2009.</t>
  </si>
  <si>
    <t>2015-03-23</t>
  </si>
  <si>
    <t>865075017:eng</t>
  </si>
  <si>
    <t>170039429</t>
  </si>
  <si>
    <t>ocn170039429</t>
  </si>
  <si>
    <t>3102857222E</t>
  </si>
  <si>
    <t>9781843343448</t>
  </si>
  <si>
    <t>794263241</t>
  </si>
  <si>
    <t>Z665 P83 2008</t>
  </si>
  <si>
    <t>0                      Z  0665000P  83          2008</t>
  </si>
  <si>
    <t>The portable MLIS : insights from the experts / edited by Ken Haycock and Brooke E. Sheldon.</t>
  </si>
  <si>
    <t>Westport, Conn. : Libraries Unlimited, ©2008.</t>
  </si>
  <si>
    <t>2017-01-23</t>
  </si>
  <si>
    <t>918721001:eng</t>
  </si>
  <si>
    <t>213599204</t>
  </si>
  <si>
    <t>ocn213599204</t>
  </si>
  <si>
    <t>31029731835</t>
  </si>
  <si>
    <t>9781591585473</t>
  </si>
  <si>
    <t>794310308</t>
  </si>
  <si>
    <t>Z665 P94313 2010</t>
  </si>
  <si>
    <t>0                      Z  0665000P  94313       2010</t>
  </si>
  <si>
    <t>Information science / edited by Fabrice Papy.</t>
  </si>
  <si>
    <t>Problématiques émergentes dans les sciences de l'information. English.</t>
  </si>
  <si>
    <t>London : ISTE Ltd. ; Hoboken, NJ : John Wiley &amp; Sons, 2010.</t>
  </si>
  <si>
    <t>154941245:eng</t>
  </si>
  <si>
    <t>440562940</t>
  </si>
  <si>
    <t>ocn440562940</t>
  </si>
  <si>
    <t>3103134653G</t>
  </si>
  <si>
    <t>9781848211681</t>
  </si>
  <si>
    <t>794786475</t>
  </si>
  <si>
    <t>Z665 P977</t>
  </si>
  <si>
    <t>0                      Z  0665000P  977</t>
  </si>
  <si>
    <t>Public library purpose : a reader / edited by Barry Totterdell.</t>
  </si>
  <si>
    <t>London : C. Bingley ; Hamden, Conn. : Linnet Books, 1978.</t>
  </si>
  <si>
    <t>2015-09-16</t>
  </si>
  <si>
    <t>319486930:eng</t>
  </si>
  <si>
    <t>3380195</t>
  </si>
  <si>
    <t>ocm03380195</t>
  </si>
  <si>
    <t>3000853687M</t>
  </si>
  <si>
    <t>9780208016812</t>
  </si>
  <si>
    <t>792248440</t>
  </si>
  <si>
    <t>Z665 R25 2017</t>
  </si>
  <si>
    <t>0                      Z  0665000R  25          2017</t>
  </si>
  <si>
    <t>Library conversations : reclaiming interpersonal communication theory for understanding professional encounters / Marie L. Radford and Gary P. Radford.</t>
  </si>
  <si>
    <t>Radford, Marie L., author.</t>
  </si>
  <si>
    <t>Chicago : Neal-Schuman, an imprint of the American Library Association, 2017.</t>
  </si>
  <si>
    <t>4029191428:eng</t>
  </si>
  <si>
    <t>957134152</t>
  </si>
  <si>
    <t>ocn957134152</t>
  </si>
  <si>
    <t>3103657621C</t>
  </si>
  <si>
    <t>9780838914847</t>
  </si>
  <si>
    <t>795020725</t>
  </si>
  <si>
    <t>Z665 R364 1948</t>
  </si>
  <si>
    <t>0                      Z  0665000R  364         1948</t>
  </si>
  <si>
    <t>Preface to library science / Shiyali Ramanrita Ranganathan.</t>
  </si>
  <si>
    <t>Ranganathan, S. R. (Shiyali Ramamrita), 1892-1972.</t>
  </si>
  <si>
    <t>Delhi : Delhi Univ., 1948.</t>
  </si>
  <si>
    <t>2017-06-02</t>
  </si>
  <si>
    <t>13290727:eng</t>
  </si>
  <si>
    <t>59188808</t>
  </si>
  <si>
    <t>ocm59188808</t>
  </si>
  <si>
    <t>30008624741</t>
  </si>
  <si>
    <t>793928307</t>
  </si>
  <si>
    <t>Z665 R44 2003</t>
  </si>
  <si>
    <t>0                      Z  0665000R  44          2003</t>
  </si>
  <si>
    <t>Revolting librarians redux : radical librarians speak out / edited by Katia Roberto and Jessamyn West ; introduction by Celeste West ; illustrations by Katherine West.</t>
  </si>
  <si>
    <t>Jefferson, N.C. : McFarland &amp; Co., ©2003.</t>
  </si>
  <si>
    <t>2018-09-10</t>
  </si>
  <si>
    <t>837032821:eng</t>
  </si>
  <si>
    <t>52055828</t>
  </si>
  <si>
    <t>ocm52055828</t>
  </si>
  <si>
    <t>3102795040A</t>
  </si>
  <si>
    <t>9780786416080</t>
  </si>
  <si>
    <t>793797382</t>
  </si>
  <si>
    <t>Z665 S22</t>
  </si>
  <si>
    <t>0                      Z  0665000S  22</t>
  </si>
  <si>
    <t>International and area studies librarianship; case studies, by Martin H. Sable.</t>
  </si>
  <si>
    <t>Sable, Martin Howard.</t>
  </si>
  <si>
    <t>Metuchen, N.J., Scarecrow Press, 1973.</t>
  </si>
  <si>
    <t>2015-06-12</t>
  </si>
  <si>
    <t>287630937:eng</t>
  </si>
  <si>
    <t>609785</t>
  </si>
  <si>
    <t>ocm00609785</t>
  </si>
  <si>
    <t>3000853700J</t>
  </si>
  <si>
    <t>9780810806221</t>
  </si>
  <si>
    <t>791427542</t>
  </si>
  <si>
    <t>Z665 S373 2014</t>
  </si>
  <si>
    <t>0                      Z  0665000S  373         2014</t>
  </si>
  <si>
    <t>Critical journeys : how 14 librarians came to embrace critical practice / Robert Schroeder.</t>
  </si>
  <si>
    <t>Schroeder, Robert, 1953- author.</t>
  </si>
  <si>
    <t>Sacramento, CA : Library Juice Press, 2014.</t>
  </si>
  <si>
    <t>2019-03-29</t>
  </si>
  <si>
    <t>1906173753:eng</t>
  </si>
  <si>
    <t>881318139</t>
  </si>
  <si>
    <t>ocn881318139</t>
  </si>
  <si>
    <t>3103612452L</t>
  </si>
  <si>
    <t>9781936117925</t>
  </si>
  <si>
    <t>794974122</t>
  </si>
  <si>
    <t>Z665 S417</t>
  </si>
  <si>
    <t>0                      Z  0665000S  417</t>
  </si>
  <si>
    <t>"The compleat librarian"; and other essays [by] Jesse H. Shera.</t>
  </si>
  <si>
    <t>Shera, Jesse Hauk, 1903-1982.</t>
  </si>
  <si>
    <t>Cleveland, Press of Case Western Reserve University, 1971.</t>
  </si>
  <si>
    <t>287921555:eng</t>
  </si>
  <si>
    <t>124654</t>
  </si>
  <si>
    <t>ocm00124654</t>
  </si>
  <si>
    <t>30008537067</t>
  </si>
  <si>
    <t>9780829501933</t>
  </si>
  <si>
    <t>791264387</t>
  </si>
  <si>
    <t>Z665 S418</t>
  </si>
  <si>
    <t>0                      Z  0665000S  418</t>
  </si>
  <si>
    <t>Knowing books and men; knowing computers, too [by] Jesse H. Shera.</t>
  </si>
  <si>
    <t>2015-07-30</t>
  </si>
  <si>
    <t>1641478:eng</t>
  </si>
  <si>
    <t>762802</t>
  </si>
  <si>
    <t>ocm00762802</t>
  </si>
  <si>
    <t>3000852241U</t>
  </si>
  <si>
    <t>9780872870734</t>
  </si>
  <si>
    <t>791464681</t>
  </si>
  <si>
    <t>Z665 S42</t>
  </si>
  <si>
    <t>0                      Z  0665000S  42</t>
  </si>
  <si>
    <t>Libraries and the organization of knowledge, by Jesse H. Shera. Edited and with an introd. by D.J. Foskett.</t>
  </si>
  <si>
    <t>Hamden, Conn., Archon Books [1965]</t>
  </si>
  <si>
    <t>2018-07-20</t>
  </si>
  <si>
    <t>118567434:eng</t>
  </si>
  <si>
    <t>221376467</t>
  </si>
  <si>
    <t>ocn221376467</t>
  </si>
  <si>
    <t>30008537091</t>
  </si>
  <si>
    <t>794326195</t>
  </si>
  <si>
    <t>Z665 S575 2016</t>
  </si>
  <si>
    <t>0                      Z  0665000S  575         2016</t>
  </si>
  <si>
    <t>When we are no more : how digital memory is shaping our future / Abby Smith Rumsey.</t>
  </si>
  <si>
    <t>Rumsey, Abby Smith, author.</t>
  </si>
  <si>
    <t>New York, NY, USA : Bloomsbury Press, 2016.</t>
  </si>
  <si>
    <t>2018-05-14</t>
  </si>
  <si>
    <t>2942349845:eng</t>
  </si>
  <si>
    <t>889164325</t>
  </si>
  <si>
    <t>ocn889164325</t>
  </si>
  <si>
    <t>3103653830N</t>
  </si>
  <si>
    <t>9781620408025</t>
  </si>
  <si>
    <t>794978232</t>
  </si>
  <si>
    <t>Z665 S58</t>
  </si>
  <si>
    <t>0                      Z  0665000S  58</t>
  </si>
  <si>
    <t>A chronology of librarianship.</t>
  </si>
  <si>
    <t>Smith, Josephine Metcalfe.</t>
  </si>
  <si>
    <t>Metuchen, N.J., Scarecrow Press, 1968.</t>
  </si>
  <si>
    <t>3943653020:eng</t>
  </si>
  <si>
    <t>574277</t>
  </si>
  <si>
    <t>ocm00574277</t>
  </si>
  <si>
    <t>30008537164</t>
  </si>
  <si>
    <t>791418570</t>
  </si>
  <si>
    <t>Z665 S746 2016</t>
  </si>
  <si>
    <t>0                      Z  0665000S  746         2016</t>
  </si>
  <si>
    <t>The heart of librarianship : attentive, positive, and purposeful change / Michael Stephens.</t>
  </si>
  <si>
    <t>Stephens, Michael T., 1965- author.</t>
  </si>
  <si>
    <t>Chicago : ALA Editions, an imprint of the American Library Association, 2016.</t>
  </si>
  <si>
    <t>2016-10-28</t>
  </si>
  <si>
    <t>2963574568:eng</t>
  </si>
  <si>
    <t>945582440</t>
  </si>
  <si>
    <t>ocn945582440</t>
  </si>
  <si>
    <t>3103654701T</t>
  </si>
  <si>
    <t>9780838914540</t>
  </si>
  <si>
    <t>795013660</t>
  </si>
  <si>
    <t>Z665 S826 1983</t>
  </si>
  <si>
    <t>0                      Z  0665000S  826         1983</t>
  </si>
  <si>
    <t>The Study of information : interdisciplinary messages / edited by Fritz Machlup and Una Mansfield ; with a foreword by George A. Miller.</t>
  </si>
  <si>
    <t>New York : Wiley, ©1983.</t>
  </si>
  <si>
    <t>320402510:eng</t>
  </si>
  <si>
    <t>9644618</t>
  </si>
  <si>
    <t>ocm09644618</t>
  </si>
  <si>
    <t>3103644085V</t>
  </si>
  <si>
    <t>9780471887171</t>
  </si>
  <si>
    <t>792686407</t>
  </si>
  <si>
    <t>Z665 S895 2012</t>
  </si>
  <si>
    <t>0                      Z  0665000S  895         2012</t>
  </si>
  <si>
    <t>Systems science and collaborative information systems : theories, practices and new research / [edited by] Emilia Currás and Nuria Lloret Romero.</t>
  </si>
  <si>
    <t>Hershey PA : Information Science Reference, ©2012.</t>
  </si>
  <si>
    <t>1055759907:eng</t>
  </si>
  <si>
    <t>754712701</t>
  </si>
  <si>
    <t>ocn754712701</t>
  </si>
  <si>
    <t>3103407496$</t>
  </si>
  <si>
    <t>9781613502013</t>
  </si>
  <si>
    <t>794893000</t>
  </si>
  <si>
    <t>Z665 T4965 2008</t>
  </si>
  <si>
    <t>0                      Z  0665000T  4965        2008</t>
  </si>
  <si>
    <t>Thinking outside the book : essays for innovative librarians / edited by Carol Smallwood ; foreword by Joy M. Greiner.</t>
  </si>
  <si>
    <t>Jefferson, N.C. : McFarland &amp; Co., ©2008.</t>
  </si>
  <si>
    <t>891193130:eng</t>
  </si>
  <si>
    <t>173241128</t>
  </si>
  <si>
    <t>ocn173241128</t>
  </si>
  <si>
    <t>3102970247M</t>
  </si>
  <si>
    <t>9780786435753</t>
  </si>
  <si>
    <t>794265825</t>
  </si>
  <si>
    <t>Z665 T497 1977</t>
  </si>
  <si>
    <t>0                      Z  0665000T  497         1977</t>
  </si>
  <si>
    <t>A history of the principles of librarianship / by James Thompson.</t>
  </si>
  <si>
    <t>Thompson, James, 1932-</t>
  </si>
  <si>
    <t>London : C. Bingley ; Hamden, Ct. : Linnet Books, ©1977.</t>
  </si>
  <si>
    <t>6494651:eng</t>
  </si>
  <si>
    <t>2837395</t>
  </si>
  <si>
    <t>ocm02837395</t>
  </si>
  <si>
    <t>3101141562F</t>
  </si>
  <si>
    <t>9780208016614</t>
  </si>
  <si>
    <t>792183448</t>
  </si>
  <si>
    <t>Z665 T498</t>
  </si>
  <si>
    <t>0                      Z  0665000T  498</t>
  </si>
  <si>
    <t>Library power : a new philosophy of librarianship / by James Thompson.</t>
  </si>
  <si>
    <t>London : Bingley, 1974.</t>
  </si>
  <si>
    <t>1837630:eng</t>
  </si>
  <si>
    <t>1033593</t>
  </si>
  <si>
    <t>ocm01033593</t>
  </si>
  <si>
    <t>30008537253</t>
  </si>
  <si>
    <t>9780851571737</t>
  </si>
  <si>
    <t>791529556</t>
  </si>
  <si>
    <t>Z665 T8 1987</t>
  </si>
  <si>
    <t>0                      Z  0665000T  8           1987</t>
  </si>
  <si>
    <t>Organizing information : principles and practice / Christopher Turner.</t>
  </si>
  <si>
    <t>Turner, Christopher, 1949-</t>
  </si>
  <si>
    <t>London : Bingley, 1987.</t>
  </si>
  <si>
    <t>328285408:eng</t>
  </si>
  <si>
    <t>14588528</t>
  </si>
  <si>
    <t>ocm14588528</t>
  </si>
  <si>
    <t>3000849597$</t>
  </si>
  <si>
    <t>9780851573793</t>
  </si>
  <si>
    <t>792894695</t>
  </si>
  <si>
    <t>Z665 T85 2005</t>
  </si>
  <si>
    <t>0                      Z  0665000T  85          2005</t>
  </si>
  <si>
    <t>An introduction to library and information work.</t>
  </si>
  <si>
    <t>Totterdell, Anne.</t>
  </si>
  <si>
    <t>London : Facet, 2005.</t>
  </si>
  <si>
    <t>3rd ed. / Anne Totterdell with contributions from Jane Gill and Alan Hornsey.</t>
  </si>
  <si>
    <t>587355:eng</t>
  </si>
  <si>
    <t>61128854</t>
  </si>
  <si>
    <t>ocm61128854</t>
  </si>
  <si>
    <t>3103130690O</t>
  </si>
  <si>
    <t>9781856045575</t>
  </si>
  <si>
    <t>793946799</t>
  </si>
  <si>
    <t>Z665 V73 2004</t>
  </si>
  <si>
    <t>0                      Z  0665000V  73          2004</t>
  </si>
  <si>
    <t>Information science in theory and practice / by Brian C. Vickery, Alina Vickery.</t>
  </si>
  <si>
    <t>Vickery, B. C. (Brian Campbell)</t>
  </si>
  <si>
    <t>München : K.G. Saur, 2004.</t>
  </si>
  <si>
    <t>3rd rev. &amp; enlarged ed.</t>
  </si>
  <si>
    <t>3145984:eng</t>
  </si>
  <si>
    <t>55979006</t>
  </si>
  <si>
    <t>ocm55979006</t>
  </si>
  <si>
    <t>3102410481V</t>
  </si>
  <si>
    <t>9783598116582</t>
  </si>
  <si>
    <t>793885083</t>
  </si>
  <si>
    <t>Z665 W45 2008</t>
  </si>
  <si>
    <t>0                      Z  0665000W  45          2008</t>
  </si>
  <si>
    <t>Information history--an introduction : exploring an emergent field / Toni Weller.</t>
  </si>
  <si>
    <t>Weller, Toni.</t>
  </si>
  <si>
    <t>Oxford : Chandos Pub., ©2008.</t>
  </si>
  <si>
    <t>2015-07-27</t>
  </si>
  <si>
    <t>891468333:eng</t>
  </si>
  <si>
    <t>237289933</t>
  </si>
  <si>
    <t>ocn237289933</t>
  </si>
  <si>
    <t>3102854248M</t>
  </si>
  <si>
    <t>9781843343950</t>
  </si>
  <si>
    <t>794372921</t>
  </si>
  <si>
    <t>Z665 W65 2009</t>
  </si>
  <si>
    <t>0                      Z  0665000W  65          2009</t>
  </si>
  <si>
    <t>A chronology of librarianship, 1960-2000 / Jeffrey M. Wilhite.</t>
  </si>
  <si>
    <t>Wilhite, Jeffrey M.</t>
  </si>
  <si>
    <t>Lanham, Md. : Scarecrow Press, 2009.</t>
  </si>
  <si>
    <t>2016-09-30</t>
  </si>
  <si>
    <t>191237643:eng</t>
  </si>
  <si>
    <t>312416402</t>
  </si>
  <si>
    <t>ocn312416402</t>
  </si>
  <si>
    <t>31031544896</t>
  </si>
  <si>
    <t>9780810852556</t>
  </si>
  <si>
    <t>794436729</t>
  </si>
  <si>
    <t>Z665 Z45 2010</t>
  </si>
  <si>
    <t>0                      Z  0665000Z  45          2010</t>
  </si>
  <si>
    <t>Gatekeepers of knowledge : a consideration of the library, the book and the scholar in the western world / Margaret Zeegers and Deirdre Barron.</t>
  </si>
  <si>
    <t>Zeegers, Margaret.</t>
  </si>
  <si>
    <t>2017-05-19</t>
  </si>
  <si>
    <t>796552135:eng</t>
  </si>
  <si>
    <t>573302261</t>
  </si>
  <si>
    <t>ocn573302261</t>
  </si>
  <si>
    <t>3103132891A</t>
  </si>
  <si>
    <t>9781843345060</t>
  </si>
  <si>
    <t>794813899</t>
  </si>
  <si>
    <t>Z665.2 A78 L53 2012</t>
  </si>
  <si>
    <t>0                      Z  0665200A  78                 L  53          2012</t>
  </si>
  <si>
    <t>Library and information science trends and research : Asia-Oceania / edited by Amanda Spink and Diljit Singh.</t>
  </si>
  <si>
    <t>Bingley : Emerald, 2012.</t>
  </si>
  <si>
    <t>Library and information science</t>
  </si>
  <si>
    <t>1865603717:eng</t>
  </si>
  <si>
    <t>778917050</t>
  </si>
  <si>
    <t>ocn778917050</t>
  </si>
  <si>
    <t>3103410721R</t>
  </si>
  <si>
    <t>9781780524702</t>
  </si>
  <si>
    <t>794910377</t>
  </si>
  <si>
    <t>Z665.2 C6 W82 2015</t>
  </si>
  <si>
    <t>0                      Z  0665200C  6                  W  82          2015</t>
  </si>
  <si>
    <t>Zhi shi shi liu dong de / Wu Jianzhong zhu.</t>
  </si>
  <si>
    <t>Wu, Jianzhong, 1956- author.</t>
  </si>
  <si>
    <t>Shanghai Shi : Shanghai yuan dong chu ban she, 2015.</t>
  </si>
  <si>
    <t>2895759939:chi</t>
  </si>
  <si>
    <t>935981815</t>
  </si>
  <si>
    <t>ocn935981815</t>
  </si>
  <si>
    <t>3103632231P</t>
  </si>
  <si>
    <t>9787547610107</t>
  </si>
  <si>
    <t>795010270</t>
  </si>
  <si>
    <t>Z665.2 D44 L58 2012</t>
  </si>
  <si>
    <t>0                      Z  0665200D  44                 L  58          2012</t>
  </si>
  <si>
    <t>Library and information science in developing countries : contemporary issues / Adeyinka Tella and Abdulwahab O. Issa, [editors].</t>
  </si>
  <si>
    <t>Hershey, PA : Information Science Reference, ©2012.</t>
  </si>
  <si>
    <t>1055759882:eng</t>
  </si>
  <si>
    <t>754712691</t>
  </si>
  <si>
    <t>ocn754712691</t>
  </si>
  <si>
    <t>3103406226N</t>
  </si>
  <si>
    <t>9781613503355</t>
  </si>
  <si>
    <t>794892998</t>
  </si>
  <si>
    <t>Z665.2 E85 E87 2008</t>
  </si>
  <si>
    <t>0                      Z  0665200E  85                 E  87          2008</t>
  </si>
  <si>
    <t>European modernism and the information society : informing the present, understanding the past / [edited] by W. Boyd Rayward.</t>
  </si>
  <si>
    <t>Aldershot, Hants, England ; Burlington, VT : Ashgate, ©2008.</t>
  </si>
  <si>
    <t>2016-08-26</t>
  </si>
  <si>
    <t>891715074:eng</t>
  </si>
  <si>
    <t>145379605</t>
  </si>
  <si>
    <t>ocn145379605</t>
  </si>
  <si>
    <t>31028521094</t>
  </si>
  <si>
    <t>9780754649281</t>
  </si>
  <si>
    <t>794238954</t>
  </si>
  <si>
    <t>Z665.2 E85 L53 2012</t>
  </si>
  <si>
    <t>0                      Z  0665200E  85                 L  53          2012</t>
  </si>
  <si>
    <t>Library and information science trends and research : Europe / edited by Amanda Spink, Jannica Heinström.</t>
  </si>
  <si>
    <t>Library and information science, 1876-0562</t>
  </si>
  <si>
    <t>2013-10-30</t>
  </si>
  <si>
    <t>2517382662:eng</t>
  </si>
  <si>
    <t>779877498</t>
  </si>
  <si>
    <t>ocn779877498</t>
  </si>
  <si>
    <t>3103457583A</t>
  </si>
  <si>
    <t>9781780527147</t>
  </si>
  <si>
    <t>794911549</t>
  </si>
  <si>
    <t>Z665.2 Q4 C67 2009</t>
  </si>
  <si>
    <t>0                      Z  0665200Q  4                  C  67          2009</t>
  </si>
  <si>
    <t>Bibliothécaire : passeur de savoirs / Corporation des bibliothécaires professionnels du Québec.</t>
  </si>
  <si>
    <t>Corporation des bibliothécaires professionnels du Québec.</t>
  </si>
  <si>
    <t>Montréal : Carte Blanche, ©2009.</t>
  </si>
  <si>
    <t>2017-07-04</t>
  </si>
  <si>
    <t>890915242:fre</t>
  </si>
  <si>
    <t>429478551</t>
  </si>
  <si>
    <t>ocn429478551</t>
  </si>
  <si>
    <t>3103150869E</t>
  </si>
  <si>
    <t>9782895901457</t>
  </si>
  <si>
    <t>794780022</t>
  </si>
  <si>
    <t>Z665.2 U6 B62 2007</t>
  </si>
  <si>
    <t>0                      Z  0665200U  6                  B  62          2007</t>
  </si>
  <si>
    <t>Libraries and librarianship : sixty years of challenge and change, 1945-2005 / George S. Bobinski.</t>
  </si>
  <si>
    <t>Bobinski, George S. (George Sylvan)</t>
  </si>
  <si>
    <t>Lanham, Md. : Scarecrow Press, 2007.</t>
  </si>
  <si>
    <t>907385558:eng</t>
  </si>
  <si>
    <t>74029187</t>
  </si>
  <si>
    <t>ocm74029187</t>
  </si>
  <si>
    <t>3102637851C</t>
  </si>
  <si>
    <t>9780810858992</t>
  </si>
  <si>
    <t>794171828</t>
  </si>
  <si>
    <t>Z665.2 U6 D58 2011</t>
  </si>
  <si>
    <t>0                      Z  0665200U  6                  D  58          2011</t>
  </si>
  <si>
    <t>Diverse millennial students in college : implications for faculty and student affairs / edited by Fred A. Bonner II, Aretha F. Marbley, and Mary F. Howard-Hamilton.</t>
  </si>
  <si>
    <t>Sterling, Va. : Stylus Pub., ©2011.</t>
  </si>
  <si>
    <t>477835195:eng</t>
  </si>
  <si>
    <t>609538393</t>
  </si>
  <si>
    <t>ocn609538393</t>
  </si>
  <si>
    <t>3103408324C</t>
  </si>
  <si>
    <t>9781579224462</t>
  </si>
  <si>
    <t>794820067</t>
  </si>
  <si>
    <t>Z665.2 U6 E24 1991</t>
  </si>
  <si>
    <t>0                      Z  0665200U  6                  E  24          1991</t>
  </si>
  <si>
    <t>The whole library handbook : current data, professional advice, and curiosa about libraries and library services / compiled by George M. Eberhart.</t>
  </si>
  <si>
    <t>Eberhart, George M.</t>
  </si>
  <si>
    <t>Chicago : American Library Association, 1991.</t>
  </si>
  <si>
    <t>935301761:eng</t>
  </si>
  <si>
    <t>23651404</t>
  </si>
  <si>
    <t>ocm23651404</t>
  </si>
  <si>
    <t>31030091163</t>
  </si>
  <si>
    <t>9780838905739</t>
  </si>
  <si>
    <t>793178659</t>
  </si>
  <si>
    <t>Z665.2 U6 E243 2000</t>
  </si>
  <si>
    <t>0                      Z  0665200U  6                  E  243         2000</t>
  </si>
  <si>
    <t>The whole library handbook 3 : current data, professional advice, and curiosa about libraries and library services / compiled by George M. Eberhart.</t>
  </si>
  <si>
    <t>Chicago : American Library Association, 2000.</t>
  </si>
  <si>
    <t>2864509919:eng</t>
  </si>
  <si>
    <t>43114342</t>
  </si>
  <si>
    <t>ocm43114342</t>
  </si>
  <si>
    <t>31020429055</t>
  </si>
  <si>
    <t>9780838907818</t>
  </si>
  <si>
    <t>793620431</t>
  </si>
  <si>
    <t>Z665.2 U6 F73 2013</t>
  </si>
  <si>
    <t>0                      Z  0665200U  6                  F  73          2013</t>
  </si>
  <si>
    <t>Records &amp; information management / Patricia C. Franks.</t>
  </si>
  <si>
    <t>Franks, Patricia C., 1945- author.</t>
  </si>
  <si>
    <t>Chicago : Neal-Schuman, an imprint of the American Library Association, 2013.</t>
  </si>
  <si>
    <t>2018-05-10</t>
  </si>
  <si>
    <t>1378894211:eng</t>
  </si>
  <si>
    <t>837923609</t>
  </si>
  <si>
    <t>ocn837923609</t>
  </si>
  <si>
    <t>3103498924N</t>
  </si>
  <si>
    <t>9781555709105</t>
  </si>
  <si>
    <t>794945219</t>
  </si>
  <si>
    <t>Z665.2 U6 R83 1998</t>
  </si>
  <si>
    <t>0                      Z  0665200U  6                  R  83          1998</t>
  </si>
  <si>
    <t>Foundations of library and information science / Richard E. Rubin.</t>
  </si>
  <si>
    <t>Rubin, Richard, 1949-</t>
  </si>
  <si>
    <t>New York : Neal-Schuman Publishers, ©1998.</t>
  </si>
  <si>
    <t>996875:eng</t>
  </si>
  <si>
    <t>37975489</t>
  </si>
  <si>
    <t>ocm37975489</t>
  </si>
  <si>
    <t>31018936414</t>
  </si>
  <si>
    <t>9781555703097</t>
  </si>
  <si>
    <t>793511599</t>
  </si>
  <si>
    <t>2013-09-06</t>
  </si>
  <si>
    <t>31018936074</t>
  </si>
  <si>
    <t>793511600</t>
  </si>
  <si>
    <t>Z665.2 U6 R83 2000</t>
  </si>
  <si>
    <t>0                      Z  0665200U  6                  R  83          2000</t>
  </si>
  <si>
    <t>New York : Neal-Schuman Publishers, ©2000.</t>
  </si>
  <si>
    <t>Updated version.</t>
  </si>
  <si>
    <t>44541876</t>
  </si>
  <si>
    <t>ocm44541876</t>
  </si>
  <si>
    <t>3102092294F</t>
  </si>
  <si>
    <t>9781555704025</t>
  </si>
  <si>
    <t>793652723</t>
  </si>
  <si>
    <t>Z665.2 U6 R83 2004</t>
  </si>
  <si>
    <t>0                      Z  0665200U  6                  R  83          2004</t>
  </si>
  <si>
    <t>New York : Neal-Schuman Publishers, ©2004.</t>
  </si>
  <si>
    <t>2018-09-12</t>
  </si>
  <si>
    <t>54694699</t>
  </si>
  <si>
    <t>ocm54694699</t>
  </si>
  <si>
    <t>3102670586N</t>
  </si>
  <si>
    <t>9781555705183</t>
  </si>
  <si>
    <t>793865892</t>
  </si>
  <si>
    <t>2016-10-20</t>
  </si>
  <si>
    <t>3102670581N</t>
  </si>
  <si>
    <t>793865893</t>
  </si>
  <si>
    <t>31027801161</t>
  </si>
  <si>
    <t>793865891</t>
  </si>
  <si>
    <t>Z665.2 U6 R83 2010</t>
  </si>
  <si>
    <t>0                      Z  0665200U  6                  R  83          2010</t>
  </si>
  <si>
    <t>New York : Neal-Schuman Publishers, ©2010.</t>
  </si>
  <si>
    <t>2018-12-09</t>
  </si>
  <si>
    <t>553368144</t>
  </si>
  <si>
    <t>ocn553368144</t>
  </si>
  <si>
    <t>31035846446</t>
  </si>
  <si>
    <t>9781555706906</t>
  </si>
  <si>
    <t>794811897</t>
  </si>
  <si>
    <t>3103240666J</t>
  </si>
  <si>
    <t>794811898</t>
  </si>
  <si>
    <t>Z665.2 U6 R83 2016</t>
  </si>
  <si>
    <t>0                      Z  0665200U  6                  R  83          2016</t>
  </si>
  <si>
    <t>Rubin, Richard, 1949- author.</t>
  </si>
  <si>
    <t>Chicago : ALA Neal-Schuman, an imprint of the American Library Association, 2016.</t>
  </si>
  <si>
    <t>Fourth edition.</t>
  </si>
  <si>
    <t>2018-09-23</t>
  </si>
  <si>
    <t>921994696</t>
  </si>
  <si>
    <t>ocn921994696</t>
  </si>
  <si>
    <t>3103654275K</t>
  </si>
  <si>
    <t>9780838913703</t>
  </si>
  <si>
    <t>795003581</t>
  </si>
  <si>
    <t>London : Facet Publishing, 2016.</t>
  </si>
  <si>
    <t>2019-03-06</t>
  </si>
  <si>
    <t>935675569</t>
  </si>
  <si>
    <t>ocn935675569</t>
  </si>
  <si>
    <t>31037737332</t>
  </si>
  <si>
    <t>9781783300846</t>
  </si>
  <si>
    <t>795010110</t>
  </si>
  <si>
    <t>Z665.2 U6 S38 1993</t>
  </si>
  <si>
    <t>0                      Z  0665200U  6                  S  38          1993</t>
  </si>
  <si>
    <t>Records management and the library : issues and practices / Candy Schwartz, Peter Hernon.</t>
  </si>
  <si>
    <t>Schwartz, Candy.</t>
  </si>
  <si>
    <t>Norwood, N.J. : Ablex Pub. Corp., ©1993.</t>
  </si>
  <si>
    <t>2015-02-01</t>
  </si>
  <si>
    <t>889794042:eng</t>
  </si>
  <si>
    <t>27070643</t>
  </si>
  <si>
    <t>ocm27070643</t>
  </si>
  <si>
    <t>3101158511S</t>
  </si>
  <si>
    <t>9780893919641</t>
  </si>
  <si>
    <t>793258476</t>
  </si>
  <si>
    <t>Z665.2 U6 W49 2006</t>
  </si>
  <si>
    <t>0                      Z  0665200U  6                  W  49          2006</t>
  </si>
  <si>
    <t>The whole library handbook 4 : current data, professional advice, and curiosa about libraries and library services / edited by George M. Eberhart.</t>
  </si>
  <si>
    <t>Chicago : American Library Association, 2006.</t>
  </si>
  <si>
    <t>866313231:eng</t>
  </si>
  <si>
    <t>62393047</t>
  </si>
  <si>
    <t>ocm62393047</t>
  </si>
  <si>
    <t>3102548750C</t>
  </si>
  <si>
    <t>9780838909157</t>
  </si>
  <si>
    <t>794106465</t>
  </si>
  <si>
    <t>Z666 B38 2014</t>
  </si>
  <si>
    <t>0                      Z  0666000B  38          2014</t>
  </si>
  <si>
    <t>Library and information science : a guide to key literature and sources / Michael F. Bemis.</t>
  </si>
  <si>
    <t>Bemis, Michael F., 1956-</t>
  </si>
  <si>
    <t>Chicago : American Library Association, 2014.</t>
  </si>
  <si>
    <t>1783423369:eng</t>
  </si>
  <si>
    <t>810534116</t>
  </si>
  <si>
    <t>ocn810534116</t>
  </si>
  <si>
    <t>3103532158F</t>
  </si>
  <si>
    <t>9780838911853</t>
  </si>
  <si>
    <t>794929461</t>
  </si>
  <si>
    <t>Z666 P475 2010</t>
  </si>
  <si>
    <t>0                      Z  0666000P  475         2010</t>
  </si>
  <si>
    <t>International students and academic libraries : a survey of issues and annotated bibliography / Diane E. Peters.</t>
  </si>
  <si>
    <t>Peters, Diane E.</t>
  </si>
  <si>
    <t>Lanham, Md. : Scarecrow Press, 2010.</t>
  </si>
  <si>
    <t>2016-06-17</t>
  </si>
  <si>
    <t>803042821:eng</t>
  </si>
  <si>
    <t>468232917</t>
  </si>
  <si>
    <t>ocn468232917</t>
  </si>
  <si>
    <t>3103320781G</t>
  </si>
  <si>
    <t>9780810874299</t>
  </si>
  <si>
    <t>794795383</t>
  </si>
  <si>
    <t>Z666.5 A23 2010</t>
  </si>
  <si>
    <t>0                      Z  0666500A  23          2010</t>
  </si>
  <si>
    <t>Structures for organizing knowledge : exploring taxonomies, ontologies, and other schemas / June Abbas.</t>
  </si>
  <si>
    <t>Abbas, June, 1964-</t>
  </si>
  <si>
    <t>2017-09-28</t>
  </si>
  <si>
    <t>505796379:eng</t>
  </si>
  <si>
    <t>645246127</t>
  </si>
  <si>
    <t>ocn645246127</t>
  </si>
  <si>
    <t>3103238225C</t>
  </si>
  <si>
    <t>9781555706999</t>
  </si>
  <si>
    <t>794829482</t>
  </si>
  <si>
    <t>Z666.5 B36 2008</t>
  </si>
  <si>
    <t>0                      Z  0666500B  36          2008</t>
  </si>
  <si>
    <t>The future of information architecture : conceiving a better way to understand taxonomy, network, and intelligence / Peter Baofu.</t>
  </si>
  <si>
    <t>Baofu, Peter.</t>
  </si>
  <si>
    <t>2019-04-21</t>
  </si>
  <si>
    <t>815124228:eng</t>
  </si>
  <si>
    <t>230988173</t>
  </si>
  <si>
    <t>ocn230988173</t>
  </si>
  <si>
    <t>3102854076M</t>
  </si>
  <si>
    <t>9781843344711</t>
  </si>
  <si>
    <t>794356001</t>
  </si>
  <si>
    <t>Z666.5 C48 2010</t>
  </si>
  <si>
    <t>0                      Z  0666500C  48          2010</t>
  </si>
  <si>
    <t>Information representation and retrieval in the digital age / Heting Chu.</t>
  </si>
  <si>
    <t>Chu, Heting, 1957-</t>
  </si>
  <si>
    <t>Medford, N.J. : Published for the American Society for Information Science and Technology by Information Today, ©2010.</t>
  </si>
  <si>
    <t>784456:eng</t>
  </si>
  <si>
    <t>459209751</t>
  </si>
  <si>
    <t>ocn459209751</t>
  </si>
  <si>
    <t>31031563783</t>
  </si>
  <si>
    <t>9781573873932</t>
  </si>
  <si>
    <t>794790705</t>
  </si>
  <si>
    <t>Z666.5 D57 2013</t>
  </si>
  <si>
    <t>0                      Z  0666500D  57          2013</t>
  </si>
  <si>
    <t>The Discipline of Organizing / edited by Robert J. Glushko.</t>
  </si>
  <si>
    <t>Cambridge, MA : The MIT Press, [2013]</t>
  </si>
  <si>
    <t>2019-11-09</t>
  </si>
  <si>
    <t>1371500084:eng</t>
  </si>
  <si>
    <t>813540908</t>
  </si>
  <si>
    <t>ocn813540908</t>
  </si>
  <si>
    <t>31034982591</t>
  </si>
  <si>
    <t>9780262518505</t>
  </si>
  <si>
    <t>794931752</t>
  </si>
  <si>
    <t>Z666.5 H38 2004</t>
  </si>
  <si>
    <t>0                      Z  0666500H  38          2004</t>
  </si>
  <si>
    <t>Metadata for information management and retrieval / David Haynes.</t>
  </si>
  <si>
    <t>Haynes, David.</t>
  </si>
  <si>
    <t>Become an expert</t>
  </si>
  <si>
    <t>2016-09-19</t>
  </si>
  <si>
    <t>816641:eng</t>
  </si>
  <si>
    <t>53068496</t>
  </si>
  <si>
    <t>ocm53068496</t>
  </si>
  <si>
    <t>3102795937M</t>
  </si>
  <si>
    <t>9781856044899</t>
  </si>
  <si>
    <t>793820655</t>
  </si>
  <si>
    <t>Z666.5 H43 2010</t>
  </si>
  <si>
    <t>0                      Z  0666500H  43          2010</t>
  </si>
  <si>
    <t>The accidental taxonomist / Heather Hedden.</t>
  </si>
  <si>
    <t>Hedden, Heather.</t>
  </si>
  <si>
    <t>Medford, N.J. : Information Today, ©2010.</t>
  </si>
  <si>
    <t>2018-06-07</t>
  </si>
  <si>
    <t>477930738:eng</t>
  </si>
  <si>
    <t>609721530</t>
  </si>
  <si>
    <t>ocn609721530</t>
  </si>
  <si>
    <t>31032295254</t>
  </si>
  <si>
    <t>9781573873970</t>
  </si>
  <si>
    <t>794820241</t>
  </si>
  <si>
    <t>Z666.5 I85 2011</t>
  </si>
  <si>
    <t>0                      Z  0666500I  85          2011</t>
  </si>
  <si>
    <t>Facets of knowledge organization : proceedings of the ISKO UK second biennial conference, 4th-5th July, 2011, London / edited by Alan Gilchrist, Judi Vernau.</t>
  </si>
  <si>
    <t>ISKO UK Biennial Conference (2nd : 2011 : London)</t>
  </si>
  <si>
    <t>Bingley, U.K. : Emerald, 2012.</t>
  </si>
  <si>
    <t>2015-11-13</t>
  </si>
  <si>
    <t>1101103200:eng</t>
  </si>
  <si>
    <t>785736653</t>
  </si>
  <si>
    <t>ocn785736653</t>
  </si>
  <si>
    <t>3103431790$</t>
  </si>
  <si>
    <t>9781780526140</t>
  </si>
  <si>
    <t>794915133</t>
  </si>
  <si>
    <t>Z666.5 M48 2004</t>
  </si>
  <si>
    <t>0                      Z  0666500M  48          2004</t>
  </si>
  <si>
    <t>Metadata in practice / Diane I. Hillmann, editor, Elaine L. Westbrooks, editor.</t>
  </si>
  <si>
    <t>Chicago : American Library Association, ©2004.</t>
  </si>
  <si>
    <t>2017-09-27</t>
  </si>
  <si>
    <t>766880959:eng</t>
  </si>
  <si>
    <t>54528888</t>
  </si>
  <si>
    <t>ocm54528888</t>
  </si>
  <si>
    <t>3102795957I</t>
  </si>
  <si>
    <t>9780838908822</t>
  </si>
  <si>
    <t>793863752</t>
  </si>
  <si>
    <t>Z666.5 M67 2014</t>
  </si>
  <si>
    <t>0                      Z  0666500M  67          2014</t>
  </si>
  <si>
    <t>Intertwingled : information changes everything / Peter Morville.</t>
  </si>
  <si>
    <t>Morville, Peter, author.</t>
  </si>
  <si>
    <t>Ann Arbor, Michigan : Semantic Studios, [2014]</t>
  </si>
  <si>
    <t>2162751059:eng</t>
  </si>
  <si>
    <t>889950880</t>
  </si>
  <si>
    <t>ocn889950880</t>
  </si>
  <si>
    <t>3103612385A</t>
  </si>
  <si>
    <t>9780692225585</t>
  </si>
  <si>
    <t>794978738</t>
  </si>
  <si>
    <t>Z666.5 N49 2013</t>
  </si>
  <si>
    <t>0                      Z  0666500N  49          2013</t>
  </si>
  <si>
    <t>New directions in information organization / edited by Jung-Ran Park, Lynne C. Howarth.</t>
  </si>
  <si>
    <t>Bingley, UK : Emerald Group Publishing Limited, 2013.</t>
  </si>
  <si>
    <t>2018-01-30</t>
  </si>
  <si>
    <t>1376643113:eng</t>
  </si>
  <si>
    <t>812406910</t>
  </si>
  <si>
    <t>ocn812406910</t>
  </si>
  <si>
    <t>3103501575I</t>
  </si>
  <si>
    <t>9781781905593</t>
  </si>
  <si>
    <t>794930948</t>
  </si>
  <si>
    <t>Z666.5 R69 2000</t>
  </si>
  <si>
    <t>0                      Z  0666500R  69          2000</t>
  </si>
  <si>
    <t>Organizing knowledge : an introduction to managing access to information / Jennifer Rowley and John Farrow.</t>
  </si>
  <si>
    <t>Rowley, J. E.</t>
  </si>
  <si>
    <t>Aldershot, Hampshire, England ; Burlington, Vt. : Gower, ©2000.</t>
  </si>
  <si>
    <t>2018-01-21</t>
  </si>
  <si>
    <t>3855546884:eng</t>
  </si>
  <si>
    <t>42383483</t>
  </si>
  <si>
    <t>ocm42383483</t>
  </si>
  <si>
    <t>3102069693L</t>
  </si>
  <si>
    <t>9780566080470</t>
  </si>
  <si>
    <t>793606270</t>
  </si>
  <si>
    <t>Z666.5 R69 2008</t>
  </si>
  <si>
    <t>0                      Z  0666500R  69          2008</t>
  </si>
  <si>
    <t>Organizing knowledge : an introduction to managing access to information / Jennifer Rowley and Richard Hartley.</t>
  </si>
  <si>
    <t>Rowley, J. E., author.</t>
  </si>
  <si>
    <t>Aldershot, England ; Burlington, VT : Ashgate, ©2008.</t>
  </si>
  <si>
    <t>124031960</t>
  </si>
  <si>
    <t>ocn124031960</t>
  </si>
  <si>
    <t>3102881174G</t>
  </si>
  <si>
    <t>9781138439542</t>
  </si>
  <si>
    <t>794229432</t>
  </si>
  <si>
    <t>31033802723</t>
  </si>
  <si>
    <t>794229433</t>
  </si>
  <si>
    <t>Z666.5 R69 2016</t>
  </si>
  <si>
    <t>0                      Z  0666500R  69          2016</t>
  </si>
  <si>
    <t>Abingdon, Oxon ; New York, NY : Routledge, ©2016.</t>
  </si>
  <si>
    <t>2018-11-05</t>
  </si>
  <si>
    <t>2019-12-08</t>
  </si>
  <si>
    <t>1004775985</t>
  </si>
  <si>
    <t>on1004775985</t>
  </si>
  <si>
    <t>3103759825G</t>
  </si>
  <si>
    <t>9780754644316</t>
  </si>
  <si>
    <t>795042169</t>
  </si>
  <si>
    <t>- Reserves and A/V Room - Reserve Collection - 24 Hour Loan</t>
  </si>
  <si>
    <t>3103971352A</t>
  </si>
  <si>
    <t>795042167</t>
  </si>
  <si>
    <t>31037598549</t>
  </si>
  <si>
    <t>795042168</t>
  </si>
  <si>
    <t>Z666.5 S47 2001</t>
  </si>
  <si>
    <t>0                      Z  0666500S  47          2001</t>
  </si>
  <si>
    <t>The nature of "a work" : implications for the organization of knowledge / Richard P. Smiraglia.</t>
  </si>
  <si>
    <t>Smiraglia, Richard P., 1952-</t>
  </si>
  <si>
    <t>Lanham, Md. : Scarecrow Press, 2001.</t>
  </si>
  <si>
    <t>2016-01-08</t>
  </si>
  <si>
    <t>837052508:eng</t>
  </si>
  <si>
    <t>46419832</t>
  </si>
  <si>
    <t>ocm46419832</t>
  </si>
  <si>
    <t>3103748479K</t>
  </si>
  <si>
    <t>9780810840379</t>
  </si>
  <si>
    <t>793684288</t>
  </si>
  <si>
    <t>31021271099</t>
  </si>
  <si>
    <t>793684289</t>
  </si>
  <si>
    <t>Z666.5 S92 2000</t>
  </si>
  <si>
    <t>0                      Z  0666500S  92          2000</t>
  </si>
  <si>
    <t>The Intellectual Foundation of Information Organization / Elaine Svenonius.</t>
  </si>
  <si>
    <t>Svenonius, Elaine.</t>
  </si>
  <si>
    <t>Cambridge, Massachusetts : The MIT Press, [2000]</t>
  </si>
  <si>
    <t>994285:eng</t>
  </si>
  <si>
    <t>42040872</t>
  </si>
  <si>
    <t>ocm42040872</t>
  </si>
  <si>
    <t>3102031262W</t>
  </si>
  <si>
    <t>9780262194334</t>
  </si>
  <si>
    <t>793601815</t>
  </si>
  <si>
    <t>Z666.5 T39 1999</t>
  </si>
  <si>
    <t>0                      Z  0666500T  39          1999</t>
  </si>
  <si>
    <t>The organization of information / Arlene G. Taylor.</t>
  </si>
  <si>
    <t>Taylor, Arlene G., 1941-</t>
  </si>
  <si>
    <t>Englewood, Colo. : Libraries Unlimited, 1999.</t>
  </si>
  <si>
    <t>Library and information science text series</t>
  </si>
  <si>
    <t>2016-11-10</t>
  </si>
  <si>
    <t>776185:eng</t>
  </si>
  <si>
    <t>40489224</t>
  </si>
  <si>
    <t>ocm40489224</t>
  </si>
  <si>
    <t>3101955773V</t>
  </si>
  <si>
    <t>9781563084935</t>
  </si>
  <si>
    <t>793568327</t>
  </si>
  <si>
    <t>Z666.5 T39 2004</t>
  </si>
  <si>
    <t>0                      Z  0666500T  39          2004</t>
  </si>
  <si>
    <t>Westport, Connecticut : Libraries Unlimited, 2004.</t>
  </si>
  <si>
    <t>2017-09-10</t>
  </si>
  <si>
    <t>52814118</t>
  </si>
  <si>
    <t>ocm52814118</t>
  </si>
  <si>
    <t>3102670570P</t>
  </si>
  <si>
    <t>9781563089763</t>
  </si>
  <si>
    <t>793814776</t>
  </si>
  <si>
    <t>3102823761M</t>
  </si>
  <si>
    <t>793814777</t>
  </si>
  <si>
    <t>3102670575P</t>
  </si>
  <si>
    <t>793814778</t>
  </si>
  <si>
    <t>Z666.5 T39 2009</t>
  </si>
  <si>
    <t>0                      Z  0666500T  39          2009</t>
  </si>
  <si>
    <t>The organization of information / Arlene G. Taylor and Daniel N. Joudrey.</t>
  </si>
  <si>
    <t>Taylor, Arlene G., 1941- author.</t>
  </si>
  <si>
    <t>Westport, Connecticut : Libraries Unlimited, [2009]</t>
  </si>
  <si>
    <t>Third edition.</t>
  </si>
  <si>
    <t>236328585</t>
  </si>
  <si>
    <t>ocn236328585</t>
  </si>
  <si>
    <t>31037486402</t>
  </si>
  <si>
    <t>9781591585862</t>
  </si>
  <si>
    <t>794371492</t>
  </si>
  <si>
    <t>3103748635W</t>
  </si>
  <si>
    <t>794371494</t>
  </si>
  <si>
    <t>2017-10-31</t>
  </si>
  <si>
    <t>31037369406</t>
  </si>
  <si>
    <t>794371493</t>
  </si>
  <si>
    <t>Z666.5 T39 2018</t>
  </si>
  <si>
    <t>0                      Z  0666500T  39          2018</t>
  </si>
  <si>
    <t>The organization of information / Daniel N. Joudrey and Arlene G. Taylor ; with the assistance of Katherine M. Wisser.</t>
  </si>
  <si>
    <t>Joudrey, Daniel N., author.</t>
  </si>
  <si>
    <t>Santa Barbara, California : Libraries Unlimited, an imprint of ABC-CLIO, LLC, [2018]</t>
  </si>
  <si>
    <t>5218120838:eng</t>
  </si>
  <si>
    <t>1005741949</t>
  </si>
  <si>
    <t>on1005741949</t>
  </si>
  <si>
    <t>31037403813</t>
  </si>
  <si>
    <t>9781598848595</t>
  </si>
  <si>
    <t>795042761</t>
  </si>
  <si>
    <t>Z666.5 W75 2007</t>
  </si>
  <si>
    <t>0                      Z  0666500W  75          2007</t>
  </si>
  <si>
    <t>Glut : mastering information through the ages / Alex Wright.</t>
  </si>
  <si>
    <t>Wright, Alex, 1966-</t>
  </si>
  <si>
    <t>Washington, D.C. : Joseph Henry Press, ©2007.</t>
  </si>
  <si>
    <t>2017-08-08</t>
  </si>
  <si>
    <t>864913757:eng</t>
  </si>
  <si>
    <t>85692734</t>
  </si>
  <si>
    <t>ocm85692734</t>
  </si>
  <si>
    <t>31025993231</t>
  </si>
  <si>
    <t>9780309102384</t>
  </si>
  <si>
    <t>794214288</t>
  </si>
  <si>
    <t>Z666.6 M39 2008</t>
  </si>
  <si>
    <t>0                      Z  0666600M  39          2008</t>
  </si>
  <si>
    <t>FRBR : a guide for the perplexed / Robert L. Maxwell.</t>
  </si>
  <si>
    <t>Maxwell, Robert L., 1957-</t>
  </si>
  <si>
    <t>Chicago : American Library Association, 2008.</t>
  </si>
  <si>
    <t>801887918:eng</t>
  </si>
  <si>
    <t>154309204</t>
  </si>
  <si>
    <t>ocn154309204</t>
  </si>
  <si>
    <t>3102650300I</t>
  </si>
  <si>
    <t>9780838909508</t>
  </si>
  <si>
    <t>794251642</t>
  </si>
  <si>
    <t>Z666.6 Z48 2009</t>
  </si>
  <si>
    <t>0                      Z  0666600Z  48          2009</t>
  </si>
  <si>
    <t>Implementing FRBR in libraries : key issues and future directions / Yin Zhang and Athena Salaba.</t>
  </si>
  <si>
    <t>Zhang, Yin, 1965-</t>
  </si>
  <si>
    <t>New York : Neal-Schuman Publishers, ©2009.</t>
  </si>
  <si>
    <t>793077009:eng</t>
  </si>
  <si>
    <t>430192541</t>
  </si>
  <si>
    <t>ocn430192541</t>
  </si>
  <si>
    <t>3103157021I</t>
  </si>
  <si>
    <t>9781555706616</t>
  </si>
  <si>
    <t>794780711</t>
  </si>
  <si>
    <t>Z666.63 F73 J56 2012</t>
  </si>
  <si>
    <t>0                      Z  0666630F  73                 J  56          2012</t>
  </si>
  <si>
    <t>Demystifying FRAD : functional requirements for authority data / Qiang Jin.</t>
  </si>
  <si>
    <t>Jin, Qiang (Librarian), author.</t>
  </si>
  <si>
    <t>Santa Barbara, California : Libraries Unlimited, [2012]</t>
  </si>
  <si>
    <t>Third millennium cataloging</t>
  </si>
  <si>
    <t>1145120479:eng</t>
  </si>
  <si>
    <t>756577010</t>
  </si>
  <si>
    <t>ocn756577010</t>
  </si>
  <si>
    <t>3103412189P</t>
  </si>
  <si>
    <t>9781598844962</t>
  </si>
  <si>
    <t>794894543</t>
  </si>
  <si>
    <t>Z666.63 F77 Z86 2012</t>
  </si>
  <si>
    <t>0                      Z  0666630F  77                 Z  86          2012</t>
  </si>
  <si>
    <t>FRSAD : conceptual modeling of aboutness / Maja Žumer, Marcia Lei Zeng, and Athena Salaba.</t>
  </si>
  <si>
    <t>Žumer, Maja.</t>
  </si>
  <si>
    <t>1178313384:eng</t>
  </si>
  <si>
    <t>768800338</t>
  </si>
  <si>
    <t>ocn768800338</t>
  </si>
  <si>
    <t>3103414201U</t>
  </si>
  <si>
    <t>9781598847949</t>
  </si>
  <si>
    <t>794902798</t>
  </si>
  <si>
    <t>Z666.7 C472 2009</t>
  </si>
  <si>
    <t>0                      Z  0666700C  472         2009</t>
  </si>
  <si>
    <t>Automated metadata in multimedia information systems : creation, refinement, use in surrogates, and evaluation / Michael G. Christel.</t>
  </si>
  <si>
    <t>Christel, Michael.</t>
  </si>
  <si>
    <t>[San Rafael, CA] : Morgan &amp; Claypool Publishers, ©2009.</t>
  </si>
  <si>
    <t>Synthesis lectures on information concepts, retrieval, and services ; #2</t>
  </si>
  <si>
    <t>793509516:eng</t>
  </si>
  <si>
    <t>237882012</t>
  </si>
  <si>
    <t>ocn237882012</t>
  </si>
  <si>
    <t>3103085108I</t>
  </si>
  <si>
    <t>9781598297713</t>
  </si>
  <si>
    <t>794373713</t>
  </si>
  <si>
    <t>Z666.7 C65 2007</t>
  </si>
  <si>
    <t>0                      Z  0666700C  65          2007</t>
  </si>
  <si>
    <t>Using the Open Archives Initiative protocol for metadata harvesting / Timothy W. Cole and Muriel Foulonneau.</t>
  </si>
  <si>
    <t>Cole, Timothy W.</t>
  </si>
  <si>
    <t>Westport, Conn. : Libraries Unlimited, ©2007.</t>
  </si>
  <si>
    <t>88901435:eng</t>
  </si>
  <si>
    <t>105428765</t>
  </si>
  <si>
    <t>ocn105428765</t>
  </si>
  <si>
    <t>31026430706</t>
  </si>
  <si>
    <t>9781591582809</t>
  </si>
  <si>
    <t>794219562</t>
  </si>
  <si>
    <t>Z666.7 F58 2008</t>
  </si>
  <si>
    <t>0                      Z  0666700F  58          2008</t>
  </si>
  <si>
    <t>Metadata for digital resources : implementation, systems design and interoperability / Muriel Foulonneau and Jenn Riley.</t>
  </si>
  <si>
    <t>Foulonneau, Muriel.</t>
  </si>
  <si>
    <t>2019-11-22</t>
  </si>
  <si>
    <t>892753449:eng</t>
  </si>
  <si>
    <t>148313797</t>
  </si>
  <si>
    <t>ocn148313797</t>
  </si>
  <si>
    <t>3102852369N</t>
  </si>
  <si>
    <t>9781843343011</t>
  </si>
  <si>
    <t>794240695</t>
  </si>
  <si>
    <t>Z666.7 H52 2013</t>
  </si>
  <si>
    <t>0                      Z  0666700H  52          2013</t>
  </si>
  <si>
    <t>Information resource description : creating and managing metadata / Philip Hider.</t>
  </si>
  <si>
    <t>Hider, Philip, 1971- author.</t>
  </si>
  <si>
    <t>Chicago, Ill. : ALA editions, 2013, ©2012.</t>
  </si>
  <si>
    <t>U.S. ed.</t>
  </si>
  <si>
    <t>1104863068:eng</t>
  </si>
  <si>
    <t>810534135</t>
  </si>
  <si>
    <t>ocn810534135</t>
  </si>
  <si>
    <t>3103470565W</t>
  </si>
  <si>
    <t>9780838912010</t>
  </si>
  <si>
    <t>794929462</t>
  </si>
  <si>
    <t>Z666.7 H53 2018</t>
  </si>
  <si>
    <t>0                      Z  0666700H  53          2018</t>
  </si>
  <si>
    <t>Information resource description : creating and managing metada / Philip Hider.</t>
  </si>
  <si>
    <t>London : Facet Publishing, [2018]</t>
  </si>
  <si>
    <t>Foundations of the information sciences</t>
  </si>
  <si>
    <t>2019-03-04</t>
  </si>
  <si>
    <t>1053850449</t>
  </si>
  <si>
    <t>on1053850449</t>
  </si>
  <si>
    <t>3103736333R</t>
  </si>
  <si>
    <t>9781783302239</t>
  </si>
  <si>
    <t>795062653</t>
  </si>
  <si>
    <t>Z666.7 I58 2006</t>
  </si>
  <si>
    <t>0                      Z  0666700I  58          2006</t>
  </si>
  <si>
    <t>Metadata and its impact on libraries / by Sheila S. Intner, Susan S. Lazinger, and Jean Weihs.</t>
  </si>
  <si>
    <t>Intner, Sheila S.</t>
  </si>
  <si>
    <t>Westport, Conn. : Libraries Unlimited, 2006.</t>
  </si>
  <si>
    <t>46563463:eng</t>
  </si>
  <si>
    <t>62152868</t>
  </si>
  <si>
    <t>ocm62152868</t>
  </si>
  <si>
    <t>3102562105H</t>
  </si>
  <si>
    <t>9781591581451</t>
  </si>
  <si>
    <t>794101390</t>
  </si>
  <si>
    <t>3102609005G</t>
  </si>
  <si>
    <t>794101389</t>
  </si>
  <si>
    <t>Z666.7 L58 2007</t>
  </si>
  <si>
    <t>0                      Z  0666700L  58          2007</t>
  </si>
  <si>
    <t>Metadata and its applications in the digital library : approaches and practices / Jia Liu.</t>
  </si>
  <si>
    <t>Liu, Jia, 1968-</t>
  </si>
  <si>
    <t>Westport, Conn. : Libraries Unlimited, 2007.</t>
  </si>
  <si>
    <t>2019-09-11</t>
  </si>
  <si>
    <t>892753362:eng</t>
  </si>
  <si>
    <t>123136477</t>
  </si>
  <si>
    <t>ocn123136477</t>
  </si>
  <si>
    <t>3103463541T</t>
  </si>
  <si>
    <t>9781591583066</t>
  </si>
  <si>
    <t>794223488</t>
  </si>
  <si>
    <t>3102641325F</t>
  </si>
  <si>
    <t>794223489</t>
  </si>
  <si>
    <t>Z666.7 M36 2016</t>
  </si>
  <si>
    <t>0                      Z  0666700M  36          2016</t>
  </si>
  <si>
    <t>Managing metadata in web-scale discovery systems / edited by Louise F. Spiteri.</t>
  </si>
  <si>
    <t>2018-10-25</t>
  </si>
  <si>
    <t>3004296608:eng</t>
  </si>
  <si>
    <t>938392571</t>
  </si>
  <si>
    <t>ocn938392571</t>
  </si>
  <si>
    <t>3103609345U</t>
  </si>
  <si>
    <t>9781783300693</t>
  </si>
  <si>
    <t>795011307</t>
  </si>
  <si>
    <t>Z666.7 S65 2008</t>
  </si>
  <si>
    <t>0                      Z  0666700S  65          2008</t>
  </si>
  <si>
    <t>Tagging : people-powered metadata for the social web / Gene Smith.</t>
  </si>
  <si>
    <t>Smith, Gene, 1969-</t>
  </si>
  <si>
    <t>Berkeley, CA : New Riders, ©2008.</t>
  </si>
  <si>
    <t>Voices that matter</t>
  </si>
  <si>
    <t>2017-05-12</t>
  </si>
  <si>
    <t>327260901:eng</t>
  </si>
  <si>
    <t>154806677</t>
  </si>
  <si>
    <t>ocn154806677</t>
  </si>
  <si>
    <t>3102649315M</t>
  </si>
  <si>
    <t>9780321529176</t>
  </si>
  <si>
    <t>794253118</t>
  </si>
  <si>
    <t>Z666.7 Z46 2008</t>
  </si>
  <si>
    <t>0                      Z  0666700Z  46          2008</t>
  </si>
  <si>
    <t>Metadata / Marcia Lei Zeng and Jian Qin.</t>
  </si>
  <si>
    <t>Zeng, Marcia Lei, 1956-</t>
  </si>
  <si>
    <t>London : Facet, ©2008.</t>
  </si>
  <si>
    <t>135304734:eng</t>
  </si>
  <si>
    <t>232713338</t>
  </si>
  <si>
    <t>ocn232713338</t>
  </si>
  <si>
    <t>31031572448</t>
  </si>
  <si>
    <t>9781856046558</t>
  </si>
  <si>
    <t>794364362</t>
  </si>
  <si>
    <t>Z666.73 L56 G63 2015</t>
  </si>
  <si>
    <t>0                      Z  0666730L  56                 G  63          2015</t>
  </si>
  <si>
    <t>Library Linked Data in the Cloud : OCLC's Experiments with New Models of Resource Description / Carol Jean Godby, Shenghui Wang, Jeffrey K. Mixter.</t>
  </si>
  <si>
    <t>Godby, Carol Jean, author.</t>
  </si>
  <si>
    <t>[San Rafael, California] : Morgan &amp; Claypool, [2015]</t>
  </si>
  <si>
    <t>Synthesis Lectures on the Semantic Web: Theory and Technology, 2160-4711 ; Lecture #9</t>
  </si>
  <si>
    <t>2017-01-20</t>
  </si>
  <si>
    <t>2528364091:eng</t>
  </si>
  <si>
    <t>889647468</t>
  </si>
  <si>
    <t>ocn889647468</t>
  </si>
  <si>
    <t>3103607679B</t>
  </si>
  <si>
    <t>9781627052191</t>
  </si>
  <si>
    <t>794978474</t>
  </si>
  <si>
    <t>Z666.73 L56 H66 2014</t>
  </si>
  <si>
    <t>0                      Z  0666730L  56                 H  66          2014</t>
  </si>
  <si>
    <t>Linked data for libraries, archives and museums : how to clean, link and publish your metadata / Seth van Hooland, Ruben Verborgh.</t>
  </si>
  <si>
    <t>Hooland, Seth van, author.</t>
  </si>
  <si>
    <t>London : Facet Publishing, 2014.</t>
  </si>
  <si>
    <t>2019-04-15</t>
  </si>
  <si>
    <t>1840249565:eng</t>
  </si>
  <si>
    <t>872987681</t>
  </si>
  <si>
    <t>ocn872987681</t>
  </si>
  <si>
    <t>3103567594Y</t>
  </si>
  <si>
    <t>9781856049641</t>
  </si>
  <si>
    <t>794968352</t>
  </si>
  <si>
    <t>Z666.73 L56 L55 2015</t>
  </si>
  <si>
    <t>0                      Z  0666730L  56                 L  55          2015</t>
  </si>
  <si>
    <t>Linked data and user interaction : the road ahead / edited on behalf of IFLA by H. Frank Cervone and Lars G. Svensson.</t>
  </si>
  <si>
    <t>Berlin ; Boston : De Gruyter Saur, [2015]</t>
  </si>
  <si>
    <t>IFLA publications, 0344-6891 ; 162</t>
  </si>
  <si>
    <t>1324542905:eng</t>
  </si>
  <si>
    <t>908311073</t>
  </si>
  <si>
    <t>ocn908311073</t>
  </si>
  <si>
    <t>3103628482D</t>
  </si>
  <si>
    <t>9783110316926</t>
  </si>
  <si>
    <t>794994506</t>
  </si>
  <si>
    <t>Z666.73 L56 L555 2016</t>
  </si>
  <si>
    <t>0                      Z  0666730L  56                 L  555         2016</t>
  </si>
  <si>
    <t>Linked data for cultural heritage / Ed Jones and Michele Seikel, editors.</t>
  </si>
  <si>
    <t>2963574567:eng</t>
  </si>
  <si>
    <t>945582439</t>
  </si>
  <si>
    <t>ocn945582439</t>
  </si>
  <si>
    <t>3103656691X</t>
  </si>
  <si>
    <t>9780838914397</t>
  </si>
  <si>
    <t>795013659</t>
  </si>
  <si>
    <t>Z666.73 L56 S63 2019</t>
  </si>
  <si>
    <t>0                      Z  0666730L  56                 S  63          2019</t>
  </si>
  <si>
    <t>Social tagging in a linked data environment / edited by Diane Rasmussen Pennington and Louise F. Spiteri.</t>
  </si>
  <si>
    <t>London : Facet Publishing, [2019]</t>
  </si>
  <si>
    <t>5947132146:eng</t>
  </si>
  <si>
    <t>1020284972</t>
  </si>
  <si>
    <t>on1020284972</t>
  </si>
  <si>
    <t>3103812013X</t>
  </si>
  <si>
    <t>9781783303397</t>
  </si>
  <si>
    <t>795050220</t>
  </si>
  <si>
    <t>Z667 B34 1999</t>
  </si>
  <si>
    <t>0                      Z  0667000B  34          1999</t>
  </si>
  <si>
    <t>Modern information retrieval / Ricardo Baeza-Yates, Berthier Ribeiro-Neto.</t>
  </si>
  <si>
    <t>Baeza-Yates, R. (Ricardo)</t>
  </si>
  <si>
    <t>New York : ACM Press ; Harlow, England : Addison-Wesley, ©1999.</t>
  </si>
  <si>
    <t>ACM Press Books</t>
  </si>
  <si>
    <t>23449261:eng</t>
  </si>
  <si>
    <t>40602840</t>
  </si>
  <si>
    <t>ocm40602840</t>
  </si>
  <si>
    <t>31019658051</t>
  </si>
  <si>
    <t>9780201398298</t>
  </si>
  <si>
    <t>793570949</t>
  </si>
  <si>
    <t>Z667 G76 1998</t>
  </si>
  <si>
    <t>0                      Z  0667000G  76          1998</t>
  </si>
  <si>
    <t>Information retrieval : algorithms and heuristics / David A. Grossman, Ophir Frieder.</t>
  </si>
  <si>
    <t>Grossman, David A., 1965-</t>
  </si>
  <si>
    <t>Boston : Kluwer, ©1998.</t>
  </si>
  <si>
    <t>Kluwer international series in engineering and computer science ; SECS 461</t>
  </si>
  <si>
    <t>9937346436:eng</t>
  </si>
  <si>
    <t>39607185</t>
  </si>
  <si>
    <t>ocm39607185</t>
  </si>
  <si>
    <t>3101940121V</t>
  </si>
  <si>
    <t>9780792382713</t>
  </si>
  <si>
    <t>793548998</t>
  </si>
  <si>
    <t>Z667 S57 2012</t>
  </si>
  <si>
    <t>0                      Z  0667000S  57          2012</t>
  </si>
  <si>
    <t>Powering search : the role of thesauri in new information environments / Ali Shiri.</t>
  </si>
  <si>
    <t>Shiri, Ali, 1968-</t>
  </si>
  <si>
    <t>Medford, New Jersey : Published on behalf of the American Society for Information Science and Technology by Information Today, Inc., [2012]</t>
  </si>
  <si>
    <t>ASIS &amp; T monograph series</t>
  </si>
  <si>
    <t>1185161813:eng</t>
  </si>
  <si>
    <t>806291284</t>
  </si>
  <si>
    <t>ocn806291284</t>
  </si>
  <si>
    <t>3103468878V</t>
  </si>
  <si>
    <t>9781573874540</t>
  </si>
  <si>
    <t>794926871</t>
  </si>
  <si>
    <t>Z667 U53 2012</t>
  </si>
  <si>
    <t>0                      Z  0667000U  53          2012</t>
  </si>
  <si>
    <t>Understanding information retrieval systems : management, types, and standards / edited by Marcia J. Bates.</t>
  </si>
  <si>
    <t>Boca Raton, FL : CRC Press, Taylor &amp; Francis Group, [2012]</t>
  </si>
  <si>
    <t>2014-10-21</t>
  </si>
  <si>
    <t>1009273945:eng</t>
  </si>
  <si>
    <t>738355148</t>
  </si>
  <si>
    <t>ocn738355148</t>
  </si>
  <si>
    <t>31033958109</t>
  </si>
  <si>
    <t>9781439891964</t>
  </si>
  <si>
    <t>794882575</t>
  </si>
  <si>
    <t>Z667.5 N54 2010</t>
  </si>
  <si>
    <t>0                      Z  0667500N  54          2010</t>
  </si>
  <si>
    <t>Cross-language information retrieval / Jian-Yun Nie.</t>
  </si>
  <si>
    <t>Nie, Jian-Yun.</t>
  </si>
  <si>
    <t>[San Rafael, Calif.] : Morgan &amp; Claypool Publishers, ©2010.</t>
  </si>
  <si>
    <t>Synthesis lectures in human language technologies, 1947-4040 ; #8</t>
  </si>
  <si>
    <t>194646800:eng</t>
  </si>
  <si>
    <t>317114535</t>
  </si>
  <si>
    <t>ocn317114535</t>
  </si>
  <si>
    <t>31032296211</t>
  </si>
  <si>
    <t>9781598298635</t>
  </si>
  <si>
    <t>794450751</t>
  </si>
  <si>
    <t>Z668 C7795 2010</t>
  </si>
  <si>
    <t>0                      Z  0668000C  7795        2010</t>
  </si>
  <si>
    <t>The demise of the library school : personal reflections on professional education in the modern corporate university / Richard J. Cox.</t>
  </si>
  <si>
    <t>Cox, Richard J.</t>
  </si>
  <si>
    <t>Duluth, Minn. : Library Juice Press, 2010.</t>
  </si>
  <si>
    <t>2016-10-21</t>
  </si>
  <si>
    <t>865349964:eng</t>
  </si>
  <si>
    <t>544474574</t>
  </si>
  <si>
    <t>ocn544474574</t>
  </si>
  <si>
    <t>3103238053C</t>
  </si>
  <si>
    <t>9781936117185</t>
  </si>
  <si>
    <t>794810879</t>
  </si>
  <si>
    <t>Z668 D46 2009</t>
  </si>
  <si>
    <t>0                      Z  0668000D  46          2009</t>
  </si>
  <si>
    <t>The politics of professionalism : a retro-progressive proposal for librarianship / by Juris Dilevko.</t>
  </si>
  <si>
    <t>Dilevko, Juris.</t>
  </si>
  <si>
    <t>865365703:eng</t>
  </si>
  <si>
    <t>436946029</t>
  </si>
  <si>
    <t>ocn436946029</t>
  </si>
  <si>
    <t>3103154542B</t>
  </si>
  <si>
    <t>9781936117048</t>
  </si>
  <si>
    <t>794785214</t>
  </si>
  <si>
    <t>Z668 D47 2010</t>
  </si>
  <si>
    <t>0                      Z  0668000D  47          2010</t>
  </si>
  <si>
    <t>Science de l'information : de la discipline à l'enseignement / Jacqueline Deschamps.</t>
  </si>
  <si>
    <t>Deschamps, Jacqueline.</t>
  </si>
  <si>
    <t>Paris : Archives contemporaines ; Montréal : Agence universitaire de la francophonie, ©2010.</t>
  </si>
  <si>
    <t>Savoirs francophones : technologies de l'information</t>
  </si>
  <si>
    <t>891926845:fre</t>
  </si>
  <si>
    <t>681871744</t>
  </si>
  <si>
    <t>ocn681871744</t>
  </si>
  <si>
    <t>3103297969V</t>
  </si>
  <si>
    <t>9782813000286</t>
  </si>
  <si>
    <t>794852396</t>
  </si>
  <si>
    <t>Z668 E915 1992</t>
  </si>
  <si>
    <t>0                      Z  0668000E  915         1992</t>
  </si>
  <si>
    <t>The Evolving educational mission of the library / Betsy Baker, Mary Ellen Litzinger, editors ; Randall Hensley, Beth Sandore, associate editors.</t>
  </si>
  <si>
    <t>Chicago : Bibliographic Instruction Section, Association of College and Research Libraries, 1992.</t>
  </si>
  <si>
    <t>371201262:eng</t>
  </si>
  <si>
    <t>25557973</t>
  </si>
  <si>
    <t>ocm25557973</t>
  </si>
  <si>
    <t>3103679432U</t>
  </si>
  <si>
    <t>9780838975848</t>
  </si>
  <si>
    <t>793225039</t>
  </si>
  <si>
    <t>Z668 M49 1985</t>
  </si>
  <si>
    <t>0                      Z  0668000M  49          1985</t>
  </si>
  <si>
    <t>Library literacy means lifelong learning / by Carolyn Dennette Clugston Leopold Michaels.</t>
  </si>
  <si>
    <t>Michaels, Carolyn Leopold.</t>
  </si>
  <si>
    <t>Metuchen, N.J. : Scarecrow Press, 1985.</t>
  </si>
  <si>
    <t>2016-11-04</t>
  </si>
  <si>
    <t>905039:eng</t>
  </si>
  <si>
    <t>10913380</t>
  </si>
  <si>
    <t>ocm10913380</t>
  </si>
  <si>
    <t>3000852511R</t>
  </si>
  <si>
    <t>9780810817197</t>
  </si>
  <si>
    <t>792749212</t>
  </si>
  <si>
    <t>Z668 S43</t>
  </si>
  <si>
    <t>0                      Z  0668000S  43</t>
  </si>
  <si>
    <t>The foundations of education for librarianship [by] Jesse H. Shera.</t>
  </si>
  <si>
    <t>New York, Becker and Hayes [1972]</t>
  </si>
  <si>
    <t>Information sciences series</t>
  </si>
  <si>
    <t>118218906:eng</t>
  </si>
  <si>
    <t>320057</t>
  </si>
  <si>
    <t>ocm00320057</t>
  </si>
  <si>
    <t>3000854520G</t>
  </si>
  <si>
    <t>9780471785200</t>
  </si>
  <si>
    <t>791335770</t>
  </si>
  <si>
    <t>Z668 S73 2010</t>
  </si>
  <si>
    <t>0                      Z  0668000S  73          2010</t>
  </si>
  <si>
    <t>Information nation : education and careers in the emerging information professions / Jeffrey M. Stanton, Indira R. Guzman, and Kathryn R. Stam.</t>
  </si>
  <si>
    <t>Stanton, Jeffrey M., 1961-</t>
  </si>
  <si>
    <t>2012-01-11</t>
  </si>
  <si>
    <t>483051349:eng</t>
  </si>
  <si>
    <t>617425168</t>
  </si>
  <si>
    <t>ocn617425168</t>
  </si>
  <si>
    <t>31032380954</t>
  </si>
  <si>
    <t>9781573874014</t>
  </si>
  <si>
    <t>794822865</t>
  </si>
  <si>
    <t>Z668 S75 1983</t>
  </si>
  <si>
    <t>0                      Z  0668000S  75          1983</t>
  </si>
  <si>
    <t>The Status of women in librarianship : historical, sociological, and economic issues / edited by Kathleen M. Heim.</t>
  </si>
  <si>
    <t>New York, N.Y. : Neal-Schuman Publishers, ©1983.</t>
  </si>
  <si>
    <t>562018:eng</t>
  </si>
  <si>
    <t>8451713</t>
  </si>
  <si>
    <t>ocm08451713</t>
  </si>
  <si>
    <t>3000844620I</t>
  </si>
  <si>
    <t>9780918212627</t>
  </si>
  <si>
    <t>792620225</t>
  </si>
  <si>
    <t>Z668 S95 2010</t>
  </si>
  <si>
    <t>0                      Z  0668000S  95          2010</t>
  </si>
  <si>
    <t>The MLS Project : an assessment after sixty years / Boyd Keith Swigger.</t>
  </si>
  <si>
    <t>Swigger, Boyd Keith, 1943-</t>
  </si>
  <si>
    <t>2012-01-05</t>
  </si>
  <si>
    <t>796654297:eng</t>
  </si>
  <si>
    <t>569508843</t>
  </si>
  <si>
    <t>ocn569508843</t>
  </si>
  <si>
    <t>31032296113</t>
  </si>
  <si>
    <t>9780810877030</t>
  </si>
  <si>
    <t>794813758</t>
  </si>
  <si>
    <t>Z668.5 A45 2013</t>
  </si>
  <si>
    <t>0                      Z  0668500A  45          2013</t>
  </si>
  <si>
    <t>The no-nonsense guide to training in libraries / Barbara Allan.</t>
  </si>
  <si>
    <t>Allan, Barbara, 1954-</t>
  </si>
  <si>
    <t>1780531793:eng</t>
  </si>
  <si>
    <t>773014692</t>
  </si>
  <si>
    <t>ocn773014692</t>
  </si>
  <si>
    <t>3103500803R</t>
  </si>
  <si>
    <t>9781856048286</t>
  </si>
  <si>
    <t>794905100</t>
  </si>
  <si>
    <t>Z668.5 H33 2009</t>
  </si>
  <si>
    <t>0                      Z  0668500H  33          2009</t>
  </si>
  <si>
    <t>Processing decisions for manuscripts &amp; archives / Pam Hackbart-Dean, Elizabeth Slomba.</t>
  </si>
  <si>
    <t>Hackbart-Dean, Pam, author.</t>
  </si>
  <si>
    <t>Washington, DC : Association of Research Libraries, c2009.</t>
  </si>
  <si>
    <t>SPEC kit, 0160-3582 ; 314</t>
  </si>
  <si>
    <t>348066842:eng</t>
  </si>
  <si>
    <t>464663614</t>
  </si>
  <si>
    <t>ocn464663614</t>
  </si>
  <si>
    <t>3103214081W</t>
  </si>
  <si>
    <t>9781594078262</t>
  </si>
  <si>
    <t>794793443</t>
  </si>
  <si>
    <t>Z668.5 H39 2013</t>
  </si>
  <si>
    <t>0                      Z  0668500H  39          2013</t>
  </si>
  <si>
    <t>Designing training / Melanie Hawks.</t>
  </si>
  <si>
    <t>Hawks, Melanie.</t>
  </si>
  <si>
    <t>Chicago : Association of College and Research Libraries, a division of the American Library Association, 2013.</t>
  </si>
  <si>
    <t>ACRL active guide ; 5</t>
  </si>
  <si>
    <t>1378043648:eng</t>
  </si>
  <si>
    <t>856518368</t>
  </si>
  <si>
    <t>ocn856518368</t>
  </si>
  <si>
    <t>31035057304</t>
  </si>
  <si>
    <t>9780838986714</t>
  </si>
  <si>
    <t>794954229</t>
  </si>
  <si>
    <t>Z668.5 L44 2011</t>
  </si>
  <si>
    <t>0                      Z  0668500L  44          2011</t>
  </si>
  <si>
    <t>Mentoring in the library : building for the future / Marta K. Lee.</t>
  </si>
  <si>
    <t>Lee, Marta K., author.</t>
  </si>
  <si>
    <t>858180569:eng</t>
  </si>
  <si>
    <t>529957969</t>
  </si>
  <si>
    <t>ocn529957969</t>
  </si>
  <si>
    <t>3103321825L</t>
  </si>
  <si>
    <t>9780838935934</t>
  </si>
  <si>
    <t>794809777</t>
  </si>
  <si>
    <t>Z668.5 L53 2017</t>
  </si>
  <si>
    <t>0                      Z  0668500L  53          2017</t>
  </si>
  <si>
    <t>Librarian as mentor : grow, discover, inspire / Eboni A. Johnson, editor.</t>
  </si>
  <si>
    <t>[Santa Barbara, California] : Mission Bell Media, [2017]</t>
  </si>
  <si>
    <t>4193843311:eng</t>
  </si>
  <si>
    <t>985289547</t>
  </si>
  <si>
    <t>ocn985289547</t>
  </si>
  <si>
    <t>31037401000</t>
  </si>
  <si>
    <t>9780997175721</t>
  </si>
  <si>
    <t>795035277</t>
  </si>
  <si>
    <t>Z668.5 M38 2012</t>
  </si>
  <si>
    <t>0                      Z  0668500M  38          2012</t>
  </si>
  <si>
    <t>Pay it forward : mentoring new information professionals / Mary Ann Mavrinac, Kim Stymest.</t>
  </si>
  <si>
    <t>Mavrinac, Mary Ann, 1956-</t>
  </si>
  <si>
    <t>Chicago : Association of College and Research Libraries, a division of the American Library Association, [2012]</t>
  </si>
  <si>
    <t>ACRL active guide</t>
  </si>
  <si>
    <t>1189281877:eng</t>
  </si>
  <si>
    <t>821560576</t>
  </si>
  <si>
    <t>ocn821560576</t>
  </si>
  <si>
    <t>3103500838L</t>
  </si>
  <si>
    <t>9780838986257</t>
  </si>
  <si>
    <t>794936154</t>
  </si>
  <si>
    <t>Z668.5 M46 2012</t>
  </si>
  <si>
    <t>0                      Z  0668500M  46          2012</t>
  </si>
  <si>
    <t>Mentoring in librarianship : essays on working with adults and students to further the profession / edited by Carol Smallwood and Rebecca Tolley-Stokes.</t>
  </si>
  <si>
    <t>Jefferson, N.C. : McFarland &amp; Co., Inc., ©2012.</t>
  </si>
  <si>
    <t>1057334898:eng</t>
  </si>
  <si>
    <t>733232490</t>
  </si>
  <si>
    <t>ocn733232490</t>
  </si>
  <si>
    <t>3103406167I</t>
  </si>
  <si>
    <t>9780786463787</t>
  </si>
  <si>
    <t>794881842</t>
  </si>
  <si>
    <t>Z668.5 R44 2011</t>
  </si>
  <si>
    <t>0                      Z  0668500R  44          2011</t>
  </si>
  <si>
    <t>Workplace learning &amp; leadership : a handbook for library and nonprofit trainers / Lori Reed and Paul Signorelli.</t>
  </si>
  <si>
    <t>Reed, Lori, 1972- author.</t>
  </si>
  <si>
    <t>663769189:eng</t>
  </si>
  <si>
    <t>666224104</t>
  </si>
  <si>
    <t>ocn666224104</t>
  </si>
  <si>
    <t>3103343337G</t>
  </si>
  <si>
    <t>9780838910825</t>
  </si>
  <si>
    <t>794844882</t>
  </si>
  <si>
    <t>Z668.5 S7 2013</t>
  </si>
  <si>
    <t>0                      Z  0668500S  7           2013</t>
  </si>
  <si>
    <t>Staff development : a practical guide / edited by Andrea Wigbels Stewart, Carlette Washington-Hoagland, and Carol T. Zsulya.</t>
  </si>
  <si>
    <t>Chicago : American Library Association, 2013.</t>
  </si>
  <si>
    <t>2014-02-17</t>
  </si>
  <si>
    <t>864535925:eng</t>
  </si>
  <si>
    <t>761396291</t>
  </si>
  <si>
    <t>ocn761396291</t>
  </si>
  <si>
    <t>31034974333</t>
  </si>
  <si>
    <t>9780838911495</t>
  </si>
  <si>
    <t>794899372</t>
  </si>
  <si>
    <t>Z668.5 S97 2012</t>
  </si>
  <si>
    <t>0                      Z  0668500S  97          2012</t>
  </si>
  <si>
    <t>The survey of library employee training practices.</t>
  </si>
  <si>
    <t>[New York] : Primary Research Group, ©2012.</t>
  </si>
  <si>
    <t>1109250114:eng</t>
  </si>
  <si>
    <t>793806613</t>
  </si>
  <si>
    <t>ocn793806613</t>
  </si>
  <si>
    <t>31034121132</t>
  </si>
  <si>
    <t>9781574402018</t>
  </si>
  <si>
    <t>794918711</t>
  </si>
  <si>
    <t>Z668.5 T627 2015</t>
  </si>
  <si>
    <t>0                      Z  0668500T  627         2015</t>
  </si>
  <si>
    <t>Mentoring A to Z / Julie Todaro.</t>
  </si>
  <si>
    <t>Todaro, Julie, 1950- author.</t>
  </si>
  <si>
    <t>Chicago : ALA Editions, an imprint of the American Library Association, 2015.</t>
  </si>
  <si>
    <t>2299194182:eng</t>
  </si>
  <si>
    <t>903688799</t>
  </si>
  <si>
    <t>ocn903688799</t>
  </si>
  <si>
    <t>31036076898</t>
  </si>
  <si>
    <t>9780838913291</t>
  </si>
  <si>
    <t>794989632</t>
  </si>
  <si>
    <t>Z668.5 T75 2011</t>
  </si>
  <si>
    <t>0                      Z  0668500T  75          2011</t>
  </si>
  <si>
    <t>Staff development on a shoestring : a how-to-do-it manual for librarians / Marcia Trotta.</t>
  </si>
  <si>
    <t>Trotta, Marcia.</t>
  </si>
  <si>
    <t>New York : Neal-Schuman Publishers Inc., ©2011.</t>
  </si>
  <si>
    <t>How-to-do-it manuals ; no. 175</t>
  </si>
  <si>
    <t>2013-03-10</t>
  </si>
  <si>
    <t>764994586:eng</t>
  </si>
  <si>
    <t>692667026</t>
  </si>
  <si>
    <t>ocn692667026</t>
  </si>
  <si>
    <t>31033652283</t>
  </si>
  <si>
    <t>9781555707309</t>
  </si>
  <si>
    <t>794856341</t>
  </si>
  <si>
    <t>Z669.3 W38 2010</t>
  </si>
  <si>
    <t>0                      Z  0669300W  38          2010</t>
  </si>
  <si>
    <t>Building your portfolio : the CILIP guide / Margaret Watson.</t>
  </si>
  <si>
    <t>Watson, Margaret, 1945-</t>
  </si>
  <si>
    <t>896774551:eng</t>
  </si>
  <si>
    <t>648770461</t>
  </si>
  <si>
    <t>ocn648770461</t>
  </si>
  <si>
    <t>3103230376V</t>
  </si>
  <si>
    <t>9781856047142</t>
  </si>
  <si>
    <t>794831334</t>
  </si>
  <si>
    <t>Z669.3 W38 2015</t>
  </si>
  <si>
    <t>0                      Z  0669300W  38          2015</t>
  </si>
  <si>
    <t>Building your portfolio : the CILIP guide / Kath Owen, Margaret Watson.</t>
  </si>
  <si>
    <t>Owen, Kath, author.</t>
  </si>
  <si>
    <t>London : Facet Publishing, 2015.</t>
  </si>
  <si>
    <t>2018-11-30</t>
  </si>
  <si>
    <t>896907241</t>
  </si>
  <si>
    <t>ocn896907241</t>
  </si>
  <si>
    <t>3103611969Q</t>
  </si>
  <si>
    <t>9781783300204</t>
  </si>
  <si>
    <t>794984538</t>
  </si>
  <si>
    <t>Z669.5 F7 A23 2003</t>
  </si>
  <si>
    <t>0                      Z  0669500F  7                  A  23          2003</t>
  </si>
  <si>
    <t>Le Métier de documentaliste / Jean-Philippe Accart et Marie-Pierre Réthy.</t>
  </si>
  <si>
    <t>Accart, Jean-Philippe.</t>
  </si>
  <si>
    <t>Paris : Editions du Cercle de la librairie, ©2003.</t>
  </si>
  <si>
    <t>2ème éd. entièrement revue et corrigée.</t>
  </si>
  <si>
    <t>2017-07-05</t>
  </si>
  <si>
    <t>351611561:fre</t>
  </si>
  <si>
    <t>54758291</t>
  </si>
  <si>
    <t>ocm54758291</t>
  </si>
  <si>
    <t>3102413147$</t>
  </si>
  <si>
    <t>9782765408727</t>
  </si>
  <si>
    <t>793867145</t>
  </si>
  <si>
    <t>Z669.5 F7 A87 2013</t>
  </si>
  <si>
    <t>0                      Z  0669500F  7                  A  87          2013</t>
  </si>
  <si>
    <t>Mémento du bibliothécaire : guide pratique / ABF, Association des bibliothécaires de France ; rédigée par Béatrice Coignet, Lionel Dujol, Jean-François Jacques, Catherine Picard.</t>
  </si>
  <si>
    <t>Association des bibliothécaires français, author.</t>
  </si>
  <si>
    <t>Paris : Association des bibliothécaires de France, 2013.</t>
  </si>
  <si>
    <t>3e édition revue et augmentée.</t>
  </si>
  <si>
    <t>Collection Médiathèmes, 1635-8619 ; 8</t>
  </si>
  <si>
    <t>351346876:fre</t>
  </si>
  <si>
    <t>995852651</t>
  </si>
  <si>
    <t>ocn995852651</t>
  </si>
  <si>
    <t>3103750374V</t>
  </si>
  <si>
    <t>9782900177389</t>
  </si>
  <si>
    <t>795039750</t>
  </si>
  <si>
    <t>Z669.5 F8 H43 2003</t>
  </si>
  <si>
    <t>0                      Z  0669500F  8                  H  43          2003</t>
  </si>
  <si>
    <t>Devenir bibliothécaire-formateur : organiser, animer, évaluer / Françoise Hecquard, Marielle de Miribel.</t>
  </si>
  <si>
    <t>Hecquard, Françoise.</t>
  </si>
  <si>
    <t>Paris : Éd. du Cercle de la librairie, 2003</t>
  </si>
  <si>
    <t>Bibliothèques, 0184-0886</t>
  </si>
  <si>
    <t>866246670:fre</t>
  </si>
  <si>
    <t>470423240</t>
  </si>
  <si>
    <t>ocn470423240</t>
  </si>
  <si>
    <t>3102805297X</t>
  </si>
  <si>
    <t>9782765408734</t>
  </si>
  <si>
    <t>794796216</t>
  </si>
  <si>
    <t>Z669.7 A48 2016</t>
  </si>
  <si>
    <t>0                      Z  0669700A  48          2016</t>
  </si>
  <si>
    <t>Altmetrics : a practical guide for librarians, researchers and academics / edited by Andy Tattersall.</t>
  </si>
  <si>
    <t>2018-03-14</t>
  </si>
  <si>
    <t>2275012748:eng</t>
  </si>
  <si>
    <t>900721912</t>
  </si>
  <si>
    <t>ocn900721912</t>
  </si>
  <si>
    <t>3103656673Z</t>
  </si>
  <si>
    <t>9781783300105</t>
  </si>
  <si>
    <t>794987860</t>
  </si>
  <si>
    <t>Z669.7 B45 2016</t>
  </si>
  <si>
    <t>0                      Z  0669700B  45          2016</t>
  </si>
  <si>
    <t>Being evidence based in library and information practice / edited by Denise Koufogiannakis and Alison Brettle.</t>
  </si>
  <si>
    <t>Chicago : Neal-Schuman, an imprint of the American Library Association, 2016.</t>
  </si>
  <si>
    <t>U.S. edition.</t>
  </si>
  <si>
    <t>3877267557:eng</t>
  </si>
  <si>
    <t>957134313</t>
  </si>
  <si>
    <t>ocn957134313</t>
  </si>
  <si>
    <t>3103657620E</t>
  </si>
  <si>
    <t>9780838915219</t>
  </si>
  <si>
    <t>795020727</t>
  </si>
  <si>
    <t>Z669.7 B867</t>
  </si>
  <si>
    <t>0                      Z  0669700B  867</t>
  </si>
  <si>
    <t>Research methods in librarianship : techniques and interpretation / Charles H. Busha, Stephen P. Harter.</t>
  </si>
  <si>
    <t>New York : Academic Press, 1980.</t>
  </si>
  <si>
    <t>408639:eng</t>
  </si>
  <si>
    <t>6144727</t>
  </si>
  <si>
    <t>ocm06144727</t>
  </si>
  <si>
    <t>3000842806E</t>
  </si>
  <si>
    <t>9780121475505</t>
  </si>
  <si>
    <t>792478246</t>
  </si>
  <si>
    <t>Z669.7 E54 2015</t>
  </si>
  <si>
    <t>0                      Z  0669700E  54          2015</t>
  </si>
  <si>
    <t>Genre theory in information studies / edited by Jack Andersen.</t>
  </si>
  <si>
    <t>Bingley, UK : Emerald Group Publishing Limited, 2015.</t>
  </si>
  <si>
    <t>Studies in information, 2055-5377</t>
  </si>
  <si>
    <t>2478597546:eng</t>
  </si>
  <si>
    <t>904650655</t>
  </si>
  <si>
    <t>ocn904650655</t>
  </si>
  <si>
    <t>3103612659$</t>
  </si>
  <si>
    <t>9781784412555</t>
  </si>
  <si>
    <t>794990668</t>
  </si>
  <si>
    <t>Z669.7 G663 2011</t>
  </si>
  <si>
    <t>0                      Z  0669700G  663         2011</t>
  </si>
  <si>
    <t>Qualitative research and the modern library / Valeda Dent Goodman.</t>
  </si>
  <si>
    <t>Dent, Valeda Frances.</t>
  </si>
  <si>
    <t>Oxford, UK : Chandos Pub., 2011.</t>
  </si>
  <si>
    <t>2014-02-14</t>
  </si>
  <si>
    <t>772783254:eng</t>
  </si>
  <si>
    <t>698332430</t>
  </si>
  <si>
    <t>ocn698332430</t>
  </si>
  <si>
    <t>3103395558A</t>
  </si>
  <si>
    <t>9781843346449</t>
  </si>
  <si>
    <t>794860920</t>
  </si>
  <si>
    <t>Z669.7 G67 2004</t>
  </si>
  <si>
    <t>0                      Z  0669700G  67          2004</t>
  </si>
  <si>
    <t>The librarian's guide to writing for publication / Rachel Singer Gordon.</t>
  </si>
  <si>
    <t>Gordon, Rachel Singer.</t>
  </si>
  <si>
    <t>Lanham, Md. : Scarecrow Press, 2004.</t>
  </si>
  <si>
    <t>704847:eng</t>
  </si>
  <si>
    <t>52587444</t>
  </si>
  <si>
    <t>ocm52587444</t>
  </si>
  <si>
    <t>3102632314I</t>
  </si>
  <si>
    <t>9780810848955</t>
  </si>
  <si>
    <t>793810267</t>
  </si>
  <si>
    <t>Z669.7 H65 2014</t>
  </si>
  <si>
    <t>0                      Z  0669700H  65          2014</t>
  </si>
  <si>
    <t>Handbook of academic writing for librarians / Christopher V. Hollister.</t>
  </si>
  <si>
    <t>Hollister, Christopher Vance.</t>
  </si>
  <si>
    <t>Chicago : Association of College and Research Libraries, a division of the American Library Association, 2014.</t>
  </si>
  <si>
    <t>2015-07-08</t>
  </si>
  <si>
    <t>1436877115:eng</t>
  </si>
  <si>
    <t>885148388</t>
  </si>
  <si>
    <t>ocn885148388</t>
  </si>
  <si>
    <t>3103582499A</t>
  </si>
  <si>
    <t>9780838987360</t>
  </si>
  <si>
    <t>794977055</t>
  </si>
  <si>
    <t>Z669.7 L39 2009</t>
  </si>
  <si>
    <t>0                      Z  0669700L  39          2009</t>
  </si>
  <si>
    <t>Library and information science research in the 21st century : a guide for practising librarians and students / Ibironke O. Lawal.</t>
  </si>
  <si>
    <t>Lawal, Ibironke O.</t>
  </si>
  <si>
    <t>Oxford, UK : Chandos Pub., 2009.</t>
  </si>
  <si>
    <t>815041150:eng</t>
  </si>
  <si>
    <t>195722320</t>
  </si>
  <si>
    <t>ocn195722320</t>
  </si>
  <si>
    <t>3103131716X</t>
  </si>
  <si>
    <t>9781843343738</t>
  </si>
  <si>
    <t>794304208</t>
  </si>
  <si>
    <t>Z669.7 M46 1990</t>
  </si>
  <si>
    <t>0                      Z  0669700M  46          1990</t>
  </si>
  <si>
    <t>Naturalistic inquiry for library science : methods and applications for research, evaluation, and teaching / Constance Ann Mellon ; foreword by Robert C. Bogdan.</t>
  </si>
  <si>
    <t>Mellon, Constance A.</t>
  </si>
  <si>
    <t>New York : Greenwood Press, 1990.</t>
  </si>
  <si>
    <t>Contributions in librarianship and information science, 0084-9243 ; no. 64</t>
  </si>
  <si>
    <t>2016-11-23</t>
  </si>
  <si>
    <t>328458893:eng</t>
  </si>
  <si>
    <t>20422494</t>
  </si>
  <si>
    <t>ocm20422494</t>
  </si>
  <si>
    <t>3100216692X</t>
  </si>
  <si>
    <t>9780313256530</t>
  </si>
  <si>
    <t>793087524</t>
  </si>
  <si>
    <t>Z669.7 P53 2007</t>
  </si>
  <si>
    <t>0                      Z  0669700P  53          2007</t>
  </si>
  <si>
    <t>Research methods in information / Alison Jane Pickard.</t>
  </si>
  <si>
    <t>Pickard, Alison Jane.</t>
  </si>
  <si>
    <t>London : Facet, 2007.</t>
  </si>
  <si>
    <t>2016-10-13</t>
  </si>
  <si>
    <t>69754996:eng</t>
  </si>
  <si>
    <t>60371611</t>
  </si>
  <si>
    <t>ocm60371611</t>
  </si>
  <si>
    <t>3102637280O</t>
  </si>
  <si>
    <t>9781856045452</t>
  </si>
  <si>
    <t>793936302</t>
  </si>
  <si>
    <t>Z669.7 P53 2013</t>
  </si>
  <si>
    <t>0                      Z  0669700P  53          2013</t>
  </si>
  <si>
    <t>Research methods in information / Alison Jane Pickard ; with contributions from Sue Childs [and others].</t>
  </si>
  <si>
    <t>London : Facet, 2013.</t>
  </si>
  <si>
    <t>2019-10-04</t>
  </si>
  <si>
    <t>779245930</t>
  </si>
  <si>
    <t>ocn779245930</t>
  </si>
  <si>
    <t>3103456270P</t>
  </si>
  <si>
    <t>9781856048132</t>
  </si>
  <si>
    <t>794910650</t>
  </si>
  <si>
    <t>Z669.7 P68 1985</t>
  </si>
  <si>
    <t>0                      Z  0669700P  68          1985</t>
  </si>
  <si>
    <t>Basic research methods for librarians / Ronald R. Powell.</t>
  </si>
  <si>
    <t>Powell, Ronald R.</t>
  </si>
  <si>
    <t>Norwood, N.J. : Ablex Pub. Corp., ©1985.</t>
  </si>
  <si>
    <t>Libraries and information science series</t>
  </si>
  <si>
    <t>2015-11-01</t>
  </si>
  <si>
    <t>679390:eng</t>
  </si>
  <si>
    <t>11574134</t>
  </si>
  <si>
    <t>ocm11574134</t>
  </si>
  <si>
    <t>3000846187X</t>
  </si>
  <si>
    <t>9780893911546</t>
  </si>
  <si>
    <t>792779002</t>
  </si>
  <si>
    <t>Z669.7 P68 2004</t>
  </si>
  <si>
    <t>0                      Z  0669700P  68          2004</t>
  </si>
  <si>
    <t>Basic research methods for librarians / Ronald R. Powell and Lynn Silipigni Connaway.</t>
  </si>
  <si>
    <t>Westport, Conn. : Libraries Unlimited, 2004.</t>
  </si>
  <si>
    <t>2016-01-19</t>
  </si>
  <si>
    <t>55846881</t>
  </si>
  <si>
    <t>ocm55846881</t>
  </si>
  <si>
    <t>31027163392</t>
  </si>
  <si>
    <t>9781591581031</t>
  </si>
  <si>
    <t>793883094</t>
  </si>
  <si>
    <t>2017-03-30</t>
  </si>
  <si>
    <t>3102433503M</t>
  </si>
  <si>
    <t>793883095</t>
  </si>
  <si>
    <t>3102693228M</t>
  </si>
  <si>
    <t>793883093</t>
  </si>
  <si>
    <t>Z669.7 P68 2010</t>
  </si>
  <si>
    <t>0                      Z  0669700P  68          2010</t>
  </si>
  <si>
    <t>Basic research methods for librarians / Lynn Silipigni Connaway and Ronald R. Powell.</t>
  </si>
  <si>
    <t>Connaway, Lynn Silipigni, author.</t>
  </si>
  <si>
    <t>Santa Barbara, California : Libraries Unlimited, an imprint of ABC-CLIO, LLC, [2010]</t>
  </si>
  <si>
    <t>Fifth edition.</t>
  </si>
  <si>
    <t>2019-09-28</t>
  </si>
  <si>
    <t>548555591</t>
  </si>
  <si>
    <t>ocn548555591</t>
  </si>
  <si>
    <t>3103227025R</t>
  </si>
  <si>
    <t>9781591588634</t>
  </si>
  <si>
    <t>794810959</t>
  </si>
  <si>
    <t>Z669.7 Q35 1992</t>
  </si>
  <si>
    <t>0                      Z  0669700Q  35          1992</t>
  </si>
  <si>
    <t>Qualitative research in information management / [edited by] Jack D. Glazier, Ronald R. Powell.</t>
  </si>
  <si>
    <t>Englewood, Colo. : Libraries Unlimited, 1992.</t>
  </si>
  <si>
    <t>353272996:eng</t>
  </si>
  <si>
    <t>24906893</t>
  </si>
  <si>
    <t>ocm24906893</t>
  </si>
  <si>
    <t>3101185600Q</t>
  </si>
  <si>
    <t>9780872878068</t>
  </si>
  <si>
    <t>793207896</t>
  </si>
  <si>
    <t>Z669.7 R39 2018</t>
  </si>
  <si>
    <t>0                      Z  0669700R  39          2018</t>
  </si>
  <si>
    <t>Research methods for librarians and educators : practical applications in formal and informal learning environments / Ruth V. Small and Marcia A. Mardis, editors.</t>
  </si>
  <si>
    <t>5364047637:eng</t>
  </si>
  <si>
    <t>973920726</t>
  </si>
  <si>
    <t>ocn973920726</t>
  </si>
  <si>
    <t>3103704466$</t>
  </si>
  <si>
    <t>9781440849626</t>
  </si>
  <si>
    <t>795029388</t>
  </si>
  <si>
    <t>Z669.7 W35 2012</t>
  </si>
  <si>
    <t>0                      Z  0669700W  35          2012</t>
  </si>
  <si>
    <t>Knowledge into action : research and evaluation in library and information science / Danny P. Wallace and Connie Van Fleet.</t>
  </si>
  <si>
    <t>Wallace, Danny P., author.</t>
  </si>
  <si>
    <t>1182595248:eng</t>
  </si>
  <si>
    <t>759916023</t>
  </si>
  <si>
    <t>ocn759916023</t>
  </si>
  <si>
    <t>3103413522L</t>
  </si>
  <si>
    <t>9781598849752</t>
  </si>
  <si>
    <t>794898031</t>
  </si>
  <si>
    <t>Z669.7 W55 2009</t>
  </si>
  <si>
    <t>0                      Z  0669700W  55          2009</t>
  </si>
  <si>
    <t>Applications of social research methods to questions in information and library science / Barbara M. Wildemuth.</t>
  </si>
  <si>
    <t>Wildemuth, Barbara M.</t>
  </si>
  <si>
    <t>170858752:eng</t>
  </si>
  <si>
    <t>289095944</t>
  </si>
  <si>
    <t>ocn289095944</t>
  </si>
  <si>
    <t>31030836199</t>
  </si>
  <si>
    <t>9781591585039</t>
  </si>
  <si>
    <t>794421847</t>
  </si>
  <si>
    <t>2016-04-24</t>
  </si>
  <si>
    <t>3103602475F</t>
  </si>
  <si>
    <t>794421846</t>
  </si>
  <si>
    <t>Z669.7 W75 2010</t>
  </si>
  <si>
    <t>0                      Z  0669700W  75          2010</t>
  </si>
  <si>
    <t>Writing and publishing : the librarian's handbook / edited by Carol Smallwood.</t>
  </si>
  <si>
    <t>2018-09-27</t>
  </si>
  <si>
    <t>891106081:eng</t>
  </si>
  <si>
    <t>421947148</t>
  </si>
  <si>
    <t>ocn421947148</t>
  </si>
  <si>
    <t>3103157216E</t>
  </si>
  <si>
    <t>9780838909966</t>
  </si>
  <si>
    <t>794504985</t>
  </si>
  <si>
    <t>Z669.8 A53 2009</t>
  </si>
  <si>
    <t>0                      Z  0669800A  53          2009</t>
  </si>
  <si>
    <t>Measuring academic research : how to undertake a bibliometric study / Ana Andrés.</t>
  </si>
  <si>
    <t>Andrés, Ana.</t>
  </si>
  <si>
    <t>Oxford : Chandos Publishing, 2009.</t>
  </si>
  <si>
    <t>2017-02-14</t>
  </si>
  <si>
    <t>890983352:eng</t>
  </si>
  <si>
    <t>370609754</t>
  </si>
  <si>
    <t>ocn370609754</t>
  </si>
  <si>
    <t>31031283838</t>
  </si>
  <si>
    <t>9781843345282</t>
  </si>
  <si>
    <t>794494657</t>
  </si>
  <si>
    <t>Z669.8 B5</t>
  </si>
  <si>
    <t>0                      Z  0669800B  5</t>
  </si>
  <si>
    <t>Bibliometrics / William Gray Potter, issue editor.</t>
  </si>
  <si>
    <t>Champaign, Ill. : University of Illinois Graduate School of Library and Information Science, 1981.</t>
  </si>
  <si>
    <t>Library trends ; v. 30, no. 1</t>
  </si>
  <si>
    <t>30429212:eng</t>
  </si>
  <si>
    <t>7983916</t>
  </si>
  <si>
    <t>ocm07983916</t>
  </si>
  <si>
    <t>31025497626</t>
  </si>
  <si>
    <t>792591404</t>
  </si>
  <si>
    <t>Z669.8 B69 1994</t>
  </si>
  <si>
    <t>0                      Z  0669800B  69          1994</t>
  </si>
  <si>
    <t>Measurement in information science / Bert R. Boyce, Charles T. Meadow, Donald H. Kraft.</t>
  </si>
  <si>
    <t>Boyce, Bert R.</t>
  </si>
  <si>
    <t>San Diego, Calif. : Academic Press, 1994.</t>
  </si>
  <si>
    <t>2015-11-05</t>
  </si>
  <si>
    <t>32611772:eng</t>
  </si>
  <si>
    <t>30436506</t>
  </si>
  <si>
    <t>ocm30436506</t>
  </si>
  <si>
    <t>3101404532C</t>
  </si>
  <si>
    <t>9780121214500</t>
  </si>
  <si>
    <t>793335289</t>
  </si>
  <si>
    <t>Z669.8 D43 2009</t>
  </si>
  <si>
    <t>0                      Z  0669800D  43          2009</t>
  </si>
  <si>
    <t>Bibliometrics and citation analysis : from the Science citation index to cybermetrics / Nicola De Bellis.</t>
  </si>
  <si>
    <t>De Bellis, Nicola, 1969-</t>
  </si>
  <si>
    <t>2015-04-14</t>
  </si>
  <si>
    <t>793139459:eng</t>
  </si>
  <si>
    <t>268952958</t>
  </si>
  <si>
    <t>ocn268952958</t>
  </si>
  <si>
    <t>31030841836</t>
  </si>
  <si>
    <t>9780810867130</t>
  </si>
  <si>
    <t>794408732</t>
  </si>
  <si>
    <t>Z669.8 D56 1994</t>
  </si>
  <si>
    <t>0                      Z  0669800D  56          1994</t>
  </si>
  <si>
    <t>Dictionary of bibliometrics / Virgil Diodato.</t>
  </si>
  <si>
    <t>Diodato, Virgil Pasquale, 1945-</t>
  </si>
  <si>
    <t>New York : Haworth Press, ©1994.</t>
  </si>
  <si>
    <t>Haworth library and information science</t>
  </si>
  <si>
    <t>388034:eng</t>
  </si>
  <si>
    <t>27937560</t>
  </si>
  <si>
    <t>ocm27937560</t>
  </si>
  <si>
    <t>3103644248T</t>
  </si>
  <si>
    <t>9781560248521</t>
  </si>
  <si>
    <t>793275896</t>
  </si>
  <si>
    <t>Z669.8 D84 2009</t>
  </si>
  <si>
    <t>0                      Z  0669800D  84          2009</t>
  </si>
  <si>
    <t>Viewing library metrics from different perspectives : inputs, outputs, and outcomes / Robert E. Dugan, Peter Hernon, and Danuta A. Nitecki.</t>
  </si>
  <si>
    <t>Dugan, Robert E., 1952-</t>
  </si>
  <si>
    <t>Santa Barbara, Calif. : Libraries Unlimited, ©2009.</t>
  </si>
  <si>
    <t>197166493:eng</t>
  </si>
  <si>
    <t>320194102</t>
  </si>
  <si>
    <t>ocn320194102</t>
  </si>
  <si>
    <t>3103097054Z</t>
  </si>
  <si>
    <t>9781591586654</t>
  </si>
  <si>
    <t>794485532</t>
  </si>
  <si>
    <t>Z669.8 E34 2001</t>
  </si>
  <si>
    <t>0                      Z  0669800E  34          2001</t>
  </si>
  <si>
    <t>Elementary statistics for effective library and information service management / Leo Egghe and Ronald Rousseau.</t>
  </si>
  <si>
    <t>Egghe, L. (Leo)</t>
  </si>
  <si>
    <t>London : Aslib-IMI, ©2001.</t>
  </si>
  <si>
    <t>2015-12-12</t>
  </si>
  <si>
    <t>13639918:eng</t>
  </si>
  <si>
    <t>47016029</t>
  </si>
  <si>
    <t>ocm47016029</t>
  </si>
  <si>
    <t>31021303799</t>
  </si>
  <si>
    <t>9780851424514</t>
  </si>
  <si>
    <t>793696621</t>
  </si>
  <si>
    <t>Z669.8 E38 1990</t>
  </si>
  <si>
    <t>0                      Z  0669800E  38          1990</t>
  </si>
  <si>
    <t>Introduction to informetrics : quantitative methods in library, documentation, and information science / Leo Egghe, Ronald Rousseau.</t>
  </si>
  <si>
    <t>Amsterdam ; New York : Elsevier Science Publishers, 1990.</t>
  </si>
  <si>
    <t>836889180:eng</t>
  </si>
  <si>
    <t>21376663</t>
  </si>
  <si>
    <t>ocm21376663</t>
  </si>
  <si>
    <t>3100753025S</t>
  </si>
  <si>
    <t>9780444884930</t>
  </si>
  <si>
    <t>793117263</t>
  </si>
  <si>
    <t>Z669.8 E44 2005</t>
  </si>
  <si>
    <t>0                      Z  0669800E  44          2005</t>
  </si>
  <si>
    <t>Power laws in the information production process : Lotkaian informetrics / Leo Egghe.</t>
  </si>
  <si>
    <t>Amsterdam ; New York : Elsevier/Academic Press, 2005.</t>
  </si>
  <si>
    <t>801616219:eng</t>
  </si>
  <si>
    <t>59545998</t>
  </si>
  <si>
    <t>ocm59545998</t>
  </si>
  <si>
    <t>31025623305</t>
  </si>
  <si>
    <t>9780120887538</t>
  </si>
  <si>
    <t>793930491</t>
  </si>
  <si>
    <t>Z669.8 H33 1998</t>
  </si>
  <si>
    <t>0                      Z  0669800H  33          1998</t>
  </si>
  <si>
    <t>Descriptive statistical techniques for librarians / Arthur W. Hafner.</t>
  </si>
  <si>
    <t>Hafner, Arthur Wayne, 1943-</t>
  </si>
  <si>
    <t>Chicago : American Library Association, 1998.</t>
  </si>
  <si>
    <t>2018-07-16</t>
  </si>
  <si>
    <t>1026287:eng</t>
  </si>
  <si>
    <t>36900842</t>
  </si>
  <si>
    <t>ocm36900842</t>
  </si>
  <si>
    <t>3101872901L</t>
  </si>
  <si>
    <t>9780838906927</t>
  </si>
  <si>
    <t>793487113</t>
  </si>
  <si>
    <t>Z669.8 H37 2011</t>
  </si>
  <si>
    <t>0                      Z  0669800H  37          2011</t>
  </si>
  <si>
    <t>The publish or perish book : your guide to effective and responsible citation analysis / Anne-Wil Harzing.</t>
  </si>
  <si>
    <t>Harzing, Anne-Wil.</t>
  </si>
  <si>
    <t>Melbourne : Tarma Software Research Pty Ltd, 2011.</t>
  </si>
  <si>
    <t>Reprinted with minor corr.</t>
  </si>
  <si>
    <t>2014-05-21</t>
  </si>
  <si>
    <t>793567552:eng</t>
  </si>
  <si>
    <t>747554474</t>
  </si>
  <si>
    <t>ocn747554474</t>
  </si>
  <si>
    <t>3103394140S</t>
  </si>
  <si>
    <t>9780980848519</t>
  </si>
  <si>
    <t>794888305</t>
  </si>
  <si>
    <t>Z669.8 I58 2010</t>
  </si>
  <si>
    <t>0                      Z  0669800I  58          2010</t>
  </si>
  <si>
    <t>New trends in qualitative and quantitative methods in libraries : selected papers presented at the 2nd Qualitative and Quantitative Methods in Libraries : proceedings of the International Conference on QQML2010, Chania, Crete, Greece, 25-28 May 2010 / editors, Anthi Katsirikou, Christos Skiadas.</t>
  </si>
  <si>
    <t>International Conference on QQML (2010 : Chania, Greece)</t>
  </si>
  <si>
    <t>Singapore ; Hackensack, NJ : World Scientific, ©2012.</t>
  </si>
  <si>
    <t>909696214:eng</t>
  </si>
  <si>
    <t>751526019</t>
  </si>
  <si>
    <t>ocn751526019</t>
  </si>
  <si>
    <t>3103383463O</t>
  </si>
  <si>
    <t>9789814350297</t>
  </si>
  <si>
    <t>794890436</t>
  </si>
  <si>
    <t>Z669.8 I67 2014</t>
  </si>
  <si>
    <t>0                      Z  0669800I  67          2014</t>
  </si>
  <si>
    <t>International benchmarks for academic library use of bibliometrics.</t>
  </si>
  <si>
    <t>New York, NY : Primary Research Group Inc., [2014]</t>
  </si>
  <si>
    <t>2224634409:eng</t>
  </si>
  <si>
    <t>895337356</t>
  </si>
  <si>
    <t>ocn895337356</t>
  </si>
  <si>
    <t>3103583450E</t>
  </si>
  <si>
    <t>9781574403183</t>
  </si>
  <si>
    <t>794983516</t>
  </si>
  <si>
    <t>Z669.8 L53 2015</t>
  </si>
  <si>
    <t>0                      Z  0669800L  53          2015</t>
  </si>
  <si>
    <t>Library analytics and metrics : using data to drive decisions and services / edited by Ben Showers.</t>
  </si>
  <si>
    <t>2016-11-02</t>
  </si>
  <si>
    <t>2214709202:eng</t>
  </si>
  <si>
    <t>894201349</t>
  </si>
  <si>
    <t>ocn894201349</t>
  </si>
  <si>
    <t>3103583106X</t>
  </si>
  <si>
    <t>9781856049658</t>
  </si>
  <si>
    <t>794982479</t>
  </si>
  <si>
    <t>Z669.8 L54 2010</t>
  </si>
  <si>
    <t>0                      Z  0669800L  54          2010</t>
  </si>
  <si>
    <t>Library data : empowering practice and persuasion / Darby Orcutt, editor.</t>
  </si>
  <si>
    <t>Santa Barbara, Calif. : Libraries Unlimited, ©2010.</t>
  </si>
  <si>
    <t>866286802:eng</t>
  </si>
  <si>
    <t>320193397</t>
  </si>
  <si>
    <t>ocn320193397</t>
  </si>
  <si>
    <t>3103156921W</t>
  </si>
  <si>
    <t>9781591588269</t>
  </si>
  <si>
    <t>794485503</t>
  </si>
  <si>
    <t>Z669.8 M43 2015</t>
  </si>
  <si>
    <t>0                      Z  0669800M  43          2015</t>
  </si>
  <si>
    <t>Meaningful metrics : a 21st century librarian's guide to bibliometrics, altmetrics, and research impact / Robin Chin Roemer &amp; Rachel Borchardt.</t>
  </si>
  <si>
    <t>Roemer, Robin Chin, author.</t>
  </si>
  <si>
    <t>Chicago : Association of College and Research Libraries, A division of the American Library Association, 2015.</t>
  </si>
  <si>
    <t>2018-07-23</t>
  </si>
  <si>
    <t>2530409345:eng</t>
  </si>
  <si>
    <t>904528761</t>
  </si>
  <si>
    <t>ocn904528761</t>
  </si>
  <si>
    <t>3103688362O</t>
  </si>
  <si>
    <t>9780838987551</t>
  </si>
  <si>
    <t>794990516</t>
  </si>
  <si>
    <t>snl 11/05/16</t>
  </si>
  <si>
    <t>2017-05-05</t>
  </si>
  <si>
    <t>31036216580</t>
  </si>
  <si>
    <t>794990517</t>
  </si>
  <si>
    <t>Z669.8 S34 2015</t>
  </si>
  <si>
    <t>0                      Z  0669800S  34          2015</t>
  </si>
  <si>
    <t>Scholarly metrics under the microscope : from citation analysis to academic auditing / edited by Blaise Cronin and Cassidy R. Sugimoto.</t>
  </si>
  <si>
    <t>Medford, New Jersey : Published on behalf of the Association for Information Science and Technology by Information Today, Inc., [2015]</t>
  </si>
  <si>
    <t>2018-08-31</t>
  </si>
  <si>
    <t>2279766502:eng</t>
  </si>
  <si>
    <t>899113960</t>
  </si>
  <si>
    <t>ocn899113960</t>
  </si>
  <si>
    <t>3103582423O</t>
  </si>
  <si>
    <t>9781573874991</t>
  </si>
  <si>
    <t>794986640</t>
  </si>
  <si>
    <t>Z669.8 S87 2010</t>
  </si>
  <si>
    <t>0                      Z  0669800S  87          2010</t>
  </si>
  <si>
    <t>The survey of academic librarians : communicating with library management.</t>
  </si>
  <si>
    <t>[New York] : Primary Research Group, ©2010.</t>
  </si>
  <si>
    <t>478063713:eng</t>
  </si>
  <si>
    <t>609901530</t>
  </si>
  <si>
    <t>ocn609901530</t>
  </si>
  <si>
    <t>3103238996E</t>
  </si>
  <si>
    <t>9781574401462</t>
  </si>
  <si>
    <t>794820377</t>
  </si>
  <si>
    <t>Z672 D48 1986</t>
  </si>
  <si>
    <t>0                      Z  0672000D  48          1986</t>
  </si>
  <si>
    <t>Developments in international and comparative librarianship 1976-1985 / edited by Inese A. Smith.</t>
  </si>
  <si>
    <t>Birmingham : International and Comparative Librarianship Group of the Library Association, 1986.</t>
  </si>
  <si>
    <t>2016-06-07</t>
  </si>
  <si>
    <t>13082165:eng</t>
  </si>
  <si>
    <t>16801061</t>
  </si>
  <si>
    <t>ocm16801061</t>
  </si>
  <si>
    <t>3000851643F</t>
  </si>
  <si>
    <t>9780906904039</t>
  </si>
  <si>
    <t>792972829</t>
  </si>
  <si>
    <t>Z672 G563 2004</t>
  </si>
  <si>
    <t>0                      Z  0672000G  563         2004</t>
  </si>
  <si>
    <t>Global librarianship / edited by Martin Alan Kesselman, Irwin Weintraub.</t>
  </si>
  <si>
    <t>New York : Marcel Dekker, ©2004.</t>
  </si>
  <si>
    <t>Books in library and information science ; 67</t>
  </si>
  <si>
    <t>866291219:eng</t>
  </si>
  <si>
    <t>56079061</t>
  </si>
  <si>
    <t>ocm56079061</t>
  </si>
  <si>
    <t>3102399577Y</t>
  </si>
  <si>
    <t>9780824709785</t>
  </si>
  <si>
    <t>793887306</t>
  </si>
  <si>
    <t>Z672 H37 1989</t>
  </si>
  <si>
    <t>0                      Z  0672000H  37          1989</t>
  </si>
  <si>
    <t>International librarianship / by K.C. Harrison.</t>
  </si>
  <si>
    <t>Harrison, K. C. (Kenneth Cecil)</t>
  </si>
  <si>
    <t>Metuchen, N.J. : Scarecrow Press, 1989.</t>
  </si>
  <si>
    <t>21380819:eng</t>
  </si>
  <si>
    <t>19516047</t>
  </si>
  <si>
    <t>ocm19516047</t>
  </si>
  <si>
    <t>3101017803E</t>
  </si>
  <si>
    <t>9780810822139</t>
  </si>
  <si>
    <t>793060624</t>
  </si>
  <si>
    <t>Z672 I5</t>
  </si>
  <si>
    <t>0                      Z  0672000I  5</t>
  </si>
  <si>
    <t>IFLA's first fifty years : achievement and challenge in international librarianship / edited by Willem R.H. Koops and Joachim Wieder.</t>
  </si>
  <si>
    <t>München : Verlag Dokumentation, 1977.</t>
  </si>
  <si>
    <t>IFLA publications ; 10</t>
  </si>
  <si>
    <t>889439906:eng</t>
  </si>
  <si>
    <t>3706627</t>
  </si>
  <si>
    <t>ocm03706627</t>
  </si>
  <si>
    <t>3000858054$</t>
  </si>
  <si>
    <t>9783794044306</t>
  </si>
  <si>
    <t>792283234</t>
  </si>
  <si>
    <t>Z672 I6152 2001</t>
  </si>
  <si>
    <t>0                      Z  0672000I  6152        2001</t>
  </si>
  <si>
    <t>International librarianship : cooperation and collaboration / edited by Frances Laverne Carroll, John Frederick Harvey.</t>
  </si>
  <si>
    <t>2016-03-12</t>
  </si>
  <si>
    <t>837057939:eng</t>
  </si>
  <si>
    <t>46456273</t>
  </si>
  <si>
    <t>ocm46456273</t>
  </si>
  <si>
    <t>3102126953G</t>
  </si>
  <si>
    <t>9780810839212</t>
  </si>
  <si>
    <t>793685179</t>
  </si>
  <si>
    <t>Z672 R55 2005</t>
  </si>
  <si>
    <t>0                      Z  0672000R  55          2005</t>
  </si>
  <si>
    <t>Globalisation, information and libraries : the implications of the World Trade Organisation's GATS and TRIPS Agreements / Ruth Rikowski.</t>
  </si>
  <si>
    <t>Rikowski, Ruth.</t>
  </si>
  <si>
    <t>Oxford : Chandos Pub., 2005.</t>
  </si>
  <si>
    <t>2016-11-25</t>
  </si>
  <si>
    <t>20479942:eng</t>
  </si>
  <si>
    <t>58839573</t>
  </si>
  <si>
    <t>ocm58839573</t>
  </si>
  <si>
    <t>3102888726H</t>
  </si>
  <si>
    <t>9781843340928</t>
  </si>
  <si>
    <t>793925194</t>
  </si>
  <si>
    <t>Z672 S78 2007</t>
  </si>
  <si>
    <t>0                      Z  0672000S  78          2007</t>
  </si>
  <si>
    <t>International librarianship : a basic guide to global knowledge access / Robert D. Stueart.</t>
  </si>
  <si>
    <t>Stueart, Robert D.</t>
  </si>
  <si>
    <t>Libraries and librarianship--an international perspective ; no. 2</t>
  </si>
  <si>
    <t>320749116:eng</t>
  </si>
  <si>
    <t>70630352</t>
  </si>
  <si>
    <t>ocm70630352</t>
  </si>
  <si>
    <t>3103154534D</t>
  </si>
  <si>
    <t>9780810858763</t>
  </si>
  <si>
    <t>794156753</t>
  </si>
  <si>
    <t>Z672.2 I58 2008</t>
  </si>
  <si>
    <t>0                      Z  0672200I  58          2008</t>
  </si>
  <si>
    <t>International and comparative studies in information and library science : a focus on the United States and Asian countries / [edited by] Yan Quan Liu, Xiaojun Cheng.</t>
  </si>
  <si>
    <t>Lanham, Md. : Scarecrow Press, 2008.</t>
  </si>
  <si>
    <t>Libraries and international librarianship: an international perspective ; 3</t>
  </si>
  <si>
    <t>368766052:eng</t>
  </si>
  <si>
    <t>85813875</t>
  </si>
  <si>
    <t>ocm85813875</t>
  </si>
  <si>
    <t>3102648010Z</t>
  </si>
  <si>
    <t>9780810859159</t>
  </si>
  <si>
    <t>794216349</t>
  </si>
  <si>
    <t>Z672.3 C37 2018</t>
  </si>
  <si>
    <t>0                      Z  0672300C  37          2018</t>
  </si>
  <si>
    <t>Your passport to international librarianship / Cate Carlyle, Dee Winn.</t>
  </si>
  <si>
    <t>Carlyle, Cate, author.</t>
  </si>
  <si>
    <t>Chicago : ALA Editions, 2018.</t>
  </si>
  <si>
    <t>4960950051:eng</t>
  </si>
  <si>
    <t>1030445703</t>
  </si>
  <si>
    <t>on1030445703</t>
  </si>
  <si>
    <t>3103704309F</t>
  </si>
  <si>
    <t>9780838917183</t>
  </si>
  <si>
    <t>795054686</t>
  </si>
  <si>
    <t>Z672.3 S24 2013</t>
  </si>
  <si>
    <t>0                      Z  0672300S  24          2013</t>
  </si>
  <si>
    <t>The Canada IFLA adventure : 85 years of Canadian participation in the International Federation of Library Associations and Institutions, 1927 to 2012 / Judith Saltman, Dan Gillean, Jamie Kathleen McCarthy, Myron Groover, J. Jack Unrau, and Rachel Balko.</t>
  </si>
  <si>
    <t>Saltman, Judith, author.</t>
  </si>
  <si>
    <t>Ottawa, ON : Canadian Library Association = Association canadienne des bibliothèques, [2013]</t>
  </si>
  <si>
    <t>2013-11-06</t>
  </si>
  <si>
    <t>1843031101:eng</t>
  </si>
  <si>
    <t>849798454</t>
  </si>
  <si>
    <t>ocn849798454</t>
  </si>
  <si>
    <t>3103493021X</t>
  </si>
  <si>
    <t>9780888023391</t>
  </si>
  <si>
    <t>794950344</t>
  </si>
  <si>
    <t>Z672.5 I565 2010</t>
  </si>
  <si>
    <t>0                      Z  0672500I  565         2010</t>
  </si>
  <si>
    <t>Paradigms and conceptual systems in knowledge organization : proceedings of the eleventh international ISKO conference, 23-26 February 2010, Rome, Italy / organized by the Italian chapter of ISKO and the Faculty of Philosophy, Sapienza University of Rome ; edited by Claudio Gnoli and Fulvio Mazzocchi.</t>
  </si>
  <si>
    <t>Würzburg : Ergon, 2010.</t>
  </si>
  <si>
    <t>Advances in knowledge organization, 0938-5495 ; v. 12</t>
  </si>
  <si>
    <t>1044593873:eng</t>
  </si>
  <si>
    <t>666211601</t>
  </si>
  <si>
    <t>ocn666211601</t>
  </si>
  <si>
    <t>3103333251K</t>
  </si>
  <si>
    <t>9783899137460</t>
  </si>
  <si>
    <t>794844828</t>
  </si>
  <si>
    <t>Z673 A1 W67 2010</t>
  </si>
  <si>
    <t>0                      Z  0673000A  1                  W  67          2010</t>
  </si>
  <si>
    <t>World guide to library, archive, and information science associations.</t>
  </si>
  <si>
    <t>3rd, completely rev. ed. / edited by Alexandra Meinhold.</t>
  </si>
  <si>
    <t>IFLA publications, 0344-6891 ; 142-143</t>
  </si>
  <si>
    <t>2013-09-27</t>
  </si>
  <si>
    <t>118870206:eng</t>
  </si>
  <si>
    <t>610832044</t>
  </si>
  <si>
    <t>ocn610832044</t>
  </si>
  <si>
    <t>3103255830V</t>
  </si>
  <si>
    <t>9783110226379</t>
  </si>
  <si>
    <t>794820793</t>
  </si>
  <si>
    <t>Z673 A524 C33</t>
  </si>
  <si>
    <t>0                      Z  0673000A  524                C  33</t>
  </si>
  <si>
    <t>Adult services handbook / Canadian Library Association, [Adult Services Section].</t>
  </si>
  <si>
    <t>Canadian Library Association. Adult Services Section.</t>
  </si>
  <si>
    <t>[Ottawa] : Canadian Library Association, 1968.</t>
  </si>
  <si>
    <t>2019-02-04</t>
  </si>
  <si>
    <t>11195258:eng</t>
  </si>
  <si>
    <t>15919756</t>
  </si>
  <si>
    <t>ocm15919756</t>
  </si>
  <si>
    <t>3102130119Z</t>
  </si>
  <si>
    <t>792947675</t>
  </si>
  <si>
    <t>Z673 A95 1992</t>
  </si>
  <si>
    <t>0                      Z  0673000A  95          1992</t>
  </si>
  <si>
    <t>Libraries, the heart of the matter : proceedings of the Australian Library and Information Association 2nd Biennial Conference.</t>
  </si>
  <si>
    <t>Australian Library and Information Association. Conference (2nd : 1992 : Albury-Wodonga, N.S.W.-Vic.)</t>
  </si>
  <si>
    <t>Melbourne : D.W. Thorpe, 1992.</t>
  </si>
  <si>
    <t>2015-05-20</t>
  </si>
  <si>
    <t>41841500:eng</t>
  </si>
  <si>
    <t>38318851</t>
  </si>
  <si>
    <t>ocm38318851</t>
  </si>
  <si>
    <t>31012253741</t>
  </si>
  <si>
    <t>9781875589067</t>
  </si>
  <si>
    <t>793522045</t>
  </si>
  <si>
    <t>Z673.C52 Z56 2018</t>
  </si>
  <si>
    <t>0                      Z  0673000C  52                 Z  56          2018</t>
  </si>
  <si>
    <t>Zhongguo tu shu guan xue bao chuang kan liu shi zhou nian wen xuan (1957-2017) / "Zhongguo tu shu guan xue bao" bian ji bu bian.</t>
  </si>
  <si>
    <t>Beijing Shi : Guo jia tu shu guan chu ban she, 2018.</t>
  </si>
  <si>
    <t>10151026062:chi</t>
  </si>
  <si>
    <t>1080430593</t>
  </si>
  <si>
    <t>on1080430593</t>
  </si>
  <si>
    <t>31038617810</t>
  </si>
  <si>
    <t>9787501363797</t>
  </si>
  <si>
    <t>795074521</t>
  </si>
  <si>
    <t>3103861776U</t>
  </si>
  <si>
    <t>795074522</t>
  </si>
  <si>
    <t>Z673 I594 B97 2007</t>
  </si>
  <si>
    <t>0                      Z  0673000I  594                B  97          2007</t>
  </si>
  <si>
    <t>The politics of promoting freedom of information and expression in international librarianship : the IFLA/FAIFE Project / Alex Byrne.</t>
  </si>
  <si>
    <t>Byrne, Alex.</t>
  </si>
  <si>
    <t>Libraries and librarianship--an international perspective ; 4</t>
  </si>
  <si>
    <t>198061399:eng</t>
  </si>
  <si>
    <t>138341022</t>
  </si>
  <si>
    <t>ocn138341022</t>
  </si>
  <si>
    <t>3102645841H</t>
  </si>
  <si>
    <t>9780810860179</t>
  </si>
  <si>
    <t>794234302</t>
  </si>
  <si>
    <t>v.15</t>
  </si>
  <si>
    <t>2011-04-29</t>
  </si>
  <si>
    <t>Z674 A75 no. 40</t>
  </si>
  <si>
    <t>0                      Z  0674000A  75                                                      no. 40</t>
  </si>
  <si>
    <t>Book selling and book buying : aspects of the nineteenth century British and North American book trade / edited by Richard G. Landon.</t>
  </si>
  <si>
    <t>no. 40*</t>
  </si>
  <si>
    <t>Chicago : American Library Association, 1978.</t>
  </si>
  <si>
    <t>ACRL publications in librarianship ; no. 40</t>
  </si>
  <si>
    <t>918733640:eng</t>
  </si>
  <si>
    <t>5777613</t>
  </si>
  <si>
    <t>ocm05777613</t>
  </si>
  <si>
    <t>3000848985W</t>
  </si>
  <si>
    <t>9780838932247</t>
  </si>
  <si>
    <t>792453215</t>
  </si>
  <si>
    <t>Z674 A75 no. 63</t>
  </si>
  <si>
    <t>0                      Z  0674000A  75                                                      no. 63</t>
  </si>
  <si>
    <t>Decision-making in the absence of certainty : a study in the context of technology and the construction of 21st century academic libraries / by S. David Mash.</t>
  </si>
  <si>
    <t>no. 63*</t>
  </si>
  <si>
    <t>Mash, S. David (Samuel David)</t>
  </si>
  <si>
    <t>Chicago : Association of College and Research Libraries, 2010.</t>
  </si>
  <si>
    <t>Publications in librarianship ; no. 63</t>
  </si>
  <si>
    <t>766249395:eng</t>
  </si>
  <si>
    <t>693750938</t>
  </si>
  <si>
    <t>ocn693750938</t>
  </si>
  <si>
    <t>3103333970W</t>
  </si>
  <si>
    <t>9780838985717</t>
  </si>
  <si>
    <t>794856698</t>
  </si>
  <si>
    <t>Z674 A75 no. 65</t>
  </si>
  <si>
    <t>0                      Z  0674000A  75                                                      no. 65</t>
  </si>
  <si>
    <t>The changing academic library : operations, culture, environments / John M. Budd.</t>
  </si>
  <si>
    <t>no. 65*</t>
  </si>
  <si>
    <t>Budd, John, 1953- author.</t>
  </si>
  <si>
    <t>Chicago : Association of College and Research Libraries, a division of the American Library Association, 2012.</t>
  </si>
  <si>
    <t>ACRL publications in librarianship ; no. 65</t>
  </si>
  <si>
    <t>1043650435:eng</t>
  </si>
  <si>
    <t>791490791</t>
  </si>
  <si>
    <t>ocn791490791</t>
  </si>
  <si>
    <t>3103441773Z</t>
  </si>
  <si>
    <t>9780838986127</t>
  </si>
  <si>
    <t>794916809</t>
  </si>
  <si>
    <t>Z674 A75 no. 74</t>
  </si>
  <si>
    <t>0                      Z  0674000A  75                                                      no. 74</t>
  </si>
  <si>
    <t>no. 74*</t>
  </si>
  <si>
    <t>Chicago : Association of College and Research Libraries, a division of the American Library Association, 2018.</t>
  </si>
  <si>
    <t>ACRL publications in librarianship ; no. 74</t>
  </si>
  <si>
    <t>1045429191</t>
  </si>
  <si>
    <t>on1045429191</t>
  </si>
  <si>
    <t>3103794367L</t>
  </si>
  <si>
    <t>9780838989975</t>
  </si>
  <si>
    <t>795060331</t>
  </si>
  <si>
    <t>Z674 A75 no.48</t>
  </si>
  <si>
    <t>0                      Z  0674000A  75                                                      no.48</t>
  </si>
  <si>
    <t>Abstracting, information retrieval, and the humanities : providing access to historical literature / Helen R. Tibbo.</t>
  </si>
  <si>
    <t>no.48*</t>
  </si>
  <si>
    <t>Tibbo, Helen R.</t>
  </si>
  <si>
    <t>Chicago : American Library Association, 1993.</t>
  </si>
  <si>
    <t>ACRL publications in librarianship ; no. 48</t>
  </si>
  <si>
    <t>2019-02-05</t>
  </si>
  <si>
    <t>890297419:eng</t>
  </si>
  <si>
    <t>27897918</t>
  </si>
  <si>
    <t>ocm27897918</t>
  </si>
  <si>
    <t>31012214122</t>
  </si>
  <si>
    <t>9780838934302</t>
  </si>
  <si>
    <t>793274966</t>
  </si>
  <si>
    <t>Z674 A75 no.53</t>
  </si>
  <si>
    <t>0                      Z  0674000A  75                                                      no.53</t>
  </si>
  <si>
    <t>People come first : user-centered academic library service / edited by Dale S. Montanelli &amp; Patricia F. Stenstrom.</t>
  </si>
  <si>
    <t>no.53*</t>
  </si>
  <si>
    <t>Chicago : Association of College and Research Libraries, 1999.</t>
  </si>
  <si>
    <t>ACRL publications in librarianship ; no. 53</t>
  </si>
  <si>
    <t>865742942:eng</t>
  </si>
  <si>
    <t>40354608</t>
  </si>
  <si>
    <t>ocm40354608</t>
  </si>
  <si>
    <t>3101973023Z</t>
  </si>
  <si>
    <t>9780838979990</t>
  </si>
  <si>
    <t>793564932</t>
  </si>
  <si>
    <t>Z674 A75 no.56</t>
  </si>
  <si>
    <t>0                      Z  0674000A  75                                                      no.56</t>
  </si>
  <si>
    <t>The changing academic library : operations, cultures, environments / John Budd.</t>
  </si>
  <si>
    <t>no.56*</t>
  </si>
  <si>
    <t>Chicago : Association of College and Research Libraries, 2005.</t>
  </si>
  <si>
    <t>Publications in librarianship ; no. 56</t>
  </si>
  <si>
    <t>58050252</t>
  </si>
  <si>
    <t>ocm58050252</t>
  </si>
  <si>
    <t>31025200385</t>
  </si>
  <si>
    <t>9780838983188</t>
  </si>
  <si>
    <t>793919792</t>
  </si>
  <si>
    <t>3102577117R</t>
  </si>
  <si>
    <t>793919793</t>
  </si>
  <si>
    <t>Z674 A75 no.59</t>
  </si>
  <si>
    <t>0                      Z  0674000A  75                                                      no.59</t>
  </si>
  <si>
    <t>Academic library research : perspectives and current trends / edited by Marie L. Radford and Pamela Snelson.</t>
  </si>
  <si>
    <t>no.59*</t>
  </si>
  <si>
    <t>Chicago : Association of College and Research Libraries, 2008.</t>
  </si>
  <si>
    <t>ACRL publications in librarianship ; no. 59</t>
  </si>
  <si>
    <t>2019-03-14</t>
  </si>
  <si>
    <t>908532152:eng</t>
  </si>
  <si>
    <t>243602175</t>
  </si>
  <si>
    <t>ocn243602175</t>
  </si>
  <si>
    <t>3103078261X</t>
  </si>
  <si>
    <t>9780838909836</t>
  </si>
  <si>
    <t>794378939</t>
  </si>
  <si>
    <t>Z674 A75 no.62</t>
  </si>
  <si>
    <t>0                      Z  0674000A  75                                                      no.62</t>
  </si>
  <si>
    <t>Librarians serving diverse populations : challenges and opportunities / by Lori Mestre.</t>
  </si>
  <si>
    <t>no.62*</t>
  </si>
  <si>
    <t>Mestre, Lori.</t>
  </si>
  <si>
    <t>ACRL publications in librarianship ; no. 62</t>
  </si>
  <si>
    <t>891511841:eng</t>
  </si>
  <si>
    <t>470359218</t>
  </si>
  <si>
    <t>ocn470359218</t>
  </si>
  <si>
    <t>31032221493</t>
  </si>
  <si>
    <t>9780838985120</t>
  </si>
  <si>
    <t>794796118</t>
  </si>
  <si>
    <t>2013-02-06</t>
  </si>
  <si>
    <t>31032362848</t>
  </si>
  <si>
    <t>794796119</t>
  </si>
  <si>
    <t>Z674 A75 no.64</t>
  </si>
  <si>
    <t>0                      Z  0674000A  75                                                      no.64</t>
  </si>
  <si>
    <t>Transforming information literacy programs : intersecting frontiers of self, library culture, and campus community / Carroll Wilkinson and Courtney Bruch, editors.</t>
  </si>
  <si>
    <t>no.64*</t>
  </si>
  <si>
    <t>Chicago : Association of College and Research Libraries, A Division of the American Library Association, 2012.</t>
  </si>
  <si>
    <t>ACRL publications in librarianship ; no. 64</t>
  </si>
  <si>
    <t>2014-05-16</t>
  </si>
  <si>
    <t>1068326572:eng</t>
  </si>
  <si>
    <t>769763906</t>
  </si>
  <si>
    <t>ocn769763906</t>
  </si>
  <si>
    <t>31034412919</t>
  </si>
  <si>
    <t>9780838986035</t>
  </si>
  <si>
    <t>794903603</t>
  </si>
  <si>
    <t>Z674 A75 no.66</t>
  </si>
  <si>
    <t>0                      Z  0674000A  75                                                      no.66</t>
  </si>
  <si>
    <t>Interdisciplinarity and academic libraries / edited by Daniel C. Mack and Craig Gibson.</t>
  </si>
  <si>
    <t>no.66*</t>
  </si>
  <si>
    <t>ACRL publications in librarianship ; no. 66</t>
  </si>
  <si>
    <t>1118755544:eng</t>
  </si>
  <si>
    <t>794973728</t>
  </si>
  <si>
    <t>ocn794973728</t>
  </si>
  <si>
    <t>3103467121T</t>
  </si>
  <si>
    <t>9780838986158</t>
  </si>
  <si>
    <t>794920701</t>
  </si>
  <si>
    <t>Z674 A75 no.67</t>
  </si>
  <si>
    <t>0                      Z  0674000A  75                                                      no.67</t>
  </si>
  <si>
    <t>Assessing liaison librarians : documenting impact for positive change / edited by Daniel C. Mack and Gary W. White.</t>
  </si>
  <si>
    <t>no.67*</t>
  </si>
  <si>
    <t>Chicago, Illinois : Association of College and Research Libraries, A division of the American Library Association, 2014.</t>
  </si>
  <si>
    <t>Publications in librarianship ; no. 67</t>
  </si>
  <si>
    <t>2217118389:eng</t>
  </si>
  <si>
    <t>894491742</t>
  </si>
  <si>
    <t>ocn894491742</t>
  </si>
  <si>
    <t>3103583469C</t>
  </si>
  <si>
    <t>9780838987087</t>
  </si>
  <si>
    <t>794982674</t>
  </si>
  <si>
    <t>3103199889S</t>
  </si>
  <si>
    <t>794982673</t>
  </si>
  <si>
    <t>Z674 A75 no.68</t>
  </si>
  <si>
    <t>0                      Z  0674000A  75                                                      no.68</t>
  </si>
  <si>
    <t>Not just where to click : teaching students how to think about information / edited by Troy A. Swanson and Heather Jagman.</t>
  </si>
  <si>
    <t>no.68*</t>
  </si>
  <si>
    <t>Chicago, Illinois : Association of College and Research Libraries, a division of the American Library Association, 2015.</t>
  </si>
  <si>
    <t>Publications in librarianship ; number 68</t>
  </si>
  <si>
    <t>2228303207:eng</t>
  </si>
  <si>
    <t>896127188</t>
  </si>
  <si>
    <t>ocn896127188</t>
  </si>
  <si>
    <t>3103201034M</t>
  </si>
  <si>
    <t>9780838987162</t>
  </si>
  <si>
    <t>794983840</t>
  </si>
  <si>
    <t>Z674 A75 no.69</t>
  </si>
  <si>
    <t>0                      Z  0674000A  75                                                      no.69</t>
  </si>
  <si>
    <t>Creating leaders : an examination of academic and research library leadership institutes / edited by Irene M.H. Herold.</t>
  </si>
  <si>
    <t>no.69*</t>
  </si>
  <si>
    <t>Chicago : Association of College and Research Libraries, a division of the American Library Association, 2015.</t>
  </si>
  <si>
    <t>ACRL publications in librarianship ; no. 69</t>
  </si>
  <si>
    <t>2596386646:eng</t>
  </si>
  <si>
    <t>918562805</t>
  </si>
  <si>
    <t>ocn918562805</t>
  </si>
  <si>
    <t>3103687426T</t>
  </si>
  <si>
    <t>9780838987636</t>
  </si>
  <si>
    <t>795001064</t>
  </si>
  <si>
    <t>Z674 A75 no.70</t>
  </si>
  <si>
    <t>0                      Z  0674000A  75                                                      no.70</t>
  </si>
  <si>
    <t>Managing creativity : the innovative research library / Ronald C. Jantz.</t>
  </si>
  <si>
    <t>no.70*</t>
  </si>
  <si>
    <t>Jantz, Ronald C., author.</t>
  </si>
  <si>
    <t>Chicago, Illinois : Association of College and Research Libraries, a division of the American Library Association, 2016.</t>
  </si>
  <si>
    <t>Publications in librarianship ; no. 70</t>
  </si>
  <si>
    <t>2968601920:eng</t>
  </si>
  <si>
    <t>943710069</t>
  </si>
  <si>
    <t>ocn943710069</t>
  </si>
  <si>
    <t>31036588892</t>
  </si>
  <si>
    <t>9780838988343</t>
  </si>
  <si>
    <t>795012602</t>
  </si>
  <si>
    <t>Z674 A75 no.71</t>
  </si>
  <si>
    <t>0                      Z  0674000A  75                                                      no.71</t>
  </si>
  <si>
    <t>The fun of motivation : crossing the threshold concepts / by Mary Francis.</t>
  </si>
  <si>
    <t>no.71*</t>
  </si>
  <si>
    <t>Francis, Mary (Librarian), author.</t>
  </si>
  <si>
    <t>Chicago, Illinois : Association of College and Research Libraries, A division of the American Library Association, 2017.</t>
  </si>
  <si>
    <t>Publications in librarianship ; no. 71</t>
  </si>
  <si>
    <t>4654285287:eng</t>
  </si>
  <si>
    <t>1014191778</t>
  </si>
  <si>
    <t>on1014191778</t>
  </si>
  <si>
    <t>3103793178T</t>
  </si>
  <si>
    <t>9780838989333</t>
  </si>
  <si>
    <t>795047668</t>
  </si>
  <si>
    <t>Z674 A75 no.73</t>
  </si>
  <si>
    <t>0                      Z  0674000A  75                                                      no.73</t>
  </si>
  <si>
    <t>Framing information literacy : teaching grounded in theory, pedagogy, and practice / edited by Mary K. Oberlies and Janna Mattson.</t>
  </si>
  <si>
    <t>Chicago, Illinois : Association of College and Research Libraries, a division of the American Library Association, 2018.</t>
  </si>
  <si>
    <t>Publications in librarianship ; no. 73</t>
  </si>
  <si>
    <t>5180719354:eng</t>
  </si>
  <si>
    <t>1034016723</t>
  </si>
  <si>
    <t>on1034016723</t>
  </si>
  <si>
    <t>31037943420</t>
  </si>
  <si>
    <t>9780838989371</t>
  </si>
  <si>
    <t>795057165</t>
  </si>
  <si>
    <t>3103794337U</t>
  </si>
  <si>
    <t>795057166</t>
  </si>
  <si>
    <t>31037943323</t>
  </si>
  <si>
    <t>795057167</t>
  </si>
  <si>
    <t>3103794347R</t>
  </si>
  <si>
    <t>795057164</t>
  </si>
  <si>
    <t>3103794357O</t>
  </si>
  <si>
    <t>795057162</t>
  </si>
  <si>
    <t>3103794362V</t>
  </si>
  <si>
    <t>795057163</t>
  </si>
  <si>
    <t>Z674 L4</t>
  </si>
  <si>
    <t>0                      Z  0674000L  4</t>
  </si>
  <si>
    <t>The public library in the United States; the general report of the Public Library Inquiry.</t>
  </si>
  <si>
    <t>Leigh, Robert D. (Robert Devore), 1890-1961.</t>
  </si>
  <si>
    <t>New York, Columbia University Press, 1950.</t>
  </si>
  <si>
    <t>[Public Library Inquiry Reports.]</t>
  </si>
  <si>
    <t>2019-06-17</t>
  </si>
  <si>
    <t>10454494:eng</t>
  </si>
  <si>
    <t>704187</t>
  </si>
  <si>
    <t>ocm00704187</t>
  </si>
  <si>
    <t>3000858650K</t>
  </si>
  <si>
    <t>791450468</t>
  </si>
  <si>
    <t>Z674 L46</t>
  </si>
  <si>
    <t>0                      Z  0674000L  46</t>
  </si>
  <si>
    <t>Libraries in post-industrial society / edited by Leigh Estabrook.</t>
  </si>
  <si>
    <t>Phoenix, AZ : Oryx Press, ©1977.</t>
  </si>
  <si>
    <t>A Neal-Schuman professional book</t>
  </si>
  <si>
    <t>557749:eng</t>
  </si>
  <si>
    <t>3017151</t>
  </si>
  <si>
    <t>ocm03017151</t>
  </si>
  <si>
    <t>3000858652G</t>
  </si>
  <si>
    <t>9780912700007</t>
  </si>
  <si>
    <t>792207021</t>
  </si>
  <si>
    <t>Z674 L55</t>
  </si>
  <si>
    <t>0                      Z  0674000L  55</t>
  </si>
  <si>
    <t>Literature of libraries in the seventeenth and eighteenth centuries. Edited by John Cotton Dana and Henry W. Kent.</t>
  </si>
  <si>
    <t>Metuchen, N.J., Scarecrow Reprint Corp., 1967.</t>
  </si>
  <si>
    <t>918746761:eng</t>
  </si>
  <si>
    <t>735566</t>
  </si>
  <si>
    <t>ocm00735566</t>
  </si>
  <si>
    <t>30008613685</t>
  </si>
  <si>
    <t>791458013</t>
  </si>
  <si>
    <t>Z674 M57 no.1</t>
  </si>
  <si>
    <t>0                      Z  0674000M  57                                                      no.1</t>
  </si>
  <si>
    <t>no.1*</t>
  </si>
  <si>
    <t>2001-02-10</t>
  </si>
  <si>
    <t>30005894784</t>
  </si>
  <si>
    <t>791253301</t>
  </si>
  <si>
    <t>Z674 T53 1966</t>
  </si>
  <si>
    <t>0                      Z  0674000T  53          1966</t>
  </si>
  <si>
    <t>Selected readings in the history of librarianship.</t>
  </si>
  <si>
    <t>Thornton, John Leonard.</t>
  </si>
  <si>
    <t>London, Library Assn., 1966.</t>
  </si>
  <si>
    <t>1700176:eng</t>
  </si>
  <si>
    <t>575028</t>
  </si>
  <si>
    <t>ocm00575028</t>
  </si>
  <si>
    <t>3103567856X</t>
  </si>
  <si>
    <t>791418786</t>
  </si>
  <si>
    <t>Z674.4 C47 1982</t>
  </si>
  <si>
    <t>0                      Z  0674400C  47          1982</t>
  </si>
  <si>
    <t>Information seeking : assessing and anticipating user needs / Ching-chih Chen, Peter Hernon.</t>
  </si>
  <si>
    <t>Chen, Ching-chih, 1937-</t>
  </si>
  <si>
    <t>New York, NY : Neal-Schuman Publishers, ©1982.</t>
  </si>
  <si>
    <t>Applications in information management and technology series</t>
  </si>
  <si>
    <t>2015-10-16</t>
  </si>
  <si>
    <t>320399738:eng</t>
  </si>
  <si>
    <t>8345697</t>
  </si>
  <si>
    <t>ocm08345697</t>
  </si>
  <si>
    <t>30008441965</t>
  </si>
  <si>
    <t>9780918212504</t>
  </si>
  <si>
    <t>792614216</t>
  </si>
  <si>
    <t>Z674.4 F68 2006</t>
  </si>
  <si>
    <t>0                      Z  0674400F  68          2006</t>
  </si>
  <si>
    <t>How LIS professionals can use alerting services / Ina Fourie.</t>
  </si>
  <si>
    <t>Fourie, Ina.</t>
  </si>
  <si>
    <t>2016-12-11</t>
  </si>
  <si>
    <t>59198320:eng</t>
  </si>
  <si>
    <t>65201390</t>
  </si>
  <si>
    <t>ocm65201390</t>
  </si>
  <si>
    <t>31025684923</t>
  </si>
  <si>
    <t>9781843341291</t>
  </si>
  <si>
    <t>794133130</t>
  </si>
  <si>
    <t>Z674.4 K86</t>
  </si>
  <si>
    <t>0                      Z  0674400K  86</t>
  </si>
  <si>
    <t>Methods of analysis and evaluation of information needs : a crit. review / Werner Kunz, Horst W.J. Rittel, Werner Schwuchow.</t>
  </si>
  <si>
    <t>Kunz, Werner, 1922-</t>
  </si>
  <si>
    <t>8089687:eng</t>
  </si>
  <si>
    <t>3166839</t>
  </si>
  <si>
    <t>ocm03166839</t>
  </si>
  <si>
    <t>3103601567F</t>
  </si>
  <si>
    <t>9783794034505</t>
  </si>
  <si>
    <t>792224726</t>
  </si>
  <si>
    <t>Z674.5 G7 V35 1994</t>
  </si>
  <si>
    <t>0                      Z  0674500G  7                  V  35          1994</t>
  </si>
  <si>
    <t>The value and impact of information / edited by Mary Feeney and Maureen Grieves.</t>
  </si>
  <si>
    <t>London ; New Jersey : Bowker-Saur, ©1994.</t>
  </si>
  <si>
    <t>British Library research, information policy issues</t>
  </si>
  <si>
    <t>2016-04-01</t>
  </si>
  <si>
    <t>350277033:eng</t>
  </si>
  <si>
    <t>31515337</t>
  </si>
  <si>
    <t>ocm31515337</t>
  </si>
  <si>
    <t>3101448323E</t>
  </si>
  <si>
    <t>9781857390841</t>
  </si>
  <si>
    <t>793362929</t>
  </si>
  <si>
    <t>Z674.7 D46 2014</t>
  </si>
  <si>
    <t>0                      Z  0674700D  46          2014</t>
  </si>
  <si>
    <t>The network reshapes the library : Lorcan Dempsey on libraries, services, and networks / by Lorcan Dempsey ; edited by Kenneth J. Varnum.</t>
  </si>
  <si>
    <t>Dempsey, Lorcan, author.</t>
  </si>
  <si>
    <t>UK edition.</t>
  </si>
  <si>
    <t>2179638649:eng</t>
  </si>
  <si>
    <t>890162506</t>
  </si>
  <si>
    <t>ocn890162506</t>
  </si>
  <si>
    <t>3103580198R</t>
  </si>
  <si>
    <t>9781783300419</t>
  </si>
  <si>
    <t>794978965</t>
  </si>
  <si>
    <t>Z674.7 T43 2010 no.1</t>
  </si>
  <si>
    <t>0                      Z  0674700T  43          2010                                        no.1</t>
  </si>
  <si>
    <t>Next-gen library catalogs / Marshall Breeding.</t>
  </si>
  <si>
    <t>Breeding, Marshall.</t>
  </si>
  <si>
    <t>London : Facet Pub., ©2010.</t>
  </si>
  <si>
    <t>UK ed.</t>
  </si>
  <si>
    <t>The tech set ; 1</t>
  </si>
  <si>
    <t>2016-04-23</t>
  </si>
  <si>
    <t>391501686:eng</t>
  </si>
  <si>
    <t>519248735</t>
  </si>
  <si>
    <t>ocn519248735</t>
  </si>
  <si>
    <t>3103134283M</t>
  </si>
  <si>
    <t>9781856047210</t>
  </si>
  <si>
    <t>794808446</t>
  </si>
  <si>
    <t>Z674.7 T43 2010 no.10</t>
  </si>
  <si>
    <t>0                      Z  0674700T  43          2010                                        no.10</t>
  </si>
  <si>
    <t>Effective blogging for libraries / Connie Crosby.</t>
  </si>
  <si>
    <t>no.10*</t>
  </si>
  <si>
    <t>Crosby, Connie, 1964-</t>
  </si>
  <si>
    <t>London : Facet Publishing, ©2010.</t>
  </si>
  <si>
    <t>The tech set ; 10</t>
  </si>
  <si>
    <t>2014-02-25</t>
  </si>
  <si>
    <t>391501738:eng</t>
  </si>
  <si>
    <t>519248785</t>
  </si>
  <si>
    <t>ocn519248785</t>
  </si>
  <si>
    <t>3103134277O</t>
  </si>
  <si>
    <t>9781856047302</t>
  </si>
  <si>
    <t>794808457</t>
  </si>
  <si>
    <t>Z674.7 T43 2010 no.2</t>
  </si>
  <si>
    <t>0                      Z  0674700T  43          2010                                        no.2</t>
  </si>
  <si>
    <t>Mobile technology and libraries / Jason Griffey.</t>
  </si>
  <si>
    <t>no.2*</t>
  </si>
  <si>
    <t>Griffey, Jason.</t>
  </si>
  <si>
    <t>The tech set ; 2</t>
  </si>
  <si>
    <t>2012-04-26</t>
  </si>
  <si>
    <t>371909350:eng</t>
  </si>
  <si>
    <t>519248738</t>
  </si>
  <si>
    <t>ocn519248738</t>
  </si>
  <si>
    <t>3103134231W</t>
  </si>
  <si>
    <t>9781856047227</t>
  </si>
  <si>
    <t>794808447</t>
  </si>
  <si>
    <t>Z674.7 T43 2010 no.3</t>
  </si>
  <si>
    <t>0                      Z  0674700T  43          2010                                        no.3</t>
  </si>
  <si>
    <t>Microblogging and lifestreaming in libraries / Robin M. Hastings.</t>
  </si>
  <si>
    <t>no.3*</t>
  </si>
  <si>
    <t>Hastings, Robin, 1973-</t>
  </si>
  <si>
    <t>The tech set ; 3</t>
  </si>
  <si>
    <t>504932686:eng</t>
  </si>
  <si>
    <t>519248741</t>
  </si>
  <si>
    <t>ocn519248741</t>
  </si>
  <si>
    <t>3103134288M</t>
  </si>
  <si>
    <t>9781856047234</t>
  </si>
  <si>
    <t>794808448</t>
  </si>
  <si>
    <t>Z674.7 T43 2010 no.4</t>
  </si>
  <si>
    <t>0                      Z  0674700T  43          2010                                        no.4</t>
  </si>
  <si>
    <t>Library videos and webcasts / Thomas Sean Casserley Robinson.</t>
  </si>
  <si>
    <t>no.4*</t>
  </si>
  <si>
    <t>Robinson, Thomas Sean Casserley, 1966-</t>
  </si>
  <si>
    <t>The tech set ; 4</t>
  </si>
  <si>
    <t>424848871:eng</t>
  </si>
  <si>
    <t>519248747</t>
  </si>
  <si>
    <t>ocn519248747</t>
  </si>
  <si>
    <t>3103134287M</t>
  </si>
  <si>
    <t>9781856047241</t>
  </si>
  <si>
    <t>794808449</t>
  </si>
  <si>
    <t>Z674.7 T43 2010 no.5</t>
  </si>
  <si>
    <t>0                      Z  0674700T  43          2010                                        no.5</t>
  </si>
  <si>
    <t>Wikis for libraries / Lauren Pressley.</t>
  </si>
  <si>
    <t>no.5*</t>
  </si>
  <si>
    <t>Pressley, Lauren.</t>
  </si>
  <si>
    <t>The tech set ; no. 5</t>
  </si>
  <si>
    <t>2013-03-15</t>
  </si>
  <si>
    <t>391501703:eng</t>
  </si>
  <si>
    <t>519248755</t>
  </si>
  <si>
    <t>ocn519248755</t>
  </si>
  <si>
    <t>3103134235W</t>
  </si>
  <si>
    <t>9781856047258</t>
  </si>
  <si>
    <t>794808450</t>
  </si>
  <si>
    <t>Z674.7 T43 2010 no.6</t>
  </si>
  <si>
    <t>0                      Z  0674700T  43          2010                                        no.6</t>
  </si>
  <si>
    <t>Technology training in libraries / Sarah Houghton-Jan.</t>
  </si>
  <si>
    <t>no.6*</t>
  </si>
  <si>
    <t>Houghton-Jan, Sarah.</t>
  </si>
  <si>
    <t>The tech set ; no. 6</t>
  </si>
  <si>
    <t>373086944:eng</t>
  </si>
  <si>
    <t>519248758</t>
  </si>
  <si>
    <t>ocn519248758</t>
  </si>
  <si>
    <t>3103134272O</t>
  </si>
  <si>
    <t>9781856047265</t>
  </si>
  <si>
    <t>794808452</t>
  </si>
  <si>
    <t>Z674.7 T43 2010 no.7</t>
  </si>
  <si>
    <t>0                      Z  0674700T  43          2010                                        no.7</t>
  </si>
  <si>
    <t>A social networking primer for librarians / Cliff Landis.</t>
  </si>
  <si>
    <t>no.7*</t>
  </si>
  <si>
    <t>Landis, Cliff, 1980-</t>
  </si>
  <si>
    <t>The tech set ; no. 7</t>
  </si>
  <si>
    <t>462429392:eng</t>
  </si>
  <si>
    <t>519248759</t>
  </si>
  <si>
    <t>ocn519248759</t>
  </si>
  <si>
    <t>3103134230W</t>
  </si>
  <si>
    <t>9781856047272</t>
  </si>
  <si>
    <t>794808453</t>
  </si>
  <si>
    <t>Z674.7 T43 2010 no.8</t>
  </si>
  <si>
    <t>0                      Z  0674700T  43          2010                                        no.8</t>
  </si>
  <si>
    <t>Library camps and unconferences / Steve Lawson.</t>
  </si>
  <si>
    <t>no.8*</t>
  </si>
  <si>
    <t>Lawson, Steve, 1970-</t>
  </si>
  <si>
    <t>The tech set ; 8</t>
  </si>
  <si>
    <t>422156560:eng</t>
  </si>
  <si>
    <t>519248766</t>
  </si>
  <si>
    <t>ocn519248766</t>
  </si>
  <si>
    <t>3103134282M</t>
  </si>
  <si>
    <t>9781856047289</t>
  </si>
  <si>
    <t>794808454</t>
  </si>
  <si>
    <t>Z674.7 T43 2010 no.9</t>
  </si>
  <si>
    <t>0                      Z  0674700T  43          2010                                        no.9</t>
  </si>
  <si>
    <t>Gaming in libraries / Kelly Nicole Czarnecki.</t>
  </si>
  <si>
    <t>no.9*</t>
  </si>
  <si>
    <t>Czarnecki, Kelly Nicole, 1974-</t>
  </si>
  <si>
    <t>The tech set ; 9</t>
  </si>
  <si>
    <t>2014-01-20</t>
  </si>
  <si>
    <t>422156559:eng</t>
  </si>
  <si>
    <t>519248774</t>
  </si>
  <si>
    <t>ocn519248774</t>
  </si>
  <si>
    <t>3103134267Q</t>
  </si>
  <si>
    <t>9781856047296</t>
  </si>
  <si>
    <t>794808456</t>
  </si>
  <si>
    <t>Z674.75 I58 B75 2012</t>
  </si>
  <si>
    <t>0                      Z  0674750I  58                 B  75          2012</t>
  </si>
  <si>
    <t>Beyond the browser : Web 2.0 and librarianship / Karl Bridges.</t>
  </si>
  <si>
    <t>Bridges, Karl, 1964-</t>
  </si>
  <si>
    <t>Santa Barbara, California : Libraries Unlimited, an imprint of ABC-CLIO, LLC, [2012]</t>
  </si>
  <si>
    <t>2012-05-14</t>
  </si>
  <si>
    <t>1090931078:eng</t>
  </si>
  <si>
    <t>430839898</t>
  </si>
  <si>
    <t>ocn430839898</t>
  </si>
  <si>
    <t>3103432283C</t>
  </si>
  <si>
    <t>9781591588160</t>
  </si>
  <si>
    <t>794781255</t>
  </si>
  <si>
    <t>Z674.75 I58 L5354 2011</t>
  </si>
  <si>
    <t>0                      Z  0674750I  58                 L  5354        2011</t>
  </si>
  <si>
    <t>Library use of the mega Internet sites : Google, Facebook, Yahoo!, Twitter, YouTube, Wikipedia, and more.</t>
  </si>
  <si>
    <t>[New York] : Primary Research Group Inc., ©2011.</t>
  </si>
  <si>
    <t>2011-12 ed.</t>
  </si>
  <si>
    <t>2013-01-26</t>
  </si>
  <si>
    <t>1885664357:eng</t>
  </si>
  <si>
    <t>746134223</t>
  </si>
  <si>
    <t>ocn746134223</t>
  </si>
  <si>
    <t>3103385289I</t>
  </si>
  <si>
    <t>9781574401776</t>
  </si>
  <si>
    <t>794886972</t>
  </si>
  <si>
    <t>Z674.75 I58 P38 2015</t>
  </si>
  <si>
    <t>0                      Z  0674750I  58                 P  38          2015</t>
  </si>
  <si>
    <t>BiblioTech : why libraries matter more than ever in the age of Google / John Palfrey.</t>
  </si>
  <si>
    <t>Palfrey, John G. (John Gorham), 1972- author.</t>
  </si>
  <si>
    <t>New York : Basic Books, A Member of the Perseus Books Group, [2015]</t>
  </si>
  <si>
    <t>2016-10-06</t>
  </si>
  <si>
    <t>2480367013:eng</t>
  </si>
  <si>
    <t>891609326</t>
  </si>
  <si>
    <t>ocn891609326</t>
  </si>
  <si>
    <t>31036222005</t>
  </si>
  <si>
    <t>9780465042999</t>
  </si>
  <si>
    <t>794980266</t>
  </si>
  <si>
    <t>Z674.75 I58 P84 2011</t>
  </si>
  <si>
    <t>0                      Z  0674750I  58                 P  84          2011</t>
  </si>
  <si>
    <t>Public libraries and the Internet : roles, perspectives, and implications / John Carlo Bertot, Paul T. Jaeger, and Charles R. McClure, editors.</t>
  </si>
  <si>
    <t>Santa Barbara, Calif. : Libraries Unlimited, ©2011.</t>
  </si>
  <si>
    <t>3858150352:eng</t>
  </si>
  <si>
    <t>422757089</t>
  </si>
  <si>
    <t>ocn422757089</t>
  </si>
  <si>
    <t>31032373517</t>
  </si>
  <si>
    <t>9781591587767</t>
  </si>
  <si>
    <t>794505754</t>
  </si>
  <si>
    <t>Z674.75 I58 S87 2010</t>
  </si>
  <si>
    <t>0                      Z  0674750I  58                 S  87          2010</t>
  </si>
  <si>
    <t>The survey of academic librarians : usefulness of leading Internet tools and sites.</t>
  </si>
  <si>
    <t>474683568:eng</t>
  </si>
  <si>
    <t>604964749</t>
  </si>
  <si>
    <t>ocn604964749</t>
  </si>
  <si>
    <t>3103238872L</t>
  </si>
  <si>
    <t>9781574401455</t>
  </si>
  <si>
    <t>794816159</t>
  </si>
  <si>
    <t>Z674.75 I58 W43 2010</t>
  </si>
  <si>
    <t>0                      Z  0674750I  58                 W  43          2010</t>
  </si>
  <si>
    <t>Web 2.0 and libraries : impacts, technologies and trends / edited by Dave Parkes and Geoff Walton.</t>
  </si>
  <si>
    <t>2011-03-31</t>
  </si>
  <si>
    <t>792740604:eng</t>
  </si>
  <si>
    <t>462916760</t>
  </si>
  <si>
    <t>ocn462916760</t>
  </si>
  <si>
    <t>31031332163</t>
  </si>
  <si>
    <t>9781843343462</t>
  </si>
  <si>
    <t>794792154</t>
  </si>
  <si>
    <t>Z674.75 S63 B35 2012</t>
  </si>
  <si>
    <t>0                      Z  0674750S  63                 B  35          2012</t>
  </si>
  <si>
    <t>Google this! : putting Google and other social media sites to work for your library / Terry Ballard.</t>
  </si>
  <si>
    <t>Ballard, Terry.</t>
  </si>
  <si>
    <t>Oxford [England] : Chandos Pub., 2012.</t>
  </si>
  <si>
    <t>2015-06-02</t>
  </si>
  <si>
    <t>1118558460:eng</t>
  </si>
  <si>
    <t>794902929</t>
  </si>
  <si>
    <t>ocn794902929</t>
  </si>
  <si>
    <t>31034999897</t>
  </si>
  <si>
    <t>9781843346777</t>
  </si>
  <si>
    <t>794920599</t>
  </si>
  <si>
    <t>Z674.75 S63 C73 2014</t>
  </si>
  <si>
    <t>0                      Z  0674750S  63                 C  73          2014</t>
  </si>
  <si>
    <t>Successful social networking in public libraries / Walt Crawford.</t>
  </si>
  <si>
    <t>Chicago : ALA Editions, an imprint of the American Library Association, 2014.</t>
  </si>
  <si>
    <t>1410953139:eng</t>
  </si>
  <si>
    <t>794711886</t>
  </si>
  <si>
    <t>ocn794711886</t>
  </si>
  <si>
    <t>3103502301Y</t>
  </si>
  <si>
    <t>9780838911679</t>
  </si>
  <si>
    <t>794920427</t>
  </si>
  <si>
    <t>Z674.75 S63 M87 2012</t>
  </si>
  <si>
    <t>0                      Z  0674750S  63                 M  87          2012</t>
  </si>
  <si>
    <t>Location-aware services and QR codes for libraries / Joe Murphy.</t>
  </si>
  <si>
    <t>Murphy, Joe (Joseph H.)</t>
  </si>
  <si>
    <t>Chicago : ALA TechSource, an imprint of the American Library Association, ©2012.</t>
  </si>
  <si>
    <t>The tech set ; #13</t>
  </si>
  <si>
    <t>1074129685:eng</t>
  </si>
  <si>
    <t>786273061</t>
  </si>
  <si>
    <t>ocn786273061</t>
  </si>
  <si>
    <t>3103414979W</t>
  </si>
  <si>
    <t>9781555707842</t>
  </si>
  <si>
    <t>794915994</t>
  </si>
  <si>
    <t>Z674.75 S63 S38 2010</t>
  </si>
  <si>
    <t>0                      Z  0674750S  63                 S  38          2010</t>
  </si>
  <si>
    <t>Blogging and RSS : a librarian's guide / Michael P. Sauers.</t>
  </si>
  <si>
    <t>Sauers, Michael P.</t>
  </si>
  <si>
    <t>797234015:eng</t>
  </si>
  <si>
    <t>650076096</t>
  </si>
  <si>
    <t>ocn650076096</t>
  </si>
  <si>
    <t>31032359223</t>
  </si>
  <si>
    <t>9781573873994</t>
  </si>
  <si>
    <t>794832204</t>
  </si>
  <si>
    <t>Z674.75 S63 S633 2019</t>
  </si>
  <si>
    <t>0                      Z  0674750S  63                 S  633         2019</t>
  </si>
  <si>
    <t>Social media for communication and instruction in academic libraries / [edited by] Jennifer Joe, Elisabeth Knight.</t>
  </si>
  <si>
    <t>Hershey, PA : IGI Global, Information Science Reference (an imprint of IGI Global), [2019]</t>
  </si>
  <si>
    <t>Advances in library and information science (ALIS) book series</t>
  </si>
  <si>
    <t>8862459786:eng</t>
  </si>
  <si>
    <t>1076438307</t>
  </si>
  <si>
    <t>on1076438307</t>
  </si>
  <si>
    <t>3103812596K</t>
  </si>
  <si>
    <t>9781522580973</t>
  </si>
  <si>
    <t>795067467</t>
  </si>
  <si>
    <t>Z674.75 S63 S65 2011</t>
  </si>
  <si>
    <t>0                      Z  0674750S  63                 S  65          2011</t>
  </si>
  <si>
    <t>Doing social media so it matters : a librarian's guide / Laura Solomon.</t>
  </si>
  <si>
    <t>Solomon, Laura, 1967- author.</t>
  </si>
  <si>
    <t>Chicago, Illinois : American Library Association, 2011.</t>
  </si>
  <si>
    <t>2014-09-24</t>
  </si>
  <si>
    <t>591857054:eng</t>
  </si>
  <si>
    <t>658810529</t>
  </si>
  <si>
    <t>ocn658810529</t>
  </si>
  <si>
    <t>3103236167F</t>
  </si>
  <si>
    <t>9780838910672</t>
  </si>
  <si>
    <t>794836015</t>
  </si>
  <si>
    <t>Z674.75 S63 S655 2013</t>
  </si>
  <si>
    <t>0                      Z  0674750S  63                 S  655         2013</t>
  </si>
  <si>
    <t>The librarian's nitty-gritty guide to social media / Laura Solomon.</t>
  </si>
  <si>
    <t>Solomon, Laura, 1967-</t>
  </si>
  <si>
    <t>Chicago : ALA Editions, an imprint of the American Library Association, 2013.</t>
  </si>
  <si>
    <t>1208839039:eng</t>
  </si>
  <si>
    <t>794711883</t>
  </si>
  <si>
    <t>ocn794711883</t>
  </si>
  <si>
    <t>3103454185Y</t>
  </si>
  <si>
    <t>9780838911600</t>
  </si>
  <si>
    <t>794920426</t>
  </si>
  <si>
    <t>Z674.75 S63 S74 2012</t>
  </si>
  <si>
    <t>0                      Z  0674750S  63                 S  74          2012</t>
  </si>
  <si>
    <t>Strategic planning for social media in libraries / Sarah K. Steiner.</t>
  </si>
  <si>
    <t>Steiner, Sarah K.</t>
  </si>
  <si>
    <t>Chicago : ALA TechSource, an imprint of the American Library Association, 2012.</t>
  </si>
  <si>
    <t>The tech set ; #15</t>
  </si>
  <si>
    <t>2015-05-08</t>
  </si>
  <si>
    <t>1090191446:eng</t>
  </si>
  <si>
    <t>781077291</t>
  </si>
  <si>
    <t>ocn781077291</t>
  </si>
  <si>
    <t>3103413518N</t>
  </si>
  <si>
    <t>9781555707798</t>
  </si>
  <si>
    <t>794912441</t>
  </si>
  <si>
    <t>Z674.75 W55 L48 2018</t>
  </si>
  <si>
    <t>0                      Z  0674750W  55                 L  48          2018</t>
  </si>
  <si>
    <t>Leveraging Wikipedia : connecting communities of knowledge / edited by Merrilee Proffitt.</t>
  </si>
  <si>
    <t>Chicago : ALA Editions, the American Library Association, 2018.</t>
  </si>
  <si>
    <t>4676677232:eng</t>
  </si>
  <si>
    <t>1004555519</t>
  </si>
  <si>
    <t>on1004555519</t>
  </si>
  <si>
    <t>31037382844</t>
  </si>
  <si>
    <t>9780838916322</t>
  </si>
  <si>
    <t>795041980</t>
  </si>
  <si>
    <t>Z674.75 W67 A23 2013</t>
  </si>
  <si>
    <t>0                      Z  0674750W  67                 A  23          2013</t>
  </si>
  <si>
    <t>Academic library website benchmarks / Primary Research Group.</t>
  </si>
  <si>
    <t>[New York] : Primary Research Group, ©2013.</t>
  </si>
  <si>
    <t>2013 ed.</t>
  </si>
  <si>
    <t>117736821:eng</t>
  </si>
  <si>
    <t>826895129</t>
  </si>
  <si>
    <t>ocn826895129</t>
  </si>
  <si>
    <t>31034541279</t>
  </si>
  <si>
    <t>9781574402216</t>
  </si>
  <si>
    <t>794939534</t>
  </si>
  <si>
    <t>Z674.75 W67 A23 2014</t>
  </si>
  <si>
    <t>0                      Z  0674750W  67                 A  23          2014</t>
  </si>
  <si>
    <t>Academic library website benchmarks, 2015 edition.</t>
  </si>
  <si>
    <t>Primary Research Group.</t>
  </si>
  <si>
    <t>[New York] : Primary Research Group, 2014.</t>
  </si>
  <si>
    <t>4427811068:eng</t>
  </si>
  <si>
    <t>910923420</t>
  </si>
  <si>
    <t>ocn910923420</t>
  </si>
  <si>
    <t>31035835993</t>
  </si>
  <si>
    <t>9781574403152</t>
  </si>
  <si>
    <t>794996731</t>
  </si>
  <si>
    <t>Z674.75 W67 A75 2013</t>
  </si>
  <si>
    <t>0                      Z  0674750W  67                 A  75          2013</t>
  </si>
  <si>
    <t>Improving the visibility and use of digital repositories through SEO / Kenning Arlitsch and Patrick S. OBrien.</t>
  </si>
  <si>
    <t>Arlitsch, Kenning.</t>
  </si>
  <si>
    <t>Chicago : ALA TechSource, an imprint of the American Library Association, [2013]</t>
  </si>
  <si>
    <t>A LITA guide</t>
  </si>
  <si>
    <t>2016-10-24</t>
  </si>
  <si>
    <t>1779794170:eng</t>
  </si>
  <si>
    <t>823014110</t>
  </si>
  <si>
    <t>ocn823014110</t>
  </si>
  <si>
    <t>3103454450V</t>
  </si>
  <si>
    <t>9781555709068</t>
  </si>
  <si>
    <t>794936878</t>
  </si>
  <si>
    <t>Z674.75 W67 B37 2011</t>
  </si>
  <si>
    <t>0                      Z  0674750W  67                 B  37          2011</t>
  </si>
  <si>
    <t>Do you Web 2.0? : public libraries and social networking / Linda Berube.</t>
  </si>
  <si>
    <t>Berube, Linda, author.</t>
  </si>
  <si>
    <t>Oxford : Chandos Publishing, 2011.</t>
  </si>
  <si>
    <t>Chandos internet series</t>
  </si>
  <si>
    <t>900825730:eng</t>
  </si>
  <si>
    <t>724732959</t>
  </si>
  <si>
    <t>ocn724732959</t>
  </si>
  <si>
    <t>3103361200N</t>
  </si>
  <si>
    <t>9781843344360</t>
  </si>
  <si>
    <t>794876756</t>
  </si>
  <si>
    <t>Z674.75 W67 B73 2015</t>
  </si>
  <si>
    <t>0                      Z  0674750W  67                 B  73          2015</t>
  </si>
  <si>
    <t>Social media for creative libraries / Phil Bradley.</t>
  </si>
  <si>
    <t>Bradley, Phil, 1959- author.</t>
  </si>
  <si>
    <t>Second edition of How to use web 2.0 in your library.</t>
  </si>
  <si>
    <t>2265623477:eng</t>
  </si>
  <si>
    <t>900052388</t>
  </si>
  <si>
    <t>ocn900052388</t>
  </si>
  <si>
    <t>31035827813</t>
  </si>
  <si>
    <t>9781856047135</t>
  </si>
  <si>
    <t>794987121</t>
  </si>
  <si>
    <t>Z674.75 W67 B74 2012</t>
  </si>
  <si>
    <t>0                      Z  0674750W  67                 B  74          2012</t>
  </si>
  <si>
    <t>Cloud computing for libraries / Marshall Breeding.</t>
  </si>
  <si>
    <t>The Tech Set ; 11</t>
  </si>
  <si>
    <t>2013-02-01</t>
  </si>
  <si>
    <t>1098727157:eng</t>
  </si>
  <si>
    <t>783520712</t>
  </si>
  <si>
    <t>ocn783520712</t>
  </si>
  <si>
    <t>3103414337L</t>
  </si>
  <si>
    <t>9781555707859</t>
  </si>
  <si>
    <t>794914214</t>
  </si>
  <si>
    <t>Z674.75 W67 F34 2009</t>
  </si>
  <si>
    <t>0                      Z  0674750W  67                 F  34          2009</t>
  </si>
  <si>
    <t>Web project management for academic libraries / Jody Condit Fagan and Jennifer A. Keach.</t>
  </si>
  <si>
    <t>Fagan, Jody Condit, 1976-</t>
  </si>
  <si>
    <t>2016-08-12</t>
  </si>
  <si>
    <t>190947290:eng</t>
  </si>
  <si>
    <t>312014879</t>
  </si>
  <si>
    <t>ocn312014879</t>
  </si>
  <si>
    <t>31031284659</t>
  </si>
  <si>
    <t>9781843345039</t>
  </si>
  <si>
    <t>794436628</t>
  </si>
  <si>
    <t>Z674.75 W67 F37 2013</t>
  </si>
  <si>
    <t>0                      Z  0674750W  67                 F  37          2013</t>
  </si>
  <si>
    <t>Web analytics strategies for information professionals : a LITA guide / Tabatha Farney and Nina McHale.</t>
  </si>
  <si>
    <t>Farney, Tabatha.</t>
  </si>
  <si>
    <t>Chicago : ALA TechSource, an imprint of the American Library Association, 2013.</t>
  </si>
  <si>
    <t>Lita guide</t>
  </si>
  <si>
    <t>1362202062:eng</t>
  </si>
  <si>
    <t>823014044</t>
  </si>
  <si>
    <t>ocn823014044</t>
  </si>
  <si>
    <t>3103497281$</t>
  </si>
  <si>
    <t>9781555708979</t>
  </si>
  <si>
    <t>794936869</t>
  </si>
  <si>
    <t>Z674.75 W67 G46 2008</t>
  </si>
  <si>
    <t>0                      Z  0674750W  67                 G  46          2008</t>
  </si>
  <si>
    <t>User-centred library websites : usability evaluation methods / Carole A. George.</t>
  </si>
  <si>
    <t>George, Carole A.</t>
  </si>
  <si>
    <t>2016-06-03</t>
  </si>
  <si>
    <t>891329631:eng</t>
  </si>
  <si>
    <t>180477398</t>
  </si>
  <si>
    <t>ocn180477398</t>
  </si>
  <si>
    <t>3102854000$</t>
  </si>
  <si>
    <t>9781843343592</t>
  </si>
  <si>
    <t>794279979</t>
  </si>
  <si>
    <t>Z674.75 W67 G66 2014</t>
  </si>
  <si>
    <t>0                      Z  0674750W  67                 G  66          2014</t>
  </si>
  <si>
    <t>The comparative guide to WordPress in libraries : a LITA guide / Amanda L. Goodman.</t>
  </si>
  <si>
    <t>Goodman, Amanda L.</t>
  </si>
  <si>
    <t>Chicago : ALA TechSource, an imprint of the American Library Association, 2014.</t>
  </si>
  <si>
    <t>LITA guide</t>
  </si>
  <si>
    <t>2016-06-19</t>
  </si>
  <si>
    <t>1866363041:eng</t>
  </si>
  <si>
    <t>859252940</t>
  </si>
  <si>
    <t>ocn859252940</t>
  </si>
  <si>
    <t>31035287889</t>
  </si>
  <si>
    <t>9781555709686</t>
  </si>
  <si>
    <t>794957619</t>
  </si>
  <si>
    <t>Z674.75 W67 J66 2013</t>
  </si>
  <si>
    <t>0                      Z  0674750W  67                 J  66          2013</t>
  </si>
  <si>
    <t>Learning from libraries that use WordPress : content-management system best practices and case studies / Kyle M.L. Jones, Polly-Alida Farrington.</t>
  </si>
  <si>
    <t>Jones, Kyle M. L., author.</t>
  </si>
  <si>
    <t>1168177557:eng</t>
  </si>
  <si>
    <t>779875322</t>
  </si>
  <si>
    <t>ocn779875322</t>
  </si>
  <si>
    <t>3103411659K</t>
  </si>
  <si>
    <t>9780838911624</t>
  </si>
  <si>
    <t>794911511</t>
  </si>
  <si>
    <t>Z674.75 W67 K76 2008</t>
  </si>
  <si>
    <t>0                      Z  0674750W  67                 K  76          2008</t>
  </si>
  <si>
    <t>Web 2.0 for librarians and information professionals / Ellyssa Kroski.</t>
  </si>
  <si>
    <t>Kroski, Ellyssa.</t>
  </si>
  <si>
    <t>New York : Neal-Schuman Publishers, ©2008.</t>
  </si>
  <si>
    <t>2016-09-17</t>
  </si>
  <si>
    <t>116485599:eng</t>
  </si>
  <si>
    <t>181072558</t>
  </si>
  <si>
    <t>ocn181072558</t>
  </si>
  <si>
    <t>3102652897E</t>
  </si>
  <si>
    <t>9781555706142</t>
  </si>
  <si>
    <t>794281307</t>
  </si>
  <si>
    <t>Z674.75 W67 L44 2008</t>
  </si>
  <si>
    <t>0                      Z  0674750W  67                 L  44          2008</t>
  </si>
  <si>
    <t>Making library Web sites usable : a LITA guide / Tom Lehman and Terry Nikkel.</t>
  </si>
  <si>
    <t>Lehman, Tom, 1947-</t>
  </si>
  <si>
    <t>LITA guide ; # 14</t>
  </si>
  <si>
    <t>2017-01-07</t>
  </si>
  <si>
    <t>324570344:eng</t>
  </si>
  <si>
    <t>180204834</t>
  </si>
  <si>
    <t>ocn180204834</t>
  </si>
  <si>
    <t>3102650404F</t>
  </si>
  <si>
    <t>9781555706203</t>
  </si>
  <si>
    <t>794279745</t>
  </si>
  <si>
    <t>Z674.75 W67 M53 2013</t>
  </si>
  <si>
    <t>0                      Z  0674750W  67                 M  53          2013</t>
  </si>
  <si>
    <t>Web service APIs and libraries / Jason Paul Michel.</t>
  </si>
  <si>
    <t>Michel, Jason Paul.</t>
  </si>
  <si>
    <t>2014-10-31</t>
  </si>
  <si>
    <t>1376643110:eng</t>
  </si>
  <si>
    <t>795020464</t>
  </si>
  <si>
    <t>ocn795020464</t>
  </si>
  <si>
    <t>3103470905W</t>
  </si>
  <si>
    <t>9780838911822</t>
  </si>
  <si>
    <t>794920819</t>
  </si>
  <si>
    <t>Z674.75 W67 M58 2013</t>
  </si>
  <si>
    <t>0                      Z  0674750W  67                 M  58          2013</t>
  </si>
  <si>
    <t>Cloud-Based Services for Your Library / Erik T. Mitchell.</t>
  </si>
  <si>
    <t>Mitchell, Erik T., 1972-</t>
  </si>
  <si>
    <t>Chicago : ALA TechSource, An imprint of the American Library Association, 2013.</t>
  </si>
  <si>
    <t>1403211145:eng</t>
  </si>
  <si>
    <t>817721623</t>
  </si>
  <si>
    <t>ocn817721623</t>
  </si>
  <si>
    <t>3103454445X</t>
  </si>
  <si>
    <t>9781555708788</t>
  </si>
  <si>
    <t>794933596</t>
  </si>
  <si>
    <t>Z674.75 W67 M67 2015</t>
  </si>
  <si>
    <t>0                      Z  0674750W  67                 M  67          2015</t>
  </si>
  <si>
    <t>More library mashups : exploring new ways to deliver library data / edited by Nicole C. Engard.</t>
  </si>
  <si>
    <t>3757030540:eng</t>
  </si>
  <si>
    <t>892564554</t>
  </si>
  <si>
    <t>ocn892564554</t>
  </si>
  <si>
    <t>31035803100</t>
  </si>
  <si>
    <t>9781783300358</t>
  </si>
  <si>
    <t>794980931</t>
  </si>
  <si>
    <t>Z674.75 W67 R45 2014</t>
  </si>
  <si>
    <t>0                      Z  0674750W  67                 R  45          2014</t>
  </si>
  <si>
    <t>Responsive web design for libraries : a LITA guide / Matthew Reidsma.</t>
  </si>
  <si>
    <t>Reidsma, Matthew.</t>
  </si>
  <si>
    <t>Chicago : ALA TechSource, an imprint of American Library Association, 2014.</t>
  </si>
  <si>
    <t>1780474886:eng</t>
  </si>
  <si>
    <t>869141008</t>
  </si>
  <si>
    <t>ocn869141008</t>
  </si>
  <si>
    <t>3103566628C</t>
  </si>
  <si>
    <t>9781555709945</t>
  </si>
  <si>
    <t>794965167</t>
  </si>
  <si>
    <t>Z674.75 W67 S43 2012</t>
  </si>
  <si>
    <t>0                      Z  0674750W  67                 S  43          2012</t>
  </si>
  <si>
    <t>User experience (UX) design for libraries / Aaron Schmidt and Amanda Etches.</t>
  </si>
  <si>
    <t>Schmidt, Aaron, 1978-</t>
  </si>
  <si>
    <t>The tech set ; #18</t>
  </si>
  <si>
    <t>1087515719:eng</t>
  </si>
  <si>
    <t>779777870</t>
  </si>
  <si>
    <t>ocn779777870</t>
  </si>
  <si>
    <t>3103414174J</t>
  </si>
  <si>
    <t>9781555707811</t>
  </si>
  <si>
    <t>794911316</t>
  </si>
  <si>
    <t>Z674.75 W67 U85 2013</t>
  </si>
  <si>
    <t>0                      Z  0674750W  67                 U  85          2013</t>
  </si>
  <si>
    <t>Using LibGuides to enhance library services : a LITA guide / edited by Aaron W. Dobbs, Ryan L. Sittler, and Douglas Cook.</t>
  </si>
  <si>
    <t>1779795000:eng</t>
  </si>
  <si>
    <t>817721622</t>
  </si>
  <si>
    <t>ocn817721622</t>
  </si>
  <si>
    <t>3103454453V</t>
  </si>
  <si>
    <t>9781555708801</t>
  </si>
  <si>
    <t>794933595</t>
  </si>
  <si>
    <t>Z674.75 W67 V37 2012</t>
  </si>
  <si>
    <t>0                      Z  0674750W  67                 V  37          2012</t>
  </si>
  <si>
    <t>Drupal in libraries / Kenneth J. Varnum.</t>
  </si>
  <si>
    <t>Varnum, Kenneth J., 1967-</t>
  </si>
  <si>
    <t>The tech set ; #14</t>
  </si>
  <si>
    <t>1090622382:eng</t>
  </si>
  <si>
    <t>781432070</t>
  </si>
  <si>
    <t>ocn781432070</t>
  </si>
  <si>
    <t>31034148306</t>
  </si>
  <si>
    <t>9781555707781</t>
  </si>
  <si>
    <t>794912663</t>
  </si>
  <si>
    <t>Z674.75 W67 W47 2006</t>
  </si>
  <si>
    <t>0                      Z  0674750W  67                 W  47          2006</t>
  </si>
  <si>
    <t>Creating database-backed library Web pages : using open source tools / Stephen R. Westman.</t>
  </si>
  <si>
    <t>Westman, Stephen R.</t>
  </si>
  <si>
    <t>792606853:eng</t>
  </si>
  <si>
    <t>61278441</t>
  </si>
  <si>
    <t>ocm61278441</t>
  </si>
  <si>
    <t>31026333820</t>
  </si>
  <si>
    <t>9780838909102</t>
  </si>
  <si>
    <t>793950366</t>
  </si>
  <si>
    <t>Z674.75 W67 W58 2016</t>
  </si>
  <si>
    <t>0                      Z  0674750W  67                 W  58          2016</t>
  </si>
  <si>
    <t>Redesign your library website / Stacy Ann Wittmann and Julianne T. Stam.</t>
  </si>
  <si>
    <t>Wittmann, Stacy Ann, author.</t>
  </si>
  <si>
    <t>Santa Barbara, California : Libraries Unlimited, an imprint of ABC-CLIO, LLC, [2016]</t>
  </si>
  <si>
    <t>2019-05-27</t>
  </si>
  <si>
    <t>2265518344:eng</t>
  </si>
  <si>
    <t>900031521</t>
  </si>
  <si>
    <t>ocn900031521</t>
  </si>
  <si>
    <t>31037028621</t>
  </si>
  <si>
    <t>9781440838569</t>
  </si>
  <si>
    <t>794987102</t>
  </si>
  <si>
    <t>Z674.82 O15 W43 2011</t>
  </si>
  <si>
    <t>0                      Z  0674820O  15                 W  43          2011</t>
  </si>
  <si>
    <t>Weaving libraries into the Web : OCLC 1998-2008 / edited by Jay Jordan.</t>
  </si>
  <si>
    <t>London : Routledge, 2012.</t>
  </si>
  <si>
    <t>908596878:eng</t>
  </si>
  <si>
    <t>759584353</t>
  </si>
  <si>
    <t>ocn759584353</t>
  </si>
  <si>
    <t>3103134525P</t>
  </si>
  <si>
    <t>9780415518666</t>
  </si>
  <si>
    <t>794897526</t>
  </si>
  <si>
    <t>Z674.83 C3 S57 1995</t>
  </si>
  <si>
    <t>0                      Z  0674830C  3                  S  57          1995</t>
  </si>
  <si>
    <t>Canada's public libraries and the information highway : a report prepared for Industry Canada / by Stan Skrzeszewski ; with assistance from Maureen Cubberley ... [et al.].</t>
  </si>
  <si>
    <t>Skrzeszewski, Stan.</t>
  </si>
  <si>
    <t>[Toronto] : Canada's Coalition for Public Information, 1995.</t>
  </si>
  <si>
    <t>196801623:eng</t>
  </si>
  <si>
    <t>32739753</t>
  </si>
  <si>
    <t>ocm32739753</t>
  </si>
  <si>
    <t>31014196811</t>
  </si>
  <si>
    <t>793392995</t>
  </si>
  <si>
    <t>Z675 A2 A77 1979</t>
  </si>
  <si>
    <t>0                      Z  0675000A  2                  A  77          1979</t>
  </si>
  <si>
    <t>Special librarianship / Wilfred Ashworth.</t>
  </si>
  <si>
    <t>Ashworth, Wilfred.</t>
  </si>
  <si>
    <t>London : C. Bingley ; New York : K.G. Saur, 1979.</t>
  </si>
  <si>
    <t>Outlines of modern librarianship</t>
  </si>
  <si>
    <t>2015-09-13</t>
  </si>
  <si>
    <t>17166589:eng</t>
  </si>
  <si>
    <t>5354835</t>
  </si>
  <si>
    <t>ocm05354835</t>
  </si>
  <si>
    <t>3000847435Z</t>
  </si>
  <si>
    <t>9780851572772</t>
  </si>
  <si>
    <t>792427695</t>
  </si>
  <si>
    <t>Z675 A2 D55 2008</t>
  </si>
  <si>
    <t>0                      Z  0675000A  2                  D  55          2008</t>
  </si>
  <si>
    <t>A handbook of special libraries and librarianship / Anil Kumar Dhiman.</t>
  </si>
  <si>
    <t>Dhiman, Anil Kumar.</t>
  </si>
  <si>
    <t>New Delhi : Ess Ess Publications, 2008.</t>
  </si>
  <si>
    <t>2015-09-19</t>
  </si>
  <si>
    <t>119840880:eng</t>
  </si>
  <si>
    <t>191927463</t>
  </si>
  <si>
    <t>ocn191927463</t>
  </si>
  <si>
    <t>31032359195</t>
  </si>
  <si>
    <t>9788170005230</t>
  </si>
  <si>
    <t>794302354</t>
  </si>
  <si>
    <t>Z675 A2 F47 1984</t>
  </si>
  <si>
    <t>0                      Z  0675000A  2                  F  47          1984</t>
  </si>
  <si>
    <t>Special libraries at work / Elizabeth Ferguson and Emily R. Mobley.</t>
  </si>
  <si>
    <t>Ferguson, Elizabeth, 1906-</t>
  </si>
  <si>
    <t>Hamden, Conn. : Library Professional Publications, 1984.</t>
  </si>
  <si>
    <t>20570582:eng</t>
  </si>
  <si>
    <t>10208258</t>
  </si>
  <si>
    <t>ocm10208258</t>
  </si>
  <si>
    <t>3000845683Q</t>
  </si>
  <si>
    <t>9780208019394</t>
  </si>
  <si>
    <t>792714460</t>
  </si>
  <si>
    <t>Z675 A2 M38 2002</t>
  </si>
  <si>
    <t>0                      Z  0675000A  2                  M  38          2002</t>
  </si>
  <si>
    <t>The bottom line : determining and communicating the value of the special library / Joseph R. Matthews.</t>
  </si>
  <si>
    <t>Matthews, Joseph R.</t>
  </si>
  <si>
    <t>Westport, Conn. : Libraries Unlimited, 2002.</t>
  </si>
  <si>
    <t>2016-09-14</t>
  </si>
  <si>
    <t>793708:eng</t>
  </si>
  <si>
    <t>51282047</t>
  </si>
  <si>
    <t>ocm51282047</t>
  </si>
  <si>
    <t>31028107328</t>
  </si>
  <si>
    <t>9781591580041</t>
  </si>
  <si>
    <t>793782237</t>
  </si>
  <si>
    <t>Z675 A2 M65 1995</t>
  </si>
  <si>
    <t>0                      Z  0675000A  2                  M  65          1995</t>
  </si>
  <si>
    <t>Special libraries and information centers : an introductory text / Ellis Mount.</t>
  </si>
  <si>
    <t>Mount, Ellis.</t>
  </si>
  <si>
    <t>Washington, D.C. : Special Libraries Association, 1995.</t>
  </si>
  <si>
    <t>3856489230:eng</t>
  </si>
  <si>
    <t>32272046</t>
  </si>
  <si>
    <t>ocm32272046</t>
  </si>
  <si>
    <t>3101595215W</t>
  </si>
  <si>
    <t>9780871114372</t>
  </si>
  <si>
    <t>793379710</t>
  </si>
  <si>
    <t>Z675 A2 M65 1999</t>
  </si>
  <si>
    <t>0                      Z  0675000A  2                  M  65          1999</t>
  </si>
  <si>
    <t>Special libraries and information centers : an introductory text / by Ellis Mount and Renée Massoud.</t>
  </si>
  <si>
    <t>Washington, DC : Special Libraries Association, ©1999.</t>
  </si>
  <si>
    <t>2017-09-14</t>
  </si>
  <si>
    <t>41527182</t>
  </si>
  <si>
    <t>ocm41527182</t>
  </si>
  <si>
    <t>3102018549Q</t>
  </si>
  <si>
    <t>9780871115010</t>
  </si>
  <si>
    <t>793593414</t>
  </si>
  <si>
    <t>Z675 A2 P64 2008</t>
  </si>
  <si>
    <t>0                      Z  0675000A  2                  P  64          2008</t>
  </si>
  <si>
    <t>The 22nd Polar Libraries Colloquy : currents of change : the future of polar information : June 2-6, 2008, Edmonton, Alberta, Canada : proceedings / Sandy Campbell and Elaine Maloney, editors.</t>
  </si>
  <si>
    <t>Polar Libraries Colloquy (22nd : 2008 : Edmonton, Alta.)</t>
  </si>
  <si>
    <t>Edmonton : CCI Press, c2010.</t>
  </si>
  <si>
    <t>Occasional publications series, 0068-0303 ; 67</t>
  </si>
  <si>
    <t>8911077442:eng</t>
  </si>
  <si>
    <t>691743829</t>
  </si>
  <si>
    <t>ocn691743829</t>
  </si>
  <si>
    <t>3103327073B</t>
  </si>
  <si>
    <t>9781896445533</t>
  </si>
  <si>
    <t>794855819</t>
  </si>
  <si>
    <t>Z675 A2 S46 2011</t>
  </si>
  <si>
    <t>0                      Z  0675000A  2                  S  46          2011</t>
  </si>
  <si>
    <t>Special libraries as knowledge management centres / Eva Semertzaki.</t>
  </si>
  <si>
    <t>Semertzaki, Eva.</t>
  </si>
  <si>
    <t>Oxford : Chandos Pub., 2011.</t>
  </si>
  <si>
    <t>1003766673:eng</t>
  </si>
  <si>
    <t>712636749</t>
  </si>
  <si>
    <t>ocn712636749</t>
  </si>
  <si>
    <t>3103410845K</t>
  </si>
  <si>
    <t>9781843346135</t>
  </si>
  <si>
    <t>794872066</t>
  </si>
  <si>
    <t>Z675 A2 S637 1947</t>
  </si>
  <si>
    <t>0                      Z  0675000A  2                  S  637         1947</t>
  </si>
  <si>
    <t>Regional conference proceedings, 1947-49 : Montreal, Toronto, Western New York chapters, Special Libraries Association.</t>
  </si>
  <si>
    <t>Special Libraries Association.</t>
  </si>
  <si>
    <t>[Toronto, Ont.?] : [Special Libraries Association], 1947-1949.</t>
  </si>
  <si>
    <t>2018-03-02</t>
  </si>
  <si>
    <t>46199149:eng</t>
  </si>
  <si>
    <t>61646205</t>
  </si>
  <si>
    <t>ocm61646205</t>
  </si>
  <si>
    <t>3100680827X</t>
  </si>
  <si>
    <t>794080125</t>
  </si>
  <si>
    <t>Z675 A2 W45 1984</t>
  </si>
  <si>
    <t>0                      Z  0675000A  2                  W  45          1984</t>
  </si>
  <si>
    <t>Managing the special library : strategies for success within the larger organization / Herbert S. White.</t>
  </si>
  <si>
    <t>White, Herbert S.</t>
  </si>
  <si>
    <t>White Plains, NY : Knowledge Industry Publications, ©1984.</t>
  </si>
  <si>
    <t>Professional librarian series</t>
  </si>
  <si>
    <t>2015-09-18</t>
  </si>
  <si>
    <t>2911096:eng</t>
  </si>
  <si>
    <t>10302493</t>
  </si>
  <si>
    <t>ocm10302493</t>
  </si>
  <si>
    <t>3000845486S</t>
  </si>
  <si>
    <t>9780867290882</t>
  </si>
  <si>
    <t>792719083</t>
  </si>
  <si>
    <t>3000845487Q</t>
  </si>
  <si>
    <t>792719084</t>
  </si>
  <si>
    <t>Z675 A82 H57 2016</t>
  </si>
  <si>
    <t>0                      Z  0675000A  82                 H  57          2016</t>
  </si>
  <si>
    <t>Medieval Damascus : plurality and diversity in an Arabic library : the Ashrafīya library catalogue / Konrad Hirschler.</t>
  </si>
  <si>
    <t>Hirschler, Konrad, author.</t>
  </si>
  <si>
    <t>Edinburgh studies in classical Islamic history and culture</t>
  </si>
  <si>
    <t>2945697690:eng</t>
  </si>
  <si>
    <t>944013972</t>
  </si>
  <si>
    <t>ocn944013972</t>
  </si>
  <si>
    <t>3103811489Q</t>
  </si>
  <si>
    <t>9781474408776</t>
  </si>
  <si>
    <t>795012632</t>
  </si>
  <si>
    <t>Z675 A85 F33 1991</t>
  </si>
  <si>
    <t>0                      Z  0675000A  85                 F  33          1991</t>
  </si>
  <si>
    <t>Facilities standards for art libraries and visual resources collections : Art Libraries Society of North America / edited by Betty Jo Irvine.</t>
  </si>
  <si>
    <t>Englewood, Colo. : Libraries Unlimited, 1991.</t>
  </si>
  <si>
    <t>Visual resources series</t>
  </si>
  <si>
    <t>320484147:eng</t>
  </si>
  <si>
    <t>22956843</t>
  </si>
  <si>
    <t>ocm22956843</t>
  </si>
  <si>
    <t>31010178602</t>
  </si>
  <si>
    <t>9780872879294</t>
  </si>
  <si>
    <t>793158150</t>
  </si>
  <si>
    <t>Z675 A85 H36 2010</t>
  </si>
  <si>
    <t>0                      Z  0675000A  85                 H  36          2010</t>
  </si>
  <si>
    <t>The handbook of art and design librarianship / edited by Amanda Gluibizzi and Paul Glassman.</t>
  </si>
  <si>
    <t>London : Facet Publishing, 2010.</t>
  </si>
  <si>
    <t>2016-02-18</t>
  </si>
  <si>
    <t>505073568:eng</t>
  </si>
  <si>
    <t>644064137</t>
  </si>
  <si>
    <t>ocn644064137</t>
  </si>
  <si>
    <t>3103134194N</t>
  </si>
  <si>
    <t>9781856047029</t>
  </si>
  <si>
    <t>794829119</t>
  </si>
  <si>
    <t>Z675 A85 H36 2017</t>
  </si>
  <si>
    <t>0                      Z  0675000A  85                 H  36          2017</t>
  </si>
  <si>
    <t>The handbook of art and design librarianship / edited by Paul Glassman and Judy Dyki.</t>
  </si>
  <si>
    <t>1010499307</t>
  </si>
  <si>
    <t>on1010499307</t>
  </si>
  <si>
    <t>3103740034O</t>
  </si>
  <si>
    <t>9780838916247</t>
  </si>
  <si>
    <t>795045168</t>
  </si>
  <si>
    <t>Z675 B5 S54 2012</t>
  </si>
  <si>
    <t>0                      Z  0675000B  5                  S  54          2012</t>
  </si>
  <si>
    <t>Sudden selector's guide to biology resources / Flora G. Shrode.</t>
  </si>
  <si>
    <t>Shrode, Flora G.</t>
  </si>
  <si>
    <t>Chicago : Collection Management Section of the Association for Library Collections &amp; Technical Services, a division of the American Library Association, 2012.</t>
  </si>
  <si>
    <t>ALCTS/CMS sudden selector's series ; #4</t>
  </si>
  <si>
    <t>1082265136:eng</t>
  </si>
  <si>
    <t>778243955</t>
  </si>
  <si>
    <t>ocn778243955</t>
  </si>
  <si>
    <t>31034685695</t>
  </si>
  <si>
    <t>9780838986004</t>
  </si>
  <si>
    <t>794909469</t>
  </si>
  <si>
    <t>Z675 B8 B37 2002</t>
  </si>
  <si>
    <t>0                      Z  0675000B  8                  B  37          2002</t>
  </si>
  <si>
    <t>The basic business library : core resources.</t>
  </si>
  <si>
    <t>Westport, Conn. : Greenwood Press, 2002.</t>
  </si>
  <si>
    <t>4th ed. / edited by Rashelle S. Karp ; Bernard S. Schlessinger, associate editor.</t>
  </si>
  <si>
    <t>800392364:eng</t>
  </si>
  <si>
    <t>49495151</t>
  </si>
  <si>
    <t>ocm49495151</t>
  </si>
  <si>
    <t>31034530844</t>
  </si>
  <si>
    <t>9781573565127</t>
  </si>
  <si>
    <t>793741222</t>
  </si>
  <si>
    <t>Z675 B8 B37 2012</t>
  </si>
  <si>
    <t>0                      Z  0675000B  8                  B  37          2012</t>
  </si>
  <si>
    <t>The basic business library : core resources and services.</t>
  </si>
  <si>
    <t>Santa Barbara, Calif. : Libraries Unlimited, ©2012.</t>
  </si>
  <si>
    <t>5th ed. / Eric Forte and Michael R. Oppenheim, editors.</t>
  </si>
  <si>
    <t>1156573321:eng</t>
  </si>
  <si>
    <t>754105613</t>
  </si>
  <si>
    <t>ocn754105613</t>
  </si>
  <si>
    <t>3103412836E</t>
  </si>
  <si>
    <t>9781598846119</t>
  </si>
  <si>
    <t>794892493</t>
  </si>
  <si>
    <t>Z675 B8 B89 2014</t>
  </si>
  <si>
    <t>0                      Z  0675000B  8                  B  89          2014</t>
  </si>
  <si>
    <t>Business school libraries in the 21st century / edited by Tim Wales.</t>
  </si>
  <si>
    <t>1784077334:eng</t>
  </si>
  <si>
    <t>859645519</t>
  </si>
  <si>
    <t>ocn859645519</t>
  </si>
  <si>
    <t>3103530046S</t>
  </si>
  <si>
    <t>9781409465652</t>
  </si>
  <si>
    <t>794958102</t>
  </si>
  <si>
    <t>Z675 C47 B76 2012</t>
  </si>
  <si>
    <t>0                      Z  0675000C  47                 B  76          2012</t>
  </si>
  <si>
    <t>Sudden selector's guide to chemistry resources / Elizabeth Brown.</t>
  </si>
  <si>
    <t>Brown, Elizabeth (Elizabeth Anne)</t>
  </si>
  <si>
    <t>ALCTS/CMS sudden selector's series ; #3</t>
  </si>
  <si>
    <t>1058015955:eng</t>
  </si>
  <si>
    <t>767254915</t>
  </si>
  <si>
    <t>ocn767254915</t>
  </si>
  <si>
    <t>31034685645</t>
  </si>
  <si>
    <t>9780838985915</t>
  </si>
  <si>
    <t>794900969</t>
  </si>
  <si>
    <t>Z675 C778 K58 1999</t>
  </si>
  <si>
    <t>0                      Z  0675000C  778                K  58          1999</t>
  </si>
  <si>
    <t>Knowledge and special libraries / edited by James M. Matarazzo, Suzanne D. Connolly.</t>
  </si>
  <si>
    <t>Boston : Butterworth-Heinemann, ©1999.</t>
  </si>
  <si>
    <t>Resources for the knowledge-based economy</t>
  </si>
  <si>
    <t>766790769:eng</t>
  </si>
  <si>
    <t>39890377</t>
  </si>
  <si>
    <t>ocm39890377</t>
  </si>
  <si>
    <t>3101940951R</t>
  </si>
  <si>
    <t>9780750670845</t>
  </si>
  <si>
    <t>793556084</t>
  </si>
  <si>
    <t>Z675 C778 M35 1993</t>
  </si>
  <si>
    <t>0                      Z  0675000C  778                M  35          1993</t>
  </si>
  <si>
    <t>The impact of the special library on corporate decision-making / Joanne G. Marshall.</t>
  </si>
  <si>
    <t>Marshall, Joanne Gard, 1945-</t>
  </si>
  <si>
    <t>Washington, D.C., U.S.A. : Special Libraries Association, 1993.</t>
  </si>
  <si>
    <t>SLA research series ; #8</t>
  </si>
  <si>
    <t>375037:eng</t>
  </si>
  <si>
    <t>27810180</t>
  </si>
  <si>
    <t>ocm27810180</t>
  </si>
  <si>
    <t>3101228647E</t>
  </si>
  <si>
    <t>9780871114105</t>
  </si>
  <si>
    <t>793272408</t>
  </si>
  <si>
    <t>Z675 C778 P75 2017</t>
  </si>
  <si>
    <t>0                      Z  0675000C  778                P  75          2017</t>
  </si>
  <si>
    <t>Corporate &amp; business librarian use of Google and its features &amp; apps / Primary Research Group staff.</t>
  </si>
  <si>
    <t>[New York] : Primary Research Group, [2017]</t>
  </si>
  <si>
    <t>4226089043:eng</t>
  </si>
  <si>
    <t>982649752</t>
  </si>
  <si>
    <t>ocn982649752</t>
  </si>
  <si>
    <t>3103702774Z</t>
  </si>
  <si>
    <t>9781574404432</t>
  </si>
  <si>
    <t>795034576</t>
  </si>
  <si>
    <t>Z675 D4 D53 2000</t>
  </si>
  <si>
    <t>0                      Z  0675000D  4                  D  53          2000</t>
  </si>
  <si>
    <t>Unobtrusive evaluation of reference service and individual responsibility : the Canadian experience / Juris Dilevko.</t>
  </si>
  <si>
    <t>Westport, CT : Ablex Pub. Corporation, 2000.</t>
  </si>
  <si>
    <t>797251775:eng</t>
  </si>
  <si>
    <t>43334118</t>
  </si>
  <si>
    <t>ocm43334118</t>
  </si>
  <si>
    <t>3102052024V</t>
  </si>
  <si>
    <t>9781567505061</t>
  </si>
  <si>
    <t>793624806</t>
  </si>
  <si>
    <t>Z675 D63 G65 2018</t>
  </si>
  <si>
    <t>0                      Z  0675000D  63                 G  65          2018</t>
  </si>
  <si>
    <t>Government information essentials / edited by Susanne Caro.</t>
  </si>
  <si>
    <t>Chicago : ALA Editions, an imprint of the American Library Association, 2018.</t>
  </si>
  <si>
    <t>4513275406:eng</t>
  </si>
  <si>
    <t>992689010</t>
  </si>
  <si>
    <t>ocn992689010</t>
  </si>
  <si>
    <t>3103739475T</t>
  </si>
  <si>
    <t>9780838915974</t>
  </si>
  <si>
    <t>795038323</t>
  </si>
  <si>
    <t>Z675 E22 C65 2010</t>
  </si>
  <si>
    <t>0                      Z  0675000E  22                 C  65          2010</t>
  </si>
  <si>
    <t>Collecting Asia : East Asian libraries in North America, 1868-2008 / edited by Peter X. Zhou.</t>
  </si>
  <si>
    <t>Ann Arbor, Mich. : Association for Asian Studies, Inc., ©2010.</t>
  </si>
  <si>
    <t>Asia past &amp; present ; no. 4</t>
  </si>
  <si>
    <t>941550901:eng</t>
  </si>
  <si>
    <t>435967564</t>
  </si>
  <si>
    <t>ocn435967564</t>
  </si>
  <si>
    <t>31031285538</t>
  </si>
  <si>
    <t>9780924304569</t>
  </si>
  <si>
    <t>794784004</t>
  </si>
  <si>
    <t>Z675 G7 G85 2008</t>
  </si>
  <si>
    <t>0                      Z  0675000G  7                  G  85          2008</t>
  </si>
  <si>
    <t>Guidelines for libraries of government departments / Government Libraries Section and the Government Information and Official Publications Section ; edited by Nancy Bolt and Suzanne Burge.</t>
  </si>
  <si>
    <t>Hague, Netherlands : International Federation of Library Associations and Institutions, ©2008.</t>
  </si>
  <si>
    <t>IFLA professional reports, 0168-1931 ; no. 106</t>
  </si>
  <si>
    <t>683919617:eng</t>
  </si>
  <si>
    <t>295562097</t>
  </si>
  <si>
    <t>ocn295562097</t>
  </si>
  <si>
    <t>3103143632J</t>
  </si>
  <si>
    <t>9789077897263</t>
  </si>
  <si>
    <t>794425487</t>
  </si>
  <si>
    <t>Z675 G7 G85 2011</t>
  </si>
  <si>
    <t>0                      Z  0675000G  7                  G  85          2011</t>
  </si>
  <si>
    <t>Directrices para bibliotecas gubernamentales / Sección de Bibliotecas Gubernamentales y Sección de información Gubernamental y Publicaciones Oficiales ; editado por Nancy Bolt y Suzanne Burge.</t>
  </si>
  <si>
    <t>Guidelines for libraries of government departments. Spanish.</t>
  </si>
  <si>
    <t>The Hague : International Federation of Library Associations and Institutions, 2011.</t>
  </si>
  <si>
    <t>IFLA professional reports, 0168-1931 ; no. 133</t>
  </si>
  <si>
    <t>5092056717:spa</t>
  </si>
  <si>
    <t>864889011</t>
  </si>
  <si>
    <t>ocn864889011</t>
  </si>
  <si>
    <t>3103514782U</t>
  </si>
  <si>
    <t>9789077897577</t>
  </si>
  <si>
    <t>794962622</t>
  </si>
  <si>
    <t>Z675 G7 G85 2012</t>
  </si>
  <si>
    <t>0                      Z  0675000G  7                  G  85          2012</t>
  </si>
  <si>
    <t>Recommandations pour les bibliothèques administratives / Section des bibliothèques administratives et Section de l'Information administrative et des publications officielles ; sous la direction de Nancy Bolt et Suzanne Burge.</t>
  </si>
  <si>
    <t>Guidelines for libraries of government departments. French.</t>
  </si>
  <si>
    <t>La Haye : IFLA Headquarters, 2012.</t>
  </si>
  <si>
    <t>IFLA rapports professionnels = IFLA professional reports, 0168-1931 ; no. 134</t>
  </si>
  <si>
    <t>5092898780:fre</t>
  </si>
  <si>
    <t>864887952</t>
  </si>
  <si>
    <t>ocn864887952</t>
  </si>
  <si>
    <t>3103514772W</t>
  </si>
  <si>
    <t>9789077897584</t>
  </si>
  <si>
    <t>794962620</t>
  </si>
  <si>
    <t>Z675 G7 M36 1995</t>
  </si>
  <si>
    <t>0                      Z  0675000G  7                  M  36          1995</t>
  </si>
  <si>
    <t>Management of federally sponsored libraries : case studies and analysis / Charles D. Missar, editor.</t>
  </si>
  <si>
    <t>New York : Haworth Press, 1995.</t>
  </si>
  <si>
    <t>Haworth special librarianship studies</t>
  </si>
  <si>
    <t>890875267:eng</t>
  </si>
  <si>
    <t>31815231</t>
  </si>
  <si>
    <t>ocm31815231</t>
  </si>
  <si>
    <t>3101486343V</t>
  </si>
  <si>
    <t>9781560243953</t>
  </si>
  <si>
    <t>793368910</t>
  </si>
  <si>
    <t>31014946004</t>
  </si>
  <si>
    <t>793368909</t>
  </si>
  <si>
    <t>Z675 H5 K58 2012</t>
  </si>
  <si>
    <t>0                      Z  0675000H  5                  K  58          2012</t>
  </si>
  <si>
    <t>Librarians, historians, and new opportunities for discourse : a guide for Clio's helpers / Joel D. Kitchens.</t>
  </si>
  <si>
    <t>Kitchens, Joel D.</t>
  </si>
  <si>
    <t>Santa Barbara, California : Linworth, an imprint of ABC-CLIO, LLC, [2012]</t>
  </si>
  <si>
    <t>1144638908:eng</t>
  </si>
  <si>
    <t>756577011</t>
  </si>
  <si>
    <t>ocn756577011</t>
  </si>
  <si>
    <t>3103412163T</t>
  </si>
  <si>
    <t>9781598846256</t>
  </si>
  <si>
    <t>794894544</t>
  </si>
  <si>
    <t>Z675 H86 D54 2015</t>
  </si>
  <si>
    <t>0                      Z  0675000H  86                 D  54          2015</t>
  </si>
  <si>
    <t>Digital humanities in the library : challenges and opportunities for subject specialists / editors Arianne Hartsell-Gundy, Laura Braunstein, Liorah Golomb.</t>
  </si>
  <si>
    <t>[Chicago] : Association of College and Research Libraries, a division of the American Library Association, 2015.</t>
  </si>
  <si>
    <t>2494219956:eng</t>
  </si>
  <si>
    <t>904335884</t>
  </si>
  <si>
    <t>ocn904335884</t>
  </si>
  <si>
    <t>3103607569I</t>
  </si>
  <si>
    <t>9780838987674</t>
  </si>
  <si>
    <t>794990315</t>
  </si>
  <si>
    <t>Z675 H86 H85 1993</t>
  </si>
  <si>
    <t>0                      Z  0675000H  86                 H  85          1993</t>
  </si>
  <si>
    <t>The Humanities and the library / edited by Nena Couch and Nancy Allen.</t>
  </si>
  <si>
    <t>348984477:eng</t>
  </si>
  <si>
    <t>26633163</t>
  </si>
  <si>
    <t>ocm26633163</t>
  </si>
  <si>
    <t>3101205340U</t>
  </si>
  <si>
    <t>9780838906088</t>
  </si>
  <si>
    <t>793248321</t>
  </si>
  <si>
    <t>Z675 J64 G86 2012</t>
  </si>
  <si>
    <t>0                      Z  0675000J  64                 G  86          2012</t>
  </si>
  <si>
    <t>Joint libraries : models that work / Claire B. Gunnels, Susan E. Green, and Patricia M. Butler.</t>
  </si>
  <si>
    <t>Gunnels, Claire B.</t>
  </si>
  <si>
    <t>Chicago : American Library Association, 2012.</t>
  </si>
  <si>
    <t>Professional development collection</t>
  </si>
  <si>
    <t>1055323869:eng</t>
  </si>
  <si>
    <t>764311245</t>
  </si>
  <si>
    <t>ocn764311245</t>
  </si>
  <si>
    <t>31034308910</t>
  </si>
  <si>
    <t>9780838911389</t>
  </si>
  <si>
    <t>794900301</t>
  </si>
  <si>
    <t>Z675 J64 M36 2008</t>
  </si>
  <si>
    <t>0                      Z  0675000J  64                 M  36          2008</t>
  </si>
  <si>
    <t>Joint-use libraries : libraries for the future / Sarah McNicol.</t>
  </si>
  <si>
    <t>McNicol, Sarah.</t>
  </si>
  <si>
    <t>2015-02-11</t>
  </si>
  <si>
    <t>918757183:eng</t>
  </si>
  <si>
    <t>195722369</t>
  </si>
  <si>
    <t>ocn195722369</t>
  </si>
  <si>
    <t>3102854007$</t>
  </si>
  <si>
    <t>9781843343851</t>
  </si>
  <si>
    <t>794304209</t>
  </si>
  <si>
    <t>Z675 J8 I87 2006</t>
  </si>
  <si>
    <t>0                      Z  0675000J  8                  I  87          2006</t>
  </si>
  <si>
    <t>It's all about student learning : managing community and other college libraries in the 21st century / edited by David R. Dowell and Gerard B. McCabe.</t>
  </si>
  <si>
    <t>Libraries Unlimited library management collection</t>
  </si>
  <si>
    <t>2018-08-20</t>
  </si>
  <si>
    <t>476610056:eng</t>
  </si>
  <si>
    <t>61131822</t>
  </si>
  <si>
    <t>ocm61131822</t>
  </si>
  <si>
    <t>3102496681Z</t>
  </si>
  <si>
    <t>9781591581499</t>
  </si>
  <si>
    <t>793947017</t>
  </si>
  <si>
    <t>Z675 L2 A233 1963</t>
  </si>
  <si>
    <t>0                      Z  0675000L  2                  A  233         1963</t>
  </si>
  <si>
    <t>The law library, a living trust : proceedings, sixth biennial A.A.L.L. Institute for Law Librarians, June 28-July 2, 1963, Chicago, Illinois / directed by Robert Q. Kelly ; edited by Frederic D. Donnelly.</t>
  </si>
  <si>
    <t>A.A.L.L. Institute for Law Librarians (6th : 1963 : Chicago, Ill.)</t>
  </si>
  <si>
    <t>South Hackensack, N.J. : Published for American Association of Law Libraries by F.B. Rothman, 1964.</t>
  </si>
  <si>
    <t>AALL publications series ; no. 7</t>
  </si>
  <si>
    <t>2018-12-05</t>
  </si>
  <si>
    <t>5610326725:eng</t>
  </si>
  <si>
    <t>2324891</t>
  </si>
  <si>
    <t>ocm02324891</t>
  </si>
  <si>
    <t>3000864213J</t>
  </si>
  <si>
    <t>792104032</t>
  </si>
  <si>
    <t>Z675 L2 B52 2006</t>
  </si>
  <si>
    <t>0                      Z  0675000L  2                  B  52          2006</t>
  </si>
  <si>
    <t>BIALL handbook of legal information management / edited by Loyita Worley.</t>
  </si>
  <si>
    <t>Aldershot, Hants, England ; Burlington, VT : Ashgate, ©2005.</t>
  </si>
  <si>
    <t>354692225:eng</t>
  </si>
  <si>
    <t>59099124</t>
  </si>
  <si>
    <t>ocm59099124</t>
  </si>
  <si>
    <t>3102546777G</t>
  </si>
  <si>
    <t>9780754641827</t>
  </si>
  <si>
    <t>793927384</t>
  </si>
  <si>
    <t>Z675 L2 I15 2011</t>
  </si>
  <si>
    <t>0                      Z  0675000L  2                  I  15          2011</t>
  </si>
  <si>
    <t>The IALL international handbook of legal information management / edited by Richard A. Danner and Jules Winterton.</t>
  </si>
  <si>
    <t>Farnham, Surrey, England ; Burlington, VT : Ashgate, ©2011.</t>
  </si>
  <si>
    <t>International Association of Law Libraries</t>
  </si>
  <si>
    <t>865188684:eng</t>
  </si>
  <si>
    <t>711947504</t>
  </si>
  <si>
    <t>ocn711947504</t>
  </si>
  <si>
    <t>31033417960</t>
  </si>
  <si>
    <t>9780754674771</t>
  </si>
  <si>
    <t>794871421</t>
  </si>
  <si>
    <t>Z675 L2 L38375 2007</t>
  </si>
  <si>
    <t>0                      Z  0675000L  2                  L  38375       2007</t>
  </si>
  <si>
    <t>Law librarianship in the twenty-first century / edited by Roy Balleste, Sonia Luna-Lamas, Lisa Smith-Butler.</t>
  </si>
  <si>
    <t>351869085:eng</t>
  </si>
  <si>
    <t>71126716</t>
  </si>
  <si>
    <t>ocm71126716</t>
  </si>
  <si>
    <t>31026336185</t>
  </si>
  <si>
    <t>9780810858817</t>
  </si>
  <si>
    <t>794162669</t>
  </si>
  <si>
    <t>Z675 L2 L39 1988</t>
  </si>
  <si>
    <t>0                      Z  0675000L  2                  L  39          1988</t>
  </si>
  <si>
    <t>Law libraries in Canada : essays to honour Diana M. Priestly / edited by Joan N. Fraser.</t>
  </si>
  <si>
    <t>Toronto : Carswell, 1988.</t>
  </si>
  <si>
    <t>792688249:eng</t>
  </si>
  <si>
    <t>16530191</t>
  </si>
  <si>
    <t>ocm16530191</t>
  </si>
  <si>
    <t>3000852124Y</t>
  </si>
  <si>
    <t>9780459313210</t>
  </si>
  <si>
    <t>792965150</t>
  </si>
  <si>
    <t>Z675 L2 L39 2015</t>
  </si>
  <si>
    <t>0                      Z  0675000L  2                  L  39          2015</t>
  </si>
  <si>
    <t>Law library plans for the print materials collection / [Primary Research Group Staff].</t>
  </si>
  <si>
    <t>[New York] : Primary Research Group., [2015]</t>
  </si>
  <si>
    <t>2609448147:eng</t>
  </si>
  <si>
    <t>919481139</t>
  </si>
  <si>
    <t>ocn919481139</t>
  </si>
  <si>
    <t>31036089485</t>
  </si>
  <si>
    <t>9781574403534</t>
  </si>
  <si>
    <t>795001876</t>
  </si>
  <si>
    <t>Z675 L2 S45 2013</t>
  </si>
  <si>
    <t>0                      Z  0675000L  2                  S  45          2013</t>
  </si>
  <si>
    <t>Public law librarianship : objectives, challenges, and solutions / Laurie Selwyn, Law Librarian [Ret.], USA, Virginia Eldridge, Grayson County, Texas Law Library, USA.</t>
  </si>
  <si>
    <t>Selwyn, Laurie, 1956-</t>
  </si>
  <si>
    <t>Hershey, PA : Information Science Reference, [2013]</t>
  </si>
  <si>
    <t>1163770303:eng</t>
  </si>
  <si>
    <t>794709071</t>
  </si>
  <si>
    <t>ocn794709071</t>
  </si>
  <si>
    <t>3103468430E</t>
  </si>
  <si>
    <t>9781466621848</t>
  </si>
  <si>
    <t>794920401</t>
  </si>
  <si>
    <t>Z675 L2 S87 2014</t>
  </si>
  <si>
    <t>0                      Z  0675000L  2                  S  87          2014</t>
  </si>
  <si>
    <t>The survey of American lawyers at major law firms : view of the law firm library.</t>
  </si>
  <si>
    <t>New York, NY : Primary Research Group, Inc., [2014]</t>
  </si>
  <si>
    <t>2230799697:eng</t>
  </si>
  <si>
    <t>896435574</t>
  </si>
  <si>
    <t>ocn896435574</t>
  </si>
  <si>
    <t>3103582048W</t>
  </si>
  <si>
    <t>9781574403138</t>
  </si>
  <si>
    <t>794983929</t>
  </si>
  <si>
    <t>Z675 L54 S87 2013</t>
  </si>
  <si>
    <t>0                      Z  0675000L  54                 S  87          2013</t>
  </si>
  <si>
    <t>The survey of academic library subject specialists : biology &amp; medical sciences / Primary Research Group.</t>
  </si>
  <si>
    <t>New York, NY : Primary Research Group, Inc., [2013]</t>
  </si>
  <si>
    <t>3771789676:eng</t>
  </si>
  <si>
    <t>827694341</t>
  </si>
  <si>
    <t>ocn827694341</t>
  </si>
  <si>
    <t>31034974431</t>
  </si>
  <si>
    <t>9781574402247</t>
  </si>
  <si>
    <t>794940153</t>
  </si>
  <si>
    <t>Z675 M4 C4 2012</t>
  </si>
  <si>
    <t>0                      Z  0675000M  4                  C  4           2012</t>
  </si>
  <si>
    <t>Changing roles and contexts for health library and information professionals / edited by Alison Brettle and Christine Urquhart.</t>
  </si>
  <si>
    <t>London : Facet, 2012.</t>
  </si>
  <si>
    <t>1071782041:eng</t>
  </si>
  <si>
    <t>772223086</t>
  </si>
  <si>
    <t>ocn772223086</t>
  </si>
  <si>
    <t>31034126998</t>
  </si>
  <si>
    <t>9781856047401</t>
  </si>
  <si>
    <t>794904518</t>
  </si>
  <si>
    <t>Z675 M4 E56 2010</t>
  </si>
  <si>
    <t>0                      Z  0675000M  4                  E  56          2010</t>
  </si>
  <si>
    <t>The accidental health sciences librarian / Lisa A. Ennis and Nicole Mitchell.</t>
  </si>
  <si>
    <t>Ennis, Lisa A., 1969-</t>
  </si>
  <si>
    <t>Medford, N.J. : Information Today, Inc., 2010.</t>
  </si>
  <si>
    <t>2014-08-18</t>
  </si>
  <si>
    <t>347177985:eng</t>
  </si>
  <si>
    <t>463283960</t>
  </si>
  <si>
    <t>ocn463283960</t>
  </si>
  <si>
    <t>3103241438R</t>
  </si>
  <si>
    <t>9781573873956</t>
  </si>
  <si>
    <t>794792251</t>
  </si>
  <si>
    <t>Z 675 M4 H43 2014</t>
  </si>
  <si>
    <t>0                      Z  0675000M  4                  H  43          2014</t>
  </si>
  <si>
    <t>Health librarianship : an introduction / Jeffrey T. Huber and Feili Tu-Keefner, editors ; foreword by Fred W. Roper.</t>
  </si>
  <si>
    <t>Santa Barbara, California : Libraries Unlimited, an Imprint of ABC-CLIO, LLC, [2014]</t>
  </si>
  <si>
    <t>2020-01-09</t>
  </si>
  <si>
    <t>1416315192:eng</t>
  </si>
  <si>
    <t>862958383</t>
  </si>
  <si>
    <t>ocn862958383</t>
  </si>
  <si>
    <t>31035673679</t>
  </si>
  <si>
    <t>9781610693219</t>
  </si>
  <si>
    <t>794960709</t>
  </si>
  <si>
    <t>Z675 M4 I58 2008</t>
  </si>
  <si>
    <t>0                      Z  0675000M  4                  I  58          2008</t>
  </si>
  <si>
    <t>Introduction to health sciences librarianship / M. Sandra Wood, editor.</t>
  </si>
  <si>
    <t>Binghamton, NY : Haworth Information Press, ©2008.</t>
  </si>
  <si>
    <t>116924823:eng</t>
  </si>
  <si>
    <t>181862721</t>
  </si>
  <si>
    <t>ocn181862721</t>
  </si>
  <si>
    <t>31026514571</t>
  </si>
  <si>
    <t>9780789035950</t>
  </si>
  <si>
    <t>794283928</t>
  </si>
  <si>
    <t>31030422226</t>
  </si>
  <si>
    <t>794283929</t>
  </si>
  <si>
    <t>Z675 M4 J36 2008</t>
  </si>
  <si>
    <t>0                      Z  0675000M  4                  J  36          2008</t>
  </si>
  <si>
    <t>The Medical Library Association essential guide to becoming an expert searcher : proven techniques, strategies, and tips for finding health information / Terry Ann Jankowski.</t>
  </si>
  <si>
    <t>Jankowski, Terry Ann, 1951-</t>
  </si>
  <si>
    <t>Medical Library Association guides</t>
  </si>
  <si>
    <t>2016-10-11</t>
  </si>
  <si>
    <t>116297166:eng</t>
  </si>
  <si>
    <t>180755587</t>
  </si>
  <si>
    <t>ocn180755587</t>
  </si>
  <si>
    <t>3103302285X</t>
  </si>
  <si>
    <t>9781555706227</t>
  </si>
  <si>
    <t>794280458</t>
  </si>
  <si>
    <t>31030575681</t>
  </si>
  <si>
    <t>794280455</t>
  </si>
  <si>
    <t>Z675 M4 M43 2016</t>
  </si>
  <si>
    <t>0                      Z  0675000M  4                  M  43          2016</t>
  </si>
  <si>
    <t>Medical &amp; scientific library plans for the print materials collection / Primary Research Group.</t>
  </si>
  <si>
    <t>[New York] : Primary Research Group Inc., [2016]</t>
  </si>
  <si>
    <t>2018-06-14</t>
  </si>
  <si>
    <t>3477617446:eng</t>
  </si>
  <si>
    <t>950432243</t>
  </si>
  <si>
    <t>ocn950432243</t>
  </si>
  <si>
    <t>3103656686Q</t>
  </si>
  <si>
    <t>9781574403886</t>
  </si>
  <si>
    <t>795016583</t>
  </si>
  <si>
    <t>- Consultation Collection - In Library Use</t>
  </si>
  <si>
    <t>Z 675 M4 M4893 2011</t>
  </si>
  <si>
    <t>0                      Z  0675000M  4                  M  4893        2011</t>
  </si>
  <si>
    <t>The Medical Library Association guide to managing health care libraries / edited by Margaret Moylan Bandy, Rosalind Farnam Dudden.</t>
  </si>
  <si>
    <t>New York : Neal-Schuman Publishers, ©2011.</t>
  </si>
  <si>
    <t>2019-05-07</t>
  </si>
  <si>
    <t>975002543:eng</t>
  </si>
  <si>
    <t>697036783</t>
  </si>
  <si>
    <t>ocn697036783</t>
  </si>
  <si>
    <t>31033626135</t>
  </si>
  <si>
    <t>9781555707347</t>
  </si>
  <si>
    <t>794859638</t>
  </si>
  <si>
    <t>Z675 M4 M497 2008</t>
  </si>
  <si>
    <t>0                      Z  0675000M  4                  M  497         2008</t>
  </si>
  <si>
    <t>The Medical Library Association guide to health literacy / edited by Marge Kars, Lynda M. Baker, and Feleta L. Wilson.</t>
  </si>
  <si>
    <t>New York : Neal-Schuman Publishers, [2008]</t>
  </si>
  <si>
    <t>132973395:eng</t>
  </si>
  <si>
    <t>221148693</t>
  </si>
  <si>
    <t>ocn221148693</t>
  </si>
  <si>
    <t>3103058035I</t>
  </si>
  <si>
    <t>9781555706258</t>
  </si>
  <si>
    <t>794324388</t>
  </si>
  <si>
    <t>Z 675 M4 O83F 1929</t>
  </si>
  <si>
    <t>0                      Z  0675000M  4                  O  83F         1929</t>
  </si>
  <si>
    <t>Bibliotheca Osleriana: a catalogue of books illustrating the history of medicine and science / collected, arranged and annotated by Sir William Osler, bt., and bequeathed to McGill university.</t>
  </si>
  <si>
    <t>Osler, William, Sir, 1849-1919.</t>
  </si>
  <si>
    <t>Oxford : At the Clarendon Press, 1929.</t>
  </si>
  <si>
    <t>1929</t>
  </si>
  <si>
    <t>2044262864:eng</t>
  </si>
  <si>
    <t>3355689</t>
  </si>
  <si>
    <t>ocm03355689</t>
  </si>
  <si>
    <t>3101425495C</t>
  </si>
  <si>
    <t>792246134</t>
  </si>
  <si>
    <t>Z675 M4 P63 2005</t>
  </si>
  <si>
    <t>0                      Z  0675000M  4                  P  63          2005</t>
  </si>
  <si>
    <t>Planning, renovating, expanding, and constructing library facilities in hospitals, academic medical centers, and health organizations / Elizabeth Connor, editor.</t>
  </si>
  <si>
    <t>Binghamton, NY : Haworth Information Press, ©2005.</t>
  </si>
  <si>
    <t>Haworth Information Press medical librarianship</t>
  </si>
  <si>
    <t>2007-10-16</t>
  </si>
  <si>
    <t>2019-12-03</t>
  </si>
  <si>
    <t>3033755:eng</t>
  </si>
  <si>
    <t>57682588</t>
  </si>
  <si>
    <t>ocm57682588</t>
  </si>
  <si>
    <t>31025085109</t>
  </si>
  <si>
    <t>9780789025401</t>
  </si>
  <si>
    <t>793917611</t>
  </si>
  <si>
    <t>31024958552</t>
  </si>
  <si>
    <t>793917610</t>
  </si>
  <si>
    <t>Z675 M4 S5</t>
  </si>
  <si>
    <t>0                      Z  0675000M  4                  S  5</t>
  </si>
  <si>
    <t>Library support of medical education and research in Canada; report of a survey of the medical college libraries of Canada, together with suggestions for improving and extending medical library service at local, regional, and national levels, by Beatrice V. Simon.</t>
  </si>
  <si>
    <t>Simon, Beatrice V.</t>
  </si>
  <si>
    <t>Ottawa, Association of Canadian Medical Colleges, 1964.</t>
  </si>
  <si>
    <t>2018-10-19</t>
  </si>
  <si>
    <t>19967836:eng</t>
  </si>
  <si>
    <t>5777547</t>
  </si>
  <si>
    <t>ocm05777547</t>
  </si>
  <si>
    <t>3000645946Y</t>
  </si>
  <si>
    <t>792453207</t>
  </si>
  <si>
    <t>Z 675 M4 S738a 2008</t>
  </si>
  <si>
    <t>0                      Z  0675000M  4                  S  738a        2008</t>
  </si>
  <si>
    <t>Answering consumer health questions : the Medical Library Association guide for reference librarians / Michele Spatz.</t>
  </si>
  <si>
    <t>Spatz, Michele, 1954-</t>
  </si>
  <si>
    <t>2019-01-14</t>
  </si>
  <si>
    <t>132973365:eng</t>
  </si>
  <si>
    <t>221148653</t>
  </si>
  <si>
    <t>ocn221148653</t>
  </si>
  <si>
    <t>3103238147B</t>
  </si>
  <si>
    <t>9781555706326</t>
  </si>
  <si>
    <t>794324383</t>
  </si>
  <si>
    <t>Z675 M4 S963 2012</t>
  </si>
  <si>
    <t>0                      Z  0675000M  4                  S  963         2012</t>
  </si>
  <si>
    <t>Survey of medical and other scientific libraries.</t>
  </si>
  <si>
    <t>New York, N.Y. : Primary Research Group, Inc., ©2012.</t>
  </si>
  <si>
    <t>1119622165:eng</t>
  </si>
  <si>
    <t>795394239</t>
  </si>
  <si>
    <t>ocn795394239</t>
  </si>
  <si>
    <t>31034148258</t>
  </si>
  <si>
    <t>9781574402032</t>
  </si>
  <si>
    <t>794921207</t>
  </si>
  <si>
    <t>Z675 M94 A78 2007</t>
  </si>
  <si>
    <t>0                      Z  0675000M  94                 A  78          2007</t>
  </si>
  <si>
    <t>Art museum libraries and librarianship / edited by Joan M. Benedetti ; foreword by Michael Brand ; introduction by Ann B. Abid.</t>
  </si>
  <si>
    <t>Lanham, Maryland : The Scarecrow Press, Inc. ; [Ottawa] : Art Libraries Society of North America, 2007.</t>
  </si>
  <si>
    <t>Occasional papers of the Art Libraries Society of North America ; no. 16</t>
  </si>
  <si>
    <t>63070389:eng</t>
  </si>
  <si>
    <t>77485821</t>
  </si>
  <si>
    <t>ocm77485821</t>
  </si>
  <si>
    <t>3102596916Y</t>
  </si>
  <si>
    <t>9780810859180</t>
  </si>
  <si>
    <t>794191361</t>
  </si>
  <si>
    <t>Z675 N2 S9 1958</t>
  </si>
  <si>
    <t>0                      Z  0675000N  2                  S  9           1958</t>
  </si>
  <si>
    <t>National libraries, their problems and prospects ; Symposium on National Libraries in Europe, Vienna, 8-27 September, 1958.</t>
  </si>
  <si>
    <t>Unesco.</t>
  </si>
  <si>
    <t>UNESCO manuals for libraries ; 11</t>
  </si>
  <si>
    <t>2017-03-10</t>
  </si>
  <si>
    <t>353675485:eng</t>
  </si>
  <si>
    <t>61611140</t>
  </si>
  <si>
    <t>ocm61611140</t>
  </si>
  <si>
    <t>3000863297T</t>
  </si>
  <si>
    <t>794049536</t>
  </si>
  <si>
    <t>Z675 P3 C88 2012</t>
  </si>
  <si>
    <t>0                      Z  0675000P  3                  C  88          2012</t>
  </si>
  <si>
    <t>Curriculum materials collections and centers : legacies from the past, visions of the future / edited by Rita Kohrman.</t>
  </si>
  <si>
    <t>Chicago, Illinois : Association of College and Research Libraries, A division of the American Library Association, 2012.</t>
  </si>
  <si>
    <t>1078974669:eng</t>
  </si>
  <si>
    <t>768417862</t>
  </si>
  <si>
    <t>ocn768417862</t>
  </si>
  <si>
    <t>3103431647C</t>
  </si>
  <si>
    <t>9780838986028</t>
  </si>
  <si>
    <t>794902316</t>
  </si>
  <si>
    <t>Z675 P45 I565 2008</t>
  </si>
  <si>
    <t>0                      Z  0675000P  45                 I  565         2008</t>
  </si>
  <si>
    <t>Capturing the essence of performance : the challenges of intangible heritage, 25-29 August 2008 = Capter l'essence du spectacle : un enjeu de taille pour le patrimoine immatériel, Glasgow, 25-29 Août 2008 / Nicole Leclercq, Laurent Rossion [directors].</t>
  </si>
  <si>
    <t>International Association of Libraries and Museums of the Performing Arts. Congress (27th : 2008 : Glasgow, Scotland)</t>
  </si>
  <si>
    <t>Brussels ; New York : P.I.E. Peter Lang, 2010.</t>
  </si>
  <si>
    <t>3902001127:eng</t>
  </si>
  <si>
    <t>613646389</t>
  </si>
  <si>
    <t>ocn613646389</t>
  </si>
  <si>
    <t>3103302808V</t>
  </si>
  <si>
    <t>9789052016375</t>
  </si>
  <si>
    <t>794822272</t>
  </si>
  <si>
    <t>Z675 P49 F68 2013</t>
  </si>
  <si>
    <t>0                      Z  0675000P  49                 F  68          2013</t>
  </si>
  <si>
    <t>Sudden selector's guide to physics resources / Michael Fosmire ; Helene Williams, series editor.</t>
  </si>
  <si>
    <t>Fosmire, Michael.</t>
  </si>
  <si>
    <t>Chicago : Collection Management Section of the Association for Library Collections &amp; Technical Services, a division of the American Library Association, [2013]</t>
  </si>
  <si>
    <t>ALCTS/CMS sudden selector's series ; #5</t>
  </si>
  <si>
    <t>2822946921:eng</t>
  </si>
  <si>
    <t>822229918</t>
  </si>
  <si>
    <t>ocn822229918</t>
  </si>
  <si>
    <t>31035669331</t>
  </si>
  <si>
    <t>9780838986202</t>
  </si>
  <si>
    <t>794936439</t>
  </si>
  <si>
    <t>Z675.R45 F74 2012</t>
  </si>
  <si>
    <t>0                      Z  0675000R  45                 F  74          2012</t>
  </si>
  <si>
    <t>Global resource sharing / Linda Frederiksen, Margaret Bean, Heidi Nance.</t>
  </si>
  <si>
    <t>Frederiksen, Linda.</t>
  </si>
  <si>
    <t>Oxford, U.K. : Chandos Pub., ©2012.</t>
  </si>
  <si>
    <t>Chandos Information Professional Series</t>
  </si>
  <si>
    <t>525832319:eng</t>
  </si>
  <si>
    <t>649319833</t>
  </si>
  <si>
    <t>ocn649319833</t>
  </si>
  <si>
    <t>31034306906</t>
  </si>
  <si>
    <t>9781843346258</t>
  </si>
  <si>
    <t>794831682</t>
  </si>
  <si>
    <t>Z675 R45 P75 2014</t>
  </si>
  <si>
    <t>0                      Z  0675000R  45                 P  75          2014</t>
  </si>
  <si>
    <t>International research library benchmarks, 2015 edition.</t>
  </si>
  <si>
    <t>New York : Primary Research Group, 2014.</t>
  </si>
  <si>
    <t>2300547368:eng</t>
  </si>
  <si>
    <t>894931884</t>
  </si>
  <si>
    <t>ocn894931884</t>
  </si>
  <si>
    <t>3103612550L</t>
  </si>
  <si>
    <t>9781574403176</t>
  </si>
  <si>
    <t>794983118</t>
  </si>
  <si>
    <t>Z675 R45 R33 2012</t>
  </si>
  <si>
    <t>0                      Z  0675000R  45                 R  33          2012</t>
  </si>
  <si>
    <t>Organization of scholarly communication services / Rachel Radom, Melanie Feltner-Reichert, kynita stringer-stanback.</t>
  </si>
  <si>
    <t>Radom, Rachel, author.</t>
  </si>
  <si>
    <t>Washington, DC : Association of Research Libraries, 2012.</t>
  </si>
  <si>
    <t>SPEC kit, 0160-3582 ; 332</t>
  </si>
  <si>
    <t>1186633036:eng</t>
  </si>
  <si>
    <t>821047302</t>
  </si>
  <si>
    <t>ocn821047302</t>
  </si>
  <si>
    <t>3103506230F</t>
  </si>
  <si>
    <t>9781594078897</t>
  </si>
  <si>
    <t>794935966</t>
  </si>
  <si>
    <t>Z675 R45 S337 2001</t>
  </si>
  <si>
    <t>0                      Z  0675000R  45                 S  337         2001</t>
  </si>
  <si>
    <t>Scholarly work in the humanities and the evolving information environment / by William S. Brockman [and others].</t>
  </si>
  <si>
    <t>Washington, D.C. : Digital Library Federation, Council on Library and Information Resources, ©2001.</t>
  </si>
  <si>
    <t>Optimizing collections and services for scholarly use</t>
  </si>
  <si>
    <t>2016-07-21</t>
  </si>
  <si>
    <t>56771797:eng</t>
  </si>
  <si>
    <t>48844292</t>
  </si>
  <si>
    <t>ocm48844292</t>
  </si>
  <si>
    <t>3102319073F</t>
  </si>
  <si>
    <t>9781933645148</t>
  </si>
  <si>
    <t>793728879</t>
  </si>
  <si>
    <t>Z675 R45 W42 2007</t>
  </si>
  <si>
    <t>0                      Z  0675000R  45                 W  42          2007</t>
  </si>
  <si>
    <t>Providing effective library services for research / Jo Webb, Pat Gannon-Leary and Moira Bent.</t>
  </si>
  <si>
    <t>Webb, Jo.</t>
  </si>
  <si>
    <t>57892857:eng</t>
  </si>
  <si>
    <t>70882337</t>
  </si>
  <si>
    <t>ocm70882337</t>
  </si>
  <si>
    <t>3102571001J</t>
  </si>
  <si>
    <t>9781856045896</t>
  </si>
  <si>
    <t>794160878</t>
  </si>
  <si>
    <t>Z675 S3 A438 2018</t>
  </si>
  <si>
    <t>0                      Z  0675000S  3                  A  438         2018</t>
  </si>
  <si>
    <t>National school library standards for learners, school librarians, and school libraries / American Association of School Librarians.</t>
  </si>
  <si>
    <t>American Association of School Librarians, author.</t>
  </si>
  <si>
    <t>8882741262:eng</t>
  </si>
  <si>
    <t>999673647</t>
  </si>
  <si>
    <t>ocn999673647</t>
  </si>
  <si>
    <t>3103740253C</t>
  </si>
  <si>
    <t>9780838915790</t>
  </si>
  <si>
    <t>795039985</t>
  </si>
  <si>
    <t>Z675 S3 A4475 1998</t>
  </si>
  <si>
    <t>0                      Z  0675000S  3                  A  4475        1998</t>
  </si>
  <si>
    <t>Information power : building partnerships for learning / prepared by the American Association of School Librarians [and] Association for Educational Communications and Technology.</t>
  </si>
  <si>
    <t>American Association of School Librarians.</t>
  </si>
  <si>
    <t>2016-03-03</t>
  </si>
  <si>
    <t>796391577:eng</t>
  </si>
  <si>
    <t>39042940</t>
  </si>
  <si>
    <t>ocm39042940</t>
  </si>
  <si>
    <t>3101905683P</t>
  </si>
  <si>
    <t>9780838934708</t>
  </si>
  <si>
    <t>793536460</t>
  </si>
  <si>
    <t>3103551385Y</t>
  </si>
  <si>
    <t>793536461</t>
  </si>
  <si>
    <t>Z675 S3 A683 2012</t>
  </si>
  <si>
    <t>0                      Z  0675000S  3                  A  683         2012</t>
  </si>
  <si>
    <t>The power of data : an introduction to using local, state, and national data to support school library programs / Sandra D. Andrews.</t>
  </si>
  <si>
    <t>Andrews, Sandra D.</t>
  </si>
  <si>
    <t>Chicago, Ill. : American Association of School Librarians, ©2012.</t>
  </si>
  <si>
    <t>1149953573:eng</t>
  </si>
  <si>
    <t>805389600</t>
  </si>
  <si>
    <t>ocn805389600</t>
  </si>
  <si>
    <t>3103470387Y</t>
  </si>
  <si>
    <t>9780838986172</t>
  </si>
  <si>
    <t>794926256</t>
  </si>
  <si>
    <t>Z675 S3 B195 2010</t>
  </si>
  <si>
    <t>0                      Z  0675000S  3                  B  195         2010</t>
  </si>
  <si>
    <t>Library lifesavers : a survival guide for stressed out librarians / Pamela S. Bacon and Tamora K. Bacon.</t>
  </si>
  <si>
    <t>Bacon, Pamela S., 1964-</t>
  </si>
  <si>
    <t>317940292:eng</t>
  </si>
  <si>
    <t>430839896</t>
  </si>
  <si>
    <t>ocn430839896</t>
  </si>
  <si>
    <t>31031582298</t>
  </si>
  <si>
    <t>9781591587682</t>
  </si>
  <si>
    <t>794781254</t>
  </si>
  <si>
    <t>Z675 S3 B454 2010</t>
  </si>
  <si>
    <t>0                      Z  0675000S  3                  B  454         2010</t>
  </si>
  <si>
    <t>Choosing Web 2.0 tools for learning and teaching in a digital world / Pam Berger and Sally Trexler ; foreword by Joyce Valenza.</t>
  </si>
  <si>
    <t>Berger, Pam.</t>
  </si>
  <si>
    <t>353274638:eng</t>
  </si>
  <si>
    <t>498370169</t>
  </si>
  <si>
    <t>ocn498370169</t>
  </si>
  <si>
    <t>3103240191S</t>
  </si>
  <si>
    <t>9781591587064</t>
  </si>
  <si>
    <t>794803159</t>
  </si>
  <si>
    <t>Z675 S3 B87 2015</t>
  </si>
  <si>
    <t>0                      Z  0675000S  3                  B  87          2015</t>
  </si>
  <si>
    <t>School libraries 3.0 : principles and practices for the digital age / Rebecca P. Butler.</t>
  </si>
  <si>
    <t>Butler, Rebecca P., author.</t>
  </si>
  <si>
    <t>2595418857:eng</t>
  </si>
  <si>
    <t>903688909</t>
  </si>
  <si>
    <t>ocn903688909</t>
  </si>
  <si>
    <t>3103607674L</t>
  </si>
  <si>
    <t>9780810893122</t>
  </si>
  <si>
    <t>794989633</t>
  </si>
  <si>
    <t>Z675 S3 C55 2014</t>
  </si>
  <si>
    <t>0                      Z  0675000S  3                  C  55          2014</t>
  </si>
  <si>
    <t>The CILIP guidelines for secondary school libraries / edited by Sue Shaper for the School Libraries Group pf CILIP</t>
  </si>
  <si>
    <t>Library Association guidelines for secondary school libraries</t>
  </si>
  <si>
    <t>Third edition</t>
  </si>
  <si>
    <t>57071106:eng</t>
  </si>
  <si>
    <t>872987695</t>
  </si>
  <si>
    <t>ocn872987695</t>
  </si>
  <si>
    <t>31035319065</t>
  </si>
  <si>
    <t>9781856049696</t>
  </si>
  <si>
    <t>794968353</t>
  </si>
  <si>
    <t>Z675 S3 D597 2005</t>
  </si>
  <si>
    <t>0                      Z  0675000S  3                  D  597         2005</t>
  </si>
  <si>
    <t>Collaboration and the school library media specialist / Carol A. Doll.</t>
  </si>
  <si>
    <t>Doll, Carol Ann, 1949-</t>
  </si>
  <si>
    <t>2015-04-27</t>
  </si>
  <si>
    <t>16859191:eng</t>
  </si>
  <si>
    <t>55847424</t>
  </si>
  <si>
    <t>ocm55847424</t>
  </si>
  <si>
    <t>3102580024E</t>
  </si>
  <si>
    <t>9780810851177</t>
  </si>
  <si>
    <t>793883140</t>
  </si>
  <si>
    <t>Z675 S3 D598 1991</t>
  </si>
  <si>
    <t>0                      Z  0675000S  3                  D  598         1991</t>
  </si>
  <si>
    <t>Collection analysis for the school library media center : a practical approach / Carol A. Doll and Pamela Petrick Barron.</t>
  </si>
  <si>
    <t>134887205:eng</t>
  </si>
  <si>
    <t>21869882</t>
  </si>
  <si>
    <t>ocm21869882</t>
  </si>
  <si>
    <t>3101018839P</t>
  </si>
  <si>
    <t>9780838933909</t>
  </si>
  <si>
    <t>793128584</t>
  </si>
  <si>
    <t>Z675 S3 D5995 2010</t>
  </si>
  <si>
    <t>0                      Z  0675000S  3                  D  5995        2010</t>
  </si>
  <si>
    <t>The resilient school library / Carol A. Doll and Beth Doll.</t>
  </si>
  <si>
    <t>501825996:eng</t>
  </si>
  <si>
    <t>639573825</t>
  </si>
  <si>
    <t>ocn639573825</t>
  </si>
  <si>
    <t>3103228403F</t>
  </si>
  <si>
    <t>9781591586395</t>
  </si>
  <si>
    <t>794826917</t>
  </si>
  <si>
    <t>Z675 S3 D65 2013</t>
  </si>
  <si>
    <t>0                      Z  0675000S  3                  D  65          2013</t>
  </si>
  <si>
    <t>Enhancing teaching and learning : a leadership guide for school librarians / Jean Donham.</t>
  </si>
  <si>
    <t>Donham, Jean.</t>
  </si>
  <si>
    <t>1263634852:eng</t>
  </si>
  <si>
    <t>841039471</t>
  </si>
  <si>
    <t>ocn841039471</t>
  </si>
  <si>
    <t>3103499596H</t>
  </si>
  <si>
    <t>9781555708870</t>
  </si>
  <si>
    <t>794946455</t>
  </si>
  <si>
    <t>Z675 S3 F23727 2017</t>
  </si>
  <si>
    <t>0                      Z  0675000S  3                  F  23727       2017</t>
  </si>
  <si>
    <t>Managing the successful school library : strategic planning and reflective practice / Lesley S.J. Farmer.</t>
  </si>
  <si>
    <t>Farmer, Lesley S. J., author.</t>
  </si>
  <si>
    <t>4153396098:eng</t>
  </si>
  <si>
    <t>957134121</t>
  </si>
  <si>
    <t>ocn957134121</t>
  </si>
  <si>
    <t>3103740007R</t>
  </si>
  <si>
    <t>9780838914946</t>
  </si>
  <si>
    <t>795020722</t>
  </si>
  <si>
    <t>Z675 S3 G52 2010</t>
  </si>
  <si>
    <t>0                      Z  0675000S  3                  G  52          2010</t>
  </si>
  <si>
    <t>Administering the school library media center.</t>
  </si>
  <si>
    <t>Morris, Betty J.</t>
  </si>
  <si>
    <t>5th ed. / Betty J. Morris.</t>
  </si>
  <si>
    <t>2013-06-13</t>
  </si>
  <si>
    <t>1811293766:eng</t>
  </si>
  <si>
    <t>548555611</t>
  </si>
  <si>
    <t>ocn548555611</t>
  </si>
  <si>
    <t>3103361840Y</t>
  </si>
  <si>
    <t>9781591586852</t>
  </si>
  <si>
    <t>794810964</t>
  </si>
  <si>
    <t>Z675 S3 G5525 2010</t>
  </si>
  <si>
    <t>0                      Z  0675000S  3                  G  5525        2010</t>
  </si>
  <si>
    <t>Simply indispensable : an action guide for school librarians / Janice Gilmore-See.</t>
  </si>
  <si>
    <t>Gilmore-See, Janice.</t>
  </si>
  <si>
    <t>2011-03-05</t>
  </si>
  <si>
    <t>820129583:eng</t>
  </si>
  <si>
    <t>607083825</t>
  </si>
  <si>
    <t>ocn607083825</t>
  </si>
  <si>
    <t>31032275526</t>
  </si>
  <si>
    <t>9781591587996</t>
  </si>
  <si>
    <t>794817555</t>
  </si>
  <si>
    <t>Z675 S3 G555 2011</t>
  </si>
  <si>
    <t>0                      Z  0675000S  3                  G  555         2011</t>
  </si>
  <si>
    <t>Global perspectives on school libraries : projects and practices / edited by Luisa Marquardt and Dianne Oberg ; foreword by Randi Lundvall and Diljit Singh.</t>
  </si>
  <si>
    <t>Berlin ; New York : De Gruyter Saur, ©2011.</t>
  </si>
  <si>
    <t>IFLA publications, 0344-6891 ; 148</t>
  </si>
  <si>
    <t>2013-05-02</t>
  </si>
  <si>
    <t>1016305712:eng</t>
  </si>
  <si>
    <t>613423140</t>
  </si>
  <si>
    <t>ocn613423140</t>
  </si>
  <si>
    <t>31034413898</t>
  </si>
  <si>
    <t>9783110232202</t>
  </si>
  <si>
    <t>794821980</t>
  </si>
  <si>
    <t>Z675 S3 G82 2010</t>
  </si>
  <si>
    <t>0                      Z  0675000S  3                  G  82          2010</t>
  </si>
  <si>
    <t>Guide for developing and evaluating school library programs / Nebraska Educational Media Association.</t>
  </si>
  <si>
    <t>7th ed.</t>
  </si>
  <si>
    <t>570178855:eng</t>
  </si>
  <si>
    <t>655302327</t>
  </si>
  <si>
    <t>ocn655302327</t>
  </si>
  <si>
    <t>3103237958Q</t>
  </si>
  <si>
    <t>9781591587170</t>
  </si>
  <si>
    <t>794834269</t>
  </si>
  <si>
    <t>Z675 S3 H264 2010</t>
  </si>
  <si>
    <t>0                      Z  0675000S  3                  H  264         2010</t>
  </si>
  <si>
    <t>Assessing for learning : librarians and teachers as partners / Violet H. Harada and Joan M. Yoshina.</t>
  </si>
  <si>
    <t>Harada, Violet H.</t>
  </si>
  <si>
    <t>2nd ed., rev. &amp; expanded.</t>
  </si>
  <si>
    <t>2013-11-20</t>
  </si>
  <si>
    <t>14622:eng</t>
  </si>
  <si>
    <t>639162738</t>
  </si>
  <si>
    <t>ocn639162738</t>
  </si>
  <si>
    <t>3103238497T</t>
  </si>
  <si>
    <t>9781598844702</t>
  </si>
  <si>
    <t>794826604</t>
  </si>
  <si>
    <t>Z675 S3 H266 2011</t>
  </si>
  <si>
    <t>0                      Z  0675000S  3                  H  266         2011</t>
  </si>
  <si>
    <t>Reference sources and services for youth / Meghan Harper.</t>
  </si>
  <si>
    <t>Harper, Meghan, 1968-</t>
  </si>
  <si>
    <t>New York, NY : Neal-Schuman Publishers, ©2011.</t>
  </si>
  <si>
    <t>684774515:eng</t>
  </si>
  <si>
    <t>669262644</t>
  </si>
  <si>
    <t>ocn669262644</t>
  </si>
  <si>
    <t>3103364839O</t>
  </si>
  <si>
    <t>9781555706418</t>
  </si>
  <si>
    <t>794846889</t>
  </si>
  <si>
    <t>Z675 S3 H2687 2010</t>
  </si>
  <si>
    <t>0                      Z  0675000S  3                  H  2687        2010</t>
  </si>
  <si>
    <t>The 21st century elementary library media program / Carl A. Harvey II.</t>
  </si>
  <si>
    <t>Harvey, Carl A., II.</t>
  </si>
  <si>
    <t>Santa Barbara, Calif. : Linworth Pub., ©2010.</t>
  </si>
  <si>
    <t>317940286:eng</t>
  </si>
  <si>
    <t>430839889</t>
  </si>
  <si>
    <t>ocn430839889</t>
  </si>
  <si>
    <t>3103157991E</t>
  </si>
  <si>
    <t>9781586833817</t>
  </si>
  <si>
    <t>794781251</t>
  </si>
  <si>
    <t>Z675 S3 H38 2011</t>
  </si>
  <si>
    <t>0                      Z  0675000S  3                  H  38          2011</t>
  </si>
  <si>
    <t>The Learning Commons : Seven Simple Steps to Transform Your Library / Pamela Colburn Harland.</t>
  </si>
  <si>
    <t>Harland, Pamela Colburn.</t>
  </si>
  <si>
    <t>Santa Barbara, California : Libraries Unlimited, [2011], ©2011.</t>
  </si>
  <si>
    <t>476056841:eng</t>
  </si>
  <si>
    <t>606787464</t>
  </si>
  <si>
    <t>ocn606787464</t>
  </si>
  <si>
    <t>31033443784</t>
  </si>
  <si>
    <t>9781598845174</t>
  </si>
  <si>
    <t>794817308</t>
  </si>
  <si>
    <t>Z675 S3 I433 2009</t>
  </si>
  <si>
    <t>0                      Z  0675000S  3                  I  433         2009</t>
  </si>
  <si>
    <t>The innovative school librarian : thinking outside the box / Sharon Markless, editor ; Elizabeth Bentley [and others].</t>
  </si>
  <si>
    <t>London : Facet, 2009.</t>
  </si>
  <si>
    <t>2016-02-10</t>
  </si>
  <si>
    <t>891790371:eng</t>
  </si>
  <si>
    <t>221145335</t>
  </si>
  <si>
    <t>ocn221145335</t>
  </si>
  <si>
    <t>3103369195D</t>
  </si>
  <si>
    <t>9781856046534</t>
  </si>
  <si>
    <t>794324306</t>
  </si>
  <si>
    <t>Z675 S3 I433 2016</t>
  </si>
  <si>
    <t>0                      Z  0675000S  3                  I  433         2016</t>
  </si>
  <si>
    <t>The innovative school librarian / Sharon Markless, editor ; Elizabeth Bentley, Sarah Pavey, Sue Shaper, Sally Todd, Carol Webb.</t>
  </si>
  <si>
    <t>951611532</t>
  </si>
  <si>
    <t>ocn951611532</t>
  </si>
  <si>
    <t>3103656404P</t>
  </si>
  <si>
    <t>9781783300556</t>
  </si>
  <si>
    <t>795017573</t>
  </si>
  <si>
    <t>Z675 S3 I435 2001</t>
  </si>
  <si>
    <t>0                      Z  0675000S  3                  I  435         2001</t>
  </si>
  <si>
    <t>Inquiry-based learning : lessons from Library Power / Jean Donham [and others].</t>
  </si>
  <si>
    <t>Worthington, Ohio : Linworth Pub., ©2001.</t>
  </si>
  <si>
    <t>1087205:eng</t>
  </si>
  <si>
    <t>47240349</t>
  </si>
  <si>
    <t>ocm47240349</t>
  </si>
  <si>
    <t>3102599160$</t>
  </si>
  <si>
    <t>9781586830311</t>
  </si>
  <si>
    <t>793701599</t>
  </si>
  <si>
    <t>Z675 S3 J642 2009</t>
  </si>
  <si>
    <t>0                      Z  0675000S  3                  J  642         2009</t>
  </si>
  <si>
    <t>School libraries head for the edge : rants, recommendations, and reflections / Doug Johnson.</t>
  </si>
  <si>
    <t>Johnson, Doug, 1952-</t>
  </si>
  <si>
    <t>2010-11-11</t>
  </si>
  <si>
    <t>866291198:eng</t>
  </si>
  <si>
    <t>399545114</t>
  </si>
  <si>
    <t>ocn399545114</t>
  </si>
  <si>
    <t>3103154527F</t>
  </si>
  <si>
    <t>9781586833923</t>
  </si>
  <si>
    <t>794498003</t>
  </si>
  <si>
    <t>Z675 S3 L21 2010</t>
  </si>
  <si>
    <t>0                      Z  0675000S  3                  L  21          2010</t>
  </si>
  <si>
    <t>Designing the learning environment / Susan La Marca.</t>
  </si>
  <si>
    <t>La Marca, Susan, author.</t>
  </si>
  <si>
    <t>Camberwell, Vic. : ACER Press, 2010.</t>
  </si>
  <si>
    <t>Learning in a changing world</t>
  </si>
  <si>
    <t>480421387:eng</t>
  </si>
  <si>
    <t>613609554</t>
  </si>
  <si>
    <t>ocn613609554</t>
  </si>
  <si>
    <t>3103312657M</t>
  </si>
  <si>
    <t>9780864318763</t>
  </si>
  <si>
    <t>794822216</t>
  </si>
  <si>
    <t>Z675 S3 L255 2011</t>
  </si>
  <si>
    <t>0                      Z  0675000S  3                  L  255         2011</t>
  </si>
  <si>
    <t>Developing 21st century literacies : a K-12 school library curriculum blueprint with sample lessons / Mary Jo Langhorne, Denise Rehmke, and the Iowa City Community School District.</t>
  </si>
  <si>
    <t>Langhorne, Mary Jo.</t>
  </si>
  <si>
    <t>2016-11-12</t>
  </si>
  <si>
    <t>1003806835:eng</t>
  </si>
  <si>
    <t>747819320</t>
  </si>
  <si>
    <t>ocn747819320</t>
  </si>
  <si>
    <t>3103412168T</t>
  </si>
  <si>
    <t>9781555707521</t>
  </si>
  <si>
    <t>794888556</t>
  </si>
  <si>
    <t>Z675 S3 L265 2010</t>
  </si>
  <si>
    <t>0                      Z  0675000S  3                  L  265         2010</t>
  </si>
  <si>
    <t>Essential reference services for today's school media specialists / Scott Lanning and John Bryner.</t>
  </si>
  <si>
    <t>Lanning, Scott.</t>
  </si>
  <si>
    <t>2013-02-27</t>
  </si>
  <si>
    <t>1059758:eng</t>
  </si>
  <si>
    <t>422757070</t>
  </si>
  <si>
    <t>ocn422757070</t>
  </si>
  <si>
    <t>3103158298V</t>
  </si>
  <si>
    <t>9781591588832</t>
  </si>
  <si>
    <t>794505751</t>
  </si>
  <si>
    <t>Z675 S3 L265 2014</t>
  </si>
  <si>
    <t>0                      Z  0675000S  3                  L  265         2014</t>
  </si>
  <si>
    <t>Reference and instructional services for information literacy skills in school libraries / Scott Lanning.</t>
  </si>
  <si>
    <t>Lanning, Scott, author.</t>
  </si>
  <si>
    <t>Santa Barbara, CA : Libraries Unlimited, an imprint of ABC-CLIO, LLC, [2014]</t>
  </si>
  <si>
    <t>2014-12-04</t>
  </si>
  <si>
    <t>2072057672:eng</t>
  </si>
  <si>
    <t>878050660</t>
  </si>
  <si>
    <t>ocn878050660</t>
  </si>
  <si>
    <t>31035669391</t>
  </si>
  <si>
    <t>9781610696715</t>
  </si>
  <si>
    <t>794971215</t>
  </si>
  <si>
    <t>Z675 S3 L557 2005</t>
  </si>
  <si>
    <t>0                      Z  0675000S  3                  L  557         2005</t>
  </si>
  <si>
    <t>Literacy, libraries and learning : using books and online resources to promote reading, writing, and research / editors Ray Doiron, Marlene Asselin.</t>
  </si>
  <si>
    <t>Markham, ON : Pembroke Publishers, 2005.</t>
  </si>
  <si>
    <t>2008-11-29</t>
  </si>
  <si>
    <t>762711663:eng</t>
  </si>
  <si>
    <t>61526338</t>
  </si>
  <si>
    <t>ocm61526338</t>
  </si>
  <si>
    <t>3102601744J</t>
  </si>
  <si>
    <t>9781551381961</t>
  </si>
  <si>
    <t>793961143</t>
  </si>
  <si>
    <t>3102686774R</t>
  </si>
  <si>
    <t>793961141</t>
  </si>
  <si>
    <t>3103222589K</t>
  </si>
  <si>
    <t>793961142</t>
  </si>
  <si>
    <t>Z675 S3 L577 2018</t>
  </si>
  <si>
    <t>0                      Z  0675000S  3                  L  577         2018</t>
  </si>
  <si>
    <t>Effective school librarianship : successful professional practices from librarians around the world / Patrick Lo, Heather Rogers, Dr. Dickson K.W. Chiu.</t>
  </si>
  <si>
    <t>Lo, Patrick, author.</t>
  </si>
  <si>
    <t>Oakville, ON ; Waretown, NJ : Apple Academic Press, [2018]</t>
  </si>
  <si>
    <t>5104103491:eng</t>
  </si>
  <si>
    <t>1035331138</t>
  </si>
  <si>
    <t>on1035331138</t>
  </si>
  <si>
    <t>3103729887C</t>
  </si>
  <si>
    <t>9781771886574</t>
  </si>
  <si>
    <t>795057526</t>
  </si>
  <si>
    <t>3103729882M</t>
  </si>
  <si>
    <t>795057527</t>
  </si>
  <si>
    <t>Z675 S3 M19 2012</t>
  </si>
  <si>
    <t>0                      Z  0675000S  3                  M  19          2012</t>
  </si>
  <si>
    <t>Kindergarten magic : theme-based lessons for building literacy and library skills / Kathy MacMillan and Christine Kirker.</t>
  </si>
  <si>
    <t>MacMillan, Kathy, 1975-</t>
  </si>
  <si>
    <t>2014-03-11</t>
  </si>
  <si>
    <t>663769164:eng</t>
  </si>
  <si>
    <t>666224079</t>
  </si>
  <si>
    <t>ocn666224079</t>
  </si>
  <si>
    <t>3103383445S</t>
  </si>
  <si>
    <t>9780838910696</t>
  </si>
  <si>
    <t>794844881</t>
  </si>
  <si>
    <t>Z675 S3 M36 2010</t>
  </si>
  <si>
    <t>0                      Z  0675000S  3                  M  36          2010</t>
  </si>
  <si>
    <t>The many faces of school library leadership / Sharon Coatney, editor.</t>
  </si>
  <si>
    <t>375772235:eng</t>
  </si>
  <si>
    <t>502874657</t>
  </si>
  <si>
    <t>ocn502874657</t>
  </si>
  <si>
    <t>3103241606R</t>
  </si>
  <si>
    <t>9781591588931</t>
  </si>
  <si>
    <t>794805973</t>
  </si>
  <si>
    <t>Z675 S3 M67 2018</t>
  </si>
  <si>
    <t>0                      Z  0675000S  3                  M  67          2018</t>
  </si>
  <si>
    <t>Maximizing school librarian leadership : building connections for learning and advocacy / Judi Moreillon.</t>
  </si>
  <si>
    <t>Moreillon, Judi, author.</t>
  </si>
  <si>
    <t>2018-08-30</t>
  </si>
  <si>
    <t>5401840660:eng</t>
  </si>
  <si>
    <t>1033587002</t>
  </si>
  <si>
    <t>on1033587002</t>
  </si>
  <si>
    <t>3103704125P</t>
  </si>
  <si>
    <t>9780838915257</t>
  </si>
  <si>
    <t>795057003</t>
  </si>
  <si>
    <t>Z675 S3 P745 2010</t>
  </si>
  <si>
    <t>0                      Z  0675000S  3                  P  745         2010</t>
  </si>
  <si>
    <t>Social readers : promoting reading in the 21st century / Leslie B. Preddy.</t>
  </si>
  <si>
    <t>Preddy, Leslie.</t>
  </si>
  <si>
    <t>2017-05-25</t>
  </si>
  <si>
    <t>890431763:eng</t>
  </si>
  <si>
    <t>503073116</t>
  </si>
  <si>
    <t>ocn503073116</t>
  </si>
  <si>
    <t>3103240419Z</t>
  </si>
  <si>
    <t>9781591588696</t>
  </si>
  <si>
    <t>794806164</t>
  </si>
  <si>
    <t>Z675 S3 S259 2010</t>
  </si>
  <si>
    <t>0                      Z  0675000S  3                  S  259         2010</t>
  </si>
  <si>
    <t>Technology for the school librarian : theory and practice / William O. Scheeren.</t>
  </si>
  <si>
    <t>Scheeren, William O.</t>
  </si>
  <si>
    <t>346850589:eng</t>
  </si>
  <si>
    <t>462893854</t>
  </si>
  <si>
    <t>ocn462893854</t>
  </si>
  <si>
    <t>3103236246G</t>
  </si>
  <si>
    <t>9781591589006</t>
  </si>
  <si>
    <t>794792086</t>
  </si>
  <si>
    <t>Z675 S3 S291144 2013</t>
  </si>
  <si>
    <t>0                      Z  0675000S  3                  S  291144      2013</t>
  </si>
  <si>
    <t>School libraries matter : views from the research / Mirah J. Dow, editor.</t>
  </si>
  <si>
    <t>Santa Barbara, California : Libraries Unlimited, an imprint of ABC-CLIO&lt;LLC, [2013]</t>
  </si>
  <si>
    <t>2015-11-17</t>
  </si>
  <si>
    <t>1149510127:eng</t>
  </si>
  <si>
    <t>805057752</t>
  </si>
  <si>
    <t>ocn805057752</t>
  </si>
  <si>
    <t>31034994041</t>
  </si>
  <si>
    <t>9781610691611</t>
  </si>
  <si>
    <t>794926202</t>
  </si>
  <si>
    <t>Z675 S3 T5847 2011</t>
  </si>
  <si>
    <t>0                      Z  0675000S  3                  T  5847        2011</t>
  </si>
  <si>
    <t>Being indispensable : a school librarian's guide to becoming an invaluable leader / Ruth Toor and Hilda K. Weisburg.</t>
  </si>
  <si>
    <t>Toor, Ruth, 1933-</t>
  </si>
  <si>
    <t>2014-04-07</t>
  </si>
  <si>
    <t>865050250:eng</t>
  </si>
  <si>
    <t>609099892</t>
  </si>
  <si>
    <t>ocn609099892</t>
  </si>
  <si>
    <t>31032381627</t>
  </si>
  <si>
    <t>9780838910658</t>
  </si>
  <si>
    <t>794819798</t>
  </si>
  <si>
    <t>Z675 S3 V334 2013</t>
  </si>
  <si>
    <t>0                      Z  0675000S  3                  V  334         2013</t>
  </si>
  <si>
    <t>The collection program in schools : concepts and practices / Kay Bishop.</t>
  </si>
  <si>
    <t>Bishop, Kay, 1942-</t>
  </si>
  <si>
    <t>Santa Barbara, California : Libraries Unlimited, AN IMPRINT OF ABC-CLIO, LLC, [2013]</t>
  </si>
  <si>
    <t>FIFTH edition.</t>
  </si>
  <si>
    <t>2564870444:eng</t>
  </si>
  <si>
    <t>795760566</t>
  </si>
  <si>
    <t>ocn795760566</t>
  </si>
  <si>
    <t>3103470988G</t>
  </si>
  <si>
    <t>9781610690218</t>
  </si>
  <si>
    <t>794921672</t>
  </si>
  <si>
    <t>Z675 S3 W8735 2014</t>
  </si>
  <si>
    <t>0                      Z  0675000S  3                  W  8735        2014</t>
  </si>
  <si>
    <t>The school library manager / Blanche Woolls, Ann C. Weeks, and Sharon Coatney.</t>
  </si>
  <si>
    <t>Woolls, Blanche, author.</t>
  </si>
  <si>
    <t>Santa Barbara, California : Libraries Unlimited, [2014]</t>
  </si>
  <si>
    <t>9593680194:eng</t>
  </si>
  <si>
    <t>852220681</t>
  </si>
  <si>
    <t>ocn852220681</t>
  </si>
  <si>
    <t>31035057500</t>
  </si>
  <si>
    <t>9781610691321</t>
  </si>
  <si>
    <t>794951220</t>
  </si>
  <si>
    <t>Z675 S57 H69 2012</t>
  </si>
  <si>
    <t>0                      Z  0675000S  57                 H  69          2012</t>
  </si>
  <si>
    <t>How to thrive as a solo librarian / edited by Carol Smallwood, Melissa J. Clapp.</t>
  </si>
  <si>
    <t>Lanham : Scarecrow Press, Inc., 2012.</t>
  </si>
  <si>
    <t>2012-11-15</t>
  </si>
  <si>
    <t>1058867124:eng</t>
  </si>
  <si>
    <t>729721209</t>
  </si>
  <si>
    <t>ocn729721209</t>
  </si>
  <si>
    <t>3103396229L</t>
  </si>
  <si>
    <t>9780810882133</t>
  </si>
  <si>
    <t>794879596</t>
  </si>
  <si>
    <t>Z675 S57 P43 2012</t>
  </si>
  <si>
    <t>0                      Z  0675000S  57                 P  43          2012</t>
  </si>
  <si>
    <t>Small public library management / Jane Pearlmutter and Paul Nelson.</t>
  </si>
  <si>
    <t>Pearlmutter, Jane.</t>
  </si>
  <si>
    <t>Chicago : American Library Association, ©2012.</t>
  </si>
  <si>
    <t>ALA fundamentals series</t>
  </si>
  <si>
    <t>663769150:eng</t>
  </si>
  <si>
    <t>666224060</t>
  </si>
  <si>
    <t>ocn666224060</t>
  </si>
  <si>
    <t>31034066525</t>
  </si>
  <si>
    <t>9780838910856</t>
  </si>
  <si>
    <t>794844879</t>
  </si>
  <si>
    <t>Z675 S57 R86 2015</t>
  </si>
  <si>
    <t>0                      Z  0675000S  57                 R  86          2015</t>
  </si>
  <si>
    <t>Running a small library : a how-to-do-it manual for librarians / edited by John A. Moorman.</t>
  </si>
  <si>
    <t>Chicago : Neal-Schuman, an imprint of the American Library Association, 2015.</t>
  </si>
  <si>
    <t>How-to-do-it manual for librarians</t>
  </si>
  <si>
    <t>796615839:eng</t>
  </si>
  <si>
    <t>901374744</t>
  </si>
  <si>
    <t>ocn901374744</t>
  </si>
  <si>
    <t>31036076053</t>
  </si>
  <si>
    <t>9780838912737</t>
  </si>
  <si>
    <t>794988092</t>
  </si>
  <si>
    <t>Z675 S6 S63 2010</t>
  </si>
  <si>
    <t>0                      Z  0675000S  6                  S  63          2010</t>
  </si>
  <si>
    <t>Social science libraries : interdisciplinary collections, services, networks / edited by Steven W. Witt and Lynne M. Rudasill.</t>
  </si>
  <si>
    <t>IFLA publications, 0344-6891 ; 144</t>
  </si>
  <si>
    <t>2013-05-15</t>
  </si>
  <si>
    <t>803704584:eng</t>
  </si>
  <si>
    <t>610832054</t>
  </si>
  <si>
    <t>ocn610832054</t>
  </si>
  <si>
    <t>3103255831V</t>
  </si>
  <si>
    <t>9783110232141</t>
  </si>
  <si>
    <t>794820794</t>
  </si>
  <si>
    <t>Z675 S75 L53 2001</t>
  </si>
  <si>
    <t>0                      Z  0675000S  75                 L  53          2001</t>
  </si>
  <si>
    <t>Library off-site shelving : guide for high-density facilities / Danuta A. Nitecki, Curtis L. Kendrick, editors.</t>
  </si>
  <si>
    <t>Englewood, Colo. : Libraries Unlimited, 2001.</t>
  </si>
  <si>
    <t>2018-07-10</t>
  </si>
  <si>
    <t>837078429:eng</t>
  </si>
  <si>
    <t>46785113</t>
  </si>
  <si>
    <t>ocm46785113</t>
  </si>
  <si>
    <t>3102135831T</t>
  </si>
  <si>
    <t>9781563088858</t>
  </si>
  <si>
    <t>793691268</t>
  </si>
  <si>
    <t>Z675 T3 D38 2010</t>
  </si>
  <si>
    <t>0                      Z  0675000T  3                  D  38          2010</t>
  </si>
  <si>
    <t>The data deluge : can libraries cope with e-science? / Deanna B. Marcum and Gerald George, editors ; foreword by Kakugyo S. Chiku.</t>
  </si>
  <si>
    <t>889214764:eng</t>
  </si>
  <si>
    <t>422757082</t>
  </si>
  <si>
    <t>ocn422757082</t>
  </si>
  <si>
    <t>3103156877P</t>
  </si>
  <si>
    <t>9781591588870</t>
  </si>
  <si>
    <t>794505753</t>
  </si>
  <si>
    <t>Z675 T3 E44 2011</t>
  </si>
  <si>
    <t>0                      Z  0675000T  3                  E  44          2011</t>
  </si>
  <si>
    <t>Emerging practices in science and technology librarianship / edited by Amy L. Besnoy.</t>
  </si>
  <si>
    <t>London : Routledge, 2011.</t>
  </si>
  <si>
    <t>791990326:eng</t>
  </si>
  <si>
    <t>663422410</t>
  </si>
  <si>
    <t>ocn663422410</t>
  </si>
  <si>
    <t>31032338980</t>
  </si>
  <si>
    <t>9780415604321</t>
  </si>
  <si>
    <t>794837862</t>
  </si>
  <si>
    <t>Z675 T36 I5 1967</t>
  </si>
  <si>
    <t>0                      Z  0675000T  36                 I  5           1967</t>
  </si>
  <si>
    <t>Bibliothèques et musées des arts du spectacle dans le monde ... Sous la direction de André Veinstein ... avec la collaboration de Rosamond Gilder ... Marie-Françoise Christout ... George Freedley ... Denis Bablet ... [etc.].</t>
  </si>
  <si>
    <t>International Federation of Library Associations. Section for Theatrical Libraries and Museums.</t>
  </si>
  <si>
    <t>Paris, Éditions du Centre national de la recherche scientifique, 1967.</t>
  </si>
  <si>
    <t>2e édition revue et augmentée par Cécile Giteau ... Traductrice ... Helen A. Gaubert ...</t>
  </si>
  <si>
    <t>2019-01-19</t>
  </si>
  <si>
    <t>505922938:fre</t>
  </si>
  <si>
    <t>576771</t>
  </si>
  <si>
    <t>ocm00576771</t>
  </si>
  <si>
    <t>30009604809</t>
  </si>
  <si>
    <t>791419288</t>
  </si>
  <si>
    <t>Z675 U5 A135 2013</t>
  </si>
  <si>
    <t>0                      Z  0675000U  5                  A  135         2013</t>
  </si>
  <si>
    <t>Twenty-first century access services : on the frontline of academic librarianship / edited by Michael J. Krasulski and Trevor A. Dawes.</t>
  </si>
  <si>
    <t>Chicago, IL : Association of College and Research Libraries, 2013.</t>
  </si>
  <si>
    <t>1357261806:eng</t>
  </si>
  <si>
    <t>847246393</t>
  </si>
  <si>
    <t>ocn847246393</t>
  </si>
  <si>
    <t>3103504968X</t>
  </si>
  <si>
    <t>9780838986660</t>
  </si>
  <si>
    <t>794949440</t>
  </si>
  <si>
    <t>Z675 U5 A23 2013</t>
  </si>
  <si>
    <t>0                      Z  0675000U  5                  A  23          2013</t>
  </si>
  <si>
    <t>Academic library reputation management practices.</t>
  </si>
  <si>
    <t>New York : Primary Research Group, ©2013.</t>
  </si>
  <si>
    <t>2163348531:eng</t>
  </si>
  <si>
    <t>862102438</t>
  </si>
  <si>
    <t>ocn862102438</t>
  </si>
  <si>
    <t>31035308640</t>
  </si>
  <si>
    <t>9781574402643</t>
  </si>
  <si>
    <t>794960069</t>
  </si>
  <si>
    <t>Z675 U5 A23 2014</t>
  </si>
  <si>
    <t>0                      Z  0675000U  5                  A  23          2014</t>
  </si>
  <si>
    <t>Academic library use of ebooks.</t>
  </si>
  <si>
    <t>3862755484:eng</t>
  </si>
  <si>
    <t>890757170</t>
  </si>
  <si>
    <t>ocn890757170</t>
  </si>
  <si>
    <t>31035819635</t>
  </si>
  <si>
    <t>9781574403084</t>
  </si>
  <si>
    <t>794979577</t>
  </si>
  <si>
    <t>Z675 U5 A335 2018</t>
  </si>
  <si>
    <t>0                      Z  0675000U  5                  A  335         2018</t>
  </si>
  <si>
    <t>Academic libraries for commuter students : research-based strategies / edited by Mariana Regalado and Maura A. Smale.</t>
  </si>
  <si>
    <t>5464035738:eng</t>
  </si>
  <si>
    <t>1027731900</t>
  </si>
  <si>
    <t>on1027731900</t>
  </si>
  <si>
    <t>3103703723A</t>
  </si>
  <si>
    <t>9780838917015</t>
  </si>
  <si>
    <t>795052869</t>
  </si>
  <si>
    <t>Z675 U5 A338 1992</t>
  </si>
  <si>
    <t>0                      Z  0675000U  5                  A  338         1992</t>
  </si>
  <si>
    <t>Academic libraries in urban and metropolitan areas : a management handbook / edited by Gerard B. McCabe.</t>
  </si>
  <si>
    <t>The Greenwood library management collection, 0894-2986</t>
  </si>
  <si>
    <t>803882906:eng</t>
  </si>
  <si>
    <t>23941072</t>
  </si>
  <si>
    <t>ocm23941072</t>
  </si>
  <si>
    <t>3101139130A</t>
  </si>
  <si>
    <t>9780313275364</t>
  </si>
  <si>
    <t>793185545</t>
  </si>
  <si>
    <t>Z675 U5 A34</t>
  </si>
  <si>
    <t>0                      Z  0675000U  5                  A  34</t>
  </si>
  <si>
    <t>The Academic library: essays in honor of Guy R. Lyle. Edited by Evan Ira Farber and Ruth Walling.</t>
  </si>
  <si>
    <t>Metuchen, N.J., Scarecrow Press, 1974.</t>
  </si>
  <si>
    <t>468841:eng</t>
  </si>
  <si>
    <t>821388</t>
  </si>
  <si>
    <t>ocm00821388</t>
  </si>
  <si>
    <t>30008604953</t>
  </si>
  <si>
    <t>9780810807129</t>
  </si>
  <si>
    <t>791478904</t>
  </si>
  <si>
    <t>Z675 U5 A4145 2010</t>
  </si>
  <si>
    <t>0                      Z  0675000U  5                  A  4145        2010</t>
  </si>
  <si>
    <t>Advocacy, outreach, and the nation's academic libraries : a call for action / edited by William C. Welburn, Janice Welburn, Beth McNeil.</t>
  </si>
  <si>
    <t>Chicago, Ill. : Association of College and Research Libraries, 2010.</t>
  </si>
  <si>
    <t>2019-04-27</t>
  </si>
  <si>
    <t>489594209:eng</t>
  </si>
  <si>
    <t>624030896</t>
  </si>
  <si>
    <t>ocn624030896</t>
  </si>
  <si>
    <t>31032296241</t>
  </si>
  <si>
    <t>9780838985496</t>
  </si>
  <si>
    <t>794823750</t>
  </si>
  <si>
    <t>Z675 U5 A4147 2017</t>
  </si>
  <si>
    <t>0                      Z  0675000U  5                  A  4147        2017</t>
  </si>
  <si>
    <t>Affordable Course Materials : Electronic Textbooks and Open Educational Resources / edited by Chris Diaz.</t>
  </si>
  <si>
    <t>Chicago : ALA Editions, an imprint of the American Library Association, 2017.</t>
  </si>
  <si>
    <t>ALCTS monograph</t>
  </si>
  <si>
    <t>9619611843:eng</t>
  </si>
  <si>
    <t>988225566</t>
  </si>
  <si>
    <t>ocn988225566</t>
  </si>
  <si>
    <t>31037394354</t>
  </si>
  <si>
    <t>9780838915806</t>
  </si>
  <si>
    <t>795036632</t>
  </si>
  <si>
    <t>Z675 U5 A427 2010</t>
  </si>
  <si>
    <t>0                      Z  0675000U  5                  A  427         2010</t>
  </si>
  <si>
    <t>Academic librarianship / Camila A. Alire and G. Edward Evans.</t>
  </si>
  <si>
    <t>Alire, Camila A.</t>
  </si>
  <si>
    <t>407477795:eng</t>
  </si>
  <si>
    <t>535492600</t>
  </si>
  <si>
    <t>ocn535492600</t>
  </si>
  <si>
    <t>3103227337G</t>
  </si>
  <si>
    <t>9781555707026</t>
  </si>
  <si>
    <t>794810095</t>
  </si>
  <si>
    <t>Z675 U5 A48 2011</t>
  </si>
  <si>
    <t>0                      Z  0675000U  5                  A  48          2011</t>
  </si>
  <si>
    <t>Libraries for users : services in academic libraries / Luisa Alvite and Leticia Barrionuevo.</t>
  </si>
  <si>
    <t>Alvite, Luisa.</t>
  </si>
  <si>
    <t>Oxford : Chandos, 2011.</t>
  </si>
  <si>
    <t>510952542:eng</t>
  </si>
  <si>
    <t>648102656</t>
  </si>
  <si>
    <t>ocn648102656</t>
  </si>
  <si>
    <t>3103232472K</t>
  </si>
  <si>
    <t>9781843345954</t>
  </si>
  <si>
    <t>794831147</t>
  </si>
  <si>
    <t>Z675 U5 A5944 2010</t>
  </si>
  <si>
    <t>0                      Z  0675000U  5                  A  5944        2010</t>
  </si>
  <si>
    <t>Managing the small college library / Rachel Applegate.</t>
  </si>
  <si>
    <t>Applegate, Rachel.</t>
  </si>
  <si>
    <t>Libraries Unlimited library management collection, 1557-0320</t>
  </si>
  <si>
    <t>481208092:eng</t>
  </si>
  <si>
    <t>615339618</t>
  </si>
  <si>
    <t>ocn615339618</t>
  </si>
  <si>
    <t>31032283724</t>
  </si>
  <si>
    <t>9781591589174</t>
  </si>
  <si>
    <t>794822713</t>
  </si>
  <si>
    <t>2015-08-27</t>
  </si>
  <si>
    <t>Z675 U5 A7135 2008</t>
  </si>
  <si>
    <t>0                      Z  0675000U  5                  A  7135        2008</t>
  </si>
  <si>
    <t>University library system : centralization and decentralization / Kanu Arora.</t>
  </si>
  <si>
    <t>Arora, Kanu.</t>
  </si>
  <si>
    <t>New Delhi : Regal Publications, ©2008.</t>
  </si>
  <si>
    <t>154489157:eng</t>
  </si>
  <si>
    <t>262485961</t>
  </si>
  <si>
    <t>ocn262485961</t>
  </si>
  <si>
    <t>31031022966</t>
  </si>
  <si>
    <t>9788189915520</t>
  </si>
  <si>
    <t>794401992</t>
  </si>
  <si>
    <t>Z675 U5 A73 2003</t>
  </si>
  <si>
    <t>0                      Z  0675000U  5                  A  73          2003</t>
  </si>
  <si>
    <t>Learning to make a difference : proceedings of the Eleventh National Conference of the Association of College and Research Libraries, April 10-13, 2003, Charlotte, North Carolina / edited by Hugh A. Thompson.</t>
  </si>
  <si>
    <t>Association of College and Research Libraries. National Conference (11th : 2003 : Charlotte, N.C.)</t>
  </si>
  <si>
    <t>Chicago : Association of College and Research Libraries, 2003.</t>
  </si>
  <si>
    <t>138923633:eng</t>
  </si>
  <si>
    <t>51769094</t>
  </si>
  <si>
    <t>ocm51769094</t>
  </si>
  <si>
    <t>31023278460</t>
  </si>
  <si>
    <t>9780838982266</t>
  </si>
  <si>
    <t>793790695</t>
  </si>
  <si>
    <t>Z675 U5 A82 2000</t>
  </si>
  <si>
    <t>0                      Z  0675000U  5                  A  82          2000</t>
  </si>
  <si>
    <t>Information literacy competency standards for higher education / the Association of College and Research Libraries.</t>
  </si>
  <si>
    <t>Chicago, Ill. : Association of College and Research Libraries, [between 2000 and 2006]</t>
  </si>
  <si>
    <t>49043098:eng</t>
  </si>
  <si>
    <t>44498343</t>
  </si>
  <si>
    <t>ocm44498343</t>
  </si>
  <si>
    <t>31020498239</t>
  </si>
  <si>
    <t>793651688</t>
  </si>
  <si>
    <t>Z675 U5 B327 2011</t>
  </si>
  <si>
    <t>0                      Z  0675000U  5                  B  327         2011</t>
  </si>
  <si>
    <t>Convergence of libraries and technology organizations : new information support models / Christopher D. Barth.</t>
  </si>
  <si>
    <t>Barth, Christopher D.</t>
  </si>
  <si>
    <t>787127755:eng</t>
  </si>
  <si>
    <t>758511311</t>
  </si>
  <si>
    <t>ocn758511311</t>
  </si>
  <si>
    <t>3103421733G</t>
  </si>
  <si>
    <t>9781843346166</t>
  </si>
  <si>
    <t>794896498</t>
  </si>
  <si>
    <t>Z675 U5 B37 1998</t>
  </si>
  <si>
    <t>0                      Z  0675000U  5                  B  37          1998</t>
  </si>
  <si>
    <t>Outsourcing library operations in academic libraries : an overview of issues and outcomes / Claire-Lise Bénaud, Sever Bordeianu ; with a foreword by Katina Strauch.</t>
  </si>
  <si>
    <t>Bénaud, Claire-Lise.</t>
  </si>
  <si>
    <t>Englewood, Colo : Libraries Unlimited, 1998.</t>
  </si>
  <si>
    <t>799330065:eng</t>
  </si>
  <si>
    <t>38989698</t>
  </si>
  <si>
    <t>ocm38989698</t>
  </si>
  <si>
    <t>31024660550</t>
  </si>
  <si>
    <t>9781563085093</t>
  </si>
  <si>
    <t>793534996</t>
  </si>
  <si>
    <t>Z675 U5 B419 2009</t>
  </si>
  <si>
    <t>0                      Z  0675000U  5                  B  419         2009</t>
  </si>
  <si>
    <t>Best practices in access services / edited by Lori L. Driscoll and W. Bede Mitchell.</t>
  </si>
  <si>
    <t>London ; New York : Routledge, 2009.</t>
  </si>
  <si>
    <t>343351432:eng</t>
  </si>
  <si>
    <t>180190782</t>
  </si>
  <si>
    <t>ocn180190782</t>
  </si>
  <si>
    <t>3103083871S</t>
  </si>
  <si>
    <t>9780789038524</t>
  </si>
  <si>
    <t>794279600</t>
  </si>
  <si>
    <t>Z675 U5 B4765 2015</t>
  </si>
  <si>
    <t>0                      Z  0675000U  5                  B  4765        2015</t>
  </si>
  <si>
    <t>Bibliothèques universitaires : nouveaux horizons / sous la direction de François Cavalier et Martine Poulain.</t>
  </si>
  <si>
    <t>Paris : Éditions du Cercle de la librairie, [2015]</t>
  </si>
  <si>
    <t>Collection Bibliothèques, 0184-0886</t>
  </si>
  <si>
    <t>2506034587:fre</t>
  </si>
  <si>
    <t>908086691</t>
  </si>
  <si>
    <t>ocn908086691</t>
  </si>
  <si>
    <t>31037101147</t>
  </si>
  <si>
    <t>9782765414698</t>
  </si>
  <si>
    <t>794994166</t>
  </si>
  <si>
    <t>Z675 U5 B844 2005</t>
  </si>
  <si>
    <t>0                      Z  0675000U  5                  B  844         2005</t>
  </si>
  <si>
    <t>The academic library / Peter Brophy.</t>
  </si>
  <si>
    <t>Brophy, Peter, 1950-</t>
  </si>
  <si>
    <t>London : Facet Pub., 2005.</t>
  </si>
  <si>
    <t>2019-09-25</t>
  </si>
  <si>
    <t>144338236:eng</t>
  </si>
  <si>
    <t>57619867</t>
  </si>
  <si>
    <t>ocm57619867</t>
  </si>
  <si>
    <t>3102577114R</t>
  </si>
  <si>
    <t>9781856045278</t>
  </si>
  <si>
    <t>793916494</t>
  </si>
  <si>
    <t>Z675 U5 B847 1997</t>
  </si>
  <si>
    <t>0                      Z  0675000U  5                  B  847         1997</t>
  </si>
  <si>
    <t>500 tips for academic librarians / Sally Brown, Bill Downey, Phil Race.</t>
  </si>
  <si>
    <t>Brown, Sally A.</t>
  </si>
  <si>
    <t>London : Library Association, 1997.</t>
  </si>
  <si>
    <t>341729375:eng</t>
  </si>
  <si>
    <t>37485467</t>
  </si>
  <si>
    <t>ocm37485467</t>
  </si>
  <si>
    <t>3101886438T</t>
  </si>
  <si>
    <t>9781856042284</t>
  </si>
  <si>
    <t>793499821</t>
  </si>
  <si>
    <t>Z675 U5 B86</t>
  </si>
  <si>
    <t>0                      Z  0675000U  5                  B  86</t>
  </si>
  <si>
    <t>Libraries &amp; universities; addresses and reports. Ed. by Edwin E. Williams.</t>
  </si>
  <si>
    <t>Buck, Paul Herman, 1899-1978.</t>
  </si>
  <si>
    <t>Cambridge, Mass. Belknap Press of Harvard Univ. Press, 1964.</t>
  </si>
  <si>
    <t>199049806:eng</t>
  </si>
  <si>
    <t>574238</t>
  </si>
  <si>
    <t>ocm00574238</t>
  </si>
  <si>
    <t>3100682464X</t>
  </si>
  <si>
    <t>791418558</t>
  </si>
  <si>
    <t>Z675 U5 B865 1998</t>
  </si>
  <si>
    <t>0                      Z  0675000U  5                  B  865         1998</t>
  </si>
  <si>
    <t>The academic library : its context, its purpose, and its operation / John M. Budd.</t>
  </si>
  <si>
    <t>Englewood, Colo. : Libraries Unlimited, 1998.</t>
  </si>
  <si>
    <t>673663:eng</t>
  </si>
  <si>
    <t>37451911</t>
  </si>
  <si>
    <t>ocm37451911</t>
  </si>
  <si>
    <t>3101866008T</t>
  </si>
  <si>
    <t>9781563086144</t>
  </si>
  <si>
    <t>793499008</t>
  </si>
  <si>
    <t>Z675 U5 C62 1997</t>
  </si>
  <si>
    <t>0                      Z  0675000U  5                  C  62          1997</t>
  </si>
  <si>
    <t>Implementation of organizational innovation : studies of academic and research libraries / Peter Clayton.</t>
  </si>
  <si>
    <t>Clayton, Peter (Peter Robert)</t>
  </si>
  <si>
    <t>San Diego : Academic Press, ©1997.</t>
  </si>
  <si>
    <t>328129721:eng</t>
  </si>
  <si>
    <t>36284355</t>
  </si>
  <si>
    <t>ocm36284355</t>
  </si>
  <si>
    <t>31017280805</t>
  </si>
  <si>
    <t>9780121748609</t>
  </si>
  <si>
    <t>793471615</t>
  </si>
  <si>
    <t>Z675 U5 C6417 2000</t>
  </si>
  <si>
    <t>0                      Z  0675000U  5                  C  6417        2000</t>
  </si>
  <si>
    <t>The Collaborative imperative : librarians and faculty working together in the information universe / edited by Dick Raspa, Dane Ward.</t>
  </si>
  <si>
    <t>Chicago : Association of College and Research Libraries, 2000.</t>
  </si>
  <si>
    <t>892099596:eng</t>
  </si>
  <si>
    <t>43648589</t>
  </si>
  <si>
    <t>ocm43648589</t>
  </si>
  <si>
    <t>3102119453R</t>
  </si>
  <si>
    <t>9780838980859</t>
  </si>
  <si>
    <t>793631730</t>
  </si>
  <si>
    <t>Z675.U5 C642 2013</t>
  </si>
  <si>
    <t>0                      Z  0675000U  5                  C  642         2013</t>
  </si>
  <si>
    <t>Collaboration in libraries and learning environments / edited by Maxine Melling and Margaret Weaver.</t>
  </si>
  <si>
    <t>1160787193:eng</t>
  </si>
  <si>
    <t>806494829</t>
  </si>
  <si>
    <t>ocn806494829</t>
  </si>
  <si>
    <t>3103457652D</t>
  </si>
  <si>
    <t>9781856048583</t>
  </si>
  <si>
    <t>794927026</t>
  </si>
  <si>
    <t>Z675 U5 C6425 1991</t>
  </si>
  <si>
    <t>0                      Z  0675000U  5                  C  6425        1991</t>
  </si>
  <si>
    <t>Collection management in academic libraries / edited by Clare Jenkins and Mary Morley.</t>
  </si>
  <si>
    <t>Aldershot, Hants, England ; Brookfield, Vt., USA : Gower, ©1991.</t>
  </si>
  <si>
    <t>55405877:eng</t>
  </si>
  <si>
    <t>22734364</t>
  </si>
  <si>
    <t>ocm22734364</t>
  </si>
  <si>
    <t>3102539372L</t>
  </si>
  <si>
    <t>9780566036354</t>
  </si>
  <si>
    <t>793152472</t>
  </si>
  <si>
    <t>Z675 U5 C6458 2012</t>
  </si>
  <si>
    <t>0                      Z  0675000U  5                  C  6458        2012</t>
  </si>
  <si>
    <t>College libraries and student culture : what we now know / edited by Lynda M. Duke and Andrew D. Asher.</t>
  </si>
  <si>
    <t>2017-04-25</t>
  </si>
  <si>
    <t>1019121991:eng</t>
  </si>
  <si>
    <t>704391709</t>
  </si>
  <si>
    <t>ocn704391709</t>
  </si>
  <si>
    <t>3103385195J</t>
  </si>
  <si>
    <t>9780838911167</t>
  </si>
  <si>
    <t>794865608</t>
  </si>
  <si>
    <t>Z675 U5 D34 2016</t>
  </si>
  <si>
    <t>0                      Z  0675000U  5                  D  34          2016</t>
  </si>
  <si>
    <t>Databrarianship : the academic data librarian in theory and practice / edited by Lynda Kellam and Kristi Thompson.</t>
  </si>
  <si>
    <t>2019-09-24</t>
  </si>
  <si>
    <t>2997555323:eng</t>
  </si>
  <si>
    <t>948748352</t>
  </si>
  <si>
    <t>ocn948748352</t>
  </si>
  <si>
    <t>3103903587F</t>
  </si>
  <si>
    <t>9780838987995</t>
  </si>
  <si>
    <t>795015717</t>
  </si>
  <si>
    <t>Z675 U5 D368 2008</t>
  </si>
  <si>
    <t>0                      Z  0675000U  5                  D  368         2008</t>
  </si>
  <si>
    <t>Defining relevancy : managing the new academic library / edited by Janet McNeil Hurlbert.</t>
  </si>
  <si>
    <t>890460431:eng</t>
  </si>
  <si>
    <t>173659506</t>
  </si>
  <si>
    <t>ocn173659506</t>
  </si>
  <si>
    <t>31026494845</t>
  </si>
  <si>
    <t>9781591584193</t>
  </si>
  <si>
    <t>794269258</t>
  </si>
  <si>
    <t>Z675 U5 D4 1961</t>
  </si>
  <si>
    <t>0                      Z  0675000U  5                  D  4           1961</t>
  </si>
  <si>
    <t>Programme pour une bibliothèque collégiale.</t>
  </si>
  <si>
    <t>Desrochers, Edmond.</t>
  </si>
  <si>
    <t>[Ottawa] Association canadienne des bibliothécaires de langue française, 1961.</t>
  </si>
  <si>
    <t>2018-03-12</t>
  </si>
  <si>
    <t>16353976:fre</t>
  </si>
  <si>
    <t>17758346</t>
  </si>
  <si>
    <t>ocm17758346</t>
  </si>
  <si>
    <t>30008636235</t>
  </si>
  <si>
    <t>793002313</t>
  </si>
  <si>
    <t>Z675 U5 D48 2016</t>
  </si>
  <si>
    <t>0                      Z  0675000U  5                  D  48          2016</t>
  </si>
  <si>
    <t>Developing digital scholarship : emerging practices in academic libraries / edited by Alison Mackenzie and Lindsey Martin.</t>
  </si>
  <si>
    <t>Chicago : Neal Schuman, an imprint of the American Library Association, 2016.</t>
  </si>
  <si>
    <t>2019-04-25</t>
  </si>
  <si>
    <t>2949182023:eng</t>
  </si>
  <si>
    <t>967966094</t>
  </si>
  <si>
    <t>ocn967966094</t>
  </si>
  <si>
    <t>3103739991B</t>
  </si>
  <si>
    <t>9780838915554</t>
  </si>
  <si>
    <t>795026876</t>
  </si>
  <si>
    <t>Z675 U5 D5155 2015</t>
  </si>
  <si>
    <t>0                      Z  0675000U  5                  D  5155        2015</t>
  </si>
  <si>
    <t>Difficult decisions : closing and merging academic libraries / edited by Sara Holder and Amber Butler Lannon.</t>
  </si>
  <si>
    <t>Chicago, Illinois : Association of College and Research Libraries, A division of the American Library Association, 2015.</t>
  </si>
  <si>
    <t>2016-08-25</t>
  </si>
  <si>
    <t>2611410733:eng</t>
  </si>
  <si>
    <t>911180182</t>
  </si>
  <si>
    <t>ocn911180182</t>
  </si>
  <si>
    <t>3103608151B</t>
  </si>
  <si>
    <t>9780838987919</t>
  </si>
  <si>
    <t>794998141</t>
  </si>
  <si>
    <t>Z675 U5 D963 2016</t>
  </si>
  <si>
    <t>0                      Z  0675000U  5                  D  963         2016</t>
  </si>
  <si>
    <t>Dynamic research support for academic libraries / edited by Starr Hoffman.</t>
  </si>
  <si>
    <t>Chicago : Neal -Schuman, an imprint of the American Library Association, [2016]</t>
  </si>
  <si>
    <t>2910516679:eng</t>
  </si>
  <si>
    <t>944463295</t>
  </si>
  <si>
    <t>ocn944463295</t>
  </si>
  <si>
    <t>3103654539C</t>
  </si>
  <si>
    <t>9780838914694</t>
  </si>
  <si>
    <t>795013033</t>
  </si>
  <si>
    <t>Z675 U5 E446 2014</t>
  </si>
  <si>
    <t>0                      Z  0675000U  5                  E  446         2014</t>
  </si>
  <si>
    <t>The embedded librarian's cookbook / edited by Kaijsa Calkins and Cassandra Kvenild.</t>
  </si>
  <si>
    <t>ACRL Cookbook series</t>
  </si>
  <si>
    <t>2018-11-12</t>
  </si>
  <si>
    <t>1919669448:eng</t>
  </si>
  <si>
    <t>878953766</t>
  </si>
  <si>
    <t>ocn878953766</t>
  </si>
  <si>
    <t>31035812001</t>
  </si>
  <si>
    <t>9780838986936</t>
  </si>
  <si>
    <t>794971685</t>
  </si>
  <si>
    <t>Z675 U5 E45 2011</t>
  </si>
  <si>
    <t>0                      Z  0675000U  5                  E  45          2011</t>
  </si>
  <si>
    <t>Embedded librarians : moving beyond one-shot instruction / edited by Cassandra Kvenild and Kaijsa Calkins.</t>
  </si>
  <si>
    <t>Chicago : Association of College and Research Libraries, 2011.</t>
  </si>
  <si>
    <t>895692079:eng</t>
  </si>
  <si>
    <t>720259010</t>
  </si>
  <si>
    <t>ocn720259010</t>
  </si>
  <si>
    <t>3103405513K</t>
  </si>
  <si>
    <t>9780838985878</t>
  </si>
  <si>
    <t>794874930</t>
  </si>
  <si>
    <t>Z675 U5 E453 2013</t>
  </si>
  <si>
    <t>0                      Z  0675000U  5                  E  453         2013</t>
  </si>
  <si>
    <t>Embedded librarianship : what every academic librarian should know / Alice L. Daugherty and Michael F. Russo, editors.</t>
  </si>
  <si>
    <t>2015-09-10</t>
  </si>
  <si>
    <t>1411450525:eng</t>
  </si>
  <si>
    <t>842881063</t>
  </si>
  <si>
    <t>ocn842881063</t>
  </si>
  <si>
    <t>3103503031X</t>
  </si>
  <si>
    <t>9781610694131</t>
  </si>
  <si>
    <t>794947694</t>
  </si>
  <si>
    <t>Z675 U5 E95 2010</t>
  </si>
  <si>
    <t>0                      Z  0675000U  5                  E  95          2010</t>
  </si>
  <si>
    <t>The expert library : staffing, sustaining, and advancing the academic library in the 21st century / Scott Walter and Karen Williams, editors.</t>
  </si>
  <si>
    <t>2016-02-26</t>
  </si>
  <si>
    <t>832351232:eng</t>
  </si>
  <si>
    <t>660087677</t>
  </si>
  <si>
    <t>ocn660087677</t>
  </si>
  <si>
    <t>3103237919Y</t>
  </si>
  <si>
    <t>9780838985519</t>
  </si>
  <si>
    <t>794836636</t>
  </si>
  <si>
    <t>Z675 U5 F77 2012</t>
  </si>
  <si>
    <t>0                      Z  0675000U  5                  F  77          2012</t>
  </si>
  <si>
    <t>Remote access technologies for library collections : tools for library users and managers / by Diane M. Fulkerson.</t>
  </si>
  <si>
    <t>Fulkerson, Diane M., 1957-</t>
  </si>
  <si>
    <t>Hershey, PA : Information Science Reference, [2012]</t>
  </si>
  <si>
    <t>2013-08-06</t>
  </si>
  <si>
    <t>1061227694:eng</t>
  </si>
  <si>
    <t>768335620</t>
  </si>
  <si>
    <t>ocn768335620</t>
  </si>
  <si>
    <t>31034318642</t>
  </si>
  <si>
    <t>9781466602342</t>
  </si>
  <si>
    <t>794902234</t>
  </si>
  <si>
    <t>Z675 U5 G49 2007</t>
  </si>
  <si>
    <t>0                      Z  0675000U  5                  G  49          2007</t>
  </si>
  <si>
    <t>The academic library and the net gen student : making the connections / Susan Gibbons.</t>
  </si>
  <si>
    <t>Gibbons, Susan (Susan L.), 1970-</t>
  </si>
  <si>
    <t>Chicago : American Library Association, 2007.</t>
  </si>
  <si>
    <t>797244040:eng</t>
  </si>
  <si>
    <t>123119498</t>
  </si>
  <si>
    <t>ocn123119498</t>
  </si>
  <si>
    <t>31026434008</t>
  </si>
  <si>
    <t>9780838909461</t>
  </si>
  <si>
    <t>794223033</t>
  </si>
  <si>
    <t>Z675 U5 H36 2011</t>
  </si>
  <si>
    <t>0                      Z  0675000U  5                  H  36          2011</t>
  </si>
  <si>
    <t>Diversity programming and outreach for academic libraries / Kathleen A. Hanna, Mindy M. Cooper, and Robin A. Crumrin.</t>
  </si>
  <si>
    <t>Hanna, Kathleen A.</t>
  </si>
  <si>
    <t>1045958181:eng</t>
  </si>
  <si>
    <t>711047949</t>
  </si>
  <si>
    <t>ocn711047949</t>
  </si>
  <si>
    <t>3103383451Q</t>
  </si>
  <si>
    <t>9781843346357</t>
  </si>
  <si>
    <t>794870679</t>
  </si>
  <si>
    <t>Z675 U5 H54 2002</t>
  </si>
  <si>
    <t>0                      Z  0675000U  5                  H  54          2002</t>
  </si>
  <si>
    <t>Outcomes assessment in your library / Peter Hernon, Robert E. Dugan.</t>
  </si>
  <si>
    <t>Hernon, Peter.</t>
  </si>
  <si>
    <t>Chicago : American Library Association, 2002.</t>
  </si>
  <si>
    <t>8909669127:eng</t>
  </si>
  <si>
    <t>48563109</t>
  </si>
  <si>
    <t>ocm48563109</t>
  </si>
  <si>
    <t>31021642313</t>
  </si>
  <si>
    <t>9780838908136</t>
  </si>
  <si>
    <t>793723943</t>
  </si>
  <si>
    <t>Z675 U5 H86 2004</t>
  </si>
  <si>
    <t>0                      Z  0675000U  5                  H  86          2004</t>
  </si>
  <si>
    <t>Human resource management in today's academic library : meeting challenges and creating opportunities / edited by Janice Simmons-Welburn and Beth McNeil.</t>
  </si>
  <si>
    <t>Libraries Unlimited library management collection, 0894-2986</t>
  </si>
  <si>
    <t>866292119:eng</t>
  </si>
  <si>
    <t>54467003</t>
  </si>
  <si>
    <t>ocm54467003</t>
  </si>
  <si>
    <t>3102340417$</t>
  </si>
  <si>
    <t>9780313320767</t>
  </si>
  <si>
    <t>793862422</t>
  </si>
  <si>
    <t>Z675 U5 I47 2019</t>
  </si>
  <si>
    <t>0                      Z  0675000U  5                  I  47          2019</t>
  </si>
  <si>
    <t>Improving library services in support of international students and English as a second language learners / edited by Leila June Rod-Welch.</t>
  </si>
  <si>
    <t>Chicago, Illinois : Association of College and Research Libraries, 2019.</t>
  </si>
  <si>
    <t>9543409666:eng</t>
  </si>
  <si>
    <t>1121075442</t>
  </si>
  <si>
    <t>on1121075442</t>
  </si>
  <si>
    <t>3103812576Q</t>
  </si>
  <si>
    <t>9780838946251</t>
  </si>
  <si>
    <t>795085116</t>
  </si>
  <si>
    <t>Z675 U5 I5885 2011</t>
  </si>
  <si>
    <t>0                      Z  0675000U  5                  I  5885        2011</t>
  </si>
  <si>
    <t>International students and academic libraries : initiatives for success / edited by Pamela A. Jackson, Patrick Sullivan.</t>
  </si>
  <si>
    <t>Chicago, Ill. : Association of College and Research Libraries, 2011.</t>
  </si>
  <si>
    <t>1030003928:eng</t>
  </si>
  <si>
    <t>758098747</t>
  </si>
  <si>
    <t>ocn758098747</t>
  </si>
  <si>
    <t>3103406168I</t>
  </si>
  <si>
    <t>9780838985939</t>
  </si>
  <si>
    <t>794896055</t>
  </si>
  <si>
    <t>Z675 U5 I58873 2016</t>
  </si>
  <si>
    <t>0                      Z  0675000U  5                  I  58873       2016</t>
  </si>
  <si>
    <t>International survey of academic &amp; research library data curation practices.</t>
  </si>
  <si>
    <t>[New York] : Primary Research Group, [2016].</t>
  </si>
  <si>
    <t>2016-17 edition.</t>
  </si>
  <si>
    <t>3019921638:eng</t>
  </si>
  <si>
    <t>949911903</t>
  </si>
  <si>
    <t>ocn949911903</t>
  </si>
  <si>
    <t>3103632828R</t>
  </si>
  <si>
    <t>9781574403879</t>
  </si>
  <si>
    <t>795016350</t>
  </si>
  <si>
    <t>Z675 U5 J46 2005</t>
  </si>
  <si>
    <t>0                      Z  0675000U  5                  J  46          2005</t>
  </si>
  <si>
    <t>Faculty-librarian relationships / Paul O. Jenkins.</t>
  </si>
  <si>
    <t>Jenkins, Paul O.</t>
  </si>
  <si>
    <t>Oxford : Chandos Publishing, 2005.</t>
  </si>
  <si>
    <t>3086313:eng</t>
  </si>
  <si>
    <t>60793461</t>
  </si>
  <si>
    <t>ocm60793461</t>
  </si>
  <si>
    <t>3102488674Y</t>
  </si>
  <si>
    <t>9781843341161</t>
  </si>
  <si>
    <t>793943769</t>
  </si>
  <si>
    <t>Z675 U5 J72 2009</t>
  </si>
  <si>
    <t>0                      Z  0675000U  5                  J  72          2009</t>
  </si>
  <si>
    <t>Protecting intellectual freedom in your academic library : scenarios from the front lines / Barbara M. Jones for the Office for Intellectual Freedom.</t>
  </si>
  <si>
    <t>Jones, Barbara M. (Barbara Minette), 1946-</t>
  </si>
  <si>
    <t>Chicago : American Library Association, 2009.</t>
  </si>
  <si>
    <t>Intellectual freedom front lines</t>
  </si>
  <si>
    <t>891376542:eng</t>
  </si>
  <si>
    <t>271103755</t>
  </si>
  <si>
    <t>ocn271103755</t>
  </si>
  <si>
    <t>3103082015V</t>
  </si>
  <si>
    <t>9780838935804</t>
  </si>
  <si>
    <t>794413717</t>
  </si>
  <si>
    <t>Z675 U5 K65 2010</t>
  </si>
  <si>
    <t>0                      Z  0675000U  5                  K  65          2010</t>
  </si>
  <si>
    <t>Impact measures in research libraries / Zsuzsa Koltay, Xin Li.</t>
  </si>
  <si>
    <t>Koltay, Zsuzsa.</t>
  </si>
  <si>
    <t>Washington, DC : Association of Research Libraries, ©2010.</t>
  </si>
  <si>
    <t>SPEC kit, 0160-3582 ; 318</t>
  </si>
  <si>
    <t>620633411:eng</t>
  </si>
  <si>
    <t>662603742</t>
  </si>
  <si>
    <t>ocn662603742</t>
  </si>
  <si>
    <t>3103299595T</t>
  </si>
  <si>
    <t>9781594078521</t>
  </si>
  <si>
    <t>794837553</t>
  </si>
  <si>
    <t>Z675 U5 K845 2014</t>
  </si>
  <si>
    <t>0                      Z  0675000U  5                  K  845         2014</t>
  </si>
  <si>
    <t>Data management for libraries : a LITA guide / Laura Krier and Carly A. Strasser.</t>
  </si>
  <si>
    <t>Krier, Laura.</t>
  </si>
  <si>
    <t>LITA guides</t>
  </si>
  <si>
    <t>1409215337:eng</t>
  </si>
  <si>
    <t>861072939</t>
  </si>
  <si>
    <t>ocn861072939</t>
  </si>
  <si>
    <t>31035054647</t>
  </si>
  <si>
    <t>9781555709693</t>
  </si>
  <si>
    <t>794958754</t>
  </si>
  <si>
    <t>Z675 U5 K9 1982</t>
  </si>
  <si>
    <t>0                      Z  0675000U  5                  K  9           1982</t>
  </si>
  <si>
    <t>The foundations of the German academic library / Hugo Kunoff.</t>
  </si>
  <si>
    <t>Kunoff, Hugo.</t>
  </si>
  <si>
    <t>Chicago : American Library Association, 1982.</t>
  </si>
  <si>
    <t>503921:eng</t>
  </si>
  <si>
    <t>8220787</t>
  </si>
  <si>
    <t>ocm08220787</t>
  </si>
  <si>
    <t>3000844611J</t>
  </si>
  <si>
    <t>9780838903520</t>
  </si>
  <si>
    <t>792606197</t>
  </si>
  <si>
    <t>Z675 U5 L26 2003</t>
  </si>
  <si>
    <t>0                      Z  0675000U  5                  L  26          2003</t>
  </si>
  <si>
    <t>The role of the academic librarian / Anne Langley, Edward Gray and K.T.L. Vaughan.</t>
  </si>
  <si>
    <t>Langley, Anne.</t>
  </si>
  <si>
    <t>Oxford, UK ; Rollinsford, NH, USA : Chandos, 2003.</t>
  </si>
  <si>
    <t>2015-11-10</t>
  </si>
  <si>
    <t>1062500:eng</t>
  </si>
  <si>
    <t>52783801</t>
  </si>
  <si>
    <t>ocm52783801</t>
  </si>
  <si>
    <t>3102465835L</t>
  </si>
  <si>
    <t>9781843340584</t>
  </si>
  <si>
    <t>793813945</t>
  </si>
  <si>
    <t>Z675 U5 L357 2008</t>
  </si>
  <si>
    <t>0                      Z  0675000U  5                  L  357         2008</t>
  </si>
  <si>
    <t>Combating student plagiarism : an academic librarian's guide / Lynn D. Lampert.</t>
  </si>
  <si>
    <t>Lampert, Lynn D.</t>
  </si>
  <si>
    <t>314982027:eng</t>
  </si>
  <si>
    <t>148313748</t>
  </si>
  <si>
    <t>ocn148313748</t>
  </si>
  <si>
    <t>3102854996S</t>
  </si>
  <si>
    <t>9781843342830</t>
  </si>
  <si>
    <t>794240694</t>
  </si>
  <si>
    <t>Z675 U5 L4143 2009</t>
  </si>
  <si>
    <t>0                      Z  0675000U  5                  L  4143        2009</t>
  </si>
  <si>
    <t>Emerging technologies for academic libraries in the digital age / LiLi Li.</t>
  </si>
  <si>
    <t>Li, Lili.</t>
  </si>
  <si>
    <t>2016-12-14</t>
  </si>
  <si>
    <t>103577502:eng</t>
  </si>
  <si>
    <t>148313906</t>
  </si>
  <si>
    <t>ocn148313906</t>
  </si>
  <si>
    <t>31028558058</t>
  </si>
  <si>
    <t>9781843343233</t>
  </si>
  <si>
    <t>794240699</t>
  </si>
  <si>
    <t>Z675 U5 L415 1999</t>
  </si>
  <si>
    <t>0                      Z  0675000U  5                  L  415         1999</t>
  </si>
  <si>
    <t>Librarians as learners, librarians as teachers : the diffusion of Internet expertise in the academic library / edited by Patricia O'Brien Libutti.</t>
  </si>
  <si>
    <t>56400686:eng</t>
  </si>
  <si>
    <t>40861966</t>
  </si>
  <si>
    <t>ocm40861966</t>
  </si>
  <si>
    <t>3102169063A</t>
  </si>
  <si>
    <t>9780838980033</t>
  </si>
  <si>
    <t>793577603</t>
  </si>
  <si>
    <t>Z675 U5 L48 2007</t>
  </si>
  <si>
    <t>0                      Z  0675000U  5                  L  48          2007</t>
  </si>
  <si>
    <t>Library 2.0 initiatives in academic libraries / Laura B. Cohen, editor.</t>
  </si>
  <si>
    <t>Chicago : Association of College and Research Libraries, 2007.</t>
  </si>
  <si>
    <t>363962250:eng</t>
  </si>
  <si>
    <t>177818002</t>
  </si>
  <si>
    <t>ocn177818002</t>
  </si>
  <si>
    <t>3102649097F</t>
  </si>
  <si>
    <t>9780838984529</t>
  </si>
  <si>
    <t>794278496</t>
  </si>
  <si>
    <t>Z675 U5 L48 2013</t>
  </si>
  <si>
    <t>0                      Z  0675000U  5                  L  48          2013</t>
  </si>
  <si>
    <t>Leveraging library resources in a world of fiscal restraint and institutional change / edited by Kevin B. Gunn and Elizabeth Dankert Hammond.</t>
  </si>
  <si>
    <t>London ; New York : Routledge, 2013.</t>
  </si>
  <si>
    <t>1171770755:eng</t>
  </si>
  <si>
    <t>773023799</t>
  </si>
  <si>
    <t>ocn773023799</t>
  </si>
  <si>
    <t>31034711721</t>
  </si>
  <si>
    <t>9780415538756</t>
  </si>
  <si>
    <t>794905238</t>
  </si>
  <si>
    <t>Z675 U5 L5185 2013</t>
  </si>
  <si>
    <t>0                      Z  0675000U  5                  L  5185        2013</t>
  </si>
  <si>
    <t>Library collection development for professional programs : trends and best practices / [edited by] Sara Holder, McGill University, Canada.</t>
  </si>
  <si>
    <t>Hershey, Pa. : Information Science Reference, [2013]</t>
  </si>
  <si>
    <t>1097003964:eng</t>
  </si>
  <si>
    <t>781939375</t>
  </si>
  <si>
    <t>ocn781939375</t>
  </si>
  <si>
    <t>3103480875G</t>
  </si>
  <si>
    <t>9781466618978</t>
  </si>
  <si>
    <t>794913440</t>
  </si>
  <si>
    <t>Z675 U5 M325 2007</t>
  </si>
  <si>
    <t>0                      Z  0675000U  5                  M  325         2007</t>
  </si>
  <si>
    <t>Making a difference : leadership and academic libraries / edited by Peter Hernon and Nancy Rossiter.</t>
  </si>
  <si>
    <t>2015-09-25</t>
  </si>
  <si>
    <t>802081255:eng</t>
  </si>
  <si>
    <t>71779016</t>
  </si>
  <si>
    <t>ocm71779016</t>
  </si>
  <si>
    <t>3102593468E</t>
  </si>
  <si>
    <t>9781591582915</t>
  </si>
  <si>
    <t>794168025</t>
  </si>
  <si>
    <t>Z675 U5 M326 2002</t>
  </si>
  <si>
    <t>0                      Z  0675000U  5                  M  326         2002</t>
  </si>
  <si>
    <t>Making the grade : academic libraries and student success / edited by Maurie Caitlin Kelly and Andrea Kross.</t>
  </si>
  <si>
    <t>Chicago : Association of College and Research Libraries, 2002.</t>
  </si>
  <si>
    <t>1043601635:eng</t>
  </si>
  <si>
    <t>48559503</t>
  </si>
  <si>
    <t>ocm48559503</t>
  </si>
  <si>
    <t>31022744631</t>
  </si>
  <si>
    <t>9780838981771</t>
  </si>
  <si>
    <t>793723865</t>
  </si>
  <si>
    <t>Z675 U5 M33 2017</t>
  </si>
  <si>
    <t>0                      Z  0675000U  5                  M  33          2017</t>
  </si>
  <si>
    <t>Now you're a manager : quick and practical strategies for new mid-level managers in academic libraries / M. Leslie Madden, Laura Carscaddon, Denita Hampton, and Brenna Helmstutler.</t>
  </si>
  <si>
    <t>Madden, M. Leslie, author.</t>
  </si>
  <si>
    <t>Chicago, Illinois : Association of College and Research Libraries, a division of the American Library Association, 2017.</t>
  </si>
  <si>
    <t>ACRL cookbook series</t>
  </si>
  <si>
    <t>4551950094:eng</t>
  </si>
  <si>
    <t>1007085361</t>
  </si>
  <si>
    <t>on1007085361</t>
  </si>
  <si>
    <t>3103759179L</t>
  </si>
  <si>
    <t>9780838987872</t>
  </si>
  <si>
    <t>795043719</t>
  </si>
  <si>
    <t>Z675.U5 M354 2007</t>
  </si>
  <si>
    <t>0                      Z  0675000U  5                  M  354         2007</t>
  </si>
  <si>
    <t>Library assessment in higher education / Joseph R. Matthews.</t>
  </si>
  <si>
    <t>5218120209:eng</t>
  </si>
  <si>
    <t>131063369</t>
  </si>
  <si>
    <t>ocn131063369</t>
  </si>
  <si>
    <t>31026430658</t>
  </si>
  <si>
    <t>9781591585312</t>
  </si>
  <si>
    <t>794231670</t>
  </si>
  <si>
    <t>Z675 U5 M354 2015</t>
  </si>
  <si>
    <t>0                      Z  0675000U  5                  M  354         2015</t>
  </si>
  <si>
    <t>Santa Barbara, California : Libraries Unlimited, [2015]</t>
  </si>
  <si>
    <t>102891388:eng</t>
  </si>
  <si>
    <t>890912313</t>
  </si>
  <si>
    <t>ocn890912313</t>
  </si>
  <si>
    <t>31037411727</t>
  </si>
  <si>
    <t>9781610698177</t>
  </si>
  <si>
    <t>794979698</t>
  </si>
  <si>
    <t>Z675 U5 M358 2010</t>
  </si>
  <si>
    <t>0                      Z  0675000U  5                  M  358         2010</t>
  </si>
  <si>
    <t>Building bridges : connecting faculty, students, and the college library / Monty L. McAdoo.</t>
  </si>
  <si>
    <t>McAdoo, Monty L.</t>
  </si>
  <si>
    <t>797251913:eng</t>
  </si>
  <si>
    <t>427704476</t>
  </si>
  <si>
    <t>ocn427704476</t>
  </si>
  <si>
    <t>31031287248</t>
  </si>
  <si>
    <t>9780838910191</t>
  </si>
  <si>
    <t>794696795</t>
  </si>
  <si>
    <t>Z675 U5 M37 2014</t>
  </si>
  <si>
    <t>0                      Z  0675000U  5                  M  37          2014</t>
  </si>
  <si>
    <t>Mastering digital librarianship : strategy, networking and discovery in academic libraries / edited by Alison Mackenzie and Lindsey Martin.</t>
  </si>
  <si>
    <t>1744810475:eng</t>
  </si>
  <si>
    <t>861678331</t>
  </si>
  <si>
    <t>ocn861678331</t>
  </si>
  <si>
    <t>31035296906</t>
  </si>
  <si>
    <t>9781856049436</t>
  </si>
  <si>
    <t>794959492</t>
  </si>
  <si>
    <t>Z675 U5 M557 2009</t>
  </si>
  <si>
    <t>0                      Z  0675000U  5                  M  557         2009</t>
  </si>
  <si>
    <t>Mistakes in academic library management : grievous errors and how to avoid them / edited by Jack E. Fritts, Jr.</t>
  </si>
  <si>
    <t>1010674919:eng</t>
  </si>
  <si>
    <t>320524679</t>
  </si>
  <si>
    <t>ocn320524679</t>
  </si>
  <si>
    <t>31031115710</t>
  </si>
  <si>
    <t>9780810867444</t>
  </si>
  <si>
    <t>794486448</t>
  </si>
  <si>
    <t>Z675 U5 M5755 2014</t>
  </si>
  <si>
    <t>0                      Z  0675000U  5                  M  5755        2014</t>
  </si>
  <si>
    <t>Fundamentals for the academic liaison / Richard Moniz, Joe Eshleman and Jo Henry.</t>
  </si>
  <si>
    <t>Moniz, Richard, author.</t>
  </si>
  <si>
    <t>London : Facet Publishing, 2012.</t>
  </si>
  <si>
    <t>1789523735:eng</t>
  </si>
  <si>
    <t>870649646</t>
  </si>
  <si>
    <t>ocn870649646</t>
  </si>
  <si>
    <t>31035317413</t>
  </si>
  <si>
    <t>9781783300051</t>
  </si>
  <si>
    <t>794966788</t>
  </si>
  <si>
    <t>Z675 U5 M685 1992</t>
  </si>
  <si>
    <t>0                      Z  0675000U  5                  M  685         1992</t>
  </si>
  <si>
    <t>Mouvance : réflexions sur le développpement des bibliothèques universitaires en hommage à Hubert Perron / sous la direction de Silvie Delorme ; [Claude Bonnelly et al.].</t>
  </si>
  <si>
    <t>Sillery : Presses de l'Université du Québec, 1992.</t>
  </si>
  <si>
    <t>5611074658:fre</t>
  </si>
  <si>
    <t>25552036</t>
  </si>
  <si>
    <t>ocm25552036</t>
  </si>
  <si>
    <t>3101215163K</t>
  </si>
  <si>
    <t>9782760507029</t>
  </si>
  <si>
    <t>793224836</t>
  </si>
  <si>
    <t>Z675 U5 M86 2013</t>
  </si>
  <si>
    <t>0                      Z  0675000U  5                  M  86          2013</t>
  </si>
  <si>
    <t>Everyday HR : a human resources handbook for academic library staff / Gail Munde.</t>
  </si>
  <si>
    <t>Munde, Gail.</t>
  </si>
  <si>
    <t>1348147884:eng</t>
  </si>
  <si>
    <t>794973726</t>
  </si>
  <si>
    <t>ocn794973726</t>
  </si>
  <si>
    <t>3103497946N</t>
  </si>
  <si>
    <t>9781555707989</t>
  </si>
  <si>
    <t>794920700</t>
  </si>
  <si>
    <t>Z675 U5 O15 2017</t>
  </si>
  <si>
    <t>0                      Z  0675000U  5                  O  15          2017</t>
  </si>
  <si>
    <t>Academic library value : the impact starter kit / Megan Oakleaf.</t>
  </si>
  <si>
    <t>Oakleaf, Megan J., author.</t>
  </si>
  <si>
    <t>1178479681:eng</t>
  </si>
  <si>
    <t>992688914</t>
  </si>
  <si>
    <t>ocn992688914</t>
  </si>
  <si>
    <t>31037394184</t>
  </si>
  <si>
    <t>9780838915929</t>
  </si>
  <si>
    <t>795038320</t>
  </si>
  <si>
    <t>Z675 U5 O23 2012</t>
  </si>
  <si>
    <t>0                      Z  0675000U  5                  O  23          2012</t>
  </si>
  <si>
    <t>Syracuse, NY : Dellas Graphics, [2012]</t>
  </si>
  <si>
    <t>2018-04-17</t>
  </si>
  <si>
    <t>818251681</t>
  </si>
  <si>
    <t>ocn818251681</t>
  </si>
  <si>
    <t>3103512189J</t>
  </si>
  <si>
    <t>9780615677552</t>
  </si>
  <si>
    <t>794933758</t>
  </si>
  <si>
    <t>Z675 U5 O275 2012</t>
  </si>
  <si>
    <t>0                      Z  0675000U  5                  O  275         2012</t>
  </si>
  <si>
    <t>Collaborative teaching and learning tools / Marilyn N. Ochoa, Thomas Caswell.</t>
  </si>
  <si>
    <t>Ochoa, Marilyn N.</t>
  </si>
  <si>
    <t>Washington, D.C. : Association of Research Libraries, ©2012.</t>
  </si>
  <si>
    <t>SPEC kit, 0160-3582 ; 328</t>
  </si>
  <si>
    <t>2013-05-28</t>
  </si>
  <si>
    <t>1128755062:eng</t>
  </si>
  <si>
    <t>801693249</t>
  </si>
  <si>
    <t>ocn801693249</t>
  </si>
  <si>
    <t>3103439749E</t>
  </si>
  <si>
    <t>9781594078811</t>
  </si>
  <si>
    <t>794925219</t>
  </si>
  <si>
    <t>Z675 U5 O36 2004</t>
  </si>
  <si>
    <t>0                      Z  0675000U  5                  O  36          2004</t>
  </si>
  <si>
    <t>The Eleventh Off-Campus Library Services Conference proceedings / Patrick B. Mahoney, editor.</t>
  </si>
  <si>
    <t>Off-Campus Library Services Conference (11th : 2004 : Scottsdale, Ariz.)</t>
  </si>
  <si>
    <t>Binghamton, NY : Haworth Information Press, 2004.</t>
  </si>
  <si>
    <t>17339278:eng</t>
  </si>
  <si>
    <t>56913206</t>
  </si>
  <si>
    <t>ocm56913206</t>
  </si>
  <si>
    <t>3102579234C</t>
  </si>
  <si>
    <t>9780789027849</t>
  </si>
  <si>
    <t>793903906</t>
  </si>
  <si>
    <t>Z675 U5 P343 2012</t>
  </si>
  <si>
    <t>0                      Z  0675000U  5                  P  343         2012</t>
  </si>
  <si>
    <t>Past or portal? : enhancing undergraduate learning through special collections and archives / edited by Eleanor Mitchell, Peggy Seiden, and Suzy Taraba.</t>
  </si>
  <si>
    <t>2019-07-10</t>
  </si>
  <si>
    <t>1173727789:eng</t>
  </si>
  <si>
    <t>779777869</t>
  </si>
  <si>
    <t>ocn779777869</t>
  </si>
  <si>
    <t>3103412178R</t>
  </si>
  <si>
    <t>9780838986103</t>
  </si>
  <si>
    <t>794911315</t>
  </si>
  <si>
    <t>Z675 U5 P472 2014</t>
  </si>
  <si>
    <t>0                      Z  0675000U  5                  P  472         2014</t>
  </si>
  <si>
    <t>The personal librarian : enhancing the student experience / Richard J. Moniz Jr. and Jean Moats, editors ; Joe Eshleman, Valerie Freeman, Jo Henry, and David Jewell, contributors.</t>
  </si>
  <si>
    <t>2016-04-22</t>
  </si>
  <si>
    <t>2081695419:eng</t>
  </si>
  <si>
    <t>881910218</t>
  </si>
  <si>
    <t>ocn881910218</t>
  </si>
  <si>
    <t>3103582612K</t>
  </si>
  <si>
    <t>9780838912393</t>
  </si>
  <si>
    <t>794974975</t>
  </si>
  <si>
    <t>Z675 U5 P473 2012</t>
  </si>
  <si>
    <t>0                      Z  0675000U  5                  P  473         2012</t>
  </si>
  <si>
    <t>Personalising library services in higher education : the boutique approach / edited by Andy Priestner and Elizabeth Tilley, University of Cambridge.</t>
  </si>
  <si>
    <t>Farnham, Surrey, England : Ashgate, [2012]</t>
  </si>
  <si>
    <t>2014-05-02</t>
  </si>
  <si>
    <t>1090622391:eng</t>
  </si>
  <si>
    <t>781432080</t>
  </si>
  <si>
    <t>ocn781432080</t>
  </si>
  <si>
    <t>3103468448C</t>
  </si>
  <si>
    <t>9781409431800</t>
  </si>
  <si>
    <t>794912666</t>
  </si>
  <si>
    <t>Z675 U5 P525 2017</t>
  </si>
  <si>
    <t>0                      Z  0675000U  5                  P  525         2017</t>
  </si>
  <si>
    <t>Creating and sharing online library instruction : a how-to-do-it manual for librarians / Joelle Pitts, Sara K. Kearns, Heather Collins.</t>
  </si>
  <si>
    <t>Pitts, Joelle, author.</t>
  </si>
  <si>
    <t>Chicago : ALA Neal-Schuman, an imprint of the American Library Association, 2017.</t>
  </si>
  <si>
    <t>4188506574:eng</t>
  </si>
  <si>
    <t>984742950</t>
  </si>
  <si>
    <t>ocn984742950</t>
  </si>
  <si>
    <t>3103740115O</t>
  </si>
  <si>
    <t>9780838915622</t>
  </si>
  <si>
    <t>795035076</t>
  </si>
  <si>
    <t>Z675 U5 P65 1996</t>
  </si>
  <si>
    <t>0                      Z  0675000U  5                  P  65          1996</t>
  </si>
  <si>
    <t>Measuring quality : international guidelines for performance measurement in academic libraries / Roswitha Poll and Peter te Boekhorst (IFLA Section of University Libraries &amp; Other General Research Libraries), in collaboration with Ramon Abad Hiraldo [and others].</t>
  </si>
  <si>
    <t>Poll, Roswitha.</t>
  </si>
  <si>
    <t>München ; New Providence [N.J.] : K.G. Saur, 1996.</t>
  </si>
  <si>
    <t>IFLA publications, 0344-6891 ; 76</t>
  </si>
  <si>
    <t>2015-11-16</t>
  </si>
  <si>
    <t>4921192551:eng</t>
  </si>
  <si>
    <t>35181577</t>
  </si>
  <si>
    <t>ocm35181577</t>
  </si>
  <si>
    <t>3101558475F</t>
  </si>
  <si>
    <t>9783598218002</t>
  </si>
  <si>
    <t>793446175</t>
  </si>
  <si>
    <t>Z675 U5 Q35 2014</t>
  </si>
  <si>
    <t>0                      Z  0675000U  5                  Q  35          2014</t>
  </si>
  <si>
    <t>The quality infrastructure : measuring, analyzing, and improving library services / edited by Sarah Anne Murphy.</t>
  </si>
  <si>
    <t>1119275379:eng</t>
  </si>
  <si>
    <t>833630040</t>
  </si>
  <si>
    <t>ocn833630040</t>
  </si>
  <si>
    <t>3103583412M</t>
  </si>
  <si>
    <t>9780838911730</t>
  </si>
  <si>
    <t>794944257</t>
  </si>
  <si>
    <t>Z675 U5 R175 2003</t>
  </si>
  <si>
    <t>0                      Z  0675000U  5                  R  175         2003</t>
  </si>
  <si>
    <t>Musings, meanderings, and monsters, too : essays on academic librarianship / edited by Martin H. Raish.</t>
  </si>
  <si>
    <t>Lanham, Md. : Scarecrow Press, 2003.</t>
  </si>
  <si>
    <t>2017-02-27</t>
  </si>
  <si>
    <t>961830727:eng</t>
  </si>
  <si>
    <t>51637812</t>
  </si>
  <si>
    <t>ocm51637812</t>
  </si>
  <si>
    <t>3102300004X</t>
  </si>
  <si>
    <t>9780810847675</t>
  </si>
  <si>
    <t>793788425</t>
  </si>
  <si>
    <t>Z675 U5 R4423 2011</t>
  </si>
  <si>
    <t>0                      Z  0675000U  5                  R  4423        2011</t>
  </si>
  <si>
    <t>Reconfiguring service delivery / Kay Vyhnanek, Christy Zlatos.</t>
  </si>
  <si>
    <t>Vyhnanek, Kay.</t>
  </si>
  <si>
    <t>Washington, DC : Association of Research Libraries, [2011]</t>
  </si>
  <si>
    <t>SPEC kit ; 327</t>
  </si>
  <si>
    <t>2012-05-30</t>
  </si>
  <si>
    <t>1072053740:eng</t>
  </si>
  <si>
    <t>770226464</t>
  </si>
  <si>
    <t>ocn770226464</t>
  </si>
  <si>
    <t>3103441522E</t>
  </si>
  <si>
    <t>9781594078712</t>
  </si>
  <si>
    <t>794903882</t>
  </si>
  <si>
    <t>Z675 U5 R4435 2013</t>
  </si>
  <si>
    <t>0                      Z  0675000U  5                  R  4435        2013</t>
  </si>
  <si>
    <t>Reflecting on the future of academic and public libraries / edited by Peter Hernon and Joseph R. Matthews.</t>
  </si>
  <si>
    <t>1170997155:eng</t>
  </si>
  <si>
    <t>812122282</t>
  </si>
  <si>
    <t>ocn812122282</t>
  </si>
  <si>
    <t>3103455374Q</t>
  </si>
  <si>
    <t>9780838911877</t>
  </si>
  <si>
    <t>794930708</t>
  </si>
  <si>
    <t>Z675 U5 R667 2010</t>
  </si>
  <si>
    <t>0                      Z  0675000U  5                  R  667         2010</t>
  </si>
  <si>
    <t>Du lecteur à l'usager : ethnographie d'une bibliothèque universitaire / Mariangela Roselli, Marc Perrenoud.</t>
  </si>
  <si>
    <t>Roselli, Mariangela.</t>
  </si>
  <si>
    <t>Toulouse : Presses universitaires du Mirail, 2010.</t>
  </si>
  <si>
    <t>Socio-logiques, 1159-9170</t>
  </si>
  <si>
    <t>796538121:fre</t>
  </si>
  <si>
    <t>642213351</t>
  </si>
  <si>
    <t>ocn642213351</t>
  </si>
  <si>
    <t>3103333120T</t>
  </si>
  <si>
    <t>9782810700851</t>
  </si>
  <si>
    <t>794827950</t>
  </si>
  <si>
    <t>Z675 U5 S324</t>
  </si>
  <si>
    <t>0                      Z  0675000U  5                  S  324</t>
  </si>
  <si>
    <t>Teaching library skills in freshman English : an Undergraduate Library's experience / by Barbara A. Schwartz and Susan Burton.</t>
  </si>
  <si>
    <t>Schwartz, Barbara A.</t>
  </si>
  <si>
    <t>[Austin] (PCL 3.200, Austin 78712) : University of Texas at Austin, General Libraries, 1981.</t>
  </si>
  <si>
    <t>Contributions to librarianship ; no. 6</t>
  </si>
  <si>
    <t>11949109:eng</t>
  </si>
  <si>
    <t>8409836</t>
  </si>
  <si>
    <t>ocm08409836</t>
  </si>
  <si>
    <t>3103705485R</t>
  </si>
  <si>
    <t>9780930214098</t>
  </si>
  <si>
    <t>792617788</t>
  </si>
  <si>
    <t>Z675 U5 S77 2014</t>
  </si>
  <si>
    <t>0                      Z  0675000U  5                  S  77          2014</t>
  </si>
  <si>
    <t>Reinventing the library for online education / Frederick Stielow.</t>
  </si>
  <si>
    <t>Stielow, Frederick J., 1946-</t>
  </si>
  <si>
    <t>1843740435:eng</t>
  </si>
  <si>
    <t>857141231</t>
  </si>
  <si>
    <t>ocn857141231</t>
  </si>
  <si>
    <t>31035054697</t>
  </si>
  <si>
    <t>9780838912089</t>
  </si>
  <si>
    <t>794954819</t>
  </si>
  <si>
    <t>Z675 U5 S819 2011</t>
  </si>
  <si>
    <t>0                      Z  0675000U  5                  S  819         2011</t>
  </si>
  <si>
    <t>Strategic planning in college libraries / compiled by Eleonora Dubicki.</t>
  </si>
  <si>
    <t>[Chicago] : College Library Information Packet Committee, College Libraries Section, Association of College and Research Libraries, ©2011.</t>
  </si>
  <si>
    <t>CLIP note ; #43</t>
  </si>
  <si>
    <t>902956268:eng</t>
  </si>
  <si>
    <t>726695778</t>
  </si>
  <si>
    <t>ocn726695778</t>
  </si>
  <si>
    <t>3103127647B</t>
  </si>
  <si>
    <t>9780838985885</t>
  </si>
  <si>
    <t>794877300</t>
  </si>
  <si>
    <t>Z675 U5 S8334 2012</t>
  </si>
  <si>
    <t>0                      Z  0675000U  5                  S  8334        2012</t>
  </si>
  <si>
    <t>Student engagement and the academic library / Loanne Snavely, editor.</t>
  </si>
  <si>
    <t>1144622244:eng</t>
  </si>
  <si>
    <t>759916017</t>
  </si>
  <si>
    <t>ocn759916017</t>
  </si>
  <si>
    <t>3103412289M</t>
  </si>
  <si>
    <t>9781598849837</t>
  </si>
  <si>
    <t>794898029</t>
  </si>
  <si>
    <t>Z675 U5 S8344 2013</t>
  </si>
  <si>
    <t>0                      Z  0675000U  5                  S  8344        2013</t>
  </si>
  <si>
    <t>Survey of academic library practices in staging special events / Primary Research Group.</t>
  </si>
  <si>
    <t>1213991796:eng</t>
  </si>
  <si>
    <t>825096687</t>
  </si>
  <si>
    <t>ocn825096687</t>
  </si>
  <si>
    <t>3103453954K</t>
  </si>
  <si>
    <t>9781574402209</t>
  </si>
  <si>
    <t>794938459</t>
  </si>
  <si>
    <t>Z675 U5 S83456 2015</t>
  </si>
  <si>
    <t>0                      Z  0675000U  5                  S  83456       2015</t>
  </si>
  <si>
    <t>Survey of academic library plans for group work rooms and spaces.</t>
  </si>
  <si>
    <t>New York, New York : Primary Research Group Inc., [2015]</t>
  </si>
  <si>
    <t>2488889595:eng</t>
  </si>
  <si>
    <t>906762398</t>
  </si>
  <si>
    <t>ocn906762398</t>
  </si>
  <si>
    <t>31036101615</t>
  </si>
  <si>
    <t>9781574403367</t>
  </si>
  <si>
    <t>794992443</t>
  </si>
  <si>
    <t>Z675 U5 S8347 2013</t>
  </si>
  <si>
    <t>0                      Z  0675000U  5                  S  8347        2013</t>
  </si>
  <si>
    <t>Survey of the academic library role in course management systems.</t>
  </si>
  <si>
    <t>New York, NY : Primary Research Group, ©2013.</t>
  </si>
  <si>
    <t>1391092655:eng</t>
  </si>
  <si>
    <t>857966671</t>
  </si>
  <si>
    <t>ocn857966671</t>
  </si>
  <si>
    <t>3103502669D</t>
  </si>
  <si>
    <t>9781574402544</t>
  </si>
  <si>
    <t>794955611</t>
  </si>
  <si>
    <t>Z675 U5 S835 1988</t>
  </si>
  <si>
    <t>0                      Z  0675000U  5                  S  835         1988</t>
  </si>
  <si>
    <t>Designing instruction for library users : a practical guide / Marilla D. Svinicki, Barbara A. Schwartz.</t>
  </si>
  <si>
    <t>Svinicki, Marilla D., 1946-</t>
  </si>
  <si>
    <t>New York : M. Dekker, ©1988.</t>
  </si>
  <si>
    <t>Books in library and information science ; vol. 50</t>
  </si>
  <si>
    <t>889339440:eng</t>
  </si>
  <si>
    <t>16683927</t>
  </si>
  <si>
    <t>ocm16683927</t>
  </si>
  <si>
    <t>3000851661D</t>
  </si>
  <si>
    <t>9780824778200</t>
  </si>
  <si>
    <t>792968842</t>
  </si>
  <si>
    <t>Z675 U5 S87 2013</t>
  </si>
  <si>
    <t>0                      Z  0675000U  5                  S  87          2013</t>
  </si>
  <si>
    <t>The survey of academic library subject specialists. Psychology &amp; psychiatry.</t>
  </si>
  <si>
    <t>5219031387:eng</t>
  </si>
  <si>
    <t>844308215</t>
  </si>
  <si>
    <t>ocn844308215</t>
  </si>
  <si>
    <t>3103499410$</t>
  </si>
  <si>
    <t>9781574402407</t>
  </si>
  <si>
    <t>794948525</t>
  </si>
  <si>
    <t>Z675 U5 S87 2019</t>
  </si>
  <si>
    <t>0                      Z  0675000U  5                  S  87          2019</t>
  </si>
  <si>
    <t>Survey of academic library leadership : evaluation of the virtual reference service / Primary Research Group.</t>
  </si>
  <si>
    <t>New York, New York : Primary Research Group Inc., [2019]</t>
  </si>
  <si>
    <t>9618398969:eng</t>
  </si>
  <si>
    <t>1112897121</t>
  </si>
  <si>
    <t>on1112897121</t>
  </si>
  <si>
    <t>3103812659M</t>
  </si>
  <si>
    <t>9781574405927</t>
  </si>
  <si>
    <t>795084337</t>
  </si>
  <si>
    <t>Z675 U5 S878 2013</t>
  </si>
  <si>
    <t>0                      Z  0675000U  5                  S  878         2013</t>
  </si>
  <si>
    <t>Survey of academic library plans for computer workstations, personal computers, laptops and other computing devices.</t>
  </si>
  <si>
    <t>New York : Primary Research Group, [2013]</t>
  </si>
  <si>
    <t>1783755768:eng</t>
  </si>
  <si>
    <t>855190442</t>
  </si>
  <si>
    <t>ocn855190442</t>
  </si>
  <si>
    <t>3103502735G</t>
  </si>
  <si>
    <t>9781574402490</t>
  </si>
  <si>
    <t>794953104</t>
  </si>
  <si>
    <t>Z675 U5 S963 2011</t>
  </si>
  <si>
    <t>0                      Z  0675000U  5                  S  963         2011</t>
  </si>
  <si>
    <t>The survey of academic library cataloging practices.</t>
  </si>
  <si>
    <t>[New York] : Primary Research Group, ©2011.</t>
  </si>
  <si>
    <t>Survey of academic library cataloging practices</t>
  </si>
  <si>
    <t>3771443373:eng</t>
  </si>
  <si>
    <t>752001396</t>
  </si>
  <si>
    <t>ocn752001396</t>
  </si>
  <si>
    <t>3103385245Q</t>
  </si>
  <si>
    <t>9781574401783</t>
  </si>
  <si>
    <t>794891408</t>
  </si>
  <si>
    <t>Z675 U5 S976 2010</t>
  </si>
  <si>
    <t>0                      Z  0675000U  5                  S  976         2010</t>
  </si>
  <si>
    <t>The survey of academic librarians : opinion of the usefulness of certain library technologies.</t>
  </si>
  <si>
    <t>[New York] : Primary Research Group, 2010.</t>
  </si>
  <si>
    <t>3374620106:eng</t>
  </si>
  <si>
    <t>620108304</t>
  </si>
  <si>
    <t>ocn620108304</t>
  </si>
  <si>
    <t>3103240829L</t>
  </si>
  <si>
    <t>9781574401509</t>
  </si>
  <si>
    <t>794823485</t>
  </si>
  <si>
    <t>Z675 U5 S978 2013</t>
  </si>
  <si>
    <t>0                      Z  0675000U  5                  S  978         2013</t>
  </si>
  <si>
    <t>The survey of academic library use of lecture capture technology.</t>
  </si>
  <si>
    <t>3771768780:eng</t>
  </si>
  <si>
    <t>857645995</t>
  </si>
  <si>
    <t>ocn857645995</t>
  </si>
  <si>
    <t>3103503036X</t>
  </si>
  <si>
    <t>9781574402537</t>
  </si>
  <si>
    <t>794955202</t>
  </si>
  <si>
    <t>Z675 U5 T454 2017</t>
  </si>
  <si>
    <t>0                      Z  0675000U  5                  T  454         2017</t>
  </si>
  <si>
    <t>Textbooks in academic libraries : selection, circulation, and assessment / edited by Chris Diaz.</t>
  </si>
  <si>
    <t>4684359301:eng</t>
  </si>
  <si>
    <t>988232167</t>
  </si>
  <si>
    <t>ocn988232167</t>
  </si>
  <si>
    <t>3103739465W</t>
  </si>
  <si>
    <t>9780838915875</t>
  </si>
  <si>
    <t>795036640</t>
  </si>
  <si>
    <t>Z675 U5 T66 2003</t>
  </si>
  <si>
    <t>0                      Z  0675000U  5                  T  66          2003</t>
  </si>
  <si>
    <t>Toolkit for academic and research libraries : messages, ideas, and strategies for promoting the value of our libraries and librarians in the 21st century.</t>
  </si>
  <si>
    <t>Chicago : American Library Association and Association of College and Research Libraries, ©2003.</t>
  </si>
  <si>
    <t>5615135304:eng</t>
  </si>
  <si>
    <t>52313414</t>
  </si>
  <si>
    <t>ocm52313414</t>
  </si>
  <si>
    <t>3102300979T</t>
  </si>
  <si>
    <t>793803364</t>
  </si>
  <si>
    <t>Z675 U5 T66 2010</t>
  </si>
  <si>
    <t>0                      Z  0675000U  5                  T  66          2010</t>
  </si>
  <si>
    <t>Transforming research libraries for the global knowledge society / edited by Barbara I. Dewey.</t>
  </si>
  <si>
    <t>375864968:eng</t>
  </si>
  <si>
    <t>503046652</t>
  </si>
  <si>
    <t>ocn503046652</t>
  </si>
  <si>
    <t>3103231727P</t>
  </si>
  <si>
    <t>9781843345947</t>
  </si>
  <si>
    <t>794806099</t>
  </si>
  <si>
    <t>Z675 U5 T86 2013</t>
  </si>
  <si>
    <t>0                      Z  0675000U  5                  T  86          2013</t>
  </si>
  <si>
    <t>Embedding librarianship in learning management systems : a how-to-do-it manual for librarians / Beth E. Tumbleson and John J. Burke.</t>
  </si>
  <si>
    <t>Tumbleson, Beth E., 1954-</t>
  </si>
  <si>
    <t>How-To-Do-It Manual Series (For Librarians)</t>
  </si>
  <si>
    <t>1371995549:eng</t>
  </si>
  <si>
    <t>836261183</t>
  </si>
  <si>
    <t>ocn836261183</t>
  </si>
  <si>
    <t>3103499392N</t>
  </si>
  <si>
    <t>9781555708627</t>
  </si>
  <si>
    <t>794944888</t>
  </si>
  <si>
    <t>Z675 U5 U54</t>
  </si>
  <si>
    <t>0                      Z  0675000U  5                  U  54</t>
  </si>
  <si>
    <t>University library history : an international review / edited by James Thompson.</t>
  </si>
  <si>
    <t>New York : K.G. Saur ; London : C. Bingley, ©1980.</t>
  </si>
  <si>
    <t>2016-03-20</t>
  </si>
  <si>
    <t>889312468:eng</t>
  </si>
  <si>
    <t>7339236</t>
  </si>
  <si>
    <t>ocm07339236</t>
  </si>
  <si>
    <t>3000843424N</t>
  </si>
  <si>
    <t>9780896644397</t>
  </si>
  <si>
    <t>792554162</t>
  </si>
  <si>
    <t>Z675 U5 U5475 2011</t>
  </si>
  <si>
    <t>0                      Z  0675000U  5                  U  5475        2011</t>
  </si>
  <si>
    <t>University libraries and digital learning environments / edited by Penny Dale, Jill Beard [and] Matt Holland.</t>
  </si>
  <si>
    <t>2019-07-16</t>
  </si>
  <si>
    <t>898186095:eng</t>
  </si>
  <si>
    <t>663822326</t>
  </si>
  <si>
    <t>ocn663822326</t>
  </si>
  <si>
    <t>3103320737Q</t>
  </si>
  <si>
    <t>9780754679578</t>
  </si>
  <si>
    <t>794842723</t>
  </si>
  <si>
    <t>Z675 U5 V465 2014</t>
  </si>
  <si>
    <t>0                      Z  0675000U  5                  V  465         2014</t>
  </si>
  <si>
    <t>Virtually embedded : the librarian in an online environment / edited by Elizabeth Leonard and Erin McCaffrey.</t>
  </si>
  <si>
    <t>1789585075:eng</t>
  </si>
  <si>
    <t>866766750</t>
  </si>
  <si>
    <t>ocn866766750</t>
  </si>
  <si>
    <t>31035672996</t>
  </si>
  <si>
    <t>9780838986844</t>
  </si>
  <si>
    <t>794963619</t>
  </si>
  <si>
    <t>Z675 U5 W325 2015</t>
  </si>
  <si>
    <t>0                      Z  0675000U  5                  W  325         2015</t>
  </si>
  <si>
    <t>Rightsizing the academic library collection / Suzanne M. Ward.</t>
  </si>
  <si>
    <t>Ward, Suzanne M., author.</t>
  </si>
  <si>
    <t>2530422373:eng</t>
  </si>
  <si>
    <t>894128431</t>
  </si>
  <si>
    <t>ocn894128431</t>
  </si>
  <si>
    <t>3103612545E</t>
  </si>
  <si>
    <t>9780838912980</t>
  </si>
  <si>
    <t>794982394</t>
  </si>
  <si>
    <t>Z675 U5 W396 2012</t>
  </si>
  <si>
    <t>0                      Z  0675000U  5                  W  396         2012</t>
  </si>
  <si>
    <t>Divided libraries : remodeling management to unify institutions / T.D. Webb.</t>
  </si>
  <si>
    <t>Webb, Terry.</t>
  </si>
  <si>
    <t>Jefferson, North Carolina : McFarland &amp; Company, Inc., Publishers, 2012.</t>
  </si>
  <si>
    <t>1124743718:eng</t>
  </si>
  <si>
    <t>799251918</t>
  </si>
  <si>
    <t>ocn799251918</t>
  </si>
  <si>
    <t>3103414079M</t>
  </si>
  <si>
    <t>9780786464784</t>
  </si>
  <si>
    <t>794924303</t>
  </si>
  <si>
    <t>Z675 U5 W78 2009</t>
  </si>
  <si>
    <t>0                      Z  0675000U  5                  W  78          2009</t>
  </si>
  <si>
    <t>Creating the customer-driven academic library / Jeannette Woodward.</t>
  </si>
  <si>
    <t>Woodward, Jeannette A., author.</t>
  </si>
  <si>
    <t>138085466:eng</t>
  </si>
  <si>
    <t>229446136</t>
  </si>
  <si>
    <t>ocn229446136</t>
  </si>
  <si>
    <t>31030549347</t>
  </si>
  <si>
    <t>9780838909768</t>
  </si>
  <si>
    <t>794353913</t>
  </si>
  <si>
    <t>Z675 U5 Z37 2011</t>
  </si>
  <si>
    <t>0                      Z  0675000U  5                  Z  37          2011</t>
  </si>
  <si>
    <t>Academic branch libraries in changing times / Nevenka Zdravkovska.</t>
  </si>
  <si>
    <t>Zdravkovska, Nevenka.</t>
  </si>
  <si>
    <t>2016-01-13</t>
  </si>
  <si>
    <t>1075956796:eng</t>
  </si>
  <si>
    <t>713610151</t>
  </si>
  <si>
    <t>ocn713610151</t>
  </si>
  <si>
    <t>3103430618M</t>
  </si>
  <si>
    <t>9781843346302</t>
  </si>
  <si>
    <t>794873024</t>
  </si>
  <si>
    <t>Z675 W6 G74 2010</t>
  </si>
  <si>
    <t>0                      Z  0675000W  6                  G  74          2010</t>
  </si>
  <si>
    <t>Des bibliothèques pour les ouvriers et des lectures de ceux-ci au XIXe siècle : la cas de Roubaix / par Bernard Grelle.</t>
  </si>
  <si>
    <t>Grelle, Bernard, active 1994- author.</t>
  </si>
  <si>
    <t>Bernay : Société d'histoire de la lecture, 2010, ©2010.</t>
  </si>
  <si>
    <t>Matériaux pour une histoire de la lecture et de ses institutions, 1284-8220 ; deuxième sér., 1</t>
  </si>
  <si>
    <t>836748419:fre</t>
  </si>
  <si>
    <t>647902943</t>
  </si>
  <si>
    <t>ocn647902943</t>
  </si>
  <si>
    <t>3103345751T</t>
  </si>
  <si>
    <t>9782912626226</t>
  </si>
  <si>
    <t>794830951</t>
  </si>
  <si>
    <t>v.30</t>
  </si>
  <si>
    <t>2018-06-03</t>
  </si>
  <si>
    <t>v.27</t>
  </si>
  <si>
    <t>v.28</t>
  </si>
  <si>
    <t>v.31</t>
  </si>
  <si>
    <t>2017-09-26</t>
  </si>
  <si>
    <t>Z678 A43 2012</t>
  </si>
  <si>
    <t>0                      Z  0678000A  43          2012</t>
  </si>
  <si>
    <t>Management of information organizations / Waseem Afzal.</t>
  </si>
  <si>
    <t>Afzal, Waseem.</t>
  </si>
  <si>
    <t>Oxford, UK : Chandos Pub., 2012.</t>
  </si>
  <si>
    <t>2018-09-09</t>
  </si>
  <si>
    <t>1070231967:eng</t>
  </si>
  <si>
    <t>711047948</t>
  </si>
  <si>
    <t>ocn711047948</t>
  </si>
  <si>
    <t>3103414098I</t>
  </si>
  <si>
    <t>9781843346241</t>
  </si>
  <si>
    <t>794870678</t>
  </si>
  <si>
    <t>Z678 A56 2004</t>
  </si>
  <si>
    <t>0                      Z  0678000A  56          2004</t>
  </si>
  <si>
    <t>Project management : tools and techniques for today's ILS professional / Barbara Allan.</t>
  </si>
  <si>
    <t>10810274:eng</t>
  </si>
  <si>
    <t>53068485</t>
  </si>
  <si>
    <t>ocm53068485</t>
  </si>
  <si>
    <t>3102481721W</t>
  </si>
  <si>
    <t>9781856045049</t>
  </si>
  <si>
    <t>793820654</t>
  </si>
  <si>
    <t>Z678 B8185 2005</t>
  </si>
  <si>
    <t>0                      Z  0678000B  8185        2005</t>
  </si>
  <si>
    <t>On Sibyl's shoulders : seeking soul in library leadership / Donna Brockmeyer.</t>
  </si>
  <si>
    <t>Brockmeyer, Donna, 1961-</t>
  </si>
  <si>
    <t>476628798:eng</t>
  </si>
  <si>
    <t>58535521</t>
  </si>
  <si>
    <t>ocm58535521</t>
  </si>
  <si>
    <t>31025541710</t>
  </si>
  <si>
    <t>9780810851207</t>
  </si>
  <si>
    <t>793922060</t>
  </si>
  <si>
    <t>Z678 C35 2007</t>
  </si>
  <si>
    <t>0                      Z  0678000C  35          2007</t>
  </si>
  <si>
    <t>Library 2.0 : a guide to participatory library service / Michael E. Casey, Laura C. Savastinuk.</t>
  </si>
  <si>
    <t>Casey, Michael E., 1967-</t>
  </si>
  <si>
    <t>Medford, N.J. : Information Today, ©2007.</t>
  </si>
  <si>
    <t>796428197:eng</t>
  </si>
  <si>
    <t>85018094</t>
  </si>
  <si>
    <t>ocm85018094</t>
  </si>
  <si>
    <t>3102596509B</t>
  </si>
  <si>
    <t>9781573872973</t>
  </si>
  <si>
    <t>794212698</t>
  </si>
  <si>
    <t>Z678 C755 1994</t>
  </si>
  <si>
    <t>0                      Z  0678000C  755         1994</t>
  </si>
  <si>
    <t>Strategic planning for library and information services / Sheila Corrall.</t>
  </si>
  <si>
    <t>Corrall, Sheila.</t>
  </si>
  <si>
    <t>London : Aslib, 1994.</t>
  </si>
  <si>
    <t>Aslib know how series</t>
  </si>
  <si>
    <t>2015-09-26</t>
  </si>
  <si>
    <t>32942974:eng</t>
  </si>
  <si>
    <t>31505477</t>
  </si>
  <si>
    <t>ocm31505477</t>
  </si>
  <si>
    <t>31018934357</t>
  </si>
  <si>
    <t>9780851423302</t>
  </si>
  <si>
    <t>793362626</t>
  </si>
  <si>
    <t>Z678 C87 2005</t>
  </si>
  <si>
    <t>0                      Z  0678000C  87          2005</t>
  </si>
  <si>
    <t>Guide to library and information agency management / Charles Curran, Lewis Miller.</t>
  </si>
  <si>
    <t>Curran, Charles, 1938-</t>
  </si>
  <si>
    <t>2019765:eng</t>
  </si>
  <si>
    <t>60402082</t>
  </si>
  <si>
    <t>ocm60402082</t>
  </si>
  <si>
    <t>31031554970</t>
  </si>
  <si>
    <t>9780810851153</t>
  </si>
  <si>
    <t>793937144</t>
  </si>
  <si>
    <t>Z678 D17 2014</t>
  </si>
  <si>
    <t>0                      Z  0678000D  17          2014</t>
  </si>
  <si>
    <t>Say it with data : a concise guide to making your case and getting results / Priscille Dando.</t>
  </si>
  <si>
    <t>Dando, Priscille, author.</t>
  </si>
  <si>
    <t>1367641718:eng</t>
  </si>
  <si>
    <t>852763529</t>
  </si>
  <si>
    <t>ocn852763529</t>
  </si>
  <si>
    <t>3103502621L</t>
  </si>
  <si>
    <t>9780838911945</t>
  </si>
  <si>
    <t>794951555</t>
  </si>
  <si>
    <t>Z678 D58 2015</t>
  </si>
  <si>
    <t>0                      Z  0678000D  58          2015</t>
  </si>
  <si>
    <t>New routes to library success : 100+ ideas from outside the stacks / Elisabeth Doucett.</t>
  </si>
  <si>
    <t>Doucett, Elisabeth, author.</t>
  </si>
  <si>
    <t>Chicago : ALA Editions, An imprint of the American Library Association, 2015.</t>
  </si>
  <si>
    <t>2016-10-12</t>
  </si>
  <si>
    <t>2547044337:eng</t>
  </si>
  <si>
    <t>903473537</t>
  </si>
  <si>
    <t>ocn903473537</t>
  </si>
  <si>
    <t>3103607377R</t>
  </si>
  <si>
    <t>9780838913130</t>
  </si>
  <si>
    <t>794989171</t>
  </si>
  <si>
    <t>Z678 D6 2008</t>
  </si>
  <si>
    <t>0                      Z  0678000D  6           2008</t>
  </si>
  <si>
    <t>Streamlining library services : what we do, how much time it takes, what it costs, how we can do it better / Richard M. Dougherty.</t>
  </si>
  <si>
    <t>Dougherty, Richard M.</t>
  </si>
  <si>
    <t>2018-04-21</t>
  </si>
  <si>
    <t>197466496:eng</t>
  </si>
  <si>
    <t>174134023</t>
  </si>
  <si>
    <t>ocn174134023</t>
  </si>
  <si>
    <t>3102653377T</t>
  </si>
  <si>
    <t>9780810851986</t>
  </si>
  <si>
    <t>794273514</t>
  </si>
  <si>
    <t>Z678 E58 2012</t>
  </si>
  <si>
    <t>0                      Z  0678000E  58          2012</t>
  </si>
  <si>
    <t>The entrepreneurial librarian : essays on the infusion of private-business dynamism into professional service / edited by Mary Krautter, Mary Beth Lock and Mary G. Scanlon.</t>
  </si>
  <si>
    <t>Jefferson, North Carolina : McFarland &amp; Company, Inc., Publishers, [2012]</t>
  </si>
  <si>
    <t>1090719348:eng</t>
  </si>
  <si>
    <t>761851457</t>
  </si>
  <si>
    <t>ocn761851457</t>
  </si>
  <si>
    <t>3103410659O</t>
  </si>
  <si>
    <t>9780786464685</t>
  </si>
  <si>
    <t>794899661</t>
  </si>
  <si>
    <t>Z678 E87 2000</t>
  </si>
  <si>
    <t>0                      Z  0678000E  87          2000</t>
  </si>
  <si>
    <t>Management basics for information professionals / G. Edward Evans, Patricia Layzell Ward, Bendik Rugaas.</t>
  </si>
  <si>
    <t>Evans, G. Edward, 1937-</t>
  </si>
  <si>
    <t>28109262:eng</t>
  </si>
  <si>
    <t>43227502</t>
  </si>
  <si>
    <t>ocm43227502</t>
  </si>
  <si>
    <t>31019690265</t>
  </si>
  <si>
    <t>9781555703707</t>
  </si>
  <si>
    <t>793621974</t>
  </si>
  <si>
    <t>Z678 E9 2007</t>
  </si>
  <si>
    <t>0                      Z  0678000E  9           2007</t>
  </si>
  <si>
    <t>Management basics for information professionals / G. Edward Evans &amp; Patricia Layzell Ward.</t>
  </si>
  <si>
    <t>New York : Neal-Schuman Publishers, ©2007.</t>
  </si>
  <si>
    <t>2015-12-13</t>
  </si>
  <si>
    <t>122526041</t>
  </si>
  <si>
    <t>ocn122526041</t>
  </si>
  <si>
    <t>3102644638T</t>
  </si>
  <si>
    <t>9781555705862</t>
  </si>
  <si>
    <t>794220524</t>
  </si>
  <si>
    <t>Z678 E92 2013</t>
  </si>
  <si>
    <t>0                      Z  0678000E  92          2013</t>
  </si>
  <si>
    <t>Management basics for information professionals / G. Edwards Evans, Camila A. Alire.</t>
  </si>
  <si>
    <t>Evans, G. Edward, 1937- author.</t>
  </si>
  <si>
    <t>London : Facet Publishing, [2013]</t>
  </si>
  <si>
    <t>859577565</t>
  </si>
  <si>
    <t>ocn859577565</t>
  </si>
  <si>
    <t>31035044759</t>
  </si>
  <si>
    <t>9781856049542</t>
  </si>
  <si>
    <t>794957955</t>
  </si>
  <si>
    <t>Z678 E93 2009</t>
  </si>
  <si>
    <t>0                      Z  0678000E  93          2009</t>
  </si>
  <si>
    <t>Building library 3.0 : issues in creating a culture of participation / Woody Evans.</t>
  </si>
  <si>
    <t>Evans, Woody.</t>
  </si>
  <si>
    <t>793127221:eng</t>
  </si>
  <si>
    <t>436753615</t>
  </si>
  <si>
    <t>ocn436753615</t>
  </si>
  <si>
    <t>31031582592</t>
  </si>
  <si>
    <t>9781843344971</t>
  </si>
  <si>
    <t>794784948</t>
  </si>
  <si>
    <t>Z678 F45 2017</t>
  </si>
  <si>
    <t>0                      Z  0678000F  45          2017</t>
  </si>
  <si>
    <t>Feminists among us : resistance and advocacy in library leadership / edited by Shirley Lew and Baharak Yousefi.</t>
  </si>
  <si>
    <t>Sacramento, CA : Library Juice Press, 2017.</t>
  </si>
  <si>
    <t>Series on gender and sexuality in information studies ; number nine</t>
  </si>
  <si>
    <t>4684380515:eng</t>
  </si>
  <si>
    <t>992395269</t>
  </si>
  <si>
    <t>ocn992395269</t>
  </si>
  <si>
    <t>3103759079P</t>
  </si>
  <si>
    <t>9781634000277</t>
  </si>
  <si>
    <t>795038219</t>
  </si>
  <si>
    <t>Z678 G668 2005</t>
  </si>
  <si>
    <t>0                      Z  0678000G  668         2005</t>
  </si>
  <si>
    <t>The accidental library manager / Rachel Singer Gordon.</t>
  </si>
  <si>
    <t>Medford, N.J. : Information Today, 2005.</t>
  </si>
  <si>
    <t>16622612:eng</t>
  </si>
  <si>
    <t>56404955</t>
  </si>
  <si>
    <t>ocm56404955</t>
  </si>
  <si>
    <t>3102547384M</t>
  </si>
  <si>
    <t>9781573872102</t>
  </si>
  <si>
    <t>793892445</t>
  </si>
  <si>
    <t>Z678 G75 2010</t>
  </si>
  <si>
    <t>0                      Z  0678000G  75          2010</t>
  </si>
  <si>
    <t>Assessing information needs : managing transformative library services / Robert J. Grover, Roger C. Greer, and John Agada.</t>
  </si>
  <si>
    <t>Grover, Robert, 1942- author.</t>
  </si>
  <si>
    <t>792072600:eng</t>
  </si>
  <si>
    <t>548555600</t>
  </si>
  <si>
    <t>ocn548555600</t>
  </si>
  <si>
    <t>3103228978N</t>
  </si>
  <si>
    <t>9781591587972</t>
  </si>
  <si>
    <t>794810962</t>
  </si>
  <si>
    <t>Z678 H36 2008</t>
  </si>
  <si>
    <t>0                      Z  0678000H  36          2008</t>
  </si>
  <si>
    <t>Creating your library's business plan : a how-to-do-it manual with samples on CD-ROM / Joy H.P. Harriman.</t>
  </si>
  <si>
    <t>text + CD-ROM</t>
  </si>
  <si>
    <t>Harriman, Joy HP, 1953-</t>
  </si>
  <si>
    <t>How-to-do-it manuals ; no. 163</t>
  </si>
  <si>
    <t>2016-05-26</t>
  </si>
  <si>
    <t>140801124:eng</t>
  </si>
  <si>
    <t>213384918</t>
  </si>
  <si>
    <t>ocn213384918</t>
  </si>
  <si>
    <t>3103082899S</t>
  </si>
  <si>
    <t>9781555706340</t>
  </si>
  <si>
    <t>794307842</t>
  </si>
  <si>
    <t>Z678 H39 1996</t>
  </si>
  <si>
    <t>0                      Z  0678000H  39          1996</t>
  </si>
  <si>
    <t>Strategic management for public libraries : a handbook / Robert M. Hayes and Virginia A. Walter.</t>
  </si>
  <si>
    <t>Hayes, Robert Mayo, 1926-</t>
  </si>
  <si>
    <t>Westport, Conn. : Greenwood Press, 1996.</t>
  </si>
  <si>
    <t>3740831832:eng</t>
  </si>
  <si>
    <t>34150097</t>
  </si>
  <si>
    <t>ocm34150097</t>
  </si>
  <si>
    <t>3101804118V</t>
  </si>
  <si>
    <t>9780313289545</t>
  </si>
  <si>
    <t>793420282</t>
  </si>
  <si>
    <t>Z678 H455 2012</t>
  </si>
  <si>
    <t>0                      Z  0678000H  455         2012</t>
  </si>
  <si>
    <t>Public libraries and their national policies : international case studies / John Helling.</t>
  </si>
  <si>
    <t>Helling, John.</t>
  </si>
  <si>
    <t>1107200445:eng</t>
  </si>
  <si>
    <t>793217365</t>
  </si>
  <si>
    <t>ocn793217365</t>
  </si>
  <si>
    <t>3103457176O</t>
  </si>
  <si>
    <t>9781843346791</t>
  </si>
  <si>
    <t>794917771</t>
  </si>
  <si>
    <t>Z678 H46 2004</t>
  </si>
  <si>
    <t>0                      Z  0678000H  46          2004</t>
  </si>
  <si>
    <t>Hennen's public library planner : a manual and interactive CD-ROM / by Thomas J. Hennen, Jr.</t>
  </si>
  <si>
    <t>(Text + CD-ROM)</t>
  </si>
  <si>
    <t>Hennen, Thomas J.</t>
  </si>
  <si>
    <t>New York : Neal-Schuman, ©2004.</t>
  </si>
  <si>
    <t>996864:eng</t>
  </si>
  <si>
    <t>54001660</t>
  </si>
  <si>
    <t>ocm54001660</t>
  </si>
  <si>
    <t>31024238940</t>
  </si>
  <si>
    <t>9781555704872</t>
  </si>
  <si>
    <t>793855157</t>
  </si>
  <si>
    <t>Z678 H844 2015</t>
  </si>
  <si>
    <t>0                      Z  0678000H  844         2015</t>
  </si>
  <si>
    <t>The purpose-based library : finding your path to survival, success, and growth / John J. Huber, Steven V. Potter.</t>
  </si>
  <si>
    <t>Huber, John J., 1958- author.</t>
  </si>
  <si>
    <t>Chicago : ALA Neal-Schuman, An imprint of the American Library Association, 2015.</t>
  </si>
  <si>
    <t>2296845962:eng</t>
  </si>
  <si>
    <t>903473536</t>
  </si>
  <si>
    <t>ocn903473536</t>
  </si>
  <si>
    <t>3103610092Z</t>
  </si>
  <si>
    <t>9780838912447</t>
  </si>
  <si>
    <t>794989170</t>
  </si>
  <si>
    <t>Z678 I515 2015</t>
  </si>
  <si>
    <t>0                      Z  0678000I  515         2015</t>
  </si>
  <si>
    <t>Information services today : an introduction / edited by Sandra Hirsh.</t>
  </si>
  <si>
    <t>2495286737:eng</t>
  </si>
  <si>
    <t>898161627</t>
  </si>
  <si>
    <t>ocn898161627</t>
  </si>
  <si>
    <t>3103612066Q</t>
  </si>
  <si>
    <t>9781442239579</t>
  </si>
  <si>
    <t>794985989</t>
  </si>
  <si>
    <t>Z678 I516 1979</t>
  </si>
  <si>
    <t>0                      Z  0678000I  516         1979</t>
  </si>
  <si>
    <t>Library management without bias / edited by Ching-Chih Chen.</t>
  </si>
  <si>
    <t>Institute on Library Management without Bias (1979 : Dedham, Mass.)</t>
  </si>
  <si>
    <t>Greenwich, Conn. : Jai Press, ©1980.</t>
  </si>
  <si>
    <t>Foundations in library and information science ; v. 13</t>
  </si>
  <si>
    <t>549152:eng</t>
  </si>
  <si>
    <t>6762984</t>
  </si>
  <si>
    <t>ocm06762984</t>
  </si>
  <si>
    <t>3000842976Q</t>
  </si>
  <si>
    <t>9780892321636</t>
  </si>
  <si>
    <t>792522036</t>
  </si>
  <si>
    <t>Z678 L43 2014</t>
  </si>
  <si>
    <t>0                      Z  0678000L  43          2014</t>
  </si>
  <si>
    <t>Letting go of legacy services : library case studies / edited by Mary Evangeliste and Katherine Furlong.</t>
  </si>
  <si>
    <t>Chicago : ALA Editions, An imprint of the American Library Association, [2014]</t>
  </si>
  <si>
    <t>2513204093:eng</t>
  </si>
  <si>
    <t>872381775</t>
  </si>
  <si>
    <t>ocn872381775</t>
  </si>
  <si>
    <t>3103567118P</t>
  </si>
  <si>
    <t>9780838912201</t>
  </si>
  <si>
    <t>794968021</t>
  </si>
  <si>
    <t>Z678 L46 1992</t>
  </si>
  <si>
    <t>0                      Z  0678000L  46          1992</t>
  </si>
  <si>
    <t>Library communication : the language of leadership / edited by Donald E. Riggs.</t>
  </si>
  <si>
    <t>890127598:eng</t>
  </si>
  <si>
    <t>24502813</t>
  </si>
  <si>
    <t>ocm24502813</t>
  </si>
  <si>
    <t>3102664449N</t>
  </si>
  <si>
    <t>9780838905814</t>
  </si>
  <si>
    <t>793199668</t>
  </si>
  <si>
    <t>Z678 L463 2015</t>
  </si>
  <si>
    <t>0                      Z  0678000L  463         2015</t>
  </si>
  <si>
    <t>The library innovation toolkit : ideas, strategies, and programs / edited by Anthony Molaro and Leah L. White ; foreword by R. David Lankes.</t>
  </si>
  <si>
    <t>2494559239:eng</t>
  </si>
  <si>
    <t>894201331</t>
  </si>
  <si>
    <t>ocn894201331</t>
  </si>
  <si>
    <t>31036123787</t>
  </si>
  <si>
    <t>9780838912744</t>
  </si>
  <si>
    <t>794982477</t>
  </si>
  <si>
    <t>Z678 L465 2013</t>
  </si>
  <si>
    <t>0                      Z  0678000L  465         2013</t>
  </si>
  <si>
    <t>Library Leadership in the United States and Europe : a Comparative Study of Academic and Public Libraries / Peter Hernon and Niels Ole Pors, Editors.</t>
  </si>
  <si>
    <t>Santa Barbara, California : Libraries Unlimited, An Imprint of ABC-CLIO, LLC, [2013]</t>
  </si>
  <si>
    <t>1209541432:eng</t>
  </si>
  <si>
    <t>810111218</t>
  </si>
  <si>
    <t>ocn810111218</t>
  </si>
  <si>
    <t>3103453928Q</t>
  </si>
  <si>
    <t>9781610691260</t>
  </si>
  <si>
    <t>794929077</t>
  </si>
  <si>
    <t>Z678 L4725 2013</t>
  </si>
  <si>
    <t>0                      Z  0678000L  4725        2013</t>
  </si>
  <si>
    <t>Library management 101 : a practical guide / edited by Diane L. Velasquez.</t>
  </si>
  <si>
    <t>1185067405:eng</t>
  </si>
  <si>
    <t>820349440</t>
  </si>
  <si>
    <t>ocn820349440</t>
  </si>
  <si>
    <t>3103499601W</t>
  </si>
  <si>
    <t>9780838911488</t>
  </si>
  <si>
    <t>794935256</t>
  </si>
  <si>
    <t>Z678 L4854 1981</t>
  </si>
  <si>
    <t>0                      Z  0678000L  4854        1981</t>
  </si>
  <si>
    <t>Library management in review / SLA Management Division ; Alice Bruemmer [editor], Jane Reed, Karen Takle Quinn.</t>
  </si>
  <si>
    <t>New York : Special Libraries Association, 1981-87.</t>
  </si>
  <si>
    <t>2015-09-21</t>
  </si>
  <si>
    <t>394240558:eng</t>
  </si>
  <si>
    <t>427104440</t>
  </si>
  <si>
    <t>ocn427104440</t>
  </si>
  <si>
    <t>3000843954V</t>
  </si>
  <si>
    <t>9780871112941</t>
  </si>
  <si>
    <t>794520209</t>
  </si>
  <si>
    <t>3103641952P</t>
  </si>
  <si>
    <t>794520208</t>
  </si>
  <si>
    <t>Z678 L4858 2011</t>
  </si>
  <si>
    <t>0                      Z  0678000L  4858        2011</t>
  </si>
  <si>
    <t>Library management tips that work / Carol Smallwood, editor.</t>
  </si>
  <si>
    <t>2018-10-30</t>
  </si>
  <si>
    <t>793794747:eng</t>
  </si>
  <si>
    <t>704391665</t>
  </si>
  <si>
    <t>ocn704391665</t>
  </si>
  <si>
    <t>3103363669S</t>
  </si>
  <si>
    <t>9780838911211</t>
  </si>
  <si>
    <t>794865605</t>
  </si>
  <si>
    <t>Z678 L53 1995</t>
  </si>
  <si>
    <t>0                      Z  0678000L  53          1995</t>
  </si>
  <si>
    <t>Library systems office organization : a SPEC kit / compiled by Scott P. Muir ; editor, Laura A. Rounds ; production assistant, Michael Matthews.</t>
  </si>
  <si>
    <t>Washington, DC : Association of Research Libraries, Office of Management Services, ©1995.</t>
  </si>
  <si>
    <t>SPEC kit, 0160-3582 ; 211</t>
  </si>
  <si>
    <t>2287846572:eng</t>
  </si>
  <si>
    <t>33340220</t>
  </si>
  <si>
    <t>ocm33340220</t>
  </si>
  <si>
    <t>31014851801</t>
  </si>
  <si>
    <t>793407356</t>
  </si>
  <si>
    <t>Z678 L53 2016</t>
  </si>
  <si>
    <t>0                      Z  0678000L  53          2016</t>
  </si>
  <si>
    <t>Librarian contract negotiating skills benchmarks / Primary Research Group staff.</t>
  </si>
  <si>
    <t>[New York, New York] : Primary Research Group, [2016]</t>
  </si>
  <si>
    <t>3129415175:eng</t>
  </si>
  <si>
    <t>951338065</t>
  </si>
  <si>
    <t>ocn951338065</t>
  </si>
  <si>
    <t>3103656669Q</t>
  </si>
  <si>
    <t>9781574403961</t>
  </si>
  <si>
    <t>795017338</t>
  </si>
  <si>
    <t>Z678 L58 1973</t>
  </si>
  <si>
    <t>0                      Z  0678000L  58          1973</t>
  </si>
  <si>
    <t>Library administration.</t>
  </si>
  <si>
    <t>Lock, Reginald Northwood.</t>
  </si>
  <si>
    <t>London, Crosby Lockwood Staples, 1973.</t>
  </si>
  <si>
    <t>1829863:eng</t>
  </si>
  <si>
    <t>3206927</t>
  </si>
  <si>
    <t>ocm03206927</t>
  </si>
  <si>
    <t>30008574140</t>
  </si>
  <si>
    <t>9780258969021</t>
  </si>
  <si>
    <t>792229689</t>
  </si>
  <si>
    <t>Z678 L63</t>
  </si>
  <si>
    <t>0                      Z  0678000L  63</t>
  </si>
  <si>
    <t>Library administration. With a foreword by Alexander M.B. Rule.</t>
  </si>
  <si>
    <t>London, C. Lockwood, 1961.</t>
  </si>
  <si>
    <t>New librarianship series</t>
  </si>
  <si>
    <t>2828809</t>
  </si>
  <si>
    <t>ocm02828809</t>
  </si>
  <si>
    <t>3000861928U</t>
  </si>
  <si>
    <t>792181913</t>
  </si>
  <si>
    <t>Z678 L635 1928</t>
  </si>
  <si>
    <t>0                      Z  0678000L  635         1928</t>
  </si>
  <si>
    <t>Public library administration, by John Adams Lowe.</t>
  </si>
  <si>
    <t>Lowe, John Adams, 1881-</t>
  </si>
  <si>
    <t>Chicago, American library Association, 1928.</t>
  </si>
  <si>
    <t>3110767:eng</t>
  </si>
  <si>
    <t>1748545</t>
  </si>
  <si>
    <t>ocm01748545</t>
  </si>
  <si>
    <t>3100385851W</t>
  </si>
  <si>
    <t>791858971</t>
  </si>
  <si>
    <t>Z678 L83 2010</t>
  </si>
  <si>
    <t>0                      Z  0678000L  83          2010</t>
  </si>
  <si>
    <t>"Leading from the middle," and other contrarian essays on library leadership / John Lubans Jr.</t>
  </si>
  <si>
    <t>Lubans, John, author.</t>
  </si>
  <si>
    <t>Santa Barbara, Calif. : Libraries Unlimited, an imprint of ABC-CLIO, LLC, [2010]</t>
  </si>
  <si>
    <t>Beta Phi Mu monograph series</t>
  </si>
  <si>
    <t>477590460:eng</t>
  </si>
  <si>
    <t>609100968</t>
  </si>
  <si>
    <t>ocn609100968</t>
  </si>
  <si>
    <t>3103237402E</t>
  </si>
  <si>
    <t>9781598845778</t>
  </si>
  <si>
    <t>794819800</t>
  </si>
  <si>
    <t>Z678 M278 1985</t>
  </si>
  <si>
    <t>0                      Z  0678000M  278         1985</t>
  </si>
  <si>
    <t>Management strategies for libraries : a basic reader / edited by Beverly P. Lynch.</t>
  </si>
  <si>
    <t>New York : Neal-Schuman, ©1985.</t>
  </si>
  <si>
    <t>2015-09-29</t>
  </si>
  <si>
    <t>918582807:eng</t>
  </si>
  <si>
    <t>11812646</t>
  </si>
  <si>
    <t>ocm11812646</t>
  </si>
  <si>
    <t>3101970444Q</t>
  </si>
  <si>
    <t>9780918212863</t>
  </si>
  <si>
    <t>792789025</t>
  </si>
  <si>
    <t>Z678 M279 1989</t>
  </si>
  <si>
    <t>0                      Z  0678000M  279         1989</t>
  </si>
  <si>
    <t>Managing public libraries in the 21st century / Pat Woodrum, editor.</t>
  </si>
  <si>
    <t>New York : Haworth Press, ©1989.</t>
  </si>
  <si>
    <t>2015-06-10</t>
  </si>
  <si>
    <t>22070680:eng</t>
  </si>
  <si>
    <t>20261061</t>
  </si>
  <si>
    <t>ocm20261061</t>
  </si>
  <si>
    <t>3103599700Q</t>
  </si>
  <si>
    <t>9780866569453</t>
  </si>
  <si>
    <t>793082056</t>
  </si>
  <si>
    <t>Z678 M3</t>
  </si>
  <si>
    <t>0                      Z  0678000M  3</t>
  </si>
  <si>
    <t>The administration of the American public library, by E.W. McDiarmid ... and John McDiarmid ...</t>
  </si>
  <si>
    <t>McDiarmid, E. W. (Errett Weir), 1909-2000.</t>
  </si>
  <si>
    <t>[Chicago] The American library Association and the University of Illinois Press, 1943.</t>
  </si>
  <si>
    <t>Illinois contributions to librarianship ; no. 3</t>
  </si>
  <si>
    <t>139204728:eng</t>
  </si>
  <si>
    <t>1594348</t>
  </si>
  <si>
    <t>ocm01594348</t>
  </si>
  <si>
    <t>30008574310</t>
  </si>
  <si>
    <t>791774056</t>
  </si>
  <si>
    <t>Z678 M32 2015</t>
  </si>
  <si>
    <t>0                      Z  0678000M  32          2015</t>
  </si>
  <si>
    <t>Libraries' new balancing act : investing in technology with restrained resources : the Library resource guide benchmark study on 2015 library spending plans / by Joseph McKendrick.</t>
  </si>
  <si>
    <t>McKendrick, Joseph, author.</t>
  </si>
  <si>
    <t>New Providence, NJ : Unisphere Research , [2015?]</t>
  </si>
  <si>
    <t>Community public libraries edition</t>
  </si>
  <si>
    <t>2301104435:eng</t>
  </si>
  <si>
    <t>906703063</t>
  </si>
  <si>
    <t>ocn906703063</t>
  </si>
  <si>
    <t>3103625546S</t>
  </si>
  <si>
    <t>794992419</t>
  </si>
  <si>
    <t>Z678 M33 2011</t>
  </si>
  <si>
    <t>0                      Z  0678000M  33          2011</t>
  </si>
  <si>
    <t>Organizational storytelling for librarians : using stories for effective leadership / Kate Marek.</t>
  </si>
  <si>
    <t>Marek, Kate.</t>
  </si>
  <si>
    <t>2017-03-17</t>
  </si>
  <si>
    <t>616679234:eng</t>
  </si>
  <si>
    <t>662152479</t>
  </si>
  <si>
    <t>ocn662152479</t>
  </si>
  <si>
    <t>31033237668</t>
  </si>
  <si>
    <t>9780838910795</t>
  </si>
  <si>
    <t>794837091</t>
  </si>
  <si>
    <t>Z678 M345 1996</t>
  </si>
  <si>
    <t>0                      Z  0678000M  345         1996</t>
  </si>
  <si>
    <t>Organizational structure of libraries / Lowell A. Martin.</t>
  </si>
  <si>
    <t>Martin, Lowell A. (Lowell Arthur), 1912-2003.</t>
  </si>
  <si>
    <t>Lanham, Md. : Scarecrow Press, 1996.</t>
  </si>
  <si>
    <t>Library administration series ; no. 5</t>
  </si>
  <si>
    <t>2017-03-29</t>
  </si>
  <si>
    <t>178962059:eng</t>
  </si>
  <si>
    <t>35122057</t>
  </si>
  <si>
    <t>ocm35122057</t>
  </si>
  <si>
    <t>31017157183</t>
  </si>
  <si>
    <t>9780810831230</t>
  </si>
  <si>
    <t>793444603</t>
  </si>
  <si>
    <t>Z678 M38 2005</t>
  </si>
  <si>
    <t>0                      Z  0678000M  38          2005</t>
  </si>
  <si>
    <t>Strategic planning and management for library managers / Joseph R. Matthews.</t>
  </si>
  <si>
    <t>Matthews, Joseph R., author.</t>
  </si>
  <si>
    <t>Westport, Conn. : Libraries Unlimited, 2005.</t>
  </si>
  <si>
    <t>30938:eng</t>
  </si>
  <si>
    <t>59002833</t>
  </si>
  <si>
    <t>ocm59002833</t>
  </si>
  <si>
    <t>31025620736</t>
  </si>
  <si>
    <t>9781591582311</t>
  </si>
  <si>
    <t>793926577</t>
  </si>
  <si>
    <t>Z678 M395 1989</t>
  </si>
  <si>
    <t>0                      Z  0678000M  395         1989</t>
  </si>
  <si>
    <t>Planning library service / Bob McKee.</t>
  </si>
  <si>
    <t>McKee, Bob, Ph. D.</t>
  </si>
  <si>
    <t>London : C. Bingley, 1989.</t>
  </si>
  <si>
    <t>22923864:eng</t>
  </si>
  <si>
    <t>22003675</t>
  </si>
  <si>
    <t>ocm22003675</t>
  </si>
  <si>
    <t>31002185352</t>
  </si>
  <si>
    <t>9780851574240</t>
  </si>
  <si>
    <t>793132757</t>
  </si>
  <si>
    <t>Z678 M4</t>
  </si>
  <si>
    <t>0                      Z  0678000M  4</t>
  </si>
  <si>
    <t>The librarian as administrator of the small public library / Kathleen Mehaffey.</t>
  </si>
  <si>
    <t>Mehaffey, Kathleen.</t>
  </si>
  <si>
    <t>Chicago : Library Administration and Management Association, American Library Association, ©1978.</t>
  </si>
  <si>
    <t>Small libraries publications ; no. 2</t>
  </si>
  <si>
    <t>2008-03-05</t>
  </si>
  <si>
    <t>504025:eng</t>
  </si>
  <si>
    <t>4272943</t>
  </si>
  <si>
    <t>ocm04272943</t>
  </si>
  <si>
    <t>30008470736</t>
  </si>
  <si>
    <t>9780838955451</t>
  </si>
  <si>
    <t>792336965</t>
  </si>
  <si>
    <t>30008470744</t>
  </si>
  <si>
    <t>792336964</t>
  </si>
  <si>
    <t>Z678 M65 1990</t>
  </si>
  <si>
    <t>0                      Z  0678000M  65          1990</t>
  </si>
  <si>
    <t>Library planning and policy making : the legacy of the public and private sectors / Redmond Kathleen Molz.</t>
  </si>
  <si>
    <t>Molz, Redmond Kathleen, 1928-</t>
  </si>
  <si>
    <t>Metuchen, N.J. : Scarecrow Press, 1990.</t>
  </si>
  <si>
    <t>Scarecrow library administration series ; no. 2</t>
  </si>
  <si>
    <t>371260290:eng</t>
  </si>
  <si>
    <t>20994707</t>
  </si>
  <si>
    <t>ocm20994707</t>
  </si>
  <si>
    <t>3100654301W</t>
  </si>
  <si>
    <t>9780810822726</t>
  </si>
  <si>
    <t>793105545</t>
  </si>
  <si>
    <t>Z678 M65 2010</t>
  </si>
  <si>
    <t>0                      Z  0678000M  65          2010</t>
  </si>
  <si>
    <t>Practical and effective management of libraries : integrating case studies, general management theory and self-understanding / Richard J. Moniz, Jr.</t>
  </si>
  <si>
    <t>Moniz, Richard.</t>
  </si>
  <si>
    <t>375864977:eng</t>
  </si>
  <si>
    <t>503046660</t>
  </si>
  <si>
    <t>ocn503046660</t>
  </si>
  <si>
    <t>3103132625U</t>
  </si>
  <si>
    <t>9781843345787</t>
  </si>
  <si>
    <t>794806100</t>
  </si>
  <si>
    <t>Z678 M96 2017</t>
  </si>
  <si>
    <t>0                      Z  0678000M  96          2017</t>
  </si>
  <si>
    <t>Tactical urbanism for librarians : quick, low-cost ways to make big changes / Karen Munro.</t>
  </si>
  <si>
    <t>Munro, Karen, 1973- author.</t>
  </si>
  <si>
    <t>4196437610:eng</t>
  </si>
  <si>
    <t>985446891</t>
  </si>
  <si>
    <t>ocn985446891</t>
  </si>
  <si>
    <t>3103704965I</t>
  </si>
  <si>
    <t>9780838915585</t>
  </si>
  <si>
    <t>795035354</t>
  </si>
  <si>
    <t>Z678 N4</t>
  </si>
  <si>
    <t>0                      Z  0678000N  4</t>
  </si>
  <si>
    <t>Introduction to library administration / by K.W. Neal.</t>
  </si>
  <si>
    <t>Neal, Kenneth William.</t>
  </si>
  <si>
    <t>Alderley Edge : K.W. Neal, 1975.</t>
  </si>
  <si>
    <t>2647671:eng</t>
  </si>
  <si>
    <t>1860161</t>
  </si>
  <si>
    <t>ocm01860161</t>
  </si>
  <si>
    <t>3102640166H</t>
  </si>
  <si>
    <t>9780901570093</t>
  </si>
  <si>
    <t>792001234</t>
  </si>
  <si>
    <t>Z678 N434 2012</t>
  </si>
  <si>
    <t>0                      Z  0678000N  434         2012</t>
  </si>
  <si>
    <t>Strategic business development for information centres and libraries / Margareta Nelke.</t>
  </si>
  <si>
    <t>Nelke, Margareta, 1947-</t>
  </si>
  <si>
    <t>1029843815:eng</t>
  </si>
  <si>
    <t>758076070</t>
  </si>
  <si>
    <t>ocn758076070</t>
  </si>
  <si>
    <t>31034298976</t>
  </si>
  <si>
    <t>9781843346616</t>
  </si>
  <si>
    <t>794896047</t>
  </si>
  <si>
    <t>Z678 N447 2009</t>
  </si>
  <si>
    <t>0                      Z  0678000N  447         2009</t>
  </si>
  <si>
    <t>Implementing for results : your strategic plan in action / Sandra Nelson for the Public Library Association.</t>
  </si>
  <si>
    <t>Nelson, Sandra S.</t>
  </si>
  <si>
    <t>PLA results series</t>
  </si>
  <si>
    <t>2018-10-06</t>
  </si>
  <si>
    <t>801866559:eng</t>
  </si>
  <si>
    <t>269247480</t>
  </si>
  <si>
    <t>ocn269247480</t>
  </si>
  <si>
    <t>31030824797</t>
  </si>
  <si>
    <t>9780838935798</t>
  </si>
  <si>
    <t>794409269</t>
  </si>
  <si>
    <t>Z678 N454 2001</t>
  </si>
  <si>
    <t>0                      Z  0678000N  454         2001</t>
  </si>
  <si>
    <t>The new planning for results : a streamlined approach / Sandra Nelson for the Public Library Association.</t>
  </si>
  <si>
    <t>Chicago : American Library Association, 2001.</t>
  </si>
  <si>
    <t>837078450:eng</t>
  </si>
  <si>
    <t>45024356</t>
  </si>
  <si>
    <t>ocm45024356</t>
  </si>
  <si>
    <t>31027163382</t>
  </si>
  <si>
    <t>9780838935040</t>
  </si>
  <si>
    <t>793662531</t>
  </si>
  <si>
    <t>Z678 N454 2008</t>
  </si>
  <si>
    <t>0                      Z  0678000N  454         2008</t>
  </si>
  <si>
    <t>Strategic planning for results / Sandra Nelson for the Public Library Association.</t>
  </si>
  <si>
    <t>Fully revised edition.</t>
  </si>
  <si>
    <t>104798121:eng</t>
  </si>
  <si>
    <t>155755838</t>
  </si>
  <si>
    <t>ocn155755838</t>
  </si>
  <si>
    <t>3102653395P</t>
  </si>
  <si>
    <t>9780838935736</t>
  </si>
  <si>
    <t>794253613</t>
  </si>
  <si>
    <t>Z678 N98 2012</t>
  </si>
  <si>
    <t>0                      Z  0678000N  98          2012</t>
  </si>
  <si>
    <t>An evaluation of the benefits and value of libraries / Viveca Nyström and Linnéa Sjögren.</t>
  </si>
  <si>
    <t>Nyström, Viveca.</t>
  </si>
  <si>
    <t>1105070495:eng</t>
  </si>
  <si>
    <t>773822088</t>
  </si>
  <si>
    <t>ocn773822088</t>
  </si>
  <si>
    <t>3103414288E</t>
  </si>
  <si>
    <t>9781843346869</t>
  </si>
  <si>
    <t>794905998</t>
  </si>
  <si>
    <t>Z678 O26 2010</t>
  </si>
  <si>
    <t>0                      Z  0678000O  26          2010</t>
  </si>
  <si>
    <t>Imagine your library's future : scenario planning for libraries and information organisations / Steve O'Connor and Peter Sidorko.</t>
  </si>
  <si>
    <t>O'Connor, Steve (Librarian)</t>
  </si>
  <si>
    <t>Oxford [England] : Chandos Pub., 2010.</t>
  </si>
  <si>
    <t>891856737:eng</t>
  </si>
  <si>
    <t>671154082</t>
  </si>
  <si>
    <t>ocn671154082</t>
  </si>
  <si>
    <t>31032338842</t>
  </si>
  <si>
    <t>9781843346005</t>
  </si>
  <si>
    <t>794848302</t>
  </si>
  <si>
    <t>Z678 O75 1994</t>
  </si>
  <si>
    <t>0                      Z  0678000O  75          1994</t>
  </si>
  <si>
    <t>Systems analysis for librarians and information professionals / Larry N. Osborne, Margaret Nakamura.</t>
  </si>
  <si>
    <t>Osborne, Larry N.</t>
  </si>
  <si>
    <t>Englewood, Colo. : Libraries Unlimited, 1994.</t>
  </si>
  <si>
    <t>Library science text series</t>
  </si>
  <si>
    <t>2007-10-11</t>
  </si>
  <si>
    <t>2015-11-12</t>
  </si>
  <si>
    <t>1049353:eng</t>
  </si>
  <si>
    <t>30892118</t>
  </si>
  <si>
    <t>ocm30892118</t>
  </si>
  <si>
    <t>3101404960S</t>
  </si>
  <si>
    <t>9781563082757</t>
  </si>
  <si>
    <t>793347446</t>
  </si>
  <si>
    <t>3102888661C</t>
  </si>
  <si>
    <t>793347445</t>
  </si>
  <si>
    <t>Z678 O92 2008</t>
  </si>
  <si>
    <t>0                      Z  0678000O  92          2008</t>
  </si>
  <si>
    <t>Our new public, a changing clientele : bewildering issues or new challenges for managing libraries? / edited by James R. Kennedy, Lisa Vardaman, and Gerard B. McCabe.</t>
  </si>
  <si>
    <t>867036502:eng</t>
  </si>
  <si>
    <t>173243720</t>
  </si>
  <si>
    <t>ocn173243720</t>
  </si>
  <si>
    <t>3102647633H</t>
  </si>
  <si>
    <t>9781591584070</t>
  </si>
  <si>
    <t>794265839</t>
  </si>
  <si>
    <t>Z678 P264 2005</t>
  </si>
  <si>
    <t>0                      Z  0678000P  264         2005</t>
  </si>
  <si>
    <t>Setting up a library and information service from scratch / Sheila Pantry and Peter Griffiths.</t>
  </si>
  <si>
    <t>Pantry, Sheila.</t>
  </si>
  <si>
    <t>46437177:eng</t>
  </si>
  <si>
    <t>60793325</t>
  </si>
  <si>
    <t>ocm60793325</t>
  </si>
  <si>
    <t>3102555669K</t>
  </si>
  <si>
    <t>9781856045582</t>
  </si>
  <si>
    <t>793943766</t>
  </si>
  <si>
    <t>Z678 P575 2014</t>
  </si>
  <si>
    <t>0                      Z  0678000P  575         2014</t>
  </si>
  <si>
    <t>Planning our future libraries : blueprints for 2025 / Kim Leeder &amp; Eric Frierson, editors.</t>
  </si>
  <si>
    <t>Chicago : American Library Association, An Imprint of the American Library Association, 2014.</t>
  </si>
  <si>
    <t>1744703640:eng</t>
  </si>
  <si>
    <t>857141238</t>
  </si>
  <si>
    <t>ocn857141238</t>
  </si>
  <si>
    <t>3103505425F</t>
  </si>
  <si>
    <t>9780838912072</t>
  </si>
  <si>
    <t>794954822</t>
  </si>
  <si>
    <t>Z678 R63 2004</t>
  </si>
  <si>
    <t>0                      Z  0678000R  63          2004</t>
  </si>
  <si>
    <t>Managing information services / Sue Roberts and Jennifer Rowley.</t>
  </si>
  <si>
    <t>Roberts, Sue, 1970-</t>
  </si>
  <si>
    <t>145608039:eng</t>
  </si>
  <si>
    <t>56649033</t>
  </si>
  <si>
    <t>ocm56649033</t>
  </si>
  <si>
    <t>3102888666C</t>
  </si>
  <si>
    <t>9781856045155</t>
  </si>
  <si>
    <t>793898105</t>
  </si>
  <si>
    <t>2013-12-04</t>
  </si>
  <si>
    <t>31024788148</t>
  </si>
  <si>
    <t>793898104</t>
  </si>
  <si>
    <t>Z678 R65 2013</t>
  </si>
  <si>
    <t>0                      Z  0678000R  65          2013</t>
  </si>
  <si>
    <t>Communicating professionally : a how-to-do-it manual / Catherine Sheldrick Ross &amp; Kirsti Nilsen.</t>
  </si>
  <si>
    <t>Ross, Catherine Sheldrick, author.</t>
  </si>
  <si>
    <t>How-to-do-it manuals for libraries</t>
  </si>
  <si>
    <t>5061477554:eng</t>
  </si>
  <si>
    <t>827256173</t>
  </si>
  <si>
    <t>ocn827256173</t>
  </si>
  <si>
    <t>31035048473</t>
  </si>
  <si>
    <t>9781555709082</t>
  </si>
  <si>
    <t>794939876</t>
  </si>
  <si>
    <t>Z678 R66 1989</t>
  </si>
  <si>
    <t>0                      Z  0678000R  66          1989</t>
  </si>
  <si>
    <t>Communicating professionally : a how-to-do-it manual for library applications / Catherine Sheldrick Ross, Patricia Dewdney.</t>
  </si>
  <si>
    <t>Ross, Catherine Sheldrick.</t>
  </si>
  <si>
    <t>New York : Neal-Schuman Publishers, 1989.</t>
  </si>
  <si>
    <t>How-to-do-it manuals for libraries ; no. 3</t>
  </si>
  <si>
    <t>19125244:eng</t>
  </si>
  <si>
    <t>18986868</t>
  </si>
  <si>
    <t>ocm18986868</t>
  </si>
  <si>
    <t>31036026765</t>
  </si>
  <si>
    <t>9781555700317</t>
  </si>
  <si>
    <t>793043609</t>
  </si>
  <si>
    <t>Z678 S228 1984</t>
  </si>
  <si>
    <t>0                      Z  0678000S  228         1984</t>
  </si>
  <si>
    <t>Managing the public library / Donald J. Sager.</t>
  </si>
  <si>
    <t>Sager, Donald J., 1938-</t>
  </si>
  <si>
    <t>3093968:eng</t>
  </si>
  <si>
    <t>10618609</t>
  </si>
  <si>
    <t>ocm10618609</t>
  </si>
  <si>
    <t>3000845754T</t>
  </si>
  <si>
    <t>9780867290974</t>
  </si>
  <si>
    <t>792734623</t>
  </si>
  <si>
    <t>Z678 S36 2014</t>
  </si>
  <si>
    <t>0                      Z  0678000S  36          2014</t>
  </si>
  <si>
    <t>Useful, usable, desirable : applying user experience design to your library / Aaron Schmidt and Amanda Etches.</t>
  </si>
  <si>
    <t>Schmidt, Aaron, 1978- author.</t>
  </si>
  <si>
    <t>2019-08-20</t>
  </si>
  <si>
    <t>1877669897:eng</t>
  </si>
  <si>
    <t>878812623</t>
  </si>
  <si>
    <t>ocn878812623</t>
  </si>
  <si>
    <t>3103566785Y</t>
  </si>
  <si>
    <t>9780838912263</t>
  </si>
  <si>
    <t>794971596</t>
  </si>
  <si>
    <t>Z678 S43 2018</t>
  </si>
  <si>
    <t>0                      Z  0678000S  43          2018</t>
  </si>
  <si>
    <t>Project management in libraries : on time, on budget, on target / Carly Wiggins Searcy.</t>
  </si>
  <si>
    <t>Searcy, Carly Wiggins, author.</t>
  </si>
  <si>
    <t>5208693065:eng</t>
  </si>
  <si>
    <t>1031343822</t>
  </si>
  <si>
    <t>on1031343822</t>
  </si>
  <si>
    <t>3103670042E</t>
  </si>
  <si>
    <t>9780838917190</t>
  </si>
  <si>
    <t>795055243</t>
  </si>
  <si>
    <t>Z678 S495 2010</t>
  </si>
  <si>
    <t>0                      Z  0678000S  495         2010</t>
  </si>
  <si>
    <t>Shaping the future : advancing the understanding of leadership / Peter Hernon, editor.</t>
  </si>
  <si>
    <t>2013-09-14</t>
  </si>
  <si>
    <t>476056845:eng</t>
  </si>
  <si>
    <t>606787473</t>
  </si>
  <si>
    <t>ocn606787473</t>
  </si>
  <si>
    <t>3103324725C</t>
  </si>
  <si>
    <t>9781598846157</t>
  </si>
  <si>
    <t>794817311</t>
  </si>
  <si>
    <t>Z678 S57 2010</t>
  </si>
  <si>
    <t>0                      Z  0678000S  57          2010</t>
  </si>
  <si>
    <t>Succession planning in the library : developing leaders, managing change / Paula M. Singer with Gail Griffith.</t>
  </si>
  <si>
    <t>Singer, Paula M.</t>
  </si>
  <si>
    <t>797268904:eng</t>
  </si>
  <si>
    <t>441167479</t>
  </si>
  <si>
    <t>ocn441167479</t>
  </si>
  <si>
    <t>3103232096S</t>
  </si>
  <si>
    <t>9780838910368</t>
  </si>
  <si>
    <t>794786668</t>
  </si>
  <si>
    <t>Z678 S799 2007</t>
  </si>
  <si>
    <t>0                      Z  0678000S  799         2007</t>
  </si>
  <si>
    <t>Library and information center management / Robert D. Stueart and Barbara B. Moran.</t>
  </si>
  <si>
    <t>2015-01-13</t>
  </si>
  <si>
    <t>940268:eng</t>
  </si>
  <si>
    <t>85348499</t>
  </si>
  <si>
    <t>ocm85348499</t>
  </si>
  <si>
    <t>3102798416T</t>
  </si>
  <si>
    <t>9781591584087</t>
  </si>
  <si>
    <t>794213405</t>
  </si>
  <si>
    <t>3102798380I</t>
  </si>
  <si>
    <t>794213406</t>
  </si>
  <si>
    <t>Z678 S799 2013</t>
  </si>
  <si>
    <t>0                      Z  0678000S  799         2013</t>
  </si>
  <si>
    <t>Library and information center management / Barbara B. Moran, Robert D. Stueart, and Claudia J. Morner.</t>
  </si>
  <si>
    <t>Stueart, Robert D., author.</t>
  </si>
  <si>
    <t>Santa Barbara, California : Libraries Unlimited, [2013]</t>
  </si>
  <si>
    <t>Eighth edition.</t>
  </si>
  <si>
    <t>2019-01-22</t>
  </si>
  <si>
    <t>780481202</t>
  </si>
  <si>
    <t>ocn780481202</t>
  </si>
  <si>
    <t>3103455364S</t>
  </si>
  <si>
    <t>9781598849882</t>
  </si>
  <si>
    <t>794912274</t>
  </si>
  <si>
    <t>Z678 S87 2014</t>
  </si>
  <si>
    <t>0                      Z  0678000S  87          2014</t>
  </si>
  <si>
    <t>The survey of public library reputation management &amp; public relations practices.</t>
  </si>
  <si>
    <t>New York, NY : Primary Research Group, [2014]</t>
  </si>
  <si>
    <t>3902630491:eng</t>
  </si>
  <si>
    <t>869269393</t>
  </si>
  <si>
    <t>ocn869269393</t>
  </si>
  <si>
    <t>31035323785</t>
  </si>
  <si>
    <t>9781574402728</t>
  </si>
  <si>
    <t>794965301</t>
  </si>
  <si>
    <t>Z678 S89 1995</t>
  </si>
  <si>
    <t>0                      Z  0678000S  89          1995</t>
  </si>
  <si>
    <t>So you're going to run a library : a library management primer / Dave Sutton.</t>
  </si>
  <si>
    <t>Sutton, Dave.</t>
  </si>
  <si>
    <t>Englewood, Colo. : Libraries Unlimited, 1995.</t>
  </si>
  <si>
    <t>317712751:eng</t>
  </si>
  <si>
    <t>32167742</t>
  </si>
  <si>
    <t>ocm32167742</t>
  </si>
  <si>
    <t>31014652809</t>
  </si>
  <si>
    <t>9781563083068</t>
  </si>
  <si>
    <t>793377272</t>
  </si>
  <si>
    <t>Z678 V36 2011</t>
  </si>
  <si>
    <t>0                      Z  0678000V  36          2011</t>
  </si>
  <si>
    <t>The challenge of library management : leading with emotional engagement / Wyoma vanDuinkerken and Pixey Anne Mosley.</t>
  </si>
  <si>
    <t>VanDuinkerken, Wyoma. author.</t>
  </si>
  <si>
    <t>2017-04-27</t>
  </si>
  <si>
    <t>793794728:eng</t>
  </si>
  <si>
    <t>704391647</t>
  </si>
  <si>
    <t>ocn704391647</t>
  </si>
  <si>
    <t>31033453700</t>
  </si>
  <si>
    <t>9780838911020</t>
  </si>
  <si>
    <t>794865604</t>
  </si>
  <si>
    <t>Z678 W675 2013</t>
  </si>
  <si>
    <t>0                      Z  0678000W  675         2013</t>
  </si>
  <si>
    <t>The transformed library : e-books, expertise, and evolution / Jeannette Woodward.</t>
  </si>
  <si>
    <t>2014-01-30</t>
  </si>
  <si>
    <t>1202916250:eng</t>
  </si>
  <si>
    <t>794711878</t>
  </si>
  <si>
    <t>ocn794711878</t>
  </si>
  <si>
    <t>3103468899R</t>
  </si>
  <si>
    <t>9780838911648</t>
  </si>
  <si>
    <t>794920425</t>
  </si>
  <si>
    <t>Z678.8 G7 T473 1991</t>
  </si>
  <si>
    <t>0                      Z  0678800G  7                  T  473         1991</t>
  </si>
  <si>
    <t>Redirection in academic library management / James Thompson.</t>
  </si>
  <si>
    <t>London : Library Association Pub., 1991.</t>
  </si>
  <si>
    <t>A Clive Bingley book</t>
  </si>
  <si>
    <t>2015-06-04</t>
  </si>
  <si>
    <t>30968311:eng</t>
  </si>
  <si>
    <t>28710282</t>
  </si>
  <si>
    <t>ocm28710282</t>
  </si>
  <si>
    <t>31012173721</t>
  </si>
  <si>
    <t>9780851574684</t>
  </si>
  <si>
    <t>793294373</t>
  </si>
  <si>
    <t>Z678.85 B35 2011</t>
  </si>
  <si>
    <t>0                      Z  0678850B  35          2011</t>
  </si>
  <si>
    <t>Managing your library and its quality : the ISO 9001 way / Núria Balagué and Jarmo Saarti.</t>
  </si>
  <si>
    <t>Balagué, Núria.</t>
  </si>
  <si>
    <t>988789495:eng</t>
  </si>
  <si>
    <t>746598338</t>
  </si>
  <si>
    <t>ocn746598338</t>
  </si>
  <si>
    <t>3103431311R</t>
  </si>
  <si>
    <t>9781843346548</t>
  </si>
  <si>
    <t>794887297</t>
  </si>
  <si>
    <t>Z678.85 D63 2017</t>
  </si>
  <si>
    <t>0                      Z  0678850D  63          2017</t>
  </si>
  <si>
    <t>The library assessment cookbook / edited by Aaron W. Dobbs.</t>
  </si>
  <si>
    <t>Chicago : Association of College and Research Libraries, A division of the American Library Association, 2017.</t>
  </si>
  <si>
    <t>The ACRL Cookbook series</t>
  </si>
  <si>
    <t>2018-02-14</t>
  </si>
  <si>
    <t>4518963677:eng</t>
  </si>
  <si>
    <t>1003864289</t>
  </si>
  <si>
    <t>on1003864289</t>
  </si>
  <si>
    <t>3103739751V</t>
  </si>
  <si>
    <t>9780838988664</t>
  </si>
  <si>
    <t>795041704</t>
  </si>
  <si>
    <t>Z678.85 D83 2007</t>
  </si>
  <si>
    <t>0                      Z  0678850D  83          2007</t>
  </si>
  <si>
    <t>Using benchmarking, needs assessment, quality improvement, outcome measurement, and library standards : a how-to-do-it manual with CD-ROM / Rosalind Farnam Dudden.</t>
  </si>
  <si>
    <t>Dudden, Rosalind F.</t>
  </si>
  <si>
    <t>New York ; London : Neal-Schuman Publishers, ©2007.</t>
  </si>
  <si>
    <t>How-to-do-it manuals for librarians ; no. 159</t>
  </si>
  <si>
    <t>836378984:eng</t>
  </si>
  <si>
    <t>85830663</t>
  </si>
  <si>
    <t>ocm85830663</t>
  </si>
  <si>
    <t>31026485748</t>
  </si>
  <si>
    <t>9781555706043</t>
  </si>
  <si>
    <t>794216757</t>
  </si>
  <si>
    <t>Z678.85 F37 2016</t>
  </si>
  <si>
    <t>0                      Z  0678850F  37          2016</t>
  </si>
  <si>
    <t>Library improvement through data analytics / Lesley S.J. Farmer, Alan M. Safer.</t>
  </si>
  <si>
    <t>2963647872:eng</t>
  </si>
  <si>
    <t>945767025</t>
  </si>
  <si>
    <t>ocn945767025</t>
  </si>
  <si>
    <t>3103656176C</t>
  </si>
  <si>
    <t>9780838914250</t>
  </si>
  <si>
    <t>795013906</t>
  </si>
  <si>
    <t>Z678.85 F38 2018</t>
  </si>
  <si>
    <t>0                      Z  0678850F  38          2018</t>
  </si>
  <si>
    <t>Using digital analytics for smart assessment / Tabatha Farney.</t>
  </si>
  <si>
    <t>Farney, Tabatha, author.</t>
  </si>
  <si>
    <t>5201071838:eng</t>
  </si>
  <si>
    <t>1004424598</t>
  </si>
  <si>
    <t>on1004424598</t>
  </si>
  <si>
    <t>3103740024R</t>
  </si>
  <si>
    <t>9780838915981</t>
  </si>
  <si>
    <t>795041913</t>
  </si>
  <si>
    <t>Z678.85 G74 2011</t>
  </si>
  <si>
    <t>0                      Z  0678850G  74          2011</t>
  </si>
  <si>
    <t>Case study research : a program evaluation guide for librarians / Ravonne A. Green.</t>
  </si>
  <si>
    <t>Green, Ravonne A.</t>
  </si>
  <si>
    <t>907373941:eng</t>
  </si>
  <si>
    <t>729344414</t>
  </si>
  <si>
    <t>ocn729344414</t>
  </si>
  <si>
    <t>3103406158K</t>
  </si>
  <si>
    <t>9781591588603</t>
  </si>
  <si>
    <t>794879276</t>
  </si>
  <si>
    <t>Z678.85 H473 2014</t>
  </si>
  <si>
    <t>0                      Z  0678850H  473         2014</t>
  </si>
  <si>
    <t>Getting started with evaluation / Peter Hernon, Robert E. Dugan, and Joseph R. Matthews.</t>
  </si>
  <si>
    <t>Hernon, Peter, author.</t>
  </si>
  <si>
    <t>2018-02-19</t>
  </si>
  <si>
    <t>1432819517:eng</t>
  </si>
  <si>
    <t>845084848</t>
  </si>
  <si>
    <t>ocn845084848</t>
  </si>
  <si>
    <t>3103502524O</t>
  </si>
  <si>
    <t>9780838911952</t>
  </si>
  <si>
    <t>794948901</t>
  </si>
  <si>
    <t>Z678.85 I575 2010</t>
  </si>
  <si>
    <t>0                      Z  0678850I  575         2010</t>
  </si>
  <si>
    <t>IFLA public library service guidelines.</t>
  </si>
  <si>
    <t>Berlin ; New York : De Gruyter/Saur, ©2010.</t>
  </si>
  <si>
    <t>2nd, completely rev. ed. / edited by Christie Koontz and Barbara Gubbin.</t>
  </si>
  <si>
    <t>IFLA publications, 0344-6891 ; 147</t>
  </si>
  <si>
    <t>2018-09-18</t>
  </si>
  <si>
    <t>1044436348:eng</t>
  </si>
  <si>
    <t>613423143</t>
  </si>
  <si>
    <t>ocn613423143</t>
  </si>
  <si>
    <t>3103299983J</t>
  </si>
  <si>
    <t>9783110232264</t>
  </si>
  <si>
    <t>794821981</t>
  </si>
  <si>
    <t>Z678.85 I61 2008</t>
  </si>
  <si>
    <t>0                      Z  0678850I  61          2008</t>
  </si>
  <si>
    <t>International standard ISO 11620 : information and documentation - library performance indicators = information et documentation - indicateurs de performance des bibliotheÌ€ques / [prepared by the Technical Committee ISO/TC 46, Information and Documentation, Sub-Committee SC 8, Statistics and Performance Evaluation].</t>
  </si>
  <si>
    <t>International Organization for Standardization. Technical Committee Information and Documentation. Sub-Committee Statistics and Performance Evaluation.</t>
  </si>
  <si>
    <t>Geneve, Switzerland : ISO, 2008.</t>
  </si>
  <si>
    <t>ISO</t>
  </si>
  <si>
    <t>1152408451:eng</t>
  </si>
  <si>
    <t>762193174</t>
  </si>
  <si>
    <t>ocn762193174</t>
  </si>
  <si>
    <t>31034785484</t>
  </si>
  <si>
    <t>794899869</t>
  </si>
  <si>
    <t>Z678.85 K55 2019</t>
  </si>
  <si>
    <t>0                      Z  0678850K  55          2019</t>
  </si>
  <si>
    <t>Putting library assessment data to work / Selena Killick and Frankie Wilson.</t>
  </si>
  <si>
    <t>Killick, Selena, author.</t>
  </si>
  <si>
    <t>London : Facet Publishing, 2019.</t>
  </si>
  <si>
    <t>5547856696:eng</t>
  </si>
  <si>
    <t>1111628661</t>
  </si>
  <si>
    <t>on1111628661</t>
  </si>
  <si>
    <t>3103903302K</t>
  </si>
  <si>
    <t>9781783302208</t>
  </si>
  <si>
    <t>795083764</t>
  </si>
  <si>
    <t>Z678.85 L35 1988</t>
  </si>
  <si>
    <t>0                      Z  0678850L  35          1988</t>
  </si>
  <si>
    <t>If you want to evaluate your library-- / by F.W. Lancaster.</t>
  </si>
  <si>
    <t>Lancaster, F. Wilfrid (Frederick Wilfrid), 1933-2013.</t>
  </si>
  <si>
    <t>Champaign, IL : University of Illinois, Graduate School of Library and Information Science, 1988.</t>
  </si>
  <si>
    <t>2005-09-13</t>
  </si>
  <si>
    <t>17386068:eng</t>
  </si>
  <si>
    <t>18312711</t>
  </si>
  <si>
    <t>ocm18312711</t>
  </si>
  <si>
    <t>3000852480C</t>
  </si>
  <si>
    <t>9780878450787</t>
  </si>
  <si>
    <t>793021103</t>
  </si>
  <si>
    <t>3000852479Y</t>
  </si>
  <si>
    <t>793021102</t>
  </si>
  <si>
    <t>Z678.85 L35 1993</t>
  </si>
  <si>
    <t>0                      Z  0678850L  35          1993</t>
  </si>
  <si>
    <t>London : Library Association, ©1993.</t>
  </si>
  <si>
    <t>28921146</t>
  </si>
  <si>
    <t>ocm28921146</t>
  </si>
  <si>
    <t>3101277628U</t>
  </si>
  <si>
    <t>9781856040839</t>
  </si>
  <si>
    <t>793299318</t>
  </si>
  <si>
    <t>2014-12-14</t>
  </si>
  <si>
    <t>3101277627W</t>
  </si>
  <si>
    <t>793299319</t>
  </si>
  <si>
    <t>Z678.85 L36 1991</t>
  </si>
  <si>
    <t>0                      Z  0678850L  36          1991</t>
  </si>
  <si>
    <t>The measurement and evaluation of library services / Sharon L. Baker, F. Wilfrid Lancaster.</t>
  </si>
  <si>
    <t>Baker, Sharon L.</t>
  </si>
  <si>
    <t>Arlington, Va. : Information Resources Press, ©1991.</t>
  </si>
  <si>
    <t>2013-10-25</t>
  </si>
  <si>
    <t>4776412250:eng</t>
  </si>
  <si>
    <t>24356790</t>
  </si>
  <si>
    <t>ocm24356790</t>
  </si>
  <si>
    <t>3101076177J</t>
  </si>
  <si>
    <t>9780878150618</t>
  </si>
  <si>
    <t>793196029</t>
  </si>
  <si>
    <t>2003-11-25</t>
  </si>
  <si>
    <t>3100960594L</t>
  </si>
  <si>
    <t>793196028</t>
  </si>
  <si>
    <t>3100950810A</t>
  </si>
  <si>
    <t>793196030</t>
  </si>
  <si>
    <t>Z678.85 M36 2006</t>
  </si>
  <si>
    <t>0                      Z  0678850M  36          2006</t>
  </si>
  <si>
    <t>Evaluating the impact of your library / Sharon Markless and David Streatfield.</t>
  </si>
  <si>
    <t>Markless, Sharon.</t>
  </si>
  <si>
    <t>London : Facet Pub., 2006.</t>
  </si>
  <si>
    <t>51408147:eng</t>
  </si>
  <si>
    <t>52784907</t>
  </si>
  <si>
    <t>ocm52784907</t>
  </si>
  <si>
    <t>3102635980B</t>
  </si>
  <si>
    <t>9781856044882</t>
  </si>
  <si>
    <t>793814010</t>
  </si>
  <si>
    <t>Z678.85 M36 2013</t>
  </si>
  <si>
    <t>0                      Z  0678850M  36          2013</t>
  </si>
  <si>
    <t>784581108</t>
  </si>
  <si>
    <t>ocn784581108</t>
  </si>
  <si>
    <t>3103497939P</t>
  </si>
  <si>
    <t>9781856048125</t>
  </si>
  <si>
    <t>794914581</t>
  </si>
  <si>
    <t>Z678.85 M37 2007</t>
  </si>
  <si>
    <t>0                      Z  0678850M  37          2007</t>
  </si>
  <si>
    <t>The evaluation and measurement of library services / Joseph R. Matthews.</t>
  </si>
  <si>
    <t>Westport, Connecticut : Libraries Unlimited, 2007.</t>
  </si>
  <si>
    <t>102730696:eng</t>
  </si>
  <si>
    <t>124159605</t>
  </si>
  <si>
    <t>ocn124159605</t>
  </si>
  <si>
    <t>3102644705W</t>
  </si>
  <si>
    <t>9781591585329</t>
  </si>
  <si>
    <t>794230634</t>
  </si>
  <si>
    <t>Z678.85 M38 2004</t>
  </si>
  <si>
    <t>0                      Z  0678850M  38          2004</t>
  </si>
  <si>
    <t>Measuring for results : the dimensions of public library effectiveness / Joseph R. Matthews.</t>
  </si>
  <si>
    <t>837806871:eng</t>
  </si>
  <si>
    <t>52814055</t>
  </si>
  <si>
    <t>ocm52814055</t>
  </si>
  <si>
    <t>3102319692U</t>
  </si>
  <si>
    <t>9781591581000</t>
  </si>
  <si>
    <t>793814754</t>
  </si>
  <si>
    <t>Z678.85 M39 2008</t>
  </si>
  <si>
    <t>0                      Z  0678850M  39          2008</t>
  </si>
  <si>
    <t>Scorecards for results : a guide for developing a library balanced scorecard / Joseph R. Matthews.</t>
  </si>
  <si>
    <t>868433722:eng</t>
  </si>
  <si>
    <t>191846873</t>
  </si>
  <si>
    <t>ocn191846873</t>
  </si>
  <si>
    <t>3102971944Y</t>
  </si>
  <si>
    <t>9781591586982</t>
  </si>
  <si>
    <t>794301400</t>
  </si>
  <si>
    <t>Z678.85 N67 2011</t>
  </si>
  <si>
    <t>0                      Z  0678850N  67          2011</t>
  </si>
  <si>
    <t>9th Northumbria International Conference on Performance Measurement in Libraries and Information Services : proving value in challenging times : University of York, UK, August 22-26, 2011 : proceedings / [edited by Ian Hall, Stephen Thornton and Stephen Town].</t>
  </si>
  <si>
    <t>Northumbria International Conference on Performance Measurement in Libraries and Information Services (9th : 2011 : University of York, Great Britain)</t>
  </si>
  <si>
    <t>Heslington, York : University of York, 2012.</t>
  </si>
  <si>
    <t>1436863787:eng</t>
  </si>
  <si>
    <t>825094246</t>
  </si>
  <si>
    <t>ocn825094246</t>
  </si>
  <si>
    <t>3103480880E</t>
  </si>
  <si>
    <t>9780901931115</t>
  </si>
  <si>
    <t>794938455</t>
  </si>
  <si>
    <t>Z678.85 Q35 2009</t>
  </si>
  <si>
    <t>0                      Z  0678850Q  35          2009</t>
  </si>
  <si>
    <t>Qualitative and quantitative methods in libraries : theory and applications : proceedings of the International Conference on QQML2009, Chania, Crete, Greece, 26-29 May 2009 / editors, Anthi Katsirikou, Christos H. Skiadas.</t>
  </si>
  <si>
    <t>International Conference on QQML (2009 : Chania, Greece)</t>
  </si>
  <si>
    <t>Singapore ; Hackensack, NJ : World Scientific, ©2010.</t>
  </si>
  <si>
    <t>3859111821:eng</t>
  </si>
  <si>
    <t>609940727</t>
  </si>
  <si>
    <t>ocn609940727</t>
  </si>
  <si>
    <t>31031285606</t>
  </si>
  <si>
    <t>9789814299695</t>
  </si>
  <si>
    <t>794820383</t>
  </si>
  <si>
    <t>Z678.85 U85 2011</t>
  </si>
  <si>
    <t>0                      Z  0678850U  85          2011</t>
  </si>
  <si>
    <t>Using qualitative methods in action research : how librarians can get to the why of data / Douglas Cook and Lesley Farmer, editors.</t>
  </si>
  <si>
    <t>[Chicago] : Association of College and Research Libraries, ©2011.</t>
  </si>
  <si>
    <t>2014-04-28</t>
  </si>
  <si>
    <t>772871674:eng</t>
  </si>
  <si>
    <t>698451407</t>
  </si>
  <si>
    <t>ocn698451407</t>
  </si>
  <si>
    <t>3103364804U</t>
  </si>
  <si>
    <t>9780838985762</t>
  </si>
  <si>
    <t>794861110</t>
  </si>
  <si>
    <t>Z678.85 W55 2008</t>
  </si>
  <si>
    <t>0                      Z  0678850W  55          2008</t>
  </si>
  <si>
    <t>The measure of library excellence : linking the Malcolm Baldrige Criteria and Balanced Scorecard methods to assess service quality / Despina Dapias Wilson, Theresa del Tufo and Anne E.C. Norman.</t>
  </si>
  <si>
    <t>Wilson, Despina Dapias, 1965-</t>
  </si>
  <si>
    <t>Jefferson, N.C. : McFarland, ©2008.</t>
  </si>
  <si>
    <t>103203610:eng</t>
  </si>
  <si>
    <t>144223867</t>
  </si>
  <si>
    <t>ocn144223867</t>
  </si>
  <si>
    <t>31026451451</t>
  </si>
  <si>
    <t>9780786430369</t>
  </si>
  <si>
    <t>794235481</t>
  </si>
  <si>
    <t>Z678.88 G75 2011</t>
  </si>
  <si>
    <t>0                      Z  0678880G  75          2011</t>
  </si>
  <si>
    <t>A strong future for public library use and employment / José-Marie Griffiths and Donald W. King.</t>
  </si>
  <si>
    <t>Griffiths, José-Marie.</t>
  </si>
  <si>
    <t>ALA research series</t>
  </si>
  <si>
    <t>409159645:eng</t>
  </si>
  <si>
    <t>710045064</t>
  </si>
  <si>
    <t>ocn710045064</t>
  </si>
  <si>
    <t>3103364809U</t>
  </si>
  <si>
    <t>9780838935880</t>
  </si>
  <si>
    <t>794870080</t>
  </si>
  <si>
    <t>Z678.88 L4 2004</t>
  </si>
  <si>
    <t>0                      Z  0678880L  4           2004</t>
  </si>
  <si>
    <t>Usages et usagers de l'information / Yves F. Le Coadic.</t>
  </si>
  <si>
    <t>Le Coadic, Yves-François.</t>
  </si>
  <si>
    <t>Paris : ADBS : Armand Colin, ©2004.</t>
  </si>
  <si>
    <t>128 ; 174 Information, documentation</t>
  </si>
  <si>
    <t>8907024911:fre</t>
  </si>
  <si>
    <t>154665864</t>
  </si>
  <si>
    <t>ocn154665864</t>
  </si>
  <si>
    <t>3103144101$</t>
  </si>
  <si>
    <t>9782200340629</t>
  </si>
  <si>
    <t>794251946</t>
  </si>
  <si>
    <t>Z678.88 L53 2011</t>
  </si>
  <si>
    <t>0                      Z  0678880L  53          2011</t>
  </si>
  <si>
    <t>Library user experience / [designed, compiled by] Robert Fox, Ameet Doshi.</t>
  </si>
  <si>
    <t>Washington, DC : Association of Research Libraries, 2011, ©2011.</t>
  </si>
  <si>
    <t>SPEC kit, 0160-3582 ; 322</t>
  </si>
  <si>
    <t>957716853:eng</t>
  </si>
  <si>
    <t>743238602</t>
  </si>
  <si>
    <t>ocn743238602</t>
  </si>
  <si>
    <t>3103372637X</t>
  </si>
  <si>
    <t>9781594078644</t>
  </si>
  <si>
    <t>794885571</t>
  </si>
  <si>
    <t>Z678.88 S87 2015</t>
  </si>
  <si>
    <t>0                      Z  0678880S  87          2015</t>
  </si>
  <si>
    <t>Survey of academic library use of online and other survey tools.</t>
  </si>
  <si>
    <t>2477459012:eng</t>
  </si>
  <si>
    <t>905523595</t>
  </si>
  <si>
    <t>ocn905523595</t>
  </si>
  <si>
    <t>31036101607</t>
  </si>
  <si>
    <t>9781574403251</t>
  </si>
  <si>
    <t>794991479</t>
  </si>
  <si>
    <t>Z678.9 A1 C594 1990</t>
  </si>
  <si>
    <t>0                      Z  0678900A  1                  C  594         1990</t>
  </si>
  <si>
    <t>Library technology 1970-1990 : shaping the library of the future : research contributions from the 1990 Computers in Libraries Conference / edited by Nancy Melin Nelson.</t>
  </si>
  <si>
    <t>Computers in Libraries Conference (1990 : Chicago, Ill.)</t>
  </si>
  <si>
    <t>Westport, Conn. : Meckler, ©1991.</t>
  </si>
  <si>
    <t>Supplements to Computers in libraries ; 25</t>
  </si>
  <si>
    <t>24643725:eng</t>
  </si>
  <si>
    <t>22345333</t>
  </si>
  <si>
    <t>ocm22345333</t>
  </si>
  <si>
    <t>31009600596</t>
  </si>
  <si>
    <t>9780887366956</t>
  </si>
  <si>
    <t>793141501</t>
  </si>
  <si>
    <t>Z678.9 A1 M47 2012</t>
  </si>
  <si>
    <t>0                      Z  0678900A  1                  M  47          2012</t>
  </si>
  <si>
    <t>Métiers de l'information, des bibliothèques et des archives à l'ère de la différenciation numérique : 15e colloque international sur le document électronique / Abderrazak Mkadmi, Khaldoun Zreik.</t>
  </si>
  <si>
    <t>Paris : Europia, ©2012.</t>
  </si>
  <si>
    <t>1218436205:fre</t>
  </si>
  <si>
    <t>822018028</t>
  </si>
  <si>
    <t>ocn822018028</t>
  </si>
  <si>
    <t>31035250895</t>
  </si>
  <si>
    <t>9791090094109</t>
  </si>
  <si>
    <t>794936335</t>
  </si>
  <si>
    <t>Z678.9 A4 U622 2010</t>
  </si>
  <si>
    <t>0                      Z  0678900A  4                  U  622         2010</t>
  </si>
  <si>
    <t>The complete library technology planner : a guidebook with sample technology plans and RFPs on CD-ROM / John M. Cohn and Ann L. Kelsey ; with a foreword by Keith Michael Fiels.</t>
  </si>
  <si>
    <t>(text + 1 CD-ROM)</t>
  </si>
  <si>
    <t>Cohn, John M.</t>
  </si>
  <si>
    <t>2011-12-14</t>
  </si>
  <si>
    <t>890392219:eng</t>
  </si>
  <si>
    <t>456977397</t>
  </si>
  <si>
    <t>ocn456977397</t>
  </si>
  <si>
    <t>3103312658M</t>
  </si>
  <si>
    <t>9781555706814</t>
  </si>
  <si>
    <t>794789462</t>
  </si>
  <si>
    <t>Z678.9 A4 U648 2012</t>
  </si>
  <si>
    <t>0                      Z  0678900A  4                  U  648         2012</t>
  </si>
  <si>
    <t>Writing successful technology grant proposals : a LITA guide / Pamela H. MacKellar.</t>
  </si>
  <si>
    <t>MacKellar, Pamela H.</t>
  </si>
  <si>
    <t>New York : Neal-Schuman Publishers, Inc., [2012]</t>
  </si>
  <si>
    <t>LITA guide ; #19</t>
  </si>
  <si>
    <t>2013-01-14</t>
  </si>
  <si>
    <t>2533436126:eng</t>
  </si>
  <si>
    <t>759912500</t>
  </si>
  <si>
    <t>ocn759912500</t>
  </si>
  <si>
    <t>31034308744</t>
  </si>
  <si>
    <t>9781555707637</t>
  </si>
  <si>
    <t>794897950</t>
  </si>
  <si>
    <t>Z678.9 A4 U656 2011</t>
  </si>
  <si>
    <t>0                      Z  0678900A  4                  U  656         2011</t>
  </si>
  <si>
    <t>Writing a winning technology plan for e-rate compliance : a LITA guide / Jean V. Morrison.</t>
  </si>
  <si>
    <t>Morrison, Jean V., 1948-</t>
  </si>
  <si>
    <t>LITA guide ; #17</t>
  </si>
  <si>
    <t>2533436127:eng</t>
  </si>
  <si>
    <t>731191857</t>
  </si>
  <si>
    <t>ocn731191857</t>
  </si>
  <si>
    <t>3103412138Z</t>
  </si>
  <si>
    <t>9781555707484</t>
  </si>
  <si>
    <t>794880623</t>
  </si>
  <si>
    <t>Z678.9 A4 U684 2014</t>
  </si>
  <si>
    <t>0                      Z  0678900A  4                  U  684         2014</t>
  </si>
  <si>
    <t>Survey of public library efforts to enhance productivity through information technology.</t>
  </si>
  <si>
    <t>2038872780:eng</t>
  </si>
  <si>
    <t>884303316</t>
  </si>
  <si>
    <t>ocn884303316</t>
  </si>
  <si>
    <t>3103567326H</t>
  </si>
  <si>
    <t>9781574402957</t>
  </si>
  <si>
    <t>794976256</t>
  </si>
  <si>
    <t>Z678.9 A4 U685 2013</t>
  </si>
  <si>
    <t>0                      Z  0678900A  4                  U  685         2013</t>
  </si>
  <si>
    <t>Survey of public library plans for workstations, personal computers, laptops and other computing devices.</t>
  </si>
  <si>
    <t>3862506214:eng</t>
  </si>
  <si>
    <t>870015374</t>
  </si>
  <si>
    <t>ocn870015374</t>
  </si>
  <si>
    <t>3103502626L</t>
  </si>
  <si>
    <t>9781574402438</t>
  </si>
  <si>
    <t>794966099</t>
  </si>
  <si>
    <t>Z678.9 A53 2011</t>
  </si>
  <si>
    <t>0                      Z  0678900A  53          2011</t>
  </si>
  <si>
    <t>Academic library computer technology benchmarks / Primary Research Group.</t>
  </si>
  <si>
    <t>2011 edition.</t>
  </si>
  <si>
    <t>890188183:eng</t>
  </si>
  <si>
    <t>715171163</t>
  </si>
  <si>
    <t>ocn715171163</t>
  </si>
  <si>
    <t>3103383661I</t>
  </si>
  <si>
    <t>9781574401653</t>
  </si>
  <si>
    <t>794873816</t>
  </si>
  <si>
    <t>Z678.9 A67 2018</t>
  </si>
  <si>
    <t>0                      Z  0678900A  67          2018</t>
  </si>
  <si>
    <t>Applying library values to emerging technology : decision-making in the age of open access, maker spaces, and the ever-changing library / editors, Peter D. Fernandez and Kelly Tilton.</t>
  </si>
  <si>
    <t>ACRL publications in librarianship ; no. 72</t>
  </si>
  <si>
    <t>4769059424:eng</t>
  </si>
  <si>
    <t>1024320754</t>
  </si>
  <si>
    <t>on1024320754</t>
  </si>
  <si>
    <t>3103793758B</t>
  </si>
  <si>
    <t>9780838989395</t>
  </si>
  <si>
    <t>795052239</t>
  </si>
  <si>
    <t>Z678.9 B54 2014</t>
  </si>
  <si>
    <t>0                      Z  0678900B  54          2014</t>
  </si>
  <si>
    <t>Library automation : core concepts and practical systems analysis / Dania Bilal ; foreword by Marshall Breeding.</t>
  </si>
  <si>
    <t>Bilal, Dania, 1956-</t>
  </si>
  <si>
    <t>375888502:eng</t>
  </si>
  <si>
    <t>503073120</t>
  </si>
  <si>
    <t>ocn503073120</t>
  </si>
  <si>
    <t>31035326314</t>
  </si>
  <si>
    <t>9781591589228</t>
  </si>
  <si>
    <t>794806165</t>
  </si>
  <si>
    <t>Z678.9 B585 2020</t>
  </si>
  <si>
    <t>0                      Z  0678900B  585         2020</t>
  </si>
  <si>
    <t>Blockchain / edited by Sandra Hirsh and Susan Alman.</t>
  </si>
  <si>
    <t>Chicago : ALA Neal-Schuman, 2020.</t>
  </si>
  <si>
    <t>2020</t>
  </si>
  <si>
    <t>Library futures ; 3</t>
  </si>
  <si>
    <t>2020-01-16</t>
  </si>
  <si>
    <t>9635166640:eng</t>
  </si>
  <si>
    <t>1126381858</t>
  </si>
  <si>
    <t>on1126381858</t>
  </si>
  <si>
    <t>3103812667N</t>
  </si>
  <si>
    <t>9780838917435</t>
  </si>
  <si>
    <t>795085997</t>
  </si>
  <si>
    <t>Z678.9 B85 2013</t>
  </si>
  <si>
    <t>0                      Z  0678900B  85          2013</t>
  </si>
  <si>
    <t>Neal-Schuman library technology companion : a basic guide for library staff / John J. Burke.</t>
  </si>
  <si>
    <t>Burke, John (John J.)</t>
  </si>
  <si>
    <t>2014-08-11</t>
  </si>
  <si>
    <t>837019230:eng</t>
  </si>
  <si>
    <t>841039499</t>
  </si>
  <si>
    <t>ocn841039499</t>
  </si>
  <si>
    <t>3103498817S</t>
  </si>
  <si>
    <t>9781555709150</t>
  </si>
  <si>
    <t>794946457</t>
  </si>
  <si>
    <t>Z678.9 C475 2012</t>
  </si>
  <si>
    <t>0                      Z  0678900C  475         2012</t>
  </si>
  <si>
    <t>Library technology and user services : planning, integration, and usability engineering / Anthony S. Chow and Timothy Bucknall.</t>
  </si>
  <si>
    <t>Chow, Anthony Shong-yu.</t>
  </si>
  <si>
    <t>1071989582:eng</t>
  </si>
  <si>
    <t>772396454</t>
  </si>
  <si>
    <t>ocn772396454</t>
  </si>
  <si>
    <t>31034308802</t>
  </si>
  <si>
    <t>9781843346388</t>
  </si>
  <si>
    <t>794904549</t>
  </si>
  <si>
    <t>Z678.9 D47 2011</t>
  </si>
  <si>
    <t>0                      Z  0678900D  47          2011</t>
  </si>
  <si>
    <t>Distributed learning and virtual librarianship / Sharon G. Almquist, editor.</t>
  </si>
  <si>
    <t>1076464706:eng</t>
  </si>
  <si>
    <t>548555582</t>
  </si>
  <si>
    <t>ocn548555582</t>
  </si>
  <si>
    <t>3103406137O</t>
  </si>
  <si>
    <t>9781591589068</t>
  </si>
  <si>
    <t>794810956</t>
  </si>
  <si>
    <t>Z678.9 E54 2010</t>
  </si>
  <si>
    <t>0                      Z  0678900E  54          2010</t>
  </si>
  <si>
    <t>Practical open source software for libraries / Nicole C. Engard.</t>
  </si>
  <si>
    <t>Engard, Nicole C., 1979-</t>
  </si>
  <si>
    <t>Oxford : Chandos Publishing, 2010.</t>
  </si>
  <si>
    <t>2011-11-06</t>
  </si>
  <si>
    <t>375864958:eng</t>
  </si>
  <si>
    <t>503046642</t>
  </si>
  <si>
    <t>ocn503046642</t>
  </si>
  <si>
    <t>31032378100</t>
  </si>
  <si>
    <t>9781843345855</t>
  </si>
  <si>
    <t>794806097</t>
  </si>
  <si>
    <t>Z678.9 G47 2011</t>
  </si>
  <si>
    <t>0                      Z  0678900G  47          2011</t>
  </si>
  <si>
    <t>Getting started with cloud computing : a LITA guide / Edward M. Corrado, Heather Lea Moulaison editors.</t>
  </si>
  <si>
    <t>London : Facet Publishing, 2011.</t>
  </si>
  <si>
    <t>Guide ; #16</t>
  </si>
  <si>
    <t>903521499:eng</t>
  </si>
  <si>
    <t>743202725</t>
  </si>
  <si>
    <t>ocn743202725</t>
  </si>
  <si>
    <t>3103408212H</t>
  </si>
  <si>
    <t>9781856048071</t>
  </si>
  <si>
    <t>794885458</t>
  </si>
  <si>
    <t>Z678.9 K585 2011</t>
  </si>
  <si>
    <t>0                      Z  0678900K  585         2011</t>
  </si>
  <si>
    <t>Implementing technology solutions in libraries : techniques, tools, and tips from the trenches / Karen C. Knox.</t>
  </si>
  <si>
    <t>Knox, Karen C., 1976-</t>
  </si>
  <si>
    <t>Medford, New Jersey : Information Today, Inc., [2011], ©2011.</t>
  </si>
  <si>
    <t>2012-05-01</t>
  </si>
  <si>
    <t>755524826:eng</t>
  </si>
  <si>
    <t>681488306</t>
  </si>
  <si>
    <t>ocn681488306</t>
  </si>
  <si>
    <t>3103344420B</t>
  </si>
  <si>
    <t>9781573874038</t>
  </si>
  <si>
    <t>794851483</t>
  </si>
  <si>
    <t>Z678.9 L275 2012</t>
  </si>
  <si>
    <t>0                      Z  0678900L  275         2012</t>
  </si>
  <si>
    <t>Next-Gen Library Redesign / Michael Lascarides.</t>
  </si>
  <si>
    <t>Lascarides, Michael, 1970-</t>
  </si>
  <si>
    <t>The tech set ; #16</t>
  </si>
  <si>
    <t>2017-05-31</t>
  </si>
  <si>
    <t>1097003546:eng</t>
  </si>
  <si>
    <t>781939361</t>
  </si>
  <si>
    <t>ocn781939361</t>
  </si>
  <si>
    <t>3103414092I</t>
  </si>
  <si>
    <t>9781555707873</t>
  </si>
  <si>
    <t>794913436</t>
  </si>
  <si>
    <t>Z678.9 L5185 2016</t>
  </si>
  <si>
    <t>0                      Z  0678900L  5185        2016</t>
  </si>
  <si>
    <t>Library technology buying strategies / edited by Marshall Breeding.</t>
  </si>
  <si>
    <t>4175715244:eng</t>
  </si>
  <si>
    <t>948748491</t>
  </si>
  <si>
    <t>ocn948748491</t>
  </si>
  <si>
    <t>3103656675V</t>
  </si>
  <si>
    <t>9780838914670</t>
  </si>
  <si>
    <t>795015718</t>
  </si>
  <si>
    <t>Z678.9 M384 2004</t>
  </si>
  <si>
    <t>0                      Z  0678900M  384         2004</t>
  </si>
  <si>
    <t>Technology planning : preparing and updating a library technology plan / Joseph R. Matthews.</t>
  </si>
  <si>
    <t>797250914:eng</t>
  </si>
  <si>
    <t>55962194</t>
  </si>
  <si>
    <t>ocm55962194</t>
  </si>
  <si>
    <t>31024443549</t>
  </si>
  <si>
    <t>9781591581901</t>
  </si>
  <si>
    <t>793884651</t>
  </si>
  <si>
    <t>Z678.9 M66 2010</t>
  </si>
  <si>
    <t>0                      Z  0678900M  66          2010</t>
  </si>
  <si>
    <t>More technology for the rest of us : a second primer on computing for the non-IT librarian / Nancy Courtney, editor.</t>
  </si>
  <si>
    <t>864099917:eng</t>
  </si>
  <si>
    <t>436030703</t>
  </si>
  <si>
    <t>ocn436030703</t>
  </si>
  <si>
    <t>3103240431V</t>
  </si>
  <si>
    <t>9781591589396</t>
  </si>
  <si>
    <t>794784237</t>
  </si>
  <si>
    <t>Z678.9 P83 2011</t>
  </si>
  <si>
    <t>0                      Z  0678900P  83          2011</t>
  </si>
  <si>
    <t>Public library computer technology benchmarks.</t>
  </si>
  <si>
    <t>[New York, N.Y.] : Primary Research Group, ©2011.</t>
  </si>
  <si>
    <t>3861001378:eng</t>
  </si>
  <si>
    <t>729687213</t>
  </si>
  <si>
    <t>ocn729687213</t>
  </si>
  <si>
    <t>3103385256O</t>
  </si>
  <si>
    <t>9781574401684</t>
  </si>
  <si>
    <t>794879578</t>
  </si>
  <si>
    <t>Z678.9 R53 2016</t>
  </si>
  <si>
    <t>0                      Z  0678900R  53          2016</t>
  </si>
  <si>
    <t>The data librarian's handbook / Robin Rice and John Southall.</t>
  </si>
  <si>
    <t>Rice, Robin (Robin Charlotte), 1965- author.</t>
  </si>
  <si>
    <t>2300004465:eng</t>
  </si>
  <si>
    <t>903764586</t>
  </si>
  <si>
    <t>ocn903764586</t>
  </si>
  <si>
    <t>3103903651W</t>
  </si>
  <si>
    <t>9781783300471</t>
  </si>
  <si>
    <t>794989674</t>
  </si>
  <si>
    <t>Z678.9 S87 2013</t>
  </si>
  <si>
    <t>0                      Z  0678900S  87          2013</t>
  </si>
  <si>
    <t>Survey of public library use of tablet computers, smartphones &amp; ebook readers.</t>
  </si>
  <si>
    <t>3235228006:eng</t>
  </si>
  <si>
    <t>840583151</t>
  </si>
  <si>
    <t>ocn840583151</t>
  </si>
  <si>
    <t>3103504791X</t>
  </si>
  <si>
    <t>9781574402377</t>
  </si>
  <si>
    <t>794946174</t>
  </si>
  <si>
    <t>Z678.93 I57 M54 2017</t>
  </si>
  <si>
    <t>0                      Z  0678930I  57                 M  54          2017</t>
  </si>
  <si>
    <t>Migrating library data : a practical manual / edited by Kyle Banerjee and Bonnie Parks.</t>
  </si>
  <si>
    <t>2019-05-01</t>
  </si>
  <si>
    <t>3805535382:eng</t>
  </si>
  <si>
    <t>957134124</t>
  </si>
  <si>
    <t>ocn957134124</t>
  </si>
  <si>
    <t>3103704151O</t>
  </si>
  <si>
    <t>9780838915035</t>
  </si>
  <si>
    <t>795020723</t>
  </si>
  <si>
    <t>Z678.93 I57 S94 2011</t>
  </si>
  <si>
    <t>0                      Z  0678930I  57                 S  94          2011</t>
  </si>
  <si>
    <t>Parents of invention : the development of library automation systems in the late 20th century / Christopher Brown-Syed ; foreword by W. David Penniman.</t>
  </si>
  <si>
    <t>Syed, Christopher, author.</t>
  </si>
  <si>
    <t>Santa Barbara, California : Libraries Unlimited, [2011]</t>
  </si>
  <si>
    <t>2012-08-31</t>
  </si>
  <si>
    <t>420123464:eng</t>
  </si>
  <si>
    <t>548555585</t>
  </si>
  <si>
    <t>ocn548555585</t>
  </si>
  <si>
    <t>3103364784H</t>
  </si>
  <si>
    <t>9781591587927</t>
  </si>
  <si>
    <t>794810958</t>
  </si>
  <si>
    <t>Z678.93 I57 W43 2010</t>
  </si>
  <si>
    <t>0                      Z  0678930I  57                 W  43          2010</t>
  </si>
  <si>
    <t>Integrated library systems : planning, selecting, and implementing / Desiree Webber and Andrew Peters.</t>
  </si>
  <si>
    <t>Webber, Desiree, 1956-</t>
  </si>
  <si>
    <t>802814893:eng</t>
  </si>
  <si>
    <t>610018820</t>
  </si>
  <si>
    <t>ocn610018820</t>
  </si>
  <si>
    <t>31032272947</t>
  </si>
  <si>
    <t>9781591588979</t>
  </si>
  <si>
    <t>794820412</t>
  </si>
  <si>
    <t>Z678.93 M53 S88 2013</t>
  </si>
  <si>
    <t>0                      Z  0678930M  53                 S  88          2013</t>
  </si>
  <si>
    <t>The survey of the use of tablet computers by academic &amp; special libraries.</t>
  </si>
  <si>
    <t>1364120084:eng</t>
  </si>
  <si>
    <t>837947991</t>
  </si>
  <si>
    <t>ocn837947991</t>
  </si>
  <si>
    <t>3103498835O</t>
  </si>
  <si>
    <t>9781574402322</t>
  </si>
  <si>
    <t>794945240</t>
  </si>
  <si>
    <t>Z678.93 O65 C66 2010</t>
  </si>
  <si>
    <t>0                      Z  0678930O  65                 C  66          2010</t>
  </si>
  <si>
    <t>Open source Web applications for libraries / Karen A. Coombs, Amanda J. Hollister.</t>
  </si>
  <si>
    <t>Coombs, Karen A.</t>
  </si>
  <si>
    <t>Medford, N.J. : Information Today, Inc., ©2010.</t>
  </si>
  <si>
    <t>2013-03-18</t>
  </si>
  <si>
    <t>654407160:eng</t>
  </si>
  <si>
    <t>664519499</t>
  </si>
  <si>
    <t>ocn664519499</t>
  </si>
  <si>
    <t>3103312696E</t>
  </si>
  <si>
    <t>9781573874007</t>
  </si>
  <si>
    <t>794844009</t>
  </si>
  <si>
    <t>Z678.93 O65 M84 2012</t>
  </si>
  <si>
    <t>0                      Z  0678930O  65                 M  84          2012</t>
  </si>
  <si>
    <t>Choisir un SIGB libre / Tristan Müller.</t>
  </si>
  <si>
    <t>Müller, Tristan.</t>
  </si>
  <si>
    <t>Montréal : Éditions ASTED, 2011.</t>
  </si>
  <si>
    <t>2013-11-27</t>
  </si>
  <si>
    <t>902768896:fre</t>
  </si>
  <si>
    <t>726556990</t>
  </si>
  <si>
    <t>ocn726556990</t>
  </si>
  <si>
    <t>3103403826H</t>
  </si>
  <si>
    <t>9782923563299</t>
  </si>
  <si>
    <t>794877209</t>
  </si>
  <si>
    <t>Z678.93 O65 S87 2013</t>
  </si>
  <si>
    <t>0                      Z  0678930O  65                 S  87          2013</t>
  </si>
  <si>
    <t>The survey of library use of open source software / Primary Research Group.</t>
  </si>
  <si>
    <t>1292770420:eng</t>
  </si>
  <si>
    <t>841897374</t>
  </si>
  <si>
    <t>ocn841897374</t>
  </si>
  <si>
    <t>3103498832O</t>
  </si>
  <si>
    <t>9781574402391</t>
  </si>
  <si>
    <t>794947212</t>
  </si>
  <si>
    <t>Z678.93 P74 S87 2014</t>
  </si>
  <si>
    <t>0                      Z  0678930P  74                 S  87          2014</t>
  </si>
  <si>
    <t>Survey of 3D printing in the library / Primary Research Group</t>
  </si>
  <si>
    <t>2251784872:eng</t>
  </si>
  <si>
    <t>872522311</t>
  </si>
  <si>
    <t>ocn872522311</t>
  </si>
  <si>
    <t>3103531409K</t>
  </si>
  <si>
    <t>9781574402803</t>
  </si>
  <si>
    <t>794968125</t>
  </si>
  <si>
    <t>Z678.93 P83 L53 2012</t>
  </si>
  <si>
    <t>0                      Z  0678930P  83                 L  53          2012</t>
  </si>
  <si>
    <t>Libraries, telecentres, cybercafes and public access to ICT : international comparisons / [edited by] Ricardo Gomez.</t>
  </si>
  <si>
    <t>1076464703:eng</t>
  </si>
  <si>
    <t>731191959</t>
  </si>
  <si>
    <t>ocn731191959</t>
  </si>
  <si>
    <t>3103406282B</t>
  </si>
  <si>
    <t>9781609607715</t>
  </si>
  <si>
    <t>794880628</t>
  </si>
  <si>
    <t>Z678.93 P83 P76 2017</t>
  </si>
  <si>
    <t>0                      Z  0678930P  83                 P  76          2017</t>
  </si>
  <si>
    <t>Protecting patron privacy : a LITA guide / edited by Bobbi Newman, Bonnie Tijerina.</t>
  </si>
  <si>
    <t>Lanham : Rowman &amp; Littlefield, [2017]</t>
  </si>
  <si>
    <t>Library Information Technology Association (LITA) guides</t>
  </si>
  <si>
    <t>2017-07-17</t>
  </si>
  <si>
    <t>3983238792:eng</t>
  </si>
  <si>
    <t>965760890</t>
  </si>
  <si>
    <t>ocn965760890</t>
  </si>
  <si>
    <t>3103704949G</t>
  </si>
  <si>
    <t>9781442269699</t>
  </si>
  <si>
    <t>795025889</t>
  </si>
  <si>
    <t>Z678.93 S53 B49 2019</t>
  </si>
  <si>
    <t>0                      Z  0678930S  53                 B  49          2019</t>
  </si>
  <si>
    <t>Beyond reality : augmented, virtual, and mixed reality in the library / edited by Kenneth J. Varnum.</t>
  </si>
  <si>
    <t>Chicago : ALA Editions, 2019.</t>
  </si>
  <si>
    <t>2019-08-08</t>
  </si>
  <si>
    <t>9077013203:eng</t>
  </si>
  <si>
    <t>1051070322</t>
  </si>
  <si>
    <t>on1051070322</t>
  </si>
  <si>
    <t>3103880138I</t>
  </si>
  <si>
    <t>9780838917855</t>
  </si>
  <si>
    <t>795061680</t>
  </si>
  <si>
    <t>Z678.93 S6 E75 2013</t>
  </si>
  <si>
    <t>0                      Z  0678930S  6                  E  75          2013</t>
  </si>
  <si>
    <t>Technology for small and one-person libraries : a LITA guide / Rene J. Erlandson, Rachel A. Erb.</t>
  </si>
  <si>
    <t>Erlandson, Rene J., author.</t>
  </si>
  <si>
    <t>LITA Guide</t>
  </si>
  <si>
    <t>1436849620:eng</t>
  </si>
  <si>
    <t>817721640</t>
  </si>
  <si>
    <t>ocn817721640</t>
  </si>
  <si>
    <t>3103498936L</t>
  </si>
  <si>
    <t>9781555708580</t>
  </si>
  <si>
    <t>794933598</t>
  </si>
  <si>
    <t>Z678.93 X54 C65 2013</t>
  </si>
  <si>
    <t>0                      Z  0678930X  54                 C  65          2013</t>
  </si>
  <si>
    <t>XML for catalogers and metadata librarians / Timothy W. Cole and Myung-Ja K. Han.</t>
  </si>
  <si>
    <t>1779832736:eng</t>
  </si>
  <si>
    <t>816512986</t>
  </si>
  <si>
    <t>ocn816512986</t>
  </si>
  <si>
    <t>3103498913P</t>
  </si>
  <si>
    <t>9781598845198</t>
  </si>
  <si>
    <t>794933176</t>
  </si>
  <si>
    <t>Z678.93 X54 C66 2018</t>
  </si>
  <si>
    <t>0                      Z  0678930X  54                 C  66          2018</t>
  </si>
  <si>
    <t>Coding with XML for efficiencies in cataloging and metadata : practical applications of XSD, XSLT, and XQuery / Timothy W. Cole, Myung-Ja (MJ) K. Han, Christine Schwartz.</t>
  </si>
  <si>
    <t>Cole, Timothy W., author.</t>
  </si>
  <si>
    <t>4513294404:eng</t>
  </si>
  <si>
    <t>1004555534</t>
  </si>
  <si>
    <t>on1004555534</t>
  </si>
  <si>
    <t>3103738207M</t>
  </si>
  <si>
    <t>9780838916537</t>
  </si>
  <si>
    <t>795041981</t>
  </si>
  <si>
    <t>Z678.93 X54 M55 2004</t>
  </si>
  <si>
    <t>0                      Z  0678930X  54                 M  55          2004</t>
  </si>
  <si>
    <t>Putting XML to work in the library : tools for improving access and management / Dick R. Miller and Kevin S. Clarke.</t>
  </si>
  <si>
    <t>Miller, Dick R.</t>
  </si>
  <si>
    <t>Chicago : American Library Association, 2004.</t>
  </si>
  <si>
    <t>800656404:eng</t>
  </si>
  <si>
    <t>52542586</t>
  </si>
  <si>
    <t>ocm52542586</t>
  </si>
  <si>
    <t>3103002113V</t>
  </si>
  <si>
    <t>9780838908631</t>
  </si>
  <si>
    <t>793809248</t>
  </si>
  <si>
    <t>Z678.93 X54 N48 2007</t>
  </si>
  <si>
    <t>0                      Z  0678930X  54                 N  48          2007</t>
  </si>
  <si>
    <t>Using XML : a how-to-do-it manual and CD-ROM for librarians / Kwong Bor Ng.</t>
  </si>
  <si>
    <t>Ng, Kwong Bor.</t>
  </si>
  <si>
    <t>How-to-do-it-manuals ; no. 154</t>
  </si>
  <si>
    <t>54358174:eng</t>
  </si>
  <si>
    <t>85833283</t>
  </si>
  <si>
    <t>ocm85833283</t>
  </si>
  <si>
    <t>31026451441</t>
  </si>
  <si>
    <t>9781555705671</t>
  </si>
  <si>
    <t>794216887</t>
  </si>
  <si>
    <t>Z679 A69 2010</t>
  </si>
  <si>
    <t>0                      Z  0679000A  69          2010</t>
  </si>
  <si>
    <t>The architecture of knowledge : the library of the future = De architektuur van kennis : de bibliotheek van de toekomst / [authors, Rients Dijkstra [and others] ; translation, Christine Gardner].</t>
  </si>
  <si>
    <t>Rotterdam : NAi Publishers ; New York, NY : Available in America through D.A.P./Distributed Art Publishers, ©2010.</t>
  </si>
  <si>
    <t>686094251:eng</t>
  </si>
  <si>
    <t>505749973</t>
  </si>
  <si>
    <t>ocn505749973</t>
  </si>
  <si>
    <t>31032382820</t>
  </si>
  <si>
    <t>9789056627478</t>
  </si>
  <si>
    <t>794807317</t>
  </si>
  <si>
    <t>Z679 B83</t>
  </si>
  <si>
    <t>0                      Z  0679000B  83</t>
  </si>
  <si>
    <t>Libraries: architecture and equipment / Michael Brawne ; translated into German by Antje Pehnt.</t>
  </si>
  <si>
    <t>Brawne, Michael, author.</t>
  </si>
  <si>
    <t>New York : Praeger Publishers, [1970]</t>
  </si>
  <si>
    <t>2015-10-01</t>
  </si>
  <si>
    <t>1243506:eng</t>
  </si>
  <si>
    <t>72755</t>
  </si>
  <si>
    <t>ocm00072755</t>
  </si>
  <si>
    <t>3102952361H</t>
  </si>
  <si>
    <t>791246448</t>
  </si>
  <si>
    <t>Z679 D44313</t>
  </si>
  <si>
    <t>0                      Z  0679000D  44313</t>
  </si>
  <si>
    <t>Public library buildings: standards and type plans for library premises in areas with populations of between 5,000 and 25,000, originally issued by the Danish State Library Inspectorate's Committee for the Compilation of Standards for Library Buildings in 1967; under the editorship of Sven Plovgaard and now translated from the Danish by Oliver Stallybrass.</t>
  </si>
  <si>
    <t>Denmark. Bibliotekstilsynet. Udvalget til udarbejdelse af normer for biblioteksbygninger.</t>
  </si>
  <si>
    <t>London, Library Association, 1971.</t>
  </si>
  <si>
    <t>2010-09-22</t>
  </si>
  <si>
    <t>320407855:eng</t>
  </si>
  <si>
    <t>213431</t>
  </si>
  <si>
    <t>ocm00213431</t>
  </si>
  <si>
    <t>3000852697O</t>
  </si>
  <si>
    <t>9780853652847</t>
  </si>
  <si>
    <t>791295541</t>
  </si>
  <si>
    <t>3102952366H</t>
  </si>
  <si>
    <t>791295540</t>
  </si>
  <si>
    <t>Z679 E35 2009</t>
  </si>
  <si>
    <t>0                      Z  0679000E  35          2009</t>
  </si>
  <si>
    <t>Libraries and learning resource centres / Brian Edwards.</t>
  </si>
  <si>
    <t>Edwards, Brian, 1944-</t>
  </si>
  <si>
    <t>Oxford, UK ; Burlington, MA : Architectural Press, ©2009.</t>
  </si>
  <si>
    <t>36942008:eng</t>
  </si>
  <si>
    <t>280440092</t>
  </si>
  <si>
    <t>ocn280440092</t>
  </si>
  <si>
    <t>3102857403C</t>
  </si>
  <si>
    <t>9781856176194</t>
  </si>
  <si>
    <t>794420410</t>
  </si>
  <si>
    <t>Z679 E42 1960</t>
  </si>
  <si>
    <t>0                      Z  0679000E  42          1960</t>
  </si>
  <si>
    <t>Planning the college and university library building: a book for campus planners and architects [by] Ralph E. Ellsworth.</t>
  </si>
  <si>
    <t>Ellsworth, Ralph E. (Ralph Eugene), 1907-2000.</t>
  </si>
  <si>
    <t>2016-11-24</t>
  </si>
  <si>
    <t>232025120:eng</t>
  </si>
  <si>
    <t>1066716</t>
  </si>
  <si>
    <t>ocm01066716</t>
  </si>
  <si>
    <t>31003849142</t>
  </si>
  <si>
    <t>791537671</t>
  </si>
  <si>
    <t>Z679 H5</t>
  </si>
  <si>
    <t>0                      Z  0679000H  5</t>
  </si>
  <si>
    <t>Study to develop a research program for the design development of modern college libraries : final report.</t>
  </si>
  <si>
    <t>Historical Evaluation and Research Organization.</t>
  </si>
  <si>
    <t>[Washington, D.C.] : U.S. Office of Education, Bureau of Research, 1968.</t>
  </si>
  <si>
    <t>Educational Resources Information Center (U.S.) Clearinghouse for Library and Information Sciences. [Report] ; LI 000-818</t>
  </si>
  <si>
    <t>8730180:eng</t>
  </si>
  <si>
    <t>61610868</t>
  </si>
  <si>
    <t>ocm61610868</t>
  </si>
  <si>
    <t>3103705947F</t>
  </si>
  <si>
    <t>794049302</t>
  </si>
  <si>
    <t>Z679 I57 2013</t>
  </si>
  <si>
    <t>0                      Z  0679000I  57          2013</t>
  </si>
  <si>
    <t>High quality design on a low budget : new library buildings : proceedings of the Satellite Conference of the IFLA Library Buildings and Equipment Section "Making ends meet: high quality design on a low budget" held at Li Ka Shing Library, Singapore Management University, 15-16 August 2013 / edited by Dorothea Sommer, Janine Schmidt and Stefan Clevström.</t>
  </si>
  <si>
    <t>International Federation of Library Associations and Institutions. Section on Library Buildings and Equipment. Satellite Conference (2013 : Singapore Management University)</t>
  </si>
  <si>
    <t>Berlin : De Gruyter Saur, [2016]</t>
  </si>
  <si>
    <t>IFLA publications ; volume 171</t>
  </si>
  <si>
    <t>2039210547:eng</t>
  </si>
  <si>
    <t>944431300</t>
  </si>
  <si>
    <t>ocn944431300</t>
  </si>
  <si>
    <t>3103654153Y</t>
  </si>
  <si>
    <t>9783110375275</t>
  </si>
  <si>
    <t>795012985</t>
  </si>
  <si>
    <t>- Reserves (ASK AT THE SERVICE DESK) - Regular Loan</t>
  </si>
  <si>
    <t>Z679 I58 2012</t>
  </si>
  <si>
    <t>0                      Z  0679000I  58          2012</t>
  </si>
  <si>
    <t>Information and documentation : qualitative conditions and basic statistics for library buildings-space, function and design = Information et documentation - Conditions qualitatives et statistiques fondamentales pour bâtiments de bibliothèques- espaces, fonctions et conception.</t>
  </si>
  <si>
    <t>International Organization for Standardization.</t>
  </si>
  <si>
    <t>Geneva, Switzerland : International Organization for Standardization, ©2012.</t>
  </si>
  <si>
    <t>1376168673:eng</t>
  </si>
  <si>
    <t>852628885</t>
  </si>
  <si>
    <t>ocn852628885</t>
  </si>
  <si>
    <t>3103724283W</t>
  </si>
  <si>
    <t>794951437</t>
  </si>
  <si>
    <t>Z679 K48 2009</t>
  </si>
  <si>
    <t>0                      Z  0679000K  48          2009</t>
  </si>
  <si>
    <t>Better by design : an introduction to planning and designing a new library building / Ayub Khan.</t>
  </si>
  <si>
    <t>Khan, Ayub, author.</t>
  </si>
  <si>
    <t>London : Facet Pub., 2009.</t>
  </si>
  <si>
    <t>2019-02-20</t>
  </si>
  <si>
    <t>892168109:eng</t>
  </si>
  <si>
    <t>221145313</t>
  </si>
  <si>
    <t>ocn221145313</t>
  </si>
  <si>
    <t>3102857860P</t>
  </si>
  <si>
    <t>9781856046503</t>
  </si>
  <si>
    <t>794324305</t>
  </si>
  <si>
    <t>Z679 K65 1986</t>
  </si>
  <si>
    <t>0                      Z  0679000K  65          1986</t>
  </si>
  <si>
    <t>Libraries / [Allan Konya].</t>
  </si>
  <si>
    <t>Konya, Allan.</t>
  </si>
  <si>
    <t>London [England] : Architectural Press, 1986.</t>
  </si>
  <si>
    <t>A Briefing and design guide ; 1</t>
  </si>
  <si>
    <t>8464361:eng</t>
  </si>
  <si>
    <t>14222035</t>
  </si>
  <si>
    <t>ocm14222035</t>
  </si>
  <si>
    <t>3102952416O</t>
  </si>
  <si>
    <t>9780851397658</t>
  </si>
  <si>
    <t>792882556</t>
  </si>
  <si>
    <t>Z679 L479 2004</t>
  </si>
  <si>
    <t>0                      Z  0679000L  479         2004</t>
  </si>
  <si>
    <t>Libraries as places : buildings for the 21st century : proceedings of the Thirteenth Seminar of IFLA's Library Buildings and Equipment Section together with IFLA's Public Libraries Section, Paris, France, 28 July-1 August, 2003 / edited by Marie-Françoise Bisbrouck [and others].</t>
  </si>
  <si>
    <t>International Federation of Library Associations and Institutions. Section on Library Buildings and Equipment. Seminar (13th : 2003 : Paris, France)</t>
  </si>
  <si>
    <t>IFLA publications, 0344-6891 ; 109</t>
  </si>
  <si>
    <t>2018-11-13</t>
  </si>
  <si>
    <t>892176910:eng</t>
  </si>
  <si>
    <t>56494501</t>
  </si>
  <si>
    <t>ocm56494501</t>
  </si>
  <si>
    <t>31023996098</t>
  </si>
  <si>
    <t>9783598218392</t>
  </si>
  <si>
    <t>793894447</t>
  </si>
  <si>
    <t>Z679 L5 1974</t>
  </si>
  <si>
    <t>0                      Z  0679000L  5           1974</t>
  </si>
  <si>
    <t>An architectural strategy for change : remodeling and expanding for contemporary public library needs : proceedings of the Library Architecture Preconference Institute held at New York, New York, 4-6 July 1974, under the sponsorship of the Architecture for Public Libraries Committee, Buildings and Equipment Section, Library Administration Division, American Library Association / Raymond M. Holt, editor.</t>
  </si>
  <si>
    <t>Library Architecture Preconference Institute (1974 : New York, N.Y.)</t>
  </si>
  <si>
    <t>Chicago : American Library Association, 1976.</t>
  </si>
  <si>
    <t>353244725:eng</t>
  </si>
  <si>
    <t>2159181</t>
  </si>
  <si>
    <t>ocm02159181</t>
  </si>
  <si>
    <t>3102952446I</t>
  </si>
  <si>
    <t>9780838902103</t>
  </si>
  <si>
    <t>792058471</t>
  </si>
  <si>
    <t>3000848942D</t>
  </si>
  <si>
    <t>792058472</t>
  </si>
  <si>
    <t>Z679 L535 2007</t>
  </si>
  <si>
    <t>0                      Z  0679000L  535         2007</t>
  </si>
  <si>
    <t>Library design / [editors and texts, Karen M. Smith, John A. Flannery].</t>
  </si>
  <si>
    <t>Kempen, Germany ; New York, N.Y. : TeNeues, ©2007.</t>
  </si>
  <si>
    <t>3855585015:eng</t>
  </si>
  <si>
    <t>156814621</t>
  </si>
  <si>
    <t>ocn156814621</t>
  </si>
  <si>
    <t>3102647152S</t>
  </si>
  <si>
    <t>9783832792046</t>
  </si>
  <si>
    <t>794254743</t>
  </si>
  <si>
    <t>2017-02-28</t>
  </si>
  <si>
    <t>3103039899P</t>
  </si>
  <si>
    <t>794254744</t>
  </si>
  <si>
    <t>Z679 L84 2008</t>
  </si>
  <si>
    <t>0                      Z  0679000L  84          2008</t>
  </si>
  <si>
    <t>Logotopia : the library in architecture, art and the imagination / curated by Sascha Hastings ; edited by Sascha Hastings and Esther E. Shipman ; with contributions by architects Hariri Pontarini Architects . [and others], artists Adam David Brown [and others], writers Lise Bissonnette [and others].</t>
  </si>
  <si>
    <t>Cambridge, Ont. : Cambridge Galleries Design at Riverside, [2008]</t>
  </si>
  <si>
    <t>117735597:eng</t>
  </si>
  <si>
    <t>185032183</t>
  </si>
  <si>
    <t>ocn185032183</t>
  </si>
  <si>
    <t>31027061569</t>
  </si>
  <si>
    <t>9781897001264</t>
  </si>
  <si>
    <t>794291931</t>
  </si>
  <si>
    <t>Z679 P75 2015</t>
  </si>
  <si>
    <t>0                      Z  0679000P  75          2015</t>
  </si>
  <si>
    <t>Survey of library noise control &amp; soundproofing practices / Primary Research Group Staff May 2015.</t>
  </si>
  <si>
    <t>[New York, New York] : [Primary Research Group Inc.], [2015]</t>
  </si>
  <si>
    <t>2527166030:eng</t>
  </si>
  <si>
    <t>909637131</t>
  </si>
  <si>
    <t>ocn909637131</t>
  </si>
  <si>
    <t>31036098840</t>
  </si>
  <si>
    <t>9781574403404</t>
  </si>
  <si>
    <t>794995589</t>
  </si>
  <si>
    <t>Z679 R68 2011</t>
  </si>
  <si>
    <t>0                      Z  0679000R  68          2011</t>
  </si>
  <si>
    <t>Library architecture + design / Manuela Roth.</t>
  </si>
  <si>
    <t>Roth, Manuela.</t>
  </si>
  <si>
    <t>[Salenstein] : Braun ; London : Thames &amp; Hudson [distributor], 2011.</t>
  </si>
  <si>
    <t>Masterpieces</t>
  </si>
  <si>
    <t>457913855:eng</t>
  </si>
  <si>
    <t>587124501</t>
  </si>
  <si>
    <t>ocn587124501</t>
  </si>
  <si>
    <t>3103373497N</t>
  </si>
  <si>
    <t>9783037680650</t>
  </si>
  <si>
    <t>794814344</t>
  </si>
  <si>
    <t>3103313685C</t>
  </si>
  <si>
    <t>794814345</t>
  </si>
  <si>
    <t>Z679 S33 2018</t>
  </si>
  <si>
    <t>0                      Z  0679000S  33          2018</t>
  </si>
  <si>
    <t>The practical handbook of library architecture : creating building spaces that work / Fred Schlipf, John A. Moorman.</t>
  </si>
  <si>
    <t>Schlipf, Frederick A., author.</t>
  </si>
  <si>
    <t>4485918459:eng</t>
  </si>
  <si>
    <t>974470577</t>
  </si>
  <si>
    <t>ocn974470577</t>
  </si>
  <si>
    <t>3103703194B</t>
  </si>
  <si>
    <t>9780838915530</t>
  </si>
  <si>
    <t>795029588</t>
  </si>
  <si>
    <t>Z679 S825 2017</t>
  </si>
  <si>
    <t>0                      Z  0679000S  825         2017</t>
  </si>
  <si>
    <t>The architecture of libraries in Western civilization : from the Minoan Era to Michelangelo / K. Sp. Staikos ; translated by Timothy Cullen, Alexandra Doumas, Nikos Koutras, Katerina Spathi.</t>
  </si>
  <si>
    <t>Staikos, K., author.</t>
  </si>
  <si>
    <t>New Castle, DE : Oak Knoll Press ; Athens, Greece : ATON Publications, [2017]</t>
  </si>
  <si>
    <t>First English edition.</t>
  </si>
  <si>
    <t>4504239359:eng</t>
  </si>
  <si>
    <t>985299469</t>
  </si>
  <si>
    <t>ocn985299469</t>
  </si>
  <si>
    <t>3103762263O</t>
  </si>
  <si>
    <t>9781584563679</t>
  </si>
  <si>
    <t>795035280</t>
  </si>
  <si>
    <t>Z679 S84 1991</t>
  </si>
  <si>
    <t>0                      Z  0679000S  84          1991</t>
  </si>
  <si>
    <t>Libraries and archives : design and renovation with a preservation perspective / by Susan Garretson Swartzburg and Holly Bussey, with Frank Garretson.</t>
  </si>
  <si>
    <t>Swartzburg, Susan G., 1938-1996.</t>
  </si>
  <si>
    <t>Metuchen, N.J. : Scarecrow Press, 1991.</t>
  </si>
  <si>
    <t>25070910:eng</t>
  </si>
  <si>
    <t>24108482</t>
  </si>
  <si>
    <t>ocm24108482</t>
  </si>
  <si>
    <t>3101114210C</t>
  </si>
  <si>
    <t>9780810824201</t>
  </si>
  <si>
    <t>793190056</t>
  </si>
  <si>
    <t>Z679 W6713</t>
  </si>
  <si>
    <t>0                      Z  0679000W  6713</t>
  </si>
  <si>
    <t>Libraries for schools and universities.</t>
  </si>
  <si>
    <t>Wild, Friedemann.</t>
  </si>
  <si>
    <t>New York, Van Nostrand Reinhold Co. [1972]</t>
  </si>
  <si>
    <t>Design &amp; planning</t>
  </si>
  <si>
    <t>1856150616:eng</t>
  </si>
  <si>
    <t>363888</t>
  </si>
  <si>
    <t>ocm00363888</t>
  </si>
  <si>
    <t>3102952435K</t>
  </si>
  <si>
    <t>9780442266585</t>
  </si>
  <si>
    <t>791352135</t>
  </si>
  <si>
    <t>3000854233J</t>
  </si>
  <si>
    <t>791352136</t>
  </si>
  <si>
    <t>Z679 W83 2013</t>
  </si>
  <si>
    <t>0                      Z  0679000W  83          2013</t>
  </si>
  <si>
    <t>Contemporary library architecture : a planning and design guide / Ken Worpole.</t>
  </si>
  <si>
    <t>Worpole, Ken.</t>
  </si>
  <si>
    <t>1601397549:eng</t>
  </si>
  <si>
    <t>852955994</t>
  </si>
  <si>
    <t>ocn852955994</t>
  </si>
  <si>
    <t>31035004120</t>
  </si>
  <si>
    <t>9780415592291</t>
  </si>
  <si>
    <t>794951762</t>
  </si>
  <si>
    <t>Z679.2 C2 S36 1986</t>
  </si>
  <si>
    <t>0                      Z  0679200C  2                  S  36          1986</t>
  </si>
  <si>
    <t>The accessible Canadian library : a planning workbook for a barrier-free environment / by Wendy Scott = La bibliothèque canadienne accessible : guide de planification d'un environnement sans obstacle / par Wendy Scott.</t>
  </si>
  <si>
    <t>Scott, Wendy.</t>
  </si>
  <si>
    <t>Ottawa : National Library of Canada = Bibliothèque nationale du Canada, 1986.</t>
  </si>
  <si>
    <t>8907287280:eng</t>
  </si>
  <si>
    <t>15784435</t>
  </si>
  <si>
    <t>ocm15784435</t>
  </si>
  <si>
    <t>31036444214</t>
  </si>
  <si>
    <t>9780660533674</t>
  </si>
  <si>
    <t>792942395</t>
  </si>
  <si>
    <t>Z679.2 C3 S93 1995</t>
  </si>
  <si>
    <t>0                      Z  0679200C  3                  S  93          1995</t>
  </si>
  <si>
    <t>Polishing the jewel : a history of the renewal project : Westmount Public Library / Laureen Sweeney.</t>
  </si>
  <si>
    <t>Sweeney, Laureen, 1941-</t>
  </si>
  <si>
    <t>Westmount [Quebec] : City of Westmount, 1995.</t>
  </si>
  <si>
    <t>2015-12-07</t>
  </si>
  <si>
    <t>2911314667:eng</t>
  </si>
  <si>
    <t>35882491</t>
  </si>
  <si>
    <t>ocm35882491</t>
  </si>
  <si>
    <t>31035148350</t>
  </si>
  <si>
    <t>9782980049569</t>
  </si>
  <si>
    <t>793459863</t>
  </si>
  <si>
    <t>Z679.2 F8 B547 2002</t>
  </si>
  <si>
    <t>0                      Z  0679200F  8                  B  547         2002</t>
  </si>
  <si>
    <t>Les bibliothèques parisiennes : architecture et décor / sous la direction de Myriam Bacha et Christian Hottin ; avec la collaboration de Lluis Agusti [and others].</t>
  </si>
  <si>
    <t>[Paris] : Action artistique de la ville de Paris, [2002]</t>
  </si>
  <si>
    <t>Collection Paris et son patrimoine</t>
  </si>
  <si>
    <t>2015-04-04</t>
  </si>
  <si>
    <t>892005034:fre</t>
  </si>
  <si>
    <t>50692464</t>
  </si>
  <si>
    <t>ocm50692464</t>
  </si>
  <si>
    <t>3102952440I</t>
  </si>
  <si>
    <t>9782913246393</t>
  </si>
  <si>
    <t>793770736</t>
  </si>
  <si>
    <t>Z679.2 G3 F74 2011</t>
  </si>
  <si>
    <t>0                      Z  0679200G  3                  F  74          2011</t>
  </si>
  <si>
    <t>Free University of Berlin : Foster + Partners / Norman Foster, Karl Kiem, Peter Buchanan ; [edited by David Jenkins].</t>
  </si>
  <si>
    <t>Munich ; London : Prestel, ©2011.</t>
  </si>
  <si>
    <t>2014-10-03</t>
  </si>
  <si>
    <t>1082063872:eng</t>
  </si>
  <si>
    <t>783148803</t>
  </si>
  <si>
    <t>ocn783148803</t>
  </si>
  <si>
    <t>3103411000B</t>
  </si>
  <si>
    <t>9783791345444</t>
  </si>
  <si>
    <t>794913907</t>
  </si>
  <si>
    <t>Z679.2 G3 U6 2011</t>
  </si>
  <si>
    <t>0                      Z  0679200G  3                  U  6           2011</t>
  </si>
  <si>
    <t>Umschlag, Hülle, Inhalt : Erweiterung Deutsche Nationalbibliothek in Leipzig / herausgegeben von der Deutschen Nationalbbibliothek und dem Landesamt für Steuern und Finanzen des Freistaates Sachsen, Redaktion, Bernd Aschauer [and others].</t>
  </si>
  <si>
    <t>Ostfildern : H. Cantz, ©2011.</t>
  </si>
  <si>
    <t>775699032:ger</t>
  </si>
  <si>
    <t>700356285</t>
  </si>
  <si>
    <t>ocn700356285</t>
  </si>
  <si>
    <t>3103412139Z</t>
  </si>
  <si>
    <t>9783775727631</t>
  </si>
  <si>
    <t>794861977</t>
  </si>
  <si>
    <t>Z679.2 G7 B57 2009</t>
  </si>
  <si>
    <t>0                      Z  0679200G  7                  B  57          2009</t>
  </si>
  <si>
    <t>Books, buildings and social engineering : early public libraries in Britain from past to present / Alistair Black, Simon Pepper and Kaye Bagshaw.</t>
  </si>
  <si>
    <t>Black, Alistair.</t>
  </si>
  <si>
    <t>Farnham, England ; Burlington, VT : Ashgate Pub., ©2009.</t>
  </si>
  <si>
    <t>963932819:eng</t>
  </si>
  <si>
    <t>276514861</t>
  </si>
  <si>
    <t>ocn276514861</t>
  </si>
  <si>
    <t>31028593047</t>
  </si>
  <si>
    <t>9780754672074</t>
  </si>
  <si>
    <t>794416757</t>
  </si>
  <si>
    <t>Z679.2 G7 R46 2009</t>
  </si>
  <si>
    <t>0                      Z  0679200G  7                  R  46          2009</t>
  </si>
  <si>
    <t>Renewing our libraries : case studies in re-planning and refurbishment / edited by Michael Dewe.</t>
  </si>
  <si>
    <t>Farnham, England ; Burlington, VT : Ashgate, ©2009.</t>
  </si>
  <si>
    <t>872764409:eng</t>
  </si>
  <si>
    <t>227205754</t>
  </si>
  <si>
    <t>ocn227205754</t>
  </si>
  <si>
    <t>3102856330D</t>
  </si>
  <si>
    <t>9780754673392</t>
  </si>
  <si>
    <t>794347404</t>
  </si>
  <si>
    <t>Z679.2 N4 B44 2005</t>
  </si>
  <si>
    <t>0                      Z  0679200N  4                  B  44          2005</t>
  </si>
  <si>
    <t>Living library : Wiel Arets : Utrecht University Library.</t>
  </si>
  <si>
    <t>New York : Prestel Pub., ©2005.</t>
  </si>
  <si>
    <t>2015-10-28</t>
  </si>
  <si>
    <t>340958389:eng</t>
  </si>
  <si>
    <t>62149275</t>
  </si>
  <si>
    <t>ocm62149275</t>
  </si>
  <si>
    <t>3102562196$</t>
  </si>
  <si>
    <t>9783791334554</t>
  </si>
  <si>
    <t>794101213</t>
  </si>
  <si>
    <t>Z679.2 R8 S64 1994</t>
  </si>
  <si>
    <t>0                      Z  0679200R  8                  S  64          1994</t>
  </si>
  <si>
    <t>Viipuri Library, 1927-1935 : Alvar Aalto / Michael Spens.</t>
  </si>
  <si>
    <t>Spens, Michael.</t>
  </si>
  <si>
    <t>London : Academy Editions ; New York, NY : Distributed in the United States of America by St. Martin's Press, 1994.</t>
  </si>
  <si>
    <t>Historical monograph</t>
  </si>
  <si>
    <t>2017-09-30</t>
  </si>
  <si>
    <t>19381745:eng</t>
  </si>
  <si>
    <t>32035721</t>
  </si>
  <si>
    <t>ocm32035721</t>
  </si>
  <si>
    <t>3102952404Q</t>
  </si>
  <si>
    <t>9781854903662</t>
  </si>
  <si>
    <t>793374053</t>
  </si>
  <si>
    <t>Z679.2 S56 G66 1997</t>
  </si>
  <si>
    <t>0                      Z  0679200S  56                 G  66          1997</t>
  </si>
  <si>
    <t>National and University Library, Ljubljana : Jože Plečnik / Mel Gooding ; [photography: Mark Fiennes].</t>
  </si>
  <si>
    <t>Gooding, Mel.</t>
  </si>
  <si>
    <t>London : Phaidon Press, 1997.</t>
  </si>
  <si>
    <t>Architecture in detail</t>
  </si>
  <si>
    <t>2015-05-27</t>
  </si>
  <si>
    <t>837030738:eng</t>
  </si>
  <si>
    <t>38059882</t>
  </si>
  <si>
    <t>ocm38059882</t>
  </si>
  <si>
    <t>3102952409Q</t>
  </si>
  <si>
    <t>9780714829388</t>
  </si>
  <si>
    <t>793514090</t>
  </si>
  <si>
    <t>Z679.2 S7 L53 2014</t>
  </si>
  <si>
    <t>0                      Z  0679200S  7                  L  53          2014</t>
  </si>
  <si>
    <t>Library of light = Biblioteca de llum : Biblioteca Joan Maragall, Sant Gervasi, Barcelona / authors, Baena Casamor Arquitectes BCQ, S.L.P.</t>
  </si>
  <si>
    <t>Barcelona : BCQ arquitectura Barcelona, [2014]</t>
  </si>
  <si>
    <t>9323288063:eng</t>
  </si>
  <si>
    <t>982129452</t>
  </si>
  <si>
    <t>ocn982129452</t>
  </si>
  <si>
    <t>3103715018F</t>
  </si>
  <si>
    <t>9788461703357</t>
  </si>
  <si>
    <t>795034338</t>
  </si>
  <si>
    <t>Z679.2 U54 B37 2011</t>
  </si>
  <si>
    <t>0                      Z  0679200U  54                 B  37          2011</t>
  </si>
  <si>
    <t>The library renovation, maintenance, and construction handbook / Donald A. Barclay and Eric D. Scott.</t>
  </si>
  <si>
    <t>Barclay, Donald A.</t>
  </si>
  <si>
    <t>New York : Neal-Schuman Publishers, Inc., ©2011.</t>
  </si>
  <si>
    <t>770308039:eng</t>
  </si>
  <si>
    <t>697036784</t>
  </si>
  <si>
    <t>ocn697036784</t>
  </si>
  <si>
    <t>3103362876O</t>
  </si>
  <si>
    <t>9781555707170</t>
  </si>
  <si>
    <t>794859639</t>
  </si>
  <si>
    <t>Z679.2 U54 B39 2001</t>
  </si>
  <si>
    <t>0                      Z  0679200U  54                 B  39          2001</t>
  </si>
  <si>
    <t>Academic Libraries as High-Tech Gateways : a Guide to Design &amp; Space Decisions / Richard J. Bazillion, Connie L. Braun.</t>
  </si>
  <si>
    <t>Bazillion, Richard J., 1943-</t>
  </si>
  <si>
    <t>2nd edition.</t>
  </si>
  <si>
    <t>ALA editions</t>
  </si>
  <si>
    <t>2015-04-20</t>
  </si>
  <si>
    <t>198659950:eng</t>
  </si>
  <si>
    <t>44669686</t>
  </si>
  <si>
    <t>ocm44669686</t>
  </si>
  <si>
    <t>3102164334U</t>
  </si>
  <si>
    <t>9780838907924</t>
  </si>
  <si>
    <t>793655436</t>
  </si>
  <si>
    <t>Z679.2 U54 B74 1997</t>
  </si>
  <si>
    <t>0                      Z  0679200U  54                 B  74          1997</t>
  </si>
  <si>
    <t>Henry Hobson Richardson and the small public library in America : a study in typology / Kenneth A. Breisch.</t>
  </si>
  <si>
    <t>Breisch, Kenneth A.</t>
  </si>
  <si>
    <t>Cambridge, Mass. : MIT Press, ©1997.</t>
  </si>
  <si>
    <t>837013889:eng</t>
  </si>
  <si>
    <t>35559247</t>
  </si>
  <si>
    <t>ocm35559247</t>
  </si>
  <si>
    <t>3102952419O</t>
  </si>
  <si>
    <t>9780262024167</t>
  </si>
  <si>
    <t>793452155</t>
  </si>
  <si>
    <t>Z679.2 U54 C44 2001</t>
  </si>
  <si>
    <t>0                      Z  0679200U  54                 C  44          2001</t>
  </si>
  <si>
    <t>Checklist of library building design considerations / William W. Sannwald.</t>
  </si>
  <si>
    <t>Sannwald, William W.</t>
  </si>
  <si>
    <t>Chicago : American Library Association, ©2001.</t>
  </si>
  <si>
    <t>140196842:eng</t>
  </si>
  <si>
    <t>45276535</t>
  </si>
  <si>
    <t>ocm45276535</t>
  </si>
  <si>
    <t>3102200625H</t>
  </si>
  <si>
    <t>9780838935064</t>
  </si>
  <si>
    <t>793668327</t>
  </si>
  <si>
    <t>Z679.2 U54 C65 2018</t>
  </si>
  <si>
    <t>0                      Z  0679200U  54                 C  65          2018</t>
  </si>
  <si>
    <t>Collaborative library design : from planning to impact / [edited by] Peter Gisolfi.</t>
  </si>
  <si>
    <t>4960941450:eng</t>
  </si>
  <si>
    <t>1031339480</t>
  </si>
  <si>
    <t>on1031339480</t>
  </si>
  <si>
    <t>3103704104X</t>
  </si>
  <si>
    <t>9780838917176</t>
  </si>
  <si>
    <t>795055228</t>
  </si>
  <si>
    <t>Z679.2 U54 C74 2017</t>
  </si>
  <si>
    <t>0                      Z  0679200U  54                 C  74          2017</t>
  </si>
  <si>
    <t>Creating the high-functioning library space : expert advice from librarians, architects, and designers / Marta Mestrovic Deyrup, editor.</t>
  </si>
  <si>
    <t>Santa Barbara, California : Libraries Unlimited, an imprint of ABC-CLIO, LLC, [2017]</t>
  </si>
  <si>
    <t>2888854159:eng</t>
  </si>
  <si>
    <t>935193674</t>
  </si>
  <si>
    <t>ocn935193674</t>
  </si>
  <si>
    <t>3103696983X</t>
  </si>
  <si>
    <t>9781440840586</t>
  </si>
  <si>
    <t>795009992</t>
  </si>
  <si>
    <t>Z679.2 U54 M327 2007</t>
  </si>
  <si>
    <t>0                      Z  0679200U  54                 M  327         2007</t>
  </si>
  <si>
    <t>The new downtown library : designing with communities / Shannon Mattern.</t>
  </si>
  <si>
    <t>Mattern, Shannon Christine.</t>
  </si>
  <si>
    <t>Minneapolis : University of Minnesota Press, ©2007.</t>
  </si>
  <si>
    <t>892555901:eng</t>
  </si>
  <si>
    <t>76150573</t>
  </si>
  <si>
    <t>ocm76150573</t>
  </si>
  <si>
    <t>3102594374B</t>
  </si>
  <si>
    <t>9780816648962</t>
  </si>
  <si>
    <t>794175756</t>
  </si>
  <si>
    <t>Z679.2 U54 O44 1991</t>
  </si>
  <si>
    <t>0                      Z  0679200U  54                 O  44          1991</t>
  </si>
  <si>
    <t>Books and blueprints : building America's public libraries / Donald E. Oehlerts.</t>
  </si>
  <si>
    <t>Oehlerts, Donald E.</t>
  </si>
  <si>
    <t>New York : Greenwood Press, 1991.</t>
  </si>
  <si>
    <t>Contributions in librarianship and information science, 0084-9243 ; no. 69</t>
  </si>
  <si>
    <t>222939719:eng</t>
  </si>
  <si>
    <t>23386603</t>
  </si>
  <si>
    <t>ocm23386603</t>
  </si>
  <si>
    <t>3101112418Z</t>
  </si>
  <si>
    <t>9780313265709</t>
  </si>
  <si>
    <t>793169234</t>
  </si>
  <si>
    <t>Z679.2 U54 R42 2013</t>
  </si>
  <si>
    <t>0                      Z  0679200U  54                 R  42          2013</t>
  </si>
  <si>
    <t>Redesigning the public library building / [Primary Research Group].</t>
  </si>
  <si>
    <t>1212406594:eng</t>
  </si>
  <si>
    <t>829738216</t>
  </si>
  <si>
    <t>ocn829738216</t>
  </si>
  <si>
    <t>31034974295</t>
  </si>
  <si>
    <t>9781574402285</t>
  </si>
  <si>
    <t>794942689</t>
  </si>
  <si>
    <t>Z679.2 U54 R43 2013</t>
  </si>
  <si>
    <t>0                      Z  0679200U  54                 R  43          2013</t>
  </si>
  <si>
    <t>Redesigning the college library building, 2014 edition.</t>
  </si>
  <si>
    <t>2014 edition.</t>
  </si>
  <si>
    <t>1791419426:eng</t>
  </si>
  <si>
    <t>863789635</t>
  </si>
  <si>
    <t>ocn863789635</t>
  </si>
  <si>
    <t>3103554541O</t>
  </si>
  <si>
    <t>9781574402667</t>
  </si>
  <si>
    <t>794961531</t>
  </si>
  <si>
    <t>Z679.2 U54 R43 2016</t>
  </si>
  <si>
    <t>0                      Z  0679200U  54                 R  43          2016</t>
  </si>
  <si>
    <t>Redesigning the college library, 2017 edition.</t>
  </si>
  <si>
    <t>[New York] : Primary Research Group, [2016]</t>
  </si>
  <si>
    <t>2017 edition.</t>
  </si>
  <si>
    <t>4172992749:eng</t>
  </si>
  <si>
    <t>958796484</t>
  </si>
  <si>
    <t>ocn958796484</t>
  </si>
  <si>
    <t>3103671099H</t>
  </si>
  <si>
    <t>9781574404197</t>
  </si>
  <si>
    <t>795021989</t>
  </si>
  <si>
    <t>Z679.2 U54 S36 2009</t>
  </si>
  <si>
    <t>0                      Z  0679200U  54                 S  36          2009</t>
  </si>
  <si>
    <t>234257164</t>
  </si>
  <si>
    <t>ocn234257164</t>
  </si>
  <si>
    <t>3103236133L</t>
  </si>
  <si>
    <t>9780838909782</t>
  </si>
  <si>
    <t>794369291</t>
  </si>
  <si>
    <t>Z679.2 U54 S44 1995b</t>
  </si>
  <si>
    <t>0                      Z  0679200U  54                 S  44          1995b</t>
  </si>
  <si>
    <t>At home with books : how booklovers live with and care for their libraries / Estelle Ellis, Caroline Seebohm, Christopher Simon Sykes.</t>
  </si>
  <si>
    <t>Ellis, Estelle.</t>
  </si>
  <si>
    <t>New York : Clarkson Potter, ©1995.</t>
  </si>
  <si>
    <t>33321380:eng</t>
  </si>
  <si>
    <t>61719664</t>
  </si>
  <si>
    <t>ocm61719664</t>
  </si>
  <si>
    <t>3102658059M</t>
  </si>
  <si>
    <t>9780517595008</t>
  </si>
  <si>
    <t>794091825</t>
  </si>
  <si>
    <t>Z679.2 U54 S74 2010</t>
  </si>
  <si>
    <t>0                      Z  0679200U  54                 S  74          2010</t>
  </si>
  <si>
    <t>The academic library building in the digital age : a study of construction, planning, and design of new library space / by Christopher Stewart.</t>
  </si>
  <si>
    <t>Stewart, Christopher, 1966 February 4-</t>
  </si>
  <si>
    <t>796627562:eng</t>
  </si>
  <si>
    <t>644018383</t>
  </si>
  <si>
    <t>ocn644018383</t>
  </si>
  <si>
    <t>3103227766Z</t>
  </si>
  <si>
    <t>9780838985526</t>
  </si>
  <si>
    <t>794829098</t>
  </si>
  <si>
    <t>Z679.2 U54 V36 1995</t>
  </si>
  <si>
    <t>0                      Z  0679200U  54                 V  36          1995</t>
  </si>
  <si>
    <t>Free to all : Carnegie libraries &amp; American culture, 1890-1920 / Abigail A. Van Slyck.</t>
  </si>
  <si>
    <t>Van Slyck, Abigail Ayres.</t>
  </si>
  <si>
    <t>Chicago : University of Chicago Press, 1995.</t>
  </si>
  <si>
    <t>602153:eng</t>
  </si>
  <si>
    <t>32051193</t>
  </si>
  <si>
    <t>ocm32051193</t>
  </si>
  <si>
    <t>3102980844$</t>
  </si>
  <si>
    <t>9780226850313</t>
  </si>
  <si>
    <t>793374419</t>
  </si>
  <si>
    <t>Z679.2 U6 P56 2010</t>
  </si>
  <si>
    <t>0                      Z  0679200U  6                  P  56          2010</t>
  </si>
  <si>
    <t>Building science 101 : a primer for librarians / Lynn M. Piotrowicz and Scott Osgood.</t>
  </si>
  <si>
    <t>Piotrowicz, Lynn M., author.</t>
  </si>
  <si>
    <t>908379601:eng</t>
  </si>
  <si>
    <t>469916144</t>
  </si>
  <si>
    <t>ocn469916144</t>
  </si>
  <si>
    <t>3103241258T</t>
  </si>
  <si>
    <t>9780838910412</t>
  </si>
  <si>
    <t>794796018</t>
  </si>
  <si>
    <t>Z679.2 U6 W66 2010</t>
  </si>
  <si>
    <t>0                      Z  0679200U  6                  W  66          2010</t>
  </si>
  <si>
    <t>Countdown to a new library : managing the building project / Jeannette Woodward.</t>
  </si>
  <si>
    <t>Woodward, Jeannette A.</t>
  </si>
  <si>
    <t>800468836:eng</t>
  </si>
  <si>
    <t>441167379</t>
  </si>
  <si>
    <t>ocn441167379</t>
  </si>
  <si>
    <t>3103243141Q</t>
  </si>
  <si>
    <t>9780838910122</t>
  </si>
  <si>
    <t>794786664</t>
  </si>
  <si>
    <t>Z679.5 B73 1996</t>
  </si>
  <si>
    <t>0                      Z  0679500B  73          1996</t>
  </si>
  <si>
    <t>Determining your public library's future size : a needs assessment and planning model / Lee B. Brawner and Donald K. Beck, Jr.</t>
  </si>
  <si>
    <t>Brawner, Lee B.</t>
  </si>
  <si>
    <t>Chicago : American Library Association, 1996.</t>
  </si>
  <si>
    <t>329208618:eng</t>
  </si>
  <si>
    <t>33276694</t>
  </si>
  <si>
    <t>ocm33276694</t>
  </si>
  <si>
    <t>3101537090F</t>
  </si>
  <si>
    <t>9780838906712</t>
  </si>
  <si>
    <t>793405918</t>
  </si>
  <si>
    <t>Z679.5 D492 2006</t>
  </si>
  <si>
    <t>0                      Z  0679500D  492         2006</t>
  </si>
  <si>
    <t>Planning public library buildings : concepts and issues for the librarian / Michael Dewe.</t>
  </si>
  <si>
    <t>Dewe, Michael.</t>
  </si>
  <si>
    <t>794186497:eng</t>
  </si>
  <si>
    <t>60671797</t>
  </si>
  <si>
    <t>ocm60671797</t>
  </si>
  <si>
    <t>3102557055W</t>
  </si>
  <si>
    <t>9780754633884</t>
  </si>
  <si>
    <t>793942001</t>
  </si>
  <si>
    <t>Z679.5 F45 2010</t>
  </si>
  <si>
    <t>0                      Z  0679500F  45          2010</t>
  </si>
  <si>
    <t>Designing space for children and teens in libraries and public places / Sandra Feinberg and James R. Keller.</t>
  </si>
  <si>
    <t>Feinberg, Sandra, 1946-</t>
  </si>
  <si>
    <t>2011-09-07</t>
  </si>
  <si>
    <t>341252374:eng</t>
  </si>
  <si>
    <t>456186300</t>
  </si>
  <si>
    <t>ocn456186300</t>
  </si>
  <si>
    <t>3103238933Q</t>
  </si>
  <si>
    <t>9780838910207</t>
  </si>
  <si>
    <t>794788656</t>
  </si>
  <si>
    <t>Z679.5 J22 1990</t>
  </si>
  <si>
    <t>0                      Z  0679500J  22          1990</t>
  </si>
  <si>
    <t>Strategic planning : a how-to-do-it manual for librarians / M.E.L. Jacob.</t>
  </si>
  <si>
    <t>Jacob, M. E. L.</t>
  </si>
  <si>
    <t>New York : Neal-Schuman Publishers, 1990.</t>
  </si>
  <si>
    <t>How-to-do-it manuals for libraries ; no. 9</t>
  </si>
  <si>
    <t>375746737:eng</t>
  </si>
  <si>
    <t>22005965</t>
  </si>
  <si>
    <t>ocm22005965</t>
  </si>
  <si>
    <t>3102782372C</t>
  </si>
  <si>
    <t>9781555700744</t>
  </si>
  <si>
    <t>793132939</t>
  </si>
  <si>
    <t>Z679.5 L45 1999</t>
  </si>
  <si>
    <t>0                      Z  0679500L  45          1999</t>
  </si>
  <si>
    <t>Planning academic and research library buildings / Philip D. Leighton, David C. Weber.</t>
  </si>
  <si>
    <t>Leighton, Philip D.</t>
  </si>
  <si>
    <t>Chicago, Ill. : American Library Association, 1999.</t>
  </si>
  <si>
    <t>119506084:eng</t>
  </si>
  <si>
    <t>40074115</t>
  </si>
  <si>
    <t>ocm40074115</t>
  </si>
  <si>
    <t>31020424819</t>
  </si>
  <si>
    <t>9780838907474</t>
  </si>
  <si>
    <t>793559350</t>
  </si>
  <si>
    <t>Z679.5 L53 2019</t>
  </si>
  <si>
    <t>0                      Z  0679500L  53          2019</t>
  </si>
  <si>
    <t>Library design for the 21st century : collaborative strategies to ensure success / edited on behalf of IFLA by Diane Koen and Traci Engel Lesneski.</t>
  </si>
  <si>
    <t>Berlin ; Boston : De Gruyter Saur, [2019]</t>
  </si>
  <si>
    <t>IFLA publications, 0344-6891 ; volume 179</t>
  </si>
  <si>
    <t>2019-02-19</t>
  </si>
  <si>
    <t>5369986740:eng</t>
  </si>
  <si>
    <t>1047626652</t>
  </si>
  <si>
    <t>on1047626652</t>
  </si>
  <si>
    <t>3103811942W</t>
  </si>
  <si>
    <t>9783110614657</t>
  </si>
  <si>
    <t>795060702</t>
  </si>
  <si>
    <t>Z679.5 L867 2002</t>
  </si>
  <si>
    <t>0                      Z  0679500L  867         2002</t>
  </si>
  <si>
    <t>Libraries designed for users : a 21st century guide / Nolan Lushington.</t>
  </si>
  <si>
    <t>Lushington, Nolan, 1929-</t>
  </si>
  <si>
    <t>New York : Neal-Schuman Publishers, ©2002.</t>
  </si>
  <si>
    <t>2015-11-08</t>
  </si>
  <si>
    <t>3943709993:eng</t>
  </si>
  <si>
    <t>50118166</t>
  </si>
  <si>
    <t>ocm50118166</t>
  </si>
  <si>
    <t>3102952434K</t>
  </si>
  <si>
    <t>9781555704193</t>
  </si>
  <si>
    <t>793755912</t>
  </si>
  <si>
    <t>Z679.5 L87 1980</t>
  </si>
  <si>
    <t>0                      Z  0679500L  87          1980</t>
  </si>
  <si>
    <t>Libraries designed for users : a planning handbook / by Nolan Lushington &amp; Willis N. Mills, Jr.</t>
  </si>
  <si>
    <t>Hamden, Conn. : Library Professional Publications, 1980.</t>
  </si>
  <si>
    <t>502746176:eng</t>
  </si>
  <si>
    <t>219905455</t>
  </si>
  <si>
    <t>ocn219905455</t>
  </si>
  <si>
    <t>3102952439K</t>
  </si>
  <si>
    <t>9780208018922</t>
  </si>
  <si>
    <t>794318848</t>
  </si>
  <si>
    <t>Z679.5 M44 2000</t>
  </si>
  <si>
    <t>0                      Z  0679500M  44          2000</t>
  </si>
  <si>
    <t>Planning for a new generation of public library buildings / Gerard B. McCabe.</t>
  </si>
  <si>
    <t>McCabe, Gerard B.</t>
  </si>
  <si>
    <t>Westport, Conn. : Greenwood Press, 2000.</t>
  </si>
  <si>
    <t>2630705:eng</t>
  </si>
  <si>
    <t>41468538</t>
  </si>
  <si>
    <t>ocm41468538</t>
  </si>
  <si>
    <t>3103089079S</t>
  </si>
  <si>
    <t>9780313305924</t>
  </si>
  <si>
    <t>793592286</t>
  </si>
  <si>
    <t>Z679.5 P3 1985</t>
  </si>
  <si>
    <t>0                      Z  0679500P  3           1985</t>
  </si>
  <si>
    <t>Unesco and library development planning / J. Stephen Parker.</t>
  </si>
  <si>
    <t>Parker, J. Stephen.</t>
  </si>
  <si>
    <t>London : Library Association, 1985.</t>
  </si>
  <si>
    <t>2016-03-16</t>
  </si>
  <si>
    <t>4771144:eng</t>
  </si>
  <si>
    <t>11994464</t>
  </si>
  <si>
    <t>ocm11994464</t>
  </si>
  <si>
    <t>30008462571</t>
  </si>
  <si>
    <t>9780853658634</t>
  </si>
  <si>
    <t>792796469</t>
  </si>
  <si>
    <t>Z679.5 P58 2003</t>
  </si>
  <si>
    <t>0                      Z  0679500P  58          2003</t>
  </si>
  <si>
    <t>Planning the modern public library building / Gerard B. McCabe and James R. Kennedy, editors.</t>
  </si>
  <si>
    <t>Westport, Conn. : Libraries Unlimited, ©2003.</t>
  </si>
  <si>
    <t>The Libraries Unlimited library management collection</t>
  </si>
  <si>
    <t>2019-08-14</t>
  </si>
  <si>
    <t>354368057:eng</t>
  </si>
  <si>
    <t>52312132</t>
  </si>
  <si>
    <t>ocm52312132</t>
  </si>
  <si>
    <t>31022916451</t>
  </si>
  <si>
    <t>9780313321559</t>
  </si>
  <si>
    <t>793803243</t>
  </si>
  <si>
    <t>Z679.5 R43 2011</t>
  </si>
  <si>
    <t>0                      Z  0679500R  43          2011</t>
  </si>
  <si>
    <t>Redesigning the college library building / Primary Research Group.</t>
  </si>
  <si>
    <t>[New York, N.Y.?]. : Primary Research Group, ©2011.</t>
  </si>
  <si>
    <t>2011 ed.</t>
  </si>
  <si>
    <t>824755759:eng</t>
  </si>
  <si>
    <t>711321239</t>
  </si>
  <si>
    <t>ocn711321239</t>
  </si>
  <si>
    <t>3103361859W</t>
  </si>
  <si>
    <t>9781574401622</t>
  </si>
  <si>
    <t>794870973</t>
  </si>
  <si>
    <t>Z679.5 R54 1984</t>
  </si>
  <si>
    <t>0                      Z  0679500R  54          1984</t>
  </si>
  <si>
    <t>Strategic planning for library managers / by Donald E. Riggs.</t>
  </si>
  <si>
    <t>Riggs, Donald E.</t>
  </si>
  <si>
    <t>Phoenix, Ariz. : Oryx Press, 1984.</t>
  </si>
  <si>
    <t>553864:eng</t>
  </si>
  <si>
    <t>10711971</t>
  </si>
  <si>
    <t>ocm10711971</t>
  </si>
  <si>
    <t>3000845886C</t>
  </si>
  <si>
    <t>9780897740494</t>
  </si>
  <si>
    <t>792738809</t>
  </si>
  <si>
    <t>Z679.5 S67 2014</t>
  </si>
  <si>
    <t>0                      Z  0679500S  67          2014</t>
  </si>
  <si>
    <t>Space and collections earning their keep : transformation, technologies, retooling / edited by Joseph Hafner and Diane Koen.</t>
  </si>
  <si>
    <t>IFLA publications, 0344-6891 ; volume 175</t>
  </si>
  <si>
    <t>3805410842:eng</t>
  </si>
  <si>
    <t>933272500</t>
  </si>
  <si>
    <t>ocn933272500</t>
  </si>
  <si>
    <t>3103656794N</t>
  </si>
  <si>
    <t>9783110461978</t>
  </si>
  <si>
    <t>795008952</t>
  </si>
  <si>
    <t>Z679.55 B48 2013</t>
  </si>
  <si>
    <t>0                      Z  0679550B  48          2013</t>
  </si>
  <si>
    <t>Better library and learning space : projects, trends and ideas / edited by Les Watson.</t>
  </si>
  <si>
    <t>1348147900:eng</t>
  </si>
  <si>
    <t>844731168</t>
  </si>
  <si>
    <t>ocn844731168</t>
  </si>
  <si>
    <t>3103503244P</t>
  </si>
  <si>
    <t>9781856047630</t>
  </si>
  <si>
    <t>794948697</t>
  </si>
  <si>
    <t>Z679.55 B85 2011</t>
  </si>
  <si>
    <t>0                      Z  0679550B  85          2011</t>
  </si>
  <si>
    <t>Building blocks for planning functional library space / Library Leadership &amp; Management Association, American Library Association.</t>
  </si>
  <si>
    <t>Chicago : American Library Association ; Lanham, Md. : Scarecrow Press, 2011.</t>
  </si>
  <si>
    <t>919044991:eng</t>
  </si>
  <si>
    <t>733937603</t>
  </si>
  <si>
    <t>ocn733937603</t>
  </si>
  <si>
    <t>3103383673G</t>
  </si>
  <si>
    <t>9780810881044</t>
  </si>
  <si>
    <t>794882315</t>
  </si>
  <si>
    <t>Z679.55 D47 2012</t>
  </si>
  <si>
    <t>0                      Z  0679550D  47          2012</t>
  </si>
  <si>
    <t>Designing library space for children / edited by Ingrid Bon, Andrew Cranfield, and Karen Latimer.</t>
  </si>
  <si>
    <t>Berlin ; Boston : De Gruyter Saur, ©2012.</t>
  </si>
  <si>
    <t>IFLA publications, 0344-6891 ; 154</t>
  </si>
  <si>
    <t>2014-10-28</t>
  </si>
  <si>
    <t>1079139976:eng</t>
  </si>
  <si>
    <t>610832071</t>
  </si>
  <si>
    <t>ocn610832071</t>
  </si>
  <si>
    <t>31034413986</t>
  </si>
  <si>
    <t>9783110232165</t>
  </si>
  <si>
    <t>794820795</t>
  </si>
  <si>
    <t>Z679.55 P67 2015</t>
  </si>
  <si>
    <t>0                      Z  0679550P  67          2015</t>
  </si>
  <si>
    <t>Post-occupancy evaluation of library buildings / edited on behalf of IFLA by Karen Latimer and Dorothea Sommer.</t>
  </si>
  <si>
    <t>Berlin : Walter de Gruyter GmbH, [2015]</t>
  </si>
  <si>
    <t>IFLA Publications, 0344-6891 ; volume 169</t>
  </si>
  <si>
    <t>2625546803:eng</t>
  </si>
  <si>
    <t>921506810</t>
  </si>
  <si>
    <t>ocn921506810</t>
  </si>
  <si>
    <t>3103190691V</t>
  </si>
  <si>
    <t>9783110375213</t>
  </si>
  <si>
    <t>795003231</t>
  </si>
  <si>
    <t>Z679.55 S58 1991</t>
  </si>
  <si>
    <t>0                      Z  0679550S  58          1991</t>
  </si>
  <si>
    <t>Space planning / Roberta Freifeld and Caryl Masyr.</t>
  </si>
  <si>
    <t>Freifeld, Roberta.</t>
  </si>
  <si>
    <t>Washington, D.C. : Special Libraries Association, ©1991.</t>
  </si>
  <si>
    <t>24513783:eng</t>
  </si>
  <si>
    <t>22733990</t>
  </si>
  <si>
    <t>ocm22733990</t>
  </si>
  <si>
    <t>3101330276D</t>
  </si>
  <si>
    <t>9780871113566</t>
  </si>
  <si>
    <t>793152435</t>
  </si>
  <si>
    <t>Z679.55 S73 2012</t>
  </si>
  <si>
    <t>0                      Z  0679550S  73          2012</t>
  </si>
  <si>
    <t>Universal design : a practical guide to creating and recreating interiors of academic libraries for teaching, learning and research / Gail M. Staines.</t>
  </si>
  <si>
    <t>Staines, Gail M., 1961-</t>
  </si>
  <si>
    <t>1170102593:eng</t>
  </si>
  <si>
    <t>811704806</t>
  </si>
  <si>
    <t>ocn811704806</t>
  </si>
  <si>
    <t>3103411911J</t>
  </si>
  <si>
    <t>9781843346333</t>
  </si>
  <si>
    <t>794930336</t>
  </si>
  <si>
    <t>Z679.55 S97 2015</t>
  </si>
  <si>
    <t>0                      Z  0679550S  97          2015</t>
  </si>
  <si>
    <t>Survey of Public Library Space Redesigns 2015 Edition.</t>
  </si>
  <si>
    <t>New York : Primary Research Group, 2015.</t>
  </si>
  <si>
    <t>2475284163:eng</t>
  </si>
  <si>
    <t>907157854</t>
  </si>
  <si>
    <t>ocn907157854</t>
  </si>
  <si>
    <t>31036107595</t>
  </si>
  <si>
    <t>9781574403282</t>
  </si>
  <si>
    <t>794992946</t>
  </si>
  <si>
    <t>Z679.55 U55 2013</t>
  </si>
  <si>
    <t>0                      Z  0679550U  55          2013</t>
  </si>
  <si>
    <t>University libraries and space in the digital world / edited by Graham Matthews and Graham Walton, Loughborough University, UK.</t>
  </si>
  <si>
    <t>1141468533:eng</t>
  </si>
  <si>
    <t>802294771</t>
  </si>
  <si>
    <t>ocn802294771</t>
  </si>
  <si>
    <t>3103457600N</t>
  </si>
  <si>
    <t>9781409423829</t>
  </si>
  <si>
    <t>794925524</t>
  </si>
  <si>
    <t>Z679.6 A43 2015</t>
  </si>
  <si>
    <t>0                      Z  0679600A  43          2015</t>
  </si>
  <si>
    <t>Library security : better communication, safer facilities / Steve Albrecht.</t>
  </si>
  <si>
    <t>Albrecht, Steve, 1963- author.</t>
  </si>
  <si>
    <t>2549381436:eng</t>
  </si>
  <si>
    <t>903473921</t>
  </si>
  <si>
    <t>ocn903473921</t>
  </si>
  <si>
    <t>31036076995</t>
  </si>
  <si>
    <t>9780838913307</t>
  </si>
  <si>
    <t>794989181</t>
  </si>
  <si>
    <t>Z679.6 C46 2004</t>
  </si>
  <si>
    <t>0                      Z  0679600C  46          2004</t>
  </si>
  <si>
    <t>Security in special collections / Clark Center, Jr., Donnelly Lancaster.</t>
  </si>
  <si>
    <t>Center, Clark.</t>
  </si>
  <si>
    <t>Washington, D.C. : Association of Research Libraries, Office of Leadership and Management Services, ©2004.</t>
  </si>
  <si>
    <t>SPEC kit, 0160-3582 ; 284</t>
  </si>
  <si>
    <t>18116886:eng</t>
  </si>
  <si>
    <t>57186815</t>
  </si>
  <si>
    <t>ocm57186815</t>
  </si>
  <si>
    <t>3102457082W</t>
  </si>
  <si>
    <t>9781594076619</t>
  </si>
  <si>
    <t>793908469</t>
  </si>
  <si>
    <t>Z679.6 G73 2012</t>
  </si>
  <si>
    <t>0                      Z  0679600G  73          2012</t>
  </si>
  <si>
    <t>The black belt librarian : real-world safety &amp; security / Warren Graham.</t>
  </si>
  <si>
    <t>Graham, Warren Davis.</t>
  </si>
  <si>
    <t>1058240835:eng</t>
  </si>
  <si>
    <t>759695799</t>
  </si>
  <si>
    <t>ocn759695799</t>
  </si>
  <si>
    <t>3103395782Z</t>
  </si>
  <si>
    <t>9780838911372</t>
  </si>
  <si>
    <t>794897650</t>
  </si>
  <si>
    <t>Z679.6 K34 2008</t>
  </si>
  <si>
    <t>0                      Z  0679600K  34          2008</t>
  </si>
  <si>
    <t>The library security and safety guide to prevention, planning, and response / Miriam B. Kahn.</t>
  </si>
  <si>
    <t>Kahn, Miriam (Miriam B.)</t>
  </si>
  <si>
    <t>Professional Development Collection</t>
  </si>
  <si>
    <t>117731213:eng</t>
  </si>
  <si>
    <t>185026547</t>
  </si>
  <si>
    <t>ocn185026547</t>
  </si>
  <si>
    <t>3102972116N</t>
  </si>
  <si>
    <t>9780838909492</t>
  </si>
  <si>
    <t>794291823</t>
  </si>
  <si>
    <t>Z679.6 M36 1998</t>
  </si>
  <si>
    <t>0                      Z  0679600M  36          1998</t>
  </si>
  <si>
    <t>Management of library and archival security : from the outside looking in / Robert K. O'Neill, editor.</t>
  </si>
  <si>
    <t>New York : Haworth Press, ©1998.</t>
  </si>
  <si>
    <t>56248381:eng</t>
  </si>
  <si>
    <t>38281648</t>
  </si>
  <si>
    <t>ocm38281648</t>
  </si>
  <si>
    <t>3102884825U</t>
  </si>
  <si>
    <t>9780789005199</t>
  </si>
  <si>
    <t>793521109</t>
  </si>
  <si>
    <t>Z679.6 M363 1999</t>
  </si>
  <si>
    <t>0                      Z  0679600M  363         1999</t>
  </si>
  <si>
    <t>Management of library security : a SPEC kit / compiled by George J. Soete, with the assistance of Glen Zimmerman.</t>
  </si>
  <si>
    <t>Washington, DC : Systems and Procedures Exchange Center, Office of Leadership and Management Services, Association of Research Libraries, ©1999.</t>
  </si>
  <si>
    <t>SPEC kit, 0160-3582 ; 247</t>
  </si>
  <si>
    <t>2452957384:eng</t>
  </si>
  <si>
    <t>42618314</t>
  </si>
  <si>
    <t>ocm42618314</t>
  </si>
  <si>
    <t>3102198407S</t>
  </si>
  <si>
    <t>793609788</t>
  </si>
  <si>
    <t>Z679.6 P35 2009</t>
  </si>
  <si>
    <t>0                      Z  0679600P  35          2009</t>
  </si>
  <si>
    <t>Making the most of RFID in libraries / Martin Palmer.</t>
  </si>
  <si>
    <t>Palmer, Martin, 1952-</t>
  </si>
  <si>
    <t>London : Facet, ©2009.</t>
  </si>
  <si>
    <t>194674720:eng</t>
  </si>
  <si>
    <t>137313679</t>
  </si>
  <si>
    <t>ocn137313679</t>
  </si>
  <si>
    <t>3102857651X</t>
  </si>
  <si>
    <t>9781856046343</t>
  </si>
  <si>
    <t>794233683</t>
  </si>
  <si>
    <t>Z679.6 S38 1992</t>
  </si>
  <si>
    <t>0                      Z  0679600S  38          1992</t>
  </si>
  <si>
    <t>Security and crime prevention in libraries / edited by Michael Chaney and Alan F. MacDougall.</t>
  </si>
  <si>
    <t>Aldershot, Hants. ; Brookfield, Vt. : Ashgate, ©1992.</t>
  </si>
  <si>
    <t>350338732:eng</t>
  </si>
  <si>
    <t>26303513</t>
  </si>
  <si>
    <t>ocm26303513</t>
  </si>
  <si>
    <t>31012075177</t>
  </si>
  <si>
    <t>9781857420142</t>
  </si>
  <si>
    <t>793242042</t>
  </si>
  <si>
    <t>Z679.6 S518 2002</t>
  </si>
  <si>
    <t>0                      Z  0679600S  518         2002</t>
  </si>
  <si>
    <t>Case studies in library security / Bruce A. Shuman.</t>
  </si>
  <si>
    <t>Shuman, Bruce A.</t>
  </si>
  <si>
    <t>940259:eng</t>
  </si>
  <si>
    <t>50251911</t>
  </si>
  <si>
    <t>ocm50251911</t>
  </si>
  <si>
    <t>31022265959</t>
  </si>
  <si>
    <t>9781563089367</t>
  </si>
  <si>
    <t>793758918</t>
  </si>
  <si>
    <t>Z679.6 S52 1999</t>
  </si>
  <si>
    <t>0                      Z  0679600S  52          1999</t>
  </si>
  <si>
    <t>Library security and safety handbook : prevention, policies, and procedures / Bruce A. Shuman.</t>
  </si>
  <si>
    <t>Chicago : American Library Association, 1999.</t>
  </si>
  <si>
    <t>799516821:eng</t>
  </si>
  <si>
    <t>40830174</t>
  </si>
  <si>
    <t>ocm40830174</t>
  </si>
  <si>
    <t>3101991975F</t>
  </si>
  <si>
    <t>9780838907146</t>
  </si>
  <si>
    <t>793576651</t>
  </si>
  <si>
    <t>Z679.6 S87 2011</t>
  </si>
  <si>
    <t>0                      Z  0679600S  87          2011</t>
  </si>
  <si>
    <t>Survey of use of RFID in libraries.</t>
  </si>
  <si>
    <t>New York : Primary Research Group, ©2011.</t>
  </si>
  <si>
    <t>2014-04-17</t>
  </si>
  <si>
    <t>1100404645:eng</t>
  </si>
  <si>
    <t>757469586</t>
  </si>
  <si>
    <t>ocn757469586</t>
  </si>
  <si>
    <t>3103385196J</t>
  </si>
  <si>
    <t>9781574401868</t>
  </si>
  <si>
    <t>794895448</t>
  </si>
  <si>
    <t>Z679.7 C73 2001</t>
  </si>
  <si>
    <t>0                      Z  0679700C  73          2001</t>
  </si>
  <si>
    <t>Protecting library staff, users, collections, and facilities : a how-to-do-it manual / Pamela J. Cravey.</t>
  </si>
  <si>
    <t>Cravey, Pamela J.</t>
  </si>
  <si>
    <t>New York : Neal-Schuman Publishers, 2001.</t>
  </si>
  <si>
    <t>How-to-do-it manuals for librarians ; no. 103</t>
  </si>
  <si>
    <t>34583921:eng</t>
  </si>
  <si>
    <t>45207883</t>
  </si>
  <si>
    <t>ocm45207883</t>
  </si>
  <si>
    <t>31021324753</t>
  </si>
  <si>
    <t>9781555703929</t>
  </si>
  <si>
    <t>793666840</t>
  </si>
  <si>
    <t>Z679.7 E54 2012</t>
  </si>
  <si>
    <t>0                      Z  0679700E  54          2012</t>
  </si>
  <si>
    <t>Emergency planning and response for libraries, archives and museums / Emma Dadson.</t>
  </si>
  <si>
    <t>Dadson, Emma, author.</t>
  </si>
  <si>
    <t>London : Facet Publishing 2012.</t>
  </si>
  <si>
    <t>2014-03-24</t>
  </si>
  <si>
    <t>1082288245:eng</t>
  </si>
  <si>
    <t>778274958</t>
  </si>
  <si>
    <t>ocn778274958</t>
  </si>
  <si>
    <t>3103428936J</t>
  </si>
  <si>
    <t>9781856048088</t>
  </si>
  <si>
    <t>794909570</t>
  </si>
  <si>
    <t>Z679.7 H355 2014</t>
  </si>
  <si>
    <t>0                      Z  0679700H  355         2014</t>
  </si>
  <si>
    <t>Library as safe haven : disaster planning, response, and recovery : a how-to-do-it manual for librarians / Deborah D. Halsted, Shari Clifton, Daniel T. Wilson.</t>
  </si>
  <si>
    <t>Halsted, Deborah D.</t>
  </si>
  <si>
    <t>Chicago : Neal-Schuman, an imprint of the American Library Association, 2014.</t>
  </si>
  <si>
    <t>1877026018:eng</t>
  </si>
  <si>
    <t>878667319</t>
  </si>
  <si>
    <t>ocn878667319</t>
  </si>
  <si>
    <t>3103579708X</t>
  </si>
  <si>
    <t>9781555709136</t>
  </si>
  <si>
    <t>794971533</t>
  </si>
  <si>
    <t>Z679.7 K38 2003</t>
  </si>
  <si>
    <t>0                      Z  0679700K  38          2003</t>
  </si>
  <si>
    <t>Disaster response and planning for libraries / Miriam B. Kahn.</t>
  </si>
  <si>
    <t>Kahn, Miriam (Miriam B.), author.</t>
  </si>
  <si>
    <t>Chicago : American Library Association, 2003.</t>
  </si>
  <si>
    <t>Second edition</t>
  </si>
  <si>
    <t>969827:eng</t>
  </si>
  <si>
    <t>50022901</t>
  </si>
  <si>
    <t>ocm50022901</t>
  </si>
  <si>
    <t>3102797609T</t>
  </si>
  <si>
    <t>9780838908372</t>
  </si>
  <si>
    <t>793753765</t>
  </si>
  <si>
    <t>Z679.7 K38 2012</t>
  </si>
  <si>
    <t>0                      Z  0679700K  38          2012</t>
  </si>
  <si>
    <t>761481973</t>
  </si>
  <si>
    <t>ocn761481973</t>
  </si>
  <si>
    <t>3103410669M</t>
  </si>
  <si>
    <t>9780838911518</t>
  </si>
  <si>
    <t>794899440</t>
  </si>
  <si>
    <t>Z679.7 K385 2004</t>
  </si>
  <si>
    <t>0                      Z  0679700K  385         2004</t>
  </si>
  <si>
    <t>Protecting your library's digital sources : the essential guide to planning and preservation / Miriam B. Kahn.</t>
  </si>
  <si>
    <t>800985773:eng</t>
  </si>
  <si>
    <t>53932538</t>
  </si>
  <si>
    <t>ocm53932538</t>
  </si>
  <si>
    <t>3102797619R</t>
  </si>
  <si>
    <t>9780838908730</t>
  </si>
  <si>
    <t>793853358</t>
  </si>
  <si>
    <t>Z679.7 M38 2009</t>
  </si>
  <si>
    <t>0                      Z  0679700M  38          2009</t>
  </si>
  <si>
    <t>Disaster management in archives, libraries and museums / Graham Matthews, Yvonne Smith, Gemma Knowles.</t>
  </si>
  <si>
    <t>Matthews, Graham, 1953-</t>
  </si>
  <si>
    <t>157861783:eng</t>
  </si>
  <si>
    <t>271103398</t>
  </si>
  <si>
    <t>ocn271103398</t>
  </si>
  <si>
    <t>3102857561Y</t>
  </si>
  <si>
    <t>9780754672739</t>
  </si>
  <si>
    <t>794413716</t>
  </si>
  <si>
    <t>Z679.7 P74 2005</t>
  </si>
  <si>
    <t>0                      Z  0679700P  74          2005</t>
  </si>
  <si>
    <t>Preparing for the worst, planning for the best : protecting our cultural heritage from disaster : proceedings of a conference sponsored by the IFLA Preservation and Conservation Section, the IFLA Core Activity for Preservation and Conservation, and the Council on Library and Information Resources, Inc., with the Akademie der Wissenschaften and the Staatsbibliothek zu Berlin, Berlin, Germany, July 30 - August 1, 2003 / edited by Johanna G. Wellheiser and Nancy E. Gwinn.</t>
  </si>
  <si>
    <t>München : K.G. Saur, 2005.</t>
  </si>
  <si>
    <t>IFLA publications, 0344-6891 ; 111</t>
  </si>
  <si>
    <t>796594113:eng</t>
  </si>
  <si>
    <t>57477051</t>
  </si>
  <si>
    <t>ocm57477051</t>
  </si>
  <si>
    <t>3102504831C</t>
  </si>
  <si>
    <t>9783598218422</t>
  </si>
  <si>
    <t>793913728</t>
  </si>
  <si>
    <t>Z679.7 T43 2015</t>
  </si>
  <si>
    <t>0                      Z  0679700T  43          2015</t>
  </si>
  <si>
    <t>Technology disaster response and recovery planning / edited by Mary Mallery.</t>
  </si>
  <si>
    <t>2547033180:eng</t>
  </si>
  <si>
    <t>911980695</t>
  </si>
  <si>
    <t>ocn911980695</t>
  </si>
  <si>
    <t>3103611911K</t>
  </si>
  <si>
    <t>9781783300549</t>
  </si>
  <si>
    <t>794998699</t>
  </si>
  <si>
    <t>Z679.85 H46 2014</t>
  </si>
  <si>
    <t>0                      Z  0679850H  46          2014</t>
  </si>
  <si>
    <t>Ecology, economy, equity : the path to a carbon-neutral library / Mandy Henk.</t>
  </si>
  <si>
    <t>Henk, Mandy.</t>
  </si>
  <si>
    <t>2071934546:eng</t>
  </si>
  <si>
    <t>878812583</t>
  </si>
  <si>
    <t>ocn878812583</t>
  </si>
  <si>
    <t>31035669301</t>
  </si>
  <si>
    <t>9780838912171</t>
  </si>
  <si>
    <t>794971594</t>
  </si>
  <si>
    <t>Z679.85 M38 2010</t>
  </si>
  <si>
    <t>0                      Z  0679850M  38          2010</t>
  </si>
  <si>
    <t>How green is my library? / Sam McBane Mulford and Ned A. Himmel.</t>
  </si>
  <si>
    <t>McBane Mulford, Sam.</t>
  </si>
  <si>
    <t>321711996:eng</t>
  </si>
  <si>
    <t>435420395</t>
  </si>
  <si>
    <t>ocn435420395</t>
  </si>
  <si>
    <t>31031565315</t>
  </si>
  <si>
    <t>9781591587804</t>
  </si>
  <si>
    <t>794783278</t>
  </si>
  <si>
    <t>Z679.85 M55 2010</t>
  </si>
  <si>
    <t>0                      Z  0679850M  55          2010</t>
  </si>
  <si>
    <t>Public libraries going green / Kathryn Miller.</t>
  </si>
  <si>
    <t>Miller, Kathryn, 1971- author.</t>
  </si>
  <si>
    <t>ALA public library handbook series</t>
  </si>
  <si>
    <t>2015-03-11</t>
  </si>
  <si>
    <t>326748573:eng</t>
  </si>
  <si>
    <t>441167430</t>
  </si>
  <si>
    <t>ocn441167430</t>
  </si>
  <si>
    <t>3103242306W</t>
  </si>
  <si>
    <t>9780838910184</t>
  </si>
  <si>
    <t>794786665</t>
  </si>
  <si>
    <t>Z680 P75 2012</t>
  </si>
  <si>
    <t>0                      Z  0680000P  75          2012</t>
  </si>
  <si>
    <t>Philanthropy and light : Carnegie libraries and the advent of transatlantic standards for public space / Oriel Prizeman.</t>
  </si>
  <si>
    <t>Prizeman, Oriel.</t>
  </si>
  <si>
    <t>Farnham, Surrey, England ; Burlington, VT : Ashgate, ©2012.</t>
  </si>
  <si>
    <t>1005850448:eng</t>
  </si>
  <si>
    <t>748674600</t>
  </si>
  <si>
    <t>ocn748674600</t>
  </si>
  <si>
    <t>3103395330K</t>
  </si>
  <si>
    <t>9781409427988</t>
  </si>
  <si>
    <t>794889443</t>
  </si>
  <si>
    <t>Z680.5 C48 2012</t>
  </si>
  <si>
    <t>0                      Z  0680500C  48          2012</t>
  </si>
  <si>
    <t>Building mobile library applications / Jason A. Clark.</t>
  </si>
  <si>
    <t>Clark, Jason A.</t>
  </si>
  <si>
    <t>The tech set ; #12</t>
  </si>
  <si>
    <t>1090622387:eng</t>
  </si>
  <si>
    <t>781432076</t>
  </si>
  <si>
    <t>ocn781432076</t>
  </si>
  <si>
    <t>3103414087K</t>
  </si>
  <si>
    <t>9781555707835</t>
  </si>
  <si>
    <t>794912665</t>
  </si>
  <si>
    <t>Z680.5 G74 2010</t>
  </si>
  <si>
    <t>0                      Z  0680500G  74          2010</t>
  </si>
  <si>
    <t>The anywhere library : a primer for the mobile Web / by Courtney Greene, Missy Roser, and Elizabeth Ruane.</t>
  </si>
  <si>
    <t>McDonald, Courtney Greene.</t>
  </si>
  <si>
    <t>865033160:eng</t>
  </si>
  <si>
    <t>569480842</t>
  </si>
  <si>
    <t>ocn569480842</t>
  </si>
  <si>
    <t>3103242542I</t>
  </si>
  <si>
    <t>9780838985427</t>
  </si>
  <si>
    <t>794813739</t>
  </si>
  <si>
    <t>Z680.5 H36 2013</t>
  </si>
  <si>
    <t>0                      Z  0680500H  36          2013</t>
  </si>
  <si>
    <t>The handheld library : mobile technology and the librarian / Thomas A. Peters and Lori Bell, editors.</t>
  </si>
  <si>
    <t>2014-12-15</t>
  </si>
  <si>
    <t>1409583284:eng</t>
  </si>
  <si>
    <t>798617196</t>
  </si>
  <si>
    <t>ocn798617196</t>
  </si>
  <si>
    <t>31034972693</t>
  </si>
  <si>
    <t>9781610693004</t>
  </si>
  <si>
    <t>794923938</t>
  </si>
  <si>
    <t>Z680.5 L32 2012</t>
  </si>
  <si>
    <t>0                      Z  0680500L  32          2012</t>
  </si>
  <si>
    <t>Going mobile : developing apps for your library using basic HTML programming / Scott La Counte.</t>
  </si>
  <si>
    <t>La Counte, Scott, 1978-</t>
  </si>
  <si>
    <t>ALA editions. Special reports</t>
  </si>
  <si>
    <t>925965626:eng</t>
  </si>
  <si>
    <t>740281688</t>
  </si>
  <si>
    <t>ocn740281688</t>
  </si>
  <si>
    <t>3103385176N</t>
  </si>
  <si>
    <t>9780838911297</t>
  </si>
  <si>
    <t>794883199</t>
  </si>
  <si>
    <t>Z680.5 M64 2017</t>
  </si>
  <si>
    <t>0                      Z  0680500M  64          2017</t>
  </si>
  <si>
    <t>Mobile technology and academic libraries : innovative services for research and learning / edited by Robin Canuel and Chad Crichton.</t>
  </si>
  <si>
    <t>Chicago : Association of College and Research Libraries, 2017.</t>
  </si>
  <si>
    <t>4218871898:eng</t>
  </si>
  <si>
    <t>988018628</t>
  </si>
  <si>
    <t>ocn988018628</t>
  </si>
  <si>
    <t>3103748307C</t>
  </si>
  <si>
    <t>9780838988794</t>
  </si>
  <si>
    <t>795036509</t>
  </si>
  <si>
    <t>Z680.5 T53 2015</t>
  </si>
  <si>
    <t>0                      Z  0680500T  53          2015</t>
  </si>
  <si>
    <t>Usability and the mobile web : a LITA guide / Junior Tidal.</t>
  </si>
  <si>
    <t>Tidal, Junior.</t>
  </si>
  <si>
    <t>Chicago : ALA Tech Source, an imprint of the American Library Association, 2015.</t>
  </si>
  <si>
    <t>2016-04-15</t>
  </si>
  <si>
    <t>2878167942:eng</t>
  </si>
  <si>
    <t>899738173</t>
  </si>
  <si>
    <t>ocn899738173</t>
  </si>
  <si>
    <t>3103583883X</t>
  </si>
  <si>
    <t>9780838913017</t>
  </si>
  <si>
    <t>794986916</t>
  </si>
  <si>
    <t>Z680.5 W35 2012</t>
  </si>
  <si>
    <t>0                      Z  0680500W  35          2012</t>
  </si>
  <si>
    <t>Using mobile technology to deliver library services : a handbook / Andrew Walsh.</t>
  </si>
  <si>
    <t>Walsh, Andrew (Andrew P.)</t>
  </si>
  <si>
    <t>Lanham, Md. : Scarecrow Press, 2012.</t>
  </si>
  <si>
    <t>1171771162:eng</t>
  </si>
  <si>
    <t>810119077</t>
  </si>
  <si>
    <t>ocn810119077</t>
  </si>
  <si>
    <t>3103473455P</t>
  </si>
  <si>
    <t>9780810887572</t>
  </si>
  <si>
    <t>794929121</t>
  </si>
  <si>
    <t>Z680.5 Y45 2012</t>
  </si>
  <si>
    <t>0                      Z  0680500Y  45          2012</t>
  </si>
  <si>
    <t>Bridging the digital divide with mobile services / Andromeda Yelton.</t>
  </si>
  <si>
    <t>Yelton, Andromeda.</t>
  </si>
  <si>
    <t>Chicago, IL : ALA TechSource, ©2012.</t>
  </si>
  <si>
    <t>Library technology reports ; v. 48, no. 1</t>
  </si>
  <si>
    <t>1075331820:eng</t>
  </si>
  <si>
    <t>773759772</t>
  </si>
  <si>
    <t>ocn773759772</t>
  </si>
  <si>
    <t>3103498182Z</t>
  </si>
  <si>
    <t>9780838958568</t>
  </si>
  <si>
    <t>794905952</t>
  </si>
  <si>
    <t>Z681.3 D53 A53 2004</t>
  </si>
  <si>
    <t>0                      Z  0681300D  53                 A  53          2004</t>
  </si>
  <si>
    <t>Starting a digitization center / Cokie G. Anderson and David C. Maxwell.</t>
  </si>
  <si>
    <t>Anderson, Cokie G.</t>
  </si>
  <si>
    <t>Oxford ; New Hampshire : Chandos Pub., 2004.</t>
  </si>
  <si>
    <t>951760:eng</t>
  </si>
  <si>
    <t>55855855</t>
  </si>
  <si>
    <t>ocm55855855</t>
  </si>
  <si>
    <t>3102444670X</t>
  </si>
  <si>
    <t>9781843340737</t>
  </si>
  <si>
    <t>793883216</t>
  </si>
  <si>
    <t>2014-04-10</t>
  </si>
  <si>
    <t>3102667049N</t>
  </si>
  <si>
    <t>793883215</t>
  </si>
  <si>
    <t>Z681.3 D53 C85 2015</t>
  </si>
  <si>
    <t>0                      Z  0681300D  53                 C  85          2015</t>
  </si>
  <si>
    <t>Cultural heritage information : access and management / edited by Ian Ruthven and G.G. Chowdhury.</t>
  </si>
  <si>
    <t>[England] : Facet publishing, 2015.</t>
  </si>
  <si>
    <t>iResearch series.</t>
  </si>
  <si>
    <t>1206179180:eng</t>
  </si>
  <si>
    <t>907013620</t>
  </si>
  <si>
    <t>ocn907013620</t>
  </si>
  <si>
    <t>3103582812E</t>
  </si>
  <si>
    <t>9781856049306</t>
  </si>
  <si>
    <t>794992739</t>
  </si>
  <si>
    <t>Z681.3 D53 G57 2007</t>
  </si>
  <si>
    <t>0                      Z  0681300D  53                 G  57          2007</t>
  </si>
  <si>
    <t>Preserving digital information / Henry M. Gladney.</t>
  </si>
  <si>
    <t>Gladney, Henry M.</t>
  </si>
  <si>
    <t>Berlin ; New York : Springer, ©2007.</t>
  </si>
  <si>
    <t>69706168:eng</t>
  </si>
  <si>
    <t>85782386</t>
  </si>
  <si>
    <t>ocm85782386</t>
  </si>
  <si>
    <t>31025973387</t>
  </si>
  <si>
    <t>9783540378860</t>
  </si>
  <si>
    <t>794215844</t>
  </si>
  <si>
    <t>Z681.3 D53 H84 2004</t>
  </si>
  <si>
    <t>0                      Z  0681300D  53                 H  84          2004</t>
  </si>
  <si>
    <t>Digitizing collections : strategic issues for the information manager / Lorna M. Hughes.</t>
  </si>
  <si>
    <t>Hughes, Lorna M.</t>
  </si>
  <si>
    <t>Digital futures series</t>
  </si>
  <si>
    <t>891580085:eng</t>
  </si>
  <si>
    <t>54057282</t>
  </si>
  <si>
    <t>ocm54057282</t>
  </si>
  <si>
    <t>3102823831P</t>
  </si>
  <si>
    <t>9781856044660</t>
  </si>
  <si>
    <t>793856401</t>
  </si>
  <si>
    <t>2014-07-18</t>
  </si>
  <si>
    <t>31026657990</t>
  </si>
  <si>
    <t>793856402</t>
  </si>
  <si>
    <t>Z681.3 D53 L66 2006</t>
  </si>
  <si>
    <t>0                      Z  0681300D  53                 L  66          2006</t>
  </si>
  <si>
    <t>Long-term preservation of digital documents : principles and practices / U.M. Borghoff [and others].</t>
  </si>
  <si>
    <t>Langzeitarchivierung. English.</t>
  </si>
  <si>
    <t>Berlin ; New York : Springer, [2006], ©2005.</t>
  </si>
  <si>
    <t>115528340:eng</t>
  </si>
  <si>
    <t>70677445</t>
  </si>
  <si>
    <t>ocm70677445</t>
  </si>
  <si>
    <t>31026350577</t>
  </si>
  <si>
    <t>9783540336396</t>
  </si>
  <si>
    <t>794157643</t>
  </si>
  <si>
    <t>Z681.3 D53 M67 2000</t>
  </si>
  <si>
    <t>0                      Z  0681300D  53                 M  67          2000</t>
  </si>
  <si>
    <t>Creating and documenting electronic texts / Alan Morrison, Michael Popham, and Karen Wikander.</t>
  </si>
  <si>
    <t>Morrison, Alan S. (Alan Stewart)</t>
  </si>
  <si>
    <t>Oxford [England] : Oxbow Books for the Arts and Humanities Data Service ; Oakville, CT : David Brown Book Co., ©2000.</t>
  </si>
  <si>
    <t>AHDS guides to good practice, 1463-5194</t>
  </si>
  <si>
    <t>36621504:eng</t>
  </si>
  <si>
    <t>46999114</t>
  </si>
  <si>
    <t>ocm46999114</t>
  </si>
  <si>
    <t>3102444991K</t>
  </si>
  <si>
    <t>9781842170120</t>
  </si>
  <si>
    <t>793696329</t>
  </si>
  <si>
    <t>Z681.7 U5 M66 2010</t>
  </si>
  <si>
    <t>0                      Z  0681700U  5                  M  66          2010</t>
  </si>
  <si>
    <t>The successful library trustee handbook / Mary Y. Moore.</t>
  </si>
  <si>
    <t>Moore, Mary Y.</t>
  </si>
  <si>
    <t>Chicago : American Library Association, ©2010.</t>
  </si>
  <si>
    <t>2011-02-18</t>
  </si>
  <si>
    <t>969859:eng</t>
  </si>
  <si>
    <t>349180023</t>
  </si>
  <si>
    <t>ocn349180023</t>
  </si>
  <si>
    <t>3103155186B</t>
  </si>
  <si>
    <t>9780838910030</t>
  </si>
  <si>
    <t>794491148</t>
  </si>
  <si>
    <t>Z681.7 U5 R44 2004</t>
  </si>
  <si>
    <t>0                      Z  0681700U  5                  R  44          2004</t>
  </si>
  <si>
    <t>101+ great ideas for libraries and friends / Sally Gardner Reed, Beth Nawalinski, Alexander Peterson, of Friends of Libraries U.S.A.</t>
  </si>
  <si>
    <t>Reed, Sally Gardner, 1953-</t>
  </si>
  <si>
    <t>936272:eng</t>
  </si>
  <si>
    <t>54350183</t>
  </si>
  <si>
    <t>ocm54350183</t>
  </si>
  <si>
    <t>3102593726D</t>
  </si>
  <si>
    <t>9781555704995</t>
  </si>
  <si>
    <t>793859791</t>
  </si>
  <si>
    <t>Z681.7 U5 R445 2010</t>
  </si>
  <si>
    <t>0                      Z  0681700U  5                  R  445         2010</t>
  </si>
  <si>
    <t>The complete library trustee handbook / Sally Gardner Reed, Jillian Kalonick for the Association of Library Trustees, Advocates, Friends and Foundations.</t>
  </si>
  <si>
    <t>374529302:eng</t>
  </si>
  <si>
    <t>501320675</t>
  </si>
  <si>
    <t>ocn501320675</t>
  </si>
  <si>
    <t>3103237897L</t>
  </si>
  <si>
    <t>9781555706876</t>
  </si>
  <si>
    <t>794804554</t>
  </si>
  <si>
    <t>Z682 B42 2012</t>
  </si>
  <si>
    <t>0                      Z  0682000B  42          2012</t>
  </si>
  <si>
    <t>Profession, bibliothécaire / Guylaine Beaudry.</t>
  </si>
  <si>
    <t>Beaudry, Guylaine.</t>
  </si>
  <si>
    <t>[Montréal] : Presses de l'Université de Montréal, 2012.</t>
  </si>
  <si>
    <t>Profession</t>
  </si>
  <si>
    <t>2013-04-10</t>
  </si>
  <si>
    <t>1124676596:fre</t>
  </si>
  <si>
    <t>799130859</t>
  </si>
  <si>
    <t>ocn799130859</t>
  </si>
  <si>
    <t>3103402152$</t>
  </si>
  <si>
    <t>9782760631175</t>
  </si>
  <si>
    <t>794924278</t>
  </si>
  <si>
    <t>Z682 H163 2013</t>
  </si>
  <si>
    <t>0                      Z  0682000H  163         2013</t>
  </si>
  <si>
    <t>Build a great team : one year to success! / Catherine Hakala-Ausperk.</t>
  </si>
  <si>
    <t>Hakala-Ausperk, Catherine.</t>
  </si>
  <si>
    <t>Chicago : ALA Editions, an imprint of the American Library Association, [2013]</t>
  </si>
  <si>
    <t>1118133931:eng</t>
  </si>
  <si>
    <t>794711877</t>
  </si>
  <si>
    <t>ocn794711877</t>
  </si>
  <si>
    <t>3103497938P</t>
  </si>
  <si>
    <t>9780838911709</t>
  </si>
  <si>
    <t>794920424</t>
  </si>
  <si>
    <t>Z682 H495 2018</t>
  </si>
  <si>
    <t>0                      Z  0682000H  495         2018</t>
  </si>
  <si>
    <t>The dysfunctional library : challenges and solutions to workplace relationships / Jo Henry, Joe Eshleman, Richard Moniz.</t>
  </si>
  <si>
    <t>Henry, Jo, author.</t>
  </si>
  <si>
    <t>2018-02-23</t>
  </si>
  <si>
    <t>4558010255:eng</t>
  </si>
  <si>
    <t>1007497324</t>
  </si>
  <si>
    <t>on1007497324</t>
  </si>
  <si>
    <t>3103740639R</t>
  </si>
  <si>
    <t>9780838916230</t>
  </si>
  <si>
    <t>795044127</t>
  </si>
  <si>
    <t>Z682 J65 2009</t>
  </si>
  <si>
    <t>0                      Z  0682000J  65          2009</t>
  </si>
  <si>
    <t>This book is overdue! : how librarians and cybrarians can save us all / Johnson, Marilyn.</t>
  </si>
  <si>
    <t>Johnson, Marilyn, 1954-</t>
  </si>
  <si>
    <t>New York : Harper, ©2010.</t>
  </si>
  <si>
    <t>2018-11-09</t>
  </si>
  <si>
    <t>908750701:eng</t>
  </si>
  <si>
    <t>310399335</t>
  </si>
  <si>
    <t>ocn310399335</t>
  </si>
  <si>
    <t>31031584016</t>
  </si>
  <si>
    <t>9780061431609</t>
  </si>
  <si>
    <t>794435414</t>
  </si>
  <si>
    <t>Z682 K645 2009</t>
  </si>
  <si>
    <t>0                      Z  0682000K  645         2009</t>
  </si>
  <si>
    <t>You don't look like a librarian : shattering stereotypes and creating positive new images in the Internet age / Ruth Kneale.</t>
  </si>
  <si>
    <t>Kneale, Ruth, 1968-</t>
  </si>
  <si>
    <t>Medford, N.J. : Information Today, Inc., 2009.</t>
  </si>
  <si>
    <t>892002810:eng</t>
  </si>
  <si>
    <t>299381222</t>
  </si>
  <si>
    <t>ocn299381222</t>
  </si>
  <si>
    <t>3103156569$</t>
  </si>
  <si>
    <t>9781573873666</t>
  </si>
  <si>
    <t>794429476</t>
  </si>
  <si>
    <t>Z682 L537 2014</t>
  </si>
  <si>
    <t>0                      Z  0682000L  537         2014</t>
  </si>
  <si>
    <t>The librarian stereotype : deconstructing perceptions and presentations of information work / edited by Nicole Pagowsky and Miriam Rigby.</t>
  </si>
  <si>
    <t>Chicago : Association of College and Research Libraries, A division of the American Library Association, 2014.</t>
  </si>
  <si>
    <t>1874895117:eng</t>
  </si>
  <si>
    <t>878224740</t>
  </si>
  <si>
    <t>ocn878224740</t>
  </si>
  <si>
    <t>3103579718V</t>
  </si>
  <si>
    <t>9780838987049</t>
  </si>
  <si>
    <t>794971359</t>
  </si>
  <si>
    <t>Z682 M35 2010</t>
  </si>
  <si>
    <t>0                      Z  0682000M  35          2010</t>
  </si>
  <si>
    <t>The ART of people management in libraries : tips for managing your most vital resource / by James McKinlay and Vicki Williamson.</t>
  </si>
  <si>
    <t>McKinlay, James, MHRD.</t>
  </si>
  <si>
    <t>Oxford, UK : Chandos Pub., 2010.</t>
  </si>
  <si>
    <t>2013-05-14</t>
  </si>
  <si>
    <t>891018987:eng</t>
  </si>
  <si>
    <t>232713012</t>
  </si>
  <si>
    <t>ocn232713012</t>
  </si>
  <si>
    <t>3103228780R</t>
  </si>
  <si>
    <t>9781843344247</t>
  </si>
  <si>
    <t>794364331</t>
  </si>
  <si>
    <t>Z682 P35 2007</t>
  </si>
  <si>
    <t>0                      Z  0682000P  35          2007</t>
  </si>
  <si>
    <t>Managing stress and conflict in libraries / Sheila Pantry.</t>
  </si>
  <si>
    <t>London : Facet Pub., 2007.</t>
  </si>
  <si>
    <t>105007573:eng</t>
  </si>
  <si>
    <t>156780628</t>
  </si>
  <si>
    <t>ocn156780628</t>
  </si>
  <si>
    <t>3102570996F</t>
  </si>
  <si>
    <t>9781856046138</t>
  </si>
  <si>
    <t>794254428</t>
  </si>
  <si>
    <t>Z682 S837 2018</t>
  </si>
  <si>
    <t>0                      Z  0682000S  837         2018</t>
  </si>
  <si>
    <t>Transform and thrive : ideas to invigorate your library and your community / Dorothy Stoltz ; with Gail Griffith, James Kelly, Muffie Smith, and Lynn Wheeler.</t>
  </si>
  <si>
    <t>Stoltz, Dorothy, author.</t>
  </si>
  <si>
    <t>9323044491:eng</t>
  </si>
  <si>
    <t>1004539723</t>
  </si>
  <si>
    <t>on1004539723</t>
  </si>
  <si>
    <t>3103738409A</t>
  </si>
  <si>
    <t>9780838916223</t>
  </si>
  <si>
    <t>795041968</t>
  </si>
  <si>
    <t>Z682 S89 2010</t>
  </si>
  <si>
    <t>0                      Z  0682000S  89          2010</t>
  </si>
  <si>
    <t>Developing library leaders : a how-to-do-it manual for coaching, team building, and mentoring library staff / Robert D. Stueart and Maureen Sullivan.</t>
  </si>
  <si>
    <t>New York : Neal-Schuman Publishers, [2010]</t>
  </si>
  <si>
    <t>How-to-do-it manuals ; no. 172</t>
  </si>
  <si>
    <t>2015-01-05</t>
  </si>
  <si>
    <t>794251271:eng</t>
  </si>
  <si>
    <t>607321629</t>
  </si>
  <si>
    <t>ocn607321629</t>
  </si>
  <si>
    <t>3103235875X</t>
  </si>
  <si>
    <t>9781555707255</t>
  </si>
  <si>
    <t>794817862</t>
  </si>
  <si>
    <t>Z682.2 C2 I6 2014</t>
  </si>
  <si>
    <t>0                      Z  0682200C  2                  I  6           2014</t>
  </si>
  <si>
    <t>In solidarity : academic librarian labour activism and union participation in Canada / edited by Jennifer Dekker and Mary Kandiuk.</t>
  </si>
  <si>
    <t>1339426565:eng</t>
  </si>
  <si>
    <t>879329831</t>
  </si>
  <si>
    <t>ocn879329831</t>
  </si>
  <si>
    <t>3103656560B</t>
  </si>
  <si>
    <t>9781936117628</t>
  </si>
  <si>
    <t>794971943</t>
  </si>
  <si>
    <t>Z682.2 U5 G46 2011</t>
  </si>
  <si>
    <t>0                      Z  0682200U  5                  G  46          2011</t>
  </si>
  <si>
    <t>The generation X librarian : essays on leadership, technology, pop culture, social responsibility and professional identity / edited by Martin K. Wallace, Rebecca Tolley-Stokes, and Erik Sean Estep.</t>
  </si>
  <si>
    <t>Jefferson, N.C. : McFarland &amp; Co., ©2011.</t>
  </si>
  <si>
    <t>1011291669:eng</t>
  </si>
  <si>
    <t>689522294</t>
  </si>
  <si>
    <t>ocn689522294</t>
  </si>
  <si>
    <t>3103345207H</t>
  </si>
  <si>
    <t>9780786463091</t>
  </si>
  <si>
    <t>794854948</t>
  </si>
  <si>
    <t>Z682.2 U5 G54 2010</t>
  </si>
  <si>
    <t>0                      Z  0682200U  5                  G  54          2010</t>
  </si>
  <si>
    <t>Fundamentals of library supervision / Joan Giesecke and Beth McNeil.</t>
  </si>
  <si>
    <t>Giesecke, Joan.</t>
  </si>
  <si>
    <t>2011-06-07</t>
  </si>
  <si>
    <t>920928:eng</t>
  </si>
  <si>
    <t>426390876</t>
  </si>
  <si>
    <t>ocn426390876</t>
  </si>
  <si>
    <t>3103113540Z</t>
  </si>
  <si>
    <t>9780838910160</t>
  </si>
  <si>
    <t>794515691</t>
  </si>
  <si>
    <t>Z682.2 U5 M48 2011</t>
  </si>
  <si>
    <t>0                      Z  0682200U  5                  M  48          2011</t>
  </si>
  <si>
    <t>Coaching in the library : a management strategy for achieving excellence / Ruth F. Metz.</t>
  </si>
  <si>
    <t>Metz, Ruth F.</t>
  </si>
  <si>
    <t>800362354:eng</t>
  </si>
  <si>
    <t>441167490</t>
  </si>
  <si>
    <t>ocn441167490</t>
  </si>
  <si>
    <t>3103323824D</t>
  </si>
  <si>
    <t>9780838910375</t>
  </si>
  <si>
    <t>794786669</t>
  </si>
  <si>
    <t>Z682.2 U5 R64</t>
  </si>
  <si>
    <t>0                      Z  0682200U  5                  R  64</t>
  </si>
  <si>
    <t>The Role of women in librarianship, 1876-1976 : the entry, advancement, and struggle for equalization in one profession / [edited] by Kathleen Weibel and Kathleen M. Heim, with assistance from Dianne J. Ellsworth.</t>
  </si>
  <si>
    <t>Phoenix, Ariz. : Oryx Press, 1979.</t>
  </si>
  <si>
    <t>918389112:eng</t>
  </si>
  <si>
    <t>4515489</t>
  </si>
  <si>
    <t>ocm04515489</t>
  </si>
  <si>
    <t>3000856658E</t>
  </si>
  <si>
    <t>9780912700014</t>
  </si>
  <si>
    <t>792358092</t>
  </si>
  <si>
    <t>Z682.2 U5 R83 1993</t>
  </si>
  <si>
    <t>0                      Z  0682200U  5                  R  83          1993</t>
  </si>
  <si>
    <t>Hiring library employees : a how-to-do-it manual / Richard E. Rubin.</t>
  </si>
  <si>
    <t>New York : Neal-Schuman Publishers, ©1993.</t>
  </si>
  <si>
    <t>How-to-do-it manuals for libraries ; no. 37</t>
  </si>
  <si>
    <t>31651513:eng</t>
  </si>
  <si>
    <t>28847972</t>
  </si>
  <si>
    <t>ocm28847972</t>
  </si>
  <si>
    <t>3101355623I</t>
  </si>
  <si>
    <t>9781555701598</t>
  </si>
  <si>
    <t>793297641</t>
  </si>
  <si>
    <t>Z682.28 G66 1997</t>
  </si>
  <si>
    <t>0                      Z  0682280G  66          1997</t>
  </si>
  <si>
    <t>The complete guide to performance standards for library personnel / Carol F. Goodson.</t>
  </si>
  <si>
    <t>Goodson, Carol F.</t>
  </si>
  <si>
    <t>New York : Neal Schuman Publishers, ©1997.</t>
  </si>
  <si>
    <t>20683852:eng</t>
  </si>
  <si>
    <t>36543493</t>
  </si>
  <si>
    <t>ocm36543493</t>
  </si>
  <si>
    <t>31018464849</t>
  </si>
  <si>
    <t>9781555702625</t>
  </si>
  <si>
    <t>793478080</t>
  </si>
  <si>
    <t>Z682.3 K45 2010</t>
  </si>
  <si>
    <t>0                      Z  0682300K  45          2010</t>
  </si>
  <si>
    <t>Core benefits / Brian W. Keith.</t>
  </si>
  <si>
    <t>Keith, Brian W., 1969-</t>
  </si>
  <si>
    <t>Washington, D.C. : Association of Research Libraries, ©2010.</t>
  </si>
  <si>
    <t>SPEC kit, 0160-3582 ; 320</t>
  </si>
  <si>
    <t>762083881:eng</t>
  </si>
  <si>
    <t>688617663</t>
  </si>
  <si>
    <t>ocn688617663</t>
  </si>
  <si>
    <t>31031275914</t>
  </si>
  <si>
    <t>9781594078545</t>
  </si>
  <si>
    <t>794854529</t>
  </si>
  <si>
    <t>Z682.35 C66 S64 2017</t>
  </si>
  <si>
    <t>0                      Z  0682350C  66                 S  64          2017</t>
  </si>
  <si>
    <t>Effective difficult conversations : a step-by-step guide / Catherine B. Soehner and Ann Darling.</t>
  </si>
  <si>
    <t>Soehner, Catherine, author.</t>
  </si>
  <si>
    <t>3805536386:eng</t>
  </si>
  <si>
    <t>962068547</t>
  </si>
  <si>
    <t>ocn962068547</t>
  </si>
  <si>
    <t>31036972036</t>
  </si>
  <si>
    <t>9780838914953</t>
  </si>
  <si>
    <t>795024142</t>
  </si>
  <si>
    <t>Z682.35 E63 S63 2011</t>
  </si>
  <si>
    <t>0                      Z  0682350E  63                 S  63          2011</t>
  </si>
  <si>
    <t>Socializing new hires / [compiled by] Sharon Ladenson, Diane Mayers, Colleen Hyslop.</t>
  </si>
  <si>
    <t>Washington, DC : Association of Research Libraries, ©2011.</t>
  </si>
  <si>
    <t>SPEC kit, 0160-3582 ; 323</t>
  </si>
  <si>
    <t>998534776:eng</t>
  </si>
  <si>
    <t>747267029</t>
  </si>
  <si>
    <t>ocn747267029</t>
  </si>
  <si>
    <t>3103372639X</t>
  </si>
  <si>
    <t>9781594078675</t>
  </si>
  <si>
    <t>794887963</t>
  </si>
  <si>
    <t>Z682.35 M35 S73 2005</t>
  </si>
  <si>
    <t>0                      Z  0682350M  35                 S  73          2005</t>
  </si>
  <si>
    <t>Staff planning in a time of demographic change / edited by Vicki Whitmell.</t>
  </si>
  <si>
    <t>371880:eng</t>
  </si>
  <si>
    <t>56632297</t>
  </si>
  <si>
    <t>ocm56632297</t>
  </si>
  <si>
    <t>3102503401Y</t>
  </si>
  <si>
    <t>9780810852150</t>
  </si>
  <si>
    <t>793897528</t>
  </si>
  <si>
    <t>Z682.35 P75 B83 2009</t>
  </si>
  <si>
    <t>0                      Z  0682350P  75                 B  83          2009</t>
  </si>
  <si>
    <t>Case studies in library and information science ethics / Elizabeth A. Buchanan and Kathrine A. Henderson ; with a foreword by Robert Hauptman.</t>
  </si>
  <si>
    <t>Buchanan, Elizabeth A., 1968-</t>
  </si>
  <si>
    <t>Jefferson, N.C. : McFarland &amp; Co., ©2009.</t>
  </si>
  <si>
    <t>131114010:eng</t>
  </si>
  <si>
    <t>212327695</t>
  </si>
  <si>
    <t>ocn212327695</t>
  </si>
  <si>
    <t>3103052352T</t>
  </si>
  <si>
    <t>9780786433674</t>
  </si>
  <si>
    <t>794305529</t>
  </si>
  <si>
    <t>Z682.35 P75 E84 2009</t>
  </si>
  <si>
    <t>0                      Z  0682350P  75                 E  84          2009</t>
  </si>
  <si>
    <t>Ethics and integrity in libraries / edited by Amy L. Besnoy.</t>
  </si>
  <si>
    <t>Abingdon : Routledge, 2009.</t>
  </si>
  <si>
    <t>139360547:eng</t>
  </si>
  <si>
    <t>233142634</t>
  </si>
  <si>
    <t>ocn233142634</t>
  </si>
  <si>
    <t>3103052270S</t>
  </si>
  <si>
    <t>9780789037558</t>
  </si>
  <si>
    <t>794365786</t>
  </si>
  <si>
    <t>Z682.35 P75 H38 1988</t>
  </si>
  <si>
    <t>0                      Z  0682350P  75                 H  38          1988</t>
  </si>
  <si>
    <t>Ethical challenges in librarianship / by Robert Hauptman.</t>
  </si>
  <si>
    <t>Hauptman, Robert, 1941-</t>
  </si>
  <si>
    <t>Phoenix : Oryx Press, 1988.</t>
  </si>
  <si>
    <t>327214806:eng</t>
  </si>
  <si>
    <t>17506532</t>
  </si>
  <si>
    <t>ocm17506532</t>
  </si>
  <si>
    <t>31029123434</t>
  </si>
  <si>
    <t>9780897742719</t>
  </si>
  <si>
    <t>792993456</t>
  </si>
  <si>
    <t>Z682.35 P75 H39 2002</t>
  </si>
  <si>
    <t>0                      Z  0682350P  75                 H  39          2002</t>
  </si>
  <si>
    <t>Ethics and librarianship / Robert Hauptman ; foreword by Peter Hernon.</t>
  </si>
  <si>
    <t>Jefferson, N.C. : McFarland, ©2002.</t>
  </si>
  <si>
    <t>38724958:eng</t>
  </si>
  <si>
    <t>48796238</t>
  </si>
  <si>
    <t>ocm48796238</t>
  </si>
  <si>
    <t>3102209184L</t>
  </si>
  <si>
    <t>9780786413065</t>
  </si>
  <si>
    <t>793727909</t>
  </si>
  <si>
    <t>Z682.35 P75 P74 2008</t>
  </si>
  <si>
    <t>0                      Z  0682350P  75                 P  74          2008</t>
  </si>
  <si>
    <t>Library ethics / Jean Preer.</t>
  </si>
  <si>
    <t>Preer, Jean L.</t>
  </si>
  <si>
    <t>2017-10-19</t>
  </si>
  <si>
    <t>137685442:eng</t>
  </si>
  <si>
    <t>228063675</t>
  </si>
  <si>
    <t>ocn228063675</t>
  </si>
  <si>
    <t>3103054644E</t>
  </si>
  <si>
    <t>9781591586364</t>
  </si>
  <si>
    <t>794348746</t>
  </si>
  <si>
    <t>Z682.35 P75 Z56 1996</t>
  </si>
  <si>
    <t>0                      Z  0682350P  75                 Z  56          1996</t>
  </si>
  <si>
    <t>Professional ethics in librarianship : a real life casebook / by Fay Zipkowitz.</t>
  </si>
  <si>
    <t>Zipkowitz, Fay.</t>
  </si>
  <si>
    <t>Jefferson, N.C. : McFarland &amp; Co., 1996.</t>
  </si>
  <si>
    <t>39445112:eng</t>
  </si>
  <si>
    <t>34321210</t>
  </si>
  <si>
    <t>ocm34321210</t>
  </si>
  <si>
    <t>31015722479</t>
  </si>
  <si>
    <t>9780786402236</t>
  </si>
  <si>
    <t>793424221</t>
  </si>
  <si>
    <t>Z682.35 R42 A85 2002</t>
  </si>
  <si>
    <t>0                      Z  0682350R  42                 A  85          2002</t>
  </si>
  <si>
    <t>Recruitment, retention, and restructuring : human resources in academic libraries / Ad Hoc Task Force on Recruitment &amp; Retention Issues, a subcommittee of the Personnel Administrators and Staff Development Officers Discussion Group, Association of College and Research Libraries.</t>
  </si>
  <si>
    <t>Association of College and Research Libraries. Ad Hoc Task Force on Recruitment &amp; Retention Issues.</t>
  </si>
  <si>
    <t>1028171253:eng</t>
  </si>
  <si>
    <t>50234961</t>
  </si>
  <si>
    <t>ocm50234961</t>
  </si>
  <si>
    <t>31023061036</t>
  </si>
  <si>
    <t>9780838982099</t>
  </si>
  <si>
    <t>793758545</t>
  </si>
  <si>
    <t>Z682.35 T43 C67 2009</t>
  </si>
  <si>
    <t>0                      Z  0682350T  43                 C  67          2009</t>
  </si>
  <si>
    <t>Core technology competencies for librarians and library staff : a LITA guide / Susan M. Thompson, editor.</t>
  </si>
  <si>
    <t>LITA guides ; #15</t>
  </si>
  <si>
    <t>891163879:eng</t>
  </si>
  <si>
    <t>271811382</t>
  </si>
  <si>
    <t>ocn271811382</t>
  </si>
  <si>
    <t>3103135187L</t>
  </si>
  <si>
    <t>9781555706609</t>
  </si>
  <si>
    <t>794415027</t>
  </si>
  <si>
    <t>Z682.35 T43 T67 2014</t>
  </si>
  <si>
    <t>0                      Z  0682350T  43                 T  67          2014</t>
  </si>
  <si>
    <t>The top technologies every librarian needs to know / edited by Kenneth J. Varnum.</t>
  </si>
  <si>
    <t>2049078637:eng</t>
  </si>
  <si>
    <t>878050709</t>
  </si>
  <si>
    <t>ocn878050709</t>
  </si>
  <si>
    <t>3103566618E</t>
  </si>
  <si>
    <t>9780838912287</t>
  </si>
  <si>
    <t>794971216</t>
  </si>
  <si>
    <t>Z682.35 T55 H5 2010</t>
  </si>
  <si>
    <t>0                      Z  0682350T  55                 H  5           2010</t>
  </si>
  <si>
    <t>Productivity for librarians : how to get more done in less time / Samantha Hines.</t>
  </si>
  <si>
    <t>Hines, Samantha (Samantha Schmehl)</t>
  </si>
  <si>
    <t>375864993:eng</t>
  </si>
  <si>
    <t>503046681</t>
  </si>
  <si>
    <t>ocn503046681</t>
  </si>
  <si>
    <t>31032295274</t>
  </si>
  <si>
    <t>9781843345671</t>
  </si>
  <si>
    <t>794806102</t>
  </si>
  <si>
    <t>Z682.35 T55 H68 2018</t>
  </si>
  <si>
    <t>0                      Z  0682350T  55                 H  68          2018</t>
  </si>
  <si>
    <t>Crash course in time management for library staff / Brenda Hough.</t>
  </si>
  <si>
    <t>Hough, Brenda, 1969- author.</t>
  </si>
  <si>
    <t>Santa Barbara, California : Libraries Unlimited, [2018]</t>
  </si>
  <si>
    <t>Libraries Unlimited crash course series</t>
  </si>
  <si>
    <t>4744287074:eng</t>
  </si>
  <si>
    <t>959260544</t>
  </si>
  <si>
    <t>ocn959260544</t>
  </si>
  <si>
    <t>3103811521J</t>
  </si>
  <si>
    <t>9781440850677</t>
  </si>
  <si>
    <t>795022300</t>
  </si>
  <si>
    <t>Z682.35 V62 B95 2009</t>
  </si>
  <si>
    <t>0                      Z  0682350V  62                 B  95          2009</t>
  </si>
  <si>
    <t>A leadership primer for new librarians : tools for helping today's early-career librarians to become tomorrow's library leaders / Suzanne Byke and Dawn Lowe-Wincentsen.</t>
  </si>
  <si>
    <t>Byke, Suzanne.</t>
  </si>
  <si>
    <t>Oxford, England : Chandos Pub., 2009.</t>
  </si>
  <si>
    <t>2016-03-29</t>
  </si>
  <si>
    <t>892251038:eng</t>
  </si>
  <si>
    <t>236120333</t>
  </si>
  <si>
    <t>ocn236120333</t>
  </si>
  <si>
    <t>31028558264</t>
  </si>
  <si>
    <t>9781843344209</t>
  </si>
  <si>
    <t>794371244</t>
  </si>
  <si>
    <t>Z682.35 V62 C88 2011</t>
  </si>
  <si>
    <t>0                      Z  0682350V  62                 C  88          2011</t>
  </si>
  <si>
    <t>Recovery, reframing, and renewal : surviving an information science career crisis in a time of change / Oliver Cutshaw.</t>
  </si>
  <si>
    <t>Cutshaw, Oliver.</t>
  </si>
  <si>
    <t>1207325709:eng</t>
  </si>
  <si>
    <t>708570867</t>
  </si>
  <si>
    <t>ocn708570867</t>
  </si>
  <si>
    <t>3103365196T</t>
  </si>
  <si>
    <t>9781843346326</t>
  </si>
  <si>
    <t>794869167</t>
  </si>
  <si>
    <t>Z682.35 V62 D39 2007</t>
  </si>
  <si>
    <t>0                      Z  0682350V  62                 D  39          2007</t>
  </si>
  <si>
    <t>A day in the life : career options in library and information science / edited by Priscilla K. Shontz and Richard A. Murray.</t>
  </si>
  <si>
    <t>2019-02-22</t>
  </si>
  <si>
    <t>802926308:eng</t>
  </si>
  <si>
    <t>86115485</t>
  </si>
  <si>
    <t>ocm86115485</t>
  </si>
  <si>
    <t>31030819334</t>
  </si>
  <si>
    <t>9781591583646</t>
  </si>
  <si>
    <t>794218565</t>
  </si>
  <si>
    <t>Z682.35 V62 D42 2011</t>
  </si>
  <si>
    <t>0                      Z  0682350V  62                 D  42          2011</t>
  </si>
  <si>
    <t>The information and knowledge professional's career handbook : define and create your success / Ulla de Stricker and Jill Hurst-Wahl.</t>
  </si>
  <si>
    <t>De Stricker, Ulla.</t>
  </si>
  <si>
    <t>787127756:eng</t>
  </si>
  <si>
    <t>702327483</t>
  </si>
  <si>
    <t>ocn702327483</t>
  </si>
  <si>
    <t>31033047918</t>
  </si>
  <si>
    <t>9781843346081</t>
  </si>
  <si>
    <t>794863918</t>
  </si>
  <si>
    <t>Z682.35 V62 D67 2006</t>
  </si>
  <si>
    <t>0                      Z  0682350V  62                 D  67          2006</t>
  </si>
  <si>
    <t>Rethinking information work : a career guide for librarians and other information professionals / G. Kim Dority.</t>
  </si>
  <si>
    <t>Dority, G. Kim, 1950-</t>
  </si>
  <si>
    <t>802081114:eng</t>
  </si>
  <si>
    <t>70707790</t>
  </si>
  <si>
    <t>ocm70707790</t>
  </si>
  <si>
    <t>3102635497O</t>
  </si>
  <si>
    <t>9781591581802</t>
  </si>
  <si>
    <t>794158016</t>
  </si>
  <si>
    <t>Z682.35 V62 G68 2008</t>
  </si>
  <si>
    <t>0                      Z  0682350V  62                 G  68          2008</t>
  </si>
  <si>
    <t>What's the alternative? : career options for librarians and info pros / Rachel Singer Gordon.</t>
  </si>
  <si>
    <t>Medford, N.J. : Information Today, Inc., ©2008.</t>
  </si>
  <si>
    <t>795052179:eng</t>
  </si>
  <si>
    <t>192050068</t>
  </si>
  <si>
    <t>ocn192050068</t>
  </si>
  <si>
    <t>3102970215S</t>
  </si>
  <si>
    <t>9781573873338</t>
  </si>
  <si>
    <t>794303017</t>
  </si>
  <si>
    <t>Z682.35 V62 G76 2012</t>
  </si>
  <si>
    <t>0                      Z  0682350V  62                 G  76          2012</t>
  </si>
  <si>
    <t>Building your library career with Web 2.0 / Julia Gross.</t>
  </si>
  <si>
    <t>Gross, Julia.</t>
  </si>
  <si>
    <t>2014-06-11</t>
  </si>
  <si>
    <t>784162090:eng</t>
  </si>
  <si>
    <t>701309362</t>
  </si>
  <si>
    <t>ocn701309362</t>
  </si>
  <si>
    <t>31034308548</t>
  </si>
  <si>
    <t>9781843346517</t>
  </si>
  <si>
    <t>794862795</t>
  </si>
  <si>
    <t>Z682.35 V62 J86 2013</t>
  </si>
  <si>
    <t>0                      Z  0682350V  62                 J  86          2013</t>
  </si>
  <si>
    <t>Jump-start your career as a digital librarian : a LITA guide / edited by Jane D. Monson.</t>
  </si>
  <si>
    <t>1171665184:eng</t>
  </si>
  <si>
    <t>812531012</t>
  </si>
  <si>
    <t>ocn812531012</t>
  </si>
  <si>
    <t>3103455336Y</t>
  </si>
  <si>
    <t>9781555708771</t>
  </si>
  <si>
    <t>794931039</t>
  </si>
  <si>
    <t>Z682.35 V62 K37 2011</t>
  </si>
  <si>
    <t>0                      Z  0682350V  62                 K  37          2011</t>
  </si>
  <si>
    <t>Working in the virtual stacks : the new library &amp; information science / Laura Townsend Kane.</t>
  </si>
  <si>
    <t>Kane, Laura Townsend.</t>
  </si>
  <si>
    <t>2016-12-13</t>
  </si>
  <si>
    <t>944725296:eng</t>
  </si>
  <si>
    <t>704391696</t>
  </si>
  <si>
    <t>ocn704391696</t>
  </si>
  <si>
    <t>3103362946R</t>
  </si>
  <si>
    <t>9780838911037</t>
  </si>
  <si>
    <t>794865607</t>
  </si>
  <si>
    <t>Z682.35 V62 M33 2014</t>
  </si>
  <si>
    <t>0                      Z  0682350V  62                 M  33          2014</t>
  </si>
  <si>
    <t>Making the most of your library career / edited by Lois Stickell, Bridgette Sanders.</t>
  </si>
  <si>
    <t>Chicago : ALA Editions, American Library Association, 2014.</t>
  </si>
  <si>
    <t>1894826717:eng</t>
  </si>
  <si>
    <t>857141233</t>
  </si>
  <si>
    <t>ocn857141233</t>
  </si>
  <si>
    <t>31035309373</t>
  </si>
  <si>
    <t>9780838911860</t>
  </si>
  <si>
    <t>794954820</t>
  </si>
  <si>
    <t>Z682.35 V62 M37 2010</t>
  </si>
  <si>
    <t>0                      Z  0682350V  62                 M  37          2010</t>
  </si>
  <si>
    <t>The agile librarian's guide to thriving in any institution / Michelynn McKnight.</t>
  </si>
  <si>
    <t>McKnight, Michelynn.</t>
  </si>
  <si>
    <t>317940289:eng</t>
  </si>
  <si>
    <t>430839892</t>
  </si>
  <si>
    <t>ocn430839892</t>
  </si>
  <si>
    <t>3103157987G</t>
  </si>
  <si>
    <t>9781591586685</t>
  </si>
  <si>
    <t>794781253</t>
  </si>
  <si>
    <t>Z682.35 V62 M53 2011</t>
  </si>
  <si>
    <t>0                      Z  0682350V  62                 M  53          2011</t>
  </si>
  <si>
    <t>Mid-career library and information professionals : a leadership primer / edited by Dawn Lowe-Wincentsen and Linda Crook.</t>
  </si>
  <si>
    <t>2013-03-25</t>
  </si>
  <si>
    <t>774832446:eng</t>
  </si>
  <si>
    <t>700145905</t>
  </si>
  <si>
    <t>ocn700145905</t>
  </si>
  <si>
    <t>31033652067</t>
  </si>
  <si>
    <t>9781843346098</t>
  </si>
  <si>
    <t>794861890</t>
  </si>
  <si>
    <t>Z682.35 V62 N49 2006</t>
  </si>
  <si>
    <t>0                      Z  0682350V  62                 N  49          2006</t>
  </si>
  <si>
    <t>Resume writing and interviewing techniques that work : a how-to-do-it manual for librarians / Robert R. Newlen.</t>
  </si>
  <si>
    <t>Newlen, Robert R.</t>
  </si>
  <si>
    <t>New York : Neal-Schuman Publishers, ©2006.</t>
  </si>
  <si>
    <t>How-to-do-it manuals for librarians ; no. 148</t>
  </si>
  <si>
    <t>3857948637:eng</t>
  </si>
  <si>
    <t>64591912</t>
  </si>
  <si>
    <t>ocm64591912</t>
  </si>
  <si>
    <t>3103026535Q</t>
  </si>
  <si>
    <t>9781555705381</t>
  </si>
  <si>
    <t>794130517</t>
  </si>
  <si>
    <t>Z682.35 V62 P74 2009</t>
  </si>
  <si>
    <t>0                      Z  0682350V  62                 P  74          2009</t>
  </si>
  <si>
    <t>So you want to be a librarian... / by Lauren Pressley.</t>
  </si>
  <si>
    <t>Duluth, Minnesota : Library Juice Press, 2009.</t>
  </si>
  <si>
    <t>194277107:eng</t>
  </si>
  <si>
    <t>316513258</t>
  </si>
  <si>
    <t>ocn316513258</t>
  </si>
  <si>
    <t>3103087519X</t>
  </si>
  <si>
    <t>9780980200485</t>
  </si>
  <si>
    <t>794449026</t>
  </si>
  <si>
    <t>Z682.35 V62 R33 2005</t>
  </si>
  <si>
    <t>0                      Z  0682350V  62                 R  33          2005</t>
  </si>
  <si>
    <t>Your career, your life : career management for the information professional / edited by Rosemary Raddon [and others].</t>
  </si>
  <si>
    <t>892406859:eng</t>
  </si>
  <si>
    <t>54373154</t>
  </si>
  <si>
    <t>ocm54373154</t>
  </si>
  <si>
    <t>3102549209X</t>
  </si>
  <si>
    <t>9780754636342</t>
  </si>
  <si>
    <t>793860398</t>
  </si>
  <si>
    <t>Z682.35 V62 T39 2009</t>
  </si>
  <si>
    <t>0                      Z  0682350V  62                 T  39          2009</t>
  </si>
  <si>
    <t>Career opportunities in library and information science / Allan Taylor, James Robert Parish ; foreword by Nancy Roderer.</t>
  </si>
  <si>
    <t>Taylor, T. Allan, author.</t>
  </si>
  <si>
    <t>New York : Ferguson, an imprint of Infobase Publishing, [2009]</t>
  </si>
  <si>
    <t>150696861:eng</t>
  </si>
  <si>
    <t>257554246</t>
  </si>
  <si>
    <t>ocn257554246</t>
  </si>
  <si>
    <t>31030863088</t>
  </si>
  <si>
    <t>9780816075461</t>
  </si>
  <si>
    <t>794399303</t>
  </si>
  <si>
    <t>Z682.35 V62 W47 1997</t>
  </si>
  <si>
    <t>0                      Z  0682350V  62                 W  47          1997</t>
  </si>
  <si>
    <t>What else you can do with a library degree : career options for the 90s and beyond / edited by Betty-Carol Sellen.</t>
  </si>
  <si>
    <t>New York : Neal-Schuman Publishers, ©1997.</t>
  </si>
  <si>
    <t>2016-02-28</t>
  </si>
  <si>
    <t>3857970845:eng</t>
  </si>
  <si>
    <t>36824812</t>
  </si>
  <si>
    <t>ocm36824812</t>
  </si>
  <si>
    <t>31026408420</t>
  </si>
  <si>
    <t>9781555702649</t>
  </si>
  <si>
    <t>793485145</t>
  </si>
  <si>
    <t>Z682.35 V62 W66 2011</t>
  </si>
  <si>
    <t>0                      Z  0682350V  62                 W  66          2011</t>
  </si>
  <si>
    <t>A librarian's guide to an uncertain job market / Jeannette Woodward.</t>
  </si>
  <si>
    <t>848778923:eng</t>
  </si>
  <si>
    <t>709407942</t>
  </si>
  <si>
    <t>ocn709407942</t>
  </si>
  <si>
    <t>3103361839$</t>
  </si>
  <si>
    <t>9780838911051</t>
  </si>
  <si>
    <t>794869408</t>
  </si>
  <si>
    <t>Z682.4 A34 A88 2012</t>
  </si>
  <si>
    <t>0                      Z  0682400A  34                 A  88          2012</t>
  </si>
  <si>
    <t>The associate university librarian handbook : a resource guide / edited by Bradford Lee Eden.</t>
  </si>
  <si>
    <t>Lanham, Maryland : The Scarecrow Press, Inc., [2012]</t>
  </si>
  <si>
    <t>2018-07-18</t>
  </si>
  <si>
    <t>1122750632:eng</t>
  </si>
  <si>
    <t>774500486</t>
  </si>
  <si>
    <t>ocn774500486</t>
  </si>
  <si>
    <t>3103412159V</t>
  </si>
  <si>
    <t>9780810883819</t>
  </si>
  <si>
    <t>794906655</t>
  </si>
  <si>
    <t>Z682.4 A34 C67 2007</t>
  </si>
  <si>
    <t>0                      Z  0682400A  34                 C  67          2007</t>
  </si>
  <si>
    <t>Continuing professional development : pathways to leadership in the library and information world / edited by Ann Ritchie and Clare Walker.</t>
  </si>
  <si>
    <t>Ritchie, Ann, editor.</t>
  </si>
  <si>
    <t>München : K.G. Saur, 2007.</t>
  </si>
  <si>
    <t>IFLA publications, 0344-6891 ; 126</t>
  </si>
  <si>
    <t>193682727:eng</t>
  </si>
  <si>
    <t>166383276</t>
  </si>
  <si>
    <t>ocn166383276</t>
  </si>
  <si>
    <t>3102806010E</t>
  </si>
  <si>
    <t>9783598220340</t>
  </si>
  <si>
    <t>794261180</t>
  </si>
  <si>
    <t>Z682.4 A34 H47 2003</t>
  </si>
  <si>
    <t>0                      Z  0682400A  34                 H  47          2003</t>
  </si>
  <si>
    <t>The next library leadership : attributes of academic and public library directors / Peter Hernon, Ronald R. Powell, and Arthur P. Young.</t>
  </si>
  <si>
    <t>Westport, Conn. : Libraries Unlimited, 2003.</t>
  </si>
  <si>
    <t>776205:eng</t>
  </si>
  <si>
    <t>52386442</t>
  </si>
  <si>
    <t>ocm52386442</t>
  </si>
  <si>
    <t>3102319265B</t>
  </si>
  <si>
    <t>9781563089923</t>
  </si>
  <si>
    <t>793805225</t>
  </si>
  <si>
    <t>Z682.4 A34 M36 2013</t>
  </si>
  <si>
    <t>0                      Z  0682400A  34                 M  36          2013</t>
  </si>
  <si>
    <t>Managing in the middle : the librarian's handbook / edited by Robert Farrell and Kenneth Schlesinger.</t>
  </si>
  <si>
    <t>1150623773:eng</t>
  </si>
  <si>
    <t>805701637</t>
  </si>
  <si>
    <t>ocn805701637</t>
  </si>
  <si>
    <t>3103470977I</t>
  </si>
  <si>
    <t>9780838911617</t>
  </si>
  <si>
    <t>794926391</t>
  </si>
  <si>
    <t>Z682.4 A34 M53 2011</t>
  </si>
  <si>
    <t>0                      Z  0682400A  34                 M  53          2011</t>
  </si>
  <si>
    <t>Middle management in academic and public libraries / Tom Diamond, editor.</t>
  </si>
  <si>
    <t>762672992:eng</t>
  </si>
  <si>
    <t>690088614</t>
  </si>
  <si>
    <t>ocn690088614</t>
  </si>
  <si>
    <t>31033618271</t>
  </si>
  <si>
    <t>9781598846898</t>
  </si>
  <si>
    <t>794855202</t>
  </si>
  <si>
    <t>Z682.4 A34 S48 2010</t>
  </si>
  <si>
    <t>0                      Z  0682400A  34                 S  48          2010</t>
  </si>
  <si>
    <t>Interpersonal skills, theory and practice : the librarian's guide to becoming a leader / Brooke E. Sheldon.</t>
  </si>
  <si>
    <t>Sheldon, Brooke E., author.</t>
  </si>
  <si>
    <t>420123496:eng</t>
  </si>
  <si>
    <t>548555619</t>
  </si>
  <si>
    <t>ocn548555619</t>
  </si>
  <si>
    <t>31032384256</t>
  </si>
  <si>
    <t>9781591587446</t>
  </si>
  <si>
    <t>794810968</t>
  </si>
  <si>
    <t>3103723072D</t>
  </si>
  <si>
    <t>794810967</t>
  </si>
  <si>
    <t>Z682.4 A34 S49 1991</t>
  </si>
  <si>
    <t>0                      Z  0682400A  34                 S  49          1991</t>
  </si>
  <si>
    <t>Leaders in libraries : styles and strategies for success / by Brooke E. Sheldon.</t>
  </si>
  <si>
    <t>Sheldon, Brooke E.</t>
  </si>
  <si>
    <t>328296382:eng</t>
  </si>
  <si>
    <t>23139662</t>
  </si>
  <si>
    <t>ocm23139662</t>
  </si>
  <si>
    <t>31036785698</t>
  </si>
  <si>
    <t>9780838905630</t>
  </si>
  <si>
    <t>793162197</t>
  </si>
  <si>
    <t>Z682.4 A34 S65 2017</t>
  </si>
  <si>
    <t>0                      Z  0682400A  34                 S  65          2017</t>
  </si>
  <si>
    <t>So you want to be an academic library director / edited by Colleen S. Harris.</t>
  </si>
  <si>
    <t>4429828232:eng</t>
  </si>
  <si>
    <t>987591553</t>
  </si>
  <si>
    <t>ocn987591553</t>
  </si>
  <si>
    <t>3103702708B</t>
  </si>
  <si>
    <t>9780838914960</t>
  </si>
  <si>
    <t>795036249</t>
  </si>
  <si>
    <t>Z682.4 A37 A13 2012</t>
  </si>
  <si>
    <t>0                      Z  0682400A  37                 A  13          2012</t>
  </si>
  <si>
    <t>The 21st-century black librarian in America : issues and challenges / edited by Andrew P. Jackson (Sekou Molefi Baako), Julius Jefferson Jr., Akilah Nosakhere.</t>
  </si>
  <si>
    <t>Lanham, Maryland : The Scarecrow Press, Inc., 2012.</t>
  </si>
  <si>
    <t>1122182169:eng</t>
  </si>
  <si>
    <t>759175629</t>
  </si>
  <si>
    <t>ocn759175629</t>
  </si>
  <si>
    <t>31034693705</t>
  </si>
  <si>
    <t>9780810882454</t>
  </si>
  <si>
    <t>794897188</t>
  </si>
  <si>
    <t>Z682.4 C63 A335 2007</t>
  </si>
  <si>
    <t>0                      Z  0682400C  63                 A  335         2007</t>
  </si>
  <si>
    <t>Academic librarians as emotionally intelligent leaders / edited by Peter Hernon, Joan Giesecke, and Camila A. Alire.</t>
  </si>
  <si>
    <t>2017-03-22</t>
  </si>
  <si>
    <t>351876923:eng</t>
  </si>
  <si>
    <t>157023136</t>
  </si>
  <si>
    <t>ocn157023136</t>
  </si>
  <si>
    <t>3102647188M</t>
  </si>
  <si>
    <t>9781591585138</t>
  </si>
  <si>
    <t>794256475</t>
  </si>
  <si>
    <t>Z682.4 C63 B4 2007</t>
  </si>
  <si>
    <t>0                      Z  0682400C  63                 B  4           2007</t>
  </si>
  <si>
    <t>Academic librarianship by design : a blended librarian's guide to the tools and techniques / Steven J. Bell, John D. Shank.</t>
  </si>
  <si>
    <t>Bell, Steven J.</t>
  </si>
  <si>
    <t>797244045:eng</t>
  </si>
  <si>
    <t>80460240</t>
  </si>
  <si>
    <t>ocm80460240</t>
  </si>
  <si>
    <t>31026431557</t>
  </si>
  <si>
    <t>9780838909393</t>
  </si>
  <si>
    <t>794200952</t>
  </si>
  <si>
    <t>Z682.4 C63 B46 2017</t>
  </si>
  <si>
    <t>0                      Z  0682400C  63                 B  46          2017</t>
  </si>
  <si>
    <t>The new instruction librarian : a workbook for trainers and learners / Candice Benjes-Small and Rebecca K. Miller.</t>
  </si>
  <si>
    <t>Benjes-Small, Candice M., author.</t>
  </si>
  <si>
    <t>2018-08-24</t>
  </si>
  <si>
    <t>2963574570:eng</t>
  </si>
  <si>
    <t>945582442</t>
  </si>
  <si>
    <t>ocn945582442</t>
  </si>
  <si>
    <t>3103740071I</t>
  </si>
  <si>
    <t>9780838914564</t>
  </si>
  <si>
    <t>795013661</t>
  </si>
  <si>
    <t>Z682.4 C63 D48 2005</t>
  </si>
  <si>
    <t>0                      Z  0682400C  63                 D  48          2005</t>
  </si>
  <si>
    <t>Developing the new learning environment : the changing role of the academic librarian / edited by Philippa Levy and Sue Roberts.</t>
  </si>
  <si>
    <t>866516336:eng</t>
  </si>
  <si>
    <t>59356298</t>
  </si>
  <si>
    <t>ocm59356298</t>
  </si>
  <si>
    <t>3102488157G</t>
  </si>
  <si>
    <t>9781856045308</t>
  </si>
  <si>
    <t>793929466</t>
  </si>
  <si>
    <t>Z682.4 C63 F56 2013</t>
  </si>
  <si>
    <t>0                      Z  0682400C  63                 F  56          2013</t>
  </si>
  <si>
    <t>Finding a public voice : using Barbara Fister as a case study / edited by Danielle Theiss and Diane Kovacs.</t>
  </si>
  <si>
    <t>1371228981:eng</t>
  </si>
  <si>
    <t>847529232</t>
  </si>
  <si>
    <t>ocn847529232</t>
  </si>
  <si>
    <t>3103505449B</t>
  </si>
  <si>
    <t>9780838986523</t>
  </si>
  <si>
    <t>794949509</t>
  </si>
  <si>
    <t>Z682.4 C63 H69 2011</t>
  </si>
  <si>
    <t>0                      Z  0682400C  63                 H  69          2011</t>
  </si>
  <si>
    <t>How to stay afloat in the academic library job pool / edited by Teresa Y. Neely ; foreword by Camila A. Alire.</t>
  </si>
  <si>
    <t>Chicago : American Library Association, 2011, ©2011.</t>
  </si>
  <si>
    <t>2014-06-10</t>
  </si>
  <si>
    <t>663769143:eng</t>
  </si>
  <si>
    <t>666224054</t>
  </si>
  <si>
    <t>ocn666224054</t>
  </si>
  <si>
    <t>3103321184U</t>
  </si>
  <si>
    <t>9780838910801</t>
  </si>
  <si>
    <t>794844877</t>
  </si>
  <si>
    <t>Z682.4 C63 I58 2009</t>
  </si>
  <si>
    <t>0                      Z  0682400C  63                 I  58          2009</t>
  </si>
  <si>
    <t>An introduction to staff development in academic libraries / edited by Elizabeth Connor.</t>
  </si>
  <si>
    <t>New York : Routledge, 2009.</t>
  </si>
  <si>
    <t>2019-03-08</t>
  </si>
  <si>
    <t>866517109:eng</t>
  </si>
  <si>
    <t>236082862</t>
  </si>
  <si>
    <t>ocn236082862</t>
  </si>
  <si>
    <t>31030819158</t>
  </si>
  <si>
    <t>9780789038449</t>
  </si>
  <si>
    <t>794371027</t>
  </si>
  <si>
    <t>Z682.4 C63 K87 1986</t>
  </si>
  <si>
    <t>0                      Z  0682400C  63                 K  87          1986</t>
  </si>
  <si>
    <t>Unions for academic library support staff : impact on workers and the workplace / James M. Kusack.</t>
  </si>
  <si>
    <t>Kusack, James M. (James Michael), 1946-</t>
  </si>
  <si>
    <t>New York : Greenwood Press, 1986.</t>
  </si>
  <si>
    <t>New directions in information management, 0887-3844 ; no. 10</t>
  </si>
  <si>
    <t>2610333:eng</t>
  </si>
  <si>
    <t>13455213</t>
  </si>
  <si>
    <t>ocm13455213</t>
  </si>
  <si>
    <t>30008493977</t>
  </si>
  <si>
    <t>9780313249914</t>
  </si>
  <si>
    <t>792853876</t>
  </si>
  <si>
    <t>Z682.4 C63 L4 1998</t>
  </si>
  <si>
    <t>0                      Z  0682400C  63                 L  4           1998</t>
  </si>
  <si>
    <t>Leadership and academic librarians / edited by Terrence F. Mech and Gerard B. McCabe.</t>
  </si>
  <si>
    <t>Westport, Conn. : Greenwood Press, 1998.</t>
  </si>
  <si>
    <t>Greenwood library management collection, 0894-2986</t>
  </si>
  <si>
    <t>9592953992:eng</t>
  </si>
  <si>
    <t>38168334</t>
  </si>
  <si>
    <t>ocm38168334</t>
  </si>
  <si>
    <t>31014952241</t>
  </si>
  <si>
    <t>9780313302718</t>
  </si>
  <si>
    <t>793518026</t>
  </si>
  <si>
    <t>Z682.4 C63 M34 2011</t>
  </si>
  <si>
    <t>0                      Z  0682400C  63                 M  34          2011</t>
  </si>
  <si>
    <t>Becoming confident teachers : a guide for academic librarians / Claire McGuinness.</t>
  </si>
  <si>
    <t>McGuinness, Claire.</t>
  </si>
  <si>
    <t>784162091:eng</t>
  </si>
  <si>
    <t>747033604</t>
  </si>
  <si>
    <t>ocn747033604</t>
  </si>
  <si>
    <t>31034308508</t>
  </si>
  <si>
    <t>9781843346296</t>
  </si>
  <si>
    <t>794887666</t>
  </si>
  <si>
    <t>Z682.4 C63 N49 2011</t>
  </si>
  <si>
    <t>0                      Z  0682400C  63                 N  49          2011</t>
  </si>
  <si>
    <t>The New Graduate Experience : Post-MLS Residency Programs and Early Career Librarianship / Megan Zoe Perez and Cindy Ann Gruwell, editors.</t>
  </si>
  <si>
    <t>760730101:eng</t>
  </si>
  <si>
    <t>682902728</t>
  </si>
  <si>
    <t>ocn682902728</t>
  </si>
  <si>
    <t>3103321190S</t>
  </si>
  <si>
    <t>9781591588863</t>
  </si>
  <si>
    <t>794853156</t>
  </si>
  <si>
    <t>Z682.4 C63 R428 2018</t>
  </si>
  <si>
    <t>0                      Z  0682400C  63                 R  428         2018</t>
  </si>
  <si>
    <t>The indispensable academic librarian : teaching and collaborating for change / Michelle Reale.</t>
  </si>
  <si>
    <t>Reale, Michelle, author.</t>
  </si>
  <si>
    <t>2018-05-18</t>
  </si>
  <si>
    <t>4813811693:eng</t>
  </si>
  <si>
    <t>1030961485</t>
  </si>
  <si>
    <t>on1030961485</t>
  </si>
  <si>
    <t>3103670299E</t>
  </si>
  <si>
    <t>9780838916384</t>
  </si>
  <si>
    <t>795054979</t>
  </si>
  <si>
    <t>Z682.4 C63 S867 2012</t>
  </si>
  <si>
    <t>0                      Z  0682400C  63                 S  867         2012</t>
  </si>
  <si>
    <t>Survey of academic library subject specialists : economics and finance / [Primary Research Group].</t>
  </si>
  <si>
    <t>New York : Primary Research Group, 2012.</t>
  </si>
  <si>
    <t>1108660895:eng</t>
  </si>
  <si>
    <t>793725951</t>
  </si>
  <si>
    <t>ocn793725951</t>
  </si>
  <si>
    <t>3103414880X</t>
  </si>
  <si>
    <t>9781574402025</t>
  </si>
  <si>
    <t>794918652</t>
  </si>
  <si>
    <t>Z682.4 C63 S87 2010</t>
  </si>
  <si>
    <t>0                      Z  0682400C  63                 S  87          2010</t>
  </si>
  <si>
    <t>The survey of academic librarians : satisfaction with library employment.</t>
  </si>
  <si>
    <t>New York, N.Y. : Primary Research Group, 2010.</t>
  </si>
  <si>
    <t>525852699:eng</t>
  </si>
  <si>
    <t>649322724</t>
  </si>
  <si>
    <t>ocn649322724</t>
  </si>
  <si>
    <t>31033237746</t>
  </si>
  <si>
    <t>9781574401547</t>
  </si>
  <si>
    <t>794831697</t>
  </si>
  <si>
    <t>Z682.4 C63 S87 2011</t>
  </si>
  <si>
    <t>0                      Z  0682400C  63                 S  87          2011</t>
  </si>
  <si>
    <t>The survey of academic library subject specialists : political science, public and international affairs.</t>
  </si>
  <si>
    <t>1060567935:eng</t>
  </si>
  <si>
    <t>768170834</t>
  </si>
  <si>
    <t>ocn768170834</t>
  </si>
  <si>
    <t>3103405222R</t>
  </si>
  <si>
    <t>9781574401882</t>
  </si>
  <si>
    <t>794902099</t>
  </si>
  <si>
    <t>Z682.4 C64 O94 2010</t>
  </si>
  <si>
    <t>0                      Z  0682400C  64                 O  94          2010</t>
  </si>
  <si>
    <t>An overview of the changing role of the systems librarian : systemic shifts / edited by Edward Iglesias.</t>
  </si>
  <si>
    <t>Chandos information professional series.</t>
  </si>
  <si>
    <t>2011-06-17</t>
  </si>
  <si>
    <t>678659545:eng</t>
  </si>
  <si>
    <t>668182853</t>
  </si>
  <si>
    <t>ocn668182853</t>
  </si>
  <si>
    <t>31033439122</t>
  </si>
  <si>
    <t>9781843345985</t>
  </si>
  <si>
    <t>794845945</t>
  </si>
  <si>
    <t>Z682.4 G39 D37 1998</t>
  </si>
  <si>
    <t>0                      Z  0682400G  39                 D  37          1998</t>
  </si>
  <si>
    <t>Daring to find our names : the search for lesbigay library history / edited by James V. Carmichael, Jr.</t>
  </si>
  <si>
    <t>Beta Phi Mu monograph series, 1041-2751 ; no. 5</t>
  </si>
  <si>
    <t>56233789:eng</t>
  </si>
  <si>
    <t>38024165</t>
  </si>
  <si>
    <t>ocm38024165</t>
  </si>
  <si>
    <t>3101907459K</t>
  </si>
  <si>
    <t>9780313299636</t>
  </si>
  <si>
    <t>793513166</t>
  </si>
  <si>
    <t>Z682.4 I58 P83 2006</t>
  </si>
  <si>
    <t>0                      Z  0682400I  58                 P  83          2006</t>
  </si>
  <si>
    <t>Public library internships : advice from the field / edited by Cindy Mediavilla.</t>
  </si>
  <si>
    <t>Lanham, Md. : Scarecrow Press, 2006.</t>
  </si>
  <si>
    <t>2019-03-16</t>
  </si>
  <si>
    <t>48390560:eng</t>
  </si>
  <si>
    <t>64427402</t>
  </si>
  <si>
    <t>ocm64427402</t>
  </si>
  <si>
    <t>3102590580J</t>
  </si>
  <si>
    <t>9780810851863</t>
  </si>
  <si>
    <t>794129078</t>
  </si>
  <si>
    <t>Z682.4 L49 T86 2010</t>
  </si>
  <si>
    <t>0                      Z  0682400L  49                 T  86          2010</t>
  </si>
  <si>
    <t>Hiring, training, and supervising library shelvers / Patricia Tunstall.</t>
  </si>
  <si>
    <t>Tunstall, Patricia.</t>
  </si>
  <si>
    <t>2014-03-09</t>
  </si>
  <si>
    <t>198280278:eng</t>
  </si>
  <si>
    <t>320696547</t>
  </si>
  <si>
    <t>ocn320696547</t>
  </si>
  <si>
    <t>3103155176D</t>
  </si>
  <si>
    <t>9780838910108</t>
  </si>
  <si>
    <t>794486761</t>
  </si>
  <si>
    <t>Z682.4 M56 D577 2019</t>
  </si>
  <si>
    <t>0                      Z  0682400M  56                 D  577         2019</t>
  </si>
  <si>
    <t>Diversity and inclusion in libraries : a call to action and strategies for success / edited by Shannon D. Jones, Beverly Murphy.</t>
  </si>
  <si>
    <t>Lanham, MD : Rowman &amp; Littlefield, [2019]</t>
  </si>
  <si>
    <t>Medical Library Association Books</t>
  </si>
  <si>
    <t>8982618840:eng</t>
  </si>
  <si>
    <t>1090283845</t>
  </si>
  <si>
    <t>on1090283845</t>
  </si>
  <si>
    <t>3103812593Q</t>
  </si>
  <si>
    <t>9781538114391</t>
  </si>
  <si>
    <t>795079832</t>
  </si>
  <si>
    <t>Z682.4 M56 D58 2001</t>
  </si>
  <si>
    <t>0                      Z  0682400M  56                 D  58          2001</t>
  </si>
  <si>
    <t>Diversity in libraries : academic residency programs / edited by Raquel V. Cogell and Cindy A. Gruwell, foreword by E.J. Josey.</t>
  </si>
  <si>
    <t>Westport, Conn. : Greenwood Press, 2001.</t>
  </si>
  <si>
    <t>Contributions in librarianship and information science, 0084-9243 ; no. 94</t>
  </si>
  <si>
    <t>802516856:eng</t>
  </si>
  <si>
    <t>45637066</t>
  </si>
  <si>
    <t>ocm45637066</t>
  </si>
  <si>
    <t>3102155282O</t>
  </si>
  <si>
    <t>9780313308314</t>
  </si>
  <si>
    <t>793675385</t>
  </si>
  <si>
    <t>Z682.4 M56 M39 2010</t>
  </si>
  <si>
    <t>0                      Z  0682400M  56                 M  39          2010</t>
  </si>
  <si>
    <t>Diversity plans and programs / Charlene Maxey-Harris, Toni Anaya.</t>
  </si>
  <si>
    <t>Maxey-Harris, Charlene.</t>
  </si>
  <si>
    <t>SPEC kit, 0160-3582 ; 319</t>
  </si>
  <si>
    <t>679977885:eng</t>
  </si>
  <si>
    <t>668239656</t>
  </si>
  <si>
    <t>ocn668239656</t>
  </si>
  <si>
    <t>3103299594T</t>
  </si>
  <si>
    <t>9781594078538</t>
  </si>
  <si>
    <t>794846444</t>
  </si>
  <si>
    <t>Z682.4 M56 R44 1999</t>
  </si>
  <si>
    <t>0                      Z  0682400M  56                 R  44          1999</t>
  </si>
  <si>
    <t>Stop talking, start doing! : attracting people of color to the library profession / Gregory L. Reese, Ernestine L. Hawkins.</t>
  </si>
  <si>
    <t>Reese, Gregory L.</t>
  </si>
  <si>
    <t>1026331:eng</t>
  </si>
  <si>
    <t>40776882</t>
  </si>
  <si>
    <t>ocm40776882</t>
  </si>
  <si>
    <t>3101970778Y</t>
  </si>
  <si>
    <t>9780838907627</t>
  </si>
  <si>
    <t>793575443</t>
  </si>
  <si>
    <t>Z682.4 M56 W48 2015</t>
  </si>
  <si>
    <t>0                      Z  0682400M  56                 W  48          2015</t>
  </si>
  <si>
    <t>Where are all the librarians of color? : the experiences of people of color in academia / coedited by Rebecca Hankins, CA, MLS and Miguel Juárez, MLS, MA.</t>
  </si>
  <si>
    <t>Sacramento, CA : Library Juice Press, 2015.</t>
  </si>
  <si>
    <t>2746653144:eng</t>
  </si>
  <si>
    <t>922220265</t>
  </si>
  <si>
    <t>ocn922220265</t>
  </si>
  <si>
    <t>3103653842G</t>
  </si>
  <si>
    <t>9781936117833</t>
  </si>
  <si>
    <t>795003723</t>
  </si>
  <si>
    <t>Z682.4 S34 B87 2010</t>
  </si>
  <si>
    <t>0                      Z  0682400S  34                 B  87          2010</t>
  </si>
  <si>
    <t>Tales out of the school library : developing professional dispositions / Gail Bush and Jami Biles Jones ; foreword by Theodore R. Sizer.</t>
  </si>
  <si>
    <t>Bush, Gail.</t>
  </si>
  <si>
    <t>2013-07-02</t>
  </si>
  <si>
    <t>500467527:eng</t>
  </si>
  <si>
    <t>422757094</t>
  </si>
  <si>
    <t>ocn422757094</t>
  </si>
  <si>
    <t>3103158023E</t>
  </si>
  <si>
    <t>9781591588320</t>
  </si>
  <si>
    <t>794505755</t>
  </si>
  <si>
    <t>Z682.4 S34 M37 2013</t>
  </si>
  <si>
    <t>0                      Z  0682400S  34                 M  37          2013</t>
  </si>
  <si>
    <t>Empowering leadership : developing behaviors for success / [written by Ann M. Martin].</t>
  </si>
  <si>
    <t>Martin, Ann M. (School librarian)</t>
  </si>
  <si>
    <t>Chicago, Ill. : American Association of School Librarians, ©2013.</t>
  </si>
  <si>
    <t>1409647963:eng</t>
  </si>
  <si>
    <t>856547893</t>
  </si>
  <si>
    <t>ocn856547893</t>
  </si>
  <si>
    <t>3103505516E</t>
  </si>
  <si>
    <t>9780838986578</t>
  </si>
  <si>
    <t>794954269</t>
  </si>
  <si>
    <t>Z682.4 S34 T66 2007</t>
  </si>
  <si>
    <t>0                      Z  0682400S  34                 T  66          2007</t>
  </si>
  <si>
    <t>New on the job : a school library media specialist's guide to success / Ruth Toor and Hilda K. Weisburg.</t>
  </si>
  <si>
    <t>801817447:eng</t>
  </si>
  <si>
    <t>70334909</t>
  </si>
  <si>
    <t>ocm70334909</t>
  </si>
  <si>
    <t>3102633862Q</t>
  </si>
  <si>
    <t>9780838909249</t>
  </si>
  <si>
    <t>794153713</t>
  </si>
  <si>
    <t>Z682.4 S34 W45 2013</t>
  </si>
  <si>
    <t>0                      Z  0682400S  34                 W  45          2013</t>
  </si>
  <si>
    <t>School librarian's career planner / Hilda K. Weisburg.</t>
  </si>
  <si>
    <t>Weisburg, Hilda K., 1942- author.</t>
  </si>
  <si>
    <t>Chicago, Ill. : ALA Editions, An imprint of the American Library Association, 2013.</t>
  </si>
  <si>
    <t>1404740732:eng</t>
  </si>
  <si>
    <t>817721638</t>
  </si>
  <si>
    <t>ocn817721638</t>
  </si>
  <si>
    <t>3103526653Q</t>
  </si>
  <si>
    <t>9780838911785</t>
  </si>
  <si>
    <t>794933597</t>
  </si>
  <si>
    <t>Z682.4 S35 C66 2009</t>
  </si>
  <si>
    <t>0                      Z  0682400S  35                 C  66          2009</t>
  </si>
  <si>
    <t>Competencies for science librarians / edited by David Stern.</t>
  </si>
  <si>
    <t>355287747:eng</t>
  </si>
  <si>
    <t>181910123</t>
  </si>
  <si>
    <t>ocn181910123</t>
  </si>
  <si>
    <t>3102978290H</t>
  </si>
  <si>
    <t>9780789037305</t>
  </si>
  <si>
    <t>794284052</t>
  </si>
  <si>
    <t>Z682.4 S89 R43 2013</t>
  </si>
  <si>
    <t>0                      Z  0682400S  89                 R  43          2013</t>
  </si>
  <si>
    <t>Mentoring &amp; managing students in the academic library / Michelle Reale.</t>
  </si>
  <si>
    <t>1403271706:eng</t>
  </si>
  <si>
    <t>778965989</t>
  </si>
  <si>
    <t>ocn778965989</t>
  </si>
  <si>
    <t>31035020390</t>
  </si>
  <si>
    <t>9780838911747</t>
  </si>
  <si>
    <t>794910421</t>
  </si>
  <si>
    <t>Z682.4 V64 D75 2011</t>
  </si>
  <si>
    <t>0                      Z  0682400V  64                 D  75          2011</t>
  </si>
  <si>
    <t>Managing library volunteers / Preston Driggers and Eileen Dumas.</t>
  </si>
  <si>
    <t>Driggers, Preston F. (Preston Franklin), 1940- author.</t>
  </si>
  <si>
    <t>2013-05-31</t>
  </si>
  <si>
    <t>800499495:eng</t>
  </si>
  <si>
    <t>607318986</t>
  </si>
  <si>
    <t>ocn607318986</t>
  </si>
  <si>
    <t>3103324700G</t>
  </si>
  <si>
    <t>9780838910641</t>
  </si>
  <si>
    <t>794817853</t>
  </si>
  <si>
    <t>Z682.4 W65 B37 1992</t>
  </si>
  <si>
    <t>0                      Z  0682400W  65                 B  37          1992</t>
  </si>
  <si>
    <t>Feminist thought in American librarianship / by Christina D. Baum.</t>
  </si>
  <si>
    <t>Baum, Christina D.</t>
  </si>
  <si>
    <t>Jefferson, N.C. : McFarland, ©1992.</t>
  </si>
  <si>
    <t>28423031:eng</t>
  </si>
  <si>
    <t>25548113</t>
  </si>
  <si>
    <t>ocm25548113</t>
  </si>
  <si>
    <t>3103386447G</t>
  </si>
  <si>
    <t>9780899507248</t>
  </si>
  <si>
    <t>793224527</t>
  </si>
  <si>
    <t>Z682.4 W65 H37 1992</t>
  </si>
  <si>
    <t>0                      Z  0682400W  65                 H  37          1992</t>
  </si>
  <si>
    <t>Librarianship : the erosion of a woman's profession / Roma M. Harris.</t>
  </si>
  <si>
    <t>Harris, Roma M.</t>
  </si>
  <si>
    <t>Norwood, N.J. : Ablex Pub. Corp., ©1992.</t>
  </si>
  <si>
    <t>196789266:eng</t>
  </si>
  <si>
    <t>25832854</t>
  </si>
  <si>
    <t>ocm25832854</t>
  </si>
  <si>
    <t>3101163028D</t>
  </si>
  <si>
    <t>9780893918408</t>
  </si>
  <si>
    <t>793231055</t>
  </si>
  <si>
    <t>Z682.4 W65 R43 1996</t>
  </si>
  <si>
    <t>0                      Z  0682400W  65                 R  43          1996</t>
  </si>
  <si>
    <t>Reclaiming the American library past : writing the women in / Suzanne Hildenbrand, editor.</t>
  </si>
  <si>
    <t>3030917:eng</t>
  </si>
  <si>
    <t>33333323</t>
  </si>
  <si>
    <t>ocm33333323</t>
  </si>
  <si>
    <t>31015370688</t>
  </si>
  <si>
    <t>9781567502336</t>
  </si>
  <si>
    <t>793406979</t>
  </si>
  <si>
    <t>Z682.4 Y68 F58 2011</t>
  </si>
  <si>
    <t>0                      Z  0682400Y  68                 F  58          2011</t>
  </si>
  <si>
    <t>Young adults deserve the best : YALSA's competencies in action / Sarah Flowers for the Young Adult Library Services Association.</t>
  </si>
  <si>
    <t>Flowers, Sarah, 1952- author.</t>
  </si>
  <si>
    <t>2011-09-09</t>
  </si>
  <si>
    <t>988789531:eng</t>
  </si>
  <si>
    <t>601086525</t>
  </si>
  <si>
    <t>ocn601086525</t>
  </si>
  <si>
    <t>3103226210R</t>
  </si>
  <si>
    <t>9780838935873</t>
  </si>
  <si>
    <t>794815247</t>
  </si>
  <si>
    <t>Z682.5 S65 2012</t>
  </si>
  <si>
    <t>0                      Z  0682500S  65          2012</t>
  </si>
  <si>
    <t>The laughing librarian : a history of American library humor / Jeanette C. Smith ; forewords by Will Manley and Norman D. Stevens.</t>
  </si>
  <si>
    <t>Smith, Jeanette C., 1946- author.</t>
  </si>
  <si>
    <t>1118106162:eng</t>
  </si>
  <si>
    <t>761369349</t>
  </si>
  <si>
    <t>ocn761369349</t>
  </si>
  <si>
    <t>3103429290O</t>
  </si>
  <si>
    <t>9780786464524</t>
  </si>
  <si>
    <t>794899226</t>
  </si>
  <si>
    <t>Z683 B18 1979</t>
  </si>
  <si>
    <t>0                      Z  0683000B  18          1979</t>
  </si>
  <si>
    <t>Winning the money game : a guide to community based library fundraising / the Baker &amp; Taylor Company.</t>
  </si>
  <si>
    <t>Baker &amp; Taylor Co.</t>
  </si>
  <si>
    <t>New York : The Company, 1979.</t>
  </si>
  <si>
    <t>2015-09-30</t>
  </si>
  <si>
    <t>19673693:eng</t>
  </si>
  <si>
    <t>5761364</t>
  </si>
  <si>
    <t>ocm05761364</t>
  </si>
  <si>
    <t>3000842759Y</t>
  </si>
  <si>
    <t>9780848020002</t>
  </si>
  <si>
    <t>792451916</t>
  </si>
  <si>
    <t>Z683 B65 1983</t>
  </si>
  <si>
    <t>0                      Z  0683000B  65          1983</t>
  </si>
  <si>
    <t>Fund raising for the small library / Pamela G. Bonnell.</t>
  </si>
  <si>
    <t>Bonnell, Pamela G.</t>
  </si>
  <si>
    <t>Chicago : Library Administration and Management Association, American Library Association, 1983.</t>
  </si>
  <si>
    <t>Small libraries publications ; no. 8</t>
  </si>
  <si>
    <t>43134168:eng</t>
  </si>
  <si>
    <t>9620039</t>
  </si>
  <si>
    <t>ocm09620039</t>
  </si>
  <si>
    <t>3000845254C</t>
  </si>
  <si>
    <t>9780838965931</t>
  </si>
  <si>
    <t>792685119</t>
  </si>
  <si>
    <t>Z683 B694 1990</t>
  </si>
  <si>
    <t>0                      Z  0683000B  694         1990</t>
  </si>
  <si>
    <t>The Bottom line reader : a financial handbook for librarians / edited by Betty-Carol Sellen and Betty J. Turock.</t>
  </si>
  <si>
    <t>New York : Neal-Schuman Publishers, ©1990.</t>
  </si>
  <si>
    <t>353209668:eng</t>
  </si>
  <si>
    <t>21228380</t>
  </si>
  <si>
    <t>ocm21228380</t>
  </si>
  <si>
    <t>3102227374F</t>
  </si>
  <si>
    <t>9781555700577</t>
  </si>
  <si>
    <t>793113012</t>
  </si>
  <si>
    <t>Z683 G5 1989</t>
  </si>
  <si>
    <t>0                      Z  0683000G  5           1989</t>
  </si>
  <si>
    <t>The fee or free decision : legal, economic, political, and ethical perspectives for public libraries / Pete Giacoma.</t>
  </si>
  <si>
    <t>Giacoma, Pete.</t>
  </si>
  <si>
    <t>New York : Neal-Schuman Publishers, [1989]</t>
  </si>
  <si>
    <t>18587332:eng</t>
  </si>
  <si>
    <t>19064626</t>
  </si>
  <si>
    <t>ocm19064626</t>
  </si>
  <si>
    <t>3100749444L</t>
  </si>
  <si>
    <t>9781555700300</t>
  </si>
  <si>
    <t>793045778</t>
  </si>
  <si>
    <t>Z683 K57 2013</t>
  </si>
  <si>
    <t>0                      Z  0683000K  57          2013</t>
  </si>
  <si>
    <t>Balancing the books : accounting for librarians / Rachel A. Kirk.</t>
  </si>
  <si>
    <t>Kirk, Rachel A.</t>
  </si>
  <si>
    <t>1164980829:eng</t>
  </si>
  <si>
    <t>759915977</t>
  </si>
  <si>
    <t>ocn759915977</t>
  </si>
  <si>
    <t>31036887903</t>
  </si>
  <si>
    <t>9781610691116</t>
  </si>
  <si>
    <t>794898021</t>
  </si>
  <si>
    <t>Z683 L49 1990</t>
  </si>
  <si>
    <t>0                      Z  0683000L  49          1990</t>
  </si>
  <si>
    <t>Library development : a future imperative / Dwight F. Burlingame, editor.</t>
  </si>
  <si>
    <t>New York : Haworth Press, ©1990.</t>
  </si>
  <si>
    <t>Journal of library administration, 0193-0826 ; v. 12, no. 4</t>
  </si>
  <si>
    <t>143970460:eng</t>
  </si>
  <si>
    <t>21328694</t>
  </si>
  <si>
    <t>ocm21328694</t>
  </si>
  <si>
    <t>31011384133</t>
  </si>
  <si>
    <t>9781560240303</t>
  </si>
  <si>
    <t>793115487</t>
  </si>
  <si>
    <t>Z683 L537 1993</t>
  </si>
  <si>
    <t>0                      Z  0683000L  537         1993</t>
  </si>
  <si>
    <t>Library development and fundraising : a SPEC kit / compiled by Lynda Corey Claassen ; editor, C. Brigid Welch.</t>
  </si>
  <si>
    <t>Washington, DC : Association of Research Libraries, Office of Management Services, 1993.</t>
  </si>
  <si>
    <t>SPEC kit, 0160-3582 ; 193</t>
  </si>
  <si>
    <t>5218352979:eng</t>
  </si>
  <si>
    <t>28705743</t>
  </si>
  <si>
    <t>ocm28705743</t>
  </si>
  <si>
    <t>3101227715S</t>
  </si>
  <si>
    <t>793294120</t>
  </si>
  <si>
    <t>Z683 R34 1991</t>
  </si>
  <si>
    <t>0                      Z  0683000R  34          1991</t>
  </si>
  <si>
    <t>Raising money for academic and research libraries : a how-to-do-it manual for librarians / edited by Barbara I. Dewey.</t>
  </si>
  <si>
    <t>New York : Neal-Schuman Publishers, ©1991.</t>
  </si>
  <si>
    <t>How-to-do-it manuals for libraries ; no. 18</t>
  </si>
  <si>
    <t>43663086:eng</t>
  </si>
  <si>
    <t>24699339</t>
  </si>
  <si>
    <t>ocm24699339</t>
  </si>
  <si>
    <t>31038714808</t>
  </si>
  <si>
    <t>9781555700829</t>
  </si>
  <si>
    <t>793203976</t>
  </si>
  <si>
    <t>Z683 S63 2002</t>
  </si>
  <si>
    <t>0                      Z  0683000S  63          2002</t>
  </si>
  <si>
    <t>Managerial accounting for libraries &amp; other not-for-profit organizations / G. Stevenson Smith.</t>
  </si>
  <si>
    <t>Smith, G. Stevenson.</t>
  </si>
  <si>
    <t>24721856:eng</t>
  </si>
  <si>
    <t>48475106</t>
  </si>
  <si>
    <t>ocm48475106</t>
  </si>
  <si>
    <t>3102199118U</t>
  </si>
  <si>
    <t>9780838908204</t>
  </si>
  <si>
    <t>793721946</t>
  </si>
  <si>
    <t>Z683 S74 1992</t>
  </si>
  <si>
    <t>0                      Z  0683000S  74          1992</t>
  </si>
  <si>
    <t>Becoming a fundraiser : the principles and practice of library development / by Victoria Steele, Stephen D. Elder.</t>
  </si>
  <si>
    <t>Steele, Victoria.</t>
  </si>
  <si>
    <t>Chicago : American Library Association, 1992.</t>
  </si>
  <si>
    <t>1026357:eng</t>
  </si>
  <si>
    <t>25630857</t>
  </si>
  <si>
    <t>ocm25630857</t>
  </si>
  <si>
    <t>31014653805</t>
  </si>
  <si>
    <t>9780838905890</t>
  </si>
  <si>
    <t>793226416</t>
  </si>
  <si>
    <t>3101182614U</t>
  </si>
  <si>
    <t>793226417</t>
  </si>
  <si>
    <t>Z683 S83 1990</t>
  </si>
  <si>
    <t>0                      Z  0683000S  83          1990</t>
  </si>
  <si>
    <t>Fundraising for the small public library : a how-to-do-it manual for librarians / James Swan.</t>
  </si>
  <si>
    <t>Swan, James, 1941-</t>
  </si>
  <si>
    <t>How-to-do-it manuals for libraries ; no. 8</t>
  </si>
  <si>
    <t>889704539:eng</t>
  </si>
  <si>
    <t>21670482</t>
  </si>
  <si>
    <t>ocm21670482</t>
  </si>
  <si>
    <t>31023795993</t>
  </si>
  <si>
    <t>9781555700775</t>
  </si>
  <si>
    <t>793125134</t>
  </si>
  <si>
    <t>Z683 T46 2009</t>
  </si>
  <si>
    <t>0                      Z  0683000T  46          2009</t>
  </si>
  <si>
    <t>More than a thank you note : academic library fundraising for the dean or director / Kimberly A. Thompson and Karlene Noel Jennings.</t>
  </si>
  <si>
    <t>Thompson, Kimberly A.</t>
  </si>
  <si>
    <t>1104471571:eng</t>
  </si>
  <si>
    <t>262719811</t>
  </si>
  <si>
    <t>ocn262719811</t>
  </si>
  <si>
    <t>3102858460X</t>
  </si>
  <si>
    <t>9781843344438</t>
  </si>
  <si>
    <t>794402266</t>
  </si>
  <si>
    <t>Z683 T87 1992</t>
  </si>
  <si>
    <t>0                      Z  0683000T  87          1992</t>
  </si>
  <si>
    <t>Creating a financial plan : a how-to-do-it manual for librarians / Betty J. Turock, Andrea Pedolsky.</t>
  </si>
  <si>
    <t>Turock, Betty J.</t>
  </si>
  <si>
    <t>New York : Neal-Schuman Publishers, ©1992.</t>
  </si>
  <si>
    <t>How-to-do-it manuals for libraries ; no. 22</t>
  </si>
  <si>
    <t>21464135:eng</t>
  </si>
  <si>
    <t>25508293</t>
  </si>
  <si>
    <t>ocm25508293</t>
  </si>
  <si>
    <t>3101575552Q</t>
  </si>
  <si>
    <t>9781555700393</t>
  </si>
  <si>
    <t>793223213</t>
  </si>
  <si>
    <t>Z683 W37 1989</t>
  </si>
  <si>
    <t>0                      Z  0683000W  37          1989</t>
  </si>
  <si>
    <t>Making money : fees for library services / Alice Sizer Warner.</t>
  </si>
  <si>
    <t>Warner, Alice Sizer.</t>
  </si>
  <si>
    <t>New York : Neal-Schuman, 1989.</t>
  </si>
  <si>
    <t>308862303:eng</t>
  </si>
  <si>
    <t>19920917</t>
  </si>
  <si>
    <t>ocm19920917</t>
  </si>
  <si>
    <t>31007526704</t>
  </si>
  <si>
    <t>9781555700539</t>
  </si>
  <si>
    <t>793072199</t>
  </si>
  <si>
    <t>Z683.2 U6 B49 2014</t>
  </si>
  <si>
    <t>0                      Z  0683200U  6                  B  49          2014</t>
  </si>
  <si>
    <t>Beyond book sales : the complete guide to raising real money for your library / edited by Susan Dowd for Library Strategies, a consulting group of The Friends of the Saint Paul Public Library ; consultants who contributed to this book: Liz Boyd, Susan Dowd, Sue Hall, Ann McKinnon, Wendy Moylan, Peter Pearson.</t>
  </si>
  <si>
    <t>Chicago : ALA Neal-Schuman, an imprint of the American Library Association, 2014.</t>
  </si>
  <si>
    <t>1755012820:eng</t>
  </si>
  <si>
    <t>845349598</t>
  </si>
  <si>
    <t>ocn845349598</t>
  </si>
  <si>
    <t>3103503035X</t>
  </si>
  <si>
    <t>9781555709129</t>
  </si>
  <si>
    <t>794948981</t>
  </si>
  <si>
    <t>Z683.2 U6 C67 1998</t>
  </si>
  <si>
    <t>0                      Z  0683200U  6                  C  67          1998</t>
  </si>
  <si>
    <t>Fundraising and friend-raising on the Web / Adam Corson-Finnerty, Laura Blanchard.</t>
  </si>
  <si>
    <t>Corson-Finnerty, Adam Daniel.</t>
  </si>
  <si>
    <t>2015-09-28</t>
  </si>
  <si>
    <t>632757:eng</t>
  </si>
  <si>
    <t>38147836</t>
  </si>
  <si>
    <t>ocm38147836</t>
  </si>
  <si>
    <t>3101892676R</t>
  </si>
  <si>
    <t>9780838907276</t>
  </si>
  <si>
    <t>793517416</t>
  </si>
  <si>
    <t>Z683.2 U6 C73 1999</t>
  </si>
  <si>
    <t>0                      Z  0683200U  6                  C  73          1999</t>
  </si>
  <si>
    <t>The funding game : rules for public library advocacy / Mary Anne Craft.</t>
  </si>
  <si>
    <t>Craft, Mary Anne.</t>
  </si>
  <si>
    <t>Lanham, Md. : Scarecrow Press ; New York : Neal-Schuman Publishers, 1999.</t>
  </si>
  <si>
    <t>836940137:eng</t>
  </si>
  <si>
    <t>40940154</t>
  </si>
  <si>
    <t>ocm40940154</t>
  </si>
  <si>
    <t>3101969190T</t>
  </si>
  <si>
    <t>9780810835931</t>
  </si>
  <si>
    <t>793579465</t>
  </si>
  <si>
    <t>Z683.2 U6 D38 1993</t>
  </si>
  <si>
    <t>0                      Z  0683200U  6                  D  38          1993</t>
  </si>
  <si>
    <t>Financial management for small and medium-sized libraries / Madeline J. Daubert.</t>
  </si>
  <si>
    <t>Daubert, Madeline J.</t>
  </si>
  <si>
    <t>357892:eng</t>
  </si>
  <si>
    <t>27813446</t>
  </si>
  <si>
    <t>ocm27813446</t>
  </si>
  <si>
    <t>3102779451R</t>
  </si>
  <si>
    <t>9780838906187</t>
  </si>
  <si>
    <t>793272867</t>
  </si>
  <si>
    <t>Z683.2 U6 D69 2009</t>
  </si>
  <si>
    <t>0                      Z  0683200U  6                  D  69          2009</t>
  </si>
  <si>
    <t>Getting the money : how to succeed in fundraising for public and nonprofit libraries / Ken Dowlin.</t>
  </si>
  <si>
    <t>Dowlin, Kenneth E.</t>
  </si>
  <si>
    <t>307924041:eng</t>
  </si>
  <si>
    <t>229446333</t>
  </si>
  <si>
    <t>ocn229446333</t>
  </si>
  <si>
    <t>3103052709R</t>
  </si>
  <si>
    <t>9781591585978</t>
  </si>
  <si>
    <t>794353922</t>
  </si>
  <si>
    <t>Z683.2 U6 F37 1993</t>
  </si>
  <si>
    <t>0                      Z  0683200U  6                  F  37          1993</t>
  </si>
  <si>
    <t>When your library budget is almost zero / Lesley S.J. Farmer.</t>
  </si>
  <si>
    <t>Farmer, Lesley S. J.</t>
  </si>
  <si>
    <t>Englewood, Colo. : Libraries Unlimited, 1993.</t>
  </si>
  <si>
    <t>375439:eng</t>
  </si>
  <si>
    <t>27726947</t>
  </si>
  <si>
    <t>ocm27726947</t>
  </si>
  <si>
    <t>31012727836</t>
  </si>
  <si>
    <t>9780872879904</t>
  </si>
  <si>
    <t>793270724</t>
  </si>
  <si>
    <t>Z683.2 U6 F73 2011</t>
  </si>
  <si>
    <t>0                      Z  0683200U  6                  F  73          2011</t>
  </si>
  <si>
    <t>The frugal librarian : thriving in tough economic times / edited by Carol Smallwood.</t>
  </si>
  <si>
    <t>637991778:eng</t>
  </si>
  <si>
    <t>663822323</t>
  </si>
  <si>
    <t>ocn663822323</t>
  </si>
  <si>
    <t>3103321652L</t>
  </si>
  <si>
    <t>9780838910757</t>
  </si>
  <si>
    <t>794842722</t>
  </si>
  <si>
    <t>Z683.2 U6 H355 2005</t>
  </si>
  <si>
    <t>0                      Z  0683200U  6                  H  355         2005</t>
  </si>
  <si>
    <t>Managing budgets and finances : a how-to-do-it manual for librarians and information professionals / Arlita W. Hallam and Teresa R. Dalston.</t>
  </si>
  <si>
    <t>Hallam, Arlita.</t>
  </si>
  <si>
    <t>New York : Neal-Schuman Publishers, ©2005.</t>
  </si>
  <si>
    <t>How-to-do-it manual for librarians ; no. 138</t>
  </si>
  <si>
    <t>341755148:eng</t>
  </si>
  <si>
    <t>56903991</t>
  </si>
  <si>
    <t>ocm56903991</t>
  </si>
  <si>
    <t>31026334387</t>
  </si>
  <si>
    <t>9781555705190</t>
  </si>
  <si>
    <t>793903663</t>
  </si>
  <si>
    <t>Z683.2 U6 H47 2004</t>
  </si>
  <si>
    <t>0                      Z  0683200U  6                  H  47          2004</t>
  </si>
  <si>
    <t>Raising funds with friends groups / Mark Herring.</t>
  </si>
  <si>
    <t>Herring, Mark Y., 1952-</t>
  </si>
  <si>
    <t>New York : Neal-Schuman, 2004.</t>
  </si>
  <si>
    <t>A how-to-do-it manual for librarians ; no. 128</t>
  </si>
  <si>
    <t>772218:eng</t>
  </si>
  <si>
    <t>52947207</t>
  </si>
  <si>
    <t>ocm52947207</t>
  </si>
  <si>
    <t>3102332806N</t>
  </si>
  <si>
    <t>9781555704841</t>
  </si>
  <si>
    <t>793817906</t>
  </si>
  <si>
    <t>Z683.2 U6 L36 2011</t>
  </si>
  <si>
    <t>0                      Z  0683200U  6                  L  36          2011</t>
  </si>
  <si>
    <t>Winning library grants : a game plan / Herbert B. Landau.</t>
  </si>
  <si>
    <t>Landau, Herbert B., author.</t>
  </si>
  <si>
    <t>2014-03-07</t>
  </si>
  <si>
    <t>471526919:eng</t>
  </si>
  <si>
    <t>601086428</t>
  </si>
  <si>
    <t>ocn601086428</t>
  </si>
  <si>
    <t>3103312522V</t>
  </si>
  <si>
    <t>9780838910474</t>
  </si>
  <si>
    <t>794815244</t>
  </si>
  <si>
    <t>Z683.2 U6 L52 2006</t>
  </si>
  <si>
    <t>0                      Z  0683200U  6                  L  52          2006</t>
  </si>
  <si>
    <t>Library development / Karlene Noel Jennings, Jos Wanschers.</t>
  </si>
  <si>
    <t>Washington, DC : Association of Research Libraries, 2006.</t>
  </si>
  <si>
    <t>SPEC kit, 0160-3582 ; 297</t>
  </si>
  <si>
    <t>2242326030:eng</t>
  </si>
  <si>
    <t>77497220</t>
  </si>
  <si>
    <t>ocm77497220</t>
  </si>
  <si>
    <t>3102686975L</t>
  </si>
  <si>
    <t>9781594077135</t>
  </si>
  <si>
    <t>794191493</t>
  </si>
  <si>
    <t>Z683.2 U6 L53 1995</t>
  </si>
  <si>
    <t>0                      Z  0683200U  6                  L  53          1995</t>
  </si>
  <si>
    <t>Library fundraising : models for success / edited by Dwight Burlingame.</t>
  </si>
  <si>
    <t>Chicago : American Library Association, 1995.</t>
  </si>
  <si>
    <t>799473796:eng</t>
  </si>
  <si>
    <t>32779150</t>
  </si>
  <si>
    <t>ocm32779150</t>
  </si>
  <si>
    <t>3101516339K</t>
  </si>
  <si>
    <t>9780838906576</t>
  </si>
  <si>
    <t>793393889</t>
  </si>
  <si>
    <t>Z683.2 U6 M33 2010</t>
  </si>
  <si>
    <t>0                      Z  0683200U  6                  M  33          2010</t>
  </si>
  <si>
    <t>Winning grants : a how-to-do-it manual for librarians with multimedia tutorials and grant development tools / Pamela H. MacKellar and Stephanie K. Gerding.</t>
  </si>
  <si>
    <t>How-to-do-it manuals ; no. 173</t>
  </si>
  <si>
    <t>2011-04-13</t>
  </si>
  <si>
    <t>1004775658:eng</t>
  </si>
  <si>
    <t>611553033</t>
  </si>
  <si>
    <t>ocn611553033</t>
  </si>
  <si>
    <t>3103237902$</t>
  </si>
  <si>
    <t>9781555707002</t>
  </si>
  <si>
    <t>794821140</t>
  </si>
  <si>
    <t>Z683.2 U6 M33 2017</t>
  </si>
  <si>
    <t>0                      Z  0683200U  6                  M  33          2017</t>
  </si>
  <si>
    <t>Winning grants : a how-to-do-it manual for librarians / Stephanie K. Gerding and Pamela H. MacKellar ; foreword by Susan Hildreth.</t>
  </si>
  <si>
    <t>Gerding, Stephanie K., author.</t>
  </si>
  <si>
    <t>Chicago : ALA Neal-Schuman, an imprint of the American Library Association, [2017]</t>
  </si>
  <si>
    <t>959698247</t>
  </si>
  <si>
    <t>ocn959698247</t>
  </si>
  <si>
    <t>3103697099C</t>
  </si>
  <si>
    <t>9780838914731</t>
  </si>
  <si>
    <t>795022622</t>
  </si>
  <si>
    <t>Z683.2 U6 M38 2012</t>
  </si>
  <si>
    <t>0                      Z  0683200U  6                  M  38          2012</t>
  </si>
  <si>
    <t>Grant money through collaborative partnerships / Nancy Kalikow Maxwell.</t>
  </si>
  <si>
    <t>Maxwell, Nancy Kalikow.</t>
  </si>
  <si>
    <t>1090193672:eng</t>
  </si>
  <si>
    <t>781077611</t>
  </si>
  <si>
    <t>ocn781077611</t>
  </si>
  <si>
    <t>3103414990S</t>
  </si>
  <si>
    <t>9780838911594</t>
  </si>
  <si>
    <t>794912446</t>
  </si>
  <si>
    <t>Z683.2 U6 R67 2016</t>
  </si>
  <si>
    <t>0                      Z  0683200U  6                  R  67          2016</t>
  </si>
  <si>
    <t>40+ new revenue sources for libraries and nonprofits / Edmund A. Rossman III.</t>
  </si>
  <si>
    <t>Rossman, Edmund A., III, author.</t>
  </si>
  <si>
    <t>2963574566:eng</t>
  </si>
  <si>
    <t>945582438</t>
  </si>
  <si>
    <t>ocn945582438</t>
  </si>
  <si>
    <t>3103656948M</t>
  </si>
  <si>
    <t>9780838914380</t>
  </si>
  <si>
    <t>795013658</t>
  </si>
  <si>
    <t>Z683.2 U6 S26 2018</t>
  </si>
  <si>
    <t>0                      Z  0683200U  6                  S  26          2018</t>
  </si>
  <si>
    <t>Financial management for libraries / William W. Sannwald.</t>
  </si>
  <si>
    <t>Sannwald, William W., author.</t>
  </si>
  <si>
    <t>Chicago : ALA Neal-Schuman, 2018.</t>
  </si>
  <si>
    <t>5345829742:eng</t>
  </si>
  <si>
    <t>975138872</t>
  </si>
  <si>
    <t>ocn975138872</t>
  </si>
  <si>
    <t>31037383751</t>
  </si>
  <si>
    <t>9780838915608</t>
  </si>
  <si>
    <t>795030038</t>
  </si>
  <si>
    <t>Z683.2 U6 S655 2011</t>
  </si>
  <si>
    <t>0                      Z  0683200U  6                  S  655         2011</t>
  </si>
  <si>
    <t>Cost control for nonprofits in crisis / G. Stevenson Smith.</t>
  </si>
  <si>
    <t>663769147:eng</t>
  </si>
  <si>
    <t>666224057</t>
  </si>
  <si>
    <t>ocn666224057</t>
  </si>
  <si>
    <t>31033653112</t>
  </si>
  <si>
    <t>9780838910986</t>
  </si>
  <si>
    <t>794844878</t>
  </si>
  <si>
    <t>Z683.2 U6 S74 2000</t>
  </si>
  <si>
    <t>0                      Z  0683200U  6                  S  74          2000</t>
  </si>
  <si>
    <t>Becoming a fundraiser : the principles and practice of library development / Victoria Steele, Stephen D. Elder.</t>
  </si>
  <si>
    <t>43569145</t>
  </si>
  <si>
    <t>ocm43569145</t>
  </si>
  <si>
    <t>3102044529Y</t>
  </si>
  <si>
    <t>9780838907832</t>
  </si>
  <si>
    <t>793629836</t>
  </si>
  <si>
    <t>Z683.2 U6 S87 2014</t>
  </si>
  <si>
    <t>0                      Z  0683200U  6                  S  87          2014</t>
  </si>
  <si>
    <t>The survey of public library book sales practices.</t>
  </si>
  <si>
    <t>3862553151:eng</t>
  </si>
  <si>
    <t>870290981</t>
  </si>
  <si>
    <t>ocn870290981</t>
  </si>
  <si>
    <t>3103532881P</t>
  </si>
  <si>
    <t>9781574402698</t>
  </si>
  <si>
    <t>794966363</t>
  </si>
  <si>
    <t>Z683.2 U6 S9 2010</t>
  </si>
  <si>
    <t>0                      Z  0683200U  6                  S  9           2010</t>
  </si>
  <si>
    <t>The survey of academic librarians : opinion of library budget priorities.</t>
  </si>
  <si>
    <t>2013-11-15</t>
  </si>
  <si>
    <t>3374696568:eng</t>
  </si>
  <si>
    <t>646099127</t>
  </si>
  <si>
    <t>ocn646099127</t>
  </si>
  <si>
    <t>3103238693N</t>
  </si>
  <si>
    <t>9781574401523</t>
  </si>
  <si>
    <t>794830082</t>
  </si>
  <si>
    <t>Z683.2 U6 S93 2002</t>
  </si>
  <si>
    <t>0                      Z  0683200U  6                  S  93          2002</t>
  </si>
  <si>
    <t>Fundraising for libraries : 25 proven ways to get more money for your library / James Swan.</t>
  </si>
  <si>
    <t>Swan, James, 1941- author.</t>
  </si>
  <si>
    <t>New York, NY : Neal-Schuman Publishers,</t>
  </si>
  <si>
    <t>891627869:eng</t>
  </si>
  <si>
    <t>49551783</t>
  </si>
  <si>
    <t>ocm49551783</t>
  </si>
  <si>
    <t>3102286357U</t>
  </si>
  <si>
    <t>9781555704339</t>
  </si>
  <si>
    <t>793742756</t>
  </si>
  <si>
    <t>Z683.2 U6 T87 2007</t>
  </si>
  <si>
    <t>0                      Z  0683200U  6                  T  87          2007</t>
  </si>
  <si>
    <t>Managing money : a guide for librarians / Anne M. Turner.</t>
  </si>
  <si>
    <t>Turner, Anne M., 1941-</t>
  </si>
  <si>
    <t>103216133:eng</t>
  </si>
  <si>
    <t>144328430</t>
  </si>
  <si>
    <t>ocn144328430</t>
  </si>
  <si>
    <t>31026431409</t>
  </si>
  <si>
    <t>9780786430529</t>
  </si>
  <si>
    <t>794235711</t>
  </si>
  <si>
    <t>Z683.2 U6 W37 1998</t>
  </si>
  <si>
    <t>0                      Z  0683200U  6                  W  37          1998</t>
  </si>
  <si>
    <t>Budgeting : a how-to-do-it manual for librarians / Alice Sizer Warner.</t>
  </si>
  <si>
    <t>New York : Neal-Schuman, ©1998.</t>
  </si>
  <si>
    <t>How-to-do-it manuals for librarians ; no. 79</t>
  </si>
  <si>
    <t>864079631:eng</t>
  </si>
  <si>
    <t>37451910</t>
  </si>
  <si>
    <t>ocm37451910</t>
  </si>
  <si>
    <t>3102779456R</t>
  </si>
  <si>
    <t>9781555702885</t>
  </si>
  <si>
    <t>793499007</t>
  </si>
  <si>
    <t>Z683.5 U6 H36 2014</t>
  </si>
  <si>
    <t>0                      Z  0683500U  6                  H  36          2014</t>
  </si>
  <si>
    <t>Researching prospective donors : get more funding for your library / Susan Summerfield Hammerman.</t>
  </si>
  <si>
    <t>Hammerman, Susan Summerfield, author.</t>
  </si>
  <si>
    <t>Chicago : ALA Editions, An imprint of the American Library Association, 2014.</t>
  </si>
  <si>
    <t>2014-11-14</t>
  </si>
  <si>
    <t>1884252197:eng</t>
  </si>
  <si>
    <t>878953295</t>
  </si>
  <si>
    <t>ocn878953295</t>
  </si>
  <si>
    <t>3103579713V</t>
  </si>
  <si>
    <t>9780838912294</t>
  </si>
  <si>
    <t>794971673</t>
  </si>
  <si>
    <t>Z684 M88 1993</t>
  </si>
  <si>
    <t>0                      Z  0684000M  88          1993</t>
  </si>
  <si>
    <t>Technological innovations in libraries, 1860-1960 : an anecdotal history / Klaus Musmann.</t>
  </si>
  <si>
    <t>Musmann, Klaus.</t>
  </si>
  <si>
    <t>Contributions in librarianship and information science, 0084-9243 ; no. 73</t>
  </si>
  <si>
    <t>2016-12-09</t>
  </si>
  <si>
    <t>328584856:eng</t>
  </si>
  <si>
    <t>27431013</t>
  </si>
  <si>
    <t>ocm27431013</t>
  </si>
  <si>
    <t>31012283225</t>
  </si>
  <si>
    <t>9780313280153</t>
  </si>
  <si>
    <t>793266434</t>
  </si>
  <si>
    <t>Z684 S87 2012</t>
  </si>
  <si>
    <t>0                      Z  0684000S  87          2012</t>
  </si>
  <si>
    <t>Survey of library furniture acquisition practices / [Primary Research Group].</t>
  </si>
  <si>
    <t>1410979492:eng</t>
  </si>
  <si>
    <t>847885056</t>
  </si>
  <si>
    <t>ocn847885056</t>
  </si>
  <si>
    <t>3103454614X</t>
  </si>
  <si>
    <t>9781574402186</t>
  </si>
  <si>
    <t>794949786</t>
  </si>
  <si>
    <t>Z685 M3713 1981</t>
  </si>
  <si>
    <t>0                      Z  0685000M  3713        1981</t>
  </si>
  <si>
    <t>The pictorial catalogue : mural decoration in libraries / André Masson ; translated by David Gerard.</t>
  </si>
  <si>
    <t>Masson, André, 1900-1986.</t>
  </si>
  <si>
    <t>Oxford : Clarendon Press ; New York : Oxford University Press, 1981.</t>
  </si>
  <si>
    <t>The Lyell lectures ; 1972-1973</t>
  </si>
  <si>
    <t>2019-02-07</t>
  </si>
  <si>
    <t>415915:eng</t>
  </si>
  <si>
    <t>8555026</t>
  </si>
  <si>
    <t>ocm08555026</t>
  </si>
  <si>
    <t>3000844403Q</t>
  </si>
  <si>
    <t>9780198181590</t>
  </si>
  <si>
    <t>792627114</t>
  </si>
  <si>
    <t>Z685 P48 1999</t>
  </si>
  <si>
    <t>0                      Z  0685000P  48          1999</t>
  </si>
  <si>
    <t>The book on the bookshelf / by Henry Petroski.</t>
  </si>
  <si>
    <t>Petroski, Henry, author.</t>
  </si>
  <si>
    <t>New York : Alfred A. Knopf : Distributed by Random House, 1999.</t>
  </si>
  <si>
    <t>4917754890:eng</t>
  </si>
  <si>
    <t>40856918</t>
  </si>
  <si>
    <t>ocm40856918</t>
  </si>
  <si>
    <t>3101973311U</t>
  </si>
  <si>
    <t>9780375406492</t>
  </si>
  <si>
    <t>793577472</t>
  </si>
  <si>
    <t>Z685 P96 2016</t>
  </si>
  <si>
    <t>0                      Z  0685000P  96          2016</t>
  </si>
  <si>
    <t>Bookshelf / Lydia Pyne.</t>
  </si>
  <si>
    <t>Pyne, Lydia, author.</t>
  </si>
  <si>
    <t>New York : Bloomsbury Academic, an imprint of Bloomsbury Publishing Inc., 2016.</t>
  </si>
  <si>
    <t>Object lessons</t>
  </si>
  <si>
    <t>2944313652:eng</t>
  </si>
  <si>
    <t>922219917</t>
  </si>
  <si>
    <t>ocn922219917</t>
  </si>
  <si>
    <t>3103653348O</t>
  </si>
  <si>
    <t>9781501307324</t>
  </si>
  <si>
    <t>795003721</t>
  </si>
  <si>
    <t>Z686 E21 1923</t>
  </si>
  <si>
    <t>0                      Z  0686000E  21          1923</t>
  </si>
  <si>
    <t>Branch libraries and other distributing agencies / by Linda A. Eastman.</t>
  </si>
  <si>
    <t>Eastman, Linda Anne, 1867-1963.</t>
  </si>
  <si>
    <t>Chicago : American Library Association, 1923.</t>
  </si>
  <si>
    <t>Manual of library economy ; XV</t>
  </si>
  <si>
    <t>2019-10-27</t>
  </si>
  <si>
    <t>5904820:eng</t>
  </si>
  <si>
    <t>3613636</t>
  </si>
  <si>
    <t>ocm03613636</t>
  </si>
  <si>
    <t>3102919842Z</t>
  </si>
  <si>
    <t>792273399</t>
  </si>
  <si>
    <t>Z686 M63 2010</t>
  </si>
  <si>
    <t>0                      Z  0686000M  63          2010</t>
  </si>
  <si>
    <t>Mobile library guidelines : revision / by a working group of the IFLA Public Libraries Section, co-ordinated by Ian Stringer.</t>
  </si>
  <si>
    <t>The Hague : IFLA Headqurters, ©2010.</t>
  </si>
  <si>
    <t>IFLA professional reports, 0168-1931 ; no. 123</t>
  </si>
  <si>
    <t>2013-04-15</t>
  </si>
  <si>
    <t>5481605260:eng</t>
  </si>
  <si>
    <t>688334735</t>
  </si>
  <si>
    <t>ocn688334735</t>
  </si>
  <si>
    <t>3103371009O</t>
  </si>
  <si>
    <t>9789077897454</t>
  </si>
  <si>
    <t>794854244</t>
  </si>
  <si>
    <t>Z686 O62 2010</t>
  </si>
  <si>
    <t>0                      Z  0686000O  62          2010</t>
  </si>
  <si>
    <t>On the road with outreach : mobile library services / Jeannie Dilger-Hill and Erica MacCreaigh, editors.</t>
  </si>
  <si>
    <t>2011-11-04</t>
  </si>
  <si>
    <t>2221090590:eng</t>
  </si>
  <si>
    <t>422757075</t>
  </si>
  <si>
    <t>ocn422757075</t>
  </si>
  <si>
    <t>3103158294V</t>
  </si>
  <si>
    <t>9781591586784</t>
  </si>
  <si>
    <t>794505752</t>
  </si>
  <si>
    <t>Z687 C29 2008</t>
  </si>
  <si>
    <t>0                      Z  0687000C  29          2008</t>
  </si>
  <si>
    <t>Bibliothèques et politiques documentaires à l'heure d'Internet / Bertrand Calenge.</t>
  </si>
  <si>
    <t>Calenge, Bertrand.</t>
  </si>
  <si>
    <t>Paris : Electre-Ed. du Cercle de la librairie, ©2008.</t>
  </si>
  <si>
    <t>Bibliothèques</t>
  </si>
  <si>
    <t>139908798:fre</t>
  </si>
  <si>
    <t>233792253</t>
  </si>
  <si>
    <t>ocn233792253</t>
  </si>
  <si>
    <t>3103119622C</t>
  </si>
  <si>
    <t>9782765409625</t>
  </si>
  <si>
    <t>794367096</t>
  </si>
  <si>
    <t>Z687 C39 2010</t>
  </si>
  <si>
    <t>0                      Z  0687000C  39          2010</t>
  </si>
  <si>
    <t>Les collections en devenir : typologie des documents, politique et traitement documentaires / Adrienne Cazenobe.</t>
  </si>
  <si>
    <t>Cazenobe, Adrienne.</t>
  </si>
  <si>
    <t>Paris : Éditions du Cercle de la librairie, ©2010.</t>
  </si>
  <si>
    <t>Collection Bibliothèques</t>
  </si>
  <si>
    <t>836833571:fre</t>
  </si>
  <si>
    <t>669123789</t>
  </si>
  <si>
    <t>ocn669123789</t>
  </si>
  <si>
    <t>3103297997P</t>
  </si>
  <si>
    <t>9782765409816</t>
  </si>
  <si>
    <t>794846735</t>
  </si>
  <si>
    <t>Z687 C53 2001</t>
  </si>
  <si>
    <t>0                      Z  0687000C  53          2001</t>
  </si>
  <si>
    <t>Managing information resources in libraries : collection management in theory and practice / Peter Clayton and G.E. Gorman ; bibliography compiled by Adela Clayton.</t>
  </si>
  <si>
    <t>London : Library Association Pub., 2001.</t>
  </si>
  <si>
    <t>320778233:eng</t>
  </si>
  <si>
    <t>48362874</t>
  </si>
  <si>
    <t>ocm48362874</t>
  </si>
  <si>
    <t>3102154034B</t>
  </si>
  <si>
    <t>9781856042970</t>
  </si>
  <si>
    <t>793719319</t>
  </si>
  <si>
    <t>Z687 C57 2001</t>
  </si>
  <si>
    <t>0                      Z  0687000C  57          2001</t>
  </si>
  <si>
    <t>London : Library Association Publishing, 2006.</t>
  </si>
  <si>
    <t>2017-02-11</t>
  </si>
  <si>
    <t>85689281</t>
  </si>
  <si>
    <t>ocm85689281</t>
  </si>
  <si>
    <t>3103130666U</t>
  </si>
  <si>
    <t>9781856045810</t>
  </si>
  <si>
    <t>794214094</t>
  </si>
  <si>
    <t>Z687 C65 2012</t>
  </si>
  <si>
    <t>0                      Z  0687000C  65          2012</t>
  </si>
  <si>
    <t>Collection development in the digital age / edited by Maggie Fieldhouse and Audrey Marshall.</t>
  </si>
  <si>
    <t>1072304519:eng</t>
  </si>
  <si>
    <t>702615613</t>
  </si>
  <si>
    <t>ocn702615613</t>
  </si>
  <si>
    <t>3103381976F</t>
  </si>
  <si>
    <t>9781856047463</t>
  </si>
  <si>
    <t>794864167</t>
  </si>
  <si>
    <t>Z687 C663 1997</t>
  </si>
  <si>
    <t>0                      Z  0687000C  663         1997</t>
  </si>
  <si>
    <t>Collection management for the 21st century : a handbook for librarians / edited by G.E. Gorman and Ruth H. Miller.</t>
  </si>
  <si>
    <t>Westport, Conn. : Greenwood Press, 1997.</t>
  </si>
  <si>
    <t>836958355:eng</t>
  </si>
  <si>
    <t>34691453</t>
  </si>
  <si>
    <t>ocm34691453</t>
  </si>
  <si>
    <t>3102671868E</t>
  </si>
  <si>
    <t>9780313299537</t>
  </si>
  <si>
    <t>793433412</t>
  </si>
  <si>
    <t>Z687 E918 2005</t>
  </si>
  <si>
    <t>0                      Z  0687000E  918         2005</t>
  </si>
  <si>
    <t>Developing library and information center collections / G. Edward Evans and Margaret Zarnosky Saponaro.</t>
  </si>
  <si>
    <t>Westport, Connecticut. : Libraries Unlimited, 2005.</t>
  </si>
  <si>
    <t>4926818110:eng</t>
  </si>
  <si>
    <t>60589131</t>
  </si>
  <si>
    <t>ocm60589131</t>
  </si>
  <si>
    <t>3102542786U</t>
  </si>
  <si>
    <t>9781591582199</t>
  </si>
  <si>
    <t>793940295</t>
  </si>
  <si>
    <t>3102580276Z</t>
  </si>
  <si>
    <t>793940294</t>
  </si>
  <si>
    <t>Z687 E918 2012</t>
  </si>
  <si>
    <t>0                      Z  0687000E  918         2012</t>
  </si>
  <si>
    <t>Collection management basics / G. Edward Evans and Margaret Zarnosky Saponaro.</t>
  </si>
  <si>
    <t>Sixth edition.</t>
  </si>
  <si>
    <t>2565039571:eng</t>
  </si>
  <si>
    <t>759915961</t>
  </si>
  <si>
    <t>ocn759915961</t>
  </si>
  <si>
    <t>3103903848D</t>
  </si>
  <si>
    <t>9781598848649</t>
  </si>
  <si>
    <t>794898019</t>
  </si>
  <si>
    <t>3103412666E</t>
  </si>
  <si>
    <t>MISSING</t>
  </si>
  <si>
    <t>794898020</t>
  </si>
  <si>
    <t>Z687 G68 2011</t>
  </si>
  <si>
    <t>0                      Z  0687000G  68          2011</t>
  </si>
  <si>
    <t>Collection development and management for 21st century library collections : an introduction / Vicki L. Gregory.</t>
  </si>
  <si>
    <t>Gregory, Vicki L., 1950-</t>
  </si>
  <si>
    <t>763139092:eng</t>
  </si>
  <si>
    <t>690539860</t>
  </si>
  <si>
    <t>ocn690539860</t>
  </si>
  <si>
    <t>3103362935T</t>
  </si>
  <si>
    <t>9781555706517</t>
  </si>
  <si>
    <t>794855494</t>
  </si>
  <si>
    <t>Z687 G847 2001</t>
  </si>
  <si>
    <t>0                      Z  0687000G  847         2001</t>
  </si>
  <si>
    <t>Guide to library user needs assessment for integrated information resource management and collection development / edited by Dora Biblarz, Stephen Bosch, Chris Sugnet.</t>
  </si>
  <si>
    <t>Collection management and development guides ; no. 11</t>
  </si>
  <si>
    <t>375104590:eng</t>
  </si>
  <si>
    <t>46835399</t>
  </si>
  <si>
    <t>ocm46835399</t>
  </si>
  <si>
    <t>31021257207</t>
  </si>
  <si>
    <t>9780810841314</t>
  </si>
  <si>
    <t>793692684</t>
  </si>
  <si>
    <t>Z687 H35 1985</t>
  </si>
  <si>
    <t>0                      Z  0687000H  35          1985</t>
  </si>
  <si>
    <t>Collection assessment manual for college and university libraries / by Blaine H. Hall.</t>
  </si>
  <si>
    <t>Hall, Blaine H.</t>
  </si>
  <si>
    <t>Phoenix, Ariz. : Oryx Press, 1985.</t>
  </si>
  <si>
    <t>5196621:eng</t>
  </si>
  <si>
    <t>12188527</t>
  </si>
  <si>
    <t>ocm12188527</t>
  </si>
  <si>
    <t>3000846411H</t>
  </si>
  <si>
    <t>9780897741484</t>
  </si>
  <si>
    <t>792805282</t>
  </si>
  <si>
    <t>Z687 H52 2010</t>
  </si>
  <si>
    <t>0                      Z  0687000H  52          2010</t>
  </si>
  <si>
    <t>Making a collection count : a holistic approach to library collection management / Holly Hibner and Mary Kelly.</t>
  </si>
  <si>
    <t>Hibner, Holly, author.</t>
  </si>
  <si>
    <t>2014-09-08</t>
  </si>
  <si>
    <t>890655930:eng</t>
  </si>
  <si>
    <t>670063057</t>
  </si>
  <si>
    <t>ocn670063057</t>
  </si>
  <si>
    <t>3103229741V</t>
  </si>
  <si>
    <t>9781843346067</t>
  </si>
  <si>
    <t>794847343</t>
  </si>
  <si>
    <t>Z687 J64 2004</t>
  </si>
  <si>
    <t>0                      Z  0687000J  64          2004</t>
  </si>
  <si>
    <t>Fundamentals of collection development &amp; management / Peggy Johnson.</t>
  </si>
  <si>
    <t>Johnson, Peggy, 1948-</t>
  </si>
  <si>
    <t>2014-01-13</t>
  </si>
  <si>
    <t>2017-01-10</t>
  </si>
  <si>
    <t>118309025:eng</t>
  </si>
  <si>
    <t>52757524</t>
  </si>
  <si>
    <t>ocm52757524</t>
  </si>
  <si>
    <t>3102693223M</t>
  </si>
  <si>
    <t>9780838908532</t>
  </si>
  <si>
    <t>793813360</t>
  </si>
  <si>
    <t>3102395389H</t>
  </si>
  <si>
    <t>793813361</t>
  </si>
  <si>
    <t>Z687 J64 2009</t>
  </si>
  <si>
    <t>0                      Z  0687000J  64          2009</t>
  </si>
  <si>
    <t>Fundamentals of collection development and management / Peggy Johnson.</t>
  </si>
  <si>
    <t>226984801</t>
  </si>
  <si>
    <t>ocn226984801</t>
  </si>
  <si>
    <t>3103055079M</t>
  </si>
  <si>
    <t>9780838909720</t>
  </si>
  <si>
    <t>794346350</t>
  </si>
  <si>
    <t>Z687 J64 2014</t>
  </si>
  <si>
    <t>0                      Z  0687000J  64          2014</t>
  </si>
  <si>
    <t>London : Facet, 2014.</t>
  </si>
  <si>
    <t>828418559</t>
  </si>
  <si>
    <t>ocn828418559</t>
  </si>
  <si>
    <t>31035317463</t>
  </si>
  <si>
    <t>9781856049375</t>
  </si>
  <si>
    <t>794941177</t>
  </si>
  <si>
    <t>Z687 N57 2003</t>
  </si>
  <si>
    <t>0                      Z  0687000N  57          2003</t>
  </si>
  <si>
    <t>Evaluation of library collections, access, and electronic resources : a literature guide and annotated bibliography / Thomas E. Nisonger.</t>
  </si>
  <si>
    <t>Nisonger, Thomas E.</t>
  </si>
  <si>
    <t>839196454:eng</t>
  </si>
  <si>
    <t>52312638</t>
  </si>
  <si>
    <t>ocm52312638</t>
  </si>
  <si>
    <t>3102323400$</t>
  </si>
  <si>
    <t>9781563088520</t>
  </si>
  <si>
    <t>793803332</t>
  </si>
  <si>
    <t>Z687 N66 1992</t>
  </si>
  <si>
    <t>0                      Z  0687000N  66          1992</t>
  </si>
  <si>
    <t>Non-standard collection management / edited by Michael Pearce.</t>
  </si>
  <si>
    <t>Aldershot, England ; Brookfield, Vt. : Ashgate, ©1992.</t>
  </si>
  <si>
    <t>55724321:eng</t>
  </si>
  <si>
    <t>26985857</t>
  </si>
  <si>
    <t>ocm26985857</t>
  </si>
  <si>
    <t>3101208487M</t>
  </si>
  <si>
    <t>9781857420203</t>
  </si>
  <si>
    <t>793256402</t>
  </si>
  <si>
    <t>Z687 P38 2011</t>
  </si>
  <si>
    <t>0                      Z  0687000P  38          2011</t>
  </si>
  <si>
    <t>Patron-driven acquisitions : current successes and future directions / edited by Judith M. Nixon, Robert S. Freeman, Suzanne M. Ward.</t>
  </si>
  <si>
    <t>London ; New York : Routledge, 2011.</t>
  </si>
  <si>
    <t>2014-04-29</t>
  </si>
  <si>
    <t>796548861:eng</t>
  </si>
  <si>
    <t>705898158</t>
  </si>
  <si>
    <t>ocn705898158</t>
  </si>
  <si>
    <t>3103362336A</t>
  </si>
  <si>
    <t>9780415618700</t>
  </si>
  <si>
    <t>794866342</t>
  </si>
  <si>
    <t>Z687 R48 2014</t>
  </si>
  <si>
    <t>0                      Z  0687000R  48          2014</t>
  </si>
  <si>
    <t>Rethinking collection development and management / Becky Albitz, Christine Avery, and Diane Zabel, editors.</t>
  </si>
  <si>
    <t>1366439092:eng</t>
  </si>
  <si>
    <t>852220670</t>
  </si>
  <si>
    <t>ocn852220670</t>
  </si>
  <si>
    <t>31035323873</t>
  </si>
  <si>
    <t>9781610693059</t>
  </si>
  <si>
    <t>794951217</t>
  </si>
  <si>
    <t>Z687 T78 2014</t>
  </si>
  <si>
    <t>0                      Z  0687000T  78          2014</t>
  </si>
  <si>
    <t>Tu shu guan wen xian pei zhi jia zhi lian chuang xin yan jiu = The innovation research library literature deployment value chain / Yu Guoqin zhu bian.</t>
  </si>
  <si>
    <t>Shanghai : Shi jie tu shu chu ban gong si, 2014.</t>
  </si>
  <si>
    <t>2852448566:chi</t>
  </si>
  <si>
    <t>882072994</t>
  </si>
  <si>
    <t>ocn882072994</t>
  </si>
  <si>
    <t>31036316534</t>
  </si>
  <si>
    <t>9787510060984</t>
  </si>
  <si>
    <t>794974979</t>
  </si>
  <si>
    <t>Z687.15 S48 2016</t>
  </si>
  <si>
    <t>0                      Z  0687150S  48          2016</t>
  </si>
  <si>
    <t>Shared collections : collaborative stewardship / Dawn Hale, editor.</t>
  </si>
  <si>
    <t>Chicago : ALA editions, an imprint of the American Library Association, 2016.</t>
  </si>
  <si>
    <t>2999818582:eng</t>
  </si>
  <si>
    <t>932003520</t>
  </si>
  <si>
    <t>ocn932003520</t>
  </si>
  <si>
    <t>3103654542N</t>
  </si>
  <si>
    <t>9780838914038</t>
  </si>
  <si>
    <t>795008157</t>
  </si>
  <si>
    <t>Z687.2 U6 A43 2002</t>
  </si>
  <si>
    <t>0                      Z  0687200U  6                  A  43          2002</t>
  </si>
  <si>
    <t>Developing an outstanding core collection : a guide for libraries / Carol Alabaster.</t>
  </si>
  <si>
    <t>Alabaster, Carol.</t>
  </si>
  <si>
    <t>796650013:eng</t>
  </si>
  <si>
    <t>48122960</t>
  </si>
  <si>
    <t>ocm48122960</t>
  </si>
  <si>
    <t>3102165152V</t>
  </si>
  <si>
    <t>9780838908198</t>
  </si>
  <si>
    <t>793716486</t>
  </si>
  <si>
    <t>Z687.2 U6 A43 2010</t>
  </si>
  <si>
    <t>0                      Z  0687200U  6                  A  43          2010</t>
  </si>
  <si>
    <t>Alabaster, Carol. author.</t>
  </si>
  <si>
    <t>452290626</t>
  </si>
  <si>
    <t>ocn452290626</t>
  </si>
  <si>
    <t>3103242313U</t>
  </si>
  <si>
    <t>9780838910405</t>
  </si>
  <si>
    <t>794787861</t>
  </si>
  <si>
    <t>Z687.2 U6 D57 2007</t>
  </si>
  <si>
    <t>0                      Z  0687200U  6                  D  57          2007</t>
  </si>
  <si>
    <t>Crash course in collection development / Wayne Disher.</t>
  </si>
  <si>
    <t>Disher, Wayne.</t>
  </si>
  <si>
    <t>Crash course series</t>
  </si>
  <si>
    <t>2016-01-21</t>
  </si>
  <si>
    <t>102027549:eng</t>
  </si>
  <si>
    <t>123119569</t>
  </si>
  <si>
    <t>ocn123119569</t>
  </si>
  <si>
    <t>31026444200</t>
  </si>
  <si>
    <t>9781591585596</t>
  </si>
  <si>
    <t>794223038</t>
  </si>
  <si>
    <t>Z687.2 U6 D65 2002</t>
  </si>
  <si>
    <t>0                      Z  0687200U  6                  D  65          2002</t>
  </si>
  <si>
    <t>Managing and analyzing your collection : a practical guide for small libraries and school media centers / Carol A. Doll, Pamela Petrick Barron.</t>
  </si>
  <si>
    <t>797212501:eng</t>
  </si>
  <si>
    <t>48144453</t>
  </si>
  <si>
    <t>ocm48144453</t>
  </si>
  <si>
    <t>3102163828A</t>
  </si>
  <si>
    <t>9780838908211</t>
  </si>
  <si>
    <t>793717016</t>
  </si>
  <si>
    <t>Z687.2 U6 G85 1996</t>
  </si>
  <si>
    <t>0                      Z  0687200U  6                  G  85          1996</t>
  </si>
  <si>
    <t>Guide for training collection development librarians / Subcommittee on Guide for Training Collection Development Librarians, Stafffing and Organization of Collection Development/Evaluation Committee, Collection Development and Evaluation Section, Reference, and Adult Services Division, Administration of Collection Development Committee, Collection Management and Development Section, Association for Library Collections &amp; Technical Services ; Susan L. Fales, editor.</t>
  </si>
  <si>
    <t>American Library Association. Subcommittee on Guide for Training Collection Development Librarians.</t>
  </si>
  <si>
    <t>Collection management and development guides ; no. 8</t>
  </si>
  <si>
    <t>353714144:eng</t>
  </si>
  <si>
    <t>34876088</t>
  </si>
  <si>
    <t>ocm34876088</t>
  </si>
  <si>
    <t>3101563323K</t>
  </si>
  <si>
    <t>9780838934630</t>
  </si>
  <si>
    <t>793437696</t>
  </si>
  <si>
    <t>Z687.2 U6 H64 2005</t>
  </si>
  <si>
    <t>0                      Z  0687200U  6                  H  64          2005</t>
  </si>
  <si>
    <t>Library collection development policies : academic, public, and special libraries / Frank Hoffmann and Richard J. Wood.</t>
  </si>
  <si>
    <t>Hoffmann, Frank W., 1949-</t>
  </si>
  <si>
    <t>Good policy, good practice ; no. 1</t>
  </si>
  <si>
    <t>152257386:eng</t>
  </si>
  <si>
    <t>58423181</t>
  </si>
  <si>
    <t>ocm58423181</t>
  </si>
  <si>
    <t>3102507083E</t>
  </si>
  <si>
    <t>9780810851801</t>
  </si>
  <si>
    <t>793920695</t>
  </si>
  <si>
    <t>Z687.2 U6 H65 2007</t>
  </si>
  <si>
    <t>0                      Z  0687200U  6                  H  65          2007</t>
  </si>
  <si>
    <t>Library collection development policies : school libraries and learning resource centers / Frank W. Hoffmann, Richard J. Wood.</t>
  </si>
  <si>
    <t>Good policy, good practice ; no. 2</t>
  </si>
  <si>
    <t>2016-04-02</t>
  </si>
  <si>
    <t>1007355773:eng</t>
  </si>
  <si>
    <t>80181180</t>
  </si>
  <si>
    <t>ocm80181180</t>
  </si>
  <si>
    <t>3102596981K</t>
  </si>
  <si>
    <t>9780810851818</t>
  </si>
  <si>
    <t>794200123</t>
  </si>
  <si>
    <t>Z687.2 U6 P83 2015</t>
  </si>
  <si>
    <t>0                      Z  0687200U  6                  P  83          2015</t>
  </si>
  <si>
    <t>Public library plans for the book collection / Primary Research Group staff.</t>
  </si>
  <si>
    <t>Middletown, DE?] : Primary Research Group, Inc., 08 October 2015.</t>
  </si>
  <si>
    <t>3863130752:eng</t>
  </si>
  <si>
    <t>921868450</t>
  </si>
  <si>
    <t>ocn921868450</t>
  </si>
  <si>
    <t>31036082177</t>
  </si>
  <si>
    <t>9781574403541</t>
  </si>
  <si>
    <t>795003409</t>
  </si>
  <si>
    <t>Z687.2 U6 S64 1998</t>
  </si>
  <si>
    <t>0                      Z  0687200U  6                  S  64          1998</t>
  </si>
  <si>
    <t>Collaborative collections management programs in ARL libraries : a SPEC kit / compiled by George J. Soete.</t>
  </si>
  <si>
    <t>Soete, George J.</t>
  </si>
  <si>
    <t>Washington, DC : Association of Research Libraries, Office of Leadership and Management Services, [1998]</t>
  </si>
  <si>
    <t>SPEC kit, 0160-3582 ; 235</t>
  </si>
  <si>
    <t>5218496611:eng</t>
  </si>
  <si>
    <t>40263273</t>
  </si>
  <si>
    <t>ocm40263273</t>
  </si>
  <si>
    <t>3101912293A</t>
  </si>
  <si>
    <t>793563027</t>
  </si>
  <si>
    <t>Z687.2 U6 S87 2015</t>
  </si>
  <si>
    <t>0                      Z  0687200U  6                  S  87          2015</t>
  </si>
  <si>
    <t>Survey of academic library plans for the print book collection.</t>
  </si>
  <si>
    <t>3229495383:eng</t>
  </si>
  <si>
    <t>917359926</t>
  </si>
  <si>
    <t>ocn917359926</t>
  </si>
  <si>
    <t>3103609093V</t>
  </si>
  <si>
    <t>9781574403497</t>
  </si>
  <si>
    <t>795000866</t>
  </si>
  <si>
    <t>Z688 A2 C65 2011</t>
  </si>
  <si>
    <t>0                      Z  0688000A  2                  C  65          2011</t>
  </si>
  <si>
    <t>Collecting global resources / Wookjin Cheun, Marion Frank-Wilson (project leader), Luis A. González, Akram Khabibullaev, Wen-Ling Liu, Andrea Singer, Noa Wahrman.</t>
  </si>
  <si>
    <t>Cheun, Wookjin, author.</t>
  </si>
  <si>
    <t>Washington, DC : Association of Research Libraries, 2011.</t>
  </si>
  <si>
    <t>SPEC Kit, 0160-3582 ; 324</t>
  </si>
  <si>
    <t>1012279321:eng</t>
  </si>
  <si>
    <t>753990470</t>
  </si>
  <si>
    <t>ocn753990470</t>
  </si>
  <si>
    <t>3103372641V</t>
  </si>
  <si>
    <t>9781594078682</t>
  </si>
  <si>
    <t>794892443</t>
  </si>
  <si>
    <t>Z688 A2 C85 2011</t>
  </si>
  <si>
    <t>0                      Z  0688000A  2                  C  85          2011</t>
  </si>
  <si>
    <t>The special collections handbook / Alison Cullingford.</t>
  </si>
  <si>
    <t>Cullingford, Alison, author.</t>
  </si>
  <si>
    <t>836166707:eng</t>
  </si>
  <si>
    <t>707962693</t>
  </si>
  <si>
    <t>ocn707962693</t>
  </si>
  <si>
    <t>3103408215H</t>
  </si>
  <si>
    <t>9781856047579</t>
  </si>
  <si>
    <t>794868367</t>
  </si>
  <si>
    <t>Z688 A2 G73 2000</t>
  </si>
  <si>
    <t>0                      Z  0688000A  2                  G  73          2000</t>
  </si>
  <si>
    <t>Collectors, collections, and scholarly culture / Anthony Grafton, Deanna Marcum, Jean Strouse ; Neil Harris, Moderator.</t>
  </si>
  <si>
    <t>New York : American Council of Learned Societies, [2000]</t>
  </si>
  <si>
    <t>ACLS occasional paper ; no. 48</t>
  </si>
  <si>
    <t>2015-02-08</t>
  </si>
  <si>
    <t>37296052:eng</t>
  </si>
  <si>
    <t>48219070</t>
  </si>
  <si>
    <t>ocm48219070</t>
  </si>
  <si>
    <t>3102191351R</t>
  </si>
  <si>
    <t>793718091</t>
  </si>
  <si>
    <t>Z688 A2 M88 2013</t>
  </si>
  <si>
    <t>0                      Z  0688000A  2                  M  88          2013</t>
  </si>
  <si>
    <t>Museum &amp; library special collection use of major internet sites.</t>
  </si>
  <si>
    <t>1364120177:eng</t>
  </si>
  <si>
    <t>843332375</t>
  </si>
  <si>
    <t>ocn843332375</t>
  </si>
  <si>
    <t>3103499394N</t>
  </si>
  <si>
    <t>9781574402421</t>
  </si>
  <si>
    <t>794948025</t>
  </si>
  <si>
    <t>Z688 A2 S65 2008</t>
  </si>
  <si>
    <t>0                      Z  0688000A  2                  S  65          2008</t>
  </si>
  <si>
    <t>Sondersammlungen im 21. Jahrhundert : Organisation, Dienstleistungen, Ressourcen = Special collections in the 21st century : organisation, services, resources / im Auftrag der Klassik Stiftung Weimar / Herzogin Anna Amalia Bibliothek ; herausgegeben von Graham Jefcoate und Jürgen Weber.</t>
  </si>
  <si>
    <t>Wiesbaden : Harrassowitz, 2008.</t>
  </si>
  <si>
    <t>Beiträge zum Buch- und Bibliothekswesen, 0408-8107 ; Bd. 54</t>
  </si>
  <si>
    <t>2016-07-29</t>
  </si>
  <si>
    <t>370653520:ger</t>
  </si>
  <si>
    <t>243545919</t>
  </si>
  <si>
    <t>ocn243545919</t>
  </si>
  <si>
    <t>3103050737T</t>
  </si>
  <si>
    <t>9783447057431</t>
  </si>
  <si>
    <t>794378494</t>
  </si>
  <si>
    <t>Z688 A2 S67 2010</t>
  </si>
  <si>
    <t>0                      Z  0688000A  2                  S  67          2010</t>
  </si>
  <si>
    <t>Special collections engagement / Adam Berenbak [and others].</t>
  </si>
  <si>
    <t>SPEC kit, 0160-3582 ; 317</t>
  </si>
  <si>
    <t>2013-06-07</t>
  </si>
  <si>
    <t>552249343:eng</t>
  </si>
  <si>
    <t>651642809</t>
  </si>
  <si>
    <t>ocn651642809</t>
  </si>
  <si>
    <t>3103255834V</t>
  </si>
  <si>
    <t>9781594078514</t>
  </si>
  <si>
    <t>794833021</t>
  </si>
  <si>
    <t>Z688 A2 T84 2006</t>
  </si>
  <si>
    <t>0                      Z  0688000A  2                  T  84          2006</t>
  </si>
  <si>
    <t>Public services in special collections / Florence Turcotte, John Nemmers.</t>
  </si>
  <si>
    <t>Turcotte, Florence.</t>
  </si>
  <si>
    <t>Washington, D.C. : Association of Research Libraries, 2006.</t>
  </si>
  <si>
    <t>SPEC kit, 0160-3582 ; 296</t>
  </si>
  <si>
    <t>63105295:eng</t>
  </si>
  <si>
    <t>77528973</t>
  </si>
  <si>
    <t>ocm77528973</t>
  </si>
  <si>
    <t>3102666176I</t>
  </si>
  <si>
    <t>9781594077128</t>
  </si>
  <si>
    <t>794191899</t>
  </si>
  <si>
    <t>Z688 A2 W48 2009</t>
  </si>
  <si>
    <t>0                      Z  0688000A  2                  W  48          2009</t>
  </si>
  <si>
    <t>Special collections 2.0 : new technologies for rare books, manuscripts, and archival collections / Beth M. Whittaker and Lynne M. Thomas.</t>
  </si>
  <si>
    <t>Whittaker, Beth M., 1970- author.</t>
  </si>
  <si>
    <t>Santa Barbara, Calif. : Libraries Unlimited, [2009]</t>
  </si>
  <si>
    <t>2017-04-02</t>
  </si>
  <si>
    <t>796020496:eng</t>
  </si>
  <si>
    <t>318420838</t>
  </si>
  <si>
    <t>ocn318420838</t>
  </si>
  <si>
    <t>3103085860M</t>
  </si>
  <si>
    <t>9781591587200</t>
  </si>
  <si>
    <t>794481711</t>
  </si>
  <si>
    <t>Z688 A3 U63 2016</t>
  </si>
  <si>
    <t>0                      Z  0688000A  3                  U  63          2016</t>
  </si>
  <si>
    <t>Forging the future of special collections / edited by Melissa A. Hubbard, Robert H. Jackson, and Arnold Hirshon.</t>
  </si>
  <si>
    <t>3258315998:eng</t>
  </si>
  <si>
    <t>933446508</t>
  </si>
  <si>
    <t>ocn933446508</t>
  </si>
  <si>
    <t>31036545839</t>
  </si>
  <si>
    <t>9780838913864</t>
  </si>
  <si>
    <t>795009159</t>
  </si>
  <si>
    <t>Z688 A58 B7 1990</t>
  </si>
  <si>
    <t>0                      Z  0688000A  58                 B  7           1990</t>
  </si>
  <si>
    <t>Building library collections on aging : a selection guide and core list / Mary Jo Brazil.</t>
  </si>
  <si>
    <t>Brazil, Mary Jo, 1935-</t>
  </si>
  <si>
    <t>Santa Barbara, Calif. : ABC-CLIO, ©1990.</t>
  </si>
  <si>
    <t>321105403:eng</t>
  </si>
  <si>
    <t>22118490</t>
  </si>
  <si>
    <t>ocm22118490</t>
  </si>
  <si>
    <t>3100945195M</t>
  </si>
  <si>
    <t>9780874365597</t>
  </si>
  <si>
    <t>793134666</t>
  </si>
  <si>
    <t>Z688 A93 B87 2013</t>
  </si>
  <si>
    <t>0                      Z  0688000A  93                 B  87          2013</t>
  </si>
  <si>
    <t>Audiobooks for youth : a practical guide to sound literature / Mary Burkey.</t>
  </si>
  <si>
    <t>Burkey, Mary.</t>
  </si>
  <si>
    <t>1779794168:eng</t>
  </si>
  <si>
    <t>794711892</t>
  </si>
  <si>
    <t>ocn794711892</t>
  </si>
  <si>
    <t>3103412224Y</t>
  </si>
  <si>
    <t>9780838911570</t>
  </si>
  <si>
    <t>794920429</t>
  </si>
  <si>
    <t>Z688 C64 F34 2011</t>
  </si>
  <si>
    <t>0                      Z  0688000C  64                 F  34          2011</t>
  </si>
  <si>
    <t>Comic book collections for libraries / Bryan D. Fagan and Jody Condit Fagan ; foreword by Stan Sakai ; cover art by Derek Steed.</t>
  </si>
  <si>
    <t>Fagan, Bryan D.</t>
  </si>
  <si>
    <t>Santa Barbara, California : Libraries Unlimited, ©2011.</t>
  </si>
  <si>
    <t>2015-10-29</t>
  </si>
  <si>
    <t>476056839:eng</t>
  </si>
  <si>
    <t>606787460</t>
  </si>
  <si>
    <t>ocn606787460</t>
  </si>
  <si>
    <t>3103362134G</t>
  </si>
  <si>
    <t>9781598845112</t>
  </si>
  <si>
    <t>794817307</t>
  </si>
  <si>
    <t>Z688 C64 S38 1990</t>
  </si>
  <si>
    <t>0                      Z  0688000C  64                 S  38          1990</t>
  </si>
  <si>
    <t>Comics librarianship : a handbook / by Randall W. Scott ; forewords by Sanford Berman and Catherine Yronwode.</t>
  </si>
  <si>
    <t>Scott, Randall W. (Randall William), 1947-</t>
  </si>
  <si>
    <t>Jefferson, N.C. : McFarland, ©1990.</t>
  </si>
  <si>
    <t>836721122:eng</t>
  </si>
  <si>
    <t>22381990</t>
  </si>
  <si>
    <t>ocm22381990</t>
  </si>
  <si>
    <t>31004841692</t>
  </si>
  <si>
    <t>9780899505275</t>
  </si>
  <si>
    <t>793142445</t>
  </si>
  <si>
    <t>1933</t>
  </si>
  <si>
    <t>Z688 G6 E56 2007</t>
  </si>
  <si>
    <t>0                      Z  0688000G  6                  E  56          2007</t>
  </si>
  <si>
    <t>Government documents librarianship : a guide for the neo-depository era / Lisa A. Ennis.</t>
  </si>
  <si>
    <t>314995334:eng</t>
  </si>
  <si>
    <t>123539656</t>
  </si>
  <si>
    <t>ocn123539656</t>
  </si>
  <si>
    <t>31026440890</t>
  </si>
  <si>
    <t>9781573872706</t>
  </si>
  <si>
    <t>794227897</t>
  </si>
  <si>
    <t>Z688 G6 G68 2011</t>
  </si>
  <si>
    <t>0                      Z  0688000G  6                  G  68          2011</t>
  </si>
  <si>
    <t>Government information management in the 21st century : international perspectives / edited by Peggy Garvin.</t>
  </si>
  <si>
    <t>Farnham, Surrey, England ; Burlington, Vt. : Ashgate Pub., ©2011.</t>
  </si>
  <si>
    <t>902956269:eng</t>
  </si>
  <si>
    <t>726695780</t>
  </si>
  <si>
    <t>ocn726695780</t>
  </si>
  <si>
    <t>3103748719Q</t>
  </si>
  <si>
    <t>9781409402060</t>
  </si>
  <si>
    <t>794877301</t>
  </si>
  <si>
    <t>2014-05-14</t>
  </si>
  <si>
    <t>31033814253</t>
  </si>
  <si>
    <t>794877302</t>
  </si>
  <si>
    <t>Z688 G6 J37x</t>
  </si>
  <si>
    <t>0                      Z  0688000G  6                  J  37x</t>
  </si>
  <si>
    <t>Access to Canadian government publications in Canadian academic and public libraries / Edith Jarvi.</t>
  </si>
  <si>
    <t>Jarvi, Edith T.</t>
  </si>
  <si>
    <t>[Ottawa] : Canadian Library Association, [©1976]</t>
  </si>
  <si>
    <t>2016-03-11</t>
  </si>
  <si>
    <t>5987354:eng</t>
  </si>
  <si>
    <t>2696418</t>
  </si>
  <si>
    <t>ocm02696418</t>
  </si>
  <si>
    <t>3000848369H</t>
  </si>
  <si>
    <t>9780888021137</t>
  </si>
  <si>
    <t>792164377</t>
  </si>
  <si>
    <t>Z688 G6 M37 2008</t>
  </si>
  <si>
    <t>0                      Z  0688000G  6                  M  37          2008</t>
  </si>
  <si>
    <t>Managing electronic government information in libraries : issues and practices / edited by Andrea M. Morrison for the Government Documents Round Table.</t>
  </si>
  <si>
    <t>838501309:eng</t>
  </si>
  <si>
    <t>180880671</t>
  </si>
  <si>
    <t>ocn180880671</t>
  </si>
  <si>
    <t>3102971327J</t>
  </si>
  <si>
    <t>9780838909546</t>
  </si>
  <si>
    <t>794280816</t>
  </si>
  <si>
    <t>Z688 G6 S523 2017</t>
  </si>
  <si>
    <t>0                      Z  0688000G  6                  S  523         2017</t>
  </si>
  <si>
    <t>Sudden selector's guide to government publications / Alexandra Simons ; Mary Feeney, volume editor.</t>
  </si>
  <si>
    <t>Simons, Alexandra, author.</t>
  </si>
  <si>
    <t>Chicago : Collection Management Section of the Association for Library Collections &amp; Technical Services, a division of the American Library Association, 2017.</t>
  </si>
  <si>
    <t>ALCTS/CMS Sudden Selector's Series ; #6.</t>
  </si>
  <si>
    <t>4387226493:eng</t>
  </si>
  <si>
    <t>973481310</t>
  </si>
  <si>
    <t>ocn973481310</t>
  </si>
  <si>
    <t>31037394249</t>
  </si>
  <si>
    <t>9780838989159</t>
  </si>
  <si>
    <t>795029162</t>
  </si>
  <si>
    <t>Z688 L8 M38 2015</t>
  </si>
  <si>
    <t>0                      Z  0688000L  8                  M  38          2015</t>
  </si>
  <si>
    <t>Local history reference collections for public libraries / Kathy Marquis and Leslie Waggener.</t>
  </si>
  <si>
    <t>Marquis, Kathy, author.</t>
  </si>
  <si>
    <t>2520561369:eng</t>
  </si>
  <si>
    <t>909538079</t>
  </si>
  <si>
    <t>ocn909538079</t>
  </si>
  <si>
    <t>31035838572</t>
  </si>
  <si>
    <t>9780838913314</t>
  </si>
  <si>
    <t>794995538</t>
  </si>
  <si>
    <t>Z688 L8 P485 2017</t>
  </si>
  <si>
    <t>0                      Z  0688000L  8                  P  485         2017</t>
  </si>
  <si>
    <t>Creating a local history archive at your public library / Faye Phillips.</t>
  </si>
  <si>
    <t>Phillips, Faye, author.</t>
  </si>
  <si>
    <t>5401999606:eng</t>
  </si>
  <si>
    <t>975025260</t>
  </si>
  <si>
    <t>ocn975025260</t>
  </si>
  <si>
    <t>3103738936O</t>
  </si>
  <si>
    <t>9780838915660</t>
  </si>
  <si>
    <t>795029986</t>
  </si>
  <si>
    <t>Z688 M4 B35 2002</t>
  </si>
  <si>
    <t>0                      Z  0688000M  4                  B  35          2002</t>
  </si>
  <si>
    <t>Consumer health information for public librarians / Lynda M. Baker, Virginia Manbeck.</t>
  </si>
  <si>
    <t>Baker, Lynda.</t>
  </si>
  <si>
    <t>Lanham, Md. : Scarecrow Press, 2002.</t>
  </si>
  <si>
    <t>37376847:eng</t>
  </si>
  <si>
    <t>48122766</t>
  </si>
  <si>
    <t>ocm48122766</t>
  </si>
  <si>
    <t>3102815015D</t>
  </si>
  <si>
    <t>9780810841994</t>
  </si>
  <si>
    <t>793716471</t>
  </si>
  <si>
    <t>Z688 M4 G65 2015</t>
  </si>
  <si>
    <t>0                      Z  0688000M  4                  G  65          2015</t>
  </si>
  <si>
    <t>Libraries and the Affordable Care Act : helping the community understand health-care options / Francisca Goldsmith.</t>
  </si>
  <si>
    <t>Goldsmith, Francisca.</t>
  </si>
  <si>
    <t>2210074057:eng</t>
  </si>
  <si>
    <t>891941675</t>
  </si>
  <si>
    <t>ocn891941675</t>
  </si>
  <si>
    <t>31036073720</t>
  </si>
  <si>
    <t>9780838912881</t>
  </si>
  <si>
    <t>794980534</t>
  </si>
  <si>
    <t>Z688 M84 M85 1993</t>
  </si>
  <si>
    <t>0                      Z  0688000M  84                 M  85          1993</t>
  </si>
  <si>
    <t>Multicultural acquisitions / Karen Parrish, Bill Katz, editors.</t>
  </si>
  <si>
    <t>New York : Haworth Press, ©1993.</t>
  </si>
  <si>
    <t>The Acquisitions librarian series</t>
  </si>
  <si>
    <t>8908276592:eng</t>
  </si>
  <si>
    <t>27897766</t>
  </si>
  <si>
    <t>ocm27897766</t>
  </si>
  <si>
    <t>3101276300W</t>
  </si>
  <si>
    <t>9781560244516</t>
  </si>
  <si>
    <t>793274932</t>
  </si>
  <si>
    <t>Z688 N43 M54</t>
  </si>
  <si>
    <t>0                      Z  0688000N  43                 M  54</t>
  </si>
  <si>
    <t>Middle East studies and libraries : a felicitation volume for Professor J.D. Pearson / edited by B.C. Bloomfield.</t>
  </si>
  <si>
    <t>London : Mansell, 1980.</t>
  </si>
  <si>
    <t>24459670:eng</t>
  </si>
  <si>
    <t>6795352</t>
  </si>
  <si>
    <t>ocm06795352</t>
  </si>
  <si>
    <t>3000842779S</t>
  </si>
  <si>
    <t>9780720115123</t>
  </si>
  <si>
    <t>792523542</t>
  </si>
  <si>
    <t>Z688 N6 D75 1995</t>
  </si>
  <si>
    <t>0                      Z  0688000N  6                  D  75          1995</t>
  </si>
  <si>
    <t>A library manager's guide to the physical processing of nonprint materials / Karen C. Driessen and Sheila A. Smyth.</t>
  </si>
  <si>
    <t>Driessen, Karen C.</t>
  </si>
  <si>
    <t>Westport, Conn. : Greenwood Press, 1995.</t>
  </si>
  <si>
    <t>2622680:eng</t>
  </si>
  <si>
    <t>30473215</t>
  </si>
  <si>
    <t>ocm30473215</t>
  </si>
  <si>
    <t>31014458514</t>
  </si>
  <si>
    <t>9780313279300</t>
  </si>
  <si>
    <t>793336123</t>
  </si>
  <si>
    <t>Z688 N6 E5</t>
  </si>
  <si>
    <t>0                      Z  0688000N  6                  E  5</t>
  </si>
  <si>
    <t>New media and the library in education [by] B.J. Enright.</t>
  </si>
  <si>
    <t>Enright, Brian J.</t>
  </si>
  <si>
    <t>London, Clive Bingley [1972]</t>
  </si>
  <si>
    <t>1465547:eng</t>
  </si>
  <si>
    <t>522340</t>
  </si>
  <si>
    <t>ocm00522340</t>
  </si>
  <si>
    <t>31033091818</t>
  </si>
  <si>
    <t>9780208011756</t>
  </si>
  <si>
    <t>791402500</t>
  </si>
  <si>
    <t>Z688 P36 W33 2002</t>
  </si>
  <si>
    <t>0                      Z  0688000P  36                 W  33          2002</t>
  </si>
  <si>
    <t>The librarian's guide to intellectual property in the digital age : copyrights, patents, and trademarks / Timothy Lee Wherry.</t>
  </si>
  <si>
    <t>Wherry, Timothy Lee.</t>
  </si>
  <si>
    <t>800392560:eng</t>
  </si>
  <si>
    <t>49502685</t>
  </si>
  <si>
    <t>ocm49502685</t>
  </si>
  <si>
    <t>3102200483B</t>
  </si>
  <si>
    <t>9780838908259</t>
  </si>
  <si>
    <t>793741455</t>
  </si>
  <si>
    <t>Z688 P74 M35 1985</t>
  </si>
  <si>
    <t>0                      Z  0688000P  74                 M  35          1985</t>
  </si>
  <si>
    <t>Ephemera : a book on its collection, conservation, and use / Chris E. Makepeace.</t>
  </si>
  <si>
    <t>Makepeace, Chris E., 1944-</t>
  </si>
  <si>
    <t>Aldershot, Hants., England ; Brookfield, Vt., U.S.A. : Gower, ©1985.</t>
  </si>
  <si>
    <t>836672771:eng</t>
  </si>
  <si>
    <t>10997331</t>
  </si>
  <si>
    <t>ocm10997331</t>
  </si>
  <si>
    <t>3102990769U</t>
  </si>
  <si>
    <t>9780566034398</t>
  </si>
  <si>
    <t>792753312</t>
  </si>
  <si>
    <t>Z688 R3 A7</t>
  </si>
  <si>
    <t>0                      Z  0688000R  3                  A  7</t>
  </si>
  <si>
    <t>Rare book collections : some theoretical and practical suggestions for use by librarians and students / edited by H. Richard Archer.</t>
  </si>
  <si>
    <t>Archer, H. Richard (Horace Richard), 1911-1978.</t>
  </si>
  <si>
    <t>Chicago : American Library Association, 1965.</t>
  </si>
  <si>
    <t>ACRL monograph ; no. 27</t>
  </si>
  <si>
    <t>2003-03-28</t>
  </si>
  <si>
    <t>803793386:eng</t>
  </si>
  <si>
    <t>582095</t>
  </si>
  <si>
    <t>ocm00582095</t>
  </si>
  <si>
    <t>3000857432Z</t>
  </si>
  <si>
    <t>9780838930663</t>
  </si>
  <si>
    <t>791420828</t>
  </si>
  <si>
    <t>3100384066J</t>
  </si>
  <si>
    <t>791420827</t>
  </si>
  <si>
    <t>Z688 R3 A85 2000</t>
  </si>
  <si>
    <t>0                      Z  0688000R  3                  A  85          2000</t>
  </si>
  <si>
    <t>Getting ready for the nineteenth century : strategies and solutions for rare book and special collections librarians : proceedings of the thirty-ninth Annual Preconference of the Rare Books and Manuscripts Section, Association of College and Research Libraries, Washington, D.C., June 23-26, 1998 / edited by William E. Brown, Jr. and Laura Stalker.</t>
  </si>
  <si>
    <t>Association of College and Research Libraries. Rare Books and Manuscripts Section. Preconference (39th : 1998 : Washington, D.C.)</t>
  </si>
  <si>
    <t>353016589:eng</t>
  </si>
  <si>
    <t>44619506</t>
  </si>
  <si>
    <t>ocm44619506</t>
  </si>
  <si>
    <t>31021928156</t>
  </si>
  <si>
    <t>9780838981177</t>
  </si>
  <si>
    <t>793654376</t>
  </si>
  <si>
    <t>Z688 R3 B47 2014</t>
  </si>
  <si>
    <t>0                      Z  0688000R  3                  B  47          2014</t>
  </si>
  <si>
    <t>Rare books and special collections / Sidney E. Berger.</t>
  </si>
  <si>
    <t>Berger, Sidney E., author.</t>
  </si>
  <si>
    <t>Chicago : Neal-Schuman, An imprint of the American Library Association, 2014.</t>
  </si>
  <si>
    <t>1783425155:eng</t>
  </si>
  <si>
    <t>873828975</t>
  </si>
  <si>
    <t>ocn873828975</t>
  </si>
  <si>
    <t>3103579703X</t>
  </si>
  <si>
    <t>9781555709648</t>
  </si>
  <si>
    <t>794968560</t>
  </si>
  <si>
    <t>Z688 R3 C38 1982</t>
  </si>
  <si>
    <t>0                      Z  0688000R  3                  C  38          1982</t>
  </si>
  <si>
    <t>Rare book librarianship / Roderick Cave.</t>
  </si>
  <si>
    <t>London : Clive Bingley, 1982.</t>
  </si>
  <si>
    <t>2nd rev. ed.</t>
  </si>
  <si>
    <t>509337:eng</t>
  </si>
  <si>
    <t>8748769</t>
  </si>
  <si>
    <t>ocm08748769</t>
  </si>
  <si>
    <t>30008444743</t>
  </si>
  <si>
    <t>9780851573281</t>
  </si>
  <si>
    <t>792638766</t>
  </si>
  <si>
    <t>Z688 R3 G35 2012</t>
  </si>
  <si>
    <t>0                      Z  0688000R  3                  G  35          2012</t>
  </si>
  <si>
    <t>Rare book librarianship : an introduction and guide / Steven K. Galbraith and Geoffrey D. Smith ; foreword by Joel B. Silver.</t>
  </si>
  <si>
    <t>Galbraith, Steven Kenneth.</t>
  </si>
  <si>
    <t>1178306681:eng</t>
  </si>
  <si>
    <t>721891521</t>
  </si>
  <si>
    <t>ocn721891521</t>
  </si>
  <si>
    <t>3103414088K</t>
  </si>
  <si>
    <t>9781591588818</t>
  </si>
  <si>
    <t>794875482</t>
  </si>
  <si>
    <t>Z688 R3 L4</t>
  </si>
  <si>
    <t>0                      Z  0688000R  3                  L  4</t>
  </si>
  <si>
    <t>Current trends in antiquarian books / Hellmut Lehmann-Haupt, issue editor.</t>
  </si>
  <si>
    <t>Lehmann-Haupt, Hellmut, 1903-1992.</t>
  </si>
  <si>
    <t>Urbana, Ill. : University of Illinois Graduate School of Library Science, 1961.</t>
  </si>
  <si>
    <t>Library trends ; v. 9, no. 4</t>
  </si>
  <si>
    <t>2015-07-20</t>
  </si>
  <si>
    <t>7913562:eng</t>
  </si>
  <si>
    <t>3084043</t>
  </si>
  <si>
    <t>ocm03084043</t>
  </si>
  <si>
    <t>30008613944</t>
  </si>
  <si>
    <t>792215349</t>
  </si>
  <si>
    <t>Z688 R3 M48 2013</t>
  </si>
  <si>
    <t>0                      Z  0688000R  3                  M  48          2013</t>
  </si>
  <si>
    <t>Meetings with books : special collections in the 21st century. With a tribute to Raymond Klibansky &amp; illustrated survey of special collections at McGill University Library and Archives / edited by Jillian Tomm and Richard Virr.</t>
  </si>
  <si>
    <t>Meetings with Books: Raymond Klibansky, Special Collections and the Library in the 21st Century (Symposium) (2013 : McGill University)</t>
  </si>
  <si>
    <t>Montreal : McGill University Library and Archives, 2014.</t>
  </si>
  <si>
    <t>2224668381:eng</t>
  </si>
  <si>
    <t>895341231</t>
  </si>
  <si>
    <t>ocn895341231</t>
  </si>
  <si>
    <t>3103590331S</t>
  </si>
  <si>
    <t>9781770962200</t>
  </si>
  <si>
    <t>794983550</t>
  </si>
  <si>
    <t>Z688 S32 H47 2002</t>
  </si>
  <si>
    <t>0                      Z  0688000S  32                 H  47          2002</t>
  </si>
  <si>
    <t>Strictly science fiction : a guide to reading interests / Diana Tixier Herald, Bonnie Kunzel.</t>
  </si>
  <si>
    <t>Herald, Diana Tixier.</t>
  </si>
  <si>
    <t>Greenwood Village, Colo. : Libraries Unlimited, 2002.</t>
  </si>
  <si>
    <t>Genreflecting advisory series</t>
  </si>
  <si>
    <t>839223487:eng</t>
  </si>
  <si>
    <t>49416178</t>
  </si>
  <si>
    <t>ocm49416178</t>
  </si>
  <si>
    <t>3102633478$</t>
  </si>
  <si>
    <t>9781563088933</t>
  </si>
  <si>
    <t>793740096</t>
  </si>
  <si>
    <t>Z688 S47 Q44 2015</t>
  </si>
  <si>
    <t>0                      Z  0688000S  47                 Q  44          2015</t>
  </si>
  <si>
    <t>Queers online : LGBT digital practices in libraries, archives, and museums / edited by Rachel Wexelbaum.</t>
  </si>
  <si>
    <t>Sacramento, CA : Litwin Books, 2015.</t>
  </si>
  <si>
    <t>Gender and sexuality in information studies ; no. 6</t>
  </si>
  <si>
    <t>2019-10-25</t>
  </si>
  <si>
    <t>2247553974:eng</t>
  </si>
  <si>
    <t>898113438</t>
  </si>
  <si>
    <t>ocn898113438</t>
  </si>
  <si>
    <t>31036120334</t>
  </si>
  <si>
    <t>9781936117796</t>
  </si>
  <si>
    <t>794985811</t>
  </si>
  <si>
    <t>Z688 T6 M32 1992</t>
  </si>
  <si>
    <t>0                      Z  0688000T  6                  M  32          1992</t>
  </si>
  <si>
    <t>Directory of Canadian theatre archives / compiled by Heather McCallum and Ruth Pincoe.</t>
  </si>
  <si>
    <t>McCallum, Heather, 1927-</t>
  </si>
  <si>
    <t>Halifax, N.S. : School of Library and Information Studies, Dalhousie University, 1992.</t>
  </si>
  <si>
    <t>(2nd ed.).</t>
  </si>
  <si>
    <t>Occasional papers series, 0318-7403 ; 53</t>
  </si>
  <si>
    <t>2016-06-27</t>
  </si>
  <si>
    <t>9490277581:eng</t>
  </si>
  <si>
    <t>270871474</t>
  </si>
  <si>
    <t>ocn270871474</t>
  </si>
  <si>
    <t>3103482822I</t>
  </si>
  <si>
    <t>9780770397098</t>
  </si>
  <si>
    <t>794413021</t>
  </si>
  <si>
    <t>Z688.5 H29 1987</t>
  </si>
  <si>
    <t>0                      Z  0688500H  29          1987</t>
  </si>
  <si>
    <t>Technical services in the small library / Harvey Hahn.</t>
  </si>
  <si>
    <t>Hahn, Harvey E.</t>
  </si>
  <si>
    <t>Chicago, IL : American Library Association, ©1987.</t>
  </si>
  <si>
    <t>Small libraries publications ; no. 13</t>
  </si>
  <si>
    <t>8550134:eng</t>
  </si>
  <si>
    <t>15016732</t>
  </si>
  <si>
    <t>ocm15016732</t>
  </si>
  <si>
    <t>3000849554H</t>
  </si>
  <si>
    <t>9780838956892</t>
  </si>
  <si>
    <t>792916863</t>
  </si>
  <si>
    <t>Z688.5 K45</t>
  </si>
  <si>
    <t>0                      Z  0688500K  45</t>
  </si>
  <si>
    <t>Technical processing librarians in the 1980s : current trends and future forecasts / by Gail Kennedy.</t>
  </si>
  <si>
    <t>Kennedy, Gail.</t>
  </si>
  <si>
    <t>Lexington, Ky. : University of Kentucky Libraries, 1980.</t>
  </si>
  <si>
    <t>University of Kentucky Libraries occasional papers ; v. 1, no. 1</t>
  </si>
  <si>
    <t>26506722:eng</t>
  </si>
  <si>
    <t>7239288</t>
  </si>
  <si>
    <t>ocm07239288</t>
  </si>
  <si>
    <t>3000843430S</t>
  </si>
  <si>
    <t>792548225</t>
  </si>
  <si>
    <t>Z688.5 M67 2009</t>
  </si>
  <si>
    <t>0                      Z  0688500M  67          2009</t>
  </si>
  <si>
    <t>More innovative redesign and reorganization of library technical services / edited by Bradford Lee Eden.</t>
  </si>
  <si>
    <t>1039153464:eng</t>
  </si>
  <si>
    <t>235945905</t>
  </si>
  <si>
    <t>ocn235945905</t>
  </si>
  <si>
    <t>3103058039I</t>
  </si>
  <si>
    <t>9781591587781</t>
  </si>
  <si>
    <t>794370554</t>
  </si>
  <si>
    <t>Z688.5 P36 2010</t>
  </si>
  <si>
    <t>0                      Z  0688500P  36          2010</t>
  </si>
  <si>
    <t>RFID for libraries : a practical guide / M. Paul Pandian.</t>
  </si>
  <si>
    <t>Pandian, M. Paul.</t>
  </si>
  <si>
    <t>794422143:eng</t>
  </si>
  <si>
    <t>701103467</t>
  </si>
  <si>
    <t>ocn701103467</t>
  </si>
  <si>
    <t>3103232843E</t>
  </si>
  <si>
    <t>9781843345466</t>
  </si>
  <si>
    <t>794862569</t>
  </si>
  <si>
    <t>Z688.5 S36 2015</t>
  </si>
  <si>
    <t>0                      Z  0688500S  36          2015</t>
  </si>
  <si>
    <t>Fundamentals of technical services / John Sandstrom and Liz Miller.</t>
  </si>
  <si>
    <t>Sandstrom, John, author.</t>
  </si>
  <si>
    <t>1410267991:eng</t>
  </si>
  <si>
    <t>894201386</t>
  </si>
  <si>
    <t>ocn894201386</t>
  </si>
  <si>
    <t>31035839343</t>
  </si>
  <si>
    <t>9781555709662</t>
  </si>
  <si>
    <t>794982480</t>
  </si>
  <si>
    <t>Z688.5 S38 2017</t>
  </si>
  <si>
    <t>0                      Z  0688500S  38          2017</t>
  </si>
  <si>
    <t>The subject liaison's survival guide to technical services / Krista Schmidt, Tim Carstens.</t>
  </si>
  <si>
    <t>Schmidt, Krista, author.</t>
  </si>
  <si>
    <t>4070689047:eng</t>
  </si>
  <si>
    <t>957134218</t>
  </si>
  <si>
    <t>ocn957134218</t>
  </si>
  <si>
    <t>3103696902M</t>
  </si>
  <si>
    <t>9780838915028</t>
  </si>
  <si>
    <t>795020726</t>
  </si>
  <si>
    <t>Z688.5 S87 2012</t>
  </si>
  <si>
    <t>0                      Z  0688500S  87          2012</t>
  </si>
  <si>
    <t>Survey of library experiences with shelf-ready vendor services.</t>
  </si>
  <si>
    <t>[New York] : Primary Research, ©2012.</t>
  </si>
  <si>
    <t>1082168777:eng</t>
  </si>
  <si>
    <t>778226548</t>
  </si>
  <si>
    <t>ocn778226548</t>
  </si>
  <si>
    <t>3103430655E</t>
  </si>
  <si>
    <t>9781574401899</t>
  </si>
  <si>
    <t>794909461</t>
  </si>
  <si>
    <t>Z688.6 U6 E84 2011</t>
  </si>
  <si>
    <t>0                      Z  0688600U  6                  E  84          2011</t>
  </si>
  <si>
    <t>Introduction to technical services / G. Edward Evans, Sheila S. Intner, and Jean Weihs.</t>
  </si>
  <si>
    <t>8th ed.</t>
  </si>
  <si>
    <t>3805395547:eng</t>
  </si>
  <si>
    <t>658117516</t>
  </si>
  <si>
    <t>ocn658117516</t>
  </si>
  <si>
    <t>31032362956</t>
  </si>
  <si>
    <t>9781591588894</t>
  </si>
  <si>
    <t>794835873</t>
  </si>
  <si>
    <t>Z689 A2746 1973 no. 16</t>
  </si>
  <si>
    <t>0                      Z  0689000A  2746        1973                                        no. 16</t>
  </si>
  <si>
    <t>Guide to implementing and managing patron-driven acquisitions / Suzanne M. Ward.</t>
  </si>
  <si>
    <t>no. 16*</t>
  </si>
  <si>
    <t>Ward, Suzanne M.</t>
  </si>
  <si>
    <t>Chicago : Acquisitions Section of the Association for Library Collections &amp; Technical Services, American Library Association, 2012.</t>
  </si>
  <si>
    <t>ALCTS acquisitions guides series ; no. 16</t>
  </si>
  <si>
    <t>2013-12-06</t>
  </si>
  <si>
    <t>1194361217:eng</t>
  </si>
  <si>
    <t>795020462</t>
  </si>
  <si>
    <t>ocn795020462</t>
  </si>
  <si>
    <t>31034685743</t>
  </si>
  <si>
    <t>9780838986080</t>
  </si>
  <si>
    <t>794920818</t>
  </si>
  <si>
    <t>Z689 A2746 1973 no.15</t>
  </si>
  <si>
    <t>0                      Z  0689000A  2746        1973                                        no.15</t>
  </si>
  <si>
    <t>Guide to video acquisitions in libraries : issues and best practices / Mary S. Laskowski.</t>
  </si>
  <si>
    <t>no.15*</t>
  </si>
  <si>
    <t>Laskowski, Mary S.</t>
  </si>
  <si>
    <t>Chicago, IL : ALCTS Publishing, ©2011.</t>
  </si>
  <si>
    <t>ALCTS acquisitions guides ; no. 15</t>
  </si>
  <si>
    <t>769994876:eng</t>
  </si>
  <si>
    <t>696773039</t>
  </si>
  <si>
    <t>ocn696773039</t>
  </si>
  <si>
    <t>31033958267</t>
  </si>
  <si>
    <t>9780838985755</t>
  </si>
  <si>
    <t>794859440</t>
  </si>
  <si>
    <t>Z689 A82 2012</t>
  </si>
  <si>
    <t>0                      Z  0689000A  82          2012</t>
  </si>
  <si>
    <t>The librarian's guide to negotiation : winning strategies for the digital age / Beth Ashmore, Jill E. Grogg, and Jeff Weddle.</t>
  </si>
  <si>
    <t>Ashmore, Beth, 1976-</t>
  </si>
  <si>
    <t>Medford, New Jersey : Information Today, Inc., [2012]</t>
  </si>
  <si>
    <t>2013-08-20</t>
  </si>
  <si>
    <t>1089547317:eng</t>
  </si>
  <si>
    <t>752069196</t>
  </si>
  <si>
    <t>ocn752069196</t>
  </si>
  <si>
    <t>3103412805K</t>
  </si>
  <si>
    <t>9781573874281</t>
  </si>
  <si>
    <t>794891490</t>
  </si>
  <si>
    <t>Z689 A83</t>
  </si>
  <si>
    <t>0                      Z  0689000A  83</t>
  </si>
  <si>
    <t>Collection analysis in research libraries : an interim report on a self-study process.</t>
  </si>
  <si>
    <t>Washington, D.C. : Association of Research Libraries, Office of University Library Management Studies, 1978.</t>
  </si>
  <si>
    <t>12933155:eng</t>
  </si>
  <si>
    <t>3799409</t>
  </si>
  <si>
    <t>ocm03799409</t>
  </si>
  <si>
    <t>3103742277P</t>
  </si>
  <si>
    <t>792292573</t>
  </si>
  <si>
    <t>Z689 C87 2014</t>
  </si>
  <si>
    <t>0                      Z  0689000C  87          2014</t>
  </si>
  <si>
    <t>Customer-based collection development : an overview / edited by Karl Bridges.</t>
  </si>
  <si>
    <t>1880689076:eng</t>
  </si>
  <si>
    <t>885378195</t>
  </si>
  <si>
    <t>ocn885378195</t>
  </si>
  <si>
    <t>3103533583U</t>
  </si>
  <si>
    <t>9781856049313</t>
  </si>
  <si>
    <t>794977277</t>
  </si>
  <si>
    <t>Z689 G5514 2010</t>
  </si>
  <si>
    <t>0                      Z  0689000G  5514        2010</t>
  </si>
  <si>
    <t>Tu shu guan juan zeng guan cang guan li zhi nan / Kay Ann Cassell, Sharon Johnson, Judith Mansfield, and Sha Li Zhang. IFLA cai fang yu guan cang jian she zhuan ye wei yuan hui.</t>
  </si>
  <si>
    <t>The Hague : International Federation of Library Associations and Institutions, 2010.</t>
  </si>
  <si>
    <t>IFLA professional reports, 0168-1931 ; no. 112</t>
  </si>
  <si>
    <t>8911282762:chi</t>
  </si>
  <si>
    <t>707937709</t>
  </si>
  <si>
    <t>ocn707937709</t>
  </si>
  <si>
    <t>3103372989E</t>
  </si>
  <si>
    <t>9789077897478</t>
  </si>
  <si>
    <t>794868274</t>
  </si>
  <si>
    <t>Z689 H74 2010</t>
  </si>
  <si>
    <t>0                      Z  0689000H  74          2010</t>
  </si>
  <si>
    <t>Acquisitions in the new information universe : core competencies and ethical practices / Jesse Holden.</t>
  </si>
  <si>
    <t>Holden, Jesse.</t>
  </si>
  <si>
    <t>891421678:eng</t>
  </si>
  <si>
    <t>501320669</t>
  </si>
  <si>
    <t>ocn501320669</t>
  </si>
  <si>
    <t>31032291854</t>
  </si>
  <si>
    <t>9781555706968</t>
  </si>
  <si>
    <t>794804552</t>
  </si>
  <si>
    <t>Z689 H74 2017</t>
  </si>
  <si>
    <t>0                      Z  0689000H  74          2017</t>
  </si>
  <si>
    <t>Acquisitions : core concepts and practices / Jesse Holden.</t>
  </si>
  <si>
    <t>Holden, Jesse, author.</t>
  </si>
  <si>
    <t>3965282847:eng</t>
  </si>
  <si>
    <t>956633899</t>
  </si>
  <si>
    <t>ocn956633899</t>
  </si>
  <si>
    <t>3103405317Q</t>
  </si>
  <si>
    <t>9780838914601</t>
  </si>
  <si>
    <t>795020315</t>
  </si>
  <si>
    <t>Z689 J4 2010</t>
  </si>
  <si>
    <t>0                      Z  0689000J  4           2010</t>
  </si>
  <si>
    <t>Je lègue ma bibliothèque à : dons et legs dans les bibliothèques publiques : actes de la journée d'études annuelle Droit et patrimoine organisée le 4 juin2007 à l'Ecole normale supérieure Lettres sciences humaines, Lyon / par l'Ecole nationale supérieure des sciences de l'information et des bibliothèques et le Centre de conservation du livre ; so / us la direction de Raphaële Mouren.</t>
  </si>
  <si>
    <t>[Méolans-Revel] : Perrousseaux ; [Arles] : Centre de conservation du livre, ©2010.</t>
  </si>
  <si>
    <t>Kitab tabulae ; 8</t>
  </si>
  <si>
    <t>2909346858:fre</t>
  </si>
  <si>
    <t>704903133</t>
  </si>
  <si>
    <t>ocn704903133</t>
  </si>
  <si>
    <t>3103297957X</t>
  </si>
  <si>
    <t>9782911220333</t>
  </si>
  <si>
    <t>794865918</t>
  </si>
  <si>
    <t>Z689 M338 1989</t>
  </si>
  <si>
    <t>0                      Z  0689000M  338         1989</t>
  </si>
  <si>
    <t>Acquisitions management and collection development in libraries / Rose Mary Magrill and John Corbin.</t>
  </si>
  <si>
    <t>Magrill, Rose Mary.</t>
  </si>
  <si>
    <t>2847680:eng</t>
  </si>
  <si>
    <t>19590861</t>
  </si>
  <si>
    <t>ocm19590861</t>
  </si>
  <si>
    <t>31007083594</t>
  </si>
  <si>
    <t>9780838905135</t>
  </si>
  <si>
    <t>793063235</t>
  </si>
  <si>
    <t>Z689 P38 2011</t>
  </si>
  <si>
    <t>0                      Z  0689000P  38          2011</t>
  </si>
  <si>
    <t>Patron-driven acquisitions : history and best practices / edited by David A. Swords.</t>
  </si>
  <si>
    <t>Berlin ; Boston : De Gruyter Saur, ©2011.</t>
  </si>
  <si>
    <t>Current topics in library and information practice</t>
  </si>
  <si>
    <t>2014-10-24</t>
  </si>
  <si>
    <t>867063732:eng</t>
  </si>
  <si>
    <t>713181561</t>
  </si>
  <si>
    <t>ocn713181561</t>
  </si>
  <si>
    <t>3103406301O</t>
  </si>
  <si>
    <t>9783110253016</t>
  </si>
  <si>
    <t>794872591</t>
  </si>
  <si>
    <t>Z689.5 U6 C7394 2013</t>
  </si>
  <si>
    <t>0                      Z  0689500U  6                  C  7394        2013</t>
  </si>
  <si>
    <t>The big deal and the damage done / Walt Crawford.</t>
  </si>
  <si>
    <t>Livermore, California : Cites &amp; Insights Books, 2013.</t>
  </si>
  <si>
    <t>2014-02-26</t>
  </si>
  <si>
    <t>1359142183:eng</t>
  </si>
  <si>
    <t>847844338</t>
  </si>
  <si>
    <t>ocn847844338</t>
  </si>
  <si>
    <t>3103525552X</t>
  </si>
  <si>
    <t>794949776</t>
  </si>
  <si>
    <t>Z689.5 U6 V36 2014</t>
  </si>
  <si>
    <t>0                      Z  0689500U  6                  V  36          2014</t>
  </si>
  <si>
    <t>Guide to ethics in acquisitions / Wyoma VanDuinkerken, Wendi Arant Kaspar, and Jeanne Harrell, Acquisitions Section of the Association for Library Collections &amp; Technical Services, American Library Association.</t>
  </si>
  <si>
    <t>VanDuinkerken, Wyoma, author.</t>
  </si>
  <si>
    <t>Chicago : Association for Library Collections &amp; Technical Services, American Library Association, 2014.</t>
  </si>
  <si>
    <t>ALCTS acquisitions guides series ; no. 17</t>
  </si>
  <si>
    <t>2643131894:eng</t>
  </si>
  <si>
    <t>878812657</t>
  </si>
  <si>
    <t>ocn878812657</t>
  </si>
  <si>
    <t>3103608050H</t>
  </si>
  <si>
    <t>9780838987018</t>
  </si>
  <si>
    <t>794971597</t>
  </si>
  <si>
    <t>Z689.5 U6 W54 2003</t>
  </si>
  <si>
    <t>0                      Z  0689500U  6                  W  54          2003</t>
  </si>
  <si>
    <t>The complete guide to acquisitions management / Frances C. Wilkinson, Linda K. Lewis.</t>
  </si>
  <si>
    <t>Wilkinson, Frances C.</t>
  </si>
  <si>
    <t>776145:eng</t>
  </si>
  <si>
    <t>52312641</t>
  </si>
  <si>
    <t>ocm52312641</t>
  </si>
  <si>
    <t>3102825449R</t>
  </si>
  <si>
    <t>9781563088926</t>
  </si>
  <si>
    <t>793803333</t>
  </si>
  <si>
    <t>Z689.5 U6 W54 2015</t>
  </si>
  <si>
    <t>0                      Z  0689500U  6                  W  54          2015</t>
  </si>
  <si>
    <t>The complete guide to acquisitions management / Frances C. Wilkinson, Linda K. Lewis, and Rebecca L. Lubas.</t>
  </si>
  <si>
    <t>Wilkinson, Frances C., author.</t>
  </si>
  <si>
    <t>Santa Barbara, California : Libraries Unlimited, An Imprint of ABC-CLIO, LLC, [2015]</t>
  </si>
  <si>
    <t>900031545</t>
  </si>
  <si>
    <t>ocn900031545</t>
  </si>
  <si>
    <t>31035838208</t>
  </si>
  <si>
    <t>9781610697132</t>
  </si>
  <si>
    <t>794987104</t>
  </si>
  <si>
    <t>Z690 L5 2019</t>
  </si>
  <si>
    <t>0                      Z  0690000L  5           2019</t>
  </si>
  <si>
    <t>Tu shu guan chu ban wu guo ji jiao huan / Li Wei bian zhu.</t>
  </si>
  <si>
    <t>Li, Wei, 1983- author.</t>
  </si>
  <si>
    <t>Beijing : She hui ke xue wen xian chu ban she, 2019.</t>
  </si>
  <si>
    <t>9619810953:chi</t>
  </si>
  <si>
    <t>1126569480</t>
  </si>
  <si>
    <t>on1126569480</t>
  </si>
  <si>
    <t>31039009039</t>
  </si>
  <si>
    <t>9787520148658</t>
  </si>
  <si>
    <t>795086032</t>
  </si>
  <si>
    <t>Z692 A7 J4</t>
  </si>
  <si>
    <t>0                      Z  0692000A  7                  J  4</t>
  </si>
  <si>
    <t>The English archivist : a new profession : being an inaugural lecture for a new course in archive administration delivered at University College, London, 14 October, 1947 / by Hilary Jenkinson.</t>
  </si>
  <si>
    <t>Jenkinson, Hilary, Sir.</t>
  </si>
  <si>
    <t>London : H.K. Lewis, 1948.</t>
  </si>
  <si>
    <t>2017-03-03</t>
  </si>
  <si>
    <t>4535729516:eng</t>
  </si>
  <si>
    <t>7159809</t>
  </si>
  <si>
    <t>ocm07159809</t>
  </si>
  <si>
    <t>3000862083G</t>
  </si>
  <si>
    <t>792542867</t>
  </si>
  <si>
    <t>Z692 A7 S3</t>
  </si>
  <si>
    <t>0                      Z  0692000A  7                  S  3</t>
  </si>
  <si>
    <t>The management of archives / T.R. Schellenberg.</t>
  </si>
  <si>
    <t>Schellenberg, T. R. (Theodore R.), 1903-1970, author.</t>
  </si>
  <si>
    <t>New York : Columbia University Press, 1965.</t>
  </si>
  <si>
    <t>Columbia University studies in library service ; no. 14</t>
  </si>
  <si>
    <t>1338159:eng</t>
  </si>
  <si>
    <t>250927</t>
  </si>
  <si>
    <t>ocm00250927</t>
  </si>
  <si>
    <t>3103025782E</t>
  </si>
  <si>
    <t>9780231028127</t>
  </si>
  <si>
    <t>791309658</t>
  </si>
  <si>
    <t>Z692 A7 S32</t>
  </si>
  <si>
    <t>0                      Z  0692000A  7                  S  32</t>
  </si>
  <si>
    <t>Modern archives : principles and techniques / by T.R. Schellenbeg.</t>
  </si>
  <si>
    <t>Chicago : University of Chicago Press, 1956.</t>
  </si>
  <si>
    <t>8422807:eng</t>
  </si>
  <si>
    <t>862823471</t>
  </si>
  <si>
    <t>ocn862823471</t>
  </si>
  <si>
    <t>3103705936K</t>
  </si>
  <si>
    <t>794960639</t>
  </si>
  <si>
    <t>2010-11-27</t>
  </si>
  <si>
    <t>3102794557Y</t>
  </si>
  <si>
    <t>794960638</t>
  </si>
  <si>
    <t>Z692 A93 A33 2016</t>
  </si>
  <si>
    <t>0                      Z  0692000A  93                 A  33          2016</t>
  </si>
  <si>
    <t>Academic library plans for the audio collection / Primary Research Group staff.</t>
  </si>
  <si>
    <t>New York : Primary Research Group, 2016.</t>
  </si>
  <si>
    <t>3894960523:eng</t>
  </si>
  <si>
    <t>959873621</t>
  </si>
  <si>
    <t>ocn959873621</t>
  </si>
  <si>
    <t>3103697089F</t>
  </si>
  <si>
    <t>9781574404227</t>
  </si>
  <si>
    <t>795022725</t>
  </si>
  <si>
    <t>Z692 A93 B74 2007</t>
  </si>
  <si>
    <t>0                      Z  0692000A  93                 B  74          2007</t>
  </si>
  <si>
    <t>Understanding manga and anime / Robin E. Brenner.</t>
  </si>
  <si>
    <t>Brenner, Robin E., 1977-</t>
  </si>
  <si>
    <t>2017-04-23</t>
  </si>
  <si>
    <t>69775548:eng</t>
  </si>
  <si>
    <t>85898238</t>
  </si>
  <si>
    <t>ocm85898238</t>
  </si>
  <si>
    <t>31026387835</t>
  </si>
  <si>
    <t>9781591583325</t>
  </si>
  <si>
    <t>794217671</t>
  </si>
  <si>
    <t>Z692 B63 M39 2010</t>
  </si>
  <si>
    <t>0                      Z  0692000B  63                 M  39          2010</t>
  </si>
  <si>
    <t>Libraries got game : aligned learning through modern board games / Brian Mayer and Christopher Harris.</t>
  </si>
  <si>
    <t>Mayer, Brian.</t>
  </si>
  <si>
    <t>2014-09-05</t>
  </si>
  <si>
    <t>797251911:eng</t>
  </si>
  <si>
    <t>427541678</t>
  </si>
  <si>
    <t>ocn427541678</t>
  </si>
  <si>
    <t>3103155257E</t>
  </si>
  <si>
    <t>9780838910092</t>
  </si>
  <si>
    <t>794680912</t>
  </si>
  <si>
    <t>Z692 C65 C35 2014</t>
  </si>
  <si>
    <t>0                      Z  0692000C  65                 C  35          2014</t>
  </si>
  <si>
    <t>Exploring digital libraries : foundations, practice, prospects / Karen Calhoun.</t>
  </si>
  <si>
    <t>Calhoun, Karen, author.</t>
  </si>
  <si>
    <t>London : Facet Publishing, ©2014.</t>
  </si>
  <si>
    <t>1375069297:eng</t>
  </si>
  <si>
    <t>869299705</t>
  </si>
  <si>
    <t>ocn869299705</t>
  </si>
  <si>
    <t>31035298558</t>
  </si>
  <si>
    <t>9781856048200</t>
  </si>
  <si>
    <t>794965316</t>
  </si>
  <si>
    <t>Z692 C65 C44 2010</t>
  </si>
  <si>
    <t>0                      Z  0692000C  65                 C  44          2010</t>
  </si>
  <si>
    <t>New approaches to e-reserve : linking, sharing and streaming / Ophelia Cheung, Dana Thomas and Susan Patrick.</t>
  </si>
  <si>
    <t>Cheung, Ophelia.</t>
  </si>
  <si>
    <t>2013-10-20</t>
  </si>
  <si>
    <t>836613475:eng</t>
  </si>
  <si>
    <t>692617675</t>
  </si>
  <si>
    <t>ocn692617675</t>
  </si>
  <si>
    <t>31032302149</t>
  </si>
  <si>
    <t>9781843345091</t>
  </si>
  <si>
    <t>794856314</t>
  </si>
  <si>
    <t>Z692 C65 D56 2011</t>
  </si>
  <si>
    <t>0                      Z  0692000C  65                 D  56          2011</t>
  </si>
  <si>
    <t>Digitisation perspectives / edited by Ruth Rikowski.</t>
  </si>
  <si>
    <t>Rotterdam ; Boston ; Taipei : Sense Publishers, ©2011.</t>
  </si>
  <si>
    <t>Educational futures: rethinking theory and practice ; v. 46</t>
  </si>
  <si>
    <t>1044679848:eng</t>
  </si>
  <si>
    <t>692840238</t>
  </si>
  <si>
    <t>ocn692840238</t>
  </si>
  <si>
    <t>3103383698C</t>
  </si>
  <si>
    <t>9789460912979</t>
  </si>
  <si>
    <t>794856393</t>
  </si>
  <si>
    <t>Z692 C65 E44 2012</t>
  </si>
  <si>
    <t>0                      Z  0692000C  65                 E  44          2012</t>
  </si>
  <si>
    <t>Electronic resource management : practical perspectives in a new technical services model / Anne C. Elguindi and Kari Schmidt.</t>
  </si>
  <si>
    <t>Elguindi, Anne C.</t>
  </si>
  <si>
    <t>Oxford : Chandos, 2012.</t>
  </si>
  <si>
    <t>2014-04-12</t>
  </si>
  <si>
    <t>1180513821:eng</t>
  </si>
  <si>
    <t>819941084</t>
  </si>
  <si>
    <t>ocn819941084</t>
  </si>
  <si>
    <t>3103472367U</t>
  </si>
  <si>
    <t>9781843346685</t>
  </si>
  <si>
    <t>794934949</t>
  </si>
  <si>
    <t>Z692 C65 H35 1999</t>
  </si>
  <si>
    <t>0                      Z  0692000C  65                 H  35          1999</t>
  </si>
  <si>
    <t>Inventing the future : information services for a new millennium / by Stan A. Hannah and Michael H. Harris.</t>
  </si>
  <si>
    <t>Hannah, Stan A.</t>
  </si>
  <si>
    <t>Stamford, Conn. : Ablex Pub., ©1999.</t>
  </si>
  <si>
    <t>475558049:eng</t>
  </si>
  <si>
    <t>41368271</t>
  </si>
  <si>
    <t>ocm41368271</t>
  </si>
  <si>
    <t>3102019248Z</t>
  </si>
  <si>
    <t>9781567504507</t>
  </si>
  <si>
    <t>793590042</t>
  </si>
  <si>
    <t>Z692 C65 J64 2013</t>
  </si>
  <si>
    <t>0                      Z  0692000C  65                 J  64          2013</t>
  </si>
  <si>
    <t>Developing and managing electronic collections : the essentials / Peggy Johnson.</t>
  </si>
  <si>
    <t>1789517323:eng</t>
  </si>
  <si>
    <t>840927675</t>
  </si>
  <si>
    <t>ocn840927675</t>
  </si>
  <si>
    <t>3103502075T</t>
  </si>
  <si>
    <t>9780838911907</t>
  </si>
  <si>
    <t>794946348</t>
  </si>
  <si>
    <t>Z692 C65 K35 2013</t>
  </si>
  <si>
    <t>0                      Z  0692000C  65                 K  35          2013</t>
  </si>
  <si>
    <t>Marketing your library's electronic resources.</t>
  </si>
  <si>
    <t>Kennedy, Marie R.</t>
  </si>
  <si>
    <t>5584306557:eng</t>
  </si>
  <si>
    <t>847522690</t>
  </si>
  <si>
    <t>ocn847522690</t>
  </si>
  <si>
    <t>31035002254</t>
  </si>
  <si>
    <t>9781856049429</t>
  </si>
  <si>
    <t>794949498</t>
  </si>
  <si>
    <t>Z692 C65 K46 2013</t>
  </si>
  <si>
    <t>0                      Z  0692000C  65                 K  46          2013</t>
  </si>
  <si>
    <t>Marketing your library's electronic resources : a how-to-do-it manual for librarians / Marie R. Kennedy &amp; Cheryl LaGuardia.</t>
  </si>
  <si>
    <t>Chicago : Neal-Schuman, an imprint of the American Library Association, [2013]</t>
  </si>
  <si>
    <t>1391691654:eng</t>
  </si>
  <si>
    <t>805701697</t>
  </si>
  <si>
    <t>ocn805701697</t>
  </si>
  <si>
    <t>31034974275</t>
  </si>
  <si>
    <t>9781555708894</t>
  </si>
  <si>
    <t>794926392</t>
  </si>
  <si>
    <t>Z692 C65 L47 2005</t>
  </si>
  <si>
    <t>0                      Z  0692000C  65                 L  47          2005</t>
  </si>
  <si>
    <t>Understanding digital libraries / Michael Lesk.</t>
  </si>
  <si>
    <t>Lesk, Michael.</t>
  </si>
  <si>
    <t>Boston : Elsevier, 2004.</t>
  </si>
  <si>
    <t>5615771581:eng</t>
  </si>
  <si>
    <t>56911889</t>
  </si>
  <si>
    <t>ocm56911889</t>
  </si>
  <si>
    <t>3103220018K</t>
  </si>
  <si>
    <t>9781558609242</t>
  </si>
  <si>
    <t>793903841</t>
  </si>
  <si>
    <t>Z692 C65 M35 2012</t>
  </si>
  <si>
    <t>0                      Z  0692000C  65                 M  35          2012</t>
  </si>
  <si>
    <t>Managing Electronic Resources : a LITA Guide / edited by Ryan O. Weir.</t>
  </si>
  <si>
    <t>LITA guide ; #20</t>
  </si>
  <si>
    <t>1107844047:eng</t>
  </si>
  <si>
    <t>793421764</t>
  </si>
  <si>
    <t>ocn793421764</t>
  </si>
  <si>
    <t>3103414148P</t>
  </si>
  <si>
    <t>9781555707675</t>
  </si>
  <si>
    <t>794918186</t>
  </si>
  <si>
    <t>Z692 C65 R44 2018</t>
  </si>
  <si>
    <t>0                      Z  0692000C  65                 R  44          2018</t>
  </si>
  <si>
    <t>Reengineering the library : issues in electronic resources management / edited by George Stachokas.</t>
  </si>
  <si>
    <t>4513264823:eng</t>
  </si>
  <si>
    <t>1030445508</t>
  </si>
  <si>
    <t>on1030445508</t>
  </si>
  <si>
    <t>3103738360E</t>
  </si>
  <si>
    <t>9780838916216</t>
  </si>
  <si>
    <t>795054685</t>
  </si>
  <si>
    <t>Z692 C65 V47 2017</t>
  </si>
  <si>
    <t>0                      Z  0692000C  65                 V  47          2017</t>
  </si>
  <si>
    <t>Fundamentals of electronic resources management / Alana Verminski, Kelly Marie Blanchat.</t>
  </si>
  <si>
    <t>Nuth, Alana M., author.</t>
  </si>
  <si>
    <t>3960231405:eng</t>
  </si>
  <si>
    <t>964065635</t>
  </si>
  <si>
    <t>ocn964065635</t>
  </si>
  <si>
    <t>31037399678</t>
  </si>
  <si>
    <t>9780838915417</t>
  </si>
  <si>
    <t>795025025</t>
  </si>
  <si>
    <t>Z692 C65 W55 2012</t>
  </si>
  <si>
    <t>0                      Z  0692000C  65                 W  55          2012</t>
  </si>
  <si>
    <t>Electronic resources management in the academic library : a professional guide / Karin Wikoff.</t>
  </si>
  <si>
    <t>Wikoff, Karin.</t>
  </si>
  <si>
    <t>2013-07-11</t>
  </si>
  <si>
    <t>1061047429:eng</t>
  </si>
  <si>
    <t>729344439</t>
  </si>
  <si>
    <t>ocn729344439</t>
  </si>
  <si>
    <t>3103405528I</t>
  </si>
  <si>
    <t>9781610690058</t>
  </si>
  <si>
    <t>794879280</t>
  </si>
  <si>
    <t>Z692 D38 S87 2016</t>
  </si>
  <si>
    <t>0                      Z  0692000D  38                 S  87          2016</t>
  </si>
  <si>
    <t>Survey of academic library database licensing practices / Primary Research Group Staff.</t>
  </si>
  <si>
    <t>[Lexington, KY] : Primary Research Group, Inc., [2016]</t>
  </si>
  <si>
    <t>3833007297:eng</t>
  </si>
  <si>
    <t>952372765</t>
  </si>
  <si>
    <t>ocn952372765</t>
  </si>
  <si>
    <t>31034225848</t>
  </si>
  <si>
    <t>9781574403992</t>
  </si>
  <si>
    <t>795018204</t>
  </si>
  <si>
    <t>Z692 E4 A24 2016</t>
  </si>
  <si>
    <t>0                      Z  0692000E  4                  A  24          2016</t>
  </si>
  <si>
    <t>Academic e-books : publishers, librarians, and users / edited by Suzanne M. Ward, Robert S. Freeman, and Judith M. Nixon.</t>
  </si>
  <si>
    <t>West Lafayette, Indiana : Purdue University Press, [2016]</t>
  </si>
  <si>
    <t>Charleston insights in library, archival, and information sciences</t>
  </si>
  <si>
    <t>2495286397:eng</t>
  </si>
  <si>
    <t>907101453</t>
  </si>
  <si>
    <t>ocn907101453</t>
  </si>
  <si>
    <t>3103652923L</t>
  </si>
  <si>
    <t>9781557537270</t>
  </si>
  <si>
    <t>794992835</t>
  </si>
  <si>
    <t>Z692 E4 A76 2015</t>
  </si>
  <si>
    <t>0                      Z  0692000E  4                  A  76          2015</t>
  </si>
  <si>
    <t>Getting started with demand-driven acquisitions for e-books : a LITA guide / Theresa S. Arndt.</t>
  </si>
  <si>
    <t>Arndt, Theresa S., author.</t>
  </si>
  <si>
    <t>Chicago : ALA TechSource, An imprint of the American Library Association, 2015.</t>
  </si>
  <si>
    <t>2015-11-18</t>
  </si>
  <si>
    <t>2281465379:eng</t>
  </si>
  <si>
    <t>902599218</t>
  </si>
  <si>
    <t>ocn902599218</t>
  </si>
  <si>
    <t>31036077203</t>
  </si>
  <si>
    <t>9780838913147</t>
  </si>
  <si>
    <t>794988191</t>
  </si>
  <si>
    <t>Z692 E4 B85 2012</t>
  </si>
  <si>
    <t>0                      Z  0692000E  4                  B  85          2012</t>
  </si>
  <si>
    <t>Building and managing e-book collections : a how-to-do-it manual for librarians / edited by Richard Kaplan.</t>
  </si>
  <si>
    <t>Chicago, IL : Neal-Schuman, an imprint of the American Library Association, 2012.</t>
  </si>
  <si>
    <t>How-to-do-it manuals ; no. 184</t>
  </si>
  <si>
    <t>2014-07-19</t>
  </si>
  <si>
    <t>1169508011:eng</t>
  </si>
  <si>
    <t>795020450</t>
  </si>
  <si>
    <t>ocn795020450</t>
  </si>
  <si>
    <t>3103414173J</t>
  </si>
  <si>
    <t>9781555707767</t>
  </si>
  <si>
    <t>794920817</t>
  </si>
  <si>
    <t>Z692 E4 L48 2013</t>
  </si>
  <si>
    <t>0                      Z  0692000E  4                  L  48          2013</t>
  </si>
  <si>
    <t>EBOOKS and the school library program : a practical guide for the school librarian / Cathy Leverkus, Shannon Acedo.</t>
  </si>
  <si>
    <t>Leverkus, Cathy, author.</t>
  </si>
  <si>
    <t>Chicago, Illinois : American Association of School Librarians, a division of the American Library Association, [2013]</t>
  </si>
  <si>
    <t>1425769149:eng</t>
  </si>
  <si>
    <t>861753151</t>
  </si>
  <si>
    <t>ocn861753151</t>
  </si>
  <si>
    <t>31035669243</t>
  </si>
  <si>
    <t>9780838986721</t>
  </si>
  <si>
    <t>794959577</t>
  </si>
  <si>
    <t>Z692 E4 N62 2012</t>
  </si>
  <si>
    <t>0                      Z  0692000E  4                  N  62          2012</t>
  </si>
  <si>
    <t>No shelf required 2 : use and management of electronic books / edited by Sue Polanka.</t>
  </si>
  <si>
    <t>1043290609:eng</t>
  </si>
  <si>
    <t>760176256</t>
  </si>
  <si>
    <t>ocn760176256</t>
  </si>
  <si>
    <t>3103405397A</t>
  </si>
  <si>
    <t>9780838911457</t>
  </si>
  <si>
    <t>794898354</t>
  </si>
  <si>
    <t>Z692 E4 P83 2014</t>
  </si>
  <si>
    <t>0                      Z  0692000E  4                  P  83          2014</t>
  </si>
  <si>
    <t>Public library use of eBooks.</t>
  </si>
  <si>
    <t>3902594271:eng</t>
  </si>
  <si>
    <t>890435772</t>
  </si>
  <si>
    <t>ocn890435772</t>
  </si>
  <si>
    <t>31035810213</t>
  </si>
  <si>
    <t>9781574403077</t>
  </si>
  <si>
    <t>794979219</t>
  </si>
  <si>
    <t>Z692 E4215 G35 2009</t>
  </si>
  <si>
    <t>0                      Z  0692000E  4215               G  35          2009</t>
  </si>
  <si>
    <t>Game on! : gaming at the library / Beth Gallaway.</t>
  </si>
  <si>
    <t>Gallaway, Beth, 1975-</t>
  </si>
  <si>
    <t>2017-11-29</t>
  </si>
  <si>
    <t>1061123176:eng</t>
  </si>
  <si>
    <t>148764834</t>
  </si>
  <si>
    <t>ocn148764834</t>
  </si>
  <si>
    <t>3103314133X</t>
  </si>
  <si>
    <t>9781555705954</t>
  </si>
  <si>
    <t>794240931</t>
  </si>
  <si>
    <t>Z692 E4215 G36 2008</t>
  </si>
  <si>
    <t>0                      Z  0692000E  4215               G  36          2008</t>
  </si>
  <si>
    <t>Gaming in academic libraries : collections, marketing, and information literacy / edited by Amy Harris and Scott E. Rice.</t>
  </si>
  <si>
    <t>891335067:eng</t>
  </si>
  <si>
    <t>261404087</t>
  </si>
  <si>
    <t>ocn261404087</t>
  </si>
  <si>
    <t>3103061550M</t>
  </si>
  <si>
    <t>9780838984819</t>
  </si>
  <si>
    <t>794401249</t>
  </si>
  <si>
    <t>Z692 G7 F58 2011</t>
  </si>
  <si>
    <t>0                      Z  0692000G  7                  F  58          2011</t>
  </si>
  <si>
    <t>Library collections for teens : manga and graphic novels / Kristin Fletcher-Spear and Merideth Jenson-Benjamin.</t>
  </si>
  <si>
    <t>Fletcher-Spear, Kristin.</t>
  </si>
  <si>
    <t>Bowie, Maryland : E L Kurdlay Publishing ; New York : in association with Neal-Schuman Publishers, Inc., [2011], ©2011.</t>
  </si>
  <si>
    <t>2012-02-27</t>
  </si>
  <si>
    <t>686092308:eng</t>
  </si>
  <si>
    <t>670247330</t>
  </si>
  <si>
    <t>ocn670247330</t>
  </si>
  <si>
    <t>3103344220H</t>
  </si>
  <si>
    <t>9781555707453</t>
  </si>
  <si>
    <t>794847517</t>
  </si>
  <si>
    <t>Z692 G7 G655 2010</t>
  </si>
  <si>
    <t>0                      Z  0692000G  7                  G  655         2010</t>
  </si>
  <si>
    <t>The readers' advisory guide to graphic novels / Francisca Goldsmith.</t>
  </si>
  <si>
    <t>ALA readers' advisory series</t>
  </si>
  <si>
    <t>308666707:eng</t>
  </si>
  <si>
    <t>421532716</t>
  </si>
  <si>
    <t>ocn421532716</t>
  </si>
  <si>
    <t>31031548304</t>
  </si>
  <si>
    <t>9780838910085</t>
  </si>
  <si>
    <t>794503981</t>
  </si>
  <si>
    <t>Z692 G7 G655 2017</t>
  </si>
  <si>
    <t>0                      Z  0692000G  7                  G  655         2017</t>
  </si>
  <si>
    <t>Goldsmith, Francisca, author.</t>
  </si>
  <si>
    <t>958371535</t>
  </si>
  <si>
    <t>ocn958371535</t>
  </si>
  <si>
    <t>3103740066B</t>
  </si>
  <si>
    <t>9780838915097</t>
  </si>
  <si>
    <t>795021727</t>
  </si>
  <si>
    <t>Z692 G7 G7 2010</t>
  </si>
  <si>
    <t>0                      Z  0692000G  7                  G  7           2010</t>
  </si>
  <si>
    <t>Graphic novels and comics in libraries and archives : essays on readers, research, history and cataloging / edited by Robert G. Weiner ; forewords by Elizabeth Figa and Derek Parker Royal ; afterword by Stephen Weiner.</t>
  </si>
  <si>
    <t>Jefferson, N.C. : McFarland &amp; Co., ©2010.</t>
  </si>
  <si>
    <t>2014-03-04</t>
  </si>
  <si>
    <t>865366068:eng</t>
  </si>
  <si>
    <t>527702660</t>
  </si>
  <si>
    <t>ocn527702660</t>
  </si>
  <si>
    <t>3103238757S</t>
  </si>
  <si>
    <t>9780786443024</t>
  </si>
  <si>
    <t>794809363</t>
  </si>
  <si>
    <t>Z692 G7 G73 2009</t>
  </si>
  <si>
    <t>0                      Z  0692000G  7                  G  73          2009</t>
  </si>
  <si>
    <t>Graphic novels beyond the basics : insights and issues for libraries / Martha Cornog and Timothy Perper, editors.</t>
  </si>
  <si>
    <t>Santa Barbara, Calif. : Libraries Unlimited/ABC-CLIO, ©2009.</t>
  </si>
  <si>
    <t>2016-01-20</t>
  </si>
  <si>
    <t>793203038:eng</t>
  </si>
  <si>
    <t>320131620</t>
  </si>
  <si>
    <t>ocn320131620</t>
  </si>
  <si>
    <t>31031347847</t>
  </si>
  <si>
    <t>9781591584780</t>
  </si>
  <si>
    <t>794485281</t>
  </si>
  <si>
    <t>Z692 G7 S469 2010</t>
  </si>
  <si>
    <t>0                      Z  0692000G  7                  S  469         2010</t>
  </si>
  <si>
    <t>The librarian's guide to graphic novels for adults / David S. Serchay.</t>
  </si>
  <si>
    <t>Serchay, David S., 1971-</t>
  </si>
  <si>
    <t>New York, NY : Neal-Schuman Publishers, ©2010.</t>
  </si>
  <si>
    <t>191399504:eng</t>
  </si>
  <si>
    <t>456977399</t>
  </si>
  <si>
    <t>ocn456977399</t>
  </si>
  <si>
    <t>3103128457B</t>
  </si>
  <si>
    <t>9781555706623</t>
  </si>
  <si>
    <t>794789463</t>
  </si>
  <si>
    <t>Z692 M3 L37 1998</t>
  </si>
  <si>
    <t>0                      Z  0692000M  3                  L  37          1998</t>
  </si>
  <si>
    <t>Map librarianship : an introduction / Mary Lynette Larsgaard.</t>
  </si>
  <si>
    <t>Larsgaard, Mary Lynette, 1946-2017.</t>
  </si>
  <si>
    <t>1049266:eng</t>
  </si>
  <si>
    <t>38595478</t>
  </si>
  <si>
    <t>ocm38595478</t>
  </si>
  <si>
    <t>3101903899C</t>
  </si>
  <si>
    <t>9781563084744</t>
  </si>
  <si>
    <t>793527894</t>
  </si>
  <si>
    <t>- Map Reference Collection - In Library Use</t>
  </si>
  <si>
    <t>2010-09-24</t>
  </si>
  <si>
    <t>31019490495</t>
  </si>
  <si>
    <t>793527895</t>
  </si>
  <si>
    <t>Z692 M3 M35 2001</t>
  </si>
  <si>
    <t>0                      Z  0692000M  3                  M  35          2001</t>
  </si>
  <si>
    <t>The map library in the new millennium / edited by R.B. Parry and C.R. Perkins.</t>
  </si>
  <si>
    <t>Chicago : American Library Association ; London : Library Association Pub., 2001.</t>
  </si>
  <si>
    <t>351253763:eng</t>
  </si>
  <si>
    <t>47857922</t>
  </si>
  <si>
    <t>ocm47857922</t>
  </si>
  <si>
    <t>3102125108L</t>
  </si>
  <si>
    <t>9780838935187</t>
  </si>
  <si>
    <t>793709446</t>
  </si>
  <si>
    <t>Z692 M3 M38 1981</t>
  </si>
  <si>
    <t>0                      Z  0692000M  3                  M  38          1981</t>
  </si>
  <si>
    <t>Map librarianship and map collections / Mary Lynette Larsgaard, issue editor.</t>
  </si>
  <si>
    <t>Library trends ; v. 29, no. 3</t>
  </si>
  <si>
    <t>42748215:eng</t>
  </si>
  <si>
    <t>7491163</t>
  </si>
  <si>
    <t>ocm07491163</t>
  </si>
  <si>
    <t>3000810159C</t>
  </si>
  <si>
    <t>792561637</t>
  </si>
  <si>
    <t>Z692 M3 R57</t>
  </si>
  <si>
    <t>0                      Z  0692000M  3                  R  57</t>
  </si>
  <si>
    <t>The emergence of maps in libraries / by Walter W. Ristow.</t>
  </si>
  <si>
    <t>Ristow, Walter W. (Walter William), 1908-2006.</t>
  </si>
  <si>
    <t>Hamden, Conn. : Linnet Books, 1980.</t>
  </si>
  <si>
    <t>50848399:eng</t>
  </si>
  <si>
    <t>6200226</t>
  </si>
  <si>
    <t>ocm06200226</t>
  </si>
  <si>
    <t>3000843059K</t>
  </si>
  <si>
    <t>9780208018410</t>
  </si>
  <si>
    <t>792482783</t>
  </si>
  <si>
    <t>Z692 M9 I76 2014</t>
  </si>
  <si>
    <t>0                      Z  0692000M  9                  I  76          2014</t>
  </si>
  <si>
    <t>Film programming for Public libraries / Kati Irons.</t>
  </si>
  <si>
    <t>Irons, Kati, author.</t>
  </si>
  <si>
    <t>2746587272:eng</t>
  </si>
  <si>
    <t>878224395</t>
  </si>
  <si>
    <t>ocn878224395</t>
  </si>
  <si>
    <t>31035669361</t>
  </si>
  <si>
    <t>9780838911976</t>
  </si>
  <si>
    <t>794971349</t>
  </si>
  <si>
    <t>Z692 P5 G47 2001</t>
  </si>
  <si>
    <t>0                      Z  0692000P  5                  G  47          2001</t>
  </si>
  <si>
    <t>La gestion des archives photographiques / sous la direction de Normand Charbonneau et Mario Robert.</t>
  </si>
  <si>
    <t>Sainte-Foy : Presses de l'Université du Québec, 2001.</t>
  </si>
  <si>
    <t>Collection Gestion de l'information</t>
  </si>
  <si>
    <t>1044085343:fre</t>
  </si>
  <si>
    <t>46908129</t>
  </si>
  <si>
    <t>ocm46908129</t>
  </si>
  <si>
    <t>31021518985</t>
  </si>
  <si>
    <t>9782760510685</t>
  </si>
  <si>
    <t>793694116</t>
  </si>
  <si>
    <t>Z692 P5 I43 2011</t>
  </si>
  <si>
    <t>0                      Z  0692000P  5                  I  43          2011</t>
  </si>
  <si>
    <t>Images et bibliothèques / sous la direction de Claude Collard et Michel Melot.</t>
  </si>
  <si>
    <t>Paris : Electre, ©2011.</t>
  </si>
  <si>
    <t>984778178:fre</t>
  </si>
  <si>
    <t>754323895</t>
  </si>
  <si>
    <t>ocn754323895</t>
  </si>
  <si>
    <t>31035857243</t>
  </si>
  <si>
    <t>9782765410010</t>
  </si>
  <si>
    <t>794892737</t>
  </si>
  <si>
    <t>Z692 P5 N68 2011</t>
  </si>
  <si>
    <t>0                      Z  0692000P  5                  N  68          2011</t>
  </si>
  <si>
    <t>Managing image collections : a practical guide / Margot Note.</t>
  </si>
  <si>
    <t>Note, Margot.</t>
  </si>
  <si>
    <t>791989084:eng</t>
  </si>
  <si>
    <t>703545751</t>
  </si>
  <si>
    <t>ocn703545751</t>
  </si>
  <si>
    <t>31033652017</t>
  </si>
  <si>
    <t>9781843345992</t>
  </si>
  <si>
    <t>794864944</t>
  </si>
  <si>
    <t>Z692 P65 P67 1995</t>
  </si>
  <si>
    <t>0                      Z  0692000P  65                 P  67          1995</t>
  </si>
  <si>
    <t>Postcards in the library : invaluable visual resources / Norman D. Stevens, editor.</t>
  </si>
  <si>
    <t>New York : Haworth Press, ©1995.</t>
  </si>
  <si>
    <t>864904550:eng</t>
  </si>
  <si>
    <t>33668220</t>
  </si>
  <si>
    <t>ocm33668220</t>
  </si>
  <si>
    <t>3101572414G</t>
  </si>
  <si>
    <t>9781560247760</t>
  </si>
  <si>
    <t>793411348</t>
  </si>
  <si>
    <t>Z692 S475 2011</t>
  </si>
  <si>
    <t>0                      Z  0692000S  475         2011</t>
  </si>
  <si>
    <t>Serials collection management in recessionary times / edited by Karen Lawson.</t>
  </si>
  <si>
    <t>917065721:eng</t>
  </si>
  <si>
    <t>707066559</t>
  </si>
  <si>
    <t>ocn707066559</t>
  </si>
  <si>
    <t>3103235257I</t>
  </si>
  <si>
    <t>9780415589611</t>
  </si>
  <si>
    <t>794867387</t>
  </si>
  <si>
    <t>Z692 S77 G85 2019</t>
  </si>
  <si>
    <t>0                      Z  0692000S  77                 G  85          2019</t>
  </si>
  <si>
    <t>Guide to streaming video acquisitions / edited by Eric Hartnett.</t>
  </si>
  <si>
    <t>Chicago : ALA Editions, [2019]</t>
  </si>
  <si>
    <t>2018-12-20</t>
  </si>
  <si>
    <t>7297798436:eng</t>
  </si>
  <si>
    <t>1047576978</t>
  </si>
  <si>
    <t>on1047576978</t>
  </si>
  <si>
    <t>3103809747X</t>
  </si>
  <si>
    <t>9780838917664</t>
  </si>
  <si>
    <t>795060646</t>
  </si>
  <si>
    <t>Z692 V52 S87 2016</t>
  </si>
  <si>
    <t>0                      Z  0692000V  52                 S  87          2016</t>
  </si>
  <si>
    <t>Survey of academic library video content provision practices.</t>
  </si>
  <si>
    <t>3087252277:eng</t>
  </si>
  <si>
    <t>950934052</t>
  </si>
  <si>
    <t>ocn950934052</t>
  </si>
  <si>
    <t>3103656990N</t>
  </si>
  <si>
    <t>9781574403909</t>
  </si>
  <si>
    <t>795016951</t>
  </si>
  <si>
    <t>Z693 A15 C66 1991</t>
  </si>
  <si>
    <t>0                      Z  0693000A  15                 C  66          1991</t>
  </si>
  <si>
    <t>Cataloging heresy : challenging the standard bibliographic product : proceedings of the Congress for Librarians, February 18, 1991, St. John's University, Jamaica, New York, with additional contributed papers / edited by Bella Hass Weinberg.</t>
  </si>
  <si>
    <t>Congress for Librarians (1991 : St. John's University)</t>
  </si>
  <si>
    <t>Medford, NJ : Learned Information, 1992.</t>
  </si>
  <si>
    <t>2018-07-24</t>
  </si>
  <si>
    <t>27852331:eng</t>
  </si>
  <si>
    <t>25410454</t>
  </si>
  <si>
    <t>ocm25410454</t>
  </si>
  <si>
    <t>3100966183C</t>
  </si>
  <si>
    <t>9780938734604</t>
  </si>
  <si>
    <t>793219956</t>
  </si>
  <si>
    <t>Z693 A2 D453 2015</t>
  </si>
  <si>
    <t>0                      Z  0693000A  2                  D  453         2015</t>
  </si>
  <si>
    <t>De l'argile au nuage: une archéologie des catalogues : (IIe millénaire av. J.-C.-XXIe siècle) / commissariat, Frédéric Barbier, Thierry Dubois &amp; Yann Sordet.</t>
  </si>
  <si>
    <t>[Paris] : Bibliotheque Mazarine : Éditions des Cendres ; [Genève] : Bibliothèque de Genève, 2015.</t>
  </si>
  <si>
    <t>2481858326:fre</t>
  </si>
  <si>
    <t>905838705</t>
  </si>
  <si>
    <t>ocn905838705</t>
  </si>
  <si>
    <t>3103623603F</t>
  </si>
  <si>
    <t>9782867422300</t>
  </si>
  <si>
    <t>794991901</t>
  </si>
  <si>
    <t>Z693 A87 C38 2006</t>
  </si>
  <si>
    <t>0                      Z  0693000A  87                 C  38          2006</t>
  </si>
  <si>
    <t>Cataloguer : mode d'emploi : initiation aux techniques de catalogage / Association des bibliothécaires français ; coordination, Christiane Delacour, Michelle Pastor ; avec la collaboration de Marie-Odile Armand-Mérigot [and others].</t>
  </si>
  <si>
    <t>Association des bibliothécaires français.</t>
  </si>
  <si>
    <t>Paris : ABF, 2006.</t>
  </si>
  <si>
    <t>3e éd. rev. et augm.</t>
  </si>
  <si>
    <t>Médiathèmes ; 2</t>
  </si>
  <si>
    <t>866245616:fre</t>
  </si>
  <si>
    <t>232108711</t>
  </si>
  <si>
    <t>ocn232108711</t>
  </si>
  <si>
    <t>3102872362D</t>
  </si>
  <si>
    <t>9782900177280</t>
  </si>
  <si>
    <t>794358947</t>
  </si>
  <si>
    <t>Z693 B76 2004</t>
  </si>
  <si>
    <t>0                      Z  0693000B  76          2004</t>
  </si>
  <si>
    <t>Essential classification / Vanda Broughton.</t>
  </si>
  <si>
    <t>Broughton, Vanda.</t>
  </si>
  <si>
    <t>2016-03-04</t>
  </si>
  <si>
    <t>1046132:eng</t>
  </si>
  <si>
    <t>56457915</t>
  </si>
  <si>
    <t>ocm56457915</t>
  </si>
  <si>
    <t>3102469312O</t>
  </si>
  <si>
    <t>9781856045148</t>
  </si>
  <si>
    <t>793893652</t>
  </si>
  <si>
    <t>Z693 B76 2015</t>
  </si>
  <si>
    <t>0                      Z  0693000B  76          2015</t>
  </si>
  <si>
    <t>Broughton, Vanda, author.</t>
  </si>
  <si>
    <t>2017-03-26</t>
  </si>
  <si>
    <t>920570906</t>
  </si>
  <si>
    <t>ocn920570906</t>
  </si>
  <si>
    <t>31036116659</t>
  </si>
  <si>
    <t>9781783300310</t>
  </si>
  <si>
    <t>795002376</t>
  </si>
  <si>
    <t>Z693 C38 1986</t>
  </si>
  <si>
    <t>0                      Z  0693000C  38          1986</t>
  </si>
  <si>
    <t>Cataloging special materials : critiques and innovations / edited by Sanford Berman.</t>
  </si>
  <si>
    <t>Phoenix, AZ : Oryx Press, 1986.</t>
  </si>
  <si>
    <t>890012124:eng</t>
  </si>
  <si>
    <t>13183942</t>
  </si>
  <si>
    <t>ocm13183942</t>
  </si>
  <si>
    <t>3000846747L</t>
  </si>
  <si>
    <t>9780897742467</t>
  </si>
  <si>
    <t>792843945</t>
  </si>
  <si>
    <t>Z693 C437</t>
  </si>
  <si>
    <t>0                      Z  0693000C  437</t>
  </si>
  <si>
    <t>Cataloging and classification : an introduction / Lois Mai Chan.</t>
  </si>
  <si>
    <t>Chan, Lois Mai.</t>
  </si>
  <si>
    <t>New York : McGraw-Hill, ©1981.</t>
  </si>
  <si>
    <t>McGraw-Hill series in library education</t>
  </si>
  <si>
    <t>2534768:eng</t>
  </si>
  <si>
    <t>6331164</t>
  </si>
  <si>
    <t>ocm06331164</t>
  </si>
  <si>
    <t>3102161904U</t>
  </si>
  <si>
    <t>9780070104983</t>
  </si>
  <si>
    <t>792491510</t>
  </si>
  <si>
    <t>2013-11-12</t>
  </si>
  <si>
    <t>3000843311$</t>
  </si>
  <si>
    <t>792491508</t>
  </si>
  <si>
    <t>3101417346P</t>
  </si>
  <si>
    <t>792491509</t>
  </si>
  <si>
    <t>Z693 C44 1990</t>
  </si>
  <si>
    <t>0                      Z  0693000C  44          1990</t>
  </si>
  <si>
    <t>How to catalogue : a practical handbook using AACR2 and Library of Congress / Liz Chapman.</t>
  </si>
  <si>
    <t>Chapman, Liz.</t>
  </si>
  <si>
    <t>London : Bingley, 1990.</t>
  </si>
  <si>
    <t>3547198:eng</t>
  </si>
  <si>
    <t>20633444</t>
  </si>
  <si>
    <t>ocm20633444</t>
  </si>
  <si>
    <t>3101014684B</t>
  </si>
  <si>
    <t>9780851574271</t>
  </si>
  <si>
    <t>793093567</t>
  </si>
  <si>
    <t>Z 693 C454c 1981</t>
  </si>
  <si>
    <t>0                      Z  0693000C  454c        1981</t>
  </si>
  <si>
    <t>3101086866R</t>
  </si>
  <si>
    <t>792491507</t>
  </si>
  <si>
    <t>Z693 C65 O98 1995</t>
  </si>
  <si>
    <t>0                      Z  0693000C  65                 O  98          1995</t>
  </si>
  <si>
    <t>Outsourcing cataloging, authority work, and physical processing : a checklist of considerations / Commercial Technical Services Committee, Association for Library Collections &amp; Technical Services ; edited by Marie A. Kascus, Dawn Hale.</t>
  </si>
  <si>
    <t>2015-08-05</t>
  </si>
  <si>
    <t>836969558:eng</t>
  </si>
  <si>
    <t>31289191</t>
  </si>
  <si>
    <t>ocm31289191</t>
  </si>
  <si>
    <t>31028207295</t>
  </si>
  <si>
    <t>9780838934494</t>
  </si>
  <si>
    <t>793357674</t>
  </si>
  <si>
    <t>Z693 C65 2011</t>
  </si>
  <si>
    <t>0                      Z  0693000C  65          2011</t>
  </si>
  <si>
    <t>Conversations with catalogers in the 21st century / Elaine R. Sanchez, editor ; foreword by Michael Gorman.</t>
  </si>
  <si>
    <t>895271688:eng</t>
  </si>
  <si>
    <t>682921018</t>
  </si>
  <si>
    <t>ocn682921018</t>
  </si>
  <si>
    <t>3103323756A</t>
  </si>
  <si>
    <t>9781598847024</t>
  </si>
  <si>
    <t>794853247</t>
  </si>
  <si>
    <t>Z693 E53 2008</t>
  </si>
  <si>
    <t>0                      Z  0693000E  53          2008</t>
  </si>
  <si>
    <t>Encyclopaedia of Anglo-American cataloguing rules / edited by Ram Shobhit Singh.</t>
  </si>
  <si>
    <t>New Delhi, India : Anmol Publications, 2008.</t>
  </si>
  <si>
    <t>159976614:eng</t>
  </si>
  <si>
    <t>277276929</t>
  </si>
  <si>
    <t>ocn277276929</t>
  </si>
  <si>
    <t>31031043621</t>
  </si>
  <si>
    <t>9788126136704</t>
  </si>
  <si>
    <t>794419440</t>
  </si>
  <si>
    <t>31031043573</t>
  </si>
  <si>
    <t>794419439</t>
  </si>
  <si>
    <t>Z693 F68 1985</t>
  </si>
  <si>
    <t>0                      Z  0693000F  68          1985</t>
  </si>
  <si>
    <t>Foundations of cataloging : a sourcebook / edited by Michael Carpenter and Elaine Svenonius.</t>
  </si>
  <si>
    <t>Littleton, Colo. : Libraries Unlimited, 1985.</t>
  </si>
  <si>
    <t>864622069:eng</t>
  </si>
  <si>
    <t>12106555</t>
  </si>
  <si>
    <t>ocm12106555</t>
  </si>
  <si>
    <t>3000846554W</t>
  </si>
  <si>
    <t>9780872875111</t>
  </si>
  <si>
    <t>792801729</t>
  </si>
  <si>
    <t>Z693 H64 2002</t>
  </si>
  <si>
    <t>0                      Z  0693000H  64          2002</t>
  </si>
  <si>
    <t>Small library cataloging / Herbert H. Hoffman.</t>
  </si>
  <si>
    <t>Hoffman, Herbert H.</t>
  </si>
  <si>
    <t>7899010:eng</t>
  </si>
  <si>
    <t>47521331</t>
  </si>
  <si>
    <t>ocm47521331</t>
  </si>
  <si>
    <t>3102163110K</t>
  </si>
  <si>
    <t>9780810837300</t>
  </si>
  <si>
    <t>793703619</t>
  </si>
  <si>
    <t>Z693 H88 2010</t>
  </si>
  <si>
    <t>0                      Z  0693000H  88          2010</t>
  </si>
  <si>
    <t>Bian mu de wei lai = The future of cataloging / Bianmujingling zhu.</t>
  </si>
  <si>
    <t>Hu, Xiaojing, 1964- author.</t>
  </si>
  <si>
    <t>Beijing Shi : Guo jia tu shu guan chu ban she, 2010.</t>
  </si>
  <si>
    <t>2011-05-11</t>
  </si>
  <si>
    <t>546975157:chi</t>
  </si>
  <si>
    <t>650056009</t>
  </si>
  <si>
    <t>ocn650056009</t>
  </si>
  <si>
    <t>3103350172L</t>
  </si>
  <si>
    <t>9787501343430</t>
  </si>
  <si>
    <t>794832194</t>
  </si>
  <si>
    <t>Z693 I56 2015</t>
  </si>
  <si>
    <t>0                      Z  0693000I  56          2015</t>
  </si>
  <si>
    <t>Standard cataloging for school and public libraries / Sheila S. Intner and Jean Weihs.</t>
  </si>
  <si>
    <t>Intner, Sheila S., author.</t>
  </si>
  <si>
    <t>Santa Barbara, California : Libraries Unlimited, an imprint of ABC-CLIO, LLC, [2015]</t>
  </si>
  <si>
    <t>2015-11-20</t>
  </si>
  <si>
    <t>4916350721:eng</t>
  </si>
  <si>
    <t>890912114</t>
  </si>
  <si>
    <t>ocn890912114</t>
  </si>
  <si>
    <t>3103582534J</t>
  </si>
  <si>
    <t>9781610691147</t>
  </si>
  <si>
    <t>794979695</t>
  </si>
  <si>
    <t>Z693 O339 1996</t>
  </si>
  <si>
    <t>0                      Z  0693000O  339         1996</t>
  </si>
  <si>
    <t>Future libraries, future catalogues / Pat Oddy.</t>
  </si>
  <si>
    <t>Oddy, Pat.</t>
  </si>
  <si>
    <t>London : Library Association Pub., 1997.</t>
  </si>
  <si>
    <t>693640:eng</t>
  </si>
  <si>
    <t>35759924</t>
  </si>
  <si>
    <t>ocm35759924</t>
  </si>
  <si>
    <t>3101701065B</t>
  </si>
  <si>
    <t>9781856042642</t>
  </si>
  <si>
    <t>793456830</t>
  </si>
  <si>
    <t>Z693 P54 1994</t>
  </si>
  <si>
    <t>0                      Z  0693000P  54          1994</t>
  </si>
  <si>
    <t>Easy MARC : a simplified guide to creating catalog records for library automation systems : pre-format integration / Scott Piepenburg.</t>
  </si>
  <si>
    <t>Piepenburg, Scott.</t>
  </si>
  <si>
    <t>Castle Rock, Colo. : Hi Willow Research and Pub., 1994.</t>
  </si>
  <si>
    <t>198814099:eng</t>
  </si>
  <si>
    <t>30983914</t>
  </si>
  <si>
    <t>ocm30983914</t>
  </si>
  <si>
    <t>31014282858</t>
  </si>
  <si>
    <t>9780931510519</t>
  </si>
  <si>
    <t>793350760</t>
  </si>
  <si>
    <t>Z693 P73 2011</t>
  </si>
  <si>
    <t>0                      Z  0693000P  73          2011</t>
  </si>
  <si>
    <t>Practical strategies for cataloging departments / Rebecca L. Lubas, editor.</t>
  </si>
  <si>
    <t>2015-02-27</t>
  </si>
  <si>
    <t>666094379:eng</t>
  </si>
  <si>
    <t>666573601</t>
  </si>
  <si>
    <t>ocn666573601</t>
  </si>
  <si>
    <t>31033437334</t>
  </si>
  <si>
    <t>9781598844924</t>
  </si>
  <si>
    <t>794845310</t>
  </si>
  <si>
    <t>Z693 R33 2008</t>
  </si>
  <si>
    <t>0                      Z  0693000R  33          2008</t>
  </si>
  <si>
    <t>Radical cataloging : essays at the front / edited by K.R. Roberto ; introduction by Sanford Berman.</t>
  </si>
  <si>
    <t>Jefferson, NC : McFarland &amp; Company, [2008]</t>
  </si>
  <si>
    <t>2018-10-22</t>
  </si>
  <si>
    <t>837032822:eng</t>
  </si>
  <si>
    <t>173241123</t>
  </si>
  <si>
    <t>ocn173241123</t>
  </si>
  <si>
    <t>31028838031</t>
  </si>
  <si>
    <t>9780786435432</t>
  </si>
  <si>
    <t>794265822</t>
  </si>
  <si>
    <t>Z693 W45 2009</t>
  </si>
  <si>
    <t>0                      Z  0693000W  45          2009</t>
  </si>
  <si>
    <t>Beginning cataloging / Jean Weihs and Sheila S. Intner.</t>
  </si>
  <si>
    <t>Weihs, Jean.</t>
  </si>
  <si>
    <t>2015-11-26</t>
  </si>
  <si>
    <t>196689304:eng</t>
  </si>
  <si>
    <t>319868218</t>
  </si>
  <si>
    <t>ocn319868218</t>
  </si>
  <si>
    <t>31031548206</t>
  </si>
  <si>
    <t>9781591586876</t>
  </si>
  <si>
    <t>794484817</t>
  </si>
  <si>
    <t>3103748478M</t>
  </si>
  <si>
    <t>794484816</t>
  </si>
  <si>
    <t>Z693 W94 1985</t>
  </si>
  <si>
    <t>0                      Z  0693000W  94          1985</t>
  </si>
  <si>
    <t>Introduction to cataloging and classification / Bohdan S. Wynar.</t>
  </si>
  <si>
    <t>Wynar, Bohdan S.</t>
  </si>
  <si>
    <t>7th ed. / by Arlene G. Taylor.</t>
  </si>
  <si>
    <t>2015-10-31</t>
  </si>
  <si>
    <t>4918665532:eng</t>
  </si>
  <si>
    <t>12668634</t>
  </si>
  <si>
    <t>ocm12668634</t>
  </si>
  <si>
    <t>31010084780</t>
  </si>
  <si>
    <t>9780872875128</t>
  </si>
  <si>
    <t>792823463</t>
  </si>
  <si>
    <t>Z693 W94 2000</t>
  </si>
  <si>
    <t>0                      Z  0693000W  94          2000</t>
  </si>
  <si>
    <t>Wynar's introduction to cataloging and classification.</t>
  </si>
  <si>
    <t>Englewood, Colo. : Libraries Unlimited, 2000.</t>
  </si>
  <si>
    <t>9th ed. / Arlene G. Taylor ; with the assistance of David P. Miller.</t>
  </si>
  <si>
    <t>3802219018:eng</t>
  </si>
  <si>
    <t>43930123</t>
  </si>
  <si>
    <t>ocm43930123</t>
  </si>
  <si>
    <t>31021550338</t>
  </si>
  <si>
    <t>9781563084942</t>
  </si>
  <si>
    <t>793639025</t>
  </si>
  <si>
    <t>Z693 W94 2004</t>
  </si>
  <si>
    <t>0                      Z  0693000W  94          2004</t>
  </si>
  <si>
    <t>Rev. 9th ed. / Arlene G. Taylor with the assistance of David P. Miller.</t>
  </si>
  <si>
    <t>55633896</t>
  </si>
  <si>
    <t>ocm55633896</t>
  </si>
  <si>
    <t>3102693155J</t>
  </si>
  <si>
    <t>9781591582137</t>
  </si>
  <si>
    <t>793879888</t>
  </si>
  <si>
    <t>2007-09-13</t>
  </si>
  <si>
    <t>3102449315Y</t>
  </si>
  <si>
    <t>793879889</t>
  </si>
  <si>
    <t>Z693 W94 2006</t>
  </si>
  <si>
    <t>0                      Z  0693000W  94          2006</t>
  </si>
  <si>
    <t>Introduction to cataloging and classification / Arlene G. Taylor ; with the assistance of David P. Miller.</t>
  </si>
  <si>
    <t>10th ed.</t>
  </si>
  <si>
    <t>66527059</t>
  </si>
  <si>
    <t>ocm66527059</t>
  </si>
  <si>
    <t>3102585426J</t>
  </si>
  <si>
    <t>9781591582304</t>
  </si>
  <si>
    <t>794139290</t>
  </si>
  <si>
    <t>3103026685D</t>
  </si>
  <si>
    <t>794139291</t>
  </si>
  <si>
    <t>Z693 W94 2015</t>
  </si>
  <si>
    <t>0                      Z  0693000W  94          2015</t>
  </si>
  <si>
    <t>Introduction to cataloging and classification / Daniel N. Joudrey, Arlene G. Taylor, and David P. Miller.</t>
  </si>
  <si>
    <t>Eleventh edition.</t>
  </si>
  <si>
    <t>4926982125:eng</t>
  </si>
  <si>
    <t>911180115</t>
  </si>
  <si>
    <t>ocn911180115</t>
  </si>
  <si>
    <t>3103608099O</t>
  </si>
  <si>
    <t>9781598848571</t>
  </si>
  <si>
    <t>794998140</t>
  </si>
  <si>
    <t>Z693.3 A88 E86 2019</t>
  </si>
  <si>
    <t>0                      Z  0693300A  88                 E  86          2019</t>
  </si>
  <si>
    <t>Ethical questions in name authority control / Jane Sandberg, editor.</t>
  </si>
  <si>
    <t>Sacramento, CA : Library Juice Press, 2019.</t>
  </si>
  <si>
    <t>2019-06-05</t>
  </si>
  <si>
    <t>5379602959:eng</t>
  </si>
  <si>
    <t>1048278063</t>
  </si>
  <si>
    <t>on1048278063</t>
  </si>
  <si>
    <t>3103639761Z</t>
  </si>
  <si>
    <t>9781634000543</t>
  </si>
  <si>
    <t>795060842</t>
  </si>
  <si>
    <t>Z693.3 C37 K7313 2011</t>
  </si>
  <si>
    <t>0                      Z  0693300C  37                 K  7313        2011</t>
  </si>
  <si>
    <t>Paper machines : about cards &amp; catalogs, 1548-1929 / Markus Krajewski ; translated by Peter Krapp.</t>
  </si>
  <si>
    <t>Krajewski, Markus, 1972-</t>
  </si>
  <si>
    <t>Cambridge, Mass. : MIT Press, ©2011.</t>
  </si>
  <si>
    <t>History and foundations of information science</t>
  </si>
  <si>
    <t>348397086:eng</t>
  </si>
  <si>
    <t>698360129</t>
  </si>
  <si>
    <t>ocn698360129</t>
  </si>
  <si>
    <t>3103383601U</t>
  </si>
  <si>
    <t>9780262015899</t>
  </si>
  <si>
    <t>794860980</t>
  </si>
  <si>
    <t>Z693.3 E76 B33 2004</t>
  </si>
  <si>
    <t>0                      Z  0693300E  76                 B  33          2004</t>
  </si>
  <si>
    <t>The theory and practice of bibliographic failure, or, Misinformation in the information society / by D.W. Bade.</t>
  </si>
  <si>
    <t>Bade, David W.</t>
  </si>
  <si>
    <t>City of the Red Hero [Ulaanbaatar] : Chuluunbat, 2004.</t>
  </si>
  <si>
    <t>17488148:eng</t>
  </si>
  <si>
    <t>70802962</t>
  </si>
  <si>
    <t>ocm70802962</t>
  </si>
  <si>
    <t>3103094375Y</t>
  </si>
  <si>
    <t>9781830488473</t>
  </si>
  <si>
    <t>794159382</t>
  </si>
  <si>
    <t>Z693.3 P76 C47 2004</t>
  </si>
  <si>
    <t>0                      Z  0693300P  76                 C  47          2004</t>
  </si>
  <si>
    <t>Books and their owners : provenance information and the European cultural heritage : papers presented on 12 November 2004 at the CERL conference hosted by the National Library of Scotland, Edinburgh / edited by David J. Shaw.</t>
  </si>
  <si>
    <t>CERL Conference (5th : 2004 : Edinburgh, Scotland)</t>
  </si>
  <si>
    <t>London : CERL, 2005.</t>
  </si>
  <si>
    <t>CERL papers ; 5</t>
  </si>
  <si>
    <t>572800738:eng</t>
  </si>
  <si>
    <t>62710974</t>
  </si>
  <si>
    <t>ocm62710974</t>
  </si>
  <si>
    <t>3102565269R</t>
  </si>
  <si>
    <t>9780954153533</t>
  </si>
  <si>
    <t>794111085</t>
  </si>
  <si>
    <t>Z693.3 S63 F35 2010</t>
  </si>
  <si>
    <t>0                      Z  0693300S  63                 F  35          2010</t>
  </si>
  <si>
    <t>Cataloguing outside the box : a practical guide to cataloguing special collections materials / Patricia Falk and Stefanie Dennis Hunker.</t>
  </si>
  <si>
    <t>Falk, Patricia K.</t>
  </si>
  <si>
    <t>2019-02-06</t>
  </si>
  <si>
    <t>919077380:eng</t>
  </si>
  <si>
    <t>436265337</t>
  </si>
  <si>
    <t>ocn436265337</t>
  </si>
  <si>
    <t>3103228773T</t>
  </si>
  <si>
    <t>9781843345534</t>
  </si>
  <si>
    <t>794784513</t>
  </si>
  <si>
    <t>Z693.5 U6 C48 2007</t>
  </si>
  <si>
    <t>0                      Z  0693500U  6                  C  48          2007</t>
  </si>
  <si>
    <t>Cataloging and classification : an introduction / Lois Mai Chan ; with the assistance of Theodora L. Hodges.</t>
  </si>
  <si>
    <t>2015-11-22</t>
  </si>
  <si>
    <t>124031949</t>
  </si>
  <si>
    <t>ocn124031949</t>
  </si>
  <si>
    <t>3103113298Y</t>
  </si>
  <si>
    <t>9780810859449</t>
  </si>
  <si>
    <t>794229427</t>
  </si>
  <si>
    <t>2015-11-15</t>
  </si>
  <si>
    <t>3103026090T</t>
  </si>
  <si>
    <t>794229426</t>
  </si>
  <si>
    <t>3103602480M</t>
  </si>
  <si>
    <t>794229428</t>
  </si>
  <si>
    <t>Z694 A5 1982</t>
  </si>
  <si>
    <t>0                      Z  0694000A  5           1982</t>
  </si>
  <si>
    <t>Anglo-American cataloguing rules / prepared by the American Library Association [and others] ; edited by Michael Gorman &amp; Paul W. Winkler.</t>
  </si>
  <si>
    <t>London : Library Association, 1982.</t>
  </si>
  <si>
    <t>2nd ed., 3rd printing , with further corrections.</t>
  </si>
  <si>
    <t>9593045242:eng</t>
  </si>
  <si>
    <t>220013849</t>
  </si>
  <si>
    <t>ocn220013849</t>
  </si>
  <si>
    <t>3103871611J</t>
  </si>
  <si>
    <t>9780853656814</t>
  </si>
  <si>
    <t>794319660</t>
  </si>
  <si>
    <t>31038716169</t>
  </si>
  <si>
    <t>794319661</t>
  </si>
  <si>
    <t>2002-09-04</t>
  </si>
  <si>
    <t>3103871606C</t>
  </si>
  <si>
    <t>794319659</t>
  </si>
  <si>
    <t>Z694 B645 2003</t>
  </si>
  <si>
    <t>0                      Z  0694000B  645         2003</t>
  </si>
  <si>
    <t>Essential cataloguing / J.H. Bowman.</t>
  </si>
  <si>
    <t>Bowman, J. H.</t>
  </si>
  <si>
    <t>London : Facet Pub., 2003.</t>
  </si>
  <si>
    <t>9593456645:eng</t>
  </si>
  <si>
    <t>50526669</t>
  </si>
  <si>
    <t>ocm50526669</t>
  </si>
  <si>
    <t>3103157223C</t>
  </si>
  <si>
    <t>9781856044561</t>
  </si>
  <si>
    <t>793766977</t>
  </si>
  <si>
    <t>Z694 G64</t>
  </si>
  <si>
    <t>0                      Z  0694000G  64</t>
  </si>
  <si>
    <t>The concise AACR2 : being a rewritten and simplified version of Anglo-American cataloguing rules, second edition / prepared by Michael Gorman.</t>
  </si>
  <si>
    <t>Gorman, Michael, 1941-</t>
  </si>
  <si>
    <t>Chicago : American Library Association, 1981.</t>
  </si>
  <si>
    <t>198911015:eng</t>
  </si>
  <si>
    <t>7452872</t>
  </si>
  <si>
    <t>ocm07452872</t>
  </si>
  <si>
    <t>3000843545B</t>
  </si>
  <si>
    <t>9780838903254</t>
  </si>
  <si>
    <t>792559157</t>
  </si>
  <si>
    <t>Z694 G73 1984</t>
  </si>
  <si>
    <t>0                      Z  0694000G  73          1984</t>
  </si>
  <si>
    <t>LC and AACR 2 : an album of cataloging examples arranged by rule number / Alan M. Greenberg, Carole R. McIver.</t>
  </si>
  <si>
    <t>Greenberg, Alan M., 1945-</t>
  </si>
  <si>
    <t>Metuchen, N.J. : Scarecrow Press, 1984.</t>
  </si>
  <si>
    <t>2044783062:eng</t>
  </si>
  <si>
    <t>10300669</t>
  </si>
  <si>
    <t>ocm10300669</t>
  </si>
  <si>
    <t>3000845505D</t>
  </si>
  <si>
    <t>9780810816831</t>
  </si>
  <si>
    <t>792718894</t>
  </si>
  <si>
    <t>Z694 R35 2006</t>
  </si>
  <si>
    <t>0                      Z  0694000R  35          2006</t>
  </si>
  <si>
    <t>Descriptive and subject cataloguing : a workbook / Jaya Raju and Reggie Raju.</t>
  </si>
  <si>
    <t>Raju, Jayarani.</t>
  </si>
  <si>
    <t>1010750:eng</t>
  </si>
  <si>
    <t>63185159</t>
  </si>
  <si>
    <t>ocm63185159</t>
  </si>
  <si>
    <t>3102556376N</t>
  </si>
  <si>
    <t>9781843341260</t>
  </si>
  <si>
    <t>794119621</t>
  </si>
  <si>
    <t>Z694 S58 1980</t>
  </si>
  <si>
    <t>0                      Z  0694000S  58          1980</t>
  </si>
  <si>
    <t>Sample cataloguing forms : illustrations of solutions to problems of description : (with particular reference to chapters 1-13 of the Anglo-American cataloguing rules, second edition) / by Robert B. Slocum.</t>
  </si>
  <si>
    <t>Slocum, Robert B.</t>
  </si>
  <si>
    <t>Metuchen, N.J. : Scarecrow Press, 1980.</t>
  </si>
  <si>
    <t>3d ed.</t>
  </si>
  <si>
    <t>3857006095:eng</t>
  </si>
  <si>
    <t>6666290</t>
  </si>
  <si>
    <t>ocm06666290</t>
  </si>
  <si>
    <t>3000843284D</t>
  </si>
  <si>
    <t>9780810813649</t>
  </si>
  <si>
    <t>792515203</t>
  </si>
  <si>
    <t>Z694 W425 2012</t>
  </si>
  <si>
    <t>0                      Z  0694000W  425         2012</t>
  </si>
  <si>
    <t>Practical cataloguing : AACR, RDA and MARC 21 / Anne Welsh and Sue Batley.</t>
  </si>
  <si>
    <t>Welsh, Anne, 1972- author.</t>
  </si>
  <si>
    <t>895945859:eng</t>
  </si>
  <si>
    <t>792740684</t>
  </si>
  <si>
    <t>ocn792740684</t>
  </si>
  <si>
    <t>3103396982P</t>
  </si>
  <si>
    <t>9781856046954</t>
  </si>
  <si>
    <t>794916915</t>
  </si>
  <si>
    <t>Z694.15 A5 I55 1998</t>
  </si>
  <si>
    <t>0                      Z  0694150A  5                  I  55          1998</t>
  </si>
  <si>
    <t>The principles and future of AACR / Jean Weihs, editor.</t>
  </si>
  <si>
    <t>International Conference on the Principles and Future Development of AACR (1997 : Toronto, Ont.)</t>
  </si>
  <si>
    <t>2007-12-07</t>
  </si>
  <si>
    <t>5618946803:eng</t>
  </si>
  <si>
    <t>222974681</t>
  </si>
  <si>
    <t>ocn222974681</t>
  </si>
  <si>
    <t>3101918570H</t>
  </si>
  <si>
    <t>9780888022875</t>
  </si>
  <si>
    <t>794333696</t>
  </si>
  <si>
    <t>3101984840T</t>
  </si>
  <si>
    <t>794333697</t>
  </si>
  <si>
    <t>Z694.15 A56 A522 1995</t>
  </si>
  <si>
    <t>0                      Z  0694150A  56                 A  522         1995</t>
  </si>
  <si>
    <t>The future of the descriptive cataloging rules : papers from the ALCTS Preconference, AACR2000, American Library Association annual conference, Chicago, June 22, 1995 / edited by Brian E.C. Schottlaender.</t>
  </si>
  <si>
    <t>"AACR2000" ALCTS Preconference (1995 : Chicago, Ill.)</t>
  </si>
  <si>
    <t>Chicago : American Library Association, ©1998.</t>
  </si>
  <si>
    <t>ALCTS papers on library technical services and collections ; no. 6</t>
  </si>
  <si>
    <t>799538719:eng</t>
  </si>
  <si>
    <t>37509968</t>
  </si>
  <si>
    <t>ocm37509968</t>
  </si>
  <si>
    <t>31018782255</t>
  </si>
  <si>
    <t>9780838934777</t>
  </si>
  <si>
    <t>793500473</t>
  </si>
  <si>
    <t>Z694.15 A56 A53 1998</t>
  </si>
  <si>
    <t>0                      Z  0694150A  56                 A  53          1998</t>
  </si>
  <si>
    <t>Anglo-American cataloguing rules / prepared under the direction of the Joint Steering Committee for Revision of AACR, a committee of the American Library Association, the Australian Committee on Cataloguing, the British Library, the Canadian Committee on Cataloguing, the Library Association, the Library of Congress ; [editors, Michael Gorman and Paul W. Winkler].</t>
  </si>
  <si>
    <t>Ottawa : Canadian Library Association ; Chicago : American Library Association, 1998.</t>
  </si>
  <si>
    <t>2nd ed., 1998 revision.</t>
  </si>
  <si>
    <t>2003-09-06</t>
  </si>
  <si>
    <t>5534272148:eng</t>
  </si>
  <si>
    <t>39281762</t>
  </si>
  <si>
    <t>ocm39281762</t>
  </si>
  <si>
    <t>3101945974R</t>
  </si>
  <si>
    <t>9780838934869</t>
  </si>
  <si>
    <t>793542382</t>
  </si>
  <si>
    <t>suppl.:pt-1-2</t>
  </si>
  <si>
    <t>31022041922</t>
  </si>
  <si>
    <t>793542383</t>
  </si>
  <si>
    <t>2004-03-13</t>
  </si>
  <si>
    <t>3102136450$</t>
  </si>
  <si>
    <t>793542384</t>
  </si>
  <si>
    <t>31022041932</t>
  </si>
  <si>
    <t>793542381</t>
  </si>
  <si>
    <t>Z694.15 A56 A53 2003</t>
  </si>
  <si>
    <t>0                      Z  0694150A  56                 A  53          2003</t>
  </si>
  <si>
    <t>Anglo-American cataloguing rules / prepared under the direction of the Joint Steering Committee for Revision of AACR, a committee of the American Library Association [and others].</t>
  </si>
  <si>
    <t>Chicago : American Library Association ; Ottawa : Canadian Library Association ; London : Chartered Institute of Library and Information Professionals, 2003.</t>
  </si>
  <si>
    <t>2nd ed., 2002 revision.</t>
  </si>
  <si>
    <t>10142109531:eng</t>
  </si>
  <si>
    <t>55070581</t>
  </si>
  <si>
    <t>ocm55070581</t>
  </si>
  <si>
    <t>3103025836L</t>
  </si>
  <si>
    <t>9780838935378</t>
  </si>
  <si>
    <t>793873831</t>
  </si>
  <si>
    <t>3103751539K</t>
  </si>
  <si>
    <t>793873832</t>
  </si>
  <si>
    <t>Z694.15 A56 G67 2004</t>
  </si>
  <si>
    <t>0                      Z  0694150A  56                 G  67          2004</t>
  </si>
  <si>
    <t>The concise AACR2 / prepared by Michael Gorman.</t>
  </si>
  <si>
    <t>Chicago : American Library Association ; Ottawa : Canadian Library Association ; London : Chartered Institute of Library and Information Professionals, 2004.</t>
  </si>
  <si>
    <t>55960806</t>
  </si>
  <si>
    <t>ocm55960806</t>
  </si>
  <si>
    <t>31029303108</t>
  </si>
  <si>
    <t>9780838935484</t>
  </si>
  <si>
    <t>793884559</t>
  </si>
  <si>
    <t>Z694.15 A56 M393 2004</t>
  </si>
  <si>
    <t>0                      Z  0694150A  56                 M  393         2004</t>
  </si>
  <si>
    <t>Maxwell's handbook for AACR2 : explaining and illustrating the Anglo-American cataloguing rules through the 2003 update / Robert L. Maxwell.</t>
  </si>
  <si>
    <t>800656400:eng</t>
  </si>
  <si>
    <t>54356559</t>
  </si>
  <si>
    <t>ocm54356559</t>
  </si>
  <si>
    <t>3102809382G</t>
  </si>
  <si>
    <t>9780838908754</t>
  </si>
  <si>
    <t>793859935</t>
  </si>
  <si>
    <t>Z694.15 A56 R446 2005</t>
  </si>
  <si>
    <t>0                      Z  0694150A  56                 R  446         2005</t>
  </si>
  <si>
    <t>Règles de catalogage anglo-américaines, deuxième édition, révision de 1998 : Modifications de 2001-2005 / élaborées sous la direction de: the Joint Steering Committee for Revision of AACR composé de délégués de the American Library Association ... [et al.] ; coordination de la version française, Pierre Manseau.</t>
  </si>
  <si>
    <t>Anglo-American cataloguing rules. Amendments 2001-2005. Français.</t>
  </si>
  <si>
    <t>Montréal : Éditions ASTED, 2005.</t>
  </si>
  <si>
    <t>10141508297:fre</t>
  </si>
  <si>
    <t>71236256</t>
  </si>
  <si>
    <t>ocm71236256</t>
  </si>
  <si>
    <t>3102887730J</t>
  </si>
  <si>
    <t>9782921548861</t>
  </si>
  <si>
    <t>794163815</t>
  </si>
  <si>
    <t>Z694.15 R47 B74 2016</t>
  </si>
  <si>
    <t>0                      Z  0694150R  47                 B  74          2016</t>
  </si>
  <si>
    <t>RDA essentials / Thomas Brenndorfer.</t>
  </si>
  <si>
    <t>Brenndorfer, Thomas, author.</t>
  </si>
  <si>
    <t>2520561368:eng</t>
  </si>
  <si>
    <t>908700868</t>
  </si>
  <si>
    <t>ocn908700868</t>
  </si>
  <si>
    <t>31036978348</t>
  </si>
  <si>
    <t>9780838913284</t>
  </si>
  <si>
    <t>794995021</t>
  </si>
  <si>
    <t>Z694.15 R47 E42 2013x</t>
  </si>
  <si>
    <t>0                      Z  0694150R  47                 E  42          2013x</t>
  </si>
  <si>
    <t>RDA : strategies for implementation / Magda El-Sherbini.</t>
  </si>
  <si>
    <t>El-Sherbini, Magda.</t>
  </si>
  <si>
    <t>1417222661:eng</t>
  </si>
  <si>
    <t>775075431</t>
  </si>
  <si>
    <t>ocn775075431</t>
  </si>
  <si>
    <t>3103501601T</t>
  </si>
  <si>
    <t>9781856048347</t>
  </si>
  <si>
    <t>794907278</t>
  </si>
  <si>
    <t>- Redpath Basement - Chinese Japanese Korean Collection - In Library Use</t>
  </si>
  <si>
    <t>Z694.15 R47 G87 2017</t>
  </si>
  <si>
    <t>0                      Z  0694150R  47                 G  87          2017</t>
  </si>
  <si>
    <t>Guo jia tu shu guan wai wen wen xian zi yuan RDA ben di zheng ce sheng ming ji shu mu ji lu cao zuo xi ze / Guo jia tu shu guan bian mu gong zuo wei yuan hui bian.</t>
  </si>
  <si>
    <t>Beijing Shi : Guo jia tu shu guan chu ban she, 2017.</t>
  </si>
  <si>
    <t>5341142400:chi</t>
  </si>
  <si>
    <t>1044731076</t>
  </si>
  <si>
    <t>on1044731076</t>
  </si>
  <si>
    <t>B001670854</t>
  </si>
  <si>
    <t>9787501362769</t>
  </si>
  <si>
    <t>795060035</t>
  </si>
  <si>
    <t>Z694.15 R47 H35 2016</t>
  </si>
  <si>
    <t>0                      Z  0694150R  47                 H  35          2016</t>
  </si>
  <si>
    <t>Survey of emerging cataloging practices : use of RDA by academic libraries / by Salman Haider and Primary Research Group Staff.</t>
  </si>
  <si>
    <t>Haider, Salman, author.</t>
  </si>
  <si>
    <t>New York : Primary Research Group, [2016]</t>
  </si>
  <si>
    <t>3004299610:eng</t>
  </si>
  <si>
    <t>949911758</t>
  </si>
  <si>
    <t>ocn949911758</t>
  </si>
  <si>
    <t>3103656417G</t>
  </si>
  <si>
    <t>9781574403831</t>
  </si>
  <si>
    <t>795016348</t>
  </si>
  <si>
    <t>Z694.15 R47 H37 2010</t>
  </si>
  <si>
    <t>0                      Z  0694150R  47                 H  37          2010</t>
  </si>
  <si>
    <t>The RDA primer : a guide for the occasional cataloger / Amy Hart.</t>
  </si>
  <si>
    <t>Hart, Amy.</t>
  </si>
  <si>
    <t>Santa Barbara, Calif. : Linworth, ©2010.</t>
  </si>
  <si>
    <t>2016-04-30</t>
  </si>
  <si>
    <t>796172091:eng</t>
  </si>
  <si>
    <t>606787468</t>
  </si>
  <si>
    <t>ocn606787468</t>
  </si>
  <si>
    <t>3103238211E</t>
  </si>
  <si>
    <t>9781586833480</t>
  </si>
  <si>
    <t>794817309</t>
  </si>
  <si>
    <t>3103748413D</t>
  </si>
  <si>
    <t>794817310</t>
  </si>
  <si>
    <t>Z694.15 R47 J66 2013</t>
  </si>
  <si>
    <t>0                      Z  0694150R  47                 J  66          2013</t>
  </si>
  <si>
    <t>RDA and serials cataloguing / Ed Jones.</t>
  </si>
  <si>
    <t>Jones, Ed, 1951- author.</t>
  </si>
  <si>
    <t>1410639175:eng</t>
  </si>
  <si>
    <t>828418561</t>
  </si>
  <si>
    <t>ocn828418561</t>
  </si>
  <si>
    <t>3103501178U</t>
  </si>
  <si>
    <t>9781856049504</t>
  </si>
  <si>
    <t>794941178</t>
  </si>
  <si>
    <t>Z694.15 R47 M39 2013</t>
  </si>
  <si>
    <t>0                      Z  0694150R  47                 M  39          2013</t>
  </si>
  <si>
    <t>Maxwell's handbook for RDA, resource description &amp; access : explaining and illustrating RDA: resource description and access using MARC21 / Robert L. Maxwell.</t>
  </si>
  <si>
    <t>1788184418:eng</t>
  </si>
  <si>
    <t>780483684</t>
  </si>
  <si>
    <t>ocn780483684</t>
  </si>
  <si>
    <t>3103748423A</t>
  </si>
  <si>
    <t>9780838911723</t>
  </si>
  <si>
    <t>794912301</t>
  </si>
  <si>
    <t>3103748501G</t>
  </si>
  <si>
    <t>794912302</t>
  </si>
  <si>
    <t>3103528778B</t>
  </si>
  <si>
    <t>794912300</t>
  </si>
  <si>
    <t>Z694.15 R47 O45 2010</t>
  </si>
  <si>
    <t>0                      Z  0694150R  47                 O  45          2010</t>
  </si>
  <si>
    <t>Introducing RDA : a guide to the basics / Chris Oliver.</t>
  </si>
  <si>
    <t>Oliver, Chris, 1951- author.</t>
  </si>
  <si>
    <t>ALA Editions special reports</t>
  </si>
  <si>
    <t>797218929:eng</t>
  </si>
  <si>
    <t>528423491</t>
  </si>
  <si>
    <t>ocn528423491</t>
  </si>
  <si>
    <t>3103276783A</t>
  </si>
  <si>
    <t>9780838935941</t>
  </si>
  <si>
    <t>794809515</t>
  </si>
  <si>
    <t>3103372963I</t>
  </si>
  <si>
    <t>794809513</t>
  </si>
  <si>
    <t>Z694.15 R47 R48</t>
  </si>
  <si>
    <t>0                      Z  0694150R  47                 R  48</t>
  </si>
  <si>
    <t>Resource description &amp; access : RDA / developed in a collaborative process led by the Joint Steering Committee for Development of RDA (JSC).</t>
  </si>
  <si>
    <t>Chicago : American Library Association, 2010-</t>
  </si>
  <si>
    <t>2866762162:eng</t>
  </si>
  <si>
    <t>664141075</t>
  </si>
  <si>
    <t>ocn664141075</t>
  </si>
  <si>
    <t>3103349916F</t>
  </si>
  <si>
    <t>Book_Continuing</t>
  </si>
  <si>
    <t>9780838910931</t>
  </si>
  <si>
    <t>794843216</t>
  </si>
  <si>
    <t>2011-12-06</t>
  </si>
  <si>
    <t>3103346375X</t>
  </si>
  <si>
    <t>794843217</t>
  </si>
  <si>
    <t>Z695 A25 2017</t>
  </si>
  <si>
    <t>0                      Z  0695000A  25          2017</t>
  </si>
  <si>
    <t>Cruising the library : perversities in the organization of knowledge / Melissa Adler.</t>
  </si>
  <si>
    <t>Adler, Melissa, author.</t>
  </si>
  <si>
    <t>4125991372:eng</t>
  </si>
  <si>
    <t>960836480</t>
  </si>
  <si>
    <t>ocn960836480</t>
  </si>
  <si>
    <t>3103739129B</t>
  </si>
  <si>
    <t>9780823276363</t>
  </si>
  <si>
    <t>795023308</t>
  </si>
  <si>
    <t>Z695 A3 A35</t>
  </si>
  <si>
    <t>0                      Z  0695000A  3                  A  35</t>
  </si>
  <si>
    <t>Thesaurus construction: a practical manual [by] Jean Aitchison [and] Alan Gilchrist.</t>
  </si>
  <si>
    <t>Aitchison, Jean, 1925-</t>
  </si>
  <si>
    <t>London, Aslib, 1972.</t>
  </si>
  <si>
    <t>29711932:eng</t>
  </si>
  <si>
    <t>1164967</t>
  </si>
  <si>
    <t>ocm01164967</t>
  </si>
  <si>
    <t>3100385369X</t>
  </si>
  <si>
    <t>9780851420424</t>
  </si>
  <si>
    <t>791561842</t>
  </si>
  <si>
    <t>30008575015</t>
  </si>
  <si>
    <t>791561841</t>
  </si>
  <si>
    <t>Z695 A315 2000</t>
  </si>
  <si>
    <t>0                      Z  0695000A  315         2000</t>
  </si>
  <si>
    <t>Thesaurus construction and use : a practical manual / Jean Aitchison, Alan Gilchrist, David Bawden.</t>
  </si>
  <si>
    <t>London : Aslib IMI, ©2000.</t>
  </si>
  <si>
    <t>3901296599:eng</t>
  </si>
  <si>
    <t>46983753</t>
  </si>
  <si>
    <t>ocm46983753</t>
  </si>
  <si>
    <t>31024882995</t>
  </si>
  <si>
    <t>9780851424460</t>
  </si>
  <si>
    <t>793696012</t>
  </si>
  <si>
    <t>Z695 B76 2006</t>
  </si>
  <si>
    <t>0                      Z  0695000B  76          2006</t>
  </si>
  <si>
    <t>Essential thesaurus construction / Vanda Broughton.</t>
  </si>
  <si>
    <t>47077419:eng</t>
  </si>
  <si>
    <t>62761664</t>
  </si>
  <si>
    <t>ocm62761664</t>
  </si>
  <si>
    <t>3102594424I</t>
  </si>
  <si>
    <t>9781856045650</t>
  </si>
  <si>
    <t>794112224</t>
  </si>
  <si>
    <t>Z695 C35 1972</t>
  </si>
  <si>
    <t>0                      Z  0695000C  35          1972</t>
  </si>
  <si>
    <t>Cataloguing standards; the report of the Canadian Task Group on Cataloguing Standards, with recommendations to the National Librarian, Guy Sylvestre.</t>
  </si>
  <si>
    <t>Canadian Task Group on Cataloguing Standards.</t>
  </si>
  <si>
    <t>Ottawa, National Library of Canada, 1972.</t>
  </si>
  <si>
    <t>1726087:eng</t>
  </si>
  <si>
    <t>724741</t>
  </si>
  <si>
    <t>ocm00724741</t>
  </si>
  <si>
    <t>31013347111</t>
  </si>
  <si>
    <t>791455849</t>
  </si>
  <si>
    <t>Z695 C41</t>
  </si>
  <si>
    <t>0                      Z  0695000C  41</t>
  </si>
  <si>
    <t>Library of Congress subject headings : principles and application / Lois Mai Chan.</t>
  </si>
  <si>
    <t>Littleton, Colo. : Libraries Unlimited, 1978.</t>
  </si>
  <si>
    <t>Research studies in library science ; no. 15</t>
  </si>
  <si>
    <t>2070282766:eng</t>
  </si>
  <si>
    <t>3933635</t>
  </si>
  <si>
    <t>ocm03933635</t>
  </si>
  <si>
    <t>31011200926</t>
  </si>
  <si>
    <t>9780872871878</t>
  </si>
  <si>
    <t>792306194</t>
  </si>
  <si>
    <t>Z695 C41 1986</t>
  </si>
  <si>
    <t>0                      Z  0695000C  41          1986</t>
  </si>
  <si>
    <t>Littleton, Colo. : Libraries Unlimited, 1986.</t>
  </si>
  <si>
    <t>Research studies in library science ; no. 19</t>
  </si>
  <si>
    <t>795382695:eng</t>
  </si>
  <si>
    <t>12808038</t>
  </si>
  <si>
    <t>ocm12808038</t>
  </si>
  <si>
    <t>3000846725V</t>
  </si>
  <si>
    <t>9780872875432</t>
  </si>
  <si>
    <t>792828927</t>
  </si>
  <si>
    <t>Z695 C87 2010</t>
  </si>
  <si>
    <t>0                      Z  0695000C  87          2010</t>
  </si>
  <si>
    <t>Ontologies, taxonomies and thesauri in systems science and systematics / Emilia Currás.</t>
  </si>
  <si>
    <t>Currás, Emilia.</t>
  </si>
  <si>
    <t>686021021:eng</t>
  </si>
  <si>
    <t>670184569</t>
  </si>
  <si>
    <t>ocn670184569</t>
  </si>
  <si>
    <t>3103232287O</t>
  </si>
  <si>
    <t>9781843346128</t>
  </si>
  <si>
    <t>794847419</t>
  </si>
  <si>
    <t>Z695 C98 B3 1891</t>
  </si>
  <si>
    <t>0                      Z  0695000C  98                 B  3           1891</t>
  </si>
  <si>
    <t>Rules for a dictionary catalogue / by Charles A. Cutter.</t>
  </si>
  <si>
    <t>Cutter, Charles A. (Charles Ammi), 1837-1903.</t>
  </si>
  <si>
    <t>Washington : Government Printing Office, 1891.</t>
  </si>
  <si>
    <t>3rd ed., with corrections and additions and an alphabetical index.</t>
  </si>
  <si>
    <t>2014-08-06</t>
  </si>
  <si>
    <t>2070154083:eng</t>
  </si>
  <si>
    <t>3866596</t>
  </si>
  <si>
    <t>ocm03866596</t>
  </si>
  <si>
    <t>3000860067O</t>
  </si>
  <si>
    <t>792299805</t>
  </si>
  <si>
    <t>Z695 F39 1991</t>
  </si>
  <si>
    <t>0                      Z  0695000F  39          1991</t>
  </si>
  <si>
    <t>Subject cataloging : a how-to-do-it workbook / Terry Ellen Ferl, Larry Millsap.</t>
  </si>
  <si>
    <t>Ferl, Terry Ellen.</t>
  </si>
  <si>
    <t>How-to-do-it manuals for libraries ; no. 16</t>
  </si>
  <si>
    <t>2015-03-18</t>
  </si>
  <si>
    <t>371862008:eng</t>
  </si>
  <si>
    <t>24501329</t>
  </si>
  <si>
    <t>ocm24501329</t>
  </si>
  <si>
    <t>31009837700</t>
  </si>
  <si>
    <t>9781555700997</t>
  </si>
  <si>
    <t>793199499</t>
  </si>
  <si>
    <t>Z695 F66</t>
  </si>
  <si>
    <t>0                      Z  0695000F  66</t>
  </si>
  <si>
    <t>The subject approach to information [by] A.C. Foskett.</t>
  </si>
  <si>
    <t>Foskett, A. C. (Antony Charles)</t>
  </si>
  <si>
    <t>[Hamden, Conn.] Archon Books [1969]</t>
  </si>
  <si>
    <t>2018-02-09</t>
  </si>
  <si>
    <t>693634:eng</t>
  </si>
  <si>
    <t>29135</t>
  </si>
  <si>
    <t>ocm00029135</t>
  </si>
  <si>
    <t>30008439405</t>
  </si>
  <si>
    <t>9780208008725</t>
  </si>
  <si>
    <t>791233551</t>
  </si>
  <si>
    <t>Z695 F66 1996</t>
  </si>
  <si>
    <t>0                      Z  0695000F  66          1996</t>
  </si>
  <si>
    <t>The subject approach to information / A.C. Foskett.</t>
  </si>
  <si>
    <t>London : Library Association Pub., 1996.</t>
  </si>
  <si>
    <t>35581812</t>
  </si>
  <si>
    <t>ocm35581812</t>
  </si>
  <si>
    <t>3101702668D</t>
  </si>
  <si>
    <t>9781856040488</t>
  </si>
  <si>
    <t>793452659</t>
  </si>
  <si>
    <t>2012-12-07</t>
  </si>
  <si>
    <t>3103009483H</t>
  </si>
  <si>
    <t>793452658</t>
  </si>
  <si>
    <t>Z695 H83 2013</t>
  </si>
  <si>
    <t>0                      Z  0695000H  83          2013</t>
  </si>
  <si>
    <t>Analyse et représentation documentaires : introduction à l'indexation, à la classification et à la condensation des documents / Michèle Hudon.</t>
  </si>
  <si>
    <t>Hudon, Michèle.</t>
  </si>
  <si>
    <t>Québec (Québec) : Presses de l'Université du Québec, [2013]</t>
  </si>
  <si>
    <t>1213277280:fre</t>
  </si>
  <si>
    <t>854906607</t>
  </si>
  <si>
    <t>ocn854906607</t>
  </si>
  <si>
    <t>3103492828D</t>
  </si>
  <si>
    <t>9782760537453</t>
  </si>
  <si>
    <t>794952833</t>
  </si>
  <si>
    <t>Z695 L695 1984</t>
  </si>
  <si>
    <t>0                      Z  0695000L  695         1984</t>
  </si>
  <si>
    <t>Subject cataloging manual. Subject headings / Subject Cataloging Division, Processing Services.</t>
  </si>
  <si>
    <t>Library of Congress. Subject Cataloging Division.</t>
  </si>
  <si>
    <t>Washington : Library of Congress, 1984-</t>
  </si>
  <si>
    <t>Prelim. ed.</t>
  </si>
  <si>
    <t>481327655:eng</t>
  </si>
  <si>
    <t>10777785</t>
  </si>
  <si>
    <t>ocm10777785</t>
  </si>
  <si>
    <t>3101848141T</t>
  </si>
  <si>
    <t>9780844404615</t>
  </si>
  <si>
    <t>792742562</t>
  </si>
  <si>
    <t>Z695 N4 1971</t>
  </si>
  <si>
    <t>0                      Z  0695000N  4           1971</t>
  </si>
  <si>
    <t>Organizing knowledge in libraries: an introduction to information retrieval [by] C.D. Needham.</t>
  </si>
  <si>
    <t>Needham, Christopher Donald.</t>
  </si>
  <si>
    <t>London, Deutsch, 1971.</t>
  </si>
  <si>
    <t>2276647811:eng</t>
  </si>
  <si>
    <t>383542</t>
  </si>
  <si>
    <t>ocm00383542</t>
  </si>
  <si>
    <t>3000857987R</t>
  </si>
  <si>
    <t>9780233958361</t>
  </si>
  <si>
    <t>791359870</t>
  </si>
  <si>
    <t>Z695 N6 1969</t>
  </si>
  <si>
    <t>0                      Z  0695000N  6           1969</t>
  </si>
  <si>
    <t>A history of cataloguing and cataloguing methods, 1100-1850 : with an introductory survey of ancient times / by Dorothy May Norris ; with a foreword by H.M. Cashmore.</t>
  </si>
  <si>
    <t>Norris, Dorothy May.</t>
  </si>
  <si>
    <t>Detroit : Gale Research Co., 1969.</t>
  </si>
  <si>
    <t>1695838:eng</t>
  </si>
  <si>
    <t>153199293</t>
  </si>
  <si>
    <t>ocn153199293</t>
  </si>
  <si>
    <t>3000857992Y</t>
  </si>
  <si>
    <t>794249639</t>
  </si>
  <si>
    <t>Z695 O42</t>
  </si>
  <si>
    <t>0                      Z  0695000O  42</t>
  </si>
  <si>
    <t>Readings in library cataloguing.</t>
  </si>
  <si>
    <t>Olding, R. K. (Raymond Knox), 1929-2018, ed.</t>
  </si>
  <si>
    <t>[Hamden, Conn.] Archon Books, 1966.</t>
  </si>
  <si>
    <t>Contributions to library literature ; 6</t>
  </si>
  <si>
    <t>1707029:eng</t>
  </si>
  <si>
    <t>576699</t>
  </si>
  <si>
    <t>ocm00576699</t>
  </si>
  <si>
    <t>3000857993W</t>
  </si>
  <si>
    <t>791419243</t>
  </si>
  <si>
    <t>Z695 O47 2002</t>
  </si>
  <si>
    <t>0                      Z  0695000O  47          2002</t>
  </si>
  <si>
    <t>The power to name : locating the limits of subject representation in libraries / by Hope A. Olson.</t>
  </si>
  <si>
    <t>Olson, Hope A.</t>
  </si>
  <si>
    <t>Dordrecht, The Netherlands ; Boston : Kluwer Academic Publishers, ©2002.</t>
  </si>
  <si>
    <t>837833839:eng</t>
  </si>
  <si>
    <t>50404371</t>
  </si>
  <si>
    <t>ocm50404371</t>
  </si>
  <si>
    <t>3102209662A</t>
  </si>
  <si>
    <t>9781402007767</t>
  </si>
  <si>
    <t>793764367</t>
  </si>
  <si>
    <t>Z695 S25 1906</t>
  </si>
  <si>
    <t>0                      Z  0695000S  25          1906</t>
  </si>
  <si>
    <t>Manual of descriptive annotation for library catalogues. By Ernest A. Savage. With chapter on evaluation and historical note by Ernest A. Baker.</t>
  </si>
  <si>
    <t>Savage, Ernest Albert, 1877-1966.</t>
  </si>
  <si>
    <t>London, Library supply Co., 1906.</t>
  </si>
  <si>
    <t>12602264:eng</t>
  </si>
  <si>
    <t>3784959</t>
  </si>
  <si>
    <t>ocm03784959</t>
  </si>
  <si>
    <t>3000864647N</t>
  </si>
  <si>
    <t>792291249</t>
  </si>
  <si>
    <t>Z695 S42 1973</t>
  </si>
  <si>
    <t>0                      Z  0695000S  42          1973</t>
  </si>
  <si>
    <t>Cataloguing for school libraries; a guide to simplified form [by] Margaret B. Scott [and] Doris P. Fennell.</t>
  </si>
  <si>
    <t>Scott, Margaret B.</t>
  </si>
  <si>
    <t>Toronto, New York, Pergamon of Canada [1973, ©1970]</t>
  </si>
  <si>
    <t>1530273:eng</t>
  </si>
  <si>
    <t>677613</t>
  </si>
  <si>
    <t>ocm00677613</t>
  </si>
  <si>
    <t>31033488916</t>
  </si>
  <si>
    <t>9780080165097</t>
  </si>
  <si>
    <t>791444105</t>
  </si>
  <si>
    <t>Z695 T52 1938</t>
  </si>
  <si>
    <t>0                      Z  0695000T  52          1938</t>
  </si>
  <si>
    <t>Cataloguing in special libraries - a survey of methods, by John L. Thornton ... with an introduction by Henry A. Sharp.</t>
  </si>
  <si>
    <t>London, Grafton, 1938.</t>
  </si>
  <si>
    <t>2018-02-02</t>
  </si>
  <si>
    <t>230434333:eng</t>
  </si>
  <si>
    <t>16740709</t>
  </si>
  <si>
    <t>ocm16740709</t>
  </si>
  <si>
    <t>3103625682K</t>
  </si>
  <si>
    <t>792970874</t>
  </si>
  <si>
    <t>Z695 U48 B45</t>
  </si>
  <si>
    <t>0                      Z  0695000U  48                 B  45</t>
  </si>
  <si>
    <t>Prejudices and antipathies: a tract on the LC subject heads concerning people / by Sanford Berman.</t>
  </si>
  <si>
    <t>Berman, Sanford, 1933- author.</t>
  </si>
  <si>
    <t>Metuchen, N.J., Scarecrow Press, [1971]</t>
  </si>
  <si>
    <t>1102373070:eng</t>
  </si>
  <si>
    <t>154491</t>
  </si>
  <si>
    <t>ocm00154491</t>
  </si>
  <si>
    <t>3000855563U</t>
  </si>
  <si>
    <t>9780810804319</t>
  </si>
  <si>
    <t>791274328</t>
  </si>
  <si>
    <t>Z695 W94 1966</t>
  </si>
  <si>
    <t>0                      Z  0695000W  94          1966</t>
  </si>
  <si>
    <t>Introduction to cataloguing and classification; a teaching guide with illustrations of major principles for descriptive cataloguing and classification.</t>
  </si>
  <si>
    <t>Denver : Colorado Bibliographic Institute, 1966 [©1965]</t>
  </si>
  <si>
    <t>8908922048:eng</t>
  </si>
  <si>
    <t>427337931</t>
  </si>
  <si>
    <t>ocn427337931</t>
  </si>
  <si>
    <t>3000859243S</t>
  </si>
  <si>
    <t>794608778</t>
  </si>
  <si>
    <t>Z695 Z8 F373 2010</t>
  </si>
  <si>
    <t>0                      Z  0695000Z  8                  F  373         2010</t>
  </si>
  <si>
    <t>FAST : Faceted Application of Subject Terminology : principles and applications / Lois Mai Chan and Edward T. O'Neill.</t>
  </si>
  <si>
    <t>2019-01-28</t>
  </si>
  <si>
    <t>866112289:eng</t>
  </si>
  <si>
    <t>624025531</t>
  </si>
  <si>
    <t>ocn624025531</t>
  </si>
  <si>
    <t>31032293642</t>
  </si>
  <si>
    <t>9781591587224</t>
  </si>
  <si>
    <t>794823747</t>
  </si>
  <si>
    <t>Z695 Z8 G85 2008</t>
  </si>
  <si>
    <t>0                      Z  0695000Z  8                  G  85          2008</t>
  </si>
  <si>
    <t>Guide pratique du Répertoire de vedettes-matière de l'Université Laval / Jo-Anne Bélair [and others].</t>
  </si>
  <si>
    <t>Montréal : Éditions ASTED ; Québec : Université Laval, 2008.</t>
  </si>
  <si>
    <t>365808318:fre</t>
  </si>
  <si>
    <t>263636038</t>
  </si>
  <si>
    <t>ocn263636038</t>
  </si>
  <si>
    <t>3102707376W</t>
  </si>
  <si>
    <t>9782923563169</t>
  </si>
  <si>
    <t>794404103</t>
  </si>
  <si>
    <t>Z695 Z8 L5223 2012</t>
  </si>
  <si>
    <t>0                      Z  0695000Z  8                  L  5223        2012</t>
  </si>
  <si>
    <t>Essential Library of Congress subject headings / Vanda Broughton.</t>
  </si>
  <si>
    <t>New York : Neal-Schuman Publishers, 2012.</t>
  </si>
  <si>
    <t>2015-11-24</t>
  </si>
  <si>
    <t>113868993:eng</t>
  </si>
  <si>
    <t>221148668</t>
  </si>
  <si>
    <t>ocn221148668</t>
  </si>
  <si>
    <t>3103407427D</t>
  </si>
  <si>
    <t>9781555706401</t>
  </si>
  <si>
    <t>794324384</t>
  </si>
  <si>
    <t>Z695 Z8 L5226 2005</t>
  </si>
  <si>
    <t>0                      Z  0695000Z  8                  L  5226        2005</t>
  </si>
  <si>
    <t>Chan, Lois Mai, author.</t>
  </si>
  <si>
    <t>2070317114:eng</t>
  </si>
  <si>
    <t>57373683</t>
  </si>
  <si>
    <t>ocm57373683</t>
  </si>
  <si>
    <t>31037484159</t>
  </si>
  <si>
    <t>9781591581543</t>
  </si>
  <si>
    <t>793911624</t>
  </si>
  <si>
    <t>3102943816D</t>
  </si>
  <si>
    <t>793911625</t>
  </si>
  <si>
    <t>3102601236$</t>
  </si>
  <si>
    <t>793911626</t>
  </si>
  <si>
    <t>Z695 Z8 L523518 2012</t>
  </si>
  <si>
    <t>0                      Z  0695000Z  8                  L  523518      2012</t>
  </si>
  <si>
    <t>Subject headings for school and public libraries / Joanna F. Fountain.</t>
  </si>
  <si>
    <t>Fountain, Joanna F.</t>
  </si>
  <si>
    <t>Bilingual 4th ed.</t>
  </si>
  <si>
    <t>800330254:eng</t>
  </si>
  <si>
    <t>729344521</t>
  </si>
  <si>
    <t>ocn729344521</t>
  </si>
  <si>
    <t>31034315995</t>
  </si>
  <si>
    <t>9781591586388</t>
  </si>
  <si>
    <t>794879295</t>
  </si>
  <si>
    <t>- Math Section - Journal - By Request</t>
  </si>
  <si>
    <t>Z695 Z8 L55</t>
  </si>
  <si>
    <t>0                      Z  0695000Z  8                  L  55</t>
  </si>
  <si>
    <t>Library of Congress subject headings / prepared by the Cataloging Policy and Support Office, Collections Services.</t>
  </si>
  <si>
    <t>15th ed.;v.1 (1992)</t>
  </si>
  <si>
    <t>Library of Congress. Cataloging Policy and Support Office.</t>
  </si>
  <si>
    <t>Washington, D.C. : Cataloging Distribution Service, Library of Congress, ©1994.</t>
  </si>
  <si>
    <t>17th ed.</t>
  </si>
  <si>
    <t>4417426134:eng</t>
  </si>
  <si>
    <t>30906135</t>
  </si>
  <si>
    <t>ocm30906135</t>
  </si>
  <si>
    <t>3100965283D</t>
  </si>
  <si>
    <t>793348591</t>
  </si>
  <si>
    <t>15th ed.;v.4 (1992)</t>
  </si>
  <si>
    <t>31009652867</t>
  </si>
  <si>
    <t>793348588</t>
  </si>
  <si>
    <t>26th ed.:v.5 (2003)</t>
  </si>
  <si>
    <t>3102342285K</t>
  </si>
  <si>
    <t>793348583</t>
  </si>
  <si>
    <t>26th ed.:v.1 (2003)</t>
  </si>
  <si>
    <t>3102342290I</t>
  </si>
  <si>
    <t>793348587</t>
  </si>
  <si>
    <t>26th ed.:v.2 (2003)</t>
  </si>
  <si>
    <t>3102342256Q</t>
  </si>
  <si>
    <t>793348586</t>
  </si>
  <si>
    <t>26th ed.:v.3 (2003)</t>
  </si>
  <si>
    <t>3102342275M</t>
  </si>
  <si>
    <t>793348585</t>
  </si>
  <si>
    <t>15th ed.;v.3 (1992)</t>
  </si>
  <si>
    <t>31009652859</t>
  </si>
  <si>
    <t>793348589</t>
  </si>
  <si>
    <t>15th ed.;v.2 (1992)</t>
  </si>
  <si>
    <t>3100965284B</t>
  </si>
  <si>
    <t>793348590</t>
  </si>
  <si>
    <t>26th ed.:v.4 (2003)</t>
  </si>
  <si>
    <t>3102342280K</t>
  </si>
  <si>
    <t>793348584</t>
  </si>
  <si>
    <t>Z695.1 C6 C37 2011</t>
  </si>
  <si>
    <t>0                      Z  0695100C  6                  C  37          2011</t>
  </si>
  <si>
    <t>Cataloging correctly for kids : an introduction to the tools.</t>
  </si>
  <si>
    <t>Chicago : Association for Library Collections &amp; Technical Services, American Library Association, 2011.</t>
  </si>
  <si>
    <t>5th ed. / edited by Sheila S. Intner, Joanna F. Fountain, &amp; Jean Weihs.</t>
  </si>
  <si>
    <t>863354965:eng</t>
  </si>
  <si>
    <t>601086570</t>
  </si>
  <si>
    <t>ocn601086570</t>
  </si>
  <si>
    <t>3103226139Q</t>
  </si>
  <si>
    <t>9780838935897</t>
  </si>
  <si>
    <t>794815248</t>
  </si>
  <si>
    <t>Z695.1 C6 K37 2008</t>
  </si>
  <si>
    <t>0                      Z  0695100C  6                  K  37          2008</t>
  </si>
  <si>
    <t>Kidzcat : a how-to-do-it manual for cataloging children's materials and instructional resources / Deborah J. Karpuk.</t>
  </si>
  <si>
    <t>Karpuk, Deborah J.</t>
  </si>
  <si>
    <t>How-to-do-it manuals ; no. 160</t>
  </si>
  <si>
    <t>314981583:eng</t>
  </si>
  <si>
    <t>148798059</t>
  </si>
  <si>
    <t>ocn148798059</t>
  </si>
  <si>
    <t>31028840629</t>
  </si>
  <si>
    <t>9781555705909</t>
  </si>
  <si>
    <t>794240974</t>
  </si>
  <si>
    <t>Z695.1 C85 H37 2010</t>
  </si>
  <si>
    <t>0                      Z  0695100C  85                 H  37          2010</t>
  </si>
  <si>
    <t>Introduction to controlled vocabularies : terminology for art, architecture, and other cultural works / Patricia Harpring.</t>
  </si>
  <si>
    <t>Harpring, Patricia.</t>
  </si>
  <si>
    <t>Los Angeles, Calif. : Getty Research Institute, ©2010.</t>
  </si>
  <si>
    <t>341242936:eng</t>
  </si>
  <si>
    <t>456174098</t>
  </si>
  <si>
    <t>ocn456174098</t>
  </si>
  <si>
    <t>3103240434V</t>
  </si>
  <si>
    <t>9781606060186</t>
  </si>
  <si>
    <t>794788490</t>
  </si>
  <si>
    <t>Z695.1 I56 A85 2005</t>
  </si>
  <si>
    <t>0                      Z  0695100I  56                 A  85          2005</t>
  </si>
  <si>
    <t>ASIS &amp; T thesaurus of information science, technology, and librarianship.</t>
  </si>
  <si>
    <t>Medford, N.J. : Published for the American Society for Information Science and Technology by Information Today, Inc., ©2005.</t>
  </si>
  <si>
    <t>3rd ed. / edited by Alice Redmond-Neal and Marjorie M.K. Hlava.</t>
  </si>
  <si>
    <t>3857973977:eng</t>
  </si>
  <si>
    <t>60705670</t>
  </si>
  <si>
    <t>ocm60705670</t>
  </si>
  <si>
    <t>3102459653C</t>
  </si>
  <si>
    <t>9781573872430</t>
  </si>
  <si>
    <t>793942526</t>
  </si>
  <si>
    <t>Z695.1 L12 I6 1992</t>
  </si>
  <si>
    <t>0                      Z  0695100L  12                 I  6           1992</t>
  </si>
  <si>
    <t>ILO thesaurus : labour, employment and training terminology = Thesaurus BIT : terminologie du travail, de l'emploi et de la formation = Tesauro OIT : terminología de trabajo, empleo y formación / International Labour Office.</t>
  </si>
  <si>
    <t>International Labour Office.</t>
  </si>
  <si>
    <t>Geneva : The Office, ©1992.</t>
  </si>
  <si>
    <t>8913278125:eng</t>
  </si>
  <si>
    <t>427948312</t>
  </si>
  <si>
    <t>ocn427948312</t>
  </si>
  <si>
    <t>3101187449V</t>
  </si>
  <si>
    <t>9789220064290</t>
  </si>
  <si>
    <t>794719840</t>
  </si>
  <si>
    <t>Z695.1 L3 E65 1997</t>
  </si>
  <si>
    <t>0                      Z  0695100L  3                  E  65          1997</t>
  </si>
  <si>
    <t>Cataloging legal literature : a manual on AACR2R and Library of Congress subject headings for legal materials.</t>
  </si>
  <si>
    <t>Lembke, Melody Busse.</t>
  </si>
  <si>
    <t>Littleton, Colo. : F.B. Rothman, 1997.</t>
  </si>
  <si>
    <t>3rd ed. / Melody Busse Lembke, Rhonda K. Lawrence.</t>
  </si>
  <si>
    <t>AALL publications series ; no. 22</t>
  </si>
  <si>
    <t>9593859114:eng</t>
  </si>
  <si>
    <t>35174937</t>
  </si>
  <si>
    <t>ocm35174937</t>
  </si>
  <si>
    <t>3101805316M</t>
  </si>
  <si>
    <t>9780837793139</t>
  </si>
  <si>
    <t>793446027</t>
  </si>
  <si>
    <t>Z695.1 L6 A9 2000</t>
  </si>
  <si>
    <t>0                      Z  0695100L  6                  A  9           2000</t>
  </si>
  <si>
    <t>Guidelines on subject access to individual works of fiction, drama, etc.</t>
  </si>
  <si>
    <t>American Library Association. Subcommittee on the Revision of the Guidelines on Subject Access to Individual Works of Fiction.</t>
  </si>
  <si>
    <t>Second edition / Subcommittee on the revision of the Guidelines on Subject Access to Individual Works of Fiction, Subject Analysis Committee, Cataloging and Classification Section, Association for Library Collections &amp; Technical Services.</t>
  </si>
  <si>
    <t>131290309:eng</t>
  </si>
  <si>
    <t>44391503</t>
  </si>
  <si>
    <t>ocm44391503</t>
  </si>
  <si>
    <t>3102944079L</t>
  </si>
  <si>
    <t>9780838935033</t>
  </si>
  <si>
    <t>793645138</t>
  </si>
  <si>
    <t>Z695.1 O7 S45 1959</t>
  </si>
  <si>
    <t>0                      Z  0695100O  7                  S  45          1959</t>
  </si>
  <si>
    <t>Cataloging of Persian works including rules for transliteration, entry, and description / by Nasser Sharify.</t>
  </si>
  <si>
    <t>Sharify, Nasser, 1925-2013.</t>
  </si>
  <si>
    <t>Chicago : American Library Association, 1959.</t>
  </si>
  <si>
    <t>2008-11-17</t>
  </si>
  <si>
    <t>24977121:eng</t>
  </si>
  <si>
    <t>949234</t>
  </si>
  <si>
    <t>ocm00949234</t>
  </si>
  <si>
    <t>3000855015O</t>
  </si>
  <si>
    <t>791509860</t>
  </si>
  <si>
    <t>Z695.1 P7 T48 2007</t>
  </si>
  <si>
    <t>0                      Z  0695100P  7                  T  48          2007</t>
  </si>
  <si>
    <t>Thesaurus of psychological index terms / Lisa Gallagher Tuleya, Editor.</t>
  </si>
  <si>
    <t>Washington, DC : American Psychological Association, ©2007.</t>
  </si>
  <si>
    <t>11th edition.</t>
  </si>
  <si>
    <t>4916480694:eng</t>
  </si>
  <si>
    <t>84838047</t>
  </si>
  <si>
    <t>ocm84838047</t>
  </si>
  <si>
    <t>3102638288K</t>
  </si>
  <si>
    <t>9781591479260</t>
  </si>
  <si>
    <t>794212077</t>
  </si>
  <si>
    <t>Z695.1 S3 I69 1976</t>
  </si>
  <si>
    <t>0                      Z  0695100S  3                  I  69          1976</t>
  </si>
  <si>
    <t>Thésaurus ISO = ISO thesaurus / édité par [l'] Organisation internationale de normalisation et [l'] Association française de normalisation.</t>
  </si>
  <si>
    <t>add. no. 4</t>
  </si>
  <si>
    <t>Paris : AFNOR, 1976-</t>
  </si>
  <si>
    <t>Éd. expérimentale multilingue.</t>
  </si>
  <si>
    <t>2019-02-24</t>
  </si>
  <si>
    <t>479172485:fre</t>
  </si>
  <si>
    <t>3538265</t>
  </si>
  <si>
    <t>ocm03538265</t>
  </si>
  <si>
    <t>3100105753K</t>
  </si>
  <si>
    <t>792266049</t>
  </si>
  <si>
    <t>v. 2</t>
  </si>
  <si>
    <t>3000002337T</t>
  </si>
  <si>
    <t>792266052</t>
  </si>
  <si>
    <t>3100396998S</t>
  </si>
  <si>
    <t>792266053</t>
  </si>
  <si>
    <t>v. 3</t>
  </si>
  <si>
    <t>3100105751O</t>
  </si>
  <si>
    <t>792266050</t>
  </si>
  <si>
    <t>add. no. 3</t>
  </si>
  <si>
    <t>3100105752M</t>
  </si>
  <si>
    <t>792266051</t>
  </si>
  <si>
    <t>Z695.1 S3 N35x 1974</t>
  </si>
  <si>
    <t>0                      Z  0695100S  3                  N  35x         1974</t>
  </si>
  <si>
    <t>List of subject headings used in the aeronautical and mechanical engineering branch of the National Science Library = Liste de vedettes-matières utilisées dans l'annexe d'aéronautique et de génie mécanique de la Bibliothèque scientifique nationale.</t>
  </si>
  <si>
    <t>National Science Library (Canada)</t>
  </si>
  <si>
    <t>Ottawa : National Research Council Canada, 1974.</t>
  </si>
  <si>
    <t>NRC ; no. 13860</t>
  </si>
  <si>
    <t>2019-02-26</t>
  </si>
  <si>
    <t>12071007:eng</t>
  </si>
  <si>
    <t>427310134</t>
  </si>
  <si>
    <t>ocn427310134</t>
  </si>
  <si>
    <t>3000028245T</t>
  </si>
  <si>
    <t>794580629</t>
  </si>
  <si>
    <t>3000846938E</t>
  </si>
  <si>
    <t>794580628</t>
  </si>
  <si>
    <t>Z695.1 T3 H84 2011</t>
  </si>
  <si>
    <t>0                      Z  0695100T  3                  H  84          2011</t>
  </si>
  <si>
    <t>Cataloguing discrepancies : the printed York Breviary of 1493 / Andrew Hughes ; in collaboration with Matthew Cheung Salisbury and Heather Robbins.</t>
  </si>
  <si>
    <t>Hughes, Andrew, 1937-2013.</t>
  </si>
  <si>
    <t>Toronto ; Buffalo [N.Y.] : University of Toronto Press, ©2011.</t>
  </si>
  <si>
    <t>792681028:eng</t>
  </si>
  <si>
    <t>701604850</t>
  </si>
  <si>
    <t>ocn701604850</t>
  </si>
  <si>
    <t>3103267718P</t>
  </si>
  <si>
    <t>9781442641976</t>
  </si>
  <si>
    <t>794863222</t>
  </si>
  <si>
    <t>Z695.2 A73 2013</t>
  </si>
  <si>
    <t>0                      Z  0695200A  73          2013</t>
  </si>
  <si>
    <t>Archival arrangement and description / edited with an introduction by Christopher J. Prom &amp; Thomas J. Frusciano.</t>
  </si>
  <si>
    <t>Chicago : Society of American Archivists, [2013]</t>
  </si>
  <si>
    <t>Trends in archives practice</t>
  </si>
  <si>
    <t>1202991233:eng</t>
  </si>
  <si>
    <t>824535973</t>
  </si>
  <si>
    <t>ocn824535973</t>
  </si>
  <si>
    <t>3103445759N</t>
  </si>
  <si>
    <t>9781931666459</t>
  </si>
  <si>
    <t>794937909</t>
  </si>
  <si>
    <t>Z695.2 C66 1989</t>
  </si>
  <si>
    <t>0                      Z  0695200C  66          1989</t>
  </si>
  <si>
    <t>A "MAD" user guide : how to set about listing archives : a short explanatory guide to the rules and recommendations of the Manual of archival description / Michael Cook and Margaret Procter.</t>
  </si>
  <si>
    <t>Cook, Michael, 1931- author.</t>
  </si>
  <si>
    <t>Aldershot, Hants, England ; Brookfield, Vermont., USA : Gower Publishing, [1989]</t>
  </si>
  <si>
    <t>British Library R &amp; D report ; 5965</t>
  </si>
  <si>
    <t>836701276:eng</t>
  </si>
  <si>
    <t>19741811</t>
  </si>
  <si>
    <t>ocm19741811</t>
  </si>
  <si>
    <t>3102227200W</t>
  </si>
  <si>
    <t>9780566036217</t>
  </si>
  <si>
    <t>793067621</t>
  </si>
  <si>
    <t>Z695.2 C67 2000</t>
  </si>
  <si>
    <t>0                      Z  0695200C  67          2000</t>
  </si>
  <si>
    <t>Manual of archival description / Margaret Procter and Michael Cook.</t>
  </si>
  <si>
    <t>Procter, Margaret, 1959-</t>
  </si>
  <si>
    <t>Aldershot, Hants., England ; Brookfield, Vt. : Gower, ©2000.</t>
  </si>
  <si>
    <t>SIG, 1366-8218 ; 786</t>
  </si>
  <si>
    <t>2013-01-07</t>
  </si>
  <si>
    <t>3377182667:eng</t>
  </si>
  <si>
    <t>43403423</t>
  </si>
  <si>
    <t>ocm43403423</t>
  </si>
  <si>
    <t>3102605799U</t>
  </si>
  <si>
    <t>9780566082580</t>
  </si>
  <si>
    <t>793625988</t>
  </si>
  <si>
    <t>31026408392</t>
  </si>
  <si>
    <t>793625990</t>
  </si>
  <si>
    <t>3102606874R</t>
  </si>
  <si>
    <t>793625989</t>
  </si>
  <si>
    <t>Z695.2 D47 2007</t>
  </si>
  <si>
    <t>0                      Z  0695200D  47          2007</t>
  </si>
  <si>
    <t>Describing archives in context : a guide to Australasian practice / by the Australian Society of Archivists Committee on Descriptive Standards.</t>
  </si>
  <si>
    <t>Dickson, ACT : Australian Society of Archivists, [2007]</t>
  </si>
  <si>
    <t>117032349:eng</t>
  </si>
  <si>
    <t>182585947</t>
  </si>
  <si>
    <t>ocn182585947</t>
  </si>
  <si>
    <t>3102970626E</t>
  </si>
  <si>
    <t>9780980335231</t>
  </si>
  <si>
    <t>794284775</t>
  </si>
  <si>
    <t>Z695.2 D83 2001</t>
  </si>
  <si>
    <t>0                      Z  0695200D  83          2001</t>
  </si>
  <si>
    <t>RAD revealed : a basic primer on the Rules for archival description / by Wendy M. Duff and Marlene van Ballegooie with the assistance of Lori Eddy.</t>
  </si>
  <si>
    <t>Duff, Wendy.</t>
  </si>
  <si>
    <t>Ottawa : Canadian Council of Archives = Conseil canadien des archives, c2001.</t>
  </si>
  <si>
    <t>2030496023:eng</t>
  </si>
  <si>
    <t>45438770</t>
  </si>
  <si>
    <t>ocm45438770</t>
  </si>
  <si>
    <t>3103101806A</t>
  </si>
  <si>
    <t>9780929115290</t>
  </si>
  <si>
    <t>793671507</t>
  </si>
  <si>
    <t>2008-11-05</t>
  </si>
  <si>
    <t>3102530189O</t>
  </si>
  <si>
    <t>793671506</t>
  </si>
  <si>
    <t>Z695.2 M56 1990</t>
  </si>
  <si>
    <t>0                      Z  0695200M  56          1990</t>
  </si>
  <si>
    <t>Arranging and describing archives and manuscripts / by Fredric M. Miller.</t>
  </si>
  <si>
    <t>Miller, Fredric, author.</t>
  </si>
  <si>
    <t>Chicago : Society of American Archivists, 1990.</t>
  </si>
  <si>
    <t>Archival fundamentals series</t>
  </si>
  <si>
    <t>23968396:eng</t>
  </si>
  <si>
    <t>22456382</t>
  </si>
  <si>
    <t>ocm22456382</t>
  </si>
  <si>
    <t>3102629633J</t>
  </si>
  <si>
    <t>9780931828751</t>
  </si>
  <si>
    <t>793144808</t>
  </si>
  <si>
    <t>Z695.23 F58 2010</t>
  </si>
  <si>
    <t>0                      Z  0695230F  58          2010</t>
  </si>
  <si>
    <t>Collection-level cataloging : bound-with books / Jain Fletcher.</t>
  </si>
  <si>
    <t>Fletcher, Jain.</t>
  </si>
  <si>
    <t>2011-10-14</t>
  </si>
  <si>
    <t>894798352:eng</t>
  </si>
  <si>
    <t>548555597</t>
  </si>
  <si>
    <t>ocn548555597</t>
  </si>
  <si>
    <t>3103227340E</t>
  </si>
  <si>
    <t>9781591585435</t>
  </si>
  <si>
    <t>794810961</t>
  </si>
  <si>
    <t>Z695.24 M58 2005</t>
  </si>
  <si>
    <t>0                      Z  0695240M  58          2005</t>
  </si>
  <si>
    <t>Cataloging and organizing digital resources : a how-to-do-it manual for librarians / Anne M. Mitchell and Brian E. Surratt.</t>
  </si>
  <si>
    <t>Mitchell, Anne M., 1972-</t>
  </si>
  <si>
    <t>How-to-do-it manuals for librarians ; no. 139</t>
  </si>
  <si>
    <t>10177861789:eng</t>
  </si>
  <si>
    <t>57626098</t>
  </si>
  <si>
    <t>ocm57626098</t>
  </si>
  <si>
    <t>3102532079L</t>
  </si>
  <si>
    <t>9781555705213</t>
  </si>
  <si>
    <t>793916618</t>
  </si>
  <si>
    <t>Z695.4 U5 M37 2011</t>
  </si>
  <si>
    <t>0                      Z  0695400U  5                  M  37          2011</t>
  </si>
  <si>
    <t>Marketing your indexing services / edited by Anne Leach.</t>
  </si>
  <si>
    <t>Medford, N.J. : Information Today in association with the American Society of Indexers, ©2011.</t>
  </si>
  <si>
    <t>55884279:eng</t>
  </si>
  <si>
    <t>759171961</t>
  </si>
  <si>
    <t>ocn759171961</t>
  </si>
  <si>
    <t>3103406609F</t>
  </si>
  <si>
    <t>9781573874243</t>
  </si>
  <si>
    <t>794897066</t>
  </si>
  <si>
    <t>Z695.5 C592 2001</t>
  </si>
  <si>
    <t>0                      Z  0695500C  592         2001</t>
  </si>
  <si>
    <t>Introduction to indexing and abstracting / Donald B. Cleveland and Ana D. Cleveland.</t>
  </si>
  <si>
    <t>Cleveland, Donald B., 1935-</t>
  </si>
  <si>
    <t>2020-01-08</t>
  </si>
  <si>
    <t>2020-01-17</t>
  </si>
  <si>
    <t>3019926:eng</t>
  </si>
  <si>
    <t>44133016</t>
  </si>
  <si>
    <t>ocm44133016</t>
  </si>
  <si>
    <t>31029446665</t>
  </si>
  <si>
    <t>9781563086410</t>
  </si>
  <si>
    <t>793643226</t>
  </si>
  <si>
    <t>2016-01-14</t>
  </si>
  <si>
    <t>31031368434</t>
  </si>
  <si>
    <t>793643227</t>
  </si>
  <si>
    <t>3102691091M</t>
  </si>
  <si>
    <t>793643228</t>
  </si>
  <si>
    <t>Z695.5 G74 2018</t>
  </si>
  <si>
    <t>0                      Z  0695500G  74          2018</t>
  </si>
  <si>
    <t>Greek manuscript cataloguing: past, present, and future / edited by Paola Degni, Paolo Eleuteri, and Marilena Maniaci.</t>
  </si>
  <si>
    <t>Bibliologia. Elementa ad librorum studia pertinentia, 1375-9566 ; volume 48</t>
  </si>
  <si>
    <t>2019-02-25</t>
  </si>
  <si>
    <t>5500412507:eng</t>
  </si>
  <si>
    <t>1027126211</t>
  </si>
  <si>
    <t>on1027126211</t>
  </si>
  <si>
    <t>3103811995B</t>
  </si>
  <si>
    <t>9782503578248</t>
  </si>
  <si>
    <t>795052579</t>
  </si>
  <si>
    <t>Z695.6 A555 2015</t>
  </si>
  <si>
    <t>0                      Z  0695600A  555         2015</t>
  </si>
  <si>
    <t>RDA, resource description &amp; access and cartographic resources / Paige G. Andrew, Susan M. Moore, Mary Lynette Larsgaard.</t>
  </si>
  <si>
    <t>Andrew, Paige G.</t>
  </si>
  <si>
    <t>3449155085:eng</t>
  </si>
  <si>
    <t>885148293</t>
  </si>
  <si>
    <t>ocn885148293</t>
  </si>
  <si>
    <t>3103581215$</t>
  </si>
  <si>
    <t>9780838911310</t>
  </si>
  <si>
    <t>794977045</t>
  </si>
  <si>
    <t>Z695.615 C37 1999</t>
  </si>
  <si>
    <t>0                      Z  0695615C  37          1999</t>
  </si>
  <si>
    <t>Cataloging of resources digitized for preservation : a SPEC Kit / compiled by Jutta Reed-Scott.</t>
  </si>
  <si>
    <t>Washington DC : Association of Research Libraries, Office of Leadership and Management Services, ©1999.</t>
  </si>
  <si>
    <t>SPEC kit ; 249</t>
  </si>
  <si>
    <t>5091203852:eng</t>
  </si>
  <si>
    <t>42897658</t>
  </si>
  <si>
    <t>ocm42897658</t>
  </si>
  <si>
    <t>3102198423U</t>
  </si>
  <si>
    <t>793616930</t>
  </si>
  <si>
    <t>Z695.615 H78 2000</t>
  </si>
  <si>
    <t>0                      Z  0695615H  78          2000</t>
  </si>
  <si>
    <t>Organizing audiovisual and electronic resources for access : a cataloging guide / Ingrid Hsieh-Yee.</t>
  </si>
  <si>
    <t>Hsieh-Yee, Ingrid.</t>
  </si>
  <si>
    <t>Englewood, Colo. : Libraries Unlimited, ©2000.</t>
  </si>
  <si>
    <t>8583627:eng</t>
  </si>
  <si>
    <t>42680450</t>
  </si>
  <si>
    <t>ocm42680450</t>
  </si>
  <si>
    <t>3102043691U</t>
  </si>
  <si>
    <t>9781563086298</t>
  </si>
  <si>
    <t>793611557</t>
  </si>
  <si>
    <t>Z695.64 H54 2015</t>
  </si>
  <si>
    <t>0                      Z  0695640H  54          2015</t>
  </si>
  <si>
    <t>Cataloging and managing film and video collections : a guide to using RDA and MARC21 / Colin Higgins.</t>
  </si>
  <si>
    <t>Higgins, Colin, 1979- author.</t>
  </si>
  <si>
    <t>Chicago : ALA Editions, an imprint of the American Library Association, [2015]</t>
  </si>
  <si>
    <t>2512817223:eng</t>
  </si>
  <si>
    <t>899738043</t>
  </si>
  <si>
    <t>ocn899738043</t>
  </si>
  <si>
    <t>3103610805O</t>
  </si>
  <si>
    <t>9780838912997</t>
  </si>
  <si>
    <t>794986915</t>
  </si>
  <si>
    <t>Z695.64 I48 1978</t>
  </si>
  <si>
    <t>0                      Z  0695640I  48          1978</t>
  </si>
  <si>
    <t>Film cataloging / prepared by the Cataloging Commission, International Federation of Film Archives.</t>
  </si>
  <si>
    <t>FIAF Cataloguing Commission.</t>
  </si>
  <si>
    <t>New York : B. Franklin, [1978]</t>
  </si>
  <si>
    <t>547667:eng</t>
  </si>
  <si>
    <t>427254692</t>
  </si>
  <si>
    <t>ocn427254692</t>
  </si>
  <si>
    <t>3000842538D</t>
  </si>
  <si>
    <t>9780891020769</t>
  </si>
  <si>
    <t>794553933</t>
  </si>
  <si>
    <t>Z695.64 I55 2011</t>
  </si>
  <si>
    <t>0                      Z  0695640I  55          2011</t>
  </si>
  <si>
    <t>Subject access to films &amp; videos.</t>
  </si>
  <si>
    <t>2nd ed. / Sheila S. Intner [and others] ; Edward Swanson, contributing editor.</t>
  </si>
  <si>
    <t>2018-02-01</t>
  </si>
  <si>
    <t>26817269:eng</t>
  </si>
  <si>
    <t>639162742</t>
  </si>
  <si>
    <t>ocn639162742</t>
  </si>
  <si>
    <t>3103236148J</t>
  </si>
  <si>
    <t>9781591589372</t>
  </si>
  <si>
    <t>794826605</t>
  </si>
  <si>
    <t>Z695.64 M35 1991</t>
  </si>
  <si>
    <t>0                      Z  0695640M  35          1991</t>
  </si>
  <si>
    <t>Subject control of film and video : a comparison of three methods / Lucienne Maillet.</t>
  </si>
  <si>
    <t>Maillet, Lucienne G.</t>
  </si>
  <si>
    <t>ALA studies in librarianship ; 11</t>
  </si>
  <si>
    <t>890074848:eng</t>
  </si>
  <si>
    <t>22278590</t>
  </si>
  <si>
    <t>ocm22278590</t>
  </si>
  <si>
    <t>3102539256S</t>
  </si>
  <si>
    <t>9780838905531</t>
  </si>
  <si>
    <t>793139350</t>
  </si>
  <si>
    <t>Z695.64 Y43 2007</t>
  </si>
  <si>
    <t>0                      Z  0695640Y  43          2007</t>
  </si>
  <si>
    <t>Moving image cataloging : how to create and how to use a moving image catalog / Martha M. Yee.</t>
  </si>
  <si>
    <t>Yee, Martha M., author.</t>
  </si>
  <si>
    <t>801817545:eng</t>
  </si>
  <si>
    <t>128237845</t>
  </si>
  <si>
    <t>ocn128237845</t>
  </si>
  <si>
    <t>31026466939</t>
  </si>
  <si>
    <t>9781591584384</t>
  </si>
  <si>
    <t>794231481</t>
  </si>
  <si>
    <t>Z695.64 Y44 1988</t>
  </si>
  <si>
    <t>0                      Z  0695640Y  44          1988</t>
  </si>
  <si>
    <t>Moving image materials : genre terms / compiled by Martha M. Yee for the National Moving Image Database Standards Committee, National Center for Film and Video Preservation at the American Film Institute ; coordinated by Motion Picture, Broadcasting, and Recorded Sound Division, Library of Congress.</t>
  </si>
  <si>
    <t>Yee, Martha M.</t>
  </si>
  <si>
    <t>Washington, D.C. : Cataloging Distribution Service, Library of Congress, 1988.</t>
  </si>
  <si>
    <t>321664769:eng</t>
  </si>
  <si>
    <t>15519596</t>
  </si>
  <si>
    <t>ocm15519596</t>
  </si>
  <si>
    <t>31020821362</t>
  </si>
  <si>
    <t>792934077</t>
  </si>
  <si>
    <t>Z695.655 B35 2001</t>
  </si>
  <si>
    <t>0                      Z  0695655B  35          2001</t>
  </si>
  <si>
    <t>Double fold : libraries and the assault on paper / Nicholson Baker.</t>
  </si>
  <si>
    <t>Baker, Nicholson, author.</t>
  </si>
  <si>
    <t>New York : Random House, 2001.</t>
  </si>
  <si>
    <t>First Edition</t>
  </si>
  <si>
    <t>687626286:eng</t>
  </si>
  <si>
    <t>44732234</t>
  </si>
  <si>
    <t>ocm44732234</t>
  </si>
  <si>
    <t>3102091336U</t>
  </si>
  <si>
    <t>9780375504440</t>
  </si>
  <si>
    <t>793656826</t>
  </si>
  <si>
    <t>Z695.66 F78 1989</t>
  </si>
  <si>
    <t>0                      Z  0695660F  78          1989</t>
  </si>
  <si>
    <t>Media access and organization : a cataloging and reference sources guide for nonbook materials / Carolyn O. Frost.</t>
  </si>
  <si>
    <t>Frost, Carolyn O., 1940-</t>
  </si>
  <si>
    <t>Englewood, Colo. : Libraries Unlimited, 1989.</t>
  </si>
  <si>
    <t>287348799:eng</t>
  </si>
  <si>
    <t>18779108</t>
  </si>
  <si>
    <t>ocm18779108</t>
  </si>
  <si>
    <t>30008648776</t>
  </si>
  <si>
    <t>9780872875838</t>
  </si>
  <si>
    <t>793036837</t>
  </si>
  <si>
    <t>Z695.66 L35 1984</t>
  </si>
  <si>
    <t>0                      Z  0695660L  35          1984</t>
  </si>
  <si>
    <t>Classification des images, matériels et données / par Françoise Lamy-Rousseau ; collaborateur anglais, Maurice Rousseau = Classification of images, materials and data / by Françoise Lamy-Rousseau ; English collaborator, Maurice Rousseau.</t>
  </si>
  <si>
    <t>Lamy-Rousseau, Françoise.</t>
  </si>
  <si>
    <t>Longueuil, Québec : F. Lamy-Rousseau, ©1984.</t>
  </si>
  <si>
    <t>2e éd ref. et augm.</t>
  </si>
  <si>
    <t>4238007:eng</t>
  </si>
  <si>
    <t>11399546</t>
  </si>
  <si>
    <t>ocm11399546</t>
  </si>
  <si>
    <t>3000845875H</t>
  </si>
  <si>
    <t>9782980031007</t>
  </si>
  <si>
    <t>792772106</t>
  </si>
  <si>
    <t>Z695.66 O43 2008</t>
  </si>
  <si>
    <t>0                      Z  0695660O  43          2008</t>
  </si>
  <si>
    <t>Cataloging of audiovisual materials and other special materials : a manual based on AACR2 and MARC 21 / Nancy B. Olson ; with the assistance of Robert L. Bothmann and Jessica J. Schomberg.</t>
  </si>
  <si>
    <t>Olson, Nancy B.</t>
  </si>
  <si>
    <t>563952:eng</t>
  </si>
  <si>
    <t>227000197</t>
  </si>
  <si>
    <t>ocn227000197</t>
  </si>
  <si>
    <t>3103058819Z</t>
  </si>
  <si>
    <t>9781591586357</t>
  </si>
  <si>
    <t>794346538</t>
  </si>
  <si>
    <t>2013-07-23</t>
  </si>
  <si>
    <t>3103058785O</t>
  </si>
  <si>
    <t>794346537</t>
  </si>
  <si>
    <t>3102976568M</t>
  </si>
  <si>
    <t>794346536</t>
  </si>
  <si>
    <t>Z695.66 R63 1982</t>
  </si>
  <si>
    <t>0                      Z  0695660R  63          1982</t>
  </si>
  <si>
    <t>Nonprint cataloging for multimedia collections : a guide based on AACR 2 / by JoAnn V. Rogers.</t>
  </si>
  <si>
    <t>Rogers, JoAnn V., 1940-</t>
  </si>
  <si>
    <t>Littleton, Colo. : Libraries Unlimited, 1982.</t>
  </si>
  <si>
    <t>889941830:eng</t>
  </si>
  <si>
    <t>8143657</t>
  </si>
  <si>
    <t>ocm08143657</t>
  </si>
  <si>
    <t>3000844321S</t>
  </si>
  <si>
    <t>9780872872844</t>
  </si>
  <si>
    <t>792601828</t>
  </si>
  <si>
    <t>Z695.66 R63 1987</t>
  </si>
  <si>
    <t>0                      Z  0695660R  63          1987</t>
  </si>
  <si>
    <t>Nonprint cataloging for multimedia collections : a guide based on AACR 2 / JoAnn V. Rogers with Jerry D. Saye.</t>
  </si>
  <si>
    <t>Littleton, Colo. : Libraries Unlimited, 1987.</t>
  </si>
  <si>
    <t>16523487</t>
  </si>
  <si>
    <t>ocm16523487</t>
  </si>
  <si>
    <t>3000849866Z</t>
  </si>
  <si>
    <t>9780872875234</t>
  </si>
  <si>
    <t>792964619</t>
  </si>
  <si>
    <t>Z695.66 W435 2011</t>
  </si>
  <si>
    <t>0                      Z  0695660W  435         2011</t>
  </si>
  <si>
    <t>Describing electronic, digital, and other media using AACR2 and RDA : a how-to-do-it manual and CD-ROM for librarians / Mary Beth Weber, Fay Angela Austin.</t>
  </si>
  <si>
    <t>(text+CD-ROM)</t>
  </si>
  <si>
    <t>Weber, Mary Beth.</t>
  </si>
  <si>
    <t>New York : Neal-Schuman Publishers, [2011], ©2011.</t>
  </si>
  <si>
    <t>How-to-do-it manuals ; no. 168</t>
  </si>
  <si>
    <t>9566225238:eng</t>
  </si>
  <si>
    <t>316058624</t>
  </si>
  <si>
    <t>ocn316058624</t>
  </si>
  <si>
    <t>3103343365A</t>
  </si>
  <si>
    <t>9781555706685</t>
  </si>
  <si>
    <t>794441749</t>
  </si>
  <si>
    <t>Z695.7 G864 2017</t>
  </si>
  <si>
    <t>0                      Z  0695700G  864         2017</t>
  </si>
  <si>
    <t>Guo jia tu shu guan ye wu gui fan = Guojiatushuguan yewu guifan / Mao Yajun zhu bian.</t>
  </si>
  <si>
    <t>4723624954:chi</t>
  </si>
  <si>
    <t>1019808425</t>
  </si>
  <si>
    <t>on1019808425</t>
  </si>
  <si>
    <t>31037679751</t>
  </si>
  <si>
    <t>9787501361052</t>
  </si>
  <si>
    <t>795049436</t>
  </si>
  <si>
    <t>Z695.74 B55 1988</t>
  </si>
  <si>
    <t>0                      Z  0695740B  55          1988</t>
  </si>
  <si>
    <t>Binding terms : a thesaurus for use in rare book and special collections cataloguing / prepared by the Standards Committee of the Rare Books and Manuscripts Section (ACRL/ALA).</t>
  </si>
  <si>
    <t>Chicago : Association of College and Research Libraries, 1988.</t>
  </si>
  <si>
    <t>918155654:eng</t>
  </si>
  <si>
    <t>18438557</t>
  </si>
  <si>
    <t>ocm18438557</t>
  </si>
  <si>
    <t>3102689918L</t>
  </si>
  <si>
    <t>9780838972106</t>
  </si>
  <si>
    <t>793025557</t>
  </si>
  <si>
    <t>Z695.74 P76 1988</t>
  </si>
  <si>
    <t>0                      Z  0695740P  76          1988</t>
  </si>
  <si>
    <t>Provenance evidence : thesaurus for use in rare book and special collections cataloguing / prepared by the Standards Committee of the Rare Books and Manuscripts Section (ACRL/ALA).</t>
  </si>
  <si>
    <t>969908:eng</t>
  </si>
  <si>
    <t>18489177</t>
  </si>
  <si>
    <t>ocm18489177</t>
  </si>
  <si>
    <t>3102768560V</t>
  </si>
  <si>
    <t>9780838972397</t>
  </si>
  <si>
    <t>793026953</t>
  </si>
  <si>
    <t>Z695.74 T97 1990</t>
  </si>
  <si>
    <t>0                      Z  0695740T  97          1990</t>
  </si>
  <si>
    <t>Type evidence : a thesaurus for use in rare book and special collections cataloguing / prepared by the Bibliographic Standards Committee of the Rare Books and Manuscripts Section.</t>
  </si>
  <si>
    <t>Chicago : Association of College and Research Libraries, 1990.</t>
  </si>
  <si>
    <t>23922491:eng</t>
  </si>
  <si>
    <t>21947905</t>
  </si>
  <si>
    <t>ocm21947905</t>
  </si>
  <si>
    <t>3103387150J</t>
  </si>
  <si>
    <t>9780838974285</t>
  </si>
  <si>
    <t>793130979</t>
  </si>
  <si>
    <t>Z695.74 U54 1991</t>
  </si>
  <si>
    <t>0                      Z  0695740U  54          1991</t>
  </si>
  <si>
    <t>Descriptive cataloging of rare books.</t>
  </si>
  <si>
    <t>Washington, D.C. : Cataloging Distribution Service, Library of Congress, 1991.</t>
  </si>
  <si>
    <t>3856066553:eng</t>
  </si>
  <si>
    <t>23141521</t>
  </si>
  <si>
    <t>ocm23141521</t>
  </si>
  <si>
    <t>3103009477J</t>
  </si>
  <si>
    <t>9780844406909</t>
  </si>
  <si>
    <t>793162386</t>
  </si>
  <si>
    <t>Z695.74 U542 1993</t>
  </si>
  <si>
    <t>0                      Z  0695740U  542         1993</t>
  </si>
  <si>
    <t>Examples to accompany Descriptive cataloging of rare books / prepared by the Bibliographic Standards Committee of the Rare Books and Manuscripts Section (ACRL/ALA).</t>
  </si>
  <si>
    <t>Chicago : Association of College and Research Libraries, ©1993.</t>
  </si>
  <si>
    <t>55714394:eng</t>
  </si>
  <si>
    <t>28369026</t>
  </si>
  <si>
    <t>ocm28369026</t>
  </si>
  <si>
    <t>3101381614L</t>
  </si>
  <si>
    <t>9780838976722</t>
  </si>
  <si>
    <t>793286359</t>
  </si>
  <si>
    <t>Z695.8 A48 1973</t>
  </si>
  <si>
    <t>0                      Z  0695800A  48          1973</t>
  </si>
  <si>
    <t>Arab states author headings. Compiled by Mohammed M. Aman.</t>
  </si>
  <si>
    <t>Aman, Mohammed M.</t>
  </si>
  <si>
    <t>[New York], [St. John's University Press] 1973.</t>
  </si>
  <si>
    <t>St. John's University (New York, N.Y.) Occasional papers</t>
  </si>
  <si>
    <t>1609936:eng</t>
  </si>
  <si>
    <t>754489</t>
  </si>
  <si>
    <t>ocm00754489</t>
  </si>
  <si>
    <t>3000857050C</t>
  </si>
  <si>
    <t>9780870750700</t>
  </si>
  <si>
    <t>791462346</t>
  </si>
  <si>
    <t>Z695.87 R3</t>
  </si>
  <si>
    <t>0                      Z  0695870R  3</t>
  </si>
  <si>
    <t>The printed book catalogue in American libraries, 1723-1900.</t>
  </si>
  <si>
    <t>Ranz, Jim, 1921-</t>
  </si>
  <si>
    <t>Chicago, American Library Assn., 1964.</t>
  </si>
  <si>
    <t>ACRL monograph, no. 26</t>
  </si>
  <si>
    <t>1521374:eng</t>
  </si>
  <si>
    <t>426910</t>
  </si>
  <si>
    <t>ocm00426910</t>
  </si>
  <si>
    <t>3101566544Q</t>
  </si>
  <si>
    <t>791375815</t>
  </si>
  <si>
    <t>Z695.9 B646 2001</t>
  </si>
  <si>
    <t>0                      Z  0695900B  646         2001</t>
  </si>
  <si>
    <t>Indexing : the manual of good practice / Pat F. Booth.</t>
  </si>
  <si>
    <t>Booth, Pat F.</t>
  </si>
  <si>
    <t>München : K.G. Saur, 2001.</t>
  </si>
  <si>
    <t>257229435:eng</t>
  </si>
  <si>
    <t>47708802</t>
  </si>
  <si>
    <t>ocm47708802</t>
  </si>
  <si>
    <t>3102801720B</t>
  </si>
  <si>
    <t>9783598115363</t>
  </si>
  <si>
    <t>793705871</t>
  </si>
  <si>
    <t>Z695.9 B65</t>
  </si>
  <si>
    <t>0                      Z  0695900B  65</t>
  </si>
  <si>
    <t>Abstracting concepts and methods / Harold Borko, Charles L. Bernier.</t>
  </si>
  <si>
    <t>Borko, Harold.</t>
  </si>
  <si>
    <t>New York : Academic Press, 1975.</t>
  </si>
  <si>
    <t>408550:eng</t>
  </si>
  <si>
    <t>1529256</t>
  </si>
  <si>
    <t>ocm01529256</t>
  </si>
  <si>
    <t>3103600827K</t>
  </si>
  <si>
    <t>9780121186500</t>
  </si>
  <si>
    <t>791691107</t>
  </si>
  <si>
    <t>Z695.9 C592 1990</t>
  </si>
  <si>
    <t>0                      Z  0695900C  592         1990</t>
  </si>
  <si>
    <t>Introduction to indexing and abstracting / Donald B. Cleveland, Ana D. Cleveland.</t>
  </si>
  <si>
    <t>Englewood, Colo. : Libraries Unlimited, 1990.</t>
  </si>
  <si>
    <t>21333025</t>
  </si>
  <si>
    <t>ocm21333025</t>
  </si>
  <si>
    <t>3103005555$</t>
  </si>
  <si>
    <t>9780872876774</t>
  </si>
  <si>
    <t>793115813</t>
  </si>
  <si>
    <t>2013-11-11</t>
  </si>
  <si>
    <t>31002185441</t>
  </si>
  <si>
    <t>793115814</t>
  </si>
  <si>
    <t>Z695.9 C592 2013</t>
  </si>
  <si>
    <t>0                      Z  0695900C  592         2013</t>
  </si>
  <si>
    <t>835117059</t>
  </si>
  <si>
    <t>ocn835117059</t>
  </si>
  <si>
    <t>3103903812Y</t>
  </si>
  <si>
    <t>9781598849769</t>
  </si>
  <si>
    <t>794944545</t>
  </si>
  <si>
    <t>Z695.9 C63 1959</t>
  </si>
  <si>
    <t>0                      Z  0695900C  63          1959</t>
  </si>
  <si>
    <t>Indexes and indexing; guide to the indexing of books, and collections of books, periodicals, music, gramophone records, films, and other material, with a reference section and suggestions for further reading.</t>
  </si>
  <si>
    <t>Collison, Robert Lewis.</t>
  </si>
  <si>
    <t>London, E. Benn, 1959.</t>
  </si>
  <si>
    <t>[2d ed. rev. and enl.].</t>
  </si>
  <si>
    <t>4916098635:eng</t>
  </si>
  <si>
    <t>416583</t>
  </si>
  <si>
    <t>ocm00416583</t>
  </si>
  <si>
    <t>3000857138Z</t>
  </si>
  <si>
    <t>791372354</t>
  </si>
  <si>
    <t>Z695.9 I53 2005</t>
  </si>
  <si>
    <t>0                      Z  0695900I  53          2005</t>
  </si>
  <si>
    <t>Index it right! : advice from the experts / edited by Enid L. Zafran.</t>
  </si>
  <si>
    <t>Medford, NJ : Information Today ; Wheat Ridge, CO : in association with the American Society of Indexers, [2005]-&lt;2014&gt;</t>
  </si>
  <si>
    <t>2014-07-04</t>
  </si>
  <si>
    <t>2018-02-08</t>
  </si>
  <si>
    <t>2830717398:eng</t>
  </si>
  <si>
    <t>64571715</t>
  </si>
  <si>
    <t>ocm64571715</t>
  </si>
  <si>
    <t>3103222190U</t>
  </si>
  <si>
    <t>9781573872379</t>
  </si>
  <si>
    <t>794130184</t>
  </si>
  <si>
    <t>3103290002O</t>
  </si>
  <si>
    <t>794130183</t>
  </si>
  <si>
    <t>Z695.9 I53 2012</t>
  </si>
  <si>
    <t>0                      Z  0695900I  53          2012</t>
  </si>
  <si>
    <t>Indexing names / edited by Noeline Bridge.</t>
  </si>
  <si>
    <t>Medford, NJ : Information Today, ©2012.</t>
  </si>
  <si>
    <t>2013-11-24</t>
  </si>
  <si>
    <t>1100710176:eng</t>
  </si>
  <si>
    <t>785511214</t>
  </si>
  <si>
    <t>ocn785511214</t>
  </si>
  <si>
    <t>3103412157V</t>
  </si>
  <si>
    <t>9781573874502</t>
  </si>
  <si>
    <t>794914950</t>
  </si>
  <si>
    <t>Z695.9 K49 2012</t>
  </si>
  <si>
    <t>0                      Z  0695900K  49          2012</t>
  </si>
  <si>
    <t>Indexing : from thesauri to the Semantic Web / Pierre de Keyser.</t>
  </si>
  <si>
    <t>Keyser, Pierre de.</t>
  </si>
  <si>
    <t>4162314000:eng</t>
  </si>
  <si>
    <t>814446383</t>
  </si>
  <si>
    <t>ocn814446383</t>
  </si>
  <si>
    <t>31034687315</t>
  </si>
  <si>
    <t>9781843342939</t>
  </si>
  <si>
    <t>794932228</t>
  </si>
  <si>
    <t>Z695.9 K65 2010</t>
  </si>
  <si>
    <t>0                      Z  0695900K  65          2010</t>
  </si>
  <si>
    <t>Abstracts and abstracting : a genre and set of skills for the twenty-first century / Tibor Koltay.</t>
  </si>
  <si>
    <t>Koltay, Tibor.</t>
  </si>
  <si>
    <t>2012-08-14</t>
  </si>
  <si>
    <t>796423608:eng</t>
  </si>
  <si>
    <t>461278353</t>
  </si>
  <si>
    <t>ocn461278353</t>
  </si>
  <si>
    <t>3103134417U</t>
  </si>
  <si>
    <t>9781843345183</t>
  </si>
  <si>
    <t>794791407</t>
  </si>
  <si>
    <t>Z695.9 L28 1998</t>
  </si>
  <si>
    <t>0                      Z  0695900L  28          1998</t>
  </si>
  <si>
    <t>Indexing and abstracting in theory and practice / F.W. Lancaster.</t>
  </si>
  <si>
    <t>Champaign : University of Illinois, Graduate School of Library and Information Science, ©1998.</t>
  </si>
  <si>
    <t>732559:eng</t>
  </si>
  <si>
    <t>40272834</t>
  </si>
  <si>
    <t>ocm40272834</t>
  </si>
  <si>
    <t>31028145172</t>
  </si>
  <si>
    <t>9780878451029</t>
  </si>
  <si>
    <t>793563276</t>
  </si>
  <si>
    <t>Z695.9 L33 2003b</t>
  </si>
  <si>
    <t>0                      Z  0695900L  33          2003b</t>
  </si>
  <si>
    <t>Champaign, Ill. : University of Illinois, 2003.</t>
  </si>
  <si>
    <t>52815380</t>
  </si>
  <si>
    <t>ocm52815380</t>
  </si>
  <si>
    <t>31031195745</t>
  </si>
  <si>
    <t>9780878451227</t>
  </si>
  <si>
    <t>793814848</t>
  </si>
  <si>
    <t>Z695.9 M32 2009</t>
  </si>
  <si>
    <t>0                      Z  0695900M  32          2009</t>
  </si>
  <si>
    <t>Concevoir l'index d'un livre : histoire, actualité, perspectives / Jacques Maniez et Dominique Maniez.</t>
  </si>
  <si>
    <t>Maniez, Jacques.</t>
  </si>
  <si>
    <t>Paris : ADBS éditions, ©2009.</t>
  </si>
  <si>
    <t>Sciences et techniques de l'information</t>
  </si>
  <si>
    <t>891428929:fre</t>
  </si>
  <si>
    <t>515401561</t>
  </si>
  <si>
    <t>ocn515401561</t>
  </si>
  <si>
    <t>3103127625F</t>
  </si>
  <si>
    <t>9782843650994</t>
  </si>
  <si>
    <t>794808000</t>
  </si>
  <si>
    <t>Z695.9 M8 1994</t>
  </si>
  <si>
    <t>0                      Z  0695900M  8           1994</t>
  </si>
  <si>
    <t>Indexing books / Nancy C. Mulvany.</t>
  </si>
  <si>
    <t>Mulvany, Nancy C.</t>
  </si>
  <si>
    <t>Chicago, Ill. : University of Chicago Press, ©1994.</t>
  </si>
  <si>
    <t>2017-03-15</t>
  </si>
  <si>
    <t>14404321:eng</t>
  </si>
  <si>
    <t>28221838</t>
  </si>
  <si>
    <t>ocm28221838</t>
  </si>
  <si>
    <t>3103089611M</t>
  </si>
  <si>
    <t>9780226550145</t>
  </si>
  <si>
    <t>793283161</t>
  </si>
  <si>
    <t>Z695.9 M8 2005</t>
  </si>
  <si>
    <t>0                      Z  0695900M  8           2005</t>
  </si>
  <si>
    <t>Chicago : University of Chicago Press, 2005.</t>
  </si>
  <si>
    <t>57670073</t>
  </si>
  <si>
    <t>ocm57670073</t>
  </si>
  <si>
    <t>3102492295O</t>
  </si>
  <si>
    <t>9780226552767</t>
  </si>
  <si>
    <t>793917350</t>
  </si>
  <si>
    <t>Z695.9 R43 1997</t>
  </si>
  <si>
    <t>0                      Z  0695900R  43          1997</t>
  </si>
  <si>
    <t>Readings in information retrieval / edited by Karen Sparck Jones, Peter Willett.</t>
  </si>
  <si>
    <t>San Francisco, Calif. : Morgan Kaufman, ©1997.</t>
  </si>
  <si>
    <t>Morgan Kaufmann series in multimedia information and systems</t>
  </si>
  <si>
    <t>2014-08-15</t>
  </si>
  <si>
    <t>2018-01-08</t>
  </si>
  <si>
    <t>350656755:eng</t>
  </si>
  <si>
    <t>36798066</t>
  </si>
  <si>
    <t>ocm36798066</t>
  </si>
  <si>
    <t>3103483366L</t>
  </si>
  <si>
    <t>9781558604544</t>
  </si>
  <si>
    <t>793484469</t>
  </si>
  <si>
    <t>3101823744$</t>
  </si>
  <si>
    <t>793484468</t>
  </si>
  <si>
    <t>Z695.9 R64</t>
  </si>
  <si>
    <t>0                      Z  0695900R  64</t>
  </si>
  <si>
    <t>Abstracting and indexing / Jennifer E. Rowley.</t>
  </si>
  <si>
    <t>London : C. Bingley, 1982.</t>
  </si>
  <si>
    <t>11786223:eng</t>
  </si>
  <si>
    <t>8406934</t>
  </si>
  <si>
    <t>ocm08406934</t>
  </si>
  <si>
    <t>3000843710M</t>
  </si>
  <si>
    <t>9780851573366</t>
  </si>
  <si>
    <t>792617544</t>
  </si>
  <si>
    <t>Z695.9 S725 2004</t>
  </si>
  <si>
    <t>0                      Z  0695900S  725         2004</t>
  </si>
  <si>
    <t>Facing the text : content and structure in book indexing / Do Mi Stauber.</t>
  </si>
  <si>
    <t>Stauber, Do Mi.</t>
  </si>
  <si>
    <t>Eugene, Or. : Cedar Row Press, ©2004.</t>
  </si>
  <si>
    <t>478615136:eng</t>
  </si>
  <si>
    <t>56545702</t>
  </si>
  <si>
    <t>ocm56545702</t>
  </si>
  <si>
    <t>3102887920F</t>
  </si>
  <si>
    <t>9780974834504</t>
  </si>
  <si>
    <t>793895633</t>
  </si>
  <si>
    <t>Z695.9 S89 2009</t>
  </si>
  <si>
    <t>0                      Z  0695900S  89          2009</t>
  </si>
  <si>
    <t>Abstracts and the writing of abstracts / John M. Swales, Christine B. Feak.</t>
  </si>
  <si>
    <t>Swales, John M., 1938- author.</t>
  </si>
  <si>
    <t>[Ann Arbor] : University of Michigan Press, [2009]</t>
  </si>
  <si>
    <t>The Michigan series in English for academic &amp; professional purposes.</t>
  </si>
  <si>
    <t>2019-09-06</t>
  </si>
  <si>
    <t>189789074:eng</t>
  </si>
  <si>
    <t>310398752</t>
  </si>
  <si>
    <t>ocn310398752</t>
  </si>
  <si>
    <t>3103134848C</t>
  </si>
  <si>
    <t>9780472033355</t>
  </si>
  <si>
    <t>794435394</t>
  </si>
  <si>
    <t>Z695.9 W22 1931</t>
  </si>
  <si>
    <t>0                      Z  0695900W  22          1931</t>
  </si>
  <si>
    <t>The indexing of books and periodicals, by John W.T. Walsh ...</t>
  </si>
  <si>
    <t>Walsh, John William Tudor.</t>
  </si>
  <si>
    <t>New York, R.R. Bowker; London, E. Arnold &amp; Co., 1931.</t>
  </si>
  <si>
    <t>10487904:eng</t>
  </si>
  <si>
    <t>3555189</t>
  </si>
  <si>
    <t>ocm03555189</t>
  </si>
  <si>
    <t>3000784222D</t>
  </si>
  <si>
    <t>792267751</t>
  </si>
  <si>
    <t>Z695.9 W435 2000</t>
  </si>
  <si>
    <t>0                      Z  0695900W  435         2000</t>
  </si>
  <si>
    <t>Glossary of terminology in abstracting, classification, indexing, and thesaurus construction / Hans H. Wellisch.</t>
  </si>
  <si>
    <t>Wellisch, Hans H., 1920-2004.</t>
  </si>
  <si>
    <t>Medford, NJ : Information Today, ©2000.</t>
  </si>
  <si>
    <t>2013-11-19</t>
  </si>
  <si>
    <t>103069073:eng</t>
  </si>
  <si>
    <t>44267580</t>
  </si>
  <si>
    <t>ocm44267580</t>
  </si>
  <si>
    <t>31031196840</t>
  </si>
  <si>
    <t>9781573870948</t>
  </si>
  <si>
    <t>793644708</t>
  </si>
  <si>
    <t>3102887585F</t>
  </si>
  <si>
    <t>793644707</t>
  </si>
  <si>
    <t>Z695.9 W77</t>
  </si>
  <si>
    <t>0                      Z  0695900W  77</t>
  </si>
  <si>
    <t>Indexing your book : a practical guide for authors / by Sina Spiker.</t>
  </si>
  <si>
    <t>Spiker, Sina, 1896-</t>
  </si>
  <si>
    <t>Madison : University of Wisconsin Press, 1954.</t>
  </si>
  <si>
    <t>434064:eng</t>
  </si>
  <si>
    <t>1336969</t>
  </si>
  <si>
    <t>ocm01336969</t>
  </si>
  <si>
    <t>3000857370V</t>
  </si>
  <si>
    <t>791603704</t>
  </si>
  <si>
    <t>Z695.9 W77 1964</t>
  </si>
  <si>
    <t>0                      Z  0695900W  77          1964</t>
  </si>
  <si>
    <t>Indexing your book; a practical guide for authors.</t>
  </si>
  <si>
    <t>Madison, University of Wisconsin Press, 1964[c1954]</t>
  </si>
  <si>
    <t>1172554</t>
  </si>
  <si>
    <t>ocm01172554</t>
  </si>
  <si>
    <t>30008584111</t>
  </si>
  <si>
    <t>791564542</t>
  </si>
  <si>
    <t>Z695.92 C3 1958</t>
  </si>
  <si>
    <t>0                      Z  0695920C  3           1958</t>
  </si>
  <si>
    <t>Punched cards; their applications to science and industry. Edited by Robert S. Casey [and others].</t>
  </si>
  <si>
    <t>Casey, Robert S., editor.</t>
  </si>
  <si>
    <t>New York, Reinhold Pub. Corp. [1958]</t>
  </si>
  <si>
    <t>890396431:eng</t>
  </si>
  <si>
    <t>574357</t>
  </si>
  <si>
    <t>ocm00574357</t>
  </si>
  <si>
    <t>3000857386G</t>
  </si>
  <si>
    <t>791418596</t>
  </si>
  <si>
    <t>Z695.92 F63 1970</t>
  </si>
  <si>
    <t>0                      Z  0695920F  63          1970</t>
  </si>
  <si>
    <t>A guide to personal indexes, using edge-notched, uniterm and peek-a-boo cards, by A.C. Foskett.</t>
  </si>
  <si>
    <t>[Hamden, Conn.] Archon Books [1970]</t>
  </si>
  <si>
    <t>2d ed. rev. and enl.</t>
  </si>
  <si>
    <t>2287268209:eng</t>
  </si>
  <si>
    <t>124880</t>
  </si>
  <si>
    <t>ocm00124880</t>
  </si>
  <si>
    <t>3000852192H</t>
  </si>
  <si>
    <t>9780208010636</t>
  </si>
  <si>
    <t>791264460</t>
  </si>
  <si>
    <t>Z695.92 H43 1986</t>
  </si>
  <si>
    <t>0                      Z  0695920H  43          1986</t>
  </si>
  <si>
    <t>Personal bibliographic indexes and their computerisation / Richard Heeks.</t>
  </si>
  <si>
    <t>Heeks, Richard.</t>
  </si>
  <si>
    <t>London : Published by Taylor Graham on behalf of the Primary Communications Research Centre, University of Leicester, ©1986.</t>
  </si>
  <si>
    <t>9125488:eng</t>
  </si>
  <si>
    <t>15134371</t>
  </si>
  <si>
    <t>ocm15134371</t>
  </si>
  <si>
    <t>30008498391</t>
  </si>
  <si>
    <t>9780947568115</t>
  </si>
  <si>
    <t>792921465</t>
  </si>
  <si>
    <t>Z695.92 L6 1950</t>
  </si>
  <si>
    <t>0                      Z  0695920L  6           1950</t>
  </si>
  <si>
    <t>The Royal Cancer Hospital mechanically sorted punched card index system.</t>
  </si>
  <si>
    <t>Royal Cancer Hospital (London, England)</t>
  </si>
  <si>
    <t>2d ed. Ed. by the Record Committee, A.H. Hunt [and others].</t>
  </si>
  <si>
    <t>372367317:eng</t>
  </si>
  <si>
    <t>11225710</t>
  </si>
  <si>
    <t>ocm11225710</t>
  </si>
  <si>
    <t>3000849078N</t>
  </si>
  <si>
    <t>792763950</t>
  </si>
  <si>
    <t>Z695.92 S33</t>
  </si>
  <si>
    <t>0                      Z  0695920S  33</t>
  </si>
  <si>
    <t>Punch-card methods in research and documentation, with special reference to biology.</t>
  </si>
  <si>
    <t>Scheele, Martin, 1920-</t>
  </si>
  <si>
    <t>New York, Interscience Publishers, 1961.</t>
  </si>
  <si>
    <t>1st English ed. based on 2d rev. German ed. Tr. by J.E. Holmstrom.</t>
  </si>
  <si>
    <t>Library science and documentation, v. 2</t>
  </si>
  <si>
    <t>1560331:eng</t>
  </si>
  <si>
    <t>537265</t>
  </si>
  <si>
    <t>ocm00537265</t>
  </si>
  <si>
    <t>3000857494D</t>
  </si>
  <si>
    <t>791407306</t>
  </si>
  <si>
    <t>Z695.92 T67 2014</t>
  </si>
  <si>
    <t>0                      Z  0695920T  67          2014</t>
  </si>
  <si>
    <t>Automatic text summarization / Juan-Manuel Torres-Moreno.</t>
  </si>
  <si>
    <t>Torres-Moreno, Juan-Manuel, author.</t>
  </si>
  <si>
    <t>London : ISTE Ltd ; Hoboken, NJ : John Wiley &amp; Sons, Inc., 2014.</t>
  </si>
  <si>
    <t>Cognitive science and knowledge management series</t>
  </si>
  <si>
    <t>2086508059:eng</t>
  </si>
  <si>
    <t>899233041</t>
  </si>
  <si>
    <t>ocn899233041</t>
  </si>
  <si>
    <t>3103580355T</t>
  </si>
  <si>
    <t>9781848216686</t>
  </si>
  <si>
    <t>794986754</t>
  </si>
  <si>
    <t>Z695.95 U5</t>
  </si>
  <si>
    <t>0                      Z  0695950U  5</t>
  </si>
  <si>
    <t>Subject filing.</t>
  </si>
  <si>
    <t>Washington, D.C. : General Services Administration, National Archives and Records Service, Office of Records Management, 1966.</t>
  </si>
  <si>
    <t>Records management handbook. Managing current files</t>
  </si>
  <si>
    <t>2074293229:eng</t>
  </si>
  <si>
    <t>5819367</t>
  </si>
  <si>
    <t>ocm05819367</t>
  </si>
  <si>
    <t>31036013406</t>
  </si>
  <si>
    <t>792456277</t>
  </si>
  <si>
    <t>Z696 A2 I58 1991</t>
  </si>
  <si>
    <t>0                      Z  0696000A  2                  I  58          1991</t>
  </si>
  <si>
    <t>Classification research for knowledge representation and organization : proceedings of the 5th International Study Conference on Classification Research, Toronto, Canada, June 24-28, 1991 / edited by Nancy J. Williamson, Michèle Hudon.</t>
  </si>
  <si>
    <t>International Study Conference on Classification Research (5th : 1991 : Toronto, Ont.)</t>
  </si>
  <si>
    <t>Amsterdam ; New York : Elsevier, 1992.</t>
  </si>
  <si>
    <t>FID ; 698</t>
  </si>
  <si>
    <t>2015-04-17</t>
  </si>
  <si>
    <t>28689630:eng</t>
  </si>
  <si>
    <t>25676211</t>
  </si>
  <si>
    <t>ocm25676211</t>
  </si>
  <si>
    <t>3101202595C</t>
  </si>
  <si>
    <t>9780444893437</t>
  </si>
  <si>
    <t>793227622</t>
  </si>
  <si>
    <t>Z696 A4 B38 2005</t>
  </si>
  <si>
    <t>0                      Z  0696000A  4                  B  38          2005</t>
  </si>
  <si>
    <t>Classification in theory and practice / Sue Batley.</t>
  </si>
  <si>
    <t>Batley, Sue.</t>
  </si>
  <si>
    <t>Oxford : Chandos, 2005.</t>
  </si>
  <si>
    <t>1062514:eng</t>
  </si>
  <si>
    <t>56642663</t>
  </si>
  <si>
    <t>ocm56642663</t>
  </si>
  <si>
    <t>3102997357G</t>
  </si>
  <si>
    <t>9781843340836</t>
  </si>
  <si>
    <t>793897828</t>
  </si>
  <si>
    <t>Z696 A4 B8</t>
  </si>
  <si>
    <t>0                      Z  0696000A  4                  B  8</t>
  </si>
  <si>
    <t>Theory of library classification / by Brian Buchanan.</t>
  </si>
  <si>
    <t>Buchanan, Brian, 1938-</t>
  </si>
  <si>
    <t>2015-03-28</t>
  </si>
  <si>
    <t>22381257:eng</t>
  </si>
  <si>
    <t>6334798</t>
  </si>
  <si>
    <t>ocm06334798</t>
  </si>
  <si>
    <t>30008471570</t>
  </si>
  <si>
    <t>9780851572703</t>
  </si>
  <si>
    <t>792491734</t>
  </si>
  <si>
    <t>Z696 A4 F88 2000</t>
  </si>
  <si>
    <t>0                      Z  0696000A  4                  F  88          2000</t>
  </si>
  <si>
    <t>The future of classification / edited by Rita Marcella and Arthur Maltby.</t>
  </si>
  <si>
    <t>Aldershot, Hants, England ; Brookfield, Vt. : Gower, ©2000.</t>
  </si>
  <si>
    <t>2015-03-21</t>
  </si>
  <si>
    <t>350417302:eng</t>
  </si>
  <si>
    <t>42383488</t>
  </si>
  <si>
    <t>ocm42383488</t>
  </si>
  <si>
    <t>3102049701N</t>
  </si>
  <si>
    <t>9780566079924</t>
  </si>
  <si>
    <t>793606272</t>
  </si>
  <si>
    <t>Z696 A4 H86 1988</t>
  </si>
  <si>
    <t>0                      Z  0696000A  4                  H  86          1988</t>
  </si>
  <si>
    <t>Classification made simple / Eric J. Hunter.</t>
  </si>
  <si>
    <t>Hunter, Eric J.</t>
  </si>
  <si>
    <t>Aldershot, Hants, England ; Brookfield, USA : Gower, ©1988.</t>
  </si>
  <si>
    <t>12336634:eng</t>
  </si>
  <si>
    <t>16472616</t>
  </si>
  <si>
    <t>ocm16472616</t>
  </si>
  <si>
    <t>31036011632</t>
  </si>
  <si>
    <t>9780566056055</t>
  </si>
  <si>
    <t>792963791</t>
  </si>
  <si>
    <t>Z696 A4 H86 2002</t>
  </si>
  <si>
    <t>0                      Z  0696000A  4                  H  86          2002</t>
  </si>
  <si>
    <t>Aldershot, Hants, England ; Burlington, VT : Ashgate, 2002.</t>
  </si>
  <si>
    <t>49833186</t>
  </si>
  <si>
    <t>ocm49833186</t>
  </si>
  <si>
    <t>31022834208</t>
  </si>
  <si>
    <t>9780754607953</t>
  </si>
  <si>
    <t>793748794</t>
  </si>
  <si>
    <t>Z696 A4 K87 2012</t>
  </si>
  <si>
    <t>0                      Z  0696000A  4                  K  87          2012</t>
  </si>
  <si>
    <t>Library classification trends in the 21st century / Rajendra Kumbhar.</t>
  </si>
  <si>
    <t>Kumbhar, Rajendra.</t>
  </si>
  <si>
    <t>892246603:eng</t>
  </si>
  <si>
    <t>769450339</t>
  </si>
  <si>
    <t>ocn769450339</t>
  </si>
  <si>
    <t>3103429264U</t>
  </si>
  <si>
    <t>9781843346609</t>
  </si>
  <si>
    <t>794903398</t>
  </si>
  <si>
    <t>Z696 A4 L36 2007</t>
  </si>
  <si>
    <t>0                      Z  0696000A  4                  L  36          2007</t>
  </si>
  <si>
    <t>Organising knowledge : taxonomies, knowledge and organisational effectiveness / Patrick Lambe.</t>
  </si>
  <si>
    <t>Lambe, Patrick, 1960-</t>
  </si>
  <si>
    <t>Oxford : Chandos, 2007.</t>
  </si>
  <si>
    <t>Chandos knowledge management series</t>
  </si>
  <si>
    <t>2019-01-02</t>
  </si>
  <si>
    <t>796687800:eng</t>
  </si>
  <si>
    <t>70264473</t>
  </si>
  <si>
    <t>ocm70264473</t>
  </si>
  <si>
    <t>31030903989</t>
  </si>
  <si>
    <t>9781843342281</t>
  </si>
  <si>
    <t>794151949</t>
  </si>
  <si>
    <t>Z696 B56</t>
  </si>
  <si>
    <t>0                      Z  0696000B  56</t>
  </si>
  <si>
    <t>The organization of knowledge and the system of the sciences, by Henry Evelyn Bliss ... with an introduction by John Dewey.</t>
  </si>
  <si>
    <t>Bliss, Henry Evelyn, 1870-1955.</t>
  </si>
  <si>
    <t>New York, H. Holt and Co. [©1929]</t>
  </si>
  <si>
    <t>2908952969:eng</t>
  </si>
  <si>
    <t>1076932</t>
  </si>
  <si>
    <t>ocm01076932</t>
  </si>
  <si>
    <t>3000852323S</t>
  </si>
  <si>
    <t>791539862</t>
  </si>
  <si>
    <t>The organization of knowledge in libraries and the subject-approach to books.</t>
  </si>
  <si>
    <t>New York, Wilson, 1933.</t>
  </si>
  <si>
    <t>[His The organization of knowledge, 2]</t>
  </si>
  <si>
    <t>4202706108:eng</t>
  </si>
  <si>
    <t>1316367</t>
  </si>
  <si>
    <t>ocm01316367</t>
  </si>
  <si>
    <t>30008541838</t>
  </si>
  <si>
    <t>791598189</t>
  </si>
  <si>
    <t>Z696 C6 B3</t>
  </si>
  <si>
    <t>0                      Z  0696000C  6                  B  3</t>
  </si>
  <si>
    <t>An introduction to Colon Classification [by] C.D. Batty.</t>
  </si>
  <si>
    <t>Batty, C. D.</t>
  </si>
  <si>
    <t>London, Bingley, 1966.</t>
  </si>
  <si>
    <t>1700811:eng</t>
  </si>
  <si>
    <t>2188329</t>
  </si>
  <si>
    <t>ocm02188329</t>
  </si>
  <si>
    <t>3102894645R</t>
  </si>
  <si>
    <t>792064000</t>
  </si>
  <si>
    <t>Z696 C6 R3</t>
  </si>
  <si>
    <t>0                      Z  0696000C  6                  R  3</t>
  </si>
  <si>
    <t>The colon classification.</t>
  </si>
  <si>
    <t>Ranganathan, Shiyali Ramamrita, rao sahib, 1892-</t>
  </si>
  <si>
    <t>New Brunswick, N.J., Graduate School of Library Service, Rutgers, the State University, 1965.</t>
  </si>
  <si>
    <t>Rutgers series on systems for the intellectual organization of information ; v. 4</t>
  </si>
  <si>
    <t>1261669:eng</t>
  </si>
  <si>
    <t>669706</t>
  </si>
  <si>
    <t>ocm00669706</t>
  </si>
  <si>
    <t>3103601446R</t>
  </si>
  <si>
    <t>791442118</t>
  </si>
  <si>
    <t>Z696 C6 R31 1957</t>
  </si>
  <si>
    <t>0                      Z  0696000C  6                  R  31          1957</t>
  </si>
  <si>
    <t>Colon classification.</t>
  </si>
  <si>
    <t>Madras, Madras Library Association, 1957-</t>
  </si>
  <si>
    <t>[5th ed.].</t>
  </si>
  <si>
    <t>Madras Library Association. Publication series, no. 22, etc.</t>
  </si>
  <si>
    <t>2015-03-29</t>
  </si>
  <si>
    <t>4919176852:eng</t>
  </si>
  <si>
    <t>2295015</t>
  </si>
  <si>
    <t>ocm02295015</t>
  </si>
  <si>
    <t>3000854209G</t>
  </si>
  <si>
    <t>792099526</t>
  </si>
  <si>
    <t>Z696 C62 C5 1984</t>
  </si>
  <si>
    <t>0                      Z  0696000C  62                 C  5           1984</t>
  </si>
  <si>
    <t>Colon classification : its structure and working a programmed text.</t>
  </si>
  <si>
    <t>Chand, Mohinder Pratap.</t>
  </si>
  <si>
    <t>New Delhi : Sterling Publishers Private Ltd., 1984.</t>
  </si>
  <si>
    <t>2nd rev and enl. ed.</t>
  </si>
  <si>
    <t>4503253:eng</t>
  </si>
  <si>
    <t>59743517</t>
  </si>
  <si>
    <t>ocm59743517</t>
  </si>
  <si>
    <t>3103601195Q</t>
  </si>
  <si>
    <t>793931456</t>
  </si>
  <si>
    <t>Z696 C62 S243 1984</t>
  </si>
  <si>
    <t>0                      Z  0696000C  62                 S  243         1984</t>
  </si>
  <si>
    <t>Manual of practical colon classification / M.P. Satija.</t>
  </si>
  <si>
    <t>Satija, Mohinder Partap, 1949-</t>
  </si>
  <si>
    <t>New Delhi [India] : Sterling Publishers Private Ltd. ; New York : Distributed by Apt Books, ©1984.</t>
  </si>
  <si>
    <t>3872134:eng</t>
  </si>
  <si>
    <t>11513761</t>
  </si>
  <si>
    <t>ocm11513761</t>
  </si>
  <si>
    <t>30008497751</t>
  </si>
  <si>
    <t>792776141</t>
  </si>
  <si>
    <t>Z696 D7 B69 2005</t>
  </si>
  <si>
    <t>0                      Z  0696000D  7                  B  69          2005</t>
  </si>
  <si>
    <t>Essential Dewey / J.H. Bowman.</t>
  </si>
  <si>
    <t>New York : Neal-Schuman Publishers, 2005.</t>
  </si>
  <si>
    <t>9593051441:eng</t>
  </si>
  <si>
    <t>64330751</t>
  </si>
  <si>
    <t>ocm64330751</t>
  </si>
  <si>
    <t>3102580936M</t>
  </si>
  <si>
    <t>9781555705442</t>
  </si>
  <si>
    <t>794128496</t>
  </si>
  <si>
    <t>Z696 D7 C4814 1995</t>
  </si>
  <si>
    <t>0                      Z  0696000D  7                  C  4814        1995</t>
  </si>
  <si>
    <t>Classification décimale de Dewey : guide pratique Lois Mai Chan, John P. Comaromi, Mohinder P. Satija ; avant-propos de Annie Béthery ; traduction de Raymonde Couture-Lafleur.</t>
  </si>
  <si>
    <t>Montréal : Éditions ASTED, 1995.</t>
  </si>
  <si>
    <t>4241424555:fre</t>
  </si>
  <si>
    <t>35940011</t>
  </si>
  <si>
    <t>ocm35940011</t>
  </si>
  <si>
    <t>31028736494</t>
  </si>
  <si>
    <t>9782921548212</t>
  </si>
  <si>
    <t>793461746</t>
  </si>
  <si>
    <t>Z696 D7 S28 2007</t>
  </si>
  <si>
    <t>0                      Z  0696000D  7                  S  28          2007</t>
  </si>
  <si>
    <t>The theory and practice of the Dewey decimal classification system / M.P. Satija.</t>
  </si>
  <si>
    <t>Oxford, England : Chandos Pub., 2007.</t>
  </si>
  <si>
    <t>2015-02-17</t>
  </si>
  <si>
    <t>58448798:eng</t>
  </si>
  <si>
    <t>71542630</t>
  </si>
  <si>
    <t>ocm71542630</t>
  </si>
  <si>
    <t>31025733022</t>
  </si>
  <si>
    <t>9781843342359</t>
  </si>
  <si>
    <t>794167228</t>
  </si>
  <si>
    <t>Z696 D7 S36 2005</t>
  </si>
  <si>
    <t>0                      Z  0696000D  7                  S  36          2005</t>
  </si>
  <si>
    <t>Dewey Decimal classification : a study manual and number building guide / Mona L. Scott.</t>
  </si>
  <si>
    <t>Scott, Mona L.</t>
  </si>
  <si>
    <t>22nd edition.</t>
  </si>
  <si>
    <t>891244799:eng</t>
  </si>
  <si>
    <t>57373681</t>
  </si>
  <si>
    <t>ocm57373681</t>
  </si>
  <si>
    <t>3102563034A</t>
  </si>
  <si>
    <t>9781591582106</t>
  </si>
  <si>
    <t>793911622</t>
  </si>
  <si>
    <t>2017-07-19</t>
  </si>
  <si>
    <t>2013-09-25</t>
  </si>
  <si>
    <t>2013-11-25</t>
  </si>
  <si>
    <t>Z696 R17</t>
  </si>
  <si>
    <t>0                      Z  0696000R  17</t>
  </si>
  <si>
    <t>Classification and communication / S.R. Ranganathan.</t>
  </si>
  <si>
    <t>Delhi : University of Delhi, 1951.</t>
  </si>
  <si>
    <t>Delhi University publications. Library science series ; 3</t>
  </si>
  <si>
    <t>5218410275:eng</t>
  </si>
  <si>
    <t>3623198</t>
  </si>
  <si>
    <t>ocm03623198</t>
  </si>
  <si>
    <t>3000855055C</t>
  </si>
  <si>
    <t>792274226</t>
  </si>
  <si>
    <t>Z696 R52 1912</t>
  </si>
  <si>
    <t>0                      Z  0696000R  52          1912</t>
  </si>
  <si>
    <t>Classification, theoretical and practical, together with an appendix containing an essay towards a bibliographical history of system of classification.</t>
  </si>
  <si>
    <t>Richardson, Ernest Cushing, 1860-1939.</t>
  </si>
  <si>
    <t>New York, Chas. Scribner's Sons, 1912.</t>
  </si>
  <si>
    <t>10141757096:eng</t>
  </si>
  <si>
    <t>317480210</t>
  </si>
  <si>
    <t>ocn317480210</t>
  </si>
  <si>
    <t>3000855098V</t>
  </si>
  <si>
    <t>794453968</t>
  </si>
  <si>
    <t>Z696 R52 1930</t>
  </si>
  <si>
    <t>0                      Z  0696000R  52          1930</t>
  </si>
  <si>
    <t>Classification, theoretical and practical.</t>
  </si>
  <si>
    <t>Hamden, Conn., Shoe String Press, 1964 [©1930]</t>
  </si>
  <si>
    <t>4915972673:eng</t>
  </si>
  <si>
    <t>575898</t>
  </si>
  <si>
    <t>ocm00575898</t>
  </si>
  <si>
    <t>3000855100X</t>
  </si>
  <si>
    <t>791419031</t>
  </si>
  <si>
    <t>Z696 S291 1924</t>
  </si>
  <si>
    <t>0                      Z  0696000S  291         1924</t>
  </si>
  <si>
    <t>The grammar of classification.</t>
  </si>
  <si>
    <t>Sayers, W. C. Berwick (William Charles Berwick), 1881-1960.</t>
  </si>
  <si>
    <t>Croydon : [publisher not identified], 1924.</t>
  </si>
  <si>
    <t>Association of Assistant Librarians' Series, no. 1</t>
  </si>
  <si>
    <t>16415208:eng</t>
  </si>
  <si>
    <t>427324284</t>
  </si>
  <si>
    <t>ocn427324284</t>
  </si>
  <si>
    <t>3000853942W</t>
  </si>
  <si>
    <t>794595415</t>
  </si>
  <si>
    <t>Z696 S292</t>
  </si>
  <si>
    <t>0                      Z  0696000S  292</t>
  </si>
  <si>
    <t>An introduction to library classification; with readings, questions and examination papers, by W.C. Berwick Sayers ...</t>
  </si>
  <si>
    <t>London, Grafton &amp; Co., 1918.</t>
  </si>
  <si>
    <t>10076335259:eng</t>
  </si>
  <si>
    <t>1386459</t>
  </si>
  <si>
    <t>ocm01386459</t>
  </si>
  <si>
    <t>3000853310W</t>
  </si>
  <si>
    <t>791614986</t>
  </si>
  <si>
    <t>Z696 S2925 1967</t>
  </si>
  <si>
    <t>0                      Z  0696000S  2925        1967</t>
  </si>
  <si>
    <t>A manual of classification for librarians [by] W.C. Berwick Sayers; with illustrations and bibliography.</t>
  </si>
  <si>
    <t>[London] Deutsch [1967]</t>
  </si>
  <si>
    <t>4th ed. completely rev. and partly re-written by Arthur Maltby.</t>
  </si>
  <si>
    <t>1699651:eng</t>
  </si>
  <si>
    <t>373395</t>
  </si>
  <si>
    <t>ocm00373395</t>
  </si>
  <si>
    <t>3000853342J</t>
  </si>
  <si>
    <t>791355936</t>
  </si>
  <si>
    <t>Z696 U4 C47 1999</t>
  </si>
  <si>
    <t>0                      Z  0696000U  4                  C  47          1999</t>
  </si>
  <si>
    <t>A guide to the Library of Congress classification / Lois Mai Chan.</t>
  </si>
  <si>
    <t>2017-11-12</t>
  </si>
  <si>
    <t>2452579910:eng</t>
  </si>
  <si>
    <t>41211262</t>
  </si>
  <si>
    <t>ocm41211262</t>
  </si>
  <si>
    <t>3102531884$</t>
  </si>
  <si>
    <t>9781563084997</t>
  </si>
  <si>
    <t>793586696</t>
  </si>
  <si>
    <t>3102693239K</t>
  </si>
  <si>
    <t>793586697</t>
  </si>
  <si>
    <t>3102542262C</t>
  </si>
  <si>
    <t>793586698</t>
  </si>
  <si>
    <t>Z696 V6</t>
  </si>
  <si>
    <t>0                      Z  0696000V  6</t>
  </si>
  <si>
    <t>Faceted classification; a guide to construction and use of special schemes.</t>
  </si>
  <si>
    <t>Vickery, Brian Campbell.</t>
  </si>
  <si>
    <t>London, Aslib, 1960.</t>
  </si>
  <si>
    <t>2018-04-05</t>
  </si>
  <si>
    <t>1316321:eng</t>
  </si>
  <si>
    <t>14595034</t>
  </si>
  <si>
    <t>ocm14595034</t>
  </si>
  <si>
    <t>3102639722D</t>
  </si>
  <si>
    <t>9780851420103</t>
  </si>
  <si>
    <t>792894993</t>
  </si>
  <si>
    <t>3102639737B</t>
  </si>
  <si>
    <t>792894994</t>
  </si>
  <si>
    <t>Z696 V64</t>
  </si>
  <si>
    <t>0                      Z  0696000V  64</t>
  </si>
  <si>
    <t>Faceted classification schemes.</t>
  </si>
  <si>
    <t>New Brunswick, N.J., Graduate School of Library Service, Rutgers, The State Univ., 1966.</t>
  </si>
  <si>
    <t>Rutgers series on systems for the intellectual organization of information, v. 5</t>
  </si>
  <si>
    <t>2017-11-10</t>
  </si>
  <si>
    <t>3857229311:eng</t>
  </si>
  <si>
    <t>576989</t>
  </si>
  <si>
    <t>ocm00576989</t>
  </si>
  <si>
    <t>3102639717F</t>
  </si>
  <si>
    <t>791419355</t>
  </si>
  <si>
    <t>Z697 B87 M37 2011</t>
  </si>
  <si>
    <t>0                      Z  0697000B  87                 M  37          2011</t>
  </si>
  <si>
    <t>Classification des documents numériques dans les organismes : impact des pratiques classificatoires personnelles sur le repérage / Sabine Mas ; préface de Louise Gagnon-Arguin.</t>
  </si>
  <si>
    <t>Mas, Sabine, 1972-</t>
  </si>
  <si>
    <t>Québec : Presses de l'Université du Québec, 2011.</t>
  </si>
  <si>
    <t>787842491:fre</t>
  </si>
  <si>
    <t>702800274</t>
  </si>
  <si>
    <t>ocn702800274</t>
  </si>
  <si>
    <t>3103325337I</t>
  </si>
  <si>
    <t>9782760530348</t>
  </si>
  <si>
    <t>794864301</t>
  </si>
  <si>
    <t>Z697 F29 B84 1988</t>
  </si>
  <si>
    <t>0                      Z  0697000F  29                 B  84          1988</t>
  </si>
  <si>
    <t>A guide to science fiction and fantasy in the Library of Congress classification scheme / Michael Burgess.</t>
  </si>
  <si>
    <t>Burgess, Michael, 1948-</t>
  </si>
  <si>
    <t>San Bernardino, Calif. : Borgo Press, 1988.</t>
  </si>
  <si>
    <t>Borgo cataloging guides ; no. 1</t>
  </si>
  <si>
    <t>468121486:eng</t>
  </si>
  <si>
    <t>15283897</t>
  </si>
  <si>
    <t>ocm15283897</t>
  </si>
  <si>
    <t>3000864911W</t>
  </si>
  <si>
    <t>9780893708276</t>
  </si>
  <si>
    <t>792926856</t>
  </si>
  <si>
    <t>Z697 F54 B44 1994</t>
  </si>
  <si>
    <t>0                      Z  0697000F  54                 B  44          1994</t>
  </si>
  <si>
    <t>The classification of fiction : the development of a system based on theoretical principles / by Clare Beghtol.</t>
  </si>
  <si>
    <t>Beghtol, Clare, 1942-2018.</t>
  </si>
  <si>
    <t>Metuchen, N.J. : Scarecrow Press, 1994.</t>
  </si>
  <si>
    <t>20966286:eng</t>
  </si>
  <si>
    <t>29548985</t>
  </si>
  <si>
    <t>ocm29548985</t>
  </si>
  <si>
    <t>3102943826B</t>
  </si>
  <si>
    <t>9780810828285</t>
  </si>
  <si>
    <t>793314035</t>
  </si>
  <si>
    <t>Z697 S5 G37</t>
  </si>
  <si>
    <t>0                      Z  0697000S  5                  G  37</t>
  </si>
  <si>
    <t>Citation indexing - its theory and application in science, technology, and humanities / Eugene Garfield.</t>
  </si>
  <si>
    <t>Garfield, Eugene.</t>
  </si>
  <si>
    <t>New York : Wiley, ©1979.</t>
  </si>
  <si>
    <t>13151094:eng</t>
  </si>
  <si>
    <t>3912630</t>
  </si>
  <si>
    <t>ocm03912630</t>
  </si>
  <si>
    <t>3000847285S</t>
  </si>
  <si>
    <t>9780471025597</t>
  </si>
  <si>
    <t>792304350</t>
  </si>
  <si>
    <t>2012-06-18</t>
  </si>
  <si>
    <t>3000033172C</t>
  </si>
  <si>
    <t>792304351</t>
  </si>
  <si>
    <t>v.11</t>
  </si>
  <si>
    <t>v.25</t>
  </si>
  <si>
    <t>v.37</t>
  </si>
  <si>
    <t>2008-03-18</t>
  </si>
  <si>
    <t>v.35</t>
  </si>
  <si>
    <t>v.26</t>
  </si>
  <si>
    <t>v.29</t>
  </si>
  <si>
    <t>v.21</t>
  </si>
  <si>
    <t>v.24</t>
  </si>
  <si>
    <t>v.40</t>
  </si>
  <si>
    <t>v.14</t>
  </si>
  <si>
    <t>v.34</t>
  </si>
  <si>
    <t>v.38</t>
  </si>
  <si>
    <t>v.32</t>
  </si>
  <si>
    <t>v.23</t>
  </si>
  <si>
    <t>v.22</t>
  </si>
  <si>
    <t>v.33</t>
  </si>
  <si>
    <t>v.36</t>
  </si>
  <si>
    <t>v.19</t>
  </si>
  <si>
    <t>2015-04-07</t>
  </si>
  <si>
    <t>v.13</t>
  </si>
  <si>
    <t>v.20</t>
  </si>
  <si>
    <t>v.39</t>
  </si>
  <si>
    <t>Z699 A524 1989</t>
  </si>
  <si>
    <t>0                      Z  0699000A  524         1989</t>
  </si>
  <si>
    <t>Final report / American Library Association. Presidential Committee on Information Literacy.</t>
  </si>
  <si>
    <t>Chicago, Ill. : The Association, [1989]</t>
  </si>
  <si>
    <t>2016-09-05</t>
  </si>
  <si>
    <t>5534187538:eng</t>
  </si>
  <si>
    <t>24078942</t>
  </si>
  <si>
    <t>ocm24078942</t>
  </si>
  <si>
    <t>3100944084$</t>
  </si>
  <si>
    <t>793189211</t>
  </si>
  <si>
    <t>Z699 A6 2003</t>
  </si>
  <si>
    <t>0                      Z  0699000A  6           2003</t>
  </si>
  <si>
    <t>ASIST 2003 : humanizing information technology : from ideas to bits and back, October 19-22, 2003, Long Beach, CA / conference chair, Marcia Bates ; proceedings editor, Ross J. Todd.</t>
  </si>
  <si>
    <t>American Society for Information Science and Technology. Annual Meeting (66th : 2003 : Long Beach, Calif.)</t>
  </si>
  <si>
    <t>Medford, NJ : Published for the American Society for Information Science and Technology, by Information Today, Inc., ©2003.</t>
  </si>
  <si>
    <t>Proceedings of the ASIST Annual Meeting, 0044-7870 ; v. 40, 2003</t>
  </si>
  <si>
    <t>2015-08-14</t>
  </si>
  <si>
    <t>8926421279:eng</t>
  </si>
  <si>
    <t>53337653</t>
  </si>
  <si>
    <t>ocm53337653</t>
  </si>
  <si>
    <t>3102332613R</t>
  </si>
  <si>
    <t>9781573871976</t>
  </si>
  <si>
    <t>793826668</t>
  </si>
  <si>
    <t>Z699 C4</t>
  </si>
  <si>
    <t>0                      Z  0699000C  4</t>
  </si>
  <si>
    <t>Factors determining the performance of indexing systems / by Cyril Cleverdon, Jack Mills and Michael Keen.</t>
  </si>
  <si>
    <t>Cleverdon, Cyril W.</t>
  </si>
  <si>
    <t>Cranfield (Beds.) : College of Aeronautics, 1966.</t>
  </si>
  <si>
    <t>2018-01-03</t>
  </si>
  <si>
    <t>3134550353:eng</t>
  </si>
  <si>
    <t>3911240</t>
  </si>
  <si>
    <t>ocm03911240</t>
  </si>
  <si>
    <t>3103706502B</t>
  </si>
  <si>
    <t>792304252</t>
  </si>
  <si>
    <t>30008595761</t>
  </si>
  <si>
    <t>792304253</t>
  </si>
  <si>
    <t>Report on the first stage of an investigation into the comparative efficiency of indexing systems ...</t>
  </si>
  <si>
    <t>Cleverdon, C. W. (Cyril William)</t>
  </si>
  <si>
    <t>Aslib Cranfield research project</t>
  </si>
  <si>
    <t>3855575371:eng</t>
  </si>
  <si>
    <t>54319455</t>
  </si>
  <si>
    <t>ocm54319455</t>
  </si>
  <si>
    <t>3100382354O</t>
  </si>
  <si>
    <t>793859527</t>
  </si>
  <si>
    <t>v.1,pt.1</t>
  </si>
  <si>
    <t>3000859579W</t>
  </si>
  <si>
    <t>793859529</t>
  </si>
  <si>
    <t>v.1,pt.2</t>
  </si>
  <si>
    <t>3100382355M</t>
  </si>
  <si>
    <t>793859528</t>
  </si>
  <si>
    <t>Z699 C42</t>
  </si>
  <si>
    <t>0                      Z  0699000C  42</t>
  </si>
  <si>
    <t>Interim report on the test programme of an investigation into the comparative efficiency of indexing systems, by Cyril W. Cleverdon.</t>
  </si>
  <si>
    <t>Aslib. Cranfield Research Project.</t>
  </si>
  <si>
    <t>Cranfield, Eng., College of Aeronautics, 1960.</t>
  </si>
  <si>
    <t>3858004878:eng</t>
  </si>
  <si>
    <t>3908698</t>
  </si>
  <si>
    <t>ocm03908698</t>
  </si>
  <si>
    <t>3000859580A</t>
  </si>
  <si>
    <t>792304048</t>
  </si>
  <si>
    <t>Z699 C43</t>
  </si>
  <si>
    <t>0                      Z  0699000C  43</t>
  </si>
  <si>
    <t>Report on the testing and analysis of an investigation into the comparative efficiency of indexing systems, by Cyril W. Cleverdon.</t>
  </si>
  <si>
    <t>Cranfield [England], [College of Aeronautics] 1962.</t>
  </si>
  <si>
    <t>147377505:eng</t>
  </si>
  <si>
    <t>3619689</t>
  </si>
  <si>
    <t>ocm03619689</t>
  </si>
  <si>
    <t>3103601577C</t>
  </si>
  <si>
    <t>792273886</t>
  </si>
  <si>
    <t>Z699 E62 1998</t>
  </si>
  <si>
    <t>0                      Z  0699000E  62          1998</t>
  </si>
  <si>
    <t>Electronic databases and publishing / edited by Albert Henderson.</t>
  </si>
  <si>
    <t>New Brunswick, N.J. : Transaction Publishers, ©1998.</t>
  </si>
  <si>
    <t>670297:eng</t>
  </si>
  <si>
    <t>36549057</t>
  </si>
  <si>
    <t>ocm36549057</t>
  </si>
  <si>
    <t>3101846522R</t>
  </si>
  <si>
    <t>9781560009672</t>
  </si>
  <si>
    <t>793478281</t>
  </si>
  <si>
    <t>Z699 F46 1967</t>
  </si>
  <si>
    <t>0                      Z  0699000F  46          1967</t>
  </si>
  <si>
    <t>A Field experimental approach to the study of relevance assessments in relation to document searching : final report to the National Science Foundation / project staff, George Baumanis [and others].</t>
  </si>
  <si>
    <t>v.2 (1967)</t>
  </si>
  <si>
    <t>Cleveland, Ohio : Center for Documentation and Communication Research, School of Library Science, Case Western Reserve University, 1967.</t>
  </si>
  <si>
    <t>1862735597:eng</t>
  </si>
  <si>
    <t>61580526</t>
  </si>
  <si>
    <t>ocm61580526</t>
  </si>
  <si>
    <t>3103705917O</t>
  </si>
  <si>
    <t>794016459</t>
  </si>
  <si>
    <t>v.1 (1967)</t>
  </si>
  <si>
    <t>3000851922B</t>
  </si>
  <si>
    <t>794016460</t>
  </si>
  <si>
    <t>Z699 H58</t>
  </si>
  <si>
    <t>0                      Z  0699000H  58</t>
  </si>
  <si>
    <t>Survey of current systems for selective dissemination of information (SDI).</t>
  </si>
  <si>
    <t>Housman, Edward M.</t>
  </si>
  <si>
    <t>[Washington] Special Interest Group on Selective Dissemination of Information, American Society for Information Science, 1969.</t>
  </si>
  <si>
    <t>Reports, SIG/SDI-1</t>
  </si>
  <si>
    <t>2017-07-06</t>
  </si>
  <si>
    <t>5288650:eng</t>
  </si>
  <si>
    <t>70473388</t>
  </si>
  <si>
    <t>ocm70473388</t>
  </si>
  <si>
    <t>3103736125Y</t>
  </si>
  <si>
    <t>794155752</t>
  </si>
  <si>
    <t>Z699 I34 1998</t>
  </si>
  <si>
    <t>0                      Z  0699000I  34          1998</t>
  </si>
  <si>
    <t>Functional requirements for bibliographic records : final report / IFLA Study Group on the Functional Requirements for Bibliographic Records ; approved by the Standing Committee of the IFLA Section on Cataloguing.</t>
  </si>
  <si>
    <t>IFLA Study Group on the Functional Requirements for Bibliographic Records.</t>
  </si>
  <si>
    <t>München : K.G. Saur, 1998.</t>
  </si>
  <si>
    <t>UBCIM publications ; new ser., vol. 19</t>
  </si>
  <si>
    <t>898218559:eng</t>
  </si>
  <si>
    <t>39964684</t>
  </si>
  <si>
    <t>ocm39964684</t>
  </si>
  <si>
    <t>3102198344Q</t>
  </si>
  <si>
    <t>9783598113826</t>
  </si>
  <si>
    <t>793557992</t>
  </si>
  <si>
    <t>Z699 I458</t>
  </si>
  <si>
    <t>0                      Z  0699000I  458</t>
  </si>
  <si>
    <t>Information retrieval experiment / edited by Karen Sparck Jones.</t>
  </si>
  <si>
    <t>London ; Boston : Butterworths, 1981.</t>
  </si>
  <si>
    <t>30905808:eng</t>
  </si>
  <si>
    <t>8116818</t>
  </si>
  <si>
    <t>ocm08116818</t>
  </si>
  <si>
    <t>30008437097</t>
  </si>
  <si>
    <t>9780408106481</t>
  </si>
  <si>
    <t>792599925</t>
  </si>
  <si>
    <t>Z699 I56 2011</t>
  </si>
  <si>
    <t>0                      Z  0699000I  56          2011</t>
  </si>
  <si>
    <t>Innovations in information retrieval : perspectives for theory and practice / Allen Foster and Pauline Rafferty.</t>
  </si>
  <si>
    <t>Foster, Allen, 1968-</t>
  </si>
  <si>
    <t>London : Facet, 2010.</t>
  </si>
  <si>
    <t>2012-04-23</t>
  </si>
  <si>
    <t>1070398165:eng</t>
  </si>
  <si>
    <t>461279417</t>
  </si>
  <si>
    <t>ocn461279417</t>
  </si>
  <si>
    <t>31033426479</t>
  </si>
  <si>
    <t>9781856046978</t>
  </si>
  <si>
    <t>794791427</t>
  </si>
  <si>
    <t>Z699 K583</t>
  </si>
  <si>
    <t>0                      Z  0699000K  583</t>
  </si>
  <si>
    <t>Principles of information retrieval.</t>
  </si>
  <si>
    <t>Kochen, Manfred.</t>
  </si>
  <si>
    <t>Los Angeles, Melville Pub. Co. [1974]</t>
  </si>
  <si>
    <t>2015-06-09</t>
  </si>
  <si>
    <t>1630457:eng</t>
  </si>
  <si>
    <t>805974</t>
  </si>
  <si>
    <t>ocm00805974</t>
  </si>
  <si>
    <t>3000848906H</t>
  </si>
  <si>
    <t>9780471496977</t>
  </si>
  <si>
    <t>791474568</t>
  </si>
  <si>
    <t>Z699 L35 1979</t>
  </si>
  <si>
    <t>0                      Z  0699000L  35          1979</t>
  </si>
  <si>
    <t>Information retrieval systems : characteristics, testing, and evaluation / F. Wilfrid Lancaster.</t>
  </si>
  <si>
    <t>4535625529:eng</t>
  </si>
  <si>
    <t>4495358</t>
  </si>
  <si>
    <t>ocm04495358</t>
  </si>
  <si>
    <t>31037065411</t>
  </si>
  <si>
    <t>9780471046738</t>
  </si>
  <si>
    <t>792355504</t>
  </si>
  <si>
    <t>Z699 M413 1992</t>
  </si>
  <si>
    <t>0                      Z  0699000M  413         1992</t>
  </si>
  <si>
    <t>Text information retrieval systems / Charles T. Meadow.</t>
  </si>
  <si>
    <t>Meadow, Charles T., author.</t>
  </si>
  <si>
    <t>San Diego : Academic Press, [1992]</t>
  </si>
  <si>
    <t>2017-12-02</t>
  </si>
  <si>
    <t>25073407:eng</t>
  </si>
  <si>
    <t>24108613</t>
  </si>
  <si>
    <t>ocm24108613</t>
  </si>
  <si>
    <t>3100976680T</t>
  </si>
  <si>
    <t>9780124874107</t>
  </si>
  <si>
    <t>793190067</t>
  </si>
  <si>
    <t>Z699 M413 2000</t>
  </si>
  <si>
    <t>0                      Z  0699000M  413         2000</t>
  </si>
  <si>
    <t>Text information retrieval systems.</t>
  </si>
  <si>
    <t>San Diego : Academic Press, [2000]</t>
  </si>
  <si>
    <t>Second edition / Charles T. Meadow, Bert R. Boyce, Donald H. Kraft.</t>
  </si>
  <si>
    <t>2012-08-30</t>
  </si>
  <si>
    <t>2015-10-22</t>
  </si>
  <si>
    <t>42622196</t>
  </si>
  <si>
    <t>ocm42622196</t>
  </si>
  <si>
    <t>31026654919</t>
  </si>
  <si>
    <t>9780124874053</t>
  </si>
  <si>
    <t>793609952</t>
  </si>
  <si>
    <t>3102629624L</t>
  </si>
  <si>
    <t>793609951</t>
  </si>
  <si>
    <t>Z699 S313</t>
  </si>
  <si>
    <t>0                      Z  0699000S  313</t>
  </si>
  <si>
    <t>Introduction to modern information retrieval / Gerard Salton, Michael J. McGill.</t>
  </si>
  <si>
    <t>Salton, Gerard.</t>
  </si>
  <si>
    <t>New York : McGraw-Hill, ©1983.</t>
  </si>
  <si>
    <t>McGraw-Hill computer science series</t>
  </si>
  <si>
    <t>406343:eng</t>
  </si>
  <si>
    <t>8034654</t>
  </si>
  <si>
    <t>ocm08034654</t>
  </si>
  <si>
    <t>3000844364A</t>
  </si>
  <si>
    <t>9780070544840</t>
  </si>
  <si>
    <t>792594711</t>
  </si>
  <si>
    <t>Z699 S683 1974a</t>
  </si>
  <si>
    <t>0                      Z  0699000S  683         1974a</t>
  </si>
  <si>
    <t>Communications stage pratique en informatique documentaire : telecatalogage en cooperation[ ; diffusion selective de l'information / Montréal 23-25 Octobre 1974, Coordination du stage présentation et révision des textes sous la direction de: Rosario de Varennes.</t>
  </si>
  <si>
    <t>Montréal : Corp. des bibliothécaires professionnels du Québec, 1975.</t>
  </si>
  <si>
    <t>11196040:fre</t>
  </si>
  <si>
    <t>4692902</t>
  </si>
  <si>
    <t>ocm04692902</t>
  </si>
  <si>
    <t>30008578581</t>
  </si>
  <si>
    <t>9780885280131</t>
  </si>
  <si>
    <t>792375703</t>
  </si>
  <si>
    <t>Z699 S965</t>
  </si>
  <si>
    <t>0                      Z  0699000S  965</t>
  </si>
  <si>
    <t>Books are for use : final report of the subject access project to the Council on Library Resources / Pauline Atherton, director.</t>
  </si>
  <si>
    <t>Syracuse, N.Y. : School of Information Studies, Syracuse University, 1978.</t>
  </si>
  <si>
    <t>45225281:eng</t>
  </si>
  <si>
    <t>4345601</t>
  </si>
  <si>
    <t>ocm04345601</t>
  </si>
  <si>
    <t>3000859578Y</t>
  </si>
  <si>
    <t>792342594</t>
  </si>
  <si>
    <t>Z699 V35 1979</t>
  </si>
  <si>
    <t>0                      Z  0699000V  35          1979</t>
  </si>
  <si>
    <t>Information retrieval / C.J. van Rijsbergen.</t>
  </si>
  <si>
    <t>Van Rijsbergen, C. J., 1943-</t>
  </si>
  <si>
    <t>London ; Boston : Butterworths, 1979.</t>
  </si>
  <si>
    <t>478167:eng</t>
  </si>
  <si>
    <t>4494554</t>
  </si>
  <si>
    <t>ocm04494554</t>
  </si>
  <si>
    <t>30008478001</t>
  </si>
  <si>
    <t>9780408709293</t>
  </si>
  <si>
    <t>792355235</t>
  </si>
  <si>
    <t>Z699.35 C38 C38 2013</t>
  </si>
  <si>
    <t>0                      Z  0699350C  38                 C  38          2013</t>
  </si>
  <si>
    <t>Catalogue 2.0 : the future of the library catalogue / edited by Sally Chambers.</t>
  </si>
  <si>
    <t>1404727634:eng</t>
  </si>
  <si>
    <t>857546905</t>
  </si>
  <si>
    <t>ocn857546905</t>
  </si>
  <si>
    <t>3103501477L</t>
  </si>
  <si>
    <t>9781856047166</t>
  </si>
  <si>
    <t>794955171</t>
  </si>
  <si>
    <t>Z699.35 C38 L53 2013</t>
  </si>
  <si>
    <t>0                      Z  0699350C  38                 L  53          2013</t>
  </si>
  <si>
    <t>Library automation and OPAC 2.0 : information access and services in the 2.0 landscape / Jesus Tramullas, University of Zaragoza, Spain ; and Piedad Garrido, University of Zaragoza, Spain.</t>
  </si>
  <si>
    <t>Hershey PA : Information Science Reference, [2013]</t>
  </si>
  <si>
    <t>1086708554:eng</t>
  </si>
  <si>
    <t>779606944</t>
  </si>
  <si>
    <t>ocn779606944</t>
  </si>
  <si>
    <t>3103472282T</t>
  </si>
  <si>
    <t>9781466619128</t>
  </si>
  <si>
    <t>794911103</t>
  </si>
  <si>
    <t>Z699.35 C38 S36 2011</t>
  </si>
  <si>
    <t>0                      Z  0699350C  38                 S  36          2011</t>
  </si>
  <si>
    <t>Scholarly practice, participatory design and the extensible catalog / edited by Nancy Fried Foster [and others].</t>
  </si>
  <si>
    <t>890151676:eng</t>
  </si>
  <si>
    <t>716068728</t>
  </si>
  <si>
    <t>ocn716068728</t>
  </si>
  <si>
    <t>3103405547E</t>
  </si>
  <si>
    <t>9780838985748</t>
  </si>
  <si>
    <t>794873981</t>
  </si>
  <si>
    <t>Z699.35 C38 S87 2014</t>
  </si>
  <si>
    <t>0                      Z  0699350C  38                 S  87          2014</t>
  </si>
  <si>
    <t>Survey of policies to assure mobile device access to the library website.</t>
  </si>
  <si>
    <t>New York : Primary Research Group, [2014]</t>
  </si>
  <si>
    <t>2907073047:eng</t>
  </si>
  <si>
    <t>875239612</t>
  </si>
  <si>
    <t>ocn875239612</t>
  </si>
  <si>
    <t>31035666428</t>
  </si>
  <si>
    <t>9781574402841</t>
  </si>
  <si>
    <t>794969310</t>
  </si>
  <si>
    <t>Z699.35 C39 Y44 1998</t>
  </si>
  <si>
    <t>0                      Z  0699350C  39                 Y  44          1998</t>
  </si>
  <si>
    <t>Improving online public access catalogs / Martha M. Yee and Sara Shatford Layne.</t>
  </si>
  <si>
    <t>1026298:eng</t>
  </si>
  <si>
    <t>38550045</t>
  </si>
  <si>
    <t>ocm38550045</t>
  </si>
  <si>
    <t>31024451845</t>
  </si>
  <si>
    <t>9780838907306</t>
  </si>
  <si>
    <t>793526642</t>
  </si>
  <si>
    <t>Z699.35 M28 M85 2007</t>
  </si>
  <si>
    <t>0                      Z  0699350M  28                 M  85          2007</t>
  </si>
  <si>
    <t>Guide to MARC 21 : for cataloging of books and serials : with functional definitions, examples, and working resources / Asoknath Mukhopadhyay.</t>
  </si>
  <si>
    <t>Mukhopadhyay, Asoknath.</t>
  </si>
  <si>
    <t>Oxford, England : Chandos Publishing, ©2007.</t>
  </si>
  <si>
    <t>314972213:eng</t>
  </si>
  <si>
    <t>173807161</t>
  </si>
  <si>
    <t>ocn173807161</t>
  </si>
  <si>
    <t>3102572891A</t>
  </si>
  <si>
    <t>9781843344070</t>
  </si>
  <si>
    <t>794270434</t>
  </si>
  <si>
    <t>Z699.35 O55 I54 1992</t>
  </si>
  <si>
    <t>0                      Z  0699350O  55                 I  54          1992</t>
  </si>
  <si>
    <t>Information retrieval interaction / Peter Ingwersen.</t>
  </si>
  <si>
    <t>Ingwersen, Peter.</t>
  </si>
  <si>
    <t>London : Taylor Graham, ©1992.</t>
  </si>
  <si>
    <t>29822396:eng</t>
  </si>
  <si>
    <t>27224225</t>
  </si>
  <si>
    <t>ocm27224225</t>
  </si>
  <si>
    <t>31013085994</t>
  </si>
  <si>
    <t>9780947568542</t>
  </si>
  <si>
    <t>793262279</t>
  </si>
  <si>
    <t>Z699.35 O55 O53 1990</t>
  </si>
  <si>
    <t>0                      Z  0699350O  55                 O  53          1990</t>
  </si>
  <si>
    <t>The Online searcher / edited by Ethel Auster.</t>
  </si>
  <si>
    <t>New York, NY : Neal-Schuman Publishers, ©1990.</t>
  </si>
  <si>
    <t>55341326:eng</t>
  </si>
  <si>
    <t>21675338</t>
  </si>
  <si>
    <t>ocm21675338</t>
  </si>
  <si>
    <t>3100679081K</t>
  </si>
  <si>
    <t>9781555700683</t>
  </si>
  <si>
    <t>793125394</t>
  </si>
  <si>
    <t>Z699.35 O55 W35 1993</t>
  </si>
  <si>
    <t>0                      Z  0699350O  55                 W  35          1993</t>
  </si>
  <si>
    <t>Online retrieval : a dialogue of theory and practice / Geraldene Walker, Joseph Janes.</t>
  </si>
  <si>
    <t>Walker, Geraldene.</t>
  </si>
  <si>
    <t>Database searching series ; [no. 6]</t>
  </si>
  <si>
    <t>2015-10-09</t>
  </si>
  <si>
    <t>1049337:eng</t>
  </si>
  <si>
    <t>28257554</t>
  </si>
  <si>
    <t>ocm28257554</t>
  </si>
  <si>
    <t>3101839612H</t>
  </si>
  <si>
    <t>9781563080715</t>
  </si>
  <si>
    <t>793283975</t>
  </si>
  <si>
    <t>Z699.35 Q35 B33 2007</t>
  </si>
  <si>
    <t>0                      Z  0699350Q  35                 B  33          2007</t>
  </si>
  <si>
    <t>Responsible librarianship : library policies for unreliable systems / by David Bade.</t>
  </si>
  <si>
    <t>Bade, David W., author.</t>
  </si>
  <si>
    <t>Duluth, Minn. : Library Juice Press, [2007]</t>
  </si>
  <si>
    <t>865365658:eng</t>
  </si>
  <si>
    <t>182552863</t>
  </si>
  <si>
    <t>ocn182552863</t>
  </si>
  <si>
    <t>3102650846W</t>
  </si>
  <si>
    <t>9780977861767</t>
  </si>
  <si>
    <t>794284530</t>
  </si>
  <si>
    <t>Z699.4 M2 A84</t>
  </si>
  <si>
    <t>0                      Z  0699400M  2                  A  84</t>
  </si>
  <si>
    <t>MARC, its history and implications / by Henriette D. Avram.</t>
  </si>
  <si>
    <t>Avram, Henriette D.</t>
  </si>
  <si>
    <t>Washington : Library of Congress, 1975.</t>
  </si>
  <si>
    <t>8907432019:eng</t>
  </si>
  <si>
    <t>2021210</t>
  </si>
  <si>
    <t>ocm02021210</t>
  </si>
  <si>
    <t>30008539969</t>
  </si>
  <si>
    <t>9780844401768</t>
  </si>
  <si>
    <t>792030173</t>
  </si>
  <si>
    <t>Z699.4 M2 B5</t>
  </si>
  <si>
    <t>0                      Z  0699400M  2                  B  5</t>
  </si>
  <si>
    <t>A manual of AACR2 examples tagged and coded using the MARC format / by Julia C. Blixrud and Edward Swanson.</t>
  </si>
  <si>
    <t>Blixrud, Julia C., 1954-</t>
  </si>
  <si>
    <t>Lake Crystal, Minn. : Soldier Creek Press, 1982.</t>
  </si>
  <si>
    <t>157635287:eng</t>
  </si>
  <si>
    <t>8661012</t>
  </si>
  <si>
    <t>ocm08661012</t>
  </si>
  <si>
    <t>31036434502</t>
  </si>
  <si>
    <t>9780936996134</t>
  </si>
  <si>
    <t>792633397</t>
  </si>
  <si>
    <t>Z699.4 M2 B94 1991</t>
  </si>
  <si>
    <t>0                      Z  0699400M  2                  B  94          1991</t>
  </si>
  <si>
    <t>MARC manual : understanding and using MARC records / Deborah J. Byrne.</t>
  </si>
  <si>
    <t>Byrne, Deborah J.</t>
  </si>
  <si>
    <t>673557:eng</t>
  </si>
  <si>
    <t>22381638</t>
  </si>
  <si>
    <t>ocm22381638</t>
  </si>
  <si>
    <t>3100945620X</t>
  </si>
  <si>
    <t>9780872878136</t>
  </si>
  <si>
    <t>793142420</t>
  </si>
  <si>
    <t>Z699.5 A75 R34 2005</t>
  </si>
  <si>
    <t>0                      Z  0699500A  75                 R  34          2005</t>
  </si>
  <si>
    <t>Indexing multimedia and creative works : the problems of meaning and interpretation / Pauline Rafferty and Rob Hidderley.</t>
  </si>
  <si>
    <t>Rafferty, Pauline, 1959-</t>
  </si>
  <si>
    <t>Aldershot, Hants, England ; Burlington, VT : Ashgate, 2004.</t>
  </si>
  <si>
    <t>1043039:eng</t>
  </si>
  <si>
    <t>54694654</t>
  </si>
  <si>
    <t>ocm54694654</t>
  </si>
  <si>
    <t>3102498574W</t>
  </si>
  <si>
    <t>9780754632542</t>
  </si>
  <si>
    <t>793865873</t>
  </si>
  <si>
    <t>Z699.5 M39 K28 2006</t>
  </si>
  <si>
    <t>0                      Z  0699500M  39                 K  28          2006</t>
  </si>
  <si>
    <t>MEDLINE : a guide to effective searching in PubMed and other interfaces / Brian S. Katcher.</t>
  </si>
  <si>
    <t>Katcher, Brian S.</t>
  </si>
  <si>
    <t>San Francisco : Ashbury Press, 2006.</t>
  </si>
  <si>
    <t>27933455:eng</t>
  </si>
  <si>
    <t>70335653</t>
  </si>
  <si>
    <t>ocm70335653</t>
  </si>
  <si>
    <t>3102641220I</t>
  </si>
  <si>
    <t>9780967344515</t>
  </si>
  <si>
    <t>794153834</t>
  </si>
  <si>
    <t>Z699.5 M39 Y68 2011</t>
  </si>
  <si>
    <t>0                      Z  0699500M  39                 Y  68          2011</t>
  </si>
  <si>
    <t>Using Web 2.0 for health information / edited by Paula Younger and Peter Morgan.</t>
  </si>
  <si>
    <t>London : Facet Pub., 2011.</t>
  </si>
  <si>
    <t>391501812:eng</t>
  </si>
  <si>
    <t>729661807</t>
  </si>
  <si>
    <t>ocn729661807</t>
  </si>
  <si>
    <t>3103412152V</t>
  </si>
  <si>
    <t>9781856047319</t>
  </si>
  <si>
    <t>794879560</t>
  </si>
  <si>
    <t>Z699.5 M4 A5</t>
  </si>
  <si>
    <t>0                      Z  0699500M  4                  A  5</t>
  </si>
  <si>
    <t>Aslib Cranfield Research Project : a report on a test of the index of metallurgical literature of Western Reserve University / by Jean Aitchison and Cyril Cleverdon.</t>
  </si>
  <si>
    <t>Cranfield, Eng. : College of Aeronautics, 1963.</t>
  </si>
  <si>
    <t>151336127:eng</t>
  </si>
  <si>
    <t>61610083</t>
  </si>
  <si>
    <t>ocm61610083</t>
  </si>
  <si>
    <t>3000856585F</t>
  </si>
  <si>
    <t>794048556</t>
  </si>
  <si>
    <t>Z699.5 P53 J67 2003</t>
  </si>
  <si>
    <t>0                      Z  0699500P  53                 J  67          2003</t>
  </si>
  <si>
    <t>Image retrieval : theory and research / Corinne Jörgensen.</t>
  </si>
  <si>
    <t>Jörgensen, Corinne, 1947-</t>
  </si>
  <si>
    <t>367349243:eng</t>
  </si>
  <si>
    <t>51607673</t>
  </si>
  <si>
    <t>ocm51607673</t>
  </si>
  <si>
    <t>3102598452X</t>
  </si>
  <si>
    <t>9780810847347</t>
  </si>
  <si>
    <t>793787692</t>
  </si>
  <si>
    <t>Z699.5 R47 I54 2013</t>
  </si>
  <si>
    <t>0                      Z  0699500R  47                 I  54          2013</t>
  </si>
  <si>
    <t>Information systems research and exploring social artifacts : approaches and methodologies / Pedro Isaias, Miguel Baptista Nunes, [editors].</t>
  </si>
  <si>
    <t>Hershey, Pa. : Information Science Reference, ©2013.</t>
  </si>
  <si>
    <t>1169804026:eng</t>
  </si>
  <si>
    <t>795759699</t>
  </si>
  <si>
    <t>ocn795759699</t>
  </si>
  <si>
    <t>3103472363U</t>
  </si>
  <si>
    <t>9781466624917</t>
  </si>
  <si>
    <t>794921665</t>
  </si>
  <si>
    <t>Z699.5 S3 C64 1998</t>
  </si>
  <si>
    <t>0                      Z  0699500S  3                  C  64          1998</t>
  </si>
  <si>
    <t>Proceedings of the 1998 Conference on the History and Heritage of Science Information Systems / edited by Mary Ellen Bowden, Trudi Bellardo Hahn and Robert V. Williams.</t>
  </si>
  <si>
    <t>Conference on the History and Heritage of Science Information Systems (1998 : Pittsburgh, Pa.)</t>
  </si>
  <si>
    <t>Medford, N.J. : Published for the American Society for Information Science and the Chemical Heritage Foundation by Information Today, 1999.</t>
  </si>
  <si>
    <t>2017-05-15</t>
  </si>
  <si>
    <t>27424404:eng</t>
  </si>
  <si>
    <t>42022214</t>
  </si>
  <si>
    <t>ocm42022214</t>
  </si>
  <si>
    <t>31025865516</t>
  </si>
  <si>
    <t>9781573870801</t>
  </si>
  <si>
    <t>793601410</t>
  </si>
  <si>
    <t>Z699.5 S3 I59 2012</t>
  </si>
  <si>
    <t>0                      Z  0699500S  3                  I  59          2012</t>
  </si>
  <si>
    <t>International Perspectives on the History of Information Science and Technology : Proceedings of the ASIS &amp; T 2012 Pre-conference on the History of ASIS &amp; T and Information Science and Technology / edited by Toni Carbo and Trudi Bellardo Hahn.</t>
  </si>
  <si>
    <t>Medford, New Jersey : Published for the American Society for Information Science and Technology by Information Today, Inc., [2012]</t>
  </si>
  <si>
    <t>ASIS &amp; T Monograph Series</t>
  </si>
  <si>
    <t>2221227947:eng</t>
  </si>
  <si>
    <t>815043215</t>
  </si>
  <si>
    <t>ocn815043215</t>
  </si>
  <si>
    <t>3103472333$</t>
  </si>
  <si>
    <t>9781573874762</t>
  </si>
  <si>
    <t>794932343</t>
  </si>
  <si>
    <t>Z699.75 H35 2007</t>
  </si>
  <si>
    <t>0                      Z  0699750H  35          2007</t>
  </si>
  <si>
    <t>Radio frequency identification handbook for librarians / Connie K. Haley, Lynne A. Jacobsen, and Shai Robkin.</t>
  </si>
  <si>
    <t>Haley, Connie K.</t>
  </si>
  <si>
    <t>60205328:eng</t>
  </si>
  <si>
    <t>73741931</t>
  </si>
  <si>
    <t>ocm73741931</t>
  </si>
  <si>
    <t>3102645931G</t>
  </si>
  <si>
    <t>9781591583714</t>
  </si>
  <si>
    <t>794171382</t>
  </si>
  <si>
    <t>Z699.8 N5</t>
  </si>
  <si>
    <t>0                      Z  0699800N  5</t>
  </si>
  <si>
    <t>Literature and bibliometrics / David Nicholas and Maureen Ritchie.</t>
  </si>
  <si>
    <t>Nicholas, David, 1947-</t>
  </si>
  <si>
    <t>9870636:eng</t>
  </si>
  <si>
    <t>3380191</t>
  </si>
  <si>
    <t>ocm03380191</t>
  </si>
  <si>
    <t>30008535285</t>
  </si>
  <si>
    <t>9780208015419</t>
  </si>
  <si>
    <t>792248439</t>
  </si>
  <si>
    <t>Z700 M38 2015</t>
  </si>
  <si>
    <t>0                      Z  0700000M  38          2015</t>
  </si>
  <si>
    <t>In-house bookbinding and repair / Sharon McQueen and James Twomey ; illustrations by Ellen Latorraca and Richard Douglas Wambold.</t>
  </si>
  <si>
    <t>McQueen, Sharon, 1961- author.</t>
  </si>
  <si>
    <t>Lanham, Maryland : Rowman &amp; Littlefield, [2015]</t>
  </si>
  <si>
    <t>360932:eng</t>
  </si>
  <si>
    <t>862053049</t>
  </si>
  <si>
    <t>ocn862053049</t>
  </si>
  <si>
    <t>3103812579K</t>
  </si>
  <si>
    <t>9781442229570</t>
  </si>
  <si>
    <t>794959889</t>
  </si>
  <si>
    <t>Z700 N53 2010</t>
  </si>
  <si>
    <t>0                      Z  0700000N  53          2010</t>
  </si>
  <si>
    <t>Serials binding : a simple and complete guidebook to processes / Irma Nicola.</t>
  </si>
  <si>
    <t>Nicola, Irma.</t>
  </si>
  <si>
    <t>New York : Haworth Press, 2010.</t>
  </si>
  <si>
    <t>803927416:eng</t>
  </si>
  <si>
    <t>463972046</t>
  </si>
  <si>
    <t>ocn463972046</t>
  </si>
  <si>
    <t>31031582238</t>
  </si>
  <si>
    <t>9780789025043</t>
  </si>
  <si>
    <t>794793099</t>
  </si>
  <si>
    <t>Z 700 T222L 1972</t>
  </si>
  <si>
    <t>0                      Z  0700000T  222L        1972</t>
  </si>
  <si>
    <t>Library binding manual : a handbook of useful procedures for the maintenance of library volumes / edited by Maurice F. Tauber.</t>
  </si>
  <si>
    <t>Tauber, Maurice F. (Maurice Falcolm), 1908-1980, editor.</t>
  </si>
  <si>
    <t>Boston, Massachusetts : Library Binding Institute, 1972.</t>
  </si>
  <si>
    <t>3856410913:eng</t>
  </si>
  <si>
    <t>2780328</t>
  </si>
  <si>
    <t>ocm02780328</t>
  </si>
  <si>
    <t>3000097697V</t>
  </si>
  <si>
    <t>792175293</t>
  </si>
  <si>
    <t>Z700 T38</t>
  </si>
  <si>
    <t>0                      Z  0700000T  38</t>
  </si>
  <si>
    <t>3101141054Y</t>
  </si>
  <si>
    <t>792175292</t>
  </si>
  <si>
    <t>Z701 B234 2005</t>
  </si>
  <si>
    <t>0                      Z  0701000B  234         2005</t>
  </si>
  <si>
    <t>Preservation and conservation for libraries and archives / Nelly Balloffet and Jenny Hille ; Judith Reed, technical editor ; Jenny Hille, illustrator.</t>
  </si>
  <si>
    <t>Balloffet, Nelly.</t>
  </si>
  <si>
    <t>Chicago : American Library Association, 2005.</t>
  </si>
  <si>
    <t>ALA classics</t>
  </si>
  <si>
    <t>794380:eng</t>
  </si>
  <si>
    <t>53013454</t>
  </si>
  <si>
    <t>ocm53013454</t>
  </si>
  <si>
    <t>3102497976O</t>
  </si>
  <si>
    <t>9780838908792</t>
  </si>
  <si>
    <t>793819232</t>
  </si>
  <si>
    <t>Z701 B3</t>
  </si>
  <si>
    <t>0                      Z  0701000B  3</t>
  </si>
  <si>
    <t>Basic preservation procedures / Systems and Procedures Exchange Center.</t>
  </si>
  <si>
    <t>Washington, D.C. : The Center, [1981]</t>
  </si>
  <si>
    <t>Kit, 0160-3582 ; 70</t>
  </si>
  <si>
    <t>54426259:eng</t>
  </si>
  <si>
    <t>7128985</t>
  </si>
  <si>
    <t>ocm07128985</t>
  </si>
  <si>
    <t>3000843036W</t>
  </si>
  <si>
    <t>792541512</t>
  </si>
  <si>
    <t>Z701 B37 1990</t>
  </si>
  <si>
    <t>0                      Z  0701000B  37          1990</t>
  </si>
  <si>
    <t>Basic conservation of archival materials : a guide / Canadian Council of Archives.</t>
  </si>
  <si>
    <t>Ottawa : The Council, 1990.</t>
  </si>
  <si>
    <t>24023355:eng</t>
  </si>
  <si>
    <t>22507490</t>
  </si>
  <si>
    <t>ocm22507490</t>
  </si>
  <si>
    <t>3100676255S</t>
  </si>
  <si>
    <t>9780929115009</t>
  </si>
  <si>
    <t>793146438</t>
  </si>
  <si>
    <t>Z701 B63 1902</t>
  </si>
  <si>
    <t>0                      Z  0701000B  63          1902</t>
  </si>
  <si>
    <t>The enemies of books / by William Blades ; revised and enlarged by the author.</t>
  </si>
  <si>
    <t>London : E. Stock, 1902.</t>
  </si>
  <si>
    <t>1902</t>
  </si>
  <si>
    <t>Popular ed.</t>
  </si>
  <si>
    <t>The book-lover's library</t>
  </si>
  <si>
    <t>4820594868:eng</t>
  </si>
  <si>
    <t>10273513</t>
  </si>
  <si>
    <t>ocm10273513</t>
  </si>
  <si>
    <t>30007847686</t>
  </si>
  <si>
    <t>792717322</t>
  </si>
  <si>
    <t>Z701 C385 1993</t>
  </si>
  <si>
    <t>0                      Z  0701000C  385         1993</t>
  </si>
  <si>
    <t>The Changing role of book repair in ARL Libraries / compiled by Randy Silverman and Maria Grandinette.</t>
  </si>
  <si>
    <t>Washington, D.C. : Association of Research Libraries, Office of Management Services, ©1993.</t>
  </si>
  <si>
    <t>SPEC kit, 0160-3582 ; 190</t>
  </si>
  <si>
    <t>2016-01-12</t>
  </si>
  <si>
    <t>55710623:eng</t>
  </si>
  <si>
    <t>28250076</t>
  </si>
  <si>
    <t>ocm28250076</t>
  </si>
  <si>
    <t>3101239281J</t>
  </si>
  <si>
    <t>793283692</t>
  </si>
  <si>
    <t>Z701 C586 1983</t>
  </si>
  <si>
    <t>0                      Z  0701000C  586         1983</t>
  </si>
  <si>
    <t>Conservation in the library : a handbook of use and care of traditional and nontraditional materials / edited by Susan Garretson Swartzburg.</t>
  </si>
  <si>
    <t>889650605:eng</t>
  </si>
  <si>
    <t>8762922</t>
  </si>
  <si>
    <t>ocm08762922</t>
  </si>
  <si>
    <t>30008452576</t>
  </si>
  <si>
    <t>9780313232671</t>
  </si>
  <si>
    <t>792639312</t>
  </si>
  <si>
    <t>Z701 C66 1981</t>
  </si>
  <si>
    <t>0                      Z  0701000C  66          1981</t>
  </si>
  <si>
    <t>Conservation of library materials / Gerald Lundeen, issue editor.</t>
  </si>
  <si>
    <t>Library trends ; v. 30, no. 2</t>
  </si>
  <si>
    <t>2017-10-03</t>
  </si>
  <si>
    <t>5619980014:eng</t>
  </si>
  <si>
    <t>8008445</t>
  </si>
  <si>
    <t>ocm08008445</t>
  </si>
  <si>
    <t>3000845620D</t>
  </si>
  <si>
    <t>792593012</t>
  </si>
  <si>
    <t>Z701 C68 2011</t>
  </si>
  <si>
    <t>0                      Z  0701000C  68          2011</t>
  </si>
  <si>
    <t>Engaging students with archival and digital resources / Justine Cotton and David Sharron.</t>
  </si>
  <si>
    <t>Cotton, Justine, author.</t>
  </si>
  <si>
    <t>376021153:eng</t>
  </si>
  <si>
    <t>746133447</t>
  </si>
  <si>
    <t>ocn746133447</t>
  </si>
  <si>
    <t>3103421711K</t>
  </si>
  <si>
    <t>9781843345688</t>
  </si>
  <si>
    <t>794886969</t>
  </si>
  <si>
    <t>Z701 C78</t>
  </si>
  <si>
    <t>0                      Z  0701000C  78</t>
  </si>
  <si>
    <t>Conservation of library materials; a manual and bibliography on the care, repair, and restoration of library materials.</t>
  </si>
  <si>
    <t>Cunha, George Daniel Martin.</t>
  </si>
  <si>
    <t>Metuchen, N.J., Scarecrow Press, 1967.</t>
  </si>
  <si>
    <t>468713:eng</t>
  </si>
  <si>
    <t>574784</t>
  </si>
  <si>
    <t>ocm00574784</t>
  </si>
  <si>
    <t>3000852205Y</t>
  </si>
  <si>
    <t>791418726</t>
  </si>
  <si>
    <t>Z701 C784 1983</t>
  </si>
  <si>
    <t>0                      Z  0701000C  784         1983</t>
  </si>
  <si>
    <t>Library and archives conservation : 1980s and beyond / George Martin Cunha and Dorothy Grant Cunha ; assisted by Suzanne Elizabeth Henderson.</t>
  </si>
  <si>
    <t>Metuchen, N.J. : Scarecrow Press, 1983.</t>
  </si>
  <si>
    <t>301748025:eng</t>
  </si>
  <si>
    <t>8727608</t>
  </si>
  <si>
    <t>ocm08727608</t>
  </si>
  <si>
    <t>3000844630F</t>
  </si>
  <si>
    <t>9780810815872</t>
  </si>
  <si>
    <t>792637762</t>
  </si>
  <si>
    <t>3100387730Y</t>
  </si>
  <si>
    <t>792637763</t>
  </si>
  <si>
    <t>Z701 D45 1991</t>
  </si>
  <si>
    <t>0                      Z  0701000D  45          1991</t>
  </si>
  <si>
    <t>A library, media, and archival preservation handbook / John N. DePew.</t>
  </si>
  <si>
    <t>DePew, John N., author.</t>
  </si>
  <si>
    <t>Santa Barbara, California : ABC-CLIO, [1991]</t>
  </si>
  <si>
    <t>20594764:eng</t>
  </si>
  <si>
    <t>23766001</t>
  </si>
  <si>
    <t>ocm23766001</t>
  </si>
  <si>
    <t>3101237997N</t>
  </si>
  <si>
    <t>9780874365436</t>
  </si>
  <si>
    <t>793181856</t>
  </si>
  <si>
    <t>Z701 F42 1996</t>
  </si>
  <si>
    <t>0                      Z  0701000F  42          1996</t>
  </si>
  <si>
    <t>Preservation and the management of library collections / John Feather.</t>
  </si>
  <si>
    <t>London : Library Association Pub., ©1996.</t>
  </si>
  <si>
    <t>693649:eng</t>
  </si>
  <si>
    <t>36148643</t>
  </si>
  <si>
    <t>ocm36148643</t>
  </si>
  <si>
    <t>3101742165F</t>
  </si>
  <si>
    <t>9781856041904</t>
  </si>
  <si>
    <t>793467658</t>
  </si>
  <si>
    <t>Z701 F67 2007</t>
  </si>
  <si>
    <t>0                      Z  0701000F  67          2007</t>
  </si>
  <si>
    <t>Preserving archives / Helen Forde.</t>
  </si>
  <si>
    <t>Forde, Helen.</t>
  </si>
  <si>
    <t>Principles and practice in records management and archives</t>
  </si>
  <si>
    <t>58243612:eng</t>
  </si>
  <si>
    <t>71285625</t>
  </si>
  <si>
    <t>ocm71285625</t>
  </si>
  <si>
    <t>3102568333I</t>
  </si>
  <si>
    <t>9781856045773</t>
  </si>
  <si>
    <t>794164882</t>
  </si>
  <si>
    <t>Z701 F67 2013</t>
  </si>
  <si>
    <t>0                      Z  0701000F  67          2013</t>
  </si>
  <si>
    <t>Preserving archives / Helen Forde and Jonathan Rhys-Lewis.</t>
  </si>
  <si>
    <t>Forde, Helen, author.</t>
  </si>
  <si>
    <t>2018-08-26</t>
  </si>
  <si>
    <t>828418555</t>
  </si>
  <si>
    <t>ocn828418555</t>
  </si>
  <si>
    <t>3103500109B</t>
  </si>
  <si>
    <t>9781856048231</t>
  </si>
  <si>
    <t>794941176</t>
  </si>
  <si>
    <t>Z701 G56 2010</t>
  </si>
  <si>
    <t>0                      Z  0701000G  56          2010</t>
  </si>
  <si>
    <t>De tutela librorum : la conservation des livres et des documents d'archives = Die Erhaltung von Büchern und Archivalien / Andrea Giovannini.</t>
  </si>
  <si>
    <t>Giovannini, Andrea.</t>
  </si>
  <si>
    <t>Baden : Hier + jetzt, ©2010.</t>
  </si>
  <si>
    <t>4e éd. rev. et augm. = 4. überarbeitete und wesentlich erw. Aufl.</t>
  </si>
  <si>
    <t>2011-10-11</t>
  </si>
  <si>
    <t>28064428:ger</t>
  </si>
  <si>
    <t>679932025</t>
  </si>
  <si>
    <t>ocn679932025</t>
  </si>
  <si>
    <t>3103328674Q</t>
  </si>
  <si>
    <t>9783039191444</t>
  </si>
  <si>
    <t>794850784</t>
  </si>
  <si>
    <t>Z701 G73 1983</t>
  </si>
  <si>
    <t>0                      Z  0701000G  73          1983</t>
  </si>
  <si>
    <t>Books, their care and repair / Jane Greenfield.</t>
  </si>
  <si>
    <t>New York : H.W. Wilson, 1983.</t>
  </si>
  <si>
    <t>2814156:eng</t>
  </si>
  <si>
    <t>10229100</t>
  </si>
  <si>
    <t>ocm10229100</t>
  </si>
  <si>
    <t>3000845476V</t>
  </si>
  <si>
    <t>9780824206956</t>
  </si>
  <si>
    <t>792715363</t>
  </si>
  <si>
    <t>Z701 G8 1981</t>
  </si>
  <si>
    <t>0                      Z  0701000G  8           1981</t>
  </si>
  <si>
    <t>Simple repair and preservation techniques for collection curators, librarians and archivists / text and illustrations by Jean Gunner.</t>
  </si>
  <si>
    <t>Gunner, Jean.</t>
  </si>
  <si>
    <t>Pittsburgh, Pa. : Hunt Institute for botanical documenation, Carnegie-Mellon University, ©1981.</t>
  </si>
  <si>
    <t>558179:eng</t>
  </si>
  <si>
    <t>7507449</t>
  </si>
  <si>
    <t>ocm07507449</t>
  </si>
  <si>
    <t>3000843571A</t>
  </si>
  <si>
    <t>9780913196359</t>
  </si>
  <si>
    <t>792562551</t>
  </si>
  <si>
    <t>Z701 H54 2001</t>
  </si>
  <si>
    <t>0                      Z  0701000H  54          2001</t>
  </si>
  <si>
    <t>The preservation program blueprint / Barbra Buckner Higginbotham, Judith W. Wild.</t>
  </si>
  <si>
    <t>Higginbotham, Barbra Buckner.</t>
  </si>
  <si>
    <t>Frontiers of access to library materials ; no. 6</t>
  </si>
  <si>
    <t>11879640:eng</t>
  </si>
  <si>
    <t>45620876</t>
  </si>
  <si>
    <t>ocm45620876</t>
  </si>
  <si>
    <t>3102120086U</t>
  </si>
  <si>
    <t>9780838908020</t>
  </si>
  <si>
    <t>793674978</t>
  </si>
  <si>
    <t>Z701 K94 1983</t>
  </si>
  <si>
    <t>0                      Z  0701000K  94          1983</t>
  </si>
  <si>
    <t>Library materials preservation manual : practical methods for preserving books, pamphlets, and other printed materials / Hedi Kyle, with contributions by Nelly Balloffet, Judith Reed, Virginia Wisniewski-Klett ; illustrated by Hedi Kyle.</t>
  </si>
  <si>
    <t>Kyle, Hedi.</t>
  </si>
  <si>
    <t>Bronxville, N.Y. : N.T. Smith, ©1983.</t>
  </si>
  <si>
    <t>198764259:eng</t>
  </si>
  <si>
    <t>9350547</t>
  </si>
  <si>
    <t>ocm09350547</t>
  </si>
  <si>
    <t>30008450778</t>
  </si>
  <si>
    <t>9780935164107</t>
  </si>
  <si>
    <t>792671501</t>
  </si>
  <si>
    <t>Z701 L32 2011</t>
  </si>
  <si>
    <t>0                      Z  0701000L  32          2011</t>
  </si>
  <si>
    <t>Book repair : a how-to-do-it manual / Kenneth Lavender.</t>
  </si>
  <si>
    <t>Lavender, Kenneth.</t>
  </si>
  <si>
    <t>2nd ed. rev. / rev. by Artemis BonaDea.</t>
  </si>
  <si>
    <t>How-to-do-it manuals ; no. 178</t>
  </si>
  <si>
    <t>837078847:eng</t>
  </si>
  <si>
    <t>731009521</t>
  </si>
  <si>
    <t>ocn731009521</t>
  </si>
  <si>
    <t>3103422117Y</t>
  </si>
  <si>
    <t>9781555707477</t>
  </si>
  <si>
    <t>794880485</t>
  </si>
  <si>
    <t>Z701 L98 1960</t>
  </si>
  <si>
    <t>0                      Z  0701000L  98          1960</t>
  </si>
  <si>
    <t>The care and repair of books, by Harry Miller Lydenberg and John Archer, rev. by John Alden.</t>
  </si>
  <si>
    <t>Lydenberg, Harry Miller, 1874-1960.</t>
  </si>
  <si>
    <t>New York, Bowker, 1960.</t>
  </si>
  <si>
    <t>[4th rev. ed.].</t>
  </si>
  <si>
    <t>10177507960:eng</t>
  </si>
  <si>
    <t>486270</t>
  </si>
  <si>
    <t>ocm00486270</t>
  </si>
  <si>
    <t>3000861865S</t>
  </si>
  <si>
    <t>791390819</t>
  </si>
  <si>
    <t>Z701 M36 2004</t>
  </si>
  <si>
    <t>0                      Z  0701000M  36          2004</t>
  </si>
  <si>
    <t>Managing preservation for libraries and archives : current practice and future developments / edited by John Feather.</t>
  </si>
  <si>
    <t>Aldershot, Hants, England ; Burlington, VT : Ashgate, ©2004.</t>
  </si>
  <si>
    <t>865288523:eng</t>
  </si>
  <si>
    <t>51931373</t>
  </si>
  <si>
    <t>ocm51931373</t>
  </si>
  <si>
    <t>31026049333</t>
  </si>
  <si>
    <t>9780754607052</t>
  </si>
  <si>
    <t>793794542</t>
  </si>
  <si>
    <t>Z701 M545 1986</t>
  </si>
  <si>
    <t>0                      Z  0701000M  545         1986</t>
  </si>
  <si>
    <t>Conservation treatment procedures : a manual of step-by-step procedures for the maintenance and repair of library materials / Carolyn Clark Morrow and Carole Dyal ; photographs by Todd C. Matus.</t>
  </si>
  <si>
    <t>Morrow, Carolyn Clark.</t>
  </si>
  <si>
    <t>2015-09-14</t>
  </si>
  <si>
    <t>7790885:eng</t>
  </si>
  <si>
    <t>14188887</t>
  </si>
  <si>
    <t>ocm14188887</t>
  </si>
  <si>
    <t>3000922645H</t>
  </si>
  <si>
    <t>9780872874374</t>
  </si>
  <si>
    <t>792881299</t>
  </si>
  <si>
    <t>3103596728J</t>
  </si>
  <si>
    <t>792881297</t>
  </si>
  <si>
    <t>Z701 P739 2000</t>
  </si>
  <si>
    <t>0                      Z  0701000P  739         2000</t>
  </si>
  <si>
    <t>Preservation : issues and planning / edited by Paul N. Banks, Roberta Pilette.</t>
  </si>
  <si>
    <t>1073258374:eng</t>
  </si>
  <si>
    <t>42882873</t>
  </si>
  <si>
    <t>ocm42882873</t>
  </si>
  <si>
    <t>3102028998S</t>
  </si>
  <si>
    <t>9780838907764</t>
  </si>
  <si>
    <t>793616568</t>
  </si>
  <si>
    <t>Z701 P74 1993</t>
  </si>
  <si>
    <t>0                      Z  0701000P  74          1993</t>
  </si>
  <si>
    <t>Preservation in libraries : a reader / Ross Harvey.</t>
  </si>
  <si>
    <t>Harvey, D. R. (Douglas Ross), 1951-</t>
  </si>
  <si>
    <t>London ; New York : Bowker-Saur in association with the Centre for Information Studies, Charles Sturt University, ©1993.</t>
  </si>
  <si>
    <t>Topics in library and information studies</t>
  </si>
  <si>
    <t>3372850021:eng</t>
  </si>
  <si>
    <t>27902004</t>
  </si>
  <si>
    <t>ocm27902004</t>
  </si>
  <si>
    <t>3101259583S</t>
  </si>
  <si>
    <t>9780862916084</t>
  </si>
  <si>
    <t>793275024</t>
  </si>
  <si>
    <t>Z701 P7445 2014</t>
  </si>
  <si>
    <t>0                      Z  0701000P  7445        2014</t>
  </si>
  <si>
    <t>The preservation management handbook : a 21st-century guide for libraries, archives, and museums / [edited by] Ross Harvey and Martha R. Mahard.</t>
  </si>
  <si>
    <t>Lanham, Maryland : Rowman &amp; Littlefield, [2014]</t>
  </si>
  <si>
    <t>1872722191:eng</t>
  </si>
  <si>
    <t>863789556</t>
  </si>
  <si>
    <t>ocn863789556</t>
  </si>
  <si>
    <t>3103581262Q</t>
  </si>
  <si>
    <t>9780759123151</t>
  </si>
  <si>
    <t>794961528</t>
  </si>
  <si>
    <t>Z701 P746 2006</t>
  </si>
  <si>
    <t>0                      Z  0701000P  746         2006</t>
  </si>
  <si>
    <t>Preservation management for libraries, archives and museums / edited by G.E. Gorman and Sydney J. Shep.</t>
  </si>
  <si>
    <t>355175829:eng</t>
  </si>
  <si>
    <t>806166586</t>
  </si>
  <si>
    <t>ocn806166586</t>
  </si>
  <si>
    <t>3102565303$</t>
  </si>
  <si>
    <t>9781856045742</t>
  </si>
  <si>
    <t>794926753</t>
  </si>
  <si>
    <t>Z701 P7537 2014</t>
  </si>
  <si>
    <t>0                      Z  0701000P  7537        2014</t>
  </si>
  <si>
    <t>Preserving our heritage : perspectives from antiquity to the digital age / selections and commentary by Michèle Valerie Cloonan.</t>
  </si>
  <si>
    <t>Chicago : Neal-Schuman, an imprint of American Library Association, 2015.</t>
  </si>
  <si>
    <t>1143675849:eng</t>
  </si>
  <si>
    <t>869140987</t>
  </si>
  <si>
    <t>ocn869140987</t>
  </si>
  <si>
    <t>3103582299G</t>
  </si>
  <si>
    <t>9781555709372</t>
  </si>
  <si>
    <t>794965164</t>
  </si>
  <si>
    <t>Z701 R66 2002</t>
  </si>
  <si>
    <t>0                      Z  0701000R  66          2002</t>
  </si>
  <si>
    <t>The care and feeding of books old and new : a simple repair manual for book lovers / Margot Rosenberg and Bern Marcowitz.</t>
  </si>
  <si>
    <t>Rosenberg, Margot.</t>
  </si>
  <si>
    <t>New York : Thomas Dunne Books/St. Martin's Press, 2002.</t>
  </si>
  <si>
    <t>676249:eng</t>
  </si>
  <si>
    <t>50198774</t>
  </si>
  <si>
    <t>ocm50198774</t>
  </si>
  <si>
    <t>3102219508K</t>
  </si>
  <si>
    <t>9780312300678</t>
  </si>
  <si>
    <t>793757739</t>
  </si>
  <si>
    <t>Z701 S3713 2010</t>
  </si>
  <si>
    <t>0                      Z  0701000S  3713        2010</t>
  </si>
  <si>
    <t>Solving cases : book and paper artefact restoration = Casi di restauri di libri e altri manufatti cartacei / Nicolangelo Scianna ; translation by Jennifer Monroe.</t>
  </si>
  <si>
    <t>Bibliologia ; volume 28</t>
  </si>
  <si>
    <t>473167583:eng</t>
  </si>
  <si>
    <t>754908026</t>
  </si>
  <si>
    <t>ocn754908026</t>
  </si>
  <si>
    <t>3103579833O</t>
  </si>
  <si>
    <t>9782503533438</t>
  </si>
  <si>
    <t>794893251</t>
  </si>
  <si>
    <t>Z701 S87 2013</t>
  </si>
  <si>
    <t>0                      Z  0701000S  87          2013</t>
  </si>
  <si>
    <t>The survey of library, museum &amp; historic site preservation practices.</t>
  </si>
  <si>
    <t>New York, NY : Primary Research Group, [2013]</t>
  </si>
  <si>
    <t>1410488960:eng</t>
  </si>
  <si>
    <t>861324281</t>
  </si>
  <si>
    <t>ocn861324281</t>
  </si>
  <si>
    <t>31035323775</t>
  </si>
  <si>
    <t>9781574402612</t>
  </si>
  <si>
    <t>794959094</t>
  </si>
  <si>
    <t>Z701 S92</t>
  </si>
  <si>
    <t>0                      Z  0701000S  92</t>
  </si>
  <si>
    <t>Preserving library materials : a manual / by Susan G. Swartzburg.</t>
  </si>
  <si>
    <t>469504:eng</t>
  </si>
  <si>
    <t>6085917</t>
  </si>
  <si>
    <t>ocm06085917</t>
  </si>
  <si>
    <t>3000842868T</t>
  </si>
  <si>
    <t>9780810813021</t>
  </si>
  <si>
    <t>792474641</t>
  </si>
  <si>
    <t>Z701 S92 1995</t>
  </si>
  <si>
    <t>0                      Z  0701000S  92          1995</t>
  </si>
  <si>
    <t>Metuchen, N.J. : Scarecrow Press, 1995.</t>
  </si>
  <si>
    <t>30437466</t>
  </si>
  <si>
    <t>ocm30437466</t>
  </si>
  <si>
    <t>31014603413</t>
  </si>
  <si>
    <t>9780810828551</t>
  </si>
  <si>
    <t>793335400</t>
  </si>
  <si>
    <t>Z701 T738 1996</t>
  </si>
  <si>
    <t>0                      Z  0701000T  738         1996</t>
  </si>
  <si>
    <t>Preserving digital information : report of the Task Force on Archiving of Digital Information / commissioned by the Commission on Preservation and Access and the Research Libraries Group.</t>
  </si>
  <si>
    <t>Task Force on Archiving of Digital Information.</t>
  </si>
  <si>
    <t>Washington, D.C. : Commission on Preservation and Access, [©1996]</t>
  </si>
  <si>
    <t>1073219847:eng</t>
  </si>
  <si>
    <t>34985577</t>
  </si>
  <si>
    <t>ocm34985577</t>
  </si>
  <si>
    <t>3101572370A</t>
  </si>
  <si>
    <t>9781887334501</t>
  </si>
  <si>
    <t>793440518</t>
  </si>
  <si>
    <t>Z701.2 S36 2001</t>
  </si>
  <si>
    <t>0                      Z  0701200S  36          2001</t>
  </si>
  <si>
    <t>Bibliography of preservation literature, 1983-1996 / Robert E. Schnare, Jr. and Susan G. Swartzburg ; with George M. Cunha.</t>
  </si>
  <si>
    <t>Schnare, Robert E.</t>
  </si>
  <si>
    <t>Lanham, Md : Scarecrow Press, 2001.</t>
  </si>
  <si>
    <t>28170767:eng</t>
  </si>
  <si>
    <t>42680309</t>
  </si>
  <si>
    <t>ocm42680309</t>
  </si>
  <si>
    <t>3102497601A</t>
  </si>
  <si>
    <t>9780810837126</t>
  </si>
  <si>
    <t>793611527</t>
  </si>
  <si>
    <t>Z701.3 C6 P73 1993</t>
  </si>
  <si>
    <t>0                      Z  0701300C  6                  P  73          1993</t>
  </si>
  <si>
    <t>Preservation of electronic formats &amp; electronic formats for preservation / edited by Janice Mohlhenrich.</t>
  </si>
  <si>
    <t>Fort Atkinson, Wis. : Highsmith Press, ©1993.</t>
  </si>
  <si>
    <t>381421:eng</t>
  </si>
  <si>
    <t>27011721</t>
  </si>
  <si>
    <t>ocm27011721</t>
  </si>
  <si>
    <t>3101229373K</t>
  </si>
  <si>
    <t>9780917846175</t>
  </si>
  <si>
    <t>793256810</t>
  </si>
  <si>
    <t>Z701.3 C65 B76 2013</t>
  </si>
  <si>
    <t>0                      Z  0701300C  65                 B  76          2013</t>
  </si>
  <si>
    <t>Practical digital preservation : a how-to guide for organizations of any size / Adrian Brown.</t>
  </si>
  <si>
    <t>Brown, Adrian, 1969-</t>
  </si>
  <si>
    <t>London : Facet Pub., ©2013.</t>
  </si>
  <si>
    <t>1208734271:eng</t>
  </si>
  <si>
    <t>843146781</t>
  </si>
  <si>
    <t>ocn843146781</t>
  </si>
  <si>
    <t>3103500371S</t>
  </si>
  <si>
    <t>9781856047555</t>
  </si>
  <si>
    <t>794947952</t>
  </si>
  <si>
    <t>Z701.3 C65 D64 2002</t>
  </si>
  <si>
    <t>0                      Z  0701300C  65                 D  64          2002</t>
  </si>
  <si>
    <t>Authentic electronic records : strategies for long-term access / Charles M. Dollar.</t>
  </si>
  <si>
    <t>Dollar, Charles M.</t>
  </si>
  <si>
    <t>Chicago : Cohasset Associates, ©2002.</t>
  </si>
  <si>
    <t>6383453:eng</t>
  </si>
  <si>
    <t>50484427</t>
  </si>
  <si>
    <t>ocm50484427</t>
  </si>
  <si>
    <t>3102446042C</t>
  </si>
  <si>
    <t>9780970064004</t>
  </si>
  <si>
    <t>793765938</t>
  </si>
  <si>
    <t>Z701.3 C65 H37 2010</t>
  </si>
  <si>
    <t>0                      Z  0701300C  65                 H  37          2010</t>
  </si>
  <si>
    <t>Digital curation : a how-to-do-it manual / Ross Harvey.</t>
  </si>
  <si>
    <t>London : Facet, ©2010.</t>
  </si>
  <si>
    <t>A how-to-do-it manual</t>
  </si>
  <si>
    <t>4921864352:eng</t>
  </si>
  <si>
    <t>718479084</t>
  </si>
  <si>
    <t>ocn718479084</t>
  </si>
  <si>
    <t>3103230377V</t>
  </si>
  <si>
    <t>9781856047333</t>
  </si>
  <si>
    <t>794874346</t>
  </si>
  <si>
    <t>Z701.3 C65 H86 2000</t>
  </si>
  <si>
    <t>0                      Z  0701300C  65                 H  86          2000</t>
  </si>
  <si>
    <t>Preserving digital information : a how-to-do-it manual / Gregory S. Hunter.</t>
  </si>
  <si>
    <t>Hunter, Gregory S.</t>
  </si>
  <si>
    <t>How-to-do-it manuals for librarians ; no. 93</t>
  </si>
  <si>
    <t>836956652:eng</t>
  </si>
  <si>
    <t>43662247</t>
  </si>
  <si>
    <t>ocm43662247</t>
  </si>
  <si>
    <t>31020807991</t>
  </si>
  <si>
    <t>9781555703530</t>
  </si>
  <si>
    <t>793632147</t>
  </si>
  <si>
    <t>Z701.3 C65 J66 2001</t>
  </si>
  <si>
    <t>0                      Z  0701300C  65                 J  66          2001</t>
  </si>
  <si>
    <t>Preservation management of digital materials : a handbook / by Maggie Jones and Neil Beagrie.</t>
  </si>
  <si>
    <t>Jones, Maggie (Margaret J.)</t>
  </si>
  <si>
    <t>London : The British Library for Resource, the Council for Museums, Archives and Libraries, 2001.</t>
  </si>
  <si>
    <t>2015-11-11</t>
  </si>
  <si>
    <t>837278585:eng</t>
  </si>
  <si>
    <t>48617179</t>
  </si>
  <si>
    <t>ocm48617179</t>
  </si>
  <si>
    <t>31033688348</t>
  </si>
  <si>
    <t>9780712308861</t>
  </si>
  <si>
    <t>793724971</t>
  </si>
  <si>
    <t>Z701.3 C65 J66 2003</t>
  </si>
  <si>
    <t>0                      Z  0701300C  65                 J  66          2003</t>
  </si>
  <si>
    <t>London : British Library for Resource, the Council for Museums, Archives and Libraries, 2003, ©2001.</t>
  </si>
  <si>
    <t>54540239</t>
  </si>
  <si>
    <t>ocm54540239</t>
  </si>
  <si>
    <t>31025090944</t>
  </si>
  <si>
    <t>793864229</t>
  </si>
  <si>
    <t>Z701.3 C65 L39 2001</t>
  </si>
  <si>
    <t>0                      Z  0701300C  65                 L  39          2001</t>
  </si>
  <si>
    <t>Digital preservation and metadata : history, theory, practice / Susan S. Lazinger.</t>
  </si>
  <si>
    <t>Lazinger, Susan S. (Susan Smernoff)</t>
  </si>
  <si>
    <t>320724981:eng</t>
  </si>
  <si>
    <t>48073880</t>
  </si>
  <si>
    <t>ocm48073880</t>
  </si>
  <si>
    <t>3102921217C</t>
  </si>
  <si>
    <t>9781563087776</t>
  </si>
  <si>
    <t>793715147</t>
  </si>
  <si>
    <t>Z701.3 C65 M26 2011</t>
  </si>
  <si>
    <t>0                      Z  0701300C  65                 M  26          2011</t>
  </si>
  <si>
    <t>Digital preservation / Gail McMillan, Matt Schultz, Katherine Skinner.</t>
  </si>
  <si>
    <t>McMillan, Gail.</t>
  </si>
  <si>
    <t>Washington, D.C. : Association of Research Libraries, 2011, ©2011.</t>
  </si>
  <si>
    <t>SPEC Kit, 0160-3582 ; 325</t>
  </si>
  <si>
    <t>2018-03-18</t>
  </si>
  <si>
    <t>1050581571:eng</t>
  </si>
  <si>
    <t>758824047</t>
  </si>
  <si>
    <t>ocn758824047</t>
  </si>
  <si>
    <t>3103440967Z</t>
  </si>
  <si>
    <t>9781594078699</t>
  </si>
  <si>
    <t>794896639</t>
  </si>
  <si>
    <t>Z701.3 C65 M85 2011</t>
  </si>
  <si>
    <t>0                      Z  0701300C  65                 M  85          2011</t>
  </si>
  <si>
    <t>Multimedia information extraction and digital heritage preservation / editors, Usha Mujoo Munshi, Bidyut Baran Chaudhuri.</t>
  </si>
  <si>
    <t>Singapore ; London : World Scientific, ©2011.</t>
  </si>
  <si>
    <t>Statistical science and interdisciplinary research : Platinum jubilee series ; v. 10</t>
  </si>
  <si>
    <t>2018-12-07</t>
  </si>
  <si>
    <t>1173598016:eng</t>
  </si>
  <si>
    <t>751544048</t>
  </si>
  <si>
    <t>ocn751544048</t>
  </si>
  <si>
    <t>3103383710P</t>
  </si>
  <si>
    <t>9789814307253</t>
  </si>
  <si>
    <t>794890459</t>
  </si>
  <si>
    <t>Z701.3 C65 O64 2016</t>
  </si>
  <si>
    <t>0                      Z  0701300C  65                 O  64          2016</t>
  </si>
  <si>
    <t>Digital preservation essentials / edited by Christopher J. Prom ; with an introduction by Kyle R. Rimkus.</t>
  </si>
  <si>
    <t>O'Meara, Erin, author.</t>
  </si>
  <si>
    <t>Chicago : Society of American Archivists, [2016]</t>
  </si>
  <si>
    <t>Trends in archives practice ; modules 12-13</t>
  </si>
  <si>
    <t>3917755082:eng</t>
  </si>
  <si>
    <t>956446260</t>
  </si>
  <si>
    <t>ocn956446260</t>
  </si>
  <si>
    <t>3103671405$</t>
  </si>
  <si>
    <t>9781931666954</t>
  </si>
  <si>
    <t>795020128</t>
  </si>
  <si>
    <t>Z701.3 C65 P43 2005</t>
  </si>
  <si>
    <t>0                      Z  0701300C  65                 P  43          2005</t>
  </si>
  <si>
    <t>Preservation of electronic records : new knowledge and decision-making : postprints of a conference, symposium 2003 = La préservation des documents électroniques : information récente et prise de décision : actes du congrès, symposium 2003.</t>
  </si>
  <si>
    <t>Ottawa : Canadian Conservation Institute = Institut canadien de conservation, ©2005.</t>
  </si>
  <si>
    <t>2452680231:fre</t>
  </si>
  <si>
    <t>427640245</t>
  </si>
  <si>
    <t>ocn427640245</t>
  </si>
  <si>
    <t>3102451271F</t>
  </si>
  <si>
    <t>9780662686200</t>
  </si>
  <si>
    <t>794694373</t>
  </si>
  <si>
    <t>Z701.3 C65 P74 2014</t>
  </si>
  <si>
    <t>0                      Z  0701300C  65                 P  74          2014</t>
  </si>
  <si>
    <t>Preserving complex digital objects / edited by Janet Delve and David Anderson.</t>
  </si>
  <si>
    <t>1843741556:eng</t>
  </si>
  <si>
    <t>873828881</t>
  </si>
  <si>
    <t>ocn873828881</t>
  </si>
  <si>
    <t>3103567591Y</t>
  </si>
  <si>
    <t>9781856049580</t>
  </si>
  <si>
    <t>794968558</t>
  </si>
  <si>
    <t>Z701.3 C65 P75 2013</t>
  </si>
  <si>
    <t>0                      Z  0701300C  65                 P  75          2013</t>
  </si>
  <si>
    <t>Survey of best practices in digital image management.</t>
  </si>
  <si>
    <t>1399048933:eng</t>
  </si>
  <si>
    <t>858845674</t>
  </si>
  <si>
    <t>ocn858845674</t>
  </si>
  <si>
    <t>3103503026Z</t>
  </si>
  <si>
    <t>9781574402568</t>
  </si>
  <si>
    <t>794956950</t>
  </si>
  <si>
    <t>Z701.3 C65 S23 2015</t>
  </si>
  <si>
    <t>0                      Z  0701300C  65                 S  23          2015</t>
  </si>
  <si>
    <t>Digital curation in the digital humanities : preserving and promoting archival and special collections / Arjun Sabharwal.</t>
  </si>
  <si>
    <t>Sabharwal, Arjun, author.</t>
  </si>
  <si>
    <t>Waltham, MA : Chandos Publishing, [2015]</t>
  </si>
  <si>
    <t>2291926953:eng</t>
  </si>
  <si>
    <t>891121655</t>
  </si>
  <si>
    <t>ocn891121655</t>
  </si>
  <si>
    <t>31036078696</t>
  </si>
  <si>
    <t>9780081001431</t>
  </si>
  <si>
    <t>794979889</t>
  </si>
  <si>
    <t>Z701.3 C65 S87 2016</t>
  </si>
  <si>
    <t>0                      Z  0701300C  65                 S  87          2016</t>
  </si>
  <si>
    <t>Survey of best practices in digital image collection management / Primary Research Group staff.</t>
  </si>
  <si>
    <t>[New York?] : Primary Research Group, 2016.</t>
  </si>
  <si>
    <t>2016 edition.</t>
  </si>
  <si>
    <t>3863509825:eng</t>
  </si>
  <si>
    <t>941435337</t>
  </si>
  <si>
    <t>ocn941435337</t>
  </si>
  <si>
    <t>31036561788</t>
  </si>
  <si>
    <t>9781574403756</t>
  </si>
  <si>
    <t>795012171</t>
  </si>
  <si>
    <t>Z701.3 C67 P58 2012</t>
  </si>
  <si>
    <t>0                      Z  0701300C  67                 P  58          2012</t>
  </si>
  <si>
    <t>Planning and constructing book and paper conservation laboratories : a guidebook / edited by Jennifer Hain Teper and Eric Alstrom.</t>
  </si>
  <si>
    <t>Chicago : Association for Library Collections and Technical Services, a division of the American Library Association, 2012.</t>
  </si>
  <si>
    <t>1083134877:eng</t>
  </si>
  <si>
    <t>778856745</t>
  </si>
  <si>
    <t>ocn778856745</t>
  </si>
  <si>
    <t>3103412604Q</t>
  </si>
  <si>
    <t>9780838986011</t>
  </si>
  <si>
    <t>794910298</t>
  </si>
  <si>
    <t>Z701.3 D54 B85 2011</t>
  </si>
  <si>
    <t>0                      Z  0701300D  54                 B  85          2011</t>
  </si>
  <si>
    <t>Preparing collections for digitization / Anna E. Bülow and Jess Ahmon ; with contributions from Ross Spencer.</t>
  </si>
  <si>
    <t>Bülow, Anna.</t>
  </si>
  <si>
    <t>London : Facet Publishing, in association with the National Archives, 2011.</t>
  </si>
  <si>
    <t>2019-10-11</t>
  </si>
  <si>
    <t>783076046:eng</t>
  </si>
  <si>
    <t>519248700</t>
  </si>
  <si>
    <t>ocn519248700</t>
  </si>
  <si>
    <t>3103324269J</t>
  </si>
  <si>
    <t>9781856047111</t>
  </si>
  <si>
    <t>794808443</t>
  </si>
  <si>
    <t>Z701.3 D54 C37 2016</t>
  </si>
  <si>
    <t>0                      Z  0701300D  54                 C  37          2016</t>
  </si>
  <si>
    <t>Digitizing your collection : public library success stories / Susanne Caro ; with contributions by Sam Meister, Tammy Ravas, and Wendy Walker.</t>
  </si>
  <si>
    <t>Caro, Susanne, 1980- author.</t>
  </si>
  <si>
    <t>2971487771:eng</t>
  </si>
  <si>
    <t>928750254</t>
  </si>
  <si>
    <t>ocn928750254</t>
  </si>
  <si>
    <t>31036531508</t>
  </si>
  <si>
    <t>9780838913833</t>
  </si>
  <si>
    <t>795006355</t>
  </si>
  <si>
    <t>Z701.3 D54 S878 2010</t>
  </si>
  <si>
    <t>0                      Z  0701300D  54                 S  878         2010</t>
  </si>
  <si>
    <t>Survey of library &amp; museum digitization projects.</t>
  </si>
  <si>
    <t>New York : Primary Research Group, ©2010.</t>
  </si>
  <si>
    <t>945026231:eng</t>
  </si>
  <si>
    <t>691074619</t>
  </si>
  <si>
    <t>ocn691074619</t>
  </si>
  <si>
    <t>3103321849H</t>
  </si>
  <si>
    <t>9781574401585</t>
  </si>
  <si>
    <t>794855697</t>
  </si>
  <si>
    <t>Z701.3 D54 T49 2018</t>
  </si>
  <si>
    <t>0                      Z  0701300D  54                 T  49          2018</t>
  </si>
  <si>
    <t>The politics of mass digitization / Nanna Bonde Thylstrup.</t>
  </si>
  <si>
    <t>Thylstrup, Nanna Bonde, author.</t>
  </si>
  <si>
    <t>Cambridge, Massachusetts : The MIT Press, [2018]</t>
  </si>
  <si>
    <t>2019-10-01</t>
  </si>
  <si>
    <t>2275711944:eng</t>
  </si>
  <si>
    <t>1029788824</t>
  </si>
  <si>
    <t>on1029788824</t>
  </si>
  <si>
    <t>3103903582P</t>
  </si>
  <si>
    <t>9780262039017</t>
  </si>
  <si>
    <t>795054348</t>
  </si>
  <si>
    <t>Z701.3 H85 C65 1989</t>
  </si>
  <si>
    <t>0                      Z  0701300H  85                 C  65          1989</t>
  </si>
  <si>
    <t>Conservation and preservation of humanities research collections : essays on treatment and care of rare books, manuscripts, photography, and art on paper and canvas / edited by Dave Oliphant ; with an introduction by James Stroud.</t>
  </si>
  <si>
    <t>Austin : Harry Ransom Humanities Research Center, University of Texas at Austin, ©1989.</t>
  </si>
  <si>
    <t>918663791:eng</t>
  </si>
  <si>
    <t>20234995</t>
  </si>
  <si>
    <t>ocm20234995</t>
  </si>
  <si>
    <t>3100484325E</t>
  </si>
  <si>
    <t>9780879591090</t>
  </si>
  <si>
    <t>793081467</t>
  </si>
  <si>
    <t>Z701.3 N48 G66 2017</t>
  </si>
  <si>
    <t>0                      Z  0701300N  48                 G  66          2017</t>
  </si>
  <si>
    <t>Historic newspapers in the digital age : "search all about it!" / Paul Gooding.</t>
  </si>
  <si>
    <t>Gooding, Paul, 1981- author.</t>
  </si>
  <si>
    <t>Abingdon, Oxon ; New York, NY : Routledge, an imprint of the Taylor &amp; Francis Group, 2017.</t>
  </si>
  <si>
    <t>Digital research in the arts and humanities</t>
  </si>
  <si>
    <t>3024411732:eng</t>
  </si>
  <si>
    <t>949987899</t>
  </si>
  <si>
    <t>ocn949987899</t>
  </si>
  <si>
    <t>3103655365E</t>
  </si>
  <si>
    <t>9781472463388</t>
  </si>
  <si>
    <t>795016468</t>
  </si>
  <si>
    <t>Z701.3 N48 M87 2012</t>
  </si>
  <si>
    <t>0                      Z  0701300N  48                 M  87          2012</t>
  </si>
  <si>
    <t>The Nineteenth-Century Press in the Digital Age / James Mussell, Department of English, University of Birmingham, UK.</t>
  </si>
  <si>
    <t>Mussell, James.</t>
  </si>
  <si>
    <t>New York : Palgrave Macmillan, 2012.</t>
  </si>
  <si>
    <t>Palgrave studies in the history of the media</t>
  </si>
  <si>
    <t>1076632803:eng</t>
  </si>
  <si>
    <t>748328687</t>
  </si>
  <si>
    <t>ocn748328687</t>
  </si>
  <si>
    <t>3103408796N</t>
  </si>
  <si>
    <t>9780230235533</t>
  </si>
  <si>
    <t>794888978</t>
  </si>
  <si>
    <t>Z701.3 P47 H37 1993</t>
  </si>
  <si>
    <t>0                      Z  0701300P  47                 H  37          1993</t>
  </si>
  <si>
    <t>Integrated pest management in museum, library, and archival facilities : a step by step approach for the design, development, implementation, &amp; maintenance of an integrated pest management program / by James D. Harmon.</t>
  </si>
  <si>
    <t>Harmon, James D.</t>
  </si>
  <si>
    <t>[Indianapolis, Ind.] (P.O. Box 40262, Indianapolis 46240) : Harmon Preservation Pest Management, [©1993-</t>
  </si>
  <si>
    <t>866105788:eng</t>
  </si>
  <si>
    <t>28967298</t>
  </si>
  <si>
    <t>ocm28967298</t>
  </si>
  <si>
    <t>3103743415Y</t>
  </si>
  <si>
    <t>9780963816108</t>
  </si>
  <si>
    <t>793300728</t>
  </si>
  <si>
    <t>Z701.3 P48 L53 2012</t>
  </si>
  <si>
    <t>0                      Z  0701300P  48                 L  53          2012</t>
  </si>
  <si>
    <t>Library photocopy services benchmarks / Primary Research Group.</t>
  </si>
  <si>
    <t>Washington, D.C. : Primary Research Group, Inc., 2012.</t>
  </si>
  <si>
    <t>1181403723:eng</t>
  </si>
  <si>
    <t>826378984</t>
  </si>
  <si>
    <t>ocn826378984</t>
  </si>
  <si>
    <t>3103472265X</t>
  </si>
  <si>
    <t>9781574402094</t>
  </si>
  <si>
    <t>794939090</t>
  </si>
  <si>
    <t>Z701.3 R48 P73 1987</t>
  </si>
  <si>
    <t>0                      Z  0701300R  48                 P  73          1987</t>
  </si>
  <si>
    <t>Preservation planning program resource notebook / compiled by Pamela W. Darling.</t>
  </si>
  <si>
    <t>Washington, D.C. : Association of Research Libraries, Office of Management Studies, 1987.</t>
  </si>
  <si>
    <t>Rev. ed. / by Wesley 1. Boomgaarden.</t>
  </si>
  <si>
    <t>10382190:eng</t>
  </si>
  <si>
    <t>16352703</t>
  </si>
  <si>
    <t>ocm16352703</t>
  </si>
  <si>
    <t>3103871550D</t>
  </si>
  <si>
    <t>792960673</t>
  </si>
  <si>
    <t>Z701.3 R48 P73 1987b</t>
  </si>
  <si>
    <t>0                      Z  0701300R  48                 P  73          1987b</t>
  </si>
  <si>
    <t>notebook</t>
  </si>
  <si>
    <t>3000643291U</t>
  </si>
  <si>
    <t>792960671</t>
  </si>
  <si>
    <t>manual</t>
  </si>
  <si>
    <t>3100804547G</t>
  </si>
  <si>
    <t>792960672</t>
  </si>
  <si>
    <t>Z701.3 S38 W48 2005</t>
  </si>
  <si>
    <t>0                      Z  0701300S  38                 W  48          2005</t>
  </si>
  <si>
    <t>Who wants yesterday's papers? : essays on the research value of printed materials in the digital age / edited by Yvonne Carignan [and others].</t>
  </si>
  <si>
    <t>905506922:eng</t>
  </si>
  <si>
    <t>56192216</t>
  </si>
  <si>
    <t>ocm56192216</t>
  </si>
  <si>
    <t>3103001231S</t>
  </si>
  <si>
    <t>9780810851191</t>
  </si>
  <si>
    <t>793888817</t>
  </si>
  <si>
    <t>Z701.3 S53 B35 2003</t>
  </si>
  <si>
    <t>0                      Z  0701300S  53                 B  35          2003</t>
  </si>
  <si>
    <t>Preservation strategies for small academic and public libraries / Brian J. Baird ; illustrated by Jody Brown.</t>
  </si>
  <si>
    <t>Baird, Brian J., 1966-</t>
  </si>
  <si>
    <t>961688:eng</t>
  </si>
  <si>
    <t>50417372</t>
  </si>
  <si>
    <t>ocm50417372</t>
  </si>
  <si>
    <t>3102237616D</t>
  </si>
  <si>
    <t>9780810843530</t>
  </si>
  <si>
    <t>793764636</t>
  </si>
  <si>
    <t>Z701.3 W43 B76 2006</t>
  </si>
  <si>
    <t>0                      Z  0701300W  43                 B  76          2006</t>
  </si>
  <si>
    <t>Archiving websites : a practical guide for information management professionals / Adrian Brown.</t>
  </si>
  <si>
    <t>890434259:eng</t>
  </si>
  <si>
    <t>61441361</t>
  </si>
  <si>
    <t>ocm61441361</t>
  </si>
  <si>
    <t>3102564941E</t>
  </si>
  <si>
    <t>9781856045537</t>
  </si>
  <si>
    <t>793952791</t>
  </si>
  <si>
    <t>Z702 R93 2017</t>
  </si>
  <si>
    <t>0                      Z  0702000R  93          2017</t>
  </si>
  <si>
    <t>The book thieves : the Nazi looting of Europe's libraries and the race to return a literary inheritance / Anders Rydell ; translated by Henning Koch.</t>
  </si>
  <si>
    <t>Rydell, Anders, 1982- author.</t>
  </si>
  <si>
    <t>New York, New York : Viking, [2017]</t>
  </si>
  <si>
    <t>3004216977:eng</t>
  </si>
  <si>
    <t>970663324</t>
  </si>
  <si>
    <t>ocn970663324</t>
  </si>
  <si>
    <t>3103698764Z</t>
  </si>
  <si>
    <t>9780735221222</t>
  </si>
  <si>
    <t>795027782</t>
  </si>
  <si>
    <t>Z703.5 F67 2010</t>
  </si>
  <si>
    <t>0                      Z  0703500F  67          2010</t>
  </si>
  <si>
    <t>Moving your library : getting the collection from here to there / Steven Carl Fortriede.</t>
  </si>
  <si>
    <t>Fortriede, Steven Carl.</t>
  </si>
  <si>
    <t>2015-05-01</t>
  </si>
  <si>
    <t>797251909:eng</t>
  </si>
  <si>
    <t>310096818</t>
  </si>
  <si>
    <t>ocn310096818</t>
  </si>
  <si>
    <t>3103155258E</t>
  </si>
  <si>
    <t>9780838909942</t>
  </si>
  <si>
    <t>794434960</t>
  </si>
  <si>
    <t>Z703.5 H29 2010</t>
  </si>
  <si>
    <t>0                      Z  0703500H  29          2010</t>
  </si>
  <si>
    <t>Moving library collections : a management handbook / Elizabeth Chamberlain Habich.</t>
  </si>
  <si>
    <t>Habich, Elizabeth Chamberlain, 1955-</t>
  </si>
  <si>
    <t>2018-09-25</t>
  </si>
  <si>
    <t>793878229:eng</t>
  </si>
  <si>
    <t>456421164</t>
  </si>
  <si>
    <t>ocn456421164</t>
  </si>
  <si>
    <t>3103158270Z</t>
  </si>
  <si>
    <t>9781591586708</t>
  </si>
  <si>
    <t>794789018</t>
  </si>
  <si>
    <t>Z703.5 T83 1987</t>
  </si>
  <si>
    <t>0                      Z  0703500T  83          1987</t>
  </si>
  <si>
    <t>From here to there : moving a library / Dennis C. Tucker.</t>
  </si>
  <si>
    <t>Tucker, Dennis C.</t>
  </si>
  <si>
    <t>Bristol, Ind., U.S.A. : Wyndham Hall Press, ©1987.</t>
  </si>
  <si>
    <t>13125993:eng</t>
  </si>
  <si>
    <t>17104108</t>
  </si>
  <si>
    <t>ocm17104108</t>
  </si>
  <si>
    <t>3100415491Y</t>
  </si>
  <si>
    <t>9781556050282</t>
  </si>
  <si>
    <t>792982166</t>
  </si>
  <si>
    <t>Z703.5 T84 1999</t>
  </si>
  <si>
    <t>0                      Z  0703500T  84          1999</t>
  </si>
  <si>
    <t>Library relocations and collection shifts / Dennis C. Tucker.</t>
  </si>
  <si>
    <t>Medford, N.J. : Information Today, ©1999.</t>
  </si>
  <si>
    <t>23479087:eng</t>
  </si>
  <si>
    <t>40403681</t>
  </si>
  <si>
    <t>ocm40403681</t>
  </si>
  <si>
    <t>3103156574Y</t>
  </si>
  <si>
    <t>9781573870696</t>
  </si>
  <si>
    <t>793565885</t>
  </si>
  <si>
    <t>Z703.6 B38 2006</t>
  </si>
  <si>
    <t>0                      Z  0703600B  38          2006</t>
  </si>
  <si>
    <t>Less is more : a practical guide to weeding school library collections / Donna J. Baumbach and Linda L. Miller.</t>
  </si>
  <si>
    <t>Baumbach, Donna J. (Donna Jean), 1948-</t>
  </si>
  <si>
    <t>801842897:eng</t>
  </si>
  <si>
    <t>65197748</t>
  </si>
  <si>
    <t>ocm65197748</t>
  </si>
  <si>
    <t>3102631360C</t>
  </si>
  <si>
    <t>9780838909195</t>
  </si>
  <si>
    <t>794132931</t>
  </si>
  <si>
    <t>Z703.6 D47 2013</t>
  </si>
  <si>
    <t>0                      Z  0703600D  47          2013</t>
  </si>
  <si>
    <t>Désherber en bibliothèque : manuel pratique de révision des collections / sous la direction de Françoise Gaudet et Claudine Lieber ; préface de Michel Melot.</t>
  </si>
  <si>
    <t>Paris : Éditions du Cercle de la librairie, [2013]</t>
  </si>
  <si>
    <t>Troisiéme édition.</t>
  </si>
  <si>
    <t>301046648:fre</t>
  </si>
  <si>
    <t>872139790</t>
  </si>
  <si>
    <t>ocn872139790</t>
  </si>
  <si>
    <t>3103539437J</t>
  </si>
  <si>
    <t>9782765413813</t>
  </si>
  <si>
    <t>794967928</t>
  </si>
  <si>
    <t>Z703.6 S55 1989</t>
  </si>
  <si>
    <t>0                      Z  0703600S  55          1989</t>
  </si>
  <si>
    <t>Weeding library collections : library weeding methods / Stanley J. Slote.</t>
  </si>
  <si>
    <t>Slote, Stanley J.</t>
  </si>
  <si>
    <t>799790816:eng</t>
  </si>
  <si>
    <t>20294676</t>
  </si>
  <si>
    <t>ocm20294676</t>
  </si>
  <si>
    <t>3100748257P</t>
  </si>
  <si>
    <t>9780872876330</t>
  </si>
  <si>
    <t>793083236</t>
  </si>
  <si>
    <t>Z703.6 S55 1997</t>
  </si>
  <si>
    <t>0                      Z  0703600S  55          1997</t>
  </si>
  <si>
    <t>Englewood, Colo. : Libraries Unlimited, 1997.</t>
  </si>
  <si>
    <t>36252524</t>
  </si>
  <si>
    <t>ocm36252524</t>
  </si>
  <si>
    <t>3101801854E</t>
  </si>
  <si>
    <t>9781563085116</t>
  </si>
  <si>
    <t>793470506</t>
  </si>
  <si>
    <t>Z703.6 V68 2015</t>
  </si>
  <si>
    <t>0                      Z  0703600V  68          2015</t>
  </si>
  <si>
    <t>The weeding handbook : a shelf-by-shelf guide / Rebecca Vnuk, Booklist collection management editor.</t>
  </si>
  <si>
    <t>Vnuk, Rebecca, author.</t>
  </si>
  <si>
    <t>2549381180:eng</t>
  </si>
  <si>
    <t>908107263</t>
  </si>
  <si>
    <t>ocn908107263</t>
  </si>
  <si>
    <t>3103607387O</t>
  </si>
  <si>
    <t>9780838913277</t>
  </si>
  <si>
    <t>794994224</t>
  </si>
  <si>
    <t>Z704.3 S87 2014</t>
  </si>
  <si>
    <t>0                      Z  0704300S  87          2014</t>
  </si>
  <si>
    <t>The survey of library cafes &amp; food service.</t>
  </si>
  <si>
    <t>2014 ed.</t>
  </si>
  <si>
    <t>3148482061:eng</t>
  </si>
  <si>
    <t>871062826</t>
  </si>
  <si>
    <t>ocn871062826</t>
  </si>
  <si>
    <t>31035657655</t>
  </si>
  <si>
    <t>9781574402780</t>
  </si>
  <si>
    <t>794967252</t>
  </si>
  <si>
    <t>Z704.3 S88 2012</t>
  </si>
  <si>
    <t>0                      Z  0704300S  88          2012</t>
  </si>
  <si>
    <t>The survey of library cafés.</t>
  </si>
  <si>
    <t>[New York] : Primary Research Group, Inc., ©2012.</t>
  </si>
  <si>
    <t>2012-13 ed.</t>
  </si>
  <si>
    <t>111264608:eng</t>
  </si>
  <si>
    <t>805050520</t>
  </si>
  <si>
    <t>ocn805050520</t>
  </si>
  <si>
    <t>3103457132W</t>
  </si>
  <si>
    <t>9781574402056</t>
  </si>
  <si>
    <t>794926153</t>
  </si>
  <si>
    <t>Z710 E72 2008</t>
  </si>
  <si>
    <t>0                      Z  0710000E  72          2008</t>
  </si>
  <si>
    <t>Information literacy : search strategies, tools &amp; resources for high school students and college freshmen / Zorana Ercegovac.</t>
  </si>
  <si>
    <t>Ercegovac, Zorana, 1947-</t>
  </si>
  <si>
    <t>Columbus, Ohio : Linworth Pub., ©2008.</t>
  </si>
  <si>
    <t>2018-12-21</t>
  </si>
  <si>
    <t>1058466:eng</t>
  </si>
  <si>
    <t>191317857</t>
  </si>
  <si>
    <t>ocn191317857</t>
  </si>
  <si>
    <t>3102974841P</t>
  </si>
  <si>
    <t>9781586833329</t>
  </si>
  <si>
    <t>794297991</t>
  </si>
  <si>
    <t>Z710 G44 2008</t>
  </si>
  <si>
    <t>0                      Z  0710000G  44          2008</t>
  </si>
  <si>
    <t>The elements of library research : what every student needs to know / Mary W. George.</t>
  </si>
  <si>
    <t>George, Mary W., 1948-2015.</t>
  </si>
  <si>
    <t>Princeton, N.J. : Princeton University Press, ©2008.</t>
  </si>
  <si>
    <t>2017-12-15</t>
  </si>
  <si>
    <t>802686166:eng</t>
  </si>
  <si>
    <t>222249478</t>
  </si>
  <si>
    <t>ocn222249478</t>
  </si>
  <si>
    <t>3102974593O</t>
  </si>
  <si>
    <t>9780691131504</t>
  </si>
  <si>
    <t>794329872</t>
  </si>
  <si>
    <t>Z710 Q37 2011</t>
  </si>
  <si>
    <t>0                      Z  0710000Q  37          2011</t>
  </si>
  <si>
    <t>The college student's research companion : finding, evaluating, and citing the resources you need to succeed / Arlene R. Quaratiello with Jane Devine.</t>
  </si>
  <si>
    <t>Quaratiello, Arlene Rodda.</t>
  </si>
  <si>
    <t>772205:eng</t>
  </si>
  <si>
    <t>671736391</t>
  </si>
  <si>
    <t>ocn671736391</t>
  </si>
  <si>
    <t>3103312842I</t>
  </si>
  <si>
    <t>9781555707293</t>
  </si>
  <si>
    <t>794849147</t>
  </si>
  <si>
    <t>Z711 A394 2006</t>
  </si>
  <si>
    <t>0                      Z  0711000A  394         2006</t>
  </si>
  <si>
    <t>Reference librarianship : notes from the trenches / Charles R. Anderson, Peter Sprenkle.</t>
  </si>
  <si>
    <t>Anderson, Charles R., 1935-</t>
  </si>
  <si>
    <t>New York : Haworth Information Press, ©2006.</t>
  </si>
  <si>
    <t>2018-02-12</t>
  </si>
  <si>
    <t>46890716:eng</t>
  </si>
  <si>
    <t>62535948</t>
  </si>
  <si>
    <t>ocm62535948</t>
  </si>
  <si>
    <t>3102590590H</t>
  </si>
  <si>
    <t>9780789029478</t>
  </si>
  <si>
    <t>794109547</t>
  </si>
  <si>
    <t>Z711 B63 2015</t>
  </si>
  <si>
    <t>0                      Z  0711000B  63          2015</t>
  </si>
  <si>
    <t>Library programs and services : the fundamentals.</t>
  </si>
  <si>
    <t>Eighth edition / G. Edward Evans, Margaret Zarnosky Saponaro, Holland Christie, and Carol Sinwell.</t>
  </si>
  <si>
    <t>2550224333:eng</t>
  </si>
  <si>
    <t>900031399</t>
  </si>
  <si>
    <t>ocn900031399</t>
  </si>
  <si>
    <t>3103584222M</t>
  </si>
  <si>
    <t>9781610696371</t>
  </si>
  <si>
    <t>794987100</t>
  </si>
  <si>
    <t>Z711 B924 2006</t>
  </si>
  <si>
    <t>0                      Z  0711000B  924         2006</t>
  </si>
  <si>
    <t>Success at the enquiry desk : successful enquiry answering - every time / Tim Buckley Owen.</t>
  </si>
  <si>
    <t>Buckley Owen, Tim, 1948-</t>
  </si>
  <si>
    <t>London : Facet, 2006.</t>
  </si>
  <si>
    <t>2018-01-10</t>
  </si>
  <si>
    <t>836993400:eng</t>
  </si>
  <si>
    <t>64315435</t>
  </si>
  <si>
    <t>ocm64315435</t>
  </si>
  <si>
    <t>31028879599</t>
  </si>
  <si>
    <t>9781856046008</t>
  </si>
  <si>
    <t>794128481</t>
  </si>
  <si>
    <t>Z711 C355 2006</t>
  </si>
  <si>
    <t>0                      Z  0711000C  355         2006</t>
  </si>
  <si>
    <t>Reference and information services in the 21st century : an introduction / Kay Ann Cassell and Uma Hiremath.</t>
  </si>
  <si>
    <t>Cassell, Kay Ann.</t>
  </si>
  <si>
    <t>2017-04-13</t>
  </si>
  <si>
    <t>848779019:eng</t>
  </si>
  <si>
    <t>67921859</t>
  </si>
  <si>
    <t>ocm67921859</t>
  </si>
  <si>
    <t>31026306549</t>
  </si>
  <si>
    <t>9781555705633</t>
  </si>
  <si>
    <t>794141921</t>
  </si>
  <si>
    <t>Z711 C355 2011</t>
  </si>
  <si>
    <t>0                      Z  0711000C  355         2011</t>
  </si>
  <si>
    <t>London : Facet Publishing, ©2011.</t>
  </si>
  <si>
    <t>2nd ed. rev.</t>
  </si>
  <si>
    <t>2017-02-05</t>
  </si>
  <si>
    <t>747743145</t>
  </si>
  <si>
    <t>ocn747743145</t>
  </si>
  <si>
    <t>3103342261H</t>
  </si>
  <si>
    <t>9781856047784</t>
  </si>
  <si>
    <t>794888470</t>
  </si>
  <si>
    <t>Z711 C355 2013</t>
  </si>
  <si>
    <t>0                      Z  0711000C  355         2013</t>
  </si>
  <si>
    <t>London : Facet, ©2013.</t>
  </si>
  <si>
    <t>781500579</t>
  </si>
  <si>
    <t>ocn781500579</t>
  </si>
  <si>
    <t>3103456059Z</t>
  </si>
  <si>
    <t>9781856048392</t>
  </si>
  <si>
    <t>794912816</t>
  </si>
  <si>
    <t>Reference and information services : an introduction / Kay Ann Cassell and Uma Hiremath.</t>
  </si>
  <si>
    <t>2866018512:eng</t>
  </si>
  <si>
    <t>805701771</t>
  </si>
  <si>
    <t>ocn805701771</t>
  </si>
  <si>
    <t>3103470570U</t>
  </si>
  <si>
    <t>9781555708597</t>
  </si>
  <si>
    <t>794926396</t>
  </si>
  <si>
    <t>Z711 C355 2018</t>
  </si>
  <si>
    <t>0                      Z  0711000C  355         2018</t>
  </si>
  <si>
    <t>Reference and information services : an introduction / Kay Ann Cassell, Uma Hiremath.</t>
  </si>
  <si>
    <t>Cassell, Kay Ann, author.</t>
  </si>
  <si>
    <t>1037884864</t>
  </si>
  <si>
    <t>on1037884864</t>
  </si>
  <si>
    <t>3103704115S</t>
  </si>
  <si>
    <t>9780838915684</t>
  </si>
  <si>
    <t>795058295</t>
  </si>
  <si>
    <t>Z711 C655 2007</t>
  </si>
  <si>
    <t>0                      Z  0711000C  655         2007</t>
  </si>
  <si>
    <t>Constructing and sharing memory : community informatics, identity and empowerment / edited by Larry Stillman and Graeme Johanson.</t>
  </si>
  <si>
    <t>Newcastle, UK : Cambridge Scholars Pub., 2007.</t>
  </si>
  <si>
    <t>866294234:eng</t>
  </si>
  <si>
    <t>187979329</t>
  </si>
  <si>
    <t>ocn187979329</t>
  </si>
  <si>
    <t>3102855128P</t>
  </si>
  <si>
    <t>9781847182777</t>
  </si>
  <si>
    <t>794295107</t>
  </si>
  <si>
    <t>Z711 C66 2017</t>
  </si>
  <si>
    <t>0                      Z  0711000C  66          2017</t>
  </si>
  <si>
    <t>Communs du savoir et bibliothèques / sous la direction de Lionel Dujol.</t>
  </si>
  <si>
    <t>Paris : Electre Distribution, ©2017.</t>
  </si>
  <si>
    <t>2017-11-11</t>
  </si>
  <si>
    <t>4392184099:fre</t>
  </si>
  <si>
    <t>989769084</t>
  </si>
  <si>
    <t>ocn989769084</t>
  </si>
  <si>
    <t>3103768471O</t>
  </si>
  <si>
    <t>9782765415305</t>
  </si>
  <si>
    <t>795037257</t>
  </si>
  <si>
    <t>Z711 C875 2014</t>
  </si>
  <si>
    <t>0                      Z  0711000C  875         2014</t>
  </si>
  <si>
    <t>Curriculum-based library instruction : from cultivating faculty relationships to assessment / edited by Amy E. Blevins, Megan B. Inman.</t>
  </si>
  <si>
    <t>Lanham : Rowman &amp; Littlefield, [2014]</t>
  </si>
  <si>
    <t>Medical Library Association books</t>
  </si>
  <si>
    <t>2185708539:eng</t>
  </si>
  <si>
    <t>889005296</t>
  </si>
  <si>
    <t>ocn889005296</t>
  </si>
  <si>
    <t>3103581156V</t>
  </si>
  <si>
    <t>9781442239135</t>
  </si>
  <si>
    <t>794978179</t>
  </si>
  <si>
    <t>Z711 E58 2010</t>
  </si>
  <si>
    <t>0                      Z  0711000E  58          2010</t>
  </si>
  <si>
    <t>Envisioning future academic library services : initiatives, ideas and challenges / edited by Sue McKnight.</t>
  </si>
  <si>
    <t>793277822:eng</t>
  </si>
  <si>
    <t>320316051</t>
  </si>
  <si>
    <t>ocn320316051</t>
  </si>
  <si>
    <t>3103133611S</t>
  </si>
  <si>
    <t>9781856046916</t>
  </si>
  <si>
    <t>794486118</t>
  </si>
  <si>
    <t>Z711 F46 2017</t>
  </si>
  <si>
    <t>0                      Z  0711000F  46          2017</t>
  </si>
  <si>
    <t>The feminist reference desk : concepts, critiques, and conversations / edited by Maria T. Accardi.</t>
  </si>
  <si>
    <t>Sacramento, California : Library Juice Press, 2017.</t>
  </si>
  <si>
    <t>Series on gender and sexuality in information studies ; number eight</t>
  </si>
  <si>
    <t>2019-05-14</t>
  </si>
  <si>
    <t>4670340066:eng</t>
  </si>
  <si>
    <t>992334866</t>
  </si>
  <si>
    <t>ocn992334866</t>
  </si>
  <si>
    <t>3103739019I</t>
  </si>
  <si>
    <t>9781634000185</t>
  </si>
  <si>
    <t>795038212</t>
  </si>
  <si>
    <t>Z711 F64 1992</t>
  </si>
  <si>
    <t>0                      Z  0711000F  64          1992</t>
  </si>
  <si>
    <t>For information specialists : interpretations of reference and bibliographic work / Howard D. White, Marcia J. Bates, Patrick Wilson.</t>
  </si>
  <si>
    <t>Norwood, N.J. : Ablex Pub., ©1992.</t>
  </si>
  <si>
    <t>858760403:eng</t>
  </si>
  <si>
    <t>26261114</t>
  </si>
  <si>
    <t>ocm26261114</t>
  </si>
  <si>
    <t>3101158956R</t>
  </si>
  <si>
    <t>9780893918101</t>
  </si>
  <si>
    <t>793241154</t>
  </si>
  <si>
    <t>Z711 G366 2010</t>
  </si>
  <si>
    <t>0                      Z  0711000G  366         2010</t>
  </si>
  <si>
    <t>Customer care : a training manual for library staff / Pat Gannon-Leary and Michael D. McCarthy.</t>
  </si>
  <si>
    <t>Gannon-Leary, Pat.</t>
  </si>
  <si>
    <t>375864990:eng</t>
  </si>
  <si>
    <t>503046677</t>
  </si>
  <si>
    <t>ocn503046677</t>
  </si>
  <si>
    <t>31032291824</t>
  </si>
  <si>
    <t>9781843345701</t>
  </si>
  <si>
    <t>794806101</t>
  </si>
  <si>
    <t>Z711 H45 2010</t>
  </si>
  <si>
    <t>0                      Z  0711000H  45          2010</t>
  </si>
  <si>
    <t>Assessing service quality : satisfying the expectations of library customers / Peter Hernon + Ellen Altman.</t>
  </si>
  <si>
    <t>836953890:eng</t>
  </si>
  <si>
    <t>452290002</t>
  </si>
  <si>
    <t>ocn452290002</t>
  </si>
  <si>
    <t>3103242301W</t>
  </si>
  <si>
    <t>9780838910214</t>
  </si>
  <si>
    <t>794787860</t>
  </si>
  <si>
    <t>Z711 H45 2015</t>
  </si>
  <si>
    <t>0                      Z  0711000H  45          2015</t>
  </si>
  <si>
    <t>Assessing service quality : satisfying the expectations of library customers / Peter Hernon, Ellen Altman, Robert E. Dugan.</t>
  </si>
  <si>
    <t>902599179</t>
  </si>
  <si>
    <t>ocn902599179</t>
  </si>
  <si>
    <t>3103607403F</t>
  </si>
  <si>
    <t>9780838913086</t>
  </si>
  <si>
    <t>794988186</t>
  </si>
  <si>
    <t>Z711 J46 1987</t>
  </si>
  <si>
    <t>0                      Z  0711000J  46          1987</t>
  </si>
  <si>
    <t>The reference interview as a creative art / Elaine Zaremba Jennerich, Edward J. Jennerich.</t>
  </si>
  <si>
    <t>Jennerich, Elaine Zaremba, 1947-</t>
  </si>
  <si>
    <t>673586:eng</t>
  </si>
  <si>
    <t>15659713</t>
  </si>
  <si>
    <t>ocm15659713</t>
  </si>
  <si>
    <t>30008495848</t>
  </si>
  <si>
    <t>9780872874459</t>
  </si>
  <si>
    <t>792938666</t>
  </si>
  <si>
    <t>Z711 J46 1997</t>
  </si>
  <si>
    <t>0                      Z  0711000J  46          1997</t>
  </si>
  <si>
    <t>The reference interview as a creative art / by Elaine Z. Jennerich, Edward J. Jennerich.</t>
  </si>
  <si>
    <t>36241032</t>
  </si>
  <si>
    <t>ocm36241032</t>
  </si>
  <si>
    <t>3101801861H</t>
  </si>
  <si>
    <t>9781563084669</t>
  </si>
  <si>
    <t>793470131</t>
  </si>
  <si>
    <t>Z711 K32 2002</t>
  </si>
  <si>
    <t>0                      Z  0711000K  32          2002</t>
  </si>
  <si>
    <t>Introduction to reference work / William A. Katz.</t>
  </si>
  <si>
    <t>Katz, William A., 1924-2004.</t>
  </si>
  <si>
    <t>Boston : McGraw-Hill, ©2002.</t>
  </si>
  <si>
    <t>2013-09-10</t>
  </si>
  <si>
    <t>5342687171:eng</t>
  </si>
  <si>
    <t>45639112</t>
  </si>
  <si>
    <t>ocm45639112</t>
  </si>
  <si>
    <t>3102216273R</t>
  </si>
  <si>
    <t>9780072441079</t>
  </si>
  <si>
    <t>793675451</t>
  </si>
  <si>
    <t>3102226610M</t>
  </si>
  <si>
    <t>793675455</t>
  </si>
  <si>
    <t>2013-09-11</t>
  </si>
  <si>
    <t>3102220925Z</t>
  </si>
  <si>
    <t>793675452</t>
  </si>
  <si>
    <t>31026910093</t>
  </si>
  <si>
    <t>793675456</t>
  </si>
  <si>
    <t>31026910181</t>
  </si>
  <si>
    <t>793675454</t>
  </si>
  <si>
    <t>31028886808</t>
  </si>
  <si>
    <t>793675453</t>
  </si>
  <si>
    <t>3102690999$</t>
  </si>
  <si>
    <t>793675457</t>
  </si>
  <si>
    <t>2013-09-09</t>
  </si>
  <si>
    <t>3102216405Z</t>
  </si>
  <si>
    <t>793675458</t>
  </si>
  <si>
    <t>3102888675A</t>
  </si>
  <si>
    <t>793675450</t>
  </si>
  <si>
    <t>2013-09-08</t>
  </si>
  <si>
    <t>31026910043</t>
  </si>
  <si>
    <t>793675449</t>
  </si>
  <si>
    <t>Z711 K45 2011</t>
  </si>
  <si>
    <t>0                      Z  0711000K  45          2011</t>
  </si>
  <si>
    <t>Numeric data services and sources for the general reference librarian / Lynda M. Kellam ; with contribution from Katharin Peter.</t>
  </si>
  <si>
    <t>Kellam, Lynda M.</t>
  </si>
  <si>
    <t>375864953:eng</t>
  </si>
  <si>
    <t>503046636</t>
  </si>
  <si>
    <t>ocn503046636</t>
  </si>
  <si>
    <t>31033640527</t>
  </si>
  <si>
    <t>9781843345800</t>
  </si>
  <si>
    <t>794806096</t>
  </si>
  <si>
    <t>Z711 K84 2004</t>
  </si>
  <si>
    <t>0                      Z  0711000K  84          2004</t>
  </si>
  <si>
    <t>Seeking meaning : a process approach to library and information services / Carol Collier Kuhlthau.</t>
  </si>
  <si>
    <t>Kuhlthau, Carol Collier, 1937-</t>
  </si>
  <si>
    <t>2017-11-04</t>
  </si>
  <si>
    <t>8861548046:eng</t>
  </si>
  <si>
    <t>52813993</t>
  </si>
  <si>
    <t>ocm52813993</t>
  </si>
  <si>
    <t>3102629622L</t>
  </si>
  <si>
    <t>9781591580942</t>
  </si>
  <si>
    <t>793814738</t>
  </si>
  <si>
    <t>2016-07-12</t>
  </si>
  <si>
    <t>3102617450Y</t>
  </si>
  <si>
    <t>793814739</t>
  </si>
  <si>
    <t>Z711 L44 2012</t>
  </si>
  <si>
    <t>0                      Z  0711000L  44          2012</t>
  </si>
  <si>
    <t>Leading the reference renaissance : today's ideas for tomorrow's cutting-edge services / edited by Marie L. Radford.</t>
  </si>
  <si>
    <t>New York : Neal-Schuman Publishers, [2012]</t>
  </si>
  <si>
    <t>2018-07-04</t>
  </si>
  <si>
    <t>1041487141:eng</t>
  </si>
  <si>
    <t>759584867</t>
  </si>
  <si>
    <t>ocn759584867</t>
  </si>
  <si>
    <t>31033965408</t>
  </si>
  <si>
    <t>9781555707712</t>
  </si>
  <si>
    <t>794897536</t>
  </si>
  <si>
    <t>Z711 M33 2012</t>
  </si>
  <si>
    <t>0                      Z  0711000M  33          2012</t>
  </si>
  <si>
    <t>Mastering information skills for the 21st century / M.P. Machet with acknowledgement to S.J. Behrens and S.I.I. Olen.</t>
  </si>
  <si>
    <t>Machet, Myrna.</t>
  </si>
  <si>
    <t>Pretoria : Unisa Press, 2012.</t>
  </si>
  <si>
    <t>2867795257:eng</t>
  </si>
  <si>
    <t>767513818</t>
  </si>
  <si>
    <t>ocn767513818</t>
  </si>
  <si>
    <t>3103431656A</t>
  </si>
  <si>
    <t>9781868885954</t>
  </si>
  <si>
    <t>794901017</t>
  </si>
  <si>
    <t>Z711 M36 1993</t>
  </si>
  <si>
    <t>0                      Z  0711000M  36          1993</t>
  </si>
  <si>
    <t>Library research models : a guide to classification, cataloging, and computers / Thomas Mann.</t>
  </si>
  <si>
    <t>Mann, Thomas, 1948-</t>
  </si>
  <si>
    <t>New York : Oxford University Press, 1993.</t>
  </si>
  <si>
    <t>2016-10-04</t>
  </si>
  <si>
    <t>3856194765:eng</t>
  </si>
  <si>
    <t>26721660</t>
  </si>
  <si>
    <t>ocm26721660</t>
  </si>
  <si>
    <t>31036789189</t>
  </si>
  <si>
    <t>9780195081909</t>
  </si>
  <si>
    <t>793250263</t>
  </si>
  <si>
    <t>31037484248</t>
  </si>
  <si>
    <t>793250264</t>
  </si>
  <si>
    <t>Z711 M395 2014</t>
  </si>
  <si>
    <t>0                      Z  0711000M  395         2014</t>
  </si>
  <si>
    <t>Putting the user first : 30 strategies for transforming library services / by Courtney Greene McDonald.</t>
  </si>
  <si>
    <t>2076570827:eng</t>
  </si>
  <si>
    <t>883305115</t>
  </si>
  <si>
    <t>ocn883305115</t>
  </si>
  <si>
    <t>3103581287M</t>
  </si>
  <si>
    <t>9780838987322</t>
  </si>
  <si>
    <t>794975471</t>
  </si>
  <si>
    <t>Z711 M82 2012</t>
  </si>
  <si>
    <t>0                      Z  0711000M  82          2012</t>
  </si>
  <si>
    <t>Fundamentals of reference / Carolyn M. Mulac.</t>
  </si>
  <si>
    <t>Mulac, Carolyn.</t>
  </si>
  <si>
    <t>2015-02-26</t>
  </si>
  <si>
    <t>1060111128:eng</t>
  </si>
  <si>
    <t>666224031</t>
  </si>
  <si>
    <t>ocn666224031</t>
  </si>
  <si>
    <t>3103188258O</t>
  </si>
  <si>
    <t>9780838910870</t>
  </si>
  <si>
    <t>794844873</t>
  </si>
  <si>
    <t>Z711 M87 2011</t>
  </si>
  <si>
    <t>0                      Z  0711000M  87          2011</t>
  </si>
  <si>
    <t>The librarian as information consultant : transforming reference for the Information Age / Sarah Anne Murphy.</t>
  </si>
  <si>
    <t>Murphy, Sarah Anne, author.</t>
  </si>
  <si>
    <t>663769198:eng</t>
  </si>
  <si>
    <t>666224114</t>
  </si>
  <si>
    <t>ocn666224114</t>
  </si>
  <si>
    <t>31033446107</t>
  </si>
  <si>
    <t>9780838910863</t>
  </si>
  <si>
    <t>794844883</t>
  </si>
  <si>
    <t>Z711 N65 1999</t>
  </si>
  <si>
    <t>0                      Z  0711000N  65          1999</t>
  </si>
  <si>
    <t>Managing the reference collection / Christopher W. Nolan.</t>
  </si>
  <si>
    <t>Nolan, Christopher W.</t>
  </si>
  <si>
    <t>1026319:eng</t>
  </si>
  <si>
    <t>39800553</t>
  </si>
  <si>
    <t>ocm39800553</t>
  </si>
  <si>
    <t>31026900155</t>
  </si>
  <si>
    <t>9780838907481</t>
  </si>
  <si>
    <t>793553662</t>
  </si>
  <si>
    <t>Z711 O24 2010</t>
  </si>
  <si>
    <t>0                      Z  0711000O  24          2010</t>
  </si>
  <si>
    <t>From lending to learning : the development and extension of public libraries / Rónán O'Beirne.</t>
  </si>
  <si>
    <t>O'Beirne, Rónán.</t>
  </si>
  <si>
    <t>864128509:eng</t>
  </si>
  <si>
    <t>696923579</t>
  </si>
  <si>
    <t>ocn696923579</t>
  </si>
  <si>
    <t>3103234098K</t>
  </si>
  <si>
    <t>9781843343882</t>
  </si>
  <si>
    <t>794859571</t>
  </si>
  <si>
    <t>Z711 O59 2004</t>
  </si>
  <si>
    <t>0                      Z  0711000O  59          2004</t>
  </si>
  <si>
    <t>Library anxiety : theory, research, and applications / Anthony J. Onwuegbuzie, Qun G. Jiao, Sharon L. Bostick.</t>
  </si>
  <si>
    <t>Onwuegbuzie, Anthony J., 1962-</t>
  </si>
  <si>
    <t>Research methods in library and information studies ; 1</t>
  </si>
  <si>
    <t>2019-08-31</t>
  </si>
  <si>
    <t>865171907:eng</t>
  </si>
  <si>
    <t>52886648</t>
  </si>
  <si>
    <t>ocm52886648</t>
  </si>
  <si>
    <t>3102353898S</t>
  </si>
  <si>
    <t>9780810849556</t>
  </si>
  <si>
    <t>793816508</t>
  </si>
  <si>
    <t>Z711 O98 2012</t>
  </si>
  <si>
    <t>0                      Z  0711000O  98          2012</t>
  </si>
  <si>
    <t>Successful enquiry answering every time / Tim Buckley Owen.</t>
  </si>
  <si>
    <t>6th ed. fully rev. and updated.</t>
  </si>
  <si>
    <t>1083643312:eng</t>
  </si>
  <si>
    <t>802763599</t>
  </si>
  <si>
    <t>ocn802763599</t>
  </si>
  <si>
    <t>31034147369</t>
  </si>
  <si>
    <t>9781856048118</t>
  </si>
  <si>
    <t>794925767</t>
  </si>
  <si>
    <t>Z711 P338 1996</t>
  </si>
  <si>
    <t>0                      Z  0711000P  338         1996</t>
  </si>
  <si>
    <t>Patron behavior in libraries : a handbook of positive approaches to negative situations / [edited by] Beth McNeil and Denise J. Johnson.</t>
  </si>
  <si>
    <t>799473774:eng</t>
  </si>
  <si>
    <t>33101707</t>
  </si>
  <si>
    <t>ocm33101707</t>
  </si>
  <si>
    <t>3101516874Z</t>
  </si>
  <si>
    <t>9780838906620</t>
  </si>
  <si>
    <t>793401809</t>
  </si>
  <si>
    <t>Z711 R443 2001</t>
  </si>
  <si>
    <t>0                      Z  0711000R  443         2001</t>
  </si>
  <si>
    <t>Reference and information services : an introduction / general editors, Richard E. Bopp, Linda C. Smith.</t>
  </si>
  <si>
    <t>2019-01-10</t>
  </si>
  <si>
    <t>103935873:eng</t>
  </si>
  <si>
    <t>45678145</t>
  </si>
  <si>
    <t>ocm45678145</t>
  </si>
  <si>
    <t>3102110274Z</t>
  </si>
  <si>
    <t>9781563086243</t>
  </si>
  <si>
    <t>793676136</t>
  </si>
  <si>
    <t>3103023802Z</t>
  </si>
  <si>
    <t>793676134</t>
  </si>
  <si>
    <t>3102814729V</t>
  </si>
  <si>
    <t>793676135</t>
  </si>
  <si>
    <t>Z711 R443 2011</t>
  </si>
  <si>
    <t>0                      Z  0711000R  443         2011</t>
  </si>
  <si>
    <t>Reference and information services : an introduction / Richard E. Bopp and Linda C. Smith, editors.</t>
  </si>
  <si>
    <t>150346298</t>
  </si>
  <si>
    <t>ocn150346298</t>
  </si>
  <si>
    <t>3103362865Q</t>
  </si>
  <si>
    <t>9781591583653</t>
  </si>
  <si>
    <t>794241622</t>
  </si>
  <si>
    <t>Z711 R443 2016</t>
  </si>
  <si>
    <t>0                      Z  0711000R  443         2016</t>
  </si>
  <si>
    <t>Reference and information services : an introduction / Linda C. Smith and Melissa A. Wong, editors.</t>
  </si>
  <si>
    <t>Santa Barbara, California : Libraries Unlimited, [2016]</t>
  </si>
  <si>
    <t>2019-01-04</t>
  </si>
  <si>
    <t>900031522</t>
  </si>
  <si>
    <t>ocn900031522</t>
  </si>
  <si>
    <t>3103657296Y</t>
  </si>
  <si>
    <t>RECALLED</t>
  </si>
  <si>
    <t>9781440836961</t>
  </si>
  <si>
    <t>794987103</t>
  </si>
  <si>
    <t>Z711 R4453 1994</t>
  </si>
  <si>
    <t>0                      Z  0711000R  4453        1994</t>
  </si>
  <si>
    <t>Reference interviews, questions, and materials / by Thomas P. Slavens.</t>
  </si>
  <si>
    <t>Slavens, Thomas P., 1928-</t>
  </si>
  <si>
    <t>704673:eng</t>
  </si>
  <si>
    <t>28414414</t>
  </si>
  <si>
    <t>ocm28414414</t>
  </si>
  <si>
    <t>31014307148</t>
  </si>
  <si>
    <t>9780810827189</t>
  </si>
  <si>
    <t>793287639</t>
  </si>
  <si>
    <t>Z711 R4454 2011</t>
  </si>
  <si>
    <t>0                      Z  0711000R  4454        2011</t>
  </si>
  <si>
    <t>Reference reborn : breathing new life into public services librarianship / Diane Zabel, editor ; preface by Linda C. Smith.</t>
  </si>
  <si>
    <t>796115908:eng</t>
  </si>
  <si>
    <t>606787510</t>
  </si>
  <si>
    <t>ocn606787510</t>
  </si>
  <si>
    <t>3103324304S</t>
  </si>
  <si>
    <t>9781591588283</t>
  </si>
  <si>
    <t>794817314</t>
  </si>
  <si>
    <t>Z711 R4455 2010</t>
  </si>
  <si>
    <t>0                      Z  0711000R  4455        2010</t>
  </si>
  <si>
    <t>Reference renaissance : current and future trends / edited by Marie L. Radford and R. David Lankes.</t>
  </si>
  <si>
    <t>792054314:eng</t>
  </si>
  <si>
    <t>501320671</t>
  </si>
  <si>
    <t>ocn501320671</t>
  </si>
  <si>
    <t>3103242319U</t>
  </si>
  <si>
    <t>9781555706807</t>
  </si>
  <si>
    <t>794804553</t>
  </si>
  <si>
    <t>Z711 R47 2015</t>
  </si>
  <si>
    <t>0                      Z  0711000R  47          2015</t>
  </si>
  <si>
    <t>Reinventing reference : how libraries deliver value in the age of Google / edited by Katie Elson Anderson and Vibiana Bowman Cvetkovic.</t>
  </si>
  <si>
    <t>2076639381:eng</t>
  </si>
  <si>
    <t>890799077</t>
  </si>
  <si>
    <t>ocn890799077</t>
  </si>
  <si>
    <t>3103582412Q</t>
  </si>
  <si>
    <t>9780838912782</t>
  </si>
  <si>
    <t>794979615</t>
  </si>
  <si>
    <t>Z711 R64 2002</t>
  </si>
  <si>
    <t>0                      Z  0711000R  64          2002</t>
  </si>
  <si>
    <t>Conducting the reference interview : a how-to-do-it manual for librarians / Catherine Sheldrick Ross, Kirsti Nilsen, Patricia Dewdney.</t>
  </si>
  <si>
    <t>New York : Neal-Schuman Publishers, Inc., [2002]</t>
  </si>
  <si>
    <t>How-to-do-it manuals for librarians ; number 117</t>
  </si>
  <si>
    <t>2018-02-05</t>
  </si>
  <si>
    <t>838127257:eng</t>
  </si>
  <si>
    <t>50505814</t>
  </si>
  <si>
    <t>ocm50505814</t>
  </si>
  <si>
    <t>3102618251$</t>
  </si>
  <si>
    <t>9781555704322</t>
  </si>
  <si>
    <t>793766393</t>
  </si>
  <si>
    <t>3102670201B</t>
  </si>
  <si>
    <t>793766394</t>
  </si>
  <si>
    <t>3102209903D</t>
  </si>
  <si>
    <t>793766395</t>
  </si>
  <si>
    <t>Z711 R64 2009</t>
  </si>
  <si>
    <t>0                      Z  0711000R  64          2009</t>
  </si>
  <si>
    <t>Conducting the Reference Interview : a How-To-Do-It Manual for Librarians / Catherine Sheldrick Ross, Kirsti Nilsen, and Marie L. Radford.</t>
  </si>
  <si>
    <t>Ross, Catherine Sheldrick. author.</t>
  </si>
  <si>
    <t>New York : Neal-Schuman Publishers Inc., [2009]</t>
  </si>
  <si>
    <t>How-to-do-it manuals ; no. 166</t>
  </si>
  <si>
    <t>320895013</t>
  </si>
  <si>
    <t>ocn320895013</t>
  </si>
  <si>
    <t>3103154618E</t>
  </si>
  <si>
    <t>9781555706555</t>
  </si>
  <si>
    <t>794487385</t>
  </si>
  <si>
    <t>Z711 R79 2011</t>
  </si>
  <si>
    <t>0                      Z  0711000R  79          2011</t>
  </si>
  <si>
    <t>Defusing the angry patron : a how-to-do-it manual for librarians / Rhea Joyce Rubin.</t>
  </si>
  <si>
    <t>Rubin, Rhea Joyce.</t>
  </si>
  <si>
    <t>New York : Neal-Schuman Publishers Inc., [2011]</t>
  </si>
  <si>
    <t>How-to-do-it manuals ; number 177</t>
  </si>
  <si>
    <t>9657982764:eng</t>
  </si>
  <si>
    <t>683592440</t>
  </si>
  <si>
    <t>ocn683592440</t>
  </si>
  <si>
    <t>31033444555</t>
  </si>
  <si>
    <t>9781555707316</t>
  </si>
  <si>
    <t>794853485</t>
  </si>
  <si>
    <t>Z711 S275 2015</t>
  </si>
  <si>
    <t>0                      Z  0711000S  275         2015</t>
  </si>
  <si>
    <t>Repositioning reference : new methods and new services for a new age / Laura Saunders, Lillian Rozaklis, and Eileen G. Abels.</t>
  </si>
  <si>
    <t>Saunders, Laura, 1975- author.</t>
  </si>
  <si>
    <t>2054543931:eng</t>
  </si>
  <si>
    <t>887858684</t>
  </si>
  <si>
    <t>ocn887858684</t>
  </si>
  <si>
    <t>3103582185L</t>
  </si>
  <si>
    <t>9780810893221</t>
  </si>
  <si>
    <t>794977874</t>
  </si>
  <si>
    <t>Z711 S29 2002</t>
  </si>
  <si>
    <t>0                      Z  0711000S  29          2002</t>
  </si>
  <si>
    <t>Understanding reference transactions : transforming an art into a science / Matthew L. Saxton, John V. Richardson, Jr.</t>
  </si>
  <si>
    <t>Saxton, Matthew L. (Matthew Locke), 1969-</t>
  </si>
  <si>
    <t>San Diego, Calif. : Academic Press, ©2002.</t>
  </si>
  <si>
    <t>13255079:eng</t>
  </si>
  <si>
    <t>49794688</t>
  </si>
  <si>
    <t>ocm49794688</t>
  </si>
  <si>
    <t>31021835670</t>
  </si>
  <si>
    <t>9780125877800</t>
  </si>
  <si>
    <t>793747964</t>
  </si>
  <si>
    <t>Z711 S38 2012</t>
  </si>
  <si>
    <t>0                      Z  0711000S  38          2012</t>
  </si>
  <si>
    <t>The Embedded Librarian : innovative strategies for taking knowledge where it's needed / David Shumaker.</t>
  </si>
  <si>
    <t>Shumaker, David, 1950-</t>
  </si>
  <si>
    <t>1117968563:eng</t>
  </si>
  <si>
    <t>794603923</t>
  </si>
  <si>
    <t>ocn794603923</t>
  </si>
  <si>
    <t>31034686700</t>
  </si>
  <si>
    <t>9781573874526</t>
  </si>
  <si>
    <t>794920147</t>
  </si>
  <si>
    <t>Z711 S536 2016</t>
  </si>
  <si>
    <t>0                      Z  0711000S  536         2016</t>
  </si>
  <si>
    <t>Tu shu guan : She hui fa zhan de zhu tui qi : Di ba jie Shanghai guo ji tu shu guan lun tan lun wen ji / Shanghai tu shu guan bian.</t>
  </si>
  <si>
    <t>Shanghai guo ji tu shu guan lun tan (8th : 2016 : Shanghai, China)</t>
  </si>
  <si>
    <t>Shanghai Shi : Shanghai ke xue ji shu wen xian chu ban she, 2016.</t>
  </si>
  <si>
    <t>5213544309:chi</t>
  </si>
  <si>
    <t>962736911</t>
  </si>
  <si>
    <t>ocn962736911</t>
  </si>
  <si>
    <t>3103668296N</t>
  </si>
  <si>
    <t>9787543970632</t>
  </si>
  <si>
    <t>795024669</t>
  </si>
  <si>
    <t>Z711 S536 2018</t>
  </si>
  <si>
    <t>0                      Z  0711000S  536         2018</t>
  </si>
  <si>
    <t>Tu shu guan, rang she hui geng zhi hui geng bao rong : di jiu jie Shanghai guo ji tu shu guan lun tan lun wen ji / Shanghai Tu Shu Guan bian.</t>
  </si>
  <si>
    <t>Shanghai guo ji tu shu guan lun tan (9th : 2018 : Shanghai, China)</t>
  </si>
  <si>
    <t>Shanghai Shi : Shanghai ke xue ji shu wen xian chu ban she, 2018.</t>
  </si>
  <si>
    <t>6661126999:chi</t>
  </si>
  <si>
    <t>1079065438</t>
  </si>
  <si>
    <t>on1079065438</t>
  </si>
  <si>
    <t>3103853095D</t>
  </si>
  <si>
    <t>9787543977488</t>
  </si>
  <si>
    <t>795068139</t>
  </si>
  <si>
    <t>Z711 S57 2012</t>
  </si>
  <si>
    <t>0                      Z  0711000S  57          2012</t>
  </si>
  <si>
    <t>Fundamentals of Managing Reference Collections / Carol A. Singer.</t>
  </si>
  <si>
    <t>Singer, Carol A.</t>
  </si>
  <si>
    <t>1044136542:eng</t>
  </si>
  <si>
    <t>760990509</t>
  </si>
  <si>
    <t>ocn760990509</t>
  </si>
  <si>
    <t>31034148386</t>
  </si>
  <si>
    <t>9780838911532</t>
  </si>
  <si>
    <t>794898954</t>
  </si>
  <si>
    <t>Z711 T489 1999</t>
  </si>
  <si>
    <t>0                      Z  0711000T  489         1999</t>
  </si>
  <si>
    <t>Rethinking reference : the reference librarian's practical guide for surviving constant change / Elizabeth Thomsen.</t>
  </si>
  <si>
    <t>Thomsen, Elizabeth.</t>
  </si>
  <si>
    <t>New York : Neal-Schuman, ©1999.</t>
  </si>
  <si>
    <t>836947496:eng</t>
  </si>
  <si>
    <t>42290869</t>
  </si>
  <si>
    <t>ocm42290869</t>
  </si>
  <si>
    <t>3102888525N</t>
  </si>
  <si>
    <t>9781555703646</t>
  </si>
  <si>
    <t>793604487</t>
  </si>
  <si>
    <t>Z711 V36 2015</t>
  </si>
  <si>
    <t>0                      Z  0711000V  36          2015</t>
  </si>
  <si>
    <t>Leading libraries : how to create a service culture / Wyoma vanDuinkerken and Wendi Arant Kaspar.</t>
  </si>
  <si>
    <t>London Facet Publishing, 2015.</t>
  </si>
  <si>
    <t>2300006053:eng</t>
  </si>
  <si>
    <t>910905171</t>
  </si>
  <si>
    <t>ocn910905171</t>
  </si>
  <si>
    <t>3103611907B</t>
  </si>
  <si>
    <t>9781783300655</t>
  </si>
  <si>
    <t>794996654</t>
  </si>
  <si>
    <t>Z711 W45 2000</t>
  </si>
  <si>
    <t>0                      Z  0711000W  45          2000</t>
  </si>
  <si>
    <t>Evaluating reference services : a practical guide / Jo Bell Whitlatch.</t>
  </si>
  <si>
    <t>Whitlatch, Jo Bell.</t>
  </si>
  <si>
    <t>2017-10-26</t>
  </si>
  <si>
    <t>802201984:eng</t>
  </si>
  <si>
    <t>43798487</t>
  </si>
  <si>
    <t>ocm43798487</t>
  </si>
  <si>
    <t>3102047724L</t>
  </si>
  <si>
    <t>9780838907870</t>
  </si>
  <si>
    <t>793634915</t>
  </si>
  <si>
    <t>Z711 W54 2012</t>
  </si>
  <si>
    <t>0                      Z  0711000W  54          2012</t>
  </si>
  <si>
    <t>Not your ordinary librarian : debunking the popular perceptions of librarians / Ashanti White.</t>
  </si>
  <si>
    <t>White, Ashanti.</t>
  </si>
  <si>
    <t>1083259142:eng</t>
  </si>
  <si>
    <t>778956981</t>
  </si>
  <si>
    <t>ocn778956981</t>
  </si>
  <si>
    <t>3103454521Y</t>
  </si>
  <si>
    <t>9781843346708</t>
  </si>
  <si>
    <t>794910391</t>
  </si>
  <si>
    <t>Z711 W64 1999</t>
  </si>
  <si>
    <t>0                      Z  0711000W  64          1999</t>
  </si>
  <si>
    <t>Dealing with difficult people in the library / Mark R. Willis.</t>
  </si>
  <si>
    <t>Willis, Mark R.</t>
  </si>
  <si>
    <t>1026329:eng</t>
  </si>
  <si>
    <t>40954054</t>
  </si>
  <si>
    <t>ocm40954054</t>
  </si>
  <si>
    <t>3101985970B</t>
  </si>
  <si>
    <t>9780838907603</t>
  </si>
  <si>
    <t>793579878</t>
  </si>
  <si>
    <t>Z711.2 B66 2011</t>
  </si>
  <si>
    <t>0                      Z  0711200B  66          2011</t>
  </si>
  <si>
    <t>Reflective teaching, effective learning : instructional literacy for library educators / Char Booth.</t>
  </si>
  <si>
    <t>Booth, Char, author.</t>
  </si>
  <si>
    <t>409159646:eng</t>
  </si>
  <si>
    <t>609871178</t>
  </si>
  <si>
    <t>ocn609871178</t>
  </si>
  <si>
    <t>3103436924O</t>
  </si>
  <si>
    <t>9780838910528</t>
  </si>
  <si>
    <t>794820323</t>
  </si>
  <si>
    <t>Z711.2 B9 1997</t>
  </si>
  <si>
    <t>0                      Z  0711200B  9           1997</t>
  </si>
  <si>
    <t>The seven faces of information literacy / Christine Bruce.</t>
  </si>
  <si>
    <t>Bruce, Christine Susan, 1962-</t>
  </si>
  <si>
    <t>Adelaide : Auslib Press, 1997.</t>
  </si>
  <si>
    <t>20348729:eng</t>
  </si>
  <si>
    <t>38265557</t>
  </si>
  <si>
    <t>ocm38265557</t>
  </si>
  <si>
    <t>3102809226V</t>
  </si>
  <si>
    <t>9781875145430</t>
  </si>
  <si>
    <t>793520639</t>
  </si>
  <si>
    <t>Z711.2 C74 2016</t>
  </si>
  <si>
    <t>0                      Z  0711200C  74          2016</t>
  </si>
  <si>
    <t>Critical literacy for information professionals / edited by Sarah McNicol.</t>
  </si>
  <si>
    <t>4663908438:eng</t>
  </si>
  <si>
    <t>931802505</t>
  </si>
  <si>
    <t>ocn931802505</t>
  </si>
  <si>
    <t>3103654457E</t>
  </si>
  <si>
    <t>9781783300822</t>
  </si>
  <si>
    <t>795007746</t>
  </si>
  <si>
    <t>Z711.2 C8 2009</t>
  </si>
  <si>
    <t>0                      Z  0711200C  8           2009</t>
  </si>
  <si>
    <t>Critical thinking within the library program / edited by John Spencer, Christopher Millson-Martula.</t>
  </si>
  <si>
    <t>London : Routledge, 2009.</t>
  </si>
  <si>
    <t>570456875:eng</t>
  </si>
  <si>
    <t>244420521</t>
  </si>
  <si>
    <t>ocn244420521</t>
  </si>
  <si>
    <t>3103052298O</t>
  </si>
  <si>
    <t>9780415998383</t>
  </si>
  <si>
    <t>794381549</t>
  </si>
  <si>
    <t>Z711.2 D44 2000</t>
  </si>
  <si>
    <t>0                      Z  0711200D  44          2000</t>
  </si>
  <si>
    <t>Library instruction : a peer tutoring model / Susan Deese-Roberts, Kathleen Keating.</t>
  </si>
  <si>
    <t>Deese-Roberts, Susan, 1953-</t>
  </si>
  <si>
    <t>2018-11-28</t>
  </si>
  <si>
    <t>3019993:eng</t>
  </si>
  <si>
    <t>44518398</t>
  </si>
  <si>
    <t>ocm44518398</t>
  </si>
  <si>
    <t>3102047831K</t>
  </si>
  <si>
    <t>9781563086526</t>
  </si>
  <si>
    <t>793652250</t>
  </si>
  <si>
    <t>Z711.2 D495 2003</t>
  </si>
  <si>
    <t>0                      Z  0711200D  495         2003</t>
  </si>
  <si>
    <t>Developing web-based instruction : planning, designing, managing, and evaluating for results / edited by Elizabeth A. Dupuis.</t>
  </si>
  <si>
    <t>New York : Neal-Schuman Publishers, ©2003.</t>
  </si>
  <si>
    <t>The new library series ; no. 7</t>
  </si>
  <si>
    <t>838162340:eng</t>
  </si>
  <si>
    <t>53255632</t>
  </si>
  <si>
    <t>ocm53255632</t>
  </si>
  <si>
    <t>3102319525A</t>
  </si>
  <si>
    <t>9781555704285</t>
  </si>
  <si>
    <t>793825143</t>
  </si>
  <si>
    <t>Z711.2 E894 1996</t>
  </si>
  <si>
    <t>0                      Z  0711200E  894         1996</t>
  </si>
  <si>
    <t>Evaluating Library Instruction : Sample Questions, Forms, and Strategies for Practical Use / Research Committee, Library Instruction Round Table, American Library Association ; edited by Diana D. Shonrock.</t>
  </si>
  <si>
    <t>Chicago : American Library Association, [1996]</t>
  </si>
  <si>
    <t>890636280:eng</t>
  </si>
  <si>
    <t>32821980</t>
  </si>
  <si>
    <t>ocm32821980</t>
  </si>
  <si>
    <t>3101713345Q</t>
  </si>
  <si>
    <t>9780838906651</t>
  </si>
  <si>
    <t>793395241</t>
  </si>
  <si>
    <t>Z711.2 G75 2005</t>
  </si>
  <si>
    <t>0                      Z  0711200G  75          2005</t>
  </si>
  <si>
    <t>Learning to lead and manage information literacy instruction / Esther S. Grassian and Joan R. Kaplowitz.</t>
  </si>
  <si>
    <t>Grassian, Esther S.</t>
  </si>
  <si>
    <t>Information literacy sourcebooks</t>
  </si>
  <si>
    <t>2015-06-27</t>
  </si>
  <si>
    <t>1046137:eng</t>
  </si>
  <si>
    <t>59099021</t>
  </si>
  <si>
    <t>ocm59099021</t>
  </si>
  <si>
    <t>B000672172</t>
  </si>
  <si>
    <t>9781555705152</t>
  </si>
  <si>
    <t>793927377</t>
  </si>
  <si>
    <t>3102582267T</t>
  </si>
  <si>
    <t>793927376</t>
  </si>
  <si>
    <t>Z711.2 I26 1999</t>
  </si>
  <si>
    <t>0                      Z  0711200I  26          1999</t>
  </si>
  <si>
    <t>Teaching information literacy skills / Patricia Iannuzzi, Charles T. Mangrum II, Stephen S. Strichart.</t>
  </si>
  <si>
    <t>Iannuzzi, Patricia.</t>
  </si>
  <si>
    <t>Boston : Allyn and Bacon, ©1999.</t>
  </si>
  <si>
    <t>Teaching study skills and strategies series</t>
  </si>
  <si>
    <t>2016-09-28</t>
  </si>
  <si>
    <t>41771623:eng</t>
  </si>
  <si>
    <t>39515058</t>
  </si>
  <si>
    <t>ocm39515058</t>
  </si>
  <si>
    <t>31025317980</t>
  </si>
  <si>
    <t>9780205280070</t>
  </si>
  <si>
    <t>793547475</t>
  </si>
  <si>
    <t>Z711.2 I435 2015</t>
  </si>
  <si>
    <t>0                      Z  0711200I  435         2015</t>
  </si>
  <si>
    <t>Information and data literacy : the role of the library / edited by Joyce Hagen-McIntosh, MLS.</t>
  </si>
  <si>
    <t>Oakville, ON, Canada ; Waretown, NJ, USA : Apple Academic Press, 2016.</t>
  </si>
  <si>
    <t>2838929740:eng</t>
  </si>
  <si>
    <t>908654850</t>
  </si>
  <si>
    <t>ocn908654850</t>
  </si>
  <si>
    <t>3103644889S</t>
  </si>
  <si>
    <t>9781771882927</t>
  </si>
  <si>
    <t>794994892</t>
  </si>
  <si>
    <t>Z711.2 I49 1998</t>
  </si>
  <si>
    <t>0                      Z  0711200I  49          1998</t>
  </si>
  <si>
    <t>Information literacy standards for student learning / prepared by the American Association of School Librarians ; Association for Educational Communications and Technology.</t>
  </si>
  <si>
    <t>416839891:eng</t>
  </si>
  <si>
    <t>39079190</t>
  </si>
  <si>
    <t>ocm39079190</t>
  </si>
  <si>
    <t>3101911544G</t>
  </si>
  <si>
    <t>9780838934715</t>
  </si>
  <si>
    <t>793537585</t>
  </si>
  <si>
    <t>Z711.2 K83 1994</t>
  </si>
  <si>
    <t>0                      Z  0711200K  83          1994</t>
  </si>
  <si>
    <t>Teaching the library research process / by Carol Collier Kuhlthau.</t>
  </si>
  <si>
    <t>1008610:eng</t>
  </si>
  <si>
    <t>29668007</t>
  </si>
  <si>
    <t>ocm29668007</t>
  </si>
  <si>
    <t>3101316243A</t>
  </si>
  <si>
    <t>9780810827233</t>
  </si>
  <si>
    <t>793317565</t>
  </si>
  <si>
    <t>Z 711.2 K96t 1994</t>
  </si>
  <si>
    <t>0                      Z  0711200K  96t         1994</t>
  </si>
  <si>
    <t>31014137080</t>
  </si>
  <si>
    <t>793317566</t>
  </si>
  <si>
    <t>Z711.2 L435 2006</t>
  </si>
  <si>
    <t>0                      Z  0711200L  435         2006</t>
  </si>
  <si>
    <t>Ideas for librarians who teach : with suggestions for teachers and business presenters / Naomi Lederer.</t>
  </si>
  <si>
    <t>Lederer, Naomi, 1965-</t>
  </si>
  <si>
    <t>196776239:eng</t>
  </si>
  <si>
    <t>60971912</t>
  </si>
  <si>
    <t>ocm60971912</t>
  </si>
  <si>
    <t>31024938668</t>
  </si>
  <si>
    <t>9780810852129</t>
  </si>
  <si>
    <t>793945964</t>
  </si>
  <si>
    <t>Z711.2 M33 2012</t>
  </si>
  <si>
    <t>0                      Z  0711200M  33          2012</t>
  </si>
  <si>
    <t>Fundamentals of library instruction / Monty L. McAdoo.</t>
  </si>
  <si>
    <t>1017084207:eng</t>
  </si>
  <si>
    <t>755062676</t>
  </si>
  <si>
    <t>ocn755062676</t>
  </si>
  <si>
    <t>31034299737</t>
  </si>
  <si>
    <t>9780838911419</t>
  </si>
  <si>
    <t>794893514</t>
  </si>
  <si>
    <t>Z711.2 N37 2005</t>
  </si>
  <si>
    <t>0                      Z  0711200N  37          2005</t>
  </si>
  <si>
    <t>Discover, connect, engage : creative integration of information literacy / edited by Theresa Valko, Sarah Fabian, Robert Stevens.</t>
  </si>
  <si>
    <t>National LOEX Library Instruction Conference (33rd : 2005 : Louisville, Ky.)</t>
  </si>
  <si>
    <t>Ann Arbor, Mich. : Published for the University Library, Eastern Michigan University by Pierian Press, 2006.</t>
  </si>
  <si>
    <t>Library orientation series ; no. 38</t>
  </si>
  <si>
    <t>3855331971:eng</t>
  </si>
  <si>
    <t>81249003</t>
  </si>
  <si>
    <t>ocm81249003</t>
  </si>
  <si>
    <t>31031282909</t>
  </si>
  <si>
    <t>9780876503980</t>
  </si>
  <si>
    <t>794202823</t>
  </si>
  <si>
    <t>Z711.2 S59 2010</t>
  </si>
  <si>
    <t>0                      Z  0711200S  59          2010</t>
  </si>
  <si>
    <t>Web-based instruction : a guide for libraries / Susan Sharpless Smith.</t>
  </si>
  <si>
    <t>Smith, Susan Sharpless.</t>
  </si>
  <si>
    <t>2013-01-17</t>
  </si>
  <si>
    <t>797212514:eng</t>
  </si>
  <si>
    <t>550550819</t>
  </si>
  <si>
    <t>ocn550550819</t>
  </si>
  <si>
    <t>3103238769Q</t>
  </si>
  <si>
    <t>9780838910566</t>
  </si>
  <si>
    <t>794811397</t>
  </si>
  <si>
    <t>Z711.2 S98 1997</t>
  </si>
  <si>
    <t>0                      Z  0711200S  98          1997</t>
  </si>
  <si>
    <t>Library centers : teaching information literacy, skills, and processes, K-6 / Judith A. Sykes ; drawings by Cory Henderson.</t>
  </si>
  <si>
    <t>Sykes, Judith A., 1957-</t>
  </si>
  <si>
    <t>673611:eng</t>
  </si>
  <si>
    <t>36458147</t>
  </si>
  <si>
    <t>ocm36458147</t>
  </si>
  <si>
    <t>31018063468</t>
  </si>
  <si>
    <t>9781563085079</t>
  </si>
  <si>
    <t>793475760</t>
  </si>
  <si>
    <t>Z711.2 T496 2004</t>
  </si>
  <si>
    <t>0                      Z  0711200T  496         2004</t>
  </si>
  <si>
    <t>Information literacy and information skills instruction : applying research to practice in the school library media center / Nancy Pickering Thomas.</t>
  </si>
  <si>
    <t>Thomas, Nancy Pickering.</t>
  </si>
  <si>
    <t>Library and information problem-solving skills series</t>
  </si>
  <si>
    <t>793352462:eng</t>
  </si>
  <si>
    <t>56347872</t>
  </si>
  <si>
    <t>ocm56347872</t>
  </si>
  <si>
    <t>3102629627L</t>
  </si>
  <si>
    <t>9781591580812</t>
  </si>
  <si>
    <t>793891448</t>
  </si>
  <si>
    <t>Z711.2 T497 1982</t>
  </si>
  <si>
    <t>0                      Z  0711200T  497         1982</t>
  </si>
  <si>
    <t>The end of libraries / James Thompson.</t>
  </si>
  <si>
    <t>304862492:eng</t>
  </si>
  <si>
    <t>9328447</t>
  </si>
  <si>
    <t>ocm09328447</t>
  </si>
  <si>
    <t>30008444808</t>
  </si>
  <si>
    <t>9780851573496</t>
  </si>
  <si>
    <t>792670583</t>
  </si>
  <si>
    <t>Z711.2 W35 2010</t>
  </si>
  <si>
    <t>0                      Z  0711200W  35          2010</t>
  </si>
  <si>
    <t>Active learning techniques for librarians : practical examples / Andrew Walsh and Padma Inala.</t>
  </si>
  <si>
    <t>Witney : Woodhead Publishing Ltd, 2010.</t>
  </si>
  <si>
    <t>954796885:eng</t>
  </si>
  <si>
    <t>689962177</t>
  </si>
  <si>
    <t>ocn689962177</t>
  </si>
  <si>
    <t>3103229894I</t>
  </si>
  <si>
    <t>9781843345923</t>
  </si>
  <si>
    <t>794855051</t>
  </si>
  <si>
    <t>Z711.25 C65 A78 2016</t>
  </si>
  <si>
    <t>0                      Z  0711250C  65                 A  78          2016</t>
  </si>
  <si>
    <t>The craft of librarian instruction : using acting techniques to create your teaching presence / by Julie Artman, Jeff Sundquist, Douglas R. Dechow.</t>
  </si>
  <si>
    <t>Artman, Julie, author.</t>
  </si>
  <si>
    <t>2967854922:eng</t>
  </si>
  <si>
    <t>939531526</t>
  </si>
  <si>
    <t>ocn939531526</t>
  </si>
  <si>
    <t>3103654029Z</t>
  </si>
  <si>
    <t>9780838988213</t>
  </si>
  <si>
    <t>795011674</t>
  </si>
  <si>
    <t>Z711.25 C65 B83 2014</t>
  </si>
  <si>
    <t>0                      Z  0711250C  65                 B  83          2014</t>
  </si>
  <si>
    <t>The one-shot library instruction survival guide / Heidi E. Buchanan &amp; Beth A. McDonough.</t>
  </si>
  <si>
    <t>Buchanan, Heidi E.</t>
  </si>
  <si>
    <t>1440966627:eng</t>
  </si>
  <si>
    <t>864676610</t>
  </si>
  <si>
    <t>ocn864676610</t>
  </si>
  <si>
    <t>3103566047Q</t>
  </si>
  <si>
    <t>9780838912157</t>
  </si>
  <si>
    <t>794962203</t>
  </si>
  <si>
    <t>Z711.25 C65 B83 2017</t>
  </si>
  <si>
    <t>0                      Z  0711250C  65                 B  83          2017</t>
  </si>
  <si>
    <t>The one-shot library instruction survival guide / Heidi E. Buchanan and Beth A. McDonough.</t>
  </si>
  <si>
    <t>Buchanan, Heidi E., author.</t>
  </si>
  <si>
    <t>956633906</t>
  </si>
  <si>
    <t>ocn956633906</t>
  </si>
  <si>
    <t>31034225956</t>
  </si>
  <si>
    <t>9780838914861</t>
  </si>
  <si>
    <t>795020317</t>
  </si>
  <si>
    <t>Z711.25 C65 C75 2010</t>
  </si>
  <si>
    <t>0                      Z  0711250C  65                 C  75          2010</t>
  </si>
  <si>
    <t>Critical library instruction : theories and methods / edited by Maria T. Accardi, Emily Drabinski, and Alana Kumbier.</t>
  </si>
  <si>
    <t>Duluth, Minnesota : Library Juice Press, 2010.</t>
  </si>
  <si>
    <t>866316619:eng</t>
  </si>
  <si>
    <t>440562980</t>
  </si>
  <si>
    <t>ocn440562980</t>
  </si>
  <si>
    <t>3103432969W</t>
  </si>
  <si>
    <t>9781936117017</t>
  </si>
  <si>
    <t>794786484</t>
  </si>
  <si>
    <t>Z711.25 C65 D57 2016</t>
  </si>
  <si>
    <t>0                      Z  0711250C  65                 D  57          2016</t>
  </si>
  <si>
    <t>Discovery tool cookbook : recipes for successful lesson plans / edited by Nancy Fawley and Nikki Krysak.</t>
  </si>
  <si>
    <t>Chicago : Association of College and Research Libraries, a division of the American Library Association, 2016.</t>
  </si>
  <si>
    <t>2967043248:eng</t>
  </si>
  <si>
    <t>945693667</t>
  </si>
  <si>
    <t>ocn945693667</t>
  </si>
  <si>
    <t>3103654437K</t>
  </si>
  <si>
    <t>9780838988916</t>
  </si>
  <si>
    <t>795013795</t>
  </si>
  <si>
    <t>Z711.25 C65 F53 2012</t>
  </si>
  <si>
    <t>0                      Z  0711250C  65                 F  53          2012</t>
  </si>
  <si>
    <t>Engaging first-year students in meaningful library research : a practical guide for teaching faculty / Molly R. Flaspohler.</t>
  </si>
  <si>
    <t>Flaspohler, Molly R.</t>
  </si>
  <si>
    <t>2013-12-13</t>
  </si>
  <si>
    <t>1089570728:eng</t>
  </si>
  <si>
    <t>701470786</t>
  </si>
  <si>
    <t>ocn701470786</t>
  </si>
  <si>
    <t>3103430286K</t>
  </si>
  <si>
    <t>9781843346401</t>
  </si>
  <si>
    <t>794863073</t>
  </si>
  <si>
    <t>Z711.25 C65 F57 2017</t>
  </si>
  <si>
    <t>0                      Z  0711250C  65                 F  57          2017</t>
  </si>
  <si>
    <t>The first-year experience cookbook / edited by Raymond Pun and Meggan Houlihan.</t>
  </si>
  <si>
    <t>Chicago : Association of College and Research Libraries, a division of the American Library Association, 2017.</t>
  </si>
  <si>
    <t>2018-05-29</t>
  </si>
  <si>
    <t>4088881674:eng</t>
  </si>
  <si>
    <t>974380789</t>
  </si>
  <si>
    <t>ocn974380789</t>
  </si>
  <si>
    <t>3103671280U</t>
  </si>
  <si>
    <t>9780838989203</t>
  </si>
  <si>
    <t>795029562</t>
  </si>
  <si>
    <t>Z711.25 C65 I524 2014</t>
  </si>
  <si>
    <t>0                      Z  0711250C  65                 I  524         2014</t>
  </si>
  <si>
    <t>Information literacy efforts benchmarks / Primary Research Group.</t>
  </si>
  <si>
    <t>New York, N.Y. : Primary Research Group, Inc., [2014]</t>
  </si>
  <si>
    <t>1185086812:eng</t>
  </si>
  <si>
    <t>873763651</t>
  </si>
  <si>
    <t>ocn873763651</t>
  </si>
  <si>
    <t>3103531524D</t>
  </si>
  <si>
    <t>9781574402827</t>
  </si>
  <si>
    <t>794968538</t>
  </si>
  <si>
    <t>Z711.25 C65 I54 2012</t>
  </si>
  <si>
    <t>0                      Z  0711250C  65                 I  54          2012</t>
  </si>
  <si>
    <t>Information literacy efforts benchmarks.</t>
  </si>
  <si>
    <t>New York, N.Y. : Primary Research Group, [2012]</t>
  </si>
  <si>
    <t>2013 edition.</t>
  </si>
  <si>
    <t>817562247</t>
  </si>
  <si>
    <t>ocn817562247</t>
  </si>
  <si>
    <t>3103497037F</t>
  </si>
  <si>
    <t>9781574402148</t>
  </si>
  <si>
    <t>794933522</t>
  </si>
  <si>
    <t>Z711.25 C65 I54 2013</t>
  </si>
  <si>
    <t>0                      Z  0711250C  65                 I  54          2013</t>
  </si>
  <si>
    <t>Informed transitions : libraries supporting the high school to college transition / Kenneth J. Burhanna, Editor.</t>
  </si>
  <si>
    <t>1124062280:eng</t>
  </si>
  <si>
    <t>798617189</t>
  </si>
  <si>
    <t>ocn798617189</t>
  </si>
  <si>
    <t>3103453972G</t>
  </si>
  <si>
    <t>9781610691284</t>
  </si>
  <si>
    <t>794923935</t>
  </si>
  <si>
    <t>Z711.25 C65 L53 2009</t>
  </si>
  <si>
    <t>0                      Z  0711250C  65                 L  53          2009</t>
  </si>
  <si>
    <t>The library instruction cookbook / edited by Ryan L. Sittler and Douglas Cook.</t>
  </si>
  <si>
    <t>Chicago : Association of College and Research Libraries, 2009.</t>
  </si>
  <si>
    <t>259935275:eng</t>
  </si>
  <si>
    <t>373561342</t>
  </si>
  <si>
    <t>ocn373561342</t>
  </si>
  <si>
    <t>31031548256</t>
  </si>
  <si>
    <t>9780838985113</t>
  </si>
  <si>
    <t>794494938</t>
  </si>
  <si>
    <t>Z711.25 H54 V65 2008</t>
  </si>
  <si>
    <t>0                      Z  0711250H  54                 V  65          2008</t>
  </si>
  <si>
    <t>Collaborative library research projects : inquiry that stimulates the senses / John D. Volkman.</t>
  </si>
  <si>
    <t>Volkman, John D.</t>
  </si>
  <si>
    <t>315907833:eng</t>
  </si>
  <si>
    <t>191258399</t>
  </si>
  <si>
    <t>ocn191258399</t>
  </si>
  <si>
    <t>3102970237O</t>
  </si>
  <si>
    <t>9781591586234</t>
  </si>
  <si>
    <t>794297860</t>
  </si>
  <si>
    <t>Z711.25 S36 G37 2008</t>
  </si>
  <si>
    <t>0                      Z  0711250S  36                 G  37          2008</t>
  </si>
  <si>
    <t>A is for almanac : complete lessons to teach the use of reference sources in grades K-6 / Susan L. Garvin and Annie Weissman.</t>
  </si>
  <si>
    <t>Garvin, Susan L.</t>
  </si>
  <si>
    <t>2018-01-28</t>
  </si>
  <si>
    <t>501835590:eng</t>
  </si>
  <si>
    <t>167504670</t>
  </si>
  <si>
    <t>ocn167504670</t>
  </si>
  <si>
    <t>3102974136B</t>
  </si>
  <si>
    <t>9781555706234</t>
  </si>
  <si>
    <t>794262497</t>
  </si>
  <si>
    <t>- Reserves and A/V Room - A/V Collection - A/V Loan</t>
  </si>
  <si>
    <t>Z711.25 S36 G37 2008 CD-ROM</t>
  </si>
  <si>
    <t>0                      Z  0711250S  36                 G  37          2008                  CD-ROM</t>
  </si>
  <si>
    <t>3103003624A</t>
  </si>
  <si>
    <t>794262496</t>
  </si>
  <si>
    <t>Z711.4 I57 2010</t>
  </si>
  <si>
    <t>0                      Z  0711400I  57          2010</t>
  </si>
  <si>
    <t>Intellectual freedom manual / compiled by the Office for Intellectual Freedom of the American Library Association.</t>
  </si>
  <si>
    <t>Chicago : American Library Association, [2010]</t>
  </si>
  <si>
    <t>2016-10-26</t>
  </si>
  <si>
    <t>4926230392:eng</t>
  </si>
  <si>
    <t>601086593</t>
  </si>
  <si>
    <t>ocn601086593</t>
  </si>
  <si>
    <t>3103239523$</t>
  </si>
  <si>
    <t>9780838935903</t>
  </si>
  <si>
    <t>794815249</t>
  </si>
  <si>
    <t>Z711.4 L48 2016</t>
  </si>
  <si>
    <t>0                      Z  0711400L  48          2016</t>
  </si>
  <si>
    <t>Librarianship and intellectual freedom : an ongoing consideration for librarians / edited by Joyce Hagen-McIntosh, MLS.</t>
  </si>
  <si>
    <t>Oakville, ON ; Waretown, NJ : Apple Academic Press, [2016]</t>
  </si>
  <si>
    <t>2793022931:eng</t>
  </si>
  <si>
    <t>928606354</t>
  </si>
  <si>
    <t>ocn928606354</t>
  </si>
  <si>
    <t>3103645436N</t>
  </si>
  <si>
    <t>9781771883962</t>
  </si>
  <si>
    <t>795006260</t>
  </si>
  <si>
    <t>Z711.4 R58 1996</t>
  </si>
  <si>
    <t>0                      Z  0711400R  58          1996</t>
  </si>
  <si>
    <t>Censorship and the American library : the American Library Association's response to threats to intellectual freedom, 1939-1969 / Louise S. Robbins.</t>
  </si>
  <si>
    <t>Robbins, Louise S.</t>
  </si>
  <si>
    <t>Contributions in librarianship and information science, 0084-9243 ; no. 89</t>
  </si>
  <si>
    <t>836952523:eng</t>
  </si>
  <si>
    <t>34633329</t>
  </si>
  <si>
    <t>ocm34633329</t>
  </si>
  <si>
    <t>3101712805N</t>
  </si>
  <si>
    <t>9780313296444</t>
  </si>
  <si>
    <t>793431903</t>
  </si>
  <si>
    <t>Z711.4 T78 2012</t>
  </si>
  <si>
    <t>0                      Z  0711400T  78          2012</t>
  </si>
  <si>
    <t>True stories of censorship battles in America's libraries / edited by Valerie Nye and Kathy Barco.</t>
  </si>
  <si>
    <t>996930808:eng</t>
  </si>
  <si>
    <t>747099267</t>
  </si>
  <si>
    <t>ocn747099267</t>
  </si>
  <si>
    <t>3103396521C</t>
  </si>
  <si>
    <t>9780838911303</t>
  </si>
  <si>
    <t>794887792</t>
  </si>
  <si>
    <t>Z711.45 B54 2012</t>
  </si>
  <si>
    <t>0                      Z  0711450B  54          2012</t>
  </si>
  <si>
    <t>IM and SMS reference services for libraries / Amanda Bielskas and Kathleen M. Dreyer.</t>
  </si>
  <si>
    <t>Bielskas, Amanda, 1974- author.</t>
  </si>
  <si>
    <t>The tech set ; #19</t>
  </si>
  <si>
    <t>2017-12-06</t>
  </si>
  <si>
    <t>1074129730:eng</t>
  </si>
  <si>
    <t>781432074</t>
  </si>
  <si>
    <t>ocn781432074</t>
  </si>
  <si>
    <t>31034148424</t>
  </si>
  <si>
    <t>9781555707828</t>
  </si>
  <si>
    <t>794912664</t>
  </si>
  <si>
    <t>Z711.45 D47 2013</t>
  </si>
  <si>
    <t>0                      Z  0711450D  47          2013</t>
  </si>
  <si>
    <t>Implementing virtual reference services : a LITA guide / edited by Beth C. Thomsett-Scott.</t>
  </si>
  <si>
    <t>LITA guide ; [26]</t>
  </si>
  <si>
    <t>2018-04-27</t>
  </si>
  <si>
    <t>3757012723:eng</t>
  </si>
  <si>
    <t>820450635</t>
  </si>
  <si>
    <t>ocn820450635</t>
  </si>
  <si>
    <t>3103454610X</t>
  </si>
  <si>
    <t>9781555708993</t>
  </si>
  <si>
    <t>794935317</t>
  </si>
  <si>
    <t>Z711.45 D54 2000</t>
  </si>
  <si>
    <t>0                      Z  0711450D  54          2000</t>
  </si>
  <si>
    <t>Digital Reference Service in the New Millennium : Planning, Management, and Evaluation / edited by R. David Lankes, John W. Collins III and Abby S. Kasowitz.</t>
  </si>
  <si>
    <t>The new library series ; no. 6</t>
  </si>
  <si>
    <t>837026466:eng</t>
  </si>
  <si>
    <t>44468971</t>
  </si>
  <si>
    <t>ocm44468971</t>
  </si>
  <si>
    <t>31020607093</t>
  </si>
  <si>
    <t>9781555703844</t>
  </si>
  <si>
    <t>793646927</t>
  </si>
  <si>
    <t>Z711.45 D546 2003</t>
  </si>
  <si>
    <t>0                      Z  0711450D  546         2003</t>
  </si>
  <si>
    <t>Digital reference services / Bill Katz, editor.</t>
  </si>
  <si>
    <t>Binghamton, NY : Haworth Information Press, 2003.</t>
  </si>
  <si>
    <t>149047150:eng</t>
  </si>
  <si>
    <t>52814314</t>
  </si>
  <si>
    <t>ocm52814314</t>
  </si>
  <si>
    <t>3102576056Q</t>
  </si>
  <si>
    <t>9780789023193</t>
  </si>
  <si>
    <t>793814813</t>
  </si>
  <si>
    <t>Z711.45 D548 2004</t>
  </si>
  <si>
    <t>0                      Z  0711450D  548         2004</t>
  </si>
  <si>
    <t>Digital versus non-digital reference : ask a librarian online and offline / Jessamyn West, editor.</t>
  </si>
  <si>
    <t>891502516:eng</t>
  </si>
  <si>
    <t>54778495</t>
  </si>
  <si>
    <t>ocm54778495</t>
  </si>
  <si>
    <t>3102459558F</t>
  </si>
  <si>
    <t>9780789024428</t>
  </si>
  <si>
    <t>793867784</t>
  </si>
  <si>
    <t>Z711.45 E18 2012</t>
  </si>
  <si>
    <t>0                      Z  0711450E  18          2012</t>
  </si>
  <si>
    <t>E-reference context and discoverability in libraries : issues and concepts / [edited by] Sue Polanka.</t>
  </si>
  <si>
    <t>902956267:eng</t>
  </si>
  <si>
    <t>726695777</t>
  </si>
  <si>
    <t>ocn726695777</t>
  </si>
  <si>
    <t>3103406199C</t>
  </si>
  <si>
    <t>9781613503089</t>
  </si>
  <si>
    <t>794877299</t>
  </si>
  <si>
    <t>Z711.45 K47 2009</t>
  </si>
  <si>
    <t>0                      Z  0711450K  47          2009</t>
  </si>
  <si>
    <t>Virtual reference best practices : tailoring services to your library / M. Kathleen Kern.</t>
  </si>
  <si>
    <t>Kern, M. Kathleen.</t>
  </si>
  <si>
    <t>Chicago : American Library Association, ©2009.</t>
  </si>
  <si>
    <t>801866504:eng</t>
  </si>
  <si>
    <t>222250186</t>
  </si>
  <si>
    <t>ocn222250186</t>
  </si>
  <si>
    <t>3102977551K</t>
  </si>
  <si>
    <t>9780838909751</t>
  </si>
  <si>
    <t>794329887</t>
  </si>
  <si>
    <t>Z711.45 K69 2007</t>
  </si>
  <si>
    <t>0                      Z  0711450K  69          2007</t>
  </si>
  <si>
    <t>The virtual reference handbook : interview and information delivery techniques for the chat and e-mail environments / Diane K. Kovacs.</t>
  </si>
  <si>
    <t>Kovacs, Diane K. (Diane Kaye), 1962-</t>
  </si>
  <si>
    <t>2017-06-05</t>
  </si>
  <si>
    <t>892230036:eng</t>
  </si>
  <si>
    <t>74915516</t>
  </si>
  <si>
    <t>ocm74915516</t>
  </si>
  <si>
    <t>3102694162D</t>
  </si>
  <si>
    <t>9781555705985</t>
  </si>
  <si>
    <t>794173855</t>
  </si>
  <si>
    <t>Z711.45 R66 2003</t>
  </si>
  <si>
    <t>0                      Z  0711450R  66          2003</t>
  </si>
  <si>
    <t>Chat reference : a guide to live virtual reference services / Jana Smith Ronan.</t>
  </si>
  <si>
    <t>Ronan, Jana.</t>
  </si>
  <si>
    <t>207953048:eng</t>
  </si>
  <si>
    <t>52208360</t>
  </si>
  <si>
    <t>ocm52208360</t>
  </si>
  <si>
    <t>3102306931D</t>
  </si>
  <si>
    <t>9781591580003</t>
  </si>
  <si>
    <t>793800936</t>
  </si>
  <si>
    <t>Z711.45 V57 2014</t>
  </si>
  <si>
    <t>0                      Z  0711450V  57          2014</t>
  </si>
  <si>
    <t>Virtual reference benchmarks.</t>
  </si>
  <si>
    <t>1823405608:eng</t>
  </si>
  <si>
    <t>871560858</t>
  </si>
  <si>
    <t>ocn871560858</t>
  </si>
  <si>
    <t>31035323911</t>
  </si>
  <si>
    <t>9781574402742</t>
  </si>
  <si>
    <t>794967750</t>
  </si>
  <si>
    <t>Z711.45 V573 2004</t>
  </si>
  <si>
    <t>0                      Z  0711450V  573         2004</t>
  </si>
  <si>
    <t>The virtual reference experience : integrating theory into practice / edited by R. David Lankes [and others].</t>
  </si>
  <si>
    <t>The virtual reference desk series</t>
  </si>
  <si>
    <t>905944604:eng</t>
  </si>
  <si>
    <t>55665355</t>
  </si>
  <si>
    <t>ocm55665355</t>
  </si>
  <si>
    <t>31026080796</t>
  </si>
  <si>
    <t>9781555705121</t>
  </si>
  <si>
    <t>793880430</t>
  </si>
  <si>
    <t>31024220167</t>
  </si>
  <si>
    <t>793880429</t>
  </si>
  <si>
    <t>Z711.45 V575 2008</t>
  </si>
  <si>
    <t>0                      Z  0711450V  575         2008</t>
  </si>
  <si>
    <t>Virtual reference on a budget : case studies / editors, Teresa Dalston and Michael Pullin.</t>
  </si>
  <si>
    <t>810695358:eng</t>
  </si>
  <si>
    <t>153772799</t>
  </si>
  <si>
    <t>ocn153772799</t>
  </si>
  <si>
    <t>3102970199F</t>
  </si>
  <si>
    <t>9781586832872</t>
  </si>
  <si>
    <t>794250279</t>
  </si>
  <si>
    <t>Z711.45 V576 2008</t>
  </si>
  <si>
    <t>0                      Z  0711450V  576         2008</t>
  </si>
  <si>
    <t>Virtual reference service : from competencies to assessment / R. David Lankes [and others] ; edited by Philip Nast.</t>
  </si>
  <si>
    <t>Virtual reference desk series</t>
  </si>
  <si>
    <t>890568674:eng</t>
  </si>
  <si>
    <t>145732820</t>
  </si>
  <si>
    <t>ocn145732820</t>
  </si>
  <si>
    <t>31026533114</t>
  </si>
  <si>
    <t>9781555705282</t>
  </si>
  <si>
    <t>794240059</t>
  </si>
  <si>
    <t>Z711.45 V577 2003</t>
  </si>
  <si>
    <t>0                      Z  0711450V  577         2003</t>
  </si>
  <si>
    <t>Virtual reference services : issues and trends / Stacey Kimmel, Jennifer Heise, guest editors.</t>
  </si>
  <si>
    <t>837751350:eng</t>
  </si>
  <si>
    <t>51818544</t>
  </si>
  <si>
    <t>ocm51818544</t>
  </si>
  <si>
    <t>3102368776A</t>
  </si>
  <si>
    <t>9780789020444</t>
  </si>
  <si>
    <t>793791902</t>
  </si>
  <si>
    <t>Z711.47 M46 2002</t>
  </si>
  <si>
    <t>0                      Z  0711470M  46          2002</t>
  </si>
  <si>
    <t>Starting and operating live virtual reference services : a how-to-do-it manual for librarians / Marc Meola, Sam Stormont.</t>
  </si>
  <si>
    <t>Meola, Marc, 1968-</t>
  </si>
  <si>
    <t>How-to-do-it manuals for librarians ; no. 118</t>
  </si>
  <si>
    <t>839841514:eng</t>
  </si>
  <si>
    <t>49775283</t>
  </si>
  <si>
    <t>ocm49775283</t>
  </si>
  <si>
    <t>3102244405S</t>
  </si>
  <si>
    <t>9781555704445</t>
  </si>
  <si>
    <t>793747555</t>
  </si>
  <si>
    <t>Z711.47 R45 2003</t>
  </si>
  <si>
    <t>0                      Z  0711470R  45          2003</t>
  </si>
  <si>
    <t>The digital age and local studies / Peter H. Reid.</t>
  </si>
  <si>
    <t>Reid, Peter H.</t>
  </si>
  <si>
    <t>Oxford : Chandos, 2003.</t>
  </si>
  <si>
    <t>10354623:eng</t>
  </si>
  <si>
    <t>59286137</t>
  </si>
  <si>
    <t>ocm59286137</t>
  </si>
  <si>
    <t>3103100721D</t>
  </si>
  <si>
    <t>9781843340522</t>
  </si>
  <si>
    <t>793929144</t>
  </si>
  <si>
    <t>Z711.5 C48 2002</t>
  </si>
  <si>
    <t>0                      Z  0711500C  48          2002</t>
  </si>
  <si>
    <t>The mystery readers' advisory : the librarian's clues to murder and mayhem / John Charles, Joanna Morrison, [and] Candace Clark.</t>
  </si>
  <si>
    <t>Charles, John, 1962-</t>
  </si>
  <si>
    <t>2016-10-22</t>
  </si>
  <si>
    <t>36732633:eng</t>
  </si>
  <si>
    <t>47623929</t>
  </si>
  <si>
    <t>ocm47623929</t>
  </si>
  <si>
    <t>3102216340U</t>
  </si>
  <si>
    <t>9780838908112</t>
  </si>
  <si>
    <t>793703804</t>
  </si>
  <si>
    <t>Z711.5 C48 2012</t>
  </si>
  <si>
    <t>0                      Z  0711500C  48          2012</t>
  </si>
  <si>
    <t>The readers' advisory guide to mystery / John Charles, Candace Clark, Joanne Hamilton-Selway, and Joanna Morrison.</t>
  </si>
  <si>
    <t>2564949689:eng</t>
  </si>
  <si>
    <t>760531797</t>
  </si>
  <si>
    <t>ocn760531797</t>
  </si>
  <si>
    <t>3103394811D</t>
  </si>
  <si>
    <t>9780838911136</t>
  </si>
  <si>
    <t>794898648</t>
  </si>
  <si>
    <t>Z711.5 S27 2001</t>
  </si>
  <si>
    <t>0                      Z  0711500S  27          2001</t>
  </si>
  <si>
    <t>The readers' advisory guide to genre fiction / Joyce G. Saricks.</t>
  </si>
  <si>
    <t>Saricks, Joyce G.</t>
  </si>
  <si>
    <t>2019-11-28</t>
  </si>
  <si>
    <t>20968925:eng</t>
  </si>
  <si>
    <t>46769544</t>
  </si>
  <si>
    <t>ocm46769544</t>
  </si>
  <si>
    <t>3103079089V</t>
  </si>
  <si>
    <t>9780838908037</t>
  </si>
  <si>
    <t>793690883</t>
  </si>
  <si>
    <t>3102216373O</t>
  </si>
  <si>
    <t>793690884</t>
  </si>
  <si>
    <t>Z711.5 S68 2004</t>
  </si>
  <si>
    <t>0                      Z  0711500S  68          2004</t>
  </si>
  <si>
    <t>The horror readers' advisory : the librarian's guide to vampires, killer tomatoes, and haunted houses / Becky Siegel Spratford, Tammy Hennigh Clausen.</t>
  </si>
  <si>
    <t>Spratford, Becky Siegel. author.</t>
  </si>
  <si>
    <t>2017-10-18</t>
  </si>
  <si>
    <t>800656392:eng</t>
  </si>
  <si>
    <t>53847137</t>
  </si>
  <si>
    <t>ocm53847137</t>
  </si>
  <si>
    <t>31023627443</t>
  </si>
  <si>
    <t>9780838908716</t>
  </si>
  <si>
    <t>793851659</t>
  </si>
  <si>
    <t>Z711.5 S68 2012</t>
  </si>
  <si>
    <t>0                      Z  0711500S  68          2012</t>
  </si>
  <si>
    <t>The readers' advisory guide to horror / Becky Siegel Spratford.</t>
  </si>
  <si>
    <t>Spratford, Becky Siegel.</t>
  </si>
  <si>
    <t>57002090:eng</t>
  </si>
  <si>
    <t>761481981</t>
  </si>
  <si>
    <t>ocn761481981</t>
  </si>
  <si>
    <t>31034308656</t>
  </si>
  <si>
    <t>9780838911129</t>
  </si>
  <si>
    <t>794899441</t>
  </si>
  <si>
    <t>Z711.5 W93 2019</t>
  </si>
  <si>
    <t>0                      Z  0711500W  93          2019</t>
  </si>
  <si>
    <t>The readers' advisory guide to genre fiction / Neal Wyatt, Joyce G. Saricks.</t>
  </si>
  <si>
    <t>Wyatt, Neal, author.</t>
  </si>
  <si>
    <t>8946188915:eng</t>
  </si>
  <si>
    <t>1050140720</t>
  </si>
  <si>
    <t>on1050140720</t>
  </si>
  <si>
    <t>3103812171F</t>
  </si>
  <si>
    <t>9780838917817</t>
  </si>
  <si>
    <t>795061339</t>
  </si>
  <si>
    <t>Z711.55 B66 2007</t>
  </si>
  <si>
    <t>0                      Z  0711550B  66          2007</t>
  </si>
  <si>
    <t>Serving teens through readers' advisory / Heather Booth.</t>
  </si>
  <si>
    <t>Booth, Heather, 1978-</t>
  </si>
  <si>
    <t>62312471:eng</t>
  </si>
  <si>
    <t>76481369</t>
  </si>
  <si>
    <t>ocm76481369</t>
  </si>
  <si>
    <t>31025984390</t>
  </si>
  <si>
    <t>9780838909300</t>
  </si>
  <si>
    <t>794176275</t>
  </si>
  <si>
    <t>Z711.55 D55 2007</t>
  </si>
  <si>
    <t>0                      Z  0711550D  55          2007</t>
  </si>
  <si>
    <t>Readers' advisory service in North American public libraries, 1870-2005 : a history and critical analysis / Juris Dilevko and Candice F.C. Magowan.</t>
  </si>
  <si>
    <t>796772120:eng</t>
  </si>
  <si>
    <t>76791974</t>
  </si>
  <si>
    <t>ocm76791974</t>
  </si>
  <si>
    <t>3103237411C</t>
  </si>
  <si>
    <t>9780786429257</t>
  </si>
  <si>
    <t>794176740</t>
  </si>
  <si>
    <t>3102594872X</t>
  </si>
  <si>
    <t>794176739</t>
  </si>
  <si>
    <t>Z711.55 I58 2010</t>
  </si>
  <si>
    <t>0                      Z  0711550I  58          2010</t>
  </si>
  <si>
    <t>Integrated advisory service : breaking through the book boundary to better serve library users / Jessica E. Moyer, editor.</t>
  </si>
  <si>
    <t>420123489:eng</t>
  </si>
  <si>
    <t>548555612</t>
  </si>
  <si>
    <t>ocn548555612</t>
  </si>
  <si>
    <t>31032361989</t>
  </si>
  <si>
    <t>9781591587187</t>
  </si>
  <si>
    <t>794810965</t>
  </si>
  <si>
    <t>Z711.55 M33 2010</t>
  </si>
  <si>
    <t>0                      Z  0711550M  33          2010</t>
  </si>
  <si>
    <t>A few good books : using contemporary readers' advisory strategies to connect readers with books / Stephanie L. Maatta.</t>
  </si>
  <si>
    <t>Maatta, Stephanie L., author.</t>
  </si>
  <si>
    <t>908379609:eng</t>
  </si>
  <si>
    <t>456977394</t>
  </si>
  <si>
    <t>ocn456977394</t>
  </si>
  <si>
    <t>3103454398Q</t>
  </si>
  <si>
    <t>9781555706692</t>
  </si>
  <si>
    <t>794789461</t>
  </si>
  <si>
    <t>Z711.55 M69 2008</t>
  </si>
  <si>
    <t>0                      Z  0711550M  69          2008</t>
  </si>
  <si>
    <t>Research-based readers' advisory / Jessica E. Moyer ; with contributions by Amanda Blau [and others].</t>
  </si>
  <si>
    <t>Moyer, Jessica E.</t>
  </si>
  <si>
    <t>Chicago : American Library Association, 2008</t>
  </si>
  <si>
    <t>116341550:eng</t>
  </si>
  <si>
    <t>180880668</t>
  </si>
  <si>
    <t>ocn180880668</t>
  </si>
  <si>
    <t>3102882601B</t>
  </si>
  <si>
    <t>9780838909591</t>
  </si>
  <si>
    <t>794280815</t>
  </si>
  <si>
    <t>Z711.55 R44 2010</t>
  </si>
  <si>
    <t>0                      Z  0711550R  44          2010</t>
  </si>
  <si>
    <t>The readers' advisory handbook / edited by Jessica E. Moyer and Kaite Mediatore Stover.</t>
  </si>
  <si>
    <t>2015-07-11</t>
  </si>
  <si>
    <t>345566309:eng</t>
  </si>
  <si>
    <t>461324405</t>
  </si>
  <si>
    <t>ocn461324405</t>
  </si>
  <si>
    <t>3103239664P</t>
  </si>
  <si>
    <t>9780838910429</t>
  </si>
  <si>
    <t>794791490</t>
  </si>
  <si>
    <t>Z711.55 S27 2005</t>
  </si>
  <si>
    <t>0                      Z  0711550S  27          2005</t>
  </si>
  <si>
    <t>Readers' advisory service in the public library / Joyce G. Saricks.</t>
  </si>
  <si>
    <t>ALA editions.</t>
  </si>
  <si>
    <t>18390627:eng</t>
  </si>
  <si>
    <t>57243185</t>
  </si>
  <si>
    <t>ocm57243185</t>
  </si>
  <si>
    <t>3102814725V</t>
  </si>
  <si>
    <t>9780838908976</t>
  </si>
  <si>
    <t>793909639</t>
  </si>
  <si>
    <t>2014-04-02</t>
  </si>
  <si>
    <t>3102798507S</t>
  </si>
  <si>
    <t>793909637</t>
  </si>
  <si>
    <t>3102814787J</t>
  </si>
  <si>
    <t>793909638</t>
  </si>
  <si>
    <t>Z711.55 W93 2007</t>
  </si>
  <si>
    <t>0                      Z  0711550W  93          2007</t>
  </si>
  <si>
    <t>The readers' advisory guide to nonfiction / Neal Wyatt.</t>
  </si>
  <si>
    <t>Wyatt, Neal.</t>
  </si>
  <si>
    <t>Chicago : American Library Association, 2007</t>
  </si>
  <si>
    <t>2016-03-13</t>
  </si>
  <si>
    <t>69953334:eng</t>
  </si>
  <si>
    <t>86115340</t>
  </si>
  <si>
    <t>ocm86115340</t>
  </si>
  <si>
    <t>3102644714U</t>
  </si>
  <si>
    <t>9780838909362</t>
  </si>
  <si>
    <t>794218554</t>
  </si>
  <si>
    <t>Z711.6 B87 R67 2013</t>
  </si>
  <si>
    <t>0                      Z  0711600B  87                 R  67          2013</t>
  </si>
  <si>
    <t>Making sense of business reference : a guide for librarians and research professionals / Celia Ross.</t>
  </si>
  <si>
    <t>Ross, Celia, 1971- author.</t>
  </si>
  <si>
    <t>2014-11-07</t>
  </si>
  <si>
    <t>1041500187:eng</t>
  </si>
  <si>
    <t>666224038</t>
  </si>
  <si>
    <t>ocn666224038</t>
  </si>
  <si>
    <t>3103411638O</t>
  </si>
  <si>
    <t>9780838910849</t>
  </si>
  <si>
    <t>794844875</t>
  </si>
  <si>
    <t>Z711.6 G46 S38 2018</t>
  </si>
  <si>
    <t>0                      Z  0711600G  46                 S  38          2018</t>
  </si>
  <si>
    <t>Helping patrons find their roots : a genealogy handbook for librarians / Janice Lindgren Schultz.</t>
  </si>
  <si>
    <t>Schultz, Janice Lindgren, author.</t>
  </si>
  <si>
    <t>4513284215:eng</t>
  </si>
  <si>
    <t>1010602524</t>
  </si>
  <si>
    <t>on1010602524</t>
  </si>
  <si>
    <t>31037406340</t>
  </si>
  <si>
    <t>9780838916445</t>
  </si>
  <si>
    <t>795045212</t>
  </si>
  <si>
    <t>Z711.6 S35 B63 2011</t>
  </si>
  <si>
    <t>0                      Z  0711600S  35                 B  63          2011</t>
  </si>
  <si>
    <t>Science and technology resources : a guide for information professionals and researchers / James E. Bobick and G. Lynn Berard.</t>
  </si>
  <si>
    <t>Bobick, James E.</t>
  </si>
  <si>
    <t>2017-04-21</t>
  </si>
  <si>
    <t>420123462:eng</t>
  </si>
  <si>
    <t>548555583</t>
  </si>
  <si>
    <t>ocn548555583</t>
  </si>
  <si>
    <t>31033622785</t>
  </si>
  <si>
    <t>9781591587934</t>
  </si>
  <si>
    <t>794810957</t>
  </si>
  <si>
    <t>Z711.7 A25 2009</t>
  </si>
  <si>
    <t>0                      Z  0711700A  25          2009</t>
  </si>
  <si>
    <t>Academic library outreach : beyond the campus walls / edited by Nancy Courtney.</t>
  </si>
  <si>
    <t>997543589:eng</t>
  </si>
  <si>
    <t>236142597</t>
  </si>
  <si>
    <t>ocn236142597</t>
  </si>
  <si>
    <t>3103058034I</t>
  </si>
  <si>
    <t>9781591587255</t>
  </si>
  <si>
    <t>794371293</t>
  </si>
  <si>
    <t>Z711.7 B47 2019</t>
  </si>
  <si>
    <t>0                      Z  0711700B  47          2019</t>
  </si>
  <si>
    <t>Your technology outreach adventure : tools for human-centered problem solving / Erin Berman.</t>
  </si>
  <si>
    <t>Berman, Erin, author.</t>
  </si>
  <si>
    <t>Chicago : ALA Editions, an imprint of the American Library Association, 2019.</t>
  </si>
  <si>
    <t>7334187237:eng</t>
  </si>
  <si>
    <t>1051050158</t>
  </si>
  <si>
    <t>on1051050158</t>
  </si>
  <si>
    <t>31038100225</t>
  </si>
  <si>
    <t>9780838917787</t>
  </si>
  <si>
    <t>795061678</t>
  </si>
  <si>
    <t>Z711.7 B58 2011</t>
  </si>
  <si>
    <t>0                      Z  0711700B  58          2011</t>
  </si>
  <si>
    <t>Successful community outreach : a how-to-do-it manual for librarians / Barbara Blake, Robert S. Martin, and Yunfei Du.</t>
  </si>
  <si>
    <t>Blake, Barbara Radke.</t>
  </si>
  <si>
    <t>How-to-do-it manuals ; 157</t>
  </si>
  <si>
    <t>985880483:eng</t>
  </si>
  <si>
    <t>746316004</t>
  </si>
  <si>
    <t>ocn746316004</t>
  </si>
  <si>
    <t>3103421631J</t>
  </si>
  <si>
    <t>9781555707729</t>
  </si>
  <si>
    <t>794887071</t>
  </si>
  <si>
    <t>Z711.7 D58 1994</t>
  </si>
  <si>
    <t>0                      Z  0711700D  58          1994</t>
  </si>
  <si>
    <t>Diversity and multiculturalism in libraries / edited by Katherine Hoover Hill.</t>
  </si>
  <si>
    <t>Greenwich, CT : JAI Press, ©1994.</t>
  </si>
  <si>
    <t>Foundations in library and information science ; v. 32</t>
  </si>
  <si>
    <t>387637:eng</t>
  </si>
  <si>
    <t>30736139</t>
  </si>
  <si>
    <t>ocm30736139</t>
  </si>
  <si>
    <t>3101384225H</t>
  </si>
  <si>
    <t>9781559387514</t>
  </si>
  <si>
    <t>793343565</t>
  </si>
  <si>
    <t>Z711.7 G56 2008</t>
  </si>
  <si>
    <t>0                      Z  0711700G  56          2008</t>
  </si>
  <si>
    <t>Global information inequalities : bridging the information gap / edited by Deborah H. Charbonneau.</t>
  </si>
  <si>
    <t>119917737:eng</t>
  </si>
  <si>
    <t>192027815</t>
  </si>
  <si>
    <t>ocn192027815</t>
  </si>
  <si>
    <t>3102856493Z</t>
  </si>
  <si>
    <t>9781843343622</t>
  </si>
  <si>
    <t>794302737</t>
  </si>
  <si>
    <t>Z711.7 L52 2010</t>
  </si>
  <si>
    <t>0                      Z  0711700L  52          2010</t>
  </si>
  <si>
    <t>Librarians as community partners : an outreach handbook / edited by Carol Smallwood.</t>
  </si>
  <si>
    <t>2016-08-09</t>
  </si>
  <si>
    <t>797251902:eng</t>
  </si>
  <si>
    <t>349180024</t>
  </si>
  <si>
    <t>ocn349180024</t>
  </si>
  <si>
    <t>3103158462V</t>
  </si>
  <si>
    <t>9780838910061</t>
  </si>
  <si>
    <t>794491149</t>
  </si>
  <si>
    <t>Z711.7 L55 2007</t>
  </si>
  <si>
    <t>0                      Z  0711700L  55          2007</t>
  </si>
  <si>
    <t>Libraries without walls 7 : exploring "anywhere, anytime" delivery of library services / edited by Peter Brophy, Jenny Craven, Margaret Markland.</t>
  </si>
  <si>
    <t>Libraries without Walls (7th : 2007 : Manchester, England)</t>
  </si>
  <si>
    <t>London : Facet Pub., 2008.</t>
  </si>
  <si>
    <t>353980772:eng</t>
  </si>
  <si>
    <t>213113753</t>
  </si>
  <si>
    <t>ocn213113753</t>
  </si>
  <si>
    <t>3102853434M</t>
  </si>
  <si>
    <t>9781856046237</t>
  </si>
  <si>
    <t>794306962</t>
  </si>
  <si>
    <t>Z711.7 W35 2009</t>
  </si>
  <si>
    <t>0                      Z  0711700W  35          2009</t>
  </si>
  <si>
    <t>Public engagement / Scott Walter, Lori Goetsch.</t>
  </si>
  <si>
    <t>Walter, Scott, 1967-</t>
  </si>
  <si>
    <t>Washington, DC : Association of Research Libraries, 2009.</t>
  </si>
  <si>
    <t>SPEC kit, 0160-3582 ; 312</t>
  </si>
  <si>
    <t>322366237:eng</t>
  </si>
  <si>
    <t>436158525</t>
  </si>
  <si>
    <t>ocn436158525</t>
  </si>
  <si>
    <t>3103119419K</t>
  </si>
  <si>
    <t>9781594078248</t>
  </si>
  <si>
    <t>794784352</t>
  </si>
  <si>
    <t>Z711.75 A48 2016</t>
  </si>
  <si>
    <t>0                      Z  0711750A  48          2016</t>
  </si>
  <si>
    <t>Embedded business librarianship for the public librarian / Barbara A. Alvarez.</t>
  </si>
  <si>
    <t>Alvarez, Barbara, 1989- author.</t>
  </si>
  <si>
    <t>3928018845:eng</t>
  </si>
  <si>
    <t>951612173</t>
  </si>
  <si>
    <t>ocn951612173</t>
  </si>
  <si>
    <t>3103422727E</t>
  </si>
  <si>
    <t>9780838914748</t>
  </si>
  <si>
    <t>795017576</t>
  </si>
  <si>
    <t>Z711.75 W45 2011</t>
  </si>
  <si>
    <t>0                      Z  0711750W  45          2011</t>
  </si>
  <si>
    <t>Small business and the public library : strategies for a successful partnership / Luise Weiss, Sophia Serlis-McPhillips, Elizabeth Malafi.</t>
  </si>
  <si>
    <t>Weiss, Luise, 1937-</t>
  </si>
  <si>
    <t>908197580:eng</t>
  </si>
  <si>
    <t>729721250</t>
  </si>
  <si>
    <t>ocn729721250</t>
  </si>
  <si>
    <t>3103363849Q</t>
  </si>
  <si>
    <t>9780838909935</t>
  </si>
  <si>
    <t>794879608</t>
  </si>
  <si>
    <t>Z711.8 C83 2007</t>
  </si>
  <si>
    <t>0                      Z  0711800C  83          2007</t>
  </si>
  <si>
    <t>Serving new immigrant communities in the library / Sondra Cuban ; foreword by Kathleen de la Peña McCook.</t>
  </si>
  <si>
    <t>Cuban, Sondra.</t>
  </si>
  <si>
    <t>62312475:eng</t>
  </si>
  <si>
    <t>76481374</t>
  </si>
  <si>
    <t>ocm76481374</t>
  </si>
  <si>
    <t>31025964642</t>
  </si>
  <si>
    <t>9781591582977</t>
  </si>
  <si>
    <t>794176276</t>
  </si>
  <si>
    <t>Z711.8 D38 1989</t>
  </si>
  <si>
    <t>0                      Z  0711800D  38          1989</t>
  </si>
  <si>
    <t>Cultural diversity and libraries : today &amp; tomorrow / Suman Datta and Sylva Simsova.</t>
  </si>
  <si>
    <t>Datta, Suman.</t>
  </si>
  <si>
    <t>London : PNL Press, 1989.</t>
  </si>
  <si>
    <t>836917317:eng</t>
  </si>
  <si>
    <t>28964220</t>
  </si>
  <si>
    <t>ocm28964220</t>
  </si>
  <si>
    <t>31012247423</t>
  </si>
  <si>
    <t>9781853770418</t>
  </si>
  <si>
    <t>793300536</t>
  </si>
  <si>
    <t>Z711.8 H55 1997</t>
  </si>
  <si>
    <t>0                      Z  0711800H  55          1997</t>
  </si>
  <si>
    <t>Native libraries : a cross-cultural conditions in the circumpolar countries / Gordon H. Hills.</t>
  </si>
  <si>
    <t>Hills, Gordon H.</t>
  </si>
  <si>
    <t>Lanham, Md. : Scarecrow Press, 1997.</t>
  </si>
  <si>
    <t>222180505:eng</t>
  </si>
  <si>
    <t>35910854</t>
  </si>
  <si>
    <t>ocm35910854</t>
  </si>
  <si>
    <t>31018650126</t>
  </si>
  <si>
    <t>9780810831384</t>
  </si>
  <si>
    <t>793460507</t>
  </si>
  <si>
    <t>Z711.8 I46 2001</t>
  </si>
  <si>
    <t>0                      Z  0711800I  46          2001</t>
  </si>
  <si>
    <t>Immigrant politics and the public library / edited by Susan Luévano-Molina.</t>
  </si>
  <si>
    <t>Contributions in librarianship and information science, 0084-9243 ; no. 97</t>
  </si>
  <si>
    <t>2630510:eng</t>
  </si>
  <si>
    <t>46872153</t>
  </si>
  <si>
    <t>ocm46872153</t>
  </si>
  <si>
    <t>3102154074$</t>
  </si>
  <si>
    <t>9780313305245</t>
  </si>
  <si>
    <t>793693451</t>
  </si>
  <si>
    <t>Z711.8 I53 2016</t>
  </si>
  <si>
    <t>0                      Z  0711800I  53          2016</t>
  </si>
  <si>
    <t>Indigenous notions of ownership and libraries, archives and museums / edited by Camille Callison, Loriene Roy and Gretchen Alice LeCheminant.</t>
  </si>
  <si>
    <t>Berlin : De Gruyter - Saur., [2016]</t>
  </si>
  <si>
    <t>IFLA Publications ; 166</t>
  </si>
  <si>
    <t>2017-07-24</t>
  </si>
  <si>
    <t>9566216304:eng</t>
  </si>
  <si>
    <t>921522583</t>
  </si>
  <si>
    <t>ocn921522583</t>
  </si>
  <si>
    <t>3103697938X</t>
  </si>
  <si>
    <t>9783110362992</t>
  </si>
  <si>
    <t>795003242</t>
  </si>
  <si>
    <t>Z711.8 J67 2004</t>
  </si>
  <si>
    <t>0                      Z  0711800J  67          2004</t>
  </si>
  <si>
    <t>Still struggling for equality : American public library services with minorities / Plummer Alston Jones, Jr.</t>
  </si>
  <si>
    <t>Jones, Plummer Alston, Jr., 1948-</t>
  </si>
  <si>
    <t>2019-03-27</t>
  </si>
  <si>
    <t>802616857:eng</t>
  </si>
  <si>
    <t>56194824</t>
  </si>
  <si>
    <t>ocm56194824</t>
  </si>
  <si>
    <t>3102632307K</t>
  </si>
  <si>
    <t>9781591582434</t>
  </si>
  <si>
    <t>793888929</t>
  </si>
  <si>
    <t>Z711.8 L5285 2013</t>
  </si>
  <si>
    <t>0                      Z  0711800L  5285        2013</t>
  </si>
  <si>
    <t>Library services for multicultural patrons : strategies to encourage library use / edited by Carol Smallwood and Kim Becnel.</t>
  </si>
  <si>
    <t>Lanham : The Scarecrow Press, Inc., 2013.</t>
  </si>
  <si>
    <t>1142469507:eng</t>
  </si>
  <si>
    <t>802321353</t>
  </si>
  <si>
    <t>ocn802321353</t>
  </si>
  <si>
    <t>31034684716</t>
  </si>
  <si>
    <t>9780810887220</t>
  </si>
  <si>
    <t>794925573</t>
  </si>
  <si>
    <t>Z711.8 L58 1998</t>
  </si>
  <si>
    <t>0                      Z  0711800L  58          1998</t>
  </si>
  <si>
    <t>Literacy, access, and libraries among the language minority population / edited by Rebecca Constantino.</t>
  </si>
  <si>
    <t>Lanham, Md. : Scarecrow Press, 1998.</t>
  </si>
  <si>
    <t>56189919:eng</t>
  </si>
  <si>
    <t>37157580</t>
  </si>
  <si>
    <t>ocm37157580</t>
  </si>
  <si>
    <t>3102823806V</t>
  </si>
  <si>
    <t>9780810834187</t>
  </si>
  <si>
    <t>793491968</t>
  </si>
  <si>
    <t>Z711.92 A32 K36 1984</t>
  </si>
  <si>
    <t>0                      Z  0711920A  32                 K  36          1984</t>
  </si>
  <si>
    <t>How older adults use books and the public library : a review of the literature / by Judith Kamin.</t>
  </si>
  <si>
    <t>Kamin, Judith.</t>
  </si>
  <si>
    <t>[Champaign, Ill.] : University of Illinois, Graduate School of Library and Information Science, ©1984.</t>
  </si>
  <si>
    <t>Occasional papers / University of Illinois, Graduate School of Library and Information Science, 0276-1769 ; no. 165 (Sept. 1984)</t>
  </si>
  <si>
    <t>429130726:eng</t>
  </si>
  <si>
    <t>11279975</t>
  </si>
  <si>
    <t>ocm11279975</t>
  </si>
  <si>
    <t>3101566690F</t>
  </si>
  <si>
    <t>792766636</t>
  </si>
  <si>
    <t>Z711.92 A32 L43 2013</t>
  </si>
  <si>
    <t>0                      Z  0711920A  32                 L  43          2013</t>
  </si>
  <si>
    <t>Adult programs in the library / Brett W. Lear.</t>
  </si>
  <si>
    <t>Lear, Brett W.</t>
  </si>
  <si>
    <t>Chicago : ALA Editions, 2013.</t>
  </si>
  <si>
    <t>1026365:eng</t>
  </si>
  <si>
    <t>781498499</t>
  </si>
  <si>
    <t>ocn781498499</t>
  </si>
  <si>
    <t>3103499377R</t>
  </si>
  <si>
    <t>9780838911402</t>
  </si>
  <si>
    <t>794912783</t>
  </si>
  <si>
    <t>Z711.92 A35 B66 2010</t>
  </si>
  <si>
    <t>0                      Z  0711920A  35                 B  66          2010</t>
  </si>
  <si>
    <t>Boomers and beyond : reconsidering the role of libraries / edited by Pauline Rothstein and Diantha Dow Schull.</t>
  </si>
  <si>
    <t>897644018:eng</t>
  </si>
  <si>
    <t>419263288</t>
  </si>
  <si>
    <t>ocn419263288</t>
  </si>
  <si>
    <t>3103238985G</t>
  </si>
  <si>
    <t>9780838910146</t>
  </si>
  <si>
    <t>794503130</t>
  </si>
  <si>
    <t>Z711.92 A35 H66 2004</t>
  </si>
  <si>
    <t>0                      Z  0711920A  35                 H  66          2004</t>
  </si>
  <si>
    <t>Serving seniors : a how-to-do-it manual for librarians / RoseMary Honnold, Saralyn A. Mesaros.</t>
  </si>
  <si>
    <t>Honnold, RoseMary, 1954-</t>
  </si>
  <si>
    <t>How-to-do-it manuals for librarians ; no. 127</t>
  </si>
  <si>
    <t>334796664:eng</t>
  </si>
  <si>
    <t>52520340</t>
  </si>
  <si>
    <t>ocm52520340</t>
  </si>
  <si>
    <t>3102593536H</t>
  </si>
  <si>
    <t>9781555704827</t>
  </si>
  <si>
    <t>793808549</t>
  </si>
  <si>
    <t>Z711.92 A35 R63 2012</t>
  </si>
  <si>
    <t>0                      Z  0711920A  35                 R  63          2012</t>
  </si>
  <si>
    <t>Crash course in library services for seniors / Ann Roberts and Stephanie G. Bauman.</t>
  </si>
  <si>
    <t>Roberts, Ann, 1958- author.</t>
  </si>
  <si>
    <t>Santa Barbara, California : Libraries Unlimited, An imprint of ABC-CLIO, LLC, [2012]</t>
  </si>
  <si>
    <t>5252376373:eng</t>
  </si>
  <si>
    <t>759916010</t>
  </si>
  <si>
    <t>ocn759916010</t>
  </si>
  <si>
    <t>31034130093</t>
  </si>
  <si>
    <t>9781610690799</t>
  </si>
  <si>
    <t>794898027</t>
  </si>
  <si>
    <t>Z711.92 A35 S38 2013</t>
  </si>
  <si>
    <t>0                      Z  0711920A  35                 S  38          2013</t>
  </si>
  <si>
    <t>50+ library services : innovation in action / Diantha Dow Schull.</t>
  </si>
  <si>
    <t>Schull, Diantha Dow.</t>
  </si>
  <si>
    <t>1361463556:eng</t>
  </si>
  <si>
    <t>704391715</t>
  </si>
  <si>
    <t>ocn704391715</t>
  </si>
  <si>
    <t>3103454461T</t>
  </si>
  <si>
    <t>9780838911198</t>
  </si>
  <si>
    <t>794865609</t>
  </si>
  <si>
    <t>Z711.92 C37 S76 2012</t>
  </si>
  <si>
    <t>0                      Z  0711920C  37                 S  76          2012</t>
  </si>
  <si>
    <t>Every child ready for school : helping adults inspire young children to learn / Dorothy Stoltz, Elaine M. Czarnecki, Connie Wilson.</t>
  </si>
  <si>
    <t>2014-06-07</t>
  </si>
  <si>
    <t>1044136554:eng</t>
  </si>
  <si>
    <t>760990526</t>
  </si>
  <si>
    <t>ocn760990526</t>
  </si>
  <si>
    <t>3103498756N</t>
  </si>
  <si>
    <t>9780838911259</t>
  </si>
  <si>
    <t>794898957</t>
  </si>
  <si>
    <t>Z711.92 F34 L47 2004</t>
  </si>
  <si>
    <t>0                      Z  0711920F  34                 L  47          2004</t>
  </si>
  <si>
    <t>Serving homeschooled teens and their parents / by Maureen T. Lerch and Janet Welch.</t>
  </si>
  <si>
    <t>Lerch, Maureen T.</t>
  </si>
  <si>
    <t>Libraries Unlimited professional guides for young adult librarians</t>
  </si>
  <si>
    <t>850604:eng</t>
  </si>
  <si>
    <t>54753183</t>
  </si>
  <si>
    <t>ocm54753183</t>
  </si>
  <si>
    <t>3102332755G</t>
  </si>
  <si>
    <t>9780313320521</t>
  </si>
  <si>
    <t>793867056</t>
  </si>
  <si>
    <t>Z711.92 G73 A45 2010</t>
  </si>
  <si>
    <t>0                      Z  0711920G  73                 A  45          2010</t>
  </si>
  <si>
    <t>Supporting research students / Barbara Allan.</t>
  </si>
  <si>
    <t>2012-04-10</t>
  </si>
  <si>
    <t>892283723:eng</t>
  </si>
  <si>
    <t>421366909</t>
  </si>
  <si>
    <t>ocn421366909</t>
  </si>
  <si>
    <t>3103131462W</t>
  </si>
  <si>
    <t>9781856046855</t>
  </si>
  <si>
    <t>794503832</t>
  </si>
  <si>
    <t>Z711.92 G73 L48 2009</t>
  </si>
  <si>
    <t>0                      Z  0711920G  73                 L  48          2009</t>
  </si>
  <si>
    <t>Libraries and graduate students : building connections / edited by Gretta E. Siegel.</t>
  </si>
  <si>
    <t>Milton Park, Abingdon, Oxon ; New York : Routledge, 2009.</t>
  </si>
  <si>
    <t>908108087:eng</t>
  </si>
  <si>
    <t>173243724</t>
  </si>
  <si>
    <t>ocn173243724</t>
  </si>
  <si>
    <t>31030839052</t>
  </si>
  <si>
    <t>9780789030542</t>
  </si>
  <si>
    <t>794265842</t>
  </si>
  <si>
    <t>Z711.92 H3 A23 2017</t>
  </si>
  <si>
    <t>0                      Z  0711920H  3                  A  23          2017</t>
  </si>
  <si>
    <t>Accessibilité universelle et inclusion en bibliothèque / sous la direction de Françoise Fontaine-Martinelli et Luc Maumet.</t>
  </si>
  <si>
    <t>Paris : Association des Bibliothécaires de France, [2017]</t>
  </si>
  <si>
    <t>Collection Médiathèmes ; 19</t>
  </si>
  <si>
    <t>2018-02-13</t>
  </si>
  <si>
    <t>4621614253:fre</t>
  </si>
  <si>
    <t>1007497230</t>
  </si>
  <si>
    <t>on1007497230</t>
  </si>
  <si>
    <t>3103765891H</t>
  </si>
  <si>
    <t>9782900177501</t>
  </si>
  <si>
    <t>795044126</t>
  </si>
  <si>
    <t>Z711.92 H3 B36 2014</t>
  </si>
  <si>
    <t>0                      Z  0711920H  3                  B  36          2014</t>
  </si>
  <si>
    <t>Including families of children with special needs : a how-to-do-it manual for librarians.</t>
  </si>
  <si>
    <t>Revised edition / Sandra Feinberg, Barbara Jordan, Kathleen Deerr, and Michelle Langa ; revised by Carrie Scott Banks.</t>
  </si>
  <si>
    <t>2014-05-24</t>
  </si>
  <si>
    <t>4163863236:eng</t>
  </si>
  <si>
    <t>847246256</t>
  </si>
  <si>
    <t>ocn847246256</t>
  </si>
  <si>
    <t>3103502802J</t>
  </si>
  <si>
    <t>9781555707910</t>
  </si>
  <si>
    <t>794949435</t>
  </si>
  <si>
    <t>Z711.92 H3 F37 2013</t>
  </si>
  <si>
    <t>0                      Z  0711920H  3                  F  37          2013</t>
  </si>
  <si>
    <t>Library services for youth with autism spectrum disorders / Lesley S.J. Farmer.</t>
  </si>
  <si>
    <t>2017-10-07</t>
  </si>
  <si>
    <t>1125989289:eng</t>
  </si>
  <si>
    <t>800352554</t>
  </si>
  <si>
    <t>ocn800352554</t>
  </si>
  <si>
    <t>3103498438$</t>
  </si>
  <si>
    <t>9780838911815</t>
  </si>
  <si>
    <t>794924525</t>
  </si>
  <si>
    <t>Z711.92 H3 I47 2007</t>
  </si>
  <si>
    <t>0                      Z  0711920H  3                  I  47          2007</t>
  </si>
  <si>
    <t>Improving library services to people with disabilities / edited by Courtney Deines-Jones.</t>
  </si>
  <si>
    <t>Oxford : Chandos Publishing, 2007.</t>
  </si>
  <si>
    <t>9593330403:eng</t>
  </si>
  <si>
    <t>126852543</t>
  </si>
  <si>
    <t>ocn126852543</t>
  </si>
  <si>
    <t>3102568941Z</t>
  </si>
  <si>
    <t>9781843342861</t>
  </si>
  <si>
    <t>794231189</t>
  </si>
  <si>
    <t>Z711.92 H3 K58 2014</t>
  </si>
  <si>
    <t>0                      Z  0711920H  3                  K  58          2014</t>
  </si>
  <si>
    <t>Programming for children and teens with autism spectrum disorder / Barbara Klipper.</t>
  </si>
  <si>
    <t>Klipper, Barbara, author.</t>
  </si>
  <si>
    <t>1410267993:eng</t>
  </si>
  <si>
    <t>864676611</t>
  </si>
  <si>
    <t>ocn864676611</t>
  </si>
  <si>
    <t>3103529499C</t>
  </si>
  <si>
    <t>9780838912065</t>
  </si>
  <si>
    <t>794962204</t>
  </si>
  <si>
    <t>Z711.92 H3 K69 2017</t>
  </si>
  <si>
    <t>0                      Z  0711920H  3                  K  69          2017</t>
  </si>
  <si>
    <t>Creating inclusive library environments : a planning guide for serving patrons with disabilities / Michelle Kowalsky, John Woodruff.</t>
  </si>
  <si>
    <t>Kowalsky, Michelle, author.</t>
  </si>
  <si>
    <t>2019-01-12</t>
  </si>
  <si>
    <t>4070689046:eng</t>
  </si>
  <si>
    <t>957056881</t>
  </si>
  <si>
    <t>ocn957056881</t>
  </si>
  <si>
    <t>3103696892$</t>
  </si>
  <si>
    <t>9780838914854</t>
  </si>
  <si>
    <t>795020664</t>
  </si>
  <si>
    <t>Z711.92 H3 L632 2010</t>
  </si>
  <si>
    <t>0                      Z  0711920H  3                  L  632         2010</t>
  </si>
  <si>
    <t>International resource book for libraries serving disadvantaged persons: 2001-2008 : an update to the international resource book for libraries serving disadvantaged persons: 1931-2001 / Joanne Locke and Nancy M. Panella ; with the assistance of Margaret Girolami.</t>
  </si>
  <si>
    <t>Locke, Joanne.</t>
  </si>
  <si>
    <t>The Hague : International Federation of Library Associations and Institutions, ©2010.</t>
  </si>
  <si>
    <t>IFLA professional reports, 0168-1931 ; no. 119</t>
  </si>
  <si>
    <t>9621879013:eng</t>
  </si>
  <si>
    <t>658056469</t>
  </si>
  <si>
    <t>ocn658056469</t>
  </si>
  <si>
    <t>31033695539</t>
  </si>
  <si>
    <t>9789077897416</t>
  </si>
  <si>
    <t>794835808</t>
  </si>
  <si>
    <t>Z711.92 H3 M323 2011</t>
  </si>
  <si>
    <t>0                      Z  0711920H  3                  M  323         2011</t>
  </si>
  <si>
    <t>Assistive technologies in the library / Barbara T. Mates ; with contributions by William R. Reed, IV.</t>
  </si>
  <si>
    <t>Mates, Barbara T.</t>
  </si>
  <si>
    <t>2017-06-27</t>
  </si>
  <si>
    <t>646194601:eng</t>
  </si>
  <si>
    <t>664115033</t>
  </si>
  <si>
    <t>ocn664115033</t>
  </si>
  <si>
    <t>31033435762</t>
  </si>
  <si>
    <t>9780838910702</t>
  </si>
  <si>
    <t>794843183</t>
  </si>
  <si>
    <t>Cognitive informatics and wisdom development : interdisciplinary approaches / Andrew Targowski.</t>
  </si>
  <si>
    <t>Targowski, Andrew, 1937-</t>
  </si>
  <si>
    <t>Hershey, PA : Information Science Reference, ©2011.</t>
  </si>
  <si>
    <t>861670721:eng</t>
  </si>
  <si>
    <t>617382290</t>
  </si>
  <si>
    <t>ocn617382290</t>
  </si>
  <si>
    <t>31033218957</t>
  </si>
  <si>
    <t>9781609601683</t>
  </si>
  <si>
    <t>794822849</t>
  </si>
  <si>
    <t>Z711.92 H3 R63 2010</t>
  </si>
  <si>
    <t>0                      Z  0711920H  3                  R  63          2010</t>
  </si>
  <si>
    <t>Crash course in library services to people with disabilities / Ann Roberts and Richard J. Smith.</t>
  </si>
  <si>
    <t>Santa Barbara, Calif. : Libraries Unlimited, [2010]</t>
  </si>
  <si>
    <t>285419685:eng</t>
  </si>
  <si>
    <t>399530811</t>
  </si>
  <si>
    <t>ocn399530811</t>
  </si>
  <si>
    <t>3103237891L</t>
  </si>
  <si>
    <t>9781591587675</t>
  </si>
  <si>
    <t>794498001</t>
  </si>
  <si>
    <t>Z711.92 H3 T55 2009</t>
  </si>
  <si>
    <t>0                      Z  0711920H  3                  T  55          2009</t>
  </si>
  <si>
    <t>A sense of control : virtual communities for people with mobility impairments / Christine M. Tilley.</t>
  </si>
  <si>
    <t>Tilley, Christine.</t>
  </si>
  <si>
    <t>180819323:eng</t>
  </si>
  <si>
    <t>300399599</t>
  </si>
  <si>
    <t>ocn300399599</t>
  </si>
  <si>
    <t>3102858876J</t>
  </si>
  <si>
    <t>9781843345220</t>
  </si>
  <si>
    <t>794431428</t>
  </si>
  <si>
    <t>Z711.92 H66 D69 2018</t>
  </si>
  <si>
    <t>0                      Z  0711920H  66                 D  69          2018</t>
  </si>
  <si>
    <t>The librarian's guide to homelessness : an empathy-driven approach to solving problems, preventing conflict, and serving everyone / Ryan Dowd.</t>
  </si>
  <si>
    <t>Dowd, Ryan, author.</t>
  </si>
  <si>
    <t>5083252997:eng</t>
  </si>
  <si>
    <t>1004542192</t>
  </si>
  <si>
    <t>on1004542192</t>
  </si>
  <si>
    <t>3103703204Y</t>
  </si>
  <si>
    <t>9780838916261</t>
  </si>
  <si>
    <t>795041969</t>
  </si>
  <si>
    <t>Z711.92 J88 S94 2012</t>
  </si>
  <si>
    <t>0                      Z  0711920J  88                 S  94          2012</t>
  </si>
  <si>
    <t>Literacy : a way out for at-risk youth / Jennifer Sweeney.</t>
  </si>
  <si>
    <t>Sweeney, Jennifer.</t>
  </si>
  <si>
    <t>1157562524:eng</t>
  </si>
  <si>
    <t>760531850</t>
  </si>
  <si>
    <t>ocn760531850</t>
  </si>
  <si>
    <t>3103395551A</t>
  </si>
  <si>
    <t>9781598846744</t>
  </si>
  <si>
    <t>794898649</t>
  </si>
  <si>
    <t>Z711.92 P5 B73 2010</t>
  </si>
  <si>
    <t>0                      Z  0711920P  5                  B  73          2010</t>
  </si>
  <si>
    <t>Services for users with disabilities / M. Suzanne Brown, LeiLani Freund.</t>
  </si>
  <si>
    <t>Brown, M. Suzanne.</t>
  </si>
  <si>
    <t>SPEC kit, 0160-3582 ; 321</t>
  </si>
  <si>
    <t>767915692:eng</t>
  </si>
  <si>
    <t>694908056</t>
  </si>
  <si>
    <t>ocn694908056</t>
  </si>
  <si>
    <t>3103127619H</t>
  </si>
  <si>
    <t>9781594078552</t>
  </si>
  <si>
    <t>794858110</t>
  </si>
  <si>
    <t>Z711.92 P5 I47 2006</t>
  </si>
  <si>
    <t>0                      Z  0711920P  5                  I  47          2006</t>
  </si>
  <si>
    <t>Improving the quality of library services for students with disabilities / edited by Peter Hernon and Philip Calvert.</t>
  </si>
  <si>
    <t>766791982:eng</t>
  </si>
  <si>
    <t>62152810</t>
  </si>
  <si>
    <t>ocm62152810</t>
  </si>
  <si>
    <t>3102554182Z</t>
  </si>
  <si>
    <t>9781591583004</t>
  </si>
  <si>
    <t>794101380</t>
  </si>
  <si>
    <t>Z711.92 P66 H65 2010</t>
  </si>
  <si>
    <t>0                      Z  0711920P  66                 H  65          2010</t>
  </si>
  <si>
    <t>Public library services for the poor : doing all we can / Leslie Edmonds Holt, Glen E. Holt.</t>
  </si>
  <si>
    <t>Holt, Leslie Edmonds.</t>
  </si>
  <si>
    <t>2015-01-28</t>
  </si>
  <si>
    <t>796578038:eng</t>
  </si>
  <si>
    <t>461632215</t>
  </si>
  <si>
    <t>ocn461632215</t>
  </si>
  <si>
    <t>3103239688L</t>
  </si>
  <si>
    <t>9780838910504</t>
  </si>
  <si>
    <t>794791688</t>
  </si>
  <si>
    <t>Z711.92 S49 M37 2007</t>
  </si>
  <si>
    <t>0                      Z  0711920S  49                 M  37          2007</t>
  </si>
  <si>
    <t>Serving lesbian, gay, bisexual, transgender, and questioning teens : a how-to-do-it manual for librarians / Hillias J. Martin, Jr., James R. Murdock.</t>
  </si>
  <si>
    <t>Martin, Hillias J.</t>
  </si>
  <si>
    <t>How-to-do-it manuals for librarians ; no. 151</t>
  </si>
  <si>
    <t>863892835:eng</t>
  </si>
  <si>
    <t>76967115</t>
  </si>
  <si>
    <t>ocm76967115</t>
  </si>
  <si>
    <t>3102596954Q</t>
  </si>
  <si>
    <t>9781555705664</t>
  </si>
  <si>
    <t>794180003</t>
  </si>
  <si>
    <t>Z711.92 S49 Q44 2017</t>
  </si>
  <si>
    <t>0                      Z  0711920S  49                 Q  44          2017</t>
  </si>
  <si>
    <t>Queer library alliance : global reflections and imaginings / Rae-Anne Montague and Lucas McKeever, editors.</t>
  </si>
  <si>
    <t>Series on gender and sexuality in Information studies ; number seven</t>
  </si>
  <si>
    <t>4402093966:eng</t>
  </si>
  <si>
    <t>992225700</t>
  </si>
  <si>
    <t>ocn992225700</t>
  </si>
  <si>
    <t>3103703057L</t>
  </si>
  <si>
    <t>9781634000314</t>
  </si>
  <si>
    <t>795038199</t>
  </si>
  <si>
    <t>Z711.92 S49 S47 2011</t>
  </si>
  <si>
    <t>0                      Z  0711920S  49                 S  47          2011</t>
  </si>
  <si>
    <t>Serving LGBTIQ library and archives users : essays on outreach, service, collections and access / edited by Ellen Greenblatt.</t>
  </si>
  <si>
    <t>Jefferson, North Carolina : McFarland &amp; Company, Inc., Publishers, [2011]</t>
  </si>
  <si>
    <t>793024737:eng</t>
  </si>
  <si>
    <t>630498096</t>
  </si>
  <si>
    <t>ocn630498096</t>
  </si>
  <si>
    <t>3103313735J</t>
  </si>
  <si>
    <t>9780786448944</t>
  </si>
  <si>
    <t>794824598</t>
  </si>
  <si>
    <t>Z711.92 S49 V56 2014</t>
  </si>
  <si>
    <t>0                      Z  0711920S  49                 V  56          2014</t>
  </si>
  <si>
    <t>LGBT people and the UK cultural sector : the response of libraries, museums, archives and heritage since 1950 / John Vincent, the Network, UK.</t>
  </si>
  <si>
    <t>Vincent, John, 1948-</t>
  </si>
  <si>
    <t>1380215281:eng</t>
  </si>
  <si>
    <t>857287690</t>
  </si>
  <si>
    <t>ocn857287690</t>
  </si>
  <si>
    <t>31035039512</t>
  </si>
  <si>
    <t>9781409438656</t>
  </si>
  <si>
    <t>794954914</t>
  </si>
  <si>
    <t>Z711.92 U53 S87 2012</t>
  </si>
  <si>
    <t>0                      Z  0711920U  53                 S  87          2012</t>
  </si>
  <si>
    <t>Survey of public library efforts to provide job information resources / Primary Research Group.</t>
  </si>
  <si>
    <t>New York, NY : Primary Research Group, [2012]</t>
  </si>
  <si>
    <t>1371485241:eng</t>
  </si>
  <si>
    <t>823041452</t>
  </si>
  <si>
    <t>ocn823041452</t>
  </si>
  <si>
    <t>31034974313</t>
  </si>
  <si>
    <t>9781574402193</t>
  </si>
  <si>
    <t>794936900</t>
  </si>
  <si>
    <t>Z712 M68 2010</t>
  </si>
  <si>
    <t>0                      Z  0712000M  68          2010</t>
  </si>
  <si>
    <t>Moving materials : physical delivery in libraries / edited by Valerie Horton and Bruce Smith.</t>
  </si>
  <si>
    <t>797251976:eng</t>
  </si>
  <si>
    <t>421947206</t>
  </si>
  <si>
    <t>ocn421947206</t>
  </si>
  <si>
    <t>31031548246</t>
  </si>
  <si>
    <t>9780838910016</t>
  </si>
  <si>
    <t>794504987</t>
  </si>
  <si>
    <t>Z712 S87 2014</t>
  </si>
  <si>
    <t>0                      Z  0712000S  87          2014</t>
  </si>
  <si>
    <t>Survey of tablet computer lending programs in libraries.</t>
  </si>
  <si>
    <t>2048997154:eng</t>
  </si>
  <si>
    <t>886483820</t>
  </si>
  <si>
    <t>ocn886483820</t>
  </si>
  <si>
    <t>31035810037</t>
  </si>
  <si>
    <t>9781574402988</t>
  </si>
  <si>
    <t>794977447</t>
  </si>
  <si>
    <t>Z713 A23 2011</t>
  </si>
  <si>
    <t>0                      Z  0713000A  23          2011</t>
  </si>
  <si>
    <t>Academic interlibrary loan benchmarks.</t>
  </si>
  <si>
    <t>[New York, N.Y.] : Primary Research Group, 2011.</t>
  </si>
  <si>
    <t>890152410:eng</t>
  </si>
  <si>
    <t>724313827</t>
  </si>
  <si>
    <t>ocn724313827</t>
  </si>
  <si>
    <t>3103365439W</t>
  </si>
  <si>
    <t>9781574401660</t>
  </si>
  <si>
    <t>794876342</t>
  </si>
  <si>
    <t>Z713.5 U6 B68 2011</t>
  </si>
  <si>
    <t>0                      Z  0713500U  6                  B  68          2011</t>
  </si>
  <si>
    <t>Interlibrary loan practices handbook / edited by Cherié L. Weible and Karen L. Janke.</t>
  </si>
  <si>
    <t>1026275:eng</t>
  </si>
  <si>
    <t>666224041</t>
  </si>
  <si>
    <t>ocn666224041</t>
  </si>
  <si>
    <t>3103364807U</t>
  </si>
  <si>
    <t>9780838910818</t>
  </si>
  <si>
    <t>794844876</t>
  </si>
  <si>
    <t>Z713.5 U6 H55 2009</t>
  </si>
  <si>
    <t>0                      Z  0713500U  6                  H  55          2009</t>
  </si>
  <si>
    <t>Higher education interlibrary loan management benchmarks.</t>
  </si>
  <si>
    <t>[New York, NY?] : Primary Research Group, ©2009.</t>
  </si>
  <si>
    <t>2009-10 ed.</t>
  </si>
  <si>
    <t>355222551:eng</t>
  </si>
  <si>
    <t>314017913</t>
  </si>
  <si>
    <t>ocn314017913</t>
  </si>
  <si>
    <t>3103085046D</t>
  </si>
  <si>
    <t>9781574401127</t>
  </si>
  <si>
    <t>794438212</t>
  </si>
  <si>
    <t>Z713.5 U6 K62 2010</t>
  </si>
  <si>
    <t>0                      Z  0713500U  6                  K  62          2010</t>
  </si>
  <si>
    <t>Document delivery and interlibrary loan on a shoestring / Emily Knox.</t>
  </si>
  <si>
    <t>Knox, Emily, 1976-</t>
  </si>
  <si>
    <t>321080321:eng</t>
  </si>
  <si>
    <t>434744930</t>
  </si>
  <si>
    <t>ocn434744930</t>
  </si>
  <si>
    <t>31031576210</t>
  </si>
  <si>
    <t>9781555706784</t>
  </si>
  <si>
    <t>794783126</t>
  </si>
  <si>
    <t>Z713.5 U6 P76 2009</t>
  </si>
  <si>
    <t>0                      Z  0713500U  6                  P  76          2009</t>
  </si>
  <si>
    <t>Profiles of best practices in academic library interlibrary loan / edited and with an introduction and summary of key findings by Paul Kelsey.</t>
  </si>
  <si>
    <t>[New York] : Primary Research Group, ©2009.</t>
  </si>
  <si>
    <t>1885664359:eng</t>
  </si>
  <si>
    <t>321032258</t>
  </si>
  <si>
    <t>ocn321032258</t>
  </si>
  <si>
    <t>3103085472W</t>
  </si>
  <si>
    <t>9781574401226</t>
  </si>
  <si>
    <t>794489866</t>
  </si>
  <si>
    <t>Z716 B43 1967</t>
  </si>
  <si>
    <t>0                      Z  0716000B  43          1967</t>
  </si>
  <si>
    <t>Canadian provincial libraries.</t>
  </si>
  <si>
    <t>Beard, John Robert.</t>
  </si>
  <si>
    <t>Ottawa, Canadian Library Association, 1967.</t>
  </si>
  <si>
    <t>CLA-ACB occasional paper no. 54</t>
  </si>
  <si>
    <t>1489032:eng</t>
  </si>
  <si>
    <t>460060</t>
  </si>
  <si>
    <t>ocm00460060</t>
  </si>
  <si>
    <t>31011846645</t>
  </si>
  <si>
    <t>791384356</t>
  </si>
  <si>
    <t>Z716 D3</t>
  </si>
  <si>
    <t>0                      Z  0716000D  3</t>
  </si>
  <si>
    <t>Public libraries as culture and social centers: the origin of the concept, by D.W. Davies.</t>
  </si>
  <si>
    <t>2015-09-11</t>
  </si>
  <si>
    <t>918645656:eng</t>
  </si>
  <si>
    <t>901163</t>
  </si>
  <si>
    <t>ocm00901163</t>
  </si>
  <si>
    <t>31028095998</t>
  </si>
  <si>
    <t>9780810807389</t>
  </si>
  <si>
    <t>791498141</t>
  </si>
  <si>
    <t>Z716 N58 1901</t>
  </si>
  <si>
    <t>0                      Z  0716000N  58          1901</t>
  </si>
  <si>
    <t>Traveling libraries : Field and future of traveling libraries, by Melvil Dewey; Summary of traveling library systems, prepared by Myrtilla Avery.</t>
  </si>
  <si>
    <t>Dewey, Melvil, 1851-1931.</t>
  </si>
  <si>
    <t>Albany : University of the State of New York, 1901.</t>
  </si>
  <si>
    <t>University of the state of New York. Home education department. Bulletin 40</t>
  </si>
  <si>
    <t>2015-08-07</t>
  </si>
  <si>
    <t>11437036:eng</t>
  </si>
  <si>
    <t>3619584</t>
  </si>
  <si>
    <t>ocm03619584</t>
  </si>
  <si>
    <t>3102520737L</t>
  </si>
  <si>
    <t>792273873</t>
  </si>
  <si>
    <t>Z716.2 P82 2013</t>
  </si>
  <si>
    <t>0                      Z  0716200P  82          2013</t>
  </si>
  <si>
    <t>Public libraries and resilient cities / edited by Michael Dudley.</t>
  </si>
  <si>
    <t>1174547029:eng</t>
  </si>
  <si>
    <t>796081877</t>
  </si>
  <si>
    <t>ocn796081877</t>
  </si>
  <si>
    <t>31034722146</t>
  </si>
  <si>
    <t>9780838911365</t>
  </si>
  <si>
    <t>794922017</t>
  </si>
  <si>
    <t>Z716.3 A46 2007</t>
  </si>
  <si>
    <t>0                      Z  0716300A  46          2007</t>
  </si>
  <si>
    <t>Crash course in marketing for libraries / Susan Webreck Alman.</t>
  </si>
  <si>
    <t>Alman, Susan Webreck.</t>
  </si>
  <si>
    <t>102027545:eng</t>
  </si>
  <si>
    <t>123119565</t>
  </si>
  <si>
    <t>ocn123119565</t>
  </si>
  <si>
    <t>3102643487T</t>
  </si>
  <si>
    <t>9781591584308</t>
  </si>
  <si>
    <t>794223035</t>
  </si>
  <si>
    <t>Z716.3 A63</t>
  </si>
  <si>
    <t>0                      Z  0716300A  63</t>
  </si>
  <si>
    <t>Public relations for libraries; essays in communications techniques. Editor: Allan Angoff.</t>
  </si>
  <si>
    <t>Angoff, Allan.</t>
  </si>
  <si>
    <t>Westport, Conn., Greenwood Press [1973]</t>
  </si>
  <si>
    <t>Contributions in librarianship and information science, no. 5</t>
  </si>
  <si>
    <t>889211288:eng</t>
  </si>
  <si>
    <t>636316</t>
  </si>
  <si>
    <t>ocm00636316</t>
  </si>
  <si>
    <t>30008587491</t>
  </si>
  <si>
    <t>9780837160603</t>
  </si>
  <si>
    <t>791434253</t>
  </si>
  <si>
    <t>Z716.3 B37 2010</t>
  </si>
  <si>
    <t>0                      Z  0716300B  37          2010</t>
  </si>
  <si>
    <t>Building a buzz : libraries &amp; word-of-mouth marketing / Peggy Barber and Linda Wallace.</t>
  </si>
  <si>
    <t>Barber, Peggy.</t>
  </si>
  <si>
    <t>797251912:eng</t>
  </si>
  <si>
    <t>421532522</t>
  </si>
  <si>
    <t>ocn421532522</t>
  </si>
  <si>
    <t>31031557089</t>
  </si>
  <si>
    <t>9780838910115</t>
  </si>
  <si>
    <t>794503978</t>
  </si>
  <si>
    <t>Z716.3 B57 2015</t>
  </si>
  <si>
    <t>0                      Z  0716300B  57          2015</t>
  </si>
  <si>
    <t>Start a revolution : stop acting like a library / Ben Bizzle with Maria Flora.</t>
  </si>
  <si>
    <t>Bizzle, Ben.</t>
  </si>
  <si>
    <t>2494558285:eng</t>
  </si>
  <si>
    <t>895256019</t>
  </si>
  <si>
    <t>ocn895256019</t>
  </si>
  <si>
    <t>3103582439M</t>
  </si>
  <si>
    <t>9780838912676</t>
  </si>
  <si>
    <t>794983415</t>
  </si>
  <si>
    <t>Z716.3 C66 2012</t>
  </si>
  <si>
    <t>0                      Z  0716300C  66          2012</t>
  </si>
  <si>
    <t>Grassroots library advocacy / Lauren Comito, Aliqae Geraci, Christian Zabriskie.</t>
  </si>
  <si>
    <t>Comito, Lauren.</t>
  </si>
  <si>
    <t>2014-10-08</t>
  </si>
  <si>
    <t>1111014949:eng</t>
  </si>
  <si>
    <t>794272095</t>
  </si>
  <si>
    <t>ocn794272095</t>
  </si>
  <si>
    <t>3103414186H</t>
  </si>
  <si>
    <t>9780838911341</t>
  </si>
  <si>
    <t>794919467</t>
  </si>
  <si>
    <t>Z716.3 D425 2009</t>
  </si>
  <si>
    <t>0                      Z  0716300D  425         2009</t>
  </si>
  <si>
    <t>The accidental library marketer / Kathy Dempsey.</t>
  </si>
  <si>
    <t>Dempsey, Kathy, 1965-</t>
  </si>
  <si>
    <t>Medford, N.J. : Information Today, ©2009.</t>
  </si>
  <si>
    <t>194898047:eng</t>
  </si>
  <si>
    <t>317471970</t>
  </si>
  <si>
    <t>ocn317471970</t>
  </si>
  <si>
    <t>31030969886</t>
  </si>
  <si>
    <t>9781573873680</t>
  </si>
  <si>
    <t>794453876</t>
  </si>
  <si>
    <t>Z716.3 D68 2008</t>
  </si>
  <si>
    <t>0                      Z  0716300D  68          2008</t>
  </si>
  <si>
    <t>Creating your library brand : communicating your relevance and value to your patrons / Elisabeth Doucett.</t>
  </si>
  <si>
    <t>Doucett, Elisabeth.</t>
  </si>
  <si>
    <t>801866543:eng</t>
  </si>
  <si>
    <t>190860097</t>
  </si>
  <si>
    <t>ocn190860097</t>
  </si>
  <si>
    <t>3102971342F</t>
  </si>
  <si>
    <t>9780838909621</t>
  </si>
  <si>
    <t>794296300</t>
  </si>
  <si>
    <t>Z716.3 D69 2010</t>
  </si>
  <si>
    <t>0                      Z  0716300D  69          2010</t>
  </si>
  <si>
    <t>Bite-sized marketing : realistic solutions for the overworked librarian / Nancy Dowd, Mary Evangeliste, &amp; Jonathan Silberman.</t>
  </si>
  <si>
    <t>Dowd, Nancy, 1956-</t>
  </si>
  <si>
    <t>857332573:eng</t>
  </si>
  <si>
    <t>445321752</t>
  </si>
  <si>
    <t>ocn445321752</t>
  </si>
  <si>
    <t>3103130563X</t>
  </si>
  <si>
    <t>9781856047043</t>
  </si>
  <si>
    <t>794787214</t>
  </si>
  <si>
    <t>Z716.3 D69 2010b</t>
  </si>
  <si>
    <t>0                      Z  0716300D  69          2010b</t>
  </si>
  <si>
    <t>320696543</t>
  </si>
  <si>
    <t>ocn320696543</t>
  </si>
  <si>
    <t>3103155680X</t>
  </si>
  <si>
    <t>9780838910009</t>
  </si>
  <si>
    <t>794486760</t>
  </si>
  <si>
    <t>Z716.3 F54 2008</t>
  </si>
  <si>
    <t>0                      Z  0716300F  54          2008</t>
  </si>
  <si>
    <t>Fostering community through digital storytelling : a guide for academic libraries / Anne M. Fields and Karen R. Diaz.</t>
  </si>
  <si>
    <t>Fields, Anne M.</t>
  </si>
  <si>
    <t>2018-11-27</t>
  </si>
  <si>
    <t>314995437:eng</t>
  </si>
  <si>
    <t>184924483</t>
  </si>
  <si>
    <t>ocn184924483</t>
  </si>
  <si>
    <t>3102970235O</t>
  </si>
  <si>
    <t>9781591585527</t>
  </si>
  <si>
    <t>794291491</t>
  </si>
  <si>
    <t>Z716.3 H34 1999</t>
  </si>
  <si>
    <t>0                      Z  0716300H  34          1999</t>
  </si>
  <si>
    <t>Putting marketing ideas into action / Keith Hart.</t>
  </si>
  <si>
    <t>Hart, Keith.</t>
  </si>
  <si>
    <t>London : Library Association Pub., 1999.</t>
  </si>
  <si>
    <t>The successful LIS professional</t>
  </si>
  <si>
    <t>23467261:eng</t>
  </si>
  <si>
    <t>40603402</t>
  </si>
  <si>
    <t>ocm40603402</t>
  </si>
  <si>
    <t>3101914234G</t>
  </si>
  <si>
    <t>9781856041829</t>
  </si>
  <si>
    <t>793570989</t>
  </si>
  <si>
    <t>Z716.3 H43 2008</t>
  </si>
  <si>
    <t>0                      Z  0716300H  43          2008</t>
  </si>
  <si>
    <t>A short-cut to marketing the library / Zuzana Helinsky and Colin Harrison.</t>
  </si>
  <si>
    <t>Helinsky, Zuzana.</t>
  </si>
  <si>
    <t>190286010:eng</t>
  </si>
  <si>
    <t>195722885</t>
  </si>
  <si>
    <t>ocn195722885</t>
  </si>
  <si>
    <t>31028537901</t>
  </si>
  <si>
    <t>9781843344261</t>
  </si>
  <si>
    <t>794304213</t>
  </si>
  <si>
    <t>Z716.3 M2925 2011</t>
  </si>
  <si>
    <t>0                      Z  0716300M  2925        2011</t>
  </si>
  <si>
    <t>Marketing libraries in a Web 2.0 world / edited by Dinesh Gupta and Réjean Savard.</t>
  </si>
  <si>
    <t>IFLA publications, 0344-6891 ; 145</t>
  </si>
  <si>
    <t>867070169:eng</t>
  </si>
  <si>
    <t>713188402</t>
  </si>
  <si>
    <t>ocn713188402</t>
  </si>
  <si>
    <t>31034413848</t>
  </si>
  <si>
    <t>9783110263312</t>
  </si>
  <si>
    <t>794872749</t>
  </si>
  <si>
    <t>Z716.3 M2955 2014</t>
  </si>
  <si>
    <t>0                      Z  0716300M  2955        2014</t>
  </si>
  <si>
    <t>Marketing with social media : a LITA guide / edited by Beth C. Thomsett-Scott.</t>
  </si>
  <si>
    <t>2014-07-22</t>
  </si>
  <si>
    <t>1414197941:eng</t>
  </si>
  <si>
    <t>869762406</t>
  </si>
  <si>
    <t>ocn869762406</t>
  </si>
  <si>
    <t>3103530178J</t>
  </si>
  <si>
    <t>9781783300013</t>
  </si>
  <si>
    <t>794965774</t>
  </si>
  <si>
    <t>Z716.3 P36 1995</t>
  </si>
  <si>
    <t>0                      Z  0716300P  36          1995</t>
  </si>
  <si>
    <t>Part-time public relations with full-time results : a PR primer for libraries / edited by Rashelle S. Karp for the Publications Committee of the Public Relations Section, Library Administration and Management Association.</t>
  </si>
  <si>
    <t>365560150:eng</t>
  </si>
  <si>
    <t>32664722</t>
  </si>
  <si>
    <t>ocm32664722</t>
  </si>
  <si>
    <t>3101419972R</t>
  </si>
  <si>
    <t>9780838906613</t>
  </si>
  <si>
    <t>793391082</t>
  </si>
  <si>
    <t>Z716.3 P68 2012</t>
  </si>
  <si>
    <t>0                      Z  0716300P  68          2012</t>
  </si>
  <si>
    <t>The library marketing toolkit / Ned Potter.</t>
  </si>
  <si>
    <t>Potter, Ned, 1980-</t>
  </si>
  <si>
    <t>1045858852:eng</t>
  </si>
  <si>
    <t>761924436</t>
  </si>
  <si>
    <t>ocn761924436</t>
  </si>
  <si>
    <t>3103413893Z</t>
  </si>
  <si>
    <t>9781856048064</t>
  </si>
  <si>
    <t>794899787</t>
  </si>
  <si>
    <t>Z716.3 R69 2008</t>
  </si>
  <si>
    <t>0                      Z  0716300R  69          2008</t>
  </si>
  <si>
    <t>Marketing the best deal in town : your library : where is your purple owl? / Nancy Rossiter.</t>
  </si>
  <si>
    <t>Rossiter, Nancy.</t>
  </si>
  <si>
    <t>287931959:eng</t>
  </si>
  <si>
    <t>148313864</t>
  </si>
  <si>
    <t>ocn148313864</t>
  </si>
  <si>
    <t>31028528864</t>
  </si>
  <si>
    <t>9781843343066</t>
  </si>
  <si>
    <t>794240697</t>
  </si>
  <si>
    <t>Z716.3 S645 2016</t>
  </si>
  <si>
    <t>0                      Z  0716300S  645         2016</t>
  </si>
  <si>
    <t>The librarian's nitty-gritty guide to content marketing / Laura Solomon.</t>
  </si>
  <si>
    <t>3171007061:eng</t>
  </si>
  <si>
    <t>934505051</t>
  </si>
  <si>
    <t>ocn934505051</t>
  </si>
  <si>
    <t>3103654544J</t>
  </si>
  <si>
    <t>9780838914328</t>
  </si>
  <si>
    <t>795009644</t>
  </si>
  <si>
    <t>Z716.3 S87 2012</t>
  </si>
  <si>
    <t>0                      Z  0716300S  87          2012</t>
  </si>
  <si>
    <t>The survey of library public relations practices.</t>
  </si>
  <si>
    <t>3902353068:eng</t>
  </si>
  <si>
    <t>786447191</t>
  </si>
  <si>
    <t>ocn786447191</t>
  </si>
  <si>
    <t>31034126908</t>
  </si>
  <si>
    <t>9781574402001</t>
  </si>
  <si>
    <t>794916071</t>
  </si>
  <si>
    <t>Z716.3 S87 2013</t>
  </si>
  <si>
    <t>0                      Z  0716300S  87          2013</t>
  </si>
  <si>
    <t>Survey of library &amp; museum content marketing practices.</t>
  </si>
  <si>
    <t>New York, NY : Primary Research Group, Inc., 2017.</t>
  </si>
  <si>
    <t>1409599573:eng</t>
  </si>
  <si>
    <t>861186466</t>
  </si>
  <si>
    <t>ocn861186466</t>
  </si>
  <si>
    <t>31035308690</t>
  </si>
  <si>
    <t>9781574402629</t>
  </si>
  <si>
    <t>794958844</t>
  </si>
  <si>
    <t>Z716.3 W235 2013</t>
  </si>
  <si>
    <t>0                      Z  0716300W  235         2013</t>
  </si>
  <si>
    <t>Breakthrough branding : positioning your library to survive and thrive / Suzanne Walters and Kent Jackson.</t>
  </si>
  <si>
    <t>Walters, Suzanne.</t>
  </si>
  <si>
    <t>1098082883:eng</t>
  </si>
  <si>
    <t>830667989</t>
  </si>
  <si>
    <t>ocn830667989</t>
  </si>
  <si>
    <t>31034993270</t>
  </si>
  <si>
    <t>9781555707668</t>
  </si>
  <si>
    <t>794943572</t>
  </si>
  <si>
    <t>Z716.3 W35 2018</t>
  </si>
  <si>
    <t>0                      Z  0716300W  35          2018</t>
  </si>
  <si>
    <t>Easy graphic design for librarians : from color to kerning / Diana K. Wakimoto.</t>
  </si>
  <si>
    <t>Wakimoto, Diana Kiyo, author.</t>
  </si>
  <si>
    <t>4656668181:eng</t>
  </si>
  <si>
    <t>992688915</t>
  </si>
  <si>
    <t>ocn992688915</t>
  </si>
  <si>
    <t>31037402485</t>
  </si>
  <si>
    <t>9780838915936</t>
  </si>
  <si>
    <t>795038321</t>
  </si>
  <si>
    <t>Z716.3 W636 2005</t>
  </si>
  <si>
    <t>0                      Z  0716300W  636         2005</t>
  </si>
  <si>
    <t>Creating the customer-driven library : building on the bookstore model / Jeannette Woodward.</t>
  </si>
  <si>
    <t>801589592:eng</t>
  </si>
  <si>
    <t>56319857</t>
  </si>
  <si>
    <t>ocm56319857</t>
  </si>
  <si>
    <t>3102558542F</t>
  </si>
  <si>
    <t>9780838908884</t>
  </si>
  <si>
    <t>793890610</t>
  </si>
  <si>
    <t>Z716.33 A435 2017</t>
  </si>
  <si>
    <t>0                      Z  0716330A  435         2017</t>
  </si>
  <si>
    <t>50+ fandom programs : planning festivals and events for tweens, teens, and adults / Amy J. Alessio, Katie LaMantia, Emily Vinci.</t>
  </si>
  <si>
    <t>Alessio, Amy J., author.</t>
  </si>
  <si>
    <t>Chicago : ALA Editions, an imprint of the American Library Association, [2017]</t>
  </si>
  <si>
    <t>4721366850:eng</t>
  </si>
  <si>
    <t>973083533</t>
  </si>
  <si>
    <t>ocn973083533</t>
  </si>
  <si>
    <t>3103670470U</t>
  </si>
  <si>
    <t>9780838915523</t>
  </si>
  <si>
    <t>795028915</t>
  </si>
  <si>
    <t>Z716.33 A438 2018</t>
  </si>
  <si>
    <t>0                      Z  0716330A  438         2018</t>
  </si>
  <si>
    <t>Pop culture-inspired programs for tweens, teens, and adults / Amy J. Alessio, Katie LaMantia, Emily Vinci.</t>
  </si>
  <si>
    <t>4880963646:eng</t>
  </si>
  <si>
    <t>1029772561</t>
  </si>
  <si>
    <t>on1029772561</t>
  </si>
  <si>
    <t>3103738410P</t>
  </si>
  <si>
    <t>9780838917053</t>
  </si>
  <si>
    <t>795054332</t>
  </si>
  <si>
    <t>Z716.33 A44 2015</t>
  </si>
  <si>
    <t>0                      Z  0716330A  44          2015</t>
  </si>
  <si>
    <t>A year of programs for millennials and more / Amy J. Alessio, Katie LaMantia, Emily Vinci.</t>
  </si>
  <si>
    <t>Chicago : ALA Editions, An imprint of the American Library Association, [2015]</t>
  </si>
  <si>
    <t>2018-05-07</t>
  </si>
  <si>
    <t>4393024433:eng</t>
  </si>
  <si>
    <t>903473734</t>
  </si>
  <si>
    <t>ocn903473734</t>
  </si>
  <si>
    <t>3103607493P</t>
  </si>
  <si>
    <t>9780838913321</t>
  </si>
  <si>
    <t>794989175</t>
  </si>
  <si>
    <t>Z716.33 B34 2014</t>
  </si>
  <si>
    <t>0                      Z  0716330B  34          2014</t>
  </si>
  <si>
    <t>Makerspaces : top trailblazing projects / Caitlin A. Bagley.</t>
  </si>
  <si>
    <t>Bagley, Caitlin A.</t>
  </si>
  <si>
    <t>Chicago : American Library Association, [2014]</t>
  </si>
  <si>
    <t>1864063230:eng</t>
  </si>
  <si>
    <t>869065421</t>
  </si>
  <si>
    <t>ocn869065421</t>
  </si>
  <si>
    <t>3103610042D</t>
  </si>
  <si>
    <t>9781555709907</t>
  </si>
  <si>
    <t>794965143</t>
  </si>
  <si>
    <t>Z716.33 C37 2018</t>
  </si>
  <si>
    <t>0                      Z  0716330C  37          2018</t>
  </si>
  <si>
    <t>Get your community moving : physical literacy programs for all ages / Jenn Carson.</t>
  </si>
  <si>
    <t>Carson, Jenn, author.</t>
  </si>
  <si>
    <t>4960948255:eng</t>
  </si>
  <si>
    <t>1031341802</t>
  </si>
  <si>
    <t>on1031341802</t>
  </si>
  <si>
    <t>3103738402O</t>
  </si>
  <si>
    <t>9780838917251</t>
  </si>
  <si>
    <t>795055233</t>
  </si>
  <si>
    <t>Z716.33 K37 2009</t>
  </si>
  <si>
    <t>0                      Z  0716330K  37          2009</t>
  </si>
  <si>
    <t>Hosting a library mystery : a programming guide / Elizabeth M. Karle.</t>
  </si>
  <si>
    <t>Karle, Elizabeth M., author.</t>
  </si>
  <si>
    <t>2018-07-06</t>
  </si>
  <si>
    <t>793898759:eng</t>
  </si>
  <si>
    <t>291193183</t>
  </si>
  <si>
    <t>ocn291193183</t>
  </si>
  <si>
    <t>31030824689</t>
  </si>
  <si>
    <t>9780838909867</t>
  </si>
  <si>
    <t>794424411</t>
  </si>
  <si>
    <t>Z716.33 K764 2019</t>
  </si>
  <si>
    <t>0                      Z  0716330K  764         2019</t>
  </si>
  <si>
    <t>Escape rooms and other immersive experiences in the library / Ellyssa Kroski.</t>
  </si>
  <si>
    <t>Kroski, Ellyssa, author.</t>
  </si>
  <si>
    <t>5585051918:eng</t>
  </si>
  <si>
    <t>1048055133</t>
  </si>
  <si>
    <t>on1048055133</t>
  </si>
  <si>
    <t>31038100322</t>
  </si>
  <si>
    <t>9780838917671</t>
  </si>
  <si>
    <t>795060811</t>
  </si>
  <si>
    <t>Z716.33 N53 2010</t>
  </si>
  <si>
    <t>0                      Z  0716330N  53          2010</t>
  </si>
  <si>
    <t>Everyone plays at the library : creating great gaming experiences for all ages / Scott Nicholson.</t>
  </si>
  <si>
    <t>Nicholson, Scott, 1971-</t>
  </si>
  <si>
    <t>1006795400:eng</t>
  </si>
  <si>
    <t>580105269</t>
  </si>
  <si>
    <t>ocn580105269</t>
  </si>
  <si>
    <t>31032278263</t>
  </si>
  <si>
    <t>9781573873987</t>
  </si>
  <si>
    <t>794814120</t>
  </si>
  <si>
    <t>Z716.33 S87 2015</t>
  </si>
  <si>
    <t>0                      Z  0716330S  87          2015</t>
  </si>
  <si>
    <t>Survey of public library use of 3D priinters.</t>
  </si>
  <si>
    <t>New York : Primary Research Group, [ 2015]</t>
  </si>
  <si>
    <t>3992467135:eng</t>
  </si>
  <si>
    <t>911092043</t>
  </si>
  <si>
    <t>ocn911092043</t>
  </si>
  <si>
    <t>31035836676</t>
  </si>
  <si>
    <t>9781574403435</t>
  </si>
  <si>
    <t>794998027</t>
  </si>
  <si>
    <t>Z716.37 A15 2018</t>
  </si>
  <si>
    <t>0                      Z  0716370A  15          2018</t>
  </si>
  <si>
    <t>63 ready-to-use maker projects / edited by Ellyssa Kroski.</t>
  </si>
  <si>
    <t>2018-12-11</t>
  </si>
  <si>
    <t>4914232917:eng</t>
  </si>
  <si>
    <t>992688942</t>
  </si>
  <si>
    <t>ocn992688942</t>
  </si>
  <si>
    <t>3103739440B</t>
  </si>
  <si>
    <t>9780838915912</t>
  </si>
  <si>
    <t>795038322</t>
  </si>
  <si>
    <t>Z716.4 A445 2018</t>
  </si>
  <si>
    <t>0                      Z  0716400A  445         2018</t>
  </si>
  <si>
    <t>Sustainable thinking : ensuring your library's future in an uncertain world / Rebekkah Smith Aldrich.</t>
  </si>
  <si>
    <t>Aldrich, Rebekkah Smith, author.</t>
  </si>
  <si>
    <t>Chicago : American Library Association, 2018.</t>
  </si>
  <si>
    <t>4773554281:eng</t>
  </si>
  <si>
    <t>1023861038</t>
  </si>
  <si>
    <t>on1023861038</t>
  </si>
  <si>
    <t>3103737995D</t>
  </si>
  <si>
    <t>9780838916889</t>
  </si>
  <si>
    <t>795051987</t>
  </si>
  <si>
    <t>Z716.4 A86 2013</t>
  </si>
  <si>
    <t>0                      Z  0716400A  86          2013</t>
  </si>
  <si>
    <t>Linking literacy and libraries in global communities / Marlene Asselin, University of British Columbia, Canada, Ray Doiron, University of Prince Edward Island, Canada.</t>
  </si>
  <si>
    <t>Asselin, Marlene, 1949- author.</t>
  </si>
  <si>
    <t>1403271067:eng</t>
  </si>
  <si>
    <t>825557973</t>
  </si>
  <si>
    <t>ocn825557973</t>
  </si>
  <si>
    <t>3103501603T</t>
  </si>
  <si>
    <t>9781409452843</t>
  </si>
  <si>
    <t>794938627</t>
  </si>
  <si>
    <t>Z716.4 B87 2003</t>
  </si>
  <si>
    <t>0                      Z  0716400B  87          2003</t>
  </si>
  <si>
    <t>Dismantling the public sphere : situating and sustaining librarianship in the age of the new public philosophy / John E. Buschman.</t>
  </si>
  <si>
    <t>Buschman, John.</t>
  </si>
  <si>
    <t>2015-04-15</t>
  </si>
  <si>
    <t>801356642:eng</t>
  </si>
  <si>
    <t>52312648</t>
  </si>
  <si>
    <t>ocm52312648</t>
  </si>
  <si>
    <t>31023105279</t>
  </si>
  <si>
    <t>9780313321993</t>
  </si>
  <si>
    <t>793803335</t>
  </si>
  <si>
    <t>Z716.4 B873 2012</t>
  </si>
  <si>
    <t>0                      Z  0716400B  873         2012</t>
  </si>
  <si>
    <t>Libraries, classrooms, and the interests of democracy : marking the limits of neoliberalism / John Buschman.</t>
  </si>
  <si>
    <t>Lanham : The Scarecrow Press, Inc., 2012.</t>
  </si>
  <si>
    <t>2014-12-11</t>
  </si>
  <si>
    <t>1169512417:eng</t>
  </si>
  <si>
    <t>783155032</t>
  </si>
  <si>
    <t>ocn783155032</t>
  </si>
  <si>
    <t>3103457179O</t>
  </si>
  <si>
    <t>9780810885288</t>
  </si>
  <si>
    <t>794913979</t>
  </si>
  <si>
    <t>Z716.4 C37 2011</t>
  </si>
  <si>
    <t>0                      Z  0716400C  37          2011</t>
  </si>
  <si>
    <t>Open conversations : public learning in libraries and museums / David Carr.</t>
  </si>
  <si>
    <t>Carr, David, 1945-2016.</t>
  </si>
  <si>
    <t>1057345693:eng</t>
  </si>
  <si>
    <t>690088621</t>
  </si>
  <si>
    <t>ocn690088621</t>
  </si>
  <si>
    <t>31033846948</t>
  </si>
  <si>
    <t>9781591587712</t>
  </si>
  <si>
    <t>794855203</t>
  </si>
  <si>
    <t>Z716.4 C45 2001</t>
  </si>
  <si>
    <t>0                      Z  0716400C  45          2001</t>
  </si>
  <si>
    <t>The changing culture of libraries : how we know ourselves through our libraries / edited by Renee Feinberg.</t>
  </si>
  <si>
    <t>Jefferson, N.C. : McFarland &amp; Co., ©2001.</t>
  </si>
  <si>
    <t>2015-04-09</t>
  </si>
  <si>
    <t>1073283376:eng</t>
  </si>
  <si>
    <t>47092359</t>
  </si>
  <si>
    <t>ocm47092359</t>
  </si>
  <si>
    <t>3102882223J</t>
  </si>
  <si>
    <t>9780786411382</t>
  </si>
  <si>
    <t>793698115</t>
  </si>
  <si>
    <t>Z716.4 D35 2014</t>
  </si>
  <si>
    <t>0                      Z  0716400D  35          2014</t>
  </si>
  <si>
    <t>The artist's library : a field guide from the Library as Incubator Project / Laura Damon-Moore, Erinn Batykefer.</t>
  </si>
  <si>
    <t>Damon-Moore, Laura C.</t>
  </si>
  <si>
    <t>Minneapolis, Minnesota : Coffee House Press, 2014.</t>
  </si>
  <si>
    <t>Books in action</t>
  </si>
  <si>
    <t>2276653601:eng</t>
  </si>
  <si>
    <t>864391490</t>
  </si>
  <si>
    <t>ocn864391490</t>
  </si>
  <si>
    <t>31036572941</t>
  </si>
  <si>
    <t>9781566893534</t>
  </si>
  <si>
    <t>794961917</t>
  </si>
  <si>
    <t>Z716.4 D385 2017</t>
  </si>
  <si>
    <t>0                      Z  0716400D  385         2017</t>
  </si>
  <si>
    <t>The collection all around : sharing our cities, towns, and natural places / Jeffrey T. Davis.</t>
  </si>
  <si>
    <t>Davis, Jeffrey T. (Jeffrey Trapp), author.</t>
  </si>
  <si>
    <t>4733737849:eng</t>
  </si>
  <si>
    <t>980346774</t>
  </si>
  <si>
    <t>ocn980346774</t>
  </si>
  <si>
    <t>31037018731</t>
  </si>
  <si>
    <t>9780838915059</t>
  </si>
  <si>
    <t>795033686</t>
  </si>
  <si>
    <t>Z716.4 D4 2014</t>
  </si>
  <si>
    <t>0                      Z  0716400D  4           2014</t>
  </si>
  <si>
    <t>At a tipping point : education, learning &amp; libraries : a report to the OCLC membership / principal contributors: Cathy De Rosa, Joanne Cantrell, Peggy Gallagher, Janet Hawk, Irene Hoffman, Reneé Page ; contributors: Lorraine Haricombe, Deb Wallace.</t>
  </si>
  <si>
    <t>De Rosa, Cathy, author.</t>
  </si>
  <si>
    <t>Dublin, Ohio : OCLC, [2014]</t>
  </si>
  <si>
    <t>1913620655:eng</t>
  </si>
  <si>
    <t>881472162</t>
  </si>
  <si>
    <t>ocn881472162</t>
  </si>
  <si>
    <t>3103578567V</t>
  </si>
  <si>
    <t>9781556534782</t>
  </si>
  <si>
    <t>794974468</t>
  </si>
  <si>
    <t>- Reserves and A/V Room - Reserve Collection - 3 Hour Loan</t>
  </si>
  <si>
    <t>Z716.4 D43 2012</t>
  </si>
  <si>
    <t>0                      Z  0716400D  43          2012</t>
  </si>
  <si>
    <t>Defending professionalism : a resource for librarians, information specialists, knowledge managers, and archivists / Bill Crowley, editor.</t>
  </si>
  <si>
    <t>1144638924:eng</t>
  </si>
  <si>
    <t>756576976</t>
  </si>
  <si>
    <t>ocn756576976</t>
  </si>
  <si>
    <t>3103429333X</t>
  </si>
  <si>
    <t>9781598848694</t>
  </si>
  <si>
    <t>794894541</t>
  </si>
  <si>
    <t>Z716.4 G665 2003</t>
  </si>
  <si>
    <t>0                      Z  0716400G  665         2003</t>
  </si>
  <si>
    <t>The enduring library : technology, tradition, and the quest for balance / Michael Gorman.</t>
  </si>
  <si>
    <t>792606819:eng</t>
  </si>
  <si>
    <t>50868243</t>
  </si>
  <si>
    <t>ocm50868243</t>
  </si>
  <si>
    <t>31022724953</t>
  </si>
  <si>
    <t>9780838908464</t>
  </si>
  <si>
    <t>793774435</t>
  </si>
  <si>
    <t>Z716.4 G67 2000</t>
  </si>
  <si>
    <t>0                      Z  0716400G  67          2000</t>
  </si>
  <si>
    <t>Our enduring values : librarianship in the 21st century / Michael Gorman.</t>
  </si>
  <si>
    <t>2017-11-28</t>
  </si>
  <si>
    <t>836954314:eng</t>
  </si>
  <si>
    <t>43641201</t>
  </si>
  <si>
    <t>ocm43641201</t>
  </si>
  <si>
    <t>3102047728D</t>
  </si>
  <si>
    <t>9780838907856</t>
  </si>
  <si>
    <t>793631545</t>
  </si>
  <si>
    <t>Z716.4 G673 2015</t>
  </si>
  <si>
    <t>0                      Z  0716400G  673         2015</t>
  </si>
  <si>
    <t>Our enduring values revisited : librarianship in an ever-changing world / Michael Gorman.</t>
  </si>
  <si>
    <t>Gorman, Michael, 1941- author.</t>
  </si>
  <si>
    <t>2281466572:eng</t>
  </si>
  <si>
    <t>902599213</t>
  </si>
  <si>
    <t>ocn902599213</t>
  </si>
  <si>
    <t>3103610183W</t>
  </si>
  <si>
    <t>9780838913000</t>
  </si>
  <si>
    <t>794988190</t>
  </si>
  <si>
    <t>Z716.4 G75 2012</t>
  </si>
  <si>
    <t>0                      Z  0716400G  75          2012</t>
  </si>
  <si>
    <t>Greening libraries / edited by Monika Antonelli and Mark McCullough.</t>
  </si>
  <si>
    <t>Los Angeles : Library Juice Press, 2012.</t>
  </si>
  <si>
    <t>1118905640:eng</t>
  </si>
  <si>
    <t>795020467</t>
  </si>
  <si>
    <t>ocn795020467</t>
  </si>
  <si>
    <t>3103411948D</t>
  </si>
  <si>
    <t>9781936117086</t>
  </si>
  <si>
    <t>794920820</t>
  </si>
  <si>
    <t>Z716.4 H29 2010</t>
  </si>
  <si>
    <t>0                      Z  0716400H  29          2010</t>
  </si>
  <si>
    <t>Libraries and identity : the role of institutional self image and identity in the emergence of new types of libraries / Joacim Hansson.</t>
  </si>
  <si>
    <t>Hansson, Joacim, 1966-</t>
  </si>
  <si>
    <t>340956503:eng</t>
  </si>
  <si>
    <t>455821585</t>
  </si>
  <si>
    <t>ocn455821585</t>
  </si>
  <si>
    <t>3103133497I</t>
  </si>
  <si>
    <t>9781843345411</t>
  </si>
  <si>
    <t>794788198</t>
  </si>
  <si>
    <t>Z716.4 H55 2009</t>
  </si>
  <si>
    <t>0                      Z  0716400H  55          2009</t>
  </si>
  <si>
    <t>Inside, outside, and online : building your library community / Chrystie Hill ; foreword by Steven Cohen.</t>
  </si>
  <si>
    <t>Hill, Chrystie.</t>
  </si>
  <si>
    <t>797252003:eng</t>
  </si>
  <si>
    <t>289095909</t>
  </si>
  <si>
    <t>ocn289095909</t>
  </si>
  <si>
    <t>31030791125</t>
  </si>
  <si>
    <t>9780838909874</t>
  </si>
  <si>
    <t>794421835</t>
  </si>
  <si>
    <t>Z716.4 H66 2016</t>
  </si>
  <si>
    <t>0                      Z  0716400H  66          2016</t>
  </si>
  <si>
    <t>The librarian's guide to book programs and author events / Brad Hooper.</t>
  </si>
  <si>
    <t>Hooper, Brad, author.</t>
  </si>
  <si>
    <t>2625524710:eng</t>
  </si>
  <si>
    <t>950611406</t>
  </si>
  <si>
    <t>ocn950611406</t>
  </si>
  <si>
    <t>31036563659</t>
  </si>
  <si>
    <t>9780838913840</t>
  </si>
  <si>
    <t>795016711</t>
  </si>
  <si>
    <t>Z716.4 I57 2007</t>
  </si>
  <si>
    <t>0                      Z  0716400I  57          2007</t>
  </si>
  <si>
    <t>Institutions of reading : the social life of libraries in the United States / edited by Thomas Augst and Kenneth Carpenter.</t>
  </si>
  <si>
    <t>Amherst : University of Massachusetts Press, ©2007.</t>
  </si>
  <si>
    <t>866252921:eng</t>
  </si>
  <si>
    <t>81861443</t>
  </si>
  <si>
    <t>ocm81861443</t>
  </si>
  <si>
    <t>3102641332D</t>
  </si>
  <si>
    <t>9781558495906</t>
  </si>
  <si>
    <t>794204317</t>
  </si>
  <si>
    <t>Z716.4 L459 2001</t>
  </si>
  <si>
    <t>0                      Z  0716400L  459         2001</t>
  </si>
  <si>
    <t>Libraries &amp; democracy : the cornerstones of liberty / Nancy Kranich, editor.</t>
  </si>
  <si>
    <t>918682875:eng</t>
  </si>
  <si>
    <t>46473866</t>
  </si>
  <si>
    <t>ocm46473866</t>
  </si>
  <si>
    <t>31021335267</t>
  </si>
  <si>
    <t>9780838908082</t>
  </si>
  <si>
    <t>793685630</t>
  </si>
  <si>
    <t>Z716.4 L4597 2011</t>
  </si>
  <si>
    <t>0                      Z  0716400L  4597        2011</t>
  </si>
  <si>
    <t>Libraries and society : role, responsibility and future in an age of change / edited by David Baker and Wendy Evans.</t>
  </si>
  <si>
    <t>909756362:eng</t>
  </si>
  <si>
    <t>730976112</t>
  </si>
  <si>
    <t>ocn730976112</t>
  </si>
  <si>
    <t>3103362503A</t>
  </si>
  <si>
    <t>9781843341314</t>
  </si>
  <si>
    <t>794880428</t>
  </si>
  <si>
    <t>Z716.4 L475 2012</t>
  </si>
  <si>
    <t>0                      Z  0716400L  475         2012</t>
  </si>
  <si>
    <t>Libraries driving access to knowledge / edited by Jesús Lau, Anna María Tammaro and Theo Bothma.</t>
  </si>
  <si>
    <t>Berlin ; Boston : De Gruyter Saur, [2012]</t>
  </si>
  <si>
    <t>IFLA publications, 1868-8438 ; 151</t>
  </si>
  <si>
    <t>2013-10-27</t>
  </si>
  <si>
    <t>1159882664:eng</t>
  </si>
  <si>
    <t>806291283</t>
  </si>
  <si>
    <t>ocn806291283</t>
  </si>
  <si>
    <t>31034676802</t>
  </si>
  <si>
    <t>9783110253269</t>
  </si>
  <si>
    <t>794926870</t>
  </si>
  <si>
    <t>Z716.4 L485 2007</t>
  </si>
  <si>
    <t>0                      Z  0716400L  485         2007</t>
  </si>
  <si>
    <t>The library as place : history, community, and culture / edited by John E. Buschman and Gloria J. Leckie ; foreword by Wayne A. Wiegand and John Carlo Bertot.</t>
  </si>
  <si>
    <t>2019-09-27</t>
  </si>
  <si>
    <t>892235504:eng</t>
  </si>
  <si>
    <t>74492028</t>
  </si>
  <si>
    <t>ocm74492028</t>
  </si>
  <si>
    <t>31026340895</t>
  </si>
  <si>
    <t>9781591583820</t>
  </si>
  <si>
    <t>794173000</t>
  </si>
  <si>
    <t>Z716.4 M38 2001</t>
  </si>
  <si>
    <t>0                      Z  0716400M  38          2001</t>
  </si>
  <si>
    <t>Civic librarianship : renewing the social mission of the public library / Ronald B. McCabe.</t>
  </si>
  <si>
    <t>McCabe, Ronald B., 1948-</t>
  </si>
  <si>
    <t>837059568:eng</t>
  </si>
  <si>
    <t>46473762</t>
  </si>
  <si>
    <t>ocm46473762</t>
  </si>
  <si>
    <t>3102110987Z</t>
  </si>
  <si>
    <t>9780810839052</t>
  </si>
  <si>
    <t>793685604</t>
  </si>
  <si>
    <t>Z716.4 M39 2000</t>
  </si>
  <si>
    <t>0                      Z  0716400M  39          2000</t>
  </si>
  <si>
    <t>A place at the table : participating in community building / Kathleen de la Peña McCook ; with foreword by Sarah Ann Long.</t>
  </si>
  <si>
    <t>McCook, Kathleen de la Peña.</t>
  </si>
  <si>
    <t>890933112:eng</t>
  </si>
  <si>
    <t>43884461</t>
  </si>
  <si>
    <t>ocm43884461</t>
  </si>
  <si>
    <t>3102047716K</t>
  </si>
  <si>
    <t>9780838907887</t>
  </si>
  <si>
    <t>793637579</t>
  </si>
  <si>
    <t>Z716.4 P37 2012</t>
  </si>
  <si>
    <t>0                      Z  0716400P  37          2012</t>
  </si>
  <si>
    <t>Partnerships and collaborations in public library communities : resources and solutions / Karen Ellis, Taylor Public Library, USA.</t>
  </si>
  <si>
    <t>1061227753:eng</t>
  </si>
  <si>
    <t>768335622</t>
  </si>
  <si>
    <t>ocn768335622</t>
  </si>
  <si>
    <t>31034317625</t>
  </si>
  <si>
    <t>9781613503874</t>
  </si>
  <si>
    <t>794902235</t>
  </si>
  <si>
    <t>Z716.4 P375 2013</t>
  </si>
  <si>
    <t>0                      Z  0716400P  375         2013</t>
  </si>
  <si>
    <t>Developing community-led public libraries : evidence from the UK and Canada / John Pateman, Thunder Bay Public Library, Canada, Ken Williment, Halifax Public Libraries, Canada.</t>
  </si>
  <si>
    <t>Pateman, John, 1956-</t>
  </si>
  <si>
    <t>Farnham, Surrey, UK : Ashgate Publishing Limited ; Burlington, VT, USA : Ashgate Publishing Company, [2013]</t>
  </si>
  <si>
    <t>1167165156:eng</t>
  </si>
  <si>
    <t>809562486</t>
  </si>
  <si>
    <t>ocn809562486</t>
  </si>
  <si>
    <t>3103456378M</t>
  </si>
  <si>
    <t>9781409442066</t>
  </si>
  <si>
    <t>794928534</t>
  </si>
  <si>
    <t>Z716.4 P38 2010</t>
  </si>
  <si>
    <t>0                      Z  0716400P  38          2010</t>
  </si>
  <si>
    <t>Public libraries and social justice / by John Pateman, John Vincent.</t>
  </si>
  <si>
    <t>617229727:eng</t>
  </si>
  <si>
    <t>611550944</t>
  </si>
  <si>
    <t>ocn611550944</t>
  </si>
  <si>
    <t>3103230850K</t>
  </si>
  <si>
    <t>9780754677147</t>
  </si>
  <si>
    <t>794821116</t>
  </si>
  <si>
    <t>Z716.4 Q47 2008</t>
  </si>
  <si>
    <t>0                      Z  0716400Q  47          2008</t>
  </si>
  <si>
    <t>Questioning library neutrality : essays from Progressive librarian / edited by Alison Lewis.</t>
  </si>
  <si>
    <t>Duluth, Minnesota : Library Juice Press, 2008.</t>
  </si>
  <si>
    <t>865349956:eng</t>
  </si>
  <si>
    <t>181910122</t>
  </si>
  <si>
    <t>ocn181910122</t>
  </si>
  <si>
    <t>3102898214T</t>
  </si>
  <si>
    <t>9780977861774</t>
  </si>
  <si>
    <t>794284051</t>
  </si>
  <si>
    <t>Z716.4 V36 2017</t>
  </si>
  <si>
    <t>0                      Z  0716400V  36          2017</t>
  </si>
  <si>
    <t>La valeur sociétale des bibliothèques : construire un plaidoyer pour les décideurs / sous la direction de Cécile Touitou.</t>
  </si>
  <si>
    <t>Paris : Éditions du Cercle de la librairie, [2017]</t>
  </si>
  <si>
    <t>4427723063:fre</t>
  </si>
  <si>
    <t>1001363104</t>
  </si>
  <si>
    <t>on1001363104</t>
  </si>
  <si>
    <t>3103759285M</t>
  </si>
  <si>
    <t>9782765415343</t>
  </si>
  <si>
    <t>795040550</t>
  </si>
  <si>
    <t>Z716.4 W83 2010</t>
  </si>
  <si>
    <t>0                      Z  0716400W  83          2010</t>
  </si>
  <si>
    <t>Libraries and society in Shanghai 1840-1949 / by Wu Jianzhong.</t>
  </si>
  <si>
    <t>Wu, Jianzhong, 1956-</t>
  </si>
  <si>
    <t>Shanghai : Shanghai da xue chu ban she, 2010.</t>
  </si>
  <si>
    <t>413597639:eng</t>
  </si>
  <si>
    <t>671943183</t>
  </si>
  <si>
    <t>ocn671943183</t>
  </si>
  <si>
    <t>31033938873</t>
  </si>
  <si>
    <t>9787811185577</t>
  </si>
  <si>
    <t>794849310</t>
  </si>
  <si>
    <t>Z716.45 L52 1987</t>
  </si>
  <si>
    <t>0                      Z  0716450L  52          1987</t>
  </si>
  <si>
    <t>Library Literacy Program : abstracts of funded projects 1986.</t>
  </si>
  <si>
    <t>United States. Office of Educational Research and Improvement.</t>
  </si>
  <si>
    <t>Washington, D.C. : Office of Educational Research and Improvement, U.S. Dept. of Education : For sale by the Supt. of Docs, U.S. G.P.O., 1987.</t>
  </si>
  <si>
    <t>6362188:eng</t>
  </si>
  <si>
    <t>16103249</t>
  </si>
  <si>
    <t>ocm16103249</t>
  </si>
  <si>
    <t>31003806121</t>
  </si>
  <si>
    <t>792954952</t>
  </si>
  <si>
    <t>Z716.45 M66 1993</t>
  </si>
  <si>
    <t>0                      Z  0716450M  66          1993</t>
  </si>
  <si>
    <t>Library-based family literacy projects / Margaret Monsour and Carole Talan.</t>
  </si>
  <si>
    <t>Monsour, Margaret.</t>
  </si>
  <si>
    <t>357886:eng</t>
  </si>
  <si>
    <t>27109319</t>
  </si>
  <si>
    <t>ocm27109319</t>
  </si>
  <si>
    <t>3101163112O</t>
  </si>
  <si>
    <t>9780838906101</t>
  </si>
  <si>
    <t>793259323</t>
  </si>
  <si>
    <t>Z716.45 S65 2010</t>
  </si>
  <si>
    <t>0                      Z  0716450S  65          2010</t>
  </si>
  <si>
    <t>Solving the reading riddle : the librarian's guide to reading instruction / Rita Soltan.</t>
  </si>
  <si>
    <t>Soltan, Rita.</t>
  </si>
  <si>
    <t>796391420:eng</t>
  </si>
  <si>
    <t>503073113</t>
  </si>
  <si>
    <t>ocn503073113</t>
  </si>
  <si>
    <t>31032378092</t>
  </si>
  <si>
    <t>9781591588443</t>
  </si>
  <si>
    <t>794806163</t>
  </si>
  <si>
    <t>Z716.6 B76 2008</t>
  </si>
  <si>
    <t>0                      Z  0716600B  76          2008</t>
  </si>
  <si>
    <t>The impact of electronic publishing : the future for libraries and publishers / David J. Brown, Richard Boulderstone.</t>
  </si>
  <si>
    <t>München : Saur, 2008.</t>
  </si>
  <si>
    <t>801475002:ger</t>
  </si>
  <si>
    <t>244191680</t>
  </si>
  <si>
    <t>ocn244191680</t>
  </si>
  <si>
    <t>31028538732</t>
  </si>
  <si>
    <t>9783598115158</t>
  </si>
  <si>
    <t>794380986</t>
  </si>
  <si>
    <t>Z716.6 E26 2011</t>
  </si>
  <si>
    <t>0                      Z  0716600E  26          2011</t>
  </si>
  <si>
    <t>E-books in libraries : a practical guide / edited by Kate Price and Virginia Havergal.</t>
  </si>
  <si>
    <t>2014-01-14</t>
  </si>
  <si>
    <t>796712546:eng</t>
  </si>
  <si>
    <t>706018187</t>
  </si>
  <si>
    <t>ocn706018187</t>
  </si>
  <si>
    <t>3103234363H</t>
  </si>
  <si>
    <t>9781856045728</t>
  </si>
  <si>
    <t>794866440</t>
  </si>
  <si>
    <t>Z716.6 G48 2015</t>
  </si>
  <si>
    <t>0                      Z  0716600G  48          2015</t>
  </si>
  <si>
    <t>Getting the word out : academic libraries as scholarly publishers / edited by Maria Bonn and Mike Furlough.</t>
  </si>
  <si>
    <t>2451142307:eng</t>
  </si>
  <si>
    <t>896127189</t>
  </si>
  <si>
    <t>ocn896127189</t>
  </si>
  <si>
    <t>3103612315V</t>
  </si>
  <si>
    <t>9780838986974</t>
  </si>
  <si>
    <t>794983841</t>
  </si>
  <si>
    <t>Z716.6 J45 2011</t>
  </si>
  <si>
    <t>0                      Z  0716600J  45          2011</t>
  </si>
  <si>
    <t>A Librarian's guide on how to publish / Srećko Jelušić and Ivanka Stričević.</t>
  </si>
  <si>
    <t>Jelušić, Srećko.</t>
  </si>
  <si>
    <t>807968617:eng</t>
  </si>
  <si>
    <t>706784455</t>
  </si>
  <si>
    <t>ocn706784455</t>
  </si>
  <si>
    <t>3103422075P</t>
  </si>
  <si>
    <t>9781843346197</t>
  </si>
  <si>
    <t>794867148</t>
  </si>
  <si>
    <t>Z716.6 L54275 2014</t>
  </si>
  <si>
    <t>0                      Z  0716600L  54275       2014</t>
  </si>
  <si>
    <t>Library publishing directory 2014 / edited by Sarah K. Lippincott.</t>
  </si>
  <si>
    <t>Atlanta : Library Publishing Coalition, [2013]</t>
  </si>
  <si>
    <t>1412092152:eng</t>
  </si>
  <si>
    <t>861752539</t>
  </si>
  <si>
    <t>ocn861752539</t>
  </si>
  <si>
    <t>3103516393W</t>
  </si>
  <si>
    <t>9780989911801</t>
  </si>
  <si>
    <t>794959576</t>
  </si>
  <si>
    <t>Z716.6 N62 2011</t>
  </si>
  <si>
    <t>0                      Z  0716600N  62          2011</t>
  </si>
  <si>
    <t>No shelf required : e-books in libraries / edited by Sue Polanka.</t>
  </si>
  <si>
    <t>2013-03-22</t>
  </si>
  <si>
    <t>796676736:eng</t>
  </si>
  <si>
    <t>601086473</t>
  </si>
  <si>
    <t>ocn601086473</t>
  </si>
  <si>
    <t>3103226111U</t>
  </si>
  <si>
    <t>9780838910542</t>
  </si>
  <si>
    <t>794815246</t>
  </si>
  <si>
    <t>Z716.6 O64 2011</t>
  </si>
  <si>
    <t>0                      Z  0716600O  64          2011</t>
  </si>
  <si>
    <t>Open access to STM information : trends, models and strategies for libraries / edited by Anthi Katsirikou.</t>
  </si>
  <si>
    <t>IFLA publications, 0344-6891 ; 153</t>
  </si>
  <si>
    <t>908662505:eng</t>
  </si>
  <si>
    <t>730054539</t>
  </si>
  <si>
    <t>ocn730054539</t>
  </si>
  <si>
    <t>31034413946</t>
  </si>
  <si>
    <t>9783110253283</t>
  </si>
  <si>
    <t>794879852</t>
  </si>
  <si>
    <t>Z716.6 S87 2012</t>
  </si>
  <si>
    <t>0                      Z  0716600S  87          2012</t>
  </si>
  <si>
    <t>Survey of scholarly journal licensing &amp; acquisition practices.</t>
  </si>
  <si>
    <t>New York : Primary Research Group, ©2012.</t>
  </si>
  <si>
    <t>2012 ed.</t>
  </si>
  <si>
    <t>1074684220:eng</t>
  </si>
  <si>
    <t>773348888</t>
  </si>
  <si>
    <t>ocn773348888</t>
  </si>
  <si>
    <t>3103411195R</t>
  </si>
  <si>
    <t>9781574401851</t>
  </si>
  <si>
    <t>794905527</t>
  </si>
  <si>
    <t>Z716.85 N68 2012</t>
  </si>
  <si>
    <t>0                      Z  0716850N  68          2012</t>
  </si>
  <si>
    <t>Screencasting for libraries / Greg R. Notess.</t>
  </si>
  <si>
    <t>Notess, Greg R.</t>
  </si>
  <si>
    <t>The tech set ; #17</t>
  </si>
  <si>
    <t>1090426079:eng</t>
  </si>
  <si>
    <t>781277940</t>
  </si>
  <si>
    <t>ocn781277940</t>
  </si>
  <si>
    <t>31034148298</t>
  </si>
  <si>
    <t>9781555707866</t>
  </si>
  <si>
    <t>794912527</t>
  </si>
  <si>
    <t>Z716.9 M385 2017</t>
  </si>
  <si>
    <t>0                      Z  0716900M  385         2017</t>
  </si>
  <si>
    <t>Summer matters : making all learning count / Elizabeth M. McChesney and the Chicago Public Library, Bryan W. Wunar and the Museum of Science and Industry ; with illustrations by Steve Musgrave.</t>
  </si>
  <si>
    <t>McChesney, Elizabeth M., author.</t>
  </si>
  <si>
    <t>4111515296:eng</t>
  </si>
  <si>
    <t>975087125</t>
  </si>
  <si>
    <t>ocn975087125</t>
  </si>
  <si>
    <t>3103670303C</t>
  </si>
  <si>
    <t>9780838915615</t>
  </si>
  <si>
    <t>795030013</t>
  </si>
  <si>
    <t>Z717 L37 2008</t>
  </si>
  <si>
    <t>0                      Z  0717000L  37          2008</t>
  </si>
  <si>
    <t>Merchandising made simple : using standards and dynamite displays to boost circulation / Jenny LaPerriere and Trish Christiansen.</t>
  </si>
  <si>
    <t>LaPerriere, Jenny, 1970-</t>
  </si>
  <si>
    <t>863892259:eng</t>
  </si>
  <si>
    <t>191846872</t>
  </si>
  <si>
    <t>ocn191846872</t>
  </si>
  <si>
    <t>3102972253C</t>
  </si>
  <si>
    <t>9781591585619</t>
  </si>
  <si>
    <t>794301399</t>
  </si>
  <si>
    <t>Z717 P475 2011</t>
  </si>
  <si>
    <t>0                      Z  0717000P  475         2011</t>
  </si>
  <si>
    <t>Displays! : dynamic design ideas for your library step by step / Susan P. Phillips.</t>
  </si>
  <si>
    <t>Phillips, Susan P., 1945-</t>
  </si>
  <si>
    <t>1063321312:eng</t>
  </si>
  <si>
    <t>768480216</t>
  </si>
  <si>
    <t>ocn768480216</t>
  </si>
  <si>
    <t>31034317655</t>
  </si>
  <si>
    <t>9780786440245</t>
  </si>
  <si>
    <t>794902423</t>
  </si>
  <si>
    <t>Z718 E63 2012</t>
  </si>
  <si>
    <t>0                      Z  0718000E  63          2012</t>
  </si>
  <si>
    <t>Environments for student growth and development : libraries and student affairs in collaboration / edited by Lisa Janicke Hinchliffe and Melissa Autumn Wong.</t>
  </si>
  <si>
    <t>2013-08-19</t>
  </si>
  <si>
    <t>1086708377:eng</t>
  </si>
  <si>
    <t>779606933</t>
  </si>
  <si>
    <t>ocn779606933</t>
  </si>
  <si>
    <t>3103413141T</t>
  </si>
  <si>
    <t>9780838986097</t>
  </si>
  <si>
    <t>794911102</t>
  </si>
  <si>
    <t>Z718 S53 2018</t>
  </si>
  <si>
    <t>0                      Z  0718000S  53          2018</t>
  </si>
  <si>
    <t>Shaping the campus conversation on student learning and experience : activating the results of Assessment in Action / edited by Karen Brown, Debra Gilchrist, Sara Goek, Lisa Janicke Hinchliffe, Kara Malenfant, Chase Ollis, and Allison Payne.</t>
  </si>
  <si>
    <t>5244018560:eng</t>
  </si>
  <si>
    <t>1041190593</t>
  </si>
  <si>
    <t>on1041190593</t>
  </si>
  <si>
    <t>31037041792</t>
  </si>
  <si>
    <t>9780838989944</t>
  </si>
  <si>
    <t>795059180</t>
  </si>
  <si>
    <t>Z718.1 E3713 2011</t>
  </si>
  <si>
    <t>0                      Z  0718100E  3713        2011</t>
  </si>
  <si>
    <t>Ying you er tu shu guan fu wu zhi nan / Kaixi Yisite (Kathy East), Yiwanka Siteliqieweiqi (Ivanka Stricevic); Li Jingxia, Deng Pan yi.</t>
  </si>
  <si>
    <t>East, Kathy, author.</t>
  </si>
  <si>
    <t>The Hague, Netherlands : International Federation of Library Associations and Institutions, c2011.</t>
  </si>
  <si>
    <t>IFLA professional reports, 0168-1931 ; no. 132</t>
  </si>
  <si>
    <t>2013-10-10</t>
  </si>
  <si>
    <t>8960526614:chi</t>
  </si>
  <si>
    <t>869379333</t>
  </si>
  <si>
    <t>ocn869379333</t>
  </si>
  <si>
    <t>31035164324</t>
  </si>
  <si>
    <t>9789077897560</t>
  </si>
  <si>
    <t>794965395</t>
  </si>
  <si>
    <t>Z718.1 F318 1991</t>
  </si>
  <si>
    <t>0                      Z  0718100F  318         1991</t>
  </si>
  <si>
    <t>Managing children's services in the public library / Adele M. Fasick.</t>
  </si>
  <si>
    <t>Fasick, Adele M.</t>
  </si>
  <si>
    <t>673618:eng</t>
  </si>
  <si>
    <t>22983330</t>
  </si>
  <si>
    <t>ocm22983330</t>
  </si>
  <si>
    <t>31027389323</t>
  </si>
  <si>
    <t>9780872876439</t>
  </si>
  <si>
    <t>793158660</t>
  </si>
  <si>
    <t>Z718.1 G84 2007</t>
  </si>
  <si>
    <t>0                      Z  0718100G  84          2007</t>
  </si>
  <si>
    <t>Guidelines for library services to babies and toddlers.</t>
  </si>
  <si>
    <t>The Hague : IFLA Headquarters, ©2007.</t>
  </si>
  <si>
    <t>IFLA professional reports ; no. 100</t>
  </si>
  <si>
    <t>8960526614:eng</t>
  </si>
  <si>
    <t>189561764</t>
  </si>
  <si>
    <t>ocn189561764</t>
  </si>
  <si>
    <t>31031196712</t>
  </si>
  <si>
    <t>9789077897164</t>
  </si>
  <si>
    <t>794295206</t>
  </si>
  <si>
    <t>Z718.1 K63 2016</t>
  </si>
  <si>
    <t>0                      Z  0718100K  63          2016</t>
  </si>
  <si>
    <t>Engaging babies in the library : putting theory into practice / Debra J. Knoll.</t>
  </si>
  <si>
    <t>Knoll, Debra J.</t>
  </si>
  <si>
    <t>3871852368:eng</t>
  </si>
  <si>
    <t>945549581</t>
  </si>
  <si>
    <t>ocn945549581</t>
  </si>
  <si>
    <t>31036547912</t>
  </si>
  <si>
    <t>9780838914342</t>
  </si>
  <si>
    <t>795013565</t>
  </si>
  <si>
    <t>Z718.1 L53 2015</t>
  </si>
  <si>
    <t>0                      Z  0718100L  53          2015</t>
  </si>
  <si>
    <t>Library services from birth to five : delivering the best start / edited by Carolynn Rankin and Avril Brock.</t>
  </si>
  <si>
    <t>2465386307:eng</t>
  </si>
  <si>
    <t>904786775</t>
  </si>
  <si>
    <t>ocn904786775</t>
  </si>
  <si>
    <t>3103582820C</t>
  </si>
  <si>
    <t>9781783300082</t>
  </si>
  <si>
    <t>794990787</t>
  </si>
  <si>
    <t>Z718.1 L54 2012</t>
  </si>
  <si>
    <t>0                      Z  0718100L  54          2012</t>
  </si>
  <si>
    <t>Library services for children and young adults : challenges and opportunities in the digital age / edited by Carolynn Rankin and Avril Brock.</t>
  </si>
  <si>
    <t>3863995754:eng</t>
  </si>
  <si>
    <t>779245922</t>
  </si>
  <si>
    <t>ocn779245922</t>
  </si>
  <si>
    <t>3103457342O</t>
  </si>
  <si>
    <t>9781856047128</t>
  </si>
  <si>
    <t>794910649</t>
  </si>
  <si>
    <t>Z718.1 R33 1983</t>
  </si>
  <si>
    <t>0                      Z  0718100R  33          1983</t>
  </si>
  <si>
    <t>Reference services for children and young adults / edited by Bill Katz and Ruth A. Fraley.</t>
  </si>
  <si>
    <t>New York : Haworth Press, 1983.</t>
  </si>
  <si>
    <t>353259930:eng</t>
  </si>
  <si>
    <t>9370792</t>
  </si>
  <si>
    <t>ocm09370792</t>
  </si>
  <si>
    <t>3100383521Q</t>
  </si>
  <si>
    <t>9780866562010</t>
  </si>
  <si>
    <t>792672515</t>
  </si>
  <si>
    <t>Z718.1 S76 2015</t>
  </si>
  <si>
    <t>0                      Z  0718100S  76          2015</t>
  </si>
  <si>
    <t>The power of play : designing early learning spaces / Dorothy Stoltz, Marisa Conner, and James Bradberry.</t>
  </si>
  <si>
    <t>Stoltz, Dorothy.</t>
  </si>
  <si>
    <t>2494558284:eng</t>
  </si>
  <si>
    <t>893316936</t>
  </si>
  <si>
    <t>ocn893316936</t>
  </si>
  <si>
    <t>3103582402S</t>
  </si>
  <si>
    <t>9780838912553</t>
  </si>
  <si>
    <t>794981461</t>
  </si>
  <si>
    <t>Z718.1 V335 2007</t>
  </si>
  <si>
    <t>0                      Z  0718100V  335         2007</t>
  </si>
  <si>
    <t>Children's books : a practical guide to selection / Phyllis J. Van Orden, Sunny Strong.</t>
  </si>
  <si>
    <t>Van Orden, Phyllis.</t>
  </si>
  <si>
    <t>315912776:eng</t>
  </si>
  <si>
    <t>85851422</t>
  </si>
  <si>
    <t>ocm85851422</t>
  </si>
  <si>
    <t>3102652993B</t>
  </si>
  <si>
    <t>9781555705848</t>
  </si>
  <si>
    <t>794217174</t>
  </si>
  <si>
    <t>Z718.1 V338 2006</t>
  </si>
  <si>
    <t>0                      Z  0718100V  338         2006</t>
  </si>
  <si>
    <t>Poetry aloud here! : sharing poetry with children in the library / Sylvia M. Vardell.</t>
  </si>
  <si>
    <t>Vardell, Sylvia M., author.</t>
  </si>
  <si>
    <t>46716085:eng</t>
  </si>
  <si>
    <t>62342719</t>
  </si>
  <si>
    <t>ocm62342719</t>
  </si>
  <si>
    <t>3102873610A</t>
  </si>
  <si>
    <t>9780838909164</t>
  </si>
  <si>
    <t>794105548</t>
  </si>
  <si>
    <t>Z718.2 J3 Y68 2012</t>
  </si>
  <si>
    <t>0                      Z  0718200J  3                  Y  68          2012</t>
  </si>
  <si>
    <t>Youth-serving libraries in Japan, Russia, and the United States / edited by Lesley S.J. Farmer ; associate editors, Natalia Gendina, Yuriko Nakamura.</t>
  </si>
  <si>
    <t>Lanham, Md. : Scarecrow Press, ©2012.</t>
  </si>
  <si>
    <t>1126982150:eng</t>
  </si>
  <si>
    <t>748802134</t>
  </si>
  <si>
    <t>ocn748802134</t>
  </si>
  <si>
    <t>3103405231P</t>
  </si>
  <si>
    <t>9780810882256</t>
  </si>
  <si>
    <t>794889547</t>
  </si>
  <si>
    <t>Z718.2 U6 B36 2015</t>
  </si>
  <si>
    <t>0                      Z  0718200U  6                  B  36          2015</t>
  </si>
  <si>
    <t>Counting down to kindergarten : a complete guide to creating a school readiness program for your community / R. Lynn Baker.</t>
  </si>
  <si>
    <t>Baker, R. Lynn.</t>
  </si>
  <si>
    <t>2520692282:eng</t>
  </si>
  <si>
    <t>908708847</t>
  </si>
  <si>
    <t>ocn908708847</t>
  </si>
  <si>
    <t>3103609844C</t>
  </si>
  <si>
    <t>9780838913338</t>
  </si>
  <si>
    <t>794995037</t>
  </si>
  <si>
    <t>Z718.2 U6 B385 1997</t>
  </si>
  <si>
    <t>0                      Z  0718200U  6                  B  385         1997</t>
  </si>
  <si>
    <t>Leading kids to books through puppets / Caroline Feller Bauer ; illustrated by Richard Laurent.</t>
  </si>
  <si>
    <t>Bauer, Caroline Feller.</t>
  </si>
  <si>
    <t>Chicago : American Library Association, 1997.</t>
  </si>
  <si>
    <t>Mighty easy motivators</t>
  </si>
  <si>
    <t>632734:eng</t>
  </si>
  <si>
    <t>36330831</t>
  </si>
  <si>
    <t>ocm36330831</t>
  </si>
  <si>
    <t>31017477637</t>
  </si>
  <si>
    <t>9780838907061</t>
  </si>
  <si>
    <t>793472722</t>
  </si>
  <si>
    <t>Z718.2 U6 B757 2009</t>
  </si>
  <si>
    <t>0                      Z  0718200U  6                  B  757         2009</t>
  </si>
  <si>
    <t>More storytime action! : 2000+ more ideas for making 500+ picture books interactive / Jennifer Bromann.</t>
  </si>
  <si>
    <t>Bromann-Bender, Jennifer.</t>
  </si>
  <si>
    <t>3857783507:eng</t>
  </si>
  <si>
    <t>316058657</t>
  </si>
  <si>
    <t>ocn316058657</t>
  </si>
  <si>
    <t>3103242653D</t>
  </si>
  <si>
    <t>9781555706753</t>
  </si>
  <si>
    <t>794441751</t>
  </si>
  <si>
    <t>Z718.2 U6 C48 2010</t>
  </si>
  <si>
    <t>0                      Z  0718200U  6                  C  48          2010</t>
  </si>
  <si>
    <t>Children's services : partnerships for success / edited by Betsy Diamant-Cohen.</t>
  </si>
  <si>
    <t>2013-08-29</t>
  </si>
  <si>
    <t>347484967:eng</t>
  </si>
  <si>
    <t>463675457</t>
  </si>
  <si>
    <t>ocn463675457</t>
  </si>
  <si>
    <t>3103240155$</t>
  </si>
  <si>
    <t>9780838910443</t>
  </si>
  <si>
    <t>794792919</t>
  </si>
  <si>
    <t>Z718.2 U6 D53 2010</t>
  </si>
  <si>
    <t>0                      Z  0718200U  6                  D  53          2010</t>
  </si>
  <si>
    <t>Crash course in library services to preschool children / Betsy Diamant-Cohen.</t>
  </si>
  <si>
    <t>Diamant-Cohen, Betsy. author.</t>
  </si>
  <si>
    <t>420123469:eng</t>
  </si>
  <si>
    <t>548555592</t>
  </si>
  <si>
    <t>ocn548555592</t>
  </si>
  <si>
    <t>3103522699Y</t>
  </si>
  <si>
    <t>9781598846881</t>
  </si>
  <si>
    <t>794810960</t>
  </si>
  <si>
    <t>Z718.2 U6 E73 2011</t>
  </si>
  <si>
    <t>0                      Z  0718200U  6                  E  73          2011</t>
  </si>
  <si>
    <t>Every child ready to read @ your library.</t>
  </si>
  <si>
    <t>(text + CD)</t>
  </si>
  <si>
    <t>Chicago : ALSC/PLA, [2011]</t>
  </si>
  <si>
    <t>5451359178:eng</t>
  </si>
  <si>
    <t>742057677</t>
  </si>
  <si>
    <t>ocn742057677</t>
  </si>
  <si>
    <t>3103442232H</t>
  </si>
  <si>
    <t>794884765</t>
  </si>
  <si>
    <t>Z718.2 U6 S66 2007</t>
  </si>
  <si>
    <t>0                      Z  0718200U  6                  S  66          2007</t>
  </si>
  <si>
    <t>Building blocks : building a parent-child literacy program at your library / Sharon Snow.</t>
  </si>
  <si>
    <t>Snow, Sharon.</t>
  </si>
  <si>
    <t>802926300:eng</t>
  </si>
  <si>
    <t>85830664</t>
  </si>
  <si>
    <t>ocm85830664</t>
  </si>
  <si>
    <t>3102643123D</t>
  </si>
  <si>
    <t>9781591584711</t>
  </si>
  <si>
    <t>794216758</t>
  </si>
  <si>
    <t>Z718.2 U6 S85 2013</t>
  </si>
  <si>
    <t>0                      Z  0718200U  6                  S  85          2013</t>
  </si>
  <si>
    <t>Fundamentals of children's services / Michael Sullivan.</t>
  </si>
  <si>
    <t>Sullivan, Michael, 1967 August 30- author.</t>
  </si>
  <si>
    <t>320789142:eng</t>
  </si>
  <si>
    <t>835600636</t>
  </si>
  <si>
    <t>ocn835600636</t>
  </si>
  <si>
    <t>31035059230</t>
  </si>
  <si>
    <t>9780838911884</t>
  </si>
  <si>
    <t>794944653</t>
  </si>
  <si>
    <t>Z718.2 U6 W35 2001</t>
  </si>
  <si>
    <t>0                      Z  0718200U  6                  W  35          2001</t>
  </si>
  <si>
    <t>Children &amp; libraries : getting it right / Virginia A. Walter.</t>
  </si>
  <si>
    <t>Walter, Virginia A.</t>
  </si>
  <si>
    <t>802406111:eng</t>
  </si>
  <si>
    <t>44541864</t>
  </si>
  <si>
    <t>ocm44541864</t>
  </si>
  <si>
    <t>3102740570Y</t>
  </si>
  <si>
    <t>9780838907955</t>
  </si>
  <si>
    <t>793652719</t>
  </si>
  <si>
    <t>Z718.2 U6 W358 2010</t>
  </si>
  <si>
    <t>0                      Z  0718200U  6                  W  358         2010</t>
  </si>
  <si>
    <t>Twenty-first-century kids, twenty-first-century librarians / Virginia A. Walter.</t>
  </si>
  <si>
    <t>197839699:eng</t>
  </si>
  <si>
    <t>320524123</t>
  </si>
  <si>
    <t>ocn320524123</t>
  </si>
  <si>
    <t>31031548216</t>
  </si>
  <si>
    <t>9780838910078</t>
  </si>
  <si>
    <t>794486440</t>
  </si>
  <si>
    <t>3103255742W</t>
  </si>
  <si>
    <t>794486441</t>
  </si>
  <si>
    <t>Z718.3 A53 2014</t>
  </si>
  <si>
    <t>0                      Z  0718300A  53          2014</t>
  </si>
  <si>
    <t>Cooking up a storytime : mix-and-match menus for easy programming / Susan Anderson-Newham.</t>
  </si>
  <si>
    <t>Anderson-Newham, Susan.</t>
  </si>
  <si>
    <t>2015-05-13</t>
  </si>
  <si>
    <t>1404240710:eng</t>
  </si>
  <si>
    <t>859253279</t>
  </si>
  <si>
    <t>ocn859253279</t>
  </si>
  <si>
    <t>31035309225</t>
  </si>
  <si>
    <t>9780838912034</t>
  </si>
  <si>
    <t>794957631</t>
  </si>
  <si>
    <t>Z718.3 B34 2017</t>
  </si>
  <si>
    <t>0                      Z  0718300B  34          2017</t>
  </si>
  <si>
    <t>Creating literacy-based programs for children : lesson plans and printable resources for K-5 / R. Lynn Baker.</t>
  </si>
  <si>
    <t>Baker, R. Lynn, author.</t>
  </si>
  <si>
    <t>4249573239:eng</t>
  </si>
  <si>
    <t>973159429</t>
  </si>
  <si>
    <t>ocn973159429</t>
  </si>
  <si>
    <t>3103739981E</t>
  </si>
  <si>
    <t>9780838915004</t>
  </si>
  <si>
    <t>795028936</t>
  </si>
  <si>
    <t>Z718.3 B35 2009</t>
  </si>
  <si>
    <t>0                      Z  0718300B  35          2009</t>
  </si>
  <si>
    <t>Tune up to literacy : original songs and activities for kids / Al Balkin.</t>
  </si>
  <si>
    <t>Balkin, Alfred.</t>
  </si>
  <si>
    <t>797251984:eng</t>
  </si>
  <si>
    <t>314837679</t>
  </si>
  <si>
    <t>ocn314837679</t>
  </si>
  <si>
    <t>31034676980</t>
  </si>
  <si>
    <t>9780838909980</t>
  </si>
  <si>
    <t>794439231</t>
  </si>
  <si>
    <t>Z718.3 B76 2014</t>
  </si>
  <si>
    <t>0                      Z  0718300B  76          2014</t>
  </si>
  <si>
    <t>Let's start the music : programming for primary grades / Amy Brown.</t>
  </si>
  <si>
    <t>Brown, Amy, 1976-</t>
  </si>
  <si>
    <t>1303087123:eng</t>
  </si>
  <si>
    <t>842322947</t>
  </si>
  <si>
    <t>ocn842322947</t>
  </si>
  <si>
    <t>3103505430D</t>
  </si>
  <si>
    <t>9780838911662</t>
  </si>
  <si>
    <t>794947419</t>
  </si>
  <si>
    <t>Z718.3 C36 2016</t>
  </si>
  <si>
    <t>0                      Z  0718300C  36          2016</t>
  </si>
  <si>
    <t>Supercharged storytimes : an early literacy planning and assessment guide / Kathleen Campana, J. Elizabeth Mills, Saroj Nadkarni Ghoting.</t>
  </si>
  <si>
    <t>Campana, Kathleen, author.</t>
  </si>
  <si>
    <t>2979563330:eng</t>
  </si>
  <si>
    <t>936430015</t>
  </si>
  <si>
    <t>ocn936430015</t>
  </si>
  <si>
    <t>3103654548B</t>
  </si>
  <si>
    <t>9780838913802</t>
  </si>
  <si>
    <t>795010798</t>
  </si>
  <si>
    <t>Z718.3 C65 2018</t>
  </si>
  <si>
    <t>0                      Z  0718300C  65          2018</t>
  </si>
  <si>
    <t>Transforming summer programs at your library : outreach and outcomes in action / Natalie Cole, Virginia A. Walter.</t>
  </si>
  <si>
    <t>Cole, Natalie, 1971- author.</t>
  </si>
  <si>
    <t>Chicago : ALA editions, an imprint of the American Library Association, 2018.</t>
  </si>
  <si>
    <t>5417107482:eng</t>
  </si>
  <si>
    <t>1004555017</t>
  </si>
  <si>
    <t>on1004555017</t>
  </si>
  <si>
    <t>3103740781O</t>
  </si>
  <si>
    <t>9780838916285</t>
  </si>
  <si>
    <t>795041977</t>
  </si>
  <si>
    <t>Z718.3 C84 2007</t>
  </si>
  <si>
    <t>0                      Z  0718300C  84          2007</t>
  </si>
  <si>
    <t>The storytime sourcebook II : [a compendium of 3500+ new ideas and resources for storytellers] / Carolyn N. Cullum.</t>
  </si>
  <si>
    <t>Cullum, Carolyn N.</t>
  </si>
  <si>
    <t>113861312:eng</t>
  </si>
  <si>
    <t>74029402</t>
  </si>
  <si>
    <t>ocm74029402</t>
  </si>
  <si>
    <t>31025982366</t>
  </si>
  <si>
    <t>9781555705893</t>
  </si>
  <si>
    <t>794171904</t>
  </si>
  <si>
    <t>Z718.3 D45 2014</t>
  </si>
  <si>
    <t>0                      Z  0718300D  45          2014</t>
  </si>
  <si>
    <t>Folktales aloud : practical advice for playful storytelling / Janice M. Del Negro.</t>
  </si>
  <si>
    <t>Del Negro, Janice, author.</t>
  </si>
  <si>
    <t>Chicago : ALA editions, An imprint of the American Library Association, 2014.</t>
  </si>
  <si>
    <t>1379721445:eng</t>
  </si>
  <si>
    <t>857141234</t>
  </si>
  <si>
    <t>ocn857141234</t>
  </si>
  <si>
    <t>3103505439D</t>
  </si>
  <si>
    <t>9780838911358</t>
  </si>
  <si>
    <t>794954821</t>
  </si>
  <si>
    <t>Z718.3 D537 2013</t>
  </si>
  <si>
    <t>0                      Z  0718300D  537         2013</t>
  </si>
  <si>
    <t>Transforming preschool storytime : a modern vision and a year of programs / Betsy Diamant-Cohen and Melanie A. Hetrick ; illustrations by Celia Yitzhak.</t>
  </si>
  <si>
    <t>Diamant-Cohen, Betsy, author.</t>
  </si>
  <si>
    <t>1372699823:eng</t>
  </si>
  <si>
    <t>828888898</t>
  </si>
  <si>
    <t>ocn828888898</t>
  </si>
  <si>
    <t>3103498750N</t>
  </si>
  <si>
    <t>9781555708054</t>
  </si>
  <si>
    <t>794941871</t>
  </si>
  <si>
    <t>Z718.3 D54 2013</t>
  </si>
  <si>
    <t>0                      Z  0718300D  54          2013</t>
  </si>
  <si>
    <t>Books in motion : connecting preschoolers with books through art, games, movement, music, playacting, and props / Julie Dietzel-Glair.</t>
  </si>
  <si>
    <t>Dietzel-Glair, Julie, 1976- author.</t>
  </si>
  <si>
    <t>1907834626:eng</t>
  </si>
  <si>
    <t>817721644</t>
  </si>
  <si>
    <t>ocn817721644</t>
  </si>
  <si>
    <t>3103497945N</t>
  </si>
  <si>
    <t>9781555708108</t>
  </si>
  <si>
    <t>794933600</t>
  </si>
  <si>
    <t>Z718.3 D55 2016</t>
  </si>
  <si>
    <t>0                      Z  0718300D  55          2016</t>
  </si>
  <si>
    <t>Nonfiction in motion : connecting preschoolers with nonfiction books through movement / Julie Dietzel-Glair.</t>
  </si>
  <si>
    <t>Chicago : ALA Editions, 2016.</t>
  </si>
  <si>
    <t>3588148497:eng</t>
  </si>
  <si>
    <t>953792395</t>
  </si>
  <si>
    <t>ocn953792395</t>
  </si>
  <si>
    <t>3103657492Y</t>
  </si>
  <si>
    <t>9780838914687</t>
  </si>
  <si>
    <t>795019217</t>
  </si>
  <si>
    <t>Z718.3 E77 2015</t>
  </si>
  <si>
    <t>0                      Z  0718300E  77          2015</t>
  </si>
  <si>
    <t>The essential lapsit guide : a multimedia how-to-do-it manual and programming guide for stimulating literacy development from 12 to 24 months / Linda L. Ernst.</t>
  </si>
  <si>
    <t>Ernst, Linda L.</t>
  </si>
  <si>
    <t>2290775380:eng</t>
  </si>
  <si>
    <t>873237857</t>
  </si>
  <si>
    <t>ocn873237857</t>
  </si>
  <si>
    <t>31035817955</t>
  </si>
  <si>
    <t>9781555707613</t>
  </si>
  <si>
    <t>794968419</t>
  </si>
  <si>
    <t>Z718.3 F6</t>
  </si>
  <si>
    <t>0                      Z  0718300F  6</t>
  </si>
  <si>
    <t>How to conduct effective picture book programs; a handbook. Compiled by Joanna Foster.</t>
  </si>
  <si>
    <t>Foster, Joanna.</t>
  </si>
  <si>
    <t>[Westchester, N.Y.] Westchester Library System [©1967]</t>
  </si>
  <si>
    <t>196769984:eng</t>
  </si>
  <si>
    <t>432075</t>
  </si>
  <si>
    <t>ocm00432075</t>
  </si>
  <si>
    <t>31035498312</t>
  </si>
  <si>
    <t>791377004</t>
  </si>
  <si>
    <t>Z718.3 F74 2015</t>
  </si>
  <si>
    <t>0                      Z  0718300F  74          2015</t>
  </si>
  <si>
    <t>The handbook for storytime programs / Judy Freeman and Caroline Feller Bauer.</t>
  </si>
  <si>
    <t>Freeman, Judy, author.</t>
  </si>
  <si>
    <t>2235260407:eng</t>
  </si>
  <si>
    <t>901374447</t>
  </si>
  <si>
    <t>ocn901374447</t>
  </si>
  <si>
    <t>3103608200O</t>
  </si>
  <si>
    <t>9780838912652</t>
  </si>
  <si>
    <t>794988091</t>
  </si>
  <si>
    <t>Z718.3 G563 2014</t>
  </si>
  <si>
    <t>0                      Z  0718300G  563         2014</t>
  </si>
  <si>
    <t>STEP into storytime : using StoryTime Effective Practice to strengthen the development of newborns to five-year-olds / Saroj Nadkarni Ghoting and Kathy Fling Klatt.</t>
  </si>
  <si>
    <t>Ghoting, Saroj Nadkarni, author.</t>
  </si>
  <si>
    <t>1907419985:eng</t>
  </si>
  <si>
    <t>881385796</t>
  </si>
  <si>
    <t>ocn881385796</t>
  </si>
  <si>
    <t>31035669381</t>
  </si>
  <si>
    <t>9780838912225</t>
  </si>
  <si>
    <t>794974191</t>
  </si>
  <si>
    <t>Z718.3 G565 2013</t>
  </si>
  <si>
    <t>0                      Z  0718300G  565         2013</t>
  </si>
  <si>
    <t>Storytimes for everyone! : developing young children's language and literacy / Saroj Nadkarni Ghoting and Pamela Martin-Díaz.</t>
  </si>
  <si>
    <t>1404754882:eng</t>
  </si>
  <si>
    <t>781676834</t>
  </si>
  <si>
    <t>ocn781676834</t>
  </si>
  <si>
    <t>3103498807U</t>
  </si>
  <si>
    <t>9780838911693</t>
  </si>
  <si>
    <t>794913060</t>
  </si>
  <si>
    <t>Z718.3 H37 2014</t>
  </si>
  <si>
    <t>0                      Z  0718300H  37          2014</t>
  </si>
  <si>
    <t>Exploring environmental science with children and teens / Eileen G. Harrington.</t>
  </si>
  <si>
    <t>Harrington, Eileen G.</t>
  </si>
  <si>
    <t>Chicago : ALA Editions, an imprint of the American Library Association, [2014]</t>
  </si>
  <si>
    <t>2275212231:eng</t>
  </si>
  <si>
    <t>859253199</t>
  </si>
  <si>
    <t>ocn859253199</t>
  </si>
  <si>
    <t>3103531319L</t>
  </si>
  <si>
    <t>9780838911983</t>
  </si>
  <si>
    <t>794957629</t>
  </si>
  <si>
    <t>Z718.3 H66 2013</t>
  </si>
  <si>
    <t>0                      Z  0718300H  66          2013</t>
  </si>
  <si>
    <t>Artsy toddler storytimes : a year's worth of ready-to-go programming / Carol Garnett Hopkins.</t>
  </si>
  <si>
    <t>Hopkins, Carol Garnett, author.</t>
  </si>
  <si>
    <t>1436849730:eng</t>
  </si>
  <si>
    <t>759386181</t>
  </si>
  <si>
    <t>ocn759386181</t>
  </si>
  <si>
    <t>3103499078$</t>
  </si>
  <si>
    <t>9781555707927</t>
  </si>
  <si>
    <t>794897307</t>
  </si>
  <si>
    <t>Z718.3 I786 2008</t>
  </si>
  <si>
    <t>0                      Z  0718300I  786         2008</t>
  </si>
  <si>
    <t>Story celebrations : a program guide for schools and libraries / Jan Irving ; with illustrations by Joni Giarratano.</t>
  </si>
  <si>
    <t>Irving, Jan, 1942-</t>
  </si>
  <si>
    <t>314995428:eng</t>
  </si>
  <si>
    <t>173659470</t>
  </si>
  <si>
    <t>ocn173659470</t>
  </si>
  <si>
    <t>3102652857M</t>
  </si>
  <si>
    <t>9781591584322</t>
  </si>
  <si>
    <t>794269243</t>
  </si>
  <si>
    <t>Z718.3 I787 2004</t>
  </si>
  <si>
    <t>0                      Z  0718300I  787         2004</t>
  </si>
  <si>
    <t>Stories neverending : a program guide for schools and libraries / Jan Irving ; illustrations by Joni Giarratano.</t>
  </si>
  <si>
    <t>Westport, Conn. : Libraries Unlimited, ©2004.</t>
  </si>
  <si>
    <t>776207:eng</t>
  </si>
  <si>
    <t>53162404</t>
  </si>
  <si>
    <t>ocm53162404</t>
  </si>
  <si>
    <t>3102632247F</t>
  </si>
  <si>
    <t>9781563089978</t>
  </si>
  <si>
    <t>793822793</t>
  </si>
  <si>
    <t>Z718.3 L69 2008</t>
  </si>
  <si>
    <t>0                      Z  0718300L  69          2008</t>
  </si>
  <si>
    <t>Puppet magic / Joy L. Lowe and Kathryn I. Matthew.</t>
  </si>
  <si>
    <t>Lowe, Joy L.</t>
  </si>
  <si>
    <t>103203230:eng</t>
  </si>
  <si>
    <t>144223486</t>
  </si>
  <si>
    <t>ocn144223486</t>
  </si>
  <si>
    <t>31028845272</t>
  </si>
  <si>
    <t>9781555705992</t>
  </si>
  <si>
    <t>794235474</t>
  </si>
  <si>
    <t>Z718.3 M247 2014</t>
  </si>
  <si>
    <t>0                      Z  0718300M  247         2014</t>
  </si>
  <si>
    <t>Baby storytime magic : active early literacy through bounces, rhymes, tickles, and more / Kathy MacMillan and Christine Kirker ; with illustrations by Melanie Fitz.</t>
  </si>
  <si>
    <t>Chicago : ALA Editions, American Library Association, [2014]</t>
  </si>
  <si>
    <t>2211577119:eng</t>
  </si>
  <si>
    <t>870143107</t>
  </si>
  <si>
    <t>ocn870143107</t>
  </si>
  <si>
    <t>31035666762</t>
  </si>
  <si>
    <t>9780838912164</t>
  </si>
  <si>
    <t>794966141</t>
  </si>
  <si>
    <t>Z718.3 M2524 2016</t>
  </si>
  <si>
    <t>0                      Z  0718300M  2524        2016</t>
  </si>
  <si>
    <t>More storytime magic / Kathy MacMillan and Christine Kirker ; with illustrations by Melanie Fitz.</t>
  </si>
  <si>
    <t>MacMillan, Kathy, 1975- author.</t>
  </si>
  <si>
    <t>Chicago : ALA Editions/American Library Association, 2016.</t>
  </si>
  <si>
    <t>2791538711:eng</t>
  </si>
  <si>
    <t>928239044</t>
  </si>
  <si>
    <t>ocn928239044</t>
  </si>
  <si>
    <t>31036529914</t>
  </si>
  <si>
    <t>9780838913680</t>
  </si>
  <si>
    <t>795006147</t>
  </si>
  <si>
    <t>Z718.3 M253 2009</t>
  </si>
  <si>
    <t>0                      Z  0718300M  253         2009</t>
  </si>
  <si>
    <t>Storytime magic : 400 fingerplays, flannelboards, and other activities / Kathy MacMillan and Christine Kirker.</t>
  </si>
  <si>
    <t>801866581:eng</t>
  </si>
  <si>
    <t>234257165</t>
  </si>
  <si>
    <t>ocn234257165</t>
  </si>
  <si>
    <t>31030841826</t>
  </si>
  <si>
    <t>9780838909775</t>
  </si>
  <si>
    <t>794369292</t>
  </si>
  <si>
    <t>Z718.3 M85 2010</t>
  </si>
  <si>
    <t>0                      Z  0718300M  85          2010</t>
  </si>
  <si>
    <t>Multicultural programs for tweens and teens / edited by Linda B. Alexander and Nahyun Kwon for the Young Adult Library Services Association.</t>
  </si>
  <si>
    <t>365492226:eng</t>
  </si>
  <si>
    <t>490080127</t>
  </si>
  <si>
    <t>ocn490080127</t>
  </si>
  <si>
    <t>3103240736M</t>
  </si>
  <si>
    <t>9780838935828</t>
  </si>
  <si>
    <t>794800505</t>
  </si>
  <si>
    <t>Z718.3 N45 2012</t>
  </si>
  <si>
    <t>0                      Z  0718300N  45          2012</t>
  </si>
  <si>
    <t>Technology and literacy : 21st century library programming for children and teens / by Jennifer Nelson and Keith Braafladt.</t>
  </si>
  <si>
    <t>Nelson, Jennifer, 1961-</t>
  </si>
  <si>
    <t>1076029313:eng</t>
  </si>
  <si>
    <t>704391676</t>
  </si>
  <si>
    <t>ocn704391676</t>
  </si>
  <si>
    <t>3103405387C</t>
  </si>
  <si>
    <t>9780838911082</t>
  </si>
  <si>
    <t>794865606</t>
  </si>
  <si>
    <t>Z718.3 N5 2007</t>
  </si>
  <si>
    <t>0                      Z  0718300N  5           2007</t>
  </si>
  <si>
    <t>Storytimes for two-year-olds / Judy Nichols ; illustrated by Lori D. Sears.</t>
  </si>
  <si>
    <t>Nichols, Judy.</t>
  </si>
  <si>
    <t>632749:eng</t>
  </si>
  <si>
    <t>70707817</t>
  </si>
  <si>
    <t>ocm70707817</t>
  </si>
  <si>
    <t>31026435163</t>
  </si>
  <si>
    <t>9780838909256</t>
  </si>
  <si>
    <t>794158022</t>
  </si>
  <si>
    <t>Z718.3 P34 1989</t>
  </si>
  <si>
    <t>0                      Z  0718300P  34          1989</t>
  </si>
  <si>
    <t>Musical story hours : using music with storytelling and puppetry / William M. Painter ; with a foreword by Spencer Shaw.</t>
  </si>
  <si>
    <t>Painter, William M., 1941-</t>
  </si>
  <si>
    <t>Hamden, Conn. : Library Professional Publications, 1989.</t>
  </si>
  <si>
    <t>320892317:eng</t>
  </si>
  <si>
    <t>18742157</t>
  </si>
  <si>
    <t>ocm18742157</t>
  </si>
  <si>
    <t>3000864909J</t>
  </si>
  <si>
    <t>9780208022059</t>
  </si>
  <si>
    <t>793035962</t>
  </si>
  <si>
    <t>Z718.3 P43 2009</t>
  </si>
  <si>
    <t>0                      Z  0718300P  43          2009</t>
  </si>
  <si>
    <t>Crash course in storytime fundamentals / Penny Peck.</t>
  </si>
  <si>
    <t>Peck, Penny.</t>
  </si>
  <si>
    <t>138414804:eng</t>
  </si>
  <si>
    <t>230192056</t>
  </si>
  <si>
    <t>ocn230192056</t>
  </si>
  <si>
    <t>3103052344V</t>
  </si>
  <si>
    <t>9781591587156</t>
  </si>
  <si>
    <t>794354736</t>
  </si>
  <si>
    <t>Z718.3 P64 2013</t>
  </si>
  <si>
    <t>0                      Z  0718300P  64          2013</t>
  </si>
  <si>
    <t>From children's literature to readers theatre / Elizabeth A. Poe.</t>
  </si>
  <si>
    <t>Poe, Elizabeth Ann.</t>
  </si>
  <si>
    <t>476580342:eng</t>
  </si>
  <si>
    <t>801051375</t>
  </si>
  <si>
    <t>ocn801051375</t>
  </si>
  <si>
    <t>3103497295Y</t>
  </si>
  <si>
    <t>9780838910498</t>
  </si>
  <si>
    <t>794924786</t>
  </si>
  <si>
    <t>Z718.3 P65 2012</t>
  </si>
  <si>
    <t>0                      Z  0718300P  65          2012</t>
  </si>
  <si>
    <t>Fairy tale fun! / Nancy Polette ; illustrations by Paul Dillon.</t>
  </si>
  <si>
    <t>Polette, Nancy.</t>
  </si>
  <si>
    <t>New York : Neal-Schuman Publishers, ©2012.</t>
  </si>
  <si>
    <t>1009131975:eng</t>
  </si>
  <si>
    <t>751780490</t>
  </si>
  <si>
    <t>ocn751780490</t>
  </si>
  <si>
    <t>3103430602O</t>
  </si>
  <si>
    <t>9781555707736</t>
  </si>
  <si>
    <t>794890992</t>
  </si>
  <si>
    <t>Z718.3 R435 2018</t>
  </si>
  <si>
    <t>0                      Z  0718300R  435         2018</t>
  </si>
  <si>
    <t>200+ original and adapted story program activities / Rob Reid.</t>
  </si>
  <si>
    <t>Reid, Rob, 1955- author.</t>
  </si>
  <si>
    <t>5345818043:eng</t>
  </si>
  <si>
    <t>1044772935</t>
  </si>
  <si>
    <t>on1044772935</t>
  </si>
  <si>
    <t>31038100233</t>
  </si>
  <si>
    <t>9780838917381</t>
  </si>
  <si>
    <t>795060121</t>
  </si>
  <si>
    <t>Z718.3 R44 2015</t>
  </si>
  <si>
    <t>0                      Z  0718300R  44          2015</t>
  </si>
  <si>
    <t>Animal shenanigans : twenty-four creative, interactive story programs for preschoolers / Rob Reid.</t>
  </si>
  <si>
    <t>2251400859:eng</t>
  </si>
  <si>
    <t>894491479</t>
  </si>
  <si>
    <t>ocn894491479</t>
  </si>
  <si>
    <t>3103583465C</t>
  </si>
  <si>
    <t>9780838912713</t>
  </si>
  <si>
    <t>794982668</t>
  </si>
  <si>
    <t>Z718.3 R64 2014</t>
  </si>
  <si>
    <t>0                      Z  0718300R  64          2014</t>
  </si>
  <si>
    <t>A year in the story room : ready-to-use programs for children / Dawn Rochelle Roginski.</t>
  </si>
  <si>
    <t>Roginski, Dawn Rochelle.</t>
  </si>
  <si>
    <t>1261290785:eng</t>
  </si>
  <si>
    <t>840927677</t>
  </si>
  <si>
    <t>ocn840927677</t>
  </si>
  <si>
    <t>31035309421</t>
  </si>
  <si>
    <t>9780838911792</t>
  </si>
  <si>
    <t>794946349</t>
  </si>
  <si>
    <t>Z718.3 S393 2017</t>
  </si>
  <si>
    <t>0                      Z  0718300S  393         2017</t>
  </si>
  <si>
    <t>Stories, songs, and stretches! : creating playful storytimes with yoga and movement / Katie Scherrer.</t>
  </si>
  <si>
    <t>Scherrer, Katie, author.</t>
  </si>
  <si>
    <t>4870476045:eng</t>
  </si>
  <si>
    <t>965754050</t>
  </si>
  <si>
    <t>ocn965754050</t>
  </si>
  <si>
    <t>3103671297D</t>
  </si>
  <si>
    <t>9780838915448</t>
  </si>
  <si>
    <t>795025873</t>
  </si>
  <si>
    <t>Z718.3 S48 2014</t>
  </si>
  <si>
    <t>0                      Z  0718300S  48          2014</t>
  </si>
  <si>
    <t>After-School Clubs for Kids : thematic programming to encourage reading / Lisa M. Shaia.</t>
  </si>
  <si>
    <t>Shaia, Lisa M.</t>
  </si>
  <si>
    <t>1409215203:eng</t>
  </si>
  <si>
    <t>861072994</t>
  </si>
  <si>
    <t>ocn861072994</t>
  </si>
  <si>
    <t>31035314894</t>
  </si>
  <si>
    <t>9780838912027</t>
  </si>
  <si>
    <t>794958756</t>
  </si>
  <si>
    <t>Z718.3 S76 2011</t>
  </si>
  <si>
    <t>0                      Z  0718300S  76          2011</t>
  </si>
  <si>
    <t>Storytimes for children / Stephanie G. Bauman, editor.</t>
  </si>
  <si>
    <t>476056853:eng</t>
  </si>
  <si>
    <t>606787488</t>
  </si>
  <si>
    <t>ocn606787488</t>
  </si>
  <si>
    <t>3103236143J</t>
  </si>
  <si>
    <t>9781598845655</t>
  </si>
  <si>
    <t>794817312</t>
  </si>
  <si>
    <t>Z718.3 W33 2015</t>
  </si>
  <si>
    <t>0                      Z  0718300W  33          2015</t>
  </si>
  <si>
    <t>Wordplay for kids : a sourcebook of poems, rhymes, and read-alouds / Tim Wadham.</t>
  </si>
  <si>
    <t>Wadham, Tim, author.</t>
  </si>
  <si>
    <t>2844892862:eng</t>
  </si>
  <si>
    <t>894816185</t>
  </si>
  <si>
    <t>ocn894816185</t>
  </si>
  <si>
    <t>3103612373H</t>
  </si>
  <si>
    <t>9780838912669</t>
  </si>
  <si>
    <t>794983019</t>
  </si>
  <si>
    <t>Z718.5 A425 2015</t>
  </si>
  <si>
    <t>0                      Z  0718500A  425         2015</t>
  </si>
  <si>
    <t>Club programs for teens : 100 activities for the entire year / Amy J. Alessio and Heather Booth.</t>
  </si>
  <si>
    <t>5068501278:eng</t>
  </si>
  <si>
    <t>903436514</t>
  </si>
  <si>
    <t>ocn903436514</t>
  </si>
  <si>
    <t>3103609823K</t>
  </si>
  <si>
    <t>9780838913345</t>
  </si>
  <si>
    <t>794989158</t>
  </si>
  <si>
    <t>Z718.5 A43 2014</t>
  </si>
  <si>
    <t>0                      Z  0718500A  43          2014</t>
  </si>
  <si>
    <t>Mind-bending mysteries and thrillers for teens : a programming and readers' advisory guide / Amy J. Alessio.</t>
  </si>
  <si>
    <t>1440967642:eng</t>
  </si>
  <si>
    <t>864676598</t>
  </si>
  <si>
    <t>ocn864676598</t>
  </si>
  <si>
    <t>31035669351</t>
  </si>
  <si>
    <t>9780838912041</t>
  </si>
  <si>
    <t>794962202</t>
  </si>
  <si>
    <t>Z718.5 A44 2007</t>
  </si>
  <si>
    <t>0                      Z  0718500A  44          2007</t>
  </si>
  <si>
    <t>A year of programs for teens / Amy J. Alessio, Kimberly A. Patton.</t>
  </si>
  <si>
    <t>51721610:eng</t>
  </si>
  <si>
    <t>68373210</t>
  </si>
  <si>
    <t>ocm68373210</t>
  </si>
  <si>
    <t>31026334239</t>
  </si>
  <si>
    <t>9780838909034</t>
  </si>
  <si>
    <t>794143091</t>
  </si>
  <si>
    <t>Z718.5 A443 2011</t>
  </si>
  <si>
    <t>0                      Z  0718500A  443         2011</t>
  </si>
  <si>
    <t>A year of programs for teens 2 / Amy J. Alessio, Kimberly A. Patton.</t>
  </si>
  <si>
    <t>Alessio, Amy J.</t>
  </si>
  <si>
    <t>4161741108:eng</t>
  </si>
  <si>
    <t>601086457</t>
  </si>
  <si>
    <t>ocn601086457</t>
  </si>
  <si>
    <t>3103364969F</t>
  </si>
  <si>
    <t>9780838910511</t>
  </si>
  <si>
    <t>794815245</t>
  </si>
  <si>
    <t>Z718.5 B67 2012</t>
  </si>
  <si>
    <t>0                      Z  0718500B  67          2012</t>
  </si>
  <si>
    <t>Being a teen library services advocate / Linda W. Braun.</t>
  </si>
  <si>
    <t>Braun, Linda W.</t>
  </si>
  <si>
    <t>Chicago : Neal-Schuman, an imprint of the American Library Association, 2012.</t>
  </si>
  <si>
    <t>Teens at the library series</t>
  </si>
  <si>
    <t>1081440454:eng</t>
  </si>
  <si>
    <t>777646716</t>
  </si>
  <si>
    <t>ocn777646716</t>
  </si>
  <si>
    <t>3103412131Z</t>
  </si>
  <si>
    <t>9781555707958</t>
  </si>
  <si>
    <t>794908961</t>
  </si>
  <si>
    <t>Z718.5 B68 2010</t>
  </si>
  <si>
    <t>0                      Z  0718500B  68          2010</t>
  </si>
  <si>
    <t>Risky business : taking and managing risks in library services for teens / Linda W. Braun, Hillias J. Martin, and Connie Urquhart for the Young Adult Library Services Association.</t>
  </si>
  <si>
    <t>422156624:eng</t>
  </si>
  <si>
    <t>550550784</t>
  </si>
  <si>
    <t>ocn550550784</t>
  </si>
  <si>
    <t>3103227761Z</t>
  </si>
  <si>
    <t>9780838935965</t>
  </si>
  <si>
    <t>794811394</t>
  </si>
  <si>
    <t>Z718.5 B87 2017</t>
  </si>
  <si>
    <t>0                      Z  0718500B  87          2017</t>
  </si>
  <si>
    <t>Sex, brains, and video games : information and inspiration for youth services librarians / Jennifer Burek Pierce.</t>
  </si>
  <si>
    <t>Burek Pierce, Jennifer, author.</t>
  </si>
  <si>
    <t>4427667429:eng</t>
  </si>
  <si>
    <t>972384333</t>
  </si>
  <si>
    <t>ocn972384333</t>
  </si>
  <si>
    <t>31037018634</t>
  </si>
  <si>
    <t>9780838915486</t>
  </si>
  <si>
    <t>795028669</t>
  </si>
  <si>
    <t>Z718.5 C625 2013</t>
  </si>
  <si>
    <t>0                      Z  0718500C  625         2013</t>
  </si>
  <si>
    <t>Teen craft projects 2 / Tina Coleman and Peggie Llanes ; foreword by Amy Alessio and Katie LaMantia.</t>
  </si>
  <si>
    <t>Coleman, Tina.</t>
  </si>
  <si>
    <t>Chicago : ALA Editions, an imprint of American Library Association, 2013.</t>
  </si>
  <si>
    <t>1118133947:eng</t>
  </si>
  <si>
    <t>794711895</t>
  </si>
  <si>
    <t>ocn794711895</t>
  </si>
  <si>
    <t>3103499581J</t>
  </si>
  <si>
    <t>9780838911525</t>
  </si>
  <si>
    <t>794920430</t>
  </si>
  <si>
    <t>Z718.5 C73 2013</t>
  </si>
  <si>
    <t>0                      Z  0718500C  73          2013</t>
  </si>
  <si>
    <t>Serving at-risk teens : proven strategies and programs for bridging the gap / Angela Craig, Chantell L. McDowell.</t>
  </si>
  <si>
    <t>Craig, Angela.</t>
  </si>
  <si>
    <t>1781847213:eng</t>
  </si>
  <si>
    <t>821560075</t>
  </si>
  <si>
    <t>ocn821560075</t>
  </si>
  <si>
    <t>31034544172</t>
  </si>
  <si>
    <t>9781555707606</t>
  </si>
  <si>
    <t>794936152</t>
  </si>
  <si>
    <t>Z718.5 D66 2012</t>
  </si>
  <si>
    <t>0                      Z  0718500D  66          2012</t>
  </si>
  <si>
    <t>Know it all, find it fast for youth librarians and teachers / Christinea Donnelly.</t>
  </si>
  <si>
    <t>Donnelly, Christinea.</t>
  </si>
  <si>
    <t>1158231096:eng</t>
  </si>
  <si>
    <t>776919989</t>
  </si>
  <si>
    <t>ocn776919989</t>
  </si>
  <si>
    <t>3103422219V</t>
  </si>
  <si>
    <t>9781856047616</t>
  </si>
  <si>
    <t>794908444</t>
  </si>
  <si>
    <t>Z718.5 E19 2012</t>
  </si>
  <si>
    <t>0                      Z  0718500E  19          2012</t>
  </si>
  <si>
    <t>Answering teens' tough questions : a YALSA guide / mk Eagle.</t>
  </si>
  <si>
    <t>Eagle, mk, 1983-</t>
  </si>
  <si>
    <t>1190084724:eng</t>
  </si>
  <si>
    <t>781499551</t>
  </si>
  <si>
    <t>ocn781499551</t>
  </si>
  <si>
    <t>3103414875Z</t>
  </si>
  <si>
    <t>9781555707941</t>
  </si>
  <si>
    <t>794912805</t>
  </si>
  <si>
    <t>Z718.5 F38 2011</t>
  </si>
  <si>
    <t>0                      Z  0718500F  38          2011</t>
  </si>
  <si>
    <t>Make Room for Teens! : Reflections on Developing Teen Spaces in Libraries / Michael Garrett Farrelly.</t>
  </si>
  <si>
    <t>Farrelly, Michael Garrett.</t>
  </si>
  <si>
    <t>Libraries Unlimited Professional Guides for Young Adult Librarians</t>
  </si>
  <si>
    <t>797073594:eng</t>
  </si>
  <si>
    <t>422757099</t>
  </si>
  <si>
    <t>ocn422757099</t>
  </si>
  <si>
    <t>31033437286</t>
  </si>
  <si>
    <t>9781591585664</t>
  </si>
  <si>
    <t>794505757</t>
  </si>
  <si>
    <t>Z718.5 F58 2012</t>
  </si>
  <si>
    <t>0                      Z  0718500F  58          2012</t>
  </si>
  <si>
    <t>Evaluating teen services and programs / Sarah Flowers.</t>
  </si>
  <si>
    <t>Flowers, Sarah, 1952-</t>
  </si>
  <si>
    <t>2013-06-04</t>
  </si>
  <si>
    <t>1042431652:eng</t>
  </si>
  <si>
    <t>759912504</t>
  </si>
  <si>
    <t>ocn759912504</t>
  </si>
  <si>
    <t>31034121172</t>
  </si>
  <si>
    <t>9781555707934</t>
  </si>
  <si>
    <t>794897951</t>
  </si>
  <si>
    <t>Z718.5 H38 2011</t>
  </si>
  <si>
    <t>0                      Z  0718500H  38          2011</t>
  </si>
  <si>
    <t>I found it on the Internet : coming of age online / Frances Jacobson Harris.</t>
  </si>
  <si>
    <t>Harris, Frances Jacobson.</t>
  </si>
  <si>
    <t>792606839:eng</t>
  </si>
  <si>
    <t>607574045</t>
  </si>
  <si>
    <t>ocn607574045</t>
  </si>
  <si>
    <t>31032366386</t>
  </si>
  <si>
    <t>9780838910665</t>
  </si>
  <si>
    <t>794818259</t>
  </si>
  <si>
    <t>Z718.5 I58 2014</t>
  </si>
  <si>
    <t>0                      Z  0718500I  58          2014</t>
  </si>
  <si>
    <t>Intellectual freedom for teens : a practical guide for young adult and school librarians / edited by Kristin Fletcher-Spear and Kelly Tyler.</t>
  </si>
  <si>
    <t>1823870281:eng</t>
  </si>
  <si>
    <t>871819688</t>
  </si>
  <si>
    <t>ocn871819688</t>
  </si>
  <si>
    <t>3103580959B</t>
  </si>
  <si>
    <t>9780838912003</t>
  </si>
  <si>
    <t>794967852</t>
  </si>
  <si>
    <t>Z718.5 J37 2011</t>
  </si>
  <si>
    <t>0                      Z  0718500J  37          2011</t>
  </si>
  <si>
    <t>Cooler than fiction : a planning guide for teen nonfiction booktalks / Jill S. Jarrell and Tara C. Cannon.</t>
  </si>
  <si>
    <t>Jarrell, Jill S., 1979-</t>
  </si>
  <si>
    <t>Jefferson, North Carolina : McFarland &amp; Company, Inc., Publishers, ©2011.</t>
  </si>
  <si>
    <t>803810554:eng</t>
  </si>
  <si>
    <t>630498138</t>
  </si>
  <si>
    <t>ocn630498138</t>
  </si>
  <si>
    <t>3103312655M</t>
  </si>
  <si>
    <t>9780786448869</t>
  </si>
  <si>
    <t>794824601</t>
  </si>
  <si>
    <t>Z718.5 M59 2005</t>
  </si>
  <si>
    <t>0                      Z  0718500M  59          2005</t>
  </si>
  <si>
    <t>More teen programs that work / [edited by] RoseMary Honnold.</t>
  </si>
  <si>
    <t>Teens @ the library series</t>
  </si>
  <si>
    <t>936277:eng</t>
  </si>
  <si>
    <t>56317992</t>
  </si>
  <si>
    <t>ocm56317992</t>
  </si>
  <si>
    <t>3102593541F</t>
  </si>
  <si>
    <t>9781555705299</t>
  </si>
  <si>
    <t>793890471</t>
  </si>
  <si>
    <t>Z718.5 S493 2007</t>
  </si>
  <si>
    <t>0                      Z  0718500S  493         2007</t>
  </si>
  <si>
    <t>Serving young teens and 'tweens / edited by Sheila B. Anderson ; foreword by James M. Rosinia.</t>
  </si>
  <si>
    <t>Libraries Unlimited professional guides for young adult librarians, 1532-5571</t>
  </si>
  <si>
    <t>58309045:eng</t>
  </si>
  <si>
    <t>71369253</t>
  </si>
  <si>
    <t>ocm71369253</t>
  </si>
  <si>
    <t>3102631323K</t>
  </si>
  <si>
    <t>9781591582595</t>
  </si>
  <si>
    <t>794166478</t>
  </si>
  <si>
    <t>Z718.5 T73 2013</t>
  </si>
  <si>
    <t>0                      Z  0718500T  73          2013</t>
  </si>
  <si>
    <t>Transforming young adult services / edited by Anthony Bernier.</t>
  </si>
  <si>
    <t>1380940069:eng</t>
  </si>
  <si>
    <t>827261195</t>
  </si>
  <si>
    <t>ocn827261195</t>
  </si>
  <si>
    <t>3103505938Z</t>
  </si>
  <si>
    <t>9781555709075</t>
  </si>
  <si>
    <t>794939969</t>
  </si>
  <si>
    <t>Z718.5 T84 2010</t>
  </si>
  <si>
    <t>0                      Z  0718500T  84          2010</t>
  </si>
  <si>
    <t>Teen-centered library service : putting youth participation into practice / Diane P. Tuccillo.</t>
  </si>
  <si>
    <t>Tuccillo, Diane P., 1952-</t>
  </si>
  <si>
    <t>311279908:eng</t>
  </si>
  <si>
    <t>422757127</t>
  </si>
  <si>
    <t>ocn422757127</t>
  </si>
  <si>
    <t>3103158273Z</t>
  </si>
  <si>
    <t>9781591587651</t>
  </si>
  <si>
    <t>794505759</t>
  </si>
  <si>
    <t>Z718.5 U73 2010</t>
  </si>
  <si>
    <t>0                      Z  0718500U  73          2010</t>
  </si>
  <si>
    <t>Urban teens in the library : research and practice / edited by Denise E. Agosto and Sandra Hughes-Hassell.</t>
  </si>
  <si>
    <t>797251903:eng</t>
  </si>
  <si>
    <t>421532533</t>
  </si>
  <si>
    <t>ocn421532533</t>
  </si>
  <si>
    <t>3103097947A</t>
  </si>
  <si>
    <t>9780838910153</t>
  </si>
  <si>
    <t>794503979</t>
  </si>
  <si>
    <t>Z718.5 W93 2019</t>
  </si>
  <si>
    <t>0                      Z  0718500W  93          2019</t>
  </si>
  <si>
    <t>Career programming for today's teens : exploring nontraditional and vocational alternatives / Amy Wyckoff, Marie Harris.</t>
  </si>
  <si>
    <t>Wyckoff, Amy, 1982- author.</t>
  </si>
  <si>
    <t>8974952646:eng</t>
  </si>
  <si>
    <t>1046993885</t>
  </si>
  <si>
    <t>on1046993885</t>
  </si>
  <si>
    <t>3103810046S</t>
  </si>
  <si>
    <t>9780838917596</t>
  </si>
  <si>
    <t>795060613</t>
  </si>
  <si>
    <t>Z718.7 H36 2015</t>
  </si>
  <si>
    <t>0                      Z  0718700H  36          2015</t>
  </si>
  <si>
    <t>Successfully serving the college bound / Africa S. Hands.</t>
  </si>
  <si>
    <t>Hands, Africa S.</t>
  </si>
  <si>
    <t>2494558288:eng</t>
  </si>
  <si>
    <t>895388261</t>
  </si>
  <si>
    <t>ocn895388261</t>
  </si>
  <si>
    <t>3103582294G</t>
  </si>
  <si>
    <t>9780838912720</t>
  </si>
  <si>
    <t>794983565</t>
  </si>
  <si>
    <t>Z718.7 I58 2011</t>
  </si>
  <si>
    <t>0                      Z  0718700I  58          2011</t>
  </si>
  <si>
    <t>Homework help from the library : in person and online / Carol F. Intner.</t>
  </si>
  <si>
    <t>Intner, Carol F.</t>
  </si>
  <si>
    <t>690354131:eng</t>
  </si>
  <si>
    <t>674930278</t>
  </si>
  <si>
    <t>ocn674930278</t>
  </si>
  <si>
    <t>31033446421</t>
  </si>
  <si>
    <t>9780838910467</t>
  </si>
  <si>
    <t>794849620</t>
  </si>
  <si>
    <t>Z718.7 M35 2009</t>
  </si>
  <si>
    <t>0                      Z  0718700M  35          2009</t>
  </si>
  <si>
    <t>Library Rx : measuring and treating library anxiety : a research study / Martina Malvasi, Catherine Rudowsky, Jesus M. Valencia.</t>
  </si>
  <si>
    <t>Malvasi, Martina.</t>
  </si>
  <si>
    <t>891378505:eng</t>
  </si>
  <si>
    <t>310714520</t>
  </si>
  <si>
    <t>ocn310714520</t>
  </si>
  <si>
    <t>3103085936P</t>
  </si>
  <si>
    <t>9780838984994</t>
  </si>
  <si>
    <t>794435680</t>
  </si>
  <si>
    <t>Z718.7 M435 2018</t>
  </si>
  <si>
    <t>0                      Z  0718700M  435         2018</t>
  </si>
  <si>
    <t>Creating and managing the full-service homework center / Cindy Mediavilla.</t>
  </si>
  <si>
    <t>Mediavilla, Cindy, 1953- author.</t>
  </si>
  <si>
    <t>4523507150:eng</t>
  </si>
  <si>
    <t>1004981635</t>
  </si>
  <si>
    <t>on1004981635</t>
  </si>
  <si>
    <t>3103740325D</t>
  </si>
  <si>
    <t>9780838916186</t>
  </si>
  <si>
    <t>795042302</t>
  </si>
  <si>
    <t>Z718.7 S48 2007</t>
  </si>
  <si>
    <t>0                      Z  0718700S  48          2007</t>
  </si>
  <si>
    <t>Bringing classes into the public library : a handbook for librarians / Martha Seif Simpson and Lucretia I. Duwel.</t>
  </si>
  <si>
    <t>Simpson, Martha Seif, 1954-</t>
  </si>
  <si>
    <t>62571849:eng</t>
  </si>
  <si>
    <t>76794721</t>
  </si>
  <si>
    <t>ocm76794721</t>
  </si>
  <si>
    <t>3102595865V</t>
  </si>
  <si>
    <t>9780786428069</t>
  </si>
  <si>
    <t>794176845</t>
  </si>
  <si>
    <t>Z718.75 F87 2008</t>
  </si>
  <si>
    <t>0                      Z  0718750F  87          2008</t>
  </si>
  <si>
    <t>Helping homeschoolers in the library / Adrienne Furness.</t>
  </si>
  <si>
    <t>Furness, Adrienne.</t>
  </si>
  <si>
    <t>114134682:eng</t>
  </si>
  <si>
    <t>173243722</t>
  </si>
  <si>
    <t>ocn173243722</t>
  </si>
  <si>
    <t>3102653378T</t>
  </si>
  <si>
    <t>9780838909553</t>
  </si>
  <si>
    <t>794265840</t>
  </si>
  <si>
    <t>Z718.8 G47 2007</t>
  </si>
  <si>
    <t>0                      Z  0718800G  47          2007</t>
  </si>
  <si>
    <t>The accidental technology trainer : a guide for libraries / Stephanie Gerding.</t>
  </si>
  <si>
    <t>Gerding, Stephanie K.</t>
  </si>
  <si>
    <t>797239362:eng</t>
  </si>
  <si>
    <t>166391433</t>
  </si>
  <si>
    <t>ocn166391433</t>
  </si>
  <si>
    <t>31026485984</t>
  </si>
  <si>
    <t>9781573872690</t>
  </si>
  <si>
    <t>794261397</t>
  </si>
  <si>
    <t>Z718.8 G55 2012</t>
  </si>
  <si>
    <t>0                      Z  0718800G  55          2012</t>
  </si>
  <si>
    <t>Lifelong learning in public libraries : principles, programs, and people / Donna L. Gilton.</t>
  </si>
  <si>
    <t>Gilton, Donna L.</t>
  </si>
  <si>
    <t>1097993713:eng</t>
  </si>
  <si>
    <t>759175616</t>
  </si>
  <si>
    <t>ocn759175616</t>
  </si>
  <si>
    <t>31034316786</t>
  </si>
  <si>
    <t>9780810883567</t>
  </si>
  <si>
    <t>794897187</t>
  </si>
  <si>
    <t>Z718.85 B47 2013</t>
  </si>
  <si>
    <t>0                      Z  0718850B  47          2013</t>
  </si>
  <si>
    <t>The survey of best practices in developing online information literacy tutorials / [Jennifer Holland, Erica DeFrain, Yvonne Mery].</t>
  </si>
  <si>
    <t>Holland, Jennifer, author.</t>
  </si>
  <si>
    <t>1372765336:eng</t>
  </si>
  <si>
    <t>854610105</t>
  </si>
  <si>
    <t>ocn854610105</t>
  </si>
  <si>
    <t>3103502385I</t>
  </si>
  <si>
    <t>9781574402476</t>
  </si>
  <si>
    <t>794952569</t>
  </si>
  <si>
    <t>Z718.85 S87 2011</t>
  </si>
  <si>
    <t>0                      Z  0718850S  87          2011</t>
  </si>
  <si>
    <t>The survey of library services for distance learning programs, 2011-12 edition.</t>
  </si>
  <si>
    <t>New York, N.Y. : Primary Research Group Inc., 2011.</t>
  </si>
  <si>
    <t>2867753594:eng</t>
  </si>
  <si>
    <t>754728855</t>
  </si>
  <si>
    <t>ocn754728855</t>
  </si>
  <si>
    <t>3103385178N</t>
  </si>
  <si>
    <t>9781574401752</t>
  </si>
  <si>
    <t>794893084</t>
  </si>
  <si>
    <t>Z720 A4 L48 1997</t>
  </si>
  <si>
    <t>0                      Z  0720000A  4                  L  48          1997</t>
  </si>
  <si>
    <t>Liberating minds : the stories and professional lives of gay, lesbian, and bisexual librarians and their advocates / edited by Norman G. Kester.</t>
  </si>
  <si>
    <t>Jefferson, N.C. : McFarland, 1997.</t>
  </si>
  <si>
    <t>2016-05-12</t>
  </si>
  <si>
    <t>837065430:eng</t>
  </si>
  <si>
    <t>36284005</t>
  </si>
  <si>
    <t>ocm36284005</t>
  </si>
  <si>
    <t>3101741789J</t>
  </si>
  <si>
    <t>9780786403639</t>
  </si>
  <si>
    <t>793471560</t>
  </si>
  <si>
    <t>Z720 A46 I83 2009</t>
  </si>
  <si>
    <t>0                      Z  0720000A  46                 I  83          2009</t>
  </si>
  <si>
    <t>Dizionario dei bibliotecari e bibliografi italiani : dal XVI al XX secolo / Enzo Bottasso ; a cura di Roberto Alciati.</t>
  </si>
  <si>
    <t>Bottasso, Enzo.</t>
  </si>
  <si>
    <t>[Montevarchi, Italy] : Accademia valdarnese del Poggio, [2009]</t>
  </si>
  <si>
    <t>504969525:ita</t>
  </si>
  <si>
    <t>526214442</t>
  </si>
  <si>
    <t>ocn526214442</t>
  </si>
  <si>
    <t>31037189068</t>
  </si>
  <si>
    <t>9788890430312</t>
  </si>
  <si>
    <t>794809166</t>
  </si>
  <si>
    <t>Z720 B83 A3 2004</t>
  </si>
  <si>
    <t>0                      Z  0720000B  83                 A  3           2004</t>
  </si>
  <si>
    <t>Regard sur l'évolution des bibliothèques québécoises : récit d'un itinéraire professionnel / Jean-Rémi Brault.</t>
  </si>
  <si>
    <t>Brault, Jean-Rémi, 1926-</t>
  </si>
  <si>
    <t>Montréal : Éditions Asted, 2004.</t>
  </si>
  <si>
    <t>1867772:fre</t>
  </si>
  <si>
    <t>55958998</t>
  </si>
  <si>
    <t>ocm55958998</t>
  </si>
  <si>
    <t>31024376023</t>
  </si>
  <si>
    <t>9782921548731</t>
  </si>
  <si>
    <t>793884539</t>
  </si>
  <si>
    <t>Z720 H67 A3 1995</t>
  </si>
  <si>
    <t>0                      Z  0720000H  67                 A  3           1995</t>
  </si>
  <si>
    <t>Zoia! : memoirs of Zoia Horn, battler for people's right to know.</t>
  </si>
  <si>
    <t>Horn, Zoia.</t>
  </si>
  <si>
    <t>Jefferson, N.C. : McFarland &amp; Co., ©1995.</t>
  </si>
  <si>
    <t>289119126:eng</t>
  </si>
  <si>
    <t>31740178</t>
  </si>
  <si>
    <t>ocm31740178</t>
  </si>
  <si>
    <t>3101489786J</t>
  </si>
  <si>
    <t>9780786400713</t>
  </si>
  <si>
    <t>793366906</t>
  </si>
  <si>
    <t>Z720 M2 A4 2012</t>
  </si>
  <si>
    <t>0                      Z  0720000M  2                  A  4           2012</t>
  </si>
  <si>
    <t>Lettere di Antonio Magliabechi a Leopoldo de' Medici : 1666-1675 / [a cura di] Alfonso Mirto ; prefazione di Fabrizio Lomonaco.</t>
  </si>
  <si>
    <t>Magliabechi, Antonio, 1633-1714.</t>
  </si>
  <si>
    <t>Roma : Aracne, 2012.</t>
  </si>
  <si>
    <t>Ars inveniendi ; 9</t>
  </si>
  <si>
    <t>1206135371:ita</t>
  </si>
  <si>
    <t>826639364</t>
  </si>
  <si>
    <t>ocn826639364</t>
  </si>
  <si>
    <t>3103624222M</t>
  </si>
  <si>
    <t>9788854853713</t>
  </si>
  <si>
    <t>794939224</t>
  </si>
  <si>
    <t>Z720 M28 S5</t>
  </si>
  <si>
    <t>0                      Z  0720000M  28                 S  5</t>
  </si>
  <si>
    <t>Problems and policies of Malesherbes as directeur de la librairie in France, 1750-1763 / [by] Edward P. Shaw.</t>
  </si>
  <si>
    <t>Shaw, Edward Pease, 1911- author.</t>
  </si>
  <si>
    <t>[Albany] : State University of New York, [1966]</t>
  </si>
  <si>
    <t>1825720:eng</t>
  </si>
  <si>
    <t>860910</t>
  </si>
  <si>
    <t>ocm00860910</t>
  </si>
  <si>
    <t>3000856093$</t>
  </si>
  <si>
    <t>791489320</t>
  </si>
  <si>
    <t>Z720 P2 M33 1963</t>
  </si>
  <si>
    <t>0                      Z  0720000P  2                  M  33          1963</t>
  </si>
  <si>
    <t>Antonio Panizzi as administrator.</t>
  </si>
  <si>
    <t>McCrimmon, Barbara.</t>
  </si>
  <si>
    <t>University of Illinois (Urbana-Champaign campus). Graduate School of Library Science. Occasional papers, no. 68</t>
  </si>
  <si>
    <t>1710585:eng</t>
  </si>
  <si>
    <t>577732</t>
  </si>
  <si>
    <t>ocm00577732</t>
  </si>
  <si>
    <t>3101018470A</t>
  </si>
  <si>
    <t>791419575</t>
  </si>
  <si>
    <t>Z720 P2 M5</t>
  </si>
  <si>
    <t>0                      Z  0720000P  2                  M  5</t>
  </si>
  <si>
    <t>Prince of librarians; the life and times of Antonio Panizzi of the British Museum.</t>
  </si>
  <si>
    <t>Miller, Edward, 1914-1980.</t>
  </si>
  <si>
    <t>Athens, Ohio University Press [1967]</t>
  </si>
  <si>
    <t>287719500:eng</t>
  </si>
  <si>
    <t>575186</t>
  </si>
  <si>
    <t>ocm00575186</t>
  </si>
  <si>
    <t>3000856106G</t>
  </si>
  <si>
    <t>791418823</t>
  </si>
  <si>
    <t>Z720 P64 P64</t>
  </si>
  <si>
    <t>0                      Z  0720000P  64                 P  64</t>
  </si>
  <si>
    <t>Bookman's progress : the selected writings of Lawrence Clark Powell / with an introduction by William Targ.</t>
  </si>
  <si>
    <t>Powell, Lawrence Clark, 1906-2001, author.</t>
  </si>
  <si>
    <t>[Los Angeles] : Ward Ritchie Press, 1968.</t>
  </si>
  <si>
    <t>2016-02-13</t>
  </si>
  <si>
    <t>118026909:eng</t>
  </si>
  <si>
    <t>443063</t>
  </si>
  <si>
    <t>ocm00443063</t>
  </si>
  <si>
    <t>3000856109A</t>
  </si>
  <si>
    <t>791380047</t>
  </si>
  <si>
    <t>Z720 S527 W75 1988</t>
  </si>
  <si>
    <t>0                      Z  0720000S  527                W  75          1988</t>
  </si>
  <si>
    <t>Jesse Shera, librarianship and information science / by H. Curtis Wright.</t>
  </si>
  <si>
    <t>Wright, H. Curtis (Herbert Curtis), 1928-2012.</t>
  </si>
  <si>
    <t>Provo, Utah : School of Library and Information Sciences, Brigham Young University, 1988.</t>
  </si>
  <si>
    <t>Occasional research paper / School of Library and Information Science, Brigham Young University, 0148-2068 ; no. 5</t>
  </si>
  <si>
    <t>2018-07-31</t>
  </si>
  <si>
    <t>18255748:eng</t>
  </si>
  <si>
    <t>18904308</t>
  </si>
  <si>
    <t>ocm18904308</t>
  </si>
  <si>
    <t>31036790280</t>
  </si>
  <si>
    <t>793040752</t>
  </si>
  <si>
    <t>Z720 W37 W4 1989</t>
  </si>
  <si>
    <t>0                      Z  0720000W  37                 W  4           1989</t>
  </si>
  <si>
    <t>Wanderlust : Ruth Jacobs Wertheimer, a peripatetic librarian / by Leonard Wertheimer.</t>
  </si>
  <si>
    <t>Wertheimer, Leonard, 1914-</t>
  </si>
  <si>
    <t>[Toronto] : Infolit, 1989.</t>
  </si>
  <si>
    <t>22044681:eng</t>
  </si>
  <si>
    <t>20853671</t>
  </si>
  <si>
    <t>ocm20853671</t>
  </si>
  <si>
    <t>31007526615</t>
  </si>
  <si>
    <t>9780969432104</t>
  </si>
  <si>
    <t>793101557</t>
  </si>
  <si>
    <t>Z721 B28 2003</t>
  </si>
  <si>
    <t>0                      Z  0721000B  28          2003</t>
  </si>
  <si>
    <t>Library : an Unquiet History / Matthew Battles.</t>
  </si>
  <si>
    <t>Battles, Matthew, author.</t>
  </si>
  <si>
    <t>New York ; London : W.W. Norton &amp; Company, [2003]</t>
  </si>
  <si>
    <t>690225:eng</t>
  </si>
  <si>
    <t>51305782</t>
  </si>
  <si>
    <t>ocm51305782</t>
  </si>
  <si>
    <t>3102560236G</t>
  </si>
  <si>
    <t>9780393020298</t>
  </si>
  <si>
    <t>793782706</t>
  </si>
  <si>
    <t>3102500592P</t>
  </si>
  <si>
    <t>793782707</t>
  </si>
  <si>
    <t>Z721 B585 2009</t>
  </si>
  <si>
    <t>0                      Z  0721000B  585         2009</t>
  </si>
  <si>
    <t>Les bibliothèques, entre imaginaires et réalités : actes des colloques Bibliothèques en fiction (8-9 juin 2006) et Bibliothèques et collections (25-26 janvier 2007), Université d'Artois, Textes &amp; Cultures / études réunies par Claudine Nédelec.</t>
  </si>
  <si>
    <t>Arras : Artois Presses Université, ©2009.</t>
  </si>
  <si>
    <t>Études littéraires et linguistiques</t>
  </si>
  <si>
    <t>891669312:fre</t>
  </si>
  <si>
    <t>438966132</t>
  </si>
  <si>
    <t>ocn438966132</t>
  </si>
  <si>
    <t>3103226038T</t>
  </si>
  <si>
    <t>9782848320977</t>
  </si>
  <si>
    <t>794786177</t>
  </si>
  <si>
    <t>Z721 C22 2013</t>
  </si>
  <si>
    <t>0                      Z  0721000C  22          2013</t>
  </si>
  <si>
    <t>The library : a world history / James W.P. Campbell ; photographs by Will Pryce.</t>
  </si>
  <si>
    <t>Campbell, James W. P., author.</t>
  </si>
  <si>
    <t>London : Thames &amp; Hudson, 2013.</t>
  </si>
  <si>
    <t>1412661969:eng</t>
  </si>
  <si>
    <t>862806821</t>
  </si>
  <si>
    <t>ocn862806821</t>
  </si>
  <si>
    <t>3103504715C</t>
  </si>
  <si>
    <t>9780500342886</t>
  </si>
  <si>
    <t>794960612</t>
  </si>
  <si>
    <t>Z721 D86 2006</t>
  </si>
  <si>
    <t>0                      Z  0721000D  86          2006</t>
  </si>
  <si>
    <t>D'une antiquité l'autre : la littérature antique classique dans les bibliothèques du XVe au XIXe siècle / sous la direction de Catherine Volpilhac-Auger ; avec les contributions de Annie Charon-Parent [and others].</t>
  </si>
  <si>
    <t>Lyon : ENS Editions, Institut d'histoire du livre, 2006.</t>
  </si>
  <si>
    <t>Métamorphoses du livre, 1775-7053</t>
  </si>
  <si>
    <t>890695336:fre</t>
  </si>
  <si>
    <t>70218675</t>
  </si>
  <si>
    <t>ocm70218675</t>
  </si>
  <si>
    <t>31026674941</t>
  </si>
  <si>
    <t>9782847880922</t>
  </si>
  <si>
    <t>794150933</t>
  </si>
  <si>
    <t>Z721 E54 1994</t>
  </si>
  <si>
    <t>0                      Z  0721000E  54          1994</t>
  </si>
  <si>
    <t>Encyclopedia of library history / edited by Wayne A. Wiegand and Donald G. Davis, Jr.</t>
  </si>
  <si>
    <t>Garland reference library of social science ; vol. 503</t>
  </si>
  <si>
    <t>351443142:eng</t>
  </si>
  <si>
    <t>28375376</t>
  </si>
  <si>
    <t>ocm28375376</t>
  </si>
  <si>
    <t>3103523501E</t>
  </si>
  <si>
    <t>9780824057879</t>
  </si>
  <si>
    <t>793286507</t>
  </si>
  <si>
    <t>Z721 E74 1957</t>
  </si>
  <si>
    <t>0                      Z  0721000E  74          1957</t>
  </si>
  <si>
    <t>National libraries of the world; their history, administration and public services.</t>
  </si>
  <si>
    <t>Esdaile, Arundell James Kennedy, 1880-1956.</t>
  </si>
  <si>
    <t>London, Library Assn., 1957.</t>
  </si>
  <si>
    <t>2d ed., completely rev. by F.J. Hill.</t>
  </si>
  <si>
    <t>474447478:eng</t>
  </si>
  <si>
    <t>768573</t>
  </si>
  <si>
    <t>ocm00768573</t>
  </si>
  <si>
    <t>30008561464</t>
  </si>
  <si>
    <t>791466001</t>
  </si>
  <si>
    <t>Z721 G56 2009</t>
  </si>
  <si>
    <t>0                      Z  0721000G  56          2009</t>
  </si>
  <si>
    <t>Global library and information science : a textbook for students and educators : with contributions from Africa, Asia, Australia, New Zealand, Europe, Latin America and the Caribbean, the Middle East, and North America / edited by Ismail Abdullahi.</t>
  </si>
  <si>
    <t>München : K.G. Saur, 2009.</t>
  </si>
  <si>
    <t>IFLA publications ; 136-137</t>
  </si>
  <si>
    <t>5453818306:eng</t>
  </si>
  <si>
    <t>319794585</t>
  </si>
  <si>
    <t>ocn319794585</t>
  </si>
  <si>
    <t>31031034672</t>
  </si>
  <si>
    <t>9783598220425</t>
  </si>
  <si>
    <t>794484584</t>
  </si>
  <si>
    <t>Z721 H227 1984</t>
  </si>
  <si>
    <t>0                      Z  0721000H  227         1984</t>
  </si>
  <si>
    <t>History of libraries in the western world / Michael H. Harris.</t>
  </si>
  <si>
    <t>Compact textbook ed.</t>
  </si>
  <si>
    <t>2017-03-28</t>
  </si>
  <si>
    <t>3226124:eng</t>
  </si>
  <si>
    <t>10072899</t>
  </si>
  <si>
    <t>ocm10072899</t>
  </si>
  <si>
    <t>3000845698D</t>
  </si>
  <si>
    <t>9780810816664</t>
  </si>
  <si>
    <t>792707665</t>
  </si>
  <si>
    <t>Z721 H227 1995</t>
  </si>
  <si>
    <t>0                      Z  0721000H  227         1995</t>
  </si>
  <si>
    <t>History of libraries in the western world / by Michael H. Harris.</t>
  </si>
  <si>
    <t>31435460</t>
  </si>
  <si>
    <t>ocm31435460</t>
  </si>
  <si>
    <t>3102944428J</t>
  </si>
  <si>
    <t>9780810829725</t>
  </si>
  <si>
    <t>793361298</t>
  </si>
  <si>
    <t>Z721 H582 1955</t>
  </si>
  <si>
    <t>0                      Z  0721000H  582         1955</t>
  </si>
  <si>
    <t>A history of libraries.</t>
  </si>
  <si>
    <t>Hessel, Alfred, 1877-1939.</t>
  </si>
  <si>
    <t>New Brunswick, N.J., Scarecrow Press, 1955 [©1950]</t>
  </si>
  <si>
    <t>Reuben Peiss memorial ed.</t>
  </si>
  <si>
    <t>1151008913:eng</t>
  </si>
  <si>
    <t>597331</t>
  </si>
  <si>
    <t>ocm00597331</t>
  </si>
  <si>
    <t>3102734765J</t>
  </si>
  <si>
    <t>791424517</t>
  </si>
  <si>
    <t>Z721 H582 2001</t>
  </si>
  <si>
    <t>0                      Z  0721000H  582         2001</t>
  </si>
  <si>
    <t>The memory of mankind : the story of libraries since the dawn of history / [edited by] Don Heinrich Tolzmann, [written by] Alfred Hessel, and [translated by] Reuben Peiss.</t>
  </si>
  <si>
    <t>New Castle, Del. : Oak Knoll Press, 2001.</t>
  </si>
  <si>
    <t>2864322142:eng</t>
  </si>
  <si>
    <t>45618293</t>
  </si>
  <si>
    <t>ocm45618293</t>
  </si>
  <si>
    <t>3102283137F</t>
  </si>
  <si>
    <t>9781584560494</t>
  </si>
  <si>
    <t>793674854</t>
  </si>
  <si>
    <t>Z721 H66</t>
  </si>
  <si>
    <t>0                      Z  0721000H  66</t>
  </si>
  <si>
    <t>Great libraries [by] Anthony Hobson.</t>
  </si>
  <si>
    <t>Hobson, Anthony, 1921-2014.</t>
  </si>
  <si>
    <t>London, Weidenfeld &amp; Nicolson, 1970.</t>
  </si>
  <si>
    <t>1260419:eng</t>
  </si>
  <si>
    <t>129214</t>
  </si>
  <si>
    <t>ocm00129214</t>
  </si>
  <si>
    <t>3102741761Q</t>
  </si>
  <si>
    <t>9780297000990</t>
  </si>
  <si>
    <t>791265902</t>
  </si>
  <si>
    <t>Z721 I572 2001</t>
  </si>
  <si>
    <t>0                      Z  0721000I  572         2001</t>
  </si>
  <si>
    <t>International dictionary of library histories / editor, David H. Stam.</t>
  </si>
  <si>
    <t>Chicago : Fitzroy Dearborn Publishers, 2001.</t>
  </si>
  <si>
    <t>2013-04-22</t>
  </si>
  <si>
    <t>5188399840:eng</t>
  </si>
  <si>
    <t>46944624</t>
  </si>
  <si>
    <t>ocm46944624</t>
  </si>
  <si>
    <t>3102167944P</t>
  </si>
  <si>
    <t>9781579582449</t>
  </si>
  <si>
    <t>793695146</t>
  </si>
  <si>
    <t>3102167948H</t>
  </si>
  <si>
    <t>793695147</t>
  </si>
  <si>
    <t>Z721 J245</t>
  </si>
  <si>
    <t>0                      Z  0721000J  245</t>
  </si>
  <si>
    <t>Libraries and librarianship in the West: a brief history [by] Sidney L. Jackson.</t>
  </si>
  <si>
    <t>Jackson, Sidney L. (Sidney Louis), 1914-1979.</t>
  </si>
  <si>
    <t>New York, McGraw-Hill [1974]</t>
  </si>
  <si>
    <t>1220289007:eng</t>
  </si>
  <si>
    <t>695744</t>
  </si>
  <si>
    <t>ocm00695744</t>
  </si>
  <si>
    <t>3103706300N</t>
  </si>
  <si>
    <t>9780070321182</t>
  </si>
  <si>
    <t>791448369</t>
  </si>
  <si>
    <t>Z721 J44</t>
  </si>
  <si>
    <t>0                      Z  0721000J  44</t>
  </si>
  <si>
    <t>Libraries and society, by G. Jefferson.</t>
  </si>
  <si>
    <t>Jefferson, George (Writer on librarianship)</t>
  </si>
  <si>
    <t>Cambridge, James Clarke, 1969.</t>
  </si>
  <si>
    <t>Aspects of librarianship series</t>
  </si>
  <si>
    <t>146555536:eng</t>
  </si>
  <si>
    <t>90763</t>
  </si>
  <si>
    <t>ocm00090763</t>
  </si>
  <si>
    <t>30008561618</t>
  </si>
  <si>
    <t>791252214</t>
  </si>
  <si>
    <t>Z721 J6 1973</t>
  </si>
  <si>
    <t>0                      Z  0721000J  6           1973</t>
  </si>
  <si>
    <t>Communication; an introduction to the history of writing, printing, books, and libraries, by Elmer D. Johnson.</t>
  </si>
  <si>
    <t>Johnson, Elmer D.</t>
  </si>
  <si>
    <t>1585956:eng</t>
  </si>
  <si>
    <t>549304</t>
  </si>
  <si>
    <t>ocm00549304</t>
  </si>
  <si>
    <t>3103735701T</t>
  </si>
  <si>
    <t>9780810805880</t>
  </si>
  <si>
    <t>791411175</t>
  </si>
  <si>
    <t>Z721 J63</t>
  </si>
  <si>
    <t>0                      Z  0721000J  63</t>
  </si>
  <si>
    <t>A history of libraries in the Western World.</t>
  </si>
  <si>
    <t>Johnson, Elmer Douglas, 1915-</t>
  </si>
  <si>
    <t>New York, Scarecrow Press, 1965.</t>
  </si>
  <si>
    <t>575208</t>
  </si>
  <si>
    <t>ocm00575208</t>
  </si>
  <si>
    <t>3000856166Z</t>
  </si>
  <si>
    <t>791418830</t>
  </si>
  <si>
    <t>Z721 J63 1970</t>
  </si>
  <si>
    <t>0                      Z  0721000J  63          1970</t>
  </si>
  <si>
    <t>History of libraries in the Western world / by Elmer D. Johnson.</t>
  </si>
  <si>
    <t>Johnson, Elmer D., author.</t>
  </si>
  <si>
    <t>Metuchen, N.J. : The Scarecrow Press, Inc., 1970.</t>
  </si>
  <si>
    <t>68231</t>
  </si>
  <si>
    <t>ocm00068231</t>
  </si>
  <si>
    <t>3000856168V</t>
  </si>
  <si>
    <t>9780810802834</t>
  </si>
  <si>
    <t>791245214</t>
  </si>
  <si>
    <t>Z721 J63 1976</t>
  </si>
  <si>
    <t>0                      Z  0721000J  63          1976</t>
  </si>
  <si>
    <t>History of libraries in the Western World / by Elmer D. Johnson and Michael H. Harris.</t>
  </si>
  <si>
    <t>3d ed., completely rev.</t>
  </si>
  <si>
    <t>5610458985:eng</t>
  </si>
  <si>
    <t>2373005</t>
  </si>
  <si>
    <t>ocm02373005</t>
  </si>
  <si>
    <t>3000856169T</t>
  </si>
  <si>
    <t>9780810809499</t>
  </si>
  <si>
    <t>792111335</t>
  </si>
  <si>
    <t>Z721 K37 1930</t>
  </si>
  <si>
    <t>0                      Z  0721000K  37          1930</t>
  </si>
  <si>
    <t>Libraries &amp; museums, by Sir Frederic Kenyon.</t>
  </si>
  <si>
    <t>London, E. Benn, Limited [1930]</t>
  </si>
  <si>
    <t>Benn's sixpenny library ; no. 100</t>
  </si>
  <si>
    <t>889953082:eng</t>
  </si>
  <si>
    <t>4215460</t>
  </si>
  <si>
    <t>ocm04215460</t>
  </si>
  <si>
    <t>3000863250I</t>
  </si>
  <si>
    <t>792331681</t>
  </si>
  <si>
    <t>Z721 K45 2018</t>
  </si>
  <si>
    <t>0                      Z  0721000K  45          2018</t>
  </si>
  <si>
    <t>The library : a catalogue of wonders / Stuart Kells.</t>
  </si>
  <si>
    <t>Kells, Stuart, author.</t>
  </si>
  <si>
    <t>Berkeley, CA : Counterpoint, 2018.</t>
  </si>
  <si>
    <t>First Counterpoint hardcover edition.</t>
  </si>
  <si>
    <t>2019-11-27</t>
  </si>
  <si>
    <t>4799735976:eng</t>
  </si>
  <si>
    <t>1003797025</t>
  </si>
  <si>
    <t>on1003797025</t>
  </si>
  <si>
    <t>3103738047I</t>
  </si>
  <si>
    <t>9781640090200</t>
  </si>
  <si>
    <t>795041672</t>
  </si>
  <si>
    <t>Z721 L5 1965</t>
  </si>
  <si>
    <t>0                      Z  0721000L  5           1965</t>
  </si>
  <si>
    <t>Approaches to library history; proceedings. Edited by John David Marshall.</t>
  </si>
  <si>
    <t>Library History Seminar (2nd : 1965 : Florida State University)</t>
  </si>
  <si>
    <t>Tallahassee, Journal of library history, 1966.</t>
  </si>
  <si>
    <t>4020515118:eng</t>
  </si>
  <si>
    <t>430628</t>
  </si>
  <si>
    <t>ocm00430628</t>
  </si>
  <si>
    <t>30008561715</t>
  </si>
  <si>
    <t>791376813</t>
  </si>
  <si>
    <t>Z721 L565 1998</t>
  </si>
  <si>
    <t>0                      Z  0721000L  565         1998</t>
  </si>
  <si>
    <t>The story of libraries : from the invention of writing to the computer age / Fred Lerner.</t>
  </si>
  <si>
    <t>Lerner, Frederick Andrew, 1945-</t>
  </si>
  <si>
    <t>New York : Continuum, 2001, ©1998.</t>
  </si>
  <si>
    <t>7303172:eng</t>
  </si>
  <si>
    <t>39001197</t>
  </si>
  <si>
    <t>ocm39001197</t>
  </si>
  <si>
    <t>31019491580</t>
  </si>
  <si>
    <t>9780826411143</t>
  </si>
  <si>
    <t>793535511</t>
  </si>
  <si>
    <t>Z721 L565 2009</t>
  </si>
  <si>
    <t>0                      Z  0721000L  565         2009</t>
  </si>
  <si>
    <t>New York : Continuum, ©2009.</t>
  </si>
  <si>
    <t>428777216</t>
  </si>
  <si>
    <t>ocn428777216</t>
  </si>
  <si>
    <t>3103156143F</t>
  </si>
  <si>
    <t>9780826429902</t>
  </si>
  <si>
    <t>794778809</t>
  </si>
  <si>
    <t>Z721 L6 1998</t>
  </si>
  <si>
    <t>0                      Z  0721000L  6           1998</t>
  </si>
  <si>
    <t>Libraries : global reach, local touch / edited by Kathleen de la Peña McCook, Barbara J. Ford, and Kate Lippincott.</t>
  </si>
  <si>
    <t>143354900:eng</t>
  </si>
  <si>
    <t>38856035</t>
  </si>
  <si>
    <t>ocm38856035</t>
  </si>
  <si>
    <t>3101894578H</t>
  </si>
  <si>
    <t>9780838907382</t>
  </si>
  <si>
    <t>793531445</t>
  </si>
  <si>
    <t>Z721 L642 2012</t>
  </si>
  <si>
    <t>0                      Z  0721000L  642         2012</t>
  </si>
  <si>
    <t>Libraries and archives : a comparative study / Tomas Lidman.</t>
  </si>
  <si>
    <t>Lidman, Tomas, 1948-</t>
  </si>
  <si>
    <t>1105210778:eng</t>
  </si>
  <si>
    <t>807567411</t>
  </si>
  <si>
    <t>ocn807567411</t>
  </si>
  <si>
    <t>3103499019B</t>
  </si>
  <si>
    <t>9781843346425</t>
  </si>
  <si>
    <t>794927260</t>
  </si>
  <si>
    <t>Z721 L643 1989</t>
  </si>
  <si>
    <t>0                      Z  0721000L  643         1989</t>
  </si>
  <si>
    <t>A history of information science, 1945-1985 / Dorothy B. Lilley, Ronald W. Trice.</t>
  </si>
  <si>
    <t>Lilley, Dorothy B.</t>
  </si>
  <si>
    <t>San Diego : Academic Press, ©1989.</t>
  </si>
  <si>
    <t>18384522:eng</t>
  </si>
  <si>
    <t>18909337</t>
  </si>
  <si>
    <t>ocm18909337</t>
  </si>
  <si>
    <t>3100749226V</t>
  </si>
  <si>
    <t>9780124500600</t>
  </si>
  <si>
    <t>793041118</t>
  </si>
  <si>
    <t>Z721 M25</t>
  </si>
  <si>
    <t>0                      Z  0721000M  25</t>
  </si>
  <si>
    <t>The reader, the library and the book; selected papers 1949-1970 [by] A.W. McClellan.</t>
  </si>
  <si>
    <t>McClellan, A. W.</t>
  </si>
  <si>
    <t>London, C. Bingley [1973]</t>
  </si>
  <si>
    <t>836664885:eng</t>
  </si>
  <si>
    <t>715154</t>
  </si>
  <si>
    <t>ocm00715154</t>
  </si>
  <si>
    <t>30008561723</t>
  </si>
  <si>
    <t>9780851571645</t>
  </si>
  <si>
    <t>791453726</t>
  </si>
  <si>
    <t>Z721 M28 1963</t>
  </si>
  <si>
    <t>0                      Z  0721000M  28          1963</t>
  </si>
  <si>
    <t>Les bibliothèques, par André Masson et Paule Salvan.</t>
  </si>
  <si>
    <t>Paris, Presses universitaires de France, 1963 [©1961]</t>
  </si>
  <si>
    <t>[2 éd.].</t>
  </si>
  <si>
    <t>"Que sais-je?" Le point des connaissances actuelles, no 944</t>
  </si>
  <si>
    <t>4925987598:fre</t>
  </si>
  <si>
    <t>6132444</t>
  </si>
  <si>
    <t>ocm06132444</t>
  </si>
  <si>
    <t>3000856174$</t>
  </si>
  <si>
    <t>792477302</t>
  </si>
  <si>
    <t>Z721 M36 2009</t>
  </si>
  <si>
    <t>0                      Z  0721000M  36          2009</t>
  </si>
  <si>
    <t>The public library / David McMenemy.</t>
  </si>
  <si>
    <t>McMenemy, David.</t>
  </si>
  <si>
    <t>101340878:eng</t>
  </si>
  <si>
    <t>122284896</t>
  </si>
  <si>
    <t>ocn122284896</t>
  </si>
  <si>
    <t>3102856331D</t>
  </si>
  <si>
    <t>9781856046169</t>
  </si>
  <si>
    <t>794219951</t>
  </si>
  <si>
    <t>Z721 M43 2015</t>
  </si>
  <si>
    <t>0                      Z  0721000M  43          2015</t>
  </si>
  <si>
    <t>The meaning of the library : a cultural history / edited by Alice Crawford.</t>
  </si>
  <si>
    <t>Princeton, New Jersey : Princeton University Press, [2015]</t>
  </si>
  <si>
    <t>2019-11-18</t>
  </si>
  <si>
    <t>2559289826:eng</t>
  </si>
  <si>
    <t>894625451</t>
  </si>
  <si>
    <t>ocn894625451</t>
  </si>
  <si>
    <t>31036073542</t>
  </si>
  <si>
    <t>9780691166391</t>
  </si>
  <si>
    <t>794982908</t>
  </si>
  <si>
    <t>Z721 M45 2004</t>
  </si>
  <si>
    <t>0                      Z  0721000M  45          2004</t>
  </si>
  <si>
    <t>La sagesse du bibliothécaire / Michel Melot.</t>
  </si>
  <si>
    <t>Melot, Michel.</t>
  </si>
  <si>
    <t>Paris : Oeil neuf, ©2004.</t>
  </si>
  <si>
    <t>Sagesse d'un métier</t>
  </si>
  <si>
    <t>348572237:fre</t>
  </si>
  <si>
    <t>54929189</t>
  </si>
  <si>
    <t>ocm54929189</t>
  </si>
  <si>
    <t>31028723819</t>
  </si>
  <si>
    <t>9782915543032</t>
  </si>
  <si>
    <t>793870534</t>
  </si>
  <si>
    <t>Z721 M885 2009</t>
  </si>
  <si>
    <t>0                      Z  0721000M  885         2009</t>
  </si>
  <si>
    <t>The library : an illustrated history / Stuart A.P. Murray ; introduction by Donald G. Davis, Jr. ; foreword by Nicholas A. Basbanes.</t>
  </si>
  <si>
    <t>Murray, Stuart, 1948-</t>
  </si>
  <si>
    <t>New York, NY : Skyhorse Pub. ; Chicago : ALA Editions, 2009.</t>
  </si>
  <si>
    <t>890546914:eng</t>
  </si>
  <si>
    <t>277203534</t>
  </si>
  <si>
    <t>ocn277203534</t>
  </si>
  <si>
    <t>31030807776</t>
  </si>
  <si>
    <t>9781602397064</t>
  </si>
  <si>
    <t>794418760</t>
  </si>
  <si>
    <t>Z721 .P44 2011</t>
  </si>
  <si>
    <t>0                      Z  0721000P  44          2011</t>
  </si>
  <si>
    <t>Perceptions of libraries, 2010 : context and community : a report to the OCLC membership / principal contributors, Cathy De Rosa, Joanne Cantrell, Matthew Carlson, Peggy Gallagher, Janet Hawk, Charlotte Sturtz ; editing, Brad Gauder ; contributors, Diane Cellentani, Tam Dalrymple, Larry Olszewski.</t>
  </si>
  <si>
    <t>Dublin, Ohio : OCLC, ©2011.</t>
  </si>
  <si>
    <t>820046787:eng</t>
  </si>
  <si>
    <t>697520571</t>
  </si>
  <si>
    <t>ocn697520571</t>
  </si>
  <si>
    <t>3103588948I</t>
  </si>
  <si>
    <t>9781556533952</t>
  </si>
  <si>
    <t>794859986</t>
  </si>
  <si>
    <t>Z721 P56 2004</t>
  </si>
  <si>
    <t>0                      Z  0721000P  56          2004</t>
  </si>
  <si>
    <t>Livres en feu : histoire de la destruction sans fin des bibliothèques / Lucien X. Polastron.</t>
  </si>
  <si>
    <t>Polastron, Lucien X.</t>
  </si>
  <si>
    <t>Paris : Denoël, ©2004.</t>
  </si>
  <si>
    <t>Médiations</t>
  </si>
  <si>
    <t>332882559:fre</t>
  </si>
  <si>
    <t>54079347</t>
  </si>
  <si>
    <t>ocm54079347</t>
  </si>
  <si>
    <t>3102557751B</t>
  </si>
  <si>
    <t>9782207255735</t>
  </si>
  <si>
    <t>793856932</t>
  </si>
  <si>
    <t>Z721 P5613 2007</t>
  </si>
  <si>
    <t>0                      Z  0721000P  5613        2007</t>
  </si>
  <si>
    <t>Books on fire : the tumultuous story of the world's great libraries / Lucien X. Polastron ; translated by Jon E. Graham.</t>
  </si>
  <si>
    <t>London : Thames &amp; Hudson, 2007.</t>
  </si>
  <si>
    <t>12899754:eng</t>
  </si>
  <si>
    <t>137313173</t>
  </si>
  <si>
    <t>ocn137313173</t>
  </si>
  <si>
    <t>31025729819</t>
  </si>
  <si>
    <t>9780500513842</t>
  </si>
  <si>
    <t>794233641</t>
  </si>
  <si>
    <t>Z721 P68 1996</t>
  </si>
  <si>
    <t>0                      Z  0721000P  68          1996</t>
  </si>
  <si>
    <t>Le pouvoir des bibliothèques : la mémoire des livres en Occident / sous la direction de Marc Baratin et Christian Jacob.</t>
  </si>
  <si>
    <t>Paris : A. Michel, ©1996.</t>
  </si>
  <si>
    <t>866643896:fre</t>
  </si>
  <si>
    <t>36892620</t>
  </si>
  <si>
    <t>ocm36892620</t>
  </si>
  <si>
    <t>31027349927</t>
  </si>
  <si>
    <t>9782226079015</t>
  </si>
  <si>
    <t>793486854</t>
  </si>
  <si>
    <t>Z721 S26</t>
  </si>
  <si>
    <t>0                      Z  0721000S  26</t>
  </si>
  <si>
    <t>The story of libraries and book-collecting / by Ernest A. Savage.</t>
  </si>
  <si>
    <t>New York : E.P. Dutton [1909]</t>
  </si>
  <si>
    <t>1909</t>
  </si>
  <si>
    <t>The English library</t>
  </si>
  <si>
    <t>1214994:eng</t>
  </si>
  <si>
    <t>7004525</t>
  </si>
  <si>
    <t>ocm07004525</t>
  </si>
  <si>
    <t>3000788859K</t>
  </si>
  <si>
    <t>792535068</t>
  </si>
  <si>
    <t>Z721 S34 2014</t>
  </si>
  <si>
    <t>0                      Z  0721000S  34          2014</t>
  </si>
  <si>
    <t>The library beyond the book / Jeffrey T. Schnapp, Matthew Battles.</t>
  </si>
  <si>
    <t>Cambridge, Massachusetts : Harvard University Press, [2014]</t>
  </si>
  <si>
    <t>MetaLABprojects</t>
  </si>
  <si>
    <t>2034199329:eng</t>
  </si>
  <si>
    <t>861478375</t>
  </si>
  <si>
    <t>ocn861478375</t>
  </si>
  <si>
    <t>31035663937</t>
  </si>
  <si>
    <t>9780674725034</t>
  </si>
  <si>
    <t>794959197</t>
  </si>
  <si>
    <t>3103588647R</t>
  </si>
  <si>
    <t>794959198</t>
  </si>
  <si>
    <t>Z721 S42 1981</t>
  </si>
  <si>
    <t>0                      Z  0721000S  42          1981</t>
  </si>
  <si>
    <t>Library, library science and librarianship : comparative librarianship, methods and practices, a brief survey with stress on India / Benoyendra Sengupta ; in collaboration with Bhubaneswar Chakraborty.</t>
  </si>
  <si>
    <t>Sengupta, Benoyendra, 1910-</t>
  </si>
  <si>
    <t>Calcutta : World Press Private, 1981.</t>
  </si>
  <si>
    <t>320390128:eng</t>
  </si>
  <si>
    <t>61543300</t>
  </si>
  <si>
    <t>ocm61543300</t>
  </si>
  <si>
    <t>3103736205$</t>
  </si>
  <si>
    <t>793974716</t>
  </si>
  <si>
    <t>Z721 S5</t>
  </si>
  <si>
    <t>0                      Z  0721000S  5</t>
  </si>
  <si>
    <t>A primer of comparative librarianship / Sylva Simsova.</t>
  </si>
  <si>
    <t>Simsova, Sylva.</t>
  </si>
  <si>
    <t>London : Bingley, 1982.</t>
  </si>
  <si>
    <t>353581767:eng</t>
  </si>
  <si>
    <t>8552129</t>
  </si>
  <si>
    <t>ocm08552129</t>
  </si>
  <si>
    <t>30008445812</t>
  </si>
  <si>
    <t>9780851573410</t>
  </si>
  <si>
    <t>792626640</t>
  </si>
  <si>
    <t>Z721 W34</t>
  </si>
  <si>
    <t>0                      Z  0721000W  34</t>
  </si>
  <si>
    <t>Libraries and our civilizations : a report prepared for the Governor of the State of New York / by Immanuel Wallerstein and John Frank Stephens.</t>
  </si>
  <si>
    <t>Wallerstein, Immanuel Maurice, 1930-2019.</t>
  </si>
  <si>
    <t>[Albany] : Governor's Conference on Libraries, 1978.</t>
  </si>
  <si>
    <t>6331750:eng</t>
  </si>
  <si>
    <t>4431797</t>
  </si>
  <si>
    <t>ocm04431797</t>
  </si>
  <si>
    <t>3000849029$</t>
  </si>
  <si>
    <t>792349673</t>
  </si>
  <si>
    <t>Z721 W55</t>
  </si>
  <si>
    <t>0                      Z  0721000W  55</t>
  </si>
  <si>
    <t>On the history of libraries and scholarship : a paper presented before the Library History Round Table of the American Library Association, June 26, 1979 / I.R. Willison.</t>
  </si>
  <si>
    <t>Willison, I. R. (Ian R.)</t>
  </si>
  <si>
    <t>Viewpoint series ; no. 4</t>
  </si>
  <si>
    <t>23457074:eng</t>
  </si>
  <si>
    <t>6648428</t>
  </si>
  <si>
    <t>ocm06648428</t>
  </si>
  <si>
    <t>3102768559X</t>
  </si>
  <si>
    <t>9780844403496</t>
  </si>
  <si>
    <t>792514220</t>
  </si>
  <si>
    <t>Z722 A53 2013</t>
  </si>
  <si>
    <t>0                      Z  0722000A  53          2013</t>
  </si>
  <si>
    <t>Ancient libraries / edited by Jason König, Katerina Oikonomopoulou, Greg Woolf.</t>
  </si>
  <si>
    <t>2017-09-05</t>
  </si>
  <si>
    <t>1339519335:eng</t>
  </si>
  <si>
    <t>808009203</t>
  </si>
  <si>
    <t>ocn808009203</t>
  </si>
  <si>
    <t>3103500438X</t>
  </si>
  <si>
    <t>9781107012561</t>
  </si>
  <si>
    <t>794927347</t>
  </si>
  <si>
    <t>Z722 B8</t>
  </si>
  <si>
    <t>0                      Z  0722000B  8</t>
  </si>
  <si>
    <t>Famous libraries of the world : their history, collections and administrations / by Margaret Burton ; under the direction of and with an introduction by Arundell Esdaile.</t>
  </si>
  <si>
    <t>Burton, Margaret, 1892-</t>
  </si>
  <si>
    <t>London : Grafton, 1937.</t>
  </si>
  <si>
    <t>The world's great libraries ; 2</t>
  </si>
  <si>
    <t>3855479977:eng</t>
  </si>
  <si>
    <t>1413784</t>
  </si>
  <si>
    <t>ocm01413784</t>
  </si>
  <si>
    <t>3000856191$</t>
  </si>
  <si>
    <t>791620685</t>
  </si>
  <si>
    <t>Z722 B97</t>
  </si>
  <si>
    <t>0                      Z  0722000B  97</t>
  </si>
  <si>
    <t>The world's earliest libraries, by George Herbert Bushnell.</t>
  </si>
  <si>
    <t>London, Grafton &amp; Co., 1931.</t>
  </si>
  <si>
    <t>2018-03-01</t>
  </si>
  <si>
    <t>2276064:eng</t>
  </si>
  <si>
    <t>3722956</t>
  </si>
  <si>
    <t>ocm03722956</t>
  </si>
  <si>
    <t>3101566373R</t>
  </si>
  <si>
    <t>792284679</t>
  </si>
  <si>
    <t>Z722 C37 2001</t>
  </si>
  <si>
    <t>0                      Z  0722000C  37          2001</t>
  </si>
  <si>
    <t>Libraries in the ancient world / Lionel Casson.</t>
  </si>
  <si>
    <t>Casson, Lionel, 1914-2009.</t>
  </si>
  <si>
    <t>New Haven : Yale University Press, ©2001.</t>
  </si>
  <si>
    <t>2015-03-17</t>
  </si>
  <si>
    <t>315597033:eng</t>
  </si>
  <si>
    <t>45123204</t>
  </si>
  <si>
    <t>ocm45123204</t>
  </si>
  <si>
    <t>3102679043A</t>
  </si>
  <si>
    <t>9780300088090</t>
  </si>
  <si>
    <t>793665021</t>
  </si>
  <si>
    <t>31021065529</t>
  </si>
  <si>
    <t>793665023</t>
  </si>
  <si>
    <t>2014-09-12</t>
  </si>
  <si>
    <t>31026785115</t>
  </si>
  <si>
    <t>793665022</t>
  </si>
  <si>
    <t>Z722 M37 1983</t>
  </si>
  <si>
    <t>0                      Z  0722000M  37          1983</t>
  </si>
  <si>
    <t>History of libraries, ancient and mediaeval / D.N. Marshal.</t>
  </si>
  <si>
    <t>Marshall, D. N.</t>
  </si>
  <si>
    <t>New Delhi : Oxford &amp; IBH, ©1983.</t>
  </si>
  <si>
    <t>314722982:eng</t>
  </si>
  <si>
    <t>427110587</t>
  </si>
  <si>
    <t>ocn427110587</t>
  </si>
  <si>
    <t>31030496371</t>
  </si>
  <si>
    <t>794520538</t>
  </si>
  <si>
    <t>Z722 R52 1963</t>
  </si>
  <si>
    <t>0                      Z  0722000R  52          1963</t>
  </si>
  <si>
    <t>The beginnings of libraries / by Ernest Cushing Richardson.</t>
  </si>
  <si>
    <t>Hamden, Connecticut : Archon Books, 1963.</t>
  </si>
  <si>
    <t>1700701:eng</t>
  </si>
  <si>
    <t>575157</t>
  </si>
  <si>
    <t>ocm00575157</t>
  </si>
  <si>
    <t>3000861966M</t>
  </si>
  <si>
    <t>791418816</t>
  </si>
  <si>
    <t>Z722 R53</t>
  </si>
  <si>
    <t>0                      Z  0722000R  53</t>
  </si>
  <si>
    <t>Biblical libraries; a sketch of library history from 3400 B.C. to A.D. 150, by Ernest Cushing Richardson.</t>
  </si>
  <si>
    <t>Princeton, Princeton University Press 1914.</t>
  </si>
  <si>
    <t>1955435:eng</t>
  </si>
  <si>
    <t>2522516</t>
  </si>
  <si>
    <t>ocm02522516</t>
  </si>
  <si>
    <t>3000788857O</t>
  </si>
  <si>
    <t>792138775</t>
  </si>
  <si>
    <t>Z722 S7313 2013</t>
  </si>
  <si>
    <t>0                      Z  0722000S  7313        2013</t>
  </si>
  <si>
    <t>Books and ideas : the library of Plato and the Academy : chronicle, the role of the reader, the books underlying the Dialogues, publishing procedures, design philosophy / K. Sp. Staikos ; translated by Nikos Koutras ; edited by Alexandra Doumas.</t>
  </si>
  <si>
    <t>New Castle, DE, USA : Oak Knoll Press ; Houten, Netherlands : Hes &amp; De Graaf Publishers ; Athens, Greece : Aton, 2013.</t>
  </si>
  <si>
    <t>1823663980:eng</t>
  </si>
  <si>
    <t>861773861</t>
  </si>
  <si>
    <t>ocn861773861</t>
  </si>
  <si>
    <t>31035308454</t>
  </si>
  <si>
    <t>9781584563242</t>
  </si>
  <si>
    <t>794959660</t>
  </si>
  <si>
    <t>Z722 T47 1962</t>
  </si>
  <si>
    <t>0                      Z  0722000T  47          1962</t>
  </si>
  <si>
    <t>Ancient libraries.</t>
  </si>
  <si>
    <t>Thompson, James Westfall, 1869-1941, author.</t>
  </si>
  <si>
    <t>London, Archon Books [1962]</t>
  </si>
  <si>
    <t>1698845:eng</t>
  </si>
  <si>
    <t>778820</t>
  </si>
  <si>
    <t>ocm00778820</t>
  </si>
  <si>
    <t>30009005383</t>
  </si>
  <si>
    <t>791468092</t>
  </si>
  <si>
    <t>Z722 T66 2010</t>
  </si>
  <si>
    <t>0                      Z  0722000T  66          2010</t>
  </si>
  <si>
    <t>The idea of the library in the ancient world / Yun Lee Too.</t>
  </si>
  <si>
    <t>Too, Yun Lee.</t>
  </si>
  <si>
    <t>Oxford : New York : Oxford University Press, 2010.</t>
  </si>
  <si>
    <t>2012-12-20</t>
  </si>
  <si>
    <t>315433468:eng</t>
  </si>
  <si>
    <t>428033347</t>
  </si>
  <si>
    <t>ocn428033347</t>
  </si>
  <si>
    <t>3103128088H</t>
  </si>
  <si>
    <t>9780199577804</t>
  </si>
  <si>
    <t>794758007</t>
  </si>
  <si>
    <t>Z722 W74</t>
  </si>
  <si>
    <t>0                      Z  0722000W  74</t>
  </si>
  <si>
    <t>The oral antecedents of Greek librarianship / H. Curtis Wright ; foreword by Jesse H. Shera ; afterword by H.J. de Vleeschauwer.</t>
  </si>
  <si>
    <t>Wright, H. Curtis (Herbert Curtis), 1928-2012, author.</t>
  </si>
  <si>
    <t>Provo, Utah : Brigham Young University Press, [1977]</t>
  </si>
  <si>
    <t>6464839:eng</t>
  </si>
  <si>
    <t>2955774</t>
  </si>
  <si>
    <t>ocm02955774</t>
  </si>
  <si>
    <t>30008485016</t>
  </si>
  <si>
    <t>9780842506236</t>
  </si>
  <si>
    <t>792198340</t>
  </si>
  <si>
    <t>Z722.5 A218 1990</t>
  </si>
  <si>
    <t>0                      Z  0722500A  218         1990</t>
  </si>
  <si>
    <t>The life and fate of the ancient Library of Alexandria / Mostafa El-Abbadi.</t>
  </si>
  <si>
    <t>El-Abbadi, Mostafa, author.</t>
  </si>
  <si>
    <t>Paris : UNESCO/UNDP, 1990.</t>
  </si>
  <si>
    <t>394740:eng</t>
  </si>
  <si>
    <t>36101488</t>
  </si>
  <si>
    <t>ocm36101488</t>
  </si>
  <si>
    <t>31019457463</t>
  </si>
  <si>
    <t>9789231026324</t>
  </si>
  <si>
    <t>793466310</t>
  </si>
  <si>
    <t>Z722.5 B58 1991</t>
  </si>
  <si>
    <t>0                      Z  0722500B  58          1991</t>
  </si>
  <si>
    <t>Kallimachos : the Alexandrian Library and the origins of bibliography / Rudolf Blum ; translated from the German by Hans H. Wellisch.</t>
  </si>
  <si>
    <t>Blum, Rudolf, 1909-</t>
  </si>
  <si>
    <t>Madison, Wis. : University of Wisconsin Press, ©1991.</t>
  </si>
  <si>
    <t>Wisconsin studies in classics</t>
  </si>
  <si>
    <t>27308197:eng</t>
  </si>
  <si>
    <t>24246910</t>
  </si>
  <si>
    <t>ocm24246910</t>
  </si>
  <si>
    <t>3100980057Z</t>
  </si>
  <si>
    <t>9780299131708</t>
  </si>
  <si>
    <t>793193514</t>
  </si>
  <si>
    <t>Z722.5 C3513 1990</t>
  </si>
  <si>
    <t>0                      Z  0722500C  3513        1990</t>
  </si>
  <si>
    <t>The vanished library / Luciano Canfora ; translated by Martin Ryle.</t>
  </si>
  <si>
    <t>Canfora, Luciano.</t>
  </si>
  <si>
    <t>Berkeley : University of California Press, 1989.</t>
  </si>
  <si>
    <t>Hellenistic culture and society ; 7</t>
  </si>
  <si>
    <t>1151374735:eng</t>
  </si>
  <si>
    <t>21672438</t>
  </si>
  <si>
    <t>ocm21672438</t>
  </si>
  <si>
    <t>3100878624$</t>
  </si>
  <si>
    <t>9780520073043</t>
  </si>
  <si>
    <t>793125224</t>
  </si>
  <si>
    <t>Z722.5 C3514 1988</t>
  </si>
  <si>
    <t>0                      Z  0722500C  3514        1988</t>
  </si>
  <si>
    <t>La véritable histoire de la bibliothèque dA̓lexandrie / Luciano Canfora ; trad. de li̓talien par Jean-Paul Manganaro et Danielle Dubroca.</t>
  </si>
  <si>
    <t>Paris : Desjonquères, 1988.</t>
  </si>
  <si>
    <t>Les chemins de lI̓talie.</t>
  </si>
  <si>
    <t>1151374735:fre</t>
  </si>
  <si>
    <t>18170363</t>
  </si>
  <si>
    <t>ocm18170363</t>
  </si>
  <si>
    <t>3102439762H</t>
  </si>
  <si>
    <t>9782904227240</t>
  </si>
  <si>
    <t>793016469</t>
  </si>
  <si>
    <t>Z722.5 I58 1990</t>
  </si>
  <si>
    <t>0                      Z  0722500I  58          1990</t>
  </si>
  <si>
    <t>Commemoration of the inaugural session / International Commission for the Revival of the Ancient Library of Alexandria = Livre d'or de la première session / Commission internationale pour la renaissance de l'ancienne Bibliothèque d'Alexandrie = Waqāʼiʻ al-dawrah al-iftitāḥīyah / al- Lajnah al-Dawlīyah li-Iḥyā Maktabat al-Iskandarīyah al- Qadīmah.</t>
  </si>
  <si>
    <t>International Commission for the Revival of the Ancient Library of Alexandria.</t>
  </si>
  <si>
    <t>Paris : UNESCO, 1990.</t>
  </si>
  <si>
    <t>5251050406:eng</t>
  </si>
  <si>
    <t>61651445</t>
  </si>
  <si>
    <t>ocm61651445</t>
  </si>
  <si>
    <t>3101009597O</t>
  </si>
  <si>
    <t>9788885203037</t>
  </si>
  <si>
    <t>794085552</t>
  </si>
  <si>
    <t>Z722.5 L53 2004</t>
  </si>
  <si>
    <t>0                      Z  0722500L  53          2004</t>
  </si>
  <si>
    <t>The Library of Alexandria : Centre of Learning in the Ancient World / edited by Roy MacLeod.</t>
  </si>
  <si>
    <t>London ; New York : I.B. Tauris &amp; Co Ltd, 2014.</t>
  </si>
  <si>
    <t>Revised paperback edition.</t>
  </si>
  <si>
    <t>794361569:eng</t>
  </si>
  <si>
    <t>55495402</t>
  </si>
  <si>
    <t>ocm55495402</t>
  </si>
  <si>
    <t>3102426974Q</t>
  </si>
  <si>
    <t>9781850435945</t>
  </si>
  <si>
    <t>793877191</t>
  </si>
  <si>
    <t>Z722.5 N56</t>
  </si>
  <si>
    <t>0                      Z  0722500N  56</t>
  </si>
  <si>
    <t>The library of Rameses the Great.</t>
  </si>
  <si>
    <t>Nichols, Charles L. (Charles Lemuel), 1851-1929.</t>
  </si>
  <si>
    <t>Berkeley, Calif., Peacock Press, 1964.</t>
  </si>
  <si>
    <t>1825798:eng</t>
  </si>
  <si>
    <t>860956</t>
  </si>
  <si>
    <t>ocm00860956</t>
  </si>
  <si>
    <t>3000856194U</t>
  </si>
  <si>
    <t>791489326</t>
  </si>
  <si>
    <t>Z722.5 P3</t>
  </si>
  <si>
    <t>0                      Z  0722500P  3</t>
  </si>
  <si>
    <t>The Alexandrian Library, glory of the Hellenic world : its rise, antiquities, and destructions / by Edward Alexander Parsons.</t>
  </si>
  <si>
    <t>Parsons, Edward Alexander, 1878-1962.</t>
  </si>
  <si>
    <t>Amsterdam ; New York : Elsevier Press, 1952.</t>
  </si>
  <si>
    <t>9350184529:eng</t>
  </si>
  <si>
    <t>6164537</t>
  </si>
  <si>
    <t>ocm06164537</t>
  </si>
  <si>
    <t>3000856195S</t>
  </si>
  <si>
    <t>792479725</t>
  </si>
  <si>
    <t>Z722.5 R6</t>
  </si>
  <si>
    <t>0                      Z  0722500R  6</t>
  </si>
  <si>
    <t>Some old Egyptian librarians.</t>
  </si>
  <si>
    <t>1827516:eng</t>
  </si>
  <si>
    <t>861931</t>
  </si>
  <si>
    <t>ocm00861931</t>
  </si>
  <si>
    <t>3000856196Q</t>
  </si>
  <si>
    <t>791489535</t>
  </si>
  <si>
    <t>Z722.5 W53 2008</t>
  </si>
  <si>
    <t>0                      Z  0722500W  53          2008</t>
  </si>
  <si>
    <t>What happened to the ancient Library of Alexandria? / edited by Mostafa El-Abbadi and Omnia Mounir Fathallah ; with a preface by Ismail Serageldin.</t>
  </si>
  <si>
    <t>Leiden ; Boston : Brill, 2008.</t>
  </si>
  <si>
    <t>Library of the written word, 1874-4834 ; v. 3. The manuscript world ; v. 1</t>
  </si>
  <si>
    <t>352017139:eng</t>
  </si>
  <si>
    <t>173808202</t>
  </si>
  <si>
    <t>ocn173808202</t>
  </si>
  <si>
    <t>3102881450B</t>
  </si>
  <si>
    <t>9789004165458</t>
  </si>
  <si>
    <t>794270512</t>
  </si>
  <si>
    <t>Z722.7 P42 1998</t>
  </si>
  <si>
    <t>0                      Z  0722700P  42          1998</t>
  </si>
  <si>
    <t>Archives and libraries in the ancient Near East, 1500-300 B.C. / Olof Pedersén.</t>
  </si>
  <si>
    <t>Pedersén, Olof, 1946-</t>
  </si>
  <si>
    <t>Bethesda, MD : CDL Press, 1998.</t>
  </si>
  <si>
    <t>41643273:eng</t>
  </si>
  <si>
    <t>38862458</t>
  </si>
  <si>
    <t>ocm38862458</t>
  </si>
  <si>
    <t>3102910683W</t>
  </si>
  <si>
    <t>9781883053390</t>
  </si>
  <si>
    <t>793531635</t>
  </si>
  <si>
    <t>Z723 B54 1987</t>
  </si>
  <si>
    <t>0                      Z  0723000B  54          1987</t>
  </si>
  <si>
    <t>Bibliothèques de manuscrits médiévaux en France : relevé des inventaires du VIIIe au XVIIIe siècle / établi par A.-M. Genevois, J.-F. Genest, A. Chalandon, avec la collaboration de M.-J. Beaud et A. Guillaumont.</t>
  </si>
  <si>
    <t>Paris : Editions du Centre national de la recherche scientifique : Diffusion Presses du CNRS, 1987.</t>
  </si>
  <si>
    <t>889660403:fre</t>
  </si>
  <si>
    <t>18290823</t>
  </si>
  <si>
    <t>ocm18290823</t>
  </si>
  <si>
    <t>31002129681</t>
  </si>
  <si>
    <t>9782222041016</t>
  </si>
  <si>
    <t>793019897</t>
  </si>
  <si>
    <t>Z723 B66 1997</t>
  </si>
  <si>
    <t>0                      Z  0723000B  66          1997</t>
  </si>
  <si>
    <t>Books and collectors, 1200-1700 : essays presented to Andrew Watson / edited by James P. Carley and Colin G.C. Tite.</t>
  </si>
  <si>
    <t>London : British Library, 1997.</t>
  </si>
  <si>
    <t>2015-03-08</t>
  </si>
  <si>
    <t>350336894:eng</t>
  </si>
  <si>
    <t>39216914</t>
  </si>
  <si>
    <t>ocm39216914</t>
  </si>
  <si>
    <t>3102944158M</t>
  </si>
  <si>
    <t>9780712345064</t>
  </si>
  <si>
    <t>793540908</t>
  </si>
  <si>
    <t>Z723 C48 1984</t>
  </si>
  <si>
    <t>0                      Z  0723000C  48          1984</t>
  </si>
  <si>
    <t>The handbook of medieval library history / by Karl Christ.</t>
  </si>
  <si>
    <t>Christ, Karl, 1878-1943.</t>
  </si>
  <si>
    <t>Rev. / by Anton Kern ; translated and edited by Theophil M. Otto.</t>
  </si>
  <si>
    <t>132212884:eng</t>
  </si>
  <si>
    <t>9852803</t>
  </si>
  <si>
    <t>ocm09852803</t>
  </si>
  <si>
    <t>30008456229</t>
  </si>
  <si>
    <t>9780810816541</t>
  </si>
  <si>
    <t>792696716</t>
  </si>
  <si>
    <t>Z723 C59</t>
  </si>
  <si>
    <t>0                      Z  0723000C  59</t>
  </si>
  <si>
    <t>Libraries in the medieval and renaissance periods : the Rede lecture, delivered June 13, 1894 / by J.W. Clark.</t>
  </si>
  <si>
    <t>Clark, John Willis, 1833-1910.</t>
  </si>
  <si>
    <t>Cambridge : Macmillan and Bowes, 1894.</t>
  </si>
  <si>
    <t>Rede lectures ; 1894</t>
  </si>
  <si>
    <t>2018-01-19</t>
  </si>
  <si>
    <t>346648721:eng</t>
  </si>
  <si>
    <t>26222326</t>
  </si>
  <si>
    <t>ocm26222326</t>
  </si>
  <si>
    <t>30008628321</t>
  </si>
  <si>
    <t>793240142</t>
  </si>
  <si>
    <t>Z723 E53 1996</t>
  </si>
  <si>
    <t>0                      Z  0723000E  53          1996</t>
  </si>
  <si>
    <t>English Benedictine libraries : the shorter catalogues / edited by R. Sharpe [and others].</t>
  </si>
  <si>
    <t>London : British Library in association with the British Academy, 1996.</t>
  </si>
  <si>
    <t>Corpus of British medieval library catalogues ; 4</t>
  </si>
  <si>
    <t>2018-11-24</t>
  </si>
  <si>
    <t>1100283827:eng</t>
  </si>
  <si>
    <t>34675250</t>
  </si>
  <si>
    <t>ocm34675250</t>
  </si>
  <si>
    <t>3101594279B</t>
  </si>
  <si>
    <t>9780712303361</t>
  </si>
  <si>
    <t>793433003</t>
  </si>
  <si>
    <t>Z723 F75 1990</t>
  </si>
  <si>
    <t>0                      Z  0723000F  75          1990</t>
  </si>
  <si>
    <t>The Friars' libraries / edited by K.W. Humphreys.</t>
  </si>
  <si>
    <t>London : British Library in association with the British Academy, 1990.</t>
  </si>
  <si>
    <t>Corpus of British medieval library catalogues ; [1]</t>
  </si>
  <si>
    <t>365105621:eng</t>
  </si>
  <si>
    <t>25205191</t>
  </si>
  <si>
    <t>ocm25205191</t>
  </si>
  <si>
    <t>3101217358W</t>
  </si>
  <si>
    <t>9780712300681</t>
  </si>
  <si>
    <t>793214479</t>
  </si>
  <si>
    <t>Z723 K468 1985</t>
  </si>
  <si>
    <t>0                      Z  0723000K  468         1985</t>
  </si>
  <si>
    <t>Books, collectors, and libraries : studies in the medieval heritage / N.R. Ker ; edited by Andrew G. Watson.</t>
  </si>
  <si>
    <t>Ker, N. R. (Neil Ripley)</t>
  </si>
  <si>
    <t>London ; Ronceverte, W. Va. : Hambledon Press, [1985]</t>
  </si>
  <si>
    <t>History series ; 36</t>
  </si>
  <si>
    <t>836618958:eng</t>
  </si>
  <si>
    <t>11867376</t>
  </si>
  <si>
    <t>ocm11867376</t>
  </si>
  <si>
    <t>30003826788</t>
  </si>
  <si>
    <t>9780907628552</t>
  </si>
  <si>
    <t>792791789</t>
  </si>
  <si>
    <t>Z723 N43x 2013</t>
  </si>
  <si>
    <t>0                      Z  0723000N  43x         2013</t>
  </si>
  <si>
    <t>Le discours des livres : bibliothèques et manuscrits en Europe, IXe-XVe siècle / Donatella Nebbiai ; préface de Jacques Verger.</t>
  </si>
  <si>
    <t>Nebbiai, Donatella, 1952- author.</t>
  </si>
  <si>
    <t>Rennes : Presses universitaires de Rennes, [2013]</t>
  </si>
  <si>
    <t>Histoire</t>
  </si>
  <si>
    <t>1783189518:fre</t>
  </si>
  <si>
    <t>864819272</t>
  </si>
  <si>
    <t>ocn864819272</t>
  </si>
  <si>
    <t>3103573718I</t>
  </si>
  <si>
    <t>9782753528475</t>
  </si>
  <si>
    <t>794962530</t>
  </si>
  <si>
    <t>Z723 R44 1991</t>
  </si>
  <si>
    <t>0                      Z  0723000R  44          1991</t>
  </si>
  <si>
    <t>Registrum Anglie de libris doctorum et auctorum veterum / edited with an introduction and notes by Richard H. Rouse and Mary A. Rouse ; the Latin text established by R.A.B. Mynors.</t>
  </si>
  <si>
    <t>London : British Library in association with the British Academy, 1991.</t>
  </si>
  <si>
    <t>Corpus of British medieval library catalogues ; [2]</t>
  </si>
  <si>
    <t>351284164:eng</t>
  </si>
  <si>
    <t>25712130</t>
  </si>
  <si>
    <t>ocm25712130</t>
  </si>
  <si>
    <t>3100966237F</t>
  </si>
  <si>
    <t>9780712300742</t>
  </si>
  <si>
    <t>793228374</t>
  </si>
  <si>
    <t>Z723 S713 1997</t>
  </si>
  <si>
    <t>0                      Z  0723000S  713         1997</t>
  </si>
  <si>
    <t>Libraries : from antiquity to the Renaissance and major humanist and monastery libraries (3000 B.C.-A.D. 1600) / K. Sp. Staikos.</t>
  </si>
  <si>
    <t>Staikos, K.</t>
  </si>
  <si>
    <t>Athens : [publisher not identified] ; New Rochelle, N.Y. : Distributed by Aristide D. Caratzas, 1997.</t>
  </si>
  <si>
    <t>gre</t>
  </si>
  <si>
    <t>3980164433:gre</t>
  </si>
  <si>
    <t>44477232</t>
  </si>
  <si>
    <t>ocm44477232</t>
  </si>
  <si>
    <t>31022852138</t>
  </si>
  <si>
    <t>9789609025324</t>
  </si>
  <si>
    <t>793651407</t>
  </si>
  <si>
    <t>Z725 F48 U44 1972</t>
  </si>
  <si>
    <t>0                      Z  0725000F  48                 U  44          1972</t>
  </si>
  <si>
    <t>The public library of Renaissance Florence. Niccolò Niccoli, Cosimo de' Medici and the library of San Marco, by Berthold L. Ullman and Philip A. Stadter.</t>
  </si>
  <si>
    <t>Ullman, B. L. (Berthold Louis), 1882-1965.</t>
  </si>
  <si>
    <t>Padova, Antenore, 1972.</t>
  </si>
  <si>
    <t>Medioevo e umanesimo ; 10</t>
  </si>
  <si>
    <t>1750152:eng</t>
  </si>
  <si>
    <t>632612</t>
  </si>
  <si>
    <t>ocm00632612</t>
  </si>
  <si>
    <t>3101117332K</t>
  </si>
  <si>
    <t>791433327</t>
  </si>
  <si>
    <t>Z725 F48 U55 2012</t>
  </si>
  <si>
    <t>0                      Z  0725000F  48                 U  55          2012</t>
  </si>
  <si>
    <t>The public library of Renaissance Florence : Niccolò Niccoli, Cosimo de' Medici and the library of San Marco / by Berthold L. Ullman and Philip A. Stadter.</t>
  </si>
  <si>
    <t>Ullman, Berthold Louis.</t>
  </si>
  <si>
    <t>New York : American Council of Learned Societies, 2012.</t>
  </si>
  <si>
    <t>ACLS Humanities E-Book (Series)</t>
  </si>
  <si>
    <t>814137252</t>
  </si>
  <si>
    <t>ocn814137252</t>
  </si>
  <si>
    <t>3103793924K</t>
  </si>
  <si>
    <t>9781597405126</t>
  </si>
  <si>
    <t>794932061</t>
  </si>
  <si>
    <t>Z725 M535 A47 1984</t>
  </si>
  <si>
    <t>0                      Z  0725000M  535                A  47          1984</t>
  </si>
  <si>
    <t>The library and manuscripts of Piero di Cosimo de'Medici / Francis Ames-Lewis.</t>
  </si>
  <si>
    <t>Ames-Lewis, Francis, 1943-</t>
  </si>
  <si>
    <t>New York : Garland Pub., 1984.</t>
  </si>
  <si>
    <t>Outstanding theses from the Courtauld Institute of Art</t>
  </si>
  <si>
    <t>2017-08-16</t>
  </si>
  <si>
    <t>2810053:eng</t>
  </si>
  <si>
    <t>10402816</t>
  </si>
  <si>
    <t>ocm10402816</t>
  </si>
  <si>
    <t>3102952413O</t>
  </si>
  <si>
    <t>9780824059750</t>
  </si>
  <si>
    <t>792724530</t>
  </si>
  <si>
    <t>Z730.5 P57 1987</t>
  </si>
  <si>
    <t>0                      Z  0730500P  57          1987</t>
  </si>
  <si>
    <t>Tropical librarianship / by Wilfred J. Plumbe.</t>
  </si>
  <si>
    <t>Plumbe, Wilfred John.</t>
  </si>
  <si>
    <t>Metuchen, N.J. : Scarecrow Press, 1987.</t>
  </si>
  <si>
    <t>12170672:eng</t>
  </si>
  <si>
    <t>16465273</t>
  </si>
  <si>
    <t>ocm16465273</t>
  </si>
  <si>
    <t>3000852094H</t>
  </si>
  <si>
    <t>9780810820579</t>
  </si>
  <si>
    <t>792963342</t>
  </si>
  <si>
    <t>Z731 A23 2015</t>
  </si>
  <si>
    <t>0                      Z  0731000A  23          2015</t>
  </si>
  <si>
    <t>Academic library use of 3D printing / Primary Research Group staff.</t>
  </si>
  <si>
    <t>2549307844:eng</t>
  </si>
  <si>
    <t>921918689</t>
  </si>
  <si>
    <t>ocn921918689</t>
  </si>
  <si>
    <t>31036084080</t>
  </si>
  <si>
    <t>9781574403558</t>
  </si>
  <si>
    <t>795003520</t>
  </si>
  <si>
    <t>Z731 A33 2014</t>
  </si>
  <si>
    <t>0                      Z  0731000A  33          2014</t>
  </si>
  <si>
    <t>Academic library fundraising benchmarks.</t>
  </si>
  <si>
    <t>1875968261:eng</t>
  </si>
  <si>
    <t>878511196</t>
  </si>
  <si>
    <t>ocn878511196</t>
  </si>
  <si>
    <t>31035669293</t>
  </si>
  <si>
    <t>9781574402896</t>
  </si>
  <si>
    <t>794971477</t>
  </si>
  <si>
    <t>Z731 B663 2007</t>
  </si>
  <si>
    <t>0                      Z  0731000B  663         2007</t>
  </si>
  <si>
    <t>The thriving library : successful strategies for challenging times / Marylaine Block.</t>
  </si>
  <si>
    <t>Block, Marylaine, 1943- author.</t>
  </si>
  <si>
    <t>Medford, N.J. : Information Today, [2007]</t>
  </si>
  <si>
    <t>802735534:eng</t>
  </si>
  <si>
    <t>80019818</t>
  </si>
  <si>
    <t>ocm80019818</t>
  </si>
  <si>
    <t>31025965375</t>
  </si>
  <si>
    <t>9781573872775</t>
  </si>
  <si>
    <t>794199617</t>
  </si>
  <si>
    <t>Z731 B67</t>
  </si>
  <si>
    <t>0                      Z  0731000B  67</t>
  </si>
  <si>
    <t>Carnegie libraries : their history and impact on American public library development / George S. Bobinski.</t>
  </si>
  <si>
    <t>Chicago : American Library Association, 1969.</t>
  </si>
  <si>
    <t>373218500:eng</t>
  </si>
  <si>
    <t>21757</t>
  </si>
  <si>
    <t>ocm00021757</t>
  </si>
  <si>
    <t>3102810523G</t>
  </si>
  <si>
    <t>9780838900222</t>
  </si>
  <si>
    <t>791231043</t>
  </si>
  <si>
    <t>Z731 C287 1993</t>
  </si>
  <si>
    <t>0                      Z  0731000C  287         1993</t>
  </si>
  <si>
    <t>Carnegie denied : communities rejecting Carnegie Library construction grants, 1898-1925 / edited by Robert Sidney Martin.</t>
  </si>
  <si>
    <t>Westport, Ct. : Greenwood Press, 1993.</t>
  </si>
  <si>
    <t>Beta Phi Mu monograph, 1041-2751 ; no. 3</t>
  </si>
  <si>
    <t>836928523:eng</t>
  </si>
  <si>
    <t>26263831</t>
  </si>
  <si>
    <t>ocm26263831</t>
  </si>
  <si>
    <t>3101228441Y</t>
  </si>
  <si>
    <t>9780313286094</t>
  </si>
  <si>
    <t>793241320</t>
  </si>
  <si>
    <t>Z731 C89 2009</t>
  </si>
  <si>
    <t>0                      Z  0731000C  89          2009</t>
  </si>
  <si>
    <t>Current practices in public libraries / William Miller, Rita M. Pellen, editors.</t>
  </si>
  <si>
    <t>Binghamton, NY : Haworth Information Press, ©2006.</t>
  </si>
  <si>
    <t>375718835:eng</t>
  </si>
  <si>
    <t>154308950</t>
  </si>
  <si>
    <t>ocn154308950</t>
  </si>
  <si>
    <t>31030829262</t>
  </si>
  <si>
    <t>9780789036070</t>
  </si>
  <si>
    <t>794251611</t>
  </si>
  <si>
    <t>Z731 D58 1947</t>
  </si>
  <si>
    <t>0                      Z  0731000D  58          1947</t>
  </si>
  <si>
    <t>Arsenals of a democratic culture; a social history of the American public library movement in New England and the middle states from 1850 to 1900, by Sidney Ditzion; foreword by Merle Curti ...</t>
  </si>
  <si>
    <t>Ditzion, Sidney, 1908-1975.</t>
  </si>
  <si>
    <t>Chicago, American Library Association, 1947.</t>
  </si>
  <si>
    <t>1354451:eng</t>
  </si>
  <si>
    <t>27735826</t>
  </si>
  <si>
    <t>ocm27735826</t>
  </si>
  <si>
    <t>3101825769A</t>
  </si>
  <si>
    <t>793271072</t>
  </si>
  <si>
    <t>Z731 G28</t>
  </si>
  <si>
    <t>0                      Z  0731000G  28</t>
  </si>
  <si>
    <t>Does reading have a future? / Guy Garrison.</t>
  </si>
  <si>
    <t>Garrison, Guy.</t>
  </si>
  <si>
    <t>Muncie, Ind. : Ball State University, 1979.</t>
  </si>
  <si>
    <t>Ball State University. Library science lecture</t>
  </si>
  <si>
    <t>19538302:eng</t>
  </si>
  <si>
    <t>5802181</t>
  </si>
  <si>
    <t>ocm05802181</t>
  </si>
  <si>
    <t>3000847203J</t>
  </si>
  <si>
    <t>792455284</t>
  </si>
  <si>
    <t>Z731 G75 2004</t>
  </si>
  <si>
    <t>0                      Z  0731000G  75          2004</t>
  </si>
  <si>
    <t>Exemplary public libraries : lessons in leadership, management, and service / Joy M. Greiner : foreword by Bernadette R. Storck.</t>
  </si>
  <si>
    <t>Greiner, Joy Marilyn.</t>
  </si>
  <si>
    <t>800908449:eng</t>
  </si>
  <si>
    <t>54694711</t>
  </si>
  <si>
    <t>ocm54694711</t>
  </si>
  <si>
    <t>3102404627Q</t>
  </si>
  <si>
    <t>9780313310690</t>
  </si>
  <si>
    <t>793865899</t>
  </si>
  <si>
    <t>Z731 H29</t>
  </si>
  <si>
    <t>0                      Z  0731000H  29</t>
  </si>
  <si>
    <t>Fugitive literature in library science : American library history as a test case.</t>
  </si>
  <si>
    <t>Albany : State University of New York, 1968.</t>
  </si>
  <si>
    <t>1812815817:eng</t>
  </si>
  <si>
    <t>61611016</t>
  </si>
  <si>
    <t>ocm61611016</t>
  </si>
  <si>
    <t>3000862105W</t>
  </si>
  <si>
    <t>794049431</t>
  </si>
  <si>
    <t>Z731 H36 1975</t>
  </si>
  <si>
    <t>0                      Z  0731000H  36          1975</t>
  </si>
  <si>
    <t>The role of the public library in American life : a speculative essay / by Michael H. Harris.</t>
  </si>
  <si>
    <t>[Champaign] : University of Illinois, Graduate School of Library Science, 1975.</t>
  </si>
  <si>
    <t>Occasional papers - University of Illinois, Graduate School of Library Science ; no. 117, 0073-5310</t>
  </si>
  <si>
    <t>422998126:eng</t>
  </si>
  <si>
    <t>1248756</t>
  </si>
  <si>
    <t>ocm01248756</t>
  </si>
  <si>
    <t>31027213985</t>
  </si>
  <si>
    <t>791583463</t>
  </si>
  <si>
    <t>Z731 J4 2012</t>
  </si>
  <si>
    <t>0                      Z  0731000J  4           2012</t>
  </si>
  <si>
    <t>Privatizing libraries / Jane Jerrard, Nancy Bolt, and Karen Strege.</t>
  </si>
  <si>
    <t>Jerrard, Jane, 1961-</t>
  </si>
  <si>
    <t>1044136540:eng</t>
  </si>
  <si>
    <t>760990505</t>
  </si>
  <si>
    <t>ocn760990505</t>
  </si>
  <si>
    <t>3103396686Y</t>
  </si>
  <si>
    <t>9780838911549</t>
  </si>
  <si>
    <t>794898953</t>
  </si>
  <si>
    <t>Z731 M29 2012</t>
  </si>
  <si>
    <t>0                      Z  0731000M  29          2012</t>
  </si>
  <si>
    <t>The American public library handbook / Guy A. Marco.</t>
  </si>
  <si>
    <t>Marco, Guy A.</t>
  </si>
  <si>
    <t>1064209992:eng</t>
  </si>
  <si>
    <t>721891519</t>
  </si>
  <si>
    <t>ocn721891519</t>
  </si>
  <si>
    <t>3103411477M</t>
  </si>
  <si>
    <t>9781591589105</t>
  </si>
  <si>
    <t>794875481</t>
  </si>
  <si>
    <t>Z731 M339 2009</t>
  </si>
  <si>
    <t>0                      Z  0731000M  339         2009</t>
  </si>
  <si>
    <t>The customer-focused library : re-inventing the library from the outside-in / Joseph R. Matthews.</t>
  </si>
  <si>
    <t>Santa Barbara, California : Libraries Unlimited, an imprint of ABC-CLIO [2009]</t>
  </si>
  <si>
    <t>797267926:eng</t>
  </si>
  <si>
    <t>320193394</t>
  </si>
  <si>
    <t>ocn320193394</t>
  </si>
  <si>
    <t>3103111591X</t>
  </si>
  <si>
    <t>9781591588757</t>
  </si>
  <si>
    <t>794485502</t>
  </si>
  <si>
    <t>Z731 M355 2004</t>
  </si>
  <si>
    <t>0                      Z  0731000M  355         2004</t>
  </si>
  <si>
    <t>Introduction to public librarianship / Kathleen de la Peña McCook.</t>
  </si>
  <si>
    <t>McCook, Kathleen de la Peña. author.</t>
  </si>
  <si>
    <t>772200:eng</t>
  </si>
  <si>
    <t>54694700</t>
  </si>
  <si>
    <t>ocm54694700</t>
  </si>
  <si>
    <t>31028667100</t>
  </si>
  <si>
    <t>9781555704759</t>
  </si>
  <si>
    <t>793865895</t>
  </si>
  <si>
    <t>2008-03-29</t>
  </si>
  <si>
    <t>31027451083</t>
  </si>
  <si>
    <t>793865894</t>
  </si>
  <si>
    <t>Z731 M355 2011</t>
  </si>
  <si>
    <t>0                      Z  0731000M  355         2011</t>
  </si>
  <si>
    <t>2016-09-12</t>
  </si>
  <si>
    <t>701243162</t>
  </si>
  <si>
    <t>ocn701243162</t>
  </si>
  <si>
    <t>3103361849Y</t>
  </si>
  <si>
    <t>9781555706975</t>
  </si>
  <si>
    <t>794862707</t>
  </si>
  <si>
    <t>Z731 M639 1999</t>
  </si>
  <si>
    <t>0                      Z  0731000M  639         1999</t>
  </si>
  <si>
    <t>Civic space/cyberspace : the American public library in the information age / Redmond Kathleen Molz and Phyllis Dain.</t>
  </si>
  <si>
    <t>Cambridge, Mass. : MIT Press, c, 1999.</t>
  </si>
  <si>
    <t>793888116:eng</t>
  </si>
  <si>
    <t>38976196</t>
  </si>
  <si>
    <t>ocm38976196</t>
  </si>
  <si>
    <t>3101955767Q</t>
  </si>
  <si>
    <t>9780262133463</t>
  </si>
  <si>
    <t>793534758</t>
  </si>
  <si>
    <t>Z731 O94 1997</t>
  </si>
  <si>
    <t>0                      Z  0731000O  94          1997</t>
  </si>
  <si>
    <t>Outsourcing library technical services operations : practices in academic, public, and special libraries / edited by Karen A. Wilson, Marylou Colver.</t>
  </si>
  <si>
    <t>Chicago : American Library Association, ©1997.</t>
  </si>
  <si>
    <t>799516824:eng</t>
  </si>
  <si>
    <t>37004499</t>
  </si>
  <si>
    <t>ocm37004499</t>
  </si>
  <si>
    <t>3101802862A</t>
  </si>
  <si>
    <t>9780838907030</t>
  </si>
  <si>
    <t>793489728</t>
  </si>
  <si>
    <t>Z731 P924 2011</t>
  </si>
  <si>
    <t>0                      Z  0731000P  924         2011</t>
  </si>
  <si>
    <t>Public libraries in the 21st century / Ann E. Prentice.</t>
  </si>
  <si>
    <t>Prentice, Ann E., author.</t>
  </si>
  <si>
    <t>420123492:eng</t>
  </si>
  <si>
    <t>548555615</t>
  </si>
  <si>
    <t>ocn548555615</t>
  </si>
  <si>
    <t>3103236137L</t>
  </si>
  <si>
    <t>9781591588542</t>
  </si>
  <si>
    <t>794810966</t>
  </si>
  <si>
    <t>Z731 S26 2002</t>
  </si>
  <si>
    <t>0                      Z  0731000S  26          2002</t>
  </si>
  <si>
    <t>A brief history of the future of libraries : an annotated bibliography / Gregg Sapp.</t>
  </si>
  <si>
    <t>Sapp, Gregg.</t>
  </si>
  <si>
    <t>20377618:eng</t>
  </si>
  <si>
    <t>48045730</t>
  </si>
  <si>
    <t>ocm48045730</t>
  </si>
  <si>
    <t>3102219517I</t>
  </si>
  <si>
    <t>9780810841963</t>
  </si>
  <si>
    <t>793714523</t>
  </si>
  <si>
    <t>Z731 S87 2014</t>
  </si>
  <si>
    <t>0                      Z  0731000S  87          2014</t>
  </si>
  <si>
    <t>The survey of public library fundraising practices.</t>
  </si>
  <si>
    <t>1791422087:eng</t>
  </si>
  <si>
    <t>868042573</t>
  </si>
  <si>
    <t>ocn868042573</t>
  </si>
  <si>
    <t>31035323745</t>
  </si>
  <si>
    <t>9781574402704</t>
  </si>
  <si>
    <t>794964366</t>
  </si>
  <si>
    <t>Z731 W68 1988</t>
  </si>
  <si>
    <t>0                      Z  0731000W  68          1988</t>
  </si>
  <si>
    <t>The American public library and the problem of purpose / Patrick Williams.</t>
  </si>
  <si>
    <t>Williams, Patrick, 1930-</t>
  </si>
  <si>
    <t>New York : Greenwood Press, ©1988.</t>
  </si>
  <si>
    <t>Contributions in librarianship and information science, 0084-9243 ; no. 62</t>
  </si>
  <si>
    <t>2613483:eng</t>
  </si>
  <si>
    <t>18072484</t>
  </si>
  <si>
    <t>ocm18072484</t>
  </si>
  <si>
    <t>3000852589R</t>
  </si>
  <si>
    <t>9780313255908</t>
  </si>
  <si>
    <t>793012868</t>
  </si>
  <si>
    <t>Z732 I2 W33 2012</t>
  </si>
  <si>
    <t>0                      Z  0732000I  2                  W  33          2012</t>
  </si>
  <si>
    <t>Right here I see my own books : the Woman's Building Library at the World's Columbian Exposition / Sarah Wadsworth and Wayne A. Wiegand.</t>
  </si>
  <si>
    <t>Wadsworth, Sarah, 1963-</t>
  </si>
  <si>
    <t>Amherst : University of Massachusetts Press, [2012]</t>
  </si>
  <si>
    <t>918746968:eng</t>
  </si>
  <si>
    <t>733731452</t>
  </si>
  <si>
    <t>ocn733731452</t>
  </si>
  <si>
    <t>31033967256</t>
  </si>
  <si>
    <t>9781558499270</t>
  </si>
  <si>
    <t>794882192</t>
  </si>
  <si>
    <t>Z732 W18 F57 2010</t>
  </si>
  <si>
    <t>0                      Z  0732000W  18                 F  57          2010</t>
  </si>
  <si>
    <t>The first White House library : a history and annotated catalog / edited by Catherine M. Parisian.</t>
  </si>
  <si>
    <t>University Park, Pa. : Published by the Pennsylvania State University Press for the Bibliographical Society of America and the National First Ladies' Library, ©2010.</t>
  </si>
  <si>
    <t>891669398:eng</t>
  </si>
  <si>
    <t>437115055</t>
  </si>
  <si>
    <t>ocn437115055</t>
  </si>
  <si>
    <t>3103498010F</t>
  </si>
  <si>
    <t>9780271037134</t>
  </si>
  <si>
    <t>794785479</t>
  </si>
  <si>
    <t>Z733 A465 A44 2012</t>
  </si>
  <si>
    <t>0                      Z  0733000A  465                A  44          2012</t>
  </si>
  <si>
    <t>In pursuit of a vision : two centuries of collecting at the American Antiquarian Society.</t>
  </si>
  <si>
    <t>American Antiquarian Society. Library.</t>
  </si>
  <si>
    <t>Worcester, Massachusetts : American Antiquarian Society, 2012.</t>
  </si>
  <si>
    <t>1324736239:eng</t>
  </si>
  <si>
    <t>799251927</t>
  </si>
  <si>
    <t>ocn799251927</t>
  </si>
  <si>
    <t>3103531272C</t>
  </si>
  <si>
    <t>9781929545681</t>
  </si>
  <si>
    <t>794924304</t>
  </si>
  <si>
    <t>Z733 B475 N34 2001</t>
  </si>
  <si>
    <t>0                      Z  0733000B  475                N  34          2001</t>
  </si>
  <si>
    <t>The Nettie Lee Benson Latin American Collection.</t>
  </si>
  <si>
    <t>[Austin, Tex.] : General Libraries, the University of Texas at Austin, ©2001.</t>
  </si>
  <si>
    <t>54252340:eng</t>
  </si>
  <si>
    <t>47917885</t>
  </si>
  <si>
    <t>ocm47917885</t>
  </si>
  <si>
    <t>3102952407Q</t>
  </si>
  <si>
    <t>793711104</t>
  </si>
  <si>
    <t>Z733 B7 W5</t>
  </si>
  <si>
    <t>0                      Z  0733000B  7                  W  5</t>
  </si>
  <si>
    <t>The John Carter Brown Library : a history / by George Parker Winship.</t>
  </si>
  <si>
    <t>Providence : [The Library?], 1914</t>
  </si>
  <si>
    <t>363350998:eng</t>
  </si>
  <si>
    <t>2365147</t>
  </si>
  <si>
    <t>ocm02365147</t>
  </si>
  <si>
    <t>3000855809O</t>
  </si>
  <si>
    <t>792110108</t>
  </si>
  <si>
    <t>Z733 B752 W5 1956</t>
  </si>
  <si>
    <t>0                      Z  0733000B  752                W  5           1956</t>
  </si>
  <si>
    <t>Boston Public Library : a centennial history / by Walter Muir Whitehill, Director and Librarian, Boston Athenæum ; illustrations by Rudolph Ruzicka.</t>
  </si>
  <si>
    <t>Whitehill, Walter Muir, 1905-1978, author.</t>
  </si>
  <si>
    <t>Cambridge, Massachusetts : Harvard University Press, 1956.</t>
  </si>
  <si>
    <t>343576890:eng</t>
  </si>
  <si>
    <t>575216</t>
  </si>
  <si>
    <t>ocm00575216</t>
  </si>
  <si>
    <t>3100878922S</t>
  </si>
  <si>
    <t>9780674593732</t>
  </si>
  <si>
    <t>791418834</t>
  </si>
  <si>
    <t>Z733 C47 1989</t>
  </si>
  <si>
    <t>0                      Z  0733000C  47          1989</t>
  </si>
  <si>
    <t>A strategic plan for University Libraries / Susan J. Coté.</t>
  </si>
  <si>
    <t>Coté, Susan J.</t>
  </si>
  <si>
    <t>Cleveland, Ohio (11161 East Boulevard, Cleveland 44106) : Case Western Reserve University, [1989]</t>
  </si>
  <si>
    <t>1808402362:eng</t>
  </si>
  <si>
    <t>25887040</t>
  </si>
  <si>
    <t>ocm25887040</t>
  </si>
  <si>
    <t>31036438919</t>
  </si>
  <si>
    <t>793232608</t>
  </si>
  <si>
    <t>Z733 C4773 R39 2002</t>
  </si>
  <si>
    <t>0                      Z  0733000C  4773               R  39          2002</t>
  </si>
  <si>
    <t>London booksellers and American customers : transatlantic literary community and the Charleston Library Society, 1748-1811 / James Raven.</t>
  </si>
  <si>
    <t>Columbia : University of South Carolina Press, ©2002.</t>
  </si>
  <si>
    <t>The Carolina lowcountry and the Atlantic world</t>
  </si>
  <si>
    <t>2015-01-19</t>
  </si>
  <si>
    <t>905885052:eng</t>
  </si>
  <si>
    <t>47224789</t>
  </si>
  <si>
    <t>ocm47224789</t>
  </si>
  <si>
    <t>3102200217V</t>
  </si>
  <si>
    <t>9781570034060</t>
  </si>
  <si>
    <t>793701250</t>
  </si>
  <si>
    <t>Z733 C54 C73</t>
  </si>
  <si>
    <t>0                      Z  0733000C  54                 C  73</t>
  </si>
  <si>
    <t>Open shelves and open minds; a history of the Cleveland Public Library [by] C.H. Cramer.</t>
  </si>
  <si>
    <t>Cramer, C. H. (Clarence Henley), 1905-</t>
  </si>
  <si>
    <t>Cleveland, Press of Case Western Reserve University, 1972.</t>
  </si>
  <si>
    <t>1499386:eng</t>
  </si>
  <si>
    <t>297579</t>
  </si>
  <si>
    <t>ocm00297579</t>
  </si>
  <si>
    <t>3000855820$</t>
  </si>
  <si>
    <t>9780829502190</t>
  </si>
  <si>
    <t>791328185</t>
  </si>
  <si>
    <t>Z733 D66 P39 2010</t>
  </si>
  <si>
    <t>0                      Z  0733000D  66                 P  39          2010</t>
  </si>
  <si>
    <t>Reading places : literacy, democracy, and the public library in Cold War America / Christine Pawley.</t>
  </si>
  <si>
    <t>Pawley, Christine, 1945-</t>
  </si>
  <si>
    <t>2013-12-22</t>
  </si>
  <si>
    <t>796391780:eng</t>
  </si>
  <si>
    <t>475454160</t>
  </si>
  <si>
    <t>ocn475454160</t>
  </si>
  <si>
    <t>3103239118D</t>
  </si>
  <si>
    <t>9781558498211</t>
  </si>
  <si>
    <t>794798296</t>
  </si>
  <si>
    <t>Z733 F95 K66</t>
  </si>
  <si>
    <t>0                      Z  0733000F  95                 K  66</t>
  </si>
  <si>
    <t>The story of the Frick Art Reference Library : the early years / by Katharine McCook Knox ; with assistance from members of the Frick Art Reference Library staff.</t>
  </si>
  <si>
    <t>Knox, Katharine McCook.</t>
  </si>
  <si>
    <t>New York : The Library, 1979.</t>
  </si>
  <si>
    <t>918413390:eng</t>
  </si>
  <si>
    <t>5196423</t>
  </si>
  <si>
    <t>ocm05196423</t>
  </si>
  <si>
    <t>3103635624S</t>
  </si>
  <si>
    <t>792415201</t>
  </si>
  <si>
    <t>Z733 H34 B47 2014</t>
  </si>
  <si>
    <t>0                      Z  0733000H  34                 B  47          2014</t>
  </si>
  <si>
    <t>Harvard Judaica in the 21st century / by Charles Berlin.</t>
  </si>
  <si>
    <t>Berlin, Charles, 1936- author.</t>
  </si>
  <si>
    <t>Cambridge, Mass. : Harvard College Library, 2014.</t>
  </si>
  <si>
    <t>2040350342:eng</t>
  </si>
  <si>
    <t>885162640</t>
  </si>
  <si>
    <t>ocn885162640</t>
  </si>
  <si>
    <t>3103564609O</t>
  </si>
  <si>
    <t>794977060</t>
  </si>
  <si>
    <t>Z733 I25 I4</t>
  </si>
  <si>
    <t>0                      Z  0733000I  25                 I  4</t>
  </si>
  <si>
    <t>Interim report of the Collection Analysis Project Study Team.</t>
  </si>
  <si>
    <t>University of Illinois at Urbana-Champaign. Collection Analysis Project Study Team.</t>
  </si>
  <si>
    <t>[Urbana] : University of Illinois Library at Urbana-Champaign, 1980.</t>
  </si>
  <si>
    <t>22664680:eng</t>
  </si>
  <si>
    <t>6550775</t>
  </si>
  <si>
    <t>ocm06550775</t>
  </si>
  <si>
    <t>30008426672</t>
  </si>
  <si>
    <t>792507887</t>
  </si>
  <si>
    <t>Z733 L8742 O75 2018</t>
  </si>
  <si>
    <t>0                      Z  0733000L  8742               O  75          2018</t>
  </si>
  <si>
    <t>The library book / Susan Orlean.</t>
  </si>
  <si>
    <t>Orlean, Susan, author.</t>
  </si>
  <si>
    <t>New York : Simon and Schuster, 2018.</t>
  </si>
  <si>
    <t>Hello Sunshine Book Club</t>
  </si>
  <si>
    <t>5215090074:eng</t>
  </si>
  <si>
    <t>1029886122</t>
  </si>
  <si>
    <t>on1029886122</t>
  </si>
  <si>
    <t>3103810136R</t>
  </si>
  <si>
    <t>9781476740188</t>
  </si>
  <si>
    <t>795054436</t>
  </si>
  <si>
    <t>Z 733 N277 M643h 1982</t>
  </si>
  <si>
    <t>0                      Z  0733000N  277                M  643h        1982</t>
  </si>
  <si>
    <t>A history of the National Library of Medicine : the nation's treasury of medical knowledge / by Wyndham D. Miles.</t>
  </si>
  <si>
    <t>Miles, Wyndham D., 1916-</t>
  </si>
  <si>
    <t>Bethesda, Md. : U.S. Dept. of Health and Human Services, Public Health Service, National Institutes of Health, National Library of Medicine, 1982.</t>
  </si>
  <si>
    <t>NIH publication ; no. 82-1904</t>
  </si>
  <si>
    <t>40182124:eng</t>
  </si>
  <si>
    <t>8890031</t>
  </si>
  <si>
    <t>ocm08890031</t>
  </si>
  <si>
    <t>30001438922</t>
  </si>
  <si>
    <t>792646585</t>
  </si>
  <si>
    <t>Z733 N3 M54 1982</t>
  </si>
  <si>
    <t>0                      Z  0733000N  3                  M  54          1982</t>
  </si>
  <si>
    <t>3000844859K</t>
  </si>
  <si>
    <t>792646586</t>
  </si>
  <si>
    <t>Z733 N43 1986</t>
  </si>
  <si>
    <t>0                      Z  0733000N  43          1986</t>
  </si>
  <si>
    <t>The New York Public Library : its architecture and decoration / Henry Hope Reed ; photographs by Anne Day (unless otherwise noted) ; preface by Arthur Ross.</t>
  </si>
  <si>
    <t>Reed, Henry Hope.</t>
  </si>
  <si>
    <t>New York : Norton, ©1986.</t>
  </si>
  <si>
    <t>The Classical America series in art and architecture</t>
  </si>
  <si>
    <t>3855461447:eng</t>
  </si>
  <si>
    <t>13396275</t>
  </si>
  <si>
    <t>ocm13396275</t>
  </si>
  <si>
    <t>3103871526A</t>
  </si>
  <si>
    <t>9780393023176</t>
  </si>
  <si>
    <t>792852002</t>
  </si>
  <si>
    <t>Z733 N6 S54 2015</t>
  </si>
  <si>
    <t>0                      Z  0733000N  6                  S  54          2015</t>
  </si>
  <si>
    <t>Patience and fortitude : power, real estate, and the fight to save a public library / Scott Sherman.</t>
  </si>
  <si>
    <t>Sherman, Scott (Scott G.)</t>
  </si>
  <si>
    <t>Brooklyn, NY : Melville House, [2015]</t>
  </si>
  <si>
    <t>2018-03-08</t>
  </si>
  <si>
    <t>2542978645:eng</t>
  </si>
  <si>
    <t>891854169</t>
  </si>
  <si>
    <t>ocn891854169</t>
  </si>
  <si>
    <t>31036083602</t>
  </si>
  <si>
    <t>9781612194295</t>
  </si>
  <si>
    <t>794980526</t>
  </si>
  <si>
    <t>Z733 N64 L5</t>
  </si>
  <si>
    <t>0                      Z  0733000N  64                 L  5</t>
  </si>
  <si>
    <t>The Library &amp; Museum of the Performing Arts at Lincoln Center. [Text by Rosine Raoul].</t>
  </si>
  <si>
    <t>New York Public Library.</t>
  </si>
  <si>
    <t>1831025:eng</t>
  </si>
  <si>
    <t>863699</t>
  </si>
  <si>
    <t>ocm00863699</t>
  </si>
  <si>
    <t>3103004124L</t>
  </si>
  <si>
    <t>791489881</t>
  </si>
  <si>
    <t>Z733 U6 B48 2012</t>
  </si>
  <si>
    <t>0                      Z  0733000U  6                  B  48          2012</t>
  </si>
  <si>
    <t>The nation's library : the Library of Congress, Washington, D.C. / by Alan Bisbort, Linda Barrett Osborne, and Sharon Hannon.</t>
  </si>
  <si>
    <t>Bisbort, Alan, 1953-</t>
  </si>
  <si>
    <t>Washington, D.C. : Library of Congress in association with Scala Publishers, [2012]</t>
  </si>
  <si>
    <t>45140726:eng</t>
  </si>
  <si>
    <t>775898162</t>
  </si>
  <si>
    <t>ocn775898162</t>
  </si>
  <si>
    <t>31034980655</t>
  </si>
  <si>
    <t>9781857596724</t>
  </si>
  <si>
    <t>794907943</t>
  </si>
  <si>
    <t>Z733 U6 C36 2017</t>
  </si>
  <si>
    <t>0                      Z  0733000U  6                  C  36          2017</t>
  </si>
  <si>
    <t>The card catalog : books, cards, and literary treasures / the Library of Congress ; foreword by Carla Hayden ; [text written by Peter Devereaux].</t>
  </si>
  <si>
    <t>San Francisco : Chronicle Books, [2017]</t>
  </si>
  <si>
    <t>4204360108:eng</t>
  </si>
  <si>
    <t>953599088</t>
  </si>
  <si>
    <t>ocn953599088</t>
  </si>
  <si>
    <t>31037030987</t>
  </si>
  <si>
    <t>9781452145402</t>
  </si>
  <si>
    <t>795018915</t>
  </si>
  <si>
    <t>Z733 U6 C563 2017</t>
  </si>
  <si>
    <t>0                      Z  0733000U  6                  C  563         2017</t>
  </si>
  <si>
    <t>America's greatest library : an illustrated history of the Library of Congress / John Y. Cole, Library of Congress Historian ; foreword by Carla D. Hayden, Librarian of Congress.</t>
  </si>
  <si>
    <t>Cole, John Young, 1940- author.</t>
  </si>
  <si>
    <t>Washington, DC : The Library of Congress, Washington, DC, in association with D Giles Limited, London, 2017.</t>
  </si>
  <si>
    <t>4092761886:eng</t>
  </si>
  <si>
    <t>974677704</t>
  </si>
  <si>
    <t>ocn974677704</t>
  </si>
  <si>
    <t>3103669637I</t>
  </si>
  <si>
    <t>9781911282136</t>
  </si>
  <si>
    <t>795029770</t>
  </si>
  <si>
    <t>Z733 U6 R69 1993</t>
  </si>
  <si>
    <t>0                      Z  0733000U  6                  R  69          1993</t>
  </si>
  <si>
    <t>The nation's great library : Herbert Putnam and the Library of Congress, 1899-1939 / Jane Aikin Rosenberg.</t>
  </si>
  <si>
    <t>Rosenberg, Jane A.</t>
  </si>
  <si>
    <t>Urbana : University of Illinois Press, ©1993.</t>
  </si>
  <si>
    <t>292432460:eng</t>
  </si>
  <si>
    <t>26856142</t>
  </si>
  <si>
    <t>ocm26856142</t>
  </si>
  <si>
    <t>3101274168G</t>
  </si>
  <si>
    <t>9780252020018</t>
  </si>
  <si>
    <t>793253775</t>
  </si>
  <si>
    <t>Z733 U868 S77 2013</t>
  </si>
  <si>
    <t>0                      Z  0733000U  868                S  77          2013</t>
  </si>
  <si>
    <t>Studying students : a second look / edited by Nancy Fried Foster.</t>
  </si>
  <si>
    <t>2014-11-25</t>
  </si>
  <si>
    <t>9566169301:eng</t>
  </si>
  <si>
    <t>864366349</t>
  </si>
  <si>
    <t>ocn864366349</t>
  </si>
  <si>
    <t>31035858210</t>
  </si>
  <si>
    <t>9780838986806</t>
  </si>
  <si>
    <t>794961865</t>
  </si>
  <si>
    <t>Z733 Y18 L53 2009</t>
  </si>
  <si>
    <t>0                      Z  0733000Y  18                 L  53          2009</t>
  </si>
  <si>
    <t>Library architecture at Yale / [series edited by Geoffrey Little].</t>
  </si>
  <si>
    <t>New Haven : Yale University Library : Distributed by Yale University Press, 2009.</t>
  </si>
  <si>
    <t>Yale Library studies ; 2009</t>
  </si>
  <si>
    <t>374943917:eng</t>
  </si>
  <si>
    <t>501736533</t>
  </si>
  <si>
    <t>ocn501736533</t>
  </si>
  <si>
    <t>3103421617N</t>
  </si>
  <si>
    <t>9780300164770</t>
  </si>
  <si>
    <t>794805137</t>
  </si>
  <si>
    <t>Z733 Y18 1974</t>
  </si>
  <si>
    <t>0                      Z  0733000Y  18          1974</t>
  </si>
  <si>
    <t>The Beinecke Rare Book and Manuscript Library : a guide to its collections.</t>
  </si>
  <si>
    <t>Beinecke Rare Book and Manuscript Library.</t>
  </si>
  <si>
    <t>New Haven : Yale University Library, 1974.</t>
  </si>
  <si>
    <t>2018-05-01</t>
  </si>
  <si>
    <t>2275417:eng</t>
  </si>
  <si>
    <t>1414875</t>
  </si>
  <si>
    <t>ocm01414875</t>
  </si>
  <si>
    <t>3000954098T</t>
  </si>
  <si>
    <t>791620841</t>
  </si>
  <si>
    <t>2014-11-19</t>
  </si>
  <si>
    <t>2012-10-30</t>
  </si>
  <si>
    <t>Z735 A1 C29</t>
  </si>
  <si>
    <t>0                      Z  0735000A  1                  C  29</t>
  </si>
  <si>
    <t>Canadian libraries [by] H.C. Campbell.</t>
  </si>
  <si>
    <t>Campbell, H. C. (Henry Cummings), 1919-</t>
  </si>
  <si>
    <t>London, Bingley, 1969.</t>
  </si>
  <si>
    <t>Comparative library studies</t>
  </si>
  <si>
    <t>1103031215:eng</t>
  </si>
  <si>
    <t>19628</t>
  </si>
  <si>
    <t>ocm00019628</t>
  </si>
  <si>
    <t>3000981783B</t>
  </si>
  <si>
    <t>9780851570631</t>
  </si>
  <si>
    <t>791230462</t>
  </si>
  <si>
    <t>31036441703</t>
  </si>
  <si>
    <t>791230463</t>
  </si>
  <si>
    <t>Z735 A1 C29 1971</t>
  </si>
  <si>
    <t>0                      Z  0735000A  1                  C  29          1971</t>
  </si>
  <si>
    <t>Canadian libraries, by H.C. Campbell.</t>
  </si>
  <si>
    <t>[Hamden, Conn.] Linnet Books [1971]</t>
  </si>
  <si>
    <t>2d ed., fully rev. and expanded.</t>
  </si>
  <si>
    <t>129699</t>
  </si>
  <si>
    <t>ocm00129699</t>
  </si>
  <si>
    <t>31003857129</t>
  </si>
  <si>
    <t>9780208010643</t>
  </si>
  <si>
    <t>791266044</t>
  </si>
  <si>
    <t>30008477021</t>
  </si>
  <si>
    <t>791266045</t>
  </si>
  <si>
    <t>Z735 A1 D7</t>
  </si>
  <si>
    <t>0                      Z  0735000A  1                  D  7</t>
  </si>
  <si>
    <t>Les bibliothèques canadiennes, 1604-1960.</t>
  </si>
  <si>
    <t>Drolet, Antonio.</t>
  </si>
  <si>
    <t>[Montréal] Cercle du livre de France [©1965]</t>
  </si>
  <si>
    <t>2014-01-23</t>
  </si>
  <si>
    <t>350452544:fre</t>
  </si>
  <si>
    <t>3143770</t>
  </si>
  <si>
    <t>ocm03143770</t>
  </si>
  <si>
    <t>30001803023</t>
  </si>
  <si>
    <t>792222598</t>
  </si>
  <si>
    <t>3000847667E</t>
  </si>
  <si>
    <t>792222599</t>
  </si>
  <si>
    <t>Z735 A1 H38 1950</t>
  </si>
  <si>
    <t>0                      Z  0735000A  1                  H  38          1950</t>
  </si>
  <si>
    <t>Some early Canadian libraries / by Esther Grace Harrop.</t>
  </si>
  <si>
    <t>Harrop, Esther Grace.</t>
  </si>
  <si>
    <t>[Place of publication not identified] : School of Library Science, Western Reserve University, 1950.</t>
  </si>
  <si>
    <t>33538066:eng</t>
  </si>
  <si>
    <t>61543592</t>
  </si>
  <si>
    <t>ocm61543592</t>
  </si>
  <si>
    <t>3103452041G</t>
  </si>
  <si>
    <t>793974974</t>
  </si>
  <si>
    <t>Z735 A1 M67</t>
  </si>
  <si>
    <t>0                      Z  0735000A  1                  M  67</t>
  </si>
  <si>
    <t>Developing public libraries in Canada, 1535-1983 : the Alberta Letts memorial lecture delivered at Dalhousie University School of Library Service, Nov. 1, 1974 / by Elizabeth Homer Morton.</t>
  </si>
  <si>
    <t>Morton, Elizabeth Homer.</t>
  </si>
  <si>
    <t>Halifax, N.S. : Dalhousie University, 1975.</t>
  </si>
  <si>
    <t>Occasional paper - Dalhousie University Library and Dalhousie University School of Library Service ; no. 9</t>
  </si>
  <si>
    <t>12571923:eng</t>
  </si>
  <si>
    <t>3069379</t>
  </si>
  <si>
    <t>ocm03069379</t>
  </si>
  <si>
    <t>3000847297L</t>
  </si>
  <si>
    <t>792213265</t>
  </si>
  <si>
    <t>2003-10-10</t>
  </si>
  <si>
    <t>3000847298J</t>
  </si>
  <si>
    <t>792213266</t>
  </si>
  <si>
    <t>Z735 A1 M68 1946</t>
  </si>
  <si>
    <t>0                      Z  0735000A  1                  M  68          1946</t>
  </si>
  <si>
    <t>The public library, why you need it, how to start it, how to keep it going : a handbook / by Angus Mowat.</t>
  </si>
  <si>
    <t>Mowat, Angus, 1892-1977.</t>
  </si>
  <si>
    <t>[Toronto] : Public Libraries Branch, Ontario Department of Education, 1946.</t>
  </si>
  <si>
    <t>46111919:eng</t>
  </si>
  <si>
    <t>61611459</t>
  </si>
  <si>
    <t>ocm61611459</t>
  </si>
  <si>
    <t>3103508129C</t>
  </si>
  <si>
    <t>794049806</t>
  </si>
  <si>
    <t>Z735 A1 P76</t>
  </si>
  <si>
    <t>0                      Z  0735000A  1                  P  76</t>
  </si>
  <si>
    <t>Project progress : a study of Canadian public libraries / prepared for the Canadian Library Association and its division, the Canadian Association of Public Libraries by Urban Dimensions Group Inc., Toronto, Canada.</t>
  </si>
  <si>
    <t>Urban Dimensions Group Inc.</t>
  </si>
  <si>
    <t>Ottawa : Canadian Library Association, ©1981.</t>
  </si>
  <si>
    <t>545545:eng</t>
  </si>
  <si>
    <t>11536676</t>
  </si>
  <si>
    <t>ocm11536676</t>
  </si>
  <si>
    <t>3103644012L</t>
  </si>
  <si>
    <t>9780888021540</t>
  </si>
  <si>
    <t>792777451</t>
  </si>
  <si>
    <t>Z735 A1 R39 2008</t>
  </si>
  <si>
    <t>0                      Z  0735000A  1                  R  39          2008</t>
  </si>
  <si>
    <t>Rayonner et partager : l'innovation dans les bibliothèques canadiennes / Bibliothèque et Archives Canada, Bibliothèque et Archives nationales du Québec ; sous la direction de Yvon-André Lacroix ; [traduction, Centre des services partagés du Québec].</t>
  </si>
  <si>
    <t>[Québec] : Presses de l'Université Laval, 2008.</t>
  </si>
  <si>
    <t>1047779435:eng</t>
  </si>
  <si>
    <t>248944786</t>
  </si>
  <si>
    <t>ocn248944786</t>
  </si>
  <si>
    <t>31030306129</t>
  </si>
  <si>
    <t>9782763787237</t>
  </si>
  <si>
    <t>794384674</t>
  </si>
  <si>
    <t>Z735 A1 R3913 2008</t>
  </si>
  <si>
    <t>0                      Z  0735000A  1                  R  3913        2008</t>
  </si>
  <si>
    <t>Reaching out : innovation in Canadian libraries / Library and Archives Canada, Bibliothèque et Archives nationales du Québec ; edited by Yvon-André Lacroix ; [translation, Centre des services partagés du Québec].</t>
  </si>
  <si>
    <t>864148070:eng</t>
  </si>
  <si>
    <t>244205576</t>
  </si>
  <si>
    <t>ocn244205576</t>
  </si>
  <si>
    <t>3102707660P</t>
  </si>
  <si>
    <t>9782763787244</t>
  </si>
  <si>
    <t>794380991</t>
  </si>
  <si>
    <t>2009-10-19</t>
  </si>
  <si>
    <t>31030306139</t>
  </si>
  <si>
    <t>794380992</t>
  </si>
  <si>
    <t>Z735 A1 R43 1986</t>
  </si>
  <si>
    <t>0                      Z  0735000A  1                  R  43          1986</t>
  </si>
  <si>
    <t>Readings in Canadian library history / edited by Peter F. McNally.</t>
  </si>
  <si>
    <t>Ottawa, Ont. : Canadian Library Association, 1986.</t>
  </si>
  <si>
    <t>2019-08-06</t>
  </si>
  <si>
    <t>475543253:eng</t>
  </si>
  <si>
    <t>14971873</t>
  </si>
  <si>
    <t>ocm14971873</t>
  </si>
  <si>
    <t>3103705673Q</t>
  </si>
  <si>
    <t>9780888021960</t>
  </si>
  <si>
    <t>792915550</t>
  </si>
  <si>
    <t>Z735 A1 R43 1996</t>
  </si>
  <si>
    <t>0                      Z  0735000A  1                  R  43          1996</t>
  </si>
  <si>
    <t>Readings in Canadian library history 2 / edited by Peter F. McNally.</t>
  </si>
  <si>
    <t>Ottawa, Ont. : Canadian Library Association, ©1996.</t>
  </si>
  <si>
    <t>1950939882:eng</t>
  </si>
  <si>
    <t>35699101</t>
  </si>
  <si>
    <t>ocm35699101</t>
  </si>
  <si>
    <t>31015945498</t>
  </si>
  <si>
    <t>9780888022691</t>
  </si>
  <si>
    <t>793455272</t>
  </si>
  <si>
    <t>3101560483D</t>
  </si>
  <si>
    <t>793455273</t>
  </si>
  <si>
    <t>Z735 B7 B723</t>
  </si>
  <si>
    <t>0                      Z  0735000B  7                  B  723</t>
  </si>
  <si>
    <t>Quantitative standards for public libraries.</t>
  </si>
  <si>
    <t>British Columbia. Library Development Commission.</t>
  </si>
  <si>
    <t>1195409:eng</t>
  </si>
  <si>
    <t>58266</t>
  </si>
  <si>
    <t>ocm00058266</t>
  </si>
  <si>
    <t>31036361432</t>
  </si>
  <si>
    <t>791241972</t>
  </si>
  <si>
    <t>Z735 C36 1951</t>
  </si>
  <si>
    <t>0                      Z  0735000C  36          1951</t>
  </si>
  <si>
    <t>100 library years in Canada, 1851-1951; a picture book.</t>
  </si>
  <si>
    <t>Canadian Library Association.</t>
  </si>
  <si>
    <t>9323490705:eng</t>
  </si>
  <si>
    <t>12059173</t>
  </si>
  <si>
    <t>ocm12059173</t>
  </si>
  <si>
    <t>3102607928U</t>
  </si>
  <si>
    <t>792799317</t>
  </si>
  <si>
    <t>3103588750M</t>
  </si>
  <si>
    <t>792799316</t>
  </si>
  <si>
    <t>Z735 C73</t>
  </si>
  <si>
    <t>0                      Z  0735000C  73</t>
  </si>
  <si>
    <t>Libraries in Canada : a study of library conditions and needs / by the Commission of enquiry, John Ridington, chairman, Mary J.L. Black, George H. Locke.</t>
  </si>
  <si>
    <t>Commission of Enquiry into the Library Situation in Canada.</t>
  </si>
  <si>
    <t>Toronto : Ryerson Press ; Chicago : American Library Association, 1933.</t>
  </si>
  <si>
    <t>2017-01-24</t>
  </si>
  <si>
    <t>1745069:eng</t>
  </si>
  <si>
    <t>832008</t>
  </si>
  <si>
    <t>ocm00832008</t>
  </si>
  <si>
    <t>3100381533T</t>
  </si>
  <si>
    <t>791482043</t>
  </si>
  <si>
    <t>Z735 M6 M6</t>
  </si>
  <si>
    <t>0                      Z  0735000M  6                  M  6</t>
  </si>
  <si>
    <t>Mechanics Institute of Montreal.</t>
  </si>
  <si>
    <t>Mechanics' Institute of Montreal.</t>
  </si>
  <si>
    <t>[Montreal?] : [publisher not identified], [1930?]</t>
  </si>
  <si>
    <t>2016-10-05</t>
  </si>
  <si>
    <t>4535924333:eng</t>
  </si>
  <si>
    <t>61609837</t>
  </si>
  <si>
    <t>ocm61609837</t>
  </si>
  <si>
    <t>3103679641L</t>
  </si>
  <si>
    <t>794048336</t>
  </si>
  <si>
    <t>Z735 M82 L3</t>
  </si>
  <si>
    <t>0                      Z  0735000M  82                 L  3</t>
  </si>
  <si>
    <t>Les bibliothèques de collectivités à Montréal (17e-19e siècle) : sources et problèmes / Yvan Lamonde.</t>
  </si>
  <si>
    <t>Lamonde, Yvan.</t>
  </si>
  <si>
    <t>Montréal : Bibliothèque nationale du Québec, 1979.</t>
  </si>
  <si>
    <t>308510010:fre</t>
  </si>
  <si>
    <t>6522321</t>
  </si>
  <si>
    <t>ocm06522321</t>
  </si>
  <si>
    <t>3000978549R</t>
  </si>
  <si>
    <t>9782550001591</t>
  </si>
  <si>
    <t>792505339</t>
  </si>
  <si>
    <t>3103005742W</t>
  </si>
  <si>
    <t>792505336</t>
  </si>
  <si>
    <t>3000954774F</t>
  </si>
  <si>
    <t>792505338</t>
  </si>
  <si>
    <t>Z735 O5 B78 1994</t>
  </si>
  <si>
    <t>0                      Z  0735000O  5                  B  78          1994</t>
  </si>
  <si>
    <t>Free books for all : the public library movement in Ontario, 1850-1930 / Lorne Bruce.</t>
  </si>
  <si>
    <t>Bruce, Lorne, 1948-</t>
  </si>
  <si>
    <t>Toronto ; Niagra Falls : Dundurn Press, 1994.</t>
  </si>
  <si>
    <t>802750372:eng</t>
  </si>
  <si>
    <t>31289005</t>
  </si>
  <si>
    <t>ocm31289005</t>
  </si>
  <si>
    <t>3101409270S</t>
  </si>
  <si>
    <t>9781550022056</t>
  </si>
  <si>
    <t>793357660</t>
  </si>
  <si>
    <t>Z735 O5 B784 2010</t>
  </si>
  <si>
    <t>0                      Z  0735000O  5                  B  784         2010</t>
  </si>
  <si>
    <t>Places to grow : public libraries and communities in Ontario, 1930-2000 / Lorne D. Bruce.</t>
  </si>
  <si>
    <t>[Guelph, Ont. : L. Bruce], c2010.</t>
  </si>
  <si>
    <t>593964686:eng</t>
  </si>
  <si>
    <t>659174181</t>
  </si>
  <si>
    <t>ocn659174181</t>
  </si>
  <si>
    <t>3103268390H</t>
  </si>
  <si>
    <t>9780986666605</t>
  </si>
  <si>
    <t>794836109</t>
  </si>
  <si>
    <t>Z735 O5 G7 1952a</t>
  </si>
  <si>
    <t>0                      Z  0735000O  5                  G  7           1952a</t>
  </si>
  <si>
    <t>The development of public libraries in Ontario, 1851-1951 / Tamara E. Grad.</t>
  </si>
  <si>
    <t>Grad, Tamara E.</t>
  </si>
  <si>
    <t>Philadelphia : Drexel Institute of Technology, School of Library Science, 1952.</t>
  </si>
  <si>
    <t>37403702:eng</t>
  </si>
  <si>
    <t>61544772</t>
  </si>
  <si>
    <t>ocm61544772</t>
  </si>
  <si>
    <t>3103005683R</t>
  </si>
  <si>
    <t>793976230</t>
  </si>
  <si>
    <t>Z735 O5 P45 1983</t>
  </si>
  <si>
    <t>0                      Z  0735000O  5                  P  45          1983</t>
  </si>
  <si>
    <t>A century of service : Toronto Public Library, 1883-1983 / Margaret Penman.</t>
  </si>
  <si>
    <t>Penman, Margaret.</t>
  </si>
  <si>
    <t>[Toronto] : The Library, ©1983.</t>
  </si>
  <si>
    <t>428664585:eng</t>
  </si>
  <si>
    <t>12237190</t>
  </si>
  <si>
    <t>ocm12237190</t>
  </si>
  <si>
    <t>3103549797U</t>
  </si>
  <si>
    <t>9780919486737</t>
  </si>
  <si>
    <t>792807230</t>
  </si>
  <si>
    <t>Z735 Q4 B547 2017</t>
  </si>
  <si>
    <t>0                      Z  0735000Q  4                  B  547         2017</t>
  </si>
  <si>
    <t>Bibliothèques québécoises remarquables / sous la direction de Claude Corbo avec la collaboration de Sophie Montreuil et d'Isabelle Crevier.</t>
  </si>
  <si>
    <t>[Montréal] : Bibliothèque et Archives nationales Québec : Del Busso, [2017]</t>
  </si>
  <si>
    <t>4574773436:fre</t>
  </si>
  <si>
    <t>1016456673</t>
  </si>
  <si>
    <t>on1016456673</t>
  </si>
  <si>
    <t>3103729198Z</t>
  </si>
  <si>
    <t>9782924719251</t>
  </si>
  <si>
    <t>795048457</t>
  </si>
  <si>
    <t>Z735 Q4 B68 1996</t>
  </si>
  <si>
    <t>0                      Z  0735000Q  4                  B  68          1996</t>
  </si>
  <si>
    <t>The meaning of service : an ethnographic study of a public library in Québec / by France Bouthillier.</t>
  </si>
  <si>
    <t>Bouthillier, France.</t>
  </si>
  <si>
    <t>198116296:eng</t>
  </si>
  <si>
    <t>221783800</t>
  </si>
  <si>
    <t>ocn221783800</t>
  </si>
  <si>
    <t>3101705783Z</t>
  </si>
  <si>
    <t>9780612116788</t>
  </si>
  <si>
    <t>794327791</t>
  </si>
  <si>
    <t>Z735 Q4 L34 2004</t>
  </si>
  <si>
    <t>0                      Z  0735000Q  4                  L  34          2004</t>
  </si>
  <si>
    <t>Lecture publique et culture au Québec : XIXe et XXe siècles / Marcel Lajeunesse.</t>
  </si>
  <si>
    <t>Lajeunesse, Marcel, 1942-</t>
  </si>
  <si>
    <t>Sainte-Foy : Presses de l'Université du Québec, 2004.</t>
  </si>
  <si>
    <t>799516864:fre</t>
  </si>
  <si>
    <t>55744734</t>
  </si>
  <si>
    <t>ocm55744734</t>
  </si>
  <si>
    <t>3102422157X</t>
  </si>
  <si>
    <t>9782760512986</t>
  </si>
  <si>
    <t>793882036</t>
  </si>
  <si>
    <t>Z735 Q4 S43 2016</t>
  </si>
  <si>
    <t>0                      Z  0735000Q  4                  S  43          2016</t>
  </si>
  <si>
    <t>D'obscurantisme et de lumières : la bibliothèque publique au Québec, des origines au 21e siècle / François Séguin.</t>
  </si>
  <si>
    <t>Séguin, François, 1947-, author.</t>
  </si>
  <si>
    <t>[Montréal, Québec] : Hurtubise, [2016]</t>
  </si>
  <si>
    <t>Cahiers du Québec ; 168. Histoire et politique</t>
  </si>
  <si>
    <t>3972347242:fre</t>
  </si>
  <si>
    <t>964819516</t>
  </si>
  <si>
    <t>ocn964819516</t>
  </si>
  <si>
    <t>3103646450O</t>
  </si>
  <si>
    <t>9782897238803</t>
  </si>
  <si>
    <t>795025481</t>
  </si>
  <si>
    <t>Z735 Q8 B34 2007</t>
  </si>
  <si>
    <t>0                      Z  0735000Q  8                  B  34          2007</t>
  </si>
  <si>
    <t>Plaidoyer pour une bibliothèque publique culturelle : dix défis à relever / Jean-Paul Baillargeon.</t>
  </si>
  <si>
    <t>Baillargeon, Jean-Paul.</t>
  </si>
  <si>
    <t>Montréal : Éditions ASTED, 2007.</t>
  </si>
  <si>
    <t>70058088:fre</t>
  </si>
  <si>
    <t>86226373</t>
  </si>
  <si>
    <t>ocm86226373</t>
  </si>
  <si>
    <t>31025541358</t>
  </si>
  <si>
    <t>9782923563053</t>
  </si>
  <si>
    <t>794218957</t>
  </si>
  <si>
    <t>Z735 T6 R68 2015</t>
  </si>
  <si>
    <t>0                      Z  0735000T  6                  R  68          2015</t>
  </si>
  <si>
    <t>All the libraries Toronto / Daniel Rotsztain.</t>
  </si>
  <si>
    <t>Rotsztain, Daniel, author, illustrator.</t>
  </si>
  <si>
    <t>Toronto, Ontario, Canada : Dundurn, [2015]</t>
  </si>
  <si>
    <t>2620600056:eng</t>
  </si>
  <si>
    <t>921167398</t>
  </si>
  <si>
    <t>ocn921167398</t>
  </si>
  <si>
    <t>3103644506X</t>
  </si>
  <si>
    <t>9781459735095</t>
  </si>
  <si>
    <t>795003007</t>
  </si>
  <si>
    <t>Z736 A78 A78 1970</t>
  </si>
  <si>
    <t>0                      Z  0736000A  78                 A  78          1970</t>
  </si>
  <si>
    <t>The Atwater Library of the Mechanics' Institute of Montreal.</t>
  </si>
  <si>
    <t>Atwater Library.</t>
  </si>
  <si>
    <t>[Montreal? : s.n., 197-?]</t>
  </si>
  <si>
    <t>1073888353:eng</t>
  </si>
  <si>
    <t>15881237</t>
  </si>
  <si>
    <t>ocm15881237</t>
  </si>
  <si>
    <t>3000845165B</t>
  </si>
  <si>
    <t>792946151</t>
  </si>
  <si>
    <t>Z736 B483 B53 2005</t>
  </si>
  <si>
    <t>0                      Z  0736000B  483                B  53          2005</t>
  </si>
  <si>
    <t>Tous ces livres sont à toi! : de l'oeuvre des bons livres à la Grande Bibliothèque (1844-2005) : catalogue de l'exposition inaugurale de la Grande Bibliothèque de la Bibliothèque nationale du Québec présentée du 29 avril 2005 au 31 janvier 2006.</t>
  </si>
  <si>
    <t>Bibliothèque nationale du Québec.</t>
  </si>
  <si>
    <t>[Québec] : Bibliothèque nationale du Québec ; [Sainte-Foy, Québec] : Presses de l'Université Laval, 2005.</t>
  </si>
  <si>
    <t>4460904624:fre</t>
  </si>
  <si>
    <t>61464178</t>
  </si>
  <si>
    <t>ocm61464178</t>
  </si>
  <si>
    <t>31025550523</t>
  </si>
  <si>
    <t>9782763782232</t>
  </si>
  <si>
    <t>793953595</t>
  </si>
  <si>
    <t>Z736 B5 T87 2018</t>
  </si>
  <si>
    <t>0                      Z  0736000B  5                  T  87          2018</t>
  </si>
  <si>
    <t>La grande baie : portrait d'une bibliothèque / Gilbert Turp &amp; Caroline Boileau.</t>
  </si>
  <si>
    <t>Turp, Gilbert, author.</t>
  </si>
  <si>
    <t>Outremont (Québec) : Les Éditions du Passage, [2018]</t>
  </si>
  <si>
    <t>Autour de l'art ; no 010</t>
  </si>
  <si>
    <t>5599157036:fre</t>
  </si>
  <si>
    <t>1066115922</t>
  </si>
  <si>
    <t>on1066115922</t>
  </si>
  <si>
    <t>31037304491</t>
  </si>
  <si>
    <t>9782924397459</t>
  </si>
  <si>
    <t>795066669</t>
  </si>
  <si>
    <t>Z736 B53 L37 2001</t>
  </si>
  <si>
    <t>0                      Z  0736000B  53                 L  37          2001</t>
  </si>
  <si>
    <t>La Bibliothèque Saint-Sulpice, 1910-1931 / Jean-René Lassonde.</t>
  </si>
  <si>
    <t>Lassonde, Jean-René, 1947-</t>
  </si>
  <si>
    <t>Montréal : Bibliothèque nationale du Québec, 2001.</t>
  </si>
  <si>
    <t>351292695:fre</t>
  </si>
  <si>
    <t>47272868</t>
  </si>
  <si>
    <t>ocm47272868</t>
  </si>
  <si>
    <t>3102211857X</t>
  </si>
  <si>
    <t>9782551213511</t>
  </si>
  <si>
    <t>793702421</t>
  </si>
  <si>
    <t>Z736 B59 B69 2008</t>
  </si>
  <si>
    <t>0                      Z  0736000B  59                 B  69          2008</t>
  </si>
  <si>
    <t>Local library, global passport : the evolution of a Carnegie library / J. Patrick Boyer.</t>
  </si>
  <si>
    <t>Boyer, J. Patrick.</t>
  </si>
  <si>
    <t>Toronto : Blue Butterfly Books ; Nashville : Book trade distribution by Hushion House Pub., ©2008.</t>
  </si>
  <si>
    <t>500698642:eng</t>
  </si>
  <si>
    <t>191759655</t>
  </si>
  <si>
    <t>ocn191759655</t>
  </si>
  <si>
    <t>3102706720Y</t>
  </si>
  <si>
    <t>9780978498221</t>
  </si>
  <si>
    <t>794301039</t>
  </si>
  <si>
    <t>Z736 C34 B74 2012</t>
  </si>
  <si>
    <t>0                      Z  0736000C  34                 B  74          2012</t>
  </si>
  <si>
    <t>The Calgary Public Library : inspiring life stories since 1912 / Brian Brennan.</t>
  </si>
  <si>
    <t>Brennan, Brian, 1943-</t>
  </si>
  <si>
    <t>[Cochrane, AB] : Kingsley Pub., c2012.</t>
  </si>
  <si>
    <t>1785699107:eng</t>
  </si>
  <si>
    <t>777304440</t>
  </si>
  <si>
    <t>ocn777304440</t>
  </si>
  <si>
    <t>3103403083T</t>
  </si>
  <si>
    <t>9781926832111</t>
  </si>
  <si>
    <t>794908675</t>
  </si>
  <si>
    <t>Z736 C37 C38 1936</t>
  </si>
  <si>
    <t>0                      Z  0736000C  37                 C  38          1936</t>
  </si>
  <si>
    <t>The Carnegie library demonstration in Prince Edward Island, Canada, 1933-1936.</t>
  </si>
  <si>
    <t>Bateson, Nora, 1896-1956.</t>
  </si>
  <si>
    <t>Charlottetown, P.E.I., Prince Edward Island Libraries, 1936.</t>
  </si>
  <si>
    <t>1936</t>
  </si>
  <si>
    <t>12202042:eng</t>
  </si>
  <si>
    <t>3722082</t>
  </si>
  <si>
    <t>ocm03722082</t>
  </si>
  <si>
    <t>3000645899H</t>
  </si>
  <si>
    <t>792284556</t>
  </si>
  <si>
    <t>Z736 C48 C5 1940</t>
  </si>
  <si>
    <t>0                      Z  0736000C  48                 C  5           1940</t>
  </si>
  <si>
    <t>A regional library and its readers; a study of five years of rural reading, by H.B. Chandler ... and J.T. Croteau ...</t>
  </si>
  <si>
    <t>Chandler, Henry Bramwell, 1907-</t>
  </si>
  <si>
    <t>New York, American Association for adult education, 1940.</t>
  </si>
  <si>
    <t>3023635:eng</t>
  </si>
  <si>
    <t>1746896</t>
  </si>
  <si>
    <t>ocm01746896</t>
  </si>
  <si>
    <t>3000856509V</t>
  </si>
  <si>
    <t>791858532</t>
  </si>
  <si>
    <t>Z736 E36 B32 2013</t>
  </si>
  <si>
    <t>0                      Z  0736000E  36                 B  32          2013</t>
  </si>
  <si>
    <t>Just getting started : Edmonton Public Library's first 100 years, 1913-2013 / by Todd Babiak.</t>
  </si>
  <si>
    <t>Babiak, Todd, 1972- author.</t>
  </si>
  <si>
    <t>Edmonton, Alberta : University of Alberta Press, 2013.</t>
  </si>
  <si>
    <t>1373559177:eng</t>
  </si>
  <si>
    <t>855199873</t>
  </si>
  <si>
    <t>ocn855199873</t>
  </si>
  <si>
    <t>3103493183I</t>
  </si>
  <si>
    <t>9780888647290</t>
  </si>
  <si>
    <t>794953120</t>
  </si>
  <si>
    <t>Z736 F7 M6x</t>
  </si>
  <si>
    <t>0                      Z  0736000F  7                  M  6x</t>
  </si>
  <si>
    <t>The Fraser-Hickson Library : an informal history / by Edgar C. Moodey ; with a foreword by Edgar Andrew Collard.</t>
  </si>
  <si>
    <t>Moodey, Edgar C.</t>
  </si>
  <si>
    <t>London : Bingley, 1977.</t>
  </si>
  <si>
    <t>308954838:eng</t>
  </si>
  <si>
    <t>3481863</t>
  </si>
  <si>
    <t>ocm03481863</t>
  </si>
  <si>
    <t>3000847281$</t>
  </si>
  <si>
    <t>9780851572338</t>
  </si>
  <si>
    <t>792259890</t>
  </si>
  <si>
    <t>Z736 M3 A7 1972 R5</t>
  </si>
  <si>
    <t>0                      Z  0736000M  3                  A  7           1972   R  5</t>
  </si>
  <si>
    <t>Guide to the papers of professor John Clark Murray, accession no. 611 / University Archives, McGill University ; [prepared by Kerry DuVal].</t>
  </si>
  <si>
    <t>McGill University. Archives.</t>
  </si>
  <si>
    <t>Montreal : University Archives, McGill University, 1972.</t>
  </si>
  <si>
    <t>2016-06-02</t>
  </si>
  <si>
    <t>11231243:eng</t>
  </si>
  <si>
    <t>15776101</t>
  </si>
  <si>
    <t>ocm15776101</t>
  </si>
  <si>
    <t>3103679300A</t>
  </si>
  <si>
    <t>792942029</t>
  </si>
  <si>
    <t>Z736 M3 A7 1973 M3x</t>
  </si>
  <si>
    <t>0                      Z  0736000M  3                  A  7           1973   M  3x</t>
  </si>
  <si>
    <t>A preliminary list of the official papers of Sir John William Dawson, bundle 21, accession 927, 1864-1871. / With a foreword by John C.L. Andreassen.</t>
  </si>
  <si>
    <t>Montreal : University Archives, McGill University, 1973.</t>
  </si>
  <si>
    <t>5615412184:eng</t>
  </si>
  <si>
    <t>61573631</t>
  </si>
  <si>
    <t>ocm61573631</t>
  </si>
  <si>
    <t>3000851381J</t>
  </si>
  <si>
    <t>794008431</t>
  </si>
  <si>
    <t>Z736 M3 A7 1974 A4</t>
  </si>
  <si>
    <t>0                      Z  0736000M  3                  A  7           1974   A  4</t>
  </si>
  <si>
    <t>A preliminary guide to the files of principals : Sir Arthur Currie, 1920-1933, A. E. Morgan, 1935-1937, Lewis William Douglas, 1937-1939, record groups 2C, 2M and 2D, accession 641 / [compiled] by Robert Alain.</t>
  </si>
  <si>
    <t>Montreal : University Archives, McGill University, 1974.</t>
  </si>
  <si>
    <t>2015-01-17</t>
  </si>
  <si>
    <t>5609143076:eng</t>
  </si>
  <si>
    <t>15840507</t>
  </si>
  <si>
    <t>ocm15840507</t>
  </si>
  <si>
    <t>31028213665</t>
  </si>
  <si>
    <t>792944470</t>
  </si>
  <si>
    <t>Z736 M3 A7 1974 H54</t>
  </si>
  <si>
    <t>0                      Z  0736000M  3                  A  7           1974   H  54</t>
  </si>
  <si>
    <t>A preliminary guide to records of the Department of Chemistry, accession no. 1700 / University Archives, McGill University ; [compiled] by Daniel Hickey and Marcellin Noel.</t>
  </si>
  <si>
    <t>11249682:eng</t>
  </si>
  <si>
    <t>15779229</t>
  </si>
  <si>
    <t>ocm15779229</t>
  </si>
  <si>
    <t>3103761820N</t>
  </si>
  <si>
    <t>792942174</t>
  </si>
  <si>
    <t>Z736 M3 A7 1974 S2</t>
  </si>
  <si>
    <t>0                      Z  0736000M  3                  A  7           1974   S  2</t>
  </si>
  <si>
    <t>Le fonds Camillien Houde : collection des archives privées aux Archives nationales du Québec à Montréal / Armand St-Onge.</t>
  </si>
  <si>
    <t>St-Onge, Armand.</t>
  </si>
  <si>
    <t>2019-10-21</t>
  </si>
  <si>
    <t>345775536:fre</t>
  </si>
  <si>
    <t>2165654</t>
  </si>
  <si>
    <t>ocm02165654</t>
  </si>
  <si>
    <t>30004254822</t>
  </si>
  <si>
    <t>792059475</t>
  </si>
  <si>
    <t>Z736 M3 L6 1942</t>
  </si>
  <si>
    <t>0                      Z  0736000M  3                  L  6           1942</t>
  </si>
  <si>
    <t>The Redpath library : half a century (1892-1942) / by Gerhard R. Lomer.</t>
  </si>
  <si>
    <t>Lomer, Gerhard R. (Gerhard Richard), 1882-1970.</t>
  </si>
  <si>
    <t>1942</t>
  </si>
  <si>
    <t>2018-05-11</t>
  </si>
  <si>
    <t>2018-08-13</t>
  </si>
  <si>
    <t>17281087:eng</t>
  </si>
  <si>
    <t>18355541</t>
  </si>
  <si>
    <t>ocm18355541</t>
  </si>
  <si>
    <t>3000863219C</t>
  </si>
  <si>
    <t>793022686</t>
  </si>
  <si>
    <t>Z736 M3 M28</t>
  </si>
  <si>
    <t>0                      Z  0736000M  3                  M  28</t>
  </si>
  <si>
    <t>Survey of the McGill University Libraries by Stephen A. McCarthy and Richard H. Logsdon.</t>
  </si>
  <si>
    <t>McCarthy, Stephen A. (Stephen Anthony), 1908-1990.</t>
  </si>
  <si>
    <t>475548296:eng</t>
  </si>
  <si>
    <t>18355572</t>
  </si>
  <si>
    <t>ocm18355572</t>
  </si>
  <si>
    <t>30008544624</t>
  </si>
  <si>
    <t>793022687</t>
  </si>
  <si>
    <t>3101339935S</t>
  </si>
  <si>
    <t>793022688</t>
  </si>
  <si>
    <t>Z736 M3 M282 1982</t>
  </si>
  <si>
    <t>0                      Z  0736000M  3                  M  282         1982</t>
  </si>
  <si>
    <t>McGill University Libraries collection analysis project : final report.</t>
  </si>
  <si>
    <t>McGill University. Libraries.</t>
  </si>
  <si>
    <t>Montreal, Quebec : [The Libraries], 1982.</t>
  </si>
  <si>
    <t>2013-02-12</t>
  </si>
  <si>
    <t>46126676:eng</t>
  </si>
  <si>
    <t>61553931</t>
  </si>
  <si>
    <t>ocm61553931</t>
  </si>
  <si>
    <t>31022284886</t>
  </si>
  <si>
    <t>793985806</t>
  </si>
  <si>
    <t>2000-01-25</t>
  </si>
  <si>
    <t>3102538614S</t>
  </si>
  <si>
    <t>793985808</t>
  </si>
  <si>
    <t>3000477295Z</t>
  </si>
  <si>
    <t>793985807</t>
  </si>
  <si>
    <t>Z 736 M3 M2844 1995</t>
  </si>
  <si>
    <t>0                      Z  0736000M  3                  M  2844        1995</t>
  </si>
  <si>
    <t>Library service for users with disabilities / McGill University Libraries.</t>
  </si>
  <si>
    <t>[Montreal] : [The Libraries], 1995.</t>
  </si>
  <si>
    <t>315392443:eng</t>
  </si>
  <si>
    <t>427977494</t>
  </si>
  <si>
    <t>ocn427977494</t>
  </si>
  <si>
    <t>3101411977K</t>
  </si>
  <si>
    <t>Book_Braille</t>
  </si>
  <si>
    <t>794731474</t>
  </si>
  <si>
    <t>Z736 M3 M2844 1995</t>
  </si>
  <si>
    <t>31014487301</t>
  </si>
  <si>
    <t>794731475</t>
  </si>
  <si>
    <t>3101448734U</t>
  </si>
  <si>
    <t>794731472</t>
  </si>
  <si>
    <t>3101448726T</t>
  </si>
  <si>
    <t>794731473</t>
  </si>
  <si>
    <t>Z736 M3 M2853 1991</t>
  </si>
  <si>
    <t>0                      Z  0736000M  3                  M  2853        1991</t>
  </si>
  <si>
    <t>McGill University Libraries cyclical review self-study report.</t>
  </si>
  <si>
    <t>v.1-2</t>
  </si>
  <si>
    <t>[Montréal, Qué.] : [The Library], 1991.</t>
  </si>
  <si>
    <t>46206653:eng</t>
  </si>
  <si>
    <t>61656169</t>
  </si>
  <si>
    <t>ocm61656169</t>
  </si>
  <si>
    <t>31015657867</t>
  </si>
  <si>
    <t>794089942</t>
  </si>
  <si>
    <t>31011399428</t>
  </si>
  <si>
    <t>794089941</t>
  </si>
  <si>
    <t>31011281288</t>
  </si>
  <si>
    <t>794089940</t>
  </si>
  <si>
    <t>Z736 N3 D6 1973</t>
  </si>
  <si>
    <t>0                      Z  0736000N  3                  D  6           1973</t>
  </si>
  <si>
    <t>The National Library of Canada; a historical analysis of the forces which contributed to its establishment and to the identification of its role and responsibilities [by] F. Dolores Donnelly.</t>
  </si>
  <si>
    <t>Donnelly, F. Dolores (Francis Dolores)</t>
  </si>
  <si>
    <t>Ottawa, Canadian Library Association, 1973.</t>
  </si>
  <si>
    <t>287286592:eng</t>
  </si>
  <si>
    <t>803561</t>
  </si>
  <si>
    <t>ocm00803561</t>
  </si>
  <si>
    <t>30008472704</t>
  </si>
  <si>
    <t>9780888020963</t>
  </si>
  <si>
    <t>791473891</t>
  </si>
  <si>
    <t>3103705762R</t>
  </si>
  <si>
    <t>791473892</t>
  </si>
  <si>
    <t>Z736 N3 N39 1996</t>
  </si>
  <si>
    <t>0                      Z  0736000N  3                  N  39          1996</t>
  </si>
  <si>
    <t>The National Library of Canada and Canadian libraries : essays in honour of Guy Sylvestre / editors, Jean-Rémi Brault, Gwynneth Evans, Richard Paré = La Bibliothèque nationale du Canada et les bibliothèques canadiennes : essais en l'honneur de Guy Sylvestre / rédacteurs, Jean-Rémi Brault, Gwynneth Evans, Richard Paré.</t>
  </si>
  <si>
    <t>Montréal : Asted, ©1996.</t>
  </si>
  <si>
    <t>56132423:eng</t>
  </si>
  <si>
    <t>36044295</t>
  </si>
  <si>
    <t>ocm36044295</t>
  </si>
  <si>
    <t>3101569952X</t>
  </si>
  <si>
    <t>9780888022776</t>
  </si>
  <si>
    <t>793464871</t>
  </si>
  <si>
    <t>Z736 N3 W43</t>
  </si>
  <si>
    <t>0                      Z  0736000N  3                  W  43</t>
  </si>
  <si>
    <t>The National Library of Canada : twenty-five years after : a retrospective overview / by Ian Wees.</t>
  </si>
  <si>
    <t>Wees, Ian, 1927-</t>
  </si>
  <si>
    <t>[Ottawa] : National Library of Canada ; Hull, Que. : Available by mail from Print. and Pub. Supply and Services Canada, ©1978.</t>
  </si>
  <si>
    <t>2017-07-10</t>
  </si>
  <si>
    <t>5614937563:eng</t>
  </si>
  <si>
    <t>4807961</t>
  </si>
  <si>
    <t>ocm04807961</t>
  </si>
  <si>
    <t>3000842467A</t>
  </si>
  <si>
    <t>9780660017846</t>
  </si>
  <si>
    <t>792385027</t>
  </si>
  <si>
    <t>Z736 T6 M97 2009</t>
  </si>
  <si>
    <t>0                      Z  0736000T  6                  M  97          2009</t>
  </si>
  <si>
    <t>The most attractive resort in town : public library service in West Toronto Junction, 1888-2009 / Barbara Myrvold.</t>
  </si>
  <si>
    <t>Myrvold, Barbara.</t>
  </si>
  <si>
    <t>Toronto : Toronto Public Library, c2009.</t>
  </si>
  <si>
    <t>2nd rev. and expanded ed.</t>
  </si>
  <si>
    <t>314112380:eng</t>
  </si>
  <si>
    <t>426222602</t>
  </si>
  <si>
    <t>ocn426222602</t>
  </si>
  <si>
    <t>3103072898X</t>
  </si>
  <si>
    <t>9780920601655</t>
  </si>
  <si>
    <t>794515271</t>
  </si>
  <si>
    <t>Z736 U48 D84 2018</t>
  </si>
  <si>
    <t>0                      Z  0736000U  48                 D  84          2018</t>
  </si>
  <si>
    <t>Bibliothèque de l'Université Laval : 165 ans d'histoire, 1852-2017 / Richard Dufour.</t>
  </si>
  <si>
    <t>Dufour, Richard, author.</t>
  </si>
  <si>
    <t>[Québec, Québec] : Presses de l'Université Laval, [2018]</t>
  </si>
  <si>
    <t>4803339618:fre</t>
  </si>
  <si>
    <t>1032381205</t>
  </si>
  <si>
    <t>on1032381205</t>
  </si>
  <si>
    <t>3103730014$</t>
  </si>
  <si>
    <t>9782763737324</t>
  </si>
  <si>
    <t>795056044</t>
  </si>
  <si>
    <t>3103729893H</t>
  </si>
  <si>
    <t>795056045</t>
  </si>
  <si>
    <t>Z736 W416 H36 1997</t>
  </si>
  <si>
    <t>0                      Z  0736000W  416                H  36          1997</t>
  </si>
  <si>
    <t>A jewel in a park : Westmount Public Library, 1897-1918 / Elizabeth Ida Hanson.</t>
  </si>
  <si>
    <t>Hanson, Elizabeth Ida, 1946-</t>
  </si>
  <si>
    <t>Montréal : Véhicule Press, ©1997.</t>
  </si>
  <si>
    <t>Dossier Québec series</t>
  </si>
  <si>
    <t>664685:eng</t>
  </si>
  <si>
    <t>39655442</t>
  </si>
  <si>
    <t>ocm39655442</t>
  </si>
  <si>
    <t>3103404388G</t>
  </si>
  <si>
    <t>9781550650877</t>
  </si>
  <si>
    <t>793550157</t>
  </si>
  <si>
    <t>Z736 W416 P36 1996</t>
  </si>
  <si>
    <t>0                      Z  0736000W  416                P  36          1996</t>
  </si>
  <si>
    <t>Westmount Public Library : a historical analysis / by Maria Pan.</t>
  </si>
  <si>
    <t>Pan, Maria, author.</t>
  </si>
  <si>
    <t>1436213501:eng</t>
  </si>
  <si>
    <t>864370255</t>
  </si>
  <si>
    <t>ocn864370255</t>
  </si>
  <si>
    <t>3103514776W</t>
  </si>
  <si>
    <t>794961873</t>
  </si>
  <si>
    <t>Z768 L53 2015</t>
  </si>
  <si>
    <t>0                      Z  0768000L  53          2015</t>
  </si>
  <si>
    <t>Library management in disruptive times : skills and knowledge for an uncertain future / edited by Steve O'Connor.</t>
  </si>
  <si>
    <t>London : Facet Publishing 2014.</t>
  </si>
  <si>
    <t>2587743020:eng</t>
  </si>
  <si>
    <t>893409199</t>
  </si>
  <si>
    <t>ocn893409199</t>
  </si>
  <si>
    <t>3103613147L</t>
  </si>
  <si>
    <t>9781783300211</t>
  </si>
  <si>
    <t>794981528</t>
  </si>
  <si>
    <t>Z789 B53 2016</t>
  </si>
  <si>
    <t>0                      Z  0789000B  53          2016</t>
  </si>
  <si>
    <t>Bibliothèques et lecteurs dans l'Europe moderne (XVIIe-XVIIIe siècles) / sous la direction de Gilles Bertrand, Anne Cayuela, Christian Del Vento et Raphaële Mouren.</t>
  </si>
  <si>
    <t>Genève : Droz, [2016]</t>
  </si>
  <si>
    <t>Bibliothèque des Lumières, 1660-5829 ; vol. LXXXVIII</t>
  </si>
  <si>
    <t>3966174450:fre</t>
  </si>
  <si>
    <t>962483916</t>
  </si>
  <si>
    <t>ocn962483916</t>
  </si>
  <si>
    <t>3103709037Y</t>
  </si>
  <si>
    <t>9782600047036</t>
  </si>
  <si>
    <t>795024588</t>
  </si>
  <si>
    <t>Z789 L6313</t>
  </si>
  <si>
    <t>0                      Z  0789000L  6313</t>
  </si>
  <si>
    <t>Historic libraries of Europe / Winfried Löschburg ; [translated from the German by Elisabeth Rosa].</t>
  </si>
  <si>
    <t>Löschburg, Winfried.</t>
  </si>
  <si>
    <t>Leipzig : Edition Leipzig, [1974]</t>
  </si>
  <si>
    <t>European cross-sections</t>
  </si>
  <si>
    <t>2292111:eng</t>
  </si>
  <si>
    <t>1500641</t>
  </si>
  <si>
    <t>ocm01500641</t>
  </si>
  <si>
    <t>3000848941F</t>
  </si>
  <si>
    <t>791675744</t>
  </si>
  <si>
    <t>Z789 P45 1988</t>
  </si>
  <si>
    <t>0                      Z  0789000P  45          1988</t>
  </si>
  <si>
    <t>Bibliothèques retrouvées : manuscrits, bibliothèques et bibliophiles du Moyen Age et de la Renaissance : recueil d'études publiées de 1938 à 1985 / par Elisabeth Pellegrin.</t>
  </si>
  <si>
    <t>Pellegrin, Elisabeth.</t>
  </si>
  <si>
    <t>Paris : Editions du Centre national de la recherche scientifique, 1988.</t>
  </si>
  <si>
    <t>366875657:fre</t>
  </si>
  <si>
    <t>23144093</t>
  </si>
  <si>
    <t>ocm23144093</t>
  </si>
  <si>
    <t>3103601531$</t>
  </si>
  <si>
    <t>9782222040972</t>
  </si>
  <si>
    <t>793162609</t>
  </si>
  <si>
    <t>Z791 A1 M57 1976</t>
  </si>
  <si>
    <t>0                      Z  0791000A  1                  M  57          1976</t>
  </si>
  <si>
    <t>Literature at nurse : or, Circulating morals : a polemic on Victorian censorship / by George Moore ; edited with an introd. by Pierre Coustillas.</t>
  </si>
  <si>
    <t>Moore, George, 1852-1933.</t>
  </si>
  <si>
    <t>Atlantic Highlands, N.J. : Humanities Press, 1976.</t>
  </si>
  <si>
    <t>Society and the Victorians ; no. 29</t>
  </si>
  <si>
    <t>1807655918:eng</t>
  </si>
  <si>
    <t>427027928</t>
  </si>
  <si>
    <t>ocn427027928</t>
  </si>
  <si>
    <t>30008488744</t>
  </si>
  <si>
    <t>9780391005884</t>
  </si>
  <si>
    <t>794518374</t>
  </si>
  <si>
    <t>Z791 A1 M87 1971</t>
  </si>
  <si>
    <t>0                      Z  0791000A  1                  M  87          1971</t>
  </si>
  <si>
    <t>The public library: its origins, purpose, and significance, by W.J. Murison.</t>
  </si>
  <si>
    <t>Murison, W. J. (William John)</t>
  </si>
  <si>
    <t>London, Harrap, 1971.</t>
  </si>
  <si>
    <t>2d ed., rev. and reset.</t>
  </si>
  <si>
    <t>1453279:eng</t>
  </si>
  <si>
    <t>286368</t>
  </si>
  <si>
    <t>ocm00286368</t>
  </si>
  <si>
    <t>30008547143</t>
  </si>
  <si>
    <t>9780245506956</t>
  </si>
  <si>
    <t>791324263</t>
  </si>
  <si>
    <t>Z791 E5 G46 1996</t>
  </si>
  <si>
    <t>0                      Z  0791000E  5                  G  46          1996</t>
  </si>
  <si>
    <t>Books and libraries in early England / Helmut Gneuss.</t>
  </si>
  <si>
    <t>Gneuss, Helmut.</t>
  </si>
  <si>
    <t>Aldershot, Great Britain ; Brookfield, Vt., USA : Variorum, ©1996.</t>
  </si>
  <si>
    <t>Collected studies series ; CS558</t>
  </si>
  <si>
    <t>40019223:eng</t>
  </si>
  <si>
    <t>35269883</t>
  </si>
  <si>
    <t>ocm35269883</t>
  </si>
  <si>
    <t>3102510791E</t>
  </si>
  <si>
    <t>9780860786023</t>
  </si>
  <si>
    <t>793448288</t>
  </si>
  <si>
    <t>Z791 E5 V34 1992</t>
  </si>
  <si>
    <t>0                      Z  0791000E  5                  V  34          1992</t>
  </si>
  <si>
    <t>The foundations of scholarship : libraries &amp; collecting, 1650-1750 : papers presented at a Clark Library seminar, 9 March 1985 / by David Vaisey and David McKitterick.</t>
  </si>
  <si>
    <t>Vaisey, David, 1935-</t>
  </si>
  <si>
    <t>Los Angeles (2520 Cimarron St., Los Angeles 90018) : William Andrews Clark Memorial Library, University of California, Los Angeles, 1992.</t>
  </si>
  <si>
    <t>Clark Library seminar</t>
  </si>
  <si>
    <t>141665753:eng</t>
  </si>
  <si>
    <t>24318602</t>
  </si>
  <si>
    <t>ocm24318602</t>
  </si>
  <si>
    <t>3103601271$</t>
  </si>
  <si>
    <t>793195247</t>
  </si>
  <si>
    <t>Z791 W7</t>
  </si>
  <si>
    <t>0                      Z  0791000W  7</t>
  </si>
  <si>
    <t>The English library before 1700; studies in its history, ed. by Francis Wormald and C.E. Wright.</t>
  </si>
  <si>
    <t>Wormald, Francis.</t>
  </si>
  <si>
    <t>[London] Univ. of London, Athlone Press, 1958.</t>
  </si>
  <si>
    <t>867220407:eng</t>
  </si>
  <si>
    <t>14607612</t>
  </si>
  <si>
    <t>ocm14607612</t>
  </si>
  <si>
    <t>3000854819Q</t>
  </si>
  <si>
    <t>792895493</t>
  </si>
  <si>
    <t>Z792 B67 C53 2015</t>
  </si>
  <si>
    <t>0                      Z  0792000B  67                 C  53          2015</t>
  </si>
  <si>
    <t>A Brief History of the Bodleian Library / Mary Clapinson.</t>
  </si>
  <si>
    <t>Clapinson, Mary, author.</t>
  </si>
  <si>
    <t>Oxford : Bodleian Library, University of Oxford, 2015.</t>
  </si>
  <si>
    <t>2054752995:eng</t>
  </si>
  <si>
    <t>887941024</t>
  </si>
  <si>
    <t>ocn887941024</t>
  </si>
  <si>
    <t>31035828664</t>
  </si>
  <si>
    <t>9781851242733</t>
  </si>
  <si>
    <t>794977929</t>
  </si>
  <si>
    <t>Z792 B67 V35 2015</t>
  </si>
  <si>
    <t>0                      Z  0792000B  67                 V  35          2015</t>
  </si>
  <si>
    <t>Bodleian library treasures.</t>
  </si>
  <si>
    <t>Vaisey, David.</t>
  </si>
  <si>
    <t>Oxford Bodleian Lib 2014.</t>
  </si>
  <si>
    <t>5622235701:eng</t>
  </si>
  <si>
    <t>904484780</t>
  </si>
  <si>
    <t>ocn904484780</t>
  </si>
  <si>
    <t>31035828644</t>
  </si>
  <si>
    <t>9781851244089</t>
  </si>
  <si>
    <t>794990485</t>
  </si>
  <si>
    <t>Z792 B75 B7 1996</t>
  </si>
  <si>
    <t>0                      Z  0792000B  75                 B  7           1996</t>
  </si>
  <si>
    <t>Laboratory of the social sciences : a virtual future : a celebration of the first one hundred years of the British Library of Political and Economic Science at the London School of Economics.</t>
  </si>
  <si>
    <t>British Library of Political and Economic Science.</t>
  </si>
  <si>
    <t>London : British Library of Political and Economic Science, 1996.</t>
  </si>
  <si>
    <t>1097454739:eng</t>
  </si>
  <si>
    <t>37895730</t>
  </si>
  <si>
    <t>ocm37895730</t>
  </si>
  <si>
    <t>3101946045S</t>
  </si>
  <si>
    <t>9780753009994</t>
  </si>
  <si>
    <t>793509587</t>
  </si>
  <si>
    <t>Z792 B85932 L43 2012</t>
  </si>
  <si>
    <t>0                      Z  0792000B  85932              L  43          2012</t>
  </si>
  <si>
    <t>The book of the British Library / Michael Leapman.</t>
  </si>
  <si>
    <t>Leapman, Michael, 1938-</t>
  </si>
  <si>
    <t>1170720117:eng</t>
  </si>
  <si>
    <t>788274332</t>
  </si>
  <si>
    <t>ocn788274332</t>
  </si>
  <si>
    <t>3103432375B</t>
  </si>
  <si>
    <t>9780712358378</t>
  </si>
  <si>
    <t>794916366</t>
  </si>
  <si>
    <t>Z792 B85932 L54 2009</t>
  </si>
  <si>
    <t>0                      Z  0792000B  85932              L  54          2009</t>
  </si>
  <si>
    <t>Libraries within the library : the origins of the British Library's printed collections / edited by Giles Mandelbrote and Barry Taylor.</t>
  </si>
  <si>
    <t>London : British Library, 2009.</t>
  </si>
  <si>
    <t>814989525:eng</t>
  </si>
  <si>
    <t>263993651</t>
  </si>
  <si>
    <t>ocn263993651</t>
  </si>
  <si>
    <t>3102860614R</t>
  </si>
  <si>
    <t>9780712350358</t>
  </si>
  <si>
    <t>794404290</t>
  </si>
  <si>
    <t>Z792 B85932 S82 1998</t>
  </si>
  <si>
    <t>0                      Z  0792000B  85932              S  82          1998</t>
  </si>
  <si>
    <t>The design and construction of the British Library / Colin St. John Wilson.</t>
  </si>
  <si>
    <t>St. John Wilson, Colin.</t>
  </si>
  <si>
    <t>London : British Library, 1998.</t>
  </si>
  <si>
    <t>2015-11-04</t>
  </si>
  <si>
    <t>41639682:eng</t>
  </si>
  <si>
    <t>39611860</t>
  </si>
  <si>
    <t>ocm39611860</t>
  </si>
  <si>
    <t>3102952486A</t>
  </si>
  <si>
    <t>9780712306584</t>
  </si>
  <si>
    <t>793549057</t>
  </si>
  <si>
    <t>Z792 C18 A4</t>
  </si>
  <si>
    <t>0                      Z  0792000C  18                 A  4</t>
  </si>
  <si>
    <t>The University Library, Cambridge, by Harry Gidney Aldis.</t>
  </si>
  <si>
    <t>Aldis, Harry Gidney, 1863-1919.</t>
  </si>
  <si>
    <t>London, Society for Promoting Christian Knowledge; New York and Toronto, The Macmillan Co., 1922.</t>
  </si>
  <si>
    <t>Helps for students of history.; no.46</t>
  </si>
  <si>
    <t>1674299:eng</t>
  </si>
  <si>
    <t>4790018</t>
  </si>
  <si>
    <t>ocm04790018</t>
  </si>
  <si>
    <t>31035924763</t>
  </si>
  <si>
    <t>792383484</t>
  </si>
  <si>
    <t>Z792 C48 Y46 2011</t>
  </si>
  <si>
    <t>0                      Z  0792000C  48                 Y  46          2011</t>
  </si>
  <si>
    <t>The acquisition of books by Chetham's Library, 1655-1700 / by Matthew Yeo.</t>
  </si>
  <si>
    <t>Yeo, Matthew.</t>
  </si>
  <si>
    <t>Library of the written word, 1874-4834 ; v. 16. The handpress world ; v. 10</t>
  </si>
  <si>
    <t>2013-04-01</t>
  </si>
  <si>
    <t>3770569243:eng</t>
  </si>
  <si>
    <t>709666600</t>
  </si>
  <si>
    <t>ocn709666600</t>
  </si>
  <si>
    <t>3103382966D</t>
  </si>
  <si>
    <t>9789004206656</t>
  </si>
  <si>
    <t>794869574</t>
  </si>
  <si>
    <t>Z792 I6 1967</t>
  </si>
  <si>
    <t>0                      Z  0792000I  6           1967</t>
  </si>
  <si>
    <t>A guide to the India Office Library : with a note on the India Office Records / by S.C. Sutton, Librarian, Keeper of the Records.</t>
  </si>
  <si>
    <t>India Office Library.</t>
  </si>
  <si>
    <t>London : H.M.S.O., 1967.</t>
  </si>
  <si>
    <t>49876952:eng</t>
  </si>
  <si>
    <t>407259</t>
  </si>
  <si>
    <t>ocm00407259</t>
  </si>
  <si>
    <t>3000963168X</t>
  </si>
  <si>
    <t>791368782</t>
  </si>
  <si>
    <t>Z792 N37 B769 2010</t>
  </si>
  <si>
    <t>0                      Z  0792000N  37                 B  769         2010</t>
  </si>
  <si>
    <t>Rax me that Buik : highlights from the collections of the National Library of Scotland / Iain Gordon Brown.</t>
  </si>
  <si>
    <t>Brown, Iain Gordon.</t>
  </si>
  <si>
    <t>London : Scala, 2010.</t>
  </si>
  <si>
    <t>2011-04-11</t>
  </si>
  <si>
    <t>480348357:eng</t>
  </si>
  <si>
    <t>613434460</t>
  </si>
  <si>
    <t>ocn613434460</t>
  </si>
  <si>
    <t>3103320691H</t>
  </si>
  <si>
    <t>9781857596380</t>
  </si>
  <si>
    <t>794822154</t>
  </si>
  <si>
    <t>Bodleian Library.</t>
  </si>
  <si>
    <t>Z792 O94 F74 1926</t>
  </si>
  <si>
    <t>0                      Z  0792000O  94                 F  74          1926</t>
  </si>
  <si>
    <t>First annual report, 1925-26 / Friends of the Bodleian.</t>
  </si>
  <si>
    <t>Friends of the Bodleian.</t>
  </si>
  <si>
    <t>Oxford : Bodleian Library, [1926]</t>
  </si>
  <si>
    <t>46128233:eng</t>
  </si>
  <si>
    <t>61555919</t>
  </si>
  <si>
    <t>ocm61555919</t>
  </si>
  <si>
    <t>3100384533E</t>
  </si>
  <si>
    <t>793988509</t>
  </si>
  <si>
    <t>Z792 O94 F88</t>
  </si>
  <si>
    <t>0                      Z  0792000O  94                 F  88</t>
  </si>
  <si>
    <t>The future of the Bodleian.</t>
  </si>
  <si>
    <t>[Oxford] Printed at the Oxford University Press by J. Johnson, 1926.</t>
  </si>
  <si>
    <t>4317275:eng</t>
  </si>
  <si>
    <t>11856670</t>
  </si>
  <si>
    <t>ocm11856670</t>
  </si>
  <si>
    <t>3000862184A</t>
  </si>
  <si>
    <t>792791119</t>
  </si>
  <si>
    <t>Z792 O94 M2</t>
  </si>
  <si>
    <t>0                      Z  0792000O  94                 M  2</t>
  </si>
  <si>
    <t>The Bodleian library at Oxford, briefly described by Falconer Madan ...</t>
  </si>
  <si>
    <t>Madan, Falconer, 1851-1935.</t>
  </si>
  <si>
    <t>[London] Duckworth &amp; Co. [1919]</t>
  </si>
  <si>
    <t>1919</t>
  </si>
  <si>
    <t>12541246:eng</t>
  </si>
  <si>
    <t>3782622</t>
  </si>
  <si>
    <t>ocm03782622</t>
  </si>
  <si>
    <t>3000862270H</t>
  </si>
  <si>
    <t>792291031</t>
  </si>
  <si>
    <t>Z792 O94 P47 1983</t>
  </si>
  <si>
    <t>0                      Z  0792000O  94                 P  47          1983</t>
  </si>
  <si>
    <t>The Bodleian Library in the seventeenth and eighteenth centuries / Ian Philip.</t>
  </si>
  <si>
    <t>Philip, I. G. (Ian Gilbert)</t>
  </si>
  <si>
    <t>Oxford : Clarendon Press ; New York : Oxford University Press, 1983.</t>
  </si>
  <si>
    <t>The Lyell lectures, Oxford ; 1980-1981</t>
  </si>
  <si>
    <t>20236369:eng</t>
  </si>
  <si>
    <t>9393112</t>
  </si>
  <si>
    <t>ocm09393112</t>
  </si>
  <si>
    <t>3000845021Z</t>
  </si>
  <si>
    <t>9780198224846</t>
  </si>
  <si>
    <t>792673728</t>
  </si>
  <si>
    <t>Z792 P47 H84 2015</t>
  </si>
  <si>
    <t>0                      Z  0792000P  47                 H  84          2015</t>
  </si>
  <si>
    <t>The Pepys Library : and the historic collections of Magdalene College Cambridge / M.E.J. Hughes.</t>
  </si>
  <si>
    <t>Hughes, M. E. J. (Mary Elizabeth Jane), author.</t>
  </si>
  <si>
    <t>London : Scala, 2015.</t>
  </si>
  <si>
    <t>2495208035:eng</t>
  </si>
  <si>
    <t>907094360</t>
  </si>
  <si>
    <t>ocn907094360</t>
  </si>
  <si>
    <t>3103658947E</t>
  </si>
  <si>
    <t>9781857599534</t>
  </si>
  <si>
    <t>794992816</t>
  </si>
  <si>
    <t>3103654092S</t>
  </si>
  <si>
    <t>794992815</t>
  </si>
  <si>
    <t>Z792 S68 F73 2013</t>
  </si>
  <si>
    <t>0                      Z  0792000S  68                 F  73          2013</t>
  </si>
  <si>
    <t>Do miners read Dickens? : origins and progress of the South Wales Miners' Library, 1973-2013 / Hywel Francis and Siân Williams ; preface by Rhodri Morgan ; foreword by Dai Smith.</t>
  </si>
  <si>
    <t>Francis, Hywel.</t>
  </si>
  <si>
    <t>Cardigan : Parthian, 2013.</t>
  </si>
  <si>
    <t>2279448459:eng</t>
  </si>
  <si>
    <t>880192533</t>
  </si>
  <si>
    <t>ocn880192533</t>
  </si>
  <si>
    <t>3103532055I</t>
  </si>
  <si>
    <t>9781909844445</t>
  </si>
  <si>
    <t>794972720</t>
  </si>
  <si>
    <t>Z792 U5473 S46 2012</t>
  </si>
  <si>
    <t>0                      Z  0792000U  5473               S  46          2012</t>
  </si>
  <si>
    <t>Senate House Library, University of London / edited by Christopher Pressler and Karen Attar.</t>
  </si>
  <si>
    <t>London : Scala Publishers in association with Senate House Library, ©2012.</t>
  </si>
  <si>
    <t>2013-06-12</t>
  </si>
  <si>
    <t>1207069654:eng</t>
  </si>
  <si>
    <t>788263090</t>
  </si>
  <si>
    <t>ocn788263090</t>
  </si>
  <si>
    <t>3103456065X</t>
  </si>
  <si>
    <t>9781857597905</t>
  </si>
  <si>
    <t>794916253</t>
  </si>
  <si>
    <t>Z792 W37 A38 2015</t>
  </si>
  <si>
    <t>0                      Z  0792000W  37                 A  38          2015</t>
  </si>
  <si>
    <t>The afterlife of the Kulturwissenschaftliche Bibliothek Warburg : the emigration and the early years of the Warburg Institute in London / edited by Uwe Fleckner and Peter Mack.</t>
  </si>
  <si>
    <t>Berlin : Walter de Gruyter &amp; Co., [2015]</t>
  </si>
  <si>
    <t>Vorträge aus dem Warburg-Haus ; Bd. 12</t>
  </si>
  <si>
    <t>2617081854:eng</t>
  </si>
  <si>
    <t>920541312</t>
  </si>
  <si>
    <t>ocn920541312</t>
  </si>
  <si>
    <t>3103740307F</t>
  </si>
  <si>
    <t>9783110438307</t>
  </si>
  <si>
    <t>795002336</t>
  </si>
  <si>
    <t>Z792.5 A1 M36 2018</t>
  </si>
  <si>
    <t>0                      Z  0792500A  1                  M  36          2018</t>
  </si>
  <si>
    <t>Irish reading societies and circulating libraries founded before 1825 : useful knowledge and agreeable entertainment / K.A. Manley.</t>
  </si>
  <si>
    <t>Manley, K. A. (Keith A.), author.</t>
  </si>
  <si>
    <t>Dublin : Four Courts Press, [2018]</t>
  </si>
  <si>
    <t>5463810356:eng</t>
  </si>
  <si>
    <t>1019632575</t>
  </si>
  <si>
    <t>on1019632575</t>
  </si>
  <si>
    <t>3103808472E</t>
  </si>
  <si>
    <t>9781846827174</t>
  </si>
  <si>
    <t>795049251</t>
  </si>
  <si>
    <t>Z792.5 T75 O43 2013</t>
  </si>
  <si>
    <t>0                      Z  0792500T  75                 O  43          2013</t>
  </si>
  <si>
    <t>The Old Library, Trinity College Dublin, 1712-2012 / edited by W.E. Vaughan.</t>
  </si>
  <si>
    <t>Dublin, Ireland ; Portland, OR : Four Courts Press, [2013]</t>
  </si>
  <si>
    <t>1183876920:eng</t>
  </si>
  <si>
    <t>819521716</t>
  </si>
  <si>
    <t>ocn819521716</t>
  </si>
  <si>
    <t>3103456076V</t>
  </si>
  <si>
    <t>9781846823770</t>
  </si>
  <si>
    <t>794934660</t>
  </si>
  <si>
    <t>Z797 A1 H57 1988</t>
  </si>
  <si>
    <t>0                      Z  0797000A  1                  H  57          1988</t>
  </si>
  <si>
    <t>Histoire des bibliothèques françaises / sous la direction d'André Vernet.</t>
  </si>
  <si>
    <t>[Paris] : Promodis-Editions du Cercle du librairie, 1988-©1992.</t>
  </si>
  <si>
    <t>2014-01-27</t>
  </si>
  <si>
    <t>8907547117:fre</t>
  </si>
  <si>
    <t>20935085</t>
  </si>
  <si>
    <t>ocm20935085</t>
  </si>
  <si>
    <t>3101214862$</t>
  </si>
  <si>
    <t>9782903181727</t>
  </si>
  <si>
    <t>793103700</t>
  </si>
  <si>
    <t>2014-03-01</t>
  </si>
  <si>
    <t>31004160926</t>
  </si>
  <si>
    <t>793103703</t>
  </si>
  <si>
    <t>3000642576J</t>
  </si>
  <si>
    <t>793103702</t>
  </si>
  <si>
    <t>3103489977E</t>
  </si>
  <si>
    <t>793103701</t>
  </si>
  <si>
    <t>Z797 B87 J43 2012</t>
  </si>
  <si>
    <t>0                      Z  0797000B  87                 J  43          2012</t>
  </si>
  <si>
    <t>Le mécénat bibliophilique de Jean sans Peur et de Marguerite de Bavière (1404-1424) / Delphine Jeannot.</t>
  </si>
  <si>
    <t>Jeannot, Delphine.</t>
  </si>
  <si>
    <t>Turnhout, Belgium : Brepols, ©2012.</t>
  </si>
  <si>
    <t>Burgundica ; 19</t>
  </si>
  <si>
    <t>1185197899:eng</t>
  </si>
  <si>
    <t>826446819</t>
  </si>
  <si>
    <t>ocn826446819</t>
  </si>
  <si>
    <t>3103506129K</t>
  </si>
  <si>
    <t>9782503544229</t>
  </si>
  <si>
    <t>794939158</t>
  </si>
  <si>
    <t>Z798 A38 B455 2014</t>
  </si>
  <si>
    <t>0                      Z  0798000A  38                 B  455         2014</t>
  </si>
  <si>
    <t>The library of the Abbey of La Trappe : a study of its history from the twelfth century to the French Revolution, with an annotated edition of the 1752 catalogue / by David N. Bell.</t>
  </si>
  <si>
    <t>Bell, David N., 1943- author.</t>
  </si>
  <si>
    <t>Turnhout : Brepols ; [Saint-Nicolas-lès-Cîteaux] : Cîteaux, [2014]</t>
  </si>
  <si>
    <t>Medieval church studies ; 32</t>
  </si>
  <si>
    <t>1856126045:eng</t>
  </si>
  <si>
    <t>875630778</t>
  </si>
  <si>
    <t>ocn875630778</t>
  </si>
  <si>
    <t>31036532342</t>
  </si>
  <si>
    <t>9782503545714</t>
  </si>
  <si>
    <t>794969533</t>
  </si>
  <si>
    <t>Z798 E35 N43 1985</t>
  </si>
  <si>
    <t>0                      Z  0798000E  35                 N  43          1985</t>
  </si>
  <si>
    <t>La Bibliothèque de l'Abbaye de Saint-Denis en France du IXe au XVIIIe siècle / par Donatella Nebbiai-Dalla Guarda.</t>
  </si>
  <si>
    <t>Paris : Éditions du Centre national de la recherche scientifique, 1985.</t>
  </si>
  <si>
    <t>Documents, études et répertoires / publiés par l'Institut de recherche et d'histoire des textes</t>
  </si>
  <si>
    <t>475519586:fre</t>
  </si>
  <si>
    <t>14913069</t>
  </si>
  <si>
    <t>ocm14913069</t>
  </si>
  <si>
    <t>3000480902W</t>
  </si>
  <si>
    <t>9782222036210</t>
  </si>
  <si>
    <t>792913557</t>
  </si>
  <si>
    <t>Z798 P22 B35 1988</t>
  </si>
  <si>
    <t>0                      Z  0798000P  22                 B  35          1988</t>
  </si>
  <si>
    <t>La Bibliothèque nationale, des origines à 1800 / Simone Balayé ; préface de André Miquel.</t>
  </si>
  <si>
    <t>Balayé, Simone.</t>
  </si>
  <si>
    <t>Genève : Droz, 1988.</t>
  </si>
  <si>
    <t>Histoire des idées et critique littéraire ; vol. 262</t>
  </si>
  <si>
    <t>352263991:fre</t>
  </si>
  <si>
    <t>18347165</t>
  </si>
  <si>
    <t>ocm18347165</t>
  </si>
  <si>
    <t>31027753599</t>
  </si>
  <si>
    <t>793022197</t>
  </si>
  <si>
    <t>Z801 A1 B873 1986</t>
  </si>
  <si>
    <t>0                      Z  0801000A  1                  B  873         1986</t>
  </si>
  <si>
    <t>German library history, 800-1945 / Ladislaus Buźas ; translated by William D. Boyd ; with the assistance of Irmgard H. Wolfe.</t>
  </si>
  <si>
    <t>Buzás, Ladislaus.</t>
  </si>
  <si>
    <t>Jefferson, N.C. : McFarland &amp; Co., ©1986.</t>
  </si>
  <si>
    <t>2260819509:eng</t>
  </si>
  <si>
    <t>12108234</t>
  </si>
  <si>
    <t>ocm12108234</t>
  </si>
  <si>
    <t>3000849163W</t>
  </si>
  <si>
    <t>9780899501758</t>
  </si>
  <si>
    <t>792802069</t>
  </si>
  <si>
    <t>Z801 A1 S924 1992</t>
  </si>
  <si>
    <t>0                      Z  0801000A  1                  S  924         1992</t>
  </si>
  <si>
    <t>Public libraries in Nazi Germany / Margaret F. Stieg.</t>
  </si>
  <si>
    <t>Dalton, Margaret Stieg, 1942-</t>
  </si>
  <si>
    <t>Tuscaloosa : University of Alabama Press, ©1992.</t>
  </si>
  <si>
    <t>2016-11-01</t>
  </si>
  <si>
    <t>2789661:eng</t>
  </si>
  <si>
    <t>22422611</t>
  </si>
  <si>
    <t>ocm22422611</t>
  </si>
  <si>
    <t>3101215207Q</t>
  </si>
  <si>
    <t>9780817305567</t>
  </si>
  <si>
    <t>793143694</t>
  </si>
  <si>
    <t>Z801 B3 B43 2004</t>
  </si>
  <si>
    <t>0                      Z  0801000B  3                  B  43          2004</t>
  </si>
  <si>
    <t>Women as scribes : book production and monastic reform in twelfth-century Bavaria / Alison I. Beach.</t>
  </si>
  <si>
    <t>Beach, Alison I.</t>
  </si>
  <si>
    <t>Cambridge studies in palaeography and codicology ; 10</t>
  </si>
  <si>
    <t>2019-03-26</t>
  </si>
  <si>
    <t>9452673:eng</t>
  </si>
  <si>
    <t>52121462</t>
  </si>
  <si>
    <t>ocm52121462</t>
  </si>
  <si>
    <t>3102574628M</t>
  </si>
  <si>
    <t>9780521792431</t>
  </si>
  <si>
    <t>793798837</t>
  </si>
  <si>
    <t>Z801 N4</t>
  </si>
  <si>
    <t>0                      Z  0801000N  4</t>
  </si>
  <si>
    <t>Leibniz (1646-1716) and the German library scene, by L.M. Newman.</t>
  </si>
  <si>
    <t>Newman, L. M. (Lindsay Mary)</t>
  </si>
  <si>
    <t>London, Library Association, 1966.</t>
  </si>
  <si>
    <t>Library Association. Pamphlet ; no. 28</t>
  </si>
  <si>
    <t>1697100:eng</t>
  </si>
  <si>
    <t>574310</t>
  </si>
  <si>
    <t>ocm00574310</t>
  </si>
  <si>
    <t>31037361401</t>
  </si>
  <si>
    <t>791418583</t>
  </si>
  <si>
    <t>Z809 A1 D44 1985</t>
  </si>
  <si>
    <t>0                      Z  0809000A  1                  D  44          1985</t>
  </si>
  <si>
    <t>Biblioteche e archivi : guida alla consultazione / Franco Della Peruta.</t>
  </si>
  <si>
    <t>Della Peruta, Franco, 1924-</t>
  </si>
  <si>
    <t>Milano, Italy : F. Angeli, ©1985.</t>
  </si>
  <si>
    <t>Collana Manuali professionali ; 60</t>
  </si>
  <si>
    <t>889929077:ita</t>
  </si>
  <si>
    <t>12806692</t>
  </si>
  <si>
    <t>ocm12806692</t>
  </si>
  <si>
    <t>3000382962B</t>
  </si>
  <si>
    <t>792828793</t>
  </si>
  <si>
    <t>Z809 A1 I88 2009</t>
  </si>
  <si>
    <t>0                      Z  0809000A  1                  I  88          2009</t>
  </si>
  <si>
    <t>Italian libraries / [edited by Vittorio Ponzani].</t>
  </si>
  <si>
    <t>Pavona (Italy) : Iacobelli, [2009]</t>
  </si>
  <si>
    <t>Quaderni di libri e riviste d'Italia ; 62</t>
  </si>
  <si>
    <t>326693659:eng</t>
  </si>
  <si>
    <t>438111235</t>
  </si>
  <si>
    <t>ocn438111235</t>
  </si>
  <si>
    <t>3103040834V</t>
  </si>
  <si>
    <t>794786020</t>
  </si>
  <si>
    <t>Z809 F55 V65 2014</t>
  </si>
  <si>
    <t>0                      Z  0809000F  55                 V  65          2014</t>
  </si>
  <si>
    <t>Una volta nella vita : tesori dagli archivi e dalle biblioteche di Firenze / a cura di Marco Ferri.</t>
  </si>
  <si>
    <t>Livorno : Sillabe ; Firenze : Ministero dei beni e delle attività culturali e del turismo, Direzione generale per i beni culturali e paesaggistici della Toscana, Soprintendenza speciale per il patrimonio storico, artistico ed etnoantropologico e per il Polo museale della città di Firenze, [2014]</t>
  </si>
  <si>
    <t>2221037969:ita</t>
  </si>
  <si>
    <t>879574456</t>
  </si>
  <si>
    <t>ocn879574456</t>
  </si>
  <si>
    <t>3103126410R</t>
  </si>
  <si>
    <t>9788883477270</t>
  </si>
  <si>
    <t>794972291</t>
  </si>
  <si>
    <t>Z810 B43 S78 2014</t>
  </si>
  <si>
    <t>0                      Z  0810000B  43                 S  78          2014</t>
  </si>
  <si>
    <t>Dentro l'officina di Giovanni Boccaccio : studi sugli autografi in volgare e su Boccaccio dantista / a cura di Sandro Bertelli e Davide Cappi.</t>
  </si>
  <si>
    <t>Città del Vaticano : Biblioteca apostolica vaticana, 2014.</t>
  </si>
  <si>
    <t>Studi e testi ; 486</t>
  </si>
  <si>
    <t>2518235863:ita</t>
  </si>
  <si>
    <t>904782921</t>
  </si>
  <si>
    <t>ocn904782921</t>
  </si>
  <si>
    <t>3103628546D</t>
  </si>
  <si>
    <t>9788821009280</t>
  </si>
  <si>
    <t>794990782</t>
  </si>
  <si>
    <t>Z810 B43 U234 2012</t>
  </si>
  <si>
    <t>0                      Z  0810000B  43                 U  234         2012</t>
  </si>
  <si>
    <t>I Salmi di Gabriele Fiamma ritrovati nella Biblioteca vaticana (R.I. IV. 447) / Cristina Ubaldini.</t>
  </si>
  <si>
    <t>Ubaldini, Cristina.</t>
  </si>
  <si>
    <t>Città del Vaticano : Biblioteca apostolica vaticana, 2012.</t>
  </si>
  <si>
    <t>Studi e testi ; 471</t>
  </si>
  <si>
    <t>1322931425:ita</t>
  </si>
  <si>
    <t>829405724</t>
  </si>
  <si>
    <t>ocn829405724</t>
  </si>
  <si>
    <t>31031261031</t>
  </si>
  <si>
    <t>9788821008924</t>
  </si>
  <si>
    <t>794942439</t>
  </si>
  <si>
    <t>Z810 B53 Z67 1987</t>
  </si>
  <si>
    <t>0                      Z  0810000B  53                 Z  67          1987</t>
  </si>
  <si>
    <t>La libreria di San Marco : libri, lettori, società nella Venezia dei Dogi / Marino Zorzi.</t>
  </si>
  <si>
    <t>Zorzi, Marino.</t>
  </si>
  <si>
    <t>Milano : A. Mondadori, ©1987.</t>
  </si>
  <si>
    <t>Collana di studi / Ateneo veneto ; 1</t>
  </si>
  <si>
    <t>2015-02-24</t>
  </si>
  <si>
    <t>889572598:ita</t>
  </si>
  <si>
    <t>20390955</t>
  </si>
  <si>
    <t>ocm20390955</t>
  </si>
  <si>
    <t>31035993955</t>
  </si>
  <si>
    <t>9788804306863</t>
  </si>
  <si>
    <t>793086473</t>
  </si>
  <si>
    <t>Z819 A1 L44 1984</t>
  </si>
  <si>
    <t>0                      Z  0819000A  1                  L  44          1984</t>
  </si>
  <si>
    <t>Liening lun tu shu guan / Zhou Wenjun bian.</t>
  </si>
  <si>
    <t>Lenin, Vladimir Ilʹich, 1870-1924.</t>
  </si>
  <si>
    <t>[Peking] : Beijing da xue chu ban she : Xin hua shu dian Beijing fa xing suo fa xing, 1984.</t>
  </si>
  <si>
    <t>1911679325:chi</t>
  </si>
  <si>
    <t>22308085</t>
  </si>
  <si>
    <t>ocm22308085</t>
  </si>
  <si>
    <t>3103333636C</t>
  </si>
  <si>
    <t>793140242</t>
  </si>
  <si>
    <t>Z819 A1 R39</t>
  </si>
  <si>
    <t>0                      Z  0819000A  1                  R  39</t>
  </si>
  <si>
    <t>Krupskaia and Soviet Russian librarianship, 1917-1939 / by Boris Raymond.</t>
  </si>
  <si>
    <t>Raymond, Boris, 1925-</t>
  </si>
  <si>
    <t>Metuchen, N.J. : Scarecrow Press, 1979.</t>
  </si>
  <si>
    <t>14837306:eng</t>
  </si>
  <si>
    <t>4664450</t>
  </si>
  <si>
    <t>ocm04664450</t>
  </si>
  <si>
    <t>3000847582M</t>
  </si>
  <si>
    <t>9780810812093</t>
  </si>
  <si>
    <t>792372836</t>
  </si>
  <si>
    <t>Z822 N673 2010</t>
  </si>
  <si>
    <t>0                      Z  0822000N  673         2010</t>
  </si>
  <si>
    <t>Nordic public libraries, 2.0 / editor, Jonna Holmgaard Larsen, in cooperation with Mats Hansson [and others].</t>
  </si>
  <si>
    <t>Larsen, Jonna Holmgaard, editor.</t>
  </si>
  <si>
    <t>Københaven : Danish Agency for Libraries and Media, 2010.</t>
  </si>
  <si>
    <t>2011-01-06</t>
  </si>
  <si>
    <t>1035370071:eng</t>
  </si>
  <si>
    <t>660845889</t>
  </si>
  <si>
    <t>ocn660845889</t>
  </si>
  <si>
    <t>3103289238I</t>
  </si>
  <si>
    <t>9788792681027</t>
  </si>
  <si>
    <t>794837038</t>
  </si>
  <si>
    <t>Z834 E94 L53 2018</t>
  </si>
  <si>
    <t>0                      Z  0834000E  94                 L  53          2018</t>
  </si>
  <si>
    <t>Libros relege, volve, lege : o livro antigo na Biblioteca do Exército / Mário J. Freire da Silva, Tiago C.P. Dos Reis Miranda (coord.).</t>
  </si>
  <si>
    <t>Lisboa : Biblioteca do Exército, 2018.</t>
  </si>
  <si>
    <t>por</t>
  </si>
  <si>
    <t>5582258185:por</t>
  </si>
  <si>
    <t>1096330301</t>
  </si>
  <si>
    <t>on1096330301</t>
  </si>
  <si>
    <t>B001682320</t>
  </si>
  <si>
    <t>9789728347246</t>
  </si>
  <si>
    <t>795080545</t>
  </si>
  <si>
    <t>Libros relege, volve lege : o livro antigo na Biblioteca do Exército / Mário J. Freire da Silva, Tiago C.P. Dos Reis Miranda (coord.).</t>
  </si>
  <si>
    <t>Lisboa : Direcção de História e Cultura Militar do Exército Português-Biblioteca do Exército, 2018.</t>
  </si>
  <si>
    <t>1073032272</t>
  </si>
  <si>
    <t>on1073032272</t>
  </si>
  <si>
    <t>3103718216X</t>
  </si>
  <si>
    <t>795067361</t>
  </si>
  <si>
    <t>Z845 C5 Z587 2017</t>
  </si>
  <si>
    <t>0                      Z  0845000C  5                  Z  587         2017</t>
  </si>
  <si>
    <t>Zhongguo tu shu guan shi = A history of Chinese libraries / zhu bian Han Yongjin.</t>
  </si>
  <si>
    <t>Guo jia she ke ji jin hou qi zi zhu xiang mu (Guo jia tu shu guan chu ban she)</t>
  </si>
  <si>
    <t>9848457333:chi</t>
  </si>
  <si>
    <t>1015940151</t>
  </si>
  <si>
    <t>on1015940151</t>
  </si>
  <si>
    <t>31038269243</t>
  </si>
  <si>
    <t>9787501361434</t>
  </si>
  <si>
    <t>795048226</t>
  </si>
  <si>
    <t>31038269340</t>
  </si>
  <si>
    <t>795048228</t>
  </si>
  <si>
    <t>3103826929U</t>
  </si>
  <si>
    <t>795048227</t>
  </si>
  <si>
    <t>3103826939R</t>
  </si>
  <si>
    <t>795048229</t>
  </si>
  <si>
    <t>Z845 I4 D36</t>
  </si>
  <si>
    <t>0                      Z  0845000I  4                  D  36</t>
  </si>
  <si>
    <t>Libraries &amp; librarianship of ancient and medieval India / by Dr Bimal Kumar Datta.</t>
  </si>
  <si>
    <t>Datta, Bimal Kumar, 1920- author.</t>
  </si>
  <si>
    <t>Delhi, Atma Ram, 1970.</t>
  </si>
  <si>
    <t>1224757:eng</t>
  </si>
  <si>
    <t>111173</t>
  </si>
  <si>
    <t>ocm00111173</t>
  </si>
  <si>
    <t>3000858380N</t>
  </si>
  <si>
    <t>791260476</t>
  </si>
  <si>
    <t>Z 845 I4 T35 1994</t>
  </si>
  <si>
    <t>0                      Z  0845000I  4                  T  35          1994</t>
  </si>
  <si>
    <t>Librarianship and library science in India : an outline of historical perspectives / Mohamed Taher and Donald Gordon Davis.</t>
  </si>
  <si>
    <t>Taher, Mohamed, 1955-</t>
  </si>
  <si>
    <t>New Delhi : Concept Pub. Co., 1994.</t>
  </si>
  <si>
    <t>Concepts in communication informatics &amp; librarianship ; 60</t>
  </si>
  <si>
    <t>476680846:eng</t>
  </si>
  <si>
    <t>31707555</t>
  </si>
  <si>
    <t>ocm31707555</t>
  </si>
  <si>
    <t>31019904931</t>
  </si>
  <si>
    <t>9788170225249</t>
  </si>
  <si>
    <t>793366056</t>
  </si>
  <si>
    <t>Z846 K375 K96 2017</t>
  </si>
  <si>
    <t>0                      Z  0846000K  375                K  96          2017</t>
  </si>
  <si>
    <t>Kyŏngsŏng Cheguk Taehak pusok tosŏgwan changsŏ ŭi sŏngkyŏk kwa hwaryong : singminjuŭi wa ch'ongdongwŏn ch'eje = Library tells colonialism and total mobilization : a case of Keijo imperial university / Chin P'il-su yŏkkŭm.</t>
  </si>
  <si>
    <t>Sŏul-si : Somyŏng Ch'ulp'an, 2017.</t>
  </si>
  <si>
    <t>Kyŏngsŏng Cheguk Taehak changsŏ yŏn'gu ; 1</t>
  </si>
  <si>
    <t>8906952705:kor</t>
  </si>
  <si>
    <t>1019800342</t>
  </si>
  <si>
    <t>on1019800342</t>
  </si>
  <si>
    <t>3103861488Z</t>
  </si>
  <si>
    <t>9791159052125</t>
  </si>
  <si>
    <t>795049433</t>
  </si>
  <si>
    <t>Z846 K98 K9813 2010</t>
  </si>
  <si>
    <t>0                      Z  0846000K  98                 K  9813        2010</t>
  </si>
  <si>
    <t>Kyujanggak : rediscovering its history and culture / Kyujanggak Institute for Korean Studies.</t>
  </si>
  <si>
    <t>Kyujanggak. English.</t>
  </si>
  <si>
    <t>Seoul : Acanet, 2010.</t>
  </si>
  <si>
    <t>996141909:eng</t>
  </si>
  <si>
    <t>747034949</t>
  </si>
  <si>
    <t>ocn747034949</t>
  </si>
  <si>
    <t>31035144744</t>
  </si>
  <si>
    <t>9788957331958</t>
  </si>
  <si>
    <t>794887672</t>
  </si>
  <si>
    <t>Z881 A1 M34 1990</t>
  </si>
  <si>
    <t>0                      Z  0881000A  1                  M  34          1990</t>
  </si>
  <si>
    <t>Magazines and newspapers at the Goethe-Institut libraries in the United States and Canada / edited and translated by Marje Schütze-Coburn [and others].</t>
  </si>
  <si>
    <t>[Chicago?] : [Goethe Institut Chicago?], 1990.</t>
  </si>
  <si>
    <t>30812796:eng</t>
  </si>
  <si>
    <t>28094917</t>
  </si>
  <si>
    <t>ocm28094917</t>
  </si>
  <si>
    <t>3103687249P</t>
  </si>
  <si>
    <t>793279578</t>
  </si>
  <si>
    <t>Z881 A1 R3 1964</t>
  </si>
  <si>
    <t>0                      Z  0881000A  1                  R  3           1964</t>
  </si>
  <si>
    <t>30008466062</t>
  </si>
  <si>
    <t>791375816</t>
  </si>
  <si>
    <t>Z881 H35 M45 2010</t>
  </si>
  <si>
    <t>0                      Z  0881000H  35                 M  45          2010</t>
  </si>
  <si>
    <t>Meiguo Hafo da xue Hafo Yanjing tu shu guan cang Minguo shi qi tu shu zong mu = Catalogue of books of the period of the Republic of China collected in Harvard - Yenching library, Harvard University, U.S.A / Long Xiangyang bian.</t>
  </si>
  <si>
    <t>Guilin : Guangxi shi fan da xue chu ban she, 2010.</t>
  </si>
  <si>
    <t>Hafo Yanjing tu shu guan shu mu cong kan ; di 14 zhong</t>
  </si>
  <si>
    <t>484223300:chi</t>
  </si>
  <si>
    <t>618504737</t>
  </si>
  <si>
    <t>ocn618504737</t>
  </si>
  <si>
    <t>3103425221H</t>
  </si>
  <si>
    <t>9787563396474</t>
  </si>
  <si>
    <t>794823242</t>
  </si>
  <si>
    <t>3103425230F</t>
  </si>
  <si>
    <t>794823241</t>
  </si>
  <si>
    <t>3103425225H</t>
  </si>
  <si>
    <t>794823239</t>
  </si>
  <si>
    <t>3103425249D</t>
  </si>
  <si>
    <t>794823240</t>
  </si>
  <si>
    <t>Z883 H27x</t>
  </si>
  <si>
    <t>0                      Z  0883000H  27x</t>
  </si>
  <si>
    <t>Catalogue of the William Inglis Morse Collection of books, pictures, maps, manuscripts, etc. at Dalhousie University Library, Halifax, Nova Scotia / compiled by Eugenie Archibald ; with a foreword by Carleton Stanley and a preface by William Inglis Morse.</t>
  </si>
  <si>
    <t>Dalhousie University. Library.</t>
  </si>
  <si>
    <t>London : Printed at the Curwen Press, 1938.</t>
  </si>
  <si>
    <t>3901632492:eng</t>
  </si>
  <si>
    <t>3827009</t>
  </si>
  <si>
    <t>ocm03827009</t>
  </si>
  <si>
    <t>3000955831O</t>
  </si>
  <si>
    <t>792296180</t>
  </si>
  <si>
    <t>Z883 H3 M32 1971</t>
  </si>
  <si>
    <t>0                      Z  0883000H  3                  M  32          1971</t>
  </si>
  <si>
    <t>A catalogue of holdings of the Division of Archives and Special Collections / compiled by Moira Wilkie and David Morrow.</t>
  </si>
  <si>
    <t>McMaster University. Library. Division of Archives and Special Collections.</t>
  </si>
  <si>
    <t>[Hamilton, Ont.] : [University Library Press at McMaster University], 1971.</t>
  </si>
  <si>
    <t>Library research news ; v. 1, no. 6</t>
  </si>
  <si>
    <t>14949642:eng</t>
  </si>
  <si>
    <t>4549812</t>
  </si>
  <si>
    <t>ocm04549812</t>
  </si>
  <si>
    <t>3000954792D</t>
  </si>
  <si>
    <t>792361545</t>
  </si>
  <si>
    <t>2019-02-28</t>
  </si>
  <si>
    <t>Z921 O93 U55 2015</t>
  </si>
  <si>
    <t>0                      Z  0921000O  93                 U  55          2015</t>
  </si>
  <si>
    <t>The university and college libraries of Oxford / edited by Rodney M. Thomson ; with the assistance of James G. Clark.</t>
  </si>
  <si>
    <t>London : The British Library in association with the British Academy, 2015.</t>
  </si>
  <si>
    <t>Corpus of British medieval library catalogues ; 16</t>
  </si>
  <si>
    <t>2940622503:eng</t>
  </si>
  <si>
    <t>933210970</t>
  </si>
  <si>
    <t>ocn933210970</t>
  </si>
  <si>
    <t>31036109903</t>
  </si>
  <si>
    <t>9780712357609</t>
  </si>
  <si>
    <t>795008896</t>
  </si>
  <si>
    <t>31036109911</t>
  </si>
  <si>
    <t>795008897</t>
  </si>
  <si>
    <t>Z926 M8</t>
  </si>
  <si>
    <t>0                      Z  0926000M  8</t>
  </si>
  <si>
    <t>Bibliographical survey of Jewish Prague: the Jewish State Museum of Prague.</t>
  </si>
  <si>
    <t>Muneles, Otto.</t>
  </si>
  <si>
    <t>[Prague] [Orbis], [1952]</t>
  </si>
  <si>
    <t>Jewish monuments in Bohemia and Moravia, v. 1, pt. 1</t>
  </si>
  <si>
    <t>2013836:eng</t>
  </si>
  <si>
    <t>1066301</t>
  </si>
  <si>
    <t>ocm01066301</t>
  </si>
  <si>
    <t>3000962227B</t>
  </si>
  <si>
    <t>791537606</t>
  </si>
  <si>
    <t>Z929 W585 1995</t>
  </si>
  <si>
    <t>0                      Z  0929000W  585         1995</t>
  </si>
  <si>
    <t>A Wittenberg University library catalogue of 1536 / Sachiko Kusukawa.</t>
  </si>
  <si>
    <t>Kusukawa, Sachiko.</t>
  </si>
  <si>
    <t>Binghamton, N.Y. : Medieval &amp; Renaissance Texts &amp; Studies, 1995.</t>
  </si>
  <si>
    <t>Medieval &amp; Renaissance texts &amp; studies ; v. 142</t>
  </si>
  <si>
    <t>38308511:eng</t>
  </si>
  <si>
    <t>32947881</t>
  </si>
  <si>
    <t>ocm32947881</t>
  </si>
  <si>
    <t>31014901031</t>
  </si>
  <si>
    <t>9780951881125</t>
  </si>
  <si>
    <t>793398251</t>
  </si>
  <si>
    <t>Z933 B7 Z32 2011</t>
  </si>
  <si>
    <t>0                      Z  0933000B  7                  Z  32          2011</t>
  </si>
  <si>
    <t>Bibliotheca Franciscana : supplemento al catalogo degli incunaboli e delle cinquecentine dei frati minori dell'Emilia-Romagna conservati presso il Convento dell'Osservanza di Bologna / a cura di Elisabetta Stevanin e Zita Zanardi.</t>
  </si>
  <si>
    <t>Biblioteca di bibliografia italiana ; 192</t>
  </si>
  <si>
    <t>1074132524:ita</t>
  </si>
  <si>
    <t>773016817</t>
  </si>
  <si>
    <t>ocn773016817</t>
  </si>
  <si>
    <t>31034337215</t>
  </si>
  <si>
    <t>9788822260970</t>
  </si>
  <si>
    <t>794905151</t>
  </si>
  <si>
    <t>Z933 D66 P48 2012</t>
  </si>
  <si>
    <t>0                      Z  0933000D  66                 P  48          2012</t>
  </si>
  <si>
    <t>L'oro di Dongo, ovvero, Per una storia del patrimonio librario del Convento dei Frati minori di Santa Maria del Fiume (con il catalogo degli incunaboli) / Giancarlo Petrella ; presentazione di Rosa Marisa Borraccini.</t>
  </si>
  <si>
    <t>Petrella, Giancarlo, 1974-</t>
  </si>
  <si>
    <t>Biblioteca di bibliografia italiana, 0067-7418 ; 195</t>
  </si>
  <si>
    <t>1212932903:ita</t>
  </si>
  <si>
    <t>811589204</t>
  </si>
  <si>
    <t>ocn811589204</t>
  </si>
  <si>
    <t>31034488696</t>
  </si>
  <si>
    <t>9788822261991</t>
  </si>
  <si>
    <t>794930170</t>
  </si>
  <si>
    <t>Z939 .Y3 1972</t>
  </si>
  <si>
    <t>0                      Z  0939000Y  3           1972</t>
  </si>
  <si>
    <t>Biblioteka Lʹva Nikolaevicha Tolstogo v I︠A︡snoĭ Poli︠a︡ne : bibliograficheskoe opisanie [vypolneno nauch. sotrudnikami muzei︠a︡-usadʹby "I︠A︡snai︠a︡ Poli︠a︡na" pod rukovodstvom Val. F. Bulgakova, red. komissii︠a︡ N.N. Gusev ... i dr.].</t>
  </si>
  <si>
    <t>T.3, Ch.2</t>
  </si>
  <si>
    <t>Muzeĭ-usadʹba "I︠A︡snai︠a︡ Poli︠a︡na."</t>
  </si>
  <si>
    <t>Moskva, Kniga, 1972-</t>
  </si>
  <si>
    <t>14768567:rus</t>
  </si>
  <si>
    <t>17920552</t>
  </si>
  <si>
    <t>ocm17920552</t>
  </si>
  <si>
    <t>B001586692</t>
  </si>
  <si>
    <t>793007691</t>
  </si>
  <si>
    <t>B001586661</t>
  </si>
  <si>
    <t>793007692</t>
  </si>
  <si>
    <t>Z939 Y3x 1972</t>
  </si>
  <si>
    <t>0                      Z  0939000Y  3x          1972</t>
  </si>
  <si>
    <t>T.3:ch.1</t>
  </si>
  <si>
    <t>3103613299Z</t>
  </si>
  <si>
    <t>793007693</t>
  </si>
  <si>
    <t>T. 1, Ch.1</t>
  </si>
  <si>
    <t>30009553422</t>
  </si>
  <si>
    <t>793007696</t>
  </si>
  <si>
    <t>T. 1, Ch.2</t>
  </si>
  <si>
    <t>31008917379</t>
  </si>
  <si>
    <t>793007695</t>
  </si>
  <si>
    <t>T. 2</t>
  </si>
  <si>
    <t>31008917387</t>
  </si>
  <si>
    <t>793007694</t>
  </si>
  <si>
    <t>Z955 K6 K93513 2010</t>
  </si>
  <si>
    <t>0                      Z  0955000K  6                  K  93513       2010</t>
  </si>
  <si>
    <t>Kyujanggak and the cultural history of books / Kyujanggak Institute for Korean Studies.</t>
  </si>
  <si>
    <t>Kyujanggak Han'gukhak Yŏn'guwŏn.</t>
  </si>
  <si>
    <t>996240797:eng</t>
  </si>
  <si>
    <t>747038306</t>
  </si>
  <si>
    <t>ocn747038306</t>
  </si>
  <si>
    <t>31035144794</t>
  </si>
  <si>
    <t>794887691</t>
  </si>
  <si>
    <t>Z987 B525 2001</t>
  </si>
  <si>
    <t>0                      Z  0987000B  525         2001</t>
  </si>
  <si>
    <t>Bibliothèques d'écrivains / Elisabeth Décultot [and others] ; sous la direction de Paolo d'Iorio et Daniel Ferrer.</t>
  </si>
  <si>
    <t>Paris : CNRS Editions, ©2001.</t>
  </si>
  <si>
    <t>Textes et manuscrits</t>
  </si>
  <si>
    <t>294866403:fre</t>
  </si>
  <si>
    <t>47091640</t>
  </si>
  <si>
    <t>ocm47091640</t>
  </si>
  <si>
    <t>31021102722</t>
  </si>
  <si>
    <t>9782271058478</t>
  </si>
  <si>
    <t>793698075</t>
  </si>
  <si>
    <t>Z987 B66 2010</t>
  </si>
  <si>
    <t>0                      Z  0987000B  66          2010</t>
  </si>
  <si>
    <t>Phantoms on the bookshelves / Jacques Bonnet ; translated from the French by Siân Reynolds ; with an introduction by James Salter.</t>
  </si>
  <si>
    <t>Bonnet, Jacques, 1949-</t>
  </si>
  <si>
    <t>London : MacLehose, 2010.</t>
  </si>
  <si>
    <t>147897051:eng</t>
  </si>
  <si>
    <t>640095592</t>
  </si>
  <si>
    <t>ocn640095592</t>
  </si>
  <si>
    <t>3103233624K</t>
  </si>
  <si>
    <t>9781906694586</t>
  </si>
  <si>
    <t>794827287</t>
  </si>
  <si>
    <t>Z987 B68</t>
  </si>
  <si>
    <t>0                      Z  0987000B  68</t>
  </si>
  <si>
    <t>Book collecting : a modern guide / edited by Jean Peters.</t>
  </si>
  <si>
    <t>New York : R.R. Bowker Company, 1977.</t>
  </si>
  <si>
    <t>901570300:eng</t>
  </si>
  <si>
    <t>3168955</t>
  </si>
  <si>
    <t>ocm03168955</t>
  </si>
  <si>
    <t>3000859967N</t>
  </si>
  <si>
    <t>9780835209854</t>
  </si>
  <si>
    <t>792225267</t>
  </si>
  <si>
    <t>Z987 B78 2006</t>
  </si>
  <si>
    <t>0                      Z  0987000B  78          2006</t>
  </si>
  <si>
    <t>Book talk : essays on books, book sellers, collecting, and special collections / edited by Robert H. Jackson and Carol Z. Rothkopf.</t>
  </si>
  <si>
    <t>New Castle, DE : Oak Knoll Press, 2006.</t>
  </si>
  <si>
    <t>368143488:eng</t>
  </si>
  <si>
    <t>68710345</t>
  </si>
  <si>
    <t>ocm68710345</t>
  </si>
  <si>
    <t>31025840032</t>
  </si>
  <si>
    <t>9781584561880</t>
  </si>
  <si>
    <t>794143969</t>
  </si>
  <si>
    <t>Z987 C35 1970</t>
  </si>
  <si>
    <t>0                      Z  0987000C  35          1970</t>
  </si>
  <si>
    <t>Taste &amp; technique in book collecting; with an epilogue.</t>
  </si>
  <si>
    <t>London, Private Libraries Association, 1970.</t>
  </si>
  <si>
    <t>Sandars lectures, 1947</t>
  </si>
  <si>
    <t>3943650903:eng</t>
  </si>
  <si>
    <t>111304</t>
  </si>
  <si>
    <t>ocm00111304</t>
  </si>
  <si>
    <t>31035926650</t>
  </si>
  <si>
    <t>9780900002304</t>
  </si>
  <si>
    <t>791260512</t>
  </si>
  <si>
    <t>Z987 M37</t>
  </si>
  <si>
    <t>0                      Z  0987000M  37</t>
  </si>
  <si>
    <t>Collecting rare books for pleasure and profit / by Jack Matthews.</t>
  </si>
  <si>
    <t>Matthews, Jack.</t>
  </si>
  <si>
    <t>New York : Putnam, ©1977.</t>
  </si>
  <si>
    <t>485398:eng</t>
  </si>
  <si>
    <t>2332235</t>
  </si>
  <si>
    <t>ocm02332235</t>
  </si>
  <si>
    <t>3103601476I</t>
  </si>
  <si>
    <t>9780399117756</t>
  </si>
  <si>
    <t>792105256</t>
  </si>
  <si>
    <t>Z987 M37 1981</t>
  </si>
  <si>
    <t>0                      Z  0987000M  37          1981</t>
  </si>
  <si>
    <t>Chicago : Ohio University Press, 1981.</t>
  </si>
  <si>
    <t>1st paperbound ed.</t>
  </si>
  <si>
    <t>7846187</t>
  </si>
  <si>
    <t>ocm07846187</t>
  </si>
  <si>
    <t>31015659770</t>
  </si>
  <si>
    <t>9780821406113</t>
  </si>
  <si>
    <t>792583319</t>
  </si>
  <si>
    <t>Z987 M836</t>
  </si>
  <si>
    <t>0                      Z  0987000M  836</t>
  </si>
  <si>
    <t>Essays and papers / A.N.L. Munby ; edited, with an introd., by Nicholas Barker.</t>
  </si>
  <si>
    <t>Munby, A. N. L. (Alan Noel Latimer), 1913-1974.</t>
  </si>
  <si>
    <t>London : Scolar Press, 1977.</t>
  </si>
  <si>
    <t>9514020:eng</t>
  </si>
  <si>
    <t>3362123</t>
  </si>
  <si>
    <t>ocm03362123</t>
  </si>
  <si>
    <t>3103008240Z</t>
  </si>
  <si>
    <t>9780859673495</t>
  </si>
  <si>
    <t>792246757</t>
  </si>
  <si>
    <t>Z987 O95 2005</t>
  </si>
  <si>
    <t>0                      Z  0987000O  95          2005</t>
  </si>
  <si>
    <t>Owners, annotators and the signs of reading / edited by Robin Myers, Michael Harris and Giles Mandelbrote.</t>
  </si>
  <si>
    <t>London : British Library ; New Castle, Del. : Oak Knoll, 2005.</t>
  </si>
  <si>
    <t>58289595:eng</t>
  </si>
  <si>
    <t>63185417</t>
  </si>
  <si>
    <t>ocm63185417</t>
  </si>
  <si>
    <t>3102555852G</t>
  </si>
  <si>
    <t>9780712349130</t>
  </si>
  <si>
    <t>794119631</t>
  </si>
  <si>
    <t>Z987 P47 2003</t>
  </si>
  <si>
    <t>0                      Z  0987000P  47          2003</t>
  </si>
  <si>
    <t>The pleasures of bibliophily : fifty years of The book collector : an anthology.</t>
  </si>
  <si>
    <t>London : British Library ; New Castle, Del. : Oak Knoll Press, 2003.</t>
  </si>
  <si>
    <t>839305882:eng</t>
  </si>
  <si>
    <t>51483109</t>
  </si>
  <si>
    <t>ocm51483109</t>
  </si>
  <si>
    <t>3102314082X</t>
  </si>
  <si>
    <t>9780712347792</t>
  </si>
  <si>
    <t>793785321</t>
  </si>
  <si>
    <t>Z987 Q342 1971</t>
  </si>
  <si>
    <t>0                      Z  0987000Q  342         1971</t>
  </si>
  <si>
    <t>The collector's book of children's books / Eric Quayle ; photographs by Gabriel Monro.</t>
  </si>
  <si>
    <t>Quayle, Eric.</t>
  </si>
  <si>
    <t>London : Studio Vista, 1971.</t>
  </si>
  <si>
    <t>1401629:eng</t>
  </si>
  <si>
    <t>1926124</t>
  </si>
  <si>
    <t>ocm01926124</t>
  </si>
  <si>
    <t>3000859977K</t>
  </si>
  <si>
    <t>9780289702031</t>
  </si>
  <si>
    <t>792012494</t>
  </si>
  <si>
    <t>Z987 W47 1902</t>
  </si>
  <si>
    <t>0                      Z  0987000W  47          1902</t>
  </si>
  <si>
    <t>How to form a library / by H.B. Wheatley.</t>
  </si>
  <si>
    <t>Wheatley, Henry B. (Henry Benjamin), 1838-1917.</t>
  </si>
  <si>
    <t>The Book-lover's library</t>
  </si>
  <si>
    <t>2206517:eng</t>
  </si>
  <si>
    <t>1324692</t>
  </si>
  <si>
    <t>ocm01324692</t>
  </si>
  <si>
    <t>30008624830</t>
  </si>
  <si>
    <t>791600192</t>
  </si>
  <si>
    <t>Z987 W6</t>
  </si>
  <si>
    <t>0                      Z  0987000W  6</t>
  </si>
  <si>
    <t>The private collector and the support of scholarship : papers read at a Clark Library seminar, April 5, 1969 / by Louis B. Wright and Gordon N. Ray ; with a foreword by Robert Vosper.</t>
  </si>
  <si>
    <t>Wright, Louis B. (Louis Booker), 1899-1984.</t>
  </si>
  <si>
    <t>Los Angeles : William Andrews Clark Memorial Library, University of California, 1969.</t>
  </si>
  <si>
    <t>William Andrews Clark Memorial Library seminar papers</t>
  </si>
  <si>
    <t>346667340:eng</t>
  </si>
  <si>
    <t>81029</t>
  </si>
  <si>
    <t>ocm00081029</t>
  </si>
  <si>
    <t>3103523507E</t>
  </si>
  <si>
    <t>791248903</t>
  </si>
  <si>
    <t>Z987.5 C6 C485 2010</t>
  </si>
  <si>
    <t>0                      Z  0987500C  6                  C  485         2010</t>
  </si>
  <si>
    <t>Jiaxing cang shu shi / Chen Xinrong zhu.</t>
  </si>
  <si>
    <t>Chen, Xinrong, author.</t>
  </si>
  <si>
    <t>505344025:chi</t>
  </si>
  <si>
    <t>644521693</t>
  </si>
  <si>
    <t>ocn644521693</t>
  </si>
  <si>
    <t>3103393804J</t>
  </si>
  <si>
    <t>9787501343607</t>
  </si>
  <si>
    <t>794829192</t>
  </si>
  <si>
    <t>Z987.5 C6 G788 2011</t>
  </si>
  <si>
    <t>0                      Z  0987500C  6                  G  788         2011</t>
  </si>
  <si>
    <t>Hangzhou cang shu shi / Gu Zhixing zhu.</t>
  </si>
  <si>
    <t>Gu, Zhixing.</t>
  </si>
  <si>
    <t>Hangzhou li shi wen hua yan jiu cong shu.</t>
  </si>
  <si>
    <t>916976522:chi</t>
  </si>
  <si>
    <t>732280226</t>
  </si>
  <si>
    <t>ocn732280226</t>
  </si>
  <si>
    <t>3103474058X</t>
  </si>
  <si>
    <t>9787500497264</t>
  </si>
  <si>
    <t>794881222</t>
  </si>
  <si>
    <t>Z987.5 C6 S35 2014</t>
  </si>
  <si>
    <t>0                      Z  0987500C  6                  S  35          2014</t>
  </si>
  <si>
    <t>Book collecting in Chinese culture / Sang Liangzhi, translator, Zhou Qing.</t>
  </si>
  <si>
    <t>Sang, Liangzhi, author.</t>
  </si>
  <si>
    <t>[UK (United Kingdom)] : Paths International Ltd, [2014]</t>
  </si>
  <si>
    <t>4495373090:eng</t>
  </si>
  <si>
    <t>865494463</t>
  </si>
  <si>
    <t>ocn865494463</t>
  </si>
  <si>
    <t>31035810027</t>
  </si>
  <si>
    <t>9781844643189</t>
  </si>
  <si>
    <t>794963037</t>
  </si>
  <si>
    <t>Z987.5 E85 J46 2011</t>
  </si>
  <si>
    <t>0                      Z  0987500E  85                 J  46          2011</t>
  </si>
  <si>
    <t>Revolution and the antiquarian book : reshaping the past, 1780-1815 / Kristian Jensen.</t>
  </si>
  <si>
    <t>Jensen, Kristian, 1954-</t>
  </si>
  <si>
    <t>792474024:eng</t>
  </si>
  <si>
    <t>656774298</t>
  </si>
  <si>
    <t>ocn656774298</t>
  </si>
  <si>
    <t>31032329559</t>
  </si>
  <si>
    <t>9781107000513</t>
  </si>
  <si>
    <t>794835064</t>
  </si>
  <si>
    <t>Z987.5 F8 D47 2001</t>
  </si>
  <si>
    <t>0                      Z  0987500F  8                  D  47          2001</t>
  </si>
  <si>
    <t>La figure du bibliomane : histoire du livre et stratégie littéraire au XIXe siècle / Daniel Désormeaux.</t>
  </si>
  <si>
    <t>Desormeaux, Daniel.</t>
  </si>
  <si>
    <t>Saint-Genouph [France] : Librairie Nizet, 2001.</t>
  </si>
  <si>
    <t>350731253:fre</t>
  </si>
  <si>
    <t>48928061</t>
  </si>
  <si>
    <t>ocm48928061</t>
  </si>
  <si>
    <t>3103721081M</t>
  </si>
  <si>
    <t>9782707812544</t>
  </si>
  <si>
    <t>793730627</t>
  </si>
  <si>
    <t>Z987.5 F8 S54 2008</t>
  </si>
  <si>
    <t>0                      Z  0987500F  8                  S  54          2008</t>
  </si>
  <si>
    <t>The new bibliopolis : French book collectors and the culture of print, 1880-1914 / Willa Z. Silverman.</t>
  </si>
  <si>
    <t>Silverman, Willa Z., 1959-</t>
  </si>
  <si>
    <t>Toronto : University of Toronto Press, c2008.</t>
  </si>
  <si>
    <t>866144224:eng</t>
  </si>
  <si>
    <t>154746570</t>
  </si>
  <si>
    <t>ocn154746570</t>
  </si>
  <si>
    <t>3102706926S</t>
  </si>
  <si>
    <t>9780802092113</t>
  </si>
  <si>
    <t>794252736</t>
  </si>
  <si>
    <t>Z987.5 G7 P76 1991</t>
  </si>
  <si>
    <t>0                      Z  0987500G  7                  P  76          1991</t>
  </si>
  <si>
    <t>Property of a gentleman : the formation, organisation and dispersal of the private library 1620-1920 / edited by Robin Myers and Michael Harris.</t>
  </si>
  <si>
    <t>Winchester, Hampshire : St Paul's Bibliographies, 1991.</t>
  </si>
  <si>
    <t>811344088:eng</t>
  </si>
  <si>
    <t>24794123</t>
  </si>
  <si>
    <t>ocm24794123</t>
  </si>
  <si>
    <t>3102863526G</t>
  </si>
  <si>
    <t>9780906795996</t>
  </si>
  <si>
    <t>793205300</t>
  </si>
  <si>
    <t>Z987.5 G7 R5 1930</t>
  </si>
  <si>
    <t>0                      Z  0987500G  7                  R  5           1930</t>
  </si>
  <si>
    <t>English collectors of books &amp; manuscripts, 1530-1930, and their marks of ownership / by Seymour de Ricci.</t>
  </si>
  <si>
    <t>Ricci, Seymour de, 1881-1942.</t>
  </si>
  <si>
    <t>New York : Macmillan ; Cambridge, England : University Press, 1930.</t>
  </si>
  <si>
    <t>Sandars lectures ; 1929-1930</t>
  </si>
  <si>
    <t>2250685:eng</t>
  </si>
  <si>
    <t>9946076</t>
  </si>
  <si>
    <t>ocm09946076</t>
  </si>
  <si>
    <t>30008609602</t>
  </si>
  <si>
    <t>792701696</t>
  </si>
  <si>
    <t>Z987.5 J3 M43 2015</t>
  </si>
  <si>
    <t>0                      Z  0987500J  3                  M  43          2015</t>
  </si>
  <si>
    <t>The medieval book and a modern collector : essays in honour of Toshiyuki Takamiya / edited by Takami Matsuda, Richard A. Linenthal, John Scahill.</t>
  </si>
  <si>
    <t>Woodbridge, Suffolk, UK ; Rochester, NY : D.S. Brewer ; Tokyo : Yushodo Press, 2015.</t>
  </si>
  <si>
    <t>Paperback edition 2015.</t>
  </si>
  <si>
    <t>891241502:eng</t>
  </si>
  <si>
    <t>894301697</t>
  </si>
  <si>
    <t>ocn894301697</t>
  </si>
  <si>
    <t>31036091176</t>
  </si>
  <si>
    <t>9781843844051</t>
  </si>
  <si>
    <t>794982573</t>
  </si>
  <si>
    <t>Z988 K53 1936</t>
  </si>
  <si>
    <t>0                      Z  0988000K  53          1936</t>
  </si>
  <si>
    <t>The library of Pico della Mirandola, by Pearl Kibre.</t>
  </si>
  <si>
    <t>Kibre, Pearl, 1903-</t>
  </si>
  <si>
    <t>New York, Columbia University Press, 1936.</t>
  </si>
  <si>
    <t>2018-12-16</t>
  </si>
  <si>
    <t>1492703:eng</t>
  </si>
  <si>
    <t>3782643</t>
  </si>
  <si>
    <t>ocm03782643</t>
  </si>
  <si>
    <t>31003844833</t>
  </si>
  <si>
    <t>792291034</t>
  </si>
  <si>
    <t>Z989 B49 C66 2012</t>
  </si>
  <si>
    <t>0                      Z  0989000B  49                 C  66          2012</t>
  </si>
  <si>
    <t>The companionship of books : essays in honor of Laurence Berns / edited by Alan Udoff, Sharon Portnoff, and Martin D. Yaffe.</t>
  </si>
  <si>
    <t>Lanham, Md. : Lexington Books, ©2012.</t>
  </si>
  <si>
    <t>967750080:eng</t>
  </si>
  <si>
    <t>744301819</t>
  </si>
  <si>
    <t>ocn744301819</t>
  </si>
  <si>
    <t>3103407934X</t>
  </si>
  <si>
    <t>9780739150467</t>
  </si>
  <si>
    <t>794886150</t>
  </si>
  <si>
    <t>Z989 C67 M39</t>
  </si>
  <si>
    <t>0                      Z  0989000C  67                 M  39</t>
  </si>
  <si>
    <t>Shaping a library: William L. Clements as collector, by Margaret Maxwell.</t>
  </si>
  <si>
    <t>Maxwell, Margaret F., 1927-</t>
  </si>
  <si>
    <t>Amsterdam, N. Israel, 1973.</t>
  </si>
  <si>
    <t>2015-02-04</t>
  </si>
  <si>
    <t>2025117:eng</t>
  </si>
  <si>
    <t>1047110</t>
  </si>
  <si>
    <t>ocm01047110</t>
  </si>
  <si>
    <t>3000859986J</t>
  </si>
  <si>
    <t>9789060726310</t>
  </si>
  <si>
    <t>791533182</t>
  </si>
  <si>
    <t>Z989 F66 M28 2015</t>
  </si>
  <si>
    <t>0                      Z  0989000F  66                 M  28          2015</t>
  </si>
  <si>
    <t>The millionaire and the bard : Henry Folger's obsessive hunt for Shakespeare's first folio / Andrea E. Mays.</t>
  </si>
  <si>
    <t>Mays, Andrea E., author.</t>
  </si>
  <si>
    <t>New York : Simon &amp; Schuster, [2015]</t>
  </si>
  <si>
    <t>2489552594:eng</t>
  </si>
  <si>
    <t>883146710</t>
  </si>
  <si>
    <t>ocn883146710</t>
  </si>
  <si>
    <t>3103609673D</t>
  </si>
  <si>
    <t>9781439118238</t>
  </si>
  <si>
    <t>794975362</t>
  </si>
  <si>
    <t>Z989 M87 A3 2011</t>
  </si>
  <si>
    <t>0                      Z  0989000M  87                 A  3           2011</t>
  </si>
  <si>
    <t>Adventures of a bookcollector / Philip Murray ; with an introduction by Dermot Healy.</t>
  </si>
  <si>
    <t>Murray, Philip, 1940-</t>
  </si>
  <si>
    <t>Blackrock, Co Dublin : Currach Press, 2011.</t>
  </si>
  <si>
    <t>1083980478:eng</t>
  </si>
  <si>
    <t>779385301</t>
  </si>
  <si>
    <t>ocn779385301</t>
  </si>
  <si>
    <t>31034085304</t>
  </si>
  <si>
    <t>9781856077330</t>
  </si>
  <si>
    <t>794910867</t>
  </si>
  <si>
    <t>Z989 P457 C54 2015</t>
  </si>
  <si>
    <t>0                      Z  0989000P  457                C  54          2015</t>
  </si>
  <si>
    <t>Une bibliothèque byzantine : Nicolas-Claude Fabri de Peiresc et la fabrique du savoir / Anne-Marie Cheny ; préface de Joël Cornette.</t>
  </si>
  <si>
    <t>Cheny, Anne-Marie, author.</t>
  </si>
  <si>
    <t>Ceyzérieu : Champ Vallon, [2015]</t>
  </si>
  <si>
    <t>Époques</t>
  </si>
  <si>
    <t>2747348937:fre</t>
  </si>
  <si>
    <t>922305741</t>
  </si>
  <si>
    <t>ocn922305741</t>
  </si>
  <si>
    <t>31036232837</t>
  </si>
  <si>
    <t>9791026700470</t>
  </si>
  <si>
    <t>795003736</t>
  </si>
  <si>
    <t>Z989 W8 P3 1946</t>
  </si>
  <si>
    <t>0                      Z  0989000W  8                  P  3           1946</t>
  </si>
  <si>
    <t>Thomas J. Wise in the original cloth : the life and record of the forger of the nineteenth-century pamphlets / by Wilfred Partington ; with an appendix by George Bernard Shaw.</t>
  </si>
  <si>
    <t>Partington, Wilfred, 1888-1955, author.</t>
  </si>
  <si>
    <t>London : Robert Hale Limited, [1946]</t>
  </si>
  <si>
    <t>1954992:eng</t>
  </si>
  <si>
    <t>2322423</t>
  </si>
  <si>
    <t>ocm02322423</t>
  </si>
  <si>
    <t>3102227306T</t>
  </si>
  <si>
    <t>792103583</t>
  </si>
  <si>
    <t>Z989 W8 P4</t>
  </si>
  <si>
    <t>0                      Z  0989000W  8                  P  4</t>
  </si>
  <si>
    <t>Moriarty in the stacks : the nefarious adventures of Thomas J. Wise / by Katharine Greenleaf Pedley.</t>
  </si>
  <si>
    <t>Pedley, Katharine Greenleaf, author.</t>
  </si>
  <si>
    <t>Berkeley, Calif. : Peacock Press, 1966.</t>
  </si>
  <si>
    <t>1469198:eng</t>
  </si>
  <si>
    <t>509658</t>
  </si>
  <si>
    <t>ocm00509658</t>
  </si>
  <si>
    <t>3000859994K</t>
  </si>
  <si>
    <t>791398463</t>
  </si>
  <si>
    <t>1932</t>
  </si>
  <si>
    <t>2015-03-10</t>
  </si>
  <si>
    <t>Z992 A91 1966</t>
  </si>
  <si>
    <t>0                      Z  0992000A  91          1966</t>
  </si>
  <si>
    <t>The love of books; the Philobiblon of Richard de Bury, newly translated into English by E.C. Thomas.</t>
  </si>
  <si>
    <t>Bury, Richard de, 1287-1345.</t>
  </si>
  <si>
    <t>New York, Cooper Square Publishers, 1966.</t>
  </si>
  <si>
    <t>The Medieval library</t>
  </si>
  <si>
    <t>504998821:eng</t>
  </si>
  <si>
    <t>172245</t>
  </si>
  <si>
    <t>ocm00172245</t>
  </si>
  <si>
    <t>3000647350K</t>
  </si>
  <si>
    <t>791280547</t>
  </si>
  <si>
    <t>Z992 F55</t>
  </si>
  <si>
    <t>0                      Z  0992000F  55</t>
  </si>
  <si>
    <t>The book fancier : or, The romance of book collecting / by Percy Fitzgerald.</t>
  </si>
  <si>
    <t>Fitzgerald, Percy, 1834-1925.</t>
  </si>
  <si>
    <t>2015-02-10</t>
  </si>
  <si>
    <t>2463844:eng</t>
  </si>
  <si>
    <t>427209964</t>
  </si>
  <si>
    <t>ocn427209964</t>
  </si>
  <si>
    <t>3000787789K</t>
  </si>
  <si>
    <t>794543103</t>
  </si>
  <si>
    <t>Z992 J16</t>
  </si>
  <si>
    <t>0                      Z  0992000J  16</t>
  </si>
  <si>
    <t>The anatomy of bibliomania,</t>
  </si>
  <si>
    <t>Jackson, Holbrook, 1874-1948.</t>
  </si>
  <si>
    <t>London : Soncino Press, 1932.</t>
  </si>
  <si>
    <t>2108194:eng</t>
  </si>
  <si>
    <t>427210010</t>
  </si>
  <si>
    <t>ocn427210010</t>
  </si>
  <si>
    <t>3103008245Z</t>
  </si>
  <si>
    <t>794543122</t>
  </si>
  <si>
    <t>Z992 L26</t>
  </si>
  <si>
    <t>0                      Z  0992000L  26</t>
  </si>
  <si>
    <t>Books and bookmen / by Andrew Lang.</t>
  </si>
  <si>
    <t>Lang, Andrew, 1844-1912.</t>
  </si>
  <si>
    <t>New York : George J. Coombes, 1886.</t>
  </si>
  <si>
    <t>1886</t>
  </si>
  <si>
    <t>Books for the bibliophile.</t>
  </si>
  <si>
    <t>1267214:eng</t>
  </si>
  <si>
    <t>1276000</t>
  </si>
  <si>
    <t>ocm01276000</t>
  </si>
  <si>
    <t>3000861487Y</t>
  </si>
  <si>
    <t>791589697</t>
  </si>
  <si>
    <t>Z992 S63</t>
  </si>
  <si>
    <t>0                      Z  0992000S  63</t>
  </si>
  <si>
    <t>Book collecting; a guide for amateurs. By J.H. Slater ...</t>
  </si>
  <si>
    <t>Slater, J. Herbert (John Herbert), 1854-1921.</t>
  </si>
  <si>
    <t>London, S. Sonnenschein &amp; Co., 1892.</t>
  </si>
  <si>
    <t>1892</t>
  </si>
  <si>
    <t>377192012:eng</t>
  </si>
  <si>
    <t>1711679</t>
  </si>
  <si>
    <t>ocm01711679</t>
  </si>
  <si>
    <t>3103007966E</t>
  </si>
  <si>
    <t>791841736</t>
  </si>
  <si>
    <t>- Main Collection - In Library Use</t>
  </si>
  <si>
    <t>Z992 S66</t>
  </si>
  <si>
    <t>0                      Z  0992000S  66</t>
  </si>
  <si>
    <t>Round and about the book-stalls. : a guide for the book-hunter. / by J. Herbert Slater.</t>
  </si>
  <si>
    <t>London : L.U. Gill, 1891.</t>
  </si>
  <si>
    <t>1973327:eng</t>
  </si>
  <si>
    <t>5433925</t>
  </si>
  <si>
    <t>ocm05433925</t>
  </si>
  <si>
    <t>30007879243</t>
  </si>
  <si>
    <t>792433032</t>
  </si>
  <si>
    <t>Z992 W58</t>
  </si>
  <si>
    <t>0                      Z  0992000W  58</t>
  </si>
  <si>
    <t>Philobiblon: the love of books in life and in literature.</t>
  </si>
  <si>
    <t>White, Beatrice, 1902-1986.</t>
  </si>
  <si>
    <t>London, Library Association, 1967.</t>
  </si>
  <si>
    <t>Arundell Esdaile memorial lecture, 1966</t>
  </si>
  <si>
    <t>676267442:eng</t>
  </si>
  <si>
    <t>2522916</t>
  </si>
  <si>
    <t>ocm02522916</t>
  </si>
  <si>
    <t>3000859999A</t>
  </si>
  <si>
    <t>792138831</t>
  </si>
  <si>
    <t>Z992 Z43</t>
  </si>
  <si>
    <t>0                      Z  0992000Z  43</t>
  </si>
  <si>
    <t>What kind of a business is this? Reminiscences of the book trade and book collectors.</t>
  </si>
  <si>
    <t>Zeitlin, Jake, 1902-1987.</t>
  </si>
  <si>
    <t>Lawrence, University of Kansas Libraries, 1959.</t>
  </si>
  <si>
    <t>University of Kansas publications. Library series ; number 6</t>
  </si>
  <si>
    <t>815940833:eng</t>
  </si>
  <si>
    <t>1712167</t>
  </si>
  <si>
    <t>ocm01712167</t>
  </si>
  <si>
    <t>3000636228S</t>
  </si>
  <si>
    <t>791842014</t>
  </si>
  <si>
    <t>Z997 A2 B67 2016</t>
  </si>
  <si>
    <t>0                      Z  0997000A  2                  B  67          2016</t>
  </si>
  <si>
    <t>Boswell's books : four generations of collecting and collectors / Terry I. Seymour.</t>
  </si>
  <si>
    <t>Seymour, Terry, compiler.</t>
  </si>
  <si>
    <t>3189212847:eng</t>
  </si>
  <si>
    <t>933585833</t>
  </si>
  <si>
    <t>ocn933585833</t>
  </si>
  <si>
    <t>3103656128N</t>
  </si>
  <si>
    <t>9781584563440</t>
  </si>
  <si>
    <t>795009272</t>
  </si>
  <si>
    <t>Z997 A629 P38 2011</t>
  </si>
  <si>
    <t>0                      Z  0997000A  629                P  38          2011</t>
  </si>
  <si>
    <t>Del congiungere le gemme de' gentili con la sapientia de' christiani : la biblioteca del card. Silvio Antoniano tra studia humanitatis e cultura ecclesiastica / Elisabetta Patrizi.</t>
  </si>
  <si>
    <t>Patrizi, Elisabetta, 1979-</t>
  </si>
  <si>
    <t>Biblioteca di bibliografia italiana, 0067-7418 ; 193</t>
  </si>
  <si>
    <t>1076206147:ita</t>
  </si>
  <si>
    <t>774489572</t>
  </si>
  <si>
    <t>ocn774489572</t>
  </si>
  <si>
    <t>3103446636Q</t>
  </si>
  <si>
    <t>9788822260987</t>
  </si>
  <si>
    <t>794906452</t>
  </si>
  <si>
    <t>Z997 B652 P48 2016</t>
  </si>
  <si>
    <t>0                      Z  0997000B  652                P  48          2016</t>
  </si>
  <si>
    <t>À la chasse au bonheur : i libri ritrovati di Renzo Bonfiglioli e altri episodi di storia del collezionismo italiano del Novecento / Giancarlo Petrella ; presentazione di Dennis E. Rhodes.</t>
  </si>
  <si>
    <t>Petrella, Giancarlo, 1974- author, compiler.</t>
  </si>
  <si>
    <t>Biblioteca di bibliografia ; CCII</t>
  </si>
  <si>
    <t>3885467096:ita</t>
  </si>
  <si>
    <t>953697702</t>
  </si>
  <si>
    <t>ocn953697702</t>
  </si>
  <si>
    <t>3103642637S</t>
  </si>
  <si>
    <t>9788822264589</t>
  </si>
  <si>
    <t>795019024</t>
  </si>
  <si>
    <t>Z997 D552 K67 2014</t>
  </si>
  <si>
    <t>0                      Z  0997000D  552                K  67          2014</t>
  </si>
  <si>
    <t>La bibliothèque de Diderot : vers une reconstitution / Sergueï V. Korolev.</t>
  </si>
  <si>
    <t>Korolev, S. V. (Sergeĭ Viktorovich), author.</t>
  </si>
  <si>
    <t>Ferney-Voltaire, France : Centre international d'étude du XVIIIe siècle, 2014.</t>
  </si>
  <si>
    <t>Archives de l'Est</t>
  </si>
  <si>
    <t>1823466477:fre</t>
  </si>
  <si>
    <t>870642263</t>
  </si>
  <si>
    <t>ocn870642263</t>
  </si>
  <si>
    <t>3103558239J</t>
  </si>
  <si>
    <t>9782845590939</t>
  </si>
  <si>
    <t>794966761</t>
  </si>
  <si>
    <t>Z997 F65 B533 2001</t>
  </si>
  <si>
    <t>0                      Z  0997000F  65                 B  533         2001</t>
  </si>
  <si>
    <t>La bibliothèque de Flaubert : inventaires et critiques / sous la direction de Yvan Leclerc.</t>
  </si>
  <si>
    <t>[Rouen?] : Publications de l'Université de Rouen, ©2001.</t>
  </si>
  <si>
    <t>PUR, 1296-0829 ; no 304</t>
  </si>
  <si>
    <t>891372271:fre</t>
  </si>
  <si>
    <t>48757979</t>
  </si>
  <si>
    <t>ocm48757979</t>
  </si>
  <si>
    <t>3102210082I</t>
  </si>
  <si>
    <t>9782877753111</t>
  </si>
  <si>
    <t>793727224</t>
  </si>
  <si>
    <t>Z997 G24 S65 2017</t>
  </si>
  <si>
    <t>0                      Z  0997000G  24                 S  65          2017</t>
  </si>
  <si>
    <t>An actor's library : David Garrick, book collecting and literary friendships / Nicholas D. Smith.</t>
  </si>
  <si>
    <t>Smith, Nicholas D., 1975- author.</t>
  </si>
  <si>
    <t>4536365189:eng</t>
  </si>
  <si>
    <t>991585072</t>
  </si>
  <si>
    <t>ocn991585072</t>
  </si>
  <si>
    <t>3103739469O</t>
  </si>
  <si>
    <t>9781584563624</t>
  </si>
  <si>
    <t>795037990</t>
  </si>
  <si>
    <t>Z997 H713 P48 2015</t>
  </si>
  <si>
    <t>0                      Z  0997000H  713                P  48          2015</t>
  </si>
  <si>
    <t>I libri nella torre : la biblioteca di Castel Thun, una collezione nobiliare tra XV e XX secolo (con il catalogo del fondo antico) / Giancarlo Petrella ; presentazione di Marielisa Rossi.</t>
  </si>
  <si>
    <t>Firenze : Leo S. Olschki editore, MMXV.</t>
  </si>
  <si>
    <t>Biblioteca di bibliografia, 0067-7418 ; CXCVIII</t>
  </si>
  <si>
    <t>2569136487:ita</t>
  </si>
  <si>
    <t>911401108</t>
  </si>
  <si>
    <t>ocn911401108</t>
  </si>
  <si>
    <t>3103629074N</t>
  </si>
  <si>
    <t>9788822263773</t>
  </si>
  <si>
    <t>794998360</t>
  </si>
  <si>
    <t>Z997 J22 F75 1989</t>
  </si>
  <si>
    <t>0                      Z  0997000J  22                 F  75          1989</t>
  </si>
  <si>
    <t>Friedrich Heinrich Jacobi, Dokumente zu Leben und Werk / herausgegeben von Michael Brüggen, Heinz Gockel und Peter-Paul Schneider.</t>
  </si>
  <si>
    <t>Bd.1,1</t>
  </si>
  <si>
    <t>Stuttgart-Bad Canstatt : Frommann-Holzboog, ©1989-</t>
  </si>
  <si>
    <t>432876439:ger</t>
  </si>
  <si>
    <t>27685674</t>
  </si>
  <si>
    <t>ocm27685674</t>
  </si>
  <si>
    <t>31021699673</t>
  </si>
  <si>
    <t>9783772811937</t>
  </si>
  <si>
    <t>793269471</t>
  </si>
  <si>
    <t>Bd.1,2</t>
  </si>
  <si>
    <t>31021699754</t>
  </si>
  <si>
    <t>793269470</t>
  </si>
  <si>
    <t>Z997 J86 1957</t>
  </si>
  <si>
    <t>0                      Z  0997000J  86          1957</t>
  </si>
  <si>
    <t>The personal library of James Joyce : a descriptive bibliography / by Thomas E. Connolly.</t>
  </si>
  <si>
    <t>Connolly, Thomas E., 1918-2002.</t>
  </si>
  <si>
    <t>[Buffalo, NY] : University Bookstore, University of Buffalo, ©1957.</t>
  </si>
  <si>
    <t>1261730:eng</t>
  </si>
  <si>
    <t>2398459</t>
  </si>
  <si>
    <t>ocm02398459</t>
  </si>
  <si>
    <t>3102944139Q</t>
  </si>
  <si>
    <t>792116597</t>
  </si>
  <si>
    <t>Z997 K433 1980</t>
  </si>
  <si>
    <t>0                      Z  0997000K  433         1980</t>
  </si>
  <si>
    <t>The library of Edward Gibbon : a catalogue / edited and introduced by Geoffrey Keynes.</t>
  </si>
  <si>
    <t>Keynes, Geoffrey, 1887-1982.</t>
  </si>
  <si>
    <t>Godalming : St. Paul's Bibliographies, 1980.</t>
  </si>
  <si>
    <t>St. Paul's bibliographies ; no. 2</t>
  </si>
  <si>
    <t>1909056799:eng</t>
  </si>
  <si>
    <t>7248446</t>
  </si>
  <si>
    <t>ocm07248446</t>
  </si>
  <si>
    <t>3000313820V</t>
  </si>
  <si>
    <t>9780906795026</t>
  </si>
  <si>
    <t>792548783</t>
  </si>
  <si>
    <t>Z997 K64 R39 2013</t>
  </si>
  <si>
    <t>0                      Z  0997000K  64                 R  39          2013</t>
  </si>
  <si>
    <t>Raymond Klibansky, 1905-2005 : la bibliothèque d'un philosophe / sous la direction de Georges Leroux.</t>
  </si>
  <si>
    <t>Montréal : Bibliothèque et Archives nationales du Québec, 2013</t>
  </si>
  <si>
    <t>1203205533:fre</t>
  </si>
  <si>
    <t>844812544</t>
  </si>
  <si>
    <t>ocn844812544</t>
  </si>
  <si>
    <t>3103424000V</t>
  </si>
  <si>
    <t>9782551253661</t>
  </si>
  <si>
    <t>794948792</t>
  </si>
  <si>
    <t>Z997 K826 G86 2012</t>
  </si>
  <si>
    <t>0                      Z  0997000K  826                G  86          2012</t>
  </si>
  <si>
    <t>Taiwan da xue tu shu guan guan cang Jiubao wen ku Han ji fen lei mu lu / Zhou Yanyan bian.</t>
  </si>
  <si>
    <t>Guo li Taiwan da xue. Tu shu guan.</t>
  </si>
  <si>
    <t>Taibei Shi : Guo li Taiwan da xue tu shu guan, Minguo 101 [2012]</t>
  </si>
  <si>
    <t>Chu ban.</t>
  </si>
  <si>
    <t>Taiwan da xue te cang wen ku mu lu ; 3</t>
  </si>
  <si>
    <t>1183070913:chi</t>
  </si>
  <si>
    <t>819061709</t>
  </si>
  <si>
    <t>ocn819061709</t>
  </si>
  <si>
    <t>3103200945Y</t>
  </si>
  <si>
    <t>9789860338621</t>
  </si>
  <si>
    <t>794934357</t>
  </si>
  <si>
    <t>Z997 M53 B53 2015</t>
  </si>
  <si>
    <t>0                      Z  0997000M  53                 B  53          2015</t>
  </si>
  <si>
    <t>La biblioteca ritrovata : Saba e l'affaire dei libri di Michelstaedter / Sergio Campailla - Marco Menato - Antonio Trampus - Simone Volpato.</t>
  </si>
  <si>
    <t>Biblioteca di bibliografia, 0067-7418 ; CXCIX</t>
  </si>
  <si>
    <t>2600125375:ita</t>
  </si>
  <si>
    <t>918932273</t>
  </si>
  <si>
    <t>ocn918932273</t>
  </si>
  <si>
    <t>3103631331Q</t>
  </si>
  <si>
    <t>9788822263940</t>
  </si>
  <si>
    <t>795001258</t>
  </si>
  <si>
    <t>Z997 N56 H36</t>
  </si>
  <si>
    <t>0                      Z  0997000N  56                 H  36</t>
  </si>
  <si>
    <t>The library of Isaac Newton / John Harrison, Senior Under-Librarian, University Library, Cambridge.</t>
  </si>
  <si>
    <t>Harrison, John, 1914- author.</t>
  </si>
  <si>
    <t>Cambridge [England] ; New York : Cambridge University Press, 1978.</t>
  </si>
  <si>
    <t>41476801:eng</t>
  </si>
  <si>
    <t>3607735</t>
  </si>
  <si>
    <t>ocm03607735</t>
  </si>
  <si>
    <t>3103033580N</t>
  </si>
  <si>
    <t>9780521218689</t>
  </si>
  <si>
    <t>792272617</t>
  </si>
  <si>
    <t>Z997 P83 N35 2011</t>
  </si>
  <si>
    <t>0                      Z  0997000P  83                 N  35          2011</t>
  </si>
  <si>
    <t>The library of Richard Porson / P.G. Naiditch.</t>
  </si>
  <si>
    <t>Naiditch, P. G.</t>
  </si>
  <si>
    <t>[Philadelphia] : Xlibris, ©2011.</t>
  </si>
  <si>
    <t>2070408212:eng</t>
  </si>
  <si>
    <t>712067858</t>
  </si>
  <si>
    <t>ocn712067858</t>
  </si>
  <si>
    <t>3103532783S</t>
  </si>
  <si>
    <t>9781456805289</t>
  </si>
  <si>
    <t>794871573</t>
  </si>
  <si>
    <t>Z997 S53 L52 2013</t>
  </si>
  <si>
    <t>0                      Z  0997000S  53                 L  52          2013</t>
  </si>
  <si>
    <t>The Library of the Sidneys of Penshurst Place circa 1665 / edited by Germaine Warkentin, Joseph L. Black, and William R. Bowen.</t>
  </si>
  <si>
    <t>Toronto ; Buffalo ; London : University of Toronto Press, [2013]</t>
  </si>
  <si>
    <t>2013-12-12</t>
  </si>
  <si>
    <t>1744787628:eng</t>
  </si>
  <si>
    <t>838760715</t>
  </si>
  <si>
    <t>ocn838760715</t>
  </si>
  <si>
    <t>3103493290D</t>
  </si>
  <si>
    <t>9780802042934</t>
  </si>
  <si>
    <t>794945416</t>
  </si>
  <si>
    <t>Z997 S965 V65 2013</t>
  </si>
  <si>
    <t>0                      Z  0997000S  965                V  65          2013</t>
  </si>
  <si>
    <t>Alla peggio andrò in biblioteca : i libri ritrovati di Italo Svevo / Simone Volpato, Riccardo Cepach ; a cura di Massimo Gatta ; prefazione di Mario Sechi ; postfazione di Piero Innocenti.</t>
  </si>
  <si>
    <t>Volpato, Simone.</t>
  </si>
  <si>
    <t>Macerata : Biblohaus, 2013.</t>
  </si>
  <si>
    <t>1746025126:ita</t>
  </si>
  <si>
    <t>851388677</t>
  </si>
  <si>
    <t>ocn851388677</t>
  </si>
  <si>
    <t>3103126296H</t>
  </si>
  <si>
    <t>9788895844275</t>
  </si>
  <si>
    <t>794950830</t>
  </si>
  <si>
    <t>Z997 W29 W37 2010</t>
  </si>
  <si>
    <t>0                      Z  0997000W  29                 W  37          2010</t>
  </si>
  <si>
    <t>Attachements : observation d'une bibliothèque / Louise Warren.</t>
  </si>
  <si>
    <t>Warren, Louise, 1956-</t>
  </si>
  <si>
    <t>Montréal : L'Hexagone, 2010.</t>
  </si>
  <si>
    <t>2014-07-12</t>
  </si>
  <si>
    <t>373071813:fre</t>
  </si>
  <si>
    <t>499431789</t>
  </si>
  <si>
    <t>ocn499431789</t>
  </si>
  <si>
    <t>3103073114T</t>
  </si>
  <si>
    <t>9782890068285</t>
  </si>
  <si>
    <t>794803585</t>
  </si>
  <si>
    <t>Z997.2 E85 B53 2014</t>
  </si>
  <si>
    <t>0                      Z  0997200E  85                 B  53          2014</t>
  </si>
  <si>
    <t>Biblioteche filosofiche private : strumenti e prospettive di ricerca / a cura di Renzo Ragghianti e Alessandro Savorelli.</t>
  </si>
  <si>
    <t>Pisa : Edizioni della Normale, [2014]</t>
  </si>
  <si>
    <t>Seminari e convegni ; 37</t>
  </si>
  <si>
    <t>2534206884:ita</t>
  </si>
  <si>
    <t>910510734</t>
  </si>
  <si>
    <t>ocn910510734</t>
  </si>
  <si>
    <t>3103517039C</t>
  </si>
  <si>
    <t>9788876425219</t>
  </si>
  <si>
    <t>794996224</t>
  </si>
  <si>
    <t>Z999 A78</t>
  </si>
  <si>
    <t>0                      Z  0999000A  78</t>
  </si>
  <si>
    <t>Geography, voyages, Americana, Asia, Africa, rare and celebrated presses,</t>
  </si>
  <si>
    <t>Art ancien S.A.</t>
  </si>
  <si>
    <t>Zurich (Switzerland) L'Art ancien s. a., 1931.</t>
  </si>
  <si>
    <t>1223636695:eng</t>
  </si>
  <si>
    <t>427242915</t>
  </si>
  <si>
    <t>ocn427242915</t>
  </si>
  <si>
    <t>30007947818</t>
  </si>
  <si>
    <t>794550605</t>
  </si>
  <si>
    <t>Z1000 B57 2013</t>
  </si>
  <si>
    <t>0                      Z  1000000B  57          2013</t>
  </si>
  <si>
    <t>Testaments, donations, and the values of books as gifts : a study of records from medieval England before 1450 / Janika Bischof.</t>
  </si>
  <si>
    <t>Bischof, Janika, 1980-</t>
  </si>
  <si>
    <t>Frankfurt am Main ; New York : Peter Lang Edition, [2013]</t>
  </si>
  <si>
    <t>Münsteraner Monographien zur englischen Literature ; Bd. 36 = Münster monographs on English literature ; vol. 36</t>
  </si>
  <si>
    <t>1755084629:eng</t>
  </si>
  <si>
    <t>867851399</t>
  </si>
  <si>
    <t>ocn867851399</t>
  </si>
  <si>
    <t>3103581708N</t>
  </si>
  <si>
    <t>9783631633151</t>
  </si>
  <si>
    <t>794964189</t>
  </si>
  <si>
    <t>Z1001 B775 1964</t>
  </si>
  <si>
    <t>0                      Z  1001000B  775         1964</t>
  </si>
  <si>
    <t>Bibliography and textual criticism, by Fredson Bowers.</t>
  </si>
  <si>
    <t>Bowers, Fredson.</t>
  </si>
  <si>
    <t>The Lyell lectures, 1959</t>
  </si>
  <si>
    <t>2016-03-14</t>
  </si>
  <si>
    <t>1391736:eng</t>
  </si>
  <si>
    <t>318100</t>
  </si>
  <si>
    <t>ocm00318100</t>
  </si>
  <si>
    <t>3102795109F</t>
  </si>
  <si>
    <t>791335094</t>
  </si>
  <si>
    <t>Z1001 B78</t>
  </si>
  <si>
    <t>0                      Z  1001000B  78</t>
  </si>
  <si>
    <t>Principles of bibliographical description.</t>
  </si>
  <si>
    <t>Princeton, N.J., Princeton Univ. Press, 1949.</t>
  </si>
  <si>
    <t>1689091:eng</t>
  </si>
  <si>
    <t>775938</t>
  </si>
  <si>
    <t>ocm00775938</t>
  </si>
  <si>
    <t>3102821085A</t>
  </si>
  <si>
    <t>791467536</t>
  </si>
  <si>
    <t>Z1001 B78 1962</t>
  </si>
  <si>
    <t>0                      Z  1001000B  78          1962</t>
  </si>
  <si>
    <t>New York, Russell &amp; Russell, 1962 [©1949]</t>
  </si>
  <si>
    <t>576692</t>
  </si>
  <si>
    <t>ocm00576692</t>
  </si>
  <si>
    <t>31035240819</t>
  </si>
  <si>
    <t>9780846201304</t>
  </si>
  <si>
    <t>791419240</t>
  </si>
  <si>
    <t>Z1001 B86 1987</t>
  </si>
  <si>
    <t>0                      Z  1001000B  86          1987</t>
  </si>
  <si>
    <t>Towards a theoretical information science : information science and the concept of a paradigm / by Andrew Douglas Brown.</t>
  </si>
  <si>
    <t>Brown, Andrew Douglas.</t>
  </si>
  <si>
    <t>[Sheffield] : University of Sheffield, Dept. of Information Studies, 1987.</t>
  </si>
  <si>
    <t>Occasional publications series / University of Sheffield Department of Information Studies ; no. 5</t>
  </si>
  <si>
    <t>1043593989:eng</t>
  </si>
  <si>
    <t>17952451</t>
  </si>
  <si>
    <t>ocm17952451</t>
  </si>
  <si>
    <t>3101809185S</t>
  </si>
  <si>
    <t>9780903522168</t>
  </si>
  <si>
    <t>793008367</t>
  </si>
  <si>
    <t>Z1001 D225 2011</t>
  </si>
  <si>
    <t>0                      Z  1001000D  225         2011</t>
  </si>
  <si>
    <t>Out of sorts : on typography and print culture / Joseph A. Dane.</t>
  </si>
  <si>
    <t>792623587:eng</t>
  </si>
  <si>
    <t>606785140</t>
  </si>
  <si>
    <t>ocn606785140</t>
  </si>
  <si>
    <t>3103235775$</t>
  </si>
  <si>
    <t>9780812242942</t>
  </si>
  <si>
    <t>794817283</t>
  </si>
  <si>
    <t>Z1001 D227 2012</t>
  </si>
  <si>
    <t>0                      Z  1001000D  227         2012</t>
  </si>
  <si>
    <t>What is a book? : the study of early printed books / Joseph A. Dane.</t>
  </si>
  <si>
    <t>Notre Dame, Indiana : University of Notre Dame Press, [2012]</t>
  </si>
  <si>
    <t>1089112521:eng</t>
  </si>
  <si>
    <t>769430626</t>
  </si>
  <si>
    <t>ocn769430626</t>
  </si>
  <si>
    <t>3103411293O</t>
  </si>
  <si>
    <t>9780268026097</t>
  </si>
  <si>
    <t>794903379</t>
  </si>
  <si>
    <t>Z1001 D23 2013</t>
  </si>
  <si>
    <t>0                      Z  1001000D  23          2013</t>
  </si>
  <si>
    <t>Blind impressions : methods and mythologies in book history / Joseph A. Dane.</t>
  </si>
  <si>
    <t>Dane, Joseph A., author.</t>
  </si>
  <si>
    <t>Philadelphia : University of Pennsylvania Press, [2013]</t>
  </si>
  <si>
    <t>1784791610:eng</t>
  </si>
  <si>
    <t>831150617</t>
  </si>
  <si>
    <t>ocn831150617</t>
  </si>
  <si>
    <t>3103529149V</t>
  </si>
  <si>
    <t>9780812245493</t>
  </si>
  <si>
    <t>794943804</t>
  </si>
  <si>
    <t>Z1001 E77</t>
  </si>
  <si>
    <t>0                      Z  1001000E  77</t>
  </si>
  <si>
    <t>Bibliografia : sintesi storica e pratica / Enzo Esposito.</t>
  </si>
  <si>
    <t>Ravenna : Longo, 1977.</t>
  </si>
  <si>
    <t>Biblioteche italiane e strumenti bibliografici ; 2</t>
  </si>
  <si>
    <t>11722635:ita</t>
  </si>
  <si>
    <t>3629822</t>
  </si>
  <si>
    <t>ocm03629822</t>
  </si>
  <si>
    <t>3000433598O</t>
  </si>
  <si>
    <t>792274954</t>
  </si>
  <si>
    <t>Z1001 G74 1998</t>
  </si>
  <si>
    <t>0                      Z  1001000G  74          1998</t>
  </si>
  <si>
    <t>Sir Walter Wilson Greg : a collection of his writings / [edited by] Joseph Rosenblum.</t>
  </si>
  <si>
    <t>Greg, W. W. (Walter Wilson), 1875-1959.</t>
  </si>
  <si>
    <t>Great bibliographers series ; no. 11</t>
  </si>
  <si>
    <t>1059252651:eng</t>
  </si>
  <si>
    <t>37220908</t>
  </si>
  <si>
    <t>ocm37220908</t>
  </si>
  <si>
    <t>3101868848C</t>
  </si>
  <si>
    <t>9780810833999</t>
  </si>
  <si>
    <t>793493608</t>
  </si>
  <si>
    <t>Z1001 H33 2000</t>
  </si>
  <si>
    <t>0                      Z  1001000H  33          2000</t>
  </si>
  <si>
    <t>On compiling an annotated bibliography / James L. Harner.</t>
  </si>
  <si>
    <t>Harner, James L., author.</t>
  </si>
  <si>
    <t>New York : Modern Language Association of America, 2000.</t>
  </si>
  <si>
    <t>4314781:eng</t>
  </si>
  <si>
    <t>43851488</t>
  </si>
  <si>
    <t>ocm43851488</t>
  </si>
  <si>
    <t>3102629628L</t>
  </si>
  <si>
    <t>9780873529792</t>
  </si>
  <si>
    <t>793636839</t>
  </si>
  <si>
    <t>Z1001 H95 1968</t>
  </si>
  <si>
    <t>0                      Z  1001000H  95          1968</t>
  </si>
  <si>
    <t>Bibliography and footnotes; a style manual for students and writers.</t>
  </si>
  <si>
    <t>Hurt, Peyton, 1903-1942.</t>
  </si>
  <si>
    <t>Berkeley, University of California Press, 1968.</t>
  </si>
  <si>
    <t>3d ed., rev. and enl. by Mary 1. Hurt Richmond.</t>
  </si>
  <si>
    <t>2016-04-26</t>
  </si>
  <si>
    <t>3753471845:eng</t>
  </si>
  <si>
    <t>715529</t>
  </si>
  <si>
    <t>ocm00715529</t>
  </si>
  <si>
    <t>3000962235C</t>
  </si>
  <si>
    <t>791453802</t>
  </si>
  <si>
    <t>Z1001 K86 1984</t>
  </si>
  <si>
    <t>0                      Z  1001000K  86          1984</t>
  </si>
  <si>
    <t>Bibliographies, their aims and methods / D.W. Krummel.</t>
  </si>
  <si>
    <t>Krummel, Donald William, 1929-</t>
  </si>
  <si>
    <t>London ; New York : Mansell ; Bronx, New York, U.S.A. : Distributed in the U.S. and Canada by H.W. Wilson Co., 1984.</t>
  </si>
  <si>
    <t>3767964:eng</t>
  </si>
  <si>
    <t>10045978</t>
  </si>
  <si>
    <t>ocm10045978</t>
  </si>
  <si>
    <t>3000846312J</t>
  </si>
  <si>
    <t>9780720116878</t>
  </si>
  <si>
    <t>792706437</t>
  </si>
  <si>
    <t>Z1001 L262 2014</t>
  </si>
  <si>
    <t>0                      Z  1001000L  262         2014</t>
  </si>
  <si>
    <t>A long way from the Armstrong beer parlour : a life in rare books / essays by Richard Landon ; with an introduction by Marie Elena Korey.</t>
  </si>
  <si>
    <t>Landon, Richard, author.</t>
  </si>
  <si>
    <t>New Castle, Delaware : Oak Knoll Books ; Toronto, Ontario : The Thomas Fisher Rare Book Library, 2014.</t>
  </si>
  <si>
    <t>3772100461:eng</t>
  </si>
  <si>
    <t>892055598</t>
  </si>
  <si>
    <t>ocn892055598</t>
  </si>
  <si>
    <t>31035999511</t>
  </si>
  <si>
    <t>9781584563303</t>
  </si>
  <si>
    <t>794980604</t>
  </si>
  <si>
    <t>Z1001 L35</t>
  </si>
  <si>
    <t>0                      Z  1001000L  35</t>
  </si>
  <si>
    <t>Introduction à la textologie: vérification, établissement, édition des textes.</t>
  </si>
  <si>
    <t>Laufer, Roger.</t>
  </si>
  <si>
    <t>Paris, Larousse [1972]</t>
  </si>
  <si>
    <t>Collection L.</t>
  </si>
  <si>
    <t>872935586:eng</t>
  </si>
  <si>
    <t>751105</t>
  </si>
  <si>
    <t>ocm00751105</t>
  </si>
  <si>
    <t>3000497465O</t>
  </si>
  <si>
    <t>791461563</t>
  </si>
  <si>
    <t>Z1001 M16 1994</t>
  </si>
  <si>
    <t>0                      Z  1001000M  16          1994</t>
  </si>
  <si>
    <t>An introduction to bibliography for literary students / Ronald B. McKerrow ; introduction by David McKitterick.</t>
  </si>
  <si>
    <t>Winchester : St. Paul's Bibliographies ; New Castle, Del. : Oak Knoll Press, 1994.</t>
  </si>
  <si>
    <t>St. Paul's bibliographies</t>
  </si>
  <si>
    <t>29877773</t>
  </si>
  <si>
    <t>ocm29877773</t>
  </si>
  <si>
    <t>31027672785</t>
  </si>
  <si>
    <t>9781884718014</t>
  </si>
  <si>
    <t>793322820</t>
  </si>
  <si>
    <t>Z1001 M398 1999</t>
  </si>
  <si>
    <t>0                      Z  1001000M  398         1999</t>
  </si>
  <si>
    <t>Bibliography and the sociology of texts / D.F. McKenzie.</t>
  </si>
  <si>
    <t>McKenzie, D. F. (Donald Francis)</t>
  </si>
  <si>
    <t>Cambridge, UK : Cambridge University Press, 1999.</t>
  </si>
  <si>
    <t>2019-08-09</t>
  </si>
  <si>
    <t>1027015:eng</t>
  </si>
  <si>
    <t>41503588</t>
  </si>
  <si>
    <t>ocm41503588</t>
  </si>
  <si>
    <t>3102894712U</t>
  </si>
  <si>
    <t>9780521642583</t>
  </si>
  <si>
    <t>793593022</t>
  </si>
  <si>
    <t>Z1001 M67</t>
  </si>
  <si>
    <t>0                      Z  1001000M  67</t>
  </si>
  <si>
    <t>Ex libris carissimis / Christopher Morley.</t>
  </si>
  <si>
    <t>Morley, Christopher, 1890-1957.</t>
  </si>
  <si>
    <t>Philadelphia : University of Pennsylvania Press, 1932.</t>
  </si>
  <si>
    <t>[Publications of the Rosenbach Fellowship in Bibliography. No. 2.]</t>
  </si>
  <si>
    <t>2009-06-12</t>
  </si>
  <si>
    <t>1457007:eng</t>
  </si>
  <si>
    <t>507662</t>
  </si>
  <si>
    <t>ocm00507662</t>
  </si>
  <si>
    <t>3000861488W</t>
  </si>
  <si>
    <t>791397867</t>
  </si>
  <si>
    <t>Z1001 P34 1970</t>
  </si>
  <si>
    <t>0                      Z  1001000P  34          1970</t>
  </si>
  <si>
    <t>A workbook of analytical &amp; descriptive bibliography / by M.J. Pearce.</t>
  </si>
  <si>
    <t>Pearce, M. J.</t>
  </si>
  <si>
    <t>London : Bingley, 1970.</t>
  </si>
  <si>
    <t>2017-05-17</t>
  </si>
  <si>
    <t>1223342:eng</t>
  </si>
  <si>
    <t>110401</t>
  </si>
  <si>
    <t>ocm00110401</t>
  </si>
  <si>
    <t>3102867682M</t>
  </si>
  <si>
    <t>9780851570969</t>
  </si>
  <si>
    <t>791260257</t>
  </si>
  <si>
    <t>Z1001 S237 2012</t>
  </si>
  <si>
    <t>0                      Z  1001000S  237         2012</t>
  </si>
  <si>
    <t>Lezioni di bibliografia / Marco Santoro ; con la collaborazione di Gianfranco Crupi.</t>
  </si>
  <si>
    <t>Santoro, Marco.</t>
  </si>
  <si>
    <t>Milano : Bibliografica, 2012.</t>
  </si>
  <si>
    <t>Bibliografia e biblioteconomia</t>
  </si>
  <si>
    <t>1088014181:ita</t>
  </si>
  <si>
    <t>779876360</t>
  </si>
  <si>
    <t>ocn779876360</t>
  </si>
  <si>
    <t>3103483542J</t>
  </si>
  <si>
    <t>9788870757224</t>
  </si>
  <si>
    <t>794911533</t>
  </si>
  <si>
    <t>Z1001 S353</t>
  </si>
  <si>
    <t>0                      Z  1001000S  353</t>
  </si>
  <si>
    <t>Theory and history of bibliography. Translated by Ralph Robert Shaw.</t>
  </si>
  <si>
    <t>Schneider, Georg, 1876-1960.</t>
  </si>
  <si>
    <t>New York, Scarecrow Press [©1961]</t>
  </si>
  <si>
    <t>2829627831:eng</t>
  </si>
  <si>
    <t>576752</t>
  </si>
  <si>
    <t>ocm00576752</t>
  </si>
  <si>
    <t>3000796643A</t>
  </si>
  <si>
    <t>791419266</t>
  </si>
  <si>
    <t>Z1001 T255 1998</t>
  </si>
  <si>
    <t>0                      Z  1001000T  255         1998</t>
  </si>
  <si>
    <t>Literature and artifacts / G. Thomas Tanselle.</t>
  </si>
  <si>
    <t>Tanselle, G. Thomas (George Thomas), 1934-</t>
  </si>
  <si>
    <t>Charlottesville : Bibliographical Society of the University of Virginia, 1998.</t>
  </si>
  <si>
    <t>42036636:eng</t>
  </si>
  <si>
    <t>39223648</t>
  </si>
  <si>
    <t>ocm39223648</t>
  </si>
  <si>
    <t>3101955793P</t>
  </si>
  <si>
    <t>9781883631062</t>
  </si>
  <si>
    <t>793541104</t>
  </si>
  <si>
    <t>Z1001 T35 2006</t>
  </si>
  <si>
    <t>0                      Z  1001000T  35          2006</t>
  </si>
  <si>
    <t>Teaching bibliography, textual criticism, and book history / edited by Ann R. Hawkins.</t>
  </si>
  <si>
    <t>London : Pickering &amp; Chatto, 2006.</t>
  </si>
  <si>
    <t>2015-12-16</t>
  </si>
  <si>
    <t>866290821:eng</t>
  </si>
  <si>
    <t>65767935</t>
  </si>
  <si>
    <t>ocm65767935</t>
  </si>
  <si>
    <t>3102630794Z</t>
  </si>
  <si>
    <t>9781851968343</t>
  </si>
  <si>
    <t>794136695</t>
  </si>
  <si>
    <t>Z1001 W5</t>
  </si>
  <si>
    <t>0                      Z  1001000W  5</t>
  </si>
  <si>
    <t>Two kinds of power; an essay on bibliographical control.</t>
  </si>
  <si>
    <t>Wilson, Patrick, 1927-</t>
  </si>
  <si>
    <t>University of California publications: librarianship, 5</t>
  </si>
  <si>
    <t>1547244:eng</t>
  </si>
  <si>
    <t>433797</t>
  </si>
  <si>
    <t>ocm00433797</t>
  </si>
  <si>
    <t>31028667002</t>
  </si>
  <si>
    <t>791377274</t>
  </si>
  <si>
    <t>Z1001 W58 1999</t>
  </si>
  <si>
    <t>0                      Z  1001000W  58          1999</t>
  </si>
  <si>
    <t>An introduction to bibliographical and textual studies / William Proctor Williams and Craig S. Abbott.</t>
  </si>
  <si>
    <t>Williams, William Proctor, 1939-</t>
  </si>
  <si>
    <t>New York : Modern Language Association of America, 1999.</t>
  </si>
  <si>
    <t>7496597257:eng</t>
  </si>
  <si>
    <t>40856914</t>
  </si>
  <si>
    <t>ocm40856914</t>
  </si>
  <si>
    <t>31019849780</t>
  </si>
  <si>
    <t>9780873522670</t>
  </si>
  <si>
    <t>793577469</t>
  </si>
  <si>
    <t>Z1001.1 F6</t>
  </si>
  <si>
    <t>0                      Z  1001100F  6</t>
  </si>
  <si>
    <t>Thoughts on the history and future of bibliographical description / David F. Foxon.</t>
  </si>
  <si>
    <t>Foxon, David F. (David Fairweather), author.</t>
  </si>
  <si>
    <t>Los Angeles : School of Library Service, University of California, 1970.</t>
  </si>
  <si>
    <t>6088921:eng</t>
  </si>
  <si>
    <t>2779812</t>
  </si>
  <si>
    <t>ocm02779812</t>
  </si>
  <si>
    <t>3102810619F</t>
  </si>
  <si>
    <t>792175214</t>
  </si>
  <si>
    <t>Z1001.3 B3213 1990</t>
  </si>
  <si>
    <t>0                      Z  1001300B  3213        1990</t>
  </si>
  <si>
    <t>Bibliography : history of a tradition / Luigi Balsamo ; translated from the Italian by William A. Pettas.</t>
  </si>
  <si>
    <t>Balsamo, Luigi.</t>
  </si>
  <si>
    <t>Berkeley, Calif. : B.M. Rosenthal, 1990.</t>
  </si>
  <si>
    <t>2017-08-23</t>
  </si>
  <si>
    <t>3901226802:eng</t>
  </si>
  <si>
    <t>21195744</t>
  </si>
  <si>
    <t>ocm21195744</t>
  </si>
  <si>
    <t>3101018497R</t>
  </si>
  <si>
    <t>9780960009428</t>
  </si>
  <si>
    <t>793111975</t>
  </si>
  <si>
    <t>Z1001.3 B513</t>
  </si>
  <si>
    <t>0                      Z  1001300B  513</t>
  </si>
  <si>
    <t>Bibliographia, an inquiry into its definition and designations / Rudolf Blum ; translated from the German by Mathilde V. Rovelstad.</t>
  </si>
  <si>
    <t>Chicago, Ill. : American Library Association ; Folkestone, Kent, England : Dawson, ©1980.</t>
  </si>
  <si>
    <t>23295667:eng</t>
  </si>
  <si>
    <t>6686463</t>
  </si>
  <si>
    <t>ocm06686463</t>
  </si>
  <si>
    <t>3000950820H</t>
  </si>
  <si>
    <t>9780838901465</t>
  </si>
  <si>
    <t>792516602</t>
  </si>
  <si>
    <t>Z1001.3 B73 1984</t>
  </si>
  <si>
    <t>0                      Z  1001300B  73          1984</t>
  </si>
  <si>
    <t>Bibliography : its history and development : catalogue of an exhibition held at the Grolier Club from April 21 to June 6, 1981, to mark the completion of the National union catalog, pre-1956 imprints / by Bernard H. Breslauer and Roland Folter ; [photographs by Hertha Bauer and Philip Grushkin].</t>
  </si>
  <si>
    <t>Breslauer, B. H. (Bernard H.)</t>
  </si>
  <si>
    <t>New York : The Club, 1984.</t>
  </si>
  <si>
    <t>504253562:eng</t>
  </si>
  <si>
    <t>12022739</t>
  </si>
  <si>
    <t>ocm12022739</t>
  </si>
  <si>
    <t>30008497379</t>
  </si>
  <si>
    <t>9780910672009</t>
  </si>
  <si>
    <t>792797571</t>
  </si>
  <si>
    <t>Z1001.3 M3 1967</t>
  </si>
  <si>
    <t>0                      Z  1001300M  3           1967</t>
  </si>
  <si>
    <t>La bibliographie / par Louise-Noëlle Malclès.</t>
  </si>
  <si>
    <t>Malclès, Louise-Noëlle, 1900-</t>
  </si>
  <si>
    <t>Paris : Presses universitaires de France, 1967.</t>
  </si>
  <si>
    <t>3. éd. corrigée.</t>
  </si>
  <si>
    <t>Que sais-je? le point des connaissances actuelles ; 708</t>
  </si>
  <si>
    <t>1487796:fre</t>
  </si>
  <si>
    <t>3045370</t>
  </si>
  <si>
    <t>ocm03045370</t>
  </si>
  <si>
    <t>3000226532M</t>
  </si>
  <si>
    <t>792210346</t>
  </si>
  <si>
    <t>Z1001.3 T36 2009</t>
  </si>
  <si>
    <t>0                      Z  1001300T  36          2009</t>
  </si>
  <si>
    <t>Bibliographical analysis : a historical introduction / G. Thomas Tanselle.</t>
  </si>
  <si>
    <t>Cambridge ; New York : Cambridge University Press, 2009.</t>
  </si>
  <si>
    <t>793199960:eng</t>
  </si>
  <si>
    <t>320802703</t>
  </si>
  <si>
    <t>ocn320802703</t>
  </si>
  <si>
    <t>3103225451H</t>
  </si>
  <si>
    <t>9780521760348</t>
  </si>
  <si>
    <t>794487096</t>
  </si>
  <si>
    <t>Z1001.3 T37 2013</t>
  </si>
  <si>
    <t>0                      Z  1001300T  37          2013</t>
  </si>
  <si>
    <t>Essays in bibliographical history / G. Thomas Tanselle.</t>
  </si>
  <si>
    <t>Charlottesville : The Bibliographical Society of the University of Virginia ; New Castle, Delaware : Distributed by Oak Knoll Books, 2013.</t>
  </si>
  <si>
    <t>1322124979:eng</t>
  </si>
  <si>
    <t>843228654</t>
  </si>
  <si>
    <t>ocn843228654</t>
  </si>
  <si>
    <t>3103566208S</t>
  </si>
  <si>
    <t>9781883631147</t>
  </si>
  <si>
    <t>794947998</t>
  </si>
  <si>
    <t>Z1002 B75 1991</t>
  </si>
  <si>
    <t>0                      Z  1002000B  75          1991</t>
  </si>
  <si>
    <t>Handlist of library catalogues and lists of books and manuscripts in the British Library Department of Manuscripts / by R.C. Alston.</t>
  </si>
  <si>
    <t>Alston, Robin, 1933-2011.</t>
  </si>
  <si>
    <t>London : Bibliographical Society, 1991.</t>
  </si>
  <si>
    <t>Occasional papers of the Bibliographical Society, 0267-5242 ; no. 6</t>
  </si>
  <si>
    <t>29294644:eng</t>
  </si>
  <si>
    <t>27107004</t>
  </si>
  <si>
    <t>ocm27107004</t>
  </si>
  <si>
    <t>3101188857B</t>
  </si>
  <si>
    <t>793259154</t>
  </si>
  <si>
    <t>Z1002 G88</t>
  </si>
  <si>
    <t>0                      Z  1002000G  88</t>
  </si>
  <si>
    <t>A booksellers's library and how to use it, by A. Growoll.</t>
  </si>
  <si>
    <t>New York, Publisher's Weekly, 1891.</t>
  </si>
  <si>
    <t>46533612:eng</t>
  </si>
  <si>
    <t>582042</t>
  </si>
  <si>
    <t>ocm00582042</t>
  </si>
  <si>
    <t>3000778992O</t>
  </si>
  <si>
    <t>791420813</t>
  </si>
  <si>
    <t>Z1002 T68 1984</t>
  </si>
  <si>
    <t>0                      Z  1002000T  68          1984</t>
  </si>
  <si>
    <t>Handbuch der bibliographischen Nachschlagewerke / Totok, Weitzel ; herausgegeben von Hans-Jürgen und Dagmar Kernchen.</t>
  </si>
  <si>
    <t>Bd. 2</t>
  </si>
  <si>
    <t>Totok, Wilhelm.</t>
  </si>
  <si>
    <t>Frankfurt am Main : V. Klostermann, 1984-1985.</t>
  </si>
  <si>
    <t>6., erw., völlig neu bearbeitete Aufl.</t>
  </si>
  <si>
    <t>1707186:ger</t>
  </si>
  <si>
    <t>11086315</t>
  </si>
  <si>
    <t>ocm11086315</t>
  </si>
  <si>
    <t>3100891789R</t>
  </si>
  <si>
    <t>9783465015925</t>
  </si>
  <si>
    <t>792757218</t>
  </si>
  <si>
    <t>Bd. 1</t>
  </si>
  <si>
    <t>30009531941</t>
  </si>
  <si>
    <t>792757219</t>
  </si>
  <si>
    <t>Z1003 A57</t>
  </si>
  <si>
    <t>0                      Z  1003000A  57</t>
  </si>
  <si>
    <t>The English common reader : a social history of the mass reading public, 1800-1900 / by Richard D. Altick.</t>
  </si>
  <si>
    <t>Altick, Richard D. (Richard Daniel), 1915-2008, author.</t>
  </si>
  <si>
    <t>Chicago : The University of Chicago Press, 1957.</t>
  </si>
  <si>
    <t>2019-10-03</t>
  </si>
  <si>
    <t>796258746:eng</t>
  </si>
  <si>
    <t>1626990</t>
  </si>
  <si>
    <t>ocm01626990</t>
  </si>
  <si>
    <t>3102785786N</t>
  </si>
  <si>
    <t>791796336</t>
  </si>
  <si>
    <t>3103487980K</t>
  </si>
  <si>
    <t>791796335</t>
  </si>
  <si>
    <t>Z1003 B36 2017</t>
  </si>
  <si>
    <t>0                      Z  1003000B  36          2017</t>
  </si>
  <si>
    <t>Eighteenth-century manners of reading : print culture and popular instruction in the Anglophone Atlantic world / Eve Tavor Bannet.</t>
  </si>
  <si>
    <t>Bannet, Eve Tavor, 1947- author.</t>
  </si>
  <si>
    <t>Cambridge, United Kingdom : Cambridge University Press, 2017.</t>
  </si>
  <si>
    <t>4546840560:eng</t>
  </si>
  <si>
    <t>989038629</t>
  </si>
  <si>
    <t>ocn989038629</t>
  </si>
  <si>
    <t>31037039062</t>
  </si>
  <si>
    <t>9781108419109</t>
  </si>
  <si>
    <t>795037051</t>
  </si>
  <si>
    <t>Z1003 B57 1994</t>
  </si>
  <si>
    <t>0                      Z  1003000B  57          1994</t>
  </si>
  <si>
    <t>The Gutenberg elegies : the fate of reading in an electronic age / Sven Birkerts.</t>
  </si>
  <si>
    <t>Birkerts, Sven.</t>
  </si>
  <si>
    <t>Boston : Faber and Faber, 1994.</t>
  </si>
  <si>
    <t>110712518:eng</t>
  </si>
  <si>
    <t>31014790</t>
  </si>
  <si>
    <t>ocm31014790</t>
  </si>
  <si>
    <t>3102891157F</t>
  </si>
  <si>
    <t>9780571198498</t>
  </si>
  <si>
    <t>793351588</t>
  </si>
  <si>
    <t>Z1003 B575 2007</t>
  </si>
  <si>
    <t>0                      Z  1003000B  575         2007</t>
  </si>
  <si>
    <t>Reading life : books for the ages / Sven Birkerts.</t>
  </si>
  <si>
    <t>Saint Paul, Minn. : Graywolf Press, ©2007.</t>
  </si>
  <si>
    <t>67202034:eng</t>
  </si>
  <si>
    <t>82672187</t>
  </si>
  <si>
    <t>ocm82672187</t>
  </si>
  <si>
    <t>3102898302S</t>
  </si>
  <si>
    <t>9781555974640</t>
  </si>
  <si>
    <t>794206627</t>
  </si>
  <si>
    <t>Z1003 B66 2016</t>
  </si>
  <si>
    <t>0                      Z  1003000B  66          2016</t>
  </si>
  <si>
    <t>The book in history, the book as history : new intersections of the material text : essays in honor of David Scott Kastan / edited by Heidi Brayman, Jesse M. Lander, and Zachary Lesser.</t>
  </si>
  <si>
    <t>New Haven, Connecticut : Beinecke Rare Book &amp; Manuscript Library, Yale University, [2016]</t>
  </si>
  <si>
    <t>The Beinecke series in the history of the book</t>
  </si>
  <si>
    <t>2971359872:eng</t>
  </si>
  <si>
    <t>945564421</t>
  </si>
  <si>
    <t>ocn945564421</t>
  </si>
  <si>
    <t>3103697701R</t>
  </si>
  <si>
    <t>9780300223163</t>
  </si>
  <si>
    <t>795013614</t>
  </si>
  <si>
    <t>Z1003 C27 2012</t>
  </si>
  <si>
    <t>0                      Z  1003000C  27          2012</t>
  </si>
  <si>
    <t>This is not the end of the book : a conversation curated by Jean-Philippe de Tonnac / Jean-Claude Carrière &amp; Umberto Eco ; translated from the French by Polly McLean.</t>
  </si>
  <si>
    <t>Carrière, Jean-Claude, 1931- author.</t>
  </si>
  <si>
    <t>London : Vintage, 2012.</t>
  </si>
  <si>
    <t>4495205354:eng</t>
  </si>
  <si>
    <t>772967967</t>
  </si>
  <si>
    <t>ocn772967967</t>
  </si>
  <si>
    <t>3103199035P</t>
  </si>
  <si>
    <t>9780099552451</t>
  </si>
  <si>
    <t>794905032</t>
  </si>
  <si>
    <t>Z1003 C28 1869</t>
  </si>
  <si>
    <t>0                      Z  1003000C  28          1869</t>
  </si>
  <si>
    <t>On the choice of books / by Thomas Carlyle.</t>
  </si>
  <si>
    <t>Carlyle, Thomas, 1795-1881.</t>
  </si>
  <si>
    <t>London : J.C. Hotten, [1869?]</t>
  </si>
  <si>
    <t>1869</t>
  </si>
  <si>
    <t>2nd ed. / with a new life of the author.</t>
  </si>
  <si>
    <t>2018-08-29</t>
  </si>
  <si>
    <t>3166554:eng</t>
  </si>
  <si>
    <t>4900355</t>
  </si>
  <si>
    <t>ocm04900355</t>
  </si>
  <si>
    <t>30007518735</t>
  </si>
  <si>
    <t>792392308</t>
  </si>
  <si>
    <t>Z1003 C28 1900z</t>
  </si>
  <si>
    <t>0                      Z  1003000C  28          1900z</t>
  </si>
  <si>
    <t>On the choice of Books, and two letters.</t>
  </si>
  <si>
    <t>Boston : [publisher not identified], [19--?]</t>
  </si>
  <si>
    <t>Lilliput classics</t>
  </si>
  <si>
    <t>3943896659:eng</t>
  </si>
  <si>
    <t>427563357</t>
  </si>
  <si>
    <t>ocn427563357</t>
  </si>
  <si>
    <t>30007518719</t>
  </si>
  <si>
    <t>794687815</t>
  </si>
  <si>
    <t>Z1003 C29513 2011</t>
  </si>
  <si>
    <t>0                      Z  1003000C  29513       2011</t>
  </si>
  <si>
    <t>This is not the end of the book : a conversation / Jean-Claude Carrière &amp; Umberto Eco ; curated by Jean-Phillippe de Tonnac ; translated from the French by Polly McLean.</t>
  </si>
  <si>
    <t>Carrière, Jean-Claude, 1931-</t>
  </si>
  <si>
    <t>London : Harvill Secker, 2011.</t>
  </si>
  <si>
    <t>670473737</t>
  </si>
  <si>
    <t>ocn670473737</t>
  </si>
  <si>
    <t>3103382882C</t>
  </si>
  <si>
    <t>9781846554513</t>
  </si>
  <si>
    <t>794847854</t>
  </si>
  <si>
    <t>Z1003 C675 2005</t>
  </si>
  <si>
    <t>0                      Z  1003000C  675         2005</t>
  </si>
  <si>
    <t>Book use, book theory, 1500-1700 / Bradin Cormack and Carla Mazzio.</t>
  </si>
  <si>
    <t>Cormack, Bradin.</t>
  </si>
  <si>
    <t>Chicago : University of Chicago Library, 2005.</t>
  </si>
  <si>
    <t>7602:eng</t>
  </si>
  <si>
    <t>60842350</t>
  </si>
  <si>
    <t>ocm60842350</t>
  </si>
  <si>
    <t>3102508911Y</t>
  </si>
  <si>
    <t>9780943056340</t>
  </si>
  <si>
    <t>793945121</t>
  </si>
  <si>
    <t>Z1003 C72 2016</t>
  </si>
  <si>
    <t>0                      Z  1003000C  72          2016</t>
  </si>
  <si>
    <t>Who needs books? : reading in the digital age / Lynn Coady.</t>
  </si>
  <si>
    <t>Coady, Lynn, 1970- author.</t>
  </si>
  <si>
    <t>Edmonton, Alberta, Canada : The University of Alberta Press : Canadian Literature Centre/Centre de littérature canadienne, 2016.</t>
  </si>
  <si>
    <t>CLC Kreisel lecture series</t>
  </si>
  <si>
    <t>2886829859:eng</t>
  </si>
  <si>
    <t>919683220</t>
  </si>
  <si>
    <t>ocn919683220</t>
  </si>
  <si>
    <t>3103646530Q</t>
  </si>
  <si>
    <t>9781772121247</t>
  </si>
  <si>
    <t>795002021</t>
  </si>
  <si>
    <t>Z1003 C78 1900</t>
  </si>
  <si>
    <t>0                      Z  1003000C  78          1900</t>
  </si>
  <si>
    <t>The witchery of books.</t>
  </si>
  <si>
    <t>Crump, John Farrington.</t>
  </si>
  <si>
    <t>London, Simpkin, 1900.</t>
  </si>
  <si>
    <t>4602210:eng</t>
  </si>
  <si>
    <t>12072508</t>
  </si>
  <si>
    <t>ocm12072508</t>
  </si>
  <si>
    <t>3000791019J</t>
  </si>
  <si>
    <t>792799758</t>
  </si>
  <si>
    <t>Z1003 D575 2007</t>
  </si>
  <si>
    <t>0                      Z  1003000D  575         2007</t>
  </si>
  <si>
    <t>Book by book : notes on reading and life / Michael Dirda.</t>
  </si>
  <si>
    <t>Dirda, Michael.</t>
  </si>
  <si>
    <t>New York : Owl Books/Henry Holt, ©2007.</t>
  </si>
  <si>
    <t>1st Owl books ed.</t>
  </si>
  <si>
    <t>2017-03-07</t>
  </si>
  <si>
    <t>793297367:eng</t>
  </si>
  <si>
    <t>163242466</t>
  </si>
  <si>
    <t>ocn163242466</t>
  </si>
  <si>
    <t>31028836175</t>
  </si>
  <si>
    <t>9780805083385</t>
  </si>
  <si>
    <t>794257831</t>
  </si>
  <si>
    <t>Z1003 E46 2018</t>
  </si>
  <si>
    <t>0                      Z  1003000E  46          2018</t>
  </si>
  <si>
    <t>The gist of reading / Andrew Elfenbein.</t>
  </si>
  <si>
    <t>Elfenbein, Andrew, author.</t>
  </si>
  <si>
    <t>Stanford, California : Stanford University Press, [2018]</t>
  </si>
  <si>
    <t>4479559289:eng</t>
  </si>
  <si>
    <t>973481604</t>
  </si>
  <si>
    <t>ocn973481604</t>
  </si>
  <si>
    <t>3103703240U</t>
  </si>
  <si>
    <t>9781503602564</t>
  </si>
  <si>
    <t>795029167</t>
  </si>
  <si>
    <t>Z1003 E87 1993</t>
  </si>
  <si>
    <t>0                      Z  1003000E  87          1993</t>
  </si>
  <si>
    <t>The Ethnography of reading / edited by Jonathan Boyarin.</t>
  </si>
  <si>
    <t>Berkeley : University of California Press, ©1993.</t>
  </si>
  <si>
    <t>55643202:eng</t>
  </si>
  <si>
    <t>26808943</t>
  </si>
  <si>
    <t>ocm26808943</t>
  </si>
  <si>
    <t>3101242208L</t>
  </si>
  <si>
    <t>9780520079557</t>
  </si>
  <si>
    <t>793252305</t>
  </si>
  <si>
    <t>Z1003 F84 2012</t>
  </si>
  <si>
    <t>0                      Z  1003000F  84          2012</t>
  </si>
  <si>
    <t>From codex to hypertext : reading at the turn of the twenty-first century / edited by Anouk Lang.</t>
  </si>
  <si>
    <t>1213616005:eng</t>
  </si>
  <si>
    <t>768167107</t>
  </si>
  <si>
    <t>ocn768167107</t>
  </si>
  <si>
    <t>3103453666R</t>
  </si>
  <si>
    <t>9781558499522</t>
  </si>
  <si>
    <t>794902008</t>
  </si>
  <si>
    <t>Z1003 F9 1996</t>
  </si>
  <si>
    <t>0                      Z  1003000F  9           1996</t>
  </si>
  <si>
    <t>The future of the book / edited by Geoffrey Nunberg ; with an afterword by Umberto Eco.</t>
  </si>
  <si>
    <t>Berkeley : University of California Press, ©1996.</t>
  </si>
  <si>
    <t>55981614:eng</t>
  </si>
  <si>
    <t>33442125</t>
  </si>
  <si>
    <t>ocm33442125</t>
  </si>
  <si>
    <t>31029997242</t>
  </si>
  <si>
    <t>9780520204508</t>
  </si>
  <si>
    <t>793409631</t>
  </si>
  <si>
    <t>Z1003 G45 1993</t>
  </si>
  <si>
    <t>0                      Z  1003000G  45          1993</t>
  </si>
  <si>
    <t>Experiencing narrative worlds : on the psychological activities of reading / Richard J. Gerrig.</t>
  </si>
  <si>
    <t>Gerrig, Richard J.</t>
  </si>
  <si>
    <t>New Haven : Yale University Press, ©1993.</t>
  </si>
  <si>
    <t>2018-01-09</t>
  </si>
  <si>
    <t>797238158:eng</t>
  </si>
  <si>
    <t>27150550</t>
  </si>
  <si>
    <t>ocm27150550</t>
  </si>
  <si>
    <t>31014605967</t>
  </si>
  <si>
    <t>9780300054347</t>
  </si>
  <si>
    <t>793260240</t>
  </si>
  <si>
    <t>Z1003 H33 2011</t>
  </si>
  <si>
    <t>0                      Z  1003000H  33          2011</t>
  </si>
  <si>
    <t>Pourquoi lis-tu au milieu de la nuit / Philippe Haeck.</t>
  </si>
  <si>
    <t>Haeck, Philippe.</t>
  </si>
  <si>
    <t>Montréal : L'Hexagone, ©2011.</t>
  </si>
  <si>
    <t>Collection Écritures</t>
  </si>
  <si>
    <t>786221589:fre</t>
  </si>
  <si>
    <t>753577526</t>
  </si>
  <si>
    <t>ocn753577526</t>
  </si>
  <si>
    <t>31033256477</t>
  </si>
  <si>
    <t>9782890069121</t>
  </si>
  <si>
    <t>794892178</t>
  </si>
  <si>
    <t>Z1003 H588 2011</t>
  </si>
  <si>
    <t>0                      Z  1003000H  588         2011</t>
  </si>
  <si>
    <t>The history of reading.</t>
  </si>
  <si>
    <t>Houndmills, Basingstoke, Hampshire ; New York, NY : Palgrave Macmillan in association with the Institute of English Studies, School of Advanced Study, University of London, 2011.</t>
  </si>
  <si>
    <t>2867056999:eng</t>
  </si>
  <si>
    <t>754151199</t>
  </si>
  <si>
    <t>ocn754151199</t>
  </si>
  <si>
    <t>3103426782N</t>
  </si>
  <si>
    <t>9780230247512</t>
  </si>
  <si>
    <t>794892576</t>
  </si>
  <si>
    <t>3103426781N</t>
  </si>
  <si>
    <t>794892577</t>
  </si>
  <si>
    <t>2019-02-11</t>
  </si>
  <si>
    <t>3103426780N</t>
  </si>
  <si>
    <t>794892578</t>
  </si>
  <si>
    <t>Z1003 I52 2016</t>
  </si>
  <si>
    <t>0                      Z  1003000I  52          2016</t>
  </si>
  <si>
    <t>Une incorrigible passion / sous la direction de Jo Ann Champagne.</t>
  </si>
  <si>
    <t>[Anjou, Québec] : Fides, [2016]</t>
  </si>
  <si>
    <t>4024936687:fre</t>
  </si>
  <si>
    <t>971894584</t>
  </si>
  <si>
    <t>ocn971894584</t>
  </si>
  <si>
    <t>3103646618C</t>
  </si>
  <si>
    <t>9782762139549</t>
  </si>
  <si>
    <t>795028433</t>
  </si>
  <si>
    <t>Z1003 J12 2001</t>
  </si>
  <si>
    <t>0                      Z  1003000J  12          2001</t>
  </si>
  <si>
    <t>Marginalia : readers writing in books / H.J. Jackson.</t>
  </si>
  <si>
    <t>Jackson, H. J., author.</t>
  </si>
  <si>
    <t>New Haven : Yale University Press, [2001]</t>
  </si>
  <si>
    <t>794186713:eng</t>
  </si>
  <si>
    <t>44728282</t>
  </si>
  <si>
    <t>ocm44728282</t>
  </si>
  <si>
    <t>3102085314Q</t>
  </si>
  <si>
    <t>9780300088168</t>
  </si>
  <si>
    <t>793656793</t>
  </si>
  <si>
    <t>Z1003 J64 2018</t>
  </si>
  <si>
    <t>0                      Z  1003000J  64          2018</t>
  </si>
  <si>
    <t>Shelf life : writers on books and reading / Alex Johnson.</t>
  </si>
  <si>
    <t>Johnson, Alex, 1969- author.</t>
  </si>
  <si>
    <t>London : British Library, 2018.</t>
  </si>
  <si>
    <t>5603263043:eng</t>
  </si>
  <si>
    <t>1078143044</t>
  </si>
  <si>
    <t>on1078143044</t>
  </si>
  <si>
    <t>31038084758</t>
  </si>
  <si>
    <t>9780712352864</t>
  </si>
  <si>
    <t>795067779</t>
  </si>
  <si>
    <t>Z1003 K76 1929</t>
  </si>
  <si>
    <t>0                      Z  1003000K  76          1929</t>
  </si>
  <si>
    <t>Reading: a vice or virtue? By Theodore Wesley Koch. The essence of poetry, by Rennell Rodd. Standards of value in fiction, by Franklyn Bliss Snyder.</t>
  </si>
  <si>
    <t>Koch, Theodore Wesley, 1871-1941.</t>
  </si>
  <si>
    <t>Dayton, O., University of Dayton, 1929.</t>
  </si>
  <si>
    <t>5608841168:eng</t>
  </si>
  <si>
    <t>1066550</t>
  </si>
  <si>
    <t>ocm01066550</t>
  </si>
  <si>
    <t>3000787219O</t>
  </si>
  <si>
    <t>791537645</t>
  </si>
  <si>
    <t>Z1003 K82</t>
  </si>
  <si>
    <t>0                      Z  1003000K  82</t>
  </si>
  <si>
    <t>The mastery of books: hints on reading and the use of libraries. By Harry Lyman Koopman.</t>
  </si>
  <si>
    <t>Koopman, Harry Lyman, 1860-1937.</t>
  </si>
  <si>
    <t>New York : American Book Company, [1896]</t>
  </si>
  <si>
    <t>1896</t>
  </si>
  <si>
    <t>2243847:eng</t>
  </si>
  <si>
    <t>1347340</t>
  </si>
  <si>
    <t>ocm01347340</t>
  </si>
  <si>
    <t>30007852236</t>
  </si>
  <si>
    <t>791606020</t>
  </si>
  <si>
    <t>Z1003 K917 2004</t>
  </si>
  <si>
    <t>0                      Z  1003000K  917         2004</t>
  </si>
  <si>
    <t>The power of reading : insights from the research / Stephen D. Krashen.</t>
  </si>
  <si>
    <t>Krashen, Stephen D.</t>
  </si>
  <si>
    <t>Westport, Conn. : Libraries Unlimited ; Portsmouth, NH : Heinemann, 2004.</t>
  </si>
  <si>
    <t>1059766:eng</t>
  </si>
  <si>
    <t>54501289</t>
  </si>
  <si>
    <t>ocm54501289</t>
  </si>
  <si>
    <t>31024796660</t>
  </si>
  <si>
    <t>9781591581697</t>
  </si>
  <si>
    <t>793863107</t>
  </si>
  <si>
    <t>Z1003 L43 2014</t>
  </si>
  <si>
    <t>0                      Z  1003000L  43          2014</t>
  </si>
  <si>
    <t>Lecteurs, lectures et groupes sociaux au Moyen Âge : actes de la journée d'études organisée par le Centre de recherches "Pratiques médiévales de l'écrit" (PraME) de l'Université de Namur et le Département des manuscrits de la Bibliothèque royale de Belgique, Bruxelles, 18 mars 2010 / sous la direction de Xavier Hermand, Étienne Renard et Céline Van Hoorebeeck.</t>
  </si>
  <si>
    <t>Texte, codex &amp; contexte ; XVII</t>
  </si>
  <si>
    <t>2017-11-08</t>
  </si>
  <si>
    <t>1898670548:fre</t>
  </si>
  <si>
    <t>858804791</t>
  </si>
  <si>
    <t>ocn858804791</t>
  </si>
  <si>
    <t>31031997550</t>
  </si>
  <si>
    <t>9782503550435</t>
  </si>
  <si>
    <t>794956658</t>
  </si>
  <si>
    <t>Z1003 L45</t>
  </si>
  <si>
    <t>0                      Z  1003000L  45</t>
  </si>
  <si>
    <t>The lost art of reading / by Gerald Stanley Lee.</t>
  </si>
  <si>
    <t>Lee, Gerald Stanley, 1862-1944.</t>
  </si>
  <si>
    <t>New York : G.P. Putnam's Sons, 1907 [©1902]</t>
  </si>
  <si>
    <t>1907</t>
  </si>
  <si>
    <t>"Mount Tom ed."</t>
  </si>
  <si>
    <t>1434949:eng</t>
  </si>
  <si>
    <t>2835474</t>
  </si>
  <si>
    <t>ocm02835474</t>
  </si>
  <si>
    <t>3000787275E</t>
  </si>
  <si>
    <t>792183085</t>
  </si>
  <si>
    <t>Z1003 L543 2014</t>
  </si>
  <si>
    <t>0                      Z  1003000L  543         2014</t>
  </si>
  <si>
    <t>Why I Read : the serious pleasure of books / Wendy Lesser.</t>
  </si>
  <si>
    <t>Lesser, Wendy.</t>
  </si>
  <si>
    <t>New York : Farrar, Straus and Giroux, 2014.</t>
  </si>
  <si>
    <t>2014-05-05</t>
  </si>
  <si>
    <t>1436832267:eng</t>
  </si>
  <si>
    <t>859252933</t>
  </si>
  <si>
    <t>ocn859252933</t>
  </si>
  <si>
    <t>3103505696W</t>
  </si>
  <si>
    <t>9780374289201</t>
  </si>
  <si>
    <t>794957617</t>
  </si>
  <si>
    <t>Z1003 L65 2003</t>
  </si>
  <si>
    <t>0                      Z  1003000L  65          2003</t>
  </si>
  <si>
    <t>Lire, copier, écrire : les bibliothèques manuscrites et leurs usages au XVIIIe siècle / sous la direction de Élisabeth Décultot.</t>
  </si>
  <si>
    <t>Paris : CNRS, ©2003.</t>
  </si>
  <si>
    <t>De l'Allemagne, 1242-8809</t>
  </si>
  <si>
    <t>892680594:fre</t>
  </si>
  <si>
    <t>52772318</t>
  </si>
  <si>
    <t>ocm52772318</t>
  </si>
  <si>
    <t>3102336864W</t>
  </si>
  <si>
    <t>9782271061485</t>
  </si>
  <si>
    <t>793813632</t>
  </si>
  <si>
    <t>Z1003 L777 2006</t>
  </si>
  <si>
    <t>0                      Z  1003000L  777         2006</t>
  </si>
  <si>
    <t>Theories of reading : books, bodies, and bibliomania / Karin Littau.</t>
  </si>
  <si>
    <t>Littau, Karin, 1960-</t>
  </si>
  <si>
    <t>Cambridge, UK ; Malden, MA : Polity Press, 2006.</t>
  </si>
  <si>
    <t>685462129:eng</t>
  </si>
  <si>
    <t>65468436</t>
  </si>
  <si>
    <t>ocm65468436</t>
  </si>
  <si>
    <t>3102568715A</t>
  </si>
  <si>
    <t>9780745616582</t>
  </si>
  <si>
    <t>794134740</t>
  </si>
  <si>
    <t>3103586140D</t>
  </si>
  <si>
    <t>794134739</t>
  </si>
  <si>
    <t>Z1003 M27 1996</t>
  </si>
  <si>
    <t>0                      Z  1003000M  27          1996</t>
  </si>
  <si>
    <t>A history of reading / by Alberto Manguel.</t>
  </si>
  <si>
    <t>New York : Viking, 1996.</t>
  </si>
  <si>
    <t>2019-11-20</t>
  </si>
  <si>
    <t>1151770172:eng</t>
  </si>
  <si>
    <t>34633305</t>
  </si>
  <si>
    <t>ocm34633305</t>
  </si>
  <si>
    <t>3102333477H</t>
  </si>
  <si>
    <t>9780670843022</t>
  </si>
  <si>
    <t>793431898</t>
  </si>
  <si>
    <t>Z1003 M2925 2010</t>
  </si>
  <si>
    <t>0                      Z  1003000M  2925        2010</t>
  </si>
  <si>
    <t>A reader on reading / Alberto Manguel.</t>
  </si>
  <si>
    <t>New Haven [Conn.] : Yale University Press, ©2010.</t>
  </si>
  <si>
    <t>335105020:eng</t>
  </si>
  <si>
    <t>449854334</t>
  </si>
  <si>
    <t>ocn449854334</t>
  </si>
  <si>
    <t>3103158122B</t>
  </si>
  <si>
    <t>9780300159820</t>
  </si>
  <si>
    <t>794787477</t>
  </si>
  <si>
    <t>Z1003 M292518 2012</t>
  </si>
  <si>
    <t>0                      Z  1003000M  292518      2012</t>
  </si>
  <si>
    <t>El sueño del Rey Rojo : lecturas y relecturas sobre las palabras y el mundo / Alberto Manguel ; traducido del inglés por Juan Tovar Elías.</t>
  </si>
  <si>
    <t>Madrid : Alianza Editorial, [2012]</t>
  </si>
  <si>
    <t>Alianza literaria</t>
  </si>
  <si>
    <t>335105020:spa</t>
  </si>
  <si>
    <t>823743756</t>
  </si>
  <si>
    <t>ocn823743756</t>
  </si>
  <si>
    <t>3103452051E</t>
  </si>
  <si>
    <t>9788420608396</t>
  </si>
  <si>
    <t>794937317</t>
  </si>
  <si>
    <t>Z1003 M33 1904</t>
  </si>
  <si>
    <t>0                      Z  1003000M  33          1904</t>
  </si>
  <si>
    <t>Books to read and how to read them / by Hector Macpherson.</t>
  </si>
  <si>
    <t>Macpherson, Hector C. (Hector Carsewell), 1851-1924.</t>
  </si>
  <si>
    <t>Edinburgh : W. Blackwood, 1904.</t>
  </si>
  <si>
    <t>1904</t>
  </si>
  <si>
    <t>10171012:eng</t>
  </si>
  <si>
    <t>222549754</t>
  </si>
  <si>
    <t>ocn222549754</t>
  </si>
  <si>
    <t>3103638223V</t>
  </si>
  <si>
    <t>794332173</t>
  </si>
  <si>
    <t>Z1003 M3314 1998</t>
  </si>
  <si>
    <t>0                      Z  1003000M  3314        1998</t>
  </si>
  <si>
    <t>Une histoire de la lecture / Alberto Manguel ; essai traduit de l'anglais par Christine Le Bœuf.</t>
  </si>
  <si>
    <t>[Arles] : Actes Sud, ©1998.</t>
  </si>
  <si>
    <t>8908752035:fre</t>
  </si>
  <si>
    <t>39224460</t>
  </si>
  <si>
    <t>ocm39224460</t>
  </si>
  <si>
    <t>31034032130</t>
  </si>
  <si>
    <t>9782742715435</t>
  </si>
  <si>
    <t>793541136</t>
  </si>
  <si>
    <t>Z1003 M985 2012</t>
  </si>
  <si>
    <t>0                      Z  1003000M  985         2012</t>
  </si>
  <si>
    <t>My ideal bookshelf / art by Jane Mount ; edited by Thessaly La Force.</t>
  </si>
  <si>
    <t>New York : Little, Brown and Company, 2012.</t>
  </si>
  <si>
    <t>1141418357:eng</t>
  </si>
  <si>
    <t>776523560</t>
  </si>
  <si>
    <t>ocn776523560</t>
  </si>
  <si>
    <t>31034544210</t>
  </si>
  <si>
    <t>9780316200905</t>
  </si>
  <si>
    <t>794908131</t>
  </si>
  <si>
    <t>Z1003 N426 1988</t>
  </si>
  <si>
    <t>0                      Z  1003000N  426         1988</t>
  </si>
  <si>
    <t>Lost in a book : the psychology of reading for pleasure / Victor Nell.</t>
  </si>
  <si>
    <t>Nell, V.</t>
  </si>
  <si>
    <t>New Haven : Yale University Press, ©1988.</t>
  </si>
  <si>
    <t>836627073:eng</t>
  </si>
  <si>
    <t>15791755</t>
  </si>
  <si>
    <t>ocm15791755</t>
  </si>
  <si>
    <t>3103025332$</t>
  </si>
  <si>
    <t>9780300041156</t>
  </si>
  <si>
    <t>792942876</t>
  </si>
  <si>
    <t>Z1003 N93 2012</t>
  </si>
  <si>
    <t>0                      Z  1003000N  93          2012</t>
  </si>
  <si>
    <t>Philosophical interventions : book reviews, 1986-2011 / Martha Nussbaum.</t>
  </si>
  <si>
    <t>Nussbaum, Martha C. (Martha Craven), 1947-</t>
  </si>
  <si>
    <t>New York : Oxford University Press, 2012.</t>
  </si>
  <si>
    <t>1077053725:eng</t>
  </si>
  <si>
    <t>711988998</t>
  </si>
  <si>
    <t>ocn711988998</t>
  </si>
  <si>
    <t>3103395888W</t>
  </si>
  <si>
    <t>9780199777853</t>
  </si>
  <si>
    <t>794871498</t>
  </si>
  <si>
    <t>Z1003 P236 2014</t>
  </si>
  <si>
    <t>0                      Z  1003000P  236         2014</t>
  </si>
  <si>
    <t>Where I'm reading from / Tim Parks.</t>
  </si>
  <si>
    <t>Parks, Tim, author.</t>
  </si>
  <si>
    <t>London : Harvill Secker, 2014.</t>
  </si>
  <si>
    <t>2298697943:eng</t>
  </si>
  <si>
    <t>894094168</t>
  </si>
  <si>
    <t>ocn894094168</t>
  </si>
  <si>
    <t>3103611639A</t>
  </si>
  <si>
    <t>9781846559037</t>
  </si>
  <si>
    <t>794982329</t>
  </si>
  <si>
    <t>Z1003 P576 2012</t>
  </si>
  <si>
    <t>0                      Z  1003000P  576         2012</t>
  </si>
  <si>
    <t>Book was there : reading in electronic times / Andrew Piper.</t>
  </si>
  <si>
    <t>Piper, Andrew, 1973- author.</t>
  </si>
  <si>
    <t>Chicago ; London : University of Chicago Press, 2012.</t>
  </si>
  <si>
    <t>1079174275:eng</t>
  </si>
  <si>
    <t>776033016</t>
  </si>
  <si>
    <t>ocn776033016</t>
  </si>
  <si>
    <t>3103414536F</t>
  </si>
  <si>
    <t>9780226669786</t>
  </si>
  <si>
    <t>794907964</t>
  </si>
  <si>
    <t>Z1003 P78 2016</t>
  </si>
  <si>
    <t>0                      Z  1003000P  78          2016</t>
  </si>
  <si>
    <t>Print culture histories beyond the metropolis / edited by James J. Connolly, Patrick Collier, Frank Felsenstein, Kenneth R. Hall, and Robert G. Hall.</t>
  </si>
  <si>
    <t>Toronto ; Buffalo : University of Toronto Press, [2016]</t>
  </si>
  <si>
    <t>2777620408:eng</t>
  </si>
  <si>
    <t>926742956</t>
  </si>
  <si>
    <t>ocn926742956</t>
  </si>
  <si>
    <t>3103645129W</t>
  </si>
  <si>
    <t>9781442650626</t>
  </si>
  <si>
    <t>795005497</t>
  </si>
  <si>
    <t>Z1003 Q6 1928</t>
  </si>
  <si>
    <t>0                      Z  1003000Q  6           1928</t>
  </si>
  <si>
    <t>On the art of reading, by Sir Arthur Quiller-Couch.</t>
  </si>
  <si>
    <t>Quiller-Couch, Arthur, 1863-1944.</t>
  </si>
  <si>
    <t>Cambridge [England] University Press, 1928.</t>
  </si>
  <si>
    <t>1458767:eng</t>
  </si>
  <si>
    <t>9610818</t>
  </si>
  <si>
    <t>ocm09610818</t>
  </si>
  <si>
    <t>3001178800J</t>
  </si>
  <si>
    <t>792684748</t>
  </si>
  <si>
    <t>Z1003 R43 2010</t>
  </si>
  <si>
    <t>0                      Z  1003000R  43          2010</t>
  </si>
  <si>
    <t>Reading in history : new methodologies from the Anglo-American tradition / edited by Bonnie Gunzenhauser.</t>
  </si>
  <si>
    <t>London ; Brookfield, Vt. : Pickering &amp; Chatto, 2010.</t>
  </si>
  <si>
    <t>The history of the book ; no. 6</t>
  </si>
  <si>
    <t>865368667:eng</t>
  </si>
  <si>
    <t>467775639</t>
  </si>
  <si>
    <t>ocn467775639</t>
  </si>
  <si>
    <t>31032402104</t>
  </si>
  <si>
    <t>9781851966288</t>
  </si>
  <si>
    <t>794795177</t>
  </si>
  <si>
    <t>Z1003 R97 2001</t>
  </si>
  <si>
    <t>0                      Z  1003000R  97          2001</t>
  </si>
  <si>
    <t>Narrative as virtual reality : immersion and interactivity in literature and electronic media / Marie-Laure Ryan.</t>
  </si>
  <si>
    <t>Ryan, Marie-Laure, 1946-</t>
  </si>
  <si>
    <t>Baltimore : Johns Hopkins University Press, 2001.</t>
  </si>
  <si>
    <t>Parallax.</t>
  </si>
  <si>
    <t>2019-10-24</t>
  </si>
  <si>
    <t>793896822:eng</t>
  </si>
  <si>
    <t>43864167</t>
  </si>
  <si>
    <t>ocm43864167</t>
  </si>
  <si>
    <t>3102747877Y</t>
  </si>
  <si>
    <t>9780801864872</t>
  </si>
  <si>
    <t>793637222</t>
  </si>
  <si>
    <t>31020881490</t>
  </si>
  <si>
    <t>793637223</t>
  </si>
  <si>
    <t>Z1003 R97 2015</t>
  </si>
  <si>
    <t>0                      Z  1003000R  97          2015</t>
  </si>
  <si>
    <t>Narrative as virtual reality 2 : revisiting immersion and interactivity in literature and electronic media / Marie-Laure Ryan.</t>
  </si>
  <si>
    <t>Ryan, Marie-Laure, 1946- author.</t>
  </si>
  <si>
    <t>Baltimore : Johns Hopkins University Press, 2015.</t>
  </si>
  <si>
    <t>Parallax : re-visions of culture and society</t>
  </si>
  <si>
    <t>9323483369:eng</t>
  </si>
  <si>
    <t>905343871</t>
  </si>
  <si>
    <t>ocn905343871</t>
  </si>
  <si>
    <t>3103812636Y</t>
  </si>
  <si>
    <t>9781421417974</t>
  </si>
  <si>
    <t>794991230</t>
  </si>
  <si>
    <t>Z1003 S13 1997</t>
  </si>
  <si>
    <t>0                      Z  1003000S  13          1997</t>
  </si>
  <si>
    <t>Space between words : the origins of silent reading / Paul Saenger.</t>
  </si>
  <si>
    <t>Saenger, Paul Henry, 1945-</t>
  </si>
  <si>
    <t>Stanford, Calif. : Stanford University Press, ©1997.</t>
  </si>
  <si>
    <t>Figurae</t>
  </si>
  <si>
    <t>2017-08-03</t>
  </si>
  <si>
    <t>199100093:eng</t>
  </si>
  <si>
    <t>35548786</t>
  </si>
  <si>
    <t>ocm35548786</t>
  </si>
  <si>
    <t>3103008552O</t>
  </si>
  <si>
    <t>9780804726535</t>
  </si>
  <si>
    <t>793451811</t>
  </si>
  <si>
    <t>Z1003 S595 2017</t>
  </si>
  <si>
    <t>0                      Z  1003000S  595         2017</t>
  </si>
  <si>
    <t>Gutenberg's fingerprint : paper, pixels and the lasting impression of books / Merilyn Simonds.</t>
  </si>
  <si>
    <t>Simonds, Merilyn, 1949- author.</t>
  </si>
  <si>
    <t>Toronto, Ontario, Canada : ECW Press, [2017]</t>
  </si>
  <si>
    <t>4095902294:eng</t>
  </si>
  <si>
    <t>960097276</t>
  </si>
  <si>
    <t>ocn960097276</t>
  </si>
  <si>
    <t>3103646886O</t>
  </si>
  <si>
    <t>9781770413528</t>
  </si>
  <si>
    <t>795022970</t>
  </si>
  <si>
    <t>Z1003 S758613 2018</t>
  </si>
  <si>
    <t>0                      Z  1003000S  758613      2018</t>
  </si>
  <si>
    <t>The book : an homage / Burkhard Spinnen ; with illustrations by Line Hoven ; translated by Aaron Kerner.</t>
  </si>
  <si>
    <t>Spinnen, Burkhard, 1956- author.</t>
  </si>
  <si>
    <t>Jaffrey, New Hampshire : David R. Godine, 2018.</t>
  </si>
  <si>
    <t>4396498729:eng</t>
  </si>
  <si>
    <t>991678947</t>
  </si>
  <si>
    <t>ocn991678947</t>
  </si>
  <si>
    <t>3103740766K</t>
  </si>
  <si>
    <t>9781567926071</t>
  </si>
  <si>
    <t>795038072</t>
  </si>
  <si>
    <t>Z1003 S77 2004</t>
  </si>
  <si>
    <t>0                      Z  1003000S  77          2004</t>
  </si>
  <si>
    <t>The reading nation in the Romantic period / William St Clair.</t>
  </si>
  <si>
    <t>St. Clair, William.</t>
  </si>
  <si>
    <t>710118:eng</t>
  </si>
  <si>
    <t>52886917</t>
  </si>
  <si>
    <t>ocm52886917</t>
  </si>
  <si>
    <t>3102400253B</t>
  </si>
  <si>
    <t>9780521810067</t>
  </si>
  <si>
    <t>793816543</t>
  </si>
  <si>
    <t>Z1003 S77 2007</t>
  </si>
  <si>
    <t>0                      Z  1003000S  77          2007</t>
  </si>
  <si>
    <t>Cambridge ; New York : Cambridge University Press, 2007.</t>
  </si>
  <si>
    <t>124539585</t>
  </si>
  <si>
    <t>ocn124539585</t>
  </si>
  <si>
    <t>3103794060A</t>
  </si>
  <si>
    <t>9780521699440</t>
  </si>
  <si>
    <t>794230857</t>
  </si>
  <si>
    <t>Z1003 U45 2010</t>
  </si>
  <si>
    <t>0                      Z  1003000U  45          2010</t>
  </si>
  <si>
    <t>The lost art of reading : why books matter in a distracted time / David L. Ulin.</t>
  </si>
  <si>
    <t>Ulin, David L.</t>
  </si>
  <si>
    <t>Seattle, Wash. : Sasquatch Books ; [Berkeley, Calif.] : Distributed by PGW/Perseus, ©2010.</t>
  </si>
  <si>
    <t>808078616:eng</t>
  </si>
  <si>
    <t>607977155</t>
  </si>
  <si>
    <t>ocn607977155</t>
  </si>
  <si>
    <t>3103455678H</t>
  </si>
  <si>
    <t>9781570616709</t>
  </si>
  <si>
    <t>794818648</t>
  </si>
  <si>
    <t>Z1003 W2</t>
  </si>
  <si>
    <t>0                      Z  1003000W  2</t>
  </si>
  <si>
    <t>Reading / by Hugh Walpole.</t>
  </si>
  <si>
    <t>Walpole, Hugh, 1884-1941.</t>
  </si>
  <si>
    <t>London, Jarrolds, 1926.</t>
  </si>
  <si>
    <t>These diversions</t>
  </si>
  <si>
    <t>3943642432:eng</t>
  </si>
  <si>
    <t>70299691</t>
  </si>
  <si>
    <t>ocm70299691</t>
  </si>
  <si>
    <t>3000785258O</t>
  </si>
  <si>
    <t>794152821</t>
  </si>
  <si>
    <t>Z1003 Z1513 2003</t>
  </si>
  <si>
    <t>0                      Z  1003000Z  1513        2003</t>
  </si>
  <si>
    <t>So many books : reading and publishing in an age of abundance / by Gabriel Zaid ; translated by Natasha Wimmer.</t>
  </si>
  <si>
    <t>Zaid, Gabriel.</t>
  </si>
  <si>
    <t>Philadelphia : Paul Dry Books, 2003.</t>
  </si>
  <si>
    <t>1st Paul Dry books ed.</t>
  </si>
  <si>
    <t>799456:eng</t>
  </si>
  <si>
    <t>53120674</t>
  </si>
  <si>
    <t>ocm53120674</t>
  </si>
  <si>
    <t>31028879569</t>
  </si>
  <si>
    <t>9781589880030</t>
  </si>
  <si>
    <t>793821746</t>
  </si>
  <si>
    <t>Z1003 Z44 2006</t>
  </si>
  <si>
    <t>0                      Z  1003000Z  44          2006</t>
  </si>
  <si>
    <t>Xiang wang shu / Zhi'an zhu.</t>
  </si>
  <si>
    <t>Zhi'an.</t>
  </si>
  <si>
    <t>Jinan Shi : Shandong hua bao chu ban she, 2006.</t>
  </si>
  <si>
    <t>57470741:chi</t>
  </si>
  <si>
    <t>70257064</t>
  </si>
  <si>
    <t>ocm70257064</t>
  </si>
  <si>
    <t>31027183080</t>
  </si>
  <si>
    <t>9787807132714</t>
  </si>
  <si>
    <t>794151709</t>
  </si>
  <si>
    <t>Z1003.2 H35 1996</t>
  </si>
  <si>
    <t>0                      Z  1003200H  35          1996</t>
  </si>
  <si>
    <t>Cultures of print : essays in the history of the book / David D. Hall.</t>
  </si>
  <si>
    <t>Amherst : University of Massachusetts Press, 1996.</t>
  </si>
  <si>
    <t>797098448:eng</t>
  </si>
  <si>
    <t>34617814</t>
  </si>
  <si>
    <t>ocm34617814</t>
  </si>
  <si>
    <t>3101712642P</t>
  </si>
  <si>
    <t>9781558490499</t>
  </si>
  <si>
    <t>793431383</t>
  </si>
  <si>
    <t>Z1003.2 L84 2010</t>
  </si>
  <si>
    <t>0                      Z  1003200L  84          2010</t>
  </si>
  <si>
    <t>Expanding the American mind : books and the popularization of knowledge / Beth Luey.</t>
  </si>
  <si>
    <t>Luey, Beth.</t>
  </si>
  <si>
    <t>796280643:eng</t>
  </si>
  <si>
    <t>475454147</t>
  </si>
  <si>
    <t>ocn475454147</t>
  </si>
  <si>
    <t>3103241740G</t>
  </si>
  <si>
    <t>9781558498167</t>
  </si>
  <si>
    <t>794798295</t>
  </si>
  <si>
    <t>Z1003.2 N43 1987</t>
  </si>
  <si>
    <t>0                      Z  1003200N  43          1987</t>
  </si>
  <si>
    <t>Needs and opportunities in the history of the book : America, 1639-1876 / edited by David D. Hall and John B. Hench.</t>
  </si>
  <si>
    <t>Worcester [Mass.] : American Antiquarian Society, 1987.</t>
  </si>
  <si>
    <t>899990096:eng</t>
  </si>
  <si>
    <t>14692706</t>
  </si>
  <si>
    <t>ocm14692706</t>
  </si>
  <si>
    <t>3102492786B</t>
  </si>
  <si>
    <t>9780912296876</t>
  </si>
  <si>
    <t>792899080</t>
  </si>
  <si>
    <t>Z1003.2 R33 1997</t>
  </si>
  <si>
    <t>0                      Z  1003200R  33          1997</t>
  </si>
  <si>
    <t>A feeling for books : the Book-of-the-Month Club, literary taste, and middle-class desire / Janice A. Radway.</t>
  </si>
  <si>
    <t>Radway, Janice A., 1949-</t>
  </si>
  <si>
    <t>Chapel Hill : University of North Carolina Press, ©1997.</t>
  </si>
  <si>
    <t>2017-11-23</t>
  </si>
  <si>
    <t>616659:eng</t>
  </si>
  <si>
    <t>36126876</t>
  </si>
  <si>
    <t>ocm36126876</t>
  </si>
  <si>
    <t>3102800609M</t>
  </si>
  <si>
    <t>9780807823576</t>
  </si>
  <si>
    <t>793467025</t>
  </si>
  <si>
    <t>Z1003.2 R39 2002</t>
  </si>
  <si>
    <t>0                      Z  1003200R  39          2002</t>
  </si>
  <si>
    <t>Reading acts : U.S. readers' interactions with literature, 1800-1950 / edited by Barbara Ryan and Amy M. Thomas.</t>
  </si>
  <si>
    <t>Knoxville : University of Tennessee Press, ©2002.</t>
  </si>
  <si>
    <t>2015-05-05</t>
  </si>
  <si>
    <t>837065923:eng</t>
  </si>
  <si>
    <t>48032754</t>
  </si>
  <si>
    <t>ocm48032754</t>
  </si>
  <si>
    <t>31021858204</t>
  </si>
  <si>
    <t>9781572331822</t>
  </si>
  <si>
    <t>793714219</t>
  </si>
  <si>
    <t>Z1003.2 R67 2014</t>
  </si>
  <si>
    <t>0                      Z  1003200R  67          2014</t>
  </si>
  <si>
    <t>The shelf : from LEQ to LES / Phyllis Rose.</t>
  </si>
  <si>
    <t>Rose, Phyllis, 1942-</t>
  </si>
  <si>
    <t>1525639542:eng</t>
  </si>
  <si>
    <t>864808485</t>
  </si>
  <si>
    <t>ocn864808485</t>
  </si>
  <si>
    <t>3103566095G</t>
  </si>
  <si>
    <t>9780374261207</t>
  </si>
  <si>
    <t>794962475</t>
  </si>
  <si>
    <t>Z1003.2 R83 1992</t>
  </si>
  <si>
    <t>0                      Z  1003200R  83          1992</t>
  </si>
  <si>
    <t>The making of middle/brow culture / Joan Shelley Rubin.</t>
  </si>
  <si>
    <t>Rubin, Joan Shelley, 1947-</t>
  </si>
  <si>
    <t>Chapel Hill : University of North Carolina Press, ©1992.</t>
  </si>
  <si>
    <t>102071927:eng</t>
  </si>
  <si>
    <t>24010915</t>
  </si>
  <si>
    <t>ocm24010915</t>
  </si>
  <si>
    <t>31029806671</t>
  </si>
  <si>
    <t>9780807820100</t>
  </si>
  <si>
    <t>793187418</t>
  </si>
  <si>
    <t>Z1003.2 S63 2011</t>
  </si>
  <si>
    <t>0                      Z  1003200S  63          2011</t>
  </si>
  <si>
    <t>On rereading / Patricia Meyer Spacks.</t>
  </si>
  <si>
    <t>Spacks, Patricia Meyer.</t>
  </si>
  <si>
    <t>Cambridge, Mass. : Belknap Press of Harvard University Press, 2011.</t>
  </si>
  <si>
    <t>858002401:eng</t>
  </si>
  <si>
    <t>709670324</t>
  </si>
  <si>
    <t>ocn709670324</t>
  </si>
  <si>
    <t>3103384177R</t>
  </si>
  <si>
    <t>9780674062221</t>
  </si>
  <si>
    <t>794869657</t>
  </si>
  <si>
    <t>Z1003.2 Z26 1993</t>
  </si>
  <si>
    <t>0                      Z  1003200Z  26          1993</t>
  </si>
  <si>
    <t>A fictive people : antebellum economic development and the American reading public / Ronald J. Zboray.</t>
  </si>
  <si>
    <t>Zboray, Ronald J., author.</t>
  </si>
  <si>
    <t>793989594:eng</t>
  </si>
  <si>
    <t>25049373</t>
  </si>
  <si>
    <t>ocm25049373</t>
  </si>
  <si>
    <t>31012048811</t>
  </si>
  <si>
    <t>9780195075823</t>
  </si>
  <si>
    <t>793211049</t>
  </si>
  <si>
    <t>Z1003.3 E85 S7613 1999</t>
  </si>
  <si>
    <t>0                      Z  1003300E  85                 S  7613        1999</t>
  </si>
  <si>
    <t>A history of reading in the West / edited by Guglielmo Cavallo and Roger Chartier ; translated by Lydia G. Cochrane.</t>
  </si>
  <si>
    <t>Storia della lettura nel mondo occidentale. English.</t>
  </si>
  <si>
    <t>Amherst : University of Massachusetts Press, 1999.</t>
  </si>
  <si>
    <t>3377041813:eng</t>
  </si>
  <si>
    <t>40881666</t>
  </si>
  <si>
    <t>ocm40881666</t>
  </si>
  <si>
    <t>3102125405F</t>
  </si>
  <si>
    <t>9781558492134</t>
  </si>
  <si>
    <t>793578107</t>
  </si>
  <si>
    <t>Z1003.3 I7 P39 2001</t>
  </si>
  <si>
    <t>0                      Z  1003300I  7                  P  39          2001</t>
  </si>
  <si>
    <t>Reading on the middle border : the culture of print in late nineteenth-century Osage, Iowa / Christine Pawley.</t>
  </si>
  <si>
    <t>837031462:eng</t>
  </si>
  <si>
    <t>44518120</t>
  </si>
  <si>
    <t>ocm44518120</t>
  </si>
  <si>
    <t>3102135934J</t>
  </si>
  <si>
    <t>9781558492752</t>
  </si>
  <si>
    <t>793652212</t>
  </si>
  <si>
    <t>Z1003.5 A7 A47 2011</t>
  </si>
  <si>
    <t>0                      Z  1003500A  7                  A  47          2011</t>
  </si>
  <si>
    <t>Everyday reading : print culture and collective identity in the Río de la Plata, 1780-1910 / William Garrett Acree Jr.</t>
  </si>
  <si>
    <t>Acree, William G., Jr.</t>
  </si>
  <si>
    <t>Nashville : Vanderbilt University Press, ©2011.</t>
  </si>
  <si>
    <t>787351834:eng</t>
  </si>
  <si>
    <t>702647471</t>
  </si>
  <si>
    <t>ocn702647471</t>
  </si>
  <si>
    <t>3103406424H</t>
  </si>
  <si>
    <t>9780826517890</t>
  </si>
  <si>
    <t>794864203</t>
  </si>
  <si>
    <t>Z1003.5 C2 L57 2003</t>
  </si>
  <si>
    <t>0                      Z  1003500C  2                  L  57          2003</t>
  </si>
  <si>
    <t>Lire au Québec au XIXe siècle / sous la direction de Yvan Lamonde et Sophie Montreuil.</t>
  </si>
  <si>
    <t>[Saint-Laurent, Québec] : Fides, 2003.</t>
  </si>
  <si>
    <t>367221164:fre</t>
  </si>
  <si>
    <t>52241374</t>
  </si>
  <si>
    <t>ocm52241374</t>
  </si>
  <si>
    <t>3102399489Z</t>
  </si>
  <si>
    <t>9782762125009</t>
  </si>
  <si>
    <t>793801726</t>
  </si>
  <si>
    <t>Z1003.5 C35 A88 2002</t>
  </si>
  <si>
    <t>0                      Z  1003500C  35                 A  88          2002</t>
  </si>
  <si>
    <t>Autour de la lecture : médiations et communautés littéraires / publié sous la direction de Josée Vincent et Nathalie Watteyne.</t>
  </si>
  <si>
    <t>Colloque Autour de la lecture: médiations et communautés littéraires (2001 : Université de Sherbrooke)</t>
  </si>
  <si>
    <t>[Québec] : Éditions Nota bene, 2002.</t>
  </si>
  <si>
    <t>8031830:fre</t>
  </si>
  <si>
    <t>51447340</t>
  </si>
  <si>
    <t>ocm51447340</t>
  </si>
  <si>
    <t>3102888520N</t>
  </si>
  <si>
    <t>9782895181231</t>
  </si>
  <si>
    <t>793784512</t>
  </si>
  <si>
    <t>Z1003.5.C45 H4 2017</t>
  </si>
  <si>
    <t>0                      Z  1003500C  45                 H  4           2017</t>
  </si>
  <si>
    <t>Zhongguo yue du tong shi. Qing dai juan / He Guanfeng, Wang Meiying zhu.</t>
  </si>
  <si>
    <t>He, Guanfeng, author.</t>
  </si>
  <si>
    <t>Hefei : Anhui jiao yu chu ban she, 2017.</t>
  </si>
  <si>
    <t>9325653036:chi</t>
  </si>
  <si>
    <t>1032277718</t>
  </si>
  <si>
    <t>on1032277718</t>
  </si>
  <si>
    <t>3103853168C</t>
  </si>
  <si>
    <t>9787533686383</t>
  </si>
  <si>
    <t>795055957</t>
  </si>
  <si>
    <t>3103853173J</t>
  </si>
  <si>
    <t>795055958</t>
  </si>
  <si>
    <t>Z1003.5.C45 H425 2017</t>
  </si>
  <si>
    <t>0                      Z  1003500C  45                 H  425         2017</t>
  </si>
  <si>
    <t>Zhongguo yue du tong shi. Wei Jin Nan Bei chao juan / He Guanfeng zhu.</t>
  </si>
  <si>
    <t>2019-03-05</t>
  </si>
  <si>
    <t>5027062548:chi</t>
  </si>
  <si>
    <t>1083701679</t>
  </si>
  <si>
    <t>on1083701679</t>
  </si>
  <si>
    <t>3103853172L</t>
  </si>
  <si>
    <t>9787533686345</t>
  </si>
  <si>
    <t>795078413</t>
  </si>
  <si>
    <t>Z1003.5.C45 H84 2017</t>
  </si>
  <si>
    <t>0                      Z  1003500C  45                 H  84          2017</t>
  </si>
  <si>
    <t>Zhongguo yue du tong shi. Sui Tang Wu dai liang Song juan / Huang Zhenwei zhu.</t>
  </si>
  <si>
    <t>Huang, Zhenwei, author.</t>
  </si>
  <si>
    <t>Hefei Shi : Anhui jiao yu chu ban she, 2017.</t>
  </si>
  <si>
    <t>5027070549:chi</t>
  </si>
  <si>
    <t>1032283151</t>
  </si>
  <si>
    <t>on1032283151</t>
  </si>
  <si>
    <t>3103861981T</t>
  </si>
  <si>
    <t>9787533686352</t>
  </si>
  <si>
    <t>795055962</t>
  </si>
  <si>
    <t>Z1003.5.C45 W35 2017</t>
  </si>
  <si>
    <t>0                      Z  1003500C  45                 W  35          2017</t>
  </si>
  <si>
    <t>Zhongguo yue du tong shi. Liao Xi Xia Jin Yuan juan / Wang Long zhu.</t>
  </si>
  <si>
    <t>Wang, Long, author.</t>
  </si>
  <si>
    <t>5027066352:chi</t>
  </si>
  <si>
    <t>1032280158</t>
  </si>
  <si>
    <t>on1032280158</t>
  </si>
  <si>
    <t>3103853167E</t>
  </si>
  <si>
    <t>9787533686369</t>
  </si>
  <si>
    <t>795055961</t>
  </si>
  <si>
    <t>Zhongguo yue du tong shi. Ming dai juan / Wang Long zhu.</t>
  </si>
  <si>
    <t>4882968722:chi</t>
  </si>
  <si>
    <t>1032272774</t>
  </si>
  <si>
    <t>on1032272774</t>
  </si>
  <si>
    <t>3103853162O</t>
  </si>
  <si>
    <t>9787533686376</t>
  </si>
  <si>
    <t>795055955</t>
  </si>
  <si>
    <t>Z1003.5 C45 W39 2000</t>
  </si>
  <si>
    <t>0                      Z  1003500C  45                 W  39          2000</t>
  </si>
  <si>
    <t>Ways with words : writing about reading texts from early China / edited by Pauline Yu [and others].</t>
  </si>
  <si>
    <t>Berkeley : University of California Press, ©2000.</t>
  </si>
  <si>
    <t>Studies on China ; 24</t>
  </si>
  <si>
    <t>837016453:eng</t>
  </si>
  <si>
    <t>42935760</t>
  </si>
  <si>
    <t>ocm42935760</t>
  </si>
  <si>
    <t>3102629629L</t>
  </si>
  <si>
    <t>9780520216051</t>
  </si>
  <si>
    <t>793617544</t>
  </si>
  <si>
    <t>Z1003.5.C45 X823 2017</t>
  </si>
  <si>
    <t>0                      Z  1003500C  45                 X  823         2017</t>
  </si>
  <si>
    <t>Zhongguo yue du tong shi. Minguo juan / Xu Huan zhu.</t>
  </si>
  <si>
    <t>Xu, Huan, author.</t>
  </si>
  <si>
    <t>5093387578:chi</t>
  </si>
  <si>
    <t>1083672805</t>
  </si>
  <si>
    <t>on1083672805</t>
  </si>
  <si>
    <t>3103853177B</t>
  </si>
  <si>
    <t>9787533686406</t>
  </si>
  <si>
    <t>795078391</t>
  </si>
  <si>
    <t>Z1003.5.C45 X826 2017</t>
  </si>
  <si>
    <t>0                      Z  1003500C  45                 X  826         2017</t>
  </si>
  <si>
    <t>Zhongguo yue du tong shi. Xian Qin Qin Han juan / Xian Qin bian, Xu Linxiang, Zhang Libing zhu, Qin Han bian, Zhang Ji zhu.</t>
  </si>
  <si>
    <t>Xu, Linxiang, author.</t>
  </si>
  <si>
    <t>5027057156:chi</t>
  </si>
  <si>
    <t>1032273771</t>
  </si>
  <si>
    <t>on1032273771</t>
  </si>
  <si>
    <t>31038620060</t>
  </si>
  <si>
    <t>9787533686338</t>
  </si>
  <si>
    <t>795055956</t>
  </si>
  <si>
    <t>Z1003.5 C6 Z43 2010</t>
  </si>
  <si>
    <t>0                      Z  1003500C  6                  Z  43          2010</t>
  </si>
  <si>
    <t>Du shu zhe mo hao de shi / Zhang Xinying.</t>
  </si>
  <si>
    <t>Zhang, Xinying, 1967- author.</t>
  </si>
  <si>
    <t>Shanghai : Shanghai wai yu jiao yu chu ban she, 2010.</t>
  </si>
  <si>
    <t>Wai jiao she da xue sheng ren wen xi lie cong shu</t>
  </si>
  <si>
    <t>16191924:chi</t>
  </si>
  <si>
    <t>857911923</t>
  </si>
  <si>
    <t>ocn857911923</t>
  </si>
  <si>
    <t>3103891341A</t>
  </si>
  <si>
    <t>9787544617949</t>
  </si>
  <si>
    <t>794955562</t>
  </si>
  <si>
    <t>Z1003.5 E85 C87 2018</t>
  </si>
  <si>
    <t>0                      Z  1003500E  85                 C  87          2018</t>
  </si>
  <si>
    <t>The French book trade in Enlightenment Europe. I, Selling Enlightenment / Mark Curran.</t>
  </si>
  <si>
    <t>Curran, Mark (Mark David), author.</t>
  </si>
  <si>
    <t>London ; New York, NY : Bloomsbury Academic, 2018.</t>
  </si>
  <si>
    <t>2290455788:eng</t>
  </si>
  <si>
    <t>1049316866</t>
  </si>
  <si>
    <t>on1049316866</t>
  </si>
  <si>
    <t>3103737512M</t>
  </si>
  <si>
    <t>9781441178909</t>
  </si>
  <si>
    <t>795061131</t>
  </si>
  <si>
    <t>Z1003.5 E9 A48 2000</t>
  </si>
  <si>
    <t>0                      Z  1003500E  9                  A  48          2000</t>
  </si>
  <si>
    <t>Engaging words : the culture of reading in the later Middle Ages / Laurel Amtower.</t>
  </si>
  <si>
    <t>Amtower, Laurel.</t>
  </si>
  <si>
    <t>New York : Palgrave, 2000.</t>
  </si>
  <si>
    <t>2016-11-28</t>
  </si>
  <si>
    <t>784424465:eng</t>
  </si>
  <si>
    <t>43919641</t>
  </si>
  <si>
    <t>ocm43919641</t>
  </si>
  <si>
    <t>31035315783</t>
  </si>
  <si>
    <t>9780312233839</t>
  </si>
  <si>
    <t>793638808</t>
  </si>
  <si>
    <t>Z1003.5 E9 A87 1998</t>
  </si>
  <si>
    <t>0                      Z  1003500E  9                  A  87          1998</t>
  </si>
  <si>
    <t>L'auteur et son public au temps de la Renaissance / directeur de la publication, M.T. Jones-Davies.</t>
  </si>
  <si>
    <t>Paris : Klincksieck, 1998.</t>
  </si>
  <si>
    <t>Société internationale de recherches interdisciplinaires sur la renaissance ; 23</t>
  </si>
  <si>
    <t>2017-06-29</t>
  </si>
  <si>
    <t>350218675:fre</t>
  </si>
  <si>
    <t>41016019</t>
  </si>
  <si>
    <t>ocm41016019</t>
  </si>
  <si>
    <t>31019654722</t>
  </si>
  <si>
    <t>9782252032374</t>
  </si>
  <si>
    <t>793581907</t>
  </si>
  <si>
    <t>2002-10-03</t>
  </si>
  <si>
    <t>3101954868P</t>
  </si>
  <si>
    <t>793581908</t>
  </si>
  <si>
    <t>Z1003.5 E9 C4713 1994</t>
  </si>
  <si>
    <t>0                      Z  1003500E  9                  C  4713        1994</t>
  </si>
  <si>
    <t>The order of books : readers, authors and libraries in Europe between the fourteenth and eighteenth centuries / Roger Chartier ; translated by Lydia G. Cochrane.</t>
  </si>
  <si>
    <t>Chartier, Roger, 1945-</t>
  </si>
  <si>
    <t>Cambridge : Polity Press, 1994.</t>
  </si>
  <si>
    <t>9535397:eng</t>
  </si>
  <si>
    <t>29595014</t>
  </si>
  <si>
    <t>ocm29595014</t>
  </si>
  <si>
    <t>3101346482B</t>
  </si>
  <si>
    <t>9780745612720</t>
  </si>
  <si>
    <t>793315467</t>
  </si>
  <si>
    <t>Z1003.5 E9 S7614 2001</t>
  </si>
  <si>
    <t>0                      Z  1003500E  9                  S  7614        2001</t>
  </si>
  <si>
    <t>Histoire de la lecture dans le monde occidental / auteurs, Robert Bonfil [and others] ; sous la direction de Guglielmo Cavallo et Roger Chartier.</t>
  </si>
  <si>
    <t>Storia della lettura nel mondo occidentale. French.</t>
  </si>
  <si>
    <t>Paris : Seuil, ©2001.</t>
  </si>
  <si>
    <t>Collection Points histoire ; H297</t>
  </si>
  <si>
    <t>2019-02-10</t>
  </si>
  <si>
    <t>9349391926:fre</t>
  </si>
  <si>
    <t>49304324</t>
  </si>
  <si>
    <t>ocm49304324</t>
  </si>
  <si>
    <t>3102558152P</t>
  </si>
  <si>
    <t>9782020487009</t>
  </si>
  <si>
    <t>793737038</t>
  </si>
  <si>
    <t>Z1003.5 F7 C47 1987</t>
  </si>
  <si>
    <t>0                      Z  1003500F  7                  C  47          1987</t>
  </si>
  <si>
    <t>The cultural uses of print in early modern France / Roger Chartier ; translated by Lydia G. Cochrane.</t>
  </si>
  <si>
    <t>Princeton, N.J. : Princeton University Press, ©1987.</t>
  </si>
  <si>
    <t>11720400:eng</t>
  </si>
  <si>
    <t>16089268</t>
  </si>
  <si>
    <t>ocm16089268</t>
  </si>
  <si>
    <t>3000527418V</t>
  </si>
  <si>
    <t>9780691054995</t>
  </si>
  <si>
    <t>792954385</t>
  </si>
  <si>
    <t>Z1003.5 F7 H588 2005</t>
  </si>
  <si>
    <t>0                      Z  1003500F  7                  H  588         2005</t>
  </si>
  <si>
    <t>Histoires de lecture, XIXe-XXe siècles / présentées par Jean-Yves Mollier.</t>
  </si>
  <si>
    <t>Bernay : Société d'histoire de la lecture, 2005.</t>
  </si>
  <si>
    <t>Matériaux pour une histoire de la lecture et de ses institutions, 1284-8220 ; 17</t>
  </si>
  <si>
    <t>824742:fre</t>
  </si>
  <si>
    <t>61139352</t>
  </si>
  <si>
    <t>ocm61139352</t>
  </si>
  <si>
    <t>31029196552</t>
  </si>
  <si>
    <t>9782912626165</t>
  </si>
  <si>
    <t>793947162</t>
  </si>
  <si>
    <t>Z1003.5 F7 L95 1987</t>
  </si>
  <si>
    <t>0                      Z  1003500F  7                  L  95          1987</t>
  </si>
  <si>
    <t>Le triomphe du livre : une histoire sociologique de la lecture dans la France du XIXe siècle / Martyn Lyons ; traduit de l'anglais.</t>
  </si>
  <si>
    <t>Paris : Promodis, 1987.</t>
  </si>
  <si>
    <t>Histoire du livre</t>
  </si>
  <si>
    <t>808047510:fre</t>
  </si>
  <si>
    <t>17654291</t>
  </si>
  <si>
    <t>ocm17654291</t>
  </si>
  <si>
    <t>31037736239</t>
  </si>
  <si>
    <t>9782903181581</t>
  </si>
  <si>
    <t>792999059</t>
  </si>
  <si>
    <t>Z1003.5 F7 L96 2001</t>
  </si>
  <si>
    <t>0                      Z  1003500F  7                  L  96          2001</t>
  </si>
  <si>
    <t>Readers and society in nineteenth-century France : workers, women, peasants / Martyn Lyons.</t>
  </si>
  <si>
    <t>Houndmills, Basingstoke, Hampshire ; New York : Palgrave, 2001.</t>
  </si>
  <si>
    <t>2017-05-26</t>
  </si>
  <si>
    <t>799745823:eng</t>
  </si>
  <si>
    <t>46812064</t>
  </si>
  <si>
    <t>ocm46812064</t>
  </si>
  <si>
    <t>3102136327Z</t>
  </si>
  <si>
    <t>9780333921265</t>
  </si>
  <si>
    <t>793692059</t>
  </si>
  <si>
    <t>Z1003.5 F7 L962 2008</t>
  </si>
  <si>
    <t>0                      Z  1003500F  7                  L  962         2008</t>
  </si>
  <si>
    <t>Reading culture and writing practices in nineteenth-century France / Martyn Lyons.</t>
  </si>
  <si>
    <t>Toronto ; Buffalo : University of Toronto Press, ©2008.</t>
  </si>
  <si>
    <t>116749183:eng</t>
  </si>
  <si>
    <t>181602805</t>
  </si>
  <si>
    <t>ocn181602805</t>
  </si>
  <si>
    <t>3102706582S</t>
  </si>
  <si>
    <t>9780802093578</t>
  </si>
  <si>
    <t>794282940</t>
  </si>
  <si>
    <t>Z1003.5 F7 M65 2001</t>
  </si>
  <si>
    <t>0                      Z  1003500F  7                  M  65          2001</t>
  </si>
  <si>
    <t>La lecture et ses publics à l'époque contemporaine : essais d'histoire culturelle / Jean-Yves Mollier.</t>
  </si>
  <si>
    <t>Paris : Presses universitaires de France, 2001.</t>
  </si>
  <si>
    <t>1. éd.</t>
  </si>
  <si>
    <t>Le noeud gordien</t>
  </si>
  <si>
    <t>891319494:fre</t>
  </si>
  <si>
    <t>50123381</t>
  </si>
  <si>
    <t>ocm50123381</t>
  </si>
  <si>
    <t>31022869826</t>
  </si>
  <si>
    <t>9782130523871</t>
  </si>
  <si>
    <t>793756011</t>
  </si>
  <si>
    <t>Z1003.5 F7 P37 1981</t>
  </si>
  <si>
    <t>0                      Z  1003500F  7                  P  37          1981</t>
  </si>
  <si>
    <t>Lire a Paris au temps de Balzac : les cabinets de lecture à Paris, 1815-1830 / by Françoise Parent-Lardeur.</t>
  </si>
  <si>
    <t>Parent-Lardeur, Françoise.</t>
  </si>
  <si>
    <t>Ann Arbor : University Microfilms International ; Paris : École des hautes études en sciences sociales, ©1981.</t>
  </si>
  <si>
    <t>Recherches d'histoire et de sciences sociales ; 2</t>
  </si>
  <si>
    <t>5534295806:fre</t>
  </si>
  <si>
    <t>7925027</t>
  </si>
  <si>
    <t>ocm07925027</t>
  </si>
  <si>
    <t>3000351587Y</t>
  </si>
  <si>
    <t>9780835705936</t>
  </si>
  <si>
    <t>792587322</t>
  </si>
  <si>
    <t>Z1003.5 F7 P73 1985</t>
  </si>
  <si>
    <t>0                      Z  1003500F  7                  P  73          1985</t>
  </si>
  <si>
    <t>Pratiques de la lecture / sous la direction de Roger Chartier et à l'initiative d'Alain Paire.</t>
  </si>
  <si>
    <t>Marseille : Rivages, ©1985.</t>
  </si>
  <si>
    <t>2018-08-22</t>
  </si>
  <si>
    <t>54743889:fre</t>
  </si>
  <si>
    <t>12583818</t>
  </si>
  <si>
    <t>ocm12583818</t>
  </si>
  <si>
    <t>31008917905</t>
  </si>
  <si>
    <t>9782903059521</t>
  </si>
  <si>
    <t>792820126</t>
  </si>
  <si>
    <t>Z1003.5 G45 N49 2002</t>
  </si>
  <si>
    <t>0                      Z  1003500G  45                 N  49          2002</t>
  </si>
  <si>
    <t>Literary culture in colonial Ghana : how to play the game of life / Stephanie Newell.</t>
  </si>
  <si>
    <t>Newell, Stephanie, 1968-</t>
  </si>
  <si>
    <t>Bloomington : Indiana University Press, 2002.</t>
  </si>
  <si>
    <t>992764:eng</t>
  </si>
  <si>
    <t>50564762</t>
  </si>
  <si>
    <t>ocm50564762</t>
  </si>
  <si>
    <t>3102212241C</t>
  </si>
  <si>
    <t>9780253340962</t>
  </si>
  <si>
    <t>793767694</t>
  </si>
  <si>
    <t>Z1003.5 G7 A18 2013</t>
  </si>
  <si>
    <t>0                      Z  1003500G  7                  A  18          2013</t>
  </si>
  <si>
    <t>1000 years of royal books and manuscripts / edited by Kathleen Doyle and Scot McKendrick.</t>
  </si>
  <si>
    <t>1748608810:eng</t>
  </si>
  <si>
    <t>858824778</t>
  </si>
  <si>
    <t>ocn858824778</t>
  </si>
  <si>
    <t>3103563299M</t>
  </si>
  <si>
    <t>9780712357081</t>
  </si>
  <si>
    <t>794956887</t>
  </si>
  <si>
    <t>Z1003.5 G7 A45 2008</t>
  </si>
  <si>
    <t>0                      Z  1003500G  7                  A  45          2008</t>
  </si>
  <si>
    <t>A nation of readers : the lending library in Georgian England / David Allan.</t>
  </si>
  <si>
    <t>Allan, David, 1964-</t>
  </si>
  <si>
    <t>836893083:eng</t>
  </si>
  <si>
    <t>225876135</t>
  </si>
  <si>
    <t>ocn225876135</t>
  </si>
  <si>
    <t>3103052231$</t>
  </si>
  <si>
    <t>9780712349673</t>
  </si>
  <si>
    <t>794343220</t>
  </si>
  <si>
    <t>Z1003.5 G7 A48 2010</t>
  </si>
  <si>
    <t>0                      Z  1003500G  7                  A  48          2010</t>
  </si>
  <si>
    <t>Commonplace books and reading in Georgian England / David Allan.</t>
  </si>
  <si>
    <t>407476833:eng</t>
  </si>
  <si>
    <t>535491159</t>
  </si>
  <si>
    <t>ocn535491159</t>
  </si>
  <si>
    <t>31032313172</t>
  </si>
  <si>
    <t>9780521115346</t>
  </si>
  <si>
    <t>794810038</t>
  </si>
  <si>
    <t>Z1003.5 G7 B67 2009</t>
  </si>
  <si>
    <t>0                      Z  1003500G  7                  B  67          2009</t>
  </si>
  <si>
    <t>Bookish histories : books, literature, and commercial modernity, 1700-1900 / edited by Ina Ferris and Paul Keen.</t>
  </si>
  <si>
    <t>Basingstoke, UK ; New York : Palgrave Macmillan, 2009.</t>
  </si>
  <si>
    <t>Palgrave studies in the Enlightenment, romanticism and cultures of print series</t>
  </si>
  <si>
    <t>888472475:eng</t>
  </si>
  <si>
    <t>458582181</t>
  </si>
  <si>
    <t>ocn458582181</t>
  </si>
  <si>
    <t>31035308248</t>
  </si>
  <si>
    <t>9780230222311</t>
  </si>
  <si>
    <t>794790392</t>
  </si>
  <si>
    <t>Z1003.5 G7 B69 2002</t>
  </si>
  <si>
    <t>0                      Z  1003500G  7                  B  69          2002</t>
  </si>
  <si>
    <t>Books and readers in early modern England : material studies / edited by Jennifer Andersen and Elizabeth Sauer ; with an afterword by Stephen Orgel.</t>
  </si>
  <si>
    <t>837050973:eng</t>
  </si>
  <si>
    <t>47764278</t>
  </si>
  <si>
    <t>ocm47764278</t>
  </si>
  <si>
    <t>3103009908I</t>
  </si>
  <si>
    <t>9780812236330</t>
  </si>
  <si>
    <t>793707413</t>
  </si>
  <si>
    <t>Z1003.5 G7 B74 2010</t>
  </si>
  <si>
    <t>0                      Z  1003500G  7                  B  74          2010</t>
  </si>
  <si>
    <t>Imagining an English reading public, 1150-1400 / Katharine Breen.</t>
  </si>
  <si>
    <t>Breen, Katharine, 1973-</t>
  </si>
  <si>
    <t>Cambridge, UK ; New York : Cambridge University Press, 2010.</t>
  </si>
  <si>
    <t>Cambridge studies in medieval literature ; 79</t>
  </si>
  <si>
    <t>349134230:eng</t>
  </si>
  <si>
    <t>466341144</t>
  </si>
  <si>
    <t>ocn466341144</t>
  </si>
  <si>
    <t>3103240089X</t>
  </si>
  <si>
    <t>9780521199223</t>
  </si>
  <si>
    <t>794794277</t>
  </si>
  <si>
    <t>Z1003.5 G7 F47 2006</t>
  </si>
  <si>
    <t>0                      Z  1003500G  7                  F  47          2006</t>
  </si>
  <si>
    <t>Provincial readers in eighteenth-century England / Jan Fergus.</t>
  </si>
  <si>
    <t>Fergus, Jan S., 1943-</t>
  </si>
  <si>
    <t>Oxford : Oxford University Press, 2006.</t>
  </si>
  <si>
    <t>58141748:eng</t>
  </si>
  <si>
    <t>71163853</t>
  </si>
  <si>
    <t>ocm71163853</t>
  </si>
  <si>
    <t>3102568867Y</t>
  </si>
  <si>
    <t>9780199297825</t>
  </si>
  <si>
    <t>794162890</t>
  </si>
  <si>
    <t>Z1003.5 G7 F48 2015</t>
  </si>
  <si>
    <t>0                      Z  1003500G  7                  F  48          2015</t>
  </si>
  <si>
    <t>Book-men, book clubs, and the romantic literary sphere / Ina Ferris.</t>
  </si>
  <si>
    <t>Ferris, Ina, author.</t>
  </si>
  <si>
    <t>Houndmills, Basingstoke, Hampshire ; New York, NY : Palgrave Macmillan, 2015.</t>
  </si>
  <si>
    <t>Palgrave studies in the Enlightenment, Romanticism and cultures of print</t>
  </si>
  <si>
    <t>2506041164:eng</t>
  </si>
  <si>
    <t>908090976</t>
  </si>
  <si>
    <t>ocn908090976</t>
  </si>
  <si>
    <t>3103608750Q</t>
  </si>
  <si>
    <t>9781137367594</t>
  </si>
  <si>
    <t>794994198</t>
  </si>
  <si>
    <t>Z1003.5 G7 J33 2005</t>
  </si>
  <si>
    <t>0                      Z  1003500G  7                  J  33          2005</t>
  </si>
  <si>
    <t>Romantic readers : the evidence of marginalia / H.J. Jackson.</t>
  </si>
  <si>
    <t>Jackson, H. J.</t>
  </si>
  <si>
    <t>New Haven : Yale University Press, ©2005.</t>
  </si>
  <si>
    <t>794186317:eng</t>
  </si>
  <si>
    <t>56922500</t>
  </si>
  <si>
    <t>ocm56922500</t>
  </si>
  <si>
    <t>3102632259D</t>
  </si>
  <si>
    <t>9780300107852</t>
  </si>
  <si>
    <t>793904166</t>
  </si>
  <si>
    <t>Z1003.5 G7 J35 2016</t>
  </si>
  <si>
    <t>0                      Z  1003500G  7                  J  35          2016</t>
  </si>
  <si>
    <t>Speech, print and decorum in Britain, 1600-1750 : studies in social rank and communication / Elspeth Jajdelska.</t>
  </si>
  <si>
    <t>Jajdelska, Elspeth, author.</t>
  </si>
  <si>
    <t>Abingdon, Oxon : Routledge, 2016.</t>
  </si>
  <si>
    <t>2620167852:eng</t>
  </si>
  <si>
    <t>929155172</t>
  </si>
  <si>
    <t>ocn929155172</t>
  </si>
  <si>
    <t>3103740965E</t>
  </si>
  <si>
    <t>9781472467256</t>
  </si>
  <si>
    <t>795006526</t>
  </si>
  <si>
    <t>Z1003.5 G7 K57 1987</t>
  </si>
  <si>
    <t>0                      Z  1003500G  7                  K  57          1987</t>
  </si>
  <si>
    <t>The making of English reading audiences, 1790-1832 / Jon P. Klancher.</t>
  </si>
  <si>
    <t>Klancher, Jon P.</t>
  </si>
  <si>
    <t>Madison, Wis. : University of Wisconsin Press, 1987.</t>
  </si>
  <si>
    <t>2019-09-09</t>
  </si>
  <si>
    <t>7752823:eng</t>
  </si>
  <si>
    <t>14187320</t>
  </si>
  <si>
    <t>ocm14187320</t>
  </si>
  <si>
    <t>3102333236V</t>
  </si>
  <si>
    <t>9780299107802</t>
  </si>
  <si>
    <t>792881079</t>
  </si>
  <si>
    <t>Z1003.5 G7 K58 2013</t>
  </si>
  <si>
    <t>0                      Z  1003500G  7                  K  58          2013</t>
  </si>
  <si>
    <t>Bound to read : compilations, collections, and the making of Renaissance literature / Jeffrey Todd Knight.</t>
  </si>
  <si>
    <t>Knight, Jeffrey Todd.</t>
  </si>
  <si>
    <t>Philadelphia : University of Pennsylvania Press, ©2013.</t>
  </si>
  <si>
    <t>2014-10-18</t>
  </si>
  <si>
    <t>1183032378:eng</t>
  </si>
  <si>
    <t>818985472</t>
  </si>
  <si>
    <t>ocn818985472</t>
  </si>
  <si>
    <t>31035291012</t>
  </si>
  <si>
    <t>9780812245073</t>
  </si>
  <si>
    <t>794934329</t>
  </si>
  <si>
    <t>Z1003.5 G7 P75 2012</t>
  </si>
  <si>
    <t>0                      Z  1003500G  7                  P  75          2012</t>
  </si>
  <si>
    <t>How to do things with books in Victorian Britain / Leah Price.</t>
  </si>
  <si>
    <t>Price, Leah.</t>
  </si>
  <si>
    <t>Princeton, N.J. : Princeton University Press, ©2012.</t>
  </si>
  <si>
    <t>2016-10-19</t>
  </si>
  <si>
    <t>1018075212:eng</t>
  </si>
  <si>
    <t>755213261</t>
  </si>
  <si>
    <t>ocn755213261</t>
  </si>
  <si>
    <t>3103454596K</t>
  </si>
  <si>
    <t>9780691114170</t>
  </si>
  <si>
    <t>794893719</t>
  </si>
  <si>
    <t>Z1003.5 G7 R43 2003</t>
  </si>
  <si>
    <t>0                      Z  1003500G  7                  R  43          2003</t>
  </si>
  <si>
    <t>Reading, society, and politics in early modern England / edited by Kevin Sharpe and Steven N. Zwicker.</t>
  </si>
  <si>
    <t>350929933:eng</t>
  </si>
  <si>
    <t>51020273</t>
  </si>
  <si>
    <t>ocm51020273</t>
  </si>
  <si>
    <t>3102414062V</t>
  </si>
  <si>
    <t>9780521824347</t>
  </si>
  <si>
    <t>793776957</t>
  </si>
  <si>
    <t>Z1003.5 G7 S25 2012</t>
  </si>
  <si>
    <t>0                      Z  1003500G  7                  S  25          2012</t>
  </si>
  <si>
    <t>Popular reading in English c. 1400-1600. Elisabeth Salter.</t>
  </si>
  <si>
    <t>Salter.</t>
  </si>
  <si>
    <t>Manchester : Manchester University Press 2012.</t>
  </si>
  <si>
    <t>1190085217:eng</t>
  </si>
  <si>
    <t>779881506</t>
  </si>
  <si>
    <t>ocn779881506</t>
  </si>
  <si>
    <t>3103457263N</t>
  </si>
  <si>
    <t>9780719077999</t>
  </si>
  <si>
    <t>794911588</t>
  </si>
  <si>
    <t>Z1003.5 G7 S44 2008</t>
  </si>
  <si>
    <t>0                      Z  1003500G  7                  S  44          2008</t>
  </si>
  <si>
    <t>Used books : marking readers in Renaissance England / William H. Sherman.</t>
  </si>
  <si>
    <t>Sherman, William H. (William Howard), author.</t>
  </si>
  <si>
    <t>Philadelphia, Pennsylvania : University of Pennsylvania Press, [2008]</t>
  </si>
  <si>
    <t>836893080:eng</t>
  </si>
  <si>
    <t>154800578</t>
  </si>
  <si>
    <t>ocn154800578</t>
  </si>
  <si>
    <t>3102646480H</t>
  </si>
  <si>
    <t>9780812240436</t>
  </si>
  <si>
    <t>794253070</t>
  </si>
  <si>
    <t>Z1003.5 G7 S58 2001</t>
  </si>
  <si>
    <t>0                      Z  1003500G  7                  S  58          2001</t>
  </si>
  <si>
    <t>Managing readers : printed marginalia in English Renaissance books / William W.E. Slights.</t>
  </si>
  <si>
    <t>Slights, William W. E.</t>
  </si>
  <si>
    <t>Ann Arbor : University of Michigan Press, ©2001.</t>
  </si>
  <si>
    <t>Editorial theory and literary criticism</t>
  </si>
  <si>
    <t>37057334:eng</t>
  </si>
  <si>
    <t>47797809</t>
  </si>
  <si>
    <t>ocm47797809</t>
  </si>
  <si>
    <t>3102236374E</t>
  </si>
  <si>
    <t>9780472112296</t>
  </si>
  <si>
    <t>793708214</t>
  </si>
  <si>
    <t>Z1003.5 G7 S63 2016</t>
  </si>
  <si>
    <t>0                      Z  1003500G  7                  S  63          2016</t>
  </si>
  <si>
    <t>Spaces for reading in later Medieval England / edited by Mary C. Flannery and Carrie Griffin.</t>
  </si>
  <si>
    <t>New York : Palgrave Macmillan, [2016]</t>
  </si>
  <si>
    <t>2756967775:eng</t>
  </si>
  <si>
    <t>946067211</t>
  </si>
  <si>
    <t>ocn946067211</t>
  </si>
  <si>
    <t>3103654556C</t>
  </si>
  <si>
    <t>9781137428615</t>
  </si>
  <si>
    <t>795014251</t>
  </si>
  <si>
    <t>Z1003.5 G7 T69 2010</t>
  </si>
  <si>
    <t>0                      Z  1003500G  7                  T  69          2010</t>
  </si>
  <si>
    <t>Reading the Scottish Enlightenment : books and their readers in provincial Scotland, 1750-1820 / by Mark R.M. Towsey.</t>
  </si>
  <si>
    <t>Towsey, Mark R. M.</t>
  </si>
  <si>
    <t>Leiden, The Netherlands ; Boston : Brill, 2010.</t>
  </si>
  <si>
    <t>Library of the written word ; v. 10</t>
  </si>
  <si>
    <t>796556853:eng</t>
  </si>
  <si>
    <t>647218880</t>
  </si>
  <si>
    <t>ocn647218880</t>
  </si>
  <si>
    <t>3103237896L</t>
  </si>
  <si>
    <t>9789004184329</t>
  </si>
  <si>
    <t>794830737</t>
  </si>
  <si>
    <t>Z1003.5 G7 T83 2010</t>
  </si>
  <si>
    <t>0                      Z  1003500G  7                  T  83          2010</t>
  </si>
  <si>
    <t>Tudor books and readers : materiality and the construction of meaning / edited by John N. King.</t>
  </si>
  <si>
    <t>793220412:eng</t>
  </si>
  <si>
    <t>422765082</t>
  </si>
  <si>
    <t>ocn422765082</t>
  </si>
  <si>
    <t>3103134687A</t>
  </si>
  <si>
    <t>9780521514941</t>
  </si>
  <si>
    <t>794505864</t>
  </si>
  <si>
    <t>Z1003.5 G7 W55 2017</t>
  </si>
  <si>
    <t>0                      Z  1003500G  7                  W  55          2017</t>
  </si>
  <si>
    <t>The social life of books : reading together in the eighteenth-century home / Abigail Williams.</t>
  </si>
  <si>
    <t>Williams, Abigail, author.</t>
  </si>
  <si>
    <t>New Haven ; London : Yale University Press, [2017]</t>
  </si>
  <si>
    <t>Lewis Walpole series in eighteenth-century culture and history</t>
  </si>
  <si>
    <t>3923864285:eng</t>
  </si>
  <si>
    <t>961310989</t>
  </si>
  <si>
    <t>ocn961310989</t>
  </si>
  <si>
    <t>31037401780</t>
  </si>
  <si>
    <t>9780300208290</t>
  </si>
  <si>
    <t>795023805</t>
  </si>
  <si>
    <t>Z1003.5 G8 S9413 1993</t>
  </si>
  <si>
    <t>0                      Z  1003500G  8                  S  9413        1993</t>
  </si>
  <si>
    <t>Phrasikleia : an anthropology of reading in ancient Greece / Jesper Svenbro ; translated by Janet Lloyd.</t>
  </si>
  <si>
    <t>Svenbro, Jesper, 1944-</t>
  </si>
  <si>
    <t>Ithaca, N.Y. : Cornell University Press, 1993.</t>
  </si>
  <si>
    <t>Myth and poetics</t>
  </si>
  <si>
    <t>2017-10-22</t>
  </si>
  <si>
    <t>18283704:eng</t>
  </si>
  <si>
    <t>25915235</t>
  </si>
  <si>
    <t>ocm25915235</t>
  </si>
  <si>
    <t>3103294733I</t>
  </si>
  <si>
    <t>9780801425196</t>
  </si>
  <si>
    <t>793233116</t>
  </si>
  <si>
    <t>Z1003.5 I73 G55 2005</t>
  </si>
  <si>
    <t>0                      Z  1003500I  73                 G  55          2005</t>
  </si>
  <si>
    <t>Reading Ireland : print, reading, and social change in early modern Ireland / Raymond Gillespie.</t>
  </si>
  <si>
    <t>Gillespie, Raymond.</t>
  </si>
  <si>
    <t>Manchester : Manchester University Press ; New York : Distributed exclusively in the USA by Palgrave, 2005.</t>
  </si>
  <si>
    <t>Politics, culture, and society in early modern Britain</t>
  </si>
  <si>
    <t>18185:eng</t>
  </si>
  <si>
    <t>59223587</t>
  </si>
  <si>
    <t>ocm59223587</t>
  </si>
  <si>
    <t>31024876389</t>
  </si>
  <si>
    <t>9780719055270</t>
  </si>
  <si>
    <t>793928527</t>
  </si>
  <si>
    <t>Z1003.5 I8 B3</t>
  </si>
  <si>
    <t>0                      Z  1003500I  8                  B  3</t>
  </si>
  <si>
    <t>Primo, non leggere : biblioteche e pubblica lettura in Italia dal 1861 ai nostri giorni / Giulia Barone, Armando Petrucci.</t>
  </si>
  <si>
    <t>Barone, Giulia, 1947-</t>
  </si>
  <si>
    <t>Milano : G. Mazzotta, ©1976.</t>
  </si>
  <si>
    <t>Nuova informazione ; 35</t>
  </si>
  <si>
    <t>293597664:ita</t>
  </si>
  <si>
    <t>2440432</t>
  </si>
  <si>
    <t>ocm02440432</t>
  </si>
  <si>
    <t>30004016162</t>
  </si>
  <si>
    <t>792122398</t>
  </si>
  <si>
    <t>Z1003.5 I8 D66 2016</t>
  </si>
  <si>
    <t>0                      Z  1003500I  8                  D  66          2016</t>
  </si>
  <si>
    <t>Angelica's book and the world of reading in late Renaissance Italy / Brendan Dooley.</t>
  </si>
  <si>
    <t>Dooley, Brendan Maurice, 1953- author.</t>
  </si>
  <si>
    <t>London ; Oxford ; New York : Bloomsbury Academic, an imprint of Bloomsbury Publishing Plc, 2016.</t>
  </si>
  <si>
    <t>Cultures of early modern Europe</t>
  </si>
  <si>
    <t>3909439252:eng</t>
  </si>
  <si>
    <t>945029461</t>
  </si>
  <si>
    <t>ocn945029461</t>
  </si>
  <si>
    <t>3103670833K</t>
  </si>
  <si>
    <t>9781474270311</t>
  </si>
  <si>
    <t>795013223</t>
  </si>
  <si>
    <t>Z1003.5 I8 F67 2017</t>
  </si>
  <si>
    <t>0                      Z  1003500I  8                  F  67          2017</t>
  </si>
  <si>
    <t>The formation of a national audience in Italy, 1750-1890 : readers and spectators of Italian culture / edited by Gabriella Romani, Jennifer Burns.</t>
  </si>
  <si>
    <t>Madison : Fairleigh Dickinson University Press ; Lanham, Maryland : Copublished by the Rowman &amp; Littlefield Publishing Group, Inc., [2017]</t>
  </si>
  <si>
    <t>The Fairleigh Dickinson University Press series in Italian studies</t>
  </si>
  <si>
    <t>4084225878:eng</t>
  </si>
  <si>
    <t>973920594</t>
  </si>
  <si>
    <t>ocn973920594</t>
  </si>
  <si>
    <t>3103740270C</t>
  </si>
  <si>
    <t>9781611478006</t>
  </si>
  <si>
    <t>795029386</t>
  </si>
  <si>
    <t>Z1003.5 L29 G66 2011</t>
  </si>
  <si>
    <t>0                      Z  1003500L  29                 G  66          2011</t>
  </si>
  <si>
    <t>New world literacy : writing and culture across the Atlantic, 1500-1700 / Carlos Alberto González Sánchez ; translated by Tristan Platt ; revised by Behany Aram.</t>
  </si>
  <si>
    <t>González Sánchez, Carlos Alberto.</t>
  </si>
  <si>
    <t>Lewisburg [Pa.] : Bucknell University Press ; Lanham, Md. : Co-published with Rowman &amp; Littlefield Pub. Group, ©2011.</t>
  </si>
  <si>
    <t>The Bucknell studies in Latin American literature and theory</t>
  </si>
  <si>
    <t>902953201:eng</t>
  </si>
  <si>
    <t>645707847</t>
  </si>
  <si>
    <t>ocn645707847</t>
  </si>
  <si>
    <t>31033454493</t>
  </si>
  <si>
    <t>9780838758045</t>
  </si>
  <si>
    <t>794829754</t>
  </si>
  <si>
    <t>Z1003.5 Q4 L58 1988</t>
  </si>
  <si>
    <t>0                      Z  1003500Q  4                  L  58          1988</t>
  </si>
  <si>
    <t>Livre et lecture au Québec, 1800-1850 / sous la direction de Claude Galarneau et Maurice Lemire.</t>
  </si>
  <si>
    <t>Québec : Institut québécois de recherche sur la culture, 1988.</t>
  </si>
  <si>
    <t>16758967:fre</t>
  </si>
  <si>
    <t>194471065</t>
  </si>
  <si>
    <t>ocn194471065</t>
  </si>
  <si>
    <t>30005873082</t>
  </si>
  <si>
    <t>9782892241068</t>
  </si>
  <si>
    <t>794304064</t>
  </si>
  <si>
    <t>Z1003.5 Q42 I47 1983</t>
  </si>
  <si>
    <t>0                      Z  1003500Q  42                 I  47          1983</t>
  </si>
  <si>
    <t>L'Imprimé au Québec : aspects historiques, 18e-20e siècles / sous la direction de Yvan Lamonde.</t>
  </si>
  <si>
    <t>Québec : Institut québécois de recherche sur la culture, 1983.</t>
  </si>
  <si>
    <t>Collection "Culture savante", 0714-5608 ; no 2</t>
  </si>
  <si>
    <t>2012-09-19</t>
  </si>
  <si>
    <t>3793143:fre</t>
  </si>
  <si>
    <t>10046477</t>
  </si>
  <si>
    <t>ocm10046477</t>
  </si>
  <si>
    <t>30003480179</t>
  </si>
  <si>
    <t>9782892240269</t>
  </si>
  <si>
    <t>792706518</t>
  </si>
  <si>
    <t>31027749103</t>
  </si>
  <si>
    <t>792706517</t>
  </si>
  <si>
    <t>Z1003.5 R57 J64 2010</t>
  </si>
  <si>
    <t>0                      Z  1003500R  57                 J  64          2010</t>
  </si>
  <si>
    <t>Readers and reading culture in the high Roman Empire : a study of elite communities / William A. Johnson.</t>
  </si>
  <si>
    <t>Johnson, William A. (William Allen), 1956-</t>
  </si>
  <si>
    <t>New York : Oxford University Press, 2010.</t>
  </si>
  <si>
    <t>Classical culture and society</t>
  </si>
  <si>
    <t>2017-06-14</t>
  </si>
  <si>
    <t>793954054:eng</t>
  </si>
  <si>
    <t>324776996</t>
  </si>
  <si>
    <t>ocn324776996</t>
  </si>
  <si>
    <t>3103242290H</t>
  </si>
  <si>
    <t>9780195176407</t>
  </si>
  <si>
    <t>794490271</t>
  </si>
  <si>
    <t>Z1003.5 R9 L68 2000</t>
  </si>
  <si>
    <t>0                      Z  1003500R  9                  L  68          2000</t>
  </si>
  <si>
    <t>The Russian reading revolution : print culture in the Soviet and post-Soviet eras / Stephen Lovell.</t>
  </si>
  <si>
    <t>Lovell, Stephen, 1972-</t>
  </si>
  <si>
    <t>New York : St. Martin's Press, in association with the School of Slavonic and East European Studies, University of London, 2000.</t>
  </si>
  <si>
    <t>Studies in Russia and East Europe.</t>
  </si>
  <si>
    <t>793076326:eng</t>
  </si>
  <si>
    <t>42444174</t>
  </si>
  <si>
    <t>ocm42444174</t>
  </si>
  <si>
    <t>3102184648W</t>
  </si>
  <si>
    <t>9780333778265</t>
  </si>
  <si>
    <t>793607753</t>
  </si>
  <si>
    <t>Z1003.5 R9 S63 2011</t>
  </si>
  <si>
    <t>0                      Z  1003500R  9                  S  63          2011</t>
  </si>
  <si>
    <t>The space of the book : print culture in the Russian social imagination / edited by Miranda Remnek.</t>
  </si>
  <si>
    <t>552434639:eng</t>
  </si>
  <si>
    <t>651903019</t>
  </si>
  <si>
    <t>ocn651903019</t>
  </si>
  <si>
    <t>3103325060L</t>
  </si>
  <si>
    <t>9781442641020</t>
  </si>
  <si>
    <t>794833097</t>
  </si>
  <si>
    <t>Z1003.5 S6 D53 2012</t>
  </si>
  <si>
    <t>0                      Z  1003500S  6                  D  53          2012</t>
  </si>
  <si>
    <t>The hidden history of South Africa's book and reading cultures / Archie L. Dick.</t>
  </si>
  <si>
    <t>Dick, Archie L.</t>
  </si>
  <si>
    <t>Toronto ; Buffalo : University of Toronto Press, ©2012.</t>
  </si>
  <si>
    <t>1063803236:eng</t>
  </si>
  <si>
    <t>768534911</t>
  </si>
  <si>
    <t>ocn768534911</t>
  </si>
  <si>
    <t>3103327217H</t>
  </si>
  <si>
    <t>9781442642898</t>
  </si>
  <si>
    <t>794902521</t>
  </si>
  <si>
    <t>Z1003.5 S62 B76 1985</t>
  </si>
  <si>
    <t>0                      Z  1003500S  62                 B  76          1985</t>
  </si>
  <si>
    <t>When Russia learned to read : literacy and popular literature, 1861-1917 / Jeffrey Brooks.</t>
  </si>
  <si>
    <t>Brooks, Jeffrey, 1942-</t>
  </si>
  <si>
    <t>837455269:eng</t>
  </si>
  <si>
    <t>11841615</t>
  </si>
  <si>
    <t>ocm11841615</t>
  </si>
  <si>
    <t>3103398572V</t>
  </si>
  <si>
    <t>9780691054506</t>
  </si>
  <si>
    <t>792790421</t>
  </si>
  <si>
    <t>Z1003.5 S62 B76 2003</t>
  </si>
  <si>
    <t>0                      Z  1003500S  62                 B  76          2003</t>
  </si>
  <si>
    <t>Evanston, Ill. : Northwestern University Press, 2003.</t>
  </si>
  <si>
    <t>Studies in Russian literature and theory</t>
  </si>
  <si>
    <t>51722854</t>
  </si>
  <si>
    <t>ocm51722854</t>
  </si>
  <si>
    <t>3102290257F</t>
  </si>
  <si>
    <t>9780810118973</t>
  </si>
  <si>
    <t>793789593</t>
  </si>
  <si>
    <t>Z1003.5 S7 C278 2016</t>
  </si>
  <si>
    <t>0                      Z  1003500S  7                  C  278         2016</t>
  </si>
  <si>
    <t>Leer y oír leer : ensayos sobre la lectura en los Siglos de Oro / Antonio Castillo Gómez.</t>
  </si>
  <si>
    <t>Castillo, Antonio (Castillo Gómez)</t>
  </si>
  <si>
    <t>Madrid : Iberoamericana ; Frankfurt am Main : Vervuert, 2016.</t>
  </si>
  <si>
    <t>Tiempo emulado : historia de América y España ; 50</t>
  </si>
  <si>
    <t>2994538117:spa</t>
  </si>
  <si>
    <t>948940876</t>
  </si>
  <si>
    <t>ocn948940876</t>
  </si>
  <si>
    <t>3103630864X</t>
  </si>
  <si>
    <t>9788484899570</t>
  </si>
  <si>
    <t>795015852</t>
  </si>
  <si>
    <t>Z1003.8 T37 2015</t>
  </si>
  <si>
    <t>0                      Z  1003800T  37          2015</t>
  </si>
  <si>
    <t>Portraits and reviews / G. Thomas Tanselle.</t>
  </si>
  <si>
    <t>Charlottesville : The Bibliographical Society of the University of Virginia, 2015.</t>
  </si>
  <si>
    <t>2235408712:eng</t>
  </si>
  <si>
    <t>897001558</t>
  </si>
  <si>
    <t>ocn897001558</t>
  </si>
  <si>
    <t>3103609957$</t>
  </si>
  <si>
    <t>9781883631161</t>
  </si>
  <si>
    <t>794984721</t>
  </si>
  <si>
    <t>Z1004 O83 W75 2014</t>
  </si>
  <si>
    <t>0                      Z  1004000O  83                 W  75          2014</t>
  </si>
  <si>
    <t>Cataloging the world : Paul Otlet and the birth of the information age / Alex Wright.</t>
  </si>
  <si>
    <t>Wright, Alex, 1966- author.</t>
  </si>
  <si>
    <t>2014-08-12</t>
  </si>
  <si>
    <t>1873189033:eng</t>
  </si>
  <si>
    <t>861478071</t>
  </si>
  <si>
    <t>ocn861478071</t>
  </si>
  <si>
    <t>3103565969$</t>
  </si>
  <si>
    <t>9780199931415</t>
  </si>
  <si>
    <t>794959181</t>
  </si>
  <si>
    <t>Z1004 P67 B35 2006</t>
  </si>
  <si>
    <t>0                      Z  1004000P  67                 B  35          2006</t>
  </si>
  <si>
    <t>Antonio Possevino S.I., bibliografo della Controriforma e diffusione della sua opera in area anglicana / Luigi Balsamo.</t>
  </si>
  <si>
    <t>[Firenze] : L.S. Olschki, 2006.</t>
  </si>
  <si>
    <t>Biblioteca di bibliografia italiana ; 186</t>
  </si>
  <si>
    <t>2016-11-22</t>
  </si>
  <si>
    <t>61927297:ita</t>
  </si>
  <si>
    <t>76000825</t>
  </si>
  <si>
    <t>ocm76000825</t>
  </si>
  <si>
    <t>3102693985Q</t>
  </si>
  <si>
    <t>9788822255693</t>
  </si>
  <si>
    <t>794175458</t>
  </si>
  <si>
    <t>Z1004 P8 A3 2010</t>
  </si>
  <si>
    <t>0                      Z  1004000P  8                  A  3           2010</t>
  </si>
  <si>
    <t>A critical edition of the private diaries of Robert Proctor : the life of a librarian at the British Museum / edited by J.H. Bowman ; with a foreword by John Goldfinch.</t>
  </si>
  <si>
    <t>Proctor, Robert, 1868-1903.</t>
  </si>
  <si>
    <t>Lewiston, N.Y. : Edwin Mellen Press, ©2010.</t>
  </si>
  <si>
    <t>456901374:eng</t>
  </si>
  <si>
    <t>586123221</t>
  </si>
  <si>
    <t>ocn586123221</t>
  </si>
  <si>
    <t>3103532115N</t>
  </si>
  <si>
    <t>9780773436343</t>
  </si>
  <si>
    <t>794814202</t>
  </si>
  <si>
    <t>Z1004 S9 S9</t>
  </si>
  <si>
    <t>0                      Z  1004000S  9                  S  9</t>
  </si>
  <si>
    <t>A.J.A. Symons, his life and speculations / Julian Symons.</t>
  </si>
  <si>
    <t>Symons, Julian, 1912-1994, author.</t>
  </si>
  <si>
    <t>London : Eyre &amp; Spottiswoode, 1950.</t>
  </si>
  <si>
    <t>2017-10-28</t>
  </si>
  <si>
    <t>21073297:eng</t>
  </si>
  <si>
    <t>1392583</t>
  </si>
  <si>
    <t>ocm01392583</t>
  </si>
  <si>
    <t>30007610255</t>
  </si>
  <si>
    <t>791617316</t>
  </si>
  <si>
    <t>Z1005 B68 1975</t>
  </si>
  <si>
    <t>0                      Z  1005000B  68          1975</t>
  </si>
  <si>
    <t>Essays in bibliography, text, and editing [by] Fredson Bowers.</t>
  </si>
  <si>
    <t>Charlottesville, Published for the Bibliographical Society of the University of Virginia by the University Press of Virginia [1975]</t>
  </si>
  <si>
    <t>820234:eng</t>
  </si>
  <si>
    <t>1046845</t>
  </si>
  <si>
    <t>ocm01046845</t>
  </si>
  <si>
    <t>3103386951$</t>
  </si>
  <si>
    <t>9780813905860</t>
  </si>
  <si>
    <t>791533120</t>
  </si>
  <si>
    <t>Z1005 G62 2010</t>
  </si>
  <si>
    <t>0                      Z  1005000G  62          2010</t>
  </si>
  <si>
    <t>Lire, c'est la vie / Jacques Godbout.</t>
  </si>
  <si>
    <t>Godbout, Jacques, 1933-</t>
  </si>
  <si>
    <t>Montréal : Boréal, 2010.</t>
  </si>
  <si>
    <t>Collection Papiers collés</t>
  </si>
  <si>
    <t>369169811:fre</t>
  </si>
  <si>
    <t>495090486</t>
  </si>
  <si>
    <t>ocn495090486</t>
  </si>
  <si>
    <t>3103266733P</t>
  </si>
  <si>
    <t>9782764620083</t>
  </si>
  <si>
    <t>794801585</t>
  </si>
  <si>
    <t>Z1005 M325 2002</t>
  </si>
  <si>
    <t>0                      Z  1005000M  325         2002</t>
  </si>
  <si>
    <t>Making meaning : "Printers of the mind" and other essays / D.F. McKenzie ; edited by Peter D. McDonald and Michael F. Suarez.</t>
  </si>
  <si>
    <t>Amherst : University of Massachusetts Press, 2002.</t>
  </si>
  <si>
    <t>307303020:eng</t>
  </si>
  <si>
    <t>48140303</t>
  </si>
  <si>
    <t>ocm48140303</t>
  </si>
  <si>
    <t>3102198996K</t>
  </si>
  <si>
    <t>9781558493353</t>
  </si>
  <si>
    <t>793716897</t>
  </si>
  <si>
    <t>Z1005 M86</t>
  </si>
  <si>
    <t>0                      Z  1005000M  86</t>
  </si>
  <si>
    <t>3000779128N</t>
  </si>
  <si>
    <t>791397868</t>
  </si>
  <si>
    <t>Z1005 P64</t>
  </si>
  <si>
    <t>0                      Z  1005000P  64</t>
  </si>
  <si>
    <t>Alfred William Pollard : a selection of his essays / compiled by Fred W. Roper.</t>
  </si>
  <si>
    <t>Pollard, Alfred W. (Alfred William), 1859-1944.</t>
  </si>
  <si>
    <t>The Great bibliographers series ; no. 2</t>
  </si>
  <si>
    <t>905627150:eng</t>
  </si>
  <si>
    <t>2346903</t>
  </si>
  <si>
    <t>ocm02346903</t>
  </si>
  <si>
    <t>3000853582$</t>
  </si>
  <si>
    <t>9780810809581</t>
  </si>
  <si>
    <t>792107329</t>
  </si>
  <si>
    <t>Z1006 A33 2016</t>
  </si>
  <si>
    <t>0                      Z  1006000A  33          2016</t>
  </si>
  <si>
    <t>Les 500 mots métiers : bibliothèques, archives, documentation, musées : traduits en anglais et allemand / Jean-Philippe Accart, Clotilde Vaissaire-Agard.</t>
  </si>
  <si>
    <t>Accart, Jean-Philippe, author.</t>
  </si>
  <si>
    <t>Bois-Guillaume : Éditions KLOG, [2016]</t>
  </si>
  <si>
    <t>3875093410:fre</t>
  </si>
  <si>
    <t>958610783</t>
  </si>
  <si>
    <t>ocn958610783</t>
  </si>
  <si>
    <t>3103728303W</t>
  </si>
  <si>
    <t>9791092272116</t>
  </si>
  <si>
    <t>795021912</t>
  </si>
  <si>
    <t>Z1006 B42 2016</t>
  </si>
  <si>
    <t>0                      Z  1006000B  42          2016</t>
  </si>
  <si>
    <t>The dictionary of the book : a glossary for book collectors, booksellers, librarians, and others / Sidney E. Berger.</t>
  </si>
  <si>
    <t>Lanham, Maryland : Rowman &amp; Littlefield, [2016]</t>
  </si>
  <si>
    <t>2974797557:eng</t>
  </si>
  <si>
    <t>946160538</t>
  </si>
  <si>
    <t>ocn946160538</t>
  </si>
  <si>
    <t>3103698035X</t>
  </si>
  <si>
    <t>9781442263390</t>
  </si>
  <si>
    <t>795014324</t>
  </si>
  <si>
    <t>Z1006 B6 1951</t>
  </si>
  <si>
    <t>0                      Z  1006000B  6           1951</t>
  </si>
  <si>
    <t>The Bookman's glossary.</t>
  </si>
  <si>
    <t>New York, Bowker [©1951]</t>
  </si>
  <si>
    <t>3d ed., rev. and enl.</t>
  </si>
  <si>
    <t>8912291426:eng</t>
  </si>
  <si>
    <t>788074</t>
  </si>
  <si>
    <t>ocm00788074</t>
  </si>
  <si>
    <t>30008535900</t>
  </si>
  <si>
    <t>791470036</t>
  </si>
  <si>
    <t>Z1006 C37 2004</t>
  </si>
  <si>
    <t>0                      Z  1006000C  37          2004</t>
  </si>
  <si>
    <t>ABC for book collectors / John Carter.</t>
  </si>
  <si>
    <t>New Castle, DE : Oak Knoll Press ; London : British Library, 2004.</t>
  </si>
  <si>
    <t>8th ed. / [with corrections, additions, and an introduction by] Nicholas Barker.</t>
  </si>
  <si>
    <t>2018-12-12</t>
  </si>
  <si>
    <t>4926974207:eng</t>
  </si>
  <si>
    <t>52429432</t>
  </si>
  <si>
    <t>ocm52429432</t>
  </si>
  <si>
    <t>3102795194Y</t>
  </si>
  <si>
    <t>9781584561125</t>
  </si>
  <si>
    <t>793806307</t>
  </si>
  <si>
    <t>Z1006 C37 2016</t>
  </si>
  <si>
    <t>0                      Z  1006000C  37          2016</t>
  </si>
  <si>
    <t>John Carter's ABC for book collectors.</t>
  </si>
  <si>
    <t>Carter, John, 1905-1975, author.</t>
  </si>
  <si>
    <t>Ninth edition / Nicolas Barker &amp; Simran Thadani.</t>
  </si>
  <si>
    <t>942601663</t>
  </si>
  <si>
    <t>ocn942601663</t>
  </si>
  <si>
    <t>3103656785O</t>
  </si>
  <si>
    <t>9781584563525</t>
  </si>
  <si>
    <t>795012404</t>
  </si>
  <si>
    <t>Z1006 C6</t>
  </si>
  <si>
    <t>0                      Z  1006000C  6</t>
  </si>
  <si>
    <t>Elsevier's dictionary of library science, information, and documentation, in six languages: English/American, French, Spanish, Italian, Dutch, and German. Compiled and arranged on an English alphabetical basis by W.E. Clason.</t>
  </si>
  <si>
    <t>Clason, W. E., 1898-1990.</t>
  </si>
  <si>
    <t>Amsterdam, New York, Elsevier Scientific Pub. Co., 1973.</t>
  </si>
  <si>
    <t>2015-10-27</t>
  </si>
  <si>
    <t>3863870550:eng</t>
  </si>
  <si>
    <t>658079</t>
  </si>
  <si>
    <t>ocm00658079</t>
  </si>
  <si>
    <t>3000847390V</t>
  </si>
  <si>
    <t>9780444410184</t>
  </si>
  <si>
    <t>791439606</t>
  </si>
  <si>
    <t>Z1006 C87</t>
  </si>
  <si>
    <t>0                      Z  1006000C  87</t>
  </si>
  <si>
    <t>Bibliographers' glossary of foreign words and phrases : an alphabet of terms in bibliographical and booktrade use, compiled from twenty languages / by Barbara Cowles.</t>
  </si>
  <si>
    <t>Cowles, Barbara (Pehotsky), Mrs.</t>
  </si>
  <si>
    <t>New York : R.R. Bowker Co., 1933.</t>
  </si>
  <si>
    <t>28315772:eng</t>
  </si>
  <si>
    <t>788079</t>
  </si>
  <si>
    <t>ocm00788079</t>
  </si>
  <si>
    <t>3000646235P</t>
  </si>
  <si>
    <t>791470038</t>
  </si>
  <si>
    <t>Z1006 E3</t>
  </si>
  <si>
    <t>0                      Z  1006000E  3</t>
  </si>
  <si>
    <t>A glossary of book trade terms in five languages = Glossaire en cinq langues à l'usage de l'industrie du livre / Edi- Qu[a]ebec.</t>
  </si>
  <si>
    <t>Edi-Québec.</t>
  </si>
  <si>
    <t>Montr[a]eal : Edi-Qu[a]ebec, 1974.</t>
  </si>
  <si>
    <t>4131885923:eng</t>
  </si>
  <si>
    <t>61611163</t>
  </si>
  <si>
    <t>ocm61611163</t>
  </si>
  <si>
    <t>30008634534</t>
  </si>
  <si>
    <t>794049556</t>
  </si>
  <si>
    <t>Z1006 E57</t>
  </si>
  <si>
    <t>0                      Z  1006000E  57</t>
  </si>
  <si>
    <t>Encyclopedia of library and information science / editors, Allen Kent and Harold Lancour ; assistant editor, William Z. Nasri.</t>
  </si>
  <si>
    <t>v.68</t>
  </si>
  <si>
    <t>New York : M. Dekker, ©1968-&lt;c2003&gt;</t>
  </si>
  <si>
    <t>2016-04-06</t>
  </si>
  <si>
    <t>4020413323:eng</t>
  </si>
  <si>
    <t>311902</t>
  </si>
  <si>
    <t>ocm00311902</t>
  </si>
  <si>
    <t>3102044860S</t>
  </si>
  <si>
    <t>9780824720674</t>
  </si>
  <si>
    <t>791332983</t>
  </si>
  <si>
    <t>v.43</t>
  </si>
  <si>
    <t>31003812350</t>
  </si>
  <si>
    <t>791333008</t>
  </si>
  <si>
    <t>v.72</t>
  </si>
  <si>
    <t>3102184424H</t>
  </si>
  <si>
    <t>791332979</t>
  </si>
  <si>
    <t>3100381278J</t>
  </si>
  <si>
    <t>791333013</t>
  </si>
  <si>
    <t>3100381273T</t>
  </si>
  <si>
    <t>791333017</t>
  </si>
  <si>
    <t>31003812091</t>
  </si>
  <si>
    <t>791333048</t>
  </si>
  <si>
    <t>v.63</t>
  </si>
  <si>
    <t>3101898748Z</t>
  </si>
  <si>
    <t>791332988</t>
  </si>
  <si>
    <t>31003812180</t>
  </si>
  <si>
    <t>791333025</t>
  </si>
  <si>
    <t>v.61</t>
  </si>
  <si>
    <t>31018096599</t>
  </si>
  <si>
    <t>791332990</t>
  </si>
  <si>
    <t>3100381230A</t>
  </si>
  <si>
    <t>791333039</t>
  </si>
  <si>
    <t>31003812253</t>
  </si>
  <si>
    <t>791333040</t>
  </si>
  <si>
    <t>31003812164</t>
  </si>
  <si>
    <t>791333029</t>
  </si>
  <si>
    <t>3100381213A</t>
  </si>
  <si>
    <t>791333034</t>
  </si>
  <si>
    <t>v.49</t>
  </si>
  <si>
    <t>3101143787I</t>
  </si>
  <si>
    <t>791333002</t>
  </si>
  <si>
    <t>v.51</t>
  </si>
  <si>
    <t>31012196962</t>
  </si>
  <si>
    <t>791333000</t>
  </si>
  <si>
    <t>31003812172</t>
  </si>
  <si>
    <t>791333030</t>
  </si>
  <si>
    <t>3100381238V</t>
  </si>
  <si>
    <t>791333011</t>
  </si>
  <si>
    <t>v.45</t>
  </si>
  <si>
    <t>3100383080U</t>
  </si>
  <si>
    <t>791333006</t>
  </si>
  <si>
    <t>3100381229W</t>
  </si>
  <si>
    <t>791333028</t>
  </si>
  <si>
    <t>v.50</t>
  </si>
  <si>
    <t>3100962548I</t>
  </si>
  <si>
    <t>791333001</t>
  </si>
  <si>
    <t>3100381277L</t>
  </si>
  <si>
    <t>791333022</t>
  </si>
  <si>
    <t>3100381227$</t>
  </si>
  <si>
    <t>791333046</t>
  </si>
  <si>
    <t>v.64</t>
  </si>
  <si>
    <t>31019721993</t>
  </si>
  <si>
    <t>791332987</t>
  </si>
  <si>
    <t>3100381211E</t>
  </si>
  <si>
    <t>791333049</t>
  </si>
  <si>
    <t>v.60</t>
  </si>
  <si>
    <t>3101742151Q</t>
  </si>
  <si>
    <t>791332991</t>
  </si>
  <si>
    <t>v.59</t>
  </si>
  <si>
    <t>3101558652J</t>
  </si>
  <si>
    <t>791332992</t>
  </si>
  <si>
    <t>31003812601</t>
  </si>
  <si>
    <t>791333023</t>
  </si>
  <si>
    <t>31003812245</t>
  </si>
  <si>
    <t>791333041</t>
  </si>
  <si>
    <t>31003812326</t>
  </si>
  <si>
    <t>791333037</t>
  </si>
  <si>
    <t>3100381228Y</t>
  </si>
  <si>
    <t>791333027</t>
  </si>
  <si>
    <t>3100381275P</t>
  </si>
  <si>
    <t>791333020</t>
  </si>
  <si>
    <t>v.44</t>
  </si>
  <si>
    <t>2009-02-06</t>
  </si>
  <si>
    <t>31003812342</t>
  </si>
  <si>
    <t>791333007</t>
  </si>
  <si>
    <t>v.62</t>
  </si>
  <si>
    <t>31018868579</t>
  </si>
  <si>
    <t>791332989</t>
  </si>
  <si>
    <t>v.69</t>
  </si>
  <si>
    <t>31020934000</t>
  </si>
  <si>
    <t>791332982</t>
  </si>
  <si>
    <t>v.48</t>
  </si>
  <si>
    <t>3101020332J</t>
  </si>
  <si>
    <t>791333003</t>
  </si>
  <si>
    <t>3100381271X</t>
  </si>
  <si>
    <t>791333016</t>
  </si>
  <si>
    <t>2012-01-31</t>
  </si>
  <si>
    <t>31003812261</t>
  </si>
  <si>
    <t>791333047</t>
  </si>
  <si>
    <t>v.67</t>
  </si>
  <si>
    <t>3102047656C</t>
  </si>
  <si>
    <t>791332984</t>
  </si>
  <si>
    <t>v.52</t>
  </si>
  <si>
    <t>31012245544</t>
  </si>
  <si>
    <t>791332999</t>
  </si>
  <si>
    <t>v.46</t>
  </si>
  <si>
    <t>3100879646L</t>
  </si>
  <si>
    <t>791333005</t>
  </si>
  <si>
    <t>31003812318</t>
  </si>
  <si>
    <t>791333038</t>
  </si>
  <si>
    <t>31003812156</t>
  </si>
  <si>
    <t>791333032</t>
  </si>
  <si>
    <t>3100381212C</t>
  </si>
  <si>
    <t>791333033</t>
  </si>
  <si>
    <t>3100381261$</t>
  </si>
  <si>
    <t>791333024</t>
  </si>
  <si>
    <t>3100381270Z</t>
  </si>
  <si>
    <t>791333015</t>
  </si>
  <si>
    <t>31003812237</t>
  </si>
  <si>
    <t>791333042</t>
  </si>
  <si>
    <t>v.53</t>
  </si>
  <si>
    <t>3101270475R</t>
  </si>
  <si>
    <t>791332998</t>
  </si>
  <si>
    <t>31003812148</t>
  </si>
  <si>
    <t>791333031</t>
  </si>
  <si>
    <t>3100381279H</t>
  </si>
  <si>
    <t>791333014</t>
  </si>
  <si>
    <t>3000847305B</t>
  </si>
  <si>
    <t>791333050</t>
  </si>
  <si>
    <t>3100381239T</t>
  </si>
  <si>
    <t>791333012</t>
  </si>
  <si>
    <t>v.65</t>
  </si>
  <si>
    <t>3101997306S</t>
  </si>
  <si>
    <t>791332986</t>
  </si>
  <si>
    <t>3100381274R</t>
  </si>
  <si>
    <t>791333019</t>
  </si>
  <si>
    <t>3100381221B</t>
  </si>
  <si>
    <t>791333044</t>
  </si>
  <si>
    <t>v.55</t>
  </si>
  <si>
    <t>3101315844Q</t>
  </si>
  <si>
    <t>791332996</t>
  </si>
  <si>
    <t>v.73</t>
  </si>
  <si>
    <t>31022372969</t>
  </si>
  <si>
    <t>791332978</t>
  </si>
  <si>
    <t>3100381219Z</t>
  </si>
  <si>
    <t>791333026</t>
  </si>
  <si>
    <t>3100381276N</t>
  </si>
  <si>
    <t>791333021</t>
  </si>
  <si>
    <t>v.70</t>
  </si>
  <si>
    <t>2004-11-18</t>
  </si>
  <si>
    <t>3102151744W</t>
  </si>
  <si>
    <t>791332981</t>
  </si>
  <si>
    <t>v.42</t>
  </si>
  <si>
    <t>3100381236Z</t>
  </si>
  <si>
    <t>791333009</t>
  </si>
  <si>
    <t>3100381210G</t>
  </si>
  <si>
    <t>791333035</t>
  </si>
  <si>
    <t>v.58</t>
  </si>
  <si>
    <t>31015712848</t>
  </si>
  <si>
    <t>791332993</t>
  </si>
  <si>
    <t>v.66</t>
  </si>
  <si>
    <t>3102013318X</t>
  </si>
  <si>
    <t>791332985</t>
  </si>
  <si>
    <t>3100381220D</t>
  </si>
  <si>
    <t>791333045</t>
  </si>
  <si>
    <t>31003812229</t>
  </si>
  <si>
    <t>791333043</t>
  </si>
  <si>
    <t>v.47</t>
  </si>
  <si>
    <t>3100879656I</t>
  </si>
  <si>
    <t>791333004</t>
  </si>
  <si>
    <t>31003812334</t>
  </si>
  <si>
    <t>791333036</t>
  </si>
  <si>
    <t>v.56</t>
  </si>
  <si>
    <t>3101458517W</t>
  </si>
  <si>
    <t>791332995</t>
  </si>
  <si>
    <t>v.71</t>
  </si>
  <si>
    <t>3102164452O</t>
  </si>
  <si>
    <t>791332980</t>
  </si>
  <si>
    <t>v.57</t>
  </si>
  <si>
    <t>31014846798</t>
  </si>
  <si>
    <t>791332994</t>
  </si>
  <si>
    <t>v.54</t>
  </si>
  <si>
    <t>3101381286C</t>
  </si>
  <si>
    <t>791332997</t>
  </si>
  <si>
    <t>v.41</t>
  </si>
  <si>
    <t>3100381237X</t>
  </si>
  <si>
    <t>791333010</t>
  </si>
  <si>
    <t>3100381272V</t>
  </si>
  <si>
    <t>791333018</t>
  </si>
  <si>
    <t>- McLennan Basement - Main Collection - By Request</t>
  </si>
  <si>
    <t>Z1006 H32 2005</t>
  </si>
  <si>
    <t>0                      Z  1006000H  32          2005</t>
  </si>
  <si>
    <t>Harrod's librarians' glossary and reference book : a directory of over 10,200 terms, organizations, projects and acronyms in the areas of information management, library science, publishing and archive management / compiled by Ray Prytherch.</t>
  </si>
  <si>
    <t>Prytherch, Raymond John.</t>
  </si>
  <si>
    <t>3805391876:eng</t>
  </si>
  <si>
    <t>57124226</t>
  </si>
  <si>
    <t>ocm57124226</t>
  </si>
  <si>
    <t>3102549213V</t>
  </si>
  <si>
    <t>9780754640387</t>
  </si>
  <si>
    <t>793907145</t>
  </si>
  <si>
    <t>Z1006 H72</t>
  </si>
  <si>
    <t>0                      Z  1006000H  72</t>
  </si>
  <si>
    <t>The bookman's glossary : a compendium of information relating to the production and distribution of books / by John A. Holden.</t>
  </si>
  <si>
    <t>Holden, John Allan, 1855-1941.</t>
  </si>
  <si>
    <t>New York : R.R. Bowker ; London : David H. Bond, 1925.</t>
  </si>
  <si>
    <t>The bookman's library</t>
  </si>
  <si>
    <t>2261583109:eng</t>
  </si>
  <si>
    <t>592590</t>
  </si>
  <si>
    <t>ocm00592590</t>
  </si>
  <si>
    <t>3000784545Q</t>
  </si>
  <si>
    <t>791423471</t>
  </si>
  <si>
    <t>Z1006 I49 2003</t>
  </si>
  <si>
    <t>0                      Z  1006000I  49          2003</t>
  </si>
  <si>
    <t>International encyclopedia of information and library science / edited by John Feather and Paul Sturges.</t>
  </si>
  <si>
    <t>London ; New York : Routledge, 2003.</t>
  </si>
  <si>
    <t>766841168:eng</t>
  </si>
  <si>
    <t>50480180</t>
  </si>
  <si>
    <t>ocm50480180</t>
  </si>
  <si>
    <t>3102271616H</t>
  </si>
  <si>
    <t>9780415259019</t>
  </si>
  <si>
    <t>793765901</t>
  </si>
  <si>
    <t>Z1006 M73</t>
  </si>
  <si>
    <t>0                      Z  1006000M  73</t>
  </si>
  <si>
    <t>Technical terms used in bibliographies and by the book and printing trades, by Axel Moth. (Forming a supplement to F.K. Walter's Abbreviations and technical terms used in book catalogs and in bibliographies).</t>
  </si>
  <si>
    <t>Moth, Axel, 1867-1932.</t>
  </si>
  <si>
    <t>Boston, The Boston Book Company, 1915.</t>
  </si>
  <si>
    <t>1915</t>
  </si>
  <si>
    <t>Useful reference series ; no. 14</t>
  </si>
  <si>
    <t>1726746:eng</t>
  </si>
  <si>
    <t>788170</t>
  </si>
  <si>
    <t>ocm00788170</t>
  </si>
  <si>
    <t>3000784566I</t>
  </si>
  <si>
    <t>791470058</t>
  </si>
  <si>
    <t>Z1006 R45 2004</t>
  </si>
  <si>
    <t>0                      Z  1006000R  45          2004</t>
  </si>
  <si>
    <t>Dictionary for library and information science / Joan M. Reitz.</t>
  </si>
  <si>
    <t>Reitz, Joan M.</t>
  </si>
  <si>
    <t>2019-09-19</t>
  </si>
  <si>
    <t>776181:eng</t>
  </si>
  <si>
    <t>53083989</t>
  </si>
  <si>
    <t>ocm53083989</t>
  </si>
  <si>
    <t>3102368438R</t>
  </si>
  <si>
    <t>9781563089626</t>
  </si>
  <si>
    <t>793821050</t>
  </si>
  <si>
    <t>Z1006 S33 1990</t>
  </si>
  <si>
    <t>0                      Z  1006000S  33          1990</t>
  </si>
  <si>
    <t>Bilingual glossary of terms in librarianship and information science : English/French, French/English = Glossaire bilingue en bibliotheconomie et science de l'information : Anglais/Français, Français/Anglais / Frances Saliniʹe, Souad Hubert.</t>
  </si>
  <si>
    <t>Salinié, Frances.</t>
  </si>
  <si>
    <t>London : Library Services, 1990.</t>
  </si>
  <si>
    <t>375084035:eng</t>
  </si>
  <si>
    <t>24667536</t>
  </si>
  <si>
    <t>ocm24667536</t>
  </si>
  <si>
    <t>31037413630</t>
  </si>
  <si>
    <t>793203264</t>
  </si>
  <si>
    <t>Z1006 S68 1989</t>
  </si>
  <si>
    <t>0                      Z  1006000S  68          1989</t>
  </si>
  <si>
    <t>A bibliographical companion / by Roy Stokes.</t>
  </si>
  <si>
    <t>Stokes, Roy Bishop, 1915-</t>
  </si>
  <si>
    <t>2017-05-03</t>
  </si>
  <si>
    <t>18795605:eng</t>
  </si>
  <si>
    <t>18876615</t>
  </si>
  <si>
    <t>ocm18876615</t>
  </si>
  <si>
    <t>3100574008P</t>
  </si>
  <si>
    <t>9780810821750</t>
  </si>
  <si>
    <t>793040086</t>
  </si>
  <si>
    <t>Z1006 Z68 2010</t>
  </si>
  <si>
    <t>0                      Z  1006000Z  68          2010</t>
  </si>
  <si>
    <t>Ying Han--Han Ying tu shu guan shi yong he xin ci hui = English-Chinese / Chinese-English glossary of library and information science / Zou Xiuying, Shu Yue bian ; Xu Hong, Zhu Qiang, Lucille Chia (Jia Jinzhu) shen jiao.</t>
  </si>
  <si>
    <t>Tu shu guan zhi ye Ying yu xi lie</t>
  </si>
  <si>
    <t>819407285:chi</t>
  </si>
  <si>
    <t>707477545</t>
  </si>
  <si>
    <t>ocn707477545</t>
  </si>
  <si>
    <t>3103333609I</t>
  </si>
  <si>
    <t>9787501340118</t>
  </si>
  <si>
    <t>794867799</t>
  </si>
  <si>
    <t>2019-03-11</t>
  </si>
  <si>
    <t>2010-10-01</t>
  </si>
  <si>
    <t>Z1008 R887 H87 2017</t>
  </si>
  <si>
    <t>0                      Z  1008000R  887                H  87          2017</t>
  </si>
  <si>
    <t>The early Roxburghe Club, 1812-1835 : book club pioneers and the advancement of English literature / Shayne Husbands.</t>
  </si>
  <si>
    <t>Husbands, Shayne, author.</t>
  </si>
  <si>
    <t>London : Anthem Press, 2017.</t>
  </si>
  <si>
    <t>4016362233:eng</t>
  </si>
  <si>
    <t>1005846864</t>
  </si>
  <si>
    <t>on1005846864</t>
  </si>
  <si>
    <t>3103812778E</t>
  </si>
  <si>
    <t>9781783086900</t>
  </si>
  <si>
    <t>795042802</t>
  </si>
  <si>
    <t>Z1009 S73 no.39</t>
  </si>
  <si>
    <t>0                      Z  1009000S  73                                                      no.39</t>
  </si>
  <si>
    <t>Comminution : the crushing and grinding of ores.</t>
  </si>
  <si>
    <t>no.39*</t>
  </si>
  <si>
    <t>Boleszny, I. (Ivan)</t>
  </si>
  <si>
    <t>Adelaide : Public Library of South Australia, 1965.</t>
  </si>
  <si>
    <t>South Australia. Public Library. Research Service. Bibliographies. ser. 4 ; no. 39</t>
  </si>
  <si>
    <t>5610153337:eng</t>
  </si>
  <si>
    <t>221136664</t>
  </si>
  <si>
    <t>ocn221136664</t>
  </si>
  <si>
    <t>3103348071Y</t>
  </si>
  <si>
    <t>794324243</t>
  </si>
  <si>
    <t>Z1012 R47 2011</t>
  </si>
  <si>
    <t>0                      Z  1012000R  47          2011</t>
  </si>
  <si>
    <t>Catalogo del fondo librario antico della Fondazione Giorgio Cini / Dennis Rhodes.</t>
  </si>
  <si>
    <t>Biblioteca di bibliografia italiana ; 190</t>
  </si>
  <si>
    <t>929372048:ita</t>
  </si>
  <si>
    <t>740627315</t>
  </si>
  <si>
    <t>ocn740627315</t>
  </si>
  <si>
    <t>3103393820F</t>
  </si>
  <si>
    <t>9788822259776</t>
  </si>
  <si>
    <t>794883369</t>
  </si>
  <si>
    <t>Z1012 W37 2013</t>
  </si>
  <si>
    <t>0                      Z  1012000W  37          2013</t>
  </si>
  <si>
    <t>Medieval manuscripts and early print works at Memorial University Libraries : selected from the holdings of Archives &amp; Special Collections and the Centre for Newfoundland Studies / catalogue by Patrick Warner.</t>
  </si>
  <si>
    <t>Warner, Patrick, 1963- author.</t>
  </si>
  <si>
    <t>[St. John's, Newfoundland and Labrador] : Memorial University of Newfoundland, 2013.</t>
  </si>
  <si>
    <t>1359251448:eng</t>
  </si>
  <si>
    <t>847945243</t>
  </si>
  <si>
    <t>ocn847945243</t>
  </si>
  <si>
    <t>3103513705D</t>
  </si>
  <si>
    <t>9780889014459</t>
  </si>
  <si>
    <t>794949803</t>
  </si>
  <si>
    <t>Z1014 A38</t>
  </si>
  <si>
    <t>0                      Z  1014000A  38</t>
  </si>
  <si>
    <t>Catalogue of books printed on the continent of Europe, 1501-1600, in Cambridge libraries; compiled by H.M. Adams.</t>
  </si>
  <si>
    <t>Adams, H. M. (Herbert Mayow), 1893-1985.</t>
  </si>
  <si>
    <t>London, Cambridge U.P., 1967.</t>
  </si>
  <si>
    <t>5621399916:eng</t>
  </si>
  <si>
    <t>892641</t>
  </si>
  <si>
    <t>ocm00892641</t>
  </si>
  <si>
    <t>3103870354i</t>
  </si>
  <si>
    <t>9780521069519</t>
  </si>
  <si>
    <t>791496220</t>
  </si>
  <si>
    <t>3100832053X</t>
  </si>
  <si>
    <t>791496219</t>
  </si>
  <si>
    <t>Z1014 H85 2012</t>
  </si>
  <si>
    <t>0                      Z  1014000H  85          2012</t>
  </si>
  <si>
    <t>Humanistes italiens et imprimés de l'Italie de la Renaissance dans les collections de l'UQAM / sous la direction de Brenda Dunn-Lardeau.</t>
  </si>
  <si>
    <t>Montréal : Université du Québec à Montréal, Centre de recherche Figura sur le texte et l'imaginaire, 2012.</t>
  </si>
  <si>
    <t>Collection Figura ; no 29-2011</t>
  </si>
  <si>
    <t>2070454644:fre</t>
  </si>
  <si>
    <t>809263820</t>
  </si>
  <si>
    <t>ocn809263820</t>
  </si>
  <si>
    <t>31034022154</t>
  </si>
  <si>
    <t>9782923907253</t>
  </si>
  <si>
    <t>794928295</t>
  </si>
  <si>
    <t>Z1014 O98 2014</t>
  </si>
  <si>
    <t>0                      Z  1014000O  98          2014</t>
  </si>
  <si>
    <t>Ouvrages phares de la Réforme et de la Contre-Réforme dans les collections Montréalaises / sous la direction de Brenda Dunn-Lardeau.</t>
  </si>
  <si>
    <t>Québec (Québec) : Presses de l'Université du Québec, [2014]</t>
  </si>
  <si>
    <t>1404969798:fre</t>
  </si>
  <si>
    <t>870525146</t>
  </si>
  <si>
    <t>ocn870525146</t>
  </si>
  <si>
    <t>31034938583</t>
  </si>
  <si>
    <t>9782760539310</t>
  </si>
  <si>
    <t>794966603</t>
  </si>
  <si>
    <t>Z1014 Q36 2012</t>
  </si>
  <si>
    <t>0                      Z  1014000Q  36          2012</t>
  </si>
  <si>
    <t>Quand les Jésuites veulent comprendre l'Autre : le témoignage de quelques livres anciens de la collection de l'UQAM / sous la direction de Janick Auberger.</t>
  </si>
  <si>
    <t>Québec : Presses de l'Université du Québec, ©2012.</t>
  </si>
  <si>
    <t>1181702240:fre</t>
  </si>
  <si>
    <t>814540524</t>
  </si>
  <si>
    <t>ocn814540524</t>
  </si>
  <si>
    <t>3103403387K</t>
  </si>
  <si>
    <t>9782760534735</t>
  </si>
  <si>
    <t>794932274</t>
  </si>
  <si>
    <t>Z1014 U54 2013</t>
  </si>
  <si>
    <t>0                      Z  1014000U  54          2013</t>
  </si>
  <si>
    <t>Catalogue des imprimés des XVe et XVIe siècles dans les collections de l'Université du Québec à Montréal / sous la direction de Brenda Dunn-Lardeau.</t>
  </si>
  <si>
    <t>Université du Québec à Montréal. Service des bibliothèques, collectionneur.</t>
  </si>
  <si>
    <t>Québec, Québec : Presses de l'Université du Québec, [2013]</t>
  </si>
  <si>
    <t>1364325735:fre</t>
  </si>
  <si>
    <t>851238374</t>
  </si>
  <si>
    <t>ocn851238374</t>
  </si>
  <si>
    <t>3103493187I</t>
  </si>
  <si>
    <t>9782760537323</t>
  </si>
  <si>
    <t>794950779</t>
  </si>
  <si>
    <t>Z1019 B85 v.2</t>
  </si>
  <si>
    <t>0                      Z  1019000B  85                                                      v.2</t>
  </si>
  <si>
    <t>Index de l'Université de Louvain, 1546, 1550, 1558 / par J.M. De Bujanda ; introduction historique de Léon-E. Halkin ; analyse des condamnations en flamand avec la collaboration de Patrick Pasture et Geneviève Glorieux.</t>
  </si>
  <si>
    <t>v.2*</t>
  </si>
  <si>
    <t>Bujanda, Jesús Martínez de, author.</t>
  </si>
  <si>
    <t>Sherbrooke, Canada : Éditions de l'Université de Sherbrooke ; Genève : Librairie Droz, [1986]</t>
  </si>
  <si>
    <t>Index des livres interdits ; II</t>
  </si>
  <si>
    <t>65875180:fre</t>
  </si>
  <si>
    <t>80983411</t>
  </si>
  <si>
    <t>ocm80983411</t>
  </si>
  <si>
    <t>3000479009F</t>
  </si>
  <si>
    <t>9782762200331</t>
  </si>
  <si>
    <t>794202174</t>
  </si>
  <si>
    <t>Z1019 B85 v.3</t>
  </si>
  <si>
    <t>0                      Z  1019000B  85                                                      v.3</t>
  </si>
  <si>
    <t>Index de Venise, 1549, Venise et Milan, 1554 / par J.M. de Bujanda avec l'assistance de René Davignon et Ela Stanek ; introduction historique de Paul F. Grendler traduite par Claude Sutto.</t>
  </si>
  <si>
    <t>v.3*</t>
  </si>
  <si>
    <t>De Bujanda, J. M. (Jésus Martínez), 1935-</t>
  </si>
  <si>
    <t>Sherbrooke, Québec : Centre d'études de la Renaissance, 1987.</t>
  </si>
  <si>
    <t>Index des livres interdits ; 3</t>
  </si>
  <si>
    <t>65843640:fre</t>
  </si>
  <si>
    <t>17228435</t>
  </si>
  <si>
    <t>ocm17228435</t>
  </si>
  <si>
    <t>3100583066A</t>
  </si>
  <si>
    <t>792984692</t>
  </si>
  <si>
    <t>Z1019 B85 v.4</t>
  </si>
  <si>
    <t>0                      Z  1019000B  85                                                      v.4</t>
  </si>
  <si>
    <t>Index de l'Inquisition portugaise, 1547, 1551, 1561, 1564, 1581 / Jesus Martinez De Bujanda.</t>
  </si>
  <si>
    <t>v.4*</t>
  </si>
  <si>
    <t>Sherbrooke, Québec : Centre d'études de la Renaissance, 1995.</t>
  </si>
  <si>
    <t>Index des livres interdits ; 4</t>
  </si>
  <si>
    <t>373455319:fre</t>
  </si>
  <si>
    <t>29311379</t>
  </si>
  <si>
    <t>ocm29311379</t>
  </si>
  <si>
    <t>3101490945R</t>
  </si>
  <si>
    <t>9782762200805</t>
  </si>
  <si>
    <t>793307523</t>
  </si>
  <si>
    <t>Z1019 H15 1955</t>
  </si>
  <si>
    <t>0                      Z  1019000H  15          1955</t>
  </si>
  <si>
    <t>Banned books; informal notes on some books banned for various reasons at various times and in various places.</t>
  </si>
  <si>
    <t>Haight, Anne (Lyon)</t>
  </si>
  <si>
    <t>New York, R.R. Bowker, 1955.</t>
  </si>
  <si>
    <t>2nd ed. rev. and enl.</t>
  </si>
  <si>
    <t>1323051:eng</t>
  </si>
  <si>
    <t>3081806</t>
  </si>
  <si>
    <t>ocm03081806</t>
  </si>
  <si>
    <t>3000855580U</t>
  </si>
  <si>
    <t>792214999</t>
  </si>
  <si>
    <t>Z1019 H15 1970</t>
  </si>
  <si>
    <t>0                      Z  1019000H  15          1970</t>
  </si>
  <si>
    <t>Banned books : informal notes on some books banned for various reasons at various times and in various places / Anne Lyon Haight.</t>
  </si>
  <si>
    <t>Haight, Anne Lyon.</t>
  </si>
  <si>
    <t>New York : R.R. Bowker, 1970.</t>
  </si>
  <si>
    <t>96811</t>
  </si>
  <si>
    <t>ocm00096811</t>
  </si>
  <si>
    <t>3000855581S</t>
  </si>
  <si>
    <t>9780835202046</t>
  </si>
  <si>
    <t>791255147</t>
  </si>
  <si>
    <t>Z1019 J68 2011</t>
  </si>
  <si>
    <t>0                      Z  1019000J  68          2011</t>
  </si>
  <si>
    <t>Dictionnaire des livres et journaux interdits : par arrêtés ministériels de 1949 à nos jours / Bernard Joubert.</t>
  </si>
  <si>
    <t>Joubert, Bernard.</t>
  </si>
  <si>
    <t>Paris : Electre-Ed. du Cercle de la Librairie, 2011.</t>
  </si>
  <si>
    <t>2e éd. revue et actualisée.</t>
  </si>
  <si>
    <t>892261629:fre</t>
  </si>
  <si>
    <t>753625305</t>
  </si>
  <si>
    <t>ocn753625305</t>
  </si>
  <si>
    <t>3103556096L</t>
  </si>
  <si>
    <t>9782765410058</t>
  </si>
  <si>
    <t>794892211</t>
  </si>
  <si>
    <t>Z1019 P952</t>
  </si>
  <si>
    <t>0                      Z  1019000P  952</t>
  </si>
  <si>
    <t>The censorship of the church of Rome and its influence upon the production and distribution of literature : a study of the history of the prohibitory and expurgatory indexes, together with some consideration of the effects of Protestant censorship and of censorship by the state / by George Haven Putnam, Litt.D.</t>
  </si>
  <si>
    <t>Putnam, George Haven, 1844-1930, author.</t>
  </si>
  <si>
    <t>New York ; London : G.P. Putnam's Sons, 1906-07.</t>
  </si>
  <si>
    <t>1350806:eng</t>
  </si>
  <si>
    <t>229825</t>
  </si>
  <si>
    <t>ocm00229825</t>
  </si>
  <si>
    <t>31008464214</t>
  </si>
  <si>
    <t>791301472</t>
  </si>
  <si>
    <t>2001-11-07</t>
  </si>
  <si>
    <t>30006829303</t>
  </si>
  <si>
    <t>791301473</t>
  </si>
  <si>
    <t>Z1020 B85 2016</t>
  </si>
  <si>
    <t>0                      Z  1020000B  85          2016</t>
  </si>
  <si>
    <t>El índice de libros prohibidos y expurgados de la Inquisición española (1551-1819) : evolución y contenido / por Jesús Martínez de Bujanda ; con la asistencia de Marcella Richter.</t>
  </si>
  <si>
    <t>Madrid : Biblioteca de Autores Cristianos, 2016.</t>
  </si>
  <si>
    <t>Índices de libros prohibidos ; XII</t>
  </si>
  <si>
    <t>3815871949:spa</t>
  </si>
  <si>
    <t>959495773</t>
  </si>
  <si>
    <t>ocn959495773</t>
  </si>
  <si>
    <t>3103709137U</t>
  </si>
  <si>
    <t>9788422018834</t>
  </si>
  <si>
    <t>795022425</t>
  </si>
  <si>
    <t>Z1023 B888</t>
  </si>
  <si>
    <t>0                      Z  1023000B  888</t>
  </si>
  <si>
    <t>Le livre illustré en France au XVIe siècle, avec 32 planches hors texte.</t>
  </si>
  <si>
    <t>Paris, F. Alcan, 1930.</t>
  </si>
  <si>
    <t>351647539:fre</t>
  </si>
  <si>
    <t>2677421</t>
  </si>
  <si>
    <t>ocm02677421</t>
  </si>
  <si>
    <t>3102952464E</t>
  </si>
  <si>
    <t>792161693</t>
  </si>
  <si>
    <t>Z1023 B888 1969</t>
  </si>
  <si>
    <t>0                      Z  1023000B  888         1969</t>
  </si>
  <si>
    <t>Le livre français illustré de la Renaissance : étude suivie du Catalogue des principaux livres ıa figures du 16ıe siıecle.</t>
  </si>
  <si>
    <t>Paris : A. et J. Picard, 1969.</t>
  </si>
  <si>
    <t>2004-12-10</t>
  </si>
  <si>
    <t>292715056:fre</t>
  </si>
  <si>
    <t>61573547</t>
  </si>
  <si>
    <t>ocm61573547</t>
  </si>
  <si>
    <t>3102952467E</t>
  </si>
  <si>
    <t>794008274</t>
  </si>
  <si>
    <t>- Blackader-Lauterman Collection - In Library Use</t>
  </si>
  <si>
    <t>Z1023 C89 1921</t>
  </si>
  <si>
    <t>0                      Z  1023000C  89          1921</t>
  </si>
  <si>
    <t>Of the decorative illustration of books old and new / by Walter Crane.</t>
  </si>
  <si>
    <t>Crane, Walter, 1845-1915.</t>
  </si>
  <si>
    <t>London : Bell, MDCCCCXI [1921]</t>
  </si>
  <si>
    <t>1921</t>
  </si>
  <si>
    <t>Ex-libris series</t>
  </si>
  <si>
    <t>2013-11-10</t>
  </si>
  <si>
    <t>1089637:eng</t>
  </si>
  <si>
    <t>17536516</t>
  </si>
  <si>
    <t>ocm17536516</t>
  </si>
  <si>
    <t>3102952462E</t>
  </si>
  <si>
    <t>792994476</t>
  </si>
  <si>
    <t>Z1023 D33 2013</t>
  </si>
  <si>
    <t>0                      Z  1023000D  33          2013</t>
  </si>
  <si>
    <t>L'iconographie d'une littérature : évolution et singularités du livre illustré francophone au Québec, 1840-1940 / Stéphanie Danaux.</t>
  </si>
  <si>
    <t>Danaux, Stéphanie, 1978-, auteur.</t>
  </si>
  <si>
    <t>Collection L'archive littéraire au Québec. Série Approches</t>
  </si>
  <si>
    <t>1404984186:fre</t>
  </si>
  <si>
    <t>862237444</t>
  </si>
  <si>
    <t>ocn862237444</t>
  </si>
  <si>
    <t>3103493440H</t>
  </si>
  <si>
    <t>9782763715339</t>
  </si>
  <si>
    <t>794960248</t>
  </si>
  <si>
    <t>Z1023 K59 2003</t>
  </si>
  <si>
    <t>0                      Z  1023000K  59          2003</t>
  </si>
  <si>
    <t>Illustrating the past in early modern England : the representation of history in printed books / James A. Knapp.</t>
  </si>
  <si>
    <t>Knapp, James A., 1968-</t>
  </si>
  <si>
    <t>Aldershot, Hants, England ; Burlington, VT : Ashgate, ©2003.</t>
  </si>
  <si>
    <t>296433505:eng</t>
  </si>
  <si>
    <t>51020276</t>
  </si>
  <si>
    <t>ocm51020276</t>
  </si>
  <si>
    <t>31023480606</t>
  </si>
  <si>
    <t>9780754633327</t>
  </si>
  <si>
    <t>793776960</t>
  </si>
  <si>
    <t>Z1023 L75 2014</t>
  </si>
  <si>
    <t>0                      Z  1023000L  75          2014</t>
  </si>
  <si>
    <t>Brilliant discourse : pictures and readers in early modern Rome / Evelyn Lincoln.</t>
  </si>
  <si>
    <t>Lincoln, Evelyn.</t>
  </si>
  <si>
    <t>New Haven : Yale University Press, 2014.</t>
  </si>
  <si>
    <t>1391769667:eng</t>
  </si>
  <si>
    <t>858080539</t>
  </si>
  <si>
    <t>ocn858080539</t>
  </si>
  <si>
    <t>3103584186D</t>
  </si>
  <si>
    <t>9780300204193</t>
  </si>
  <si>
    <t>794955797</t>
  </si>
  <si>
    <t>Z1023 M95 1971</t>
  </si>
  <si>
    <t>0                      Z  1023000M  95          1971</t>
  </si>
  <si>
    <t>Victorian illustrated books [by] Percy Muir.</t>
  </si>
  <si>
    <t>Muir, Percy H. (Percy Horace), 1894-1979.</t>
  </si>
  <si>
    <t>London, Batsford, 1971.</t>
  </si>
  <si>
    <t>1301774:eng</t>
  </si>
  <si>
    <t>215052</t>
  </si>
  <si>
    <t>ocm00215052</t>
  </si>
  <si>
    <t>31039037699</t>
  </si>
  <si>
    <t>9780713407259</t>
  </si>
  <si>
    <t>791295902</t>
  </si>
  <si>
    <t>Z1023 O55</t>
  </si>
  <si>
    <t>0                      Z  1023000O  55</t>
  </si>
  <si>
    <t>Le livre illustré au XVe siècle. Avec 344 figures sur 220 planches dont une en couleurs et 3 en bistre, plus 15 figures dans le texte dont 2 en couleurs.</t>
  </si>
  <si>
    <t>Olschki, firm, booksellers, Florence. (1926. Leo S. Olschki)</t>
  </si>
  <si>
    <t>Florence, L.S. Olschki, 1926.</t>
  </si>
  <si>
    <t>5218294443:fre</t>
  </si>
  <si>
    <t>2218955</t>
  </si>
  <si>
    <t>ocm02218955</t>
  </si>
  <si>
    <t>3102952520J</t>
  </si>
  <si>
    <t>792069150</t>
  </si>
  <si>
    <t>Z1023 P45 2017</t>
  </si>
  <si>
    <t>0                      Z  1023000P  45          2017</t>
  </si>
  <si>
    <t>Facing the text : extra-illustration, print culture, and society in Britain 1769-1840 / Lucy Peltz.</t>
  </si>
  <si>
    <t>Peltz, Lucy, author.</t>
  </si>
  <si>
    <t>San Marino, California : The Huntington Library, Art Collections, and Botanical Gardens, [2017]</t>
  </si>
  <si>
    <t>4082188853:eng</t>
  </si>
  <si>
    <t>883391311</t>
  </si>
  <si>
    <t>ocn883391311</t>
  </si>
  <si>
    <t>3103759434V</t>
  </si>
  <si>
    <t>9780873282611</t>
  </si>
  <si>
    <t>794975534</t>
  </si>
  <si>
    <t>Z1023 R35 2018</t>
  </si>
  <si>
    <t>0                      Z  1023000R  35          2018</t>
  </si>
  <si>
    <t>Reading books and prints as cultural objects / Evanghelia Stead, editor.</t>
  </si>
  <si>
    <t>Cham, Switzerland : Palgrave Macmillan, [2018]</t>
  </si>
  <si>
    <t>4030705743:eng</t>
  </si>
  <si>
    <t>969829752</t>
  </si>
  <si>
    <t>ocn969829752</t>
  </si>
  <si>
    <t>3103809887H</t>
  </si>
  <si>
    <t>9783319538310</t>
  </si>
  <si>
    <t>795027523</t>
  </si>
  <si>
    <t>Z1024 C32</t>
  </si>
  <si>
    <t>0                      Z  1024000C  32</t>
  </si>
  <si>
    <t>An enquiry into the nature of certain nineteenth century pamphlets / by John Carter &amp; Graham Pollard ; with four plates.</t>
  </si>
  <si>
    <t>London : Constable &amp; Co. ; New York : C. Scribner's Sons, 1934.</t>
  </si>
  <si>
    <t>Constable's Bibliographia series</t>
  </si>
  <si>
    <t>1377536:eng</t>
  </si>
  <si>
    <t>681347</t>
  </si>
  <si>
    <t>ocm00681347</t>
  </si>
  <si>
    <t>3101141248L</t>
  </si>
  <si>
    <t>9780838312612</t>
  </si>
  <si>
    <t>791444852</t>
  </si>
  <si>
    <t>Z1024 G45 2013</t>
  </si>
  <si>
    <t>0                      Z  1024000G  45          2013</t>
  </si>
  <si>
    <t>Lost, Stolen or Shredded, or Has Anyone Seen the Mona Lisa? : Stories of Missing Works of Art and Literature.</t>
  </si>
  <si>
    <t>Gekoski, Rick.</t>
  </si>
  <si>
    <t>London, UK Profile Books 2013.</t>
  </si>
  <si>
    <t>2013-09-22</t>
  </si>
  <si>
    <t>3136960945:eng</t>
  </si>
  <si>
    <t>839527540</t>
  </si>
  <si>
    <t>ocn839527540</t>
  </si>
  <si>
    <t>31034980675</t>
  </si>
  <si>
    <t>9781846684913</t>
  </si>
  <si>
    <t>794945693</t>
  </si>
  <si>
    <t>Z1024 K45 2005</t>
  </si>
  <si>
    <t>0                      Z  1024000K  45          2005</t>
  </si>
  <si>
    <t>The book of lost books : an incomplete history of all the great books you will never read / Stuart Kelly.</t>
  </si>
  <si>
    <t>Kelly, Stuart.</t>
  </si>
  <si>
    <t>New York : Random House, 2005.</t>
  </si>
  <si>
    <t>2019-03-22</t>
  </si>
  <si>
    <t>44027611:eng</t>
  </si>
  <si>
    <t>61278647</t>
  </si>
  <si>
    <t>ocm61278647</t>
  </si>
  <si>
    <t>3102589876I</t>
  </si>
  <si>
    <t>9781400062973</t>
  </si>
  <si>
    <t>793950419</t>
  </si>
  <si>
    <t>Z1024 L67 2016</t>
  </si>
  <si>
    <t>0                      Z  1024000L  67          2016</t>
  </si>
  <si>
    <t>Lost books : reconstructing the print world of pre-industrial Europe / edited by Flavia Bruni, Andrew Pettegree.</t>
  </si>
  <si>
    <t>Library of the written word ; volume 46. The handpress world ; volume 34</t>
  </si>
  <si>
    <t>2942333683:eng</t>
  </si>
  <si>
    <t>932175224</t>
  </si>
  <si>
    <t>ocn932175224</t>
  </si>
  <si>
    <t>31036565619</t>
  </si>
  <si>
    <t>9789004311817</t>
  </si>
  <si>
    <t>795008468</t>
  </si>
  <si>
    <t>Z1024 V3613 2017</t>
  </si>
  <si>
    <t>0                      Z  1024000V  3613        2017</t>
  </si>
  <si>
    <t>In search of lost books / Giorgio van Straten ; translated from the Italian by Simon Carnell and Erica Segre.</t>
  </si>
  <si>
    <t>Van Straten, Giorgio, 1955- author.</t>
  </si>
  <si>
    <t>London : Pushkin Press, 2017.</t>
  </si>
  <si>
    <t>3004292460:eng</t>
  </si>
  <si>
    <t>990029415</t>
  </si>
  <si>
    <t>ocn990029415</t>
  </si>
  <si>
    <t>31036699724</t>
  </si>
  <si>
    <t>9781782273721</t>
  </si>
  <si>
    <t>795037458</t>
  </si>
  <si>
    <t>Z1028 M37 2015</t>
  </si>
  <si>
    <t>0                      Z  1028000M  37          2015</t>
  </si>
  <si>
    <t>Bibliographical catalogue of books privately printed : including those of the Bannatyne, Maitland and Roxburgh clubs and of the private presses at Darlington, Auchinleck, Lee Priory, Newcastle, Middle Hill, and Strawberry Hill / John Martin.</t>
  </si>
  <si>
    <t>Martin, John, 1791-1855, author.</t>
  </si>
  <si>
    <t>Cambridge : Cambridge University Press, 2014.</t>
  </si>
  <si>
    <t>Cambridge library collection. History of printing, publishing and libraries</t>
  </si>
  <si>
    <t>9937071906:eng</t>
  </si>
  <si>
    <t>896856164</t>
  </si>
  <si>
    <t>ocn896856164</t>
  </si>
  <si>
    <t>3103612349E</t>
  </si>
  <si>
    <t>9781108077200</t>
  </si>
  <si>
    <t>794984335</t>
  </si>
  <si>
    <t>Z1029 D53 2010</t>
  </si>
  <si>
    <t>0                      Z  1029000D  53          2010</t>
  </si>
  <si>
    <t>Tian yi ge guo jia zhen gui gu ji ming lu tu lu = Tianyige guojia zhengui guji minglu tulu / Tian yi ge bo wu guan bian.</t>
  </si>
  <si>
    <t>Beijing : Beijing chu ban she, 2010.</t>
  </si>
  <si>
    <t>2070450284:chi</t>
  </si>
  <si>
    <t>756766208</t>
  </si>
  <si>
    <t>ocn756766208</t>
  </si>
  <si>
    <t>31034252649</t>
  </si>
  <si>
    <t>9787200085334</t>
  </si>
  <si>
    <t>794894881</t>
  </si>
  <si>
    <t>Z1029 D57 2016</t>
  </si>
  <si>
    <t>0                      Z  1029000D  57          2016</t>
  </si>
  <si>
    <t>A directory of rare book and special collections in the United Kingdom and the Republic of Ireland / edited by Karen Attar.</t>
  </si>
  <si>
    <t>London, UK : Facet Publishing : CILIP Rare Books and Special Collections Group, [2016]</t>
  </si>
  <si>
    <t>3834677958:eng</t>
  </si>
  <si>
    <t>898841927</t>
  </si>
  <si>
    <t>ocn898841927</t>
  </si>
  <si>
    <t>3103656360J</t>
  </si>
  <si>
    <t>9781783300167</t>
  </si>
  <si>
    <t>794986534</t>
  </si>
  <si>
    <t>Z1029 H83 2018</t>
  </si>
  <si>
    <t>0                      Z  1029000H  83          2018</t>
  </si>
  <si>
    <t>Hua dong shi fan da xue tu shu guan guan cang zhen ben tu lu / Hua dong shi fan da xue tu shu guan bian.</t>
  </si>
  <si>
    <t>Shanghai : Shanghai shu dian chu ban she, 2018.</t>
  </si>
  <si>
    <t>9565546805:chi</t>
  </si>
  <si>
    <t>1032072743</t>
  </si>
  <si>
    <t>on1032072743</t>
  </si>
  <si>
    <t>31038069813</t>
  </si>
  <si>
    <t>9787545815399</t>
  </si>
  <si>
    <t>795055915</t>
  </si>
  <si>
    <t>3103806935A</t>
  </si>
  <si>
    <t>795055914</t>
  </si>
  <si>
    <t>Z1029 M33 2013</t>
  </si>
  <si>
    <t>0                      Z  1029000M  33          2013</t>
  </si>
  <si>
    <t>Thieves of Book Row : New York's Most Notorious Rare Book Ring and the Man Who Stopped It / Travis McDade.</t>
  </si>
  <si>
    <t>McDade, Travis.</t>
  </si>
  <si>
    <t>Oxford : Oxford University Press, [2013]</t>
  </si>
  <si>
    <t>1372599140:eng</t>
  </si>
  <si>
    <t>813938844</t>
  </si>
  <si>
    <t>ocn813938844</t>
  </si>
  <si>
    <t>3103504898U</t>
  </si>
  <si>
    <t>9780199922666</t>
  </si>
  <si>
    <t>794932015</t>
  </si>
  <si>
    <t>Z1029 M35 2018</t>
  </si>
  <si>
    <t>0                      Z  1029000M  35          2018</t>
  </si>
  <si>
    <t>The invention of rare books : private interest and public memory, 1600-1840 / David McKitterick, University of Cambridge.</t>
  </si>
  <si>
    <t>Cambridge, United Kingdom ; New York, NY, USA : Cambridge University Press, 2018.</t>
  </si>
  <si>
    <t>5076528793:eng</t>
  </si>
  <si>
    <t>1021215196</t>
  </si>
  <si>
    <t>on1021215196</t>
  </si>
  <si>
    <t>31037041768</t>
  </si>
  <si>
    <t>9781108428323</t>
  </si>
  <si>
    <t>795050716</t>
  </si>
  <si>
    <t>Z1029 M45 2011</t>
  </si>
  <si>
    <t>0                      Z  1029000M  45          2011</t>
  </si>
  <si>
    <t>Meiguo Hafo da xue Hafo Yanjing tu shu guan cang Zhong wen shan ben shu zhi = Annotated catalogue of the Chinese rare books in the Harvard-Yenching Library, Harvard University, U.S.A. / Shen Jin zhu bian.</t>
  </si>
  <si>
    <t>Guilin Shi : Guangxi shi fan da xue chu ban she, 2011.</t>
  </si>
  <si>
    <t>Hafo Yanjing tu shu guan shu mu cong kan ; di 15 zhong</t>
  </si>
  <si>
    <t>1814395000:chi</t>
  </si>
  <si>
    <t>707607578</t>
  </si>
  <si>
    <t>ocn707607578</t>
  </si>
  <si>
    <t>31034252923</t>
  </si>
  <si>
    <t>9787549504121</t>
  </si>
  <si>
    <t>794867873</t>
  </si>
  <si>
    <t>31034252825</t>
  </si>
  <si>
    <t>794867875</t>
  </si>
  <si>
    <t>31034252973</t>
  </si>
  <si>
    <t>794867872</t>
  </si>
  <si>
    <t>31034252777</t>
  </si>
  <si>
    <t>794867876</t>
  </si>
  <si>
    <t>31034252875</t>
  </si>
  <si>
    <t>794867874</t>
  </si>
  <si>
    <t>31034252727</t>
  </si>
  <si>
    <t>794867877</t>
  </si>
  <si>
    <t>Z1029 S542 2011</t>
  </si>
  <si>
    <t>0                      Z  1029000S  542         2011</t>
  </si>
  <si>
    <t>Shanxi shi fan da xue tu shu guan gu ji shan ben shu mu / Yang Yanyan bian.</t>
  </si>
  <si>
    <t>Shanxi shi da tu shu guan (Xi'an, Shaanxi Sheng, China)</t>
  </si>
  <si>
    <t>Beijing Shi : Guo jia tu shu guan chu ban she, 2011.</t>
  </si>
  <si>
    <t>918999091:chi</t>
  </si>
  <si>
    <t>733913493</t>
  </si>
  <si>
    <t>ocn733913493</t>
  </si>
  <si>
    <t>31034271782</t>
  </si>
  <si>
    <t>9787501345717</t>
  </si>
  <si>
    <t>794882248</t>
  </si>
  <si>
    <t>Z1029 S562 2011</t>
  </si>
  <si>
    <t>0                      Z  1029000S  562         2011</t>
  </si>
  <si>
    <t>Shou du tu shu guan gu ji shan ben shu mu / Shou du tu shu guan bian.</t>
  </si>
  <si>
    <t>Shou du tu shu guan, editor.</t>
  </si>
  <si>
    <t>10152047657:chi</t>
  </si>
  <si>
    <t>768569903</t>
  </si>
  <si>
    <t>ocn768569903</t>
  </si>
  <si>
    <t>3103437977A</t>
  </si>
  <si>
    <t>9787501344543</t>
  </si>
  <si>
    <t>794902554</t>
  </si>
  <si>
    <t>Z1029 S887 2012</t>
  </si>
  <si>
    <t>0                      Z  1029000S  887         2012</t>
  </si>
  <si>
    <t>Suzhou bo wu guan cang gu ji shan ben / Suzhou bo wu guan bian zhu.</t>
  </si>
  <si>
    <t>Suzhou bo wu guan.</t>
  </si>
  <si>
    <t>Beijing : Wen wu chu ban she, 2012.</t>
  </si>
  <si>
    <t>Suzhou bo wu guan guan cang wen wu xi lie cong shu</t>
  </si>
  <si>
    <t>2070247554:chi</t>
  </si>
  <si>
    <t>781538994</t>
  </si>
  <si>
    <t>ocn781538994</t>
  </si>
  <si>
    <t>3103466900D</t>
  </si>
  <si>
    <t>9787501033935</t>
  </si>
  <si>
    <t>794912845</t>
  </si>
  <si>
    <t>Z1029 Y84 2010</t>
  </si>
  <si>
    <t>0                      Z  1029000Y  84          2010</t>
  </si>
  <si>
    <t>Han wen gu ji tu lu / Yu Lansheng, Zhao Lanxiang zhu.</t>
  </si>
  <si>
    <t>Yu, Lansheng.</t>
  </si>
  <si>
    <t>Lanzhou Shi : Gansu ren min mei shu chu ban she, 2010.</t>
  </si>
  <si>
    <t>Xi bei min zu da xue tu shu guan zhen gui wen xian cong shu</t>
  </si>
  <si>
    <t>2048022687:chi</t>
  </si>
  <si>
    <t>682539743</t>
  </si>
  <si>
    <t>ocn682539743</t>
  </si>
  <si>
    <t>31033337623</t>
  </si>
  <si>
    <t>9787805888170</t>
  </si>
  <si>
    <t>794852805</t>
  </si>
  <si>
    <t>Z1029.3 S5</t>
  </si>
  <si>
    <t>0                      Z  1029300S  5</t>
  </si>
  <si>
    <t>The history of street literature; the story of broadside ballads, chapbooks, proclamations, news-sheets, election bills, tracts, pamphlets, cocks, catchpennies, and other ephemera.</t>
  </si>
  <si>
    <t>Shepard, Leslie.</t>
  </si>
  <si>
    <t>Detroit, Singing Tree Press [1973]</t>
  </si>
  <si>
    <t>2016-09-23</t>
  </si>
  <si>
    <t>489928631:eng</t>
  </si>
  <si>
    <t>524190</t>
  </si>
  <si>
    <t>ocm00524190</t>
  </si>
  <si>
    <t>31031465870</t>
  </si>
  <si>
    <t>9780715358818</t>
  </si>
  <si>
    <t>791403114</t>
  </si>
  <si>
    <t>Z1029.3 V5 1974</t>
  </si>
  <si>
    <t>0                      Z  1029300V  5           1974</t>
  </si>
  <si>
    <t>The industrial muse : a study of nineteenth century British working-class literature / Martha Vicinus.</t>
  </si>
  <si>
    <t>Vicinus, Martha.</t>
  </si>
  <si>
    <t>London : Croom Helm, 1974.</t>
  </si>
  <si>
    <t>Croom Helm social history series</t>
  </si>
  <si>
    <t>2177747:eng</t>
  </si>
  <si>
    <t>1257729</t>
  </si>
  <si>
    <t>ocm01257729</t>
  </si>
  <si>
    <t>3000416596P</t>
  </si>
  <si>
    <t>9780856641312</t>
  </si>
  <si>
    <t>791585267</t>
  </si>
  <si>
    <t>Z1029.5 S63 2010</t>
  </si>
  <si>
    <t>0                      Z  1029500S  63          2010</t>
  </si>
  <si>
    <t>Small books for the common man : a descriptive bibliography / edited by John Meriton, with Carlo Dumontet.</t>
  </si>
  <si>
    <t>London : British Library ; New Castle, DE : Oak Knoll Press, 2010.</t>
  </si>
  <si>
    <t>891079856:eng</t>
  </si>
  <si>
    <t>642204033</t>
  </si>
  <si>
    <t>ocn642204033</t>
  </si>
  <si>
    <t>3103233903F</t>
  </si>
  <si>
    <t>9780712350211</t>
  </si>
  <si>
    <t>794827898</t>
  </si>
  <si>
    <t>Z1033 A84 B76 2010</t>
  </si>
  <si>
    <t>0                      Z  1033000A  84                 B  76          2010</t>
  </si>
  <si>
    <t>Marginated : seventeenth-century printed books and the traces of their readers / Sylvia Brown &amp; John Considine ; with the assistance of Amie Shirkie.</t>
  </si>
  <si>
    <t>Brown, Sylvia Monica, 1966- author.</t>
  </si>
  <si>
    <t>Edmonton : University of Alberta Libraries, ©2010.</t>
  </si>
  <si>
    <t>2014-12-01</t>
  </si>
  <si>
    <t>989386269:eng</t>
  </si>
  <si>
    <t>445230165</t>
  </si>
  <si>
    <t>ocn445230165</t>
  </si>
  <si>
    <t>3103266737P</t>
  </si>
  <si>
    <t>9781551952567</t>
  </si>
  <si>
    <t>794787169</t>
  </si>
  <si>
    <t>Z1033 A84 B769 2012</t>
  </si>
  <si>
    <t>0                      Z  1033000A  84                 B  769         2012</t>
  </si>
  <si>
    <t>The spacious margin : eighteenth-century printed books and the traces of their readers / Sylvia Brown and John Considine.</t>
  </si>
  <si>
    <t>Brown, Sylvia Monica, author.</t>
  </si>
  <si>
    <t>[Edmonton, Alberta] : University of Alberta Libraries, [2012]</t>
  </si>
  <si>
    <t>2014-07-10</t>
  </si>
  <si>
    <t>1405417459:eng</t>
  </si>
  <si>
    <t>809408660</t>
  </si>
  <si>
    <t>ocn809408660</t>
  </si>
  <si>
    <t>31034040044</t>
  </si>
  <si>
    <t>9781551953021</t>
  </si>
  <si>
    <t>794928386</t>
  </si>
  <si>
    <t>Z1033 B3 A73 2016</t>
  </si>
  <si>
    <t>0                      Z  1033000B  3                  A  73          2016</t>
  </si>
  <si>
    <t>The bestseller code : anatomy of the blockbuster novel / Jodie Archer &amp; Matthew L. Jockers.</t>
  </si>
  <si>
    <t>Archer, Jodie, author.</t>
  </si>
  <si>
    <t>New York : St. Martin's Press, 2016.</t>
  </si>
  <si>
    <t>10076733544:eng</t>
  </si>
  <si>
    <t>952700498</t>
  </si>
  <si>
    <t>ocn952700498</t>
  </si>
  <si>
    <t>3103657325G</t>
  </si>
  <si>
    <t>9781250088277</t>
  </si>
  <si>
    <t>795018425</t>
  </si>
  <si>
    <t>Z1033 E43 B37 2015</t>
  </si>
  <si>
    <t>0                      Z  1033000E  43                 B  37          2015</t>
  </si>
  <si>
    <t>Words onscreen : the fate of reading in a digital world / Naomi S. Baron.</t>
  </si>
  <si>
    <t>Baron, Naomi S., author.</t>
  </si>
  <si>
    <t>New York : Oxford University Press, [2015]</t>
  </si>
  <si>
    <t>1884254981:eng</t>
  </si>
  <si>
    <t>879527805</t>
  </si>
  <si>
    <t>ocn879527805</t>
  </si>
  <si>
    <t>3103607457T</t>
  </si>
  <si>
    <t>9780199315765</t>
  </si>
  <si>
    <t>794972156</t>
  </si>
  <si>
    <t>Z1033 E43 R33 2010</t>
  </si>
  <si>
    <t>0                      Z  1033000E  43                 R  33          2010</t>
  </si>
  <si>
    <t>Google et le nouveau monde / Bruno Racine.</t>
  </si>
  <si>
    <t>Racine, Bruno, 1951-</t>
  </si>
  <si>
    <t>Paris : Plon, ©2010.</t>
  </si>
  <si>
    <t>Tribune libre</t>
  </si>
  <si>
    <t>2012-11-28</t>
  </si>
  <si>
    <t>420818935:fre</t>
  </si>
  <si>
    <t>549153716</t>
  </si>
  <si>
    <t>ocn549153716</t>
  </si>
  <si>
    <t>3103289759$</t>
  </si>
  <si>
    <t>9782259212038</t>
  </si>
  <si>
    <t>794811316</t>
  </si>
  <si>
    <t>Z1033 E43 R63 2011</t>
  </si>
  <si>
    <t>0                      Z  1033000E  43                 R  63          2011</t>
  </si>
  <si>
    <t>Les livres dans l'univers numérique / Christian Robin ; avec la participation de François Rouet.</t>
  </si>
  <si>
    <t>Robin, Christian, 1955-</t>
  </si>
  <si>
    <t>Paris : La Documentation française, 2011.</t>
  </si>
  <si>
    <t>Les études de la Documentation française, 1763-6191 ; nos 5339-40</t>
  </si>
  <si>
    <t>1031523698:fre</t>
  </si>
  <si>
    <t>758436999</t>
  </si>
  <si>
    <t>ocn758436999</t>
  </si>
  <si>
    <t>3103447565J</t>
  </si>
  <si>
    <t>794896387</t>
  </si>
  <si>
    <t>Z1033 G73 G74 2010</t>
  </si>
  <si>
    <t>0                      Z  1033000G  73                 G  74          2010</t>
  </si>
  <si>
    <t>Grey literature in library and information studies / edited by Dominic J. Farace and Joachim Schöpfel.</t>
  </si>
  <si>
    <t>1044437266:eng</t>
  </si>
  <si>
    <t>651903054</t>
  </si>
  <si>
    <t>ocn651903054</t>
  </si>
  <si>
    <t>3103312665K</t>
  </si>
  <si>
    <t>9783598117930</t>
  </si>
  <si>
    <t>794833100</t>
  </si>
  <si>
    <t>Z1033 H53 T762 2010</t>
  </si>
  <si>
    <t>0                      Z  1033000H  53                 T  762         2010</t>
  </si>
  <si>
    <t>Guidelines for easy-to-read materials : revision / by Misako Nomura, Gyda Skat Nielsen and Bror I. Tronbacke on behalf of the IFLA/Library Services to people with special needs section.</t>
  </si>
  <si>
    <t>Nomura, Misako.</t>
  </si>
  <si>
    <t>Hague : IFLA Headquarters, ©2010.</t>
  </si>
  <si>
    <t>IFLA professional reports, 0168-1931 ; no. 120</t>
  </si>
  <si>
    <t>34624456:eng</t>
  </si>
  <si>
    <t>688334696</t>
  </si>
  <si>
    <t>ocn688334696</t>
  </si>
  <si>
    <t>31033695549</t>
  </si>
  <si>
    <t>9789077897423</t>
  </si>
  <si>
    <t>794854243</t>
  </si>
  <si>
    <t>Z1033 S5 L5778 2012</t>
  </si>
  <si>
    <t>0                      Z  1033000S  5                  L  5778        2012</t>
  </si>
  <si>
    <t>Literaturnye pami︠a︡tniki : annotirovannyĭ katalog, 1948-2011 / izdanie podgotovili, T.G. Anokhina, M.L. Gasparov, A.L. Grishunin, A.B. Kudelin, A.D. Mikhaĭlov, I.G. Ptushkina, E.B. Khaltrin-Khalturina ; otvetstvennye redaktory, A.D. Mikhaĭlov, E.V. Khaltrin-Khalturina.</t>
  </si>
  <si>
    <t>Moskva : Nauka, 2012.</t>
  </si>
  <si>
    <t>Literaturnye pami︠a︡tniki</t>
  </si>
  <si>
    <t>1166045874:rus</t>
  </si>
  <si>
    <t>809032612</t>
  </si>
  <si>
    <t>ocn809032612</t>
  </si>
  <si>
    <t>31035271402</t>
  </si>
  <si>
    <t>9785020373945</t>
  </si>
  <si>
    <t>794928096</t>
  </si>
  <si>
    <t>Z1033 T68 B78 2014</t>
  </si>
  <si>
    <t>0                      Z  1033000T  68                 B  78          2014</t>
  </si>
  <si>
    <t>"Wow, open this!" : paper engineering in books &amp; artists' books / curated by Kevin Zak.</t>
  </si>
  <si>
    <t>Bruce Peel Special Collections Library, host institution.</t>
  </si>
  <si>
    <t>[Edmonton, Alberta] : University of Alberta Libraries, [2014]</t>
  </si>
  <si>
    <t>2911479277:eng</t>
  </si>
  <si>
    <t>869584602</t>
  </si>
  <si>
    <t>ocn869584602</t>
  </si>
  <si>
    <t>3103494773Z</t>
  </si>
  <si>
    <t>9781551953342</t>
  </si>
  <si>
    <t>794965631</t>
  </si>
  <si>
    <t>Z1033 T68 F54 2019</t>
  </si>
  <si>
    <t>0                      Z  1033000T  68                 F  54          2019</t>
  </si>
  <si>
    <t>Playing with the book : Victorian movable picture books and the child reader / Hannah Field.</t>
  </si>
  <si>
    <t>Field, Hannah, 1984- author.</t>
  </si>
  <si>
    <t>Minneapolis : University of Minnesota Press, [2019]</t>
  </si>
  <si>
    <t>5472957262:eng</t>
  </si>
  <si>
    <t>1055828789</t>
  </si>
  <si>
    <t>on1055828789</t>
  </si>
  <si>
    <t>3103812688F</t>
  </si>
  <si>
    <t>9781517901769</t>
  </si>
  <si>
    <t>795063512</t>
  </si>
  <si>
    <t>Z1033 U58 P69 2013</t>
  </si>
  <si>
    <t>0                      Z  1033000U  58                 P  69          2013</t>
  </si>
  <si>
    <t>Power to the people : the graphic design of the radical press and the rise of the counter-culture, 1964-1974 / edited by Geoff Kaplan.</t>
  </si>
  <si>
    <t>Chicago ; London : University of Chicago Press, 2013.</t>
  </si>
  <si>
    <t>2017-04-15</t>
  </si>
  <si>
    <t>1370544105:eng</t>
  </si>
  <si>
    <t>869140677</t>
  </si>
  <si>
    <t>ocn869140677</t>
  </si>
  <si>
    <t>31035290045</t>
  </si>
  <si>
    <t>9780226424354</t>
  </si>
  <si>
    <t>794965158</t>
  </si>
  <si>
    <t>Z1035 A1 P47 2011</t>
  </si>
  <si>
    <t>0                      Z  1035000A  1                  P  47          2011</t>
  </si>
  <si>
    <t>Reading the 21st century : books of the decade, 2000-2009 / Stan Persky.</t>
  </si>
  <si>
    <t>Persky, Stan, 1941-</t>
  </si>
  <si>
    <t>Montreal [Québec] ; Ithaca [N.Y.] : McGill-Queen's University Press, 2011.</t>
  </si>
  <si>
    <t>865179802:eng</t>
  </si>
  <si>
    <t>711936641</t>
  </si>
  <si>
    <t>ocn711936641</t>
  </si>
  <si>
    <t>31033258313</t>
  </si>
  <si>
    <t>9780773539099</t>
  </si>
  <si>
    <t>794871384</t>
  </si>
  <si>
    <t>Z1035 A1 R65 1990</t>
  </si>
  <si>
    <t>0                      Z  1035000A  1                  R  65          1990</t>
  </si>
  <si>
    <t>Rotten rejections : a literary companion / edited by André Bernard ; introduction by Bill Henderson.</t>
  </si>
  <si>
    <t>Wainscott, N.Y. : Pushcart Press, ©1990.</t>
  </si>
  <si>
    <t>9169039086:eng</t>
  </si>
  <si>
    <t>21491848</t>
  </si>
  <si>
    <t>ocm21491848</t>
  </si>
  <si>
    <t>31004842656</t>
  </si>
  <si>
    <t>9780916366575</t>
  </si>
  <si>
    <t>793120441</t>
  </si>
  <si>
    <t>Z1035 A1 R68 1987</t>
  </si>
  <si>
    <t>0                      Z  1035000A  1                  R  68          1987</t>
  </si>
  <si>
    <t>Rotten reviews : a literary companion / edited by Bill Henderson ; introduction by Anthony Brandt ; illustrations by Mary Kornblum.</t>
  </si>
  <si>
    <t>[Wainscott, N.Y.] : Pushcart Press ; [New York, N.Y.] : [Distributed by W.W. Norton], ©1986.</t>
  </si>
  <si>
    <t>836877397:eng</t>
  </si>
  <si>
    <t>14909022</t>
  </si>
  <si>
    <t>ocm14909022</t>
  </si>
  <si>
    <t>30004834881</t>
  </si>
  <si>
    <t>9780916366407</t>
  </si>
  <si>
    <t>792913480</t>
  </si>
  <si>
    <t>Z1035 C69 1930</t>
  </si>
  <si>
    <t>0                      Z  1035000C  69          1930</t>
  </si>
  <si>
    <t>Fifteen minutes a day : the reading guide.</t>
  </si>
  <si>
    <t>New York : P.F. Collier, ©1930.</t>
  </si>
  <si>
    <t>The Harvard classics ; [52]</t>
  </si>
  <si>
    <t>1150897821:eng</t>
  </si>
  <si>
    <t>48758165</t>
  </si>
  <si>
    <t>ocm48758165</t>
  </si>
  <si>
    <t>3000962981E</t>
  </si>
  <si>
    <t>793727227</t>
  </si>
  <si>
    <t>Z1035 L58 2012</t>
  </si>
  <si>
    <t>0                      Z  1035000L  58          2012</t>
  </si>
  <si>
    <t>Livres québécois remarquables du XXe siècle / sous la direction de Claude Corbo avec la collaboration de Sophie Montreuil.</t>
  </si>
  <si>
    <t>1169836484:fre</t>
  </si>
  <si>
    <t>821047184</t>
  </si>
  <si>
    <t>ocn821047184</t>
  </si>
  <si>
    <t>3103403382K85</t>
  </si>
  <si>
    <t>9782760536081</t>
  </si>
  <si>
    <t>794935962</t>
  </si>
  <si>
    <t>Z1035.1 G885 2014</t>
  </si>
  <si>
    <t>0                      Z  1035100G  885         2014</t>
  </si>
  <si>
    <t>Guide to reference : essential general reference and library science sources / Jo Bell Whitlatch and Susan E. Searing, Editors.</t>
  </si>
  <si>
    <t>1884251772:eng</t>
  </si>
  <si>
    <t>878224566</t>
  </si>
  <si>
    <t>ocn878224566</t>
  </si>
  <si>
    <t>31035825957</t>
  </si>
  <si>
    <t>9780838912324</t>
  </si>
  <si>
    <t>794971354</t>
  </si>
  <si>
    <t>Z1035.1 K35 1998</t>
  </si>
  <si>
    <t>0                      Z  1035100K  35          1998</t>
  </si>
  <si>
    <t>Cuneiform to computer : a history of reference sources / Bill Katz.</t>
  </si>
  <si>
    <t>History of the book series ; no. 4</t>
  </si>
  <si>
    <t>864869129:eng</t>
  </si>
  <si>
    <t>36407821</t>
  </si>
  <si>
    <t>ocm36407821</t>
  </si>
  <si>
    <t>3101885933O</t>
  </si>
  <si>
    <t>9780810832909</t>
  </si>
  <si>
    <t>793474398</t>
  </si>
  <si>
    <t>Z1035.1 L96 2016</t>
  </si>
  <si>
    <t>0                      Z  1035100L  96          2016</t>
  </si>
  <si>
    <t>You could look it up : the reference shelf from ancient Babylon to Wikipedia / Jack Lynch.</t>
  </si>
  <si>
    <t>Lynch, Jack (John T.), author.</t>
  </si>
  <si>
    <t>New York : Bloomsbury Press, 2016.</t>
  </si>
  <si>
    <t>2018-06-22</t>
  </si>
  <si>
    <t>2935160831:eng</t>
  </si>
  <si>
    <t>898418972</t>
  </si>
  <si>
    <t>ocn898418972</t>
  </si>
  <si>
    <t>31036544875</t>
  </si>
  <si>
    <t>9780802777522</t>
  </si>
  <si>
    <t>794986308</t>
  </si>
  <si>
    <t>2014-01-06</t>
  </si>
  <si>
    <t>Z1035.8 C5 C48 1986</t>
  </si>
  <si>
    <t>0                      Z  1035800C  5                  C  48          1986</t>
  </si>
  <si>
    <t>Zhitang shu hua / Zhou Zuoren zhu ; Zhong Shuhe bian.</t>
  </si>
  <si>
    <t>Zhou, Zuoren, 1885-1967.</t>
  </si>
  <si>
    <t>Changsha : Yuëhlu shu she : Hunan sheng xin hua shu dian fa xing, 1986.</t>
  </si>
  <si>
    <t>104171428:chi</t>
  </si>
  <si>
    <t>17323175</t>
  </si>
  <si>
    <t>ocm17323175</t>
  </si>
  <si>
    <t>3000643125A</t>
  </si>
  <si>
    <t>792987818</t>
  </si>
  <si>
    <t>3100846460V</t>
  </si>
  <si>
    <t>792987817</t>
  </si>
  <si>
    <t>Z1035.8 L38 B58 2010</t>
  </si>
  <si>
    <t>0                      Z  1035800L  38                 B  58          2010</t>
  </si>
  <si>
    <t>Too much to know : managing scholarly information before the modern age / Ann M. Blair.</t>
  </si>
  <si>
    <t>Blair, Ann, 1961-</t>
  </si>
  <si>
    <t>815083809:eng</t>
  </si>
  <si>
    <t>601347978</t>
  </si>
  <si>
    <t>ocn601347978</t>
  </si>
  <si>
    <t>31032287360</t>
  </si>
  <si>
    <t>9780300165395</t>
  </si>
  <si>
    <t>794815487</t>
  </si>
  <si>
    <t>Z1035.9 M36 2012</t>
  </si>
  <si>
    <t>0                      Z  1035900M  36          2012</t>
  </si>
  <si>
    <t>101 letters to a prime minister : the complete letters to Stephen Harper / Yann Martel.</t>
  </si>
  <si>
    <t>Martel, Yann.</t>
  </si>
  <si>
    <t>Toronto : Vintage Canada, 2012.</t>
  </si>
  <si>
    <t>Vintage Canada ed., 2012.</t>
  </si>
  <si>
    <t>1080553042:eng</t>
  </si>
  <si>
    <t>777304402</t>
  </si>
  <si>
    <t>ocn777304402</t>
  </si>
  <si>
    <t>3103403618P</t>
  </si>
  <si>
    <t>9780307402073</t>
  </si>
  <si>
    <t>794908672</t>
  </si>
  <si>
    <t>Z1035.9 M37 2009</t>
  </si>
  <si>
    <t>0                      Z  1035900M  37          2009</t>
  </si>
  <si>
    <t>What is Stephen Harper reading? : Yann Martel's recommended reading for a prime minister (and book lovers of all stripes) / Yann Martel.</t>
  </si>
  <si>
    <t>Toronto : Vintage Canada, c2009.</t>
  </si>
  <si>
    <t>2015-12-11</t>
  </si>
  <si>
    <t>304221593:eng</t>
  </si>
  <si>
    <t>417025567</t>
  </si>
  <si>
    <t>ocn417025567</t>
  </si>
  <si>
    <t>31030717825</t>
  </si>
  <si>
    <t>9780307398673</t>
  </si>
  <si>
    <t>794502268</t>
  </si>
  <si>
    <t>Z1037 A1 C495 2001</t>
  </si>
  <si>
    <t>0                      Z  1037000A  1                  C  495         2001</t>
  </si>
  <si>
    <t>Children's literature and national identity / edited by Margaret Meek.</t>
  </si>
  <si>
    <t>Stoke on Trent : Trentham Books, 2001.</t>
  </si>
  <si>
    <t>35552214:eng</t>
  </si>
  <si>
    <t>46600308</t>
  </si>
  <si>
    <t>ocm46600308</t>
  </si>
  <si>
    <t>31021259971</t>
  </si>
  <si>
    <t>9781858562049</t>
  </si>
  <si>
    <t>793687159</t>
  </si>
  <si>
    <t>Z1037 A1 G35 1997</t>
  </si>
  <si>
    <t>0                      Z  1037000A  1                  G  35          1997</t>
  </si>
  <si>
    <t>Reading lives : reconstructing childhood, books, and schools in Britain, 1870-1920 / Gretchen R. Galbraith.</t>
  </si>
  <si>
    <t>Galbraith, Gretchen R., 1963-</t>
  </si>
  <si>
    <t>New York : St. Martin's Press, 1997.</t>
  </si>
  <si>
    <t>608336:eng</t>
  </si>
  <si>
    <t>36681684</t>
  </si>
  <si>
    <t>ocm36681684</t>
  </si>
  <si>
    <t>3101836948$</t>
  </si>
  <si>
    <t>9780312121433</t>
  </si>
  <si>
    <t>793481373</t>
  </si>
  <si>
    <t>Z1037 A1 G573 2000</t>
  </si>
  <si>
    <t>0                      Z  1037000A  1                  G  573         2000</t>
  </si>
  <si>
    <t>Literature for young children / Joan I. Glazer.</t>
  </si>
  <si>
    <t>Glazer, Joan I.</t>
  </si>
  <si>
    <t>Upper Saddle River, N.J. : Merrill, 2000.</t>
  </si>
  <si>
    <t>2018-11-15</t>
  </si>
  <si>
    <t>890357:eng</t>
  </si>
  <si>
    <t>41266017</t>
  </si>
  <si>
    <t>ocm41266017</t>
  </si>
  <si>
    <t>3102014678Z</t>
  </si>
  <si>
    <t>9780130109873</t>
  </si>
  <si>
    <t>793587777</t>
  </si>
  <si>
    <t>Z1037 A1 G73 2011</t>
  </si>
  <si>
    <t>0                      Z  1037000A  1                  G  73          2011</t>
  </si>
  <si>
    <t>The child reader, 1700-1840 / M.O. Grenby.</t>
  </si>
  <si>
    <t>Grenby, M. O. (Matthew Orville), 1970-</t>
  </si>
  <si>
    <t>2014-03-02</t>
  </si>
  <si>
    <t>570174210:eng</t>
  </si>
  <si>
    <t>655301533</t>
  </si>
  <si>
    <t>ocn655301533</t>
  </si>
  <si>
    <t>3103233313V</t>
  </si>
  <si>
    <t>9780521196444</t>
  </si>
  <si>
    <t>794834256</t>
  </si>
  <si>
    <t>Z1037 A1 N55 2001</t>
  </si>
  <si>
    <t>0                      Z  1037000A  1                  N  55          2001</t>
  </si>
  <si>
    <t>Literature for today's young adults / Alleen Pace Nilsen, Kenneth L. Donelson.</t>
  </si>
  <si>
    <t>Nilsen, Alleen Pace.</t>
  </si>
  <si>
    <t>New York : Longman, ©2001.</t>
  </si>
  <si>
    <t>6th ed.</t>
  </si>
  <si>
    <t>2017-06-20</t>
  </si>
  <si>
    <t>990691:eng</t>
  </si>
  <si>
    <t>43328928</t>
  </si>
  <si>
    <t>ocm43328928</t>
  </si>
  <si>
    <t>31020815986</t>
  </si>
  <si>
    <t>9780321037886</t>
  </si>
  <si>
    <t>793624688</t>
  </si>
  <si>
    <t>Z1037 A1 N625 2008</t>
  </si>
  <si>
    <t>0                      Z  1037000A  1                  N  625         2008</t>
  </si>
  <si>
    <t>The hidden adult : defining children's literature / Perry Nodelman.</t>
  </si>
  <si>
    <t>Nodelman, Perry.</t>
  </si>
  <si>
    <t>Baltimore, Md. : Johns Hopkins University Press, 2008.</t>
  </si>
  <si>
    <t>797250852:eng</t>
  </si>
  <si>
    <t>183179540</t>
  </si>
  <si>
    <t>ocn183179540</t>
  </si>
  <si>
    <t>3102974590O</t>
  </si>
  <si>
    <t>9780801889790</t>
  </si>
  <si>
    <t>794286734</t>
  </si>
  <si>
    <t>Z1037 A1 N63 2003</t>
  </si>
  <si>
    <t>0                      Z  1037000A  1                  N  63          2003</t>
  </si>
  <si>
    <t>The pleasures of children's literature / Perry Nodelman, Mavis Reimer.</t>
  </si>
  <si>
    <t>Boston : Allyn and Bacon, ©2003.</t>
  </si>
  <si>
    <t>1808226562:eng</t>
  </si>
  <si>
    <t>49011220</t>
  </si>
  <si>
    <t>ocm49011220</t>
  </si>
  <si>
    <t>3103475557E</t>
  </si>
  <si>
    <t>9780801332487</t>
  </si>
  <si>
    <t>793732753</t>
  </si>
  <si>
    <t>Z1037 A24 W4 1972b</t>
  </si>
  <si>
    <t>0                      Z  1037000A  24                 W  4           1972b</t>
  </si>
  <si>
    <t>A bibliography of American children's books printed prior to 1821.</t>
  </si>
  <si>
    <t>Welch, d'Alté A. (d'Alté Aldridge), 1907-1970.</t>
  </si>
  <si>
    <t>[Barre? Mass.] American Antiquarian Society and Barre Publishers, 1972.</t>
  </si>
  <si>
    <t>2012-12-21</t>
  </si>
  <si>
    <t>493947:eng</t>
  </si>
  <si>
    <t>2722461</t>
  </si>
  <si>
    <t>ocm02722461</t>
  </si>
  <si>
    <t>30009575578</t>
  </si>
  <si>
    <t>9780827171336</t>
  </si>
  <si>
    <t>792167649</t>
  </si>
  <si>
    <t>3000848879V</t>
  </si>
  <si>
    <t>792167650</t>
  </si>
  <si>
    <t>Z1037 A39 1986</t>
  </si>
  <si>
    <t>0                      Z  1037000A  39          1986</t>
  </si>
  <si>
    <t>Sing a song for sixpence : the English picture book tradition and Randolph Caldecott / Brian Alderson.</t>
  </si>
  <si>
    <t>Alderson, Brian.</t>
  </si>
  <si>
    <t>Cambridge [Cambridgeshire] : Cambridge University Press in association with the British Library, 1986.</t>
  </si>
  <si>
    <t>2015-07-02</t>
  </si>
  <si>
    <t>7354683:eng</t>
  </si>
  <si>
    <t>13823488</t>
  </si>
  <si>
    <t>ocm13823488</t>
  </si>
  <si>
    <t>3102952511L</t>
  </si>
  <si>
    <t>9780521331791</t>
  </si>
  <si>
    <t>792868219</t>
  </si>
  <si>
    <t>Z1037 C335 2012</t>
  </si>
  <si>
    <t>0                      Z  1037000C  335         2012</t>
  </si>
  <si>
    <t>Cart's top 200 adult books for young adults : two decades in review / Michael Cart.</t>
  </si>
  <si>
    <t>Cart, Michael.</t>
  </si>
  <si>
    <t>2013-05-24</t>
  </si>
  <si>
    <t>1313811595:eng</t>
  </si>
  <si>
    <t>794711898</t>
  </si>
  <si>
    <t>ocn794711898</t>
  </si>
  <si>
    <t>3103512501N</t>
  </si>
  <si>
    <t>9780838911587</t>
  </si>
  <si>
    <t>794920431</t>
  </si>
  <si>
    <t>Z1037 C446 2008</t>
  </si>
  <si>
    <t>0                      Z  1037000C  446         2008</t>
  </si>
  <si>
    <t>Young adult literature in action : a librarian's guide / Rosemary Chance.</t>
  </si>
  <si>
    <t>Chance, Rosemary.</t>
  </si>
  <si>
    <t>2017-10-17</t>
  </si>
  <si>
    <t>315314251:eng</t>
  </si>
  <si>
    <t>229020786</t>
  </si>
  <si>
    <t>ocn229020786</t>
  </si>
  <si>
    <t>3103498000H</t>
  </si>
  <si>
    <t>9781591585589</t>
  </si>
  <si>
    <t>794352688</t>
  </si>
  <si>
    <t>Z1037 C5447 1997</t>
  </si>
  <si>
    <t>0                      Z  1037000C  5447        1997</t>
  </si>
  <si>
    <t>Children's literature : where power moves, stories of indigenous peoples : a curriculum guide for grades K to eight / project co-ordinators, Kshamalee Wirekoon, Jacqueline Bradshaw, Cathy Memah ; writing co-ordinator, Alison Bradshaw ; writers, Alison Bradshaw, Irene Grezel, Miriam Macdonald.</t>
  </si>
  <si>
    <t>[Toronto] : UNICEF-Education, 1997.</t>
  </si>
  <si>
    <t>2019-10-22</t>
  </si>
  <si>
    <t>48089921:eng</t>
  </si>
  <si>
    <t>428115591</t>
  </si>
  <si>
    <t>ocn428115591</t>
  </si>
  <si>
    <t>3101998851Z</t>
  </si>
  <si>
    <t>9780921564140</t>
  </si>
  <si>
    <t>794775114</t>
  </si>
  <si>
    <t>Z1037 C946 2002</t>
  </si>
  <si>
    <t>0                      Z  1037000C  946         2002</t>
  </si>
  <si>
    <t>Cullinan and Galda's literature and the child.</t>
  </si>
  <si>
    <t>Galda, Lee.</t>
  </si>
  <si>
    <t>Belmont, CA : Wadsworth/Thomson Learning, ©2002.</t>
  </si>
  <si>
    <t>5th ed. / Lee Galda, Bernice E. Cullinan.</t>
  </si>
  <si>
    <t>3858367616:eng</t>
  </si>
  <si>
    <t>46785342</t>
  </si>
  <si>
    <t>ocm46785342</t>
  </si>
  <si>
    <t>3102165979G</t>
  </si>
  <si>
    <t>9780534246839</t>
  </si>
  <si>
    <t>793691299</t>
  </si>
  <si>
    <t>Z1037 E19 2007</t>
  </si>
  <si>
    <t>0                      Z  1037000E  19          2007</t>
  </si>
  <si>
    <t>Across cultures : a guide to multicultural literature for children / Kathy East and Rebecca L. Thomas.</t>
  </si>
  <si>
    <t>East, Kathy.</t>
  </si>
  <si>
    <t>Children's and young adult literature reference series</t>
  </si>
  <si>
    <t>3855281683:eng</t>
  </si>
  <si>
    <t>123029265</t>
  </si>
  <si>
    <t>ocn123029265</t>
  </si>
  <si>
    <t>3102975686J</t>
  </si>
  <si>
    <t>9781591583363</t>
  </si>
  <si>
    <t>794222284</t>
  </si>
  <si>
    <t>Z1037 G48 2006</t>
  </si>
  <si>
    <t>0                      Z  1037000G  48          2006</t>
  </si>
  <si>
    <t>Best books for children : preschool through grade 6.</t>
  </si>
  <si>
    <t>Barr, Catherine, 1951-</t>
  </si>
  <si>
    <t>2016-05-02</t>
  </si>
  <si>
    <t>3856917638:eng</t>
  </si>
  <si>
    <t>62152885</t>
  </si>
  <si>
    <t>ocm62152885</t>
  </si>
  <si>
    <t>3102975670L</t>
  </si>
  <si>
    <t>9781591580850</t>
  </si>
  <si>
    <t>794101403</t>
  </si>
  <si>
    <t>Z1037 G48 2010</t>
  </si>
  <si>
    <t>0                      Z  1037000G  48          2010</t>
  </si>
  <si>
    <t>Best books for children : preschool through grade 6 / Catherine Barr and John T. Gillespie.</t>
  </si>
  <si>
    <t>Santa Barbara, Calif. : Libraries Unlimited/ABC-CLIO, ©2010.</t>
  </si>
  <si>
    <t>430839891</t>
  </si>
  <si>
    <t>ocn430839891</t>
  </si>
  <si>
    <t>3103236147J</t>
  </si>
  <si>
    <t>9781591585756</t>
  </si>
  <si>
    <t>794781252</t>
  </si>
  <si>
    <t>Z1037 G4815 2007</t>
  </si>
  <si>
    <t>0                      Z  1037000G  4815        2007</t>
  </si>
  <si>
    <t>Best books for children, supplement to the 8th edition : preschool through grade 6 / Catherine Barr and John T. Gillespie.</t>
  </si>
  <si>
    <t>2015-04-22</t>
  </si>
  <si>
    <t>4820239250:eng</t>
  </si>
  <si>
    <t>163336389</t>
  </si>
  <si>
    <t>ocn163336389</t>
  </si>
  <si>
    <t>3102975677L</t>
  </si>
  <si>
    <t>9781591585749</t>
  </si>
  <si>
    <t>794257904</t>
  </si>
  <si>
    <t>Z1037 L715 2010</t>
  </si>
  <si>
    <t>0                      Z  1037000L  715         2010</t>
  </si>
  <si>
    <t>A to zoo : subject access to children's picture books / Carolyn W. Lima, Rebecca L. Thomas.</t>
  </si>
  <si>
    <t>Lima, Carolyn W.</t>
  </si>
  <si>
    <t>Children's and young adult literature reference</t>
  </si>
  <si>
    <t>2013-05-09</t>
  </si>
  <si>
    <t>195987805:eng</t>
  </si>
  <si>
    <t>505422442</t>
  </si>
  <si>
    <t>ocn505422442</t>
  </si>
  <si>
    <t>3103236274A</t>
  </si>
  <si>
    <t>9781598844061</t>
  </si>
  <si>
    <t>794807148</t>
  </si>
  <si>
    <t>Z1037 P35 2007</t>
  </si>
  <si>
    <t>0                      Z  1037000P  35          2007</t>
  </si>
  <si>
    <t>Book crush : for kids and teens : recommended reading for every mood, moment, and interest / Nancy Pearl.</t>
  </si>
  <si>
    <t>Pearl, Nancy.</t>
  </si>
  <si>
    <t>Seattle, W.A. : Sasquatch Books, 2007.</t>
  </si>
  <si>
    <t>2017-01-12</t>
  </si>
  <si>
    <t>196149764:eng</t>
  </si>
  <si>
    <t>86081047</t>
  </si>
  <si>
    <t>ocm86081047</t>
  </si>
  <si>
    <t>3103053331T</t>
  </si>
  <si>
    <t>9781570615009</t>
  </si>
  <si>
    <t>794218229</t>
  </si>
  <si>
    <t>Z1037 R68 1971</t>
  </si>
  <si>
    <t>0                      Z  1037000R  68          1971</t>
  </si>
  <si>
    <t>Early American children's books / by A.S.W. Rosenbach ; with bibliographical descriptions of the books in his private collection ; foreword by A. Edward Newton.</t>
  </si>
  <si>
    <t>Rosenbach, A. S. W. (Abraham Simon Wolf), 1876-1952, author.</t>
  </si>
  <si>
    <t>New York : Dover Publications, 1971.</t>
  </si>
  <si>
    <t>Dover books for children</t>
  </si>
  <si>
    <t>2004-03-02</t>
  </si>
  <si>
    <t>2019-01-03</t>
  </si>
  <si>
    <t>9846519523:eng</t>
  </si>
  <si>
    <t>147636</t>
  </si>
  <si>
    <t>ocm00147636</t>
  </si>
  <si>
    <t>3000854993A</t>
  </si>
  <si>
    <t>9780486224671</t>
  </si>
  <si>
    <t>791272109</t>
  </si>
  <si>
    <t>Z1037 U73</t>
  </si>
  <si>
    <t>0                      Z  1037000U  73</t>
  </si>
  <si>
    <t>The wide world of children's books : an exhibition for International Book Year / an annotated catalog, compiled by Virginia Haviland, head, Children's Book Section.</t>
  </si>
  <si>
    <t>Library of Congress. Children's Book Section.</t>
  </si>
  <si>
    <t>Washington : [For sale by the Supt. of Docs., U.S. Govt. Print. Off.], 1972.</t>
  </si>
  <si>
    <t>2018-06-19</t>
  </si>
  <si>
    <t>289672412:eng</t>
  </si>
  <si>
    <t>340483</t>
  </si>
  <si>
    <t>ocm00340483</t>
  </si>
  <si>
    <t>3000855013S</t>
  </si>
  <si>
    <t>9780844400303</t>
  </si>
  <si>
    <t>791343201</t>
  </si>
  <si>
    <t>Z1037.1 S34 2010</t>
  </si>
  <si>
    <t>0                      Z  1037100S  34          2010</t>
  </si>
  <si>
    <t>Guide to reference materials for school library media centers / Barbara Ripp Safford.</t>
  </si>
  <si>
    <t>Safford, Barbara Ripp.</t>
  </si>
  <si>
    <t>1049284:eng</t>
  </si>
  <si>
    <t>475446641</t>
  </si>
  <si>
    <t>ocn475446641</t>
  </si>
  <si>
    <t>3103237337B</t>
  </si>
  <si>
    <t>9781591582779</t>
  </si>
  <si>
    <t>794798215</t>
  </si>
  <si>
    <t>Z1037.8 J3 G56 2010</t>
  </si>
  <si>
    <t>0                      Z  1037800J  3                  G  56          2010</t>
  </si>
  <si>
    <t>Girl reading girl in Japan / edited by Tomoko Aoyama and Barbara Hartley.</t>
  </si>
  <si>
    <t>London ; New York : Routledge, 2010.</t>
  </si>
  <si>
    <t>Asia's transformations</t>
  </si>
  <si>
    <t>2014-04-14</t>
  </si>
  <si>
    <t>190766483:eng</t>
  </si>
  <si>
    <t>311756477</t>
  </si>
  <si>
    <t>ocn311756477</t>
  </si>
  <si>
    <t>31031304423</t>
  </si>
  <si>
    <t>9780415547420</t>
  </si>
  <si>
    <t>794436282</t>
  </si>
  <si>
    <t>Z1038 T6 A55</t>
  </si>
  <si>
    <t>0                      Z  1038000T  6                  A  55</t>
  </si>
  <si>
    <t>The Osborne Collection of Early Children's Books, 1566-1910 : a catalogue / prepared at Boys and Girls House by Judith St. John ; with an introduction by Edgar Osborne.</t>
  </si>
  <si>
    <t>Osborne Collection of Early Children's Books.</t>
  </si>
  <si>
    <t>Toronto : Toronto Public Library, 1958-1975.</t>
  </si>
  <si>
    <t>2542535670:eng</t>
  </si>
  <si>
    <t>576163</t>
  </si>
  <si>
    <t>ocm00576163</t>
  </si>
  <si>
    <t>31034526222</t>
  </si>
  <si>
    <t>9780919486546</t>
  </si>
  <si>
    <t>791419088</t>
  </si>
  <si>
    <t>31034526320</t>
  </si>
  <si>
    <t>791419087</t>
  </si>
  <si>
    <t>- Redpath Basement - Education Collection - Microform - In Library Use</t>
  </si>
  <si>
    <t>Z1038 T6 A55 1975</t>
  </si>
  <si>
    <t>0                      Z  1038000T  6                  A  55          1975</t>
  </si>
  <si>
    <t>Toronto : Toronto Public Library, 1975.</t>
  </si>
  <si>
    <t>4664352281:eng</t>
  </si>
  <si>
    <t>505723463</t>
  </si>
  <si>
    <t>ocn505723463</t>
  </si>
  <si>
    <t>3103452642Z</t>
  </si>
  <si>
    <t>9780919486256</t>
  </si>
  <si>
    <t>794807254</t>
  </si>
  <si>
    <t>- Redpath Basement - Education Collection - Regular Loan</t>
  </si>
  <si>
    <t>31034526272</t>
  </si>
  <si>
    <t>794807255</t>
  </si>
  <si>
    <t>Z1038 T6 A56 1979</t>
  </si>
  <si>
    <t>0                      Z  1038000T  6                  A  56          1979</t>
  </si>
  <si>
    <t>A token for friends : being a memoir of Edgar Osborne, an appreciation of the Osborne Collection of Early Children's Books and a facsimile of his catalogue, From morality &amp; instruction to Batrix Potter.</t>
  </si>
  <si>
    <t>Osborne, Edgar, 1890-1978.</t>
  </si>
  <si>
    <t>[Toronto] : Friends of the Osborne and Lillian H. Smith Collections, 1979.</t>
  </si>
  <si>
    <t>1806535663:eng</t>
  </si>
  <si>
    <t>16018368</t>
  </si>
  <si>
    <t>ocm16018368</t>
  </si>
  <si>
    <t>3000144897O</t>
  </si>
  <si>
    <t>792951211</t>
  </si>
  <si>
    <t>Z1039 A77 A78 2013</t>
  </si>
  <si>
    <t>0                      Z  1039000A  77                 A  78          2013</t>
  </si>
  <si>
    <t>The artist as reader : on education and non-education of early modern artists / edited by Heiko Damm, Michael Thimann and Claus Zittel.</t>
  </si>
  <si>
    <t>Intersections ; v. 27 - 2013</t>
  </si>
  <si>
    <t>1183875874:eng</t>
  </si>
  <si>
    <t>808417359</t>
  </si>
  <si>
    <t>ocn808417359</t>
  </si>
  <si>
    <t>3103502829F</t>
  </si>
  <si>
    <t>9789004242234</t>
  </si>
  <si>
    <t>794927602</t>
  </si>
  <si>
    <t>Z1039 A87 C65 2014</t>
  </si>
  <si>
    <t>0                      Z  1039000A  87                 C  65          2014</t>
  </si>
  <si>
    <t>Collecting, curating, and researching Writers' Libraries : a handbook / edited by Richard W. Oram ; with Joseph Nicholson.</t>
  </si>
  <si>
    <t>2018-07-21</t>
  </si>
  <si>
    <t>1861706364:eng</t>
  </si>
  <si>
    <t>876466356</t>
  </si>
  <si>
    <t>ocn876466356</t>
  </si>
  <si>
    <t>31035865401</t>
  </si>
  <si>
    <t>9781442234970</t>
  </si>
  <si>
    <t>794970109</t>
  </si>
  <si>
    <t>31036127723</t>
  </si>
  <si>
    <t>794970108</t>
  </si>
  <si>
    <t>Z1039 A87 F67 1999</t>
  </si>
  <si>
    <t>0                      Z  1039000A  87                 F  67          1999</t>
  </si>
  <si>
    <t>For the love of books : 115 celebrated writers on the books they love most / [edited by] Ronald B. Shwartz.</t>
  </si>
  <si>
    <t>New York : Grosset/Putnam, ©1999.</t>
  </si>
  <si>
    <t>902125287:eng</t>
  </si>
  <si>
    <t>40074108</t>
  </si>
  <si>
    <t>ocm40074108</t>
  </si>
  <si>
    <t>3101944670F</t>
  </si>
  <si>
    <t>9780399144660</t>
  </si>
  <si>
    <t>793559348</t>
  </si>
  <si>
    <t>Z1039 A87 L67 2001</t>
  </si>
  <si>
    <t>0                      Z  1039000A  87                 L  67          2001</t>
  </si>
  <si>
    <t>Lost classics / edited by Michael Ondaatje [and others].</t>
  </si>
  <si>
    <t>New York : Anchor Books, 2001.</t>
  </si>
  <si>
    <t>1st Anchor Books ed.</t>
  </si>
  <si>
    <t>56606305:eng</t>
  </si>
  <si>
    <t>45320443</t>
  </si>
  <si>
    <t>ocm45320443</t>
  </si>
  <si>
    <t>31022501473</t>
  </si>
  <si>
    <t>9780385720861</t>
  </si>
  <si>
    <t>793669306</t>
  </si>
  <si>
    <t>Z1039 B56 C47 2016</t>
  </si>
  <si>
    <t>0                      Z  1039000B  56                 C  47          2016</t>
  </si>
  <si>
    <t>The Harlem Renaissance and the Idea of a New Negro Reader / Shawn Anthony Christian.</t>
  </si>
  <si>
    <t>Christian, Shawn Anthony, author.</t>
  </si>
  <si>
    <t>Amherst ; Boston : University of Massachusetts Press, [2016]</t>
  </si>
  <si>
    <t>2823463034:eng</t>
  </si>
  <si>
    <t>930997630</t>
  </si>
  <si>
    <t>ocn930997630</t>
  </si>
  <si>
    <t>31036979328</t>
  </si>
  <si>
    <t>9781625342010</t>
  </si>
  <si>
    <t>795007394</t>
  </si>
  <si>
    <t>Z1039 J48 S53 1997</t>
  </si>
  <si>
    <t>0                      Z  1039000J  48                 S  53          1997</t>
  </si>
  <si>
    <t>Hunger for the printed word : books and libraries in the Jewish ghettos of Nazi-occupied Europe / by David Shavit.</t>
  </si>
  <si>
    <t>Shavit, David.</t>
  </si>
  <si>
    <t>Jefferson, N.C. : McFarland &amp; Co., Publishers, ©1997.</t>
  </si>
  <si>
    <t>226059226:eng</t>
  </si>
  <si>
    <t>36123610</t>
  </si>
  <si>
    <t>ocm36123610</t>
  </si>
  <si>
    <t>3101828366H</t>
  </si>
  <si>
    <t>9780786402038</t>
  </si>
  <si>
    <t>793466887</t>
  </si>
  <si>
    <t>Z1039 L3 R67 2001</t>
  </si>
  <si>
    <t>0                      Z  1039000L  3                  R  67          2001</t>
  </si>
  <si>
    <t>The intellectual life of the British working classes / Jonathan Rose.</t>
  </si>
  <si>
    <t>Rose, Jonathan, 1952-</t>
  </si>
  <si>
    <t>20967018:eng</t>
  </si>
  <si>
    <t>45610399</t>
  </si>
  <si>
    <t>ocm45610399</t>
  </si>
  <si>
    <t>3103005880L</t>
  </si>
  <si>
    <t>9780300088861</t>
  </si>
  <si>
    <t>793674768</t>
  </si>
  <si>
    <t>Z1039 L3 R67 2010</t>
  </si>
  <si>
    <t>0                      Z  1039000L  3                  R  67          2010</t>
  </si>
  <si>
    <t>New Haven [Conn.] : Yale University Press, 2010.</t>
  </si>
  <si>
    <t>520723375</t>
  </si>
  <si>
    <t>ocn520723375</t>
  </si>
  <si>
    <t>3103238881J</t>
  </si>
  <si>
    <t>9780300153651</t>
  </si>
  <si>
    <t>794808698</t>
  </si>
  <si>
    <t>Z1039 N76 B44 1995</t>
  </si>
  <si>
    <t>0                      Z  1039000N  76                 B  44          1995</t>
  </si>
  <si>
    <t>What nuns read : books and libraries in medieval English nunneries / by David N. Bell.</t>
  </si>
  <si>
    <t>Bell, David N., 1943-</t>
  </si>
  <si>
    <t>Kalamazoo : Cistercian Publications, 1995.</t>
  </si>
  <si>
    <t>Cistercian studies series ; no. 158</t>
  </si>
  <si>
    <t>2019-04-19</t>
  </si>
  <si>
    <t>32982561:eng</t>
  </si>
  <si>
    <t>30779212</t>
  </si>
  <si>
    <t>ocm30779212</t>
  </si>
  <si>
    <t>3101541193T</t>
  </si>
  <si>
    <t>9780879075583</t>
  </si>
  <si>
    <t>793344749</t>
  </si>
  <si>
    <t>Z1039 W65 F57 1993</t>
  </si>
  <si>
    <t>0                      Z  1039000W  65                 F  57          1993</t>
  </si>
  <si>
    <t>The woman reader, 1837-1914 / Kate Flint.</t>
  </si>
  <si>
    <t>Flint, Kate.</t>
  </si>
  <si>
    <t>Oxford : Clarendon Press ; New York : Oxford University Press, 1993.</t>
  </si>
  <si>
    <t>328211:eng</t>
  </si>
  <si>
    <t>27431207</t>
  </si>
  <si>
    <t>ocm27431207</t>
  </si>
  <si>
    <t>3102786980D</t>
  </si>
  <si>
    <t>9780198117193</t>
  </si>
  <si>
    <t>793266473</t>
  </si>
  <si>
    <t>Z1039 W65 G46 1986</t>
  </si>
  <si>
    <t>0                      Z  1039000W  65                 G  46          1986</t>
  </si>
  <si>
    <t>Gender and reading : essays on readers, texts, and contexts / edited by Elizabeth A. Flynn and Patrocinio P. Schweickart.</t>
  </si>
  <si>
    <t>Baltimore : Johns Hopkins University Press, ©1986.</t>
  </si>
  <si>
    <t>2019-09-29</t>
  </si>
  <si>
    <t>836716794:eng</t>
  </si>
  <si>
    <t>12160959</t>
  </si>
  <si>
    <t>ocm12160959</t>
  </si>
  <si>
    <t>3101459524U</t>
  </si>
  <si>
    <t>9780801829055</t>
  </si>
  <si>
    <t>792804151</t>
  </si>
  <si>
    <t>Z1039 W65 S53 2010</t>
  </si>
  <si>
    <t>0                      Z  1039000W  65                 S  53          2010</t>
  </si>
  <si>
    <t>Well-read lives : how books inspired a generation of American women / Barbara Sicherman.</t>
  </si>
  <si>
    <t>Sicherman, Barbara.</t>
  </si>
  <si>
    <t>Chapel Hill : University of North Carolina Press, ©2010.</t>
  </si>
  <si>
    <t>2019-05-28</t>
  </si>
  <si>
    <t>793233440:eng</t>
  </si>
  <si>
    <t>441211773</t>
  </si>
  <si>
    <t>ocn441211773</t>
  </si>
  <si>
    <t>31030978659</t>
  </si>
  <si>
    <t>9780807833087</t>
  </si>
  <si>
    <t>794786753</t>
  </si>
  <si>
    <t>Z1039 W65 W65 2011</t>
  </si>
  <si>
    <t>0                      Z  1039000W  65                 W  65          2011</t>
  </si>
  <si>
    <t>Women's literacy in early modern Spain and the new world / edited by Anne J. Cruz and Rosilie Hernández.</t>
  </si>
  <si>
    <t>768698303:eng</t>
  </si>
  <si>
    <t>695685841</t>
  </si>
  <si>
    <t>ocn695685841</t>
  </si>
  <si>
    <t>3103342443F</t>
  </si>
  <si>
    <t>9781409427131</t>
  </si>
  <si>
    <t>794858713</t>
  </si>
  <si>
    <t>Z1209 M25 1998</t>
  </si>
  <si>
    <t>0                      Z  1209000M  25          1998</t>
  </si>
  <si>
    <t>Indian slavery, labor, evangelization, and captivity in the Americas : an annotated bibliography / Russell M. Magnaghi.</t>
  </si>
  <si>
    <t>Magnaghi, Russell M.</t>
  </si>
  <si>
    <t>Native American bibliography series ; no. 22</t>
  </si>
  <si>
    <t>2018-01-16</t>
  </si>
  <si>
    <t>365714930:eng</t>
  </si>
  <si>
    <t>37156460</t>
  </si>
  <si>
    <t>ocm37156460</t>
  </si>
  <si>
    <t>31018665356</t>
  </si>
  <si>
    <t>9780810833555</t>
  </si>
  <si>
    <t>793491908</t>
  </si>
  <si>
    <t>Z1209.2 C2 B36 1999</t>
  </si>
  <si>
    <t>0                      Z  1209200C  2                  B  36          1999</t>
  </si>
  <si>
    <t>Resources for Métis researchers / Lawrence J. Barkwell, Leah Dorion, Darren R. Préfontaine.</t>
  </si>
  <si>
    <t>Barkwell, Lawrence J., 1943-</t>
  </si>
  <si>
    <t>Winnipeg : Louis Riel Institute of the Manitoba Métis Federation ; Saskatoon, Sask. : Gabriel Dumont Institute of Native Studies and Applied Research, ©1999.</t>
  </si>
  <si>
    <t>2016-03-06</t>
  </si>
  <si>
    <t>34627707:eng</t>
  </si>
  <si>
    <t>45264095</t>
  </si>
  <si>
    <t>ocm45264095</t>
  </si>
  <si>
    <t>3101982809X</t>
  </si>
  <si>
    <t>9780920915448</t>
  </si>
  <si>
    <t>793668088</t>
  </si>
  <si>
    <t>Z1209.2 C2 B853</t>
  </si>
  <si>
    <t>0                      Z  1209200C  2                  B  853</t>
  </si>
  <si>
    <t>Indigenous performing and ceremonial arts in Canada : a bibliography : an annotated bibliography of Canadian Indian rituals and ceremonies (up to 1976) / by Edward Buller.</t>
  </si>
  <si>
    <t>Buller, Edward, 1949-</t>
  </si>
  <si>
    <t>Toronto, Canada : Association for Native Development in the Performing and Visual Arts, ©1981.</t>
  </si>
  <si>
    <t>ANDPVA books</t>
  </si>
  <si>
    <t>2016-11-05</t>
  </si>
  <si>
    <t>197741733:eng</t>
  </si>
  <si>
    <t>10431702</t>
  </si>
  <si>
    <t>ocm10431702</t>
  </si>
  <si>
    <t>30009506548</t>
  </si>
  <si>
    <t>792726164</t>
  </si>
  <si>
    <t>Z1209.2 C2 F74</t>
  </si>
  <si>
    <t>0                      Z  1209200C  2                  F  74</t>
  </si>
  <si>
    <t>The Metis of Canada : an annotated bibliography / John W. Friesen &amp; Terry Lusty.</t>
  </si>
  <si>
    <t>Friesen, John W.</t>
  </si>
  <si>
    <t>Toronto : OISE Press, ©1980.</t>
  </si>
  <si>
    <t>OISE bibliography series ; 6</t>
  </si>
  <si>
    <t>20555657:eng</t>
  </si>
  <si>
    <t>7416035</t>
  </si>
  <si>
    <t>ocm07416035</t>
  </si>
  <si>
    <t>30009683915</t>
  </si>
  <si>
    <t>9780774402156</t>
  </si>
  <si>
    <t>792557753</t>
  </si>
  <si>
    <t>30009505576</t>
  </si>
  <si>
    <t>792557754</t>
  </si>
  <si>
    <t>Z1209.2 C2 S9 1982</t>
  </si>
  <si>
    <t>0                      Z  1209200C  2                  S  9           1982</t>
  </si>
  <si>
    <t>Canadian Indian policy : a critical bibliography / Robert J. Surtees.</t>
  </si>
  <si>
    <t>Surtees, Robert J., 1941-</t>
  </si>
  <si>
    <t>Bloomington : Published for the Newberry Library [by] Indiana University Press, ©1982.</t>
  </si>
  <si>
    <t>Bibliographical series / Newberry Library Center for the History of the American Indian</t>
  </si>
  <si>
    <t>894502175:eng</t>
  </si>
  <si>
    <t>7975996</t>
  </si>
  <si>
    <t>ocm07975996</t>
  </si>
  <si>
    <t>30009508184</t>
  </si>
  <si>
    <t>9780253313003</t>
  </si>
  <si>
    <t>792590609</t>
  </si>
  <si>
    <t>Z1209.2 C22 Q3 1985</t>
  </si>
  <si>
    <t>0                      Z  1209200C  22                 Q  3           1985</t>
  </si>
  <si>
    <t>Cultures et sociétés autochtones du Québec : bibliographie critique / Richard Dominique et Jean-Guy Deschênes ; préface de Jean-Jacques Simard.</t>
  </si>
  <si>
    <t>Dominique, Richard.</t>
  </si>
  <si>
    <t>Québec : Institut québecois de recherche sur la culture, 1985.</t>
  </si>
  <si>
    <t>Collection Instruments de travail ; no 11</t>
  </si>
  <si>
    <t>11382320:fre</t>
  </si>
  <si>
    <t>16027865</t>
  </si>
  <si>
    <t>ocm16027865</t>
  </si>
  <si>
    <t>3100927375M</t>
  </si>
  <si>
    <t>9782892240665</t>
  </si>
  <si>
    <t>792951364</t>
  </si>
  <si>
    <t>30009578704</t>
  </si>
  <si>
    <t>792951365</t>
  </si>
  <si>
    <t>Z1209.2 C22 Q48 1993</t>
  </si>
  <si>
    <t>0                      Z  1209200C  22                 Q  48          1993</t>
  </si>
  <si>
    <t>Les études québécoises en sciences sociales sur les peuples autochtones du Nord 1960-1989 : conditions socio-historiques de production et profil thématique / Marc-Adélard Tremblay et Carole Lévesque.</t>
  </si>
  <si>
    <t>Tremblay, Marc Adélard.</t>
  </si>
  <si>
    <t>Québec : Dép. d'anthropologie, Laboratoire de recherches anthropologiques, 1993.</t>
  </si>
  <si>
    <t>Collection travaux de recherche ; no 15</t>
  </si>
  <si>
    <t>367455200:fre</t>
  </si>
  <si>
    <t>428002215</t>
  </si>
  <si>
    <t>ocn428002215</t>
  </si>
  <si>
    <t>3101542003I</t>
  </si>
  <si>
    <t>9782980339615</t>
  </si>
  <si>
    <t>794743413</t>
  </si>
  <si>
    <t>Z1209.2 C3 M47 2002</t>
  </si>
  <si>
    <t>0                      Z  1209200C  3                  M  47          2002</t>
  </si>
  <si>
    <t>Metis legacy : a Metis historiography and annotated bibliography / edited by Lawrence J. Barkwell, Leah Dorion, Darren R. Préfontaine.</t>
  </si>
  <si>
    <t>Winnipeg : Pemmican Publications, ©2001.</t>
  </si>
  <si>
    <t>Metis legacy series ; v. 1</t>
  </si>
  <si>
    <t>905368706:eng</t>
  </si>
  <si>
    <t>46627958</t>
  </si>
  <si>
    <t>ocm46627958</t>
  </si>
  <si>
    <t>3102171944C</t>
  </si>
  <si>
    <t>9781894717045</t>
  </si>
  <si>
    <t>793687953</t>
  </si>
  <si>
    <t>Z1209.2 N67 R65</t>
  </si>
  <si>
    <t>0                      Z  1209200N  67                 R  65</t>
  </si>
  <si>
    <t>Indian missions : a critical bibliography / James P. Ronda and James Axtell.</t>
  </si>
  <si>
    <t>Ronda, James P., 1943-</t>
  </si>
  <si>
    <t>Bloomington : Published for the Newberry Library [by] Indiana University Press, ©1978.</t>
  </si>
  <si>
    <t>Bibliographical series - The Newberry Library, Center for the History of the American Indian</t>
  </si>
  <si>
    <t>2017-01-04</t>
  </si>
  <si>
    <t>892188757:eng</t>
  </si>
  <si>
    <t>4004974</t>
  </si>
  <si>
    <t>ocm04004974</t>
  </si>
  <si>
    <t>3000954835L</t>
  </si>
  <si>
    <t>9780253329783</t>
  </si>
  <si>
    <t>792313376</t>
  </si>
  <si>
    <t>Z1210 A26 N44 1982</t>
  </si>
  <si>
    <t>0                      Z  1210000A  26                 N  44          1982</t>
  </si>
  <si>
    <t>The Wabanaki : an annotated bibliography of selected books, articles, documents about Maliseet, Micmac, Passamaquoddy, Penobscot Indians in Maine, annotated by Native Americans / Eunice Nelson.</t>
  </si>
  <si>
    <t>Nelson, Eunice.</t>
  </si>
  <si>
    <t>Cambridge, Mass. : American Friends Service Committee ; Orono, Me. (Box 286, Orono 04473) : Order from American Friends Service Committee, 1982.</t>
  </si>
  <si>
    <t>1215888156:eng</t>
  </si>
  <si>
    <t>8784997</t>
  </si>
  <si>
    <t>ocm08784997</t>
  </si>
  <si>
    <t>31037429298</t>
  </si>
  <si>
    <t>792640802</t>
  </si>
  <si>
    <t>Z1210 E8 C3</t>
  </si>
  <si>
    <t>0                      Z  1210000E  8                  C  3</t>
  </si>
  <si>
    <t>A selected and annotated bibliography on the sociology of Eskimo education, prepared by R.J. Carney and W.O. Ferguson. With a foreword by B.Y. Card.</t>
  </si>
  <si>
    <t>Carney, R. (Robert)</t>
  </si>
  <si>
    <t>Edmonton, Published [by] the Boreal Institute with the Dept. of Educational Foundations, University of Alberta, ©1965.</t>
  </si>
  <si>
    <t>University of Alberta. Boreal Institute. Occasional publication, no. 2</t>
  </si>
  <si>
    <t>156575527:eng</t>
  </si>
  <si>
    <t>1277050</t>
  </si>
  <si>
    <t>ocm01277050</t>
  </si>
  <si>
    <t>3100950701F</t>
  </si>
  <si>
    <t>791589842</t>
  </si>
  <si>
    <t>3000962211Q</t>
  </si>
  <si>
    <t>791589841</t>
  </si>
  <si>
    <t>3001008835C</t>
  </si>
  <si>
    <t>791589843</t>
  </si>
  <si>
    <t>- Government Document Collection - Reference Collection - In Library Use</t>
  </si>
  <si>
    <t>Z1223 Z7 S4 2001</t>
  </si>
  <si>
    <t>0                      Z  1223000Z  7                  S  4           2001</t>
  </si>
  <si>
    <t>Using government information sources : electronic and print / Jean L. Sears and Marilyn K. Moody.</t>
  </si>
  <si>
    <t>Sears, Jean L.</t>
  </si>
  <si>
    <t>Phoenix, Ariz. : Oryx Press, ©2001.</t>
  </si>
  <si>
    <t>1808057277:eng</t>
  </si>
  <si>
    <t>44263349</t>
  </si>
  <si>
    <t>ocm44263349</t>
  </si>
  <si>
    <t>31021263428</t>
  </si>
  <si>
    <t>9781573562881</t>
  </si>
  <si>
    <t>793644495</t>
  </si>
  <si>
    <t>Z1223.Z7 S48 2013</t>
  </si>
  <si>
    <t>0                      Z  1223000Z  7                  S  48          2013</t>
  </si>
  <si>
    <t>The Serial set : its make-up and content / lead author and editor, Andrea Sevetson ; chapter authors, Mary Lou Cumberpatch [and 17 others].</t>
  </si>
  <si>
    <t>Sevetson, Andrea, author, editor.</t>
  </si>
  <si>
    <t>Bethesda, Maryland : ProQuest, [2013]</t>
  </si>
  <si>
    <t>1827385942:eng</t>
  </si>
  <si>
    <t>872286704</t>
  </si>
  <si>
    <t>ocn872286704</t>
  </si>
  <si>
    <t>3103552638V</t>
  </si>
  <si>
    <t>9781602053465</t>
  </si>
  <si>
    <t>794967992</t>
  </si>
  <si>
    <t>Z1231 D47 G86 2013</t>
  </si>
  <si>
    <t>0                      Z  1231000D  47                 G  86          2013</t>
  </si>
  <si>
    <t>The gay male sleuth in print and film : a history and annotated bibliography / Drewey Wayne Gunn.</t>
  </si>
  <si>
    <t>Gunn, Drewey Wayne, 1939-2018.</t>
  </si>
  <si>
    <t>Lanham, Md. : Scarecrow Press, [2013]</t>
  </si>
  <si>
    <t>New edition.</t>
  </si>
  <si>
    <t>2070441817:eng</t>
  </si>
  <si>
    <t>795909493</t>
  </si>
  <si>
    <t>ocn795909493</t>
  </si>
  <si>
    <t>3103533015M</t>
  </si>
  <si>
    <t>9780810885882</t>
  </si>
  <si>
    <t>794921875</t>
  </si>
  <si>
    <t>Z1231 F4 B88 2005</t>
  </si>
  <si>
    <t>0                      Z  1231000F  4                  B  88          2005</t>
  </si>
  <si>
    <t>The railroad in American fiction : an annotated bibliography / Grant Burns.</t>
  </si>
  <si>
    <t>Burns, Grant, 1947-</t>
  </si>
  <si>
    <t>Jefferson, N.C. : McFarland, ©2005.</t>
  </si>
  <si>
    <t>141125786:eng</t>
  </si>
  <si>
    <t>60668963</t>
  </si>
  <si>
    <t>ocm60668963</t>
  </si>
  <si>
    <t>3102528843L</t>
  </si>
  <si>
    <t>9780786423798</t>
  </si>
  <si>
    <t>793941795</t>
  </si>
  <si>
    <t>Z1231 P7 S745 2012</t>
  </si>
  <si>
    <t>0                      Z  1231000P  7                  S  745         2012</t>
  </si>
  <si>
    <t>A bibliographical description of books and pamphlets of American verse printed from 1610 through 1820 / compiled by Roger E. Stoddard ; edited by David R. Whitesell.</t>
  </si>
  <si>
    <t>Stoddard, Roger E. (Roger Eliot), compiler.</t>
  </si>
  <si>
    <t>University Park, Pennsylvania : Published by the Pennsylvania State University Press for the Bibliographical Society of America, [2012]</t>
  </si>
  <si>
    <t>[Penn State series in the history of the book]</t>
  </si>
  <si>
    <t>1173322153:eng</t>
  </si>
  <si>
    <t>761481957</t>
  </si>
  <si>
    <t>ocn761481957</t>
  </si>
  <si>
    <t>3103499689G</t>
  </si>
  <si>
    <t>9780271052212</t>
  </si>
  <si>
    <t>794899439</t>
  </si>
  <si>
    <t>Z1232 E85 2002</t>
  </si>
  <si>
    <t>0                      Z  1232000E  85          2002</t>
  </si>
  <si>
    <t>The essential guide to children's books and their creators / Anita Silvey, editor.</t>
  </si>
  <si>
    <t>Boston : Houghton Mifflin Co., 2002.</t>
  </si>
  <si>
    <t>2018-01-12</t>
  </si>
  <si>
    <t>3856760434:eng</t>
  </si>
  <si>
    <t>50503317</t>
  </si>
  <si>
    <t>ocm50503317</t>
  </si>
  <si>
    <t>3102549084N</t>
  </si>
  <si>
    <t>9780618190836</t>
  </si>
  <si>
    <t>793766336</t>
  </si>
  <si>
    <t>Z1232 H47 2003</t>
  </si>
  <si>
    <t>0                      Z  1232000H  47          2003</t>
  </si>
  <si>
    <t>Teen genreflecting : a guide to reading interests / Diana Tixier Herald.</t>
  </si>
  <si>
    <t>3857289219:eng</t>
  </si>
  <si>
    <t>52520412</t>
  </si>
  <si>
    <t>ocm52520412</t>
  </si>
  <si>
    <t>3102480983I</t>
  </si>
  <si>
    <t>9781563089961</t>
  </si>
  <si>
    <t>793808563</t>
  </si>
  <si>
    <t>Z1232 W43 2010</t>
  </si>
  <si>
    <t>0                      Z  1232000W  43          2010</t>
  </si>
  <si>
    <t>Gay, lesbian, bisexual, transgender and questioning teen literature : a guide to reading interests / Carlisle K. Webber.</t>
  </si>
  <si>
    <t>Webber, Carlisle K., author.</t>
  </si>
  <si>
    <t>355150658:eng</t>
  </si>
  <si>
    <t>475446622</t>
  </si>
  <si>
    <t>ocn475446622</t>
  </si>
  <si>
    <t>3103236269C</t>
  </si>
  <si>
    <t>9781591585060</t>
  </si>
  <si>
    <t>794798214</t>
  </si>
  <si>
    <t>Z1244 K95 1988</t>
  </si>
  <si>
    <t>0                      Z  1244000K  95          1988</t>
  </si>
  <si>
    <t>New day/New Deal : a bibliography of the Great American Depression, 1929-1941 / compiled by David E. Kyvig and Mary-Ann Blasio with contributions by Dawn Corley and assistance from Frank A. Caulkins [and others].</t>
  </si>
  <si>
    <t>Kyvig, David E.</t>
  </si>
  <si>
    <t>New York : Greenwood Press, 1988.</t>
  </si>
  <si>
    <t>Bibliographies and indexes in American history, 0742-6828 ; no. 9</t>
  </si>
  <si>
    <t>2615475:eng</t>
  </si>
  <si>
    <t>17383684</t>
  </si>
  <si>
    <t>ocm17383684</t>
  </si>
  <si>
    <t>3000964293P</t>
  </si>
  <si>
    <t>9780313260278</t>
  </si>
  <si>
    <t>792989743</t>
  </si>
  <si>
    <t>Z1249 M5 B44 2010</t>
  </si>
  <si>
    <t>0                      Z  1249000M  5                  B  44          2010</t>
  </si>
  <si>
    <t>The small wars of the United States, 1899-2009 : an annotated bibliography / Benjamin R. Beede.</t>
  </si>
  <si>
    <t>Beede, Benjamin R.</t>
  </si>
  <si>
    <t>New York : Routledge, 2010.</t>
  </si>
  <si>
    <t>Routledge research guides to American military studies</t>
  </si>
  <si>
    <t>2014-11-04</t>
  </si>
  <si>
    <t>796544845:eng</t>
  </si>
  <si>
    <t>179814300</t>
  </si>
  <si>
    <t>ocn179814300</t>
  </si>
  <si>
    <t>3103343176E</t>
  </si>
  <si>
    <t>9780415988889</t>
  </si>
  <si>
    <t>794279180</t>
  </si>
  <si>
    <t>Z1251 M6 C2</t>
  </si>
  <si>
    <t>0                      Z  1251000M  6                  C  2</t>
  </si>
  <si>
    <t>Calendar of manuscripts in Paris archives and libraries relating to the history of the Mississippi Valley to 1803 / edited by N.M. Miller Surrey (Mrs. F.M. Surrey)...Privately printed.</t>
  </si>
  <si>
    <t>Carnegie Institution of Washington. Department of Archaeology.</t>
  </si>
  <si>
    <t>Washington, D.C. : Carnegie Institution of Washington, Department of Historical Research, 1926-28.</t>
  </si>
  <si>
    <t>8469113:eng</t>
  </si>
  <si>
    <t>3178998</t>
  </si>
  <si>
    <t>ocm03178998</t>
  </si>
  <si>
    <t>3100846487B</t>
  </si>
  <si>
    <t>792226269</t>
  </si>
  <si>
    <t>30007967290</t>
  </si>
  <si>
    <t>792226270</t>
  </si>
  <si>
    <t>Z1313 F452 2012</t>
  </si>
  <si>
    <t>0                      Z  1313000F  452         2012</t>
  </si>
  <si>
    <t>Printing in New Jersey, 1754-1800 : a descriptive bibliography / by Joseph J. Felcone.</t>
  </si>
  <si>
    <t>Felcone, Joseph J.</t>
  </si>
  <si>
    <t>Worcester, Mass. : American Antiquarian Society, 2012.</t>
  </si>
  <si>
    <t>1013206338:eng</t>
  </si>
  <si>
    <t>754186768</t>
  </si>
  <si>
    <t>ocn754186768</t>
  </si>
  <si>
    <t>31034716050</t>
  </si>
  <si>
    <t>9781929545667</t>
  </si>
  <si>
    <t>794892648</t>
  </si>
  <si>
    <t>Z1361 E4 E9 1983</t>
  </si>
  <si>
    <t>0                      Z  1361000E  4                  E  9           1983</t>
  </si>
  <si>
    <t>European immigration and ethnicity in the United States and Canada : a historical bibliography / David L. Brye, editor.</t>
  </si>
  <si>
    <t>Santa Barbara, Calif. : ABC-Clio Information Services, ©1983.</t>
  </si>
  <si>
    <t>Clio bibliography series ; no. 7</t>
  </si>
  <si>
    <t>522016:eng</t>
  </si>
  <si>
    <t>9111711</t>
  </si>
  <si>
    <t>ocm09111711</t>
  </si>
  <si>
    <t>3000951153P</t>
  </si>
  <si>
    <t>9780874362589</t>
  </si>
  <si>
    <t>792657749</t>
  </si>
  <si>
    <t>Z1361 F8 B4</t>
  </si>
  <si>
    <t>0                      Z  1361000F  8                  B  4</t>
  </si>
  <si>
    <t>The French in North America; a bibliographical guide to French archives, reproductions, and research missions.</t>
  </si>
  <si>
    <t>Beers, Henry Putney, 1907-1996.</t>
  </si>
  <si>
    <t>Baton Rouge, Louisiana State University Press [1957]</t>
  </si>
  <si>
    <t>836162945:eng</t>
  </si>
  <si>
    <t>904430</t>
  </si>
  <si>
    <t>ocm00904430</t>
  </si>
  <si>
    <t>3000963492O</t>
  </si>
  <si>
    <t>791498790</t>
  </si>
  <si>
    <t>Z1361 N39 J45</t>
  </si>
  <si>
    <t>0                      Z  1361000N  39                 J  45</t>
  </si>
  <si>
    <t>Black separatism : a bibliography / Betty Lanier Jenkins &amp; Susan Phillis ; under the auspices of Metropolitan Applied Research Center, inc.</t>
  </si>
  <si>
    <t>Jenkins, Betty Lanier.</t>
  </si>
  <si>
    <t>Westport, Conn. : Greenwood Press, 1976.</t>
  </si>
  <si>
    <t>2015-08-18</t>
  </si>
  <si>
    <t>230378002:eng</t>
  </si>
  <si>
    <t>1973870</t>
  </si>
  <si>
    <t>ocm01973870</t>
  </si>
  <si>
    <t>3000957055W</t>
  </si>
  <si>
    <t>9780837183787</t>
  </si>
  <si>
    <t>792021087</t>
  </si>
  <si>
    <t>Z1361 O7 K56 1989</t>
  </si>
  <si>
    <t>0                      Z  1361000O  7                  K  56          1989</t>
  </si>
  <si>
    <t>Asian American studies : an annotated bibliography and research guide / edited by Hyung-chan Kim.</t>
  </si>
  <si>
    <t>Kim, Hyung-chan.</t>
  </si>
  <si>
    <t>New York : Greenwood Press, 1989.</t>
  </si>
  <si>
    <t>Bibliographies and indexes in American history, 0742-6828 ; no. 11</t>
  </si>
  <si>
    <t>2015-01-18</t>
  </si>
  <si>
    <t>2615451:eng</t>
  </si>
  <si>
    <t>19323868</t>
  </si>
  <si>
    <t>ocm19323868</t>
  </si>
  <si>
    <t>30012265293</t>
  </si>
  <si>
    <t>9780313260261</t>
  </si>
  <si>
    <t>793054196</t>
  </si>
  <si>
    <t>Z1365 A1 T3 1994</t>
  </si>
  <si>
    <t>0                      Z  1365000A  1                  T  3           1994</t>
  </si>
  <si>
    <t>Bibliography of Canadian bibliographies / editor and compiler, Ernie Ingles ; principal researcher and compiler, Gordon R. Adshead ; research assistants, Donna Brockmeyer-Klebaum, Sue Fisher, Suzanna Loeppky.</t>
  </si>
  <si>
    <t>Ingles, Ernie, 1948-</t>
  </si>
  <si>
    <t>Toronto : University of Toronto Press, 1994.</t>
  </si>
  <si>
    <t>3rd ed., updated, rev. and enl.</t>
  </si>
  <si>
    <t>10033120329:eng</t>
  </si>
  <si>
    <t>32430820</t>
  </si>
  <si>
    <t>ocm32430820</t>
  </si>
  <si>
    <t>3101305436A</t>
  </si>
  <si>
    <t>9780802028372</t>
  </si>
  <si>
    <t>793384059</t>
  </si>
  <si>
    <t>Z1365 B65 1996</t>
  </si>
  <si>
    <t>0                      Z  1365000B  65          1996</t>
  </si>
  <si>
    <t>Canadian reference sources : an annotated bibliography : general reference works, history, humanities = Ouvrages de référence canadiens : une bibliographie annotée : ouvrages de référence généraux, histoire, science humaines / Mary E. Bond, compiler and editor ; Martine M. Caron, co-compiler.</t>
  </si>
  <si>
    <t>Bond, Mary E.</t>
  </si>
  <si>
    <t>Vancouver, BC : UBC Press, ©1996.</t>
  </si>
  <si>
    <t>9657933999:eng</t>
  </si>
  <si>
    <t>35010833</t>
  </si>
  <si>
    <t>ocm35010833</t>
  </si>
  <si>
    <t>31015772895</t>
  </si>
  <si>
    <t>9780774805650</t>
  </si>
  <si>
    <t>793441123</t>
  </si>
  <si>
    <t>31015769258</t>
  </si>
  <si>
    <t>793441122</t>
  </si>
  <si>
    <t>Z1365 F54 1988</t>
  </si>
  <si>
    <t>0                      Z  1365000F  54          1988</t>
  </si>
  <si>
    <t>Upper Canadian imprints, 1801-1841 : a bibliography / Patricia Lockhart Fleming.</t>
  </si>
  <si>
    <t>Fleming, Patricia, 1939-</t>
  </si>
  <si>
    <t>Toronto ; Buffalo : University of Toronto Press in co-operation with the National Library of Canada and the Canadian Government Pub. Centre, Supply and Services Canada, ©1988.</t>
  </si>
  <si>
    <t>8907418234:eng</t>
  </si>
  <si>
    <t>19325725</t>
  </si>
  <si>
    <t>ocm19325725</t>
  </si>
  <si>
    <t>3000964015G</t>
  </si>
  <si>
    <t>9780802025852</t>
  </si>
  <si>
    <t>793054429</t>
  </si>
  <si>
    <t>Z1365 G78 1993</t>
  </si>
  <si>
    <t>0                      Z  1365000G  78          1993</t>
  </si>
  <si>
    <t>Canadiana-Bibliographie : Veröffentlichungen deutschsprachiger Kanadisten / bearbeitet und herausgegeben von Günther Grünsteudel.</t>
  </si>
  <si>
    <t>Grünsteudel, Günther.</t>
  </si>
  <si>
    <t>Bochum : Universitätsverlag Dr. N. Brockmeyer, 1993.</t>
  </si>
  <si>
    <t>2., erw. Aufl. ; Neuausg.</t>
  </si>
  <si>
    <t>Kanada-Studien ; Bd. 1</t>
  </si>
  <si>
    <t>32295694:ger</t>
  </si>
  <si>
    <t>30035940</t>
  </si>
  <si>
    <t>ocm30035940</t>
  </si>
  <si>
    <t>3101353012K</t>
  </si>
  <si>
    <t>9783819600876</t>
  </si>
  <si>
    <t>793327547</t>
  </si>
  <si>
    <t>Z1365 P4 2003</t>
  </si>
  <si>
    <t>0                      Z  1365000P  4           2003</t>
  </si>
  <si>
    <t>Peel's Bibliography of the Canadian Prairies to 1953 / Ernie B. Ingles, N. Merrill Distad, editors &amp; compilers ; Linda M. Distad, associate editor ; Tom Williams, Richard Spafford, associate contributors ; Darcy A. Sharman, Lorraine N. Strilesky, editorial &amp; research assistants.</t>
  </si>
  <si>
    <t>Toronto : University of Toronto Press, 2003.</t>
  </si>
  <si>
    <t>3rd ed., rev. and enl.</t>
  </si>
  <si>
    <t>3856770317:eng</t>
  </si>
  <si>
    <t>50755992</t>
  </si>
  <si>
    <t>ocm50755992</t>
  </si>
  <si>
    <t>31022581546</t>
  </si>
  <si>
    <t>9780802048257</t>
  </si>
  <si>
    <t>793772360</t>
  </si>
  <si>
    <t>Z1365 T64</t>
  </si>
  <si>
    <t>0                      Z  1365000T  64</t>
  </si>
  <si>
    <t>A bibliography of Canadiana, being items in the Public Library of Toronto, Canada, relating to the early history development of Canada. Ed. by Frances M. Staton and Marie Tremaine, with an introd. by George H. Locke.</t>
  </si>
  <si>
    <t>Toronto Public Libraries.</t>
  </si>
  <si>
    <t>Toronto, Public Library [©1935]</t>
  </si>
  <si>
    <t>8908482161:eng</t>
  </si>
  <si>
    <t>4153105</t>
  </si>
  <si>
    <t>ocm04153105</t>
  </si>
  <si>
    <t>3000962588G</t>
  </si>
  <si>
    <t>792326343</t>
  </si>
  <si>
    <t>3000851323X</t>
  </si>
  <si>
    <t>792326344</t>
  </si>
  <si>
    <t>Z1365 T64 Suppl. 2</t>
  </si>
  <si>
    <t>0                      Z  1365000T  64                                                      Suppl. 2</t>
  </si>
  <si>
    <t>A bibliography of Canadiana : being items in the Metropolitan Toronto Library relating to the early history and development of Canada : second supplement / edited by Sandra Alston ; assisted by Karen Evans.</t>
  </si>
  <si>
    <t>Metropolitan Toronto Library Board. Canadian History Department.</t>
  </si>
  <si>
    <t>Toronto : Metropolitan Toronto Library Board, 1985.</t>
  </si>
  <si>
    <t>28306173:eng</t>
  </si>
  <si>
    <t>12357312</t>
  </si>
  <si>
    <t>ocm12357312</t>
  </si>
  <si>
    <t>3101014319Y</t>
  </si>
  <si>
    <t>9780887730290</t>
  </si>
  <si>
    <t>792811883</t>
  </si>
  <si>
    <t>31026559507</t>
  </si>
  <si>
    <t>792811881</t>
  </si>
  <si>
    <t>2006-10-12</t>
  </si>
  <si>
    <t>3100749243V</t>
  </si>
  <si>
    <t>792811889</t>
  </si>
  <si>
    <t>3100749244T</t>
  </si>
  <si>
    <t>792811888</t>
  </si>
  <si>
    <t>31026559517</t>
  </si>
  <si>
    <t>792811882</t>
  </si>
  <si>
    <t>31010143090</t>
  </si>
  <si>
    <t>792811880</t>
  </si>
  <si>
    <t>Z1367 R9 W35 1954</t>
  </si>
  <si>
    <t>0                      Z  1367000R  9                  W  35          1954</t>
  </si>
  <si>
    <t>The Ryerson imprint; a check-list of the books and pamphlets published by the Ryerson Press since the foundation of the house in 1829.</t>
  </si>
  <si>
    <t>Wallace, W. Stewart (William Stewart), 1884-1970.</t>
  </si>
  <si>
    <t>Toronto, Ryerson Press [1954]</t>
  </si>
  <si>
    <t>197367292:eng</t>
  </si>
  <si>
    <t>13552930</t>
  </si>
  <si>
    <t>ocm13552930</t>
  </si>
  <si>
    <t>31036218532</t>
  </si>
  <si>
    <t>792857415</t>
  </si>
  <si>
    <t>Z1369 U55 2018</t>
  </si>
  <si>
    <t>0                      Z  1369000U  55          2018</t>
  </si>
  <si>
    <t>Experiment : printing the Canadian imagination : highlights from the David McKnight Canadian Little Magazine and Small Press Collection / David McKnight.</t>
  </si>
  <si>
    <t>University of Alberta. Library, creator.</t>
  </si>
  <si>
    <t>[Edmonton, Alberta, Canada] : Bruce Peel Special Collections, University of Alberta Libraries, [2018]</t>
  </si>
  <si>
    <t>5103980484:eng</t>
  </si>
  <si>
    <t>1035215246</t>
  </si>
  <si>
    <t>on1035215246</t>
  </si>
  <si>
    <t>3103730338A</t>
  </si>
  <si>
    <t>9781551953663</t>
  </si>
  <si>
    <t>795057374</t>
  </si>
  <si>
    <t>Z1373.5 Q4 P37</t>
  </si>
  <si>
    <t>0                      Z  1373500Q  4                  P  37</t>
  </si>
  <si>
    <t>The parliamentary committees of the National Assembly of Québec.</t>
  </si>
  <si>
    <t>Québec (Province). Assemblée nationale.</t>
  </si>
  <si>
    <t>[Québec] : Assemblée nationale Québec, [2010]</t>
  </si>
  <si>
    <t>9087773576:eng</t>
  </si>
  <si>
    <t>671530576</t>
  </si>
  <si>
    <t>ocn671530576</t>
  </si>
  <si>
    <t>3102879471H</t>
  </si>
  <si>
    <t>9782550579830</t>
  </si>
  <si>
    <t>794848716</t>
  </si>
  <si>
    <t>Z1373.5 Q4 P38</t>
  </si>
  <si>
    <t>0                      Z  1373500Q  4                  P  38</t>
  </si>
  <si>
    <t>Les commissions parlementaires à l'Assemblée nationale du Québec / [réalisée par la Direction du Secrétariat des commissions avec la collaboration de la Direction des communications].</t>
  </si>
  <si>
    <t>3769497368:fre</t>
  </si>
  <si>
    <t>671530577</t>
  </si>
  <si>
    <t>ocn671530577</t>
  </si>
  <si>
    <t>3102879472H</t>
  </si>
  <si>
    <t>9782550576501</t>
  </si>
  <si>
    <t>794848717</t>
  </si>
  <si>
    <t>Z1375 J65 2005</t>
  </si>
  <si>
    <t>0                      Z  1375000J  65          2005</t>
  </si>
  <si>
    <t>Reference sources for Canadian literary studies / Joseph Jones.</t>
  </si>
  <si>
    <t>Jones, Joseph, 1947-</t>
  </si>
  <si>
    <t>Toronto ; Buffalo : University of Toronto Press, ©2005.</t>
  </si>
  <si>
    <t>141121822:eng</t>
  </si>
  <si>
    <t>55146976</t>
  </si>
  <si>
    <t>ocm55146976</t>
  </si>
  <si>
    <t>3102457647M</t>
  </si>
  <si>
    <t>9780802087409</t>
  </si>
  <si>
    <t>793875393</t>
  </si>
  <si>
    <t>Z1375 L43</t>
  </si>
  <si>
    <t>0                      Z  1375000L  43</t>
  </si>
  <si>
    <t>The annotated bibliography of Canada's major authors / edited by Robert Lecker and Jack David.</t>
  </si>
  <si>
    <t>V. 5, c. 2</t>
  </si>
  <si>
    <t>Downsview, Ont. : ECW Press, 1979-</t>
  </si>
  <si>
    <t>2014-11-11</t>
  </si>
  <si>
    <t>2019-05-24</t>
  </si>
  <si>
    <t>9593005733:eng</t>
  </si>
  <si>
    <t>427290544</t>
  </si>
  <si>
    <t>ocn427290544</t>
  </si>
  <si>
    <t>3100890576C</t>
  </si>
  <si>
    <t>9780920802045</t>
  </si>
  <si>
    <t>794567022</t>
  </si>
  <si>
    <t>3100831324X</t>
  </si>
  <si>
    <t>794567032</t>
  </si>
  <si>
    <t>3000949969I</t>
  </si>
  <si>
    <t>794567034</t>
  </si>
  <si>
    <t>V. 6, c. 2</t>
  </si>
  <si>
    <t>2012-06-05</t>
  </si>
  <si>
    <t>3100890574G</t>
  </si>
  <si>
    <t>794567021</t>
  </si>
  <si>
    <t>V. 7, c. 2</t>
  </si>
  <si>
    <t>3100890571M</t>
  </si>
  <si>
    <t>794567020</t>
  </si>
  <si>
    <t>V. 2, c. 2</t>
  </si>
  <si>
    <t>31008905699</t>
  </si>
  <si>
    <t>794567025</t>
  </si>
  <si>
    <t>2014-11-20</t>
  </si>
  <si>
    <t>3100831325V</t>
  </si>
  <si>
    <t>794567033</t>
  </si>
  <si>
    <t>V. 5</t>
  </si>
  <si>
    <t>3100890575E</t>
  </si>
  <si>
    <t>794567030</t>
  </si>
  <si>
    <t>31008905788</t>
  </si>
  <si>
    <t>794567031</t>
  </si>
  <si>
    <t>V. 6</t>
  </si>
  <si>
    <t>31033797332</t>
  </si>
  <si>
    <t>794567029</t>
  </si>
  <si>
    <t>V. 1, c. 2</t>
  </si>
  <si>
    <t>3000949968K</t>
  </si>
  <si>
    <t>794567026</t>
  </si>
  <si>
    <t>V. 3, c. 2</t>
  </si>
  <si>
    <t>3100890570O</t>
  </si>
  <si>
    <t>794567024</t>
  </si>
  <si>
    <t>V. 4, c. 2</t>
  </si>
  <si>
    <t>3100890577A</t>
  </si>
  <si>
    <t>794567023</t>
  </si>
  <si>
    <t>V. 7</t>
  </si>
  <si>
    <t>3100890572K</t>
  </si>
  <si>
    <t>794567028</t>
  </si>
  <si>
    <t>V. 8</t>
  </si>
  <si>
    <t>3101426813J</t>
  </si>
  <si>
    <t>794567027</t>
  </si>
  <si>
    <t>Z1375 L432 1997</t>
  </si>
  <si>
    <t>0                      Z  1375000L  432         1997</t>
  </si>
  <si>
    <t>English-Canadian literary anthologies : an enumerative bibliography / Robert Lecker ; associate editors, Colin Hill, Peter Lipert.</t>
  </si>
  <si>
    <t>Teeswater, Ont. : Reference Press, c1997.</t>
  </si>
  <si>
    <t>2019-08-19</t>
  </si>
  <si>
    <t>308605563:eng</t>
  </si>
  <si>
    <t>37981570</t>
  </si>
  <si>
    <t>ocm37981570</t>
  </si>
  <si>
    <t>3101866696J</t>
  </si>
  <si>
    <t>9780919981607</t>
  </si>
  <si>
    <t>793511842</t>
  </si>
  <si>
    <t>Z1375 W3 1959</t>
  </si>
  <si>
    <t>0                      Z  1375000W  3           1959</t>
  </si>
  <si>
    <t>A check list of Canadian literature and background materials, 1628-1950.</t>
  </si>
  <si>
    <t>Watters, Reginald Eyre.</t>
  </si>
  <si>
    <t>Toronto : University of Toronto Press, 1959.</t>
  </si>
  <si>
    <t>46178440:eng</t>
  </si>
  <si>
    <t>61651361</t>
  </si>
  <si>
    <t>ocm61651361</t>
  </si>
  <si>
    <t>3101397419K</t>
  </si>
  <si>
    <t>794085454</t>
  </si>
  <si>
    <t>Z1376 I58 M67 2010</t>
  </si>
  <si>
    <t>0                      Z  1376000I  58                 M  67          2010</t>
  </si>
  <si>
    <t>The Moravian beginnings of Canadian Inuit literature : an exhibition of special collections from McGill University Library Rare Books and Special Collections, February to April, 2009 / [contributors, Henrik Wilhjelm, Greg Colley ; edited by Sharon Rankin ; curated by Sharon Rankin and others].</t>
  </si>
  <si>
    <t>Montréal : IPI Press, [2010]</t>
  </si>
  <si>
    <t>867437199:eng</t>
  </si>
  <si>
    <t>565930694</t>
  </si>
  <si>
    <t>ocn565930694</t>
  </si>
  <si>
    <t>3103267554N</t>
  </si>
  <si>
    <t>9780982170366</t>
  </si>
  <si>
    <t>794813077</t>
  </si>
  <si>
    <t>Z1377 D47 S54 1996</t>
  </si>
  <si>
    <t>0                      Z  1377000D  47                 S  54          1996</t>
  </si>
  <si>
    <t>Canadian crime fiction : an annotated comprehensive bibliography of Canadian crime fiction from 1817 to 1996, and biographical dictionary of Canadian crime writers, with an introductory essay on the history and development of Canadian crime writing / compiled by L. David St C. Skene-Melvin ; assisted by Norbert Spehner with input on le roman policier, d'espionnage, et de politique-fiction québécois ; [art work by Jean Pierre Cagnat].</t>
  </si>
  <si>
    <t>Skene Melvin, David, 1936-</t>
  </si>
  <si>
    <t>Shelburne, Ont. : Battered Silicon Dispatch Box, 1996.</t>
  </si>
  <si>
    <t>45447912:eng</t>
  </si>
  <si>
    <t>37372280</t>
  </si>
  <si>
    <t>ocm37372280</t>
  </si>
  <si>
    <t>3101706567$</t>
  </si>
  <si>
    <t>9781896648606</t>
  </si>
  <si>
    <t>793497166</t>
  </si>
  <si>
    <t>Z1377 D7 B35 Suppl. 1975/76</t>
  </si>
  <si>
    <t>0                      Z  1377000D  7                  B  35                                Suppl. 1975 76</t>
  </si>
  <si>
    <t>The Bibliography of Canadian theatre history : supplement, 1975-1976 / John Ball and Richard Plant, editors.</t>
  </si>
  <si>
    <t>Suppl. 1975 76*</t>
  </si>
  <si>
    <t>Ball, John, 1933-</t>
  </si>
  <si>
    <t>Toronto : Playwrights Co-op, 1979.</t>
  </si>
  <si>
    <t>5256753:eng</t>
  </si>
  <si>
    <t>6059164</t>
  </si>
  <si>
    <t>ocm06059164</t>
  </si>
  <si>
    <t>3000954791F</t>
  </si>
  <si>
    <t>9780887541704</t>
  </si>
  <si>
    <t>792472426</t>
  </si>
  <si>
    <t>Z1377 D7 B758</t>
  </si>
  <si>
    <t>0                      Z  1377000D  7                  B  758</t>
  </si>
  <si>
    <t>The Brock bibliography of published Canadian plays in English, 1766-1978 / general editor: Anton Wagner.</t>
  </si>
  <si>
    <t>Toronto : Playwrights Canada, 1980.</t>
  </si>
  <si>
    <t>54434553:eng</t>
  </si>
  <si>
    <t>427300834</t>
  </si>
  <si>
    <t>ocn427300834</t>
  </si>
  <si>
    <t>3000950070Y</t>
  </si>
  <si>
    <t>UNAVAILABLE</t>
  </si>
  <si>
    <t>9780887541575</t>
  </si>
  <si>
    <t>794573694</t>
  </si>
  <si>
    <t>Z1377 D7 D6</t>
  </si>
  <si>
    <t>0                      Z  1377000D  7                  D  6</t>
  </si>
  <si>
    <t>Canadian full-length plays in English; a preliminary annotated catalogue, edited by W.S. Milne.</t>
  </si>
  <si>
    <t>Dominion Drama Festival. Canadian Plays Committee.</t>
  </si>
  <si>
    <t>[Ottawa] Dominion Drama Festival, [1964]</t>
  </si>
  <si>
    <t>14967997:eng</t>
  </si>
  <si>
    <t>4755162</t>
  </si>
  <si>
    <t>ocm04755162</t>
  </si>
  <si>
    <t>3000962823W</t>
  </si>
  <si>
    <t>792380614</t>
  </si>
  <si>
    <t>Z1377 D7 D6 Suppl.</t>
  </si>
  <si>
    <t>0                      Z  1377000D  7                  D  6                                 Suppl.</t>
  </si>
  <si>
    <t>Canadian full-length plays in English (II) : a supplement to the preliminary annotated catalogue, edited by W.S. Milne.</t>
  </si>
  <si>
    <t>Ottawa : Dominion Drama Festival, 1966.</t>
  </si>
  <si>
    <t>64629579:eng</t>
  </si>
  <si>
    <t>3299866</t>
  </si>
  <si>
    <t>ocm03299866</t>
  </si>
  <si>
    <t>3000962824U</t>
  </si>
  <si>
    <t>792240300</t>
  </si>
  <si>
    <t>Z1377 D7 L3 1985</t>
  </si>
  <si>
    <t>0                      Z  1377000D  7                  L  3           1985</t>
  </si>
  <si>
    <t>Pour suivre le théâtre au Québec : les ressources documentaires / Pierre Lavoie.</t>
  </si>
  <si>
    <t>Lavoie, Pierre.</t>
  </si>
  <si>
    <t>Québec : Institut québécois de recherche sur la culture, 1985.</t>
  </si>
  <si>
    <t>Documents de recherche ; no 4</t>
  </si>
  <si>
    <t>312645110:fre</t>
  </si>
  <si>
    <t>13212318</t>
  </si>
  <si>
    <t>ocm13212318</t>
  </si>
  <si>
    <t>3000957801N</t>
  </si>
  <si>
    <t>9782892240474</t>
  </si>
  <si>
    <t>792844962</t>
  </si>
  <si>
    <t>Z1377 D7 O54</t>
  </si>
  <si>
    <t>0                      Z  1377000D  7                  O  54</t>
  </si>
  <si>
    <t>Canadian plays : a supplementary checklist to 1945 / by Patrick B. O'Neill.</t>
  </si>
  <si>
    <t>O'Neill, Patrick B.</t>
  </si>
  <si>
    <t>Halifax : Dalhousie University, University Libraries, School of Library Service, 1978.</t>
  </si>
  <si>
    <t>Occasional paper - Dalhousie University Libraries and Dalhousie School of Library Service ; 19, 0318-7403</t>
  </si>
  <si>
    <t>12455620:eng</t>
  </si>
  <si>
    <t>4982601</t>
  </si>
  <si>
    <t>ocm04982601</t>
  </si>
  <si>
    <t>3000957428J</t>
  </si>
  <si>
    <t>9780770301583</t>
  </si>
  <si>
    <t>792399106</t>
  </si>
  <si>
    <t>Z1377 D7 S44x</t>
  </si>
  <si>
    <t>0                      Z  1377000D  7                  S  44x</t>
  </si>
  <si>
    <t>A bibliography of English-language theatre and drama in Canada, 1800-1914.</t>
  </si>
  <si>
    <t>Sedgwick, Dorothy.</t>
  </si>
  <si>
    <t>Edmonton (Alta) : Nineteenth Century Theatre Research, 1976.</t>
  </si>
  <si>
    <t>Nineteenth century theatre research : Occasional publications ; no. 1</t>
  </si>
  <si>
    <t>2015-07-28</t>
  </si>
  <si>
    <t>4526158:eng</t>
  </si>
  <si>
    <t>277229915</t>
  </si>
  <si>
    <t>ocn277229915</t>
  </si>
  <si>
    <t>3000847827I</t>
  </si>
  <si>
    <t>794418978</t>
  </si>
  <si>
    <t>3103867196I</t>
  </si>
  <si>
    <t>794418977</t>
  </si>
  <si>
    <t>Z1377 F4 C16</t>
  </si>
  <si>
    <t>0                      Z  1377000F  4                  C  16</t>
  </si>
  <si>
    <t>CDN SF &amp; F : a bibliography of Canadian science fiction and fantasy / compiled by John Robert Colombo [and others].</t>
  </si>
  <si>
    <t>Toronto : Hounslow Press, ©1979.</t>
  </si>
  <si>
    <t>2015-06-29</t>
  </si>
  <si>
    <t>20483515:eng</t>
  </si>
  <si>
    <t>5955817</t>
  </si>
  <si>
    <t>ocm05955817</t>
  </si>
  <si>
    <t>3000950276E</t>
  </si>
  <si>
    <t>9780888820365</t>
  </si>
  <si>
    <t>792466266</t>
  </si>
  <si>
    <t>Z1377 F4 T5 1946</t>
  </si>
  <si>
    <t>0                      Z  1377000F  4                  T  5           1946</t>
  </si>
  <si>
    <t>Canadian novelists, 1920-1945, by Clara Thomas.</t>
  </si>
  <si>
    <t>Thomas, Clara.</t>
  </si>
  <si>
    <t>Toronto, New York Longmans, Green &amp; Co. [1946]</t>
  </si>
  <si>
    <t>1564834:eng</t>
  </si>
  <si>
    <t>1067813</t>
  </si>
  <si>
    <t>ocm01067813</t>
  </si>
  <si>
    <t>31013117493</t>
  </si>
  <si>
    <t>791537877</t>
  </si>
  <si>
    <t>3000963497E</t>
  </si>
  <si>
    <t>791537879</t>
  </si>
  <si>
    <t>Z1377 F8 B57 1999</t>
  </si>
  <si>
    <t>0                      Z  1377000F  8                  B  57          1999</t>
  </si>
  <si>
    <t>Les revues littéraires de langue française du Québec et du Canada des origines à 1995 : essai de répertoire / Michel Biron, Corinne Larochelle.</t>
  </si>
  <si>
    <t>Biron, Michel, 1963 mars 5-</t>
  </si>
  <si>
    <t>Montréal : Dép. d'études littéraires, Université du Québec à Montréal, 1999.</t>
  </si>
  <si>
    <t>Prépublication</t>
  </si>
  <si>
    <t>2017-08-17</t>
  </si>
  <si>
    <t>373474144:fre</t>
  </si>
  <si>
    <t>41273805</t>
  </si>
  <si>
    <t>ocm41273805</t>
  </si>
  <si>
    <t>3102010999Z</t>
  </si>
  <si>
    <t>9782921764056</t>
  </si>
  <si>
    <t>793587994</t>
  </si>
  <si>
    <t>Z1377 F8 C53 1991</t>
  </si>
  <si>
    <t>0                      Z  1377000F  8                  C  53          1991</t>
  </si>
  <si>
    <t>Bibliographie descriptive du roman montréalais / Jean-François Chassay ; en collaboration avec Annick Andrés et Louise Frappier.</t>
  </si>
  <si>
    <t>Chassay, Jean-François.</t>
  </si>
  <si>
    <t>[Montréal, Québec] : Groupe de recherche Montréal imaginaire, Centre d'études québécoises, Départment d'études françaises, Faculté des arts et des sciences, Université de Montréal, [1991]</t>
  </si>
  <si>
    <t>30912886:fre</t>
  </si>
  <si>
    <t>28804622</t>
  </si>
  <si>
    <t>ocm28804622</t>
  </si>
  <si>
    <t>31037360510</t>
  </si>
  <si>
    <t>9782980263200</t>
  </si>
  <si>
    <t>793296844</t>
  </si>
  <si>
    <t>Z1377 F8 D56 1988</t>
  </si>
  <si>
    <t>0                      Z  1377000F  8                  D  56          1988</t>
  </si>
  <si>
    <t>Canadian literature in French / René Dionne.</t>
  </si>
  <si>
    <t>Dionne, René, 1929-</t>
  </si>
  <si>
    <t>[Ottawa, Ont.] : Canadian Studies Directorate, ©1988.</t>
  </si>
  <si>
    <t>Canadian studies resource guides</t>
  </si>
  <si>
    <t>2017-07-07</t>
  </si>
  <si>
    <t>19035057:eng</t>
  </si>
  <si>
    <t>18740689</t>
  </si>
  <si>
    <t>ocm18740689</t>
  </si>
  <si>
    <t>31002165386</t>
  </si>
  <si>
    <t>9780662562092</t>
  </si>
  <si>
    <t>793035874</t>
  </si>
  <si>
    <t>Z1377 F8 G38 1997</t>
  </si>
  <si>
    <t>0                      Z  1377000F  8                  G  38          1997</t>
  </si>
  <si>
    <t>Langues et littératures : dossier bibliographique / établi par Lise Gauvin en collaboration avec Rainier Grutman, Alexandra Jarque et Suzanne Martin.</t>
  </si>
  <si>
    <t>Gauvin, Lise, 1940-</t>
  </si>
  <si>
    <t>Montréal : Centre d'études québécoises, Université de Montréal, 1997.</t>
  </si>
  <si>
    <t>Cahier du Groupe de recherches sur les interactions langues /littératures</t>
  </si>
  <si>
    <t>2015-10-05</t>
  </si>
  <si>
    <t>42192977:fre</t>
  </si>
  <si>
    <t>38431867</t>
  </si>
  <si>
    <t>ocm38431867</t>
  </si>
  <si>
    <t>3101878711X</t>
  </si>
  <si>
    <t>793523684</t>
  </si>
  <si>
    <t>Z1377 F8 H6</t>
  </si>
  <si>
    <t>0                      Z  1377000F  8                  H  6</t>
  </si>
  <si>
    <t>Écrivains québécois de nouvelle culture / Ghislaine Houle, Jacques Lafontaine.</t>
  </si>
  <si>
    <t>Houle, Ghislaine, 1943-</t>
  </si>
  <si>
    <t>Montréal : Bibliothèque nationale du Québec, 1975.</t>
  </si>
  <si>
    <t>Bibliographies québécoises ; no 2</t>
  </si>
  <si>
    <t>2497124:fre</t>
  </si>
  <si>
    <t>1670127</t>
  </si>
  <si>
    <t>ocm01670127</t>
  </si>
  <si>
    <t>31039133333</t>
  </si>
  <si>
    <t>791827031</t>
  </si>
  <si>
    <t>3000956212A</t>
  </si>
  <si>
    <t>791827030</t>
  </si>
  <si>
    <t>Z1379 A85</t>
  </si>
  <si>
    <t>0                      Z  1379000A  85</t>
  </si>
  <si>
    <t>A bibliography of writings on Canadian English (1857-1965) [by] Walter S. Avis.</t>
  </si>
  <si>
    <t>Avis, Walter Spencer, 1919-</t>
  </si>
  <si>
    <t>Toronto, W.J. Gage [©1965]</t>
  </si>
  <si>
    <t>1503252:eng</t>
  </si>
  <si>
    <t>462229</t>
  </si>
  <si>
    <t>ocm00462229</t>
  </si>
  <si>
    <t>31014560971</t>
  </si>
  <si>
    <t>791385028</t>
  </si>
  <si>
    <t>Z1382 R85 2010</t>
  </si>
  <si>
    <t>0                      Z  1382000R  85          2010</t>
  </si>
  <si>
    <t>Canadian geography : a scholarly bibliography / Thomas A. Rumney.</t>
  </si>
  <si>
    <t>Rumney, Thomas A.</t>
  </si>
  <si>
    <t>Lanham : Scarecrow Press, 2010.</t>
  </si>
  <si>
    <t>1047662897:eng</t>
  </si>
  <si>
    <t>458737482</t>
  </si>
  <si>
    <t>ocn458737482</t>
  </si>
  <si>
    <t>31033237874</t>
  </si>
  <si>
    <t>9780810867178</t>
  </si>
  <si>
    <t>794790583</t>
  </si>
  <si>
    <t>Z1382 T73 1989</t>
  </si>
  <si>
    <t>0                      Z  1382000T  73          1989</t>
  </si>
  <si>
    <t>The travellers--Canada to 1900 : an annotated bibliography of works published in English from 1577 / Elizabeth Waterston, with Ian Easterbrook, Bernard Katz, and Kathleen Scott.</t>
  </si>
  <si>
    <t>Waterston, Elizabeth, 1922-</t>
  </si>
  <si>
    <t>Guelph, Ont., Canada : University of Guelph, 1989.</t>
  </si>
  <si>
    <t>894419276:eng</t>
  </si>
  <si>
    <t>22765544</t>
  </si>
  <si>
    <t>ocm22765544</t>
  </si>
  <si>
    <t>3000964720W</t>
  </si>
  <si>
    <t>9780889551701</t>
  </si>
  <si>
    <t>793153156</t>
  </si>
  <si>
    <t>Z1383 C43 1993</t>
  </si>
  <si>
    <t>0                      Z  1383000C  43          1993</t>
  </si>
  <si>
    <t>Amirauté de Guyenne : a source for the history of New France : (Series 6B) Archives départmentales de la Gironde, Bordeaux, France / Nicole Chamberland, Jane McLeod, Christine Turgeon ; under the direction of Raymonde Litalien.</t>
  </si>
  <si>
    <t>Chamberland, Nicole.</t>
  </si>
  <si>
    <t>Ottawa, Ont. : National Archives of Canada, ©1993.</t>
  </si>
  <si>
    <t>27085430:fre</t>
  </si>
  <si>
    <t>41572421</t>
  </si>
  <si>
    <t>ocm41572421</t>
  </si>
  <si>
    <t>3101242590Z</t>
  </si>
  <si>
    <t>9780662585442</t>
  </si>
  <si>
    <t>793594342</t>
  </si>
  <si>
    <t>Z1383 L35 1983</t>
  </si>
  <si>
    <t>0                      Z  1383000L  35          1983</t>
  </si>
  <si>
    <t>The political economy of New France : as developed by John Law, Compagnie des Indes &amp; the French-Canadian traders : a bibliography / compiled by Lawrence M. Lande from manuscripts and printed material in his private collection.</t>
  </si>
  <si>
    <t>Lande, Lawrence M. (Lawrence Montague), 1906-</t>
  </si>
  <si>
    <t>[Montréal?] : [publisher not identified], 1983.</t>
  </si>
  <si>
    <t>429705960:eng</t>
  </si>
  <si>
    <t>317810396</t>
  </si>
  <si>
    <t>ocn317810396</t>
  </si>
  <si>
    <t>3000958524I</t>
  </si>
  <si>
    <t>794467624</t>
  </si>
  <si>
    <t>Z1383 L352 1984</t>
  </si>
  <si>
    <t>0                      Z  1383000L  352         1984</t>
  </si>
  <si>
    <t>The founder of our monetary system, John Law, Compagnie des Indes &amp; the early economy of North America : a second bibliography / collected, compiled and edited by Lawrence M. Lande.</t>
  </si>
  <si>
    <t>Montreal : Lawrence Lande Foundation for Canadian Historical Research, McLennan Library, McGill University, 1984.</t>
  </si>
  <si>
    <t>7011365:eng</t>
  </si>
  <si>
    <t>13562379</t>
  </si>
  <si>
    <t>ocm13562379</t>
  </si>
  <si>
    <t>3103644375M</t>
  </si>
  <si>
    <t>792857942</t>
  </si>
  <si>
    <t>Z1383 L353 1985</t>
  </si>
  <si>
    <t>0                      Z  1383000L  353         1985</t>
  </si>
  <si>
    <t>John Law, the French régime and the beginnings of exploration, trade and paper money in North America : a third bibliography / compiled and edited by Lawrence M. Lande.</t>
  </si>
  <si>
    <t>Montreal : Lawrence Lande Foundation for Canadian Historical Research, 1985.</t>
  </si>
  <si>
    <t>430803149:eng</t>
  </si>
  <si>
    <t>16180034</t>
  </si>
  <si>
    <t>ocm16180034</t>
  </si>
  <si>
    <t>3000958520Q</t>
  </si>
  <si>
    <t>792957316</t>
  </si>
  <si>
    <t>Z1383 L354 1986</t>
  </si>
  <si>
    <t>0                      Z  1383000L  354         1986</t>
  </si>
  <si>
    <t>John Law : the influence of his system on the American and French revolutions and its lasting effect on world economics. A fourth bibliography / compiled and edited by Lawrence M. Lande.</t>
  </si>
  <si>
    <t>Lande, Lawrence M.</t>
  </si>
  <si>
    <t>Montreal : Lawrence Lande Foundation for Canadian Historical Research, McLennan Library, McGill University, 1986.</t>
  </si>
  <si>
    <t>8801248:eng</t>
  </si>
  <si>
    <t>15075012</t>
  </si>
  <si>
    <t>ocm15075012</t>
  </si>
  <si>
    <t>3000958521O</t>
  </si>
  <si>
    <t>792918930</t>
  </si>
  <si>
    <t>Z1383 L355 1982</t>
  </si>
  <si>
    <t>0                      Z  1383000L  355         1982</t>
  </si>
  <si>
    <t>The rise and fall of John Law, 1716-1720 / from original contemporary manuscripts, collected and edited by Lawrence M. Lande.</t>
  </si>
  <si>
    <t>Montreal : Lawrence Lande Foundation for Canadian Historical Research : McLennan Library, McGill University, 1982.</t>
  </si>
  <si>
    <t>2905242303:eng</t>
  </si>
  <si>
    <t>11044407</t>
  </si>
  <si>
    <t>ocm11044407</t>
  </si>
  <si>
    <t>31031454877</t>
  </si>
  <si>
    <t>792755458</t>
  </si>
  <si>
    <t>Z1383 L356 1987</t>
  </si>
  <si>
    <t>0                      Z  1383000L  356         1987</t>
  </si>
  <si>
    <t>A short title catalogue of the Lawrence M. Lande Collection : reflecting the influence of John Law and paper money on the early economic development of North America and including, in particular, material relating to John Law and his system and the Compagnie des Indes ... / compiled and edited by Roger McCrow.</t>
  </si>
  <si>
    <t>Lawrence Lande Collection of Canadiana.</t>
  </si>
  <si>
    <t>Hythe, England : Roger McCrow Rare Books, 1987.</t>
  </si>
  <si>
    <t>26625831:eng</t>
  </si>
  <si>
    <t>289682646</t>
  </si>
  <si>
    <t>ocn289682646</t>
  </si>
  <si>
    <t>3103087859G</t>
  </si>
  <si>
    <t>794422664</t>
  </si>
  <si>
    <t>Z1385 M37</t>
  </si>
  <si>
    <t>0                      Z  1385000M  37</t>
  </si>
  <si>
    <t>A preliminary guide to nineteenth century Canadian guide books : a survey of holdings of the McLennan Library, with an historical introduction / by Carol Marley.</t>
  </si>
  <si>
    <t>McGill University. Library.</t>
  </si>
  <si>
    <t>Montreal : Dept. of Rare Books and Special Collections, McLennan Library, McGill University, 1982.</t>
  </si>
  <si>
    <t>43280902:eng</t>
  </si>
  <si>
    <t>8904189</t>
  </si>
  <si>
    <t>ocm08904189</t>
  </si>
  <si>
    <t>30009506475</t>
  </si>
  <si>
    <t>792647130</t>
  </si>
  <si>
    <t>Z1387 M54 C66 1984</t>
  </si>
  <si>
    <t>0                      Z  1387000M  54                 C  66          1984</t>
  </si>
  <si>
    <t>The Canadian military experience, 1867-1983 : a bibliography / O.A. Cooke.</t>
  </si>
  <si>
    <t>Cooke, O. A.</t>
  </si>
  <si>
    <t>Ottawa, Canada : Directorate of History, Dept. of National Defence : [Available by mail from Canadian Govt. Pub. Centre, Supply and Services Canada], 1984.</t>
  </si>
  <si>
    <t>Monograph series / Department of National Defence, Directorate of History ; no. 2</t>
  </si>
  <si>
    <t>10076776503:eng</t>
  </si>
  <si>
    <t>11866802</t>
  </si>
  <si>
    <t>ocm11866802</t>
  </si>
  <si>
    <t>3000952927Q</t>
  </si>
  <si>
    <t>9780660526492</t>
  </si>
  <si>
    <t>792791690</t>
  </si>
  <si>
    <t>Z1387 M54 D83 1996</t>
  </si>
  <si>
    <t>0                      Z  1387000M  54                 D  83          1996</t>
  </si>
  <si>
    <t>Canada at war, 1939-1945 : a survey of the archival holdings of the Second World War at the National Archives of Canada / compiled by Timothy D. Dub́e.</t>
  </si>
  <si>
    <t>Dubé, Timothy D.</t>
  </si>
  <si>
    <t>Waterloo, Ont., Canada : Laurier Centre for Military Strategic and Disarmament Studies, Wilfrid Laurier University, 1996.</t>
  </si>
  <si>
    <t>41103583:eng</t>
  </si>
  <si>
    <t>35637269</t>
  </si>
  <si>
    <t>ocm35637269</t>
  </si>
  <si>
    <t>3101749155K</t>
  </si>
  <si>
    <t>9780969795568</t>
  </si>
  <si>
    <t>793453785</t>
  </si>
  <si>
    <t>2008-10-29</t>
  </si>
  <si>
    <t>3101749151S</t>
  </si>
  <si>
    <t>793453786</t>
  </si>
  <si>
    <t>Z1392 B7 L62 1975</t>
  </si>
  <si>
    <t>0                      Z  1392000B  7                  L  62          1975</t>
  </si>
  <si>
    <t>A bibliography of British Columbia : years of growth 1900-1950 / by Margaret H. Edwards and John C.R. Lort ; with the assistance of Wendy J. Carmichael.</t>
  </si>
  <si>
    <t>Edwards, Margaret H., 1939-</t>
  </si>
  <si>
    <t>Victoria, B.C. : Social Sciences Research Centre, University of Victoria, 1975.</t>
  </si>
  <si>
    <t>6812027:eng</t>
  </si>
  <si>
    <t>2930868</t>
  </si>
  <si>
    <t>ocm02930868</t>
  </si>
  <si>
    <t>3000957573A</t>
  </si>
  <si>
    <t>9780969041832</t>
  </si>
  <si>
    <t>792195260</t>
  </si>
  <si>
    <t>Z1392 M6 I55 1981</t>
  </si>
  <si>
    <t>0                      Z  1392000M  6                  I  55          1981</t>
  </si>
  <si>
    <t>Bibliographie sur la communauté grecque de Montréal / Tina Ioannou.</t>
  </si>
  <si>
    <t>Ioannou, Tina, 1956-</t>
  </si>
  <si>
    <t>[Montréal] : Institut québecois de recherche sur la culture, 1981.</t>
  </si>
  <si>
    <t>46116014:fre</t>
  </si>
  <si>
    <t>61539436</t>
  </si>
  <si>
    <t>ocm61539436</t>
  </si>
  <si>
    <t>3000951221Y</t>
  </si>
  <si>
    <t>793970644</t>
  </si>
  <si>
    <t>Z1392 M6 O57 1986</t>
  </si>
  <si>
    <t>0                      Z  1392000M  6                  O  57          1986</t>
  </si>
  <si>
    <t>The tip of the iceberg : strategy for research on nineteenth-century Montreal / Sherry Olson.</t>
  </si>
  <si>
    <t>Olson, Sherry H.</t>
  </si>
  <si>
    <t>Montréal : Dept. of Geography, McGill University, 1986.</t>
  </si>
  <si>
    <t>Shared spaces = Partage de l'espace ; no. 5</t>
  </si>
  <si>
    <t>478235785:eng</t>
  </si>
  <si>
    <t>427387354</t>
  </si>
  <si>
    <t>ocn427387354</t>
  </si>
  <si>
    <t>3000963927F</t>
  </si>
  <si>
    <t>794648268</t>
  </si>
  <si>
    <t>Z1392 N48 O33 1986</t>
  </si>
  <si>
    <t>0                      Z  1392000N  48                 O  33          1986</t>
  </si>
  <si>
    <t>Bibliography of Newfoundland / compiled by Agnes C. O'Dea ; edited by Anne Alexander.</t>
  </si>
  <si>
    <t>O'Dea, Agnes C., 1911-</t>
  </si>
  <si>
    <t>Toronto ; Buffalo : University of Toronto Press in association with Memorial University of Newfoundland, ©1986.</t>
  </si>
  <si>
    <t>9120875:eng</t>
  </si>
  <si>
    <t>14937577</t>
  </si>
  <si>
    <t>ocm14937577</t>
  </si>
  <si>
    <t>3100875699K</t>
  </si>
  <si>
    <t>9780802024022</t>
  </si>
  <si>
    <t>792914308</t>
  </si>
  <si>
    <t>3000957900L</t>
  </si>
  <si>
    <t>792914309</t>
  </si>
  <si>
    <t>Z1392 N6 M3x</t>
  </si>
  <si>
    <t>0                      Z  1392000N  6                  M  3x</t>
  </si>
  <si>
    <t>Bibliography of McGill northern research, 1887-1975.</t>
  </si>
  <si>
    <t>McGill University. Centre for Northern Studies and Research.</t>
  </si>
  <si>
    <t>Montreal : Centre for Northern Studies and Research, McGill University, 1976.</t>
  </si>
  <si>
    <t>Information series - Centre for Northern Studies and Research, McGill University ; no. 1</t>
  </si>
  <si>
    <t>2016-12-01</t>
  </si>
  <si>
    <t>10563904:eng</t>
  </si>
  <si>
    <t>3482141</t>
  </si>
  <si>
    <t>ocm03482141</t>
  </si>
  <si>
    <t>3000955298G</t>
  </si>
  <si>
    <t>792259941</t>
  </si>
  <si>
    <t>31004146613</t>
  </si>
  <si>
    <t>792259939</t>
  </si>
  <si>
    <t>Z1392 N7 T7</t>
  </si>
  <si>
    <t>0                      Z  1392000N  7                  T  7</t>
  </si>
  <si>
    <t>The Canadian North West: a bibliography of the sources of information in the Public reference library of the city of Toronto, Canada in regard to the Hudson's bay company, the fur trade and the early history of the Canadian North West.</t>
  </si>
  <si>
    <t>Toronto, Public library, 1931.</t>
  </si>
  <si>
    <t>2649670:eng</t>
  </si>
  <si>
    <t>1724131</t>
  </si>
  <si>
    <t>ocm01724131</t>
  </si>
  <si>
    <t>30009564789</t>
  </si>
  <si>
    <t>791854740</t>
  </si>
  <si>
    <t>Z1392 O6 S6</t>
  </si>
  <si>
    <t>0                      Z  1392000O  6                  S  6</t>
  </si>
  <si>
    <t>Northern Ontario: a bibliography; compiled by Loraine Spencer and Susan Holland.</t>
  </si>
  <si>
    <t>Spencer, Loraine.</t>
  </si>
  <si>
    <t>Toronto, University of Toronto P., 1968.</t>
  </si>
  <si>
    <t>2017-03-19</t>
  </si>
  <si>
    <t>196638801:eng</t>
  </si>
  <si>
    <t>459610</t>
  </si>
  <si>
    <t>ocm00459610</t>
  </si>
  <si>
    <t>3000956209$</t>
  </si>
  <si>
    <t>791384215</t>
  </si>
  <si>
    <t>Z1392 Q3 B54 t.46</t>
  </si>
  <si>
    <t>0                      Z  1392000Q  3                  B  54                                t.46</t>
  </si>
  <si>
    <t>Les bibliothèques et les institutions parlementaires du XVIIIe siècle à nos jours : actes du colloque tenu à l'occasion du deuxième centenaire de la Bibliothèque de l'Assemblée nationale du Québec, 24 septembre 2002 / publiés sous la direction de Gaston Bernier, Gilles Gallichan, et Ross Gordon.</t>
  </si>
  <si>
    <t>t.46*</t>
  </si>
  <si>
    <t>Québec : Bibliothèque de l'Assemblée nationale du Québec, 2003.</t>
  </si>
  <si>
    <t>Bibliographie et documentation</t>
  </si>
  <si>
    <t>181015372:fre</t>
  </si>
  <si>
    <t>300967645</t>
  </si>
  <si>
    <t>ocn300967645</t>
  </si>
  <si>
    <t>3103254575$</t>
  </si>
  <si>
    <t>9782550418382</t>
  </si>
  <si>
    <t>794432209</t>
  </si>
  <si>
    <t>Z1392 Q3 D5</t>
  </si>
  <si>
    <t>0                      Z  1392000Q  3                  D  5</t>
  </si>
  <si>
    <t>Inventaire chronologique ... par N.-E. Dionne ...</t>
  </si>
  <si>
    <t>T. 1-3</t>
  </si>
  <si>
    <t>Dionne, N.-E. (Narcisse-Eutrope), 1848-1917.</t>
  </si>
  <si>
    <t>1905</t>
  </si>
  <si>
    <t>Royal Society of Canada. Proceedings and transactions of the Royal Society of Canada 0316-4616 ; 2nd ser., v. 10, pt. 2; 2nd ser., v. 12, pt. 2; 3rd ser., v. 2</t>
  </si>
  <si>
    <t>5609854194:fre</t>
  </si>
  <si>
    <t>2001392</t>
  </si>
  <si>
    <t>ocm02001392</t>
  </si>
  <si>
    <t>3000955927B</t>
  </si>
  <si>
    <t>792026348</t>
  </si>
  <si>
    <t>T. 4</t>
  </si>
  <si>
    <t>3100890348P</t>
  </si>
  <si>
    <t>792026347</t>
  </si>
  <si>
    <t>Suppl. 1</t>
  </si>
  <si>
    <t>3100890349N</t>
  </si>
  <si>
    <t>792026349</t>
  </si>
  <si>
    <t>Z1392 Q3 G3</t>
  </si>
  <si>
    <t>0                      Z  1392000Q  3                  G  3</t>
  </si>
  <si>
    <t>Bibliographie du Québec (1955-1965), par Philippe Garigue avec la collaboration de Raymonde Savard.</t>
  </si>
  <si>
    <t>Garigue, Philippe, 1917-</t>
  </si>
  <si>
    <t>Montréal, Presses de l'Université de Montréal, 1967.</t>
  </si>
  <si>
    <t>1807728:fre</t>
  </si>
  <si>
    <t>846472</t>
  </si>
  <si>
    <t>ocm00846472</t>
  </si>
  <si>
    <t>30009605716</t>
  </si>
  <si>
    <t>791485379</t>
  </si>
  <si>
    <t>Z1392 Q3 G34 1998</t>
  </si>
  <si>
    <t>0                      Z  1392000Q  3                  G  34          1998</t>
  </si>
  <si>
    <t>Québec / Alain-G. Gagnon, compiler.</t>
  </si>
  <si>
    <t>Gagnon, Alain-G. (Alain-Gustave), 1954-</t>
  </si>
  <si>
    <t>Oxford : CLIO Press, ©1998.</t>
  </si>
  <si>
    <t>World bibliographical series ; 211</t>
  </si>
  <si>
    <t>2018-11-08</t>
  </si>
  <si>
    <t>3956526921:eng</t>
  </si>
  <si>
    <t>40524869</t>
  </si>
  <si>
    <t>ocm40524869</t>
  </si>
  <si>
    <t>3101912025Z</t>
  </si>
  <si>
    <t>9781851092901</t>
  </si>
  <si>
    <t>793569017</t>
  </si>
  <si>
    <t>Z1392 Q3 L32 1990</t>
  </si>
  <si>
    <t>0                      Z  1392000Q  3                  L  32          1990</t>
  </si>
  <si>
    <t>Le Québec, 1830-1939 : bibliographie thématique : histoire et littérature / Robert Lahaise.</t>
  </si>
  <si>
    <t>Lahaise, Robert, 1935-</t>
  </si>
  <si>
    <t>LaSalle, Québec : Hurtubise HMH, 1990.</t>
  </si>
  <si>
    <t>365076596:fre</t>
  </si>
  <si>
    <t>22957126</t>
  </si>
  <si>
    <t>ocm22957126</t>
  </si>
  <si>
    <t>3100681702B</t>
  </si>
  <si>
    <t>9782890458628</t>
  </si>
  <si>
    <t>793158196</t>
  </si>
  <si>
    <t>Z1392 Q3 M35 1984</t>
  </si>
  <si>
    <t>0                      Z  1392000Q  3                  M  35          1984</t>
  </si>
  <si>
    <t>Catalogue of the Rodolphe Joubert collection on French Canada in the Department of Rare Books and Special Collections.</t>
  </si>
  <si>
    <t>McGill University. Department of Rare Books and Special Collections.</t>
  </si>
  <si>
    <t>Montreal : McGill University Libraries, 1984.</t>
  </si>
  <si>
    <t>1363812498:eng</t>
  </si>
  <si>
    <t>17522486</t>
  </si>
  <si>
    <t>ocm17522486</t>
  </si>
  <si>
    <t>3000952163H</t>
  </si>
  <si>
    <t>792994162</t>
  </si>
  <si>
    <t>Z1392 Q3 M745 2014</t>
  </si>
  <si>
    <t>0                      Z  1392000Q  3                  M  745         2014</t>
  </si>
  <si>
    <t>Monuments intellectuels de la nouvelle-france et du quebec ancien : aux origines d'une tradition culturelle.</t>
  </si>
  <si>
    <t>Corbo, Claude.</t>
  </si>
  <si>
    <t>Montreal : Pr De L'Univ De Montreal, 2014.</t>
  </si>
  <si>
    <t>2081984049:fre</t>
  </si>
  <si>
    <t>899159999</t>
  </si>
  <si>
    <t>ocn899159999</t>
  </si>
  <si>
    <t>3103644655G</t>
  </si>
  <si>
    <t>9782760634121</t>
  </si>
  <si>
    <t>794986675</t>
  </si>
  <si>
    <t>Z1392 Q3 S43 1999</t>
  </si>
  <si>
    <t>0                      Z  1392000Q  3                  S  43          1999</t>
  </si>
  <si>
    <t>A reader's guide to Quebec studies / André Senécal.</t>
  </si>
  <si>
    <t>Senécal, André.</t>
  </si>
  <si>
    <t>Québec : Gouvernement du Québec, Ministère des relations internationales, 1999.</t>
  </si>
  <si>
    <t>1999 ed.</t>
  </si>
  <si>
    <t>2945980703:eng</t>
  </si>
  <si>
    <t>42457595</t>
  </si>
  <si>
    <t>ocm42457595</t>
  </si>
  <si>
    <t>3101973678N</t>
  </si>
  <si>
    <t>9782550343400</t>
  </si>
  <si>
    <t>793608007</t>
  </si>
  <si>
    <t>Z1392 Y9 Y83 1993</t>
  </si>
  <si>
    <t>0                      Z  1392000Y  9                  Y  83          1993</t>
  </si>
  <si>
    <t>Alaska Highway, 1942-1991 : a comprehensive bibliography of material available in the Yukon Archives &amp; MacBride Museum.</t>
  </si>
  <si>
    <t>Yukon Territory. Libraries and Archives Branch.</t>
  </si>
  <si>
    <t>[Whitehorse] : Yukon Education, Libraries and Archives Branch, [1993?]</t>
  </si>
  <si>
    <t>2015-04-21</t>
  </si>
  <si>
    <t>1864756829:eng</t>
  </si>
  <si>
    <t>28024836</t>
  </si>
  <si>
    <t>ocm28024836</t>
  </si>
  <si>
    <t>3101546591T</t>
  </si>
  <si>
    <t>9781550185584</t>
  </si>
  <si>
    <t>793278076</t>
  </si>
  <si>
    <t>Z1395 B5 J86 2003</t>
  </si>
  <si>
    <t>0                      Z  1395000B  5                  J  86          2003</t>
  </si>
  <si>
    <t>The history of Blacks in Canada : a selectively annotated bibliography / George H. Junne, Jr.</t>
  </si>
  <si>
    <t>Junne, George H.</t>
  </si>
  <si>
    <t>Westport, CT : Greenwood Press, 2003.</t>
  </si>
  <si>
    <t>Bibliographies and indexes in Afro-American and African studies, 0742-6925 ; no. 44</t>
  </si>
  <si>
    <t>1003667:eng</t>
  </si>
  <si>
    <t>50028469</t>
  </si>
  <si>
    <t>ocm50028469</t>
  </si>
  <si>
    <t>31023067809</t>
  </si>
  <si>
    <t>9780313322921</t>
  </si>
  <si>
    <t>793753905</t>
  </si>
  <si>
    <t>Z1395 E4 G74 1972</t>
  </si>
  <si>
    <t>0                      Z  1395000E  4                  G  74          1972</t>
  </si>
  <si>
    <t>Canadian ethnic groups bibliography; selected bibliography of ethnocultural groups in Canada and the Province of Ontario.</t>
  </si>
  <si>
    <t>Gregorovich, Andrew.</t>
  </si>
  <si>
    <t>Toronto, Ontario Dept. of the Provincial Secretary and Citizenship, 1972.</t>
  </si>
  <si>
    <t>207842405:eng</t>
  </si>
  <si>
    <t>696552</t>
  </si>
  <si>
    <t>ocm00696552</t>
  </si>
  <si>
    <t>30009606267</t>
  </si>
  <si>
    <t>791448559</t>
  </si>
  <si>
    <t>Z1395 G45 K38 2013</t>
  </si>
  <si>
    <t>0                      Z  1395000G  45                 K  38          2013</t>
  </si>
  <si>
    <t>Dictionnaire des souches allemandes et scandinaves au Québec / Claude Kaufholtz-Couture, Claude Crégheur.</t>
  </si>
  <si>
    <t>Kaufholtz-Couture, Claude.</t>
  </si>
  <si>
    <t>Québec (Québec) : Septentrion, [2013]</t>
  </si>
  <si>
    <t>1403216908:fre</t>
  </si>
  <si>
    <t>905696657</t>
  </si>
  <si>
    <t>ocn905696657</t>
  </si>
  <si>
    <t>3103551215E</t>
  </si>
  <si>
    <t>9782894487310</t>
  </si>
  <si>
    <t>794991761</t>
  </si>
  <si>
    <t>Z1395 G74 B65 1982</t>
  </si>
  <si>
    <t>0                      Z  1395000G  74                 B  65          1982</t>
  </si>
  <si>
    <t>Greeks in Canada : an annotated bibliography / Leonidas C. Bombas.</t>
  </si>
  <si>
    <t>Bombas, Leonidas C.</t>
  </si>
  <si>
    <t>[Montréal] : [publisher not identified], [1982]</t>
  </si>
  <si>
    <t>314778339:eng</t>
  </si>
  <si>
    <t>427228209</t>
  </si>
  <si>
    <t>ocn427228209</t>
  </si>
  <si>
    <t>30009514664</t>
  </si>
  <si>
    <t>794547802</t>
  </si>
  <si>
    <t>Z1395 G74 B66 1989</t>
  </si>
  <si>
    <t>0                      Z  1395000G  74                 B  66          1989</t>
  </si>
  <si>
    <t>Ho Hellēnismos tou Kanada : mia bibliographikē parousiasē / Leōnidas Ch. Bompas = Canada's Hellenism : a bibliographic guide / Leonidas C. Bombas.</t>
  </si>
  <si>
    <t>Athēna [Greece] ; L.Ch. Bompas, 1989.</t>
  </si>
  <si>
    <t>Greek-Canadian documentation series</t>
  </si>
  <si>
    <t>58385813:gre</t>
  </si>
  <si>
    <t>25369385</t>
  </si>
  <si>
    <t>ocm25369385</t>
  </si>
  <si>
    <t>31015938394</t>
  </si>
  <si>
    <t>793218802</t>
  </si>
  <si>
    <t>Z1395 H95 M58 1987</t>
  </si>
  <si>
    <t>0                      Z  1395000H  95                 M  58          1987</t>
  </si>
  <si>
    <t>Canadian studies on Hungarians, 1886-1986 : an annotated bibliography of primary and secondary sources / compiled by John Miska.</t>
  </si>
  <si>
    <t>Miska, John P., 1932-</t>
  </si>
  <si>
    <t>Regina, Sask. : Canadian Plains Research Center, University of Regina, 1987.</t>
  </si>
  <si>
    <t>Canadian plains bibliographies, 0823-8936 ; 1</t>
  </si>
  <si>
    <t>16102761:eng</t>
  </si>
  <si>
    <t>18290966</t>
  </si>
  <si>
    <t>ocm18290966</t>
  </si>
  <si>
    <t>3103847552Y</t>
  </si>
  <si>
    <t>9780889770348</t>
  </si>
  <si>
    <t>793019910</t>
  </si>
  <si>
    <t>Z1395 H95 M58 1994 extended suppl.</t>
  </si>
  <si>
    <t>0                      Z  1395000H  95                 M  58          1994                  extended suppl.</t>
  </si>
  <si>
    <t>Canadian studies on Hungarians : a bibliography. An enlarged supplement / John Miska.</t>
  </si>
  <si>
    <t>Victoria : Microform Biblios, 1994.</t>
  </si>
  <si>
    <t>Canlit bibliographic series ; no. 7</t>
  </si>
  <si>
    <t>3901474426:eng</t>
  </si>
  <si>
    <t>30668808</t>
  </si>
  <si>
    <t>ocm30668808</t>
  </si>
  <si>
    <t>3101313343L</t>
  </si>
  <si>
    <t>9780919279100</t>
  </si>
  <si>
    <t>793341773</t>
  </si>
  <si>
    <t>Z1395 I5 R36 2011</t>
  </si>
  <si>
    <t>0                      Z  1395000I  5                  R  36          2011</t>
  </si>
  <si>
    <t>A bibliography of Canadian Inuit periodicals / Sharon Rankin ; with a foreword by Daniel Chartier.</t>
  </si>
  <si>
    <t>Rankin, Sharon.</t>
  </si>
  <si>
    <t>Québec : Presses de l'Université du Québec, c2011.</t>
  </si>
  <si>
    <t>Droit au pôle series</t>
  </si>
  <si>
    <t>1004366673:eng</t>
  </si>
  <si>
    <t>748089115</t>
  </si>
  <si>
    <t>ocn748089115</t>
  </si>
  <si>
    <t>3103402635P</t>
  </si>
  <si>
    <t>9782760531512</t>
  </si>
  <si>
    <t>794888785</t>
  </si>
  <si>
    <t>Z1395 U47 M9 1981</t>
  </si>
  <si>
    <t>0                      Z  1395000U  47                 M  9           1981</t>
  </si>
  <si>
    <t>Ukrainians in North America : a select bibliography / compiled by Halyna Myroniuk and Christine Worobec.</t>
  </si>
  <si>
    <t>Myroniuk, Halyna.</t>
  </si>
  <si>
    <t>St. Paul : Immigration History Research Center, University of Minnesota ; Toronto : Multicultural History Society of Ontario, 1981.</t>
  </si>
  <si>
    <t>199008650:eng</t>
  </si>
  <si>
    <t>7917554</t>
  </si>
  <si>
    <t>ocm07917554</t>
  </si>
  <si>
    <t>3000951532H</t>
  </si>
  <si>
    <t>9780919045040</t>
  </si>
  <si>
    <t>792586648</t>
  </si>
  <si>
    <t>Z1437 M37</t>
  </si>
  <si>
    <t>0                      Z  1437000M  37</t>
  </si>
  <si>
    <t>Colonial Central America : a bibliography including materials on art and architecture, cultural, economic, and social history, ethnohistory, geography, government, indigenous writings, maps and plans, urbanization, bibliographic and archival documentary sources / compiled and annotated by Sidney David Markman.</t>
  </si>
  <si>
    <t>Markman, Sidney David, 1911-2011.</t>
  </si>
  <si>
    <t>Tempe : Center for Latin America Studies, Arizona State University, ©1977.</t>
  </si>
  <si>
    <t>480759212:eng</t>
  </si>
  <si>
    <t>2332107</t>
  </si>
  <si>
    <t>ocm02332107</t>
  </si>
  <si>
    <t>B000296218</t>
  </si>
  <si>
    <t>9780879180232</t>
  </si>
  <si>
    <t>792105209</t>
  </si>
  <si>
    <t>3102284956K</t>
  </si>
  <si>
    <t>792105210</t>
  </si>
  <si>
    <t>Z1541 I5x</t>
  </si>
  <si>
    <t>0                      Z  1541000I  5x</t>
  </si>
  <si>
    <t>Sources of Jamaican history 1655-1838 : a bibliographical survey with particular reference to manuscript sources / K.E. Ingram.</t>
  </si>
  <si>
    <t>Ingram, K. E. (Kenneth E.)</t>
  </si>
  <si>
    <t>Zug : Inter Documentation, ©1976.</t>
  </si>
  <si>
    <t>2016-02-12</t>
  </si>
  <si>
    <t>6593981:eng</t>
  </si>
  <si>
    <t>2917618</t>
  </si>
  <si>
    <t>ocm02917618</t>
  </si>
  <si>
    <t>3100890438O</t>
  </si>
  <si>
    <t>9783857500176</t>
  </si>
  <si>
    <t>792193277</t>
  </si>
  <si>
    <t>3000954331C</t>
  </si>
  <si>
    <t>792193278</t>
  </si>
  <si>
    <t>Z1561 B3 H34</t>
  </si>
  <si>
    <t>0                      Z  1561000B  3                  H  34</t>
  </si>
  <si>
    <t>A guide to source materials for the study of Barbados history, 1627-1834, by Jerome S. Handler.</t>
  </si>
  <si>
    <t>Handler, Jerome S.</t>
  </si>
  <si>
    <t>Carbondale, Southern Illinois University Press [©1971]</t>
  </si>
  <si>
    <t>1390136:eng</t>
  </si>
  <si>
    <t>267847</t>
  </si>
  <si>
    <t>ocm00267847</t>
  </si>
  <si>
    <t>30009607530</t>
  </si>
  <si>
    <t>9780809304363</t>
  </si>
  <si>
    <t>791317114</t>
  </si>
  <si>
    <t>Z1561 S86 M66 1996</t>
  </si>
  <si>
    <t>0                      Z  1561000S  86                 M  66          1996</t>
  </si>
  <si>
    <t>St Lucia / Janet Henshall Momsen, compiler.</t>
  </si>
  <si>
    <t>Momsen, Janet Henshall.</t>
  </si>
  <si>
    <t>Oxford, England ; Santa Barbara, Calif. : Clio Press, ©1996.</t>
  </si>
  <si>
    <t>World bibliographical series ; v. 185</t>
  </si>
  <si>
    <t>691161:eng</t>
  </si>
  <si>
    <t>34341738</t>
  </si>
  <si>
    <t>ocm34341738</t>
  </si>
  <si>
    <t>3101547574O</t>
  </si>
  <si>
    <t>9781851091362</t>
  </si>
  <si>
    <t>793424658</t>
  </si>
  <si>
    <t>Z1595 L958 2010</t>
  </si>
  <si>
    <t>0                      Z  1595000L  958         2010</t>
  </si>
  <si>
    <t>Las vanguardias literarias en el Caribe : Cuba, Puerto Rico y República Dominicana : bibliografía y antología crítica / William Luis.</t>
  </si>
  <si>
    <t>Luis, William.</t>
  </si>
  <si>
    <t>Madrid : Iberoamericana ; Frankfurt am Main : Vervuert, ©2010.</t>
  </si>
  <si>
    <t>Bibliografía y antología crítica de las vanguardas literárias en el mundo ibérico</t>
  </si>
  <si>
    <t>786829220:spa</t>
  </si>
  <si>
    <t>701842999</t>
  </si>
  <si>
    <t>ocn701842999</t>
  </si>
  <si>
    <t>31033553441</t>
  </si>
  <si>
    <t>9788484895640</t>
  </si>
  <si>
    <t>794863633</t>
  </si>
  <si>
    <t>Z1601 S38 2017</t>
  </si>
  <si>
    <t>0                      Z  1601000S  38          2017</t>
  </si>
  <si>
    <t>The ignored contender : a select annotated bibliography of the Cuban Autonomist Party (1878-1898) / Rafael E. Tarragó.</t>
  </si>
  <si>
    <t>Tarragó, Rafael E. (Rafael Emilio), 1951- author.</t>
  </si>
  <si>
    <t>New Orleans, Louisiana : SALALM Secretariat, The Latin American Library, Tulane University, [2017]</t>
  </si>
  <si>
    <t>Bibliography and reference series ; 60</t>
  </si>
  <si>
    <t>4474021169:eng</t>
  </si>
  <si>
    <t>1002065885</t>
  </si>
  <si>
    <t>on1002065885</t>
  </si>
  <si>
    <t>3103759077T</t>
  </si>
  <si>
    <t>795040856</t>
  </si>
  <si>
    <t>Z1609 D47 K57 1987</t>
  </si>
  <si>
    <t>0                      Z  1609000D  47                 K  57          1987</t>
  </si>
  <si>
    <t>Voyageurs francophones en Amérique hispanique au cours du XIXe siècle : répertoire bio-bibliographique / Jean-Georges Kirchheimer ; préface de Charles Minguet.</t>
  </si>
  <si>
    <t>Kirchheimer, Jean-Georges.</t>
  </si>
  <si>
    <t>Paris : Bibliothèque nationale, ©1987.</t>
  </si>
  <si>
    <t>365101331:fre</t>
  </si>
  <si>
    <t>17674157</t>
  </si>
  <si>
    <t>ocm17674157</t>
  </si>
  <si>
    <t>3103577860Q</t>
  </si>
  <si>
    <t>9782717717471</t>
  </si>
  <si>
    <t>792999514</t>
  </si>
  <si>
    <t>Z1609 I6 L53 2016</t>
  </si>
  <si>
    <t>0                      Z  1609000I  6                  L  53          2016</t>
  </si>
  <si>
    <t>Libros desde el Paraíso : ediciones de textos indianos / Manuel Pérez (coord.).</t>
  </si>
  <si>
    <t>El Paraíso en el Nuevo Mundo ; 0</t>
  </si>
  <si>
    <t>3308803290:spa</t>
  </si>
  <si>
    <t>951613161</t>
  </si>
  <si>
    <t>ocn951613161</t>
  </si>
  <si>
    <t>3103661713V</t>
  </si>
  <si>
    <t>9788484899303</t>
  </si>
  <si>
    <t>795017589</t>
  </si>
  <si>
    <t>Z1610 F72 1984</t>
  </si>
  <si>
    <t>0                      Z  1610000F  72          1984</t>
  </si>
  <si>
    <t>Guide des sources de l'histoire de l'Amérique latine et des Antilles dans les archives françaises.</t>
  </si>
  <si>
    <t>Archives nationales (France)</t>
  </si>
  <si>
    <t>Paris : Archives nationales : Diffusé par la Documentation française, 1984.</t>
  </si>
  <si>
    <t>2016-02-22</t>
  </si>
  <si>
    <t>4836885:fre</t>
  </si>
  <si>
    <t>12550142</t>
  </si>
  <si>
    <t>ocm12550142</t>
  </si>
  <si>
    <t>3000952937N</t>
  </si>
  <si>
    <t>9782860001045</t>
  </si>
  <si>
    <t>792818239</t>
  </si>
  <si>
    <t>Z1866 V3</t>
  </si>
  <si>
    <t>0                      Z  1866000V  3</t>
  </si>
  <si>
    <t>Biblioteca peruana / por Rubén Vargas Ugarte.</t>
  </si>
  <si>
    <t>Vargas Ugarte, Rubén, 1886-1975.</t>
  </si>
  <si>
    <t>Lima : [Tall. Tip. de la Empresa Periodística La Prensa], 1935-1957.</t>
  </si>
  <si>
    <t>2015-05-19</t>
  </si>
  <si>
    <t>2092613:spa</t>
  </si>
  <si>
    <t>1159045</t>
  </si>
  <si>
    <t>ocm01159045</t>
  </si>
  <si>
    <t>31008298806</t>
  </si>
  <si>
    <t>791560068</t>
  </si>
  <si>
    <t>V. 10</t>
  </si>
  <si>
    <t>3100829884Z</t>
  </si>
  <si>
    <t>791560064</t>
  </si>
  <si>
    <t>3000960810E</t>
  </si>
  <si>
    <t>791560069</t>
  </si>
  <si>
    <t>31008298814</t>
  </si>
  <si>
    <t>791560067</t>
  </si>
  <si>
    <t>V. 12</t>
  </si>
  <si>
    <t>3100829886V</t>
  </si>
  <si>
    <t>791560062</t>
  </si>
  <si>
    <t>V. 11</t>
  </si>
  <si>
    <t>3100829885X</t>
  </si>
  <si>
    <t>791560063</t>
  </si>
  <si>
    <t>V. 9</t>
  </si>
  <si>
    <t>31008298830</t>
  </si>
  <si>
    <t>791560065</t>
  </si>
  <si>
    <t>31008298822</t>
  </si>
  <si>
    <t>791560066</t>
  </si>
  <si>
    <t>Z2000 D63 2013</t>
  </si>
  <si>
    <t>0                      Z  2000000D  63          2013</t>
  </si>
  <si>
    <t>Documenting the early modern book world : inventories and catalogues in manuscript and print / edited by Malcolm Walsby, Natasha Constantinidou.</t>
  </si>
  <si>
    <t>Library of the written word, 1874-4834 ; volume 31. The handpress world ; volume 23</t>
  </si>
  <si>
    <t>1412868333:eng</t>
  </si>
  <si>
    <t>857287789</t>
  </si>
  <si>
    <t>ocn857287789</t>
  </si>
  <si>
    <t>3103528704P</t>
  </si>
  <si>
    <t>9789004258891</t>
  </si>
  <si>
    <t>794954916</t>
  </si>
  <si>
    <t>Z2002 B35 2010</t>
  </si>
  <si>
    <t>0                      Z  2002000B  35          2010</t>
  </si>
  <si>
    <t>John Bale's catalogue of Tudor authors : an annotated translation of records from the Scriptorum illustrium maioris Brytanniae ... catalogus (1557-1559) / J. Christopher Warner.</t>
  </si>
  <si>
    <t>Bale, John, 1495-1563.</t>
  </si>
  <si>
    <t>Tempe, Ariz. : Arizona Center for Medieval and Renaissance Studies, ©2010.</t>
  </si>
  <si>
    <t>Medieval and Renaissance texts and studies ; v. 375</t>
  </si>
  <si>
    <t>2013-11-13</t>
  </si>
  <si>
    <t>1416645776:eng</t>
  </si>
  <si>
    <t>678923696</t>
  </si>
  <si>
    <t>ocn678923696</t>
  </si>
  <si>
    <t>3103213789F</t>
  </si>
  <si>
    <t>9780866984232</t>
  </si>
  <si>
    <t>794850543</t>
  </si>
  <si>
    <t>Z2002 L45 2010</t>
  </si>
  <si>
    <t>0                      Z  2002000L  45          2010</t>
  </si>
  <si>
    <t>De uiris illustribus = On famous men / John Leland ; edited and translated by James P. Carley ; with the assistance of Caroline Brett.</t>
  </si>
  <si>
    <t>Leland, John, 1506?-1552.</t>
  </si>
  <si>
    <t>Toronto : Pontifical Institute of Mediaeval Studies, ©2010.</t>
  </si>
  <si>
    <t>lat</t>
  </si>
  <si>
    <t>Studies and texts ; 172</t>
  </si>
  <si>
    <t>2014-12-23</t>
  </si>
  <si>
    <t>1019983035:lat</t>
  </si>
  <si>
    <t>468103444</t>
  </si>
  <si>
    <t>ocn468103444</t>
  </si>
  <si>
    <t>3103495321G</t>
  </si>
  <si>
    <t>9780888441720</t>
  </si>
  <si>
    <t>794795311</t>
  </si>
  <si>
    <t>Z2002 P772x</t>
  </si>
  <si>
    <t>0                      Z  2002000P  772x</t>
  </si>
  <si>
    <t>Titles of English books and of foreign books printed in England : an alphabetical finding-list by title of books published under the author's name, pseudonym or initials / by A.F. Allison and V.F. Goldsmith.</t>
  </si>
  <si>
    <t>Allison, Antony Francis.</t>
  </si>
  <si>
    <t>London : Archon Books, 1976-</t>
  </si>
  <si>
    <t>2015-12-18</t>
  </si>
  <si>
    <t>4417307849:eng</t>
  </si>
  <si>
    <t>238851330</t>
  </si>
  <si>
    <t>ocn238851330</t>
  </si>
  <si>
    <t>3000955827F</t>
  </si>
  <si>
    <t>9780208016195</t>
  </si>
  <si>
    <t>794374212</t>
  </si>
  <si>
    <t>3100829391L</t>
  </si>
  <si>
    <t>794374211</t>
  </si>
  <si>
    <t>Z2002 T66 2009</t>
  </si>
  <si>
    <t>0                      Z  2002000T  66          2009</t>
  </si>
  <si>
    <t>A bibliographical catalogue of Italian books printed in England, 1558-1603 / [compiled by] Soko Tomita.</t>
  </si>
  <si>
    <t>Tomita, Soko, 1945-</t>
  </si>
  <si>
    <t>Anglo-Italian Renaissance studies series</t>
  </si>
  <si>
    <t>499274853:eng</t>
  </si>
  <si>
    <t>212375771</t>
  </si>
  <si>
    <t>ocn212375771</t>
  </si>
  <si>
    <t>3103085000L</t>
  </si>
  <si>
    <t>9780754663737</t>
  </si>
  <si>
    <t>794305584</t>
  </si>
  <si>
    <t>Z2002 W5</t>
  </si>
  <si>
    <t>0                      Z  2002000W  5</t>
  </si>
  <si>
    <t>Short-title catalogue of books printed in England, Scotland, Ireland, Wales, and British America, and of English books printed in other countries, 1641-1700.</t>
  </si>
  <si>
    <t>Wing, Donald Goddard, 1904-1972, comp.</t>
  </si>
  <si>
    <t>New York, Index Society, 1945-51.</t>
  </si>
  <si>
    <t>5091535172:eng</t>
  </si>
  <si>
    <t>581731</t>
  </si>
  <si>
    <t>ocm00581731</t>
  </si>
  <si>
    <t>3100829395D</t>
  </si>
  <si>
    <t>791420742</t>
  </si>
  <si>
    <t>3103643905O</t>
  </si>
  <si>
    <t>791420744</t>
  </si>
  <si>
    <t>3100829394F</t>
  </si>
  <si>
    <t>791420743</t>
  </si>
  <si>
    <t>Z2009 I56 2012</t>
  </si>
  <si>
    <t>0                      Z  2009000I  56          2012</t>
  </si>
  <si>
    <t>Finding official British information : official publishing in the digital age / Jane Inman ; with contributions by Howard Picton.</t>
  </si>
  <si>
    <t>Inman, Jane.</t>
  </si>
  <si>
    <t>121931897:eng</t>
  </si>
  <si>
    <t>195722562</t>
  </si>
  <si>
    <t>ocn195722562</t>
  </si>
  <si>
    <t>3103408217H</t>
  </si>
  <si>
    <t>9781843343936</t>
  </si>
  <si>
    <t>794304211</t>
  </si>
  <si>
    <t>Z2011 A1 H68 v. 2</t>
  </si>
  <si>
    <t>0                      Z  2011000A  1                  H  68                                v. 2</t>
  </si>
  <si>
    <t>Shakespearian bibliography and textual criticism : a bibliography / T.H. Howard-Hill.</t>
  </si>
  <si>
    <t>v. 2*</t>
  </si>
  <si>
    <t>Howard-Hill, T. H. (Trevor Howard)</t>
  </si>
  <si>
    <t>London : Clarendon Press, 1971.</t>
  </si>
  <si>
    <t>Index to British literary bibliography ; 2</t>
  </si>
  <si>
    <t>1314197:eng</t>
  </si>
  <si>
    <t>177486</t>
  </si>
  <si>
    <t>ocm00177486</t>
  </si>
  <si>
    <t>3000951218N</t>
  </si>
  <si>
    <t>9780198181408</t>
  </si>
  <si>
    <t>791282810</t>
  </si>
  <si>
    <t>Z2012 B86</t>
  </si>
  <si>
    <t>0                      Z  2012000B  86</t>
  </si>
  <si>
    <t>The index of Middle English verse [by] Carleton Brown and Rossell Hope Robbins.</t>
  </si>
  <si>
    <t>Brown, Carleton, 1869-1941.</t>
  </si>
  <si>
    <t>New York, Printed for the Index Society by Columbia University Press, 1943.</t>
  </si>
  <si>
    <t>3943317953:eng</t>
  </si>
  <si>
    <t>1172521</t>
  </si>
  <si>
    <t>ocm01172521</t>
  </si>
  <si>
    <t>3000960985G</t>
  </si>
  <si>
    <t>791564537</t>
  </si>
  <si>
    <t>Z2012 B86 Index</t>
  </si>
  <si>
    <t>0                      Z  2012000B  86                                                      Index</t>
  </si>
  <si>
    <t>A manuscript index to The index of Middle English verse / Richard Hamer.</t>
  </si>
  <si>
    <t>Index*</t>
  </si>
  <si>
    <t>Hamer, R. F. S. (Richard Frederick Sanger)</t>
  </si>
  <si>
    <t>London : The British Library, 1995.</t>
  </si>
  <si>
    <t>25488475:eng</t>
  </si>
  <si>
    <t>40073521</t>
  </si>
  <si>
    <t>ocm40073521</t>
  </si>
  <si>
    <t>3101515335X</t>
  </si>
  <si>
    <t>9780712303873</t>
  </si>
  <si>
    <t>793559290</t>
  </si>
  <si>
    <t>Z2012 B86 Suppl.</t>
  </si>
  <si>
    <t>0                      Z  2012000B  86                                                      Suppl.</t>
  </si>
  <si>
    <t>The index of Middle English verse. : Supplement [by] Rossell Hope Robbins [and] John L. Cutler.</t>
  </si>
  <si>
    <t>Brown, Carleton Fairchild, 1869-1941.</t>
  </si>
  <si>
    <t>Lexington : University of Kentucky Press, 1965.</t>
  </si>
  <si>
    <t>291860917:eng</t>
  </si>
  <si>
    <t>61573454</t>
  </si>
  <si>
    <t>ocm61573454</t>
  </si>
  <si>
    <t>30004973156</t>
  </si>
  <si>
    <t>794008134</t>
  </si>
  <si>
    <t>Z2012 E25 1997</t>
  </si>
  <si>
    <t>0                      Z  2012000E  25          1997</t>
  </si>
  <si>
    <t>Visions of the other world in Middle English / Robert Easting.</t>
  </si>
  <si>
    <t>Easting, Robert.</t>
  </si>
  <si>
    <t>Cambridge, England : D.S. Brewer, 1997.</t>
  </si>
  <si>
    <t>Annotated bibliographies of Old and Middle English literature, 1353-8675 ; 3</t>
  </si>
  <si>
    <t>637037:eng</t>
  </si>
  <si>
    <t>37201396</t>
  </si>
  <si>
    <t>ocm37201396</t>
  </si>
  <si>
    <t>31018953343</t>
  </si>
  <si>
    <t>9780859914239</t>
  </si>
  <si>
    <t>793493091</t>
  </si>
  <si>
    <t>Z2012 S28 2005</t>
  </si>
  <si>
    <t>0                      Z  2012000S  28          2005</t>
  </si>
  <si>
    <t>Middle English saints' legends / John Scahill with the assistance of Margaret Rogerson.</t>
  </si>
  <si>
    <t>Scahill, John.</t>
  </si>
  <si>
    <t>Woodbridge, UK ; Rochester, NY : D.S. Brewer, 2005.</t>
  </si>
  <si>
    <t>Annotated bibliographies of Old and Middle English literature, 1353-8675 ; v. 8</t>
  </si>
  <si>
    <t>20348935:eng</t>
  </si>
  <si>
    <t>58599981</t>
  </si>
  <si>
    <t>ocm58599981</t>
  </si>
  <si>
    <t>3102555945F</t>
  </si>
  <si>
    <t>9781843840596</t>
  </si>
  <si>
    <t>793922999</t>
  </si>
  <si>
    <t>Z2013 M37 1990</t>
  </si>
  <si>
    <t>0                      Z  2013000M  37          1990</t>
  </si>
  <si>
    <t>The Bloomsbury group : a reference guide / Lawrence W. Markert.</t>
  </si>
  <si>
    <t>Markert, Lawrence W. (Lawrence Wayne), 1946-</t>
  </si>
  <si>
    <t>Boston, MA : G.K. Hall, ©1990.</t>
  </si>
  <si>
    <t>A Reference guide to literature</t>
  </si>
  <si>
    <t>2016-04-04</t>
  </si>
  <si>
    <t>906763349:eng</t>
  </si>
  <si>
    <t>20358413</t>
  </si>
  <si>
    <t>ocm20358413</t>
  </si>
  <si>
    <t>3103602653H</t>
  </si>
  <si>
    <t>9780816189366</t>
  </si>
  <si>
    <t>793085741</t>
  </si>
  <si>
    <t>Z2013 P48</t>
  </si>
  <si>
    <t>0                      Z  2013000P  48</t>
  </si>
  <si>
    <t>The literary life : a scrapbook almanac of the Anglo-American literary scene from 1900 to 1950, comprising pictures, gossip, homage, warnings and clues-- together with laurels, letters, lists and whispered asides-- the whole reverently garnered and arranged / by Robert Phelps and Peter Deane.</t>
  </si>
  <si>
    <t>Phelps, Robert, 1922-1989.</t>
  </si>
  <si>
    <t>New York : Farrar, Straus and Giroux, 1968.</t>
  </si>
  <si>
    <t>9592879801:eng</t>
  </si>
  <si>
    <t>448585</t>
  </si>
  <si>
    <t>ocm00448585</t>
  </si>
  <si>
    <t>31037065047</t>
  </si>
  <si>
    <t>791381675</t>
  </si>
  <si>
    <t>Z2013 R63</t>
  </si>
  <si>
    <t>0                      Z  2013000R  63</t>
  </si>
  <si>
    <t>The Bloomsbury Group : a selective bibliography / by Rae Gallant Robbins.</t>
  </si>
  <si>
    <t>Robbins, Rae Gallant.</t>
  </si>
  <si>
    <t>Kenmore, Wash. : Price Guide Publishers, 1978.</t>
  </si>
  <si>
    <t>196902104:eng</t>
  </si>
  <si>
    <t>4035737</t>
  </si>
  <si>
    <t>ocm04035737</t>
  </si>
  <si>
    <t>30009545225</t>
  </si>
  <si>
    <t>9780911182811</t>
  </si>
  <si>
    <t>792315700</t>
  </si>
  <si>
    <t>Z2014 D5 M3</t>
  </si>
  <si>
    <t>0                      Z  2014000D  5                  M  3</t>
  </si>
  <si>
    <t>British diaries; an annotated bibliography of British diaries written between 1442 and 1942.</t>
  </si>
  <si>
    <t>Matthews, William, 1905-1975, compiler.</t>
  </si>
  <si>
    <t>Berkeley, University of California Press, 1950.</t>
  </si>
  <si>
    <t>Library reprint series</t>
  </si>
  <si>
    <t>198339468:eng</t>
  </si>
  <si>
    <t>576749</t>
  </si>
  <si>
    <t>ocm00576749</t>
  </si>
  <si>
    <t>3000953792I</t>
  </si>
  <si>
    <t>9780520053588</t>
  </si>
  <si>
    <t>791419264</t>
  </si>
  <si>
    <t>Z2014 D7 H25 1964b</t>
  </si>
  <si>
    <t>0                      Z  2014000D  7                  H  25          1964b</t>
  </si>
  <si>
    <t>Annals of English drama, 975-1700; an analytical record of all plays, extant or lost, chronologically arranged and indexed by authors, titles, dramatic companies, &amp;c.</t>
  </si>
  <si>
    <t>Harbage, Alfred, 1901-1976.</t>
  </si>
  <si>
    <t>London, Methuen [1964]</t>
  </si>
  <si>
    <t>Rev. by S. Schoenbaum.</t>
  </si>
  <si>
    <t>4714491096:eng</t>
  </si>
  <si>
    <t>577398</t>
  </si>
  <si>
    <t>ocm00577398</t>
  </si>
  <si>
    <t>3000959794L</t>
  </si>
  <si>
    <t>791419481</t>
  </si>
  <si>
    <t>Z2014 D7 K44 2015</t>
  </si>
  <si>
    <t>0                      Z  2014000D  7                  K  44          2015</t>
  </si>
  <si>
    <t>English drama from Everyman to 1660 : performance and print / Frederick Kiefer.</t>
  </si>
  <si>
    <t>Kiefer, Frederick, 1945- author.</t>
  </si>
  <si>
    <t>Tempe, Arizona : ACMRS, [2015]</t>
  </si>
  <si>
    <t>Medieval and Renaissance texts and studies ; volume 447</t>
  </si>
  <si>
    <t>1927935729:eng</t>
  </si>
  <si>
    <t>883391781</t>
  </si>
  <si>
    <t>ocn883391781</t>
  </si>
  <si>
    <t>31036101534</t>
  </si>
  <si>
    <t>9780866984942</t>
  </si>
  <si>
    <t>794975539</t>
  </si>
  <si>
    <t>Z2014 D7 L6x</t>
  </si>
  <si>
    <t>0                      Z  2014000D  7                  L  6x</t>
  </si>
  <si>
    <t>The theatre of the British Isles, excluding London; a bibliography.</t>
  </si>
  <si>
    <t>Loewenberg, Alfred.</t>
  </si>
  <si>
    <t>London, Printed for the Society for Theatre Research, 1950 (for 1949)</t>
  </si>
  <si>
    <t>Society for Theatre Research. Annual publication, 1948-49</t>
  </si>
  <si>
    <t>11080270:eng</t>
  </si>
  <si>
    <t>3651982</t>
  </si>
  <si>
    <t>ocm03651982</t>
  </si>
  <si>
    <t>3000959801D</t>
  </si>
  <si>
    <t>792277250</t>
  </si>
  <si>
    <t>Z2014 D7 L817</t>
  </si>
  <si>
    <t>0                      Z  2014000D  7                  L  817</t>
  </si>
  <si>
    <t>The New intellectuals / edited by Terence P. Logan and Denzell S. Smith.</t>
  </si>
  <si>
    <t>Lincoln : University of Nebraska Press, ©1977.</t>
  </si>
  <si>
    <t>A Survey and bibliography of recent studies in English Renaissance drama</t>
  </si>
  <si>
    <t>8907991013:eng</t>
  </si>
  <si>
    <t>2644272</t>
  </si>
  <si>
    <t>ocm02644272</t>
  </si>
  <si>
    <t>3000955921N</t>
  </si>
  <si>
    <t>9780803208599</t>
  </si>
  <si>
    <t>792157026</t>
  </si>
  <si>
    <t>Z2014 D7 L82</t>
  </si>
  <si>
    <t>0                      Z  2014000D  7                  L  82</t>
  </si>
  <si>
    <t>The popular school: a survey and bibliography of recent studies in English Reaissance drama / edited by Terence P. Logan and Denzell S. Smith.</t>
  </si>
  <si>
    <t>Logan, Terence P.</t>
  </si>
  <si>
    <t>Lincoln University of Nebraska Press [1975]</t>
  </si>
  <si>
    <t>9907029020:eng</t>
  </si>
  <si>
    <t>226650097</t>
  </si>
  <si>
    <t>ocn226650097</t>
  </si>
  <si>
    <t>3000957290M</t>
  </si>
  <si>
    <t>9780803208445</t>
  </si>
  <si>
    <t>794345710</t>
  </si>
  <si>
    <t>Z2014 D7 L83</t>
  </si>
  <si>
    <t>0                      Z  2014000D  7                  L  83</t>
  </si>
  <si>
    <t>The predecessors of Shakespeare, edited by Terence P. Logan and Denzell S. Smith.</t>
  </si>
  <si>
    <t>Lincoln, University of Nebraska Press [1973]</t>
  </si>
  <si>
    <t>A survey and bibliography of recent studies in English Renaissance drama</t>
  </si>
  <si>
    <t>808563295:eng</t>
  </si>
  <si>
    <t>627864</t>
  </si>
  <si>
    <t>ocm00627864</t>
  </si>
  <si>
    <t>3000959802B</t>
  </si>
  <si>
    <t>9780803207752</t>
  </si>
  <si>
    <t>791431913</t>
  </si>
  <si>
    <t>Z2014 D7 W544 2012</t>
  </si>
  <si>
    <t>0                      Z  2014000D  7                  W  544         2012</t>
  </si>
  <si>
    <t>British drama, 1533-1642 : a catalogue / Martin Wiggins, in association with Catherine Richardson.</t>
  </si>
  <si>
    <t>Wiggins, Martin, author.</t>
  </si>
  <si>
    <t>Oxford ; New York : Oxford University Press, 2012- &lt;2018&gt;</t>
  </si>
  <si>
    <t>10166992439:eng</t>
  </si>
  <si>
    <t>779704874</t>
  </si>
  <si>
    <t>ocn779704874</t>
  </si>
  <si>
    <t>3103499626S</t>
  </si>
  <si>
    <t>9780199265718</t>
  </si>
  <si>
    <t>794911248</t>
  </si>
  <si>
    <t>3103696950B</t>
  </si>
  <si>
    <t>794911244</t>
  </si>
  <si>
    <t>3103740755P</t>
  </si>
  <si>
    <t>794911243</t>
  </si>
  <si>
    <t>3103408564Z</t>
  </si>
  <si>
    <t>794911250</t>
  </si>
  <si>
    <t>3103412645I</t>
  </si>
  <si>
    <t>794911249</t>
  </si>
  <si>
    <t>31035810283</t>
  </si>
  <si>
    <t>794911247</t>
  </si>
  <si>
    <t>3103610426W</t>
  </si>
  <si>
    <t>794911246</t>
  </si>
  <si>
    <t>3103609172Z</t>
  </si>
  <si>
    <t>794911245</t>
  </si>
  <si>
    <t>Z2014 F4 B6 1961</t>
  </si>
  <si>
    <t>0                      Z  2014000F  4                  B  6           1961</t>
  </si>
  <si>
    <t>The English novel, 1740-1850; a catalogue including prose romances, short stories, and translations of foreign fiction. With introductions by John Crow and Ernest A. Baker.</t>
  </si>
  <si>
    <t>Block, Andrew, 1892-</t>
  </si>
  <si>
    <t>London, Dawsons of Pall Mall; Dobbs Ferry, New York, Oceana Publications [©1961]</t>
  </si>
  <si>
    <t>[New and rev., i.e. 2d, ed.].</t>
  </si>
  <si>
    <t>1474712:eng</t>
  </si>
  <si>
    <t>582321</t>
  </si>
  <si>
    <t>ocm00582321</t>
  </si>
  <si>
    <t>3000895400Y</t>
  </si>
  <si>
    <t>791420892</t>
  </si>
  <si>
    <t>Z2014 F4 E52 2000</t>
  </si>
  <si>
    <t>0                      Z  2014000F  4                  E  52          2000</t>
  </si>
  <si>
    <t>The English novel, 1770-1829 : a bibliographical survey of prose fiction published in the British Isles / general editors, Peter Garside, James Raven, and Rainer Schöwerling.</t>
  </si>
  <si>
    <t>Oxford [England] ; New York : Oxford University Press, 2000.</t>
  </si>
  <si>
    <t>837057724:eng</t>
  </si>
  <si>
    <t>44707953</t>
  </si>
  <si>
    <t>ocm44707953</t>
  </si>
  <si>
    <t>3102116199U</t>
  </si>
  <si>
    <t>9780198183174</t>
  </si>
  <si>
    <t>793656342</t>
  </si>
  <si>
    <t>31021056619</t>
  </si>
  <si>
    <t>793656343</t>
  </si>
  <si>
    <t>Z2014 F4 L47 2002</t>
  </si>
  <si>
    <t>0                      Z  2014000F  4                  L  47          2002</t>
  </si>
  <si>
    <t>The English novel, 1700-1740 : an annotated bibliography / Robert Ignatius Letellier.</t>
  </si>
  <si>
    <t>Le Tellier, Robert Ignatius.</t>
  </si>
  <si>
    <t>Bibliographies and indexes in world literature, 0742-6801 ; no. 56</t>
  </si>
  <si>
    <t>3856513965:eng</t>
  </si>
  <si>
    <t>49664353</t>
  </si>
  <si>
    <t>ocm49664353</t>
  </si>
  <si>
    <t>3102290599Z</t>
  </si>
  <si>
    <t>9780313317460</t>
  </si>
  <si>
    <t>793745137</t>
  </si>
  <si>
    <t>Z2014 F5 A73 1932</t>
  </si>
  <si>
    <t>0                      Z  2014000F  5                  A  73          1932</t>
  </si>
  <si>
    <t>Ten contemporaries; notes toward their definitive bibliography, by John Gawsworth; with a foreword by Viscount Esher and original essays by--Lascelles Abercrombie, Herbert E. Palmer, George Egerton, Sir Ronald Ross, Stephen Hudson, Edith Sitwell, Wilfrid Gibson, Robert Nichols, Rhys Davies, M.P. Shiel.</t>
  </si>
  <si>
    <t>Gawsworth, John, 1912-1970.</t>
  </si>
  <si>
    <t>London, E. Benn Ltd. [1932]</t>
  </si>
  <si>
    <t>2016-01-24</t>
  </si>
  <si>
    <t>2598126:eng</t>
  </si>
  <si>
    <t>4820107</t>
  </si>
  <si>
    <t>ocm04820107</t>
  </si>
  <si>
    <t>3000791760V</t>
  </si>
  <si>
    <t>792386016</t>
  </si>
  <si>
    <t>Z2014 F5 R34 1987</t>
  </si>
  <si>
    <t>0                      Z  2014000F  5                  R  34          1987</t>
  </si>
  <si>
    <t>British fiction, 1750-1770 : a chronological check-list of prose fiction printed in Britain and Ireland / James Raven.</t>
  </si>
  <si>
    <t>Newark : University of Delaware Press ; London : Associated University Presses, ©1987.</t>
  </si>
  <si>
    <t>349065323:eng</t>
  </si>
  <si>
    <t>15519870</t>
  </si>
  <si>
    <t>ocm15519870</t>
  </si>
  <si>
    <t>3000963945D</t>
  </si>
  <si>
    <t>9780874133240</t>
  </si>
  <si>
    <t>792934115</t>
  </si>
  <si>
    <t>Z2014 F55 G45 2005</t>
  </si>
  <si>
    <t>0                      Z  2014000F  55                 G  45          2005</t>
  </si>
  <si>
    <t>Tolkien's gown &amp; other stories of great authors and rare books / Rick Gekoski.</t>
  </si>
  <si>
    <t>Gekoski, R. A.</t>
  </si>
  <si>
    <t>London : Constable, 2005.</t>
  </si>
  <si>
    <t>35013874:eng</t>
  </si>
  <si>
    <t>61424324</t>
  </si>
  <si>
    <t>ocm61424324</t>
  </si>
  <si>
    <t>31035011391</t>
  </si>
  <si>
    <t>9781845292393</t>
  </si>
  <si>
    <t>793952357</t>
  </si>
  <si>
    <t>Z2014 P7 B655 2005</t>
  </si>
  <si>
    <t>0                      Z  2014000P  7                  B  655         2005</t>
  </si>
  <si>
    <t>A new index of Middle English verse / Julia Boffey and A.S.G. Edwards.</t>
  </si>
  <si>
    <t>Boffey, Julia.</t>
  </si>
  <si>
    <t>978835:eng</t>
  </si>
  <si>
    <t>56645706</t>
  </si>
  <si>
    <t>ocm56645706</t>
  </si>
  <si>
    <t>3102783953V</t>
  </si>
  <si>
    <t>9780712348317</t>
  </si>
  <si>
    <t>793897958</t>
  </si>
  <si>
    <t>Z2014 R6 R5 1987</t>
  </si>
  <si>
    <t>0                      Z  2014000R  6                  R  5           1987</t>
  </si>
  <si>
    <t>Middle English romance : an annotated bibliography, 1955-1985 / Joanne A. Rice.</t>
  </si>
  <si>
    <t>Rice, Joanne A., 1950-</t>
  </si>
  <si>
    <t>New York : Garland Pub., 1987.</t>
  </si>
  <si>
    <t>Garland reference library of the humanities ; vol. 545</t>
  </si>
  <si>
    <t>2015-03-26</t>
  </si>
  <si>
    <t>914656:eng</t>
  </si>
  <si>
    <t>15107033</t>
  </si>
  <si>
    <t>ocm15107033</t>
  </si>
  <si>
    <t>3000958147M</t>
  </si>
  <si>
    <t>9780824088309</t>
  </si>
  <si>
    <t>792920236</t>
  </si>
  <si>
    <t>Z2014 S64 S54 1995</t>
  </si>
  <si>
    <t>0                      Z  2014000S  64                 S  54          1995</t>
  </si>
  <si>
    <t>Cloak and dagger fiction : an annotated guide to spy thrillers / Myron J. Smith, Jr. and Terry White ; foreword by Julian Rathbone ; preface by Joe Poyer.</t>
  </si>
  <si>
    <t>Smith, Myron J.</t>
  </si>
  <si>
    <t>Bibliographies and indexes in world literature, 0742-6801 ; no. 45</t>
  </si>
  <si>
    <t>522032:eng</t>
  </si>
  <si>
    <t>30665710</t>
  </si>
  <si>
    <t>ocm30665710</t>
  </si>
  <si>
    <t>3101485429Q</t>
  </si>
  <si>
    <t>9780313277009</t>
  </si>
  <si>
    <t>793341448</t>
  </si>
  <si>
    <t>Z2015 A1 A4 v. 20</t>
  </si>
  <si>
    <t>0                      Z  2015000A  1                  A  4                                 v. 20</t>
  </si>
  <si>
    <t>A bibliography of the English language from the invention of printing to the year 1800, based on the collections of the principal libraries of the world. Volume XX. Materials in manuscript / R.C. Alston.</t>
  </si>
  <si>
    <t>pt. 2</t>
  </si>
  <si>
    <t>Alston, R. C.</t>
  </si>
  <si>
    <t>St Philip, Barbados : R.C. Alston, 2010.</t>
  </si>
  <si>
    <t>3859253193:eng</t>
  </si>
  <si>
    <t>535497718</t>
  </si>
  <si>
    <t>ocn535497718</t>
  </si>
  <si>
    <t>3103248869I</t>
  </si>
  <si>
    <t>794810186</t>
  </si>
  <si>
    <t>pt. 1</t>
  </si>
  <si>
    <t>3103248874G</t>
  </si>
  <si>
    <t>794810187</t>
  </si>
  <si>
    <t>Z2015 A1 A4 v.19 pt.3</t>
  </si>
  <si>
    <t>0                      Z  2015000A  1                  A  4                                 v.19 pt.3</t>
  </si>
  <si>
    <t>Periodical literature 1600-1800 : Advertisements / compiled by R.C. Alston.</t>
  </si>
  <si>
    <t>v.19 pt.3*</t>
  </si>
  <si>
    <t>Great Britain : Printed for the author by Smith Settle Yeadon, 2011.</t>
  </si>
  <si>
    <t>Bibliography of the English language from the invention of printing to the year 1800 ; v. 19, pt. 3</t>
  </si>
  <si>
    <t>1056804787:eng</t>
  </si>
  <si>
    <t>765904846</t>
  </si>
  <si>
    <t>ocn765904846</t>
  </si>
  <si>
    <t>3103341365I</t>
  </si>
  <si>
    <t>794900760</t>
  </si>
  <si>
    <t>Z2015 E85 L53 2010</t>
  </si>
  <si>
    <t>0                      Z  2015000E  85                 L  53          2010</t>
  </si>
  <si>
    <t>A bibliography of English etymology / Anatoly Liberman ; with the assistance of Ari Hoptman and Nathan E. Carlson.</t>
  </si>
  <si>
    <t>Liberman, Anatoly.</t>
  </si>
  <si>
    <t>Minneapolis : University of Minnesota Press, ©2010.</t>
  </si>
  <si>
    <t>234771053:eng</t>
  </si>
  <si>
    <t>351319540</t>
  </si>
  <si>
    <t>ocn351319540</t>
  </si>
  <si>
    <t>3103157032G</t>
  </si>
  <si>
    <t>9780816667727</t>
  </si>
  <si>
    <t>794491412</t>
  </si>
  <si>
    <t>Z2017 D39 2010</t>
  </si>
  <si>
    <t>0                      Z  2017000D  39          2010</t>
  </si>
  <si>
    <t>Medieval cartularies of Great Britain and Ireland / G.R.C. Davis.</t>
  </si>
  <si>
    <t>Davis, G. R. C. (Godfrey Rupert Carless), 1917-1997.</t>
  </si>
  <si>
    <t>[Rev. ed.] / rev. by Claire Breay, Julian Harrison and David M. Smith.</t>
  </si>
  <si>
    <t>551717169:eng</t>
  </si>
  <si>
    <t>650953233</t>
  </si>
  <si>
    <t>ocn650953233</t>
  </si>
  <si>
    <t>3103320668N</t>
  </si>
  <si>
    <t>9780712350389</t>
  </si>
  <si>
    <t>794832664</t>
  </si>
  <si>
    <t>Z2018 M142x ser.1</t>
  </si>
  <si>
    <t>0                      Z  2018000M  142x                                                    ser.1</t>
  </si>
  <si>
    <t>A catalogue of books chiefly relating to English and American history and antiquities : together with a collection of historical, ecclesiastical, and political tracts (from 1624) : presented to the University of McGill College, Montreal by Peter Redpath, Esq., 1864-1884.</t>
  </si>
  <si>
    <t>ser.1*</t>
  </si>
  <si>
    <t>Cambridge : Macmillan and Bowes, 1884.</t>
  </si>
  <si>
    <t>1884</t>
  </si>
  <si>
    <t>2007-08-11</t>
  </si>
  <si>
    <t>3857102071:eng</t>
  </si>
  <si>
    <t>4007066</t>
  </si>
  <si>
    <t>ocm04007066</t>
  </si>
  <si>
    <t>3000953638S</t>
  </si>
  <si>
    <t>792313623</t>
  </si>
  <si>
    <t>Z2018 M142x ser.2</t>
  </si>
  <si>
    <t>0                      Z  2018000M  142x                                                    ser.2</t>
  </si>
  <si>
    <t>Catalogue of a collection of historical tracts, 1561-1800, in DLXXXII volumes; collected and annotated by Stuart J. Reid ... The gift of Mrs. Peter Redpath to the Redpath Library, McGill University, Montreal.</t>
  </si>
  <si>
    <t>ser.2*</t>
  </si>
  <si>
    <t>Redpath Library.</t>
  </si>
  <si>
    <t>London, Printed by the donor for private circulation, 1901.</t>
  </si>
  <si>
    <t>3901895006:eng</t>
  </si>
  <si>
    <t>4615825</t>
  </si>
  <si>
    <t>ocm04615825</t>
  </si>
  <si>
    <t>3000957447F</t>
  </si>
  <si>
    <t>792368444</t>
  </si>
  <si>
    <t>Z2027 C55 C37 1995</t>
  </si>
  <si>
    <t>0                      Z  2027000C  55                 C  37          1995</t>
  </si>
  <si>
    <t>Britain in pictures : a history and bibliography / Michael Carney.</t>
  </si>
  <si>
    <t>Carney, Michael.</t>
  </si>
  <si>
    <t>London : Werner Shaw, 1995.</t>
  </si>
  <si>
    <t>837006231:eng</t>
  </si>
  <si>
    <t>33258373</t>
  </si>
  <si>
    <t>ocm33258373</t>
  </si>
  <si>
    <t>31034381311</t>
  </si>
  <si>
    <t>9780907961093</t>
  </si>
  <si>
    <t>793405477</t>
  </si>
  <si>
    <t>Z2039 D7 K3 1982</t>
  </si>
  <si>
    <t>0                      Z  2039000D  7                  K  3           1982</t>
  </si>
  <si>
    <t>The Garrick Collection of old English plays : a catalogue with an historical introduction / by George M. Kahrl in collaboration with Dorothy Anderson.</t>
  </si>
  <si>
    <t>Kahrl, George Morrow, 1904-</t>
  </si>
  <si>
    <t>London : British Library, ©1982.</t>
  </si>
  <si>
    <t>889638749:eng</t>
  </si>
  <si>
    <t>9571822</t>
  </si>
  <si>
    <t>ocm09571822</t>
  </si>
  <si>
    <t>3000951373B</t>
  </si>
  <si>
    <t>9780712300049</t>
  </si>
  <si>
    <t>792682502</t>
  </si>
  <si>
    <t>Z2131 S76 1985</t>
  </si>
  <si>
    <t>0                      Z  2131000S  76          1985</t>
  </si>
  <si>
    <t>Repertorium auctorum Bohemorum provectum idearum post Universitatem Pragensem conditam illustrans / Pavel Spunar.</t>
  </si>
  <si>
    <t>t.2</t>
  </si>
  <si>
    <t>Spunar, Pavel.</t>
  </si>
  <si>
    <t>Wratislaviae : Institutum Ossolinianum, 1985-&lt;1995&gt;</t>
  </si>
  <si>
    <t>Studia Copernicana, 0081-6701 ; 25, &lt;35&gt;</t>
  </si>
  <si>
    <t>2018-10-28</t>
  </si>
  <si>
    <t>5608990402:lat</t>
  </si>
  <si>
    <t>12945505</t>
  </si>
  <si>
    <t>ocm12945505</t>
  </si>
  <si>
    <t>31017137662</t>
  </si>
  <si>
    <t>9788304015654</t>
  </si>
  <si>
    <t>792834068</t>
  </si>
  <si>
    <t>t.1</t>
  </si>
  <si>
    <t>30009532484</t>
  </si>
  <si>
    <t>792834069</t>
  </si>
  <si>
    <t>Z2161 C65</t>
  </si>
  <si>
    <t>0                      Z  2161000C  65</t>
  </si>
  <si>
    <t>Prélude au siècle des lumières en France. Répertoire chronologique de 1680 à 1715. [Par] Pierre M. Conlon.</t>
  </si>
  <si>
    <t>T. 6</t>
  </si>
  <si>
    <t>Conlon, Pierre M.</t>
  </si>
  <si>
    <t>Genève, Droz, 1970-1975.</t>
  </si>
  <si>
    <t>Histoire des idées et critique littéraire, v. 104, 115, 121-122, 139, 146</t>
  </si>
  <si>
    <t>10075945277:fre</t>
  </si>
  <si>
    <t>381224</t>
  </si>
  <si>
    <t>ocm00381224</t>
  </si>
  <si>
    <t>31008734894</t>
  </si>
  <si>
    <t>791358847</t>
  </si>
  <si>
    <t>T. 5</t>
  </si>
  <si>
    <t>31008734886</t>
  </si>
  <si>
    <t>791358848</t>
  </si>
  <si>
    <t>3100873485C</t>
  </si>
  <si>
    <t>791358851</t>
  </si>
  <si>
    <t>T. 3</t>
  </si>
  <si>
    <t>3100873486A</t>
  </si>
  <si>
    <t>791358850</t>
  </si>
  <si>
    <t>31008734878</t>
  </si>
  <si>
    <t>791358849</t>
  </si>
  <si>
    <t>T. 1</t>
  </si>
  <si>
    <t>3000959787I</t>
  </si>
  <si>
    <t>791358852</t>
  </si>
  <si>
    <t>Z2161 E749 2011</t>
  </si>
  <si>
    <t>0                      Z  2161000E  749         2011</t>
  </si>
  <si>
    <t>La francophonie : bibliographie analytique de la recherche internationale 1980-2005 / Jürgen Erfurt, Maria Amelina.</t>
  </si>
  <si>
    <t>Erfurt, Jürgen.</t>
  </si>
  <si>
    <t>Frankfurt am Main : Peter Lang, [2011]</t>
  </si>
  <si>
    <t>Sprache, Mehrsprachigkeit und sozialer Wandel, 1610-143X ; Bd. 11</t>
  </si>
  <si>
    <t>813601980:fre</t>
  </si>
  <si>
    <t>707925354</t>
  </si>
  <si>
    <t>ocn707925354</t>
  </si>
  <si>
    <t>3103373524Y</t>
  </si>
  <si>
    <t>9783631604687</t>
  </si>
  <si>
    <t>794868238</t>
  </si>
  <si>
    <t>Z2161 U65 1946</t>
  </si>
  <si>
    <t>0                      Z  2161000U  65          1946</t>
  </si>
  <si>
    <t>Manuel de la recherche documentaire en France.</t>
  </si>
  <si>
    <t>Union française des organismes de documentation.</t>
  </si>
  <si>
    <t>Paris, Presses universitaires de France, 1946-</t>
  </si>
  <si>
    <t>30990278:fre</t>
  </si>
  <si>
    <t>8270951</t>
  </si>
  <si>
    <t>ocm08270951</t>
  </si>
  <si>
    <t>3103590370K</t>
  </si>
  <si>
    <t>792608787</t>
  </si>
  <si>
    <t>Z2165 D53 2014</t>
  </si>
  <si>
    <t>0                      Z  2165000D  53          2014</t>
  </si>
  <si>
    <t>Dictionnaire des revues littéraires au XXe siècle : domaine français / sous la direction de Bruno Curatolo.</t>
  </si>
  <si>
    <t>Paris : Honoré Champion éditeur, 2014.</t>
  </si>
  <si>
    <t>Dictionnaires &amp; références, 1275-0387 ; 30</t>
  </si>
  <si>
    <t>2209213765:fre</t>
  </si>
  <si>
    <t>896866449</t>
  </si>
  <si>
    <t>ocn896866449</t>
  </si>
  <si>
    <t>3103628981W</t>
  </si>
  <si>
    <t>9782745327567</t>
  </si>
  <si>
    <t>794984365</t>
  </si>
  <si>
    <t>3103628976P</t>
  </si>
  <si>
    <t>794984364</t>
  </si>
  <si>
    <t>Z2171 C3</t>
  </si>
  <si>
    <t>0                      Z  2171000C  3</t>
  </si>
  <si>
    <t>A Critical bibliography of French literature / D.C. Cabeen, general editor.</t>
  </si>
  <si>
    <t>v.3A Suppl.</t>
  </si>
  <si>
    <t>Syracuse, N.Y. : Syracuse University Press, 1947-&lt;1994&gt;</t>
  </si>
  <si>
    <t>9381062794:eng</t>
  </si>
  <si>
    <t>581730</t>
  </si>
  <si>
    <t>ocm00581730</t>
  </si>
  <si>
    <t>3100874949S</t>
  </si>
  <si>
    <t>9780815622758</t>
  </si>
  <si>
    <t>791420737</t>
  </si>
  <si>
    <t>3100874948U</t>
  </si>
  <si>
    <t>791420738</t>
  </si>
  <si>
    <t>v.2 rev.</t>
  </si>
  <si>
    <t>30009507366</t>
  </si>
  <si>
    <t>791420739</t>
  </si>
  <si>
    <t>v.4 Suppl.</t>
  </si>
  <si>
    <t>31008749514</t>
  </si>
  <si>
    <t>791420735</t>
  </si>
  <si>
    <t>31008749506</t>
  </si>
  <si>
    <t>791420736</t>
  </si>
  <si>
    <t>v.5;pt.1</t>
  </si>
  <si>
    <t>3101380325X</t>
  </si>
  <si>
    <t>791420734</t>
  </si>
  <si>
    <t>v.5;pt.2</t>
  </si>
  <si>
    <t>3101380338O</t>
  </si>
  <si>
    <t>791420733</t>
  </si>
  <si>
    <t>v.6 pt.1</t>
  </si>
  <si>
    <t>3100874954Z</t>
  </si>
  <si>
    <t>791420732</t>
  </si>
  <si>
    <t>v.6 pt.3</t>
  </si>
  <si>
    <t>31008749530</t>
  </si>
  <si>
    <t>791420730</t>
  </si>
  <si>
    <t>3100875140$</t>
  </si>
  <si>
    <t>791420740</t>
  </si>
  <si>
    <t>v.6 pt.2</t>
  </si>
  <si>
    <t>31008749522</t>
  </si>
  <si>
    <t>791420731</t>
  </si>
  <si>
    <t>30009507374</t>
  </si>
  <si>
    <t>791420741</t>
  </si>
  <si>
    <t>Z2172 M555 1991</t>
  </si>
  <si>
    <t>0                      Z  2172000M  555         1991</t>
  </si>
  <si>
    <t>La littérature facétieuse sous Louis XIII, 1610-1643 : une biographie critique / Alain Mercier.</t>
  </si>
  <si>
    <t>Mercier, Alain.</t>
  </si>
  <si>
    <t>G benève : Droz, 1991.</t>
  </si>
  <si>
    <t>Histoire des idées et critique littéraire ; v. 296</t>
  </si>
  <si>
    <t>2015-01-16</t>
  </si>
  <si>
    <t>29595905:fre</t>
  </si>
  <si>
    <t>321028151</t>
  </si>
  <si>
    <t>ocn321028151</t>
  </si>
  <si>
    <t>31009632998</t>
  </si>
  <si>
    <t>794489779</t>
  </si>
  <si>
    <t>Z2173 W397 2018</t>
  </si>
  <si>
    <t>0                      Z  2173000W  397         2018</t>
  </si>
  <si>
    <t>À la recherche des fous littéraires &amp; hétéroclites perdus / Marc Ways ; avant-propos de Marc Angenot.</t>
  </si>
  <si>
    <t>Ways, Marc, author.</t>
  </si>
  <si>
    <t>Paris : Anne Lamort, [2018]</t>
  </si>
  <si>
    <t>5192112066:fre</t>
  </si>
  <si>
    <t>1037895514</t>
  </si>
  <si>
    <t>on1037895514</t>
  </si>
  <si>
    <t>31037941460</t>
  </si>
  <si>
    <t>9782955918500</t>
  </si>
  <si>
    <t>795058305</t>
  </si>
  <si>
    <t>31037941509</t>
  </si>
  <si>
    <t>795058304</t>
  </si>
  <si>
    <t>Z2174 D7 B44 1996</t>
  </si>
  <si>
    <t>0                      Z  2174000D  7                  B  44          1996</t>
  </si>
  <si>
    <t>French women playwrights of the twentieth century : a checklist / compiled by Cecilia Beach.</t>
  </si>
  <si>
    <t>Beach, Cecilia.</t>
  </si>
  <si>
    <t>Bibliographies and indexes in women's studies, 0742-6941 ; no. 24</t>
  </si>
  <si>
    <t>3754820052:eng</t>
  </si>
  <si>
    <t>33407904</t>
  </si>
  <si>
    <t>ocm33407904</t>
  </si>
  <si>
    <t>3101800938D</t>
  </si>
  <si>
    <t>9780313291753</t>
  </si>
  <si>
    <t>793408839</t>
  </si>
  <si>
    <t>Z2174 P7 C63 2009</t>
  </si>
  <si>
    <t>0                      Z  2174000P  7                  C  63          2009</t>
  </si>
  <si>
    <t>The Old French fabliaux : an analytical bibliography / Anne Elizabeth Cobby.</t>
  </si>
  <si>
    <t>Cobby, Anne Elizabeth, 1952-</t>
  </si>
  <si>
    <t>Woodbridge [England] ; Rochester, NY : Tamesis, 2009.</t>
  </si>
  <si>
    <t>Research bibliographies &amp; checklists ; new ser. 9</t>
  </si>
  <si>
    <t>891617805:eng</t>
  </si>
  <si>
    <t>262426576</t>
  </si>
  <si>
    <t>ocn262426576</t>
  </si>
  <si>
    <t>31031015529</t>
  </si>
  <si>
    <t>9781855661851</t>
  </si>
  <si>
    <t>794401599</t>
  </si>
  <si>
    <t>Z2174 P7 L55</t>
  </si>
  <si>
    <t>0                      Z  2174000P  7                  L  55</t>
  </si>
  <si>
    <t>A bibliography of old French lyrics / by Robert White Linker.</t>
  </si>
  <si>
    <t>Linker, Robert White.</t>
  </si>
  <si>
    <t>University, Miss. : Romance Monographs, Inc., 1979.</t>
  </si>
  <si>
    <t>Romance monographs ; no. 31</t>
  </si>
  <si>
    <t>566789:eng</t>
  </si>
  <si>
    <t>4832083</t>
  </si>
  <si>
    <t>ocm04832083</t>
  </si>
  <si>
    <t>3000955079S</t>
  </si>
  <si>
    <t>9788449928093</t>
  </si>
  <si>
    <t>792386799</t>
  </si>
  <si>
    <t>Z2174 S5 G63 1989</t>
  </si>
  <si>
    <t>0                      Z  2174000S  5                  G  63          1989</t>
  </si>
  <si>
    <t>Bibliographie critique de la nouvelle de langue française (1940-1985) / René Godenne.</t>
  </si>
  <si>
    <t>Godenne, René.</t>
  </si>
  <si>
    <t>Genève : Droz, 1989.</t>
  </si>
  <si>
    <t>Histoire des idées et critique littéraire ; vol. 269</t>
  </si>
  <si>
    <t>22032656:fre</t>
  </si>
  <si>
    <t>20703639</t>
  </si>
  <si>
    <t>ocm20703639</t>
  </si>
  <si>
    <t>3000964681G</t>
  </si>
  <si>
    <t>793096443</t>
  </si>
  <si>
    <t>Z2174 S5 G63 2017</t>
  </si>
  <si>
    <t>0                      Z  2174000S  5                  G  63          2017</t>
  </si>
  <si>
    <t>La nouvelle de langue française de 1940 à 2000 : un répertoire critique par année de 6060 titres / René Godenne.</t>
  </si>
  <si>
    <t>Godenne, René, author.</t>
  </si>
  <si>
    <t>Genève : Slatkine Érudition, 2017.</t>
  </si>
  <si>
    <t>Édition remaniée et augmentée des trois Bibliographies critiques de la nouvelle de langue française (1989, 1992, 2005).</t>
  </si>
  <si>
    <t>4168093645:fre</t>
  </si>
  <si>
    <t>981866806</t>
  </si>
  <si>
    <t>ocn981866806</t>
  </si>
  <si>
    <t>3103721114X</t>
  </si>
  <si>
    <t>9782051027779</t>
  </si>
  <si>
    <t>795034087</t>
  </si>
  <si>
    <t>Z2174 T7 R57 2010</t>
  </si>
  <si>
    <t>0                      Z  2174000T  7                  R  57          2010</t>
  </si>
  <si>
    <t>Nausikaa : la réception de la littérature française en RDA, 1949-1990 : une bibliographie de transfert / Danielle Risterucci-Roudnicky.</t>
  </si>
  <si>
    <t>Risterucci-Roudnicky, Danielle.</t>
  </si>
  <si>
    <t>[Paris] : Maison des sciences de l'homme, ©2010.</t>
  </si>
  <si>
    <t>9827230732:fre</t>
  </si>
  <si>
    <t>663086213</t>
  </si>
  <si>
    <t>ocn663086213</t>
  </si>
  <si>
    <t>3103394146S</t>
  </si>
  <si>
    <t>9782735112005</t>
  </si>
  <si>
    <t>794837693</t>
  </si>
  <si>
    <t>Z2175 H35 S39 2004</t>
  </si>
  <si>
    <t>0                      Z  2175000H  35                 S  39          2004</t>
  </si>
  <si>
    <t>Le livre hébreu à Paris au XVIe siècle : inventaire chronologique / Lyse Schwarzfuchs.</t>
  </si>
  <si>
    <t>Schwarzfuchs, Lyse, 1935-</t>
  </si>
  <si>
    <t>[Paris] : Bibliothèque nationale de France, ©2004.</t>
  </si>
  <si>
    <t>892797370:fre</t>
  </si>
  <si>
    <t>58595460</t>
  </si>
  <si>
    <t>ocm58595460</t>
  </si>
  <si>
    <t>3102406560D</t>
  </si>
  <si>
    <t>9782717722970</t>
  </si>
  <si>
    <t>793922904</t>
  </si>
  <si>
    <t>Z2176 D43 1970</t>
  </si>
  <si>
    <t>0                      Z  2176000D  43          1970</t>
  </si>
  <si>
    <t>Les sources de la géographie de la France aux archives nationales.</t>
  </si>
  <si>
    <t>Demangeon, Albert, 1872-1940.</t>
  </si>
  <si>
    <t>New York, B. Franklin [1970]</t>
  </si>
  <si>
    <t>Burt Franklin research &amp; source works series, 594. Selected essays in history, economics &amp; social science, 197</t>
  </si>
  <si>
    <t>5609503180:fre</t>
  </si>
  <si>
    <t>181058</t>
  </si>
  <si>
    <t>ocm00181058</t>
  </si>
  <si>
    <t>3000497205D</t>
  </si>
  <si>
    <t>791284309</t>
  </si>
  <si>
    <t>Z2177 F48 2011</t>
  </si>
  <si>
    <t>0                      Z  2177000F  48          2011</t>
  </si>
  <si>
    <t>The Visigoths in Gaul and Iberia (update) : a supplemental bibliography, 2007-2009 / by Alberto Ferreiro.</t>
  </si>
  <si>
    <t>Ferreiro, Alberto.</t>
  </si>
  <si>
    <t>The medieval and early modern Iberian world, 1569-1934 ; v. 45</t>
  </si>
  <si>
    <t>4924025890:eng</t>
  </si>
  <si>
    <t>748330832</t>
  </si>
  <si>
    <t>ocn748330832</t>
  </si>
  <si>
    <t>3103406940Z</t>
  </si>
  <si>
    <t>9789004212220</t>
  </si>
  <si>
    <t>794889097</t>
  </si>
  <si>
    <t>Z2177 F48 2014</t>
  </si>
  <si>
    <t>0                      Z  2177000F  48          2014</t>
  </si>
  <si>
    <t>The Visigoths in Gaul and Iberia (update) : a supplemental bibliography, 2010-2012 / by Alberto Ferreiro.</t>
  </si>
  <si>
    <t>Ferreiro, Alberto, compiler.</t>
  </si>
  <si>
    <t>Medieval and Early Modern Iberian World, 1569-1934 ; Volume 55</t>
  </si>
  <si>
    <t>1055877459:eng</t>
  </si>
  <si>
    <t>872222463</t>
  </si>
  <si>
    <t>ocn872222463</t>
  </si>
  <si>
    <t>3103567063I</t>
  </si>
  <si>
    <t>9789004275683</t>
  </si>
  <si>
    <t>794967960</t>
  </si>
  <si>
    <t>Z2177 F48 2017</t>
  </si>
  <si>
    <t>0                      Z  2177000F  48          2017</t>
  </si>
  <si>
    <t>The Visigoths in Gaul and Iberia (update) : a supplemental bibliography, 2013-2015 / by Alberto Ferreiro.</t>
  </si>
  <si>
    <t>Ferreiro, Alberto, author.</t>
  </si>
  <si>
    <t>The medieval and early modern Iberian world, 1569-1934 ; volume 63</t>
  </si>
  <si>
    <t>5090401376:eng</t>
  </si>
  <si>
    <t>969981944</t>
  </si>
  <si>
    <t>ocn969981944</t>
  </si>
  <si>
    <t>31036710283</t>
  </si>
  <si>
    <t>9789004341135</t>
  </si>
  <si>
    <t>795027590</t>
  </si>
  <si>
    <t>Z2178 C43 2011</t>
  </si>
  <si>
    <t>0                      Z  2178000C  43          2011</t>
  </si>
  <si>
    <t>Mémorialistes français du règne de Louis XV : bibliographie / Frédéric Charbonneau avec la collaboration de Geneviève Langlois et d'Elsa Pépin.</t>
  </si>
  <si>
    <t>Charbonneau, Frédéric, 1967-</t>
  </si>
  <si>
    <t>Québec : Presses de l'Université Laval : Éditions du CIERL, ©2011.</t>
  </si>
  <si>
    <t>Cahiers du CIERL ; no. 12</t>
  </si>
  <si>
    <t>904638582:fre</t>
  </si>
  <si>
    <t>727466487</t>
  </si>
  <si>
    <t>ocn727466487</t>
  </si>
  <si>
    <t>3103325163I</t>
  </si>
  <si>
    <t>9782763794709</t>
  </si>
  <si>
    <t>794878174</t>
  </si>
  <si>
    <t>2014-08-20</t>
  </si>
  <si>
    <t>3103369957Y</t>
  </si>
  <si>
    <t>794878175</t>
  </si>
  <si>
    <t>Z2179 B47 1988</t>
  </si>
  <si>
    <t>0                      Z  2179000B  47          1988</t>
  </si>
  <si>
    <t>Bibliographie critique des mémoires sur la Restauration écrits ou traduits en français / Guillaume de Bertier de Sauvigny, Alfred Fierro.</t>
  </si>
  <si>
    <t>Bertier de Sauvigny, Guillaume de, 1912-2004.</t>
  </si>
  <si>
    <t>V--Hautes études médiévales et modernes ; 63</t>
  </si>
  <si>
    <t>2015-12-09</t>
  </si>
  <si>
    <t>18733377:fre</t>
  </si>
  <si>
    <t>18730009</t>
  </si>
  <si>
    <t>ocm18730009</t>
  </si>
  <si>
    <t>31036361610</t>
  </si>
  <si>
    <t>793035578</t>
  </si>
  <si>
    <t>2017-04-07</t>
  </si>
  <si>
    <t>Z2233.5 P45 2001</t>
  </si>
  <si>
    <t>0                      Z  2233500P  45          2001</t>
  </si>
  <si>
    <t>German's children's and youth literature in exile 1933-1950 : biographies and bibliographies / Zlata Fuss Phillips.</t>
  </si>
  <si>
    <t>Phillips, Zlata Fuss.</t>
  </si>
  <si>
    <t>138900556:eng</t>
  </si>
  <si>
    <t>54806159</t>
  </si>
  <si>
    <t>ocm54806159</t>
  </si>
  <si>
    <t>3102311303F</t>
  </si>
  <si>
    <t>9783598115691</t>
  </si>
  <si>
    <t>793868274</t>
  </si>
  <si>
    <t>Z2234 A74 S44 1995</t>
  </si>
  <si>
    <t>0                      Z  2234000A  74                 S  44          1995</t>
  </si>
  <si>
    <t>Avantgarde und Arbeiterdichter in den Hauptorganen der deutschen Linken 1917-1922 : eine analytische Bibliographie mit einem Nachwort / Richard Sheppard.</t>
  </si>
  <si>
    <t>Sheppard, Richard.</t>
  </si>
  <si>
    <t>Frankfurt am Main ; New York : P. Lang, ©1995.</t>
  </si>
  <si>
    <t>Bibliographien zur Literatur- und Mediengeschichte, 0940-8886 ; Bd. 4</t>
  </si>
  <si>
    <t>138767675:ger</t>
  </si>
  <si>
    <t>33233889</t>
  </si>
  <si>
    <t>ocm33233889</t>
  </si>
  <si>
    <t>3101485123D</t>
  </si>
  <si>
    <t>9783631486153</t>
  </si>
  <si>
    <t>793404834</t>
  </si>
  <si>
    <t>Z2234 D7 K63 2013</t>
  </si>
  <si>
    <t>0                      Z  2234000D  7                  K  63          2013</t>
  </si>
  <si>
    <t>Deutsches Theater-Lexikon : biographisches und bibliographisches Handbuch. Nachtragsband / begründet von Wilhelm Kosch ; fortgeführt von Ingrid Bigler-Marschall.</t>
  </si>
  <si>
    <t>T.1</t>
  </si>
  <si>
    <t>Kosch, Wilhelm, 1879-1960.</t>
  </si>
  <si>
    <t>Berlin ; Boston : De Gruyter, ©2013-&lt;2020&gt;</t>
  </si>
  <si>
    <t>9566215344:ger</t>
  </si>
  <si>
    <t>821020827</t>
  </si>
  <si>
    <t>ocn821020827</t>
  </si>
  <si>
    <t>3103628201A</t>
  </si>
  <si>
    <t>9783110284607</t>
  </si>
  <si>
    <t>794935926</t>
  </si>
  <si>
    <t>T.6</t>
  </si>
  <si>
    <t>3103760650R</t>
  </si>
  <si>
    <t>794935921</t>
  </si>
  <si>
    <t>T.3</t>
  </si>
  <si>
    <t>3103586141D</t>
  </si>
  <si>
    <t>794935924</t>
  </si>
  <si>
    <t>T.5</t>
  </si>
  <si>
    <t>31037051925</t>
  </si>
  <si>
    <t>794935922</t>
  </si>
  <si>
    <t>T.4</t>
  </si>
  <si>
    <t>31036324707</t>
  </si>
  <si>
    <t>794935923</t>
  </si>
  <si>
    <t>T.2</t>
  </si>
  <si>
    <t>31035360640</t>
  </si>
  <si>
    <t>794935925</t>
  </si>
  <si>
    <t>Z2234 H58 P54 2017</t>
  </si>
  <si>
    <t>0                      Z  2234000H  58                 P  54          2017</t>
  </si>
  <si>
    <t>Historische Personen und Ereignisse in der deutschsprachigen Literatur 1945-2000 : eine Bibliographie / Hans-Christoph Pleßke.</t>
  </si>
  <si>
    <t>Plesske, Hans-Christoph, author.</t>
  </si>
  <si>
    <t>Stuttgart : Anton Hiersemann Verlag, 2017.</t>
  </si>
  <si>
    <t>Hiersemanns bibliographische Handbücher, 0170-2408 ; Band 23</t>
  </si>
  <si>
    <t>4437520063:ger</t>
  </si>
  <si>
    <t>995843466</t>
  </si>
  <si>
    <t>ocn995843466</t>
  </si>
  <si>
    <t>3103717307Z</t>
  </si>
  <si>
    <t>9783777217154</t>
  </si>
  <si>
    <t>795039716</t>
  </si>
  <si>
    <t>Z2235 A2 R5 1984</t>
  </si>
  <si>
    <t>0                      Z  2235000A  2                  R  5           1984</t>
  </si>
  <si>
    <t>Introduction to library research in German studies : language, literature, and civilization / Larry L. Richardson.</t>
  </si>
  <si>
    <t>Richardson, Larry L.</t>
  </si>
  <si>
    <t>Boulder, Colo. : Westview Press, 1984.</t>
  </si>
  <si>
    <t>Westview guides to library research</t>
  </si>
  <si>
    <t>2018-08-10</t>
  </si>
  <si>
    <t>2799041:eng</t>
  </si>
  <si>
    <t>10502798</t>
  </si>
  <si>
    <t>ocm10502798</t>
  </si>
  <si>
    <t>3000957910I</t>
  </si>
  <si>
    <t>9780865311954</t>
  </si>
  <si>
    <t>792729248</t>
  </si>
  <si>
    <t>Z2241 A53 G6x</t>
  </si>
  <si>
    <t>0                      Z  2241000A  53                 G  6x</t>
  </si>
  <si>
    <t>Antifaschistischer Widerstand und Klassenkampf : die faschistische Diktatur 1933 bis 1945 und ihre Gegner. Bibliographie deutschsprachiger Literatur aus den Jahren 1945 bis 1973, unter bibliographischer Mitarbeit / von Jutta Grimann, Manfred Puschner [und] Ingrid Volz. 1. Aufl.</t>
  </si>
  <si>
    <t>Goguel, Rudi.</t>
  </si>
  <si>
    <t>Berlin : Militarverlag der Deutschen Demokratischen Republik, 1976.</t>
  </si>
  <si>
    <t>232118481:ger</t>
  </si>
  <si>
    <t>254040478</t>
  </si>
  <si>
    <t>ocn254040478</t>
  </si>
  <si>
    <t>3000954413A</t>
  </si>
  <si>
    <t>794398292</t>
  </si>
  <si>
    <t>Z2241 N27 A4</t>
  </si>
  <si>
    <t>0                      Z  2241000N  27                 A  4</t>
  </si>
  <si>
    <t>Nationalsozialismus, ein dokumentarischer Beitrag zur Zeitgeschichte / Antiquariat Amelang.</t>
  </si>
  <si>
    <t>Amelang, Antiquariat, Frankfurt/Main.</t>
  </si>
  <si>
    <t>Frankfurt/Main : Amelang, 195-</t>
  </si>
  <si>
    <t>9566248439:ger</t>
  </si>
  <si>
    <t>427320909</t>
  </si>
  <si>
    <t>ocn427320909</t>
  </si>
  <si>
    <t>3000950183L</t>
  </si>
  <si>
    <t>794589426</t>
  </si>
  <si>
    <t>Z2241 N27 I38 1991</t>
  </si>
  <si>
    <t>0                      Z  2241000N  27                 I  38          1991</t>
  </si>
  <si>
    <t>Inventar archivalischer Quellen des NS-Staates : die Überlieferung von Behörden und Einrichtungen des Reichs, der Länder und der NSDAP / im Auftrag des Instituts für Zeitgeschichte bearbeitet von Heinz Boberach ; unter Mitwirkung von Dietrich Gessner [and others].</t>
  </si>
  <si>
    <t>Boberach, Heinz.</t>
  </si>
  <si>
    <t>München ; New York : K.G. Saur, 1991-1995.</t>
  </si>
  <si>
    <t>Texte und Materialien zur Zeitgeschichte ; Bd. 3/1-2</t>
  </si>
  <si>
    <t>895846300:ger</t>
  </si>
  <si>
    <t>26137238</t>
  </si>
  <si>
    <t>ocm26137238</t>
  </si>
  <si>
    <t>3101406199N</t>
  </si>
  <si>
    <t>9783598108617</t>
  </si>
  <si>
    <t>793238532</t>
  </si>
  <si>
    <t>3101271099O</t>
  </si>
  <si>
    <t>793238533</t>
  </si>
  <si>
    <t>Z2241 N27 K26 1982</t>
  </si>
  <si>
    <t>0                      Z  2241000N  27                 K  26          1982</t>
  </si>
  <si>
    <t>The Nazi era, 1919-1945 : a select bibliography of published works from the early roots to 1980 / compiled by Helen Kehr and Janet Langmaid.</t>
  </si>
  <si>
    <t>Kehr, Helen.</t>
  </si>
  <si>
    <t>London : Mansell Pub. ; Bronx, N.Y. : Distributed in the United States and Canada by H.W. Wilson Co., 1982.</t>
  </si>
  <si>
    <t>836703561:eng</t>
  </si>
  <si>
    <t>8842399</t>
  </si>
  <si>
    <t>ocm08842399</t>
  </si>
  <si>
    <t>3000951028S</t>
  </si>
  <si>
    <t>9780720116182</t>
  </si>
  <si>
    <t>792644028</t>
  </si>
  <si>
    <t>Z2241 N27 R83 1995</t>
  </si>
  <si>
    <t>0                      Z  2241000N  27                 R  83          1995</t>
  </si>
  <si>
    <t>Bibliographie zum Nationalsozialismus / Michael Ruck.</t>
  </si>
  <si>
    <t>Ruck, Michael, 1954-</t>
  </si>
  <si>
    <t>Köln : Bund-Verlag, ©1995.</t>
  </si>
  <si>
    <t>2070179276:ger</t>
  </si>
  <si>
    <t>33946445</t>
  </si>
  <si>
    <t>ocm33946445</t>
  </si>
  <si>
    <t>3101543608G</t>
  </si>
  <si>
    <t>9783766323552</t>
  </si>
  <si>
    <t>793414560</t>
  </si>
  <si>
    <t>Z2241 N27 R83 2000</t>
  </si>
  <si>
    <t>0                      Z  2241000N  27                 R  83          2000</t>
  </si>
  <si>
    <t>(Bd.1 + CD-ROM)</t>
  </si>
  <si>
    <t>Darmstadt : Wissenschaftliche Buchgesellschaft, 2000.</t>
  </si>
  <si>
    <t>Vollständig überarbeitete und wesentlich erw. Ausg.</t>
  </si>
  <si>
    <t>3901779253:ger</t>
  </si>
  <si>
    <t>45542978</t>
  </si>
  <si>
    <t>ocm45542978</t>
  </si>
  <si>
    <t>3102167629X</t>
  </si>
  <si>
    <t>9783534149896</t>
  </si>
  <si>
    <t>793673422</t>
  </si>
  <si>
    <t>31021676335</t>
  </si>
  <si>
    <t>793673421</t>
  </si>
  <si>
    <t>Z2260 G7 H66 1995</t>
  </si>
  <si>
    <t>0                      Z  2260000G  7                  H  66          1995</t>
  </si>
  <si>
    <t>Ancient Greece and Rome : a bibliographical guide / compiled by Keith Hopwood.</t>
  </si>
  <si>
    <t>Hopwood, Keith.</t>
  </si>
  <si>
    <t>Manchester [U.K.] ; New York : Manchester University Press ; New York, NY, USA : Distributed exclusively in the USA and Canada by St. Martin's Press, ©1995.</t>
  </si>
  <si>
    <t>History and related disciplines select bibliographies</t>
  </si>
  <si>
    <t>38342096:eng</t>
  </si>
  <si>
    <t>33293400</t>
  </si>
  <si>
    <t>ocm33293400</t>
  </si>
  <si>
    <t>3101464882N</t>
  </si>
  <si>
    <t>9780719024016</t>
  </si>
  <si>
    <t>793406343</t>
  </si>
  <si>
    <t>Z2307 C55 F48 2004</t>
  </si>
  <si>
    <t>0                      Z  2307000C  55                 F  48          2004</t>
  </si>
  <si>
    <t>Mycenaean civilization : an annotated bibliography through 2002 / Bryan Feuer.</t>
  </si>
  <si>
    <t>Feuer, Bryan Avery.</t>
  </si>
  <si>
    <t>Jefferson, N.C. : McFarland, ©2004.</t>
  </si>
  <si>
    <t>2015-06-19</t>
  </si>
  <si>
    <t>891730218:eng</t>
  </si>
  <si>
    <t>53937880</t>
  </si>
  <si>
    <t>ocm53937880</t>
  </si>
  <si>
    <t>3102422502V</t>
  </si>
  <si>
    <t>9780786417483</t>
  </si>
  <si>
    <t>793853536</t>
  </si>
  <si>
    <t>Z2342 B77 1997</t>
  </si>
  <si>
    <t>0                      Z  2342000B  77          1997</t>
  </si>
  <si>
    <t>Italian 17th-century books in Cambridge libraries : a short-title catalogue / Roberto L. Bruni, D. Wyn Evans.</t>
  </si>
  <si>
    <t>Bruni, Roberto L.</t>
  </si>
  <si>
    <t>[Firenze] : L.S. Olschki, 1997.</t>
  </si>
  <si>
    <t>Biblioteca di bibliografia italiana, 0067-7418 ; 144</t>
  </si>
  <si>
    <t>2016-03-21</t>
  </si>
  <si>
    <t>808047374:eng</t>
  </si>
  <si>
    <t>36998628</t>
  </si>
  <si>
    <t>ocm36998628</t>
  </si>
  <si>
    <t>3101825208D</t>
  </si>
  <si>
    <t>9788822244734</t>
  </si>
  <si>
    <t>793489543</t>
  </si>
  <si>
    <t>Z2342 S5x</t>
  </si>
  <si>
    <t>0                      Z  2342000S  5x</t>
  </si>
  <si>
    <t>Short title catalog of books printed in Italy and of books in Italian printed abroad, 1501-1600, held in selected North American libraries. [Robert G. Marshall, editor].</t>
  </si>
  <si>
    <t>v.1 (A-F)</t>
  </si>
  <si>
    <t>Marshall, Robert G.</t>
  </si>
  <si>
    <t>Boston, G.K. Hall, 1970.</t>
  </si>
  <si>
    <t>788222:eng</t>
  </si>
  <si>
    <t>861825</t>
  </si>
  <si>
    <t>ocm00861825</t>
  </si>
  <si>
    <t>3000960749S</t>
  </si>
  <si>
    <t>791489517</t>
  </si>
  <si>
    <t>v.3 (Q-Z)</t>
  </si>
  <si>
    <t>31008730194</t>
  </si>
  <si>
    <t>791489515</t>
  </si>
  <si>
    <t>v.2 (G-P)</t>
  </si>
  <si>
    <t>31008730291</t>
  </si>
  <si>
    <t>791489516</t>
  </si>
  <si>
    <t>Z2354 T7 H434 2011</t>
  </si>
  <si>
    <t>0                      Z  2354000T  7                  H  434         2011</t>
  </si>
  <si>
    <t>Italian literature before 1900 in English translation : an annotated bibliography, 1929-2008 / Robin Healey.</t>
  </si>
  <si>
    <t>Healey, Robin, 1942-</t>
  </si>
  <si>
    <t>Toronto : University of Toronto Press, [2011]</t>
  </si>
  <si>
    <t>783214246:eng</t>
  </si>
  <si>
    <t>701243950</t>
  </si>
  <si>
    <t>ocn701243950</t>
  </si>
  <si>
    <t>3103325772Z</t>
  </si>
  <si>
    <t>9781442642690</t>
  </si>
  <si>
    <t>794862737</t>
  </si>
  <si>
    <t>Z2354 T7 H4346 2019</t>
  </si>
  <si>
    <t>0                      Z  2354000T  7                  H  4346        2019</t>
  </si>
  <si>
    <t>Italian literature since 1900 in English translation : an annotated bibliography, 1929-2016 / Robin Healey.</t>
  </si>
  <si>
    <t>Healey, Robin, 1942- author.</t>
  </si>
  <si>
    <t>Toronto ; Buffalo ; London : University of Toronto Press, [2019]</t>
  </si>
  <si>
    <t>5558437786:eng</t>
  </si>
  <si>
    <t>1065721560</t>
  </si>
  <si>
    <t>on1065721560</t>
  </si>
  <si>
    <t>3103819507A</t>
  </si>
  <si>
    <t>9781487502928</t>
  </si>
  <si>
    <t>795066570</t>
  </si>
  <si>
    <t>Z2354 T7 T685 2009</t>
  </si>
  <si>
    <t>0                      Z  2354000T  7                  T  685         2009</t>
  </si>
  <si>
    <t>Les traductions de l'italien en français au XVIème siècle / Jean Balsamo, Vito Castiglione Minischetti, Giovanni Dotoli.</t>
  </si>
  <si>
    <t>Balsamo, Jean.</t>
  </si>
  <si>
    <t>Fasano (Br-Italia) : Schena ; Paris, France : Presses de l'Université de Paris-Sorbonne, ©2009.</t>
  </si>
  <si>
    <t>Bibliothèque des traductions de l'italien en français du XVIe au XXe siècle ; v. 4</t>
  </si>
  <si>
    <t>4495049747:fre</t>
  </si>
  <si>
    <t>421806605</t>
  </si>
  <si>
    <t>ocn421806605</t>
  </si>
  <si>
    <t>31032249448</t>
  </si>
  <si>
    <t>9788882298043</t>
  </si>
  <si>
    <t>794504854</t>
  </si>
  <si>
    <t>Z2357 M46 2004</t>
  </si>
  <si>
    <t>0                      Z  2357000M  46          2004</t>
  </si>
  <si>
    <t>Les villes italiennes : XIIe-XIVe siècle : enjeux historiographiques, méthodologie, bibliographie commentée / François Menant.</t>
  </si>
  <si>
    <t>Menant, François, 1948-</t>
  </si>
  <si>
    <t>Paris : A. Colin, ©2004.</t>
  </si>
  <si>
    <t>Guide pour les concours . Histoire médiévale</t>
  </si>
  <si>
    <t>351544659:fre</t>
  </si>
  <si>
    <t>57765883</t>
  </si>
  <si>
    <t>ocm57765883</t>
  </si>
  <si>
    <t>3102887449Q</t>
  </si>
  <si>
    <t>9782200267667</t>
  </si>
  <si>
    <t>793919098</t>
  </si>
  <si>
    <t>Z2357.5 M37 1999</t>
  </si>
  <si>
    <t>0                      Z  2357500M  37          1999</t>
  </si>
  <si>
    <t>Grand tour diaries and other travel manuscripts in the James Marshall and Marie-Louise Osborn collection / John Marciari.</t>
  </si>
  <si>
    <t>Marciari, John.</t>
  </si>
  <si>
    <t>New Haven, Conn. : Beinecke Rare Book &amp; Manuscript Library, 1999.</t>
  </si>
  <si>
    <t>Yale University Library gazette. Occasional supplement, 0044-0175 ; 2</t>
  </si>
  <si>
    <t>25954186:eng</t>
  </si>
  <si>
    <t>40534892</t>
  </si>
  <si>
    <t>ocm40534892</t>
  </si>
  <si>
    <t>31035386935</t>
  </si>
  <si>
    <t>9780845731338</t>
  </si>
  <si>
    <t>793569280</t>
  </si>
  <si>
    <t>Z2357.5 M58</t>
  </si>
  <si>
    <t>0                      Z  2357500M  58</t>
  </si>
  <si>
    <t>Italian civic pageantry in the High Renaissance : a descriptive bibliography of triumphal entries and selected other festivals for state occasions / Bonner Mitchell.</t>
  </si>
  <si>
    <t>Mitchell, Bonner.</t>
  </si>
  <si>
    <t>Firenze : L.S. Olschki, 1979.</t>
  </si>
  <si>
    <t>Biblioteca di bibliografia italiana ; 89</t>
  </si>
  <si>
    <t>795200633:eng</t>
  </si>
  <si>
    <t>5355831</t>
  </si>
  <si>
    <t>ocm05355831</t>
  </si>
  <si>
    <t>3000955953A</t>
  </si>
  <si>
    <t>9788822228413</t>
  </si>
  <si>
    <t>792427794</t>
  </si>
  <si>
    <t>Z2364 F6 B4 1984</t>
  </si>
  <si>
    <t>0                      Z  2364000F  6                  B  4           1984</t>
  </si>
  <si>
    <t>Les livres des Florentins (1413-1608) / Christian Bec.</t>
  </si>
  <si>
    <t>Bec, Christian.</t>
  </si>
  <si>
    <t>Firenze : L.S. Olschki, 1984.</t>
  </si>
  <si>
    <t>Biblioteca di "Lettere italiane" ; 29</t>
  </si>
  <si>
    <t>350800346:fre</t>
  </si>
  <si>
    <t>11311878</t>
  </si>
  <si>
    <t>ocm11311878</t>
  </si>
  <si>
    <t>3000952637Z</t>
  </si>
  <si>
    <t>9788822232427</t>
  </si>
  <si>
    <t>792768099</t>
  </si>
  <si>
    <t>Z2364 S5 E9 2011</t>
  </si>
  <si>
    <t>0                      Z  2364000S  5                  E  9           2011</t>
  </si>
  <si>
    <t>Bibliografia siciliana, 1938-1953 / Nicolò Domenico Evola ; a cura di Giuseppe D'Anna, Maria Isabella Evola.</t>
  </si>
  <si>
    <t>Evola, Niccolò Domenico, 1883-1967.</t>
  </si>
  <si>
    <t>Palermo : ILA Palma, 2011.</t>
  </si>
  <si>
    <t>2. ed.</t>
  </si>
  <si>
    <t>474514322:ita</t>
  </si>
  <si>
    <t>785335382</t>
  </si>
  <si>
    <t>ocn785335382</t>
  </si>
  <si>
    <t>3103483476G</t>
  </si>
  <si>
    <t>794914795</t>
  </si>
  <si>
    <t>Z2367 B7 P75 2011</t>
  </si>
  <si>
    <t>0                      Z  2367000B  7                  P  75          2011</t>
  </si>
  <si>
    <t>Florence in the Nineteenth century : a guide to original sources in Florentine archives and libraries for researchers into the English-speaking community / by Alyson Price.</t>
  </si>
  <si>
    <t>Price, Alyson.</t>
  </si>
  <si>
    <t>[Florence, Italy] : Centro Di for the British Institute of Florence, ©2011.</t>
  </si>
  <si>
    <t>1066254346:eng</t>
  </si>
  <si>
    <t>769185618</t>
  </si>
  <si>
    <t>ocn769185618</t>
  </si>
  <si>
    <t>3103556647D</t>
  </si>
  <si>
    <t>9788870384437</t>
  </si>
  <si>
    <t>794903084</t>
  </si>
  <si>
    <t>Z2402 N4 2011</t>
  </si>
  <si>
    <t>0                      Z  2402000N  4           2011</t>
  </si>
  <si>
    <t>Netherlandish books : books published in the Low Countries and Dutch books published abroad before 1601 / edited by Andrew Pettegree, Malcolm Walsby.</t>
  </si>
  <si>
    <t>4919806570:eng</t>
  </si>
  <si>
    <t>667990359</t>
  </si>
  <si>
    <t>ocn667990359</t>
  </si>
  <si>
    <t>3103436918Q</t>
  </si>
  <si>
    <t>9789004195905</t>
  </si>
  <si>
    <t>794845791</t>
  </si>
  <si>
    <t>3103436939M</t>
  </si>
  <si>
    <t>794845790</t>
  </si>
  <si>
    <t>Z2483 M27 1988</t>
  </si>
  <si>
    <t>0                      Z  2483000M  27          1988</t>
  </si>
  <si>
    <t>Carpatho-Rusyn studies : an annotated bibliography / Paul Robert Magocsi.</t>
  </si>
  <si>
    <t>Magocsi, Paul R.</t>
  </si>
  <si>
    <t>New York : Garland, 1988-&lt;2012&gt;</t>
  </si>
  <si>
    <t>V. 1: Garland reference library of the humanities ; vol. 824</t>
  </si>
  <si>
    <t>289688046:eng</t>
  </si>
  <si>
    <t>16983666</t>
  </si>
  <si>
    <t>ocm16983666</t>
  </si>
  <si>
    <t>3102432180M</t>
  </si>
  <si>
    <t>9780824012144</t>
  </si>
  <si>
    <t>792979583</t>
  </si>
  <si>
    <t>30009647854</t>
  </si>
  <si>
    <t>792979584</t>
  </si>
  <si>
    <t>3102880305S</t>
  </si>
  <si>
    <t>792979582</t>
  </si>
  <si>
    <t>Z2491 N435</t>
  </si>
  <si>
    <t>0                      Z  2491000N  435</t>
  </si>
  <si>
    <t>To Russia and return, an annotated bibliography of travelers' English-language accounts of Russia from the ninth century to the present. Compiled by Harry W. Nerhood.</t>
  </si>
  <si>
    <t>Nerhood, Harry W., 1910-</t>
  </si>
  <si>
    <t>[Columbus] Ohio State University Press [1968]</t>
  </si>
  <si>
    <t>290029864:eng</t>
  </si>
  <si>
    <t>212</t>
  </si>
  <si>
    <t>ocm00000212</t>
  </si>
  <si>
    <t>3000960910A</t>
  </si>
  <si>
    <t>791223643</t>
  </si>
  <si>
    <t>Z2492 K57 1991</t>
  </si>
  <si>
    <t>0                      Z  2492000K  57          1991</t>
  </si>
  <si>
    <t>Kirillicheskie izdanii︠a︡ staroobri︠a︡dcheskikh tipografiĭ kont︠s︡a XVIII-nachala XIX veka : katalog / sostavitelʹ A.V. Voznesenskiĭ.</t>
  </si>
  <si>
    <t>Leningrad : Izd-vo Leningradskogo universiteta, 1991.</t>
  </si>
  <si>
    <t>118168287:rus</t>
  </si>
  <si>
    <t>25192538</t>
  </si>
  <si>
    <t>ocm25192538</t>
  </si>
  <si>
    <t>3101210674K</t>
  </si>
  <si>
    <t>9785288004711</t>
  </si>
  <si>
    <t>793213989</t>
  </si>
  <si>
    <t>Z2503 L59 2010</t>
  </si>
  <si>
    <t>0                      Z  2503000L  59          2010</t>
  </si>
  <si>
    <t>Russian émigrés in the intellectual and literary life of interwar France : a bibliographical essay / Leonid Livak.</t>
  </si>
  <si>
    <t>Livak, Leonid, author.</t>
  </si>
  <si>
    <t>Montreal : McGill-Queen's University Press, [2010]</t>
  </si>
  <si>
    <t>796423554:eng</t>
  </si>
  <si>
    <t>495781769</t>
  </si>
  <si>
    <t>ocn495781769</t>
  </si>
  <si>
    <t>3103073378B</t>
  </si>
  <si>
    <t>9780773537231</t>
  </si>
  <si>
    <t>794802062</t>
  </si>
  <si>
    <t>Z2510 S57 2003</t>
  </si>
  <si>
    <t>0                      Z  2510000S  57          2003</t>
  </si>
  <si>
    <t>The Russian Revolution and civil war, 1917-1921 : an annotated bibliography / compiled, edited and annotated by Jonathan D. Smele.</t>
  </si>
  <si>
    <t>Smele, Jon.</t>
  </si>
  <si>
    <t>London ; New York : Continuum, 2003.</t>
  </si>
  <si>
    <t>1024335:eng</t>
  </si>
  <si>
    <t>49760637</t>
  </si>
  <si>
    <t>ocm49760637</t>
  </si>
  <si>
    <t>31023402067</t>
  </si>
  <si>
    <t>9780826456182</t>
  </si>
  <si>
    <t>793747301</t>
  </si>
  <si>
    <t>Z2517 U44 K54 2010</t>
  </si>
  <si>
    <t>0                      Z  2517000U  44                 K  54          2010</t>
  </si>
  <si>
    <t>Through foreign latitudes &amp; unknown tomorrows : three hundred years of Ukrainian émigré political culture : exhibition &amp; catalogue / by Ksenya Kiebuzinski.</t>
  </si>
  <si>
    <t>Kiebuzinski, Ksenya.</t>
  </si>
  <si>
    <t>Toronto : University of Toronto Library, 2010.</t>
  </si>
  <si>
    <t>4030696861:eng</t>
  </si>
  <si>
    <t>665192551</t>
  </si>
  <si>
    <t>ocn665192551</t>
  </si>
  <si>
    <t>3103267669I</t>
  </si>
  <si>
    <t>9780772760838</t>
  </si>
  <si>
    <t>794844737</t>
  </si>
  <si>
    <t>Z2526 D3x</t>
  </si>
  <si>
    <t>0                      Z  2526000D  3x</t>
  </si>
  <si>
    <t>Poland, past and present : a select bibliography of works in English / by Norman Davies.</t>
  </si>
  <si>
    <t>Davies, Norman, 1939-</t>
  </si>
  <si>
    <t>Newtonville, Mass. : Oriental Research Partners, 1977.</t>
  </si>
  <si>
    <t>[Russian bibliography series ; 1]</t>
  </si>
  <si>
    <t>910318119:eng</t>
  </si>
  <si>
    <t>3105176</t>
  </si>
  <si>
    <t>ocm03105176</t>
  </si>
  <si>
    <t>3000956604U</t>
  </si>
  <si>
    <t>9780892500109</t>
  </si>
  <si>
    <t>792217994</t>
  </si>
  <si>
    <t>Z2556 W64 2013</t>
  </si>
  <si>
    <t>0                      Z  2556000W  64          2013</t>
  </si>
  <si>
    <t>The legends of the saints in Old Norse-Icelandic prose / Kirsten Wolf.</t>
  </si>
  <si>
    <t>Wolf, Kirsten, 1959- author.</t>
  </si>
  <si>
    <t>Toronto ; Buffalo : University of Toronto Press, [2013]</t>
  </si>
  <si>
    <t>Toronto Old Norse-Icelandic studies ; 6</t>
  </si>
  <si>
    <t>1209057549:eng</t>
  </si>
  <si>
    <t>824604938</t>
  </si>
  <si>
    <t>ocn824604938</t>
  </si>
  <si>
    <t>31034929662</t>
  </si>
  <si>
    <t>9781442646216</t>
  </si>
  <si>
    <t>794937980</t>
  </si>
  <si>
    <t>Z2682 I24 2010</t>
  </si>
  <si>
    <t>0                      Z  2682000I  24          2010</t>
  </si>
  <si>
    <t>Iberian books = Libros ibéricos / edited by Alexander S. Wilkinson.</t>
  </si>
  <si>
    <t>Leiden ; Boston : Brill, 2010-</t>
  </si>
  <si>
    <t>2996129369:eng</t>
  </si>
  <si>
    <t>948629100</t>
  </si>
  <si>
    <t>ocn948629100</t>
  </si>
  <si>
    <t>3103240430V</t>
  </si>
  <si>
    <t>9789004170278</t>
  </si>
  <si>
    <t>795015666</t>
  </si>
  <si>
    <t>Z2692 A25</t>
  </si>
  <si>
    <t>0                      Z  2692000A  25</t>
  </si>
  <si>
    <t>Bibliografía de autores españoles del siglo XVIII / Francisco Aguilar Piñal.</t>
  </si>
  <si>
    <t>Aguilar Piñal, Francisco.</t>
  </si>
  <si>
    <t>Madrid : Consejo Superior de Investigaciones Científicas, Instituto "Miguel de Cervantes", 1981-&lt;2001&gt;</t>
  </si>
  <si>
    <t>8881147205:spa</t>
  </si>
  <si>
    <t>8663696</t>
  </si>
  <si>
    <t>ocm08663696</t>
  </si>
  <si>
    <t>3000951129M</t>
  </si>
  <si>
    <t>9788400053178</t>
  </si>
  <si>
    <t>792633575</t>
  </si>
  <si>
    <t>T. 10</t>
  </si>
  <si>
    <t>3102209158R</t>
  </si>
  <si>
    <t>792633566</t>
  </si>
  <si>
    <t>T. 8</t>
  </si>
  <si>
    <t>3101570402X</t>
  </si>
  <si>
    <t>792633568</t>
  </si>
  <si>
    <t>3100870955G</t>
  </si>
  <si>
    <t>792633571</t>
  </si>
  <si>
    <t>3100870945J</t>
  </si>
  <si>
    <t>792633574</t>
  </si>
  <si>
    <t>T. 9</t>
  </si>
  <si>
    <t>31020476758</t>
  </si>
  <si>
    <t>792633567</t>
  </si>
  <si>
    <t>3103735939X</t>
  </si>
  <si>
    <t>792633570</t>
  </si>
  <si>
    <t>3100870953K</t>
  </si>
  <si>
    <t>792633573</t>
  </si>
  <si>
    <t>T. 7</t>
  </si>
  <si>
    <t>3101464056J</t>
  </si>
  <si>
    <t>792633569</t>
  </si>
  <si>
    <t>3100870954I</t>
  </si>
  <si>
    <t>792633572</t>
  </si>
  <si>
    <t>Z2693 A39</t>
  </si>
  <si>
    <t>0                      Z  2693000A  39</t>
  </si>
  <si>
    <t>Bibliografía fundamental de la literatura española : siglo XVIII / Francisco Aguilar Piñal.</t>
  </si>
  <si>
    <t>Madrid : Sociedad General Española de Librería, ©1976.</t>
  </si>
  <si>
    <t>Colección Temas ; no. 7</t>
  </si>
  <si>
    <t>259926659:spa</t>
  </si>
  <si>
    <t>2991491</t>
  </si>
  <si>
    <t>ocm02991491</t>
  </si>
  <si>
    <t>3000954330E</t>
  </si>
  <si>
    <t>9788471431004</t>
  </si>
  <si>
    <t>792203733</t>
  </si>
  <si>
    <t>Z2694 M98 H45 2004</t>
  </si>
  <si>
    <t>0                      Z  2694000M  98                 H  45          2004</t>
  </si>
  <si>
    <t>Muwaššaḥ, zajal, kharja : bibliography of strophic poetry and music from al-Andalus and their influence in East and West / by Henk Heijkoop and Otto Zwartjes.</t>
  </si>
  <si>
    <t>Heijkoop, Henk.</t>
  </si>
  <si>
    <t>Leiden ; Boston : Brill, 2004.</t>
  </si>
  <si>
    <t>The medieval and early modern Iberian world, 1569-1934 ; v. 21</t>
  </si>
  <si>
    <t>905849892:eng</t>
  </si>
  <si>
    <t>54462042</t>
  </si>
  <si>
    <t>ocm54462042</t>
  </si>
  <si>
    <t>31024571078</t>
  </si>
  <si>
    <t>9789004138223</t>
  </si>
  <si>
    <t>793862356</t>
  </si>
  <si>
    <t>Z2695 A2 B53 2012</t>
  </si>
  <si>
    <t>0                      Z  2695000A  2                  B  53          2012</t>
  </si>
  <si>
    <t>Bibliografia cronologica de la linguistica, la gramatica y la lexicografia del español (BICRES IV) : desde el ano 1801 hasta el Ano 1860 / Miguel Angel Esparza Torres, Hans-Josef Niederehe ; con la colaboración de Adrian Alvarez Fernandez [and others].</t>
  </si>
  <si>
    <t>Amsterdam : John Benjamins, ©2012.</t>
  </si>
  <si>
    <t>Studies in the history of language sciences ; v. 118</t>
  </si>
  <si>
    <t>5218944004:spa</t>
  </si>
  <si>
    <t>780332030</t>
  </si>
  <si>
    <t>ocn780332030</t>
  </si>
  <si>
    <t>3103437933I</t>
  </si>
  <si>
    <t>9789027246097</t>
  </si>
  <si>
    <t>794911962</t>
  </si>
  <si>
    <t>Z2695 A2 E87 2015</t>
  </si>
  <si>
    <t>0                      Z  2695000A  2                  E  87          2015</t>
  </si>
  <si>
    <t>Bibliografía cronológica de la lingüística, la gramática y la lexicografía del español (BICRES V). Desde el año 1861 hasta el año 1899. Miguel Ángel Esparza Torres; Hans-Josef Niederehe.</t>
  </si>
  <si>
    <t>Esparza Torres, Miguel Ángel.</t>
  </si>
  <si>
    <t>Amsterdam : John Benjamins B.V. 2015.</t>
  </si>
  <si>
    <t>Studies in the History of the Language Sciences 124</t>
  </si>
  <si>
    <t>5342948307:spa</t>
  </si>
  <si>
    <t>922681276</t>
  </si>
  <si>
    <t>ocn922681276</t>
  </si>
  <si>
    <t>3103640042W</t>
  </si>
  <si>
    <t>9789027246158</t>
  </si>
  <si>
    <t>795004021</t>
  </si>
  <si>
    <t>Z2711 L35 2000</t>
  </si>
  <si>
    <t>0                      Z  2711000L  35          2000</t>
  </si>
  <si>
    <t>Portugal / John Laidlar.</t>
  </si>
  <si>
    <t>Laidlar, John.</t>
  </si>
  <si>
    <t>Oxford : Clio, ©2000.</t>
  </si>
  <si>
    <t>World bibliographical series ; v. 71</t>
  </si>
  <si>
    <t>2491947670:eng</t>
  </si>
  <si>
    <t>43418083</t>
  </si>
  <si>
    <t>ocm43418083</t>
  </si>
  <si>
    <t>3102047671G</t>
  </si>
  <si>
    <t>9781851093311</t>
  </si>
  <si>
    <t>793626254</t>
  </si>
  <si>
    <t>Z2734 L5 L35 1997</t>
  </si>
  <si>
    <t>0                      Z  2734000L  5                  L  35          1997</t>
  </si>
  <si>
    <t>Lisbon / John Laidlar, compiler.</t>
  </si>
  <si>
    <t>Oxford ; Santa Barbara, Calif. : Clio Press, ©1997.</t>
  </si>
  <si>
    <t>World bibliographical series ; v. 199</t>
  </si>
  <si>
    <t>143677099:eng</t>
  </si>
  <si>
    <t>37915923</t>
  </si>
  <si>
    <t>ocm37915923</t>
  </si>
  <si>
    <t>3101825616Z</t>
  </si>
  <si>
    <t>9781851092680</t>
  </si>
  <si>
    <t>793510015</t>
  </si>
  <si>
    <t>Z2956 F75 1993</t>
  </si>
  <si>
    <t>0                      Z  2956000F  75          1993</t>
  </si>
  <si>
    <t>Yugoslavia : a comprehensive English-language bibliography / compiled and edited by Francine Friedman.</t>
  </si>
  <si>
    <t>Friedman, Francine, 1948-</t>
  </si>
  <si>
    <t>Wilmington, Del. : Scholarly Resources, 1993.</t>
  </si>
  <si>
    <t>1026726:eng</t>
  </si>
  <si>
    <t>27035807</t>
  </si>
  <si>
    <t>ocm27035807</t>
  </si>
  <si>
    <t>3101273096K</t>
  </si>
  <si>
    <t>9780842023405</t>
  </si>
  <si>
    <t>793257648</t>
  </si>
  <si>
    <t>Z3001 H356 2013</t>
  </si>
  <si>
    <t>0                      Z  3001000H  356         2013</t>
  </si>
  <si>
    <t>Handbook for Asian studies specialists : a guide to research materials and collection building tools / Noriko Asato, editor.</t>
  </si>
  <si>
    <t>1411448015:eng</t>
  </si>
  <si>
    <t>856578970</t>
  </si>
  <si>
    <t>ocn856578970</t>
  </si>
  <si>
    <t>3103505004V</t>
  </si>
  <si>
    <t>9781598848427</t>
  </si>
  <si>
    <t>794954296</t>
  </si>
  <si>
    <t>Z3001 K38</t>
  </si>
  <si>
    <t>0                      Z  3001000K  38</t>
  </si>
  <si>
    <t>Northeastern Asia, a selected bibliography; contributions to the bibliography of the relations of China, Russia, and Japan, with special reference to Korea, Manchuria, Mongolia, and eastern Siberia, in Oriental and European languages.</t>
  </si>
  <si>
    <t>Kerner, Robert Joseph, 1887-1956.</t>
  </si>
  <si>
    <t>Berkeley, Calif., University of California Press, 1939.</t>
  </si>
  <si>
    <t>Publications of the Northeastern Asia seminar of the University of California; ed. by R.J. Kerner</t>
  </si>
  <si>
    <t>1126237:eng</t>
  </si>
  <si>
    <t>1070104</t>
  </si>
  <si>
    <t>ocm01070104</t>
  </si>
  <si>
    <t>3000955042E</t>
  </si>
  <si>
    <t>791538386</t>
  </si>
  <si>
    <t>3100889177O</t>
  </si>
  <si>
    <t>791538385</t>
  </si>
  <si>
    <t>Z3013 D67</t>
  </si>
  <si>
    <t>0                      Z  3013000D  67</t>
  </si>
  <si>
    <t>A bibliography of articles on the Middle East, 1959-1967, compiled by Uri Dotan, edited by Avigdor Levy.</t>
  </si>
  <si>
    <t>Dotan, Uri.</t>
  </si>
  <si>
    <t>Tel Aviv : Tel Aviv University, Shiloah Center for Middle Eastern and African Studies, 1970.</t>
  </si>
  <si>
    <t>Shiloah Center teaching and research aids, 2</t>
  </si>
  <si>
    <t>347850089:eng</t>
  </si>
  <si>
    <t>427314890</t>
  </si>
  <si>
    <t>ocn427314890</t>
  </si>
  <si>
    <t>3000953774K</t>
  </si>
  <si>
    <t>794584664</t>
  </si>
  <si>
    <t>Z3026 C58</t>
  </si>
  <si>
    <t>0                      Z  3026000C  58</t>
  </si>
  <si>
    <t>Saudi Arabia / Frank A. Clements.</t>
  </si>
  <si>
    <t>Clements, Frank, 1942-</t>
  </si>
  <si>
    <t>Oxford, England ; Santa Barbara, Calif. : Clio Press, ©1979.</t>
  </si>
  <si>
    <t>World bibliographical series ; v. 5</t>
  </si>
  <si>
    <t>1063341:eng</t>
  </si>
  <si>
    <t>5382313</t>
  </si>
  <si>
    <t>ocm05382313</t>
  </si>
  <si>
    <t>3000955959Z</t>
  </si>
  <si>
    <t>9780903450157</t>
  </si>
  <si>
    <t>792429414</t>
  </si>
  <si>
    <t>Z3026 P4 1984</t>
  </si>
  <si>
    <t>0                      Z  3026000P  4           1984</t>
  </si>
  <si>
    <t>Saudi Arabia : bibliography on society, politics, economics = Saudi-Arabien : Bibliographie zu Gesellschaft, Politik, Wirtschaft : Literatur seit dem 18. Jahrhundert in westeuropäischen Sprachen mit Standortnachweisen / Hans-Jürgen Philipp.</t>
  </si>
  <si>
    <t>Philipp, Hans-Jürgen.</t>
  </si>
  <si>
    <t>München ; New York : Saur, 1984.</t>
  </si>
  <si>
    <t>Bibliographies on regional geography and area studies = Bibliographien zur regionalen Geographie und Landeskunde ; 4</t>
  </si>
  <si>
    <t>4417640338:ger</t>
  </si>
  <si>
    <t>213789240</t>
  </si>
  <si>
    <t>ocn213789240</t>
  </si>
  <si>
    <t>30009520121</t>
  </si>
  <si>
    <t>9783598211348</t>
  </si>
  <si>
    <t>794311298</t>
  </si>
  <si>
    <t>Z3028 B34 1984</t>
  </si>
  <si>
    <t>0                      Z  3028000B  34          1984</t>
  </si>
  <si>
    <t>Bahrain / P.T.H. Unwin, compiler.</t>
  </si>
  <si>
    <t>Unwin, P. T. H.</t>
  </si>
  <si>
    <t>Oxford, England ; Santa Barbara, Calif. : Clio Press, ©1984.</t>
  </si>
  <si>
    <t>World bibliographical series ; v. 49</t>
  </si>
  <si>
    <t>1038278:eng</t>
  </si>
  <si>
    <t>11412633</t>
  </si>
  <si>
    <t>ocm11412633</t>
  </si>
  <si>
    <t>3000952198Z</t>
  </si>
  <si>
    <t>9780903450867</t>
  </si>
  <si>
    <t>792772613</t>
  </si>
  <si>
    <t>Z3028 K87 C5 1996</t>
  </si>
  <si>
    <t>0                      Z  3028000K  87                 C  5           1996</t>
  </si>
  <si>
    <t>Kuwait / Frank A. Clements, compiler.</t>
  </si>
  <si>
    <t>World bibliographical series ; v. 56</t>
  </si>
  <si>
    <t>1063464:eng</t>
  </si>
  <si>
    <t>35330145</t>
  </si>
  <si>
    <t>ocm35330145</t>
  </si>
  <si>
    <t>31015957550</t>
  </si>
  <si>
    <t>9781851092123</t>
  </si>
  <si>
    <t>793449688</t>
  </si>
  <si>
    <t>Z3075 F3817 2011</t>
  </si>
  <si>
    <t>0                      Z  3075000F  3817        2011</t>
  </si>
  <si>
    <t>Ispolʹzovanie nauchnykh issledovaniĭ dli︠a︡ prodvizhenii︠a︡ gramotnosti i chtenii︠a︡ v bibliotekakh : rukovodstvo dli︠a︡ bibliotekareĭ / podgotovleno Lesli Farmer i Ivankoĭ Strit︠s︡evich ; translated into Russian by Olga Andreeva and Anastasia Rossinskaya.</t>
  </si>
  <si>
    <t>The Hague : IFLA Headquarters, [2011]</t>
  </si>
  <si>
    <t>IFLA Professionalʹnye doklady / Mezhdunarodnai︠a︡ Federat︠s︡ii︠a︡ Bibliotechnykh Assot︠s︡iat︠s︡iĭ i organizat︠s︡iĭ ; No. 128</t>
  </si>
  <si>
    <t>1441116873:rus</t>
  </si>
  <si>
    <t>864681874</t>
  </si>
  <si>
    <t>ocn864681874</t>
  </si>
  <si>
    <t>3103515886N</t>
  </si>
  <si>
    <t>9789077897515</t>
  </si>
  <si>
    <t>794962223</t>
  </si>
  <si>
    <t>Z3101 A2 Y8 1975</t>
  </si>
  <si>
    <t>0                      Z  3101000A  2                  Y  8           1975</t>
  </si>
  <si>
    <t>Mu lu xue fa wei / Yu Jiaxi zhu.</t>
  </si>
  <si>
    <t>Yu, Jiaxi.</t>
  </si>
  <si>
    <t>Xianggang Jiulong : Zhonghua shu ju, 1975.</t>
  </si>
  <si>
    <t>8907539883:chi</t>
  </si>
  <si>
    <t>23324577</t>
  </si>
  <si>
    <t>ocm23324577</t>
  </si>
  <si>
    <t>31022638530</t>
  </si>
  <si>
    <t>793167719</t>
  </si>
  <si>
    <t>Z3101 B35 2002</t>
  </si>
  <si>
    <t>0                      Z  3101000B  35          2002</t>
  </si>
  <si>
    <t>Harbin Russian imprints : bibliography as history, 1898-1961 : materials for a definitive bibliography / Olga Bakich.</t>
  </si>
  <si>
    <t>Bakich, Olʹga Mikhaĭlovna.</t>
  </si>
  <si>
    <t>New York : Norman Ross, ©2002.</t>
  </si>
  <si>
    <t>2018-02-22</t>
  </si>
  <si>
    <t>323147841:eng</t>
  </si>
  <si>
    <t>47739704</t>
  </si>
  <si>
    <t>ocm47739704</t>
  </si>
  <si>
    <t>3102253540G</t>
  </si>
  <si>
    <t>9780883543863</t>
  </si>
  <si>
    <t>793706788</t>
  </si>
  <si>
    <t>Z3101 H75 v.20</t>
  </si>
  <si>
    <t>0                      Z  3101000H  75                                                      v.20</t>
  </si>
  <si>
    <t>Shang shu da zhuan zhu zi suo yin = A Concordance to the Shangshudazhuan / [ben shu bian ji Liu Dianjue ; He Zhihua zhi xing bian ji].</t>
  </si>
  <si>
    <t>v.20*</t>
  </si>
  <si>
    <t>Xianggang : Shang wu yin shu guan, 1994.</t>
  </si>
  <si>
    <t>Xianggang Zhong wen da xue Zhongguo wen hua yan jiu suo xian Qin liang Han gu ji zhu zi suo yin cong kan. Jing bu ; di 5 zhong = Chinese University of Hong Kong Institute of Chinese Studies the ICS ancient Chinese text concordance series. Classical work ; no. 5</t>
  </si>
  <si>
    <t>2017-05-11</t>
  </si>
  <si>
    <t>3891168356:chi</t>
  </si>
  <si>
    <t>31629840</t>
  </si>
  <si>
    <t>ocm31629840</t>
  </si>
  <si>
    <t>3102803305J</t>
  </si>
  <si>
    <t>9789620742552</t>
  </si>
  <si>
    <t>793364774</t>
  </si>
  <si>
    <t>Z3101 H834 2012</t>
  </si>
  <si>
    <t>0                      Z  3101000H  834         2012</t>
  </si>
  <si>
    <t>Gu ji zheng li yan jiu / Hu Daojing zhu.</t>
  </si>
  <si>
    <t>Hu, Daojing.</t>
  </si>
  <si>
    <t>Shanghai : Shanghai ren min chu ban she, 2011.</t>
  </si>
  <si>
    <t>Hu Daojing wen ji</t>
  </si>
  <si>
    <t>1061042599:chi</t>
  </si>
  <si>
    <t>768304390</t>
  </si>
  <si>
    <t>ocn768304390</t>
  </si>
  <si>
    <t>3103466151R</t>
  </si>
  <si>
    <t>9787208103443</t>
  </si>
  <si>
    <t>794902208</t>
  </si>
  <si>
    <t>Z3101 S86 1999</t>
  </si>
  <si>
    <t>0                      Z  3101000S  86          1999</t>
  </si>
  <si>
    <t>Fan shu ou ji : fu xu bian / Sun Dianqi zhuan.</t>
  </si>
  <si>
    <t>Sun, Dianqi, 1894-1958.</t>
  </si>
  <si>
    <t>Shanghai : Shanghai gu ji chu ban she, 1999.</t>
  </si>
  <si>
    <t>2908986124:chi</t>
  </si>
  <si>
    <t>43898993</t>
  </si>
  <si>
    <t>ocm43898993</t>
  </si>
  <si>
    <t>3102129454J</t>
  </si>
  <si>
    <t>9787532523283</t>
  </si>
  <si>
    <t>793638141</t>
  </si>
  <si>
    <t>Z3101 Z463 2010</t>
  </si>
  <si>
    <t>0                      Z  3101000Z  463         2010</t>
  </si>
  <si>
    <t>Zhongguo gu ji zong mu. Zi bu / Zhongguo gu ji zong mu bian zuan wei yuan hui bian.</t>
  </si>
  <si>
    <t>Beijing : Zhonghua shu ju ; Shanghai : Shanghai gu ji chu ban she, 2010.</t>
  </si>
  <si>
    <t>2046464070:chi</t>
  </si>
  <si>
    <t>778339101</t>
  </si>
  <si>
    <t>ocn778339101</t>
  </si>
  <si>
    <t>3103473143$</t>
  </si>
  <si>
    <t>9787532557806</t>
  </si>
  <si>
    <t>794909677</t>
  </si>
  <si>
    <t>3103473144$</t>
  </si>
  <si>
    <t>794909676</t>
  </si>
  <si>
    <t>3103473142$</t>
  </si>
  <si>
    <t>794909678</t>
  </si>
  <si>
    <t>3103473147$</t>
  </si>
  <si>
    <t>794909673</t>
  </si>
  <si>
    <t>3103473145$</t>
  </si>
  <si>
    <t>794909675</t>
  </si>
  <si>
    <t>3103473148$</t>
  </si>
  <si>
    <t>794909672</t>
  </si>
  <si>
    <t>3103473146$</t>
  </si>
  <si>
    <t>794909674</t>
  </si>
  <si>
    <t>Z3101 Z464 2012</t>
  </si>
  <si>
    <t>0                      Z  3101000Z  464         2012</t>
  </si>
  <si>
    <t>Zhongguo gu ji zong mu. Ji bu / Zhongguo gu ji zong mu bian zuan wei yuan hui bian.</t>
  </si>
  <si>
    <t>Beijing : Zhonghua shu ju ; Shanghai : Shanghai gu ji chu ban she, 2012.</t>
  </si>
  <si>
    <t>4132944252:chi</t>
  </si>
  <si>
    <t>805625053</t>
  </si>
  <si>
    <t>ocn805625053</t>
  </si>
  <si>
    <t>3103473955A</t>
  </si>
  <si>
    <t>9787101087116</t>
  </si>
  <si>
    <t>794926353</t>
  </si>
  <si>
    <t>3103473950A</t>
  </si>
  <si>
    <t>794926358</t>
  </si>
  <si>
    <t>3103473951A</t>
  </si>
  <si>
    <t>794926357</t>
  </si>
  <si>
    <t>3103473954A</t>
  </si>
  <si>
    <t>794926354</t>
  </si>
  <si>
    <t>3103473953A</t>
  </si>
  <si>
    <t>794926355</t>
  </si>
  <si>
    <t>3103473952A</t>
  </si>
  <si>
    <t>794926356</t>
  </si>
  <si>
    <t>3103473956A</t>
  </si>
  <si>
    <t>794926352</t>
  </si>
  <si>
    <t>Z3101 Z465 2012</t>
  </si>
  <si>
    <t>0                      Z  3101000Z  465         2012</t>
  </si>
  <si>
    <t>Zhongguo gu ji zong mu. Jing bu / Zhongguo gu ji zong mu bian zuan wei yuan hui bian.</t>
  </si>
  <si>
    <t>1150517303:chi</t>
  </si>
  <si>
    <t>805625055</t>
  </si>
  <si>
    <t>ocn805625055</t>
  </si>
  <si>
    <t>3103473949C</t>
  </si>
  <si>
    <t>9787101087604</t>
  </si>
  <si>
    <t>794926359</t>
  </si>
  <si>
    <t>3103473948C</t>
  </si>
  <si>
    <t>794926360</t>
  </si>
  <si>
    <t>Z3101 Z467 2012</t>
  </si>
  <si>
    <t>0                      Z  3101000Z  467         2012</t>
  </si>
  <si>
    <t>Zhongguo gu ji zong mu. Suo yin / Zhongguo gu ji zong mu bian zuan wei yuan hui bian.</t>
  </si>
  <si>
    <t>Shanghai : Shanghai gu ji chu ban she ; Beijing : Zhonghua shu ju, 2013.</t>
  </si>
  <si>
    <t>1823707355:chi</t>
  </si>
  <si>
    <t>854842439</t>
  </si>
  <si>
    <t>ocn854842439</t>
  </si>
  <si>
    <t>3103554692B</t>
  </si>
  <si>
    <t>9787532568567</t>
  </si>
  <si>
    <t>794952750</t>
  </si>
  <si>
    <t>3103554701Q</t>
  </si>
  <si>
    <t>794952753</t>
  </si>
  <si>
    <t>3103554764E</t>
  </si>
  <si>
    <t>794952751</t>
  </si>
  <si>
    <t>3103554765E</t>
  </si>
  <si>
    <t>794952752</t>
  </si>
  <si>
    <t>Z3102 E37 1993</t>
  </si>
  <si>
    <t>0                      Z  3102000E  37          1993</t>
  </si>
  <si>
    <t>Early Chinese texts : a bibliographical guide / edited by Michael Loewe.</t>
  </si>
  <si>
    <t>[Berkeley, Calif.] : Society for the Study of Early China : Institute of East Asian Studies, University of California, Berkeley, 1993.</t>
  </si>
  <si>
    <t>Early China special monograph series ; no. 2</t>
  </si>
  <si>
    <t>795763926:eng</t>
  </si>
  <si>
    <t>29356935</t>
  </si>
  <si>
    <t>ocm29356935</t>
  </si>
  <si>
    <t>3101410180V</t>
  </si>
  <si>
    <t>9781557290434</t>
  </si>
  <si>
    <t>793308765</t>
  </si>
  <si>
    <t>Z3102 L25 1981</t>
  </si>
  <si>
    <t>0                      Z  3102000L  25          1981</t>
  </si>
  <si>
    <t>Gu dian mu lu xue qian shuo / Lai Xinxia zhu.</t>
  </si>
  <si>
    <t>Lai, Xinxia.</t>
  </si>
  <si>
    <t>Beijing : Zhonghua shu ju : Xin hua shu dian Beijing fa xing suo fa xing, 1981</t>
  </si>
  <si>
    <t>Zhonghua shi xue cong shu</t>
  </si>
  <si>
    <t>3769157237:chi</t>
  </si>
  <si>
    <t>26171234</t>
  </si>
  <si>
    <t>ocm26171234</t>
  </si>
  <si>
    <t>31024059459</t>
  </si>
  <si>
    <t>793239273</t>
  </si>
  <si>
    <t>Z3102 P292 L53 2011</t>
  </si>
  <si>
    <t>0                      Z  3102000P  292                L  53          2011</t>
  </si>
  <si>
    <t>Lan tai wan juan : du "Han shu yi wen zhi" / Li Ling zhu.</t>
  </si>
  <si>
    <t>Li, Ling, 1948-</t>
  </si>
  <si>
    <t>Beijing Shi : Sheng huo, du shu, xin zhi san lian shu dian, 2011.</t>
  </si>
  <si>
    <t>Dai tu xuan du shu ji</t>
  </si>
  <si>
    <t>2014-09-20</t>
  </si>
  <si>
    <t>802448049:chi</t>
  </si>
  <si>
    <t>706651324</t>
  </si>
  <si>
    <t>ocn706651324</t>
  </si>
  <si>
    <t>3103485701D</t>
  </si>
  <si>
    <t>9787108035424</t>
  </si>
  <si>
    <t>794866997</t>
  </si>
  <si>
    <t>Z3102.5 G824 2007 v.2</t>
  </si>
  <si>
    <t>0                      Z  3102500G  824         2007                                        v.2</t>
  </si>
  <si>
    <t>Ruan Yuan ji shu ke shu kao / Huang Qingxiong zhu.</t>
  </si>
  <si>
    <t>Huang, Qingxiong, 1970-</t>
  </si>
  <si>
    <t>Taibei Xian Yonghe Shi : Hua mu lan wen hua chu ban she, 2007.</t>
  </si>
  <si>
    <t>Gu dian wen xian yan jiu ji kan. Si bian ; di 2 ce</t>
  </si>
  <si>
    <t>112928374:chi</t>
  </si>
  <si>
    <t>166413440</t>
  </si>
  <si>
    <t>ocn166413440</t>
  </si>
  <si>
    <t>3102819308R</t>
  </si>
  <si>
    <t>9789867128942</t>
  </si>
  <si>
    <t>794261438</t>
  </si>
  <si>
    <t>Z3102.5 G846 2008 v.21</t>
  </si>
  <si>
    <t>0                      Z  3102500G  846         2008                                        v.21</t>
  </si>
  <si>
    <t>Fang Hui "Ying kui lü sui" ji qi ping dian yan jiu / Zhang Zheyuan zhu.</t>
  </si>
  <si>
    <t>v.21*</t>
  </si>
  <si>
    <t>Zhang, Zheyuan, 1976-</t>
  </si>
  <si>
    <t>Taibei Xian Yonghe Shi : Hua Mulan wen hua gong zuo fang, 2008.</t>
  </si>
  <si>
    <t>Gu dian wen xian yan jiu ji kan. Liu bian ; di 21 ce</t>
  </si>
  <si>
    <t>139258025:chi</t>
  </si>
  <si>
    <t>233032978</t>
  </si>
  <si>
    <t>ocn233032978</t>
  </si>
  <si>
    <t>31030752608</t>
  </si>
  <si>
    <t>9789866657191</t>
  </si>
  <si>
    <t>794365016</t>
  </si>
  <si>
    <t>Z3102.5 Y3 1984</t>
  </si>
  <si>
    <t>0                      Z  3102500Y  3           1984</t>
  </si>
  <si>
    <t>Zhongguo mu lu xue shi / Yao Mingda zhu.</t>
  </si>
  <si>
    <t>Yao, Mingda, 1905-1942.</t>
  </si>
  <si>
    <t>Shanghai : Shanghai shu dian, 1984.</t>
  </si>
  <si>
    <t>Zhongguo wen hua shi cong shu ; di 2 ji.</t>
  </si>
  <si>
    <t>8907306351:chi</t>
  </si>
  <si>
    <t>222440884</t>
  </si>
  <si>
    <t>ocn222440884</t>
  </si>
  <si>
    <t>30009641194</t>
  </si>
  <si>
    <t>794330878</t>
  </si>
  <si>
    <t>Z3106 B76 2002</t>
  </si>
  <si>
    <t>0                      Z  3106000B  76          2002</t>
  </si>
  <si>
    <t>Geographical sources of Ming-Qing history / Timothy Brook.</t>
  </si>
  <si>
    <t>Brook, Timothy, 1951-</t>
  </si>
  <si>
    <t>Ann Arbor : Center for Chinese Studies, University of Michigan, ©2002.</t>
  </si>
  <si>
    <t>Michigan monographs in Chinese studies, 1081-9053 ; v. 58</t>
  </si>
  <si>
    <t>11814882:eng</t>
  </si>
  <si>
    <t>48857753</t>
  </si>
  <si>
    <t>ocm48857753</t>
  </si>
  <si>
    <t>3102200111Y</t>
  </si>
  <si>
    <t>9780892641529</t>
  </si>
  <si>
    <t>793729132</t>
  </si>
  <si>
    <t>Z3106 C657 2013</t>
  </si>
  <si>
    <t>0                      Z  3106000C  657         2013</t>
  </si>
  <si>
    <t>Name index to Henri Cordier's Bibliotheca sinica (2nd ed., 1924), the standard bibliography on traditional China / prepared by Hartmut Walravens.</t>
  </si>
  <si>
    <t>Wiesbaden : Harrassowitz, 2013.</t>
  </si>
  <si>
    <t>Orientalistik Bibliographien und Dokumentationen ; Bd. 21</t>
  </si>
  <si>
    <t>1213485390:eng</t>
  </si>
  <si>
    <t>830293510</t>
  </si>
  <si>
    <t>ocn830293510</t>
  </si>
  <si>
    <t>31036124953</t>
  </si>
  <si>
    <t>9783447068994</t>
  </si>
  <si>
    <t>794943223</t>
  </si>
  <si>
    <t>3103612694Y</t>
  </si>
  <si>
    <t>794943224</t>
  </si>
  <si>
    <t>Z3106 D37 2007</t>
  </si>
  <si>
    <t>0                      Z  3106000D  37          2007</t>
  </si>
  <si>
    <t>La Cina in Italia : una bibliografia dai 1899 al 1999 / Francesco D'Arelli.</t>
  </si>
  <si>
    <t>D'Arelli, Francesco.</t>
  </si>
  <si>
    <t>Roma : Istituto Italiano per L'Africa e L'Oriente, 2007.</t>
  </si>
  <si>
    <t>Repertoria ac bibliographica ; vol. 2</t>
  </si>
  <si>
    <t>1047538239:ita</t>
  </si>
  <si>
    <t>228602173</t>
  </si>
  <si>
    <t>ocn228602173</t>
  </si>
  <si>
    <t>3103101788Y</t>
  </si>
  <si>
    <t>9788885320536</t>
  </si>
  <si>
    <t>794349970</t>
  </si>
  <si>
    <t>Z3106 I66 2006</t>
  </si>
  <si>
    <t>0                      Z  3106000I  66          2006</t>
  </si>
  <si>
    <t>Shorin no chōbō : dentō chūgoku no shomotsu sekai / Inoue Susumu,</t>
  </si>
  <si>
    <t>Inoue, Susumu, 1955-</t>
  </si>
  <si>
    <t>Tōkyō : Heibonsha, 2006.</t>
  </si>
  <si>
    <t>315228316:jpn</t>
  </si>
  <si>
    <t>427782612</t>
  </si>
  <si>
    <t>ocn427782612</t>
  </si>
  <si>
    <t>3102669679S</t>
  </si>
  <si>
    <t>9784582441147</t>
  </si>
  <si>
    <t>794698130</t>
  </si>
  <si>
    <t>Z3106 L5 2010</t>
  </si>
  <si>
    <t>0                      Z  3106000L  5           2010</t>
  </si>
  <si>
    <t>Gu wen xian cong lun / Li Xueqin zhu.</t>
  </si>
  <si>
    <t>Li, Xueqin, 1933-2019.</t>
  </si>
  <si>
    <t>Beijing : Zhongguo ren min da xue chu ban she, 2010.</t>
  </si>
  <si>
    <t>Dang dai Zhongguo ren wen da xi</t>
  </si>
  <si>
    <t>45592071:chi</t>
  </si>
  <si>
    <t>541757690</t>
  </si>
  <si>
    <t>ocn541757690</t>
  </si>
  <si>
    <t>31033301430</t>
  </si>
  <si>
    <t>9787300114187</t>
  </si>
  <si>
    <t>794810767</t>
  </si>
  <si>
    <t>Z3106 Y4 2014</t>
  </si>
  <si>
    <t>0                      Z  3106000Y  4           2014</t>
  </si>
  <si>
    <t>The ALA guide to researching modern China / Yunshan Ye.</t>
  </si>
  <si>
    <t>Ye, Yunshan.</t>
  </si>
  <si>
    <t>2030995387:eng</t>
  </si>
  <si>
    <t>861744872</t>
  </si>
  <si>
    <t>ocn861744872</t>
  </si>
  <si>
    <t>3103566151L</t>
  </si>
  <si>
    <t>9780838912096</t>
  </si>
  <si>
    <t>794959565</t>
  </si>
  <si>
    <t>Z3106 Z87 1995</t>
  </si>
  <si>
    <t>0                      Z  3106000Z  87          1995</t>
  </si>
  <si>
    <t>China bibliography : a research guide to reference works about China past and present / by Harriet T. Zurndorfer.</t>
  </si>
  <si>
    <t>Zurndorfer, Harriet Thelma.</t>
  </si>
  <si>
    <t>Leiden ; New York : E.J. Brill, 1995.</t>
  </si>
  <si>
    <t>Handbuch der Orientalistik. Vierte Abteilung, China, 0169-9563 ; 10. Bd.</t>
  </si>
  <si>
    <t>2017-06-16</t>
  </si>
  <si>
    <t>25857872:eng</t>
  </si>
  <si>
    <t>31970443</t>
  </si>
  <si>
    <t>ocm31970443</t>
  </si>
  <si>
    <t>3101460608Q</t>
  </si>
  <si>
    <t>9789004102781</t>
  </si>
  <si>
    <t>793372418</t>
  </si>
  <si>
    <t>Z3107 B35 H63 2000</t>
  </si>
  <si>
    <t>0                      Z  3107000B  35                 H  63          2000</t>
  </si>
  <si>
    <t>Beijing / J.E. Hoare and Susan Pares, compilers.</t>
  </si>
  <si>
    <t>Hoare, James.</t>
  </si>
  <si>
    <t>World bibliographical series ; v. 226</t>
  </si>
  <si>
    <t>33209475:eng</t>
  </si>
  <si>
    <t>44013913</t>
  </si>
  <si>
    <t>ocm44013913</t>
  </si>
  <si>
    <t>3102047655E</t>
  </si>
  <si>
    <t>9781851092994</t>
  </si>
  <si>
    <t>793640574</t>
  </si>
  <si>
    <t>Z3107 T5 A88 1982</t>
  </si>
  <si>
    <t>0                      Z  3107000T  5                  A  88          1982</t>
  </si>
  <si>
    <t>Tibet, past and present : a select bibliography with chronology of historical events, 1660-1981 / by Attar Chand ; foreword by Sanghasen Singh.</t>
  </si>
  <si>
    <t>Attar Chand, 1939-</t>
  </si>
  <si>
    <t>New Delhi : Sterling, 1982.</t>
  </si>
  <si>
    <t>2018-03-17</t>
  </si>
  <si>
    <t>890105664:eng</t>
  </si>
  <si>
    <t>9356784</t>
  </si>
  <si>
    <t>ocm09356784</t>
  </si>
  <si>
    <t>30009514745</t>
  </si>
  <si>
    <t>792671736</t>
  </si>
  <si>
    <t>Z3107 T5 Z364 2010</t>
  </si>
  <si>
    <t>0                      Z  3107000T  5                  Z  364         2010</t>
  </si>
  <si>
    <t>Zang wen gu ji tu lu / Zhao Guozhong [and others] zhu.</t>
  </si>
  <si>
    <t>687471856:chi</t>
  </si>
  <si>
    <t>671601953</t>
  </si>
  <si>
    <t>ocn671601953</t>
  </si>
  <si>
    <t>31034252835</t>
  </si>
  <si>
    <t>9787805888163</t>
  </si>
  <si>
    <t>794848883</t>
  </si>
  <si>
    <t>Z3108 A3 Z436 2017</t>
  </si>
  <si>
    <t>0                      Z  3108000A  3                  Z  436         2017</t>
  </si>
  <si>
    <t>Zhongguo shi qian kao gu xue lun zhu mu (1910-2010) / Zhao Chunqing.</t>
  </si>
  <si>
    <t>Zhao, Chunqing, author.</t>
  </si>
  <si>
    <t>Beijing : Ke xue chu ban she, 2017.</t>
  </si>
  <si>
    <t>4618908055:chi</t>
  </si>
  <si>
    <t>1012394692</t>
  </si>
  <si>
    <t>on1012394692</t>
  </si>
  <si>
    <t>3103806930K</t>
  </si>
  <si>
    <t>9787030548023</t>
  </si>
  <si>
    <t>795046367</t>
  </si>
  <si>
    <t>3103806925D</t>
  </si>
  <si>
    <t>795046366</t>
  </si>
  <si>
    <t>Z3108 A5 C37 1999</t>
  </si>
  <si>
    <t>0                      Z  3108000A  5                  C  37          1999</t>
  </si>
  <si>
    <t>China during the cultural revolution, 1966-1976 : a selected bibliography of English language works / compiled by Tony H. Chang.</t>
  </si>
  <si>
    <t>Chang, Tony H., 1951-</t>
  </si>
  <si>
    <t>Westport, Conn. : Greenwood Press, 1999.</t>
  </si>
  <si>
    <t>Bibliographies and indexes in Asian studies, 1086-5411 ; no. 3</t>
  </si>
  <si>
    <t>797214351:eng</t>
  </si>
  <si>
    <t>39897369</t>
  </si>
  <si>
    <t>ocm39897369</t>
  </si>
  <si>
    <t>31020903431</t>
  </si>
  <si>
    <t>9780313309052</t>
  </si>
  <si>
    <t>793556287</t>
  </si>
  <si>
    <t>Z3108 A5 W34 2016</t>
  </si>
  <si>
    <t>0                      Z  3108000A  5                  W  34          2016</t>
  </si>
  <si>
    <t>Archival resources of Republican China in North America / Chengzhi Wang and Su Chen.</t>
  </si>
  <si>
    <t>Wang, Chengzhi, 1966- author.</t>
  </si>
  <si>
    <t>New York : Columbia University Press, [2016]</t>
  </si>
  <si>
    <t>2753152634:eng</t>
  </si>
  <si>
    <t>922835657</t>
  </si>
  <si>
    <t>ocn922835657</t>
  </si>
  <si>
    <t>3103653672F</t>
  </si>
  <si>
    <t>9780231161404</t>
  </si>
  <si>
    <t>795004147</t>
  </si>
  <si>
    <t>Z3108 G37 S86 2012</t>
  </si>
  <si>
    <t>0                      Z  3108000G  37                 S  86          2012</t>
  </si>
  <si>
    <t>Yu tu zhi yao : Zhongguo ke xue yuan tu shu guan cang Zhongguo gu di tu xu lu = A descriptive catalogue of the antique maps collected in the Library of Chinese Academy of Sciences / Sun Jingguo zhu.</t>
  </si>
  <si>
    <t>Sun, Jingguo, author.</t>
  </si>
  <si>
    <t>Beijing Shi : Zhongguo di tu chu ban she, 2012.</t>
  </si>
  <si>
    <t>5620231310:chi</t>
  </si>
  <si>
    <t>830498530</t>
  </si>
  <si>
    <t>ocn830498530</t>
  </si>
  <si>
    <t>3103526573P</t>
  </si>
  <si>
    <t>9787503174360</t>
  </si>
  <si>
    <t>794943456</t>
  </si>
  <si>
    <t>Z3108 L5 H8623 2011</t>
  </si>
  <si>
    <t>0                      Z  3108000L  5                  H  8623        2011</t>
  </si>
  <si>
    <t>Riben suo cang Zhongguo xi qu wen xian yan jiu = Riben suo cang Zhongguo xiqu wenxian yanjiu / Huang Shizhong zhu.</t>
  </si>
  <si>
    <t>Huang, Shizhong, 1960-</t>
  </si>
  <si>
    <t>Beijing Shi : Gao deng jiao yu chu ban she, 2011.</t>
  </si>
  <si>
    <t>902810753:chi</t>
  </si>
  <si>
    <t>726583759</t>
  </si>
  <si>
    <t>ocn726583759</t>
  </si>
  <si>
    <t>31035144734</t>
  </si>
  <si>
    <t>9787040307320</t>
  </si>
  <si>
    <t>794877214</t>
  </si>
  <si>
    <t>Z3108 L5 I53 1986</t>
  </si>
  <si>
    <t>0                      Z  3108000L  5                  I  53          1986</t>
  </si>
  <si>
    <t>The Indiana companion to traditional Chinese literature / William H. Nienhauser, Jr., editor and compiler, Charles Hartman, associate editor for poetry, Y.W. Ma, associate editor for fiction, Stephen H. West, associate editor for drama.</t>
  </si>
  <si>
    <t>Bloomington : Indiana University Press, ©1986-©1998.</t>
  </si>
  <si>
    <t>501798106:eng</t>
  </si>
  <si>
    <t>11841260</t>
  </si>
  <si>
    <t>ocm11841260</t>
  </si>
  <si>
    <t>3000953040S</t>
  </si>
  <si>
    <t>9780253329837</t>
  </si>
  <si>
    <t>792790356</t>
  </si>
  <si>
    <t>3101915729L</t>
  </si>
  <si>
    <t>792790355</t>
  </si>
  <si>
    <t>Z3108 L5 M565 2014</t>
  </si>
  <si>
    <t>0                      Z  3108000L  5                  M  565         2014</t>
  </si>
  <si>
    <t>Minguo tong su xiao shuo shu mu zi liao hui bian / Wei Shaochang zhu bian.</t>
  </si>
  <si>
    <t>Shanghai : Shanghai shu dian chu ban she, 2014.</t>
  </si>
  <si>
    <t>2250343909:chi</t>
  </si>
  <si>
    <t>898325169</t>
  </si>
  <si>
    <t>ocn898325169</t>
  </si>
  <si>
    <t>3103667393U</t>
  </si>
  <si>
    <t>9787545809589</t>
  </si>
  <si>
    <t>794986219</t>
  </si>
  <si>
    <t>3103667388N</t>
  </si>
  <si>
    <t>794986218</t>
  </si>
  <si>
    <t>3103667383X</t>
  </si>
  <si>
    <t>794986217</t>
  </si>
  <si>
    <t>Z3108 L5 T282 1982</t>
  </si>
  <si>
    <t>0                      Z  3108000L  5                  T  282         1982</t>
  </si>
  <si>
    <t>Mu yu ge, Chaozhou ge xu lu / Tan Zhengbi, Tan Xun bian zhu.</t>
  </si>
  <si>
    <t>Tan, Zhengbi.</t>
  </si>
  <si>
    <t>Beijing : Shu mu wen xian chu ban she : Xin hua shu dian Beijing fa xing suo fa xing, 1982.</t>
  </si>
  <si>
    <t>Wen shi zhe yan jiu zi liao cong shu</t>
  </si>
  <si>
    <t>22639726:chi</t>
  </si>
  <si>
    <t>21510943</t>
  </si>
  <si>
    <t>ocm21510943</t>
  </si>
  <si>
    <t>3102323355T</t>
  </si>
  <si>
    <t>793120778</t>
  </si>
  <si>
    <t>Z3108 L5 Y56 1986</t>
  </si>
  <si>
    <t>0                      Z  3108000L  5                  Y  56          1986</t>
  </si>
  <si>
    <t>Xian dai wen xue qi kan man hua / Ying Guojing.</t>
  </si>
  <si>
    <t>Ying, Guojing.</t>
  </si>
  <si>
    <t>Guangzhou Shi : Hua cheng chu ban she : Guangdong sheng xin hua shu dian fa xing, 1986.</t>
  </si>
  <si>
    <t>Sui bi cong shu</t>
  </si>
  <si>
    <t>28480066:chi</t>
  </si>
  <si>
    <t>25708900</t>
  </si>
  <si>
    <t>ocm25708900</t>
  </si>
  <si>
    <t>3102314528U</t>
  </si>
  <si>
    <t>793228190</t>
  </si>
  <si>
    <t>Z3109 L5 2017</t>
  </si>
  <si>
    <t>0                      Z  3109000L  5           2017</t>
  </si>
  <si>
    <t>Meiguo Ehai'e zhou li da xue tu shu guan Zhong wen gu ji mu lu / (Mei) Li Guoqing (Guoqing Li) bian = Catalogue of Chinese ancient books in the Ohio State University Library / Guoqing Li.</t>
  </si>
  <si>
    <t>Li, Guoqing (Librarian), author.</t>
  </si>
  <si>
    <t>Beijing Shi : Zhonghua shu ju, 2017.</t>
  </si>
  <si>
    <t>Hai wai Zhong wen gu ji zong mu</t>
  </si>
  <si>
    <t>4448929229:chi</t>
  </si>
  <si>
    <t>999647817</t>
  </si>
  <si>
    <t>ocn999647817</t>
  </si>
  <si>
    <t>3103765832X</t>
  </si>
  <si>
    <t>9787101123289</t>
  </si>
  <si>
    <t>795039974</t>
  </si>
  <si>
    <t>Z3109 M4538 2017</t>
  </si>
  <si>
    <t>0                      Z  3109000M  4538        2017</t>
  </si>
  <si>
    <t>Meiguo Duke da xue tu shu guan Zhong wen gu ji mu lu ; Meiguo Beikaluolaina da xue jiao tang shan fen xiao Zhong wen gu ji mu lu ; Meiguo wan zhuang Ailong tu shu guan Zhong wen gu ji mu lu / [Mei] Zhou Luo, [Mei] Huang Xizhu, Zhu Runxiao bian. = Catalogue of Chinese ancient books in Duke University Libraries ; Catalogue of Chinese ancient books in the University of North Carolina at Chapel Hill ; Catalogue of Chinese ancient books in Elling O. Eide library / Luo Zhou, Hsi-chu H. Bolick, Runxiao Zhu.</t>
  </si>
  <si>
    <t>4233291353:chi</t>
  </si>
  <si>
    <t>988754502</t>
  </si>
  <si>
    <t>ocn988754502</t>
  </si>
  <si>
    <t>3103765823Y</t>
  </si>
  <si>
    <t>9787101123906</t>
  </si>
  <si>
    <t>795036892</t>
  </si>
  <si>
    <t>Z3118 L5 T354 2010</t>
  </si>
  <si>
    <t>0                      Z  3118000L  5                  T  354         2010</t>
  </si>
  <si>
    <t>Taiwan xian dang dai zuo jia ping lun zi liao mu lu / [zhu bian Feng Deping].</t>
  </si>
  <si>
    <t>Tainan Shi : Guo li Taiwan wen xue guan, 2010.</t>
  </si>
  <si>
    <t>9116599305:chi</t>
  </si>
  <si>
    <t>727274038</t>
  </si>
  <si>
    <t>ocn727274038</t>
  </si>
  <si>
    <t>3103427750P</t>
  </si>
  <si>
    <t>9789860259117</t>
  </si>
  <si>
    <t>794877862</t>
  </si>
  <si>
    <t>3103427752P</t>
  </si>
  <si>
    <t>794877860</t>
  </si>
  <si>
    <t>3103427748R</t>
  </si>
  <si>
    <t>794877864</t>
  </si>
  <si>
    <t>3103427749R</t>
  </si>
  <si>
    <t>794877863</t>
  </si>
  <si>
    <t>3103427746R</t>
  </si>
  <si>
    <t>794877866</t>
  </si>
  <si>
    <t>3103427747R</t>
  </si>
  <si>
    <t>794877865</t>
  </si>
  <si>
    <t>3103427745R</t>
  </si>
  <si>
    <t>794877867</t>
  </si>
  <si>
    <t>3103427751P</t>
  </si>
  <si>
    <t>794877861</t>
  </si>
  <si>
    <t>Z3185 S68 1987</t>
  </si>
  <si>
    <t>0                      Z  3185000S  68          1987</t>
  </si>
  <si>
    <t>The South Asia and Burma retrospective bibliography (SABREB) / compiled by Graham Shaw.</t>
  </si>
  <si>
    <t>London : British Library, 1987-</t>
  </si>
  <si>
    <t>2016-06-20</t>
  </si>
  <si>
    <t>20639993:eng</t>
  </si>
  <si>
    <t>17568680</t>
  </si>
  <si>
    <t>ocm17568680</t>
  </si>
  <si>
    <t>3000958531L</t>
  </si>
  <si>
    <t>9780712301190</t>
  </si>
  <si>
    <t>792995962</t>
  </si>
  <si>
    <t>Z3186 S27</t>
  </si>
  <si>
    <t>0                      Z  3186000S  27</t>
  </si>
  <si>
    <t>Bangla Desh : a select bibliography / compiled and edited by Satyaprakash.</t>
  </si>
  <si>
    <t>Satyaprakash.</t>
  </si>
  <si>
    <t>Gurgaon : Indian Documentation Service, 1976.</t>
  </si>
  <si>
    <t>International bibliography series ; 3</t>
  </si>
  <si>
    <t>296944584:eng</t>
  </si>
  <si>
    <t>3537881</t>
  </si>
  <si>
    <t>ocm03537881</t>
  </si>
  <si>
    <t>3000956700Y</t>
  </si>
  <si>
    <t>792266022</t>
  </si>
  <si>
    <t>Z3206 D53</t>
  </si>
  <si>
    <t>0                      Z  3206000D  53</t>
  </si>
  <si>
    <t>Primary sources for 16th-19th century studies in Bengal, Orissa, and Bihar libraries; seminar papers, edited by Katharine Smith Diehl.</t>
  </si>
  <si>
    <t>Diehl, Katharine Smith, compiler.</t>
  </si>
  <si>
    <t>[Calcutta] American Institute of Indian Studies, Calcutta Center, 1971.</t>
  </si>
  <si>
    <t>3892408128:eng</t>
  </si>
  <si>
    <t>658813</t>
  </si>
  <si>
    <t>ocm00658813</t>
  </si>
  <si>
    <t>3000957254Q</t>
  </si>
  <si>
    <t>791439737</t>
  </si>
  <si>
    <t>Z3207 M3 R35</t>
  </si>
  <si>
    <t>0                      Z  3207000M  3                  R  35</t>
  </si>
  <si>
    <t>Mamallapuram : an annotated bibliography / N.S. Ramaswami.</t>
  </si>
  <si>
    <t>Ramaswami, N. S.</t>
  </si>
  <si>
    <t>Madras : New Era Publications, 1980.</t>
  </si>
  <si>
    <t>204620891:eng</t>
  </si>
  <si>
    <t>7740124</t>
  </si>
  <si>
    <t>ocm07740124</t>
  </si>
  <si>
    <t>3000950342R</t>
  </si>
  <si>
    <t>792577218</t>
  </si>
  <si>
    <t>Z3208 A4 S36 1993</t>
  </si>
  <si>
    <t>0                      Z  3208000A  4                  S  36          1993</t>
  </si>
  <si>
    <t>The Indian literature of the great rebellion / Henry Scholberg.</t>
  </si>
  <si>
    <t>Scholberg, Henry.</t>
  </si>
  <si>
    <t>New Delhi : Promilla &amp; Co., Publishers, 1993.</t>
  </si>
  <si>
    <t>31974231:eng</t>
  </si>
  <si>
    <t>29599359</t>
  </si>
  <si>
    <t>ocm29599359</t>
  </si>
  <si>
    <t>3101466921T</t>
  </si>
  <si>
    <t>9788185002187</t>
  </si>
  <si>
    <t>793315835</t>
  </si>
  <si>
    <t>Z3221 R83 2010</t>
  </si>
  <si>
    <t>0                      Z  3221000R  83          2010</t>
  </si>
  <si>
    <t>The geography of Southeast Asia : a scholarly bibliography and guide / Thomas A. Rumney.</t>
  </si>
  <si>
    <t>Lanham, MD : University Press of America, 2010.</t>
  </si>
  <si>
    <t>796238755:eng</t>
  </si>
  <si>
    <t>495436811</t>
  </si>
  <si>
    <t>ocn495436811</t>
  </si>
  <si>
    <t>3103321433V</t>
  </si>
  <si>
    <t>9780761850090</t>
  </si>
  <si>
    <t>794801713</t>
  </si>
  <si>
    <t>Z3228 C3 J37 1997</t>
  </si>
  <si>
    <t>0                      Z  3228000C  3                  J  37          1997</t>
  </si>
  <si>
    <t>Cambodia / Helen Jarvis, compiler.</t>
  </si>
  <si>
    <t>Jarvis, Helen.</t>
  </si>
  <si>
    <t>Oxford, England ; Santa Barbara, Calif. : Clio Press, ©1997.</t>
  </si>
  <si>
    <t>World bibliographical series ; v. 200</t>
  </si>
  <si>
    <t>691168:eng</t>
  </si>
  <si>
    <t>38368028</t>
  </si>
  <si>
    <t>ocm38368028</t>
  </si>
  <si>
    <t>3101843916L</t>
  </si>
  <si>
    <t>9781851091775</t>
  </si>
  <si>
    <t>793522435</t>
  </si>
  <si>
    <t>Z3228 V5 M37 1992</t>
  </si>
  <si>
    <t>0                      Z  3228000V  5                  M  37          1992</t>
  </si>
  <si>
    <t>Vietnam / David G. Marr, compiler ; with the assistance of Kristine Alilunas-Rodgers.</t>
  </si>
  <si>
    <t>Marr, David G.</t>
  </si>
  <si>
    <t>Oxford, England ; Santa Barbara, Calif. : Clio Press, ©1992.</t>
  </si>
  <si>
    <t>World bibliographical series ; v. 147</t>
  </si>
  <si>
    <t>390724:eng</t>
  </si>
  <si>
    <t>27380478</t>
  </si>
  <si>
    <t>ocm27380478</t>
  </si>
  <si>
    <t>3101204135$</t>
  </si>
  <si>
    <t>9781851090921</t>
  </si>
  <si>
    <t>793265145</t>
  </si>
  <si>
    <t>Z3278 A39 L36 1991</t>
  </si>
  <si>
    <t>0                      Z  3278000A  39                 L  36          1991</t>
  </si>
  <si>
    <t>VOC : a bibliography of publications relating to the Dutch East India Company, 1602-1800 / J. Landwehr ; edited by Peter van der Krogt ; introduction by C.R. Boxer ; preface by G. Schilder.</t>
  </si>
  <si>
    <t>Landwehr, John.</t>
  </si>
  <si>
    <t>Utrecht : HES Publishers, ©1991.</t>
  </si>
  <si>
    <t>320748285:eng</t>
  </si>
  <si>
    <t>30670312</t>
  </si>
  <si>
    <t>ocm30670312</t>
  </si>
  <si>
    <t>3101115176I</t>
  </si>
  <si>
    <t>9789061944973</t>
  </si>
  <si>
    <t>793341925</t>
  </si>
  <si>
    <t>Z3285 T622 2019</t>
  </si>
  <si>
    <t>0                      Z  3285000T  622         2019</t>
  </si>
  <si>
    <t>Toshio Egawa collection in the ISEAS library, Singapore : an enlarged catalogue = Egawa Toshio korekushon.</t>
  </si>
  <si>
    <t>Singapore : ISEAS Library, ISEAS-Yusof Ishak Institute, 2019.</t>
  </si>
  <si>
    <t>2019-07-09</t>
  </si>
  <si>
    <t>9133477772:eng</t>
  </si>
  <si>
    <t>1102616513</t>
  </si>
  <si>
    <t>on1102616513</t>
  </si>
  <si>
    <t>31038926015</t>
  </si>
  <si>
    <t>9789814843676</t>
  </si>
  <si>
    <t>795082463</t>
  </si>
  <si>
    <t>3103892550X</t>
  </si>
  <si>
    <t>795082462</t>
  </si>
  <si>
    <t>Z3308 L5 J353 1990</t>
  </si>
  <si>
    <t>0                      Z  3308000L  5                  J  353         1990</t>
  </si>
  <si>
    <t>Japanese literature in foreign languages 1945-1990 / compiled by the Japan P.E.N. Club.</t>
  </si>
  <si>
    <t>[Tokyo] : Japan Book Publishers Association, ©1990.</t>
  </si>
  <si>
    <t>41856680:eng</t>
  </si>
  <si>
    <t>23162703</t>
  </si>
  <si>
    <t>ocm23162703</t>
  </si>
  <si>
    <t>3101198622W</t>
  </si>
  <si>
    <t>9784890031023</t>
  </si>
  <si>
    <t>793163228</t>
  </si>
  <si>
    <t>Z3308 R4 K96 1977</t>
  </si>
  <si>
    <t>0                      Z  3308000R  4                  K  96          1977</t>
  </si>
  <si>
    <t>Zuroku Seiyō to no deai : Nihonjin no mita gaikoku, gaikokujin no mita Nihon / [henshū Kyōto Gaikokugo Daigaku Fuzoku Toshokan].</t>
  </si>
  <si>
    <t>Kyōto Gaikokugo Daigaku. Toshokan.</t>
  </si>
  <si>
    <t>Kyōto : Kyōto Gaikokugo Daigaku Fuzoku Toshokan, Shōwa 52 [1977]</t>
  </si>
  <si>
    <t>2015-03-07</t>
  </si>
  <si>
    <t>14719075:jpn</t>
  </si>
  <si>
    <t>4432202</t>
  </si>
  <si>
    <t>ocm04432202</t>
  </si>
  <si>
    <t>3102272975T</t>
  </si>
  <si>
    <t>792349724</t>
  </si>
  <si>
    <t>Z3319 K6 M38 2010</t>
  </si>
  <si>
    <t>0                      Z  3319000K  6                  M  38          2010</t>
  </si>
  <si>
    <t>The Korean War, an annotated bibliography / Keith D. McFarland.</t>
  </si>
  <si>
    <t>McFarland, Keith D., 1940-</t>
  </si>
  <si>
    <t>New York, NY : Routledge, 2010.</t>
  </si>
  <si>
    <t>Rev. 2nd ed.</t>
  </si>
  <si>
    <t>5426158:eng</t>
  </si>
  <si>
    <t>259266359</t>
  </si>
  <si>
    <t>ocn259266359</t>
  </si>
  <si>
    <t>3103313700P</t>
  </si>
  <si>
    <t>9780415991971</t>
  </si>
  <si>
    <t>794399861</t>
  </si>
  <si>
    <t>Z3320 R5 2011</t>
  </si>
  <si>
    <t>0                      Z  3320000R  5           2011</t>
  </si>
  <si>
    <t>Ri ju shi qi Chaoxian kan ke Han ji wen xian mu lu / Fu Dehua bian.</t>
  </si>
  <si>
    <t>Fu dan da xue Ya Zhou yan jiu zhong xin xue shu shu xi</t>
  </si>
  <si>
    <t>1081774934:chi</t>
  </si>
  <si>
    <t>760054799</t>
  </si>
  <si>
    <t>ocn760054799</t>
  </si>
  <si>
    <t>3103433500F</t>
  </si>
  <si>
    <t>9787208100596</t>
  </si>
  <si>
    <t>794898187</t>
  </si>
  <si>
    <t>Z3366 B5 1983</t>
  </si>
  <si>
    <t>0                      Z  3366000B  5           1983</t>
  </si>
  <si>
    <t>Bibliographical guide to Iran : the Middle East Library Committee guide / edited by L.P. Elwell-Sutton.</t>
  </si>
  <si>
    <t>Brighton, Sussex : Harvester Press ; Totowa, N.J. : Barnes &amp; Noble Books, 1983.</t>
  </si>
  <si>
    <t>889280590:eng</t>
  </si>
  <si>
    <t>9083705</t>
  </si>
  <si>
    <t>ocm09083705</t>
  </si>
  <si>
    <t>3000951241S</t>
  </si>
  <si>
    <t>9780389203391</t>
  </si>
  <si>
    <t>792656216</t>
  </si>
  <si>
    <t>Z3409 A43</t>
  </si>
  <si>
    <t>0                      Z  3409000A  43</t>
  </si>
  <si>
    <t>Nationalities of the Soviet East : publications and writing systems : a bibliographical directory and transliteration tables for Iranian-and Turkic-language publications, 1818-1945, located in U.S. libraries / by Edward Allworth.</t>
  </si>
  <si>
    <t>Allworth, Edward.</t>
  </si>
  <si>
    <t>New York : Columbia University Press, 1971.</t>
  </si>
  <si>
    <t>The Modern Middle East series ; no. 3</t>
  </si>
  <si>
    <t>1248921:eng</t>
  </si>
  <si>
    <t>124658</t>
  </si>
  <si>
    <t>ocm00124658</t>
  </si>
  <si>
    <t>30009611953</t>
  </si>
  <si>
    <t>9780231032742</t>
  </si>
  <si>
    <t>791264390</t>
  </si>
  <si>
    <t>Z3461 C49 2007</t>
  </si>
  <si>
    <t>0                      Z  3461000C  49          2007</t>
  </si>
  <si>
    <t>A survey of graduate theses on Armenia/Armenians in the United States and Canada, 1919-2005 / by Garo Chichekian.</t>
  </si>
  <si>
    <t>Chichekian, Garo.</t>
  </si>
  <si>
    <t>Montreal : Armenian Prelacy, ©2007.</t>
  </si>
  <si>
    <t>2019-02-13</t>
  </si>
  <si>
    <t>935415258:eng</t>
  </si>
  <si>
    <t>741323497</t>
  </si>
  <si>
    <t>ocn741323497</t>
  </si>
  <si>
    <t>3103339321$</t>
  </si>
  <si>
    <t>9780973755015</t>
  </si>
  <si>
    <t>794883803</t>
  </si>
  <si>
    <t>Z3461 Y44 2015</t>
  </si>
  <si>
    <t>0                      Z  3461000Y  44          2015</t>
  </si>
  <si>
    <t>The Armenian genocide : a bibliography / compiled by Eddie Yeghiayan, MLS, Ph. D. in Philosophy.</t>
  </si>
  <si>
    <t>Yeghiayan, Eddie, 1940- compiler.</t>
  </si>
  <si>
    <t>Città del Vaticano : Libreria editrice Vaticana, [2015]</t>
  </si>
  <si>
    <t>2505549589:eng</t>
  </si>
  <si>
    <t>908024689</t>
  </si>
  <si>
    <t>ocn908024689</t>
  </si>
  <si>
    <t>31036647275</t>
  </si>
  <si>
    <t>9788820995256</t>
  </si>
  <si>
    <t>794994101</t>
  </si>
  <si>
    <t>Z3462 C55 T44 2000</t>
  </si>
  <si>
    <t>0                      Z  3462000C  55                 T  44          2000</t>
  </si>
  <si>
    <t>Bibliography of Cilician Armenia / Bedros A. Tekeyan.</t>
  </si>
  <si>
    <t>Tekeyan, Bedros A., 1931-</t>
  </si>
  <si>
    <t>Montreal : B.A. Tekeyan, 2000.</t>
  </si>
  <si>
    <t>45203491:eng</t>
  </si>
  <si>
    <t>44112477</t>
  </si>
  <si>
    <t>ocm44112477</t>
  </si>
  <si>
    <t>31020865436</t>
  </si>
  <si>
    <t>9782980639104</t>
  </si>
  <si>
    <t>793642737</t>
  </si>
  <si>
    <t>Z3478 S3 C76 1984</t>
  </si>
  <si>
    <t>0                      Z  3478000S  3                  C  76          1984</t>
  </si>
  <si>
    <t>A bibliography of the Samaritans / by Alan David Crown.</t>
  </si>
  <si>
    <t>Crown, Alan David.</t>
  </si>
  <si>
    <t>Metuchen, N.J. : Scarecrow Press ; Philadelphia : American Theological Library Association, 1984.</t>
  </si>
  <si>
    <t>ATLA bibliography series ; no. 10</t>
  </si>
  <si>
    <t>33117:eng</t>
  </si>
  <si>
    <t>10483955</t>
  </si>
  <si>
    <t>ocm10483955</t>
  </si>
  <si>
    <t>3001137946K</t>
  </si>
  <si>
    <t>9780810816930</t>
  </si>
  <si>
    <t>792728512</t>
  </si>
  <si>
    <t>Z3479 R4 G65 1995</t>
  </si>
  <si>
    <t>0                      Z  3479000R  4                  G  65          1995</t>
  </si>
  <si>
    <t>Britain and the Holy Land, 1800-1914 : a select bibliography / compiled by Ruth P. Goldschmidt-Lehmann.</t>
  </si>
  <si>
    <t>Goldschmidt-Lehmann, Ruth P. (Ruth Pauline)</t>
  </si>
  <si>
    <t>London : Jewish Historical Society of England, 1995.</t>
  </si>
  <si>
    <t>39008955:eng</t>
  </si>
  <si>
    <t>34017866</t>
  </si>
  <si>
    <t>ocm34017866</t>
  </si>
  <si>
    <t>3101742993F</t>
  </si>
  <si>
    <t>793416543</t>
  </si>
  <si>
    <t>Z3501 D5</t>
  </si>
  <si>
    <t>0                      Z  3501000D  5</t>
  </si>
  <si>
    <t>List of French doctoral dissertations on Africa, 1884-1961. With indexes by Mary Darrah Herrick.</t>
  </si>
  <si>
    <t>Dinstel, Marion.</t>
  </si>
  <si>
    <t>Boston, G.K. Hall, 1966.</t>
  </si>
  <si>
    <t>1530176:eng</t>
  </si>
  <si>
    <t>429567</t>
  </si>
  <si>
    <t>ocm00429567</t>
  </si>
  <si>
    <t>3000961233L</t>
  </si>
  <si>
    <t>791376656</t>
  </si>
  <si>
    <t>Z3501 G3</t>
  </si>
  <si>
    <t>0                      Z  3501000G  3</t>
  </si>
  <si>
    <t>Bibliographie des ouvrages relatifs à l'Afrique et à l'Arabie : catalogue méthodique de tous les ouvrages français &amp; des principaux en langues étrangères traitant de la géographie, de l'histoire, du commerce, des lettres &amp; des arts de l'Afrique &amp; de l'Arabie.</t>
  </si>
  <si>
    <t>Gay, Jean, 1837-</t>
  </si>
  <si>
    <t>Amsterdam : Meridian Pub. Co., 1961.</t>
  </si>
  <si>
    <t>197938545:fre</t>
  </si>
  <si>
    <t>427917544</t>
  </si>
  <si>
    <t>ocn427917544</t>
  </si>
  <si>
    <t>31013119283</t>
  </si>
  <si>
    <t>794712033</t>
  </si>
  <si>
    <t>Z3521 M35</t>
  </si>
  <si>
    <t>0                      Z  3521000M  35</t>
  </si>
  <si>
    <t>The modern history of Ethiopia and the Horn of Africa: a select and annotated bibliography, by Harold G. Marcus.</t>
  </si>
  <si>
    <t>Marcus, Harold G.</t>
  </si>
  <si>
    <t>Stanford, Calif., Hoover Institution Press [1972]</t>
  </si>
  <si>
    <t>Hoover Institution bibliographical series ; 56</t>
  </si>
  <si>
    <t>794989505:eng</t>
  </si>
  <si>
    <t>448129</t>
  </si>
  <si>
    <t>ocm00448129</t>
  </si>
  <si>
    <t>3000962040R</t>
  </si>
  <si>
    <t>9780817924713</t>
  </si>
  <si>
    <t>791381483</t>
  </si>
  <si>
    <t>Z3597 I7</t>
  </si>
  <si>
    <t>0                      Z  3597000I  7</t>
  </si>
  <si>
    <t>Bibliography of Nigeria: a survey of anthropological and linguistic writings from the earliest times to 1966 [by] Nduntuei O. Ita.</t>
  </si>
  <si>
    <t>Ita, Nduntuei O.</t>
  </si>
  <si>
    <t>London, Cass [1971]</t>
  </si>
  <si>
    <t>287397666:eng</t>
  </si>
  <si>
    <t>254551</t>
  </si>
  <si>
    <t>ocm00254551</t>
  </si>
  <si>
    <t>3000949857T</t>
  </si>
  <si>
    <t>9780714624587</t>
  </si>
  <si>
    <t>791311095</t>
  </si>
  <si>
    <t>Z3681 B69 2011</t>
  </si>
  <si>
    <t>0                      Z  3681000B  69          2011</t>
  </si>
  <si>
    <t>Bibliographie de l'Algérie indépendante / Christian Boyer, Benjamin Stora.</t>
  </si>
  <si>
    <t>Boyer, Christian.</t>
  </si>
  <si>
    <t>Paris : CNRS, ©2011.</t>
  </si>
  <si>
    <t>771036903:fre</t>
  </si>
  <si>
    <t>697594371</t>
  </si>
  <si>
    <t>ocn697594371</t>
  </si>
  <si>
    <t>3103506338C</t>
  </si>
  <si>
    <t>9782271069375</t>
  </si>
  <si>
    <t>794860063</t>
  </si>
  <si>
    <t>Z3694 K35 1993</t>
  </si>
  <si>
    <t>0                      Z  3694000K  35          1993</t>
  </si>
  <si>
    <t>Central African Republic / Pierre Kalck, compiler.</t>
  </si>
  <si>
    <t>Kalck, Pierre.</t>
  </si>
  <si>
    <t>Oxford, England ; Santa Barbara, Calif. : Clio Press, 1993.</t>
  </si>
  <si>
    <t>World bibliographical series ; v. 152</t>
  </si>
  <si>
    <t>3754537832:eng</t>
  </si>
  <si>
    <t>28911387</t>
  </si>
  <si>
    <t>ocm28911387</t>
  </si>
  <si>
    <t>3101234104T</t>
  </si>
  <si>
    <t>9781851091720</t>
  </si>
  <si>
    <t>793299107</t>
  </si>
  <si>
    <t>Z4811 M33 1988</t>
  </si>
  <si>
    <t>0                      Z  4811000M  33          1988</t>
  </si>
  <si>
    <t>Papua New Guinea / Fraiser McConnell, compiler.</t>
  </si>
  <si>
    <t>McConnell, Fraiser, 1951-</t>
  </si>
  <si>
    <t>Oxford, England ; Santa Barbara, Calif. : Clio Press, ©1988.</t>
  </si>
  <si>
    <t>World bibliographical series ; v. 90</t>
  </si>
  <si>
    <t>1063324:eng</t>
  </si>
  <si>
    <t>20588500</t>
  </si>
  <si>
    <t>ocm20588500</t>
  </si>
  <si>
    <t>3000964114E</t>
  </si>
  <si>
    <t>9781851090303</t>
  </si>
  <si>
    <t>793091991</t>
  </si>
  <si>
    <t>Z5055 G6 R66</t>
  </si>
  <si>
    <t>0                      Z  5055000G  6                  R  66</t>
  </si>
  <si>
    <t>A centenary guide to the publications of the Royal Historical Society, 1868-1968, and of the former Camden Society, 1838-1897.</t>
  </si>
  <si>
    <t>Milne, Alexander Taylor.</t>
  </si>
  <si>
    <t>London, Royal Historical Society, 1968.</t>
  </si>
  <si>
    <t>Royal Historical Society. Guides and handbooks, no. 9</t>
  </si>
  <si>
    <t>2017-03-01</t>
  </si>
  <si>
    <t>118289506:eng</t>
  </si>
  <si>
    <t>48976</t>
  </si>
  <si>
    <t>ocm00048976</t>
  </si>
  <si>
    <t>31009046912</t>
  </si>
  <si>
    <t>9780901050007</t>
  </si>
  <si>
    <t>791239273</t>
  </si>
  <si>
    <t>Z5075 S75 W44 1994</t>
  </si>
  <si>
    <t>0                      Z  5075000S  75                 W  44          1994</t>
  </si>
  <si>
    <t>The spice trade : a bibliographic guide to sources of historical and economic information / compiled by Jeanie M. Welch.</t>
  </si>
  <si>
    <t>Westport, Conn. : Greenwood Press, ©1994.</t>
  </si>
  <si>
    <t>Bibliographies and indexes in world history, 0742-6852 ; no. 37</t>
  </si>
  <si>
    <t>836941893:eng</t>
  </si>
  <si>
    <t>31014902</t>
  </si>
  <si>
    <t>ocm31014902</t>
  </si>
  <si>
    <t>3101867498I</t>
  </si>
  <si>
    <t>9780313291173</t>
  </si>
  <si>
    <t>793351589</t>
  </si>
  <si>
    <t>Z5115 F83</t>
  </si>
  <si>
    <t>0                      Z  5115000F  83</t>
  </si>
  <si>
    <t>An anthropological bibliography of South Asia, together with a directory of recent anthropological field work. With a foreword by Christoph von Fürer-Haimendorf.</t>
  </si>
  <si>
    <t>Fürer-Haimendorf, Elizabeth von.</t>
  </si>
  <si>
    <t>Paris, Mouton, 1958-</t>
  </si>
  <si>
    <t>Le Monde d'outre-mer passé et présent. 4. sér.: Bibliographies, 3-</t>
  </si>
  <si>
    <t>4917460848:eng</t>
  </si>
  <si>
    <t>412100</t>
  </si>
  <si>
    <t>ocm00412100</t>
  </si>
  <si>
    <t>3000962786C</t>
  </si>
  <si>
    <t>791370678</t>
  </si>
  <si>
    <t>3100831834A</t>
  </si>
  <si>
    <t>791370677</t>
  </si>
  <si>
    <t>Z5116 M43 1987</t>
  </si>
  <si>
    <t>0                      Z  5116000M  43          1987</t>
  </si>
  <si>
    <t>Aborigines and the law : a digest / John McCorquodale.</t>
  </si>
  <si>
    <t>McCorquodale, John, 1941-</t>
  </si>
  <si>
    <t>Canberra : Aboriginal Studies Press, 1987.</t>
  </si>
  <si>
    <t>894523565:eng</t>
  </si>
  <si>
    <t>17939958</t>
  </si>
  <si>
    <t>ocm17939958</t>
  </si>
  <si>
    <t>3100749074S</t>
  </si>
  <si>
    <t>9780855751739</t>
  </si>
  <si>
    <t>793008086</t>
  </si>
  <si>
    <t>Z5118 F2 A5 1984</t>
  </si>
  <si>
    <t>0                      Z  5118000F  2                  A  5           1984</t>
  </si>
  <si>
    <t>American family history : a historical bibliography.</t>
  </si>
  <si>
    <t>Santa Barbara, Calif. : ABC-Clio Information Services, ©1984.</t>
  </si>
  <si>
    <t>ABC-Clio research guides</t>
  </si>
  <si>
    <t>3389480:eng</t>
  </si>
  <si>
    <t>10532913</t>
  </si>
  <si>
    <t>ocm10532913</t>
  </si>
  <si>
    <t>30009521695</t>
  </si>
  <si>
    <t>9780874363807</t>
  </si>
  <si>
    <t>792730809</t>
  </si>
  <si>
    <t>Z5151.5 B87</t>
  </si>
  <si>
    <t>0                      Z  5151500B  87</t>
  </si>
  <si>
    <t>Astronomical atlases, maps &amp; charts; an historical &amp; general guide [by] Basil Brown.</t>
  </si>
  <si>
    <t>Brown, Basil J. W.</t>
  </si>
  <si>
    <t>London, Search Pub. Co., 1932.</t>
  </si>
  <si>
    <t>2017-07-25</t>
  </si>
  <si>
    <t>8907883588:eng</t>
  </si>
  <si>
    <t>2276245</t>
  </si>
  <si>
    <t>ocm02276245</t>
  </si>
  <si>
    <t>30007878247</t>
  </si>
  <si>
    <t>792096381</t>
  </si>
  <si>
    <t>Z5305 C3 M3</t>
  </si>
  <si>
    <t>0                      Z  5305000C  3                  M  3</t>
  </si>
  <si>
    <t>Canadian diaries and autobiographies.</t>
  </si>
  <si>
    <t>Matthews, William, 1905-1975.</t>
  </si>
  <si>
    <t>Berkeley, University of California, 1950.</t>
  </si>
  <si>
    <t>149265047:eng</t>
  </si>
  <si>
    <t>580164</t>
  </si>
  <si>
    <t>ocm00580164</t>
  </si>
  <si>
    <t>30009628031</t>
  </si>
  <si>
    <t>791420316</t>
  </si>
  <si>
    <t>Z5305 U5 B574 2005</t>
  </si>
  <si>
    <t>0                      Z  5305000U  5                  B  574         2005</t>
  </si>
  <si>
    <t>Biography and genealogy master index : 2001-2005 cumulation : a consolidated index to more than 3,000,000 biographical sketches in 647 current and retrospective biographical dictionaries / Jennifer Mossman, editor.</t>
  </si>
  <si>
    <t>Detroit : Thomson/Gale, ©2005.</t>
  </si>
  <si>
    <t>Gale biographical index series</t>
  </si>
  <si>
    <t>2016-10-08</t>
  </si>
  <si>
    <t>19775392:eng</t>
  </si>
  <si>
    <t>57598717</t>
  </si>
  <si>
    <t>ocm57598717</t>
  </si>
  <si>
    <t>3102451695$</t>
  </si>
  <si>
    <t>9780787691011</t>
  </si>
  <si>
    <t>793916316</t>
  </si>
  <si>
    <t>31024517318</t>
  </si>
  <si>
    <t>793916314</t>
  </si>
  <si>
    <t>3102451700E</t>
  </si>
  <si>
    <t>793916317</t>
  </si>
  <si>
    <t>3102451690$</t>
  </si>
  <si>
    <t>793916315</t>
  </si>
  <si>
    <t>Z5305 U5 M3 1959</t>
  </si>
  <si>
    <t>0                      Z  5305000U  5                  M  3           1959</t>
  </si>
  <si>
    <t>American diaries : an annotated bibliography of American diaries written prior to the year 1861 / compiled by William Matthews, with the assistance of Roy Harvey Pearce.</t>
  </si>
  <si>
    <t>Boston : J.S. Canner, 1959.</t>
  </si>
  <si>
    <t>9463496256:eng</t>
  </si>
  <si>
    <t>577295</t>
  </si>
  <si>
    <t>ocm00577295</t>
  </si>
  <si>
    <t>3100222703V</t>
  </si>
  <si>
    <t>791419439</t>
  </si>
  <si>
    <t>Z5305 U5 M32</t>
  </si>
  <si>
    <t>0                      Z  5305000U  5                  M  32</t>
  </si>
  <si>
    <t>American diaries in manuscript, 1580-1954 : a descriptive bibliography / William Matthews.</t>
  </si>
  <si>
    <t>Athens : University of Georgia Press, [1974]</t>
  </si>
  <si>
    <t>908578110:eng</t>
  </si>
  <si>
    <t>987972</t>
  </si>
  <si>
    <t>ocm00987972</t>
  </si>
  <si>
    <t>3100830840K</t>
  </si>
  <si>
    <t>9780820303185</t>
  </si>
  <si>
    <t>791519225</t>
  </si>
  <si>
    <t>Z5322 E2 L4 1987</t>
  </si>
  <si>
    <t>0                      Z  5322000E  2                  L  4           1987</t>
  </si>
  <si>
    <t>An annotated bibliography of research at Mont St. Hilaire, Quebec / prepared by Adrian R. Levy and Martin J. Lechowicz.</t>
  </si>
  <si>
    <t>Levy, Adrian R.</t>
  </si>
  <si>
    <t>Ottawa : Unesco Canada/MAB Committee, 1987.</t>
  </si>
  <si>
    <t>Report / Unesco-MAB ; no. 18</t>
  </si>
  <si>
    <t>3901716555:eng</t>
  </si>
  <si>
    <t>35469341</t>
  </si>
  <si>
    <t>ocm35469341</t>
  </si>
  <si>
    <t>3102458222Y</t>
  </si>
  <si>
    <t>793451241</t>
  </si>
  <si>
    <t>Z5322 E9 M38 1988</t>
  </si>
  <si>
    <t>0                      Z  5322000E  9                  M  38          1988</t>
  </si>
  <si>
    <t>Anti-evolution : an annotated bibliography / by Tom McIver.</t>
  </si>
  <si>
    <t>McIver, Tom, 1951-</t>
  </si>
  <si>
    <t>Jefferson, N.C. : McFarland, ©1988.</t>
  </si>
  <si>
    <t>836705708:eng</t>
  </si>
  <si>
    <t>18071875</t>
  </si>
  <si>
    <t>ocm18071875</t>
  </si>
  <si>
    <t>3100988297C</t>
  </si>
  <si>
    <t>9780899503134</t>
  </si>
  <si>
    <t>793012798</t>
  </si>
  <si>
    <t>Z5331 P58 2010</t>
  </si>
  <si>
    <t>0                      Z  5331000P  58          2010</t>
  </si>
  <si>
    <t>Birds in books : three hundred years of South Asian ornithology : a bibliography / Aasheesh Pittie.</t>
  </si>
  <si>
    <t>Pittie, Aasheesh, compiler.</t>
  </si>
  <si>
    <t>Ranikhet : Permanent Black, 2010.</t>
  </si>
  <si>
    <t>917125781:eng</t>
  </si>
  <si>
    <t>611878336</t>
  </si>
  <si>
    <t>ocn611878336</t>
  </si>
  <si>
    <t>31032986423</t>
  </si>
  <si>
    <t>9788178242941</t>
  </si>
  <si>
    <t>794821187</t>
  </si>
  <si>
    <t>Z5524 R5 B52</t>
  </si>
  <si>
    <t>0                      Z  5524000R  5                  B  52</t>
  </si>
  <si>
    <t>Bibliography of chemical kinetics and collision processes; an annotated bibliography of gas-phase reaction rates and low-energy cross sections of atoms, ions, and small molecules. Prepared under the direction of Adolf R. Hochstim, ed. By M. Berman [and others].</t>
  </si>
  <si>
    <t>New York, IFI/Plenum, 1969.</t>
  </si>
  <si>
    <t>1133053:eng</t>
  </si>
  <si>
    <t>9881</t>
  </si>
  <si>
    <t>ocm00009881</t>
  </si>
  <si>
    <t>3000075817W</t>
  </si>
  <si>
    <t>791226988</t>
  </si>
  <si>
    <t>Z5579 A5</t>
  </si>
  <si>
    <t>0                      Z  5579000A  5</t>
  </si>
  <si>
    <t>A select bibliography: Asia, Africa, Eastern Europe, Latin America.</t>
  </si>
  <si>
    <t>American Universities Field Staff.</t>
  </si>
  <si>
    <t>New York : The Staff, [1960]</t>
  </si>
  <si>
    <t>911862144:eng</t>
  </si>
  <si>
    <t>581659</t>
  </si>
  <si>
    <t>ocm00581659</t>
  </si>
  <si>
    <t>3000955095U</t>
  </si>
  <si>
    <t>791420714</t>
  </si>
  <si>
    <t>Z5630 B535 2012</t>
  </si>
  <si>
    <t>0                      Z  5630000B  535         2012</t>
  </si>
  <si>
    <t>A bibliography of works on Medieval communication / Marco Mostert.</t>
  </si>
  <si>
    <t>Mostert, Marco.</t>
  </si>
  <si>
    <t>Turnhout : Brepols, ©2012.</t>
  </si>
  <si>
    <t>Utrecht studies in medieval literacy ; 2</t>
  </si>
  <si>
    <t>1171760123:eng</t>
  </si>
  <si>
    <t>794817094</t>
  </si>
  <si>
    <t>ocn794817094</t>
  </si>
  <si>
    <t>3103585077E</t>
  </si>
  <si>
    <t>9782503544779</t>
  </si>
  <si>
    <t>794920544</t>
  </si>
  <si>
    <t>Z5716 F53 2014</t>
  </si>
  <si>
    <t>0                      Z  5716000F  53          2014</t>
  </si>
  <si>
    <t>Fictions narratives en prose de l'âge baroque : répertoire analytique. Deuxième partie. 1611-1623 / sous la direction de Frank Greiner.</t>
  </si>
  <si>
    <t>Lire le XVIIe siècle ; 27</t>
  </si>
  <si>
    <t>5609656743:fre</t>
  </si>
  <si>
    <t>874814910</t>
  </si>
  <si>
    <t>ocn874814910</t>
  </si>
  <si>
    <t>3103557409N</t>
  </si>
  <si>
    <t>9782812412844</t>
  </si>
  <si>
    <t>794969023</t>
  </si>
  <si>
    <t>Z5725 S93 2010</t>
  </si>
  <si>
    <t>0                      Z  5725000S  93          2010</t>
  </si>
  <si>
    <t>Death and dying : an annotated bibliography of the thanatological literature / John F. Szabo.</t>
  </si>
  <si>
    <t>Szabo, John F., 1968-</t>
  </si>
  <si>
    <t>802686284:eng</t>
  </si>
  <si>
    <t>429227101</t>
  </si>
  <si>
    <t>ocn429227101</t>
  </si>
  <si>
    <t>3103313609S</t>
  </si>
  <si>
    <t>9780810872752</t>
  </si>
  <si>
    <t>794779808</t>
  </si>
  <si>
    <t>Z5775 A83 1987</t>
  </si>
  <si>
    <t>0                      Z  5775000A  83          1987</t>
  </si>
  <si>
    <t>A bibliography of household books published in Britain, 1800-1914 / Dena Attar.</t>
  </si>
  <si>
    <t>Attar, Dena.</t>
  </si>
  <si>
    <t>London : Prospect Books ; [Charlottesville] : Distributed in the USA by the University Press of Virginia, 1987.</t>
  </si>
  <si>
    <t>Cookery and household books published in Britain, 1800-1914 ; v. 1</t>
  </si>
  <si>
    <t>21049062:eng</t>
  </si>
  <si>
    <t>19270580</t>
  </si>
  <si>
    <t>ocm19270580</t>
  </si>
  <si>
    <t>30009585476</t>
  </si>
  <si>
    <t>9780907325352</t>
  </si>
  <si>
    <t>793051752</t>
  </si>
  <si>
    <t>Z5776 G2 D845 2008</t>
  </si>
  <si>
    <t>0                      Z  5776000G  2                  D  845         2008</t>
  </si>
  <si>
    <t>Culinary landmarks : a bibliography of Canadian cookbooks, 1825-1949 / Elizabeth Driver.</t>
  </si>
  <si>
    <t>Driver, Elizabeth.</t>
  </si>
  <si>
    <t>Toronto : University of Toronto Press, ©2008.</t>
  </si>
  <si>
    <t>341691805:eng</t>
  </si>
  <si>
    <t>68401984</t>
  </si>
  <si>
    <t>ocm68401984</t>
  </si>
  <si>
    <t>3102862120W</t>
  </si>
  <si>
    <t>9780802047908</t>
  </si>
  <si>
    <t>794143214</t>
  </si>
  <si>
    <t>Z5776 G2 N69 2010</t>
  </si>
  <si>
    <t>0                      Z  5776000G  2                  N  69          2010</t>
  </si>
  <si>
    <t>Printed cookbooks in Europe, 1470-1700 : a bibliography of early modern culinary literature / Henry Notaker.</t>
  </si>
  <si>
    <t>Notaker, Henry, author.</t>
  </si>
  <si>
    <t>New Castle, DE : Oak Knoll Press ; Houten, Netherlands : Hes &amp; De Graf Publishers, 2010.</t>
  </si>
  <si>
    <t>796577748:eng</t>
  </si>
  <si>
    <t>550550891</t>
  </si>
  <si>
    <t>ocn550550891</t>
  </si>
  <si>
    <t>3103238487V</t>
  </si>
  <si>
    <t>9781584562535</t>
  </si>
  <si>
    <t>794811401</t>
  </si>
  <si>
    <t>Z5776 G2 P46 2011</t>
  </si>
  <si>
    <t>0                      Z  5776000G  2                  P  46          2011</t>
  </si>
  <si>
    <t>Lo scaffale del gusto : guida alla formazione di una raccolta di gastronomia italiana (1891-2011) per le biblioteche / di Rino Pensato e Antonio Tolo ; con la collaborazione di Adele Blundo ; contributi di Tullio Gregory e Massimo Montanari.</t>
  </si>
  <si>
    <t>Pensato, Rino.</t>
  </si>
  <si>
    <t>Bologna : Compositori, ©2011.</t>
  </si>
  <si>
    <t>Emilia Romagna biblioteche archivi ; n. 74</t>
  </si>
  <si>
    <t>929369276:ita</t>
  </si>
  <si>
    <t>740626669</t>
  </si>
  <si>
    <t>ocn740626669</t>
  </si>
  <si>
    <t>31034361555</t>
  </si>
  <si>
    <t>9788877947352</t>
  </si>
  <si>
    <t>794883321</t>
  </si>
  <si>
    <t>Z5784 M9 C35 1991</t>
  </si>
  <si>
    <t>0                      Z  5784000M  9                  C  35          1991</t>
  </si>
  <si>
    <t>What is neorealism? : a critical English-language bibliography of Italian cinematic neorealism / Bert Cardullo.</t>
  </si>
  <si>
    <t>Cardullo, Bert.</t>
  </si>
  <si>
    <t>Lanham : University Press of America, ©1991.</t>
  </si>
  <si>
    <t>12477388:eng</t>
  </si>
  <si>
    <t>23692766</t>
  </si>
  <si>
    <t>ocm23692766</t>
  </si>
  <si>
    <t>3101146223C</t>
  </si>
  <si>
    <t>9780819177568</t>
  </si>
  <si>
    <t>793180218</t>
  </si>
  <si>
    <t>Z5784 M9 I485 1985</t>
  </si>
  <si>
    <t>0                      Z  5784000M  9                  I  485         1985</t>
  </si>
  <si>
    <t>International film, radio, and television journals / edited by Anthony Slide.</t>
  </si>
  <si>
    <t>Historical guides to the world's periodicals and newspapers, 0742-5538</t>
  </si>
  <si>
    <t>2017-11-17</t>
  </si>
  <si>
    <t>2604562:eng</t>
  </si>
  <si>
    <t>10727179</t>
  </si>
  <si>
    <t>ocm10727179</t>
  </si>
  <si>
    <t>3000952568S</t>
  </si>
  <si>
    <t>9780313237591</t>
  </si>
  <si>
    <t>792740032</t>
  </si>
  <si>
    <t>Z5784 M9 R66 1987</t>
  </si>
  <si>
    <t>0                      Z  5784000M  9                  R  66          1987</t>
  </si>
  <si>
    <t>Film as literature, literature as film : an introduction to and bibliography of film's relationship to literature / Harris Ross.</t>
  </si>
  <si>
    <t>Ross, Harris.</t>
  </si>
  <si>
    <t>New York : Greenwood Press, 1987.</t>
  </si>
  <si>
    <t>Bibliographies and indexes in world literature, 0742-6801 ; no. 10</t>
  </si>
  <si>
    <t>807869182:eng</t>
  </si>
  <si>
    <t>15196881</t>
  </si>
  <si>
    <t>ocm15196881</t>
  </si>
  <si>
    <t>3000958495$</t>
  </si>
  <si>
    <t>9780313245954</t>
  </si>
  <si>
    <t>792923676</t>
  </si>
  <si>
    <t>Z5784 M9 W37</t>
  </si>
  <si>
    <t>0                      Z  5784000M  9                  W  37</t>
  </si>
  <si>
    <t>Literature and film : an annotated bibliography, 1900-1977 / Jeffrey Egan Welch.</t>
  </si>
  <si>
    <t>Welch, Jeffrey Egan, 1949-</t>
  </si>
  <si>
    <t>New York : Garland, 1981.</t>
  </si>
  <si>
    <t>Garland reference library of the humanities ; vol. 241</t>
  </si>
  <si>
    <t>836914116:eng</t>
  </si>
  <si>
    <t>7008652</t>
  </si>
  <si>
    <t>ocm07008652</t>
  </si>
  <si>
    <t>30009507552</t>
  </si>
  <si>
    <t>9780824094775</t>
  </si>
  <si>
    <t>792535309</t>
  </si>
  <si>
    <t>Z5784 M9 W37 1993</t>
  </si>
  <si>
    <t>0                      Z  5784000M  9                  W  37          1993</t>
  </si>
  <si>
    <t>Literature and film : an annotated bibliography, 1978-1988 / Jeffrey Egan Welch.</t>
  </si>
  <si>
    <t>New York : Garland Pub., 1993.</t>
  </si>
  <si>
    <t>Garland reference library of the humanities ; v. 1114</t>
  </si>
  <si>
    <t>26096504</t>
  </si>
  <si>
    <t>ocm26096504</t>
  </si>
  <si>
    <t>31011996780</t>
  </si>
  <si>
    <t>9780824058432</t>
  </si>
  <si>
    <t>793237304</t>
  </si>
  <si>
    <t>Z5784 M9 W65 1987</t>
  </si>
  <si>
    <t>0                      Z  5784000M  9                  W  65          1987</t>
  </si>
  <si>
    <t>Ethnic and racial images in American film and television : historical essays and bibliography / Allen L. Woll, Randall M. Miller.</t>
  </si>
  <si>
    <t>Woll, Allen L.</t>
  </si>
  <si>
    <t>New York : Garland, 1987.</t>
  </si>
  <si>
    <t>Garland reference library of social science ; vol. 308</t>
  </si>
  <si>
    <t>836675444:eng</t>
  </si>
  <si>
    <t>14376890</t>
  </si>
  <si>
    <t>ocm14376890</t>
  </si>
  <si>
    <t>3000958271L</t>
  </si>
  <si>
    <t>9780824087333</t>
  </si>
  <si>
    <t>792887838</t>
  </si>
  <si>
    <t>Z5784 S8 P45 2001</t>
  </si>
  <si>
    <t>0                      Z  5784000S  8                  P  45          2001</t>
  </si>
  <si>
    <t>Theatrical space as a model for architecture : a bibliography on ephemeral structures, theatrical urban space, and the architecture of the stage in Europe / prepared by Drs. Louise Pelletier and Alberto Pérez-Gómez for the Institut de recherche en histoire de l'architecture.</t>
  </si>
  <si>
    <t>Pelletier, Louise, 1963-</t>
  </si>
  <si>
    <t>Montréal, QC : Institut de recherche en histoire de l'architecture, 2001.</t>
  </si>
  <si>
    <t>315094263:eng</t>
  </si>
  <si>
    <t>427646122</t>
  </si>
  <si>
    <t>ocn427646122</t>
  </si>
  <si>
    <t>31035148124</t>
  </si>
  <si>
    <t>794695582</t>
  </si>
  <si>
    <t>Z5814 C5 H54 1991</t>
  </si>
  <si>
    <t>0                      Z  5814000C  5                  H  54          1991</t>
  </si>
  <si>
    <t>CHILDES/BIB : an annotated bibliography of child language and language disorders / [compiled by] Roy Higginson, Brian MacWhinney.</t>
  </si>
  <si>
    <t>Higginson, Roy.</t>
  </si>
  <si>
    <t>Hillsdale, N.J. : L. Erlbaum Associates, 1991.</t>
  </si>
  <si>
    <t>2017-01-09</t>
  </si>
  <si>
    <t>227501707:eng</t>
  </si>
  <si>
    <t>22593347</t>
  </si>
  <si>
    <t>ocm22593347</t>
  </si>
  <si>
    <t>3100949966E</t>
  </si>
  <si>
    <t>9780805808599</t>
  </si>
  <si>
    <t>793148639</t>
  </si>
  <si>
    <t>Z5818 E5 C37 1994</t>
  </si>
  <si>
    <t>0                      Z  5818000E  5                  C  37          1994</t>
  </si>
  <si>
    <t>Teaching English as a second language : a resource guide / Angela L. Carrasquillo.</t>
  </si>
  <si>
    <t>Carrasquillo, Angela.</t>
  </si>
  <si>
    <t>Garland reference library of social science ; vol. 750. Source books on education ; vol. 41</t>
  </si>
  <si>
    <t>292395734:eng</t>
  </si>
  <si>
    <t>29220554</t>
  </si>
  <si>
    <t>ocm29220554</t>
  </si>
  <si>
    <t>3101844471S</t>
  </si>
  <si>
    <t>9780815308218</t>
  </si>
  <si>
    <t>793305615</t>
  </si>
  <si>
    <t>Z5862.2 A25 W38 1975</t>
  </si>
  <si>
    <t>0                      Z  5862200A  25                 W  38          1975</t>
  </si>
  <si>
    <t>Acid mine water : a bibliography.</t>
  </si>
  <si>
    <t>Water Resources Scientific Information Center.</t>
  </si>
  <si>
    <t>Washington, D.C. : U.S. Dept. of the Interior, Office of Water Research and Technology, Water Resources Scientific Information Center, 1975.</t>
  </si>
  <si>
    <t>5348552086:eng</t>
  </si>
  <si>
    <t>3073305</t>
  </si>
  <si>
    <t>ocm03073305</t>
  </si>
  <si>
    <t>3000027716L</t>
  </si>
  <si>
    <t>792213915</t>
  </si>
  <si>
    <t>Z5873 B48 1991</t>
  </si>
  <si>
    <t>0                      Z  5873000B  48          1991</t>
  </si>
  <si>
    <t>A Bibliographic guide to the comparative study of ethics / editorial supervisors, John Carman and Mark Juergensmeyer ; editorial associates, William Darrow [and others] ; sponsored by the Berkeley-Harvard Program in Comparative Religion, Office for Programs in Comparative Religion, Graduate Theological Union, Berkeley, and Center for the Study of World Religions, Harvard University.</t>
  </si>
  <si>
    <t>Cambridge [England] ; New York : Cambridge University Press, 1991.</t>
  </si>
  <si>
    <t>364152988:eng</t>
  </si>
  <si>
    <t>20261667</t>
  </si>
  <si>
    <t>ocm20261667</t>
  </si>
  <si>
    <t>3100944920Q</t>
  </si>
  <si>
    <t>9780521344487</t>
  </si>
  <si>
    <t>793082117</t>
  </si>
  <si>
    <t>Z5883 S63 1992</t>
  </si>
  <si>
    <t>0                      Z  5883000S  63          1992</t>
  </si>
  <si>
    <t>The books of the fairs : materials about world's fairs, 1834-1916, in the Smithsonian Institution Libraries / with an introductory essay by Robert W. Rydell.</t>
  </si>
  <si>
    <t>Smithsonian Institution. Libraries.</t>
  </si>
  <si>
    <t>Smithsonian Institution Libraries research guide ; no. 6</t>
  </si>
  <si>
    <t>9009000:eng</t>
  </si>
  <si>
    <t>24173206</t>
  </si>
  <si>
    <t>ocm24173206</t>
  </si>
  <si>
    <t>3103285069Y</t>
  </si>
  <si>
    <t>9780838905562</t>
  </si>
  <si>
    <t>793191231</t>
  </si>
  <si>
    <t>Z5917 F3 H47 2008</t>
  </si>
  <si>
    <t>0                      Z  5917000F  3                  H  47          2008</t>
  </si>
  <si>
    <t>Fluent in fantasy : the next generation / Diana Tixier Herald and Bonnie Kunzel.</t>
  </si>
  <si>
    <t>Herald, Diana Tixier, author.</t>
  </si>
  <si>
    <t>Westport, Connecticut : Libraries Unlimited, a member of the Greenwood Publishing Group, 2008.</t>
  </si>
  <si>
    <t>2017-10-29</t>
  </si>
  <si>
    <t>2829649544:eng</t>
  </si>
  <si>
    <t>156975192</t>
  </si>
  <si>
    <t>ocn156975192</t>
  </si>
  <si>
    <t>3102887846E</t>
  </si>
  <si>
    <t>9781591581987</t>
  </si>
  <si>
    <t>794256148</t>
  </si>
  <si>
    <t>Z5917 H6 W43 1997</t>
  </si>
  <si>
    <t>0                      Z  5917000H  6                  W  43          1997</t>
  </si>
  <si>
    <t>What historical novel do I read next? / [edited by] Daniel S. Burt.</t>
  </si>
  <si>
    <t>Detroit : Gale Research, ©1997-&lt;c2003&gt;</t>
  </si>
  <si>
    <t>3372881615:eng</t>
  </si>
  <si>
    <t>36662944</t>
  </si>
  <si>
    <t>ocm36662944</t>
  </si>
  <si>
    <t>3102558723D</t>
  </si>
  <si>
    <t>9780787603885</t>
  </si>
  <si>
    <t>793480813</t>
  </si>
  <si>
    <t>3102558718F</t>
  </si>
  <si>
    <t>793480812</t>
  </si>
  <si>
    <t>3102888180N</t>
  </si>
  <si>
    <t>793480811</t>
  </si>
  <si>
    <t>Z5917 S36 A52 1995</t>
  </si>
  <si>
    <t>0                      Z  5917000S  36                 A  52          1995</t>
  </si>
  <si>
    <t>Anatomy of wonder 4 : a critical guide to science fiction / edited by Neil Barron.</t>
  </si>
  <si>
    <t>New Providence, N.J. : R.R. Bowker, ©1995.</t>
  </si>
  <si>
    <t>2019-07-11</t>
  </si>
  <si>
    <t>793861549:eng</t>
  </si>
  <si>
    <t>31433865</t>
  </si>
  <si>
    <t>ocm31433865</t>
  </si>
  <si>
    <t>3101491232M</t>
  </si>
  <si>
    <t>9780835232883</t>
  </si>
  <si>
    <t>793361078</t>
  </si>
  <si>
    <t>Z5917 S36 B44 1998</t>
  </si>
  <si>
    <t>0                      Z  5917000S  36                 B  44          1998</t>
  </si>
  <si>
    <t>The far North and beyond : an index to Canadian science fiction and fantasy in English-language genre magazines and other selected periodicals of the pulp era, 1896-1955 / John Bell.</t>
  </si>
  <si>
    <t>Bell, John, 1952-</t>
  </si>
  <si>
    <t>Halifax, N.S. : Dalhousie University School of Library and Information Studies ; London : Vine Press, 1998.</t>
  </si>
  <si>
    <t>Occasional papers series, 0318-7403 ; 61</t>
  </si>
  <si>
    <t>20657350:eng</t>
  </si>
  <si>
    <t>39516059</t>
  </si>
  <si>
    <t>ocm39516059</t>
  </si>
  <si>
    <t>31019155323</t>
  </si>
  <si>
    <t>9780770397746</t>
  </si>
  <si>
    <t>793547598</t>
  </si>
  <si>
    <t>Z5917 S36 B62 1990</t>
  </si>
  <si>
    <t>0                      Z  5917000S  36                 B  62          1990</t>
  </si>
  <si>
    <t>Science-fiction, the early years : a full description of more than 3,000 science-fiction stories from earliest times to the appearance of the genre magazines in 1930 : with author, title, and motif indexes / by Everett F. Bleiler with the assistance of Richard J. Bleiler.</t>
  </si>
  <si>
    <t>Bleiler, E. F. (Everett Franklin), 1920-2010.</t>
  </si>
  <si>
    <t>Kent, Ohio : Kent State University Press, ©1990.</t>
  </si>
  <si>
    <t>23081944:eng</t>
  </si>
  <si>
    <t>21764095</t>
  </si>
  <si>
    <t>ocm21764095</t>
  </si>
  <si>
    <t>31035593980</t>
  </si>
  <si>
    <t>9780873384162</t>
  </si>
  <si>
    <t>793127239</t>
  </si>
  <si>
    <t>Z5936 P47 P47</t>
  </si>
  <si>
    <t>0                      Z  5936000P  47                 P  47</t>
  </si>
  <si>
    <t>Performance anthology : source book for a decade of California performance art / Carl E. Loeffler, editor, and Darlene Tong, associate editor.</t>
  </si>
  <si>
    <t>San Francisco, CA : Contemporary Arts Press, 1980.</t>
  </si>
  <si>
    <t>Contemporary documents ; v. 1</t>
  </si>
  <si>
    <t>890954624:eng</t>
  </si>
  <si>
    <t>6700162</t>
  </si>
  <si>
    <t>ocm06700162</t>
  </si>
  <si>
    <t>3000908406H</t>
  </si>
  <si>
    <t>9780931818011</t>
  </si>
  <si>
    <t>792517573</t>
  </si>
  <si>
    <t>Z5936 S9 S68 1997</t>
  </si>
  <si>
    <t>0                      Z  5936000S  9                  S  68          1997</t>
  </si>
  <si>
    <t>Sources in iconography in the Blackader-Lauterman Library of Architecture and Art, McGill University : an annotated bibliography / edited by Irena Žantovská Murray ; compiled by Kathryn A. Jackson with contributions by Marilyn Berger, Joan Friedman &amp; Carol Jackman-Schuller.</t>
  </si>
  <si>
    <t>Blackader-Lauterman Library of Architecture and Art.</t>
  </si>
  <si>
    <t>Montreal : McGill University Libraries, 1997.</t>
  </si>
  <si>
    <t>Fontanus monograph series, 1183-1774 ; 8</t>
  </si>
  <si>
    <t>2014-01-29</t>
  </si>
  <si>
    <t>41150833:eng</t>
  </si>
  <si>
    <t>36973706</t>
  </si>
  <si>
    <t>ocm36973706</t>
  </si>
  <si>
    <t>3101724713C</t>
  </si>
  <si>
    <t>9780771704741</t>
  </si>
  <si>
    <t>793488825</t>
  </si>
  <si>
    <t>Z5939 G67 1926</t>
  </si>
  <si>
    <t>0                      Z  5939000G  67          1926</t>
  </si>
  <si>
    <t>A catalogue of books on art and architecture in McGill University Library and the Gordon Home Blackader Library of Architecture.</t>
  </si>
  <si>
    <t>Gordon Home Blackader Library.</t>
  </si>
  <si>
    <t>Montreal, McGill University Library, 1926.</t>
  </si>
  <si>
    <t>2d and rev. ed.</t>
  </si>
  <si>
    <t>McGill University publications. Series VII (Library) no. 9</t>
  </si>
  <si>
    <t>2015-01-06</t>
  </si>
  <si>
    <t>11776066:eng</t>
  </si>
  <si>
    <t>3677860</t>
  </si>
  <si>
    <t>ocm03677860</t>
  </si>
  <si>
    <t>3102952454G</t>
  </si>
  <si>
    <t>792280114</t>
  </si>
  <si>
    <t>3000931424W</t>
  </si>
  <si>
    <t>792280112</t>
  </si>
  <si>
    <t>Z5941 A552 1995</t>
  </si>
  <si>
    <t>0                      Z  5941000A  552         1995</t>
  </si>
  <si>
    <t>Anamorphosis : an annotated bibliography : with special reference to architectural representation / compiled by Alberto Pérez-Gómez and Louise Pelletier.</t>
  </si>
  <si>
    <t>Montreal : McGill University Libraries, 1995.</t>
  </si>
  <si>
    <t>Fontanus monograph series, 1183-1774 ; 6</t>
  </si>
  <si>
    <t>502872892:eng</t>
  </si>
  <si>
    <t>34869972</t>
  </si>
  <si>
    <t>ocm34869972</t>
  </si>
  <si>
    <t>3101489671$</t>
  </si>
  <si>
    <t>9780771704628</t>
  </si>
  <si>
    <t>793437548</t>
  </si>
  <si>
    <t>Z5942 B88</t>
  </si>
  <si>
    <t>0                      Z  5942000B  88</t>
  </si>
  <si>
    <t>Urban history : a guide to information sources / John D. Buenker, Gerald Michael Greenfield, William J. Murin ; pref. by Howard P. Chudacoff.</t>
  </si>
  <si>
    <t>Buenker, John D.</t>
  </si>
  <si>
    <t>Detroit, Mich. : Gale Research Co., ©1981.</t>
  </si>
  <si>
    <t>American government and history information guide series ; v. 9</t>
  </si>
  <si>
    <t>293241928:eng</t>
  </si>
  <si>
    <t>6625856</t>
  </si>
  <si>
    <t>ocm06625856</t>
  </si>
  <si>
    <t>30009502984</t>
  </si>
  <si>
    <t>9780810314795</t>
  </si>
  <si>
    <t>792512514</t>
  </si>
  <si>
    <t>Z5944 C6 Z46 2000</t>
  </si>
  <si>
    <t>0                      Z  5944000C  6                  Z  46          2000</t>
  </si>
  <si>
    <t>Zhongguo gu jian zhu wen xian zhi nan, 1900-1990 / Chen Chunsheng, Zhang Wenhui, Xu Rong bian zhu.</t>
  </si>
  <si>
    <t>Chen, Chunsheng.</t>
  </si>
  <si>
    <t>Beijing : Ke xue chu ban she, 2000.</t>
  </si>
  <si>
    <t>2017-02-15</t>
  </si>
  <si>
    <t>56664035:chi</t>
  </si>
  <si>
    <t>46729090</t>
  </si>
  <si>
    <t>ocm46729090</t>
  </si>
  <si>
    <t>31032006602</t>
  </si>
  <si>
    <t>9787030086310</t>
  </si>
  <si>
    <t>793690377</t>
  </si>
  <si>
    <t>Z5956 C3 L45 1994</t>
  </si>
  <si>
    <t>0                      Z  5956000C  3                  L  45          1994</t>
  </si>
  <si>
    <t>Animation, caricature, and gag and political cartoons in the United States and Canada : an international bibliography / compiled by John A. Lent ; foreword by Maurice Horn.</t>
  </si>
  <si>
    <t>Westport, Conn. : Greenwood Press, 1994.</t>
  </si>
  <si>
    <t>Bibliographies and indexes in popular culture, 1066-0658 ; no. 3</t>
  </si>
  <si>
    <t>836833378:eng</t>
  </si>
  <si>
    <t>30110090</t>
  </si>
  <si>
    <t>ocm30110090</t>
  </si>
  <si>
    <t>31015149663</t>
  </si>
  <si>
    <t>9780313286810</t>
  </si>
  <si>
    <t>793329939</t>
  </si>
  <si>
    <t>Z5956 G5 C38 1983</t>
  </si>
  <si>
    <t>0                      Z  5956000G  5                  C  38          1983</t>
  </si>
  <si>
    <t>Stained glass before 1540 : an annotated bibliography / Madeline Harrison Caviness ; with the assistance of Evelyn Ruth Staudinger.</t>
  </si>
  <si>
    <t>Caviness, Madeline Harrison, 1938-</t>
  </si>
  <si>
    <t>Boston, Mass. : G.K. Hall, ©1983.</t>
  </si>
  <si>
    <t>A Reference publication in art history</t>
  </si>
  <si>
    <t>889349512:eng</t>
  </si>
  <si>
    <t>8785087</t>
  </si>
  <si>
    <t>ocm08785087</t>
  </si>
  <si>
    <t>30009095157</t>
  </si>
  <si>
    <t>9780816183326</t>
  </si>
  <si>
    <t>792640827</t>
  </si>
  <si>
    <t>Z5956 J35 W44 1990</t>
  </si>
  <si>
    <t>0                      Z  5956000J  35                 W  44          1990</t>
  </si>
  <si>
    <t>Japonisme : an annotated bibliography / Gabriel P. Weisberg, Yvonne M.L. Weisberg.</t>
  </si>
  <si>
    <t>Weisberg, Gabriel P.</t>
  </si>
  <si>
    <t>New Brunswick, NJ : Jane Voorhees Zimmerli Art Museum, Rutgers-The State University of New Jersey ; New York : Garland Pub., 1990.</t>
  </si>
  <si>
    <t>Garland reference library of the humanities ; vol. 695</t>
  </si>
  <si>
    <t>2015-07-23</t>
  </si>
  <si>
    <t>914254:eng</t>
  </si>
  <si>
    <t>20634828</t>
  </si>
  <si>
    <t>ocm20634828</t>
  </si>
  <si>
    <t>3000931075V</t>
  </si>
  <si>
    <t>9780824085452</t>
  </si>
  <si>
    <t>793093673</t>
  </si>
  <si>
    <t>Z5961 G7 B7 1985</t>
  </si>
  <si>
    <t>0                      Z  5961000G  7                  B  7           1985</t>
  </si>
  <si>
    <t>Art history in education : an annotated bibliography and history / Paul Brazier ; introduction by Anthony Dyson ; foreword by Peter Murray.</t>
  </si>
  <si>
    <t>Brazier, Paul.</t>
  </si>
  <si>
    <t>London ; Portsmouth, NH : Heinemann Educational Books for the Institute of Education, University of London, 1985.</t>
  </si>
  <si>
    <t>Studies in education, 0458-2101 ; new ser. 15</t>
  </si>
  <si>
    <t>836695989:eng</t>
  </si>
  <si>
    <t>13063011</t>
  </si>
  <si>
    <t>ocm13063011</t>
  </si>
  <si>
    <t>3000973692A</t>
  </si>
  <si>
    <t>9780854731718</t>
  </si>
  <si>
    <t>792838825</t>
  </si>
  <si>
    <t>Z6004 P6 E47 1976</t>
  </si>
  <si>
    <t>0                      Z  6004000P  6                  E  47          1976</t>
  </si>
  <si>
    <t>Bibliographie sur l'océanographie de l'estuaire du St-Laurent = Oceanographic bibliography for the St. Lawrence estuary / par Mohammed I. El-Sabh.</t>
  </si>
  <si>
    <t>El-Sabh, Mohammed I., 1939-</t>
  </si>
  <si>
    <t>Rimouski, Qué[bec] : Section d'océanographie, Université du Québec à Rimouski, 1976.</t>
  </si>
  <si>
    <t>Cahiers de l'Université du Québec à Rimouski ; 2</t>
  </si>
  <si>
    <t>3855606016:fre</t>
  </si>
  <si>
    <t>5618466</t>
  </si>
  <si>
    <t>ocm05618466</t>
  </si>
  <si>
    <t>3000050219F</t>
  </si>
  <si>
    <t>792441930</t>
  </si>
  <si>
    <t>Z6005 H6 S55 1988</t>
  </si>
  <si>
    <t>0                      Z  6005000H  6                  S  55          1988</t>
  </si>
  <si>
    <t>A guide to source materials in the India Office Library and Records for the history of Tibet, Sikkim and Bhutan 1765-1950 / Amar Kaur Jasbir Singh.</t>
  </si>
  <si>
    <t>Singh, Amar Kaur Jasbir.</t>
  </si>
  <si>
    <t>London : British Library, 1988.</t>
  </si>
  <si>
    <t>2016-05-24</t>
  </si>
  <si>
    <t>20648059:eng</t>
  </si>
  <si>
    <t>60007509</t>
  </si>
  <si>
    <t>ocm60007509</t>
  </si>
  <si>
    <t>3000964437R</t>
  </si>
  <si>
    <t>9780712306348</t>
  </si>
  <si>
    <t>793933177</t>
  </si>
  <si>
    <t>Z6005 P7 A54</t>
  </si>
  <si>
    <t>0                      Z  6005000P  7                  A  54</t>
  </si>
  <si>
    <t>Antarctic bibliography, 1951-1961.</t>
  </si>
  <si>
    <t>Library of Congress.</t>
  </si>
  <si>
    <t>Washington; [For sale by the Supt. of Docs., U.S. Govt. Print. Off.] 1970.</t>
  </si>
  <si>
    <t>10178024554:eng</t>
  </si>
  <si>
    <t>90647</t>
  </si>
  <si>
    <t>ocm00090647</t>
  </si>
  <si>
    <t>3000959674V</t>
  </si>
  <si>
    <t>791252170</t>
  </si>
  <si>
    <t>Z6011 R65 1991</t>
  </si>
  <si>
    <t>0                      Z  6011000R  65          1991</t>
  </si>
  <si>
    <t>Wayward women : a guide to women travellers / Jane Robinson.</t>
  </si>
  <si>
    <t>Robinson, Jane, 1959-</t>
  </si>
  <si>
    <t>Oxford [England] ; New York : Oxford University Press, 1991, ©1990.</t>
  </si>
  <si>
    <t>325124183:eng</t>
  </si>
  <si>
    <t>22347376</t>
  </si>
  <si>
    <t>ocm22347376</t>
  </si>
  <si>
    <t>31010157842</t>
  </si>
  <si>
    <t>9780192828224</t>
  </si>
  <si>
    <t>793141723</t>
  </si>
  <si>
    <t>Z6011 S5 1999</t>
  </si>
  <si>
    <t>0                      Z  6011000S  5           1999</t>
  </si>
  <si>
    <t>American travellers abroad : a bibliography of accounts published before 1900 / Harold F. Smith.</t>
  </si>
  <si>
    <t>Smith, Harold Frederick, 1923-</t>
  </si>
  <si>
    <t>Lanham, Md. : Scarecrow Press, 1999.</t>
  </si>
  <si>
    <t>836959144:eng</t>
  </si>
  <si>
    <t>39380740</t>
  </si>
  <si>
    <t>ocm39380740</t>
  </si>
  <si>
    <t>3101955785O</t>
  </si>
  <si>
    <t>9780810835542</t>
  </si>
  <si>
    <t>793545190</t>
  </si>
  <si>
    <t>Z6014 B9 G76 2008</t>
  </si>
  <si>
    <t>0                      Z  6014000B  9                  G  76          2008</t>
  </si>
  <si>
    <t>The representations of the overseas world in the De Bry Collection of voyages (1590-1634) / by Michiel van Groesen.</t>
  </si>
  <si>
    <t>Groesen, Michiel van.</t>
  </si>
  <si>
    <t>Library of the written word. The handpress world, 1874-4834 ; v. 2</t>
  </si>
  <si>
    <t>2017-11-09</t>
  </si>
  <si>
    <t>116482913:eng</t>
  </si>
  <si>
    <t>181069713</t>
  </si>
  <si>
    <t>ocn181069713</t>
  </si>
  <si>
    <t>3103323288J</t>
  </si>
  <si>
    <t>9789004164499</t>
  </si>
  <si>
    <t>794281298</t>
  </si>
  <si>
    <t>Z6022 S3</t>
  </si>
  <si>
    <t>0                      Z  6022000S  3</t>
  </si>
  <si>
    <t>The W.H. Pugsley Collection of Early Maps of Canada, McGill University Library Map Collection : a catalogue / compiled by Elizabeth Saunders and Elizabeth Hale.</t>
  </si>
  <si>
    <t>McGill University. Libraries. Map Collection.</t>
  </si>
  <si>
    <t>Montreal : Dept. of Rare Books and Special Collections, McGill University Libraries, 1975.</t>
  </si>
  <si>
    <t>5616160313:eng</t>
  </si>
  <si>
    <t>61610538</t>
  </si>
  <si>
    <t>ocm61610538</t>
  </si>
  <si>
    <t>3000859331V</t>
  </si>
  <si>
    <t>794048983</t>
  </si>
  <si>
    <t>Z6027 C2 G46 1934</t>
  </si>
  <si>
    <t>0                      Z  6027000C  2                  G  46          1934</t>
  </si>
  <si>
    <t>Published maps (1917-1934 inclusive) / list compiled by P.J. Moran.</t>
  </si>
  <si>
    <t>Geological Survey of Canada.</t>
  </si>
  <si>
    <t>Ottawa : Printer to the King, 1934.</t>
  </si>
  <si>
    <t>315350356:eng</t>
  </si>
  <si>
    <t>427925735</t>
  </si>
  <si>
    <t>ocn427925735</t>
  </si>
  <si>
    <t>31013421737</t>
  </si>
  <si>
    <t>794713325</t>
  </si>
  <si>
    <t>Z6027 U6 D63 2018</t>
  </si>
  <si>
    <t>0                      Z  6027000U  6                  D  63          2018</t>
  </si>
  <si>
    <t>A research guide to cartographic resources : print and electronic sources / Eva H. Dodsworth.</t>
  </si>
  <si>
    <t>Dodsworth, Eva, 1976- author.</t>
  </si>
  <si>
    <t>Lanham : Rowman &amp; Littlefield, [2018]</t>
  </si>
  <si>
    <t>4770290727:eng</t>
  </si>
  <si>
    <t>1023608883</t>
  </si>
  <si>
    <t>on1023608883</t>
  </si>
  <si>
    <t>3103714298P</t>
  </si>
  <si>
    <t>9781538100837</t>
  </si>
  <si>
    <t>795051876</t>
  </si>
  <si>
    <t>Z6034 A68 B42 1994</t>
  </si>
  <si>
    <t>0                      Z  6034000A  68                 B  42          1994</t>
  </si>
  <si>
    <t>Late Quaternary studies in Beringia and beyond, 1950-1993 : an annotated bibliography / by Alwynne B. Beaudoin and Frances D. Reintjes.</t>
  </si>
  <si>
    <t>Beaudoin, Alwynne B. (Alwynne Bowyer), 1955-</t>
  </si>
  <si>
    <t>Edmonton : Archaeological Survey, Provincial Museum of Alberta, 1994.</t>
  </si>
  <si>
    <t>Occasional paper / Provincial Museum of Alberta, Archaeological Survey, 0707-2651 ; no. 35</t>
  </si>
  <si>
    <t>2017-08-21</t>
  </si>
  <si>
    <t>62781920:eng</t>
  </si>
  <si>
    <t>31514810</t>
  </si>
  <si>
    <t>ocm31514810</t>
  </si>
  <si>
    <t>3101713727C</t>
  </si>
  <si>
    <t>9780773213876</t>
  </si>
  <si>
    <t>793362876</t>
  </si>
  <si>
    <t>Z6203 T95 fasc. 13</t>
  </si>
  <si>
    <t>0                      Z  6203000T  95                                                      fasc. 13</t>
  </si>
  <si>
    <t>Le fabliau / par Omer Jodogne. Le lai narratif / par Jean Charles Payen.</t>
  </si>
  <si>
    <t>fasc. 13*</t>
  </si>
  <si>
    <t>Jodogne, Omer.</t>
  </si>
  <si>
    <t>Turnhout : Brepols, 1975.</t>
  </si>
  <si>
    <t>Typologie des sources du Moyen Âge occidental ; fasc. 13</t>
  </si>
  <si>
    <t>347760637:fre</t>
  </si>
  <si>
    <t>3156850</t>
  </si>
  <si>
    <t>ocm03156850</t>
  </si>
  <si>
    <t>3000958191J</t>
  </si>
  <si>
    <t>792223793</t>
  </si>
  <si>
    <t>Z6203 T95 fasc. 17</t>
  </si>
  <si>
    <t>0                      Z  6203000T  95                                                      fasc. 17</t>
  </si>
  <si>
    <t>Letters and letter-collections / by Giles Constable.</t>
  </si>
  <si>
    <t>fasc. 17*</t>
  </si>
  <si>
    <t>Constable, Giles.</t>
  </si>
  <si>
    <t>Turnhout : Ed. Brepols, 1976.</t>
  </si>
  <si>
    <t>Typologie des sources du Moyen Age occidental ; fasc. 17</t>
  </si>
  <si>
    <t>8917864:eng</t>
  </si>
  <si>
    <t>4641316</t>
  </si>
  <si>
    <t>ocm04641316</t>
  </si>
  <si>
    <t>3102455863K</t>
  </si>
  <si>
    <t>792370642</t>
  </si>
  <si>
    <t>Z6203 T95 fasc. 20</t>
  </si>
  <si>
    <t>0                      Z  6203000T  95                                                      fasc. 20</t>
  </si>
  <si>
    <t>Les armoiries / par Michel Pastoureau.</t>
  </si>
  <si>
    <t>fasc. 20*</t>
  </si>
  <si>
    <t>Pastoureau, Michel, 1947-</t>
  </si>
  <si>
    <t>Turnhout, Belgique : Brepols, 1976.</t>
  </si>
  <si>
    <t>Typologie des sources du Moyen Âge occidental ; fasc. 20</t>
  </si>
  <si>
    <t>2015-03-20</t>
  </si>
  <si>
    <t>350020468:fre</t>
  </si>
  <si>
    <t>3144137</t>
  </si>
  <si>
    <t>ocm03144137</t>
  </si>
  <si>
    <t>3000958089A</t>
  </si>
  <si>
    <t>792222641</t>
  </si>
  <si>
    <t>Z6203 T95 fasc. 27</t>
  </si>
  <si>
    <t>0                      Z  6203000T  95                                                      fasc. 27</t>
  </si>
  <si>
    <t>Les "Libri paenitentiales" / par Cyrille Vogel.</t>
  </si>
  <si>
    <t>fasc. 27*</t>
  </si>
  <si>
    <t>Vogel, Cyrille.</t>
  </si>
  <si>
    <t>Turnhout, Belgium : Brepols, 1978.</t>
  </si>
  <si>
    <t>Typologie des sources du Moyen Age occidental ; fasc. 27</t>
  </si>
  <si>
    <t>2016-07-19</t>
  </si>
  <si>
    <t>349791955:fre</t>
  </si>
  <si>
    <t>4900447</t>
  </si>
  <si>
    <t>ocm04900447</t>
  </si>
  <si>
    <t>3000958076J</t>
  </si>
  <si>
    <t>9782503360270</t>
  </si>
  <si>
    <t>792392311</t>
  </si>
  <si>
    <t>Z6203 T95 fasc. 3</t>
  </si>
  <si>
    <t>0                      Z  6203000T  95                                                      fasc. 3</t>
  </si>
  <si>
    <t>Les actes publics / par L. Genicot.</t>
  </si>
  <si>
    <t>fasc. 3*</t>
  </si>
  <si>
    <t>Genicot, Léopold.</t>
  </si>
  <si>
    <t>Turnhout : Brepols, 1972.</t>
  </si>
  <si>
    <t>Typologie des sources du Moyen Age occidental ; fasc. 3</t>
  </si>
  <si>
    <t>9737928009:fre</t>
  </si>
  <si>
    <t>3144117</t>
  </si>
  <si>
    <t>ocm03144117</t>
  </si>
  <si>
    <t>3103599402Y</t>
  </si>
  <si>
    <t>792222636</t>
  </si>
  <si>
    <t>Z6203 T95 fasc. 31</t>
  </si>
  <si>
    <t>0                      Z  6203000T  95                                                      fasc. 31</t>
  </si>
  <si>
    <t>Les catalogues de bibliothèques / par Albert Derolez.</t>
  </si>
  <si>
    <t>fasc. 31*</t>
  </si>
  <si>
    <t>Turnhout : Brepols, 1979.</t>
  </si>
  <si>
    <t>Typologie des sources du Moyen Age occidental ; fasc. 31</t>
  </si>
  <si>
    <t>349791957:fre</t>
  </si>
  <si>
    <t>6481070</t>
  </si>
  <si>
    <t>ocm06481070</t>
  </si>
  <si>
    <t>30009581043</t>
  </si>
  <si>
    <t>792502245</t>
  </si>
  <si>
    <t>Z6203 T95 fasc. 34</t>
  </si>
  <si>
    <t>0                      Z  6203000T  95                                                      fasc. 34</t>
  </si>
  <si>
    <t>Les armes / par Claude Gaier.</t>
  </si>
  <si>
    <t>fasc. 34*</t>
  </si>
  <si>
    <t>Gaier, Claude.</t>
  </si>
  <si>
    <t>Turnhout, Belgium : Brepols, 1979.</t>
  </si>
  <si>
    <t>Typologie des sources du Moyen Age occidental ; fasc. 34</t>
  </si>
  <si>
    <t>355361399:fre</t>
  </si>
  <si>
    <t>6482588</t>
  </si>
  <si>
    <t>ocm06482588</t>
  </si>
  <si>
    <t>3000958081Q</t>
  </si>
  <si>
    <t>792502330</t>
  </si>
  <si>
    <t>Z6203 T95 fasc. 38</t>
  </si>
  <si>
    <t>0                      Z  6203000T  95                                                      fasc. 38</t>
  </si>
  <si>
    <t>Les récits de voyages et de pèlerinages / par Jean Richard.</t>
  </si>
  <si>
    <t>fasc. 38*</t>
  </si>
  <si>
    <t>Richard, Jean, 1921 February 7-</t>
  </si>
  <si>
    <t>Turnhout, Belgium : Brepols, 1981.</t>
  </si>
  <si>
    <t>Typologie des sources du Moyen Age occidental ; fasc. 38</t>
  </si>
  <si>
    <t>2016-05-25</t>
  </si>
  <si>
    <t>351674489:fre</t>
  </si>
  <si>
    <t>7698930</t>
  </si>
  <si>
    <t>ocm07698930</t>
  </si>
  <si>
    <t>3000958073P</t>
  </si>
  <si>
    <t>792574869</t>
  </si>
  <si>
    <t>Z6203 T95 fasc. 41</t>
  </si>
  <si>
    <t>0                      Z  6203000T  95                                                      fasc. 41</t>
  </si>
  <si>
    <t>La coutume / par John Gilissen.</t>
  </si>
  <si>
    <t>fasc. 41*</t>
  </si>
  <si>
    <t>Gilissen, John.</t>
  </si>
  <si>
    <t>Turnhout, Belgium : Brepols, 1982.</t>
  </si>
  <si>
    <t>Typologie des sources du Moyen Age occidental ; fasc. 41</t>
  </si>
  <si>
    <t>2015-07-29</t>
  </si>
  <si>
    <t>356243376:fre</t>
  </si>
  <si>
    <t>9001676</t>
  </si>
  <si>
    <t>ocm09001676</t>
  </si>
  <si>
    <t>30009532581</t>
  </si>
  <si>
    <t>9782503360416</t>
  </si>
  <si>
    <t>792652654</t>
  </si>
  <si>
    <t>Z6203 T95 fasc. 44-45</t>
  </si>
  <si>
    <t>0                      Z  6203000T  95                                                      fasc. 44-45</t>
  </si>
  <si>
    <t>Les Questions disputées et les questions quodlibétiques dans les facultés de théologie, de droit et de médecine / par Bernardo C. Bazàn [and others].</t>
  </si>
  <si>
    <t>fasc. 44-45*</t>
  </si>
  <si>
    <t>Turnhout, Belgium : Brepols, 1985.</t>
  </si>
  <si>
    <t>Typologie des sources du Moyen Age occidental ; fasc. 44-45</t>
  </si>
  <si>
    <t>2017-12-21</t>
  </si>
  <si>
    <t>889272849:fre</t>
  </si>
  <si>
    <t>13767121</t>
  </si>
  <si>
    <t>ocm13767121</t>
  </si>
  <si>
    <t>3000957850A</t>
  </si>
  <si>
    <t>9782503360447</t>
  </si>
  <si>
    <t>792865854</t>
  </si>
  <si>
    <t>Z6203 T95 fasc. 49</t>
  </si>
  <si>
    <t>0                      Z  6203000T  95                                                      fasc. 49</t>
  </si>
  <si>
    <t>L'Epopée / par Régis Boyer [and others] ; sous la direction de Juan Victorio, avec la collaboration de Jean-Charles Payen.</t>
  </si>
  <si>
    <t>fasc. 49*</t>
  </si>
  <si>
    <t>Turnhout, Belgium : Brepols, 1988.</t>
  </si>
  <si>
    <t>Typologie des sources du Moyen Age occidental ; fasc. 49</t>
  </si>
  <si>
    <t>889315460:fre</t>
  </si>
  <si>
    <t>28220912</t>
  </si>
  <si>
    <t>ocm28220912</t>
  </si>
  <si>
    <t>30009639584</t>
  </si>
  <si>
    <t>9782503360003</t>
  </si>
  <si>
    <t>793283099</t>
  </si>
  <si>
    <t>Z6203 T95 fasc. 52</t>
  </si>
  <si>
    <t>0                      Z  6203000T  95                                                      fasc. 52</t>
  </si>
  <si>
    <t>Les livres de chant liturgique / par Michel Huglo.</t>
  </si>
  <si>
    <t>fasc. 52*</t>
  </si>
  <si>
    <t>Huglo, Michel.</t>
  </si>
  <si>
    <t>Typologie des sources du Moyen Age occidental ; fasc. 52</t>
  </si>
  <si>
    <t>349047563:fre</t>
  </si>
  <si>
    <t>19071798</t>
  </si>
  <si>
    <t>ocm19071798</t>
  </si>
  <si>
    <t>3000964609O</t>
  </si>
  <si>
    <t>793046175</t>
  </si>
  <si>
    <t>Z6203 T95 fasc. 88</t>
  </si>
  <si>
    <t>0                      Z  6203000T  95                                                      fasc. 88</t>
  </si>
  <si>
    <t>Les écrits sur les poisons / par Franck Collard, professeur à l'Université de Paris Ouest Nanterre.</t>
  </si>
  <si>
    <t>fasc. 88*</t>
  </si>
  <si>
    <t>Collard, Franck, author.</t>
  </si>
  <si>
    <t>Turnhout, Belgium : Brepols, 2016.</t>
  </si>
  <si>
    <t>Typologie des sources du Moyen Âge occidental, 0775-3381 ; fasc. 88</t>
  </si>
  <si>
    <t>2949299347:fre</t>
  </si>
  <si>
    <t>946716565</t>
  </si>
  <si>
    <t>ocn946716565</t>
  </si>
  <si>
    <t>3103658893B</t>
  </si>
  <si>
    <t>9782503552170</t>
  </si>
  <si>
    <t>795014714</t>
  </si>
  <si>
    <t>Z6203 T95 fasc.77</t>
  </si>
  <si>
    <t>0                      Z  6203000T  95                                                      fasc.77</t>
  </si>
  <si>
    <t>Les livres de cuisine médiévaux / par Bruno Laurioux.</t>
  </si>
  <si>
    <t>fasc.77*</t>
  </si>
  <si>
    <t>Laurioux, Bruno.</t>
  </si>
  <si>
    <t>Turnhout, Belgium : Brepols, 1997.</t>
  </si>
  <si>
    <t>Typologie des sources du Moyen Age occidental ; fasc. 77</t>
  </si>
  <si>
    <t>350028381:fre</t>
  </si>
  <si>
    <t>38004411</t>
  </si>
  <si>
    <t>ocm38004411</t>
  </si>
  <si>
    <t>3101872111D</t>
  </si>
  <si>
    <t>9782503360775</t>
  </si>
  <si>
    <t>793512638</t>
  </si>
  <si>
    <t>Z6203 T95 fasc.87</t>
  </si>
  <si>
    <t>0                      Z  6203000T  95                                                      fasc.87</t>
  </si>
  <si>
    <t>Les manuels de combat (Fechtbücher et Ringbücher) / par Sergio Boffa, docteur en histoire.</t>
  </si>
  <si>
    <t>fasc.87*</t>
  </si>
  <si>
    <t>Boffa, Sergio, 1965- author.</t>
  </si>
  <si>
    <t>Turnhout : Brepols, 2014.</t>
  </si>
  <si>
    <t>Typologie des sources du Moyen Âge cccidental ; fasc. 87</t>
  </si>
  <si>
    <t>1852670374:fre</t>
  </si>
  <si>
    <t>869725302</t>
  </si>
  <si>
    <t>ocn869725302</t>
  </si>
  <si>
    <t>31035568683</t>
  </si>
  <si>
    <t>9782503549385</t>
  </si>
  <si>
    <t>794965701</t>
  </si>
  <si>
    <t>Z6207 E8 C66 2012</t>
  </si>
  <si>
    <t>0                      Z  6207000E  8                  C  66          2012</t>
  </si>
  <si>
    <t>The United States in World War I : a bibliographic guide / James T. Controvich.</t>
  </si>
  <si>
    <t>Controvich, James T.</t>
  </si>
  <si>
    <t>1081382114:eng</t>
  </si>
  <si>
    <t>777602354</t>
  </si>
  <si>
    <t>ocn777602354</t>
  </si>
  <si>
    <t>3103532988M</t>
  </si>
  <si>
    <t>9780810883062</t>
  </si>
  <si>
    <t>794908926</t>
  </si>
  <si>
    <t>Z6207 E8 S45</t>
  </si>
  <si>
    <t>0                      Z  6207000E  8                  S  45</t>
  </si>
  <si>
    <t>World War I in the air : a bibliography and chronology / by Myron J. Smith, Jr. ; with a foreword by Stephen W. Thompson and a preface by Arch Whitehouse.</t>
  </si>
  <si>
    <t>Metuchen, N.J. : Scarecrow Press, 1977.</t>
  </si>
  <si>
    <t>198927909:eng</t>
  </si>
  <si>
    <t>2508277</t>
  </si>
  <si>
    <t>ocm02508277</t>
  </si>
  <si>
    <t>3000954367S</t>
  </si>
  <si>
    <t>9780810809901</t>
  </si>
  <si>
    <t>792137072</t>
  </si>
  <si>
    <t>Z6207 E8 T46 2013</t>
  </si>
  <si>
    <t>0                      Z  6207000E  8                  T  46          2013</t>
  </si>
  <si>
    <t>The Canadian experience of the Great War : a guide to memoirs / Brian Douglas Tennyson.</t>
  </si>
  <si>
    <t>Tennyson, Brian Douglas.</t>
  </si>
  <si>
    <t>Lanham, Maryland : The Scarecrow Press, Inc, 2013.</t>
  </si>
  <si>
    <t>1183013813:eng</t>
  </si>
  <si>
    <t>818953856</t>
  </si>
  <si>
    <t>ocn818953856</t>
  </si>
  <si>
    <t>3103581356P</t>
  </si>
  <si>
    <t>9780810886797</t>
  </si>
  <si>
    <t>794934302</t>
  </si>
  <si>
    <t>Z6265 B53 1994</t>
  </si>
  <si>
    <t>0                      Z  6265000B  53          1994</t>
  </si>
  <si>
    <t>The humanities : a selective guide to information sources / Ron Blazek and Elizabeth Aversa.</t>
  </si>
  <si>
    <t>Blazek, Ron.</t>
  </si>
  <si>
    <t>799931462:eng</t>
  </si>
  <si>
    <t>31211501</t>
  </si>
  <si>
    <t>ocm31211501</t>
  </si>
  <si>
    <t>3101405055F</t>
  </si>
  <si>
    <t>9781563081675</t>
  </si>
  <si>
    <t>793356072</t>
  </si>
  <si>
    <t>Z6265 B53 2000</t>
  </si>
  <si>
    <t>0                      Z  6265000B  53          2000</t>
  </si>
  <si>
    <t>43050302</t>
  </si>
  <si>
    <t>ocm43050302</t>
  </si>
  <si>
    <t>31020278794</t>
  </si>
  <si>
    <t>9781563086014</t>
  </si>
  <si>
    <t>793619260</t>
  </si>
  <si>
    <t>Z6265 B53 2013</t>
  </si>
  <si>
    <t>0                      Z  6265000B  53          2013</t>
  </si>
  <si>
    <t>Information resources in the humanities and the arts.</t>
  </si>
  <si>
    <t>Perrault, Anna H., 1944- author.</t>
  </si>
  <si>
    <t>Sixth edition / Anna H. Perrault and Elizabeth S. Aversa ; with contributing authors, Cynthia Miller and Sonia Ramírez Wohlmuth.</t>
  </si>
  <si>
    <t>Libraries Unlimited library and information science text series</t>
  </si>
  <si>
    <t>1213825024:eng</t>
  </si>
  <si>
    <t>768800310</t>
  </si>
  <si>
    <t>ocn768800310</t>
  </si>
  <si>
    <t>3103530620E</t>
  </si>
  <si>
    <t>9781598848328</t>
  </si>
  <si>
    <t>794902797</t>
  </si>
  <si>
    <t>Z6366 B8 1987 v. 2</t>
  </si>
  <si>
    <t>0                      Z  6366000B  8           1987                                        v. 2</t>
  </si>
  <si>
    <t>A history and guide to Judaic encyclopedias and lexicons / Shimeon Brisman.</t>
  </si>
  <si>
    <t>Brisman, Shimeon.</t>
  </si>
  <si>
    <t>Cincinnati : Hebrew Union College Press, 1987.</t>
  </si>
  <si>
    <t>His Jewish research literature ; v. 2</t>
  </si>
  <si>
    <t>5609499473:eng</t>
  </si>
  <si>
    <t>16754747</t>
  </si>
  <si>
    <t>ocm16754747</t>
  </si>
  <si>
    <t>3000963691I</t>
  </si>
  <si>
    <t>9780878209095</t>
  </si>
  <si>
    <t>792971356</t>
  </si>
  <si>
    <t>Z6366 B8 2000 v. 3</t>
  </si>
  <si>
    <t>0                      Z  6366000B  8           2000                                        v. 3</t>
  </si>
  <si>
    <t>A history and guide to Judaic dictionaries and concordances / Shimeon Brisman.</t>
  </si>
  <si>
    <t>pt.1</t>
  </si>
  <si>
    <t>Hoboken, NJ : KTAV Pub. House, 2000-</t>
  </si>
  <si>
    <t>Jewish research literature ; v. 3</t>
  </si>
  <si>
    <t>8908831430:eng</t>
  </si>
  <si>
    <t>41039748</t>
  </si>
  <si>
    <t>ocm41039748</t>
  </si>
  <si>
    <t>3103743189H</t>
  </si>
  <si>
    <t>9780881256581</t>
  </si>
  <si>
    <t>793582535</t>
  </si>
  <si>
    <t>Z6371 D4 P56 2001</t>
  </si>
  <si>
    <t>0                      Z  6371000D  4                  P  56          2001</t>
  </si>
  <si>
    <t>The Orion Center bibliography of the Dead Sea scrolls (1995-2000) / by Avital Pinnick.</t>
  </si>
  <si>
    <t>Pinnick, Avital.</t>
  </si>
  <si>
    <t>Leiden ; Boston : Brill, 2001.</t>
  </si>
  <si>
    <t>Studies on the texts of the desert of Judah, 0169-9962 ; v. 41</t>
  </si>
  <si>
    <t>37354382:eng</t>
  </si>
  <si>
    <t>48271397</t>
  </si>
  <si>
    <t>ocm48271397</t>
  </si>
  <si>
    <t>3102153816N</t>
  </si>
  <si>
    <t>9789004123663</t>
  </si>
  <si>
    <t>793719194</t>
  </si>
  <si>
    <t>Z6373 C3 D3 1955</t>
  </si>
  <si>
    <t>0                      Z  6373000C  3                  D  3           1955</t>
  </si>
  <si>
    <t>Printed Jewish Canadiana, 1685-1900; tentative check list of books, pamphlets, pictures, magazine and newspaper articles and currency, written by or relating to the Jews of Canada.</t>
  </si>
  <si>
    <t>Davies, Raymond Arthur, 1908-1985.</t>
  </si>
  <si>
    <t>Montreal, L. Davies, 1955.</t>
  </si>
  <si>
    <t>922501818:eng</t>
  </si>
  <si>
    <t>2150107</t>
  </si>
  <si>
    <t>ocm02150107</t>
  </si>
  <si>
    <t>30009517450</t>
  </si>
  <si>
    <t>792056907</t>
  </si>
  <si>
    <t>Z6373 C3 P8 1987</t>
  </si>
  <si>
    <t>0                      Z  6373000C  3                  P  8           1987</t>
  </si>
  <si>
    <t>Archival sources for the study of Canadian Jewry / Lawrence F. Tapper.</t>
  </si>
  <si>
    <t>National Ethnic Archives (Canada)</t>
  </si>
  <si>
    <t>[Ottawa] : National Archives of Canada, National Ethnic Archives, 1987.</t>
  </si>
  <si>
    <t>2nd ed. rev. and expanded.</t>
  </si>
  <si>
    <t>Ethnocultural guide series / National Archives of Canada</t>
  </si>
  <si>
    <t>19186993:eng</t>
  </si>
  <si>
    <t>427268228</t>
  </si>
  <si>
    <t>ocn427268228</t>
  </si>
  <si>
    <t>30009585816</t>
  </si>
  <si>
    <t>9780662553205</t>
  </si>
  <si>
    <t>794556191</t>
  </si>
  <si>
    <t>Z6373 C3 S36 1992</t>
  </si>
  <si>
    <t>0                      Z  6373000C  3                  S  36          1992</t>
  </si>
  <si>
    <t>Contemporary Jewish life in Canada : a bibliography / Stuart Schoenfeld, project director ; Dwight Daigneault, research assistant.</t>
  </si>
  <si>
    <t>Schoenfeld, Stuart.</t>
  </si>
  <si>
    <t>[Toronto, Ont.] : [York University, Centre for Jewish Studies], [1992]</t>
  </si>
  <si>
    <t>46133212:eng</t>
  </si>
  <si>
    <t>61562391</t>
  </si>
  <si>
    <t>ocm61562391</t>
  </si>
  <si>
    <t>31012767331</t>
  </si>
  <si>
    <t>793995498</t>
  </si>
  <si>
    <t>Z6373 C3 V33 1991</t>
  </si>
  <si>
    <t>0                      Z  6373000C  3                  V  33          1991</t>
  </si>
  <si>
    <t>A selected bibliography of research on Canadian Jewry : 1900-1980 / compiled by Susan Vadnay.</t>
  </si>
  <si>
    <t>Vadnay, Zsuzsa.</t>
  </si>
  <si>
    <t>Ottawa : S. Vadnay, 1991.</t>
  </si>
  <si>
    <t>31599310:eng</t>
  </si>
  <si>
    <t>29430588</t>
  </si>
  <si>
    <t>ocm29430588</t>
  </si>
  <si>
    <t>31011480280</t>
  </si>
  <si>
    <t>9780969129516</t>
  </si>
  <si>
    <t>793310806</t>
  </si>
  <si>
    <t>Z6373 C5 L5725 1988</t>
  </si>
  <si>
    <t>0                      Z  6373000C  5                  L  5725        1988</t>
  </si>
  <si>
    <t>The Sino-Judaic bibliographies of Rudolf Loewenthal = [Tiao jin jiao] / edited by Michael Pollak.</t>
  </si>
  <si>
    <t>Loewenthal, Rudolf.</t>
  </si>
  <si>
    <t>Cincinnati : Hebrew Union College Press in association with the Sino-Judaic Institute, Palo Alto, Calif., 1988.</t>
  </si>
  <si>
    <t>Bibliographica Judaica ; 12</t>
  </si>
  <si>
    <t>17398535:eng</t>
  </si>
  <si>
    <t>18410941</t>
  </si>
  <si>
    <t>ocm18410941</t>
  </si>
  <si>
    <t>3101111479K</t>
  </si>
  <si>
    <t>9780878209101</t>
  </si>
  <si>
    <t>793024514</t>
  </si>
  <si>
    <t>Z6373 I4 K38 2013</t>
  </si>
  <si>
    <t>0                      Z  6373000I  4                  K  38          2013</t>
  </si>
  <si>
    <t>Indian Jews : an annotated bibliography, 1665-2005 / Nathan Katz.</t>
  </si>
  <si>
    <t>Katz, Nathan, author.</t>
  </si>
  <si>
    <t>New Delhi : Manohar Publishers &amp; Distributors, 2013.</t>
  </si>
  <si>
    <t>1209335910:eng</t>
  </si>
  <si>
    <t>828245962</t>
  </si>
  <si>
    <t>ocn828245962</t>
  </si>
  <si>
    <t>3103456601R</t>
  </si>
  <si>
    <t>9788173049804</t>
  </si>
  <si>
    <t>794940976</t>
  </si>
  <si>
    <t>Z6373 I74 B53 2010</t>
  </si>
  <si>
    <t>0                      Z  6373000I  74                 B  53          2010</t>
  </si>
  <si>
    <t>Bibliography of Jews in the Islamic world / edited by Maria Angeles Gallego, Heather Bleaney, Pablo Garcia Suárez.</t>
  </si>
  <si>
    <t>Supplements to the Index Islamicus, 1876-2123 ; v. 1</t>
  </si>
  <si>
    <t>365029891:eng</t>
  </si>
  <si>
    <t>489518937</t>
  </si>
  <si>
    <t>ocn489518937</t>
  </si>
  <si>
    <t>3103237874P</t>
  </si>
  <si>
    <t>9789004170575</t>
  </si>
  <si>
    <t>794799752</t>
  </si>
  <si>
    <t>Z6373 P7 H86 1984</t>
  </si>
  <si>
    <t>0                      Z  6373000P  7                  H  86          1984</t>
  </si>
  <si>
    <t>The Jews in Poland and Russia : bibliographical essays / Gershon David Hundert and Gershon C. Bacon.</t>
  </si>
  <si>
    <t>Hundert, Gershon David, 1946-</t>
  </si>
  <si>
    <t>Bloomington : Indiana University Press, ©1984.</t>
  </si>
  <si>
    <t>The Modern Jewish experience</t>
  </si>
  <si>
    <t>2017-12-18</t>
  </si>
  <si>
    <t>815368058:eng</t>
  </si>
  <si>
    <t>10483861</t>
  </si>
  <si>
    <t>ocm10483861</t>
  </si>
  <si>
    <t>3000952253G</t>
  </si>
  <si>
    <t>9780253331588</t>
  </si>
  <si>
    <t>792728487</t>
  </si>
  <si>
    <t>Z6374 B5 Z79 1984</t>
  </si>
  <si>
    <t>0                      Z  6374000B  5                  Z  79          1984</t>
  </si>
  <si>
    <t>Jewish genealogy : a sourcebook of family histories and genealogies / David S. Zubatsky, Irwin M. Berent.</t>
  </si>
  <si>
    <t>Zubatsky, David S., 1939-</t>
  </si>
  <si>
    <t>New York : Garland Pub., 1984-1990.</t>
  </si>
  <si>
    <t>Garland reference library of social science ; v. 214, 510</t>
  </si>
  <si>
    <t>2017-12-19</t>
  </si>
  <si>
    <t>886198:eng</t>
  </si>
  <si>
    <t>9969295</t>
  </si>
  <si>
    <t>ocm09969295</t>
  </si>
  <si>
    <t>3000952255C</t>
  </si>
  <si>
    <t>9780824090289</t>
  </si>
  <si>
    <t>792702716</t>
  </si>
  <si>
    <t>3101108354B</t>
  </si>
  <si>
    <t>792702715</t>
  </si>
  <si>
    <t>Z6374 F34 S34 1987</t>
  </si>
  <si>
    <t>0                      Z  6374000F  34                 S  34          1987</t>
  </si>
  <si>
    <t>Jewish family issues : a resource guide / Benjamin Schlesinger.</t>
  </si>
  <si>
    <t>Schlesinger, Benjamin.</t>
  </si>
  <si>
    <t>Garland library of sociology ; vol. 10</t>
  </si>
  <si>
    <t>431512835:eng</t>
  </si>
  <si>
    <t>14967544</t>
  </si>
  <si>
    <t>ocm14967544</t>
  </si>
  <si>
    <t>30009640732</t>
  </si>
  <si>
    <t>9780824084608</t>
  </si>
  <si>
    <t>792915410</t>
  </si>
  <si>
    <t>Z6374 H6 B73 2001</t>
  </si>
  <si>
    <t>0                      Z  6374000H  6                  B  73          2001</t>
  </si>
  <si>
    <t>The Holocaust in Hungary : a selected and annotated bibliography: 1984-2000 / Randolph L. Braham.</t>
  </si>
  <si>
    <t>Braham, Randolph L.</t>
  </si>
  <si>
    <t>[New York] : Rosenthal Institute for Holocaust Studies, Graduate Center/City University of New York : Boulder : Social Science Monographs ; [New York] : Distributed by Columbia University Press, 2001.</t>
  </si>
  <si>
    <t>East European monographs ; 583</t>
  </si>
  <si>
    <t>5614446982:eng</t>
  </si>
  <si>
    <t>49394388</t>
  </si>
  <si>
    <t>ocm49394388</t>
  </si>
  <si>
    <t>31021906675</t>
  </si>
  <si>
    <t>9780880334815</t>
  </si>
  <si>
    <t>793739496</t>
  </si>
  <si>
    <t>Z6374 H6 B732 2008</t>
  </si>
  <si>
    <t>0                      Z  6374000H  6                  B  732         2008</t>
  </si>
  <si>
    <t>The holocaust in Hungary : a selected and annotated bibliography, 2000-2007 / compiled and edited by Randolph L. Braham and Julia Bock.</t>
  </si>
  <si>
    <t>Boulder, CO : Rosenthal Institute for Holocaust Studies Graduate Center/City University of New York and Social Science Monographs, 2008.</t>
  </si>
  <si>
    <t>East European monographs ; no. 730. Holocaust studies series</t>
  </si>
  <si>
    <t>39208366:eng</t>
  </si>
  <si>
    <t>226360347</t>
  </si>
  <si>
    <t>ocn226360347</t>
  </si>
  <si>
    <t>3103422063R</t>
  </si>
  <si>
    <t>9780880336284</t>
  </si>
  <si>
    <t>794345430</t>
  </si>
  <si>
    <t>Z6374 H6 E33 1986</t>
  </si>
  <si>
    <t>0                      Z  6374000H  6                  E  33          1986</t>
  </si>
  <si>
    <t>Bibliography on Holocaust literature / Abraham J. Edelheit and Hershel Edelheit.</t>
  </si>
  <si>
    <t>Edelheit, Abraham J.</t>
  </si>
  <si>
    <t>Boulder : Westview Press, 1986.</t>
  </si>
  <si>
    <t>7363964:eng</t>
  </si>
  <si>
    <t>13525813</t>
  </si>
  <si>
    <t>ocm13525813</t>
  </si>
  <si>
    <t>3000958355F</t>
  </si>
  <si>
    <t>9780813372334</t>
  </si>
  <si>
    <t>792856510</t>
  </si>
  <si>
    <t>Z6374 H6 L37 1985</t>
  </si>
  <si>
    <t>0                      Z  6374000H  6                  L  37          1985</t>
  </si>
  <si>
    <t>Nazism, resistance &amp; holocaust in World War II : a bibliography / by Vera Laska.</t>
  </si>
  <si>
    <t>Laska, Vera, 1923-</t>
  </si>
  <si>
    <t>836687501:eng</t>
  </si>
  <si>
    <t>11398801</t>
  </si>
  <si>
    <t>ocm11398801</t>
  </si>
  <si>
    <t>3103001343N</t>
  </si>
  <si>
    <t>9780810817715</t>
  </si>
  <si>
    <t>792771985</t>
  </si>
  <si>
    <t>Z6374.H6 L54 2011</t>
  </si>
  <si>
    <t>0                      Z  6374000H  6                  L  54          2011</t>
  </si>
  <si>
    <t>LIETUVOS CENTRINIO VALSTYBĖS ARCHYVO FONDAI : HOLOKAUSTO LIETUVOJE TYRIMO ŠALTINIS : THE COLLECTIONS OF THE STATE ARCHIVE OF LITHUANIA : A SOURCE OF RESEARCH ON THE HOLOCAUST IN LITHUANIA / Sudarė Galina Žirikova ; Į anglų kalbą vertė Zuzana Šiušaitė.</t>
  </si>
  <si>
    <t>Vilnius : Valstybinis Vilniaus Gaono žydų muziejus, 2011.</t>
  </si>
  <si>
    <t>lit</t>
  </si>
  <si>
    <t>1060409314:lit</t>
  </si>
  <si>
    <t>768093182</t>
  </si>
  <si>
    <t>ocn768093182</t>
  </si>
  <si>
    <t>B001470211</t>
  </si>
  <si>
    <t>9789955767114</t>
  </si>
  <si>
    <t>794901920</t>
  </si>
  <si>
    <t>Z6374 H6 N39 2010</t>
  </si>
  <si>
    <t>0                      Z  6374000H  6                  N  39          2010</t>
  </si>
  <si>
    <t>Nazi-looted Jewish archives in Moscow : a guide to Jewish historical and cultural collections in the Russian State Military Archive / edited by David E. Fishman, Mark Kupovetsky, Vladimir Kuzelenkov.</t>
  </si>
  <si>
    <t>Scranton : University of Scranton Press in association with the United States Holocaust Memorial Museum and the Jewish Theological Seminary, 2010.</t>
  </si>
  <si>
    <t>440293224:eng</t>
  </si>
  <si>
    <t>569508588</t>
  </si>
  <si>
    <t>ocn569508588</t>
  </si>
  <si>
    <t>3103414404O</t>
  </si>
  <si>
    <t>9781589662209</t>
  </si>
  <si>
    <t>794813752</t>
  </si>
  <si>
    <t>Z6374 H6 R67 2002</t>
  </si>
  <si>
    <t>0                      Z  6374000H  6                  R  67          2002</t>
  </si>
  <si>
    <t>Bearing witness : a resource guide to literature, poetry, art, music, and videos by Holocaust victims and survivors / Philip Rosen and Nina Apfelbaum.</t>
  </si>
  <si>
    <t>Rosen, Philip, 1928-</t>
  </si>
  <si>
    <t>793879593:eng</t>
  </si>
  <si>
    <t>45583516</t>
  </si>
  <si>
    <t>ocm45583516</t>
  </si>
  <si>
    <t>3102192597R</t>
  </si>
  <si>
    <t>9780313310768</t>
  </si>
  <si>
    <t>793674285</t>
  </si>
  <si>
    <t>Z6374 Z5 J65</t>
  </si>
  <si>
    <t>0                      Z  6374000Z  5                  J  65</t>
  </si>
  <si>
    <t>Britain and Palestine, 1914-1948 : archival sources for the history of the British Mandate / compiled by Philip Jones.</t>
  </si>
  <si>
    <t>Jones, A. Philip (Arthur Philip), 1947-</t>
  </si>
  <si>
    <t>Oxford : Oxford University Press for the British Academy, ©1979.</t>
  </si>
  <si>
    <t>2018-02-18</t>
  </si>
  <si>
    <t>21728438:eng</t>
  </si>
  <si>
    <t>6143901</t>
  </si>
  <si>
    <t>ocm06143901</t>
  </si>
  <si>
    <t>30009499138</t>
  </si>
  <si>
    <t>9780197259856</t>
  </si>
  <si>
    <t>792478112</t>
  </si>
  <si>
    <t>Z6464 N62 T36 1983</t>
  </si>
  <si>
    <t>0                      Z  6464000N  62                 T  36          1983</t>
  </si>
  <si>
    <t>Non-alignment : a bibliography / J.C. Tandon, Sunita Batra, Regina Muley.</t>
  </si>
  <si>
    <t>Tandon, J. C.</t>
  </si>
  <si>
    <t>New Delhi : Lancers Publishers, 1983.</t>
  </si>
  <si>
    <t>4160226464:eng</t>
  </si>
  <si>
    <t>10162269</t>
  </si>
  <si>
    <t>ocm10162269</t>
  </si>
  <si>
    <t>3000951649X</t>
  </si>
  <si>
    <t>792712182</t>
  </si>
  <si>
    <t>Z6464 W33 T87 1986</t>
  </si>
  <si>
    <t>0                      Z  6464000W  33                 T  87          1986</t>
  </si>
  <si>
    <t>War crimes, war criminals, and war crimes trials : an annotated bibliography and source book / compiled and edited by Norman E. Tutorow with the special assistance of Karen Winnovich.</t>
  </si>
  <si>
    <t>Tutorow, Norman E.</t>
  </si>
  <si>
    <t>Bibliographies and indexes in world history, 0742-6852 ; no. 4</t>
  </si>
  <si>
    <t>795400179:eng</t>
  </si>
  <si>
    <t>13560919</t>
  </si>
  <si>
    <t>ocm13560919</t>
  </si>
  <si>
    <t>3000958430R</t>
  </si>
  <si>
    <t>9780313244124</t>
  </si>
  <si>
    <t>792857856</t>
  </si>
  <si>
    <t>Z6464 Z9 C55 1983</t>
  </si>
  <si>
    <t>0                      Z  6464000Z  9                  C  55          1983</t>
  </si>
  <si>
    <t>Peace and war : a guide to bibliographies / Berenice A. Carroll, Clinton F. Fink, and Jane E. Mohraz ; with a foreword by Michael Keresztesi.</t>
  </si>
  <si>
    <t>Carroll, Berenice A.</t>
  </si>
  <si>
    <t>Santa Barbara, Calif. : ABC-Clio, 1983.</t>
  </si>
  <si>
    <t>War/peace bibliography series ; #16</t>
  </si>
  <si>
    <t>344205305:eng</t>
  </si>
  <si>
    <t>7284121</t>
  </si>
  <si>
    <t>ocm07284121</t>
  </si>
  <si>
    <t>3000951292B</t>
  </si>
  <si>
    <t>9780874363227</t>
  </si>
  <si>
    <t>792551451</t>
  </si>
  <si>
    <t>Z6465 F7 Y68 1991</t>
  </si>
  <si>
    <t>0                      Z  6465000F  7                  Y  68          1991</t>
  </si>
  <si>
    <t>French foreign policy, 1918-1945 : a guide to research and research materials / compiled and edited by Robert J. Young.</t>
  </si>
  <si>
    <t>Young, Robert J., 1942-</t>
  </si>
  <si>
    <t>Wilmington, Del. : Scholarly Resources, 1991.</t>
  </si>
  <si>
    <t>Guides to European diplomatic history research and research materials</t>
  </si>
  <si>
    <t>797105331:eng</t>
  </si>
  <si>
    <t>21521135</t>
  </si>
  <si>
    <t>ocm21521135</t>
  </si>
  <si>
    <t>3100948145M</t>
  </si>
  <si>
    <t>9780842023085</t>
  </si>
  <si>
    <t>793121275</t>
  </si>
  <si>
    <t>Z6465 G4 K54 2013</t>
  </si>
  <si>
    <t>0                      Z  6465000G  4                  K  54          2013</t>
  </si>
  <si>
    <t>German foreign policy, 1918-1945 : a guide to current research and resources / Christoph M. Kimmich.</t>
  </si>
  <si>
    <t>Kimmich, Christoph M.</t>
  </si>
  <si>
    <t>3859658296:eng</t>
  </si>
  <si>
    <t>818465854</t>
  </si>
  <si>
    <t>ocn818465854</t>
  </si>
  <si>
    <t>3103529172P</t>
  </si>
  <si>
    <t>9780810884458</t>
  </si>
  <si>
    <t>794934049</t>
  </si>
  <si>
    <t>Z6465 P3 B72</t>
  </si>
  <si>
    <t>0                      Z  6465000P  3                  B  72</t>
  </si>
  <si>
    <t>The controversy over a new canal treaty between the United States and Panama : a selective annotated bibliography of United States, Panamanian, Colombian, French, and international organization sources / compiled by Wayne D. Bray under the direction and supervision of the Hispanic Law Division, Law Library.</t>
  </si>
  <si>
    <t>Bray, Wayne D.</t>
  </si>
  <si>
    <t>Washington : Library of Congress : For sale by the Supt. of Docs., U.S. Govt. Print. Off., 1976.</t>
  </si>
  <si>
    <t>2016-01-30</t>
  </si>
  <si>
    <t>5610538985:eng</t>
  </si>
  <si>
    <t>2493116</t>
  </si>
  <si>
    <t>ocm02493116</t>
  </si>
  <si>
    <t>3000954381Y</t>
  </si>
  <si>
    <t>9780844402130</t>
  </si>
  <si>
    <t>792134836</t>
  </si>
  <si>
    <t>Z6465 U5 N58 2001</t>
  </si>
  <si>
    <t>0                      Z  6465000U  5                  N  58          2001</t>
  </si>
  <si>
    <t>British comment on the United States : a chronological bibliography, 1832-1899 / Ada B. Nisbet ; edited by Elliot J. Kanter ; with a foreword by Asa Briggs.</t>
  </si>
  <si>
    <t>Nisbet, Ada B. (Ada Blanche), 1907-1994.</t>
  </si>
  <si>
    <t>Berkeley : University of California Press, ©2001.</t>
  </si>
  <si>
    <t>University of California publications. Catalogs and bibliographies ; v. 15</t>
  </si>
  <si>
    <t>49052653:eng</t>
  </si>
  <si>
    <t>45499850</t>
  </si>
  <si>
    <t>ocm45499850</t>
  </si>
  <si>
    <t>3102192331S</t>
  </si>
  <si>
    <t>9780520098114</t>
  </si>
  <si>
    <t>793672874</t>
  </si>
  <si>
    <t>Z6514 A77 D46 2010</t>
  </si>
  <si>
    <t>0                      Z  6514000A  77                 D  46          2010</t>
  </si>
  <si>
    <t>Poets on paintings : a bibliography / Robert D. Denham.</t>
  </si>
  <si>
    <t>Denham, Robert D.</t>
  </si>
  <si>
    <t>Jefferson, NC : McFarland &amp; Co., 2010.</t>
  </si>
  <si>
    <t>796710522:eng</t>
  </si>
  <si>
    <t>496959919</t>
  </si>
  <si>
    <t>ocn496959919</t>
  </si>
  <si>
    <t>3103313530P</t>
  </si>
  <si>
    <t>9780786447251</t>
  </si>
  <si>
    <t>794802825</t>
  </si>
  <si>
    <t>Z6514 B5 O56 2015</t>
  </si>
  <si>
    <t>0                      Z  6514000B  5                  O  56          2015</t>
  </si>
  <si>
    <t>La Biblia Hebrea en la literatura : guía temática y bibliográfica / Gregorio del Olmo Lete.</t>
  </si>
  <si>
    <t>Olmo Lete, Gregorio del, 1935-</t>
  </si>
  <si>
    <t>Barcelona : Universitat de Barcelona, 2015.</t>
  </si>
  <si>
    <t>Barcino monographica orientalia ; 5</t>
  </si>
  <si>
    <t>1047589469:spa</t>
  </si>
  <si>
    <t>945659495</t>
  </si>
  <si>
    <t>ocn945659495</t>
  </si>
  <si>
    <t>3103710309T</t>
  </si>
  <si>
    <t>9788447542307</t>
  </si>
  <si>
    <t>795013766</t>
  </si>
  <si>
    <t>Z6514 P7 N4 1972</t>
  </si>
  <si>
    <t>0                      Z  6514000P  7                  N  4           1972</t>
  </si>
  <si>
    <t>Chapbooks: a guide to reference material on English, Scottish and American chapbook literature of the eighteenth and nineteenth centuries, [by] Victor E. Neuburg.</t>
  </si>
  <si>
    <t>Neuburg, Victor E.</t>
  </si>
  <si>
    <t>London, Woburn Press, 1972.</t>
  </si>
  <si>
    <t>6811064:eng</t>
  </si>
  <si>
    <t>548981</t>
  </si>
  <si>
    <t>ocm00548981</t>
  </si>
  <si>
    <t>3000960018U</t>
  </si>
  <si>
    <t>9780713000610</t>
  </si>
  <si>
    <t>791411072</t>
  </si>
  <si>
    <t>2008-03-03</t>
  </si>
  <si>
    <t>3000851169H</t>
  </si>
  <si>
    <t>791411073</t>
  </si>
  <si>
    <t>Z6520 C57 P67 1988</t>
  </si>
  <si>
    <t>0                      Z  6520000C  57                 P  67          1988</t>
  </si>
  <si>
    <t>De la ville à sa littérature : préliminaires et bibliographie / document du Groupe de recherche "Montréal imaginaire" ; préparé par Pierre Popovic.</t>
  </si>
  <si>
    <t>Popovic, Pierre.</t>
  </si>
  <si>
    <t>Montréal : Département d'études françaises, Université de Montréal, 1988.</t>
  </si>
  <si>
    <t>1107744283:fre</t>
  </si>
  <si>
    <t>793399153</t>
  </si>
  <si>
    <t>ocn793399153</t>
  </si>
  <si>
    <t>3103296094J</t>
  </si>
  <si>
    <t>794918108</t>
  </si>
  <si>
    <t>Z6521 A8 O3 1942</t>
  </si>
  <si>
    <t>0                      Z  6521000A  8                  O  3           1942</t>
  </si>
  <si>
    <t>The Art of dying well; the development of the Ars moriendi, by Sister Mary Catharine O'Connor.</t>
  </si>
  <si>
    <t>O'Connor, Mary Catharine, 1896-</t>
  </si>
  <si>
    <t>New York, Columbia University Press, 1942.</t>
  </si>
  <si>
    <t>Columbia University studies in English and comparative literature, no. 156</t>
  </si>
  <si>
    <t>2017-10-11</t>
  </si>
  <si>
    <t>1505491:eng</t>
  </si>
  <si>
    <t>2226890</t>
  </si>
  <si>
    <t>ocm02226890</t>
  </si>
  <si>
    <t>3000784743M</t>
  </si>
  <si>
    <t>792070390</t>
  </si>
  <si>
    <t>Z6601 A1 R392 2018</t>
  </si>
  <si>
    <t>0                      Z  6601000A  1                  R  392         2018</t>
  </si>
  <si>
    <t>Supplément au Répertoire des bibliothèques et des catalogues de manuscrits grecs / par Jean-Marie Olivier.</t>
  </si>
  <si>
    <t>Olivier, Jean-Marie.</t>
  </si>
  <si>
    <t>Turnhout : Brepols Publishers, 2018.</t>
  </si>
  <si>
    <t>mul</t>
  </si>
  <si>
    <t>Corpus christianorum</t>
  </si>
  <si>
    <t>10177681203:fre</t>
  </si>
  <si>
    <t>1005725618</t>
  </si>
  <si>
    <t>on1030912120</t>
  </si>
  <si>
    <t>31037948493</t>
  </si>
  <si>
    <t>9782503577203</t>
  </si>
  <si>
    <t>795054925</t>
  </si>
  <si>
    <t>31037948388</t>
  </si>
  <si>
    <t>795054926</t>
  </si>
  <si>
    <t>Z6601 G36 1999</t>
  </si>
  <si>
    <t>0                      Z  6601000G  36          1999</t>
  </si>
  <si>
    <t>The manuscripts of early Norman England (c. 1066-1130) / by Richard Gameson.</t>
  </si>
  <si>
    <t>Gameson, Richard.</t>
  </si>
  <si>
    <t>Oxford ; New York : Published for the British Academy by Oxford University Press, ©1999.</t>
  </si>
  <si>
    <t>A British Academy postdoctoral fellowship monograph</t>
  </si>
  <si>
    <t>44170124:eng</t>
  </si>
  <si>
    <t>43378005</t>
  </si>
  <si>
    <t>ocm43378005</t>
  </si>
  <si>
    <t>3102316588A</t>
  </si>
  <si>
    <t>9780197261903</t>
  </si>
  <si>
    <t>793625532</t>
  </si>
  <si>
    <t>Z6602 L87</t>
  </si>
  <si>
    <t>0                      Z  6602000L  87</t>
  </si>
  <si>
    <t>Essays on manuscripts and rare books / by Cora E. Lutz.</t>
  </si>
  <si>
    <t>Lutz, Cora E. (Cora Elizabeth), 1906-</t>
  </si>
  <si>
    <t>Hamden, Conn. : Archon Books, 1975.</t>
  </si>
  <si>
    <t>2132050:eng</t>
  </si>
  <si>
    <t>1230520</t>
  </si>
  <si>
    <t>ocm01230520</t>
  </si>
  <si>
    <t>3000957047V</t>
  </si>
  <si>
    <t>9780208015136</t>
  </si>
  <si>
    <t>791578695</t>
  </si>
  <si>
    <t>Z6605 A56 G64 2014</t>
  </si>
  <si>
    <t>0                      Z  6605000A  56                 G  64          2014</t>
  </si>
  <si>
    <t>Anglo-Saxon manuscripts : a bibliographical handlist of manuscripts and manuscript fragments written or owned in England up to 1100 / Helmet Gneuss and Michael Lapidge.</t>
  </si>
  <si>
    <t>Gneuss, Helmut, compiler.</t>
  </si>
  <si>
    <t>Toronto ; Buffalo ; London : University of Toronto Press, [2014]</t>
  </si>
  <si>
    <t>Toronto Anglo-Saxon series ; 15</t>
  </si>
  <si>
    <t>1778102409:eng</t>
  </si>
  <si>
    <t>868383353</t>
  </si>
  <si>
    <t>ocn868383353</t>
  </si>
  <si>
    <t>31034946791</t>
  </si>
  <si>
    <t>9781442648234</t>
  </si>
  <si>
    <t>794964694</t>
  </si>
  <si>
    <t>Z6605 A56 K4</t>
  </si>
  <si>
    <t>0                      Z  6605000A  56                 K  4</t>
  </si>
  <si>
    <t>Catalogue of manuscripts containing Anglo-Saxon.</t>
  </si>
  <si>
    <t>Oxford, Clarendon Press, 1957.</t>
  </si>
  <si>
    <t>1727208:eng</t>
  </si>
  <si>
    <t>580094</t>
  </si>
  <si>
    <t>ocm00580094</t>
  </si>
  <si>
    <t>3000956869V</t>
  </si>
  <si>
    <t>791420301</t>
  </si>
  <si>
    <t>Z6605 C5 B7</t>
  </si>
  <si>
    <t>0                      Z  6605000C  5                  B  7</t>
  </si>
  <si>
    <t>Descriptive catalogue of the Chinese manuscripts from Tunhuang in the British Museum, by Lionel Giles.</t>
  </si>
  <si>
    <t>British Museum. Department of Oriental Printed Books and Manuscripts.</t>
  </si>
  <si>
    <t>London, Trustees of the British Museum, 1957.</t>
  </si>
  <si>
    <t>9928091:eng</t>
  </si>
  <si>
    <t>1954555</t>
  </si>
  <si>
    <t>ocm01954555</t>
  </si>
  <si>
    <t>3000960033Y</t>
  </si>
  <si>
    <t>792017536</t>
  </si>
  <si>
    <t>Z6605 C5 F36 2010</t>
  </si>
  <si>
    <t>0                      Z  6605000C  5                  F  36          2010</t>
  </si>
  <si>
    <t>Zhongguo Dunhuang xue lun zhu zong mu = Zhongguo Dunhuangxue Lunzhuzongmu / Fan Jinshi, Ku Guo, Yang Fuxue bian.</t>
  </si>
  <si>
    <t>Fan, Jinshi.</t>
  </si>
  <si>
    <t>Lanzhou Shi : Gansu ren min chu ban she, 2010.</t>
  </si>
  <si>
    <t>2047071260:chi</t>
  </si>
  <si>
    <t>698070056</t>
  </si>
  <si>
    <t>ocn698070056</t>
  </si>
  <si>
    <t>3103370113N</t>
  </si>
  <si>
    <t>9787226039250</t>
  </si>
  <si>
    <t>794860568</t>
  </si>
  <si>
    <t>Z6605 C5 S437 2013</t>
  </si>
  <si>
    <t>0                      Z  6605000C  5                  S  437         2013</t>
  </si>
  <si>
    <t>Changsha Zou ma lou San guo zhu jian yan jiu = A study on the bamboo slips of Three Kingdoms in Changsha Zoumalou / Shen Gang zhu.</t>
  </si>
  <si>
    <t>Shen, Gang, author.</t>
  </si>
  <si>
    <t>Beijing Shi : She hui ke xue wen xian chu ban she, 2013.</t>
  </si>
  <si>
    <t>Jilin da xue zhe xue she hui ke xue xue shu wen ku</t>
  </si>
  <si>
    <t>2497975194:chi</t>
  </si>
  <si>
    <t>852923944</t>
  </si>
  <si>
    <t>ocn852923944</t>
  </si>
  <si>
    <t>3103760429Q</t>
  </si>
  <si>
    <t>9787509742242</t>
  </si>
  <si>
    <t>794951730</t>
  </si>
  <si>
    <t>Z6605 C5 W36 2010</t>
  </si>
  <si>
    <t>0                      Z  6605000C  5                  W  36          2010</t>
  </si>
  <si>
    <t>Dunhuang gu ji xu lu / Wang Zhongmin zhu.</t>
  </si>
  <si>
    <t>Wang, Zhongmin, 1903-1975.</t>
  </si>
  <si>
    <t>Beijing : Zhonghua shu ju, 2010.</t>
  </si>
  <si>
    <t>149292510:chi</t>
  </si>
  <si>
    <t>705386931</t>
  </si>
  <si>
    <t>ocn705386931</t>
  </si>
  <si>
    <t>3103345763R</t>
  </si>
  <si>
    <t>9787101076042</t>
  </si>
  <si>
    <t>794866162</t>
  </si>
  <si>
    <t>Z6605 C5 Y8 2012</t>
  </si>
  <si>
    <t>0                      Z  6605000C  5                  Y  8           2012</t>
  </si>
  <si>
    <t>Bo wang ming sha : Zhong gu xie ben yan jiu yu xian dai Zhongguo xue shu shi zhi hui tong = Facing a new frontier : integrated studies on medieval manuscript culture and modern Chinese intellectual history / Yu Xin zhu.</t>
  </si>
  <si>
    <t>Yu, Xin, 1974- author.</t>
  </si>
  <si>
    <t>Shanghai : Shanghai gu ji chu ban she, 2012.</t>
  </si>
  <si>
    <t>Zhong gu Zhongguo zhi shi, xin yang, zhi du yan jiu shu xi</t>
  </si>
  <si>
    <t>8911720784:chi</t>
  </si>
  <si>
    <t>795697603</t>
  </si>
  <si>
    <t>ocn795697603</t>
  </si>
  <si>
    <t>3103485785Y</t>
  </si>
  <si>
    <t>9787532563050</t>
  </si>
  <si>
    <t>794921527</t>
  </si>
  <si>
    <t>Z6605 C5 Z438 2011</t>
  </si>
  <si>
    <t>0                      Z  6605000C  5                  Z  438         2011</t>
  </si>
  <si>
    <t>Yinwan Han mu jian du jiao li / Zhang Xiancheng, Zhou Qunli zhuan.</t>
  </si>
  <si>
    <t>Zhang, Xiancheng.</t>
  </si>
  <si>
    <t>Tianjin Shi : Tianjin gu ji chu ban she, 2011.</t>
  </si>
  <si>
    <t>916180141:chi</t>
  </si>
  <si>
    <t>758939181</t>
  </si>
  <si>
    <t>ocn758939181</t>
  </si>
  <si>
    <t>3103433524B</t>
  </si>
  <si>
    <t>9787806968994</t>
  </si>
  <si>
    <t>794896693</t>
  </si>
  <si>
    <t>Z6605 C5 Z4763 2015</t>
  </si>
  <si>
    <t>0                      Z  6605000C  5                  Z  4763        2015</t>
  </si>
  <si>
    <t>Zhongguo chu tu jian bo wen xian yin de zong lu. Baoshan Chu jian juan / Liu Zhiji zhu bian.</t>
  </si>
  <si>
    <t>Shanghai : Shanghai ren min chu ban she, 2015.</t>
  </si>
  <si>
    <t>3377057320:chi</t>
  </si>
  <si>
    <t>910925802</t>
  </si>
  <si>
    <t>ocn910925802</t>
  </si>
  <si>
    <t>3103632685N</t>
  </si>
  <si>
    <t>9787208128866</t>
  </si>
  <si>
    <t>794996733</t>
  </si>
  <si>
    <t>Z6605 C5 Z48 2012</t>
  </si>
  <si>
    <t>0                      Z  6605000C  5                  Z  48          2012</t>
  </si>
  <si>
    <t>Zhongguo chu tu jian bo wen xian yin de zong lu. Guodian Chu jian juan / Liu Zhiji zhu bian.</t>
  </si>
  <si>
    <t>Shanghai : Shanghai ren min chu ban she, 2012.</t>
  </si>
  <si>
    <t>3137019827:chi</t>
  </si>
  <si>
    <t>828663499</t>
  </si>
  <si>
    <t>ocn828663499</t>
  </si>
  <si>
    <t>3103484981W</t>
  </si>
  <si>
    <t>9787208111356</t>
  </si>
  <si>
    <t>794941455</t>
  </si>
  <si>
    <t>Z6605 C6 L6 1993</t>
  </si>
  <si>
    <t>0                      Z  6605000C  6                  L  6           1993</t>
  </si>
  <si>
    <t>Liu sha zhui jian / Luo Zhenyu, Wang Guowei bian zhu.</t>
  </si>
  <si>
    <t>Luo, Zhenyu, 1866-1940.</t>
  </si>
  <si>
    <t>Beijing : Zhonghua shu ju, 1993.</t>
  </si>
  <si>
    <t>2015-09-03</t>
  </si>
  <si>
    <t>31292227:chi</t>
  </si>
  <si>
    <t>31675481</t>
  </si>
  <si>
    <t>ocm31675481</t>
  </si>
  <si>
    <t>3102802312L</t>
  </si>
  <si>
    <t>9787101011487</t>
  </si>
  <si>
    <t>793365532</t>
  </si>
  <si>
    <t>Z6605 E5 H67 2014</t>
  </si>
  <si>
    <t>0                      Z  6605000E  5                  H  67          2014</t>
  </si>
  <si>
    <t>Manuscripts in the Hatton and e Musaeo Collections, Bodleian Library, Oxford / Patrick J. Horner.</t>
  </si>
  <si>
    <t>Horner, Patrick J., author.</t>
  </si>
  <si>
    <t>Cambridge : D.S. Brewer, 2014.</t>
  </si>
  <si>
    <t>The index of Middle English prose, 0267-2472 ; handlist XXI</t>
  </si>
  <si>
    <t>1861181996:eng</t>
  </si>
  <si>
    <t>859585358</t>
  </si>
  <si>
    <t>ocn859585358</t>
  </si>
  <si>
    <t>31035328240</t>
  </si>
  <si>
    <t>9781843843740</t>
  </si>
  <si>
    <t>794958032</t>
  </si>
  <si>
    <t>Z6605 E5 O35 2017</t>
  </si>
  <si>
    <t>0                      Z  6605000E  5                  O  35          2017</t>
  </si>
  <si>
    <t>The Rawlinson Collection, Bodleian Library, Oxford / S.J. Ogilvie-Thomson.</t>
  </si>
  <si>
    <t>Ogilvie-Thomson, S. J., compiler.</t>
  </si>
  <si>
    <t>Cambridge [England] : D.S. Brewer, 2017.</t>
  </si>
  <si>
    <t>The index of Middle English Prose ; handlist XXIII</t>
  </si>
  <si>
    <t>4532376602:eng</t>
  </si>
  <si>
    <t>975367590</t>
  </si>
  <si>
    <t>ocn975367590</t>
  </si>
  <si>
    <t>3103738710D</t>
  </si>
  <si>
    <t>9781843844778</t>
  </si>
  <si>
    <t>795030127</t>
  </si>
  <si>
    <t>Z6605 G7 E8 1968</t>
  </si>
  <si>
    <t>0                      Z  6605000G  7                  E  8           1968</t>
  </si>
  <si>
    <t>Catálogo de los códices griegos desaparecidos de la Real Biblioteca de El Escorial por Gregorio de Andrés.</t>
  </si>
  <si>
    <t>Escorial. Real Biblioteca.</t>
  </si>
  <si>
    <t>118318490:spa</t>
  </si>
  <si>
    <t>982965</t>
  </si>
  <si>
    <t>ocm00982965</t>
  </si>
  <si>
    <t>30009128748</t>
  </si>
  <si>
    <t>791518076</t>
  </si>
  <si>
    <t>Z6605 G7 E95 2011</t>
  </si>
  <si>
    <t>0                      Z  6605000G  7                  E  95          2011</t>
  </si>
  <si>
    <t>Exploring Greek manuscripts in the Gennadius Library / edited by Maria Politi and Eleni Pappa ; translated by John C. Davis and Elizabeth Key Fowden.</t>
  </si>
  <si>
    <t>Princeton, New Jersey : American School of Classical Studies at Athens, in collaboration with the Greek Paleographical Society, 2011.</t>
  </si>
  <si>
    <t>Gennadeion monographs ; VI</t>
  </si>
  <si>
    <t>2019-05-08</t>
  </si>
  <si>
    <t>1816147940:eng</t>
  </si>
  <si>
    <t>746618659</t>
  </si>
  <si>
    <t>ocn746618659</t>
  </si>
  <si>
    <t>31035325289</t>
  </si>
  <si>
    <t>9780876614075</t>
  </si>
  <si>
    <t>794887315</t>
  </si>
  <si>
    <t>Z6605 G7 J33 2011</t>
  </si>
  <si>
    <t>0                      Z  6605000G  7                  J  33          2011</t>
  </si>
  <si>
    <t>The Greek library of Saints John and Paul (San Zanipolo) at Venice / Donald F. Jackson.</t>
  </si>
  <si>
    <t>Jackson, Donald F.</t>
  </si>
  <si>
    <t>Tempe, Ariz. : ACMRS (Arizona Center for Medieval and Renaissance Studies), 2011.</t>
  </si>
  <si>
    <t>Medieval and Renaissance texts and studies ; v. 391</t>
  </si>
  <si>
    <t>989354162:eng</t>
  </si>
  <si>
    <t>746618651</t>
  </si>
  <si>
    <t>ocn746618651</t>
  </si>
  <si>
    <t>3103410616W</t>
  </si>
  <si>
    <t>9780866984393</t>
  </si>
  <si>
    <t>794887314</t>
  </si>
  <si>
    <t>Z6605 H4 H55 1989</t>
  </si>
  <si>
    <t>0                      Z  6605000H  4                  H  55          1989</t>
  </si>
  <si>
    <t>Hebraica, saec. X AD saec. XV : manuscripts and early printed books from the Library of the Valmadonna Trust: catalogue / by Brad Sabin Hill.</t>
  </si>
  <si>
    <t>Hill, Brad Sabin.</t>
  </si>
  <si>
    <t>[London] : Valmadonna Trust Library, 1989.</t>
  </si>
  <si>
    <t>46158154:eng</t>
  </si>
  <si>
    <t>61593257</t>
  </si>
  <si>
    <t>ocm61593257</t>
  </si>
  <si>
    <t>3000964398B</t>
  </si>
  <si>
    <t>794032639</t>
  </si>
  <si>
    <t>Z6605 H4 R67 2010</t>
  </si>
  <si>
    <t>0                      Z  6605000H  4                  R  67          2010</t>
  </si>
  <si>
    <t>Osef ha-Genizah ha-Ḳahirit be-Z'enevah : ḳaṭalog u-meḥḳarim / Daṿid Rozenṭal ; be-hishtatfut Shulamit Elitsur [and others].</t>
  </si>
  <si>
    <t>Rosenthal, David, 1941-</t>
  </si>
  <si>
    <t>Yerushalayim : Hotsaʼat sefarim ʻa. sh. Y.L. Magnes, ha-Universiṭah ha-ʻIvrit, ©2010.</t>
  </si>
  <si>
    <t>heb</t>
  </si>
  <si>
    <t>Sifriyat Daṿid ṿi-Yemimah Yeselzon</t>
  </si>
  <si>
    <t>656922007:heb</t>
  </si>
  <si>
    <t>609627451</t>
  </si>
  <si>
    <t>ocn609627451</t>
  </si>
  <si>
    <t>31033552542</t>
  </si>
  <si>
    <t>9789654934176</t>
  </si>
  <si>
    <t>794820204</t>
  </si>
  <si>
    <t>- McLennan Basement - Indonesian Collection - By Request</t>
  </si>
  <si>
    <t>Z6605 J37 K35 2010</t>
  </si>
  <si>
    <t>0                      Z  6605000J  37                 K  35          2010</t>
  </si>
  <si>
    <t>Kajian naskah klasik keagamaan bidang tasawuf : menyibak ajaran tasawuf dalam naskah klasik / Harapandi Dahri, Muhamad Rosadi, Saeful Bahri.</t>
  </si>
  <si>
    <t>Jakarta : Balai Penelitian dan Pengembangan Agama Jakarta, Kementerian Agama, 2010.</t>
  </si>
  <si>
    <t>Cet. 1.</t>
  </si>
  <si>
    <t>ind</t>
  </si>
  <si>
    <t>908203517:ind</t>
  </si>
  <si>
    <t>729721414</t>
  </si>
  <si>
    <t>ocn729721414</t>
  </si>
  <si>
    <t>3103535594K</t>
  </si>
  <si>
    <t>9789799099716</t>
  </si>
  <si>
    <t>794879617</t>
  </si>
  <si>
    <t>Z6605 L3 T3</t>
  </si>
  <si>
    <t>0                      Z  6605000L  3                  T  3</t>
  </si>
  <si>
    <t>A catalogue of incipits of mediaeval scientific writings in Latin, by Lynn Thorndike ... and Pearl Kibre ...</t>
  </si>
  <si>
    <t>Thorndike, Lynn, 1882-1965.</t>
  </si>
  <si>
    <t>Cambridge, Mass., The Mediaeval academy of America, 1937.</t>
  </si>
  <si>
    <t>Mediaeval Academy of America. Publication ; no. 29</t>
  </si>
  <si>
    <t>8909252131:eng</t>
  </si>
  <si>
    <t>3502353</t>
  </si>
  <si>
    <t>ocm03502353</t>
  </si>
  <si>
    <t>31037415315</t>
  </si>
  <si>
    <t>792261855</t>
  </si>
  <si>
    <t>Z6605 P4 G28 2005</t>
  </si>
  <si>
    <t>0                      Z  6605000P  4                  G  28          2005</t>
  </si>
  <si>
    <t>Persian manuscripts in the libraries of McGill University : brief union catalogue / Adam Gacek.</t>
  </si>
  <si>
    <t>Gacek, Adam.</t>
  </si>
  <si>
    <t>Montréal : McGill University Libraries, 2005.</t>
  </si>
  <si>
    <t>Fontanus monograph series ; 17</t>
  </si>
  <si>
    <t>2009-02-19</t>
  </si>
  <si>
    <t>318008445:eng</t>
  </si>
  <si>
    <t>61217750</t>
  </si>
  <si>
    <t>ocm61217750</t>
  </si>
  <si>
    <t>31025300104</t>
  </si>
  <si>
    <t>9780773530201</t>
  </si>
  <si>
    <t>793948943</t>
  </si>
  <si>
    <t>Z6605 S27 T8 2011</t>
  </si>
  <si>
    <t>0                      Z  6605000S  27                 T  8           2011</t>
  </si>
  <si>
    <t>Osef kitve ha-yad ha-Shomronim be-sifriyat Ḳlaʼu, Hibru Yunyon Ḳoleg', Sisinaṭt, Ohayo, ARH"B = The collection of Samaritan manuscripts in the Klau library of the Hebrew Union College-Jewish Institute of Religion, Cincinnati, Ohio, USA / orekh ha-ḳatalog u-meḥabero, Binyamin Tsedaḳah.</t>
  </si>
  <si>
    <t>Tsedaka, Benyamim.</t>
  </si>
  <si>
    <t>Cincinnati : Hebrew Union College-Jewish Institute of Religion, 2011.</t>
  </si>
  <si>
    <t>Bibliographica Judaica ; 16</t>
  </si>
  <si>
    <t>1165529509:heb</t>
  </si>
  <si>
    <t>800849651</t>
  </si>
  <si>
    <t>ocn800849651</t>
  </si>
  <si>
    <t>3103413094M</t>
  </si>
  <si>
    <t>9780878204663</t>
  </si>
  <si>
    <t>794924695</t>
  </si>
  <si>
    <t>Z6605 S3 A923 1966</t>
  </si>
  <si>
    <t>0                      Z  6605000S  3                  A  923         1966</t>
  </si>
  <si>
    <t>New catalogus catalogorum; an alphabetical register of Sanskrit and allied works and authors.</t>
  </si>
  <si>
    <t>University of Madras. Sanskrit Department.</t>
  </si>
  <si>
    <t>[Madras] University of Madras, 1968-</t>
  </si>
  <si>
    <t>Madras University Sanskrit series, &lt;30&gt;</t>
  </si>
  <si>
    <t>110923150:eng</t>
  </si>
  <si>
    <t>3351883</t>
  </si>
  <si>
    <t>ocm03351883</t>
  </si>
  <si>
    <t>3103552879H</t>
  </si>
  <si>
    <t>792245821</t>
  </si>
  <si>
    <t>31011031369</t>
  </si>
  <si>
    <t>792245824</t>
  </si>
  <si>
    <t>3101103134D</t>
  </si>
  <si>
    <t>792245822</t>
  </si>
  <si>
    <t>3101103133F</t>
  </si>
  <si>
    <t>792245820</t>
  </si>
  <si>
    <t>3103773691T</t>
  </si>
  <si>
    <t>792245826</t>
  </si>
  <si>
    <t>3001141447P</t>
  </si>
  <si>
    <t>792245827</t>
  </si>
  <si>
    <t>3103773686M</t>
  </si>
  <si>
    <t>792245823</t>
  </si>
  <si>
    <t>31011031377</t>
  </si>
  <si>
    <t>792245825</t>
  </si>
  <si>
    <t>Z6605 S3 C36 1984</t>
  </si>
  <si>
    <t>0                      Z  6605000S  3                  C  36          1984</t>
  </si>
  <si>
    <t>Catalogues, lists, etc., used in the New catalogus catalogorum, with the abbreviations used for them.</t>
  </si>
  <si>
    <t>[Madras] : University of Madras, 1984.</t>
  </si>
  <si>
    <t>54791011:eng</t>
  </si>
  <si>
    <t>13217145</t>
  </si>
  <si>
    <t>ocm13217145</t>
  </si>
  <si>
    <t>31037429468</t>
  </si>
  <si>
    <t>792845210</t>
  </si>
  <si>
    <t>Z6605 U7 K38 1977</t>
  </si>
  <si>
    <t>0                      Z  6605000U  7                  K  38          1977</t>
  </si>
  <si>
    <t>Urdu manuscripts : a descriptive bibliography of manuscripts in Delhi libraries / edited by H.K. Kaul ; compiled by Salahud-Din Khan.</t>
  </si>
  <si>
    <t>Kaul, Hari Krishen, 1941-</t>
  </si>
  <si>
    <t>New Delhi : Heritage Publishers, 1977.</t>
  </si>
  <si>
    <t>149606985:eng</t>
  </si>
  <si>
    <t>4026778</t>
  </si>
  <si>
    <t>ocm04026778</t>
  </si>
  <si>
    <t>3000952131U</t>
  </si>
  <si>
    <t>792314914</t>
  </si>
  <si>
    <t>Z6611 I84 P46 2011</t>
  </si>
  <si>
    <t>0                      Z  6611000I  84                 P  46          2011</t>
  </si>
  <si>
    <t>Penelitian individual lektur dan khazanah keagamaan / oleh Asep Saefullah [and others].</t>
  </si>
  <si>
    <t>[Jakarta] : Kementerian Agama RI, Badan Litbang dan Diklat, Puslitbang Lektur dan Khazanah Keagamaan, 2011.</t>
  </si>
  <si>
    <t>1107517461:ind</t>
  </si>
  <si>
    <t>794175052</t>
  </si>
  <si>
    <t>ocn794175052</t>
  </si>
  <si>
    <t>3103492322S</t>
  </si>
  <si>
    <t>9786028766326</t>
  </si>
  <si>
    <t>794919314</t>
  </si>
  <si>
    <t>Z6611 L7 G83 1976</t>
  </si>
  <si>
    <t>0                      Z  6611000L  7                  G  83          1976</t>
  </si>
  <si>
    <t>Catalogue of manuscripts containing Middle English romances / by Gisela Guddat-Figge.</t>
  </si>
  <si>
    <t>Guddat-Figge, Gisela.</t>
  </si>
  <si>
    <t>München : W. Fink, 1976.</t>
  </si>
  <si>
    <t>Münchener Universitäts-Schriften : Philosophische Fakultät ; Bd. 4</t>
  </si>
  <si>
    <t>4916978:eng</t>
  </si>
  <si>
    <t>2458502</t>
  </si>
  <si>
    <t>ocm02458502</t>
  </si>
  <si>
    <t>3102801999S</t>
  </si>
  <si>
    <t>9783770510245</t>
  </si>
  <si>
    <t>792130407</t>
  </si>
  <si>
    <t>Z6611 P5 C65 1998</t>
  </si>
  <si>
    <t>0                      Z  6611000P  5                  C  65          1998</t>
  </si>
  <si>
    <t>Corpus dei papiri filosofici greci e latini : CPF : testi e lessico nei papiri di cultura greca e latina / Unione accademica nazionale [ed] Accademia toscana di scienze e lettere "La Colombaria" ; comitato scientifico e redazionale: Francesco Adorno [and others].</t>
  </si>
  <si>
    <t>pt.1:v.1:t.3B</t>
  </si>
  <si>
    <t>Firenze : Leo S. Olschki, 1989-&lt;2018&gt;</t>
  </si>
  <si>
    <t>864052524:ita</t>
  </si>
  <si>
    <t>21594622</t>
  </si>
  <si>
    <t>ocm21594622</t>
  </si>
  <si>
    <t>31022378313</t>
  </si>
  <si>
    <t>9788822236388</t>
  </si>
  <si>
    <t>793123701</t>
  </si>
  <si>
    <t>pt.1:v.2 (in parts);pt.2 (in parts);pt.4 (in parts)</t>
  </si>
  <si>
    <t>B000058575</t>
  </si>
  <si>
    <t>793123700</t>
  </si>
  <si>
    <t>pt.3</t>
  </si>
  <si>
    <t>3102981580X</t>
  </si>
  <si>
    <t>793123699</t>
  </si>
  <si>
    <t>pt.1:v.1:t.1</t>
  </si>
  <si>
    <t>3102175192D</t>
  </si>
  <si>
    <t>793123704</t>
  </si>
  <si>
    <t>pt.1:v.1:t.2</t>
  </si>
  <si>
    <t>2010-02-23</t>
  </si>
  <si>
    <t>3102175191F</t>
  </si>
  <si>
    <t>793123703</t>
  </si>
  <si>
    <t>pt.1:v.1:t.3A</t>
  </si>
  <si>
    <t>31022378303</t>
  </si>
  <si>
    <t>793123702</t>
  </si>
  <si>
    <t>Z6611 S35 S46 1970</t>
  </si>
  <si>
    <t>0                      Z  6611000S  35                 S  46          1970</t>
  </si>
  <si>
    <t>Descriptive catalogue of manuscripts in the Shri Ranbir Sanskrit Research Institute, Jammu (Kashmir) / compiled by M.M. Patkar in collaberation [sic] with the staff of the Shri Ranbir Sanskrit Research Institute, Jammu.</t>
  </si>
  <si>
    <t>Shri Ranbir Sanskrit Research Institute.</t>
  </si>
  <si>
    <t>Jammu : Shri Ranbir Sanskrit Research Institute, 1970-&lt;2004&gt;</t>
  </si>
  <si>
    <t>16545786:eng</t>
  </si>
  <si>
    <t>5126748</t>
  </si>
  <si>
    <t>ocm05126748</t>
  </si>
  <si>
    <t>3103599383C</t>
  </si>
  <si>
    <t>792409958</t>
  </si>
  <si>
    <t>3103599424O</t>
  </si>
  <si>
    <t>792409959</t>
  </si>
  <si>
    <t>Z6611 T28 M55 1991</t>
  </si>
  <si>
    <t>0                      Z  6611000T  28                 M  55          1991</t>
  </si>
  <si>
    <t>A register of English theatrical documents, 1660-1737 / compiled and edited by Judith Milhous and Robert D. Hume.</t>
  </si>
  <si>
    <t>Milhous, Judith.</t>
  </si>
  <si>
    <t>Carbondale : Southern Illinois University Press, 1991.</t>
  </si>
  <si>
    <t>22951657:eng</t>
  </si>
  <si>
    <t>22005098</t>
  </si>
  <si>
    <t>ocm22005098</t>
  </si>
  <si>
    <t>3103602504Y</t>
  </si>
  <si>
    <t>9780809312702</t>
  </si>
  <si>
    <t>793132858</t>
  </si>
  <si>
    <t>3103602503$</t>
  </si>
  <si>
    <t>793132859</t>
  </si>
  <si>
    <t>Z6616 B8287 B53 2015</t>
  </si>
  <si>
    <t>0                      Z  6616000B  8287               B  53          2015</t>
  </si>
  <si>
    <t>A bibliography of the manuscripts of Patrick Branwell Brontë / edited by Victor A. Neufeldt.</t>
  </si>
  <si>
    <t>London : Routledge, 2017.</t>
  </si>
  <si>
    <t>Routledge library editions. The Brontës</t>
  </si>
  <si>
    <t>3577047746:eng</t>
  </si>
  <si>
    <t>953746842</t>
  </si>
  <si>
    <t>ocn953746842</t>
  </si>
  <si>
    <t>3103740967A</t>
  </si>
  <si>
    <t>9781138929494</t>
  </si>
  <si>
    <t>795019208</t>
  </si>
  <si>
    <t>Z6616 D666 P47 1984</t>
  </si>
  <si>
    <t>0                      Z  6616000D  666                P  47          1984</t>
  </si>
  <si>
    <t>Per conoscere Guido Dorso : i suoi libri e il suo carteggio / a cura di Francesco Saverio Festa, Fiorella Bruno, Bruno Ucci.</t>
  </si>
  <si>
    <t>Napoli : Guida, ©1984.</t>
  </si>
  <si>
    <t>889563456:ita</t>
  </si>
  <si>
    <t>15079714</t>
  </si>
  <si>
    <t>ocm15079714</t>
  </si>
  <si>
    <t>3100485970H</t>
  </si>
  <si>
    <t>9788870422931</t>
  </si>
  <si>
    <t>792919209</t>
  </si>
  <si>
    <t>Z6616 H517 G73 1978</t>
  </si>
  <si>
    <t>0                      Z  6616000H  517                G  73          1978</t>
  </si>
  <si>
    <t>Calendar of Signet letters of Henry IV and Henry V (1399-1422) / edited by J.L. Kirby.</t>
  </si>
  <si>
    <t>Great Britain. Signet Office.</t>
  </si>
  <si>
    <t>London : H.M. Stationery Off., 1978.</t>
  </si>
  <si>
    <t>2015-03-09</t>
  </si>
  <si>
    <t>19537497:eng</t>
  </si>
  <si>
    <t>5706537</t>
  </si>
  <si>
    <t>ocm05706537</t>
  </si>
  <si>
    <t>3103599428G</t>
  </si>
  <si>
    <t>9780114400941</t>
  </si>
  <si>
    <t>792448069</t>
  </si>
  <si>
    <t>Z6616 M176 M2 1990</t>
  </si>
  <si>
    <t>0                      Z  6616000M  176                M  2           1990</t>
  </si>
  <si>
    <t>Charles Rennie Mackintosh : the architectural papers / edited by Pamela Robertson.</t>
  </si>
  <si>
    <t>Mackintosh, Charles Rennie, 1868-1928.</t>
  </si>
  <si>
    <t>Cambridge, Mass. : MIT Press, [1990]</t>
  </si>
  <si>
    <t>[1st MIT Press ed.].</t>
  </si>
  <si>
    <t>2019-10-13</t>
  </si>
  <si>
    <t>3901245645:eng</t>
  </si>
  <si>
    <t>21444340</t>
  </si>
  <si>
    <t>ocm21444340</t>
  </si>
  <si>
    <t>3103017901L</t>
  </si>
  <si>
    <t>9780262181426</t>
  </si>
  <si>
    <t>793119103</t>
  </si>
  <si>
    <t>Z6616 M33 J8 1973</t>
  </si>
  <si>
    <t>0                      Z  6616000M  33                 J  8           1973</t>
  </si>
  <si>
    <t>Répertoire analytique et chronologique de la correspondance de Marguerite d'Angoulême, duchesse d'Alençon, reine de Navarre (1492-1549).</t>
  </si>
  <si>
    <t>Jourda, Pierre, 1898-1978.</t>
  </si>
  <si>
    <t>Genève, Slatkine Reprints, 1973.</t>
  </si>
  <si>
    <t>9622501816:fre</t>
  </si>
  <si>
    <t>997835</t>
  </si>
  <si>
    <t>ocm00997835</t>
  </si>
  <si>
    <t>3100872275S</t>
  </si>
  <si>
    <t>791521341</t>
  </si>
  <si>
    <t>Z6616 O9 M8</t>
  </si>
  <si>
    <t>0                      Z  6616000O  9                  M  8</t>
  </si>
  <si>
    <t>Catalogue of the MSS of Ovid's Metamorphoses / by Franco Munari.</t>
  </si>
  <si>
    <t>Munari, Franco, 1920-</t>
  </si>
  <si>
    <t>[London] : [publisher not identified], 1957.</t>
  </si>
  <si>
    <t>Bulletin supplement (University of London. Institute of Classical Studies) ; no. 4</t>
  </si>
  <si>
    <t>9415059531:eng</t>
  </si>
  <si>
    <t>427318002</t>
  </si>
  <si>
    <t>ocn427318002</t>
  </si>
  <si>
    <t>30009568377</t>
  </si>
  <si>
    <t>794587299</t>
  </si>
  <si>
    <t>Z6616 P375 A73 2011</t>
  </si>
  <si>
    <t>0                      Z  6616000P  375                A  73          2011</t>
  </si>
  <si>
    <t>Archivio Enrico Pea : inventario / a cura di Maria Chiara Berni ; introduzione di Gloria Manghetti ; con una nota di Enrico Lorenzetti.</t>
  </si>
  <si>
    <t>Firenze : Polistampa, ©2011.</t>
  </si>
  <si>
    <t>Inventari / Fondazione Primo Conti ; 2</t>
  </si>
  <si>
    <t>1106211826:ita</t>
  </si>
  <si>
    <t>792795884</t>
  </si>
  <si>
    <t>ocn792795884</t>
  </si>
  <si>
    <t>3103125766C</t>
  </si>
  <si>
    <t>9788859610090</t>
  </si>
  <si>
    <t>794917074</t>
  </si>
  <si>
    <t>Z6616 P65 S4</t>
  </si>
  <si>
    <t>0                      Z  6616000P  65                 S  4</t>
  </si>
  <si>
    <t>Bibliographie des manuscrits de Guillaume Postel.</t>
  </si>
  <si>
    <t>Secret, François.</t>
  </si>
  <si>
    <t>Genève, Droz, 1970.</t>
  </si>
  <si>
    <t>Etudes de philologie et d'histoire, 16</t>
  </si>
  <si>
    <t>1535904:fre</t>
  </si>
  <si>
    <t>527659</t>
  </si>
  <si>
    <t>ocm00527659</t>
  </si>
  <si>
    <t>3000960568W</t>
  </si>
  <si>
    <t>791404195</t>
  </si>
  <si>
    <t>Z6616 R695 B5 1991</t>
  </si>
  <si>
    <t>0                      Z  6616000R  695                B  5           1991</t>
  </si>
  <si>
    <t>Inventaire des archives personnelles de Gabrielle Roy : conservées à la Bibliothèque nationale du Canada / publié sous la responsabilité de François Ricard.</t>
  </si>
  <si>
    <t>National Library of Canada.</t>
  </si>
  <si>
    <t>[Montréal] : Boréal, 1991.</t>
  </si>
  <si>
    <t>8908799946:fre</t>
  </si>
  <si>
    <t>427983775</t>
  </si>
  <si>
    <t>ocn427983775</t>
  </si>
  <si>
    <t>3103642390$</t>
  </si>
  <si>
    <t>9782890524743</t>
  </si>
  <si>
    <t>794734915</t>
  </si>
  <si>
    <t>Z6620 G7 K4</t>
  </si>
  <si>
    <t>0                      Z  6620000G  7                  K  4</t>
  </si>
  <si>
    <t>Medieval manuscripts in British libraries / by N.R. Ker.</t>
  </si>
  <si>
    <t>Oxford : Clarendon Press ; New York : Oxford University Press, 1969-2002.</t>
  </si>
  <si>
    <t>5218202670:eng</t>
  </si>
  <si>
    <t>25433</t>
  </si>
  <si>
    <t>ocm00025433</t>
  </si>
  <si>
    <t>3103737075I</t>
  </si>
  <si>
    <t>9780198182191</t>
  </si>
  <si>
    <t>791232512</t>
  </si>
  <si>
    <t>3000958171P</t>
  </si>
  <si>
    <t>791232516</t>
  </si>
  <si>
    <t>3101137828G</t>
  </si>
  <si>
    <t>791232513</t>
  </si>
  <si>
    <t>2017-04-24</t>
  </si>
  <si>
    <t>3100872283T</t>
  </si>
  <si>
    <t>791232514</t>
  </si>
  <si>
    <t>3100872276Q</t>
  </si>
  <si>
    <t>791232515</t>
  </si>
  <si>
    <t>Z6620 G7 L53 2013</t>
  </si>
  <si>
    <t>0                      Z  6620000G  7                  L  53          2013</t>
  </si>
  <si>
    <t>The libraries of collegiate churches / edited by James M.W. Willoughby.</t>
  </si>
  <si>
    <t>Willoughby, James M. W., author.</t>
  </si>
  <si>
    <t>London : The British Library in association with the British Academy, 2013.</t>
  </si>
  <si>
    <t>Corpus of British medieval library catalogues ; 15</t>
  </si>
  <si>
    <t>2017-03-05</t>
  </si>
  <si>
    <t>5481743514:eng</t>
  </si>
  <si>
    <t>858824811</t>
  </si>
  <si>
    <t>ocn858824811</t>
  </si>
  <si>
    <t>3103530295C</t>
  </si>
  <si>
    <t>9780712357067</t>
  </si>
  <si>
    <t>794956888</t>
  </si>
  <si>
    <t>3103530294C</t>
  </si>
  <si>
    <t>794956889</t>
  </si>
  <si>
    <t>Z6620 G7 L83 2016</t>
  </si>
  <si>
    <t>0                      Z  6620000G  7                  L  83          2016</t>
  </si>
  <si>
    <t>Manuscripts in Christ's, Emmanuel, Jesus, Selwyn and Sidney Sussex Colleges, Peterhouse and Trinity Hall, Cambridge / Angela M. Lucas.</t>
  </si>
  <si>
    <t>Lucas, Angela M., author.</t>
  </si>
  <si>
    <t>Cambridge : D.S. Brewer, 2016.</t>
  </si>
  <si>
    <t>The index of Middle English prose, 0267-2472 ; handlist XXII</t>
  </si>
  <si>
    <t>2931179851:eng</t>
  </si>
  <si>
    <t>936526249</t>
  </si>
  <si>
    <t>ocn936526249</t>
  </si>
  <si>
    <t>3103653443U</t>
  </si>
  <si>
    <t>9781843844228</t>
  </si>
  <si>
    <t>795010857</t>
  </si>
  <si>
    <t>Z6620 G7 R63 2003</t>
  </si>
  <si>
    <t>0                      Z  6620000G  7                  R  63          2003</t>
  </si>
  <si>
    <t>Catalogue of dated and datable manuscripts c.888-1600 in London libraries / P.R. Robinson.</t>
  </si>
  <si>
    <t>Robinson, Pamela (Pamela R.)</t>
  </si>
  <si>
    <t>3134267278:eng</t>
  </si>
  <si>
    <t>54043374</t>
  </si>
  <si>
    <t>ocm54043374</t>
  </si>
  <si>
    <t>31024544257</t>
  </si>
  <si>
    <t>9780712348386</t>
  </si>
  <si>
    <t>793856062</t>
  </si>
  <si>
    <t>31024544305</t>
  </si>
  <si>
    <t>793856061</t>
  </si>
  <si>
    <t>Z6620 I8 L53 2016</t>
  </si>
  <si>
    <t>0                      Z  6620000I  8                  L  53          2016</t>
  </si>
  <si>
    <t>I libri che hanno fatto l'Europa : manoscritti latini e romanzi da Carlo Magno all'invenzione della stampa : biblioteche Corsiniana e romane : mostra storico-documentaria in occasione del XXVIII Congresso internazionale di linguistica e filologia romanza : catalogo / a cura di Roberto Antonelli [and five others].</t>
  </si>
  <si>
    <t>Roma : Bardi edizioni editore commerciale : Accademia nazionale dei Lincei, 2016.</t>
  </si>
  <si>
    <t>Storia dell'Accademia dei Lincei. Studi, 1120-1290 ; 5</t>
  </si>
  <si>
    <t>5219130233:ita</t>
  </si>
  <si>
    <t>954435194</t>
  </si>
  <si>
    <t>ocn954435194</t>
  </si>
  <si>
    <t>3103716200L</t>
  </si>
  <si>
    <t>9788821811340</t>
  </si>
  <si>
    <t>795019763</t>
  </si>
  <si>
    <t>Z6620 I8 M2 v.113</t>
  </si>
  <si>
    <t>0                      Z  6620000I  8                  M  2                                 v.113</t>
  </si>
  <si>
    <t>Mantova, Biblioteca comunale Teresiana : i manoscritt della serie generale, parte I / a cura di Raffaella Perini ; con la collaborazione di Roberta Benedusi e Susanna Polloni ; presentazione di Franco Negri.</t>
  </si>
  <si>
    <t>v.113*</t>
  </si>
  <si>
    <t>Biblioteca Teresiana di Mantova.</t>
  </si>
  <si>
    <t>Firenze : Leo S. Olschki editore, 2012.</t>
  </si>
  <si>
    <t>Inventari dei manoscritti delle biblioteche d'Italia ; v. CXIII</t>
  </si>
  <si>
    <t>2057811379:ita</t>
  </si>
  <si>
    <t>801833285</t>
  </si>
  <si>
    <t>ocn801833285</t>
  </si>
  <si>
    <t>3103448802I</t>
  </si>
  <si>
    <t>9788822260710</t>
  </si>
  <si>
    <t>794925277</t>
  </si>
  <si>
    <t>Z6620 I8 M2 v.114</t>
  </si>
  <si>
    <t>0                      Z  6620000I  8                  M  2                                 v.114</t>
  </si>
  <si>
    <t>Frammenti ebraici negli archivi di Cesena, Faenza, Forlì, Imola, Rimini e Spoleto / inventario e catalogo redatti da Mauro Perani e Enrica Sagradini ; con la collaborazione di Mascia Muratori e Cristina Santandrea.</t>
  </si>
  <si>
    <t>v.114*</t>
  </si>
  <si>
    <t>Perani, Mauro, author.</t>
  </si>
  <si>
    <t>Firenze : Leo S. Olschki Editore, 2012.</t>
  </si>
  <si>
    <t>Inventari dei manoscritti delle biblioteche d'Italia, 0075-0026 ; v. CXIV</t>
  </si>
  <si>
    <t>3980306218:ita</t>
  </si>
  <si>
    <t>798255955</t>
  </si>
  <si>
    <t>ocn798255955</t>
  </si>
  <si>
    <t>3103448803I</t>
  </si>
  <si>
    <t>9788822261403</t>
  </si>
  <si>
    <t>794923334</t>
  </si>
  <si>
    <t>Z6620 I8 M2 v.115; etc.</t>
  </si>
  <si>
    <t>0                      Z  6620000I  8                  M  2                                 v.115; etc.</t>
  </si>
  <si>
    <t>I frammenti ebraici dell'Archivio di Stato di Modena / inventario e catalogo redatti da Mauro Perani e Luca Baraldi ; con la collaborazione di Enrica Sagradini.</t>
  </si>
  <si>
    <t>v.115</t>
  </si>
  <si>
    <t>Firenze : L.S. Olschki, 2012-</t>
  </si>
  <si>
    <t>Inventari dei manoscritti delle biblioteche d'Italia ; v. 115</t>
  </si>
  <si>
    <t>5092077293:ita</t>
  </si>
  <si>
    <t>795156659</t>
  </si>
  <si>
    <t>ocn795156659</t>
  </si>
  <si>
    <t>3103472976A</t>
  </si>
  <si>
    <t>9788822261410</t>
  </si>
  <si>
    <t>794920894</t>
  </si>
  <si>
    <t>Z6620.I8 M398 2002</t>
  </si>
  <si>
    <t>0                      Z  6620000I  8                  M  398         2002</t>
  </si>
  <si>
    <t>I manoscritti medievali di Padova e provincia : Padova: Accademia Galileiano, Archivio di Stato, Biblioteca civica, Biblioteca dell Orto botanico, Biblioteca di Santa Giustina, Biblioteca Pinali ; Monselice: Biblioteca comunale ; Teolo: Biblioteca di Santa Maria di Praglia / a cura di Leonardo Granata [and others] ; con la collaborazione di Nicoletta Giovè, Giordana Mariani Canova, Stefano Zamponi.</t>
  </si>
  <si>
    <t>[Venice] : Regione del Veneto ; Tavarnuzze (Firenze) : SISMEL edizioni del Galluzzo, 2002.</t>
  </si>
  <si>
    <t>Biblioteche e archivi ; 9 Manoscritti medievali del Veneto ; 2</t>
  </si>
  <si>
    <t>890709535:ita</t>
  </si>
  <si>
    <t>123206480</t>
  </si>
  <si>
    <t>ocn123206480</t>
  </si>
  <si>
    <t>31035271394</t>
  </si>
  <si>
    <t>9788884500335</t>
  </si>
  <si>
    <t>794224989</t>
  </si>
  <si>
    <t>Z6620 I8 M398 2010</t>
  </si>
  <si>
    <t>0                      Z  6620000I  8                  M  398         2010</t>
  </si>
  <si>
    <t>I manoscritti medievali di Trento e provincia : Trento, Biblioteca capitolare dell'Archivio diocesano, Castello del Buonconsiglio, Fondazione Biblioteca S. Bernardino, Museo diocesano tridentino, Seminario teologico, Ala, Biblioteca comunale, Arco, Biblioteca civica, Lizzana, Archivio diocesano, Riva del garda, Biblioteca civica, Rovereto, Biblioteca civica / a cura di Adriana Paolini ; con la collaborazione di Marina Bernasconi, Leonardo Granata.</t>
  </si>
  <si>
    <t>Trento : Provincia autonoma di Trento, Soprintendenza per i beni librari, archivistici e archeologici ; Tavarnuzze, Impruneta (Firenze) : SISMEL edizioni del Galluzzo, 2010.</t>
  </si>
  <si>
    <t>Biblioteche e archivi ; 20</t>
  </si>
  <si>
    <t>892174873:ita</t>
  </si>
  <si>
    <t>650021544</t>
  </si>
  <si>
    <t>ocn650021544</t>
  </si>
  <si>
    <t>3103428008F</t>
  </si>
  <si>
    <t>9788884503114</t>
  </si>
  <si>
    <t>794832193</t>
  </si>
  <si>
    <t>Z6621 A382 W38 1997</t>
  </si>
  <si>
    <t>0                      Z  6621000A  382                W  38          1997</t>
  </si>
  <si>
    <t>Descriptive catalogue of the medieval manuscripts of All Souls College, Oxford / Andrew G. Watson.</t>
  </si>
  <si>
    <t>Watson, Andrew G.</t>
  </si>
  <si>
    <t>New York : Oxford University Press, 1997.</t>
  </si>
  <si>
    <t>40449843:eng</t>
  </si>
  <si>
    <t>36556959</t>
  </si>
  <si>
    <t>ocm36556959</t>
  </si>
  <si>
    <t>3101899862W</t>
  </si>
  <si>
    <t>9780199522699</t>
  </si>
  <si>
    <t>793478539</t>
  </si>
  <si>
    <t>Z6621 B4213 1984</t>
  </si>
  <si>
    <t>0                      Z  6621000B  4213        1984</t>
  </si>
  <si>
    <t>Catalogue of medieval and Renaissance manuscripts in the Beinecke Rare Book and Manuscript Library, Yale University / by Barbara A. Shailor.</t>
  </si>
  <si>
    <t>Binghamton, N.Y. : Medieval &amp; Renaissance Texts &amp; Studies, 1984-2004.</t>
  </si>
  <si>
    <t>Medieval &amp; Renaissance texts &amp; studies ; v. 34, 48, 100, 176</t>
  </si>
  <si>
    <t>2008-07-21</t>
  </si>
  <si>
    <t>3376483907:eng</t>
  </si>
  <si>
    <t>10429671</t>
  </si>
  <si>
    <t>ocm10429671</t>
  </si>
  <si>
    <t>31028015865</t>
  </si>
  <si>
    <t>9780866980654</t>
  </si>
  <si>
    <t>792725840</t>
  </si>
  <si>
    <t>3102801606I</t>
  </si>
  <si>
    <t>792725841</t>
  </si>
  <si>
    <t>2007-07-16</t>
  </si>
  <si>
    <t>31028015963</t>
  </si>
  <si>
    <t>792725839</t>
  </si>
  <si>
    <t>31028015903</t>
  </si>
  <si>
    <t>792725838</t>
  </si>
  <si>
    <t>Z6621 B4216 1991</t>
  </si>
  <si>
    <t>0                      Z  6621000B  4216        1991</t>
  </si>
  <si>
    <t>The medieval book : illustrated from the Beinecke Rare Book and Manuscript Library / Barbara A. Shailor.</t>
  </si>
  <si>
    <t>Shailor, Barbara A., 1948-</t>
  </si>
  <si>
    <t>Toronto ; Buffalo : Published by University of Toronto Press in association with the Medieval Academy of America, 1991.</t>
  </si>
  <si>
    <t>Medieval Academy reprints for teaching ; 28</t>
  </si>
  <si>
    <t>118247395:eng</t>
  </si>
  <si>
    <t>123276747</t>
  </si>
  <si>
    <t>ocn123276747</t>
  </si>
  <si>
    <t>3103628704L</t>
  </si>
  <si>
    <t>9780802068538</t>
  </si>
  <si>
    <t>794225952</t>
  </si>
  <si>
    <t>Z6621 B5418 M66 2017</t>
  </si>
  <si>
    <t>0                      Z  6621000B  5418               M  66          2017</t>
  </si>
  <si>
    <t>Bibliografia dei fondi manoscritti della Biblioteca vaticana in cataloghi di mostre (1998-2015) / Claudia Montuschi.</t>
  </si>
  <si>
    <t>Biblioteca apostolica vaticana, creator.</t>
  </si>
  <si>
    <t>Città del Vaticano : Biblioteca apostolica vaticana, 2017.</t>
  </si>
  <si>
    <t>Studi e testi, 1015-1311 ; 510</t>
  </si>
  <si>
    <t>4440842455:ita</t>
  </si>
  <si>
    <t>991605609</t>
  </si>
  <si>
    <t>ocn991605609</t>
  </si>
  <si>
    <t>31037186395</t>
  </si>
  <si>
    <t>9788821009730</t>
  </si>
  <si>
    <t>795038017</t>
  </si>
  <si>
    <t>Z6621 B5475 1982</t>
  </si>
  <si>
    <t>0                      Z  6621000B  5475        1982</t>
  </si>
  <si>
    <t>La Biblioteca di S. Giustina di Padova : libri e cultura presso i benedettini padovani in età umanistica / [a cura di] Giovanna Cantoni Alzati.</t>
  </si>
  <si>
    <t>Padova : Antenore, 1982.</t>
  </si>
  <si>
    <t>Medioevo e umanesimo ; 48</t>
  </si>
  <si>
    <t>2015-04-28</t>
  </si>
  <si>
    <t>43187482:ita</t>
  </si>
  <si>
    <t>9622254</t>
  </si>
  <si>
    <t>ocm09622254</t>
  </si>
  <si>
    <t>3000951558$</t>
  </si>
  <si>
    <t>792685383</t>
  </si>
  <si>
    <t>Z6621 B553 I86 2011</t>
  </si>
  <si>
    <t>0                      Z  6621000B  553                I  86          2011</t>
  </si>
  <si>
    <t>I manoscritti della letteratura italiana delle origini : Firenze, Biblioteca medicea laurenziana / a cura di Sandro Bertelli.</t>
  </si>
  <si>
    <t>Tavarnuzze-Impruneta, Firenze : SISMEL, Edizioni del Galluzzo, 2011.</t>
  </si>
  <si>
    <t>Biblioteche e archivi ; 22</t>
  </si>
  <si>
    <t>2015-11-28</t>
  </si>
  <si>
    <t>931608873:ita</t>
  </si>
  <si>
    <t>727766561</t>
  </si>
  <si>
    <t>ocn727766561</t>
  </si>
  <si>
    <t>3103437936I</t>
  </si>
  <si>
    <t>9788884503879</t>
  </si>
  <si>
    <t>794878649</t>
  </si>
  <si>
    <t>Z6621 B55445 B54 2002</t>
  </si>
  <si>
    <t>0                      Z  6621000B  55445              B  54          2002</t>
  </si>
  <si>
    <t>I manoscritti della letteratura italiana delle origini : Firenze, Biblioteca nazionale centrale / a cura di Sandro Bertelli.</t>
  </si>
  <si>
    <t>Firenze : SISMEL : Edizioni del Galluzzo, 2002.</t>
  </si>
  <si>
    <t>Biblioteche e archivi ; 11</t>
  </si>
  <si>
    <t>908316242:ita</t>
  </si>
  <si>
    <t>51257556</t>
  </si>
  <si>
    <t>ocm51257556</t>
  </si>
  <si>
    <t>3103440230P</t>
  </si>
  <si>
    <t>9788884500359</t>
  </si>
  <si>
    <t>793781523</t>
  </si>
  <si>
    <t>Z6621 B55473 H44 2001</t>
  </si>
  <si>
    <t>0                      Z  6621000B  55473              H  44          2001</t>
  </si>
  <si>
    <t>Hebrew manuscripts in the Biblioteca Palatina in Parma : catalogue / edited by Benjamin Richler ; palaeographical and codicological descriptions Malachi Beit-Arié.</t>
  </si>
  <si>
    <t>Jerusalem : Jewish National and University Library, ©2001.</t>
  </si>
  <si>
    <t>503386099:eng</t>
  </si>
  <si>
    <t>50663033</t>
  </si>
  <si>
    <t>ocm50663033</t>
  </si>
  <si>
    <t>3102201165K</t>
  </si>
  <si>
    <t>9789657207000</t>
  </si>
  <si>
    <t>793770004</t>
  </si>
  <si>
    <t>Z6621 B55715 B45 2000</t>
  </si>
  <si>
    <t>0                      Z  6621000B  55715              B  45          2000</t>
  </si>
  <si>
    <t>La librairie des ducs de Bourgogne : manuscrits conservés à la Bibliothèque royale de Belgique.</t>
  </si>
  <si>
    <t>Turnhout : Brepols, [2000]-&lt;2015&gt;</t>
  </si>
  <si>
    <t>4915885687:fre</t>
  </si>
  <si>
    <t>55738249</t>
  </si>
  <si>
    <t>ocm55738249</t>
  </si>
  <si>
    <t>3103355488R</t>
  </si>
  <si>
    <t>9782503511467</t>
  </si>
  <si>
    <t>793881809</t>
  </si>
  <si>
    <t>Z6621.B55715 B45 2000</t>
  </si>
  <si>
    <t>standing order: v. 1-</t>
  </si>
  <si>
    <t>B001392346</t>
  </si>
  <si>
    <t>793881804</t>
  </si>
  <si>
    <t>3103639929N</t>
  </si>
  <si>
    <t>793881805</t>
  </si>
  <si>
    <t>2011-10-26</t>
  </si>
  <si>
    <t>3103355475T</t>
  </si>
  <si>
    <t>793881807</t>
  </si>
  <si>
    <t>3103355484R</t>
  </si>
  <si>
    <t>793881806</t>
  </si>
  <si>
    <t>3103355480R</t>
  </si>
  <si>
    <t>793881808</t>
  </si>
  <si>
    <t>Z6621 B663 H43 1994</t>
  </si>
  <si>
    <t>0                      Z  6621000B  663                H  43          1994</t>
  </si>
  <si>
    <t>Catalogue of the Hebrew manuscripts in the Bodleian Library / [A. Neubauer]. Supplement of addenda and corrigenda to vol. I (A. Neubauer's catalogue) / compiled under the direction of Malachi Beit-Arié ; edited by R.A. May.</t>
  </si>
  <si>
    <t>Oxford : Clarendon Press, 1994.</t>
  </si>
  <si>
    <t>3770793619:eng</t>
  </si>
  <si>
    <t>123246459</t>
  </si>
  <si>
    <t>ocn123246459</t>
  </si>
  <si>
    <t>3101494850I</t>
  </si>
  <si>
    <t>9780199513574</t>
  </si>
  <si>
    <t>794225650</t>
  </si>
  <si>
    <t>Z6621 B85 S6</t>
  </si>
  <si>
    <t>0                      Z  6621000B  85                 S  6</t>
  </si>
  <si>
    <t>Index to the Sloane manuscripts in the British museum. By Edward J.L. Scott, M.A., D. LITT.</t>
  </si>
  <si>
    <t>British Museum. Department of Manuscripts.</t>
  </si>
  <si>
    <t>London, Printed by order of the Trustees, 1904.</t>
  </si>
  <si>
    <t>12168556:eng</t>
  </si>
  <si>
    <t>3692707</t>
  </si>
  <si>
    <t>ocm03692707</t>
  </si>
  <si>
    <t>3000954202N</t>
  </si>
  <si>
    <t>792281965</t>
  </si>
  <si>
    <t>Z6621 B92743</t>
  </si>
  <si>
    <t>0                      Z  6621000B  92743</t>
  </si>
  <si>
    <t>Codices manu scripti Latini.</t>
  </si>
  <si>
    <t>Országos Széchényi Könyvtár.</t>
  </si>
  <si>
    <t>Budapestini, Sumptibus Musei Nationalis Hungarici, 1940-</t>
  </si>
  <si>
    <t>Catalogus Bibliothecae Musei Nationalis Hungarici, 12</t>
  </si>
  <si>
    <t>1807832655:lat</t>
  </si>
  <si>
    <t>511638</t>
  </si>
  <si>
    <t>ocm00511638</t>
  </si>
  <si>
    <t>3000956899M</t>
  </si>
  <si>
    <t>791399149</t>
  </si>
  <si>
    <t>Z6621 C13 P42 Suppl. 1</t>
  </si>
  <si>
    <t>0                      Z  6621000C  13                 P  42                                Suppl. 1</t>
  </si>
  <si>
    <t>Concise descriptive catalogue of the Persian manuscripts in the collections of the Asiatic Society of Bengal. First supplement / by Wladimir Ivanow.</t>
  </si>
  <si>
    <t>Suppl. 1*</t>
  </si>
  <si>
    <t>Asiatic Society of Bengal. Oriental Library.</t>
  </si>
  <si>
    <t>Calcutta : The Society, 1927.</t>
  </si>
  <si>
    <t>Bibliotheca Indica ; work no. 244</t>
  </si>
  <si>
    <t>3857328615:eng</t>
  </si>
  <si>
    <t>61552268</t>
  </si>
  <si>
    <t>ocm61552268</t>
  </si>
  <si>
    <t>30009568385</t>
  </si>
  <si>
    <t>793983970</t>
  </si>
  <si>
    <t>Z6621 C142</t>
  </si>
  <si>
    <t>0                      Z  6621000C  142</t>
  </si>
  <si>
    <t>Catalogue raisonné of the Būhar Library.</t>
  </si>
  <si>
    <t>Būhar Library (Calcutta, India)</t>
  </si>
  <si>
    <t>Calcutta, Imperial Library, 1921-23.</t>
  </si>
  <si>
    <t>13583294:eng</t>
  </si>
  <si>
    <t>3977938</t>
  </si>
  <si>
    <t>ocm03977938</t>
  </si>
  <si>
    <t>3000957158M</t>
  </si>
  <si>
    <t>792310572</t>
  </si>
  <si>
    <t>3100831708F</t>
  </si>
  <si>
    <t>792310571</t>
  </si>
  <si>
    <t>Z6621 C1913 1979</t>
  </si>
  <si>
    <t>0                      Z  6621000C  1913        1979</t>
  </si>
  <si>
    <t>A catalogue of the manuscripts preserved in the Library of the University of Cambridge / edited for the Syndics of the University Press ; with a new pref. and a new introd. to reprint.</t>
  </si>
  <si>
    <t>Cambridge University Library.</t>
  </si>
  <si>
    <t>München : Kraus Reprint ; Hildesheim ; New York : G. Olms, 1980-</t>
  </si>
  <si>
    <t>2006-12-20</t>
  </si>
  <si>
    <t>9989460915:eng</t>
  </si>
  <si>
    <t>7177459</t>
  </si>
  <si>
    <t>ocm07177459</t>
  </si>
  <si>
    <t>3100831716G</t>
  </si>
  <si>
    <t>9783601001874</t>
  </si>
  <si>
    <t>792544360</t>
  </si>
  <si>
    <t>3100831717E</t>
  </si>
  <si>
    <t>792544359</t>
  </si>
  <si>
    <t>3100831715I</t>
  </si>
  <si>
    <t>792544361</t>
  </si>
  <si>
    <t>3103475075P</t>
  </si>
  <si>
    <t>792544362</t>
  </si>
  <si>
    <t>Index</t>
  </si>
  <si>
    <t>3100831761B</t>
  </si>
  <si>
    <t>792544364</t>
  </si>
  <si>
    <t>3000963680N</t>
  </si>
  <si>
    <t>792544363</t>
  </si>
  <si>
    <t>Z6621 D8 T6 1992</t>
  </si>
  <si>
    <t>0                      Z  6621000D  8                  T  6           1992</t>
  </si>
  <si>
    <t>Treasures of the mind : a Trinity College Dublin quatercentenary exhibition / catalogue edited by David Scott.</t>
  </si>
  <si>
    <t>London : Sotheby's, 1992.</t>
  </si>
  <si>
    <t>117170907:eng</t>
  </si>
  <si>
    <t>27678279</t>
  </si>
  <si>
    <t>ocm27678279</t>
  </si>
  <si>
    <t>3101222794V</t>
  </si>
  <si>
    <t>793268888</t>
  </si>
  <si>
    <t>Z6621 D84 L378 2008</t>
  </si>
  <si>
    <t>0                      Z  6621000D  84                 L  378         2008</t>
  </si>
  <si>
    <t>Trinity College Library Dublin : descriptive catalogue of the Mediaeval and Renaisance Latin manuscripts. Supplement one / Marvin L. Colker.</t>
  </si>
  <si>
    <t>Colker, Marvin L.</t>
  </si>
  <si>
    <t>Dublin, Ireland ; Portland, OR : Published for Trinity College Library Dublin by Four Courts Press, ©2008.</t>
  </si>
  <si>
    <t>4202617831:eng</t>
  </si>
  <si>
    <t>227272528</t>
  </si>
  <si>
    <t>ocn227272528</t>
  </si>
  <si>
    <t>31029723539</t>
  </si>
  <si>
    <t>9781846820953</t>
  </si>
  <si>
    <t>794347537</t>
  </si>
  <si>
    <t>Z6621 G78 M3</t>
  </si>
  <si>
    <t>0                      Z  6621000G  78                 M  3</t>
  </si>
  <si>
    <t>Catalogue of the Marathi manuscripts in the India Office Library, by the late James Fuller Blumhardt and Sadashiv Govind Kanhere.</t>
  </si>
  <si>
    <t>Oxford, Published for the India Office Library at the Clarendon Press, 1950.</t>
  </si>
  <si>
    <t>344161735:eng</t>
  </si>
  <si>
    <t>5039347</t>
  </si>
  <si>
    <t>ocm05039347</t>
  </si>
  <si>
    <t>3000957172S</t>
  </si>
  <si>
    <t>792403516</t>
  </si>
  <si>
    <t>Z6621 G79 G74 1977</t>
  </si>
  <si>
    <t>0                      Z  6621000G  79                 G  74          1977</t>
  </si>
  <si>
    <t>Guide to the manuscripts in the National Maritime Museum / edited by R.J.B. Knight.</t>
  </si>
  <si>
    <t>National Maritime Museum (Great Britain)</t>
  </si>
  <si>
    <t>London : Mansell, 1977-1980.</t>
  </si>
  <si>
    <t>2017-08-29</t>
  </si>
  <si>
    <t>2019-01-30</t>
  </si>
  <si>
    <t>5377741599:eng</t>
  </si>
  <si>
    <t>3914845</t>
  </si>
  <si>
    <t>ocm03914845</t>
  </si>
  <si>
    <t>31008317742</t>
  </si>
  <si>
    <t>9780720107142</t>
  </si>
  <si>
    <t>792304645</t>
  </si>
  <si>
    <t>3000957609F</t>
  </si>
  <si>
    <t>792304646</t>
  </si>
  <si>
    <t>Z6621 I53 P34</t>
  </si>
  <si>
    <t>0                      Z  6621000I  53                 P  34</t>
  </si>
  <si>
    <t>Catalogue of two collections of Persian and Arabic manuscripts preserved in the India office library; by E. Denison Ross, and Edward G. Browne.</t>
  </si>
  <si>
    <t>Great Britain. India Office. Library.</t>
  </si>
  <si>
    <t>London, Eyre and Spottiswoode, 1902.</t>
  </si>
  <si>
    <t>2017-04-08</t>
  </si>
  <si>
    <t>48377288:eng</t>
  </si>
  <si>
    <t>4980064</t>
  </si>
  <si>
    <t>ocm04980064</t>
  </si>
  <si>
    <t>3000956976U</t>
  </si>
  <si>
    <t>792398978</t>
  </si>
  <si>
    <t>Z6621 K933 L374 1980</t>
  </si>
  <si>
    <t>0                      Z  6621000K  933                L  374         1980</t>
  </si>
  <si>
    <t>Catalogus codicum manuscriptorum Medii Aevi Latinorum qui in Bibliotheca Jagellonica Cracoviae asservantur / composuerunt Sophia Włodek, Georgius Zathey, Marianus Zwiercan.</t>
  </si>
  <si>
    <t>Biblioteka Jagiellońska.</t>
  </si>
  <si>
    <t>Wratislaviae [Wrocław, Poland] : Institutum Ossolinianum : Officina Editoria Academiae Scientiarum Polonae, 1980-&lt;2016&gt;</t>
  </si>
  <si>
    <t>2864770261:lat</t>
  </si>
  <si>
    <t>7307066</t>
  </si>
  <si>
    <t>ocm07307066</t>
  </si>
  <si>
    <t>30009528979</t>
  </si>
  <si>
    <t>9788304006843</t>
  </si>
  <si>
    <t>792552576</t>
  </si>
  <si>
    <t>31038722932</t>
  </si>
  <si>
    <t>792552575</t>
  </si>
  <si>
    <t>3100831797R</t>
  </si>
  <si>
    <t>792552574</t>
  </si>
  <si>
    <t>Z6621 L742 1989</t>
  </si>
  <si>
    <t>0                      Z  6621000L  742         1989</t>
  </si>
  <si>
    <t>Catalogue of the manuscripts of Lincoln Cathedral Chapter Library / R.M. Thomson.</t>
  </si>
  <si>
    <t>Thomson, Rodney M.</t>
  </si>
  <si>
    <t>Woodbridge, Suffolk ; Wolfeboro, N.H., USA : Published on behalf of the Dean and Chapter of Lincoln by D.S. Brewer, 1989.</t>
  </si>
  <si>
    <t>2070183483:eng</t>
  </si>
  <si>
    <t>19513959</t>
  </si>
  <si>
    <t>ocm19513959</t>
  </si>
  <si>
    <t>3103609998M</t>
  </si>
  <si>
    <t>9780859912785</t>
  </si>
  <si>
    <t>793060368</t>
  </si>
  <si>
    <t>Z6621 L82 L36 2010</t>
  </si>
  <si>
    <t>0                      Z  6621000L  82                 L  36          2010</t>
  </si>
  <si>
    <t>Lambeth Palace Library : treasures from the collection of the Archbishops of Canterbury / edited by Richard Palmer and Michelle P. Brown.</t>
  </si>
  <si>
    <t>Lambeth Palace Library.</t>
  </si>
  <si>
    <t>London : Scala Publishers Ltd., 2010.</t>
  </si>
  <si>
    <t>2012-09-28</t>
  </si>
  <si>
    <t>941072971:eng</t>
  </si>
  <si>
    <t>462895001</t>
  </si>
  <si>
    <t>ocn462895001</t>
  </si>
  <si>
    <t>3103239990A</t>
  </si>
  <si>
    <t>9781857596274</t>
  </si>
  <si>
    <t>794792097</t>
  </si>
  <si>
    <t>Z6621 M26 C7 2010</t>
  </si>
  <si>
    <t>0                      Z  6621000M  26                 C  7           2010</t>
  </si>
  <si>
    <t>Catalogue of the Coptic manuscripts in the collection of the John Rylands library, Manchester / John Rylands Library and Crum, W.E .(Walter Ewing), and Crawford, James Ludovic Lindsay.</t>
  </si>
  <si>
    <t>John Rylands Library.</t>
  </si>
  <si>
    <t>Memphis, Tenn. : General Books, 2010.</t>
  </si>
  <si>
    <t>Reprint ed.</t>
  </si>
  <si>
    <t>1218139822:eng</t>
  </si>
  <si>
    <t>670040731</t>
  </si>
  <si>
    <t>ocn670040731</t>
  </si>
  <si>
    <t>31032858984</t>
  </si>
  <si>
    <t>794847301</t>
  </si>
  <si>
    <t>Z6621 M47 T46 2009</t>
  </si>
  <si>
    <t>0                      Z  6621000M  47                 T  46          2009</t>
  </si>
  <si>
    <t>A descriptive catalogue of the medieval manuscripts of Merton College, Oxford / R.M. Thomson ; with a description of the Greek manuscripts by N.G. Wilson.</t>
  </si>
  <si>
    <t>Cambridge : Published for Merton College, Oxford, by D.S. Brewer, 2009.</t>
  </si>
  <si>
    <t>372766753:eng</t>
  </si>
  <si>
    <t>386671344</t>
  </si>
  <si>
    <t>ocn386671344</t>
  </si>
  <si>
    <t>31032374682</t>
  </si>
  <si>
    <t>9781843841883</t>
  </si>
  <si>
    <t>794495558</t>
  </si>
  <si>
    <t>Z6621 M686 M57 2007</t>
  </si>
  <si>
    <t>0                      Z  6621000M  686                M  57          2007</t>
  </si>
  <si>
    <t>I manoscritti del Monastero del Paradiso di Firenze / Rosanna Miriello.</t>
  </si>
  <si>
    <t>Miriello, Rosanna.</t>
  </si>
  <si>
    <t>Tavarnuzze (Firenze) : SISMEL : Edizioni del Galluzzo, 2007.</t>
  </si>
  <si>
    <t>Biblioteche e archivi ; 16</t>
  </si>
  <si>
    <t>348608379:ita</t>
  </si>
  <si>
    <t>164113454</t>
  </si>
  <si>
    <t>ocn164113454</t>
  </si>
  <si>
    <t>3103440231P</t>
  </si>
  <si>
    <t>9788884502001</t>
  </si>
  <si>
    <t>794258747</t>
  </si>
  <si>
    <t>Z6621 N66 S23 1989</t>
  </si>
  <si>
    <t>0                      Z  6621000N  66                 S  23          1989</t>
  </si>
  <si>
    <t>A catalogue of the pre-1500 western manuscript books at the Newberry Library / Paul Saenger.</t>
  </si>
  <si>
    <t>Chicago : University of Chicago Press, ©1989.</t>
  </si>
  <si>
    <t>432112272:eng</t>
  </si>
  <si>
    <t>18988623</t>
  </si>
  <si>
    <t>ocm18988623</t>
  </si>
  <si>
    <t>3100750270U</t>
  </si>
  <si>
    <t>9780226733500</t>
  </si>
  <si>
    <t>793043777</t>
  </si>
  <si>
    <t>Z6621 O92</t>
  </si>
  <si>
    <t>0                      Z  6621000O  92</t>
  </si>
  <si>
    <t>Catalogue of the manuscripts of Balliol College, Oxford, comp. by R.A.B. Mynors.</t>
  </si>
  <si>
    <t>Balliol College (University of Oxford)</t>
  </si>
  <si>
    <t>Oxford, Clarendon Press, 1963.</t>
  </si>
  <si>
    <t>2017-08-18</t>
  </si>
  <si>
    <t>46790514:eng</t>
  </si>
  <si>
    <t>14593439</t>
  </si>
  <si>
    <t>ocm14593439</t>
  </si>
  <si>
    <t>30009568903</t>
  </si>
  <si>
    <t>792894932</t>
  </si>
  <si>
    <t>Z6621 O95 L38 1973</t>
  </si>
  <si>
    <t>0                      Z  6621000O  95                 L  38          1973</t>
  </si>
  <si>
    <t>Laudian manuscripts / by H.O. Coxe.</t>
  </si>
  <si>
    <t>Oxford : Bodleian Library, 1973.</t>
  </si>
  <si>
    <t>Bodleian Library. Quarto catalogues ; 2</t>
  </si>
  <si>
    <t>7306664:eng</t>
  </si>
  <si>
    <t>82104181</t>
  </si>
  <si>
    <t>ocm82104181</t>
  </si>
  <si>
    <t>3000956735F</t>
  </si>
  <si>
    <t>9780900177569</t>
  </si>
  <si>
    <t>794204921</t>
  </si>
  <si>
    <t>Z6621 R7353</t>
  </si>
  <si>
    <t>0                      Z  6621000R  7353</t>
  </si>
  <si>
    <t>Catalogo dei manoscritti dela Biblioteca vallicelliana, compilato da Anna Maria Giorgetti Vichi e Sergio Mottironi.</t>
  </si>
  <si>
    <t>Biblioteca vallicelliana.</t>
  </si>
  <si>
    <t>[Roma] Istituto poligrafico dello Stato, Libreria dello Stato [1961-</t>
  </si>
  <si>
    <t>Ministero della pubblica istruzione. Indici e cataloghi. Nuova serie, 7</t>
  </si>
  <si>
    <t>5090950426:ita</t>
  </si>
  <si>
    <t>2926618</t>
  </si>
  <si>
    <t>ocm02926618</t>
  </si>
  <si>
    <t>3000957255O</t>
  </si>
  <si>
    <t>792194557</t>
  </si>
  <si>
    <t>Z6621 S4 1997</t>
  </si>
  <si>
    <t>0                      Z  6621000S  4           1997</t>
  </si>
  <si>
    <t>A handlist of the Latin writers of Great Britain and Ireland before 1540 / Richard Sharpe.</t>
  </si>
  <si>
    <t>Sharpe, Richard, 1954-</t>
  </si>
  <si>
    <t>[Turnhout, Belgium] : Brepols, ©1997.</t>
  </si>
  <si>
    <t>Publications of the Journal of medieval Latin ; 1</t>
  </si>
  <si>
    <t>2591164121:eng</t>
  </si>
  <si>
    <t>37422629</t>
  </si>
  <si>
    <t>ocm37422629</t>
  </si>
  <si>
    <t>3101885553Y</t>
  </si>
  <si>
    <t>9782503505756</t>
  </si>
  <si>
    <t>793498254</t>
  </si>
  <si>
    <t>Z6621 T75 G36 2018</t>
  </si>
  <si>
    <t>0                      Z  6621000T  75                 G  36          2018</t>
  </si>
  <si>
    <t>The medieval manuscripts of Trinity College, Oxford : a descriptive catalogue / by Richard Gameson.</t>
  </si>
  <si>
    <t>Gameson, Richard, compiler.</t>
  </si>
  <si>
    <t>Oxford : The Oxford Bibliographical Society, 2018.</t>
  </si>
  <si>
    <t>Oxford Bibliographical Society publications. Special series: Manuscript catalogues ; volume III</t>
  </si>
  <si>
    <t>4753731347:eng</t>
  </si>
  <si>
    <t>1022268363</t>
  </si>
  <si>
    <t>on1022268363</t>
  </si>
  <si>
    <t>3103736339F</t>
  </si>
  <si>
    <t>9780901420633</t>
  </si>
  <si>
    <t>795051376</t>
  </si>
  <si>
    <t>Z6621 U6596 R68 2017</t>
  </si>
  <si>
    <t>0                      Z  6621000U  6596               R  68          2017</t>
  </si>
  <si>
    <t>Medieval and Renaissance manuscripts of the UCLA Library Special Collections. I, The Richard and Mary Rouse Collection / R.H. and M.A. Rouse ; with the assistance of Stacey Graham and Rhiannon Knoll ; bindings described by Kristen St. John ; musical notation described by Gillian Gower.</t>
  </si>
  <si>
    <t>Rouse, Richard H., compiler.</t>
  </si>
  <si>
    <t>Tempe, Arizona : Arizona Center for Medieval and Renaissance Studies, ACMRS, 2017.</t>
  </si>
  <si>
    <t>Medieval and Renaissance texts and studies ; volume 472</t>
  </si>
  <si>
    <t>4455773931:eng</t>
  </si>
  <si>
    <t>1000388342</t>
  </si>
  <si>
    <t>on1000388342</t>
  </si>
  <si>
    <t>31037027625</t>
  </si>
  <si>
    <t>9780866985253</t>
  </si>
  <si>
    <t>795040182</t>
  </si>
  <si>
    <t>Z6621 V33 H42 2008</t>
  </si>
  <si>
    <t>0                      Z  6621000V  33                 H  42          2008</t>
  </si>
  <si>
    <t>Hebrew manuscripts in the Vatican Library : catalogue / compiled by the staff of the Institute of Microfimed Hebrew Manuscripts, Jewish National and University Library, Jerusalem ; edited by Benjamin Richler ; paleographical and codicological descriptions Malachi Beit-Arié in collaboration with Nurit Pasternak.</t>
  </si>
  <si>
    <t>Città del Vaticano : Biblioteca apostolica Vaticana, 2008.</t>
  </si>
  <si>
    <t>Studi e testi ; 438</t>
  </si>
  <si>
    <t>792959484:eng</t>
  </si>
  <si>
    <t>231656334</t>
  </si>
  <si>
    <t>ocn231656334</t>
  </si>
  <si>
    <t>3103030581Z</t>
  </si>
  <si>
    <t>9788821008238</t>
  </si>
  <si>
    <t>794357899</t>
  </si>
  <si>
    <t>Z6621 V44 B474</t>
  </si>
  <si>
    <t>0                      Z  6621000V  44                 B  474</t>
  </si>
  <si>
    <t>Bessarion's library and the Biblioteca Marciana : six early inventories / Lotte Labowsky.</t>
  </si>
  <si>
    <t>Labowsky, Carlotta, 1905-</t>
  </si>
  <si>
    <t>Roma : Edizioni di storia e letteratura, 1979, 1980 printing.</t>
  </si>
  <si>
    <t>Sussidi Eruditi ; 31</t>
  </si>
  <si>
    <t>197801132:eng</t>
  </si>
  <si>
    <t>7087435</t>
  </si>
  <si>
    <t>ocm07087435</t>
  </si>
  <si>
    <t>3102952069Q</t>
  </si>
  <si>
    <t>792539612</t>
  </si>
  <si>
    <t>Z6621 V45 F7</t>
  </si>
  <si>
    <t>0                      Z  6621000V  45                 F  7</t>
  </si>
  <si>
    <t>I codici francesi della R. Biblioteca nazionale di S. Marco in Venezia descritti e illustrati dal Prof. Domenico Ciàmpoli.</t>
  </si>
  <si>
    <t>Biblioteca nazionale marciana.</t>
  </si>
  <si>
    <t>Venezia, L.S. Olschki, 1897 [1896]</t>
  </si>
  <si>
    <t>1897</t>
  </si>
  <si>
    <t>3902154775:ita</t>
  </si>
  <si>
    <t>7105282</t>
  </si>
  <si>
    <t>ocm07105282</t>
  </si>
  <si>
    <t>31035994668</t>
  </si>
  <si>
    <t>792540611</t>
  </si>
  <si>
    <t>Z6652 S94 1900</t>
  </si>
  <si>
    <t>0                      Z  6652000S  94          1900</t>
  </si>
  <si>
    <t>Die Mathematiker und Astronomen der Araber und ihre Werke. Von Dr. Heinrich Suter ...</t>
  </si>
  <si>
    <t>Suter, H. (Heinrich), 1848-1922.</t>
  </si>
  <si>
    <t>Leipzig, B.G. Teubner, 1900.</t>
  </si>
  <si>
    <t>Abhandlungen zur Geschichte der mathematischen Wissenschaften mit Einschluss ihrer Anwendungen, 10. Hft.</t>
  </si>
  <si>
    <t>350637923:ger</t>
  </si>
  <si>
    <t>11252893</t>
  </si>
  <si>
    <t>ocm11252893</t>
  </si>
  <si>
    <t>3000688543H</t>
  </si>
  <si>
    <t>792765222</t>
  </si>
  <si>
    <t>Z6661 C5 C475 1991</t>
  </si>
  <si>
    <t>0                      Z  6661000C  5                  C  475         1991</t>
  </si>
  <si>
    <t>Quan guo Zhong yi tu shu lian he mu lu / Zhongguo Zhong yi yan jiu yuan tu shu guan bian ; zhu bian Xue Qinglu ; fu zhu bian Fu Jinghua [and others].</t>
  </si>
  <si>
    <t>Beijing : Zhong yi gu ji chu ban she : Xin hua shu dian Beijing fa xing suo fa xing, 1991.</t>
  </si>
  <si>
    <t>2017-03-23</t>
  </si>
  <si>
    <t>435195322:chi</t>
  </si>
  <si>
    <t>26842950</t>
  </si>
  <si>
    <t>ocm26842950</t>
  </si>
  <si>
    <t>31021531635</t>
  </si>
  <si>
    <t>9787800132346</t>
  </si>
  <si>
    <t>793253071</t>
  </si>
  <si>
    <t>Z6671.2 M37 H32 1998</t>
  </si>
  <si>
    <t>0                      Z  6671200M  37                 H  32          1998</t>
  </si>
  <si>
    <t>Midwifery in Canada, 1980-1997 : a brief history and selective annotated bibliography of publications in English / by Lise L. Hackett.</t>
  </si>
  <si>
    <t>Hackett, Lise L., 1950-</t>
  </si>
  <si>
    <t>Halifax, N.S. : Dalhousie University, School of Library and Information Studies, 1998.</t>
  </si>
  <si>
    <t>Occasional papers series, 0318-7403 ; 60</t>
  </si>
  <si>
    <t>2001-12-12</t>
  </si>
  <si>
    <t>41943147:eng</t>
  </si>
  <si>
    <t>39070476</t>
  </si>
  <si>
    <t>ocm39070476</t>
  </si>
  <si>
    <t>31019053369</t>
  </si>
  <si>
    <t>9780770397722</t>
  </si>
  <si>
    <t>793537404</t>
  </si>
  <si>
    <t>Z6676 O86 1969</t>
  </si>
  <si>
    <t>0                      Z  6676000O  86          1969</t>
  </si>
  <si>
    <t>Bibliotheca Osleriana : a catalogue of books illustrating the history of medicine and science / collected, arranged, and annotated by William Osler and bequeathed to McGill University.</t>
  </si>
  <si>
    <t>Montreal : McGill-Queen's University Press, 1969.</t>
  </si>
  <si>
    <t>2018-02-06</t>
  </si>
  <si>
    <t>111197078:eng</t>
  </si>
  <si>
    <t>75916</t>
  </si>
  <si>
    <t>ocm00075916</t>
  </si>
  <si>
    <t>3000960916Z</t>
  </si>
  <si>
    <t>9780773590502</t>
  </si>
  <si>
    <t>791247276</t>
  </si>
  <si>
    <t>30000558266</t>
  </si>
  <si>
    <t>791247277</t>
  </si>
  <si>
    <t>Z6724 H6 H325 2005</t>
  </si>
  <si>
    <t>0                      Z  6724000H  6                  H  325         2005</t>
  </si>
  <si>
    <t>World military history annotated bibliography : premodern and nonwestern military institutions (works published before 1967) / by Barton C. Hacker.</t>
  </si>
  <si>
    <t>Hacker, Barton C., 1935-</t>
  </si>
  <si>
    <t>History of warfare, 1385-7827 ; v. 27</t>
  </si>
  <si>
    <t>366567501:eng</t>
  </si>
  <si>
    <t>57458761</t>
  </si>
  <si>
    <t>ocm57458761</t>
  </si>
  <si>
    <t>3102546814P</t>
  </si>
  <si>
    <t>9789004140714</t>
  </si>
  <si>
    <t>793913412</t>
  </si>
  <si>
    <t>Z6724 H6 H33 2003</t>
  </si>
  <si>
    <t>0                      Z  6724000H  6                  H  33          2003</t>
  </si>
  <si>
    <t>World military history bibliography : premodern and nonwestern military institutions and warfare / by Barton C. Hacker.</t>
  </si>
  <si>
    <t>Leiden ; Boston : Brill, 2003.</t>
  </si>
  <si>
    <t>History of warfare ; v. 16</t>
  </si>
  <si>
    <t>793333856:eng</t>
  </si>
  <si>
    <t>52288738</t>
  </si>
  <si>
    <t>ocm52288738</t>
  </si>
  <si>
    <t>3102314910K</t>
  </si>
  <si>
    <t>9789004129979</t>
  </si>
  <si>
    <t>793802780</t>
  </si>
  <si>
    <t>Z6724 I7 G8</t>
  </si>
  <si>
    <t>0                      Z  6724000I  7                  G  8</t>
  </si>
  <si>
    <t>Geschichte des geheimen Nachrichtendienstes (Spionage, Sabotage, und Abwehr); Literaturbericht und Bibliographie [von] Max Gunzhäuser.</t>
  </si>
  <si>
    <t>Gunzhäuser, Max.</t>
  </si>
  <si>
    <t>Frankfurt am Main, Bernard &amp; Graefe, 1968.</t>
  </si>
  <si>
    <t>Schriften der Bibliotek für Zeitgeschichte, Weltkriegsbücherei Stuttgart; neue Folge der Bibliographien der Weltkriegsbücherei, Heft 7</t>
  </si>
  <si>
    <t>2015-03-27</t>
  </si>
  <si>
    <t>3768783605:ger</t>
  </si>
  <si>
    <t>1911980</t>
  </si>
  <si>
    <t>ocm01911980</t>
  </si>
  <si>
    <t>30009609207</t>
  </si>
  <si>
    <t>792010199</t>
  </si>
  <si>
    <t>Z6739 C2 A52x 1967-74</t>
  </si>
  <si>
    <t>0                      Z  6739000C  2                  A  52x         1967                  -74</t>
  </si>
  <si>
    <t>Catalogue of scientific and technical papers published by the former Mines Branch, since renamed CANMET, Canada Centre for Mineral and Energy Technology, 1967-1974 / prepared by the Technology Information Division, Director's Services, CANMET.</t>
  </si>
  <si>
    <t>Canada Centre for Mineral and Energy Technology.</t>
  </si>
  <si>
    <t>Ottawa : CANMET : Available by mail from Information Canada, 1975.</t>
  </si>
  <si>
    <t>19904940:eng</t>
  </si>
  <si>
    <t>2605550</t>
  </si>
  <si>
    <t>ocm02605550</t>
  </si>
  <si>
    <t>CVB372275-10</t>
  </si>
  <si>
    <t>792151902</t>
  </si>
  <si>
    <t>31001196253</t>
  </si>
  <si>
    <t>792151901</t>
  </si>
  <si>
    <t>Z6945 S7478 1986</t>
  </si>
  <si>
    <t>0                      Z  6945000S  7478        1986</t>
  </si>
  <si>
    <t>Union list of serials in the Montreal area = catalogue collectif des periodiques de la region de Montreal.</t>
  </si>
  <si>
    <t>[Montréal] : Special Libraries Association, Eastern Canada Chapter, 1986.</t>
  </si>
  <si>
    <t>2017-07-29</t>
  </si>
  <si>
    <t>9239578284:eng</t>
  </si>
  <si>
    <t>61544826</t>
  </si>
  <si>
    <t>ocm61544826</t>
  </si>
  <si>
    <t>31037062617</t>
  </si>
  <si>
    <t>793976295</t>
  </si>
  <si>
    <t>Z6951 B86</t>
  </si>
  <si>
    <t>0                      Z  6951000B  86</t>
  </si>
  <si>
    <t>History and bibliography of American newspapers, 1690-1820.</t>
  </si>
  <si>
    <t>Add. &amp; Corr.</t>
  </si>
  <si>
    <t>Brigham, Clarence S. (Clarence Saunders), 1877-1963.</t>
  </si>
  <si>
    <t>Worcester, Mass., American Antiquarian Society, 1947.</t>
  </si>
  <si>
    <t>136076710:eng</t>
  </si>
  <si>
    <t>789013</t>
  </si>
  <si>
    <t>ocm00789013</t>
  </si>
  <si>
    <t>3100830459F</t>
  </si>
  <si>
    <t>791470249</t>
  </si>
  <si>
    <t>3000953643Z</t>
  </si>
  <si>
    <t>791470248</t>
  </si>
  <si>
    <t>V. 2 and Index</t>
  </si>
  <si>
    <t>3103386125T</t>
  </si>
  <si>
    <t>791470247</t>
  </si>
  <si>
    <t>Z6954 C2 B63</t>
  </si>
  <si>
    <t>0                      Z  6954000C  2                  B  63</t>
  </si>
  <si>
    <t>Checklist of Canadian ethnic serials / compiled by Ruth Bogusis ; edited by Liba Blazek ; editorial direction, Sabine Sonnemann = Liste des publications en série ethniques du Canada / compilé par Ruth Bogusis ; révisé par Liba Blazek ; éditeur responsable, Sabine Sonnemann.</t>
  </si>
  <si>
    <t>Bogusis, Ruth.</t>
  </si>
  <si>
    <t>Ottawa : Newspaper Division, Public Services Branch = Division des journaux, Direction des services au public, 1981.</t>
  </si>
  <si>
    <t>8912249755:fre</t>
  </si>
  <si>
    <t>427327799</t>
  </si>
  <si>
    <t>ocn427327799</t>
  </si>
  <si>
    <t>30009502968</t>
  </si>
  <si>
    <t>9780660507323</t>
  </si>
  <si>
    <t>794602482</t>
  </si>
  <si>
    <t>Z6954 C2 I59 1987</t>
  </si>
  <si>
    <t>0                      Z  6954000C  2                  I  59          1987</t>
  </si>
  <si>
    <t>Inventory of Ontario newspapers, 1793-1986 / compiled and edited by J. Brian Gilchrist.</t>
  </si>
  <si>
    <t>Toronto, Ont. : Micromedia Ltd., 1987.</t>
  </si>
  <si>
    <t>22704175:eng</t>
  </si>
  <si>
    <t>20393950</t>
  </si>
  <si>
    <t>ocm20393950</t>
  </si>
  <si>
    <t>30009642328</t>
  </si>
  <si>
    <t>9780888925961</t>
  </si>
  <si>
    <t>793086820</t>
  </si>
  <si>
    <t>Z6954 C2 S68 1987</t>
  </si>
  <si>
    <t>0                      Z  6954000C  2                  S  68          1987</t>
  </si>
  <si>
    <t>An annotated bibliography of works on daily newspapers in Canada, 1914-1983 / Minko Sotiron, editor ; Gordon Rabchuk, indexation = Une bibliographie annotée des ouvrages portant sur les quotidiens canadiens, 1914-1983 / Minko Sotiron, rédacteur ; Gordon Rabchuk, indexation.</t>
  </si>
  <si>
    <t>Sotiron, Minko, 1945-</t>
  </si>
  <si>
    <t>Montréal : Inkstain Publ., 1987.</t>
  </si>
  <si>
    <t>15798676:eng</t>
  </si>
  <si>
    <t>61579665</t>
  </si>
  <si>
    <t>ocm61579665</t>
  </si>
  <si>
    <t>3000963671O</t>
  </si>
  <si>
    <t>9780969310204</t>
  </si>
  <si>
    <t>794015451</t>
  </si>
  <si>
    <t>Z6954 C21 N67</t>
  </si>
  <si>
    <t>0                      Z  6954000C  21                 N  67</t>
  </si>
  <si>
    <t>A survey and listing of Nova Scotia newspapers, 1752-1957 : with particular reference to the period before 1867 / Gertrude E.N. Tratt.</t>
  </si>
  <si>
    <t>Tratt, Gertrude E. N.</t>
  </si>
  <si>
    <t>London ([21 Gwendolyn Ave, ., SW1 5ET]) : Vine Press, 1979.</t>
  </si>
  <si>
    <t>Dalhousie University Libraries and Dalhousie University School of Library Service occasional papers / Dalhousie University, 0318-7403 ; 21</t>
  </si>
  <si>
    <t>23632489:eng</t>
  </si>
  <si>
    <t>59246505</t>
  </si>
  <si>
    <t>ocm59246505</t>
  </si>
  <si>
    <t>3103743461R</t>
  </si>
  <si>
    <t>9780770301606</t>
  </si>
  <si>
    <t>793928836</t>
  </si>
  <si>
    <t>Z6956 F8 R48 2002</t>
  </si>
  <si>
    <t>0                      Z  6956000F  8                  R  48          2002</t>
  </si>
  <si>
    <t>Les gazettes européennes de langue française : répertoire / par Pierre Rétat ; suivi d'une étude sur les fonds des gazettes anciennes à la Bibliothèque nationale de France / par Jeanne-Marie Métivier, Laurent Portes, Pierre Rétat.</t>
  </si>
  <si>
    <t>Rétat, Pierre.</t>
  </si>
  <si>
    <t>[Paris] : Bibliothèque nationale de France, [2002]</t>
  </si>
  <si>
    <t>350905936:fre</t>
  </si>
  <si>
    <t>50772803</t>
  </si>
  <si>
    <t>ocm50772803</t>
  </si>
  <si>
    <t>3102252472H</t>
  </si>
  <si>
    <t>9782717721973</t>
  </si>
  <si>
    <t>793772703</t>
  </si>
  <si>
    <t>Z6956 G3 H33</t>
  </si>
  <si>
    <t>0                      Z  6956000G  3                  H  33</t>
  </si>
  <si>
    <t>Deutsche Zeitungsbestände in Bibliotheken und Archiven = German newspapers in librairies [sic] and archives : a survey / Gert Hagelweide ; hrsg. von der Kommission für Geschichte des Parlamentarismus und der politischen Parteien und dem Verein Deutscher Bibliothekare e.V.</t>
  </si>
  <si>
    <t>Hagelweide, Gert.</t>
  </si>
  <si>
    <t>Düsseldorf : Droste, [1974]</t>
  </si>
  <si>
    <t>Bibliographien zur Geschichte des Parlamentarismus und der politischen Parteien ; Heft 6</t>
  </si>
  <si>
    <t>118900007:ger</t>
  </si>
  <si>
    <t>1198097</t>
  </si>
  <si>
    <t>ocm01198097</t>
  </si>
  <si>
    <t>30009554046</t>
  </si>
  <si>
    <t>9783770050789</t>
  </si>
  <si>
    <t>791570972</t>
  </si>
  <si>
    <t>Z6956 G6 P35 2012</t>
  </si>
  <si>
    <t>0                      Z  6956000G  6                  P  35          2012</t>
  </si>
  <si>
    <t>Perceptions of the press in nineteenth-century British periodicals : a bibliography / E.M. Palmegiano.</t>
  </si>
  <si>
    <t>Palmegiano, E. M.</t>
  </si>
  <si>
    <t>London ; New York : Anthem Press, 2012.</t>
  </si>
  <si>
    <t>1029366528:eng</t>
  </si>
  <si>
    <t>764588795</t>
  </si>
  <si>
    <t>ocn764588795</t>
  </si>
  <si>
    <t>3103408909Z</t>
  </si>
  <si>
    <t>9780857284396</t>
  </si>
  <si>
    <t>794900534</t>
  </si>
  <si>
    <t>Z6956 N45 W43 2017</t>
  </si>
  <si>
    <t>0                      Z  6956000N  45                 W  43          2017</t>
  </si>
  <si>
    <t>Dutch and Flemish newspapers of the seventeenth century, 1618-1700 : bibliographical survey / by Arthur der Weduwen.</t>
  </si>
  <si>
    <t>Weduwen, Arthur der, author.</t>
  </si>
  <si>
    <t>Library of the written word ; Volume 58. The handpress world ; Volume 43</t>
  </si>
  <si>
    <t>4075737248:eng</t>
  </si>
  <si>
    <t>973290633</t>
  </si>
  <si>
    <t>ocn973290633</t>
  </si>
  <si>
    <t>3103738696I</t>
  </si>
  <si>
    <t>9789004317314</t>
  </si>
  <si>
    <t>795029021</t>
  </si>
  <si>
    <t>3103738691S</t>
  </si>
  <si>
    <t>795029022</t>
  </si>
  <si>
    <t>Z6956 S7 S58 1984</t>
  </si>
  <si>
    <t>0                      Z  6956000S  7                  S  58          1984</t>
  </si>
  <si>
    <t>Madrid newspapers, 1661-1870 : a computerized handbook based on the work of Eugenio Hartzenbusch / by Alison Sinclair.</t>
  </si>
  <si>
    <t>Sinclair, Alison.</t>
  </si>
  <si>
    <t>Leeds : W. Maney, 1984.</t>
  </si>
  <si>
    <t>Compendia ; v. 11</t>
  </si>
  <si>
    <t>836658426:eng</t>
  </si>
  <si>
    <t>13859760</t>
  </si>
  <si>
    <t>ocm13859760</t>
  </si>
  <si>
    <t>31012142788</t>
  </si>
  <si>
    <t>9780901286161</t>
  </si>
  <si>
    <t>792869550</t>
  </si>
  <si>
    <t>Z7004 R5 B48 1996</t>
  </si>
  <si>
    <t>0                      Z  7004000R  5                  B  48          1996</t>
  </si>
  <si>
    <t>Les muses classiques : essai de bibliographie rhétorique et poétique : 1610-1716 / Bernard Beugnot.</t>
  </si>
  <si>
    <t>Beugnot, Bernard, 1932-</t>
  </si>
  <si>
    <t>Paris : Klincksieck, 1996.</t>
  </si>
  <si>
    <t>Collection Théorie et critique à l'âge classique</t>
  </si>
  <si>
    <t>2018-09-11</t>
  </si>
  <si>
    <t>807900942:fre</t>
  </si>
  <si>
    <t>36544454</t>
  </si>
  <si>
    <t>ocm36544454</t>
  </si>
  <si>
    <t>3101748180Q</t>
  </si>
  <si>
    <t>9782252030172</t>
  </si>
  <si>
    <t>793478100</t>
  </si>
  <si>
    <t>Z7004 R5 G74 2006</t>
  </si>
  <si>
    <t>0                      Z  7004000R  5                  G  74          2006</t>
  </si>
  <si>
    <t>Renaissance rhetoric short title catalogue, 1460-1700 / Lawrence D. Green and James J. Murphy.</t>
  </si>
  <si>
    <t>Green, Lawrence D.</t>
  </si>
  <si>
    <t>Aldershot, Hants, England ; Burlington, VT : Ashgate, ©2006.</t>
  </si>
  <si>
    <t>788221:eng</t>
  </si>
  <si>
    <t>52092027</t>
  </si>
  <si>
    <t>ocm52092027</t>
  </si>
  <si>
    <t>3103061917I</t>
  </si>
  <si>
    <t>9780754605096</t>
  </si>
  <si>
    <t>793798348</t>
  </si>
  <si>
    <t>Z7004 T72 D45 1987</t>
  </si>
  <si>
    <t>0                      Z  7004000T  72                 D  45          1987</t>
  </si>
  <si>
    <t>La traduction au Canada, 1534-1984 / Jean Delisle ; avec la participation de Christel Gallant, Paul Horguelin.</t>
  </si>
  <si>
    <t>Delisle, Jean.</t>
  </si>
  <si>
    <t>[Ottawa] : Presses de l'Université d'Ottawa, 1987.</t>
  </si>
  <si>
    <t>2017-10-06</t>
  </si>
  <si>
    <t>348065504:fre</t>
  </si>
  <si>
    <t>18015220</t>
  </si>
  <si>
    <t>ocm18015220</t>
  </si>
  <si>
    <t>3000963670Q</t>
  </si>
  <si>
    <t>9782760301825</t>
  </si>
  <si>
    <t>793010575</t>
  </si>
  <si>
    <t>Z7018 I5 G85 2010</t>
  </si>
  <si>
    <t>0                      Z  7018000I  5                  G  85          2010</t>
  </si>
  <si>
    <t>Guide de l'épigraphiste : bibliographie choisie des épigraphies antiques et médiévales / François Bérard, Denis Feissel, Nicolas Laubry, Pierre Petitmengin, Denis Rousset, Michel Sève ; avec des contributions de Dominique Briquel, Françoise Briquel Chatonnet, Pierre Carlier, Laurent Coulon, Bernard Delavault, Frantz Grenet, Pierre-Yves Lambert, Eugenio Luján, Laurent Motte, Georges-Jean Pinault, Xavier Tremblay, Gilles Van Heems.</t>
  </si>
  <si>
    <t>Bérard, François, compiler.</t>
  </si>
  <si>
    <t>Paris : Éditions Rue d'Ulm, 2010.</t>
  </si>
  <si>
    <t>Quatrième édition entièrement refondue.</t>
  </si>
  <si>
    <t>Guides et inventaires bibliographiques, 1950-2206 ; 7</t>
  </si>
  <si>
    <t>2014-03-13</t>
  </si>
  <si>
    <t>10177793982:fre</t>
  </si>
  <si>
    <t>669737833</t>
  </si>
  <si>
    <t>ocn669737833</t>
  </si>
  <si>
    <t>3103404264N</t>
  </si>
  <si>
    <t>9782728804436</t>
  </si>
  <si>
    <t>794846968</t>
  </si>
  <si>
    <t>Z7033 P8 T378 2015</t>
  </si>
  <si>
    <t>0                      Z  7033000P  8                  T  378         2015</t>
  </si>
  <si>
    <t>Bibliographical guide to the study of the troubadours and old Occitan literature / Robert A. Taylor.</t>
  </si>
  <si>
    <t>Taylor, Robert A. (Robert Allen), 1937-</t>
  </si>
  <si>
    <t>Kalamazoo : Medieval Institute Publications, Western Michigan University, 2015.</t>
  </si>
  <si>
    <t>Research in medieval culture</t>
  </si>
  <si>
    <t>2615964510:eng</t>
  </si>
  <si>
    <t>904047344</t>
  </si>
  <si>
    <t>ocn904047344</t>
  </si>
  <si>
    <t>3103496774R</t>
  </si>
  <si>
    <t>9781580442152</t>
  </si>
  <si>
    <t>794989984</t>
  </si>
  <si>
    <t>Z7038 Y53 J64 1998</t>
  </si>
  <si>
    <t>0                      Z  7038000Y  53                 J  64          1998</t>
  </si>
  <si>
    <t>A garment worker's legacy : the Joe Fishstein collection of Yiddish poetry : the catalogue / edited by Goldie Sigal.</t>
  </si>
  <si>
    <t>Joe Fishstein Collection of Yiddish Poetry.</t>
  </si>
  <si>
    <t>Montreal : McGill University Libraries, 1998.</t>
  </si>
  <si>
    <t>Fontanus monograph series, 1183-1774 ; 11</t>
  </si>
  <si>
    <t>2008-05-13</t>
  </si>
  <si>
    <t>502808312:eng</t>
  </si>
  <si>
    <t>43527119</t>
  </si>
  <si>
    <t>ocm43527119</t>
  </si>
  <si>
    <t>3101904325J</t>
  </si>
  <si>
    <t>9780771705113</t>
  </si>
  <si>
    <t>793628708</t>
  </si>
  <si>
    <t>Z7049 I3 I53 1973</t>
  </si>
  <si>
    <t>0                      Z  7049000I  3                  I  53          1973</t>
  </si>
  <si>
    <t>Indian languages bibliography of grammars, dictionaries and teaching materials / compiled and edited by D.P. Pattanayak.</t>
  </si>
  <si>
    <t>New Delhi : Educational Resources Center, 1973.</t>
  </si>
  <si>
    <t>2d rev. ed.</t>
  </si>
  <si>
    <t>2830020423:eng</t>
  </si>
  <si>
    <t>2136880</t>
  </si>
  <si>
    <t>ocm02136880</t>
  </si>
  <si>
    <t>3000954005P</t>
  </si>
  <si>
    <t>792053668</t>
  </si>
  <si>
    <t>Z7049 S5 B35</t>
  </si>
  <si>
    <t>0                      Z  7049000S  5                  B  35</t>
  </si>
  <si>
    <t>A basic bibliography for the study of the Semitic languages / edited by J.H. Hospers.</t>
  </si>
  <si>
    <t>Leiden : Brill, 1973-1974.</t>
  </si>
  <si>
    <t>1626434:eng</t>
  </si>
  <si>
    <t>805486</t>
  </si>
  <si>
    <t>ocm00805486</t>
  </si>
  <si>
    <t>3100890843F</t>
  </si>
  <si>
    <t>9789004036239</t>
  </si>
  <si>
    <t>791474462</t>
  </si>
  <si>
    <t>3000957282L</t>
  </si>
  <si>
    <t>791474463</t>
  </si>
  <si>
    <t>Z7049 S5 H6x</t>
  </si>
  <si>
    <t>0                      Z  7049000S  5                  H  6x</t>
  </si>
  <si>
    <t>30011579573</t>
  </si>
  <si>
    <t>791474465</t>
  </si>
  <si>
    <t>3101103143C</t>
  </si>
  <si>
    <t>791474464</t>
  </si>
  <si>
    <t>Z7052 C52</t>
  </si>
  <si>
    <t>0                      Z  7052000C  52</t>
  </si>
  <si>
    <t>Bibliographie des ouvrages arabes ou relatifs aux Arabes, publiés dans l'Europe chrétienne de 1810 à 1885; par Victor Chauvin ...</t>
  </si>
  <si>
    <t>v.8/9</t>
  </si>
  <si>
    <t>Chauvin, Victor Charles, 1844-1913.</t>
  </si>
  <si>
    <t>Liége, H. Vaillant-Carmanne, imprimeur, 1892-19.</t>
  </si>
  <si>
    <t>10141271803:fre</t>
  </si>
  <si>
    <t>1282982</t>
  </si>
  <si>
    <t>ocm01282982</t>
  </si>
  <si>
    <t>3103636742H</t>
  </si>
  <si>
    <t>791591050</t>
  </si>
  <si>
    <t>Z7070 J68 2009</t>
  </si>
  <si>
    <t>0                      Z  7070000J  68          2009</t>
  </si>
  <si>
    <t>A journey through Jewish worlds : highlights from the Braginsky Collection of Hebrew manuscripts and printed books / edited by Evelyn M. Cohen, Sharon Liberman Mintz, Emile G.L. Schrijver ; contributions by Elka Deitsch [and others] ; photography by Ardon Bar-Hama.</t>
  </si>
  <si>
    <t>Amsterdam : Bijzondere Collecties, Universiteit van Amsterdam ; Zwolle : Distributed by Waanders, 2009.</t>
  </si>
  <si>
    <t>2016-05-31</t>
  </si>
  <si>
    <t>792100894:eng</t>
  </si>
  <si>
    <t>466662420</t>
  </si>
  <si>
    <t>ocn466662420</t>
  </si>
  <si>
    <t>3103421714K</t>
  </si>
  <si>
    <t>9789040076541</t>
  </si>
  <si>
    <t>794794913</t>
  </si>
  <si>
    <t>Z7070 N37</t>
  </si>
  <si>
    <t>0                      Z  7070000N  37</t>
  </si>
  <si>
    <t>Incunabula, Hebraica &amp; Judaica : five centuries of Hebraica and Judaica, rare Bibles, and Hebrew incunables from the Jacob M. Lowy Collection : exhibition catalogue = cinq siècles de livres hébraïques et judaïques, de bibles rares et d'incunables hébreux, de la collection Jacob M. Lowy : exposition catalogue / prepared by Brad Sabin Hill.</t>
  </si>
  <si>
    <t>Jacob M. Lowy Collection.</t>
  </si>
  <si>
    <t>Ottawa : National Library of Canada, 1981.</t>
  </si>
  <si>
    <t>5624129977:eng</t>
  </si>
  <si>
    <t>9684857</t>
  </si>
  <si>
    <t>ocm09684857</t>
  </si>
  <si>
    <t>3000950840B</t>
  </si>
  <si>
    <t>9780660509334</t>
  </si>
  <si>
    <t>792688624</t>
  </si>
  <si>
    <t>Z7070 O93 1931</t>
  </si>
  <si>
    <t>0                      Z  7070000O  93          1931</t>
  </si>
  <si>
    <t>Catalogus librorum hebraeorum in bibliotheca Bodleiana jussu curatorum digessit et notis instruxit M. Steinschneider.</t>
  </si>
  <si>
    <t>Berlin, Welt-Verlag, 1931.</t>
  </si>
  <si>
    <t>2.(faksimile) Aufl.</t>
  </si>
  <si>
    <t>2070179429:eng</t>
  </si>
  <si>
    <t>188590</t>
  </si>
  <si>
    <t>ocm00188590</t>
  </si>
  <si>
    <t>31008908744</t>
  </si>
  <si>
    <t>791287524</t>
  </si>
  <si>
    <t>31008908752</t>
  </si>
  <si>
    <t>791287523</t>
  </si>
  <si>
    <t>3000955576E</t>
  </si>
  <si>
    <t>791287525</t>
  </si>
  <si>
    <t>Z7070 O94</t>
  </si>
  <si>
    <t>0                      Z  7070000O  94</t>
  </si>
  <si>
    <t>A concise catalogue of the Hebrew printed books in the Bodleian library, by A.E. Cowley.</t>
  </si>
  <si>
    <t>Oxford, Clarendon Press, 1929.</t>
  </si>
  <si>
    <t>1331326:eng</t>
  </si>
  <si>
    <t>184330</t>
  </si>
  <si>
    <t>ocm00184330</t>
  </si>
  <si>
    <t>3000955433$</t>
  </si>
  <si>
    <t>791285756</t>
  </si>
  <si>
    <t>Z7085 S88</t>
  </si>
  <si>
    <t>0                      Z  7085000S  88</t>
  </si>
  <si>
    <t>Persian literature; a bio-bibliographical survey, by C.A. Storey ...</t>
  </si>
  <si>
    <t>v. 1, pt. 1, fasc. 1</t>
  </si>
  <si>
    <t>Storey, C. A. (Charles Ambrose), 1888-1967, author.</t>
  </si>
  <si>
    <t>London, Luzac &amp; Co., 1927-&lt;2004&gt;</t>
  </si>
  <si>
    <t>2010-05-03</t>
  </si>
  <si>
    <t>4917904761:eng</t>
  </si>
  <si>
    <t>1312518</t>
  </si>
  <si>
    <t>ocm01312518</t>
  </si>
  <si>
    <t>3000951641C</t>
  </si>
  <si>
    <t>9780947593117</t>
  </si>
  <si>
    <t>791597459</t>
  </si>
  <si>
    <t>Z7116 L94</t>
  </si>
  <si>
    <t>0                      Z  7116000L  94</t>
  </si>
  <si>
    <t>The literature of American aboriginal languages / by Hermann E. Ludewig ; with additions and corrections, by Wm. W. Turner ; edited by Nicolas Trübner.</t>
  </si>
  <si>
    <t>Ludewig, Hermann E. (Hermann Ernst), 1809 or 1810-1856.</t>
  </si>
  <si>
    <t>London : Trübner and Co., 1858.</t>
  </si>
  <si>
    <t>1858</t>
  </si>
  <si>
    <t>Trübner's bibliotheca glottica ; 1</t>
  </si>
  <si>
    <t>8909734638:eng</t>
  </si>
  <si>
    <t>5259382</t>
  </si>
  <si>
    <t>ocm05259382</t>
  </si>
  <si>
    <t>3000747577M</t>
  </si>
  <si>
    <t>792420120</t>
  </si>
  <si>
    <t>Z7119 A4 P5 1891</t>
  </si>
  <si>
    <t>0                      Z  7119000A  4                  P  5           1891</t>
  </si>
  <si>
    <t>Bibliography of the Algonquian languages, by James Constantine Pilling.</t>
  </si>
  <si>
    <t>Pilling, James Constantine, 1846-1895.</t>
  </si>
  <si>
    <t>Washington, Govt. Print. Off., 1891.</t>
  </si>
  <si>
    <t>Smithsonian Institution. Bureau of [American] Ethnology: J.W. Powell, director. [Bulletin, no. 13]</t>
  </si>
  <si>
    <t>1149438:eng</t>
  </si>
  <si>
    <t>61572515</t>
  </si>
  <si>
    <t>ocm61572515</t>
  </si>
  <si>
    <t>31012257062</t>
  </si>
  <si>
    <t>794007028</t>
  </si>
  <si>
    <t>31011471338</t>
  </si>
  <si>
    <t>794007027</t>
  </si>
  <si>
    <t>Z7129 C5 L53 2010</t>
  </si>
  <si>
    <t>0                      Z  7129000C  5                  L  53          2010</t>
  </si>
  <si>
    <t>Liang Han zhu zi yan jiu lun zhu mu lu, 2002-2009 / zhu bian Chen Ligui ; bian ji Chen Ming'en [and four others] ; Han xue yan jiu zhong xin bian yin.</t>
  </si>
  <si>
    <t>Taibei Shi : Han xue yan jiu zhong xin, Minguo 99 [2010]</t>
  </si>
  <si>
    <t>Han xue yan jiu zhong xin cong kan. Mu lu lei ; di 15-3 zhong</t>
  </si>
  <si>
    <t>10141980853:chi</t>
  </si>
  <si>
    <t>664126075</t>
  </si>
  <si>
    <t>ocn664126075</t>
  </si>
  <si>
    <t>3103427772L</t>
  </si>
  <si>
    <t>9789576785122</t>
  </si>
  <si>
    <t>794843205</t>
  </si>
  <si>
    <t>Z7129 G3 M63 2012</t>
  </si>
  <si>
    <t>0                      Z  7129000G  3                  M  63          2012</t>
  </si>
  <si>
    <t>Modern German thought from Kant to Habermas : an annotated German-language reader / edited by Henk de Berg and Duncan Large.</t>
  </si>
  <si>
    <t>Rochester, N.Y. : Camden House, 2012.</t>
  </si>
  <si>
    <t>1172629719:ger</t>
  </si>
  <si>
    <t>775420101</t>
  </si>
  <si>
    <t>ocn775420101</t>
  </si>
  <si>
    <t>3103498615Y</t>
  </si>
  <si>
    <t>9781571135452</t>
  </si>
  <si>
    <t>794907584</t>
  </si>
  <si>
    <t>Z7136 C65 H45 1988</t>
  </si>
  <si>
    <t>0                      Z  7136000C  65                 H  45          1988</t>
  </si>
  <si>
    <t>Conservation of photographic materials : a basic reading list / compiled by Klaus B. Hendriks and Anne Whitehurst.</t>
  </si>
  <si>
    <t>Hendriks, Klaus B., compiler.</t>
  </si>
  <si>
    <t>Ottawa, Ont. : National Archives of Canada, ©1988.</t>
  </si>
  <si>
    <t>2015-03-16</t>
  </si>
  <si>
    <t>8938850570:eng</t>
  </si>
  <si>
    <t>23256047</t>
  </si>
  <si>
    <t>ocm23256047</t>
  </si>
  <si>
    <t>3102821401E</t>
  </si>
  <si>
    <t>9780662555919</t>
  </si>
  <si>
    <t>793166205</t>
  </si>
  <si>
    <t>Z7137 A1 D5 1927</t>
  </si>
  <si>
    <t>0                      Z  7137000A  1                  D  5           1927</t>
  </si>
  <si>
    <t>Bibliographie der germanistischen Zeitschriften, von Carl Diesch.</t>
  </si>
  <si>
    <t>Diesch, Carl, 1880-1957.</t>
  </si>
  <si>
    <t>Leipzig, K.W. Hiersemann, 1927.</t>
  </si>
  <si>
    <t>Bibliographical publications : Germanic section / Modern Language Association of America ; v. 1</t>
  </si>
  <si>
    <t>9936921540:ger</t>
  </si>
  <si>
    <t>643269</t>
  </si>
  <si>
    <t>ocm00643269</t>
  </si>
  <si>
    <t>3103592260Q</t>
  </si>
  <si>
    <t>791435920</t>
  </si>
  <si>
    <t>Z7144 H5 C3x</t>
  </si>
  <si>
    <t>0                      Z  7144000H  5                  C  3x</t>
  </si>
  <si>
    <t>Bibliography on high pressure research.</t>
  </si>
  <si>
    <t>Cannon, John F.; compiler.</t>
  </si>
  <si>
    <t>Provo, Utah : Brigham Young University, High Pressure Data Center, 1970?</t>
  </si>
  <si>
    <t>46143826:eng</t>
  </si>
  <si>
    <t>61575018</t>
  </si>
  <si>
    <t>ocm61575018</t>
  </si>
  <si>
    <t>3000075063K</t>
  </si>
  <si>
    <t>794009886</t>
  </si>
  <si>
    <t>Z7161 A15 A54 2010</t>
  </si>
  <si>
    <t>0                      Z  7161000A  15                 A  54          2010</t>
  </si>
  <si>
    <t>Religions séculières, totalitarisme, fascisme : des concepts pour le XXe siècle / Marc Angenot.</t>
  </si>
  <si>
    <t>Angenot, Marc.</t>
  </si>
  <si>
    <t>Montréal : Chaire James McGill d'étude du discours social de l'Université McGill, ©2010.</t>
  </si>
  <si>
    <t>Discours social. Nouv. sér. ; v. 20 bis</t>
  </si>
  <si>
    <t>933146303:fre</t>
  </si>
  <si>
    <t>741108129</t>
  </si>
  <si>
    <t>ocn741108129</t>
  </si>
  <si>
    <t>3103296883Y</t>
  </si>
  <si>
    <t>794883587</t>
  </si>
  <si>
    <t>Z7164 C8 P53 2011</t>
  </si>
  <si>
    <t>0                      Z  7164000C  8                  P  53          2011</t>
  </si>
  <si>
    <t>Bibliography of the East India Company : Books, pamphlets and other materials printed between 1600 and 1785 / Catherine Pickett.</t>
  </si>
  <si>
    <t>Pickett, Catherine, compiler.</t>
  </si>
  <si>
    <t>London : British Library Board, 2011.</t>
  </si>
  <si>
    <t>1051021948:eng</t>
  </si>
  <si>
    <t>714726305</t>
  </si>
  <si>
    <t>ocn714726305</t>
  </si>
  <si>
    <t>3103425305I</t>
  </si>
  <si>
    <t>9780712358446</t>
  </si>
  <si>
    <t>794873590</t>
  </si>
  <si>
    <t>Z7164 C8 P53 2015</t>
  </si>
  <si>
    <t>0                      Z  7164000C  8                  P  53          2015</t>
  </si>
  <si>
    <t>Bibliography of the East India Company. Contemporary printed sources 1786-1858. / Rodney M. Thomson.</t>
  </si>
  <si>
    <t>LONDON : British Library, 2015.</t>
  </si>
  <si>
    <t>2534203790:eng</t>
  </si>
  <si>
    <t>910504575</t>
  </si>
  <si>
    <t>ocn910504575</t>
  </si>
  <si>
    <t>3103584181D</t>
  </si>
  <si>
    <t>9780712357784</t>
  </si>
  <si>
    <t>794996207</t>
  </si>
  <si>
    <t>Z7164 C81 F43 1993</t>
  </si>
  <si>
    <t>0                      Z  7164000C  81                 F  43          1993</t>
  </si>
  <si>
    <t>Advertising, alcohol consumption, and abuse : a worldwide survey / Joseph C. Fisher.</t>
  </si>
  <si>
    <t>Fisher, Joseph C.</t>
  </si>
  <si>
    <t>Contributions to the study of mass media and communications, 0732-4456 ; no. 41</t>
  </si>
  <si>
    <t>836922745:eng</t>
  </si>
  <si>
    <t>27432484</t>
  </si>
  <si>
    <t>ocm27432484</t>
  </si>
  <si>
    <t>3101344568B</t>
  </si>
  <si>
    <t>9780313289590</t>
  </si>
  <si>
    <t>793266634</t>
  </si>
  <si>
    <t>Z7164 C81 G85 2014</t>
  </si>
  <si>
    <t>0                      Z  7164000C  81                 G  85          2014</t>
  </si>
  <si>
    <t>Guide to reference in business and economics / Steven W. Sowards and Elisabeth Leonard, editors.</t>
  </si>
  <si>
    <t>2015-04-29</t>
  </si>
  <si>
    <t>1884251773:eng</t>
  </si>
  <si>
    <t>881721222</t>
  </si>
  <si>
    <t>ocn881721222</t>
  </si>
  <si>
    <t>31035835649</t>
  </si>
  <si>
    <t>9780838912348</t>
  </si>
  <si>
    <t>794974780</t>
  </si>
  <si>
    <t>Z7164 C81 R48 1996</t>
  </si>
  <si>
    <t>0                      Z  7164000C  81                 R  48          1996</t>
  </si>
  <si>
    <t>A review and annotated bibliography of family business studies / by Pramodita Sharma, James J. Chrisman, Jess H. Chua.</t>
  </si>
  <si>
    <t>Sharma, Pramodita.</t>
  </si>
  <si>
    <t>Boston : Kluwer Academic Publishers, ©1996.</t>
  </si>
  <si>
    <t>20540863:eng</t>
  </si>
  <si>
    <t>35270000</t>
  </si>
  <si>
    <t>ocm35270000</t>
  </si>
  <si>
    <t>3102332674F</t>
  </si>
  <si>
    <t>9780792397830</t>
  </si>
  <si>
    <t>793448328</t>
  </si>
  <si>
    <t>Z7164 C81 S7796 2012</t>
  </si>
  <si>
    <t>0                      Z  7164000C  81                 S  7796        2012</t>
  </si>
  <si>
    <t>Strauss's handbook of business information : a guide for librarians, students, and researchers / Rita W. Moss and David G. Ernsthausen.</t>
  </si>
  <si>
    <t>Moss, Rita W.</t>
  </si>
  <si>
    <t>312475473:eng</t>
  </si>
  <si>
    <t>740624217</t>
  </si>
  <si>
    <t>ocn740624217</t>
  </si>
  <si>
    <t>3103438280P</t>
  </si>
  <si>
    <t>9781598848076</t>
  </si>
  <si>
    <t>794883302</t>
  </si>
  <si>
    <t>Z7164 E2 E265x 1975</t>
  </si>
  <si>
    <t>0                      Z  7164000E  2                  E  265x        1975</t>
  </si>
  <si>
    <t>Economists' papers, 1750-1950 : a guide to archive and other manuscript sources for the history of British and Irish economic thought : compiled for the Committee of the Guide to Archive Sources in the History of Economic Thought / by R.P. Sturges.</t>
  </si>
  <si>
    <t>Sturges, R. P. (Rodney Paul)</t>
  </si>
  <si>
    <t>Durham, N.C. : Duke University Press, 1975.</t>
  </si>
  <si>
    <t>2500625:eng</t>
  </si>
  <si>
    <t>2007566</t>
  </si>
  <si>
    <t>ocm02007566</t>
  </si>
  <si>
    <t>3000955571O</t>
  </si>
  <si>
    <t>9780822303374</t>
  </si>
  <si>
    <t>792027804</t>
  </si>
  <si>
    <t>Z7164 E2 R35</t>
  </si>
  <si>
    <t>0                      Z  7164000E  2                  R  35</t>
  </si>
  <si>
    <t>Index of Indian economic journals, 1916-1965.</t>
  </si>
  <si>
    <t>Rath, Vimal, 1929- author.</t>
  </si>
  <si>
    <t>Poona, Gokhale Institute of Politics and Economics; Orient Longman [1971]</t>
  </si>
  <si>
    <t>Gokhale Institute studies, no. 57</t>
  </si>
  <si>
    <t>1796278:eng</t>
  </si>
  <si>
    <t>693677</t>
  </si>
  <si>
    <t>ocm00693677</t>
  </si>
  <si>
    <t>3000961568R</t>
  </si>
  <si>
    <t>791447803</t>
  </si>
  <si>
    <t>Z7164 G45 G45 1988 v.4</t>
  </si>
  <si>
    <t>0                      Z  7164000G  45                 G  45          1988                  v.4</t>
  </si>
  <si>
    <t>Medical and psychological effects of concentration camps on Holocaust survivors / edited by Robert Krell and Marc I. Sherman ; with a foreword by Elie Wiesel.</t>
  </si>
  <si>
    <t>New Brunswick, N.J. : Transaction Publishers, ©1997.</t>
  </si>
  <si>
    <t>Genocide ; v. 4</t>
  </si>
  <si>
    <t>477249926:eng</t>
  </si>
  <si>
    <t>36565869</t>
  </si>
  <si>
    <t>ocm36565869</t>
  </si>
  <si>
    <t>3101827917B</t>
  </si>
  <si>
    <t>9781560002901</t>
  </si>
  <si>
    <t>793478680</t>
  </si>
  <si>
    <t>Z7164 H74 C37 2015</t>
  </si>
  <si>
    <t>0                      Z  7164000H  74                 C  37          2015</t>
  </si>
  <si>
    <t>Top 250 LGBTQ books for teens : coming out, being out, and the search for community / Michael Cart and Christine A. Jenkins.</t>
  </si>
  <si>
    <t>Cart, Michael, author.</t>
  </si>
  <si>
    <t>Chicago : Huron Street Press, an imprint of the American Library Association, 2015.</t>
  </si>
  <si>
    <t>2420187053:eng</t>
  </si>
  <si>
    <t>897510394</t>
  </si>
  <si>
    <t>ocn897510394</t>
  </si>
  <si>
    <t>3103608559G</t>
  </si>
  <si>
    <t>9781937589561</t>
  </si>
  <si>
    <t>794985233</t>
  </si>
  <si>
    <t>Z7164 I3 T48 1985</t>
  </si>
  <si>
    <t>0                      Z  7164000I  3                  T  48          1985</t>
  </si>
  <si>
    <t>Indians overseas : a guide to source materials in the India Office Records for the study of Indian emigration, 1830-1950 / Timothy N. Thomas.</t>
  </si>
  <si>
    <t>Thomas, Timothy N.</t>
  </si>
  <si>
    <t>London : British Library, 1985.</t>
  </si>
  <si>
    <t>2015-05-16</t>
  </si>
  <si>
    <t>365052529:eng</t>
  </si>
  <si>
    <t>13643775</t>
  </si>
  <si>
    <t>ocm13643775</t>
  </si>
  <si>
    <t>30009578801</t>
  </si>
  <si>
    <t>9780712300438</t>
  </si>
  <si>
    <t>792861214</t>
  </si>
  <si>
    <t>Z7164 I7 H43 2016</t>
  </si>
  <si>
    <t>0                      Z  7164000I  7                  H  43          2016</t>
  </si>
  <si>
    <t>The ALA guide to information sources in insurance, risk management, and actuarial science / Lucy Heckman.</t>
  </si>
  <si>
    <t>Heckman, Lucy, 1954- author.</t>
  </si>
  <si>
    <t>Chicago : ALA Editions, An imprint of the American Library Association, 2016.</t>
  </si>
  <si>
    <t>2235260405:eng</t>
  </si>
  <si>
    <t>915159395</t>
  </si>
  <si>
    <t>ocn915159395</t>
  </si>
  <si>
    <t>3103698049M</t>
  </si>
  <si>
    <t>9780838912751</t>
  </si>
  <si>
    <t>795000430</t>
  </si>
  <si>
    <t>Z7164 L1 D947 1983</t>
  </si>
  <si>
    <t>0                      Z  7164000L  1                  D  947         1983</t>
  </si>
  <si>
    <t>Industrial absenteeism : a selective bibliography / Marian Dworaczek.</t>
  </si>
  <si>
    <t>Dworaczek, Marian.</t>
  </si>
  <si>
    <t>Monticello, Ill. : Vance Bibliographies, [1983]</t>
  </si>
  <si>
    <t>Public administration series--bibliography, 0193-970X ; P-1164</t>
  </si>
  <si>
    <t>293755592:eng</t>
  </si>
  <si>
    <t>9434014</t>
  </si>
  <si>
    <t>ocm09434014</t>
  </si>
  <si>
    <t>3103772721E</t>
  </si>
  <si>
    <t>9780880664349</t>
  </si>
  <si>
    <t>792675940</t>
  </si>
  <si>
    <t>Z7164 L1 K55x</t>
  </si>
  <si>
    <t>0                      Z  7164000L  1                  K  55x</t>
  </si>
  <si>
    <t>Work camps and company towns in Canada and the U.S. : an annotated bibliography / by Rolf Knight.</t>
  </si>
  <si>
    <t>Knight, Rolf.</t>
  </si>
  <si>
    <t>Vancouver, B.C. : New Star Books, ©1975.</t>
  </si>
  <si>
    <t>423973643:eng</t>
  </si>
  <si>
    <t>2633580</t>
  </si>
  <si>
    <t>ocm02633580</t>
  </si>
  <si>
    <t>3000954690L</t>
  </si>
  <si>
    <t>9780919888609</t>
  </si>
  <si>
    <t>792155738</t>
  </si>
  <si>
    <t>Z7164 L3 W56 1976</t>
  </si>
  <si>
    <t>0                      Z  7164000L  3                  W  56          1976</t>
  </si>
  <si>
    <t>Land tenure and agrarian reform in Africa and the Near East : an annotated bibliography / compiled by the staff of the Land Tenure Center Library under the direction of Teresa J. Anderson, librarian.</t>
  </si>
  <si>
    <t>University of Wisconsin--Madison. Land Tenure Center. Library.</t>
  </si>
  <si>
    <t>Boston : G.K. Hall, ©1976.</t>
  </si>
  <si>
    <t>Bibliographies and guides in African studies</t>
  </si>
  <si>
    <t>5150833:eng</t>
  </si>
  <si>
    <t>2430513</t>
  </si>
  <si>
    <t>ocm02430513</t>
  </si>
  <si>
    <t>3000954446W</t>
  </si>
  <si>
    <t>9780816179213</t>
  </si>
  <si>
    <t>792121044</t>
  </si>
  <si>
    <t>Z7164 N2 P4x</t>
  </si>
  <si>
    <t>0                      Z  7164000N  2                  P  4x</t>
  </si>
  <si>
    <t>A preliminary bibliography of the literature of nationalism in Nigeria, by Ruth Perry.</t>
  </si>
  <si>
    <t>Perry, Ruth Mary Robinson.</t>
  </si>
  <si>
    <t>[London], [International African Institute], [1956]</t>
  </si>
  <si>
    <t>1926941:eng</t>
  </si>
  <si>
    <t>213744038</t>
  </si>
  <si>
    <t>ocn213744038</t>
  </si>
  <si>
    <t>3000962930V</t>
  </si>
  <si>
    <t>794310566</t>
  </si>
  <si>
    <t>Z7164 R4 S3x</t>
  </si>
  <si>
    <t>0                      Z  7164000R  4                  S  3x</t>
  </si>
  <si>
    <t>Wahlen und Abstimmungen, 1918-1933 : eine Bibliographie zur Statistik und Analyse der politischen Wahlen in der Weimarer Republik / Martin Schumacher ; hrsg. von der Kommission für Geschichte des Parlamentarismus und der politischen Parteien.</t>
  </si>
  <si>
    <t>Schumacher, Martin.</t>
  </si>
  <si>
    <t>Düsseldorf : Droste, ©1976.</t>
  </si>
  <si>
    <t>Bibliographien zur Geschichte des Parlamentarismus und der politischen Parteien ; Heft 7</t>
  </si>
  <si>
    <t>288453796:ger</t>
  </si>
  <si>
    <t>2598675</t>
  </si>
  <si>
    <t>ocm02598675</t>
  </si>
  <si>
    <t>3000953870O</t>
  </si>
  <si>
    <t>9783770050895</t>
  </si>
  <si>
    <t>792150068</t>
  </si>
  <si>
    <t>Z7164 S42 C35</t>
  </si>
  <si>
    <t>0                      Z  7164000S  42                 C  35</t>
  </si>
  <si>
    <t>Sex education books for young adults, 1892-1979 / Patricia J. Campbell.</t>
  </si>
  <si>
    <t>Campbell, Patricia J.</t>
  </si>
  <si>
    <t>New York : R.R. Bowker Co., 1979.</t>
  </si>
  <si>
    <t>496971:eng</t>
  </si>
  <si>
    <t>5499039</t>
  </si>
  <si>
    <t>ocm05499039</t>
  </si>
  <si>
    <t>30008429604</t>
  </si>
  <si>
    <t>9780835211574</t>
  </si>
  <si>
    <t>792436198</t>
  </si>
  <si>
    <t>Z7164 S42 S42 1990</t>
  </si>
  <si>
    <t>0                      Z  7164000S  42                 S  42          1990</t>
  </si>
  <si>
    <t>Medieval sexuality : a research guide / Joyce E. Salisbury.</t>
  </si>
  <si>
    <t>Salisbury, Joyce E.</t>
  </si>
  <si>
    <t>New York : Garland Pub., 1990.</t>
  </si>
  <si>
    <t>Garland medieval bibliographies ; vol. 5</t>
  </si>
  <si>
    <t>913051:eng</t>
  </si>
  <si>
    <t>20690579</t>
  </si>
  <si>
    <t>ocm20690579</t>
  </si>
  <si>
    <t>31006562901</t>
  </si>
  <si>
    <t>9780824076429</t>
  </si>
  <si>
    <t>793095755</t>
  </si>
  <si>
    <t>Z7164 S42 S66 1984</t>
  </si>
  <si>
    <t>0                      Z  7164000S  42                 S  66          1984</t>
  </si>
  <si>
    <t>Homosexuality in Canada : a bibliography / compiled by William Crawford.</t>
  </si>
  <si>
    <t>Crawford, William, 1954-</t>
  </si>
  <si>
    <t>Toronto, Ont., Canada : Canadian Gay Archives, ©1984.</t>
  </si>
  <si>
    <t>Canadian Gay Archives publication ; no. 9</t>
  </si>
  <si>
    <t>1881816291:eng</t>
  </si>
  <si>
    <t>11948181</t>
  </si>
  <si>
    <t>ocm11948181</t>
  </si>
  <si>
    <t>30009525380</t>
  </si>
  <si>
    <t>9780969098133</t>
  </si>
  <si>
    <t>792794550</t>
  </si>
  <si>
    <t>Z7164 S67 S6 no. 20</t>
  </si>
  <si>
    <t>0                      Z  7164000S  67                 S  6                                 no. 20</t>
  </si>
  <si>
    <t>French feminist theory : Luce Irigaray and Helene Cixous : a bibliography / compiled by Joan Nordquist.</t>
  </si>
  <si>
    <t>no. 20*</t>
  </si>
  <si>
    <t>Nordquist, Joan.</t>
  </si>
  <si>
    <t>Santa Cruz, CA : Reference and Research Services, 1990.</t>
  </si>
  <si>
    <t>Social theory, 0887-3577 ; no. 20</t>
  </si>
  <si>
    <t>9020818288:eng</t>
  </si>
  <si>
    <t>22759346</t>
  </si>
  <si>
    <t>ocm22759346</t>
  </si>
  <si>
    <t>31013808465</t>
  </si>
  <si>
    <t>9780937855393</t>
  </si>
  <si>
    <t>793152922</t>
  </si>
  <si>
    <t>Z7164 S68 A53 2011</t>
  </si>
  <si>
    <t>0                      Z  7164000S  68                 A  53          2011</t>
  </si>
  <si>
    <t>ALA guide to sociology &amp; psychology reference / American Library Association.</t>
  </si>
  <si>
    <t>326748610:eng</t>
  </si>
  <si>
    <t>441167468</t>
  </si>
  <si>
    <t>ocn441167468</t>
  </si>
  <si>
    <t>3103453705$</t>
  </si>
  <si>
    <t>9780838910252</t>
  </si>
  <si>
    <t>794786667</t>
  </si>
  <si>
    <t>Z7164 U7 D35 1987</t>
  </si>
  <si>
    <t>0                      Z  7164000U  7                  D  35          1987</t>
  </si>
  <si>
    <t>Réanimation, reconquête, conversion : revue de la littérature et bibliographie sélective annotée / Francine Dansereau, Daniel L'Écuyer.</t>
  </si>
  <si>
    <t>Dansereau, Francine, 1942-</t>
  </si>
  <si>
    <t>Montréal : INRS-Urbanisation, 1987.</t>
  </si>
  <si>
    <t>R.R. ; 10</t>
  </si>
  <si>
    <t>890351922:fre</t>
  </si>
  <si>
    <t>17585974</t>
  </si>
  <si>
    <t>ocm17585974</t>
  </si>
  <si>
    <t>3000930040I</t>
  </si>
  <si>
    <t>9782892280494</t>
  </si>
  <si>
    <t>792996478</t>
  </si>
  <si>
    <t>31029524948</t>
  </si>
  <si>
    <t>792996479</t>
  </si>
  <si>
    <t>Z7164 U8 M4x</t>
  </si>
  <si>
    <t>0                      Z  7164000U  8                  M  4x</t>
  </si>
  <si>
    <t>Esquisse d'une chrono-bibliographie des utopies / Régis Messac ; avertissement de Ralph Messac ; notes &amp; index de Pierre Versins.</t>
  </si>
  <si>
    <t>Messac, Régis.</t>
  </si>
  <si>
    <t>Lausanne : Club Futopia, ©1962.</t>
  </si>
  <si>
    <t>Collection Denebienne ; no. 1</t>
  </si>
  <si>
    <t>2016-06-09</t>
  </si>
  <si>
    <t>311941457:fre</t>
  </si>
  <si>
    <t>20916503</t>
  </si>
  <si>
    <t>ocm20916503</t>
  </si>
  <si>
    <t>3103599589T</t>
  </si>
  <si>
    <t>793102955</t>
  </si>
  <si>
    <t>Z7165 A67 C55x</t>
  </si>
  <si>
    <t>0                      Z  7165000A  67                 C  55x</t>
  </si>
  <si>
    <t>The emergence of Arab nationalism, from the nineteenth century to 1921 / compiled and annotated by Frank Clements.</t>
  </si>
  <si>
    <t>London : Diploma Press, 1976.</t>
  </si>
  <si>
    <t>506032:eng</t>
  </si>
  <si>
    <t>3630219</t>
  </si>
  <si>
    <t>ocm03630219</t>
  </si>
  <si>
    <t>3000954909I</t>
  </si>
  <si>
    <t>9780860150299</t>
  </si>
  <si>
    <t>792274996</t>
  </si>
  <si>
    <t>Z7165 A67 L5 1983</t>
  </si>
  <si>
    <t>0                      Z  7165000A  67                 L  5           1983</t>
  </si>
  <si>
    <t>Arab oil : a bibliography of materials in the Library of Congress / compiled by George Dimitri Selim.</t>
  </si>
  <si>
    <t>Washington : The Library : For sale by the Supt. of Docs., U.S. G.P.O., 1982 [i.e. 1983]</t>
  </si>
  <si>
    <t>Near East series, 0196-3562 ; no. 2</t>
  </si>
  <si>
    <t>43394846:eng</t>
  </si>
  <si>
    <t>9795900</t>
  </si>
  <si>
    <t>ocm09795900</t>
  </si>
  <si>
    <t>3000951592$</t>
  </si>
  <si>
    <t>792693939</t>
  </si>
  <si>
    <t>Z7165 C85 G5</t>
  </si>
  <si>
    <t>0                      Z  7165000C  85                 G  5</t>
  </si>
  <si>
    <t>The Cuban missile crisis / compiled by Arthur Gillingham and Barry Roseman.</t>
  </si>
  <si>
    <t>Gillingham, Arthur.</t>
  </si>
  <si>
    <t>Los Angeles : Center for the Study of Armament and Disarmament, California State University, 1976.</t>
  </si>
  <si>
    <t>Political issues series ; v. 2, no. 6</t>
  </si>
  <si>
    <t>4836348:eng</t>
  </si>
  <si>
    <t>426248747</t>
  </si>
  <si>
    <t>ocn426248747</t>
  </si>
  <si>
    <t>3000955094W</t>
  </si>
  <si>
    <t>794515318</t>
  </si>
  <si>
    <t>Z7165 G8 C67 2016</t>
  </si>
  <si>
    <t>0                      Z  7165000G  8                  C  67          2016</t>
  </si>
  <si>
    <t>Bibliography of the Communist Party of Great Britain / Dave Cope.</t>
  </si>
  <si>
    <t>Cope, Dave, compiler.</t>
  </si>
  <si>
    <t>London [England] : Lawrence and Wishart, 2016.</t>
  </si>
  <si>
    <t>3033358308:eng</t>
  </si>
  <si>
    <t>948445928</t>
  </si>
  <si>
    <t>ocn948445928</t>
  </si>
  <si>
    <t>31036551142</t>
  </si>
  <si>
    <t>9781909831032</t>
  </si>
  <si>
    <t>795015519</t>
  </si>
  <si>
    <t>Z7165 G8 W75</t>
  </si>
  <si>
    <t>0                      Z  7165000G  8                  W  75</t>
  </si>
  <si>
    <t>Publications of the Independent Labour Party, 1893-1932 / by Gillian B. Woolven.</t>
  </si>
  <si>
    <t>Woolven, Gillian B.</t>
  </si>
  <si>
    <t>Coventry : Society for the Study of Labour History ; Stanmore : Distributed by Michael Katanka (Books) Ltd, 1977.</t>
  </si>
  <si>
    <t>Bulletin - Society for the Study of Labour History : Supplement</t>
  </si>
  <si>
    <t>11349438:eng</t>
  </si>
  <si>
    <t>3541466</t>
  </si>
  <si>
    <t>ocm03541466</t>
  </si>
  <si>
    <t>30009572109</t>
  </si>
  <si>
    <t>9780904260021</t>
  </si>
  <si>
    <t>792266383</t>
  </si>
  <si>
    <t>Z7165 I6 A8</t>
  </si>
  <si>
    <t>0                      Z  7165000I  6                  A  8</t>
  </si>
  <si>
    <t>Annotated bibliography on the economic history of India, 1500 A.D. to 1947 A.D. / [chief editor, V. D. Divekar ; section editors, annotators, and indexers, M. Arumugam ... et. al.].</t>
  </si>
  <si>
    <t>V. 4B;pt.10-11</t>
  </si>
  <si>
    <t>Pune : Gokhale Institute of Politics &amp; Economics ; New Delhi : Indian Council of Social Science Research, 1977-&lt;1980 &gt;</t>
  </si>
  <si>
    <t>3374574530:eng</t>
  </si>
  <si>
    <t>4907886</t>
  </si>
  <si>
    <t>ocm04907886</t>
  </si>
  <si>
    <t>31008289289</t>
  </si>
  <si>
    <t>792392871</t>
  </si>
  <si>
    <t>3100828925F</t>
  </si>
  <si>
    <t>792392874</t>
  </si>
  <si>
    <t>3000950253Q</t>
  </si>
  <si>
    <t>792392875</t>
  </si>
  <si>
    <t>3100828926D</t>
  </si>
  <si>
    <t>792392873</t>
  </si>
  <si>
    <t>V. 4A;pt. 9</t>
  </si>
  <si>
    <t>3100828927B</t>
  </si>
  <si>
    <t>792392872</t>
  </si>
  <si>
    <t>Z7165 I6 S25</t>
  </si>
  <si>
    <t>0                      Z  7165000I  6                  S  25</t>
  </si>
  <si>
    <t>Bibliographical survey of social reform movements in the eighteenth and nineteenth centuries / Sumit Sarkar.</t>
  </si>
  <si>
    <t>Sarkar, Sumit, 1939-</t>
  </si>
  <si>
    <t>New Delhi : Indian Council of Historical Research : Distributors, Motilal Banarsidass, Delhi, 1975.</t>
  </si>
  <si>
    <t>3769213:eng</t>
  </si>
  <si>
    <t>2202266</t>
  </si>
  <si>
    <t>ocm02202266</t>
  </si>
  <si>
    <t>3000953649N</t>
  </si>
  <si>
    <t>792066182</t>
  </si>
  <si>
    <t>Z7165 I66 B37</t>
  </si>
  <si>
    <t>0                      Z  7165000I  66                 B  37</t>
  </si>
  <si>
    <t>The economy of Iran, 1940-1970: a bibliography [by] William H. Bartsch &amp; Julian Bharier.</t>
  </si>
  <si>
    <t>Bartsch, William H., 1933-</t>
  </si>
  <si>
    <t>Durham, University of Durham, 1971.</t>
  </si>
  <si>
    <t>University of Durham. Centre for Middle Eastern and Islamic Studies. Publication no. 2</t>
  </si>
  <si>
    <t>193842733:eng</t>
  </si>
  <si>
    <t>417324</t>
  </si>
  <si>
    <t>ocm00417324</t>
  </si>
  <si>
    <t>3000954220L</t>
  </si>
  <si>
    <t>9780903011006</t>
  </si>
  <si>
    <t>791372538</t>
  </si>
  <si>
    <t>Z7165 I8 A45 2012</t>
  </si>
  <si>
    <t>0                      Z  7165000I  8                  A  45          2012</t>
  </si>
  <si>
    <t>Alle origini della democrazia moderna : i fondi antichi e rari nella biblioteca Basso (XVI-XIX sec.) / a cura di Mirella Failla e Mercedes Sala ; premessa di Lucia Zannino ; premessa di Lucia Zannino.</t>
  </si>
  <si>
    <t>Biblioteca di bibliografia italiana, 0067-7418 ; 194</t>
  </si>
  <si>
    <t>1172610580:ita</t>
  </si>
  <si>
    <t>812997722</t>
  </si>
  <si>
    <t>ocn812997722</t>
  </si>
  <si>
    <t>3103483308X</t>
  </si>
  <si>
    <t>9788822261694</t>
  </si>
  <si>
    <t>794931347</t>
  </si>
  <si>
    <t>Z7165 N4 B36 1984</t>
  </si>
  <si>
    <t>0                      Z  7165000N  4                  B  36          1984</t>
  </si>
  <si>
    <t>Social stratification in the Middle East and North Africa : a bibliographic survey / Ali Banuazizi, with the assistance of Prouchestia Goodarzi.</t>
  </si>
  <si>
    <t>Banuazizi, Ali.</t>
  </si>
  <si>
    <t>London ; New York : Mansell, 1984.</t>
  </si>
  <si>
    <t>836663476:eng</t>
  </si>
  <si>
    <t>10725074</t>
  </si>
  <si>
    <t>ocm10725074</t>
  </si>
  <si>
    <t>3100831600Z</t>
  </si>
  <si>
    <t>9780720117110</t>
  </si>
  <si>
    <t>792739700</t>
  </si>
  <si>
    <t>Z7165 N47 V55 1993</t>
  </si>
  <si>
    <t>0                      Z  7165000N  47                 V  55          1993</t>
  </si>
  <si>
    <t>A select bibliography of the business history of New Zealand / Simon Ville.</t>
  </si>
  <si>
    <t>Ville, Simon P.</t>
  </si>
  <si>
    <t>[Auckland, N.Z.] : Centre for Business History, Dept. of Economics, University of Auckland, [1993]</t>
  </si>
  <si>
    <t>Bibliographical bulletin / University of Auckland Library, 0067-0499 ; 19</t>
  </si>
  <si>
    <t>2016-07-04</t>
  </si>
  <si>
    <t>23117183:eng</t>
  </si>
  <si>
    <t>30137210</t>
  </si>
  <si>
    <t>ocm30137210</t>
  </si>
  <si>
    <t>3101339234L</t>
  </si>
  <si>
    <t>793330492</t>
  </si>
  <si>
    <t>Z7204 M4 Y6</t>
  </si>
  <si>
    <t>0                      Z  7204000M  4                  Y  6</t>
  </si>
  <si>
    <t>Bibliography of memory / Morris N. Young.</t>
  </si>
  <si>
    <t>Young, Morris Nathan, 1909-</t>
  </si>
  <si>
    <t>Philadelphia, PA. : Chilton, [©1961]</t>
  </si>
  <si>
    <t>1732319:eng</t>
  </si>
  <si>
    <t>581543</t>
  </si>
  <si>
    <t>ocm00581543</t>
  </si>
  <si>
    <t>30009624257</t>
  </si>
  <si>
    <t>791420677</t>
  </si>
  <si>
    <t>Z 7204 M4 Y74b 1961</t>
  </si>
  <si>
    <t>0                      Z  7204000M  4                  Y  74b         1961</t>
  </si>
  <si>
    <t>3000091514L</t>
  </si>
  <si>
    <t>791420676</t>
  </si>
  <si>
    <t>Z7234 I6 M67 1900</t>
  </si>
  <si>
    <t>0                      Z  7234000I  6                  M  67          1900</t>
  </si>
  <si>
    <t>List of books and of articles in periodicals relating to interoceanic canal and railway routes (Nicaragua; Panama, Darien, and the valley of the Atrato; Tehuantepec and Honduras; Suez Canal). By Hugh A. Morrison, Jr. ... With an appendix: Bibliography of United States public documents ...</t>
  </si>
  <si>
    <t>Washington, Gov't. Print. Off., 1900.</t>
  </si>
  <si>
    <t>56th Cong., 1st sess. Senate. Doc. 59</t>
  </si>
  <si>
    <t>496210926:eng</t>
  </si>
  <si>
    <t>3945040</t>
  </si>
  <si>
    <t>ocm03945040</t>
  </si>
  <si>
    <t>3100961301K</t>
  </si>
  <si>
    <t>792307160</t>
  </si>
  <si>
    <t>Z7235 C3 B8</t>
  </si>
  <si>
    <t>0                      Z  7235000C  3                  B  8</t>
  </si>
  <si>
    <t>Canadian Pacific Railway Company : a trial bibliography.</t>
  </si>
  <si>
    <t>Washington, D.C. : Library, Bureau of Railway Economics, 1928.</t>
  </si>
  <si>
    <t>29919579:eng</t>
  </si>
  <si>
    <t>4636866</t>
  </si>
  <si>
    <t>ocm04636866</t>
  </si>
  <si>
    <t>3000955435W</t>
  </si>
  <si>
    <t>792370089</t>
  </si>
  <si>
    <t>Z7402 H66 2018</t>
  </si>
  <si>
    <t>0                      Z  7402000H  66          2018</t>
  </si>
  <si>
    <t>Bibliography of the exact sciences in the Low Countries from ca. 1470 to the Golden Age (1700) / by Klaas Hoogendoorn.</t>
  </si>
  <si>
    <t>Hoogendoorn, Klaas, 1940- author.</t>
  </si>
  <si>
    <t>Leiden ; Boston : Brill, [2018]</t>
  </si>
  <si>
    <t>4721456418:eng</t>
  </si>
  <si>
    <t>1030904557</t>
  </si>
  <si>
    <t>on1030904557</t>
  </si>
  <si>
    <t>3103812108M</t>
  </si>
  <si>
    <t>9789004297944</t>
  </si>
  <si>
    <t>795054912</t>
  </si>
  <si>
    <t>Z7403 H5</t>
  </si>
  <si>
    <t>0                      Z  7403000H  5</t>
  </si>
  <si>
    <t>A guide to scientific and technical journals in translation, compiled by Carl J. Himmelsbach and Grace E. Boyd.</t>
  </si>
  <si>
    <t>Himmelsbach, Carl J.</t>
  </si>
  <si>
    <t>New York, Special Libraries Association, 1968.</t>
  </si>
  <si>
    <t>1570453:eng</t>
  </si>
  <si>
    <t>442004</t>
  </si>
  <si>
    <t>ocm00442004</t>
  </si>
  <si>
    <t>3000851155S</t>
  </si>
  <si>
    <t>791379739</t>
  </si>
  <si>
    <t>Z7405 H6 B8 1955</t>
  </si>
  <si>
    <t>0                      Z  7405000H  6                  B  8           1955</t>
  </si>
  <si>
    <t>Heralds of science; as represented by two hundred epochal books and pamphlets selected from the Burndy Library. With notes by Bern Dibner.</t>
  </si>
  <si>
    <t>Burndy Library.</t>
  </si>
  <si>
    <t>Its Publication, no. 12</t>
  </si>
  <si>
    <t>2019-12-12</t>
  </si>
  <si>
    <t>5212352645:eng</t>
  </si>
  <si>
    <t>1112391</t>
  </si>
  <si>
    <t>ocm01112391</t>
  </si>
  <si>
    <t>3000015684O</t>
  </si>
  <si>
    <t>791549022</t>
  </si>
  <si>
    <t>3000015683Q</t>
  </si>
  <si>
    <t>791549023</t>
  </si>
  <si>
    <t>3000015685M</t>
  </si>
  <si>
    <t>791549024</t>
  </si>
  <si>
    <t>Z7405 H6 M6 1986</t>
  </si>
  <si>
    <t>0                      Z  7405000H  6                  M  6           1986</t>
  </si>
  <si>
    <t>Catalogue of the Mossman Collection on the History of Science and of Ideas : a special collection housed in the Physical Sciences &amp; Engineering Library, Macdonald Stewart Building.</t>
  </si>
  <si>
    <t>Mossman Collection on the History of Science and of Ideas.</t>
  </si>
  <si>
    <t>[Montreal] : [McGill University], 1986.</t>
  </si>
  <si>
    <t>46126319:eng</t>
  </si>
  <si>
    <t>61553466</t>
  </si>
  <si>
    <t>ocm61553466</t>
  </si>
  <si>
    <t>3000957973V</t>
  </si>
  <si>
    <t>793985360</t>
  </si>
  <si>
    <t>3000046010H</t>
  </si>
  <si>
    <t>793985361</t>
  </si>
  <si>
    <t>Z7407 I4 R33 1982</t>
  </si>
  <si>
    <t>0                      Z  7407000I  4                  R  33          1982</t>
  </si>
  <si>
    <t>Science and technology in medieval India : a bibliography of source materials in Sanskrit, Arabic, and Persian / A. Rahman, with the research assistance of M.A. Alvi (Persian), S.A. Khan Ghori (Arabic), K.V. Samba Murthy (Sanskrit).</t>
  </si>
  <si>
    <t>Rahman, Abdur, 1923-</t>
  </si>
  <si>
    <t>New Delhi : Indian National Science Academy, ©1982.</t>
  </si>
  <si>
    <t>2018-05-19</t>
  </si>
  <si>
    <t>3337629:eng</t>
  </si>
  <si>
    <t>9852452</t>
  </si>
  <si>
    <t>ocm09852452</t>
  </si>
  <si>
    <t>3103741322E</t>
  </si>
  <si>
    <t>792696669</t>
  </si>
  <si>
    <t>Z7409 N38 2018</t>
  </si>
  <si>
    <t>0                      Z  7409000N  38          2018</t>
  </si>
  <si>
    <t>Natural history &amp; travel.</t>
  </si>
  <si>
    <t>Amsterdam, the Netherlands : Antiquariaat Junk, 2018.</t>
  </si>
  <si>
    <t>Catalogue / Antiquariaat Junk ; 295</t>
  </si>
  <si>
    <t>5103376362:eng</t>
  </si>
  <si>
    <t>1035373717</t>
  </si>
  <si>
    <t>on1035373717</t>
  </si>
  <si>
    <t>3103793944E</t>
  </si>
  <si>
    <t>795057540</t>
  </si>
  <si>
    <t>Z7553 C3 U46 1967</t>
  </si>
  <si>
    <t>0                      Z  7553000C  3                  U  46          1967</t>
  </si>
  <si>
    <t>National censuses and vital statistics in Europe, 1918-1939 : an annotated bibliography, with 1940-48 supplement / prepared by Henry J. Dubester.</t>
  </si>
  <si>
    <t>Library of Congress. Census Library Project.</t>
  </si>
  <si>
    <t>Detroit : Gale Research Co., 1967.</t>
  </si>
  <si>
    <t>4927510265:eng</t>
  </si>
  <si>
    <t>427375145</t>
  </si>
  <si>
    <t>ocn427375145</t>
  </si>
  <si>
    <t>3102273693U</t>
  </si>
  <si>
    <t>794641182</t>
  </si>
  <si>
    <t>30009623706</t>
  </si>
  <si>
    <t>794641181</t>
  </si>
  <si>
    <t>Z7711 C37 1985</t>
  </si>
  <si>
    <t>0                      Z  7711000C  37          1985</t>
  </si>
  <si>
    <t>Television, a guide to the literature / by Mary Cassata and Thomas Skill.</t>
  </si>
  <si>
    <t>Cassata, Mary B., 1930-</t>
  </si>
  <si>
    <t>1807904644:eng</t>
  </si>
  <si>
    <t>11624110</t>
  </si>
  <si>
    <t>ocm11624110</t>
  </si>
  <si>
    <t>30009527510</t>
  </si>
  <si>
    <t>9780897741408</t>
  </si>
  <si>
    <t>792781314</t>
  </si>
  <si>
    <t>Z7751 H32 1981</t>
  </si>
  <si>
    <t>0                      Z  7751000H  32          1981</t>
  </si>
  <si>
    <t>The new religions : an annotated introductory bibliography / compiled by David G. Hackett.</t>
  </si>
  <si>
    <t>Hackett, David G.</t>
  </si>
  <si>
    <t>Berkeley, Calif. : Center for the Study of New Religious Movements, 1981.</t>
  </si>
  <si>
    <t>3rd ed. rev. and expanded.</t>
  </si>
  <si>
    <t>29025310:eng</t>
  </si>
  <si>
    <t>7636742</t>
  </si>
  <si>
    <t>ocm07636742</t>
  </si>
  <si>
    <t>3001133393I</t>
  </si>
  <si>
    <t>792571878</t>
  </si>
  <si>
    <t>Z7751 K33 1995</t>
  </si>
  <si>
    <t>0                      Z  7751000K  33          1995</t>
  </si>
  <si>
    <t>Matrology : a bibliography of writings by Christian women from the first to the fifteenth centuries / Andrew Kadel.</t>
  </si>
  <si>
    <t>Kadel, Andrew, author.</t>
  </si>
  <si>
    <t>New York : Continuum, 1995.</t>
  </si>
  <si>
    <t>890675839:eng</t>
  </si>
  <si>
    <t>30913622</t>
  </si>
  <si>
    <t>ocm30913622</t>
  </si>
  <si>
    <t>31015151168</t>
  </si>
  <si>
    <t>9780826406767</t>
  </si>
  <si>
    <t>793348803</t>
  </si>
  <si>
    <t>Z7757 I6 T36 2011</t>
  </si>
  <si>
    <t>0                      Z  7757000I  6                  T  36          2011</t>
  </si>
  <si>
    <t>History of the Telugu Christians : a bibliography / James Elisha Taneti.</t>
  </si>
  <si>
    <t>Taneti, James Elisha, 1972-</t>
  </si>
  <si>
    <t>Lanham, Md. : Scarecrow Press ; [Chicago] : American Theological Library Association, 2011.</t>
  </si>
  <si>
    <t>ATLA bibliography series ; 60</t>
  </si>
  <si>
    <t>866623606:eng</t>
  </si>
  <si>
    <t>670211467</t>
  </si>
  <si>
    <t>ocn670211467</t>
  </si>
  <si>
    <t>3103369089I</t>
  </si>
  <si>
    <t>9780810872431</t>
  </si>
  <si>
    <t>794847448</t>
  </si>
  <si>
    <t>Z7757 S6 C453 1997</t>
  </si>
  <si>
    <t>0                      Z  7757000S  6                  C  453         1997</t>
  </si>
  <si>
    <t>African traditional religion in South Africa : an annotated bibliography / David Chidester [and others].</t>
  </si>
  <si>
    <t>Bibliographies and indexes in religious studies, 0742-6836 ; no. 42</t>
  </si>
  <si>
    <t>797214347:eng</t>
  </si>
  <si>
    <t>36470167</t>
  </si>
  <si>
    <t>ocm36470167</t>
  </si>
  <si>
    <t>3101805673Z</t>
  </si>
  <si>
    <t>9780313304743</t>
  </si>
  <si>
    <t>793476051</t>
  </si>
  <si>
    <t>Z7770 E92 2016</t>
  </si>
  <si>
    <t>0                      Z  7770000E  92          2016</t>
  </si>
  <si>
    <t>A guide to biblical commentaries and reference works / John F. Evans.</t>
  </si>
  <si>
    <t>Evans, John F. (John Frederick), author.</t>
  </si>
  <si>
    <t>Grand Rapids, Michigan : Zondervan, 2016.</t>
  </si>
  <si>
    <t>10th edition.</t>
  </si>
  <si>
    <t>2017-10-24</t>
  </si>
  <si>
    <t>19362636:eng</t>
  </si>
  <si>
    <t>933722314</t>
  </si>
  <si>
    <t>ocn933722314</t>
  </si>
  <si>
    <t>3103698079D</t>
  </si>
  <si>
    <t>9780310520962</t>
  </si>
  <si>
    <t>795009358</t>
  </si>
  <si>
    <t>Z7770 P68 1992</t>
  </si>
  <si>
    <t>0                      Z  7770000P  68          1992</t>
  </si>
  <si>
    <t>The Bible and modern literary criticism : a critical assessment and annotated bibliography / compiled by Mark Allan Powell with the assistance of Cecile G. Gray and Melissa C. Curtis.</t>
  </si>
  <si>
    <t>Powell, Mark Allan, 1953-</t>
  </si>
  <si>
    <t>Bibliographies and indexes in religious studies, 0742-6836 ; no. 22</t>
  </si>
  <si>
    <t>836925868:eng</t>
  </si>
  <si>
    <t>24670565</t>
  </si>
  <si>
    <t>ocm24670565</t>
  </si>
  <si>
    <t>3101116965N</t>
  </si>
  <si>
    <t>9780313275463</t>
  </si>
  <si>
    <t>793203448</t>
  </si>
  <si>
    <t>Z7770 W35 1994</t>
  </si>
  <si>
    <t>0                      Z  7770000W  35          1994</t>
  </si>
  <si>
    <t>Rhetorical criticism of the Bible : a comprehensive bibliography with notes on history and method / by Duane F. Watson and Alan J. Hauser.</t>
  </si>
  <si>
    <t>Watson, Duane Frederick.</t>
  </si>
  <si>
    <t>Leiden ; New York : E.J. Brill, 1994.</t>
  </si>
  <si>
    <t>Biblical interpretation series, 0928-0731 ; v. 4</t>
  </si>
  <si>
    <t>2015-04-08</t>
  </si>
  <si>
    <t>807658050:eng</t>
  </si>
  <si>
    <t>28962237</t>
  </si>
  <si>
    <t>ocm28962237</t>
  </si>
  <si>
    <t>31013060005</t>
  </si>
  <si>
    <t>9789004099036</t>
  </si>
  <si>
    <t>793300399</t>
  </si>
  <si>
    <t>Z7771 M3 E43 2015</t>
  </si>
  <si>
    <t>0                      Z  7771000M  3                  E  43          2015</t>
  </si>
  <si>
    <t>A bibliography of Greek New Testament manuscripts / by J.K. Elliott with the assistance of the Institut romand des sciences bibliques (IRSB) Université de Lausanne.</t>
  </si>
  <si>
    <t>Elliott, J. K. (James Keith)</t>
  </si>
  <si>
    <t>Supplements to Novum Testamentum, 0167-9732 ; volume 160</t>
  </si>
  <si>
    <t>2291767600:eng</t>
  </si>
  <si>
    <t>902986805</t>
  </si>
  <si>
    <t>ocn902986805</t>
  </si>
  <si>
    <t>3103621972V</t>
  </si>
  <si>
    <t>9789004289239</t>
  </si>
  <si>
    <t>794988697</t>
  </si>
  <si>
    <t>Z7772.C37 L83 2008</t>
  </si>
  <si>
    <t>0                      Z  7772000C  37                 L  83          2008</t>
  </si>
  <si>
    <t>The book of Esther : a classified bibliography / Edith Lubetski and Meir Lubetski.</t>
  </si>
  <si>
    <t>Lubetski, Edith.</t>
  </si>
  <si>
    <t>Sheffield : Sheffield Phoenix Press, 2008.</t>
  </si>
  <si>
    <t>Bible bibliographies</t>
  </si>
  <si>
    <t>137598049:eng</t>
  </si>
  <si>
    <t>227962272</t>
  </si>
  <si>
    <t>ocn227962272</t>
  </si>
  <si>
    <t>3103086874G</t>
  </si>
  <si>
    <t>9781905048335</t>
  </si>
  <si>
    <t>794348615</t>
  </si>
  <si>
    <t>Z7772 K1 D58 2001</t>
  </si>
  <si>
    <t>0                      Z  7772000K  1                  D  58          2001</t>
  </si>
  <si>
    <t>A bibliography of pseudepigrapha research, 1850-1999 / Lorenzo DiTommaso.</t>
  </si>
  <si>
    <t>DiTommaso, Lorenzo.</t>
  </si>
  <si>
    <t>Sheffield, England : Sheffield Academic Press, ©2001.</t>
  </si>
  <si>
    <t>Journal for the study of the pseudepigrapha. Supplement series ; 39</t>
  </si>
  <si>
    <t>3081171:eng</t>
  </si>
  <si>
    <t>48194311</t>
  </si>
  <si>
    <t>ocm48194311</t>
  </si>
  <si>
    <t>3102167654Y</t>
  </si>
  <si>
    <t>9781841272139</t>
  </si>
  <si>
    <t>793717795</t>
  </si>
  <si>
    <t>Z7772 M1 N44 1998</t>
  </si>
  <si>
    <t>0                      Z  7772000M  1                  N  44          1998</t>
  </si>
  <si>
    <t>The Gospel of Matthew and the sayings source Q: a cumulative bibliography 1950-1995 / compiled by F. Neirynck, J. Verheyden, R. Corstjens.</t>
  </si>
  <si>
    <t>Leuven [Belgium] : Leuven University Press : Peeters, 1998.</t>
  </si>
  <si>
    <t>Bibliotheca Ephemeridum theologicarum Lovaniensium ; 140</t>
  </si>
  <si>
    <t>852171057:eng</t>
  </si>
  <si>
    <t>40983243</t>
  </si>
  <si>
    <t>ocm40983243</t>
  </si>
  <si>
    <t>31022961014</t>
  </si>
  <si>
    <t>9789061869337</t>
  </si>
  <si>
    <t>793580704</t>
  </si>
  <si>
    <t>31022961064</t>
  </si>
  <si>
    <t>793580703</t>
  </si>
  <si>
    <t>Z7772 Z5 C45 1987</t>
  </si>
  <si>
    <t>0                      Z  7772000Z  5                  C  45          1987</t>
  </si>
  <si>
    <t>The New Testament apocrypha and pseudepigrapha : a guide to publications, with excursuses on Apocalypses / by James H. Charlesworth, with James R. Mueller ; assisted by many, especially Amy-Jill Levine, Randall D. Chesnutt, and M.J.H. Charlesworth.</t>
  </si>
  <si>
    <t>Charlesworth, James H.</t>
  </si>
  <si>
    <t>[Chicago] : American Theological Library Association ; Metuchen, N.J. : Scarecrow Press, 1987.</t>
  </si>
  <si>
    <t>ATLA bibliography series ; no. 17</t>
  </si>
  <si>
    <t>2015-04-16</t>
  </si>
  <si>
    <t>19936492:eng</t>
  </si>
  <si>
    <t>12419094</t>
  </si>
  <si>
    <t>ocm12419094</t>
  </si>
  <si>
    <t>3001142090Z</t>
  </si>
  <si>
    <t>9780810818453</t>
  </si>
  <si>
    <t>792814841</t>
  </si>
  <si>
    <t>Z7794 G37 1993</t>
  </si>
  <si>
    <t>0                      Z  7794000G  37          1993</t>
  </si>
  <si>
    <t>Medieval visions of heaven and hell : a sourcebook / Eileen Gardiner.</t>
  </si>
  <si>
    <t>Gardiner, Eileen.</t>
  </si>
  <si>
    <t>Garland medieval bibliographies ; vol. 11</t>
  </si>
  <si>
    <t>836905094:eng</t>
  </si>
  <si>
    <t>27266342</t>
  </si>
  <si>
    <t>ocm27266342</t>
  </si>
  <si>
    <t>3101353247U</t>
  </si>
  <si>
    <t>9780824033484</t>
  </si>
  <si>
    <t>793263258</t>
  </si>
  <si>
    <t>Z7798 M55 1985</t>
  </si>
  <si>
    <t>0                      Z  7798000M  55          1985</t>
  </si>
  <si>
    <t>Glossolalia : a bibliography / by Watson E. Mills.</t>
  </si>
  <si>
    <t>Mills, Watson E.</t>
  </si>
  <si>
    <t>New York : E. Mellen Press, ©1985.</t>
  </si>
  <si>
    <t>Studies in the Bible and early Christianity ; v. 6</t>
  </si>
  <si>
    <t>286314045:eng</t>
  </si>
  <si>
    <t>12082619</t>
  </si>
  <si>
    <t>ocm12082619</t>
  </si>
  <si>
    <t>30011382636</t>
  </si>
  <si>
    <t>9780889466050</t>
  </si>
  <si>
    <t>792800521</t>
  </si>
  <si>
    <t>Z7817 C37 1981</t>
  </si>
  <si>
    <t>0                      Z  7817000C  37          1981</t>
  </si>
  <si>
    <t>Missions in India : a catalogue of the Carey Library / Sunil Kumar Chatterjee.</t>
  </si>
  <si>
    <t>William Carey Library.</t>
  </si>
  <si>
    <t>Serampore, India : Council of Serampore College, 1980 [i.e. 1981]</t>
  </si>
  <si>
    <t>5694220:eng</t>
  </si>
  <si>
    <t>13125149</t>
  </si>
  <si>
    <t>ocm13125149</t>
  </si>
  <si>
    <t>3000957968O</t>
  </si>
  <si>
    <t>792841839</t>
  </si>
  <si>
    <t>Z7817 L3x</t>
  </si>
  <si>
    <t>0                      Z  7817000L  3x</t>
  </si>
  <si>
    <t>The Moravian missions to the Eskimos of Labrador : a checklist of manuscripts and printed material from 1715 to 1967, supplemented by other works on the Eskimo of Canada / compiled and annotated by Lawrence M. Lande from his private library.</t>
  </si>
  <si>
    <t>Montreal : McGill University, 1973.</t>
  </si>
  <si>
    <t>[Publications] / Lawrence Lande Foundation for Canadian Historical Research ; no. 7</t>
  </si>
  <si>
    <t>365045379:eng</t>
  </si>
  <si>
    <t>2644761</t>
  </si>
  <si>
    <t>ocm02644761</t>
  </si>
  <si>
    <t>3103743385H</t>
  </si>
  <si>
    <t>792157165</t>
  </si>
  <si>
    <t>Z7830 Z45</t>
  </si>
  <si>
    <t>0                      Z  7830000Z  45</t>
  </si>
  <si>
    <t>The Hussite movement and the reformation in Bohemia, Moravia, and Slovakia (1350-1650) : a bibliographical study guide (with particular reference to resources in North America) / Jarold K. Zeman.</t>
  </si>
  <si>
    <t>Zeman, Jarold Knox.</t>
  </si>
  <si>
    <t>Ann Arbor : Michigan Slavic Publications, ©1977.</t>
  </si>
  <si>
    <t>Reformation in Central Europe ; 1</t>
  </si>
  <si>
    <t>798182825:eng</t>
  </si>
  <si>
    <t>4029437</t>
  </si>
  <si>
    <t>ocm04029437</t>
  </si>
  <si>
    <t>3001139015K</t>
  </si>
  <si>
    <t>9780930042004</t>
  </si>
  <si>
    <t>792315129</t>
  </si>
  <si>
    <t>Z7833 A35</t>
  </si>
  <si>
    <t>0                      Z  7833000A  35</t>
  </si>
  <si>
    <t>A reader's guide to the great religions / edited by Charles J. Adams.</t>
  </si>
  <si>
    <t>New York : Free Press, [1965]</t>
  </si>
  <si>
    <t>148524596:eng</t>
  </si>
  <si>
    <t>520464</t>
  </si>
  <si>
    <t>ocm00520464</t>
  </si>
  <si>
    <t>3000350443Q</t>
  </si>
  <si>
    <t>791402014</t>
  </si>
  <si>
    <t>Z7833 A35 1977</t>
  </si>
  <si>
    <t>0                      Z  7833000A  35          1977</t>
  </si>
  <si>
    <t>Adams, Charles J., editor.</t>
  </si>
  <si>
    <t>New York : Free Press, ©1977.</t>
  </si>
  <si>
    <t>2331225</t>
  </si>
  <si>
    <t>ocm02331225</t>
  </si>
  <si>
    <t>30009575756</t>
  </si>
  <si>
    <t>9780029002407</t>
  </si>
  <si>
    <t>792104836</t>
  </si>
  <si>
    <t>3000862931$</t>
  </si>
  <si>
    <t>792104835</t>
  </si>
  <si>
    <t>30008489619</t>
  </si>
  <si>
    <t>792104838</t>
  </si>
  <si>
    <t>Z7835 M6 G84 1983</t>
  </si>
  <si>
    <t>0                      Z  7835000M  6                  G  84          1983</t>
  </si>
  <si>
    <t>Guide to Islam / David Ede [and others].</t>
  </si>
  <si>
    <t>The Asian philosophies and religions resource guide</t>
  </si>
  <si>
    <t>43100558:eng</t>
  </si>
  <si>
    <t>9393269</t>
  </si>
  <si>
    <t>ocm09393269</t>
  </si>
  <si>
    <t>3000951687P</t>
  </si>
  <si>
    <t>9780816179053</t>
  </si>
  <si>
    <t>792673789</t>
  </si>
  <si>
    <t>Z7835 M6 H23 1991</t>
  </si>
  <si>
    <t>0                      Z  7835000M  6                  H  23          1991</t>
  </si>
  <si>
    <t>The contemporary Islamic revival : a critical survey and bibliography / Yvonne Yazbeck Haddad, John Obert Voll, and John L. Esposito ; with Kathleen Moore and David Sawan.</t>
  </si>
  <si>
    <t>Haddad, Yvonne Yazbeck, 1935-</t>
  </si>
  <si>
    <t>Bibliographies and indexes in religious studies, 0742-6836 ; no. 20</t>
  </si>
  <si>
    <t>197805981:eng</t>
  </si>
  <si>
    <t>23463846</t>
  </si>
  <si>
    <t>ocm23463846</t>
  </si>
  <si>
    <t>31009880428</t>
  </si>
  <si>
    <t>9780313247194</t>
  </si>
  <si>
    <t>793172150</t>
  </si>
  <si>
    <t>Z7835 M6 H9 1983</t>
  </si>
  <si>
    <t>0                      Z  7835000M  6                  H  9           1983</t>
  </si>
  <si>
    <t>Islamic movements in Egypt, Pakistan, and Iran : an annotated bibliography / Asaf Hussain.</t>
  </si>
  <si>
    <t>Hussain, Asaf.</t>
  </si>
  <si>
    <t>London : Mansell Pub. ; Bronx, N.Y. : Distributed in the U.S. and Canada by H.W. Wilson Co., 1983.</t>
  </si>
  <si>
    <t>2008-03-06</t>
  </si>
  <si>
    <t>294291283:eng</t>
  </si>
  <si>
    <t>9510823</t>
  </si>
  <si>
    <t>ocm09510823</t>
  </si>
  <si>
    <t>3000951697M</t>
  </si>
  <si>
    <t>9780720116489</t>
  </si>
  <si>
    <t>792679487</t>
  </si>
  <si>
    <t>Z7835 M6 P5 1923</t>
  </si>
  <si>
    <t>0                      Z  7835000M  6                  P  5           1923</t>
  </si>
  <si>
    <t>Handbuch der Islam-literatur.</t>
  </si>
  <si>
    <t>Pfannmüller, Gustav, 1873-</t>
  </si>
  <si>
    <t>Berlin und Leipzig, W. de Gruyter, 1923.</t>
  </si>
  <si>
    <t>1849204:ger</t>
  </si>
  <si>
    <t>497776</t>
  </si>
  <si>
    <t>ocm00497776</t>
  </si>
  <si>
    <t>3103634388J</t>
  </si>
  <si>
    <t>791394409</t>
  </si>
  <si>
    <t>Z7835 M6 S2813 1965</t>
  </si>
  <si>
    <t>0                      Z  7835000M  6                  S  2813        1965</t>
  </si>
  <si>
    <t>Jean Sauvaget's Introduction to the history of the Muslim East : a bibliographical guide ; based on the second ed. as recast by Claude Cahen.</t>
  </si>
  <si>
    <t>Sauvaget, Jean, 1901-1950.</t>
  </si>
  <si>
    <t>Berkeley : Univ. of California Press, 1965.</t>
  </si>
  <si>
    <t>[1st English ed.].</t>
  </si>
  <si>
    <t>2864965709:eng</t>
  </si>
  <si>
    <t>61552409</t>
  </si>
  <si>
    <t>ocm61552409</t>
  </si>
  <si>
    <t>3000956988N</t>
  </si>
  <si>
    <t>793984171</t>
  </si>
  <si>
    <t>Z7835 M6 Y86 2012</t>
  </si>
  <si>
    <t>0                      Z  7835000M  6                  Y  86          2012</t>
  </si>
  <si>
    <t>Sinopsis buku-buku keagamaan kontemporer / Drs. H.E. Badri Yunardi, M. Pd., dkk. ; Prof. Dr. Ibnu Hammad (ed.).</t>
  </si>
  <si>
    <t>Yunardi, E. Badri, author</t>
  </si>
  <si>
    <t>[Jakarta] : Puslitbang Lektur dan Khazanah Keagamaan, Badan Litbang dan Diklat, Kementerian Agama, 2012.</t>
  </si>
  <si>
    <t>Cetakan pertama.</t>
  </si>
  <si>
    <t>1297105478:ind</t>
  </si>
  <si>
    <t>842133101</t>
  </si>
  <si>
    <t>ocn842133101</t>
  </si>
  <si>
    <t>3103631891P</t>
  </si>
  <si>
    <t>9786028766562</t>
  </si>
  <si>
    <t>794947295</t>
  </si>
  <si>
    <t>Z7835 M6 Z63</t>
  </si>
  <si>
    <t>0                      Z  7835000M  6                  Z  63</t>
  </si>
  <si>
    <t>Islam in sub-Saharan Africa : a partially annotated guide / compiled by Samir M. Zoghby, African Section.</t>
  </si>
  <si>
    <t>Zoghby, Samir M.</t>
  </si>
  <si>
    <t>Washington : Library of Congress : For sale by the Supt. of Docs., U.S. Govt. Print. Off., 1978.</t>
  </si>
  <si>
    <t>2001-02-14</t>
  </si>
  <si>
    <t>5610128035:eng</t>
  </si>
  <si>
    <t>2091493</t>
  </si>
  <si>
    <t>ocm02091493</t>
  </si>
  <si>
    <t>3000957367D</t>
  </si>
  <si>
    <t>9780844401836</t>
  </si>
  <si>
    <t>792043741</t>
  </si>
  <si>
    <t>Z7835 T3 B64 1987</t>
  </si>
  <si>
    <t>0                      Z  7835000T  3                  B  64          1987</t>
  </si>
  <si>
    <t>A survey of Taoist literature, tenth to seventeenth centuries / Judith M. Boltz.</t>
  </si>
  <si>
    <t>Boltz, Judith M. (Judith Magee)</t>
  </si>
  <si>
    <t>Berkeley, Calif. : Institute of East Asian Studies, University of California, Berkeley, Center for Chinese Studies, ©1987.</t>
  </si>
  <si>
    <t>China research monographs ; 32</t>
  </si>
  <si>
    <t>2014-01-05</t>
  </si>
  <si>
    <t>2019-10-28</t>
  </si>
  <si>
    <t>13458659:eng</t>
  </si>
  <si>
    <t>17018387</t>
  </si>
  <si>
    <t>ocm17018387</t>
  </si>
  <si>
    <t>3101547768B</t>
  </si>
  <si>
    <t>9780912966885</t>
  </si>
  <si>
    <t>792980579</t>
  </si>
  <si>
    <t>31015757594</t>
  </si>
  <si>
    <t>792980580</t>
  </si>
  <si>
    <t>Z7836.7 D5 1999</t>
  </si>
  <si>
    <t>0                      Z  7836700D  5           1999</t>
  </si>
  <si>
    <t>The Jesus people movement : an annotated bibliography and general resource / David Di Sabatino.</t>
  </si>
  <si>
    <t>Di Sabatino, David, 1966-</t>
  </si>
  <si>
    <t>Bibliographies and indexes in religious studies, 0742-6836 ; no. 49</t>
  </si>
  <si>
    <t>17323043:eng</t>
  </si>
  <si>
    <t>39733767</t>
  </si>
  <si>
    <t>ocm39733767</t>
  </si>
  <si>
    <t>3101947396V</t>
  </si>
  <si>
    <t>9780313302688</t>
  </si>
  <si>
    <t>793552103</t>
  </si>
  <si>
    <t>Z7837.7 G7 E44 1996</t>
  </si>
  <si>
    <t>0                      Z  7837700G  7                  E  44          1996</t>
  </si>
  <si>
    <t>English Catholic books, 1701-1800 : a bibliography / compiled by F. Blom [and others].</t>
  </si>
  <si>
    <t>Aldershot, Hants, England : Scolar Press ; Brooksfield, Vt., USA : Ashgate Pub. Co., ©1996.</t>
  </si>
  <si>
    <t>2018-08-08</t>
  </si>
  <si>
    <t>890416766:eng</t>
  </si>
  <si>
    <t>32924263</t>
  </si>
  <si>
    <t>ocm32924263</t>
  </si>
  <si>
    <t>3101906863I</t>
  </si>
  <si>
    <t>9781859281482</t>
  </si>
  <si>
    <t>793397661</t>
  </si>
  <si>
    <t>Z7838 H6 C37 2018</t>
  </si>
  <si>
    <t>0                      Z  7838000H  6                  C  37          2018</t>
  </si>
  <si>
    <t>Catalogue raisonné des livres d'heures conservés au Québec / sous la direction de Brenda Dunn-Lardeau.</t>
  </si>
  <si>
    <t>Québec (Québec) : Presses de l'Université du Québec, 2018.</t>
  </si>
  <si>
    <t>5443280852:fre</t>
  </si>
  <si>
    <t>1050953347</t>
  </si>
  <si>
    <t>on1050953347</t>
  </si>
  <si>
    <t>3103730754X</t>
  </si>
  <si>
    <t>9782760549784</t>
  </si>
  <si>
    <t>795061635</t>
  </si>
  <si>
    <t>Z7838.H6 C37 2018</t>
  </si>
  <si>
    <t>3103769038X</t>
  </si>
  <si>
    <t>795061634</t>
  </si>
  <si>
    <t>Z7838 L7 S65 2013</t>
  </si>
  <si>
    <t>0                      Z  7838000L  7                  S  65          2013</t>
  </si>
  <si>
    <t>Latin liturgical psalters in the Bodleian Library : a select catalogue / Elizabeth Solopova.</t>
  </si>
  <si>
    <t>Solopova, Elizabeth.</t>
  </si>
  <si>
    <t>Oxford : Bodleian Library, 2013.</t>
  </si>
  <si>
    <t>1784519382:eng</t>
  </si>
  <si>
    <t>858488061</t>
  </si>
  <si>
    <t>ocn858488061</t>
  </si>
  <si>
    <t>31035668276</t>
  </si>
  <si>
    <t>9781851242979</t>
  </si>
  <si>
    <t>794956192</t>
  </si>
  <si>
    <t>Z7844 D83 1993</t>
  </si>
  <si>
    <t>0                      Z  7844000D  83          1993</t>
  </si>
  <si>
    <t>Sources &amp; méthodes de l'hagiographie médiévale / Jacques Dubois, Jean-Loup Lemaitre ; préface de Joseph van der Straeten.</t>
  </si>
  <si>
    <t>Dubois, Jacques, O.S.B.</t>
  </si>
  <si>
    <t>Paris : Editions du Cerf, 1993.</t>
  </si>
  <si>
    <t>Histoire, 0769-2633</t>
  </si>
  <si>
    <t>117983508:fre</t>
  </si>
  <si>
    <t>28966611</t>
  </si>
  <si>
    <t>ocm28966611</t>
  </si>
  <si>
    <t>3101308747F</t>
  </si>
  <si>
    <t>9782204047722</t>
  </si>
  <si>
    <t>793300683</t>
  </si>
  <si>
    <t>Z7845 G6 S36 1997</t>
  </si>
  <si>
    <t>0                      Z  7845000G  6                  S  36          1997</t>
  </si>
  <si>
    <t>Nag Hammadi bibliography, 1970-1994 / by David M. Scholer.</t>
  </si>
  <si>
    <t>Scholer, David M.</t>
  </si>
  <si>
    <t>Leiden ; New York : Brill, 1997.</t>
  </si>
  <si>
    <t>Nag Hammadi and Manichaean studies, 0929-2470 ; 32</t>
  </si>
  <si>
    <t>633955:eng</t>
  </si>
  <si>
    <t>37180822</t>
  </si>
  <si>
    <t>ocm37180822</t>
  </si>
  <si>
    <t>3101828866Y</t>
  </si>
  <si>
    <t>9789004094734</t>
  </si>
  <si>
    <t>793492304</t>
  </si>
  <si>
    <t>Z7851 S37 1983</t>
  </si>
  <si>
    <t>0                      Z  7851000S  37          1983</t>
  </si>
  <si>
    <t>Printed Italian vernacular religious books 1465-1550 : a finding list / Anne Jacobson Schutte.</t>
  </si>
  <si>
    <t>Schutte, Anne Jacobson.</t>
  </si>
  <si>
    <t>Genève : Droz, 1983.</t>
  </si>
  <si>
    <t>Travaux d'humanisme et Renaissance ; no. 194</t>
  </si>
  <si>
    <t>806650134:eng</t>
  </si>
  <si>
    <t>10605816</t>
  </si>
  <si>
    <t>ocm10605816</t>
  </si>
  <si>
    <t>3103706130M</t>
  </si>
  <si>
    <t>792734111</t>
  </si>
  <si>
    <t>Z7861 C6 C5 1962</t>
  </si>
  <si>
    <t>0                      Z  7861000C  6                  C  5           1962</t>
  </si>
  <si>
    <t>Zhongguo fo jiao shi ji gai lun / Chen Yuan zhuan.</t>
  </si>
  <si>
    <t>Chen, Yuan, 1880-1971</t>
  </si>
  <si>
    <t>Beijing : Zhong hua shu ju : Xin hua shu dian Beijing fa xing suo fa xing, 1962.</t>
  </si>
  <si>
    <t>2908605373:chi</t>
  </si>
  <si>
    <t>22791422</t>
  </si>
  <si>
    <t>ocm22791422</t>
  </si>
  <si>
    <t>3102182824B</t>
  </si>
  <si>
    <t>793153687</t>
  </si>
  <si>
    <t>Z7861 C6 L524 2007</t>
  </si>
  <si>
    <t>0                      Z  7861000C  6                  L  524         2007</t>
  </si>
  <si>
    <t>Song seng zhu shu kao / Li Guoling bian zhu.</t>
  </si>
  <si>
    <t>Li, Guoling.</t>
  </si>
  <si>
    <t>Chengdu Shi : Sichuan da xue chu ban she, 2007.</t>
  </si>
  <si>
    <t>131345936:chi</t>
  </si>
  <si>
    <t>213375397</t>
  </si>
  <si>
    <t>ocn213375397</t>
  </si>
  <si>
    <t>3103410107C</t>
  </si>
  <si>
    <t>9787561437919</t>
  </si>
  <si>
    <t>794307631</t>
  </si>
  <si>
    <t>Z7861 C6 T6 1964</t>
  </si>
  <si>
    <t>0                      Z  7861000C  6                  T  6           1964</t>
  </si>
  <si>
    <t>Sutain Tonkō bunken oyobi kenkyū bunken ni in'yō shōkaiseraretaru seiiki shutsudo Kanbun bunken bunrui mokuroku shokō, hi Bukkyō bunken no bu, komonjorui.</t>
  </si>
  <si>
    <t>ay</t>
  </si>
  <si>
    <t>Tōyō Bunko (Japan). Tonkō Bunken Kenkyū Iinkai.</t>
  </si>
  <si>
    <t>Tōkyō : Tonkō Bunken Kenkyū Iinkai (Tōyō Bunko nai), 1964-1967.</t>
  </si>
  <si>
    <t>Seiiki shutsudo Kanbun bunken bunrui mokuroku ; 1-2</t>
  </si>
  <si>
    <t>16283255:jpn</t>
  </si>
  <si>
    <t>5165458</t>
  </si>
  <si>
    <t>ocm05165458</t>
  </si>
  <si>
    <t>3103679183P</t>
  </si>
  <si>
    <t>792412566</t>
  </si>
  <si>
    <t>Z7862.3 H4 2014</t>
  </si>
  <si>
    <t>0                      Z  7862300H  4           2014</t>
  </si>
  <si>
    <t>Li dai Han wen da zang jing mu lu xin kao = New examination of the catalogues of Chinese Tri-sutra from the Tang dynasty to the present time / He Mei zhu.</t>
  </si>
  <si>
    <t>He, Mei, 1951- author.</t>
  </si>
  <si>
    <t>Beijing Shi : She hui ke xue wen xian chu ban she, 2014.</t>
  </si>
  <si>
    <t>Zhongguo she hui ke xue yuan wen ku. zhe xue zong jiao yan jiu xi lie = The selected works of CASS. Philosophy and religion</t>
  </si>
  <si>
    <t>2499269469:chi</t>
  </si>
  <si>
    <t>870979501</t>
  </si>
  <si>
    <t>ocn870979501</t>
  </si>
  <si>
    <t>3103201144H</t>
  </si>
  <si>
    <t>9787509745328</t>
  </si>
  <si>
    <t>794967094</t>
  </si>
  <si>
    <t>3103201149H</t>
  </si>
  <si>
    <t>794967095</t>
  </si>
  <si>
    <t>Z7862.3 T86 1991</t>
  </si>
  <si>
    <t>0                      Z  7862300T  86          1991</t>
  </si>
  <si>
    <t>Bei Song "Kaibao da zang jing" diao yin kao shi ji mu lu huan yuan / Tong Wei bian zhu.</t>
  </si>
  <si>
    <t>Tong, Wei.</t>
  </si>
  <si>
    <t>Beijing : Shu mu wen xian chu ban she : Xin hua shu dian jing xiao, 1991.</t>
  </si>
  <si>
    <t>31680653:chi</t>
  </si>
  <si>
    <t>29752138</t>
  </si>
  <si>
    <t>ocm29752138</t>
  </si>
  <si>
    <t>3102468540G</t>
  </si>
  <si>
    <t>9787501308699</t>
  </si>
  <si>
    <t>793319559</t>
  </si>
  <si>
    <t>Z7864 Y64 P69 1991</t>
  </si>
  <si>
    <t>0                      Z  7864000Y  64                 P  69          1991</t>
  </si>
  <si>
    <t>The Yogācāra school of Buddhism : a bibliography / by John Powers.</t>
  </si>
  <si>
    <t>Powers, John, 1957-</t>
  </si>
  <si>
    <t>[Philadelphia, Pa.?] : American Theological Library Association ; Metuchen, N.J. : Scarecrow Press, 1991.</t>
  </si>
  <si>
    <t>ATLA bibliography series ; no. 27</t>
  </si>
  <si>
    <t>20867701:eng</t>
  </si>
  <si>
    <t>24589773</t>
  </si>
  <si>
    <t>ocm24589773</t>
  </si>
  <si>
    <t>31011077516</t>
  </si>
  <si>
    <t>9780810825024</t>
  </si>
  <si>
    <t>793201635</t>
  </si>
  <si>
    <t>Z7914 M6 G7 1960</t>
  </si>
  <si>
    <t>0                      Z  7914000M  6                  G  7           1960</t>
  </si>
  <si>
    <t>Crushing and grinding; a bibliography.</t>
  </si>
  <si>
    <t>Great Britain. Department of Scientific and Industrial Research.</t>
  </si>
  <si>
    <t>New York, Chemical Pub. Co., 1960.</t>
  </si>
  <si>
    <t>[1st American ed.].</t>
  </si>
  <si>
    <t>8054255:eng</t>
  </si>
  <si>
    <t>3088448</t>
  </si>
  <si>
    <t>ocm03088448</t>
  </si>
  <si>
    <t>31000505313</t>
  </si>
  <si>
    <t>792215822</t>
  </si>
  <si>
    <t>31000505305</t>
  </si>
  <si>
    <t>792215821</t>
  </si>
  <si>
    <t>Z7914 T3 K6</t>
  </si>
  <si>
    <t>0                      Z  7914000T  3                  K  6</t>
  </si>
  <si>
    <t>Textile industry: information sources : an annotated guide to the literature of textile fibers, dyes and dyeing, design and decoration, weaving, machinery, and other subjects / [by] Joseph V. Kopycinski. Foreword by Kenneth R. Fox.</t>
  </si>
  <si>
    <t>Kopycinski, Joseph V.</t>
  </si>
  <si>
    <t>Detroit : Gale Research Co., [©1964]</t>
  </si>
  <si>
    <t>Management information guide, 4</t>
  </si>
  <si>
    <t>1729972:eng</t>
  </si>
  <si>
    <t>580852</t>
  </si>
  <si>
    <t>ocm00580852</t>
  </si>
  <si>
    <t>3000074445B</t>
  </si>
  <si>
    <t>791420483</t>
  </si>
  <si>
    <t>Z7914 T3 S93 2015</t>
  </si>
  <si>
    <t>0                      Z  7914000T  3                  S  93          2015</t>
  </si>
  <si>
    <t>The Bayeux Tapestry : a critically annotated bibliography / John F. Szabo, Nicholas E. Kuefler.</t>
  </si>
  <si>
    <t>Szabo, John F., 1968- author.</t>
  </si>
  <si>
    <t>Lanham : Rowman &amp; Littlefield, 2015.</t>
  </si>
  <si>
    <t>2296273827:eng</t>
  </si>
  <si>
    <t>903436669</t>
  </si>
  <si>
    <t>ocn903436669</t>
  </si>
  <si>
    <t>31036091524</t>
  </si>
  <si>
    <t>9781442251557</t>
  </si>
  <si>
    <t>794989160</t>
  </si>
  <si>
    <t>Z7961 J3x</t>
  </si>
  <si>
    <t>0                      Z  7961000J  3x</t>
  </si>
  <si>
    <t>Women in perspective: a guide for cross-cultural studies / Sue-Ellen Jacobs.</t>
  </si>
  <si>
    <t>Jacobs, Sue-Ellen, author.</t>
  </si>
  <si>
    <t>Urbana: University of Illinois Press, ©1974.</t>
  </si>
  <si>
    <t>421005:eng</t>
  </si>
  <si>
    <t>1050797</t>
  </si>
  <si>
    <t>ocm01050797</t>
  </si>
  <si>
    <t>30009535246</t>
  </si>
  <si>
    <t>9780252002991</t>
  </si>
  <si>
    <t>791534332</t>
  </si>
  <si>
    <t>Z7961 W49 1983</t>
  </si>
  <si>
    <t>0                      Z  7961000W  49          1983</t>
  </si>
  <si>
    <t>Women in the sixteenth century : a bibliography / Merry E. Wiesner.</t>
  </si>
  <si>
    <t>Wiesner, Merry E., 1952-</t>
  </si>
  <si>
    <t>St. Louis : Center for Reformation Research, 1983.</t>
  </si>
  <si>
    <t>Sixteenth century bibliography ; 23</t>
  </si>
  <si>
    <t>43969880:eng</t>
  </si>
  <si>
    <t>9981380</t>
  </si>
  <si>
    <t>ocm09981380</t>
  </si>
  <si>
    <t>3102952504N</t>
  </si>
  <si>
    <t>792703387</t>
  </si>
  <si>
    <t>Z7963 E2 S52 2005</t>
  </si>
  <si>
    <t>0                      Z  7963000E  2                  S  52          2005</t>
  </si>
  <si>
    <t>Women and education in Iran and Afghanistan : an annotated bibliography of sources in English, 1975-2003 / Mitra K. Shavarini, Wendy R. Robison.</t>
  </si>
  <si>
    <t>Shavarini, Mitra K., 1962-</t>
  </si>
  <si>
    <t>907899688:eng</t>
  </si>
  <si>
    <t>56111784</t>
  </si>
  <si>
    <t>ocm56111784</t>
  </si>
  <si>
    <t>3102546589K</t>
  </si>
  <si>
    <t>9780810851023</t>
  </si>
  <si>
    <t>793888144</t>
  </si>
  <si>
    <t>Z7963 L5 U8</t>
  </si>
  <si>
    <t>0                      Z  7963000L  5                  U  8</t>
  </si>
  <si>
    <t>The crooked rib; an analytical index to the argument about women in English and Scots literature to the end of the year 1568.</t>
  </si>
  <si>
    <t>Utley, Francis Lee, 1907-1974.</t>
  </si>
  <si>
    <t>Columbus, Ohio State University, 1944.</t>
  </si>
  <si>
    <t>Contributions in language and literature, no. 10. English series, 3</t>
  </si>
  <si>
    <t>2017-09-01</t>
  </si>
  <si>
    <t>1370131:eng</t>
  </si>
  <si>
    <t>1879677</t>
  </si>
  <si>
    <t>ocm01879677</t>
  </si>
  <si>
    <t>3000773672U</t>
  </si>
  <si>
    <t>792004440</t>
  </si>
  <si>
    <t>Z7963 P64 C69 1997</t>
  </si>
  <si>
    <t>0                      Z  7963000P  64                 C  69          1997</t>
  </si>
  <si>
    <t>Women in modern American politics : a bibliography, 1900-1995 / Elizabeth M. Cox.</t>
  </si>
  <si>
    <t>Cox, Elizabeth, 1939-</t>
  </si>
  <si>
    <t>Washington, D.C. : Congressional Quarterly, ©1997.</t>
  </si>
  <si>
    <t>35944974:eng</t>
  </si>
  <si>
    <t>35599297</t>
  </si>
  <si>
    <t>ocm35599297</t>
  </si>
  <si>
    <t>3101732456A</t>
  </si>
  <si>
    <t>9781568021331</t>
  </si>
  <si>
    <t>793453149</t>
  </si>
  <si>
    <t>Z7964 C3 L54</t>
  </si>
  <si>
    <t>0                      Z  7964000C  3                  L  54</t>
  </si>
  <si>
    <t>True daughters of the North : Canadian women's history : an annotated bibliography / Beth Light &amp; Veronica Strong-Boag.</t>
  </si>
  <si>
    <t>Light, Beth, 1952-</t>
  </si>
  <si>
    <t>Toronto : OISE Press, 1980.</t>
  </si>
  <si>
    <t>OISE bibliography series ; no. 5</t>
  </si>
  <si>
    <t>207665008:eng</t>
  </si>
  <si>
    <t>6942402</t>
  </si>
  <si>
    <t>ocm06942402</t>
  </si>
  <si>
    <t>3103741844L</t>
  </si>
  <si>
    <t>9780774401852</t>
  </si>
  <si>
    <t>792531538</t>
  </si>
  <si>
    <t>3000145362L</t>
  </si>
  <si>
    <t>792531539</t>
  </si>
  <si>
    <t>Z7964 C3 R53x</t>
  </si>
  <si>
    <t>0                      Z  7964000C  3                  R  53x</t>
  </si>
  <si>
    <t>Some sources for women's history in the Public Archives of Canada / Heather Rielly &amp; Marilyn Hindmarch.</t>
  </si>
  <si>
    <t>Rielly, Heather.</t>
  </si>
  <si>
    <t>Ottawa : National Museums of Canada, 1974.</t>
  </si>
  <si>
    <t>Paper - National Museum of Man, History Division ; no. 5</t>
  </si>
  <si>
    <t>2305817:eng</t>
  </si>
  <si>
    <t>1503528</t>
  </si>
  <si>
    <t>ocm01503528</t>
  </si>
  <si>
    <t>3000957146T</t>
  </si>
  <si>
    <t>791676208</t>
  </si>
  <si>
    <t>Z7964 N42 Q38</t>
  </si>
  <si>
    <t>0                      Z  7964000N  42                 Q  38</t>
  </si>
  <si>
    <t>Women in the Middle East and North Africa : an annotated bibliography / by Ayad Al-Qazzaz.</t>
  </si>
  <si>
    <t>Al-Qazzaz, Ayad, 1941-</t>
  </si>
  <si>
    <t>Austin : Center for Middle Eastern Studies, University of Texas at Austin, ©1977.</t>
  </si>
  <si>
    <t>Middle East monographs ; no. 2</t>
  </si>
  <si>
    <t>433538:eng</t>
  </si>
  <si>
    <t>3205343</t>
  </si>
  <si>
    <t>ocm03205343</t>
  </si>
  <si>
    <t>3000955199I</t>
  </si>
  <si>
    <t>9780292790094</t>
  </si>
  <si>
    <t>792229363</t>
  </si>
  <si>
    <t>Z7998 I4 A56 2010</t>
  </si>
  <si>
    <t>0                      Z  7998000I  4                  A  56          2010</t>
  </si>
  <si>
    <t>Annotated bibliography of the articles on zoology published by the Asiatic Society since its inception, 1788-2000 / compiled by Anindita De ; edited by Naresh Chandra Datta.</t>
  </si>
  <si>
    <t>Kolkata : Asiatic Society, 2010.</t>
  </si>
  <si>
    <t>975300020:eng</t>
  </si>
  <si>
    <t>636612988</t>
  </si>
  <si>
    <t>ocn636612988</t>
  </si>
  <si>
    <t>3103337495R</t>
  </si>
  <si>
    <t>794826051</t>
  </si>
  <si>
    <t>Z8015.87 K55 1994</t>
  </si>
  <si>
    <t>0                      Z  8015870K  55          1994</t>
  </si>
  <si>
    <t>Joseph Addison and Richard Steele : a reference guide, 1730-1991 / Charles A. Knight.</t>
  </si>
  <si>
    <t>Knight, Charles A.</t>
  </si>
  <si>
    <t>New York : G.K. Hall ; London : Prentice Hall International, ©1994.</t>
  </si>
  <si>
    <t>A reference guide to literature</t>
  </si>
  <si>
    <t>2015-12-10</t>
  </si>
  <si>
    <t>906625256:eng</t>
  </si>
  <si>
    <t>30625354</t>
  </si>
  <si>
    <t>ocm30625354</t>
  </si>
  <si>
    <t>3101484493M</t>
  </si>
  <si>
    <t>9780816189809</t>
  </si>
  <si>
    <t>793340651</t>
  </si>
  <si>
    <t>Z8026.63 S652 2012</t>
  </si>
  <si>
    <t>0                      Z  8026630S  652         2012</t>
  </si>
  <si>
    <t>The poetry of Alfonso X : an annotated critical bibliography (1278-2010) / Joseph T. Snow.</t>
  </si>
  <si>
    <t>Snow, Joseph T., 1941-</t>
  </si>
  <si>
    <t>Woodbridge, Suffolk, UK : Tamesis, 2012.</t>
  </si>
  <si>
    <t>Research bibliographies and checklists, 1476-9700 ; New ser. 10</t>
  </si>
  <si>
    <t>1121050178:eng</t>
  </si>
  <si>
    <t>746834933</t>
  </si>
  <si>
    <t>ocn746834933</t>
  </si>
  <si>
    <t>31034464091</t>
  </si>
  <si>
    <t>9781855662391</t>
  </si>
  <si>
    <t>794887443</t>
  </si>
  <si>
    <t>Z8044 L63 1988</t>
  </si>
  <si>
    <t>0                      Z  8044000L  63          1988</t>
  </si>
  <si>
    <t>Latin Aristotle commentaries / Charles H. Lohr.</t>
  </si>
  <si>
    <t>Lohr, Charles H., author.</t>
  </si>
  <si>
    <t>Firenze : Leo S. Olschki, 1988-1995.</t>
  </si>
  <si>
    <t>Subsidia al "Corpus philosophorum Medii Aevi" ; 6, 10, 15, 17, 18</t>
  </si>
  <si>
    <t>3146032886:eng</t>
  </si>
  <si>
    <t>20261038</t>
  </si>
  <si>
    <t>ocm20261038</t>
  </si>
  <si>
    <t>3102828781Z</t>
  </si>
  <si>
    <t>9788884504982</t>
  </si>
  <si>
    <t>793082055</t>
  </si>
  <si>
    <t>Z8044 M67</t>
  </si>
  <si>
    <t>0                      Z  8044000M  67</t>
  </si>
  <si>
    <t>Les listes anciennes des ouvrages d'Aristote. Préf. par Augustin Mansion.</t>
  </si>
  <si>
    <t>Moraux, Paul.</t>
  </si>
  <si>
    <t>Louvain, Éditions universitaires de Louvain, 1951.</t>
  </si>
  <si>
    <t>Aristote; traductions et études</t>
  </si>
  <si>
    <t>348575351:fre</t>
  </si>
  <si>
    <t>260262</t>
  </si>
  <si>
    <t>ocm00260262</t>
  </si>
  <si>
    <t>3000956703S</t>
  </si>
  <si>
    <t>791313570</t>
  </si>
  <si>
    <t>Z8045 H69 2006</t>
  </si>
  <si>
    <t>0                      Z  8045000H  69          2006</t>
  </si>
  <si>
    <t>A bibliography of modern Arthuriana (1500-2000) / compiled by Ann F. Howey, Stephen R. Reimer.</t>
  </si>
  <si>
    <t>Howey, Ann F., 1967-</t>
  </si>
  <si>
    <t>Cambridge [England] ; Rochester, NY : D.S. Brewer, 2006.</t>
  </si>
  <si>
    <t>2016-10-14</t>
  </si>
  <si>
    <t>46652495:eng</t>
  </si>
  <si>
    <t>62265709</t>
  </si>
  <si>
    <t>ocm62265709</t>
  </si>
  <si>
    <t>3102566829D</t>
  </si>
  <si>
    <t>9781843840688</t>
  </si>
  <si>
    <t>794103064</t>
  </si>
  <si>
    <t>Z8046.947 H46 2007</t>
  </si>
  <si>
    <t>0                      Z  8046947H  46          2007</t>
  </si>
  <si>
    <t>Margaret Atwood : a reference guide, 1988-2005 / Shannon Hengen, Ashley Thomson.</t>
  </si>
  <si>
    <t>Hengen, Shannon Eileen.</t>
  </si>
  <si>
    <t>2018-01-05</t>
  </si>
  <si>
    <t>800152158:eng</t>
  </si>
  <si>
    <t>76864053</t>
  </si>
  <si>
    <t>ocm76864053</t>
  </si>
  <si>
    <t>3102596655Z</t>
  </si>
  <si>
    <t>9780810859043</t>
  </si>
  <si>
    <t>794177895</t>
  </si>
  <si>
    <t>Z8047.7 D66 1991</t>
  </si>
  <si>
    <t>0                      Z  8047700D  66          1991</t>
  </si>
  <si>
    <t>Augustine's De civitate Dei : an annotated bibliography of modern criticism, 1960-1990 / Dorothy F. Donnelly and Mark A. Sherman.</t>
  </si>
  <si>
    <t>Donnelly, Dorothy F., 1930-</t>
  </si>
  <si>
    <t>New York : P. Lang, ©1991.</t>
  </si>
  <si>
    <t>295316208:eng</t>
  </si>
  <si>
    <t>24107085</t>
  </si>
  <si>
    <t>ocm24107085</t>
  </si>
  <si>
    <t>31011612861</t>
  </si>
  <si>
    <t>9780820416076</t>
  </si>
  <si>
    <t>793189950</t>
  </si>
  <si>
    <t>Z8048 C47 1955</t>
  </si>
  <si>
    <t>0                      Z  8048000C  47          1955</t>
  </si>
  <si>
    <t>Jane Austen; a critical bibliography.</t>
  </si>
  <si>
    <t>Chapman, R. W. (Robert William), 1881-1960.</t>
  </si>
  <si>
    <t>Oxford, Clarendon Press, 1955.</t>
  </si>
  <si>
    <t>3754710340:eng</t>
  </si>
  <si>
    <t>1848823</t>
  </si>
  <si>
    <t>ocm01848823</t>
  </si>
  <si>
    <t>30009624516</t>
  </si>
  <si>
    <t>791998682</t>
  </si>
  <si>
    <t>Z8048 G54 1997</t>
  </si>
  <si>
    <t>0                      Z  8048000G  54          1997</t>
  </si>
  <si>
    <t>A bibliography of Jane Austen / by David Gilson ; new introduction and corrections by the author.</t>
  </si>
  <si>
    <t>Gilson, David.</t>
  </si>
  <si>
    <t>Winchester : St Paul's Bibliographies ; New Castle, Del. : Oak Knoll Press, 1997.</t>
  </si>
  <si>
    <t>415916:eng</t>
  </si>
  <si>
    <t>36252824</t>
  </si>
  <si>
    <t>ocm36252824</t>
  </si>
  <si>
    <t>31018657353</t>
  </si>
  <si>
    <t>9781884718328</t>
  </si>
  <si>
    <t>793470531</t>
  </si>
  <si>
    <t>Z8048 K44</t>
  </si>
  <si>
    <t>0                      Z  8048000K  44</t>
  </si>
  <si>
    <t>Jane Austen: a bibliography. By Geoffrey Keynes ... with four illustrations from original engravings.</t>
  </si>
  <si>
    <t>London, Printed for the Nonesuch Press, 1929.</t>
  </si>
  <si>
    <t>197648523:eng</t>
  </si>
  <si>
    <t>2198057</t>
  </si>
  <si>
    <t>ocm02198057</t>
  </si>
  <si>
    <t>3000955490O</t>
  </si>
  <si>
    <t>792065678</t>
  </si>
  <si>
    <t>Z8056 S76 2016</t>
  </si>
  <si>
    <t>0                      Z  8056000S  76          2016</t>
  </si>
  <si>
    <t>Bachmann-Bibliographien : selbständige und versteckte Bibliographien und Nachschlagewerke zu Leben und Werk der Dichterin Ingeborg Bachmann / Karl F. Stock, Rudolf Heilinger, Marylène Stock.</t>
  </si>
  <si>
    <t>Stock, Karl F.</t>
  </si>
  <si>
    <t>Graz : Stock &amp; Stock, 2016.</t>
  </si>
  <si>
    <t>Bibliographieverzeichnisse großer Österreicher in Einzelbänden</t>
  </si>
  <si>
    <t>4065888288:ger</t>
  </si>
  <si>
    <t>972329686</t>
  </si>
  <si>
    <t>ocn972329686</t>
  </si>
  <si>
    <t>3103564833C</t>
  </si>
  <si>
    <t>9783900818586</t>
  </si>
  <si>
    <t>795028620</t>
  </si>
  <si>
    <t>Z8069.22 B4</t>
  </si>
  <si>
    <t>0                      Z  8069220B  4</t>
  </si>
  <si>
    <t>Jean-Louis Guez de Balzac, bibliographie générale.</t>
  </si>
  <si>
    <t>3768553869:fre</t>
  </si>
  <si>
    <t>3657481</t>
  </si>
  <si>
    <t>ocm03657481</t>
  </si>
  <si>
    <t>30009632543</t>
  </si>
  <si>
    <t>792277637</t>
  </si>
  <si>
    <t>Z8069.22 B4 Suppl.</t>
  </si>
  <si>
    <t>0                      Z  8069220B  4                                                       Suppl.</t>
  </si>
  <si>
    <t>Jean-Louis Guez de Balzac, bibliographie générale. Supplément / Bernard Beugnot.</t>
  </si>
  <si>
    <t>Montréal : Presses de l'Université de Montréal, 1969-&lt;1979 &gt;</t>
  </si>
  <si>
    <t>4061460120:fre</t>
  </si>
  <si>
    <t>25283691</t>
  </si>
  <si>
    <t>ocm25283691</t>
  </si>
  <si>
    <t>3000963258W</t>
  </si>
  <si>
    <t>793215990</t>
  </si>
  <si>
    <t>- Burney Centre - By Consultation</t>
  </si>
  <si>
    <t>Z8069.274 D39</t>
  </si>
  <si>
    <t>0                      Z  8069274D  39</t>
  </si>
  <si>
    <t>The Banks letters; a calendar of the manuscript correspondence of Sir Joseph Banks, preserved in the British Museum, the British Museum (Natural History) and other collections in Great Britain. Edited by Warren R. Dawson.</t>
  </si>
  <si>
    <t>Dawson, Warren R. (Warren Royal), 1888-1968.</t>
  </si>
  <si>
    <t>London, Printed by order of the trustees of the British Museum, 1958.</t>
  </si>
  <si>
    <t>2019-07-12</t>
  </si>
  <si>
    <t>4192312:eng</t>
  </si>
  <si>
    <t>2092696</t>
  </si>
  <si>
    <t>ocm02092696</t>
  </si>
  <si>
    <t>31026165440</t>
  </si>
  <si>
    <t>792043974</t>
  </si>
  <si>
    <t>Z8077.47 B53 2010</t>
  </si>
  <si>
    <t>0                      Z  8077470B  53          2010</t>
  </si>
  <si>
    <t>La bibliografia delle opere di Giorgio Bassani ; La memoria critica su Giorgio Bassani / a cura di Portia Prebys.</t>
  </si>
  <si>
    <t>Ferrara : Edisai, 2010.</t>
  </si>
  <si>
    <t>2015-05-09</t>
  </si>
  <si>
    <t>2909098040:ita</t>
  </si>
  <si>
    <t>694057404</t>
  </si>
  <si>
    <t>ocn694057404</t>
  </si>
  <si>
    <t>3103346647U</t>
  </si>
  <si>
    <t>9788895062990</t>
  </si>
  <si>
    <t>794857094</t>
  </si>
  <si>
    <t>3103346653S</t>
  </si>
  <si>
    <t>794857093</t>
  </si>
  <si>
    <t>Z8079.3 S34 2015</t>
  </si>
  <si>
    <t>0                      Z  8079300S  34          2015</t>
  </si>
  <si>
    <t>Bibliographie du Spleen de Paris (1855-2014) / Andrea Schellino.</t>
  </si>
  <si>
    <t>Schellino, Andrea, author.</t>
  </si>
  <si>
    <t>Classiques Garnier</t>
  </si>
  <si>
    <t>2506036779:fre</t>
  </si>
  <si>
    <t>908086830</t>
  </si>
  <si>
    <t>ocn908086830</t>
  </si>
  <si>
    <t>3103543449$</t>
  </si>
  <si>
    <t>9782812438905</t>
  </si>
  <si>
    <t>794994167</t>
  </si>
  <si>
    <t>Z8086.37 F4</t>
  </si>
  <si>
    <t>0                      Z  8086370F  4</t>
  </si>
  <si>
    <t>Samuel Beckett: his works and his critics; an essay in bibliography [by] Raymond Federman and John Fletcher.</t>
  </si>
  <si>
    <t>Federman, Raymond.</t>
  </si>
  <si>
    <t>Berkeley, University of California Press, 1970.</t>
  </si>
  <si>
    <t>3980121277:eng</t>
  </si>
  <si>
    <t>102394</t>
  </si>
  <si>
    <t>ocm00102394</t>
  </si>
  <si>
    <t>3000962500J</t>
  </si>
  <si>
    <t>9780520014756</t>
  </si>
  <si>
    <t>791257575</t>
  </si>
  <si>
    <t>Z8092.5 T38 2011</t>
  </si>
  <si>
    <t>0                      Z  8092500T  38          2011</t>
  </si>
  <si>
    <t>Thomas Bewick : the complete illustrative work / Nigel Tattersfield.</t>
  </si>
  <si>
    <t>Tattersfield, Nigel.</t>
  </si>
  <si>
    <t>London : British Library : Bibliographical Society ; New Castle, DE : Oak Knoll Press, 2011.</t>
  </si>
  <si>
    <t>774981313:eng</t>
  </si>
  <si>
    <t>700205619</t>
  </si>
  <si>
    <t>ocn700205619</t>
  </si>
  <si>
    <t>3103355289X</t>
  </si>
  <si>
    <t>9780712306867</t>
  </si>
  <si>
    <t>794861911</t>
  </si>
  <si>
    <t>3103355290V</t>
  </si>
  <si>
    <t>794861912</t>
  </si>
  <si>
    <t>3103355297V</t>
  </si>
  <si>
    <t>794861910</t>
  </si>
  <si>
    <t>Z8103 L39 1983</t>
  </si>
  <si>
    <t>0                      Z  8103000L  39          1983</t>
  </si>
  <si>
    <t>A catalogue of the Lawrence Lande William Blake Collection in the Department of Rare Books and Special Collections of the McGill University Libraries.</t>
  </si>
  <si>
    <t>Lawrence Lande William Blake Collection.</t>
  </si>
  <si>
    <t>Montreal : McLennan Library, 1983.</t>
  </si>
  <si>
    <t>10991172:eng</t>
  </si>
  <si>
    <t>16056686</t>
  </si>
  <si>
    <t>ocm16056686</t>
  </si>
  <si>
    <t>3000952753X</t>
  </si>
  <si>
    <t>792952741</t>
  </si>
  <si>
    <t>Z8106 S79 1995</t>
  </si>
  <si>
    <t>0                      Z  8106000S  79          1995</t>
  </si>
  <si>
    <t>Boccaccio in English : a bibliography of editions, adaptations, and criticism / F.S. Stych.</t>
  </si>
  <si>
    <t>Stych, F. S. (Franklin Samuel), 1916-</t>
  </si>
  <si>
    <t>Bibliographies and indexes in world literature, 0742-6801 ; no. 48</t>
  </si>
  <si>
    <t>2625874:eng</t>
  </si>
  <si>
    <t>31411160</t>
  </si>
  <si>
    <t>ocm31411160</t>
  </si>
  <si>
    <t>3101491218G</t>
  </si>
  <si>
    <t>9780313289675</t>
  </si>
  <si>
    <t>793360602</t>
  </si>
  <si>
    <t>Z8109.36 B42</t>
  </si>
  <si>
    <t>0                      Z  8109360B  42</t>
  </si>
  <si>
    <t>Jorge Luis Borges: bibliografía total, 1923-1973.</t>
  </si>
  <si>
    <t>Becco, Horacio Jorge, 1924-</t>
  </si>
  <si>
    <t>Buenos Aires, Casa Pardo [1973]</t>
  </si>
  <si>
    <t>2018-02-11</t>
  </si>
  <si>
    <t>2245764:spa</t>
  </si>
  <si>
    <t>1348395</t>
  </si>
  <si>
    <t>ocm01348395</t>
  </si>
  <si>
    <t>3000954487I</t>
  </si>
  <si>
    <t>791606162</t>
  </si>
  <si>
    <t>Z8109.36 B69 2010</t>
  </si>
  <si>
    <t>0                      Z  8109360B  69          2010</t>
  </si>
  <si>
    <t>Borges, libros y lecturas : catálogo de la colección Jorge Luis Borges en la Biblioteca Nacional / edición, estudio preliminar y notas, Laura Rosato y Germán Álvarez.</t>
  </si>
  <si>
    <t>Ciudad Autónoma de Buenos Aires : Ediciones Biblioteca Nacional, ©2010.</t>
  </si>
  <si>
    <t>1219231595:spa</t>
  </si>
  <si>
    <t>671251028</t>
  </si>
  <si>
    <t>ocn671251028</t>
  </si>
  <si>
    <t>31034409364</t>
  </si>
  <si>
    <t>9789879350966</t>
  </si>
  <si>
    <t>794848391</t>
  </si>
  <si>
    <t>Z8109.36 F67 1984</t>
  </si>
  <si>
    <t>0                      Z  8109360F  67          1984</t>
  </si>
  <si>
    <t>Jorge Luis Borges : an annotated primary and secondary bibliography / David William Foster ; introduction by Martin S. Stabb.</t>
  </si>
  <si>
    <t>Foster, David William.</t>
  </si>
  <si>
    <t>Garland reference library of the humanities ; vol. 439</t>
  </si>
  <si>
    <t>1809087479:eng</t>
  </si>
  <si>
    <t>10162135</t>
  </si>
  <si>
    <t>ocm10162135</t>
  </si>
  <si>
    <t>3000951977G</t>
  </si>
  <si>
    <t>9780824090753</t>
  </si>
  <si>
    <t>792712148</t>
  </si>
  <si>
    <t>Z8109.36 G54 1989</t>
  </si>
  <si>
    <t>0                      Z  8109360G  54          1989</t>
  </si>
  <si>
    <t>Borgesiana : catálogo bibliográfico de Jorge Luis Borges, 1923-1989 / recopilación y ordenamiento, José Gilardoni ; prólogo, Antonio Fernández Ferrer.</t>
  </si>
  <si>
    <t>Gilardoni, José, 1931-</t>
  </si>
  <si>
    <t>Buenos Aires : Catedral al Sur Editores, ©1989.</t>
  </si>
  <si>
    <t>24754934:spa</t>
  </si>
  <si>
    <t>23602238</t>
  </si>
  <si>
    <t>ocm23602238</t>
  </si>
  <si>
    <t>3103736263M</t>
  </si>
  <si>
    <t>9789504326786</t>
  </si>
  <si>
    <t>793177520</t>
  </si>
  <si>
    <t>Z8109.36 L63 1993</t>
  </si>
  <si>
    <t>0                      Z  8109360L  63          1993</t>
  </si>
  <si>
    <t>A descriptive catalogue of the Jorge Luis Borges collection at the University of Virginia Library / by C. Jared Loewenstein.</t>
  </si>
  <si>
    <t>Loewenstein, C. Jared.</t>
  </si>
  <si>
    <t>Charlottesville, VA : University Press of Virginia, 1993.</t>
  </si>
  <si>
    <t>26540354:eng</t>
  </si>
  <si>
    <t>24468294</t>
  </si>
  <si>
    <t>ocm24468294</t>
  </si>
  <si>
    <t>31012434371</t>
  </si>
  <si>
    <t>9780813913339</t>
  </si>
  <si>
    <t>793198906</t>
  </si>
  <si>
    <t>Z8115.64 K629 2018</t>
  </si>
  <si>
    <t>0                      Z  8115640K  629         2018</t>
  </si>
  <si>
    <t>Sebastian Brant Bibliographie : Forschungsliteratur bis 2016 / Joachim Knape, Thomas Wilhelmi ; unter Mitarbeit von Gloria Röpke-Marfurt und mit einem Beitrag von Nikolaus Henkel.</t>
  </si>
  <si>
    <t>Gratia : Tübinger Schriften zur Renaissanceforschung und Kulturwissenschaft, 0343-1258 ; Band 63</t>
  </si>
  <si>
    <t>8865617608:ger</t>
  </si>
  <si>
    <t>1079851201</t>
  </si>
  <si>
    <t>on1079851201</t>
  </si>
  <si>
    <t>3103785185S</t>
  </si>
  <si>
    <t>9783447111522</t>
  </si>
  <si>
    <t>795068365</t>
  </si>
  <si>
    <t>Z8124.18 D6 1981</t>
  </si>
  <si>
    <t>0                      Z  8124180D  6           1981</t>
  </si>
  <si>
    <t>Sir Thomas Browne and Robert Burton : a reference guide / Dennis G. Donovan, Magaretha G. Hartley Herman, Ann E. Imbrie.</t>
  </si>
  <si>
    <t>Donovan, Dennis G.</t>
  </si>
  <si>
    <t>Boston, Mass. : G.K. Hall, ©1981.</t>
  </si>
  <si>
    <t>309074055:eng</t>
  </si>
  <si>
    <t>7553925</t>
  </si>
  <si>
    <t>ocm07553925</t>
  </si>
  <si>
    <t>3000950768U</t>
  </si>
  <si>
    <t>9780816180189</t>
  </si>
  <si>
    <t>792565468</t>
  </si>
  <si>
    <t>Z8124.18 K44 1968</t>
  </si>
  <si>
    <t>0                      Z  8124180K  44          1968</t>
  </si>
  <si>
    <t>A bibliography of Sir Thomas Browne Kt. M.D., by Geoffrey Keynes.</t>
  </si>
  <si>
    <t>Oxford, Clarendon P., 1968.</t>
  </si>
  <si>
    <t>2nd ed. rev. and augmented.</t>
  </si>
  <si>
    <t>3740813094:eng</t>
  </si>
  <si>
    <t>463302</t>
  </si>
  <si>
    <t>ocm00463302</t>
  </si>
  <si>
    <t>3000961886D</t>
  </si>
  <si>
    <t>9780198181309</t>
  </si>
  <si>
    <t>791385291</t>
  </si>
  <si>
    <t>Z8136.3 C66 1988</t>
  </si>
  <si>
    <t>0                      Z  8136300C  66          1988</t>
  </si>
  <si>
    <t>Robert Burton and the Anatomy of melancholy : an annotated bibliography of primary and secondary sources / compiled by Joey Conn.</t>
  </si>
  <si>
    <t>Conn, Joey.</t>
  </si>
  <si>
    <t>Bibliographies and indexes in world literature, 0742-6801 ; no. 15</t>
  </si>
  <si>
    <t>836726245:eng</t>
  </si>
  <si>
    <t>18497814</t>
  </si>
  <si>
    <t>ocm18497814</t>
  </si>
  <si>
    <t>3000964478D</t>
  </si>
  <si>
    <t>9780313260476</t>
  </si>
  <si>
    <t>793027326</t>
  </si>
  <si>
    <t>Z8139.9 R6 1982</t>
  </si>
  <si>
    <t>0                      Z  8139900R  6           1982</t>
  </si>
  <si>
    <t>George Washington Cable, an annotated bibliography / by William H. Roberson.</t>
  </si>
  <si>
    <t>Roberson, William H.</t>
  </si>
  <si>
    <t>Metuchen, N.J. : Scarecrow Press, 1982.</t>
  </si>
  <si>
    <t>The Scarecrow author bibliographies ; no. 62</t>
  </si>
  <si>
    <t>469992:eng</t>
  </si>
  <si>
    <t>8219522</t>
  </si>
  <si>
    <t>ocm08219522</t>
  </si>
  <si>
    <t>30009518414</t>
  </si>
  <si>
    <t>9780810815377</t>
  </si>
  <si>
    <t>792606077</t>
  </si>
  <si>
    <t>Z8142.4 M35 2014</t>
  </si>
  <si>
    <t>0                      Z  8142400M  35          2014</t>
  </si>
  <si>
    <t>L'avventura dei Canti orfici : un libro tra storia e mito / Roberto Maini, Piero Scapecchi ; con una lettera inedita di Dino Campana ; e un racconto di Marco Vichi.</t>
  </si>
  <si>
    <t>Maini, Roberto.</t>
  </si>
  <si>
    <t>Firenze : Gonnelli, 2014.</t>
  </si>
  <si>
    <t>2484413462:ita</t>
  </si>
  <si>
    <t>903942294</t>
  </si>
  <si>
    <t>ocn903942294</t>
  </si>
  <si>
    <t>3103621351Q</t>
  </si>
  <si>
    <t>9788874680429</t>
  </si>
  <si>
    <t>794989843</t>
  </si>
  <si>
    <t>Z8153.8 K5</t>
  </si>
  <si>
    <t>0                      Z  8153800K  5</t>
  </si>
  <si>
    <t>Bibliografia degli scritti di Ernst Cassirer / Raymond Klibansky.</t>
  </si>
  <si>
    <t>Klibansky, Raymond, 1905-2005.</t>
  </si>
  <si>
    <t>Firence : La Nuova Italia, 1981.</t>
  </si>
  <si>
    <t>3400261:ita</t>
  </si>
  <si>
    <t>61538018</t>
  </si>
  <si>
    <t>ocm61538018</t>
  </si>
  <si>
    <t>3000950811I</t>
  </si>
  <si>
    <t>793969312</t>
  </si>
  <si>
    <t>Z8157.47 B46 2015</t>
  </si>
  <si>
    <t>0                      Z  8157470B  46          2015</t>
  </si>
  <si>
    <t>Bibliographie internationale de l'œuvre de Louis-Ferdinand Céline / Alain de Benoist.</t>
  </si>
  <si>
    <t>Benoist, Alain de, author.</t>
  </si>
  <si>
    <t>Paris : Pierre-Guillaume de Roux, [2015]</t>
  </si>
  <si>
    <t>2749473315:fre</t>
  </si>
  <si>
    <t>921506335</t>
  </si>
  <si>
    <t>ocn921506335</t>
  </si>
  <si>
    <t>31036236077</t>
  </si>
  <si>
    <t>9782363711380</t>
  </si>
  <si>
    <t>795003229</t>
  </si>
  <si>
    <t>Z8157.47 D3</t>
  </si>
  <si>
    <t>0                      Z  8157470D  3</t>
  </si>
  <si>
    <t>L.-F. Céline, essai sur la bibliographie des études en langue française consacrées à Louis-Ferdinand Céline / par Jean-Pierre Dauphin.</t>
  </si>
  <si>
    <t>Dauphin, Jean Pierre.</t>
  </si>
  <si>
    <t>Paris : Lettres modernes Minard, 1977-</t>
  </si>
  <si>
    <t>Calepins de bibliographie ; no 6</t>
  </si>
  <si>
    <t>2015-10-14</t>
  </si>
  <si>
    <t>309257539:fre</t>
  </si>
  <si>
    <t>427247761</t>
  </si>
  <si>
    <t>ocn427247761</t>
  </si>
  <si>
    <t>30009560291</t>
  </si>
  <si>
    <t>9782256998911</t>
  </si>
  <si>
    <t>794552530</t>
  </si>
  <si>
    <t>Z8157.47 D38 1985</t>
  </si>
  <si>
    <t>0                      Z  8157470D  38          1985</t>
  </si>
  <si>
    <t>Bibliographie des écrits de Louis-Ferdinand Céline : 1918-1984 / par Jean-Pierre Dauphin &amp; Pascal Fouché.</t>
  </si>
  <si>
    <t>Paris : Bibliothèque de littérature française contemporaine de l'Université Paris 7, ©1985.</t>
  </si>
  <si>
    <t>Le Graphomane, 0767-1733 ; 1</t>
  </si>
  <si>
    <t>11386171:fre</t>
  </si>
  <si>
    <t>13424032</t>
  </si>
  <si>
    <t>ocm13424032</t>
  </si>
  <si>
    <t>3000952965I</t>
  </si>
  <si>
    <t>792852807</t>
  </si>
  <si>
    <t>Z8158 F47 1995</t>
  </si>
  <si>
    <t>0                      Z  8158000F  47          1995</t>
  </si>
  <si>
    <t>Bibliografía del Quijote por unidades narrativas y materiales de la novela / Jaime Fernández.</t>
  </si>
  <si>
    <t>Fernández S., Jaime Antonio.</t>
  </si>
  <si>
    <t>Alcalá de Henares [Spain] : Centro de Estudios Cervantinos, [1995]</t>
  </si>
  <si>
    <t>144072439:spa</t>
  </si>
  <si>
    <t>34143813</t>
  </si>
  <si>
    <t>ocm34143813</t>
  </si>
  <si>
    <t>3101702825N</t>
  </si>
  <si>
    <t>9788488333124</t>
  </si>
  <si>
    <t>793420080</t>
  </si>
  <si>
    <t>Z8158 S96 Suppl.</t>
  </si>
  <si>
    <t>0                      Z  8158000S  96                                                      Suppl.</t>
  </si>
  <si>
    <t>Bibliografía crítica de ediciones del Quijote, impresas desde 1605 hasta 1917, recopiladas y descritas por Juan Suñé Benages y Juan Suñé Fonbuena; continuada hasta 1937 por el primero de los citados autores y ahora redactada por J.D.M. Ford y C.T. Keller.</t>
  </si>
  <si>
    <t>Suñé Benages, Juan, approximately 1865-1938.</t>
  </si>
  <si>
    <t>Cambridge, Harvard University Press; London, H. Milford, Oxford University Press, 1939.</t>
  </si>
  <si>
    <t>42267186:spa</t>
  </si>
  <si>
    <t>1804998</t>
  </si>
  <si>
    <t>ocm01804998</t>
  </si>
  <si>
    <t>3000956455L</t>
  </si>
  <si>
    <t>791991904</t>
  </si>
  <si>
    <t>Z8158 V3</t>
  </si>
  <si>
    <t>0                      Z  8158000V  3</t>
  </si>
  <si>
    <t>Bibliografía cervantina en la América Española.</t>
  </si>
  <si>
    <t>Valle, Rafael Heliodoro, 1891-1959.</t>
  </si>
  <si>
    <t>México, Impr. Universitaria, 1950.</t>
  </si>
  <si>
    <t>1682735:spa</t>
  </si>
  <si>
    <t>619373</t>
  </si>
  <si>
    <t>ocm00619373</t>
  </si>
  <si>
    <t>30009508249</t>
  </si>
  <si>
    <t>791429842</t>
  </si>
  <si>
    <t>Z8164 A56 2016</t>
  </si>
  <si>
    <t>0                      Z  8164000A  56          2016</t>
  </si>
  <si>
    <t>Annotated Chaucer bibliography : 1997-2010 / edited by Mark Allen and Stephanie Amsel.</t>
  </si>
  <si>
    <t>Manchester : Manchester University Press, [2016]</t>
  </si>
  <si>
    <t>Manchester medieval literature and culture</t>
  </si>
  <si>
    <t>2783122294:eng</t>
  </si>
  <si>
    <t>926875638</t>
  </si>
  <si>
    <t>ocn926875638</t>
  </si>
  <si>
    <t>3103653889R</t>
  </si>
  <si>
    <t>9780719096099</t>
  </si>
  <si>
    <t>795005561</t>
  </si>
  <si>
    <t>Z8165.4 M4 1985</t>
  </si>
  <si>
    <t>0                      Z  8165400M  4           1985</t>
  </si>
  <si>
    <t>Chekhov bibliography : works in English by and about Anton Chekov ; American, British, and Canadian performances / by Charles W. Meister.</t>
  </si>
  <si>
    <t>Meister, Charles W., 1917-</t>
  </si>
  <si>
    <t>Jefferson, N.C. : McFarland, ©1985.</t>
  </si>
  <si>
    <t>457012073:eng</t>
  </si>
  <si>
    <t>11814107</t>
  </si>
  <si>
    <t>ocm11814107</t>
  </si>
  <si>
    <t>3000953029G</t>
  </si>
  <si>
    <t>9780899501543</t>
  </si>
  <si>
    <t>792789198</t>
  </si>
  <si>
    <t>Z8195.28 A68 2014</t>
  </si>
  <si>
    <t>0                      Z  8195280A  68          2014</t>
  </si>
  <si>
    <t>Todo Cortázar : bio-bibliografía / Lucio Aquilanti, Federico Barea.</t>
  </si>
  <si>
    <t>Aquilanti, Lucio, 1969- compiler.</t>
  </si>
  <si>
    <t>[Buenos Aires] : Fernández Blanco : Aquilanti, junio de 2014.</t>
  </si>
  <si>
    <t>Primera edición, segunda impresión corregida y aumentada.</t>
  </si>
  <si>
    <t>2246614408:spa</t>
  </si>
  <si>
    <t>890392565</t>
  </si>
  <si>
    <t>ocn890392565</t>
  </si>
  <si>
    <t>3103586075A</t>
  </si>
  <si>
    <t>9789873352737</t>
  </si>
  <si>
    <t>794979177</t>
  </si>
  <si>
    <t>Z8198.4 M42</t>
  </si>
  <si>
    <t>0                      Z  8198400M  42</t>
  </si>
  <si>
    <t>A bibliography of first editions of books illustrated by Walter Crane / by Gertrude C.E. Massé ; with a preface by Heywood Sumner ; and a frontispiece after G.F. Watts.</t>
  </si>
  <si>
    <t>Massé, Gertrude C. E.</t>
  </si>
  <si>
    <t>London : Chelsea Pub. Co., 1923.</t>
  </si>
  <si>
    <t>2728122:eng</t>
  </si>
  <si>
    <t>1871203</t>
  </si>
  <si>
    <t>ocm01871203</t>
  </si>
  <si>
    <t>3000649313G</t>
  </si>
  <si>
    <t>792003102</t>
  </si>
  <si>
    <t>Z8215 D36 2010</t>
  </si>
  <si>
    <t>0                      Z  8215000D  36          2010</t>
  </si>
  <si>
    <t>Dante e l'Islam : incontri di civiltà / [testi catalogo, Giovanni Curatola and others].</t>
  </si>
  <si>
    <t>Milano : Biblioteca di via Senato, ©2010.</t>
  </si>
  <si>
    <t>770559183:ita</t>
  </si>
  <si>
    <t>697263478</t>
  </si>
  <si>
    <t>ocn697263478</t>
  </si>
  <si>
    <t>3103125276P</t>
  </si>
  <si>
    <t>9788896040058</t>
  </si>
  <si>
    <t>794859762</t>
  </si>
  <si>
    <t>Z8215 D365 2011</t>
  </si>
  <si>
    <t>0                      Z  8215000D  365         2011</t>
  </si>
  <si>
    <t>Dante poeta e italiano : legato con amore in un volume : mostra di manoscritti e stampe antiche della raccolta di Livio Ambrogio : Roma, Palazzo Incontro, 21 giugno-31 luglio 2011 : catalogo / promossa da Casa di Dante in Roma, Centro Pio Rajna ; a cura di Livio Ambrogio [and others].</t>
  </si>
  <si>
    <t>Roma : Salerno, 2011.</t>
  </si>
  <si>
    <t>1055346045:ita</t>
  </si>
  <si>
    <t>764331745</t>
  </si>
  <si>
    <t>ocn764331745</t>
  </si>
  <si>
    <t>3103125629N</t>
  </si>
  <si>
    <t>9788884027337</t>
  </si>
  <si>
    <t>794900321</t>
  </si>
  <si>
    <t>Z8215 D37 2005</t>
  </si>
  <si>
    <t>0                      Z  8215000D  37          2005</t>
  </si>
  <si>
    <t>Dantis Alagherii Comedia : appendice bibliografica, 1988-2000 / per cura di Federico Sanguineti.</t>
  </si>
  <si>
    <t>Firenze : Galluzzo per la Fondazione Ezio Franceschini, 2005.</t>
  </si>
  <si>
    <t>Archivio romanzo ; 6</t>
  </si>
  <si>
    <t>4663478104:ita</t>
  </si>
  <si>
    <t>64672585</t>
  </si>
  <si>
    <t>ocm64672585</t>
  </si>
  <si>
    <t>3103059025G</t>
  </si>
  <si>
    <t>9788884501448</t>
  </si>
  <si>
    <t>794131339</t>
  </si>
  <si>
    <t>Z8215 P37 2014</t>
  </si>
  <si>
    <t>0                      Z  8215000P  37          2014</t>
  </si>
  <si>
    <t>Alcune edizioni a stampa della Commedia di Dante dal '400 al '700 / Giuseppe Papale.</t>
  </si>
  <si>
    <t>Papale, Giuseppe, 1983-</t>
  </si>
  <si>
    <t>[Caserta, Italy] : Spring, ©2014.</t>
  </si>
  <si>
    <t>2534208807:ita</t>
  </si>
  <si>
    <t>904251353</t>
  </si>
  <si>
    <t>ocn904251353</t>
  </si>
  <si>
    <t>3103621375C</t>
  </si>
  <si>
    <t>9788897033097</t>
  </si>
  <si>
    <t>794990228</t>
  </si>
  <si>
    <t>Z8218.5 S63 2014</t>
  </si>
  <si>
    <t>0                      Z  8218500S  63          2014</t>
  </si>
  <si>
    <t>A bibliography of Robertson Davies / Carl Spadoni and Judith Skelton Grant.</t>
  </si>
  <si>
    <t>Spadoni, Carl.</t>
  </si>
  <si>
    <t>Toronto ; Buffalo : University of Toronto Press, ©2014.</t>
  </si>
  <si>
    <t>1412720341:eng</t>
  </si>
  <si>
    <t>862039350</t>
  </si>
  <si>
    <t>ocn862039350</t>
  </si>
  <si>
    <t>31034947434</t>
  </si>
  <si>
    <t>9780802039385</t>
  </si>
  <si>
    <t>794959836</t>
  </si>
  <si>
    <t>Z8220.9 S48 1995</t>
  </si>
  <si>
    <t>0                      Z  8220900S  48          1995</t>
  </si>
  <si>
    <t>John Dee : the politics of reading and writing in the English Renaissance / William H. Sherman.</t>
  </si>
  <si>
    <t>Sherman, William H. (William Howard)</t>
  </si>
  <si>
    <t>Amherst : University of Massachusetts Press, ©1995.</t>
  </si>
  <si>
    <t>Massachusetts studies in early modern culture</t>
  </si>
  <si>
    <t>799739027:eng</t>
  </si>
  <si>
    <t>30671366</t>
  </si>
  <si>
    <t>ocm30671366</t>
  </si>
  <si>
    <t>3101749038O</t>
  </si>
  <si>
    <t>9780870239403</t>
  </si>
  <si>
    <t>793342043</t>
  </si>
  <si>
    <t>Z8227.7 G8x</t>
  </si>
  <si>
    <t>0                      Z  8227700G  8x</t>
  </si>
  <si>
    <t>Bibliographie des œuvres de René Descartes publiées au XVIIe siècle / A.J. Guibert.</t>
  </si>
  <si>
    <t>Guibert, A.-J. (Albert-Jean), author.</t>
  </si>
  <si>
    <t>Paris : Éditions du Centre National de la Recherche Scientifique, 1976.</t>
  </si>
  <si>
    <t>3855993932:fre</t>
  </si>
  <si>
    <t>2852766</t>
  </si>
  <si>
    <t>ocm02852766</t>
  </si>
  <si>
    <t>3000955562P</t>
  </si>
  <si>
    <t>9782222019053</t>
  </si>
  <si>
    <t>792185131</t>
  </si>
  <si>
    <t>Z8227.7 K55 1970</t>
  </si>
  <si>
    <t>0                      Z  8227700K  55          1970</t>
  </si>
  <si>
    <t>Descartes, a selected bibliography / by Raymond Klibansky.</t>
  </si>
  <si>
    <t>[Place of publication not identified] : Nelson, 1970.</t>
  </si>
  <si>
    <t>2017-08-10</t>
  </si>
  <si>
    <t>314812263:eng</t>
  </si>
  <si>
    <t>427309697</t>
  </si>
  <si>
    <t>ocn427309697</t>
  </si>
  <si>
    <t>3000951846V</t>
  </si>
  <si>
    <t>794580308</t>
  </si>
  <si>
    <t>Z8230 B78 1984</t>
  </si>
  <si>
    <t>0                      Z  8230000B  78          1984</t>
  </si>
  <si>
    <t>Our mutual friend : an annotated bibliography / Joel J. Brattin, Bert G. Hornback.</t>
  </si>
  <si>
    <t>Brattin, Joel J., 1956-</t>
  </si>
  <si>
    <t>The Garland Dickens bibliographies ; vol. 1</t>
  </si>
  <si>
    <t>2286626392:eng</t>
  </si>
  <si>
    <t>10777165</t>
  </si>
  <si>
    <t>ocm10777165</t>
  </si>
  <si>
    <t>3000952483$</t>
  </si>
  <si>
    <t>9780824089863</t>
  </si>
  <si>
    <t>792742467</t>
  </si>
  <si>
    <t>Z8230 E5 1990</t>
  </si>
  <si>
    <t>0                      Z  8230000E  5           1990</t>
  </si>
  <si>
    <t>Pickwick papers, an annotated bibliography / Elliot Engel.</t>
  </si>
  <si>
    <t>Engel, Elliot, 1948-</t>
  </si>
  <si>
    <t>The Garland Dickens bibliographies ; vol. 7</t>
  </si>
  <si>
    <t>2812932:eng</t>
  </si>
  <si>
    <t>20823328</t>
  </si>
  <si>
    <t>ocm20823328</t>
  </si>
  <si>
    <t>3100217937O</t>
  </si>
  <si>
    <t>9780824087661</t>
  </si>
  <si>
    <t>793100022</t>
  </si>
  <si>
    <t>Z8230 S65 2012</t>
  </si>
  <si>
    <t>0                      Z  8230000S  65          2012</t>
  </si>
  <si>
    <t>Charles Dickens : a bibliography of his first American editions 1836-1870 : with photographic reproductions of bindings and title pages : the novels, with sketches by Boz / by Walter E. Smith.</t>
  </si>
  <si>
    <t>Smith, Walter E., 1930-</t>
  </si>
  <si>
    <t>Calabasas, CA : David Brass Rare Books, 2012.</t>
  </si>
  <si>
    <t>1218452097:eng</t>
  </si>
  <si>
    <t>810123175</t>
  </si>
  <si>
    <t>ocn810123175</t>
  </si>
  <si>
    <t>31035673649</t>
  </si>
  <si>
    <t>9780615649030</t>
  </si>
  <si>
    <t>794929178</t>
  </si>
  <si>
    <t>Z8230.5 D8</t>
  </si>
  <si>
    <t>0                      Z  8230500D  8</t>
  </si>
  <si>
    <t>The poems of Emily Dickinson : an annotated guide to commentary published in English, 1890-1977 / Joseph Duchac.</t>
  </si>
  <si>
    <t>Duchac, Joseph.</t>
  </si>
  <si>
    <t>Boston : G.K. Hall, ©1979.</t>
  </si>
  <si>
    <t>A Reference publication in literature</t>
  </si>
  <si>
    <t>907052401:eng</t>
  </si>
  <si>
    <t>4883123</t>
  </si>
  <si>
    <t>ocm04883123</t>
  </si>
  <si>
    <t>30009562235</t>
  </si>
  <si>
    <t>9780816178308</t>
  </si>
  <si>
    <t>792390750</t>
  </si>
  <si>
    <t>Z8230.5 D83 1993</t>
  </si>
  <si>
    <t>0                      Z  8230500D  83          1993</t>
  </si>
  <si>
    <t>The poems of Emily Dickinson : an annotated guide to commentary published in English, 1978-1989 / Joseph Duchac.</t>
  </si>
  <si>
    <t>Duchac, Joseph, compiler.</t>
  </si>
  <si>
    <t>New York : G.K. Hall ; Toronto : Maxwell Macmillan Canada ; New York : Maxwell Macmillan International, [1993]</t>
  </si>
  <si>
    <t>10076454849:eng</t>
  </si>
  <si>
    <t>26547919</t>
  </si>
  <si>
    <t>ocm26547919</t>
  </si>
  <si>
    <t>31012426433</t>
  </si>
  <si>
    <t>9780816173525</t>
  </si>
  <si>
    <t>793246747</t>
  </si>
  <si>
    <t>Z8234.8 W724</t>
  </si>
  <si>
    <t>0                      Z  8234800W  724</t>
  </si>
  <si>
    <t>A handbook of the literature of the Rev. C.L. Dodgson (Lewis Carroll) by Sidney Herbert Williams ... and Falconer Madan. With supplements and illustrations ...</t>
  </si>
  <si>
    <t>Williams, Sidney Herbert.</t>
  </si>
  <si>
    <t>London, Oxford University Press, 1931.</t>
  </si>
  <si>
    <t>2180709:eng</t>
  </si>
  <si>
    <t>35605394</t>
  </si>
  <si>
    <t>ocm35605394</t>
  </si>
  <si>
    <t>3000787497X</t>
  </si>
  <si>
    <t>793453275</t>
  </si>
  <si>
    <t>Z8235.25 L6</t>
  </si>
  <si>
    <t>0                      Z  8235250L  6</t>
  </si>
  <si>
    <t>Bibliographie des œuvres d'Etienne Dolet : écrivain, éditeur et imprimeur / Claude Longeon.</t>
  </si>
  <si>
    <t>Longeon, Claude, 1941-1989.</t>
  </si>
  <si>
    <t>Genève : Droz, 1980.</t>
  </si>
  <si>
    <t>Travaux d'humanisme et Renaissance ; 174</t>
  </si>
  <si>
    <t>505594238:fre</t>
  </si>
  <si>
    <t>6861923</t>
  </si>
  <si>
    <t>ocm06861923</t>
  </si>
  <si>
    <t>30009547023</t>
  </si>
  <si>
    <t>792527152</t>
  </si>
  <si>
    <t>Z8235.7 B37 2000</t>
  </si>
  <si>
    <t>0                      Z  8235700B  37          2000</t>
  </si>
  <si>
    <t>La forza della nonviolenza : bibliografia e profilo biografico di Danilo Dolci / Giuseppe Barone ; con una nota di Norberto Bobbio e tre foto di Enzo Sellerio.</t>
  </si>
  <si>
    <t>Barone, Giuseppe, 1947-</t>
  </si>
  <si>
    <t>Napoli : Libreria Dante &amp; Descartes, ©2000.</t>
  </si>
  <si>
    <t>436805875:ita</t>
  </si>
  <si>
    <t>45819970</t>
  </si>
  <si>
    <t>ocm45819970</t>
  </si>
  <si>
    <t>3102110140J</t>
  </si>
  <si>
    <t>9788888142012</t>
  </si>
  <si>
    <t>793678841</t>
  </si>
  <si>
    <t>Z8237 R63 1982</t>
  </si>
  <si>
    <t>0                      Z  8237000R  63          1982</t>
  </si>
  <si>
    <t>John Donne, an annotated bibliography of modern criticism, 1968-1978 / John R. Roberts.</t>
  </si>
  <si>
    <t>Roberts, John Richard.</t>
  </si>
  <si>
    <t>Columbia : University of Missouri Press, 1982.</t>
  </si>
  <si>
    <t>3856231371:eng</t>
  </si>
  <si>
    <t>8168995</t>
  </si>
  <si>
    <t>ocm08168995</t>
  </si>
  <si>
    <t>3000951182I</t>
  </si>
  <si>
    <t>9780826203649</t>
  </si>
  <si>
    <t>792602982</t>
  </si>
  <si>
    <t>Z8237 S85 1993</t>
  </si>
  <si>
    <t>0                      Z  8237000S  85          1993</t>
  </si>
  <si>
    <t>The influence of John Donne : his uncollected seventeenth-century printed verse / Ernest W. Sullivan, II.</t>
  </si>
  <si>
    <t>Sullivan, Ernest W., author.</t>
  </si>
  <si>
    <t>Columbia : University of Missouri Press, ©1993.</t>
  </si>
  <si>
    <t>356684:eng</t>
  </si>
  <si>
    <t>27432288</t>
  </si>
  <si>
    <t>ocm27432288</t>
  </si>
  <si>
    <t>3101273520X</t>
  </si>
  <si>
    <t>9780826208927</t>
  </si>
  <si>
    <t>793266612</t>
  </si>
  <si>
    <t>Z8237.4 B68 1993</t>
  </si>
  <si>
    <t>0                      Z  8237400B  68          1993</t>
  </si>
  <si>
    <t>H.D. : a bibliography, 1905-1990 / Michael Boughn.</t>
  </si>
  <si>
    <t>Boughn, Michael.</t>
  </si>
  <si>
    <t>Charlottesville : Published for the Bibliographical Society of the University of Virginia by the University Press of Virginia, 1993.</t>
  </si>
  <si>
    <t>Linton R. Massey descriptive bibliography.</t>
  </si>
  <si>
    <t>2015-05-15</t>
  </si>
  <si>
    <t>365390039:eng</t>
  </si>
  <si>
    <t>26398492</t>
  </si>
  <si>
    <t>ocm26398492</t>
  </si>
  <si>
    <t>31013804966</t>
  </si>
  <si>
    <t>9780813914121</t>
  </si>
  <si>
    <t>793243910</t>
  </si>
  <si>
    <t>Z8244 M14</t>
  </si>
  <si>
    <t>0                      Z  8244000M  14</t>
  </si>
  <si>
    <t>John Dryden : a bibliography of early editions and of Drydeniana / by Hugh Macdonald.</t>
  </si>
  <si>
    <t>Macdonald, Hugh, 1885-1958.</t>
  </si>
  <si>
    <t>Oxford : Clarendon Press, 1939.</t>
  </si>
  <si>
    <t>344225773:eng</t>
  </si>
  <si>
    <t>1239174</t>
  </si>
  <si>
    <t>ocm01239174</t>
  </si>
  <si>
    <t>3000955447P</t>
  </si>
  <si>
    <t>791580718</t>
  </si>
  <si>
    <t>Z8244.4 B45 1998</t>
  </si>
  <si>
    <t>0                      Z  8244400B  45          1998</t>
  </si>
  <si>
    <t>Du Bartas / Yvonne Bellenger et Jean-Claude Ternaux.</t>
  </si>
  <si>
    <t>Bellenger, Yvonne.</t>
  </si>
  <si>
    <t>Paris : Memini, 1998.</t>
  </si>
  <si>
    <t>Bibliographie des écrivains français ; 12</t>
  </si>
  <si>
    <t>5091126690:fre</t>
  </si>
  <si>
    <t>39103528</t>
  </si>
  <si>
    <t>ocm39103528</t>
  </si>
  <si>
    <t>31022838060</t>
  </si>
  <si>
    <t>9788886609135</t>
  </si>
  <si>
    <t>793538108</t>
  </si>
  <si>
    <t>Z8246.7 S3</t>
  </si>
  <si>
    <t>0                      Z  8246700S  3</t>
  </si>
  <si>
    <t>Les écrits de Georges Duhamel, essai de bibliographie générale. Préf. de Georges Duhamel; ports. inédits de Henri Doucet et Berthold Mahn.</t>
  </si>
  <si>
    <t>Saurin, Marcel.</t>
  </si>
  <si>
    <t>Paris, Mercure de France, 1951.</t>
  </si>
  <si>
    <t>365294711:fre</t>
  </si>
  <si>
    <t>608776</t>
  </si>
  <si>
    <t>ocm00608776</t>
  </si>
  <si>
    <t>30009555976</t>
  </si>
  <si>
    <t>791427264</t>
  </si>
  <si>
    <t>Z8247 M87 1985</t>
  </si>
  <si>
    <t>0                      Z  8247000M  87          1985</t>
  </si>
  <si>
    <t>Alexandre Dumas père : a secondary bibliography of French and English sources to 1983, with appendices / Douglas Munro.</t>
  </si>
  <si>
    <t>Munro, Douglas.</t>
  </si>
  <si>
    <t>Garland reference library of the humanities ; vol. 512</t>
  </si>
  <si>
    <t>4077756:eng</t>
  </si>
  <si>
    <t>11134238</t>
  </si>
  <si>
    <t>ocm11134238</t>
  </si>
  <si>
    <t>3000952531E</t>
  </si>
  <si>
    <t>9780824088989</t>
  </si>
  <si>
    <t>792759709</t>
  </si>
  <si>
    <t>Z8260.5 B55 1996</t>
  </si>
  <si>
    <t>0                      Z  8260500B  55          1996</t>
  </si>
  <si>
    <t>Guide to the secular poetry of T.S. Eliot / Susan E. Blalock.</t>
  </si>
  <si>
    <t>Blalock, Susan E.</t>
  </si>
  <si>
    <t>New York : G.K. Hall ; London : Prentice Hall International, ©1996.</t>
  </si>
  <si>
    <t>A reference publication in literature</t>
  </si>
  <si>
    <t>40574595:eng</t>
  </si>
  <si>
    <t>34546252</t>
  </si>
  <si>
    <t>ocm34546252</t>
  </si>
  <si>
    <t>3101824726X</t>
  </si>
  <si>
    <t>9780816173419</t>
  </si>
  <si>
    <t>793429384</t>
  </si>
  <si>
    <t>Z8260.5 K56 1992</t>
  </si>
  <si>
    <t>0                      Z  8260500K  56          1992</t>
  </si>
  <si>
    <t>T.S. Eliot, man and poet. Vol. 2, An annotated bibliography of a decade of T.S. Eliot criticism: 1977-1986 / compiled and annotated by Sebastian D.G. Knowles and Scott A. Leonard.</t>
  </si>
  <si>
    <t>Knowles, Sebastian D. G.</t>
  </si>
  <si>
    <t>Orono, Me. : National Poetry Foundation, University of Maine, 1992.</t>
  </si>
  <si>
    <t>The man/woman and poet series</t>
  </si>
  <si>
    <t>5610564511:eng</t>
  </si>
  <si>
    <t>230095137</t>
  </si>
  <si>
    <t>ocn230095137</t>
  </si>
  <si>
    <t>3101338787M</t>
  </si>
  <si>
    <t>9780943373119</t>
  </si>
  <si>
    <t>794354538</t>
  </si>
  <si>
    <t>Z8260.5 M3</t>
  </si>
  <si>
    <t>0                      Z  8260500M  3</t>
  </si>
  <si>
    <t>A half-century of Eliot criticism; an annotated bibliography of books and articles in English, 1916-1965.</t>
  </si>
  <si>
    <t>Martin, Mildred, 1904-1995.</t>
  </si>
  <si>
    <t>Lewisburg, Bucknell University Press [1972]</t>
  </si>
  <si>
    <t>365159560:eng</t>
  </si>
  <si>
    <t>267895</t>
  </si>
  <si>
    <t>ocm00267895</t>
  </si>
  <si>
    <t>3000960149F</t>
  </si>
  <si>
    <t>9780838778081</t>
  </si>
  <si>
    <t>791317132</t>
  </si>
  <si>
    <t>Z8260.5 M32</t>
  </si>
  <si>
    <t>0                      Z  8260500M  32</t>
  </si>
  <si>
    <t>T.S. Eliot criticism in English, 1916-1965 : a supplementary bibliography / compiled by Mechthild and Armin Paul Frank, and K.P.S. Jochum.</t>
  </si>
  <si>
    <t>Frank, Mechthild.</t>
  </si>
  <si>
    <t>Edmonton, Alta. : Yeats Eliot Review, Dept. of English, University of Alberta, 1978.</t>
  </si>
  <si>
    <t>YER monograph series ; 1, 0704-5697</t>
  </si>
  <si>
    <t>16862910:eng</t>
  </si>
  <si>
    <t>21626877</t>
  </si>
  <si>
    <t>ocm21626877</t>
  </si>
  <si>
    <t>30009548961</t>
  </si>
  <si>
    <t>9780920556009</t>
  </si>
  <si>
    <t>793124485</t>
  </si>
  <si>
    <t>Z8260.5 R5</t>
  </si>
  <si>
    <t>0                      Z  8260500R  5</t>
  </si>
  <si>
    <t>T.S. Eliot, a bibliography of secondary works / compiled by Beatrice Ricks.</t>
  </si>
  <si>
    <t>Ricks, Beatrice.</t>
  </si>
  <si>
    <t>Scarecrow author bibliographies ; no. 45</t>
  </si>
  <si>
    <t>469432:eng</t>
  </si>
  <si>
    <t>5410682</t>
  </si>
  <si>
    <t>ocm05410682</t>
  </si>
  <si>
    <t>3000950277C</t>
  </si>
  <si>
    <t>9780810812628</t>
  </si>
  <si>
    <t>792431097</t>
  </si>
  <si>
    <t>Z8260.5 T48 1975</t>
  </si>
  <si>
    <t>0                      Z  8260500T  48          1975</t>
  </si>
  <si>
    <t>The T.S. Eliot collection of the University of Texas at Austin / compiled by Alexander Sackton.</t>
  </si>
  <si>
    <t>University of Texas at Austin. Humanities Research Center.</t>
  </si>
  <si>
    <t>Tower bibliographical series ; no. 9</t>
  </si>
  <si>
    <t>2525700:eng</t>
  </si>
  <si>
    <t>1801464</t>
  </si>
  <si>
    <t>ocm01801464</t>
  </si>
  <si>
    <t>3000953655S</t>
  </si>
  <si>
    <t>791991426</t>
  </si>
  <si>
    <t>Z8269.3 A6x</t>
  </si>
  <si>
    <t>0                      Z  8269300A  6x</t>
  </si>
  <si>
    <t>Alonso de Ercilla y Zúñiga : a basic bibliography / August J. Aquila.</t>
  </si>
  <si>
    <t>Aquila, August J.</t>
  </si>
  <si>
    <t>London : Grant and Cutler, 1975.</t>
  </si>
  <si>
    <t>Research bibliographies and checklists ; 11</t>
  </si>
  <si>
    <t>318313281:eng</t>
  </si>
  <si>
    <t>2503583</t>
  </si>
  <si>
    <t>ocm02503583</t>
  </si>
  <si>
    <t>30009571226</t>
  </si>
  <si>
    <t>9780900411939</t>
  </si>
  <si>
    <t>792136441</t>
  </si>
  <si>
    <t>Z8288 B37 2009</t>
  </si>
  <si>
    <t>0                      Z  8288000B  37          2009</t>
  </si>
  <si>
    <t>William Faulkner : an annotated bibliography of criticism since 1988 / John E. Bassett.</t>
  </si>
  <si>
    <t>Bassett, John Earl, 1942-</t>
  </si>
  <si>
    <t>3943790012:eng</t>
  </si>
  <si>
    <t>288932955</t>
  </si>
  <si>
    <t>ocn288932955</t>
  </si>
  <si>
    <t>3103079263T</t>
  </si>
  <si>
    <t>9780810867413</t>
  </si>
  <si>
    <t>794421482</t>
  </si>
  <si>
    <t>Z8288 S9 1985</t>
  </si>
  <si>
    <t>0                      Z  8288000S  9           1985</t>
  </si>
  <si>
    <t>William Faulkner's women characters : an annotated bibliography of criticism, 1930-1983 / Patricia E. Sweeney.</t>
  </si>
  <si>
    <t>Sweeney, Patricia E., 1950-</t>
  </si>
  <si>
    <t>Santa Barbara, Calif. : ABC-Clio Information Services, ©1985.</t>
  </si>
  <si>
    <t>2015-01-22</t>
  </si>
  <si>
    <t>141258782:eng</t>
  </si>
  <si>
    <t>11370980</t>
  </si>
  <si>
    <t>ocm11370980</t>
  </si>
  <si>
    <t>3000952881O</t>
  </si>
  <si>
    <t>9780874364118</t>
  </si>
  <si>
    <t>792770522</t>
  </si>
  <si>
    <t>Z8310 N53 2011</t>
  </si>
  <si>
    <t>0                      Z  8310000N  53          2011</t>
  </si>
  <si>
    <t>Bibliografia foscoliana / Giuseppe Nicoletti ; con un'appendice di testi afferenti la prima ricezione delle opere (1809-1850) e una postfazione "Della varia fortuna del Foscolo, scrittore e personaggio, nell'Italia preunitaria."</t>
  </si>
  <si>
    <t>Nicoletti, Giuseppe, 1945-</t>
  </si>
  <si>
    <t>Firenze : Le Monnier, 2011.</t>
  </si>
  <si>
    <t>Edizione nazionale delle opere di Ugo Foscolo. Appendice</t>
  </si>
  <si>
    <t>2018-03-23</t>
  </si>
  <si>
    <t>2867819750:ita</t>
  </si>
  <si>
    <t>760988790</t>
  </si>
  <si>
    <t>ocn760988790</t>
  </si>
  <si>
    <t>3103125613P</t>
  </si>
  <si>
    <t>9788800740661</t>
  </si>
  <si>
    <t>794898910</t>
  </si>
  <si>
    <t>3103125612P</t>
  </si>
  <si>
    <t>794898911</t>
  </si>
  <si>
    <t>Z8317.829 L34</t>
  </si>
  <si>
    <t>0                      Z  8317829L  34</t>
  </si>
  <si>
    <t>Roger Fry, an annotated bibliography of the published writings / Donald A. Laing.</t>
  </si>
  <si>
    <t>Laing, Donald A., 1944-</t>
  </si>
  <si>
    <t>New York : Garland Pub., 1979.</t>
  </si>
  <si>
    <t>Garland reference library of the humanities ; v. 179</t>
  </si>
  <si>
    <t>2018-05-30</t>
  </si>
  <si>
    <t>16443401:eng</t>
  </si>
  <si>
    <t>5220682</t>
  </si>
  <si>
    <t>ocm05220682</t>
  </si>
  <si>
    <t>3000950108Z</t>
  </si>
  <si>
    <t>9780824098384</t>
  </si>
  <si>
    <t>792416979</t>
  </si>
  <si>
    <t>Z8322.7 C37 1995</t>
  </si>
  <si>
    <t>0                      Z  8322700C  37          1995</t>
  </si>
  <si>
    <t>Mahatma Gandhi : a selected bibliography / April Carter.</t>
  </si>
  <si>
    <t>Carter, April.</t>
  </si>
  <si>
    <t>Bibliographies of world leaders, 1056-5523 ; no. 2</t>
  </si>
  <si>
    <t>793870520:eng</t>
  </si>
  <si>
    <t>31754903</t>
  </si>
  <si>
    <t>ocm31754903</t>
  </si>
  <si>
    <t>3101485433Z</t>
  </si>
  <si>
    <t>9780313282966</t>
  </si>
  <si>
    <t>793367359</t>
  </si>
  <si>
    <t>Z8322.7 P36 1995</t>
  </si>
  <si>
    <t>0                      Z  8322700P  36          1995</t>
  </si>
  <si>
    <t>A comprehensive, annotated bibliography on Mahatma Gandhi / compiled by Ananda M. Pandiri ; foreword by Dennis G. Dalton.</t>
  </si>
  <si>
    <t>Pandiri, Ananda M.</t>
  </si>
  <si>
    <t>Westport, Conn. : Greenwood Press, 1995-</t>
  </si>
  <si>
    <t>Bibliographies and indexes in world history, 0742-6852 ; no. 42</t>
  </si>
  <si>
    <t>16636285:eng</t>
  </si>
  <si>
    <t>32469102</t>
  </si>
  <si>
    <t>ocm32469102</t>
  </si>
  <si>
    <t>3102805967I</t>
  </si>
  <si>
    <t>9780313253379</t>
  </si>
  <si>
    <t>793385205</t>
  </si>
  <si>
    <t>3101543645A</t>
  </si>
  <si>
    <t>793385206</t>
  </si>
  <si>
    <t>Z8350 G53 2005</t>
  </si>
  <si>
    <t>0                      Z  8350000G  53          2005</t>
  </si>
  <si>
    <t>Goethe in English : a bibliography of the translations in the Twentieth Century / by Derek Glass ; [edited by Matthew Bell and Martin H. Jones].</t>
  </si>
  <si>
    <t>Glass, Derek.</t>
  </si>
  <si>
    <t>Leeds : Maney Publishing for the English Goethe Society and the Modern Humanities Research Association, 2005.</t>
  </si>
  <si>
    <t>Modern Humanities Research Association bibliographies ; 2</t>
  </si>
  <si>
    <t>905840604:eng</t>
  </si>
  <si>
    <t>60808390</t>
  </si>
  <si>
    <t>ocm60808390</t>
  </si>
  <si>
    <t>3102556192P</t>
  </si>
  <si>
    <t>9781904350323</t>
  </si>
  <si>
    <t>793944342</t>
  </si>
  <si>
    <t>Z8353 S36 1928</t>
  </si>
  <si>
    <t>0                      Z  8353000S  36          1928</t>
  </si>
  <si>
    <t>Oliver Goldsmith bibliographically and biographically considered; based on the collection of material in the library of W.M. Elkins, Esq. By Temple Scott, with an introduction by A. Edward Newton.</t>
  </si>
  <si>
    <t>Scott, Temple, 1864-1939.</t>
  </si>
  <si>
    <t>New York, Bowling Green Press, 1928.</t>
  </si>
  <si>
    <t>2018-07-27</t>
  </si>
  <si>
    <t>53990732:eng</t>
  </si>
  <si>
    <t>611017</t>
  </si>
  <si>
    <t>ocm00611017</t>
  </si>
  <si>
    <t>3000791796A</t>
  </si>
  <si>
    <t>791427839</t>
  </si>
  <si>
    <t>Z8368.987 C37</t>
  </si>
  <si>
    <t>0                      Z  8368987C  37</t>
  </si>
  <si>
    <t>Graham Greene : an annotated bibliography of criticism / by A.F. Cassis.</t>
  </si>
  <si>
    <t>Cassis, A. F.</t>
  </si>
  <si>
    <t>Metuchen, N.J. : Scarecrow Press, 1981.</t>
  </si>
  <si>
    <t>Scarecrow author bibliographies ; no. 55</t>
  </si>
  <si>
    <t>799538452:eng</t>
  </si>
  <si>
    <t>7282087</t>
  </si>
  <si>
    <t>ocm07282087</t>
  </si>
  <si>
    <t>30009507447</t>
  </si>
  <si>
    <t>9780810814189</t>
  </si>
  <si>
    <t>792551132</t>
  </si>
  <si>
    <t>Z8368.987 W57 2012</t>
  </si>
  <si>
    <t>0                      Z  8368987W  57          2012</t>
  </si>
  <si>
    <t>The works of Graham Greene / Jon Wise and Mike Hill.</t>
  </si>
  <si>
    <t>Wise, Jon.</t>
  </si>
  <si>
    <t>London ; New York : Continuum, ©2012-2015.</t>
  </si>
  <si>
    <t>1043466726:eng</t>
  </si>
  <si>
    <t>755004194</t>
  </si>
  <si>
    <t>ocn755004194</t>
  </si>
  <si>
    <t>3103423063N</t>
  </si>
  <si>
    <t>9781441199959</t>
  </si>
  <si>
    <t>794893378</t>
  </si>
  <si>
    <t>3103642785D</t>
  </si>
  <si>
    <t>794893377</t>
  </si>
  <si>
    <t>Z8374.6478 A73 1993</t>
  </si>
  <si>
    <t>0                      Z  8374000                                                           .6478 A73 1993</t>
  </si>
  <si>
    <t>The Roman de la rose : an annotated bibliography / Heather M. Arden.</t>
  </si>
  <si>
    <t>Arden, Heather, 1943-</t>
  </si>
  <si>
    <t>New York : Garland, 1993.</t>
  </si>
  <si>
    <t>Garland medieval bibliographies ; vol. 8</t>
  </si>
  <si>
    <t>807398732:eng</t>
  </si>
  <si>
    <t>27938087</t>
  </si>
  <si>
    <t>ocm27938087</t>
  </si>
  <si>
    <t>3101352279M</t>
  </si>
  <si>
    <t>9780824057992</t>
  </si>
  <si>
    <t>793275937</t>
  </si>
  <si>
    <t>Z8385.2958 S76 2016</t>
  </si>
  <si>
    <t>0                      Z  8385000                                                           .2958 S76 2016</t>
  </si>
  <si>
    <t>Handke-Bibliographien : selbständige und versteckte Bibliographien und Nachschlagewerke zu Leben und Werk / Karl F. Stock, Rudolf Heilinger, Marylène Stock.</t>
  </si>
  <si>
    <t>Stock, Karl F., author.</t>
  </si>
  <si>
    <t>3905117028:ger</t>
  </si>
  <si>
    <t>953713188</t>
  </si>
  <si>
    <t>ocn953713188</t>
  </si>
  <si>
    <t>3103663598W</t>
  </si>
  <si>
    <t>9783900818548</t>
  </si>
  <si>
    <t>795019147</t>
  </si>
  <si>
    <t>Z8385 S57 1985</t>
  </si>
  <si>
    <t>0                      Z  8385000S  57          1985</t>
  </si>
  <si>
    <t>The hard-boiled explicator : a guide to the study of Dashiell Hammett, Raymond Chandler, and Ross Macdonald / by Robert E. Skinner.</t>
  </si>
  <si>
    <t>Skinner, Robert E., 1948-</t>
  </si>
  <si>
    <t>1008475:eng</t>
  </si>
  <si>
    <t>11186233</t>
  </si>
  <si>
    <t>ocm11186233</t>
  </si>
  <si>
    <t>3000952477V</t>
  </si>
  <si>
    <t>9780810817494</t>
  </si>
  <si>
    <t>792762043</t>
  </si>
  <si>
    <t>Z8393 N4</t>
  </si>
  <si>
    <t>0                      Z  8393000N  4</t>
  </si>
  <si>
    <t>A reader's guide to the short stories of Nathaniel Hawthorne / Lea Bertani Vozar Newman.</t>
  </si>
  <si>
    <t>Newman, Lea Bertani Vozar.</t>
  </si>
  <si>
    <t>479013:eng</t>
  </si>
  <si>
    <t>5336913</t>
  </si>
  <si>
    <t>ocm05336913</t>
  </si>
  <si>
    <t>3000949947S</t>
  </si>
  <si>
    <t>9780816183982</t>
  </si>
  <si>
    <t>792426319</t>
  </si>
  <si>
    <t>Z8393.17 S64 2004</t>
  </si>
  <si>
    <t>0                      Z  8393170S  64          2004</t>
  </si>
  <si>
    <t>A bibliography of Eliza Haywood / Patrick Spedding.</t>
  </si>
  <si>
    <t>Spedding, Patrick.</t>
  </si>
  <si>
    <t>London ; Brookfied, Vt. : Pickering &amp; Chatto, 2004.</t>
  </si>
  <si>
    <t>20282437:eng</t>
  </si>
  <si>
    <t>48641569</t>
  </si>
  <si>
    <t>ocm48641569</t>
  </si>
  <si>
    <t>3102432223V</t>
  </si>
  <si>
    <t>9781851967391</t>
  </si>
  <si>
    <t>793725431</t>
  </si>
  <si>
    <t>Z8394.375 A56 2008</t>
  </si>
  <si>
    <t>0                      Z  8394375A  56          2008</t>
  </si>
  <si>
    <t>Anne Hébert : chronologie et bibliographie des livres, parties de livres, articles et autres travaux consacrés à son œuvre / sous la supervision de Nathalie Watteyne en collaboration avec Anne Ancrenat ... [et al.].</t>
  </si>
  <si>
    <t>[Montréal] : Presses de l'Université de Montréal, 2008.</t>
  </si>
  <si>
    <t>Espace littéraire</t>
  </si>
  <si>
    <t>193180986:fre</t>
  </si>
  <si>
    <t>263470727</t>
  </si>
  <si>
    <t>ocn263470727</t>
  </si>
  <si>
    <t>31027083231</t>
  </si>
  <si>
    <t>9782760621381</t>
  </si>
  <si>
    <t>794403806</t>
  </si>
  <si>
    <t>Z8394.6 G73 1986</t>
  </si>
  <si>
    <t>0                      Z  8394600G  73          1986</t>
  </si>
  <si>
    <t>Hegel, 1945-1985 : prospective bibliographique sur la présence de G.W.F. Hegel dans cinq revues canadiennes de philosophie / Claude Gratton.</t>
  </si>
  <si>
    <t>Gratton, Claude, 1959-</t>
  </si>
  <si>
    <t>Sorel, Québec : Éditions Artisanales, 1986.</t>
  </si>
  <si>
    <t>Brochures ; 4</t>
  </si>
  <si>
    <t>2018-06-21</t>
  </si>
  <si>
    <t>11640467:fre</t>
  </si>
  <si>
    <t>16183169</t>
  </si>
  <si>
    <t>ocm16183169</t>
  </si>
  <si>
    <t>31037735615</t>
  </si>
  <si>
    <t>9782920827035</t>
  </si>
  <si>
    <t>792957604</t>
  </si>
  <si>
    <t>Z8396.3 G74 2011</t>
  </si>
  <si>
    <t>0                      Z  8396300G  74          2011</t>
  </si>
  <si>
    <t>Ernest Hemingway : a descriptive bibliography / C. Edgar Grissom.</t>
  </si>
  <si>
    <t>&lt;text + 1 CD&gt;</t>
  </si>
  <si>
    <t>Grissom, C. Edgar, author.</t>
  </si>
  <si>
    <t>New Castle, DE : Oak Knoll Press, 2011.</t>
  </si>
  <si>
    <t>884278718:eng</t>
  </si>
  <si>
    <t>714505167</t>
  </si>
  <si>
    <t>ocn714505167</t>
  </si>
  <si>
    <t>3103698812D</t>
  </si>
  <si>
    <t>9781584562788</t>
  </si>
  <si>
    <t>794873400</t>
  </si>
  <si>
    <t>Z8396.3 S45 1989</t>
  </si>
  <si>
    <t>0                      Z  8396300S  45          1989</t>
  </si>
  <si>
    <t>A reader's guide to the short stories of Ernest Hemingway / Paul Smith.</t>
  </si>
  <si>
    <t>Smith, Paul, 1925-1996.</t>
  </si>
  <si>
    <t>Boston, Mass. : G.K. Hall, ©1989.</t>
  </si>
  <si>
    <t>2018-08-16</t>
  </si>
  <si>
    <t>143836420:eng</t>
  </si>
  <si>
    <t>18961617</t>
  </si>
  <si>
    <t>ocm18961617</t>
  </si>
  <si>
    <t>3000964709K</t>
  </si>
  <si>
    <t>9780816187942</t>
  </si>
  <si>
    <t>793042707</t>
  </si>
  <si>
    <t>Z8401.3 M52x</t>
  </si>
  <si>
    <t>0                      Z  8401300M  52x</t>
  </si>
  <si>
    <t>Hermann Hesse : biography and bibliography / by Joseph Mileck.</t>
  </si>
  <si>
    <t>Mileck, Joseph, 1922-</t>
  </si>
  <si>
    <t>Berkeley : University of California Press, ©1977.</t>
  </si>
  <si>
    <t>2017-12-12</t>
  </si>
  <si>
    <t>3768747376:eng</t>
  </si>
  <si>
    <t>3011107</t>
  </si>
  <si>
    <t>ocm03011107</t>
  </si>
  <si>
    <t>31037421293</t>
  </si>
  <si>
    <t>9780520027565</t>
  </si>
  <si>
    <t>792206327</t>
  </si>
  <si>
    <t>3000957171U</t>
  </si>
  <si>
    <t>792206328</t>
  </si>
  <si>
    <t>Z8409.6 M33 1998</t>
  </si>
  <si>
    <t>0                      Z  8409600M  33          1998</t>
  </si>
  <si>
    <t>Adolf Hitler and the Nazi epoch : an annotated bibliography of English-language works on the origins, nature, and structure of the Nazi state / Paul Madden.</t>
  </si>
  <si>
    <t>Madden, Paul, 1940-</t>
  </si>
  <si>
    <t>Lanham, Md. : Scarecrow Press ; Pasadena, Calif. : Salem Press, 1998.</t>
  </si>
  <si>
    <t>Magill bibliographies</t>
  </si>
  <si>
    <t>366895778:eng</t>
  </si>
  <si>
    <t>39787084</t>
  </si>
  <si>
    <t>ocm39787084</t>
  </si>
  <si>
    <t>3101945268D</t>
  </si>
  <si>
    <t>9780810835580</t>
  </si>
  <si>
    <t>793553311</t>
  </si>
  <si>
    <t>Z8409.6 P47</t>
  </si>
  <si>
    <t>0                      Z  8409600P  47</t>
  </si>
  <si>
    <t>Adolf Hitler and the Third Reich : an annotated bibliography / by Leona Rasmussen Phillips.</t>
  </si>
  <si>
    <t>Phillips, Leona Rasmussen.</t>
  </si>
  <si>
    <t>New York : Gordon Press, 1977.</t>
  </si>
  <si>
    <t>2016-09-26</t>
  </si>
  <si>
    <t>5410475:eng</t>
  </si>
  <si>
    <t>2525238</t>
  </si>
  <si>
    <t>ocm02525238</t>
  </si>
  <si>
    <t>3000950064T</t>
  </si>
  <si>
    <t>9780849013553</t>
  </si>
  <si>
    <t>792139341</t>
  </si>
  <si>
    <t>Z8413.7 V47 2017</t>
  </si>
  <si>
    <t>0                      Z  8413700V  47          2017</t>
  </si>
  <si>
    <t>Bibliographie descriptive des imprimés du baron d'Holbach / Jeroom Vercruysse.</t>
  </si>
  <si>
    <t>Vercruysse, Jeroom, author.</t>
  </si>
  <si>
    <t>Nouvelle édition revue et augmentée.</t>
  </si>
  <si>
    <t>Dictionnaires et synthèses, 2115-2926 ; 8</t>
  </si>
  <si>
    <t>4128958121:fre</t>
  </si>
  <si>
    <t>970619078</t>
  </si>
  <si>
    <t>ocn970619078</t>
  </si>
  <si>
    <t>3103718625G</t>
  </si>
  <si>
    <t>9782812451522</t>
  </si>
  <si>
    <t>795027716</t>
  </si>
  <si>
    <t>Z8414.6 H3</t>
  </si>
  <si>
    <t>0                      Z  8414600H  3</t>
  </si>
  <si>
    <t>Winifred Holtby : a concise and selected bibliography, together with some letters / compiled and edited by Geoffrey Handley-Taylor ; with a foreword by Vera Brittain.</t>
  </si>
  <si>
    <t>Handley-Taylor, Geoffrey, compiler.</t>
  </si>
  <si>
    <t>London and Hull : A. Brown &amp; Sons Ltd., 32 Brooke Street, E.C.1, 1955.</t>
  </si>
  <si>
    <t>308953215:eng</t>
  </si>
  <si>
    <t>1848320</t>
  </si>
  <si>
    <t>ocm01848320</t>
  </si>
  <si>
    <t>30009558673</t>
  </si>
  <si>
    <t>791998643</t>
  </si>
  <si>
    <t>Z8416 I97 2017</t>
  </si>
  <si>
    <t>0                      Z  8416000I  97          2017</t>
  </si>
  <si>
    <t>Quinto Orazio Flacco : annali delle edizioni a stampa : secoli XV-XVIII / Antonio Iurilli.</t>
  </si>
  <si>
    <t>Iurilli, Antonio, author.</t>
  </si>
  <si>
    <t>Travaux d'humanisme et renaissance, 0082-6081 ; No DLXXIV</t>
  </si>
  <si>
    <t>4611732889:ita</t>
  </si>
  <si>
    <t>999771810</t>
  </si>
  <si>
    <t>ocn999771810</t>
  </si>
  <si>
    <t>31037185658</t>
  </si>
  <si>
    <t>9782600047302</t>
  </si>
  <si>
    <t>795039999</t>
  </si>
  <si>
    <t>3103718570F</t>
  </si>
  <si>
    <t>795040000</t>
  </si>
  <si>
    <t>Z8427.3 J58 1983</t>
  </si>
  <si>
    <t>0                      Z  8427300J  58          1983</t>
  </si>
  <si>
    <t>A bibliography of David Hume and of Scottish philosophy / T.E. Jessop.</t>
  </si>
  <si>
    <t>Jessop, T. E. (Thomas Edmund), 1896-1980.</t>
  </si>
  <si>
    <t>New York : Garland Pub., 1983.</t>
  </si>
  <si>
    <t>The Philosophy of David Hume</t>
  </si>
  <si>
    <t>161716597:eng</t>
  </si>
  <si>
    <t>9412953</t>
  </si>
  <si>
    <t>ocm09412953</t>
  </si>
  <si>
    <t>30009525186</t>
  </si>
  <si>
    <t>9780824054113</t>
  </si>
  <si>
    <t>792675070</t>
  </si>
  <si>
    <t>Z8442.65 D37 2012</t>
  </si>
  <si>
    <t>0                      Z  8442650D  37          2012</t>
  </si>
  <si>
    <t>Bibliografii︠a︡ prizhiznennykh publikat︠s︡iĭ proizvedeniĭ Vi︠a︡cheslava Ivanova : 1898-1949 / Pamela Dėvidson ; pod redakt︠s︡ieĭ K.I︠U︡. Lappo-Danilevskogo.</t>
  </si>
  <si>
    <t>Davidson, Pamela, author.</t>
  </si>
  <si>
    <t>Sankt-Peterburg : Kalamos, 2012.</t>
  </si>
  <si>
    <t>1173299264:rus</t>
  </si>
  <si>
    <t>798995747</t>
  </si>
  <si>
    <t>ocn798995747</t>
  </si>
  <si>
    <t>3103486755$</t>
  </si>
  <si>
    <t>9785905836015</t>
  </si>
  <si>
    <t>794924184</t>
  </si>
  <si>
    <t>Z8442.9 K44 1984</t>
  </si>
  <si>
    <t>0                      Z  8442900K  44          1984</t>
  </si>
  <si>
    <t>Jack the Ripper : a bibliography and review of the literature / by Alexander Kelly.</t>
  </si>
  <si>
    <t>Kelly, Alexander.</t>
  </si>
  <si>
    <t>London : Association of Assistant Librarians, 1984.</t>
  </si>
  <si>
    <t>Fully rev. and expanded ed., including the original introduction to the murders and the theories / by Colin Wilson.</t>
  </si>
  <si>
    <t>2016-05-10</t>
  </si>
  <si>
    <t>1862716327:eng</t>
  </si>
  <si>
    <t>19326435</t>
  </si>
  <si>
    <t>ocm19326435</t>
  </si>
  <si>
    <t>3000957811K</t>
  </si>
  <si>
    <t>9780902248113</t>
  </si>
  <si>
    <t>793054482</t>
  </si>
  <si>
    <t>Z8443.5 R45 2001</t>
  </si>
  <si>
    <t>0                      Z  8443500R  45          2001</t>
  </si>
  <si>
    <t>A critical bibliography of Shirley Jackson, American writer (1919-1965) : reviews, criticism, adaptations / Paul N. Reinsch.</t>
  </si>
  <si>
    <t>Reinsch, Paul N.</t>
  </si>
  <si>
    <t>Lewiston, N.Y. : E. Mellen Press, ©2001.</t>
  </si>
  <si>
    <t>Studies in American literature ; v. 45</t>
  </si>
  <si>
    <t>949959:eng</t>
  </si>
  <si>
    <t>46729412</t>
  </si>
  <si>
    <t>ocm46729412</t>
  </si>
  <si>
    <t>31021682394</t>
  </si>
  <si>
    <t>9780773473935</t>
  </si>
  <si>
    <t>793690440</t>
  </si>
  <si>
    <t>Z8447 S97 2006</t>
  </si>
  <si>
    <t>0                      Z  8447000S  97          2006</t>
  </si>
  <si>
    <t>Henry James : a bibliographical catalogue of a collection of editions to 1921 / David J. Supino.</t>
  </si>
  <si>
    <t>Supino, David J.</t>
  </si>
  <si>
    <t>Liverpool [England] : Liverpool University Press, 2006.</t>
  </si>
  <si>
    <t>4575251671:eng</t>
  </si>
  <si>
    <t>69912549</t>
  </si>
  <si>
    <t>ocm69912549</t>
  </si>
  <si>
    <t>3102633754V</t>
  </si>
  <si>
    <t>9781846310058</t>
  </si>
  <si>
    <t>794147319</t>
  </si>
  <si>
    <t>Z8447 S97 2014</t>
  </si>
  <si>
    <t>0                      Z  8447000S  97          2014</t>
  </si>
  <si>
    <t>Henry James : a bibliographical catalogue of a collection of editions to 1921 / by David J. Supino.</t>
  </si>
  <si>
    <t>Supino, David J., author.</t>
  </si>
  <si>
    <t>Liverpool : Liverpool University Press, 2014.</t>
  </si>
  <si>
    <t>304346553:eng</t>
  </si>
  <si>
    <t>868083402</t>
  </si>
  <si>
    <t>ocn868083402</t>
  </si>
  <si>
    <t>3103565612I</t>
  </si>
  <si>
    <t>9781846318627</t>
  </si>
  <si>
    <t>794964425</t>
  </si>
  <si>
    <t>Z8451.5 B76 2015</t>
  </si>
  <si>
    <t>0                      Z  8451500B  76          2015</t>
  </si>
  <si>
    <t>His place for story : Robinson Jeffers, a descriptive bibliography / Michael Broomfield.</t>
  </si>
  <si>
    <t>&lt;text + 1 CD-ROM&gt;</t>
  </si>
  <si>
    <t>Broomfield, Michael, compiler.</t>
  </si>
  <si>
    <t>2757341546:eng</t>
  </si>
  <si>
    <t>923665684</t>
  </si>
  <si>
    <t>ocn923665684</t>
  </si>
  <si>
    <t>3103656462B</t>
  </si>
  <si>
    <t>9781584563389</t>
  </si>
  <si>
    <t>795004582</t>
  </si>
  <si>
    <t>Z8455.8 F54 1999</t>
  </si>
  <si>
    <t>0                      Z  8455800F  54          1999</t>
  </si>
  <si>
    <t>A bibliography of the works of Samuel Johnson : treating his published works from the beginnings to 1984 / compiled by J.D. Fleeman ; prepared for publication by James McLaverty.</t>
  </si>
  <si>
    <t>Fleeman, J. D. (John David)</t>
  </si>
  <si>
    <t>New York : Oxford University Press, 2000-</t>
  </si>
  <si>
    <t>23513645:eng</t>
  </si>
  <si>
    <t>40354814</t>
  </si>
  <si>
    <t>ocm40354814</t>
  </si>
  <si>
    <t>3102080803$</t>
  </si>
  <si>
    <t>9780198122692</t>
  </si>
  <si>
    <t>793564963</t>
  </si>
  <si>
    <t>31020763862</t>
  </si>
  <si>
    <t>793564964</t>
  </si>
  <si>
    <t>Z8455.8 F54 2000</t>
  </si>
  <si>
    <t>0                      Z  8455800F  54          2000</t>
  </si>
  <si>
    <t>3102043835W</t>
  </si>
  <si>
    <t>793564965</t>
  </si>
  <si>
    <t>3102043839O</t>
  </si>
  <si>
    <t>793564966</t>
  </si>
  <si>
    <t>Z8455.8 M38</t>
  </si>
  <si>
    <t>0                      Z  8455800M  38</t>
  </si>
  <si>
    <t>Samuel Johnson in the British Press, 1749-1784 : a chronological checklist / Helen Louise McGuffie.</t>
  </si>
  <si>
    <t>McGuffie, Helen Louise.</t>
  </si>
  <si>
    <t>New York : Garland Pub., 1976.</t>
  </si>
  <si>
    <t>Garland reference library in the humanities ; v. 29</t>
  </si>
  <si>
    <t>365331848:eng</t>
  </si>
  <si>
    <t>3103856</t>
  </si>
  <si>
    <t>ocm03103856</t>
  </si>
  <si>
    <t>3000954399F</t>
  </si>
  <si>
    <t>9780824099831</t>
  </si>
  <si>
    <t>792217781</t>
  </si>
  <si>
    <t>Z8456.591 C3</t>
  </si>
  <si>
    <t>0                      Z  8456591C  3</t>
  </si>
  <si>
    <t>Sir William Jones, Orientalist; an annotated bibliography of his works.</t>
  </si>
  <si>
    <t>Cannon, Garland Hampton, 1924-</t>
  </si>
  <si>
    <t>Honolulu, University of Hawaii Press [1952]</t>
  </si>
  <si>
    <t>Pacific area bibliographies</t>
  </si>
  <si>
    <t>14921064:eng</t>
  </si>
  <si>
    <t>4687450</t>
  </si>
  <si>
    <t>ocm04687450</t>
  </si>
  <si>
    <t>3000960509B</t>
  </si>
  <si>
    <t>792375277</t>
  </si>
  <si>
    <t>Z8457.53 F44 1984</t>
  </si>
  <si>
    <t>0                      Z  8457530F  44          1984</t>
  </si>
  <si>
    <t>Josephus and modern scholarship, 1937-1980 / Louis H. Feldman.</t>
  </si>
  <si>
    <t>Feldman, Louis H.</t>
  </si>
  <si>
    <t>Berlin ; New York : W. de Gruyter, 1984.</t>
  </si>
  <si>
    <t>2881467:eng</t>
  </si>
  <si>
    <t>10403852</t>
  </si>
  <si>
    <t>ocm10403852</t>
  </si>
  <si>
    <t>30009523906</t>
  </si>
  <si>
    <t>9783110081381</t>
  </si>
  <si>
    <t>792724662</t>
  </si>
  <si>
    <t>Z8458.2 A16</t>
  </si>
  <si>
    <t>0                      Z  8458200A  16</t>
  </si>
  <si>
    <t>Sor Juana Inés de la Cruz; bibliografía y biblioteca.</t>
  </si>
  <si>
    <t>Abreu Gómez, Ermilo, 1894-1971.</t>
  </si>
  <si>
    <t>México [Secretaría de Relaciones Exteriores] 1934.</t>
  </si>
  <si>
    <t>Monografías bibliográficas mexicanas ; no. 29</t>
  </si>
  <si>
    <t>17076107:spa</t>
  </si>
  <si>
    <t>5301662</t>
  </si>
  <si>
    <t>ocm05301662</t>
  </si>
  <si>
    <t>3000955337W</t>
  </si>
  <si>
    <t>792423454</t>
  </si>
  <si>
    <t>Z8458.2 S38</t>
  </si>
  <si>
    <t>0                      Z  8458200S  38</t>
  </si>
  <si>
    <t>Bibliografia de sor Juana Ines de la Cruz.</t>
  </si>
  <si>
    <t>Schons, Dorothy, 1890-1961.</t>
  </si>
  <si>
    <t>Mexico [Impr. de la Secretaria de relaciones exteriores] 1927.</t>
  </si>
  <si>
    <t>Monografias bibliograficas mexicanas, núm. 7</t>
  </si>
  <si>
    <t>3034586:spa</t>
  </si>
  <si>
    <t>1985343</t>
  </si>
  <si>
    <t>ocm01985343</t>
  </si>
  <si>
    <t>3000955338U</t>
  </si>
  <si>
    <t>792023287</t>
  </si>
  <si>
    <t>Z8460.87 B5x</t>
  </si>
  <si>
    <t>0                      Z  8460870B  5x</t>
  </si>
  <si>
    <t>Karl Kautskys literarisches Werk; eine bibliographische Übersicht. [Hrsg. vom Internationaal Instiuut voor Sociale Geschiedenis, Amsterdam].</t>
  </si>
  <si>
    <t>Blumenberg, Werner.</t>
  </si>
  <si>
    <t>'s-Gravenhage, Mouton, 1960.</t>
  </si>
  <si>
    <t>dut</t>
  </si>
  <si>
    <t>2018-04-15</t>
  </si>
  <si>
    <t>292376238:dut</t>
  </si>
  <si>
    <t>1463754</t>
  </si>
  <si>
    <t>ocm01463754</t>
  </si>
  <si>
    <t>30009533901</t>
  </si>
  <si>
    <t>791639207</t>
  </si>
  <si>
    <t>Z8462.83 G66 2001</t>
  </si>
  <si>
    <t>0                      Z  8462830G  66          2001</t>
  </si>
  <si>
    <t>Hugh Kenner : a bibliography / Willard Goodwin ; foreword by Guy Davenport.</t>
  </si>
  <si>
    <t>Goodwin, Will.</t>
  </si>
  <si>
    <t>Albany, N.Y. : Whitston Pub. Co., 2001.</t>
  </si>
  <si>
    <t>53303:eng</t>
  </si>
  <si>
    <t>46772297</t>
  </si>
  <si>
    <t>ocm46772297</t>
  </si>
  <si>
    <t>3102157995E</t>
  </si>
  <si>
    <t>9780878755240</t>
  </si>
  <si>
    <t>793691015</t>
  </si>
  <si>
    <t>Z8464.25 M3 1984</t>
  </si>
  <si>
    <t>0                      Z  8464250M  3           1984</t>
  </si>
  <si>
    <t>Catalogue of the Gregor Malantschuk Søren Kierkegaard Collection in the Department of Rare Books and Special Collections.</t>
  </si>
  <si>
    <t>2007-12-21</t>
  </si>
  <si>
    <t>28630499:eng</t>
  </si>
  <si>
    <t>25971710</t>
  </si>
  <si>
    <t>ocm25971710</t>
  </si>
  <si>
    <t>31028485394</t>
  </si>
  <si>
    <t>793234449</t>
  </si>
  <si>
    <t>Z8464.32 R4</t>
  </si>
  <si>
    <t>0                      Z  8464320R  4</t>
  </si>
  <si>
    <t>Al-Kindi; an annotated bibliography.</t>
  </si>
  <si>
    <t>Rescher, Nicholas, 1928-</t>
  </si>
  <si>
    <t>[Pittsburgh] Univ. of Pittsburgh Press, 1964.</t>
  </si>
  <si>
    <t>285610933:eng</t>
  </si>
  <si>
    <t>152432894</t>
  </si>
  <si>
    <t>ocn152432894</t>
  </si>
  <si>
    <t>3000960598N</t>
  </si>
  <si>
    <t>794249147</t>
  </si>
  <si>
    <t>Z8464.52 H46 1998</t>
  </si>
  <si>
    <t>0                      Z  8464520H  46          1998</t>
  </si>
  <si>
    <t>W.L. Mackenzie King : a bibliography and research guide / George F. Henderson.</t>
  </si>
  <si>
    <t>Henderson, George F. (George Fletcher), 1936-</t>
  </si>
  <si>
    <t>Toronto ; Buffalo : University of Toronto Press, ©1998.</t>
  </si>
  <si>
    <t>41939271:eng</t>
  </si>
  <si>
    <t>39070377</t>
  </si>
  <si>
    <t>ocm39070377</t>
  </si>
  <si>
    <t>3103495923Z</t>
  </si>
  <si>
    <t>9780802041579</t>
  </si>
  <si>
    <t>793537388</t>
  </si>
  <si>
    <t>3101912034Y</t>
  </si>
  <si>
    <t>793537389</t>
  </si>
  <si>
    <t>Z8465 R523 2010</t>
  </si>
  <si>
    <t>0                      Z  8465000R  523         2010</t>
  </si>
  <si>
    <t>Rudyard Kipling : a bibliography / by David Alan Richards.</t>
  </si>
  <si>
    <t>Richards, David Alan, 1945-</t>
  </si>
  <si>
    <t>New Castle, Del. : Oak Knoll Press ; London : British Library, 2010.</t>
  </si>
  <si>
    <t>865139477:eng</t>
  </si>
  <si>
    <t>468232133</t>
  </si>
  <si>
    <t>ocn468232133</t>
  </si>
  <si>
    <t>31031574570</t>
  </si>
  <si>
    <t>9781584562429</t>
  </si>
  <si>
    <t>794795360</t>
  </si>
  <si>
    <t>Z8467.645 L48 1989</t>
  </si>
  <si>
    <t>0                      Z  8467645L  48          1989</t>
  </si>
  <si>
    <t>Siegfried Kracauer : eine Bibliographie seiner Schriften / Thomas Y. Levin.</t>
  </si>
  <si>
    <t>Levin, Thomas Y.</t>
  </si>
  <si>
    <t>Marbach am Neckar : Deutsche Schillergesellschaft, ©1989.</t>
  </si>
  <si>
    <t>Verzeichnisse, Berichte, Informationen ; 14</t>
  </si>
  <si>
    <t>889522525:ger</t>
  </si>
  <si>
    <t>20257923</t>
  </si>
  <si>
    <t>ocm20257923</t>
  </si>
  <si>
    <t>3100945383L</t>
  </si>
  <si>
    <t>793081842</t>
  </si>
  <si>
    <t>Z8467.645 L67 2014</t>
  </si>
  <si>
    <t>0                      Z  8467645L  67          2014</t>
  </si>
  <si>
    <t>Christian Kracht : Werkverzeichnis und kommentierte Bibliografie der Forschung / Matthias N. Lorenz (Hg.).</t>
  </si>
  <si>
    <t>Bielefeld : Aisthesis Verlag, 2014.</t>
  </si>
  <si>
    <t>Bibliographien zur deutschen Literaturgeschichte ; Band 21</t>
  </si>
  <si>
    <t>1904835067:ger</t>
  </si>
  <si>
    <t>881224231</t>
  </si>
  <si>
    <t>ocn881224231</t>
  </si>
  <si>
    <t>3103517791G</t>
  </si>
  <si>
    <t>9783849810627</t>
  </si>
  <si>
    <t>794973973</t>
  </si>
  <si>
    <t>Z8491.5 C57 1973</t>
  </si>
  <si>
    <t>0                      Z  8491500C  57          1973</t>
  </si>
  <si>
    <t>T.E. Lawrence: a reader's guide.</t>
  </si>
  <si>
    <t>[Hamden, Conn.] Archon Books, 1973 [©1972]</t>
  </si>
  <si>
    <t>1664593:eng</t>
  </si>
  <si>
    <t>416933</t>
  </si>
  <si>
    <t>ocm00416933</t>
  </si>
  <si>
    <t>3000960624B</t>
  </si>
  <si>
    <t>9780208013132</t>
  </si>
  <si>
    <t>791372463</t>
  </si>
  <si>
    <t>Z8494 S63 1998</t>
  </si>
  <si>
    <t>0                      Z  8494000S  63          1998</t>
  </si>
  <si>
    <t>A bibliography of Stephen Leacock / Carl Spadoni.</t>
  </si>
  <si>
    <t>Toronto : ECW Press, ©1998.</t>
  </si>
  <si>
    <t>16451026:eng</t>
  </si>
  <si>
    <t>41662875</t>
  </si>
  <si>
    <t>ocm41662875</t>
  </si>
  <si>
    <t>31019492609</t>
  </si>
  <si>
    <t>9781550223651</t>
  </si>
  <si>
    <t>793596431</t>
  </si>
  <si>
    <t>Z8502.8 G45 2010</t>
  </si>
  <si>
    <t>0                      Z  8502800G  45          2010</t>
  </si>
  <si>
    <t>Bibliografia leopardiana (1815-1999) / Enrico Ghidetti ; edizione a cura di Chiara Biagioli.</t>
  </si>
  <si>
    <t>Ghidetti, Enrico.</t>
  </si>
  <si>
    <t>Firenze : Società editrice fiorentina, 2010.</t>
  </si>
  <si>
    <t>770559158:ita</t>
  </si>
  <si>
    <t>697263450</t>
  </si>
  <si>
    <t>ocn697263450</t>
  </si>
  <si>
    <t>3103125269R</t>
  </si>
  <si>
    <t>9788860321190</t>
  </si>
  <si>
    <t>794859761</t>
  </si>
  <si>
    <t>Z8504.39 P68 1978</t>
  </si>
  <si>
    <t>0                      Z  8504390P  68          1978</t>
  </si>
  <si>
    <t>Wyndham Lewis : a descriptive bibliography / Omar S. Pound &amp; Philip Grover, with a checklist of B.B.C. broadcasts compiled by D.G. Bridson.</t>
  </si>
  <si>
    <t>Pound, Omar S.</t>
  </si>
  <si>
    <t>Folkestone, Eng. : Dawson, 1978.</t>
  </si>
  <si>
    <t>504287374:eng</t>
  </si>
  <si>
    <t>4134350</t>
  </si>
  <si>
    <t>ocm04134350</t>
  </si>
  <si>
    <t>3103628700T</t>
  </si>
  <si>
    <t>9780712907880</t>
  </si>
  <si>
    <t>792324522</t>
  </si>
  <si>
    <t>30009573893</t>
  </si>
  <si>
    <t>792324523</t>
  </si>
  <si>
    <t>Z8520.94 W54 1982</t>
  </si>
  <si>
    <t>0                      Z  8520940W  54          1982</t>
  </si>
  <si>
    <t>Arthur O. Lovejoy : an annotated bibliography / Daniel J. Wilson.</t>
  </si>
  <si>
    <t>Wilson, Daniel J., 1949-</t>
  </si>
  <si>
    <t>New York : Garland Pub., 1982.</t>
  </si>
  <si>
    <t>Garland bibliographies of modern critics and critical schools ; v. 2</t>
  </si>
  <si>
    <t>199167161:eng</t>
  </si>
  <si>
    <t>8554133</t>
  </si>
  <si>
    <t>ocm08554133</t>
  </si>
  <si>
    <t>3000951360K</t>
  </si>
  <si>
    <t>9780824092573</t>
  </si>
  <si>
    <t>792627004</t>
  </si>
  <si>
    <t>Z8534 G36</t>
  </si>
  <si>
    <t>0                      Z  8534000G  36</t>
  </si>
  <si>
    <t>Niccolò Machiavelli, die Handschriften, Ausgaben und Übersetzungen seiner Werke im 16. und 17. Jahrhundert : mit 147 Faksimiles und zahlreichen Auszügen, eine kritisch-bibliographische Untersuchung / von Adolph Gerber.</t>
  </si>
  <si>
    <t>T. 4 (Faksimiles)</t>
  </si>
  <si>
    <t>Gerber, Adolph.</t>
  </si>
  <si>
    <t>Gotha : Druck von F.A. Perthes, aktiengesellschaft, 1912-13.</t>
  </si>
  <si>
    <t>5377795101:ger</t>
  </si>
  <si>
    <t>12753887</t>
  </si>
  <si>
    <t>ocm12753887</t>
  </si>
  <si>
    <t>3000955457M</t>
  </si>
  <si>
    <t>792826933</t>
  </si>
  <si>
    <t>T. 1-3 (Text)</t>
  </si>
  <si>
    <t>3100869201S</t>
  </si>
  <si>
    <t>792826934</t>
  </si>
  <si>
    <t>Z8534 I66 2015</t>
  </si>
  <si>
    <t>0                      Z  8534000I  66          2015</t>
  </si>
  <si>
    <t>Bibliografia delle edizioni di Niccolò Machiavelli, 1506-1914 / Piero Innocenti, Marielisa Rossi.</t>
  </si>
  <si>
    <t>Innocenti, Piero, 1945- compiler.</t>
  </si>
  <si>
    <t>Manziana (Roma) : Vecchiarelli editore, [2015]-&lt;[2018]&gt;</t>
  </si>
  <si>
    <t>8960521500:ita</t>
  </si>
  <si>
    <t>1048658189</t>
  </si>
  <si>
    <t>on1048658189</t>
  </si>
  <si>
    <t>3103624732$</t>
  </si>
  <si>
    <t>9788882473716</t>
  </si>
  <si>
    <t>795060956</t>
  </si>
  <si>
    <t>Z8536.8 W9x</t>
  </si>
  <si>
    <t>0                      Z  8536800W  9x</t>
  </si>
  <si>
    <t>The writings of Marshall McLuhan listed in chronological order from 1934 to 1975 / with an appended list of reviews and articles about him and his work.</t>
  </si>
  <si>
    <t>Fort Lauderdale, Fla. : Wake-Brook House, 1975.</t>
  </si>
  <si>
    <t>2016-05-09</t>
  </si>
  <si>
    <t>3740833519:eng</t>
  </si>
  <si>
    <t>2218802</t>
  </si>
  <si>
    <t>ocm02218802</t>
  </si>
  <si>
    <t>3000954031O</t>
  </si>
  <si>
    <t>9780874820782</t>
  </si>
  <si>
    <t>792069134</t>
  </si>
  <si>
    <t>Z8550.175 C55 1983</t>
  </si>
  <si>
    <t>0                      Z  8550175C  55          1983</t>
  </si>
  <si>
    <t>Marguerite de Navarre : an annotated bibliography / by H.P. Clive.</t>
  </si>
  <si>
    <t>Clive, H. P.</t>
  </si>
  <si>
    <t>London : Grant &amp; Cutler, 1983.</t>
  </si>
  <si>
    <t>Research bibliographies &amp; checklists ; 34</t>
  </si>
  <si>
    <t>2018-05-23</t>
  </si>
  <si>
    <t>806718588:eng</t>
  </si>
  <si>
    <t>13702931</t>
  </si>
  <si>
    <t>ocm13702931</t>
  </si>
  <si>
    <t>3000951675W</t>
  </si>
  <si>
    <t>9780729301152</t>
  </si>
  <si>
    <t>792863793</t>
  </si>
  <si>
    <t>Z8550.314 B8 Suppl. 3</t>
  </si>
  <si>
    <t>0                      Z  8550314B  8                                                       Suppl. 3</t>
  </si>
  <si>
    <t>Marie de France, an analytical bibliography : supplement no. 3 / Glyn S. Burgess, with the assistance of Giovanna Angeli.</t>
  </si>
  <si>
    <t>Suppl. 3*</t>
  </si>
  <si>
    <t>Burgess, Glyn S. (Glyn Sheridan)</t>
  </si>
  <si>
    <t>Woodbridge, Suffolk : Tamesis Books Ltd., 2007.</t>
  </si>
  <si>
    <t>Research bibliographies and checklists. New series ; 8</t>
  </si>
  <si>
    <t>4820518283:eng</t>
  </si>
  <si>
    <t>427798900</t>
  </si>
  <si>
    <t>ocn427798900</t>
  </si>
  <si>
    <t>3102782260H</t>
  </si>
  <si>
    <t>9781855661547</t>
  </si>
  <si>
    <t>794698653</t>
  </si>
  <si>
    <t>Z8550.36 P6</t>
  </si>
  <si>
    <t>0                      Z  8550360P  6</t>
  </si>
  <si>
    <t>A bibliography of Gervase Markham, 1568?-1637.</t>
  </si>
  <si>
    <t>Poynter, F. N. L. (Frederick Noël Lawrence), 1908-</t>
  </si>
  <si>
    <t>Oxford, Oxford Bibliographical Society, 1962.</t>
  </si>
  <si>
    <t>Oxford Bibliographical Society. Publications. New ser., v. 11</t>
  </si>
  <si>
    <t>2231389:eng</t>
  </si>
  <si>
    <t>1293429</t>
  </si>
  <si>
    <t>ocm01293429</t>
  </si>
  <si>
    <t>30009607506</t>
  </si>
  <si>
    <t>791593337</t>
  </si>
  <si>
    <t>Z8556.5 S3 1982</t>
  </si>
  <si>
    <t>0                      Z  8556500S  3           1982</t>
  </si>
  <si>
    <t>The literary world of Maximilian I : an annotated bibliography / Gerhild Scholz-Williams.</t>
  </si>
  <si>
    <t>Scholz Williams, Gerhild, 1942-</t>
  </si>
  <si>
    <t>St. Louis : Center for Reformation Research, 1982.</t>
  </si>
  <si>
    <t>Sixteenth century bibliography ; 21</t>
  </si>
  <si>
    <t>2016-02-19</t>
  </si>
  <si>
    <t>968937229:eng</t>
  </si>
  <si>
    <t>8374305</t>
  </si>
  <si>
    <t>ocm08374305</t>
  </si>
  <si>
    <t>30011414151</t>
  </si>
  <si>
    <t>792615759</t>
  </si>
  <si>
    <t>Z8562.58 B47 1987</t>
  </si>
  <si>
    <t>0                      Z  8562580B  47          1987</t>
  </si>
  <si>
    <t>Melville's sources / Mary K. Bercaw.</t>
  </si>
  <si>
    <t>Edwards, Mary K. Bercaw.</t>
  </si>
  <si>
    <t>Evanston, Ill. : Northwestern University Press, 1987.</t>
  </si>
  <si>
    <t>10096225:eng</t>
  </si>
  <si>
    <t>15316207</t>
  </si>
  <si>
    <t>ocm15316207</t>
  </si>
  <si>
    <t>3103553786E</t>
  </si>
  <si>
    <t>9780810107342</t>
  </si>
  <si>
    <t>792927798</t>
  </si>
  <si>
    <t>Z8570.6 B87 2008</t>
  </si>
  <si>
    <t>0                      Z  8570600B  87          2008</t>
  </si>
  <si>
    <t>More than silence : a bibliography of Thomas Merton / Patricia A. Burton ; with a special section on rare books by Albert Romkema.</t>
  </si>
  <si>
    <t>Burton, Patricia A.</t>
  </si>
  <si>
    <t>ATLA bibliography series ; no. 55</t>
  </si>
  <si>
    <t>264834650:eng</t>
  </si>
  <si>
    <t>191732307</t>
  </si>
  <si>
    <t>ocn191732307</t>
  </si>
  <si>
    <t>31030298483</t>
  </si>
  <si>
    <t>9780810860957</t>
  </si>
  <si>
    <t>794300711</t>
  </si>
  <si>
    <t>Z8574.25 M3</t>
  </si>
  <si>
    <t>0                      Z  8574250M  3</t>
  </si>
  <si>
    <t>L'honorable Pierre-Basile Mignault, par me Armand Marin ...</t>
  </si>
  <si>
    <t>Marin, Armand.</t>
  </si>
  <si>
    <t>Montréal, Fides, 1946.</t>
  </si>
  <si>
    <t>Bibliographies d'auteurs canadiens d'expression française</t>
  </si>
  <si>
    <t>2015-08-24</t>
  </si>
  <si>
    <t>475752530:fre</t>
  </si>
  <si>
    <t>17746081</t>
  </si>
  <si>
    <t>ocm17746081</t>
  </si>
  <si>
    <t>3000960780Y</t>
  </si>
  <si>
    <t>793002126</t>
  </si>
  <si>
    <t>Z8574.87 N53</t>
  </si>
  <si>
    <t>0                      Z  8574870N  53</t>
  </si>
  <si>
    <t>Edna St. Vincent Millay : a reference guide / Judith Nierman.</t>
  </si>
  <si>
    <t>Nierman, Judith.</t>
  </si>
  <si>
    <t>Boston : G.K. Hall, ©1977.</t>
  </si>
  <si>
    <t>Reference guides in literature</t>
  </si>
  <si>
    <t>2017-05-02</t>
  </si>
  <si>
    <t>259923620:eng</t>
  </si>
  <si>
    <t>2910960</t>
  </si>
  <si>
    <t>ocm02910960</t>
  </si>
  <si>
    <t>3000956517P</t>
  </si>
  <si>
    <t>9780816179503</t>
  </si>
  <si>
    <t>792192127</t>
  </si>
  <si>
    <t>Z8574.87 Y65</t>
  </si>
  <si>
    <t>0                      Z  8574870Y  65</t>
  </si>
  <si>
    <t>A bibliography of the works of Edna St. Vincent Millay, by Karl Yost, with an essay in appreciation by Harold Lewis Cook, introductions and three poems by Edna St. Vincent Millay.</t>
  </si>
  <si>
    <t>Yost, Karl, 1911-1987.</t>
  </si>
  <si>
    <t>New York, London, Harper &amp; Brothers, 1937.</t>
  </si>
  <si>
    <t>1170646:eng</t>
  </si>
  <si>
    <t>1238196</t>
  </si>
  <si>
    <t>ocm01238196</t>
  </si>
  <si>
    <t>3000960781W</t>
  </si>
  <si>
    <t>791579904</t>
  </si>
  <si>
    <t>Z8574.88 C73 2011</t>
  </si>
  <si>
    <t>0                      Z  8574880C  73          2011</t>
  </si>
  <si>
    <t>Arthur Miller : a descriptive bibliography / George W. Crandell.</t>
  </si>
  <si>
    <t>Crandell, George W., 1956-</t>
  </si>
  <si>
    <t>916249699:eng</t>
  </si>
  <si>
    <t>731952852</t>
  </si>
  <si>
    <t>ocn731952852</t>
  </si>
  <si>
    <t>31033829829</t>
  </si>
  <si>
    <t>9781584562887</t>
  </si>
  <si>
    <t>794881155</t>
  </si>
  <si>
    <t>Z8578 H82 1996</t>
  </si>
  <si>
    <t>0                      Z  8578000H  82          1996</t>
  </si>
  <si>
    <t>John Milton : an annotated bibliography, 1968-1988 / compiled by Calvin Huckabay ; edited by Paul J. Klemp.</t>
  </si>
  <si>
    <t>Huckabay, Calvin.</t>
  </si>
  <si>
    <t>Pittsburgh, Pa. : Duquesne University Press, ©1996.</t>
  </si>
  <si>
    <t>3857131125:eng</t>
  </si>
  <si>
    <t>33971479</t>
  </si>
  <si>
    <t>ocm33971479</t>
  </si>
  <si>
    <t>3101712068V</t>
  </si>
  <si>
    <t>9780820702728</t>
  </si>
  <si>
    <t>793415488</t>
  </si>
  <si>
    <t>Z8578 H83 2011</t>
  </si>
  <si>
    <t>0                      Z  8578000H  83          2011</t>
  </si>
  <si>
    <t>John Milton : an annotated bibliography, 1989-1999 / compiled by Calvin Huckabay &amp; David V. Urban ; edited by David V. Urban &amp; Paul J. Klemp.</t>
  </si>
  <si>
    <t>Pittsburgh, Pa. : Duquesne University Press, ©2011.</t>
  </si>
  <si>
    <t>3860645593:eng</t>
  </si>
  <si>
    <t>694831713</t>
  </si>
  <si>
    <t>ocn694831713</t>
  </si>
  <si>
    <t>3103385028$</t>
  </si>
  <si>
    <t>9780820704432</t>
  </si>
  <si>
    <t>794857995</t>
  </si>
  <si>
    <t>Z8578 K59 1996</t>
  </si>
  <si>
    <t>0                      Z  8578000K  59          1996</t>
  </si>
  <si>
    <t>Paradise lost : an annotated bibliography / by P.J. Klemp.</t>
  </si>
  <si>
    <t>Klemp, P. J.</t>
  </si>
  <si>
    <t>Lanham, MD : The Scarecrow Press, ©1996.</t>
  </si>
  <si>
    <t>2016-12-02</t>
  </si>
  <si>
    <t>837055012:eng</t>
  </si>
  <si>
    <t>34150476</t>
  </si>
  <si>
    <t>ocm34150476</t>
  </si>
  <si>
    <t>3101743014V</t>
  </si>
  <si>
    <t>9780810831520</t>
  </si>
  <si>
    <t>793420316</t>
  </si>
  <si>
    <t>Z8589.216 B34 2012</t>
  </si>
  <si>
    <t>0                      Z  8589216B  34          2012</t>
  </si>
  <si>
    <t>Bibliografia degli scritti su Eugenio Montale : (1925-2008) / a cura di Francesca Castellano, Sofia D'Andrea ; premessa di Franco Contorbia.</t>
  </si>
  <si>
    <t>Roma : Edizioni di storia e letteratura, 2012.</t>
  </si>
  <si>
    <t>Prima edizione.</t>
  </si>
  <si>
    <t>Sussidi eruditi ; 90</t>
  </si>
  <si>
    <t>1825848469:ita</t>
  </si>
  <si>
    <t>872110709</t>
  </si>
  <si>
    <t>ocn872110709</t>
  </si>
  <si>
    <t>3103564821E</t>
  </si>
  <si>
    <t>9788863724523</t>
  </si>
  <si>
    <t>794967899</t>
  </si>
  <si>
    <t>Z8591.2 R88 1986</t>
  </si>
  <si>
    <t>0                      Z  8591200R  88          1986</t>
  </si>
  <si>
    <t>Lucy Maud Montgomery, a preliminary bibliography / by Ruth Weber Russell, D.W. Russell, Rea Wilmshurst.</t>
  </si>
  <si>
    <t>Russell, Ruth Weber.</t>
  </si>
  <si>
    <t>Waterloo, Ont. : University of Waterloo Library, ©1986.</t>
  </si>
  <si>
    <t>UW Library bibliography, 0829-948X ; no. 13</t>
  </si>
  <si>
    <t>8958028:eng</t>
  </si>
  <si>
    <t>14931884</t>
  </si>
  <si>
    <t>ocm14931884</t>
  </si>
  <si>
    <t>3103658276Z</t>
  </si>
  <si>
    <t>9780920834428</t>
  </si>
  <si>
    <t>792914049</t>
  </si>
  <si>
    <t>Z8628.85 S33 1995</t>
  </si>
  <si>
    <t>0                      Z  8628850S  33          1995</t>
  </si>
  <si>
    <t>The Nietzsche canon : a publication history and bibliography / William H. Schaberg.</t>
  </si>
  <si>
    <t>Schaberg, William H.</t>
  </si>
  <si>
    <t>34221466:eng</t>
  </si>
  <si>
    <t>32508803</t>
  </si>
  <si>
    <t>ocm32508803</t>
  </si>
  <si>
    <t>3103577913X</t>
  </si>
  <si>
    <t>9780226735757</t>
  </si>
  <si>
    <t>793385932</t>
  </si>
  <si>
    <t>Z8647.8 A12 1939</t>
  </si>
  <si>
    <t>0                      Z  8647800A  12          1939</t>
  </si>
  <si>
    <t>Classified and annotated bibliography of Sir William Osler's publications : (based on the chronological bibliography by Minnie Wright Blogg) / edited by Maude E. Abbott.</t>
  </si>
  <si>
    <t>Abbott, Maude E. (Maude Elizabeth), 1869-1940.</t>
  </si>
  <si>
    <t>Montreal, Canada : The Medical museum, McGill University, 1939.</t>
  </si>
  <si>
    <t>2d ed., rev. and indexed.</t>
  </si>
  <si>
    <t>7923499:eng</t>
  </si>
  <si>
    <t>3041089</t>
  </si>
  <si>
    <t>ocm03041089</t>
  </si>
  <si>
    <t>3000955804R</t>
  </si>
  <si>
    <t>792209758</t>
  </si>
  <si>
    <t>Z8647.8 B65 1921</t>
  </si>
  <si>
    <t>0                      Z  8647800B  65          1921</t>
  </si>
  <si>
    <t>Bibliography of the writings of Sir William Osler : bart., M.D., F.R.S., regius professor of medicine in the University of Oxford / by Minnie Wright Blogg ...</t>
  </si>
  <si>
    <t>Blogg, Minnie Wright.</t>
  </si>
  <si>
    <t>Baltimore : [The Lord Baltimore Press], 1921.</t>
  </si>
  <si>
    <t>Rev. and enl. with index.</t>
  </si>
  <si>
    <t>15337919:eng</t>
  </si>
  <si>
    <t>4371735</t>
  </si>
  <si>
    <t>ocm04371735</t>
  </si>
  <si>
    <t>3000955803T</t>
  </si>
  <si>
    <t>792344601</t>
  </si>
  <si>
    <t>Z8649 C68 2000</t>
  </si>
  <si>
    <t>0                      Z  8649000C  68          2000</t>
  </si>
  <si>
    <t>Incipitarium ovidianum : a finding guide for texts in Latin related to the study of Ovid in the Middle Ages and Renaissance / Frank T. Coulson and Bruno Roy.</t>
  </si>
  <si>
    <t>Coulson, Frank Thomas.</t>
  </si>
  <si>
    <t>Turnhout, Belgium : Brepols, ©2000.</t>
  </si>
  <si>
    <t>Publications of the Journal of medieval Latin ; 3</t>
  </si>
  <si>
    <t>197178277:eng</t>
  </si>
  <si>
    <t>45136957</t>
  </si>
  <si>
    <t>ocm45136957</t>
  </si>
  <si>
    <t>3102060772X</t>
  </si>
  <si>
    <t>9782503507859</t>
  </si>
  <si>
    <t>793665386</t>
  </si>
  <si>
    <t>Z8660.87 F54 2011</t>
  </si>
  <si>
    <t>0                      Z  8660870F  54          2011</t>
  </si>
  <si>
    <t>Charles Stewart Parnell and his times : a bibliography / N.C. Fleming and Alan O'Day.</t>
  </si>
  <si>
    <t>Fleming, N. C. (Neil C.)</t>
  </si>
  <si>
    <t>Santa Barbara, Calif. : Praeger, ©2011.</t>
  </si>
  <si>
    <t>Bibliographies of British statesmen ; 18 [i.e. 23]</t>
  </si>
  <si>
    <t>762672988:eng</t>
  </si>
  <si>
    <t>690088610</t>
  </si>
  <si>
    <t>ocn690088610</t>
  </si>
  <si>
    <t>31033634491</t>
  </si>
  <si>
    <t>9780313282911</t>
  </si>
  <si>
    <t>794855200</t>
  </si>
  <si>
    <t>Z8676 B67 2012</t>
  </si>
  <si>
    <t>0                      Z  8676000B  67          2012</t>
  </si>
  <si>
    <t>Petrarch's English Laurels, 1475-1700 / compiled by Jackson Campbell Boswell and Gordon McMurry Braden.</t>
  </si>
  <si>
    <t>Boswell, Jackson Campbell.</t>
  </si>
  <si>
    <t>3771242652:eng</t>
  </si>
  <si>
    <t>755213348</t>
  </si>
  <si>
    <t>ocn755213348</t>
  </si>
  <si>
    <t>3103428889C</t>
  </si>
  <si>
    <t>9781409401186</t>
  </si>
  <si>
    <t>794893723</t>
  </si>
  <si>
    <t>Z8685 R86 2012</t>
  </si>
  <si>
    <t>0                      Z  8685000R  86          2012</t>
  </si>
  <si>
    <t>Philo of Alexandria : an annotated bibliography 1997-2006 with addenda for 1987-1996 / by David T. Runia ; in collaboration with the International Philo Bibliography Project.</t>
  </si>
  <si>
    <t>Runia, David T.</t>
  </si>
  <si>
    <t>Supplements to Vigiliae Christianae : texts and studies of early Christian life and language, 0920-623X ; v. 109</t>
  </si>
  <si>
    <t>999648780:eng</t>
  </si>
  <si>
    <t>747385719</t>
  </si>
  <si>
    <t>ocn747385719</t>
  </si>
  <si>
    <t>3103405026X</t>
  </si>
  <si>
    <t>9789004210806</t>
  </si>
  <si>
    <t>794888120</t>
  </si>
  <si>
    <t>Z8699 B68 2013</t>
  </si>
  <si>
    <t>0                      Z  8699000B  68          2013</t>
  </si>
  <si>
    <t>Edgar Allan Poe au Canada, 1859-2008 : une bibliographie analytique / compilation par Moïra Boudreau, Mario Rendace = Edgar Allan Poe in Canada, 1859-2008 : an analytical bibliography / by Moïra Boudreau, Mario Rendace.</t>
  </si>
  <si>
    <t>Boudreau, Moïra, 1988-</t>
  </si>
  <si>
    <t>Montréal : Éditions du Colporteur, 2013.</t>
  </si>
  <si>
    <t>1190878462:eng</t>
  </si>
  <si>
    <t>822646267</t>
  </si>
  <si>
    <t>ocn822646267</t>
  </si>
  <si>
    <t>3103492573C</t>
  </si>
  <si>
    <t>9782981184009</t>
  </si>
  <si>
    <t>794936567</t>
  </si>
  <si>
    <t>Z8709.3 B57 1991</t>
  </si>
  <si>
    <t>0                      Z  8709300B  57          1991</t>
  </si>
  <si>
    <t>Ezra Pound criticism, 1905-1985 : a chronological listing of publications in English.</t>
  </si>
  <si>
    <t>Marburg : Universitätsbibliothek Marburg, 1991.</t>
  </si>
  <si>
    <t>Schriften der Universitätsbibliothek Marburg, 0931-7163 ; 57</t>
  </si>
  <si>
    <t>327216312:eng</t>
  </si>
  <si>
    <t>24793874</t>
  </si>
  <si>
    <t>ocm24793874</t>
  </si>
  <si>
    <t>31035861629</t>
  </si>
  <si>
    <t>9783818500924</t>
  </si>
  <si>
    <t>793205286</t>
  </si>
  <si>
    <t>Z8709.3 G3 1983</t>
  </si>
  <si>
    <t>0                      Z  8709300G  3           1983</t>
  </si>
  <si>
    <t>Ezra Pound : a bibliography / by Donald Gallup.</t>
  </si>
  <si>
    <t>Gallup, Donald, 1913-2000.</t>
  </si>
  <si>
    <t>Charlottesville : Published for the Bibliographical Society of the University of Virginia and St. Paul's Bibliographies by the University Press of Virginia, 1983.</t>
  </si>
  <si>
    <t>St. Paul's bibliographies ; 7</t>
  </si>
  <si>
    <t>2016-10-27</t>
  </si>
  <si>
    <t>1935510251:eng</t>
  </si>
  <si>
    <t>8763170</t>
  </si>
  <si>
    <t>ocm08763170</t>
  </si>
  <si>
    <t>3000951408I</t>
  </si>
  <si>
    <t>9780813909769</t>
  </si>
  <si>
    <t>792639364</t>
  </si>
  <si>
    <t>Z8709.3 R53 1986</t>
  </si>
  <si>
    <t>0                      Z  8709300R  53          1986</t>
  </si>
  <si>
    <t>Ezra Pound, a bibliography of secondary works / compiled by Beatrice Ricks.</t>
  </si>
  <si>
    <t>Metuchen, N.J. : Scarecrow Press, 1986.</t>
  </si>
  <si>
    <t>The Scarecrow author bibliographies ; no. 74</t>
  </si>
  <si>
    <t>5827012:eng</t>
  </si>
  <si>
    <t>12749759</t>
  </si>
  <si>
    <t>ocm12749759</t>
  </si>
  <si>
    <t>31035680998</t>
  </si>
  <si>
    <t>9780810818620</t>
  </si>
  <si>
    <t>792826636</t>
  </si>
  <si>
    <t>Z8718 T78 2011</t>
  </si>
  <si>
    <t>0                      Z  8718000T  78          2011</t>
  </si>
  <si>
    <t>Pushkiniana, 1993-2009 : bibliografii︠a︡ literatury ob A.S. Pushkine / sostavitelʹ, Oleg Trunov.</t>
  </si>
  <si>
    <t>Trunov, Oleg.</t>
  </si>
  <si>
    <t>Moskva : Minuvshee, 2011.</t>
  </si>
  <si>
    <t>Pushkinskai︠a︡ biblioteka</t>
  </si>
  <si>
    <t>5617032668:rus</t>
  </si>
  <si>
    <t>711744134</t>
  </si>
  <si>
    <t>ocn711744134</t>
  </si>
  <si>
    <t>3103393558I</t>
  </si>
  <si>
    <t>9785902073925</t>
  </si>
  <si>
    <t>794871145</t>
  </si>
  <si>
    <t>Z8731.7 K36</t>
  </si>
  <si>
    <t>0                      Z  8731700K  36</t>
  </si>
  <si>
    <t>Jagjivanram : a select bibliography, 1908-1975 / K.L. Chanchreek.</t>
  </si>
  <si>
    <t>Kanhaiyalal Chanchreek, 1933-</t>
  </si>
  <si>
    <t>New Delhi : S. Chand, 1975.</t>
  </si>
  <si>
    <t>2015-03-30</t>
  </si>
  <si>
    <t>4948345:eng</t>
  </si>
  <si>
    <t>2387904</t>
  </si>
  <si>
    <t>ocm02387904</t>
  </si>
  <si>
    <t>3000953691O</t>
  </si>
  <si>
    <t>792114459</t>
  </si>
  <si>
    <t>Z8745.28 C36 2010</t>
  </si>
  <si>
    <t>0                      Z  8745280C  36          2010</t>
  </si>
  <si>
    <t>Roberto Ridolfi : bibliografia / Giuseppe Cantele, Roberto Sbiroli.</t>
  </si>
  <si>
    <t>Cantele, Giuseppe.</t>
  </si>
  <si>
    <t>Firenze : L.S. Olschki, 2010.</t>
  </si>
  <si>
    <t>Biblioteca di bibliografia italiana ; 189</t>
  </si>
  <si>
    <t>909417708:ita</t>
  </si>
  <si>
    <t>566929855</t>
  </si>
  <si>
    <t>ocn566929855</t>
  </si>
  <si>
    <t>3103249184V</t>
  </si>
  <si>
    <t>9788822259530</t>
  </si>
  <si>
    <t>794813126</t>
  </si>
  <si>
    <t>Z8757 A42 1966</t>
  </si>
  <si>
    <t>0                      Z  8757000A  42          1966</t>
  </si>
  <si>
    <t>Writings ascribed to Richard Rolle : hermit of Hampole and materials for his biography.</t>
  </si>
  <si>
    <t>Allen, Hope Emily.</t>
  </si>
  <si>
    <t>New York : Kraus Reprint, 1966.</t>
  </si>
  <si>
    <t>Modern Language Association of America. Monograph series ; 3</t>
  </si>
  <si>
    <t>1734265:eng</t>
  </si>
  <si>
    <t>221225288</t>
  </si>
  <si>
    <t>ocn221225288</t>
  </si>
  <si>
    <t>31033873905</t>
  </si>
  <si>
    <t>794325228</t>
  </si>
  <si>
    <t>Z8759.75 I94 2011</t>
  </si>
  <si>
    <t>0                      Z  8759750I  94          2011</t>
  </si>
  <si>
    <t>Christina Rossetti : a descriptive bibliography / Maura Ives.</t>
  </si>
  <si>
    <t>Ives, Maura C., 1960-</t>
  </si>
  <si>
    <t>773706004:eng</t>
  </si>
  <si>
    <t>699379081</t>
  </si>
  <si>
    <t>ocn699379081</t>
  </si>
  <si>
    <t>3103363387X</t>
  </si>
  <si>
    <t>9781584562917</t>
  </si>
  <si>
    <t>794861381</t>
  </si>
  <si>
    <t>Z8761.15 S76 2017</t>
  </si>
  <si>
    <t>0                      Z  8761150S  76          2017</t>
  </si>
  <si>
    <t>Joseph Roth-Bibliographien : selbstständige und versteckte Bibliographien und Nachschlagewerke zu Leben und Werk / Karl F. Stock, Rudolf Heilinger, Marylène Stock.</t>
  </si>
  <si>
    <t>Stock, Karl F., compiler.</t>
  </si>
  <si>
    <t>Graz : Stock &amp; Stock, 2017.</t>
  </si>
  <si>
    <t>Bibliographieverzeichnisse grosser Österreicher in Einzelbänden</t>
  </si>
  <si>
    <t>4617036119:ger</t>
  </si>
  <si>
    <t>1018368213</t>
  </si>
  <si>
    <t>on1018368213</t>
  </si>
  <si>
    <t>31037213593</t>
  </si>
  <si>
    <t>9783900818630</t>
  </si>
  <si>
    <t>795048989</t>
  </si>
  <si>
    <t>Z8763 B53 2015</t>
  </si>
  <si>
    <t>0                      Z  8763000B  53          2015</t>
  </si>
  <si>
    <t>Bibliographie mondiale des écrits sur Jean-Jacques Rousseau, XVIIIe-XXIe siècles / Tanguy L'Aminot.</t>
  </si>
  <si>
    <t>L'Aminot, Tanguy, author.</t>
  </si>
  <si>
    <t>Genève : Slatkine Érudition, 2015-&lt;2018&gt;</t>
  </si>
  <si>
    <t>4061805174:fre</t>
  </si>
  <si>
    <t>1017570523</t>
  </si>
  <si>
    <t>on1017570523</t>
  </si>
  <si>
    <t>3103891988Y</t>
  </si>
  <si>
    <t>9782051027816</t>
  </si>
  <si>
    <t>795048669</t>
  </si>
  <si>
    <t>31036421818</t>
  </si>
  <si>
    <t>795048671</t>
  </si>
  <si>
    <t>3103642186Z</t>
  </si>
  <si>
    <t>795048670</t>
  </si>
  <si>
    <t>3103717650M</t>
  </si>
  <si>
    <t>795048673</t>
  </si>
  <si>
    <t>3103862410U</t>
  </si>
  <si>
    <t>795048672</t>
  </si>
  <si>
    <t>Z8763 C65 1981</t>
  </si>
  <si>
    <t>0                      Z  8763000C  65          1981</t>
  </si>
  <si>
    <t>Ouvrages français relatifs à Jean-Jacques Rousseau, 1751-1799 : bibliographie chronologique / Pierre M. Conlon.</t>
  </si>
  <si>
    <t>Histoire des idées et critique littéraire ; v. 196</t>
  </si>
  <si>
    <t>2015-06-17</t>
  </si>
  <si>
    <t>807191617:fre</t>
  </si>
  <si>
    <t>8100919</t>
  </si>
  <si>
    <t>ocm08100919</t>
  </si>
  <si>
    <t>3000950610S</t>
  </si>
  <si>
    <t>792598140</t>
  </si>
  <si>
    <t>Z8763.65 E88 2015</t>
  </si>
  <si>
    <t>0                      Z  8763650E  88          2015</t>
  </si>
  <si>
    <t>J.K. Rowling : a bibliography 1997-2013 / Philip W. Errington.</t>
  </si>
  <si>
    <t>Errington, Philip W.</t>
  </si>
  <si>
    <t>London ; New York : Bloomsbury Academic, an imprint of Bloomsbury Publishing Plc, 2015.</t>
  </si>
  <si>
    <t>1761297942:eng</t>
  </si>
  <si>
    <t>868038008</t>
  </si>
  <si>
    <t>ocn868038008</t>
  </si>
  <si>
    <t>3103580654K</t>
  </si>
  <si>
    <t>9781849669740</t>
  </si>
  <si>
    <t>794964343</t>
  </si>
  <si>
    <t>Z8764.68 I23 2011</t>
  </si>
  <si>
    <t>0                      Z  8764680I  23          2011</t>
  </si>
  <si>
    <t>Bibliografia di Girolamo Ruscelli : le edizioni del Cinquecento / Antonella Iacono ; in appendice, Antonella Gregori : saggio di censimento delle edizioni dei Secreti ; introduzione di Paolo Procaccioli.</t>
  </si>
  <si>
    <t>Iacono, Antonella.</t>
  </si>
  <si>
    <t>Roma : Vecchiarelli, 2011.</t>
  </si>
  <si>
    <t>Cinquecento. Studi ; 39 (n.s. 3)</t>
  </si>
  <si>
    <t>1059386765:ita</t>
  </si>
  <si>
    <t>767734812</t>
  </si>
  <si>
    <t>ocn767734812</t>
  </si>
  <si>
    <t>31037841814</t>
  </si>
  <si>
    <t>9788882472979</t>
  </si>
  <si>
    <t>794901438</t>
  </si>
  <si>
    <t>Z8786.55 H37</t>
  </si>
  <si>
    <t>0                      Z  8786550H  37</t>
  </si>
  <si>
    <t>An annotated guide to the works of Dorothy L. Sayers / Robert B. Harmon and Margaret A. Burger.</t>
  </si>
  <si>
    <t>Harmon, Robert B. (Robert Bartlett), 1932-</t>
  </si>
  <si>
    <t>New York : Garland Pub., 1977.</t>
  </si>
  <si>
    <t>Garland reference library of the humanities ; 80</t>
  </si>
  <si>
    <t>5966261:eng</t>
  </si>
  <si>
    <t>2695081</t>
  </si>
  <si>
    <t>ocm02695081</t>
  </si>
  <si>
    <t>3000955622X</t>
  </si>
  <si>
    <t>9780824098964</t>
  </si>
  <si>
    <t>792164173</t>
  </si>
  <si>
    <t>Z8786.55 Y68</t>
  </si>
  <si>
    <t>0                      Z  8786550Y  68</t>
  </si>
  <si>
    <t>Dorothy L. Sayers, a reference guide / Ruth Tanis Youngberg.</t>
  </si>
  <si>
    <t>Youngberg, Ruth Tanis.</t>
  </si>
  <si>
    <t>Boston, Mass. : G.K. Hall, ©1982.</t>
  </si>
  <si>
    <t>2015-05-25</t>
  </si>
  <si>
    <t>478946:eng</t>
  </si>
  <si>
    <t>7737883</t>
  </si>
  <si>
    <t>ocm07737883</t>
  </si>
  <si>
    <t>3100830886X</t>
  </si>
  <si>
    <t>9780816181988</t>
  </si>
  <si>
    <t>792576890</t>
  </si>
  <si>
    <t>Z8811 F69 1935</t>
  </si>
  <si>
    <t>0                      Z  8811000F  69          1935</t>
  </si>
  <si>
    <t>Shakespeare, 1700-1740 : a collation of the editions and separate plays with some account of T. Johnson and R. Walker.</t>
  </si>
  <si>
    <t>Ford, Herbert Lewis.</t>
  </si>
  <si>
    <t>Oxford : Oxford University Press, 1935.</t>
  </si>
  <si>
    <t>1388152:eng</t>
  </si>
  <si>
    <t>181804548</t>
  </si>
  <si>
    <t>ocn181804548</t>
  </si>
  <si>
    <t>3000768651J</t>
  </si>
  <si>
    <t>794283646</t>
  </si>
  <si>
    <t>Z8811 G74</t>
  </si>
  <si>
    <t>0                      Z  8811000G  74</t>
  </si>
  <si>
    <t>The Shakespeare first folio, its bibliographical and textual history.</t>
  </si>
  <si>
    <t>1730114:eng</t>
  </si>
  <si>
    <t>580880</t>
  </si>
  <si>
    <t>ocm00580880</t>
  </si>
  <si>
    <t>30009597245</t>
  </si>
  <si>
    <t>791420496</t>
  </si>
  <si>
    <t>Z8811 H66 2016</t>
  </si>
  <si>
    <t>0                      Z  8811000H  66          2016</t>
  </si>
  <si>
    <t>Selling Shakespeare : biography, bibliography, and the book trade / Adam G. Hooks, University of Iowa.</t>
  </si>
  <si>
    <t>Hooks, Adam G., author.</t>
  </si>
  <si>
    <t>Cambridge : Cambridge University Press, 2016.</t>
  </si>
  <si>
    <t>2622649926:eng</t>
  </si>
  <si>
    <t>921310704</t>
  </si>
  <si>
    <t>ocn921310704</t>
  </si>
  <si>
    <t>31036981799</t>
  </si>
  <si>
    <t>9781107138070</t>
  </si>
  <si>
    <t>795003181</t>
  </si>
  <si>
    <t>Z8811 H69 2000</t>
  </si>
  <si>
    <t>0                      Z  8811000H  69          2000</t>
  </si>
  <si>
    <t>Signal Mountain, Tenn. : Summertown, 2000.</t>
  </si>
  <si>
    <t>2nd ed., rev. and enl.</t>
  </si>
  <si>
    <t>5090836887:eng</t>
  </si>
  <si>
    <t>43569207</t>
  </si>
  <si>
    <t>ocm43569207</t>
  </si>
  <si>
    <t>3102085958J</t>
  </si>
  <si>
    <t>9781893009059</t>
  </si>
  <si>
    <t>793629849</t>
  </si>
  <si>
    <t>Z8811 K7 1955</t>
  </si>
  <si>
    <t>0                      Z  8811000K  7           1955</t>
  </si>
  <si>
    <t>Shakespeare and the stationers.</t>
  </si>
  <si>
    <t>Kirschbaum, Leo, 1907-</t>
  </si>
  <si>
    <t>Columbus, Ohio State University Press, 1955.</t>
  </si>
  <si>
    <t>Graduate school monographs</t>
  </si>
  <si>
    <t>5218269414:eng</t>
  </si>
  <si>
    <t>239496</t>
  </si>
  <si>
    <t>ocm00239496</t>
  </si>
  <si>
    <t>3103794228Z</t>
  </si>
  <si>
    <t>791305432</t>
  </si>
  <si>
    <t>Z8811 S5 1990</t>
  </si>
  <si>
    <t>0                      Z  8811000S  5           1990</t>
  </si>
  <si>
    <t>Shakespeare : a bibliographical guide / edited by Stanley Wells.</t>
  </si>
  <si>
    <t>Oxford : Clarendon Press ; New York : Oxford University Press, 1990.</t>
  </si>
  <si>
    <t>4924945157:eng</t>
  </si>
  <si>
    <t>20853040</t>
  </si>
  <si>
    <t>ocm20853040</t>
  </si>
  <si>
    <t>31008801393</t>
  </si>
  <si>
    <t>9780198710363</t>
  </si>
  <si>
    <t>793101453</t>
  </si>
  <si>
    <t>Z8811 S56 2013</t>
  </si>
  <si>
    <t>0                      Z  8811000S  56          2013</t>
  </si>
  <si>
    <t>Shakespeare's stationers : studies in cultural bibliography / edited by Marta Straznicky.</t>
  </si>
  <si>
    <t>1170121977:eng</t>
  </si>
  <si>
    <t>785870972</t>
  </si>
  <si>
    <t>ocn785870972</t>
  </si>
  <si>
    <t>3103413609M</t>
  </si>
  <si>
    <t>9780812244540</t>
  </si>
  <si>
    <t>794915560</t>
  </si>
  <si>
    <t>Z8812 H3</t>
  </si>
  <si>
    <t>0                      Z  8812000H  3</t>
  </si>
  <si>
    <t>Shakespeare's printers.</t>
  </si>
  <si>
    <t>Hardacre, Kenneth.</t>
  </si>
  <si>
    <t>London, Magpie Press [1966]</t>
  </si>
  <si>
    <t>3713585:eng</t>
  </si>
  <si>
    <t>2109737</t>
  </si>
  <si>
    <t>ocm02109737</t>
  </si>
  <si>
    <t>3000959727$</t>
  </si>
  <si>
    <t>792047814</t>
  </si>
  <si>
    <t>Z8813 C65 2009</t>
  </si>
  <si>
    <t>0                      Z  8813000C  65          2009</t>
  </si>
  <si>
    <t>The book of William : how Shakespeare's first folio conquered the world / Paul Collins.</t>
  </si>
  <si>
    <t>Collins, Paul, 1969-</t>
  </si>
  <si>
    <t>New York : Bloomsbury, ©2009.</t>
  </si>
  <si>
    <t>189625092:eng</t>
  </si>
  <si>
    <t>310224906</t>
  </si>
  <si>
    <t>ocn310224906</t>
  </si>
  <si>
    <t>3103080314U</t>
  </si>
  <si>
    <t>9781596911956</t>
  </si>
  <si>
    <t>794435241</t>
  </si>
  <si>
    <t>Z8813 W48 2001</t>
  </si>
  <si>
    <t>0                      Z  8813000W  48          2001</t>
  </si>
  <si>
    <t>The Shakespeare first folio : the history of the book / Anthony James West.</t>
  </si>
  <si>
    <t>West, Anthony James.</t>
  </si>
  <si>
    <t>Oxford ; New York : Oxford University Press, 2001-2005.</t>
  </si>
  <si>
    <t>4926000616:eng</t>
  </si>
  <si>
    <t>45505940</t>
  </si>
  <si>
    <t>ocm45505940</t>
  </si>
  <si>
    <t>3102135883A</t>
  </si>
  <si>
    <t>9780198187691</t>
  </si>
  <si>
    <t>793673064</t>
  </si>
  <si>
    <t>Z8819.147 S34 2010</t>
  </si>
  <si>
    <t>0                      Z  8819147S  34          2010</t>
  </si>
  <si>
    <t>Bibliographie illustrée des écrits sur Georges Simenon publiés en langue française : livres et plaquettes, catalogues d'expositions, catalogues de ventes, périodiques, œuvres de fiction / Michel Schepens.</t>
  </si>
  <si>
    <t>Schepens, Michel.</t>
  </si>
  <si>
    <t>Bruxelles : Les Amis de Georges Simenon, 2010.</t>
  </si>
  <si>
    <t>764062740:fre</t>
  </si>
  <si>
    <t>691853373</t>
  </si>
  <si>
    <t>ocn691853373</t>
  </si>
  <si>
    <t>3103338917O</t>
  </si>
  <si>
    <t>794855837</t>
  </si>
  <si>
    <t>Z8820.2 C69 2002</t>
  </si>
  <si>
    <t>0                      Z  8820200C  69          2002</t>
  </si>
  <si>
    <t>A critical bibliography of Adam Smith / general editor, Keith Tribe ; advisory editor, Hiroshi Mizuta.</t>
  </si>
  <si>
    <t>London ; Burlington, Vt. : Pickering &amp; Chatto, 2002.</t>
  </si>
  <si>
    <t>863729823:eng</t>
  </si>
  <si>
    <t>47863239</t>
  </si>
  <si>
    <t>ocm47863239</t>
  </si>
  <si>
    <t>3102245963Y</t>
  </si>
  <si>
    <t>9781851967414</t>
  </si>
  <si>
    <t>793709596</t>
  </si>
  <si>
    <t>Z8848.8 B35 2010</t>
  </si>
  <si>
    <t>0                      Z  8848800B  35          2010</t>
  </si>
  <si>
    <t>Tom Stoppard : a bibliographical history / William Baker &amp; Gerald N. Wachs.</t>
  </si>
  <si>
    <t>Baker, William, 1944-</t>
  </si>
  <si>
    <t>766879542:eng</t>
  </si>
  <si>
    <t>694238159</t>
  </si>
  <si>
    <t>ocn694238159</t>
  </si>
  <si>
    <t>3103233906F</t>
  </si>
  <si>
    <t>9780712349666</t>
  </si>
  <si>
    <t>794857333</t>
  </si>
  <si>
    <t>Z8860.5 F3x</t>
  </si>
  <si>
    <t>0                      Z  8860500F  3x</t>
  </si>
  <si>
    <t>Allen Tate; a bibliography. Compiled by Marshall Fallwell, Jr., with the assistance of Martha Cook and Francis Immler.</t>
  </si>
  <si>
    <t>Fallwell, Marshall.</t>
  </si>
  <si>
    <t>New York, D. Lewis, 1969.</t>
  </si>
  <si>
    <t>Fugitive bibliographies</t>
  </si>
  <si>
    <t>2101980:eng</t>
  </si>
  <si>
    <t>1165004</t>
  </si>
  <si>
    <t>ocm01165004</t>
  </si>
  <si>
    <t>3000960250Q</t>
  </si>
  <si>
    <t>791561867</t>
  </si>
  <si>
    <t>Z8868.4 R37</t>
  </si>
  <si>
    <t>0                      Z  8868400R  37</t>
  </si>
  <si>
    <t>Dr. Nikola Tesla bibliography / by John T. Ratzlaff and Leland I. Anderson.</t>
  </si>
  <si>
    <t>Ratzlaff, John T.</t>
  </si>
  <si>
    <t>Palo Alto, Calif. : Ragusan Press, 1979.</t>
  </si>
  <si>
    <t>18474305:eng</t>
  </si>
  <si>
    <t>5661579</t>
  </si>
  <si>
    <t>ocm05661579</t>
  </si>
  <si>
    <t>3103347839M</t>
  </si>
  <si>
    <t>9780918660084</t>
  </si>
  <si>
    <t>792444626</t>
  </si>
  <si>
    <t>Z8883.8 B47 1999</t>
  </si>
  <si>
    <t>0                      Z  8883800B  47          1999</t>
  </si>
  <si>
    <t>Bibliograficheskiĭ ukazatelʹ literatury o L.N. Tolstom. 1979-1984 / [sostaviteli N.G. Sheli︠a︡pina [and others] ; otvetstvennye redaktory Ė.G. Babaev, K.N. Lomunov].</t>
  </si>
  <si>
    <t>Moskva : Nasledie, 1999.</t>
  </si>
  <si>
    <t>2865369342:rus</t>
  </si>
  <si>
    <t>43746197</t>
  </si>
  <si>
    <t>ocm43746197</t>
  </si>
  <si>
    <t>3102076333N</t>
  </si>
  <si>
    <t>9785920800121</t>
  </si>
  <si>
    <t>793633932</t>
  </si>
  <si>
    <t>Z8883.8 B498 1990</t>
  </si>
  <si>
    <t>0                      Z  8883800B  498         1990</t>
  </si>
  <si>
    <t>Bibliograficheskiĭ ukazatelʹ literatury o L.N. Tolstom, 1974- 1978 / [sostaviteli, N.G. Sheli︠a︡pina [and others] ; otvetstvennye redaktory, Ė.G. Babaev, K.N. Lomunov].</t>
  </si>
  <si>
    <t>Moskva : Izd-vo Knizhnai︠a︡ palata, 1990.</t>
  </si>
  <si>
    <t>10033081804:rus</t>
  </si>
  <si>
    <t>28687803</t>
  </si>
  <si>
    <t>ocm28687803</t>
  </si>
  <si>
    <t>3101381502W</t>
  </si>
  <si>
    <t>793293860</t>
  </si>
  <si>
    <t>Z8883.8 E369 2005</t>
  </si>
  <si>
    <t>0                      Z  8883800E  369         2005</t>
  </si>
  <si>
    <t>Leo Tolstoy : an annotated bibliography of English language sources from 1978 to 2003 / David R. Egan, Melinda A. Egan.</t>
  </si>
  <si>
    <t>Egan, David R., 1943-</t>
  </si>
  <si>
    <t>3857796071:eng</t>
  </si>
  <si>
    <t>56608005</t>
  </si>
  <si>
    <t>ocm56608005</t>
  </si>
  <si>
    <t>3102548093P</t>
  </si>
  <si>
    <t>9780810854116</t>
  </si>
  <si>
    <t>793896867</t>
  </si>
  <si>
    <t>Z8883.8 E37</t>
  </si>
  <si>
    <t>0                      Z  8883800E  37</t>
  </si>
  <si>
    <t>Leo Tolstoy, an annotated bibliography of English language sources to 1978 / David R. Egan and Melinda A. Egan.</t>
  </si>
  <si>
    <t>The Scarecrow author bibliographies ; no. 44</t>
  </si>
  <si>
    <t>469374:eng</t>
  </si>
  <si>
    <t>5171591</t>
  </si>
  <si>
    <t>ocm05171591</t>
  </si>
  <si>
    <t>30009500074</t>
  </si>
  <si>
    <t>9780810812321</t>
  </si>
  <si>
    <t>792413329</t>
  </si>
  <si>
    <t>Z8883.8 M59</t>
  </si>
  <si>
    <t>0                      Z  8883800M  59</t>
  </si>
  <si>
    <t>Bibliografii︠a︡ literatury oʹ L.N. Tolstom, 1917-1958.</t>
  </si>
  <si>
    <t>Moscow (Russia). Gosudarstvennyĭ muzeĭ L.N. Tolstogo.</t>
  </si>
  <si>
    <t>4663538180:rus</t>
  </si>
  <si>
    <t>427373524</t>
  </si>
  <si>
    <t>ocn427373524</t>
  </si>
  <si>
    <t>3000960281F</t>
  </si>
  <si>
    <t>794638663</t>
  </si>
  <si>
    <t>3100830904K</t>
  </si>
  <si>
    <t>794638662</t>
  </si>
  <si>
    <t>Z8883.8 M64</t>
  </si>
  <si>
    <t>0                      Z  8883800M  64</t>
  </si>
  <si>
    <t>Khudozhestvennye proizvedenii︠a︡ L.N. Tolstogo v perevodakh.</t>
  </si>
  <si>
    <t>Vsesoi︠u︡znai︠a︡ gosudarstvennai︠a︡ biblioteka inostrannoĭ literatury (Soviet Union)</t>
  </si>
  <si>
    <t>Moskva : Izd-vo Vses. knizhnoǐ palaty, 1961.</t>
  </si>
  <si>
    <t>3902763435:rus</t>
  </si>
  <si>
    <t>61573409</t>
  </si>
  <si>
    <t>ocm61573409</t>
  </si>
  <si>
    <t>30009602784</t>
  </si>
  <si>
    <t>794008089</t>
  </si>
  <si>
    <t>Z8883.8 S53</t>
  </si>
  <si>
    <t>0                      Z  8883800S  53</t>
  </si>
  <si>
    <t>Bibliografii︠a︡ literatury o L.N. Tolstom. 1962-1967. Sost. N.G. Sheli︠a︡pina, A.S. Usacheva, L.G. Lisovskai︠a︡.</t>
  </si>
  <si>
    <t>Sheli︠a︡pina, N. G.</t>
  </si>
  <si>
    <t>Moskva, "Kniga, " 1972.</t>
  </si>
  <si>
    <t>9322736696:rus</t>
  </si>
  <si>
    <t>1951966</t>
  </si>
  <si>
    <t>ocm01951966</t>
  </si>
  <si>
    <t>3000949875R</t>
  </si>
  <si>
    <t>792017246</t>
  </si>
  <si>
    <t>Z8891.43 N3</t>
  </si>
  <si>
    <t>0                      Z  8891430N  3</t>
  </si>
  <si>
    <t>Studies on Dream of the red chamber : a selected and classified bibliography / Tsung Shun Na.</t>
  </si>
  <si>
    <t>Na, Zongxun.</t>
  </si>
  <si>
    <t>Hong Kong : Lung Men Press, 1979.</t>
  </si>
  <si>
    <t>43299509:eng</t>
  </si>
  <si>
    <t>6917110</t>
  </si>
  <si>
    <t>ocm06917110</t>
  </si>
  <si>
    <t>3000950180R</t>
  </si>
  <si>
    <t>792530278</t>
  </si>
  <si>
    <t>Z8891.43 N33 1982</t>
  </si>
  <si>
    <t>0                      Z  8891430N  33          1982</t>
  </si>
  <si>
    <t>Taiwan studies on Dream of the red chamber : a selected and classified bibliography / Zong Shun Na = [Taiwan suo jian Hong lou meng yan jiu shu mu / Na Zongxun bian zhu].</t>
  </si>
  <si>
    <t>Taipei, Taiwan, R.O.C. : Shin Wen Feng Print Co., 1982.</t>
  </si>
  <si>
    <t>3857104514:chi</t>
  </si>
  <si>
    <t>9830106</t>
  </si>
  <si>
    <t>ocm09830106</t>
  </si>
  <si>
    <t>3000952588M</t>
  </si>
  <si>
    <t>792695834</t>
  </si>
  <si>
    <t>Z8891.98 M24 2013</t>
  </si>
  <si>
    <t>0                      Z  8891980M  24          2013</t>
  </si>
  <si>
    <t>M.I. T︠S︡vetaeva : Materialy k bibliografii / Sostavitelʹ: G.N. Datnova.</t>
  </si>
  <si>
    <t>Moskva : Dom-muzeĭ Mariny T︠S︡vetaevoĭ, 2013.</t>
  </si>
  <si>
    <t>3862702505:rus</t>
  </si>
  <si>
    <t>879321219</t>
  </si>
  <si>
    <t>ocn879321219</t>
  </si>
  <si>
    <t>31035862508</t>
  </si>
  <si>
    <t>9785930151435</t>
  </si>
  <si>
    <t>794971911</t>
  </si>
  <si>
    <t>Z8924.53 C75 1991</t>
  </si>
  <si>
    <t>0                      Z  8924530C  75          1991</t>
  </si>
  <si>
    <t>A Critical inventory of Rāmāyaṇa studies in the world / edited by K. Krishnamoorthy, assistant editor, Satkari Mukhopadhyaya.</t>
  </si>
  <si>
    <t>New Delhi : Sahitya Akademi in collaboration with Union Academique Internationale, Bruxelles, 1991-&lt;1993&gt;</t>
  </si>
  <si>
    <t>2864950825:eng</t>
  </si>
  <si>
    <t>26917096</t>
  </si>
  <si>
    <t>ocm26917096</t>
  </si>
  <si>
    <t>3101334946B</t>
  </si>
  <si>
    <t>9788172011000</t>
  </si>
  <si>
    <t>793254806</t>
  </si>
  <si>
    <t>3101573365Z</t>
  </si>
  <si>
    <t>793254805</t>
  </si>
  <si>
    <t>Z8941.8 S36 2012</t>
  </si>
  <si>
    <t>0                      Z  8941800S  36          2012</t>
  </si>
  <si>
    <t>Ottavo contributo alla bibliografia vichiana, 2006-2010 / Alessia Scognamiglio.</t>
  </si>
  <si>
    <t>Scognamiglio, Alessia, compiler.</t>
  </si>
  <si>
    <t>Studi vichiani ; 51</t>
  </si>
  <si>
    <t>1118127584:ita</t>
  </si>
  <si>
    <t>794703364</t>
  </si>
  <si>
    <t>ocn794703364</t>
  </si>
  <si>
    <t>3103483284K</t>
  </si>
  <si>
    <t>9788863724080</t>
  </si>
  <si>
    <t>794920311</t>
  </si>
  <si>
    <t>Z8944.65 H46 2012</t>
  </si>
  <si>
    <t>0                      Z  8944650H  46          2012</t>
  </si>
  <si>
    <t>William T. Vollmann : an annotated bibliography / Michael Hemmingson.</t>
  </si>
  <si>
    <t>Hemmingson, Michael A., author.</t>
  </si>
  <si>
    <t>Lanham : Scarecrow Press, 2012.</t>
  </si>
  <si>
    <t>950460690:eng</t>
  </si>
  <si>
    <t>742512313</t>
  </si>
  <si>
    <t>ocn742512313</t>
  </si>
  <si>
    <t>3103468427G</t>
  </si>
  <si>
    <t>9780810882249</t>
  </si>
  <si>
    <t>794885112</t>
  </si>
  <si>
    <t>Z8945 S4</t>
  </si>
  <si>
    <t>0                      Z  8945000S  4</t>
  </si>
  <si>
    <t>Voltaire and the Gentleman's magazine, 1731-1868; an index compiled and edited with an introd. by J.A.R. Séguin.</t>
  </si>
  <si>
    <t>Séguin, J. A. R.</t>
  </si>
  <si>
    <t>New York, R. Paxton, 1962.</t>
  </si>
  <si>
    <t>7352284:eng</t>
  </si>
  <si>
    <t>3023787</t>
  </si>
  <si>
    <t>ocm03023787</t>
  </si>
  <si>
    <t>30007678493</t>
  </si>
  <si>
    <t>792207887</t>
  </si>
  <si>
    <t>Voltaire and the Gentleman's magazine, 1731-1868 : an index / compiled and edited with an introd. by J.A.R. Séguin.</t>
  </si>
  <si>
    <t>New Jersey : R. Paxton, 1963 [©1962]</t>
  </si>
  <si>
    <t>9856184</t>
  </si>
  <si>
    <t>ocm09856184</t>
  </si>
  <si>
    <t>3000767851G</t>
  </si>
  <si>
    <t>792697068</t>
  </si>
  <si>
    <t>Z8947.9 H3</t>
  </si>
  <si>
    <t>0                      Z  8947900H  3</t>
  </si>
  <si>
    <t>A bibliography of Horace Walpole.</t>
  </si>
  <si>
    <t>Hazen, Allen T. (Allen Tracy), 1904-1977.</t>
  </si>
  <si>
    <t>New Haven, Yale Univ. Press, 1948.</t>
  </si>
  <si>
    <t>1735605:eng</t>
  </si>
  <si>
    <t>1242356</t>
  </si>
  <si>
    <t>ocm01242356</t>
  </si>
  <si>
    <t>3000955650S</t>
  </si>
  <si>
    <t>9780712905725</t>
  </si>
  <si>
    <t>791581672</t>
  </si>
  <si>
    <t>Z8947.9 S23 1984</t>
  </si>
  <si>
    <t>0                      Z  8947900S  23          1984</t>
  </si>
  <si>
    <t>Horace Walpole : a reference guide / Peter Sabor.</t>
  </si>
  <si>
    <t>Sabor, Peter.</t>
  </si>
  <si>
    <t>Boston, Mass. : G.K. Hall, ©1984.</t>
  </si>
  <si>
    <t>3372148355:eng</t>
  </si>
  <si>
    <t>10727176</t>
  </si>
  <si>
    <t>ocm10727176</t>
  </si>
  <si>
    <t>3000952646Y</t>
  </si>
  <si>
    <t>9780816185788</t>
  </si>
  <si>
    <t>792740031</t>
  </si>
  <si>
    <t>Z8948.3 M45 2015</t>
  </si>
  <si>
    <t>0                      Z  8948300M  45          2015</t>
  </si>
  <si>
    <t>Martin Walser Werkverzeichnis (1949-2009) / Andreas Meier ; unter Mitarbeit von Florian Hugk.</t>
  </si>
  <si>
    <t>Meier, Andreas, 1957- author.</t>
  </si>
  <si>
    <t>Berlin ; Boston : De Gruyter, [2015]</t>
  </si>
  <si>
    <t>2082663591:ger</t>
  </si>
  <si>
    <t>922970110</t>
  </si>
  <si>
    <t>ocn922970110</t>
  </si>
  <si>
    <t>31036249865</t>
  </si>
  <si>
    <t>9783110378719</t>
  </si>
  <si>
    <t>795004381</t>
  </si>
  <si>
    <t>Z8964.8 S65 2012</t>
  </si>
  <si>
    <t>0                      Z  8964800S  65          2012</t>
  </si>
  <si>
    <t>The journalism of H.G. Wells : an annotated bibliography / by David C. Smith ; edited by Patrick Parrinder ; with a descriptive index of journals compiled by Mike Ashley.</t>
  </si>
  <si>
    <t>Smith, David C. (David Clayton), 1929-2009.</t>
  </si>
  <si>
    <t>[Haren] : Equilibris Pub., ©2012.</t>
  </si>
  <si>
    <t>1142539992:eng</t>
  </si>
  <si>
    <t>802323668</t>
  </si>
  <si>
    <t>ocn802323668</t>
  </si>
  <si>
    <t>3103582982Y</t>
  </si>
  <si>
    <t>9789059760004</t>
  </si>
  <si>
    <t>794925605</t>
  </si>
  <si>
    <t>Z8971.5 M93 1993 Suppl.</t>
  </si>
  <si>
    <t>0                      Z  8971500M  93          1993                                        Suppl.</t>
  </si>
  <si>
    <t>Supplement to "Walt Whitman, a descriptive bibliography" / by Joel Myerson.</t>
  </si>
  <si>
    <t>Myerson, Joel.</t>
  </si>
  <si>
    <t>Iowa City : University of Iowa Press, ©2011.</t>
  </si>
  <si>
    <t>The Iowa Whitman series</t>
  </si>
  <si>
    <t>675322444:eng</t>
  </si>
  <si>
    <t>667873342</t>
  </si>
  <si>
    <t>ocn667873342</t>
  </si>
  <si>
    <t>31033438341</t>
  </si>
  <si>
    <t>9781587299797</t>
  </si>
  <si>
    <t>794845731</t>
  </si>
  <si>
    <t>Z8975 D8</t>
  </si>
  <si>
    <t>0                      Z  8975000D  8</t>
  </si>
  <si>
    <t>A collection of original manuscripts, letters &amp; books of Oscar Wilde : including his letters written to Robert Ross from Reading gaol and unpublished letters, poems &amp; plays formerly in the possession of Robert Ross, C.S. Millard (Stuart Mason) and the younger son of Oscar Wilde.</t>
  </si>
  <si>
    <t>London : Dulau &amp; Co., [192-?]</t>
  </si>
  <si>
    <t>Catalogue (Dulau and Co.) ; 161</t>
  </si>
  <si>
    <t>5218722852:eng</t>
  </si>
  <si>
    <t>602941</t>
  </si>
  <si>
    <t>ocm00602941</t>
  </si>
  <si>
    <t>3000955655I</t>
  </si>
  <si>
    <t>791426003</t>
  </si>
  <si>
    <t>Z8976.487 S72 2015</t>
  </si>
  <si>
    <t>0                      Z  8976487S  72          2015</t>
  </si>
  <si>
    <t>The ultimate Colin Wilson bibliography, 1956-2015 / by Colin Stanley.</t>
  </si>
  <si>
    <t>Stanley, Colin, 1952- author.</t>
  </si>
  <si>
    <t>Turney's Quay, Nottingham, England : Paupers' Press, 2015.</t>
  </si>
  <si>
    <t>Colin Wilson studies ; no. 24</t>
  </si>
  <si>
    <t>2477440776:eng</t>
  </si>
  <si>
    <t>905518009</t>
  </si>
  <si>
    <t>ocn905518009</t>
  </si>
  <si>
    <t>3103613185D</t>
  </si>
  <si>
    <t>9780956866356</t>
  </si>
  <si>
    <t>794991462</t>
  </si>
  <si>
    <t>Z8981.5 T62 2013</t>
  </si>
  <si>
    <t>0                      Z  8981500T  62          2013</t>
  </si>
  <si>
    <t>Mary Wollstonecraft : an annotated bibliography / Janet M. Todd.</t>
  </si>
  <si>
    <t>Todd, Janet, 1942- author.</t>
  </si>
  <si>
    <t>London : Routledge, 2013.</t>
  </si>
  <si>
    <t>Routledge library editions. Women's history ; volume 39</t>
  </si>
  <si>
    <t>2260909567:eng</t>
  </si>
  <si>
    <t>829721397</t>
  </si>
  <si>
    <t>ocn829721397</t>
  </si>
  <si>
    <t>3103454946I</t>
  </si>
  <si>
    <t>9780415628068</t>
  </si>
  <si>
    <t>794942684</t>
  </si>
  <si>
    <t>Z8981.9 A8</t>
  </si>
  <si>
    <t>0                      Z  8981900A  8</t>
  </si>
  <si>
    <t>Casey A. Wood (1856-1942) : ophthalmologist, bookman, ornithologist : a bio-bibliography / compiled by Effie C. Astbury.</t>
  </si>
  <si>
    <t>Astbury, Effie C.</t>
  </si>
  <si>
    <t>Montreal : Graduate School of Library Science, McGill University, 1981.</t>
  </si>
  <si>
    <t>Occasional paper ; 7</t>
  </si>
  <si>
    <t>9593202336:eng</t>
  </si>
  <si>
    <t>8049006</t>
  </si>
  <si>
    <t>ocm08049006</t>
  </si>
  <si>
    <t>3103523856W</t>
  </si>
  <si>
    <t>792595385</t>
  </si>
  <si>
    <t>2009-01-29</t>
  </si>
  <si>
    <t>3000843070W</t>
  </si>
  <si>
    <t>792595386</t>
  </si>
  <si>
    <t>3102301416F</t>
  </si>
  <si>
    <t>792595383</t>
  </si>
  <si>
    <t>Z8985 R44 2013</t>
  </si>
  <si>
    <t>0                      Z  8985000R  44          2013</t>
  </si>
  <si>
    <t>A bibliography of William Wordsworth, 1787-1930 / Mark L. Reed.</t>
  </si>
  <si>
    <t>Reed, Mark L.</t>
  </si>
  <si>
    <t>3375770683:eng</t>
  </si>
  <si>
    <t>812067588</t>
  </si>
  <si>
    <t>ocn812067588</t>
  </si>
  <si>
    <t>31035523147</t>
  </si>
  <si>
    <t>9781107026377</t>
  </si>
  <si>
    <t>794930617</t>
  </si>
  <si>
    <t>31035523205</t>
  </si>
  <si>
    <t>794930616</t>
  </si>
  <si>
    <t>ZA3050 W47 2010</t>
  </si>
  <si>
    <t>0                      ZA 3050000W  47          2010</t>
  </si>
  <si>
    <t>99 jumpstarts to research : topic guides for finding information on current issues / Peggy Whitley, Susan Williams Goodwin, and Catherine C. Olson.</t>
  </si>
  <si>
    <t>Whitley, Peggy.</t>
  </si>
  <si>
    <t xml:space="preserve">ZA </t>
  </si>
  <si>
    <t>796588729:eng</t>
  </si>
  <si>
    <t>548555627</t>
  </si>
  <si>
    <t>ocn548555627</t>
  </si>
  <si>
    <t>3103237062E</t>
  </si>
  <si>
    <t>9781598843682</t>
  </si>
  <si>
    <t>794810970</t>
  </si>
  <si>
    <t>ZA3060 L58 2008</t>
  </si>
  <si>
    <t>0                      ZA 3060000L  58          2008</t>
  </si>
  <si>
    <t>Paper to digital : documents in the information age / Ziming Liu.</t>
  </si>
  <si>
    <t>Liu, Ziming, 1965-</t>
  </si>
  <si>
    <t>815090451:eng</t>
  </si>
  <si>
    <t>230729402</t>
  </si>
  <si>
    <t>ocn230729402</t>
  </si>
  <si>
    <t>3102978279L</t>
  </si>
  <si>
    <t>9781591586203</t>
  </si>
  <si>
    <t>794355381</t>
  </si>
  <si>
    <t>ZA3075 A35 2016</t>
  </si>
  <si>
    <t>0                      ZA 3075000A  35          2016</t>
  </si>
  <si>
    <t>Emerging strategies for supporting student learning / Barbara Allan.</t>
  </si>
  <si>
    <t>Allan, Barbara, 1954- author.</t>
  </si>
  <si>
    <t>2826408705:eng</t>
  </si>
  <si>
    <t>922728761</t>
  </si>
  <si>
    <t>ocn922728761</t>
  </si>
  <si>
    <t>3103654543L</t>
  </si>
  <si>
    <t>9781783300709</t>
  </si>
  <si>
    <t>795004099</t>
  </si>
  <si>
    <t>ZA3075 A424 2018</t>
  </si>
  <si>
    <t>0                      ZA 3075000A  424         2018</t>
  </si>
  <si>
    <t>Exploring context in information behavior : seeker, situation, surroundings, and shared identities / Naresh Kumar Agarwal.</t>
  </si>
  <si>
    <t>Agarwal, Naresh Kumar, author.</t>
  </si>
  <si>
    <t>[San Rafael, California] : Morgan &amp; Claypool Publishers, [2018]</t>
  </si>
  <si>
    <t>Synthesis lectures on information concepts, retrieval, and services, 1947-9468 ; 61</t>
  </si>
  <si>
    <t>4669481372:eng</t>
  </si>
  <si>
    <t>1020804246</t>
  </si>
  <si>
    <t>on1020804246</t>
  </si>
  <si>
    <t>3103793349S</t>
  </si>
  <si>
    <t>9781681730813</t>
  </si>
  <si>
    <t>795050523</t>
  </si>
  <si>
    <t>ZA3075 A85 2003</t>
  </si>
  <si>
    <t>0                      ZA 3075000A  85          2003</t>
  </si>
  <si>
    <t>Assessing student learning outcomes for information literacy instruction in academic institutions / edited by Elizabeth Fuseler Avery.</t>
  </si>
  <si>
    <t>723878:eng</t>
  </si>
  <si>
    <t>53215729</t>
  </si>
  <si>
    <t>ocm53215729</t>
  </si>
  <si>
    <t>3102463597Q</t>
  </si>
  <si>
    <t>9780838982617</t>
  </si>
  <si>
    <t>793823830</t>
  </si>
  <si>
    <t>ZA3075 B34 2011</t>
  </si>
  <si>
    <t>0                      ZA 3075000B  34          2011</t>
  </si>
  <si>
    <t>Modern information retrieval : the concepts and technology behind search / Ricardo Baeza-Yates, Berthier Ribeiro-Neto.</t>
  </si>
  <si>
    <t>New York : Addison Wesley, 2011, ©2011.</t>
  </si>
  <si>
    <t>4168590640:eng</t>
  </si>
  <si>
    <t>683591535</t>
  </si>
  <si>
    <t>ocn683591535</t>
  </si>
  <si>
    <t>3103655600U</t>
  </si>
  <si>
    <t>9780321416919</t>
  </si>
  <si>
    <t>794853483</t>
  </si>
  <si>
    <t>ZA3075 B43 2006</t>
  </si>
  <si>
    <t>0                      ZA 3075000B  43          2006</t>
  </si>
  <si>
    <t>Using pop culture to teach information literacy : methods to engage a new generation / Linda D. Behen.</t>
  </si>
  <si>
    <t>Behen, Linda D.</t>
  </si>
  <si>
    <t>305262866:eng</t>
  </si>
  <si>
    <t>63692613</t>
  </si>
  <si>
    <t>ocm63692613</t>
  </si>
  <si>
    <t>3102584739C</t>
  </si>
  <si>
    <t>9781591583011</t>
  </si>
  <si>
    <t>794122491</t>
  </si>
  <si>
    <t>ZA3075 B58 2012</t>
  </si>
  <si>
    <t>0                      ZA 3075000B  58          2012</t>
  </si>
  <si>
    <t>A guide to teaching information literacy : 101 practical tips / Helen Blanchett, Chris Powis and Jo Webb.</t>
  </si>
  <si>
    <t>Blanchett, Helen.</t>
  </si>
  <si>
    <t>375429795:eng</t>
  </si>
  <si>
    <t>759939002</t>
  </si>
  <si>
    <t>ocn759939002</t>
  </si>
  <si>
    <t>3103408213H</t>
  </si>
  <si>
    <t>9781856046596</t>
  </si>
  <si>
    <t>794898092</t>
  </si>
  <si>
    <t>ZA3075 B59 2010</t>
  </si>
  <si>
    <t>0                      ZA 3075000B  59          2010</t>
  </si>
  <si>
    <t>Interacting with information / Ann Blandford and Simon Attfield.</t>
  </si>
  <si>
    <t>Blandford, Ann.</t>
  </si>
  <si>
    <t>Synthesis lectures on human-centered informatics, 1946-7680 ; #6</t>
  </si>
  <si>
    <t>378872589:eng</t>
  </si>
  <si>
    <t>317467173</t>
  </si>
  <si>
    <t>ocn317467173</t>
  </si>
  <si>
    <t>3103241595C</t>
  </si>
  <si>
    <t>9781608450268</t>
  </si>
  <si>
    <t>794453796</t>
  </si>
  <si>
    <t>ZA3075 B67 2016</t>
  </si>
  <si>
    <t>0                      ZA 3075000B  67          2016</t>
  </si>
  <si>
    <t>The Chicago guide to fact-checking / Brooke Borel.</t>
  </si>
  <si>
    <t>Borel, Brooke, author.</t>
  </si>
  <si>
    <t>Chicago ; London : The University of Chicago Press, [2016]</t>
  </si>
  <si>
    <t>3842882628:eng</t>
  </si>
  <si>
    <t>944087564</t>
  </si>
  <si>
    <t>ocn944087564</t>
  </si>
  <si>
    <t>3103740262B</t>
  </si>
  <si>
    <t>9780226290768</t>
  </si>
  <si>
    <t>795012710</t>
  </si>
  <si>
    <t>ZA3075 B77 2016</t>
  </si>
  <si>
    <t>0                      ZA 3075000B  77          2016</t>
  </si>
  <si>
    <t>Visual literacy for libraries : a practical, standards-based guide / Nicole E. Brown, Kaila Bussert, Denise Hattwig, Ann Medaille.</t>
  </si>
  <si>
    <t>Brown, Nicole E., author.</t>
  </si>
  <si>
    <t>2990420065:eng</t>
  </si>
  <si>
    <t>932003502</t>
  </si>
  <si>
    <t>ocn932003502</t>
  </si>
  <si>
    <t>3103657511J</t>
  </si>
  <si>
    <t>9780838913819</t>
  </si>
  <si>
    <t>795008155</t>
  </si>
  <si>
    <t>ZA3075 B868 2005</t>
  </si>
  <si>
    <t>0                      ZA 3075000B  868         2005</t>
  </si>
  <si>
    <t>Creating a comprehensive information literacy plan : a how-to-do-it manual and CD-ROM for librarians / Joanna M. Burkhardt, Mary C. MacDonald, Andrée J. Rathemacher.</t>
  </si>
  <si>
    <t>Burkhardt, Joanna M.</t>
  </si>
  <si>
    <t>New York : Neal-Schuman Publishers, [2005]</t>
  </si>
  <si>
    <t>How-to-do-it manuals for librarians ; no. 150</t>
  </si>
  <si>
    <t>320028710:eng</t>
  </si>
  <si>
    <t>60393425</t>
  </si>
  <si>
    <t>ocm60393425</t>
  </si>
  <si>
    <t>3102561989I</t>
  </si>
  <si>
    <t>9781555705336</t>
  </si>
  <si>
    <t>793936938</t>
  </si>
  <si>
    <t>ZA3075 B87 2003</t>
  </si>
  <si>
    <t>0                      ZA 3075000B  87          2003</t>
  </si>
  <si>
    <t>Teaching information literacy : 35 practical, standards-based exercises for college students / Joanna M. Burkhardt, Mary C. MacDonald, Andrée J. Rathemacher.</t>
  </si>
  <si>
    <t>4803474285:eng</t>
  </si>
  <si>
    <t>51983487</t>
  </si>
  <si>
    <t>ocm51983487</t>
  </si>
  <si>
    <t>3102362624A</t>
  </si>
  <si>
    <t>9780838908549</t>
  </si>
  <si>
    <t>793795824</t>
  </si>
  <si>
    <t>ZA3075 B87 2010</t>
  </si>
  <si>
    <t>0                      ZA 3075000B  87          2010</t>
  </si>
  <si>
    <t>Teaching information literacy : 50 standards-based exercises for college students / Joanna M. Burkhardt, Mary C. MacDonald ; with Andrée J. Rathemacher.</t>
  </si>
  <si>
    <t>2017-09-06</t>
  </si>
  <si>
    <t>796435442:eng</t>
  </si>
  <si>
    <t>461324399</t>
  </si>
  <si>
    <t>ocn461324399</t>
  </si>
  <si>
    <t>31032275478</t>
  </si>
  <si>
    <t>9780838910535</t>
  </si>
  <si>
    <t>794791489</t>
  </si>
  <si>
    <t>ZA3075 B87 2016</t>
  </si>
  <si>
    <t>0                      ZA 3075000B  87          2016</t>
  </si>
  <si>
    <t>Teaching information literacy reframed : 50+ framework-based exercises for creating information-literate learners / Joanna M. Burkhardt.</t>
  </si>
  <si>
    <t>Burkhardt, Joanna M., author.</t>
  </si>
  <si>
    <t>Chicago : Neal-Schuman, 2016.</t>
  </si>
  <si>
    <t>3781602429:eng</t>
  </si>
  <si>
    <t>945483314</t>
  </si>
  <si>
    <t>ocn945483314</t>
  </si>
  <si>
    <t>3103656271I</t>
  </si>
  <si>
    <t>9780838913970</t>
  </si>
  <si>
    <t>795013557</t>
  </si>
  <si>
    <t>ZA 3075 C337L 2002</t>
  </si>
  <si>
    <t>0                      ZA 3075000C  337L        2002</t>
  </si>
  <si>
    <t>Looking for information : a survey of research on information seeking, needs, and behavior / Donald O. Case.</t>
  </si>
  <si>
    <t>Case, Donald Owen.</t>
  </si>
  <si>
    <t>2018-04-08</t>
  </si>
  <si>
    <t>10787634:eng</t>
  </si>
  <si>
    <t>49883211</t>
  </si>
  <si>
    <t>ocm49883211</t>
  </si>
  <si>
    <t>3102296475I</t>
  </si>
  <si>
    <t>9780121503819</t>
  </si>
  <si>
    <t>793749895</t>
  </si>
  <si>
    <t>ZA3075 C3557 2009</t>
  </si>
  <si>
    <t>0                      ZA 3075000C  3557        2009</t>
  </si>
  <si>
    <t>Guiding students into information literacy : strategies for teachers and teacher-librarians / Chris Carlson, Ellen Brosnahan.</t>
  </si>
  <si>
    <t>Carlson, Chris, 1948-</t>
  </si>
  <si>
    <t>Lanham, Md. : Scarecrow Press, ©2009.</t>
  </si>
  <si>
    <t>799685106:eng</t>
  </si>
  <si>
    <t>234260080</t>
  </si>
  <si>
    <t>ocn234260080</t>
  </si>
  <si>
    <t>31030523082</t>
  </si>
  <si>
    <t>9780810859746</t>
  </si>
  <si>
    <t>794369332</t>
  </si>
  <si>
    <t>ZA3075 C36 2002</t>
  </si>
  <si>
    <t>0                      ZA 3075000C  36          2002</t>
  </si>
  <si>
    <t>2017-02-06</t>
  </si>
  <si>
    <t>3102199437E</t>
  </si>
  <si>
    <t>793749894</t>
  </si>
  <si>
    <t>ZA3075 C37 2007</t>
  </si>
  <si>
    <t>0                      ZA 3075000C  37          2007</t>
  </si>
  <si>
    <t>Amsterdam ; Boston : Elsevier/Academic Press, 2007.</t>
  </si>
  <si>
    <t>71951939</t>
  </si>
  <si>
    <t>ocm71951939</t>
  </si>
  <si>
    <t>3102632037N</t>
  </si>
  <si>
    <t>9780123694300</t>
  </si>
  <si>
    <t>794169488</t>
  </si>
  <si>
    <t>ZA3075 C37 2016</t>
  </si>
  <si>
    <t>0                      ZA 3075000C  37          2016</t>
  </si>
  <si>
    <t>Looking for information : a survey of research on information seeking, needs, and behavior / by Donald O. Case, University of Kentucky, KY, USA, Lisa M. Given, Charles Sturt University, Wagga Wagga, Australia.</t>
  </si>
  <si>
    <t>Case, Donald Owen, author.</t>
  </si>
  <si>
    <t>Bingley, UK : Emerald, 2016.</t>
  </si>
  <si>
    <t>2018-03-11</t>
  </si>
  <si>
    <t>923550250</t>
  </si>
  <si>
    <t>ocn923550250</t>
  </si>
  <si>
    <t>3103688735B</t>
  </si>
  <si>
    <t>9781785609688</t>
  </si>
  <si>
    <t>795004529</t>
  </si>
  <si>
    <t>3103668070C</t>
  </si>
  <si>
    <t>795004528</t>
  </si>
  <si>
    <t>ZA3075 C38 2003</t>
  </si>
  <si>
    <t>0                      ZA 3075000C  38          2003</t>
  </si>
  <si>
    <t>Information skills survey : for assessment of information literacy in higher education : administration manual / Ralph Catts.</t>
  </si>
  <si>
    <t>Catts, Ralph.</t>
  </si>
  <si>
    <t>Canberra : CAUL, ©2003.</t>
  </si>
  <si>
    <t>2017-03-02</t>
  </si>
  <si>
    <t>2214773380:eng</t>
  </si>
  <si>
    <t>62538681</t>
  </si>
  <si>
    <t>ocm62538681</t>
  </si>
  <si>
    <t>3103299162A</t>
  </si>
  <si>
    <t>9780868039992</t>
  </si>
  <si>
    <t>794109573</t>
  </si>
  <si>
    <t>ZA3075 C46 2011</t>
  </si>
  <si>
    <t>0                      ZA 3075000C  46          2011</t>
  </si>
  <si>
    <t>Information users and usability in the digital age / G.G. Chowdhury and Sudatta Chowdhury.</t>
  </si>
  <si>
    <t>London : Facet, 2011.</t>
  </si>
  <si>
    <t>69775670:eng</t>
  </si>
  <si>
    <t>85898435</t>
  </si>
  <si>
    <t>ocm85898435</t>
  </si>
  <si>
    <t>31033814165</t>
  </si>
  <si>
    <t>9781856045971</t>
  </si>
  <si>
    <t>794217697</t>
  </si>
  <si>
    <t>ZA3075 C47 2010</t>
  </si>
  <si>
    <t>0                      ZA 3075000C  47          2010</t>
  </si>
  <si>
    <t>Introduction to modern information retrieval / G.G. Chowdhury.</t>
  </si>
  <si>
    <t>11210357:eng</t>
  </si>
  <si>
    <t>663849665</t>
  </si>
  <si>
    <t>ocn663849665</t>
  </si>
  <si>
    <t>3103134367N</t>
  </si>
  <si>
    <t>9781856046947</t>
  </si>
  <si>
    <t>794842753</t>
  </si>
  <si>
    <t>3103401564Q</t>
  </si>
  <si>
    <t>794842754</t>
  </si>
  <si>
    <t>ZA3075 C64 2012</t>
  </si>
  <si>
    <t>0                      ZA 3075000C  64          2012</t>
  </si>
  <si>
    <t>Information need : a theory connecting information search to knowledge formation / Charles Cole.</t>
  </si>
  <si>
    <t>Cole, Charles, 1953-</t>
  </si>
  <si>
    <t>2016-07-22</t>
  </si>
  <si>
    <t>1072484984:eng</t>
  </si>
  <si>
    <t>772525869</t>
  </si>
  <si>
    <t>ocn772525869</t>
  </si>
  <si>
    <t>3103430408U</t>
  </si>
  <si>
    <t>9781573874298</t>
  </si>
  <si>
    <t>794904653</t>
  </si>
  <si>
    <t>ZA3075 C65 2010</t>
  </si>
  <si>
    <t>0                      ZA 3075000C  65          2010</t>
  </si>
  <si>
    <t>Collaborative information literacy assessments : strategies for evaluating teaching and learning / edited by Thomas P. Mackey and Trudi E. Jacobson.</t>
  </si>
  <si>
    <t>793224261:eng</t>
  </si>
  <si>
    <t>519248921</t>
  </si>
  <si>
    <t>ocn519248921</t>
  </si>
  <si>
    <t>3103132907P</t>
  </si>
  <si>
    <t>9781856047067</t>
  </si>
  <si>
    <t>794808463</t>
  </si>
  <si>
    <t>ZA3075 C66 2010</t>
  </si>
  <si>
    <t>0                      ZA 3075000C  66          2010</t>
  </si>
  <si>
    <t>Collaborative information behavior : user engagement and communication sharing / [edited by] Jonathan Foster.</t>
  </si>
  <si>
    <t>Hershey, PA : Information Science Reference, ©2010.</t>
  </si>
  <si>
    <t>795540428:eng</t>
  </si>
  <si>
    <t>458889084</t>
  </si>
  <si>
    <t>ocn458889084</t>
  </si>
  <si>
    <t>3103228984L</t>
  </si>
  <si>
    <t>9781615207978</t>
  </si>
  <si>
    <t>794790648</t>
  </si>
  <si>
    <t>ZA3075 C665 2011</t>
  </si>
  <si>
    <t>0                      ZA 3075000C  665         2011</t>
  </si>
  <si>
    <t>Collaborative search and communities of interest : trends in knowledge sharing and assessment / [edited by] Pascal Francq.</t>
  </si>
  <si>
    <t>820140040:eng</t>
  </si>
  <si>
    <t>474869192</t>
  </si>
  <si>
    <t>ocn474869192</t>
  </si>
  <si>
    <t>3103227349E</t>
  </si>
  <si>
    <t>9781615208418</t>
  </si>
  <si>
    <t>794798073</t>
  </si>
  <si>
    <t>ZA3075 C67 2013</t>
  </si>
  <si>
    <t>0                      ZA 3075000C  67          2013</t>
  </si>
  <si>
    <t>Common ground at the nexus of information literacy and scholarly communication / edited by Stephanie Davis-Kahl, Merinda Kaye Hensley, editors.</t>
  </si>
  <si>
    <t>1371228777:eng</t>
  </si>
  <si>
    <t>827780177</t>
  </si>
  <si>
    <t>ocn827780177</t>
  </si>
  <si>
    <t>3103497973H</t>
  </si>
  <si>
    <t>9780838986219</t>
  </si>
  <si>
    <t>794940254</t>
  </si>
  <si>
    <t>ZA3075 C675 2018</t>
  </si>
  <si>
    <t>0                      ZA 3075000C  675         2018</t>
  </si>
  <si>
    <t>Fake news and alternative facts : information literacy in a post-truth era / Nicole A. Cooke.</t>
  </si>
  <si>
    <t>Cooke, Nicole A., author.</t>
  </si>
  <si>
    <t>5381638314:eng</t>
  </si>
  <si>
    <t>1030445054</t>
  </si>
  <si>
    <t>on1030445054</t>
  </si>
  <si>
    <t>31037043655</t>
  </si>
  <si>
    <t>9780838916360</t>
  </si>
  <si>
    <t>795054684</t>
  </si>
  <si>
    <t>ZA3075 C74 2017</t>
  </si>
  <si>
    <t>0                      ZA 3075000C  74          2017</t>
  </si>
  <si>
    <t>Creating data literate students / edited by Kristin Fontichiaro, Jo Angela Oehrli, Amy Lennex.</t>
  </si>
  <si>
    <t>[Ann Arbor, Michigan] : Maize Books/Michigan Publishing, [2017]</t>
  </si>
  <si>
    <t>4518964457:eng</t>
  </si>
  <si>
    <t>1024217668</t>
  </si>
  <si>
    <t>on1024217668</t>
  </si>
  <si>
    <t>3103903687B</t>
  </si>
  <si>
    <t>9781607854241</t>
  </si>
  <si>
    <t>795052183</t>
  </si>
  <si>
    <t>ZA3075 D3 2012</t>
  </si>
  <si>
    <t>0                      ZA 3075000D  3           2012</t>
  </si>
  <si>
    <t>Know it all, find it fast for academic libraries / Heather Dawson.</t>
  </si>
  <si>
    <t>Dawson, Heather.</t>
  </si>
  <si>
    <t>London, UK. : Facet Publishing, 2012.</t>
  </si>
  <si>
    <t>2013-01-27</t>
  </si>
  <si>
    <t>836166720:eng</t>
  </si>
  <si>
    <t>767726839</t>
  </si>
  <si>
    <t>ocn767726839</t>
  </si>
  <si>
    <t>3103408214H</t>
  </si>
  <si>
    <t>9781856047593</t>
  </si>
  <si>
    <t>794901408</t>
  </si>
  <si>
    <t>ZA3075 D47 2013</t>
  </si>
  <si>
    <t>0                      ZA 3075000D  47          2013</t>
  </si>
  <si>
    <t>Design, performance, and analysis of innovative information retrieval / Joan Lu, [editor].</t>
  </si>
  <si>
    <t>Hershey, PA : Information Science Reference, ©2013.</t>
  </si>
  <si>
    <t>1149265968:eng</t>
  </si>
  <si>
    <t>781684084</t>
  </si>
  <si>
    <t>ocn781684084</t>
  </si>
  <si>
    <t>31034684678</t>
  </si>
  <si>
    <t>9781466619753</t>
  </si>
  <si>
    <t>794913164</t>
  </si>
  <si>
    <t>ZA3075 D48 2013</t>
  </si>
  <si>
    <t>0                      ZA 3075000D  48          2013</t>
  </si>
  <si>
    <t>Developing people's information capabilities : fostering information literacy in educational, workplace and community contexts / edited by Mark Hepworth and Geoff Walton.</t>
  </si>
  <si>
    <t>Bingley, UK : Emerald, [2013]</t>
  </si>
  <si>
    <t>1393973287:eng</t>
  </si>
  <si>
    <t>841673212</t>
  </si>
  <si>
    <t>ocn841673212</t>
  </si>
  <si>
    <t>3103501828J</t>
  </si>
  <si>
    <t>9781781907665</t>
  </si>
  <si>
    <t>794947066</t>
  </si>
  <si>
    <t>ZA3075 D54 2006</t>
  </si>
  <si>
    <t>0                      ZA 3075000D  54          2006</t>
  </si>
  <si>
    <t>Digital literacies for learning / edited by Allan Martin and Dan Madigan.</t>
  </si>
  <si>
    <t>2015-08-21</t>
  </si>
  <si>
    <t>8910323555:eng</t>
  </si>
  <si>
    <t>62890119</t>
  </si>
  <si>
    <t>ocm62890119</t>
  </si>
  <si>
    <t>3103578657U</t>
  </si>
  <si>
    <t>9781856045636</t>
  </si>
  <si>
    <t>794113659</t>
  </si>
  <si>
    <t>ZA3075 D56 2014</t>
  </si>
  <si>
    <t>0                      ZA 3075000D  56          2014</t>
  </si>
  <si>
    <t>Information retrieval in digital environments / Jérôme Dinet.</t>
  </si>
  <si>
    <t>Dinet, Jérôme, author.</t>
  </si>
  <si>
    <t>London : ISTE ; Hoboken, NJ : Wiley, 2014.</t>
  </si>
  <si>
    <t>Focus series in information systems, web and pervasive computing</t>
  </si>
  <si>
    <t>2053384718:eng</t>
  </si>
  <si>
    <t>887925259</t>
  </si>
  <si>
    <t>ocn887925259</t>
  </si>
  <si>
    <t>3103579975D</t>
  </si>
  <si>
    <t>9781848216983</t>
  </si>
  <si>
    <t>794977914</t>
  </si>
  <si>
    <t>ZA3075 D86 2012</t>
  </si>
  <si>
    <t>0                      ZA 3075000D  86          2012</t>
  </si>
  <si>
    <t>The new iSearch, you search, we all learn to research : a how-to-do-it manual for teaching research using Web 2.0 tools and digital resources / Donna Duncan, Laura Lockhart, and Lisa Ham.</t>
  </si>
  <si>
    <t>Duncan, Donna.</t>
  </si>
  <si>
    <t>New York : Neal-Schuman Publishers Inc., ©2012.</t>
  </si>
  <si>
    <t>How-to-do-it manuals ; no. 180</t>
  </si>
  <si>
    <t>1010522747:eng</t>
  </si>
  <si>
    <t>752470942</t>
  </si>
  <si>
    <t>ocn752470942</t>
  </si>
  <si>
    <t>3103414400O</t>
  </si>
  <si>
    <t>9781555707583</t>
  </si>
  <si>
    <t>794891695</t>
  </si>
  <si>
    <t>ZA3075 D872 2011</t>
  </si>
  <si>
    <t>0                      ZA 3075000D  872         2011</t>
  </si>
  <si>
    <t>Destination collaboration 2 : a complete reference focused curriculum guidebook to educate 21st century learners in grades 3-5 / Danielle N. DuPuis and Lori M. Carter.</t>
  </si>
  <si>
    <t>DuPuis, Danielle N.</t>
  </si>
  <si>
    <t>793199023:eng</t>
  </si>
  <si>
    <t>664114849</t>
  </si>
  <si>
    <t>ocn664114849</t>
  </si>
  <si>
    <t>3103320855J</t>
  </si>
  <si>
    <t>9781598845839</t>
  </si>
  <si>
    <t>794843158</t>
  </si>
  <si>
    <t>ZA3075 E38 2010</t>
  </si>
  <si>
    <t>0                      ZA 3075000E  38          2010</t>
  </si>
  <si>
    <t>L'éducation à la culture informationnelle : colloque / sous la direction de Françoise Chapron et Éric Delamotte ; préface d'Annette Béguin-Verbrugge ; [Aillerie Karine and others].</t>
  </si>
  <si>
    <t>Villeurbanne : Presses de l'ENSSIB, ©2010.</t>
  </si>
  <si>
    <t>Papiers. Série Culture de l'information</t>
  </si>
  <si>
    <t>855860035:fre</t>
  </si>
  <si>
    <t>611406645</t>
  </si>
  <si>
    <t>ocn611406645</t>
  </si>
  <si>
    <t>3103297999P</t>
  </si>
  <si>
    <t>9782910227753</t>
  </si>
  <si>
    <t>794821089</t>
  </si>
  <si>
    <t>ZA3075 E385 2004</t>
  </si>
  <si>
    <t>0                      ZA 3075000E  385         2004</t>
  </si>
  <si>
    <t>Information literacy : essential skills for the information age / Michael B. Eisenberg, Carrie A. Lowe, Kathleen L. Spitzer ; foreword by Patricia Senn Breivik.</t>
  </si>
  <si>
    <t>Eisenberg, Michael B., 1949-</t>
  </si>
  <si>
    <t>838087501:eng</t>
  </si>
  <si>
    <t>53059361</t>
  </si>
  <si>
    <t>ocm53059361</t>
  </si>
  <si>
    <t>3102629616N</t>
  </si>
  <si>
    <t>9781591581437</t>
  </si>
  <si>
    <t>793820440</t>
  </si>
  <si>
    <t>ZA3075 E94 2011</t>
  </si>
  <si>
    <t>0                      ZA 3075000E  94          2011</t>
  </si>
  <si>
    <t>Everyday information : the evolution of information seeking in America / edited by William Aspray and Barbara M. Hayes.</t>
  </si>
  <si>
    <t>496404882:eng</t>
  </si>
  <si>
    <t>631747597</t>
  </si>
  <si>
    <t>ocn631747597</t>
  </si>
  <si>
    <t>31033219896</t>
  </si>
  <si>
    <t>9780262015011</t>
  </si>
  <si>
    <t>794824958</t>
  </si>
  <si>
    <t>ZA3075 F36 2008</t>
  </si>
  <si>
    <t>0                      ZA 3075000F  36          2008</t>
  </si>
  <si>
    <t>Information literacy assessment in K-12 settings / Lesley S.J. Farmer, James Henri.</t>
  </si>
  <si>
    <t>105172317:eng</t>
  </si>
  <si>
    <t>156994406</t>
  </si>
  <si>
    <t>ocn156994406</t>
  </si>
  <si>
    <t>3102646464L</t>
  </si>
  <si>
    <t>9780810856950</t>
  </si>
  <si>
    <t>794256302</t>
  </si>
  <si>
    <t>ZA3075 F365 2011</t>
  </si>
  <si>
    <t>0                      ZA 3075000F  365         2011</t>
  </si>
  <si>
    <t>Instructional design for librarians and information professionals / Lesley S.J. Farmer.</t>
  </si>
  <si>
    <t>836166821:eng</t>
  </si>
  <si>
    <t>707962822</t>
  </si>
  <si>
    <t>ocn707962822</t>
  </si>
  <si>
    <t>3103422130U</t>
  </si>
  <si>
    <t>9781555707361</t>
  </si>
  <si>
    <t>794868375</t>
  </si>
  <si>
    <t>ZA3075 F37 2005</t>
  </si>
  <si>
    <t>0                      ZA 3075000F  37          2005</t>
  </si>
  <si>
    <t>Librarians, literacy, and the promotion of gender equity / Lesley S.J. Farmer.</t>
  </si>
  <si>
    <t>Jefferson, N.C. : McFarland &amp; Co., ©2005.</t>
  </si>
  <si>
    <t>24917954:eng</t>
  </si>
  <si>
    <t>61362031</t>
  </si>
  <si>
    <t>ocm61362031</t>
  </si>
  <si>
    <t>3102574731H</t>
  </si>
  <si>
    <t>9780786423446</t>
  </si>
  <si>
    <t>793951754</t>
  </si>
  <si>
    <t>ZA3075 F38 2011</t>
  </si>
  <si>
    <t>0                      ZA 3075000F  38          2011</t>
  </si>
  <si>
    <t>Using research to promote literacy and reading in libraries : guidelines for librarians / prepared by Lesley Farmer and Ivanka Stricevic.</t>
  </si>
  <si>
    <t>The Hague : IFLA Headquarters, cop. 2011.</t>
  </si>
  <si>
    <t>IFLA professional reports ; no. 125, 0168-1931</t>
  </si>
  <si>
    <t>796420746:eng</t>
  </si>
  <si>
    <t>712650158</t>
  </si>
  <si>
    <t>ocn712650158</t>
  </si>
  <si>
    <t>31034679099</t>
  </si>
  <si>
    <t>9789077897485</t>
  </si>
  <si>
    <t>794872115</t>
  </si>
  <si>
    <t>ZA3075 F38112 2011</t>
  </si>
  <si>
    <t>0                      ZA 3075000F  38112       2011</t>
  </si>
  <si>
    <t>Istikhdām al-baḥth fī al-tarwīj li-maḥw al-ummīyah wa-al-qirāʼah fī al-Maktabāt : irshādāt lil-maktabīyīn / iʻdād, Līzlī Fārmar wa Īfankā Satrīsifīk.</t>
  </si>
  <si>
    <t>al-Ḥājj : Maqar al-IFLA al-raʼīsī, , 2011.</t>
  </si>
  <si>
    <t>ara</t>
  </si>
  <si>
    <t>IFLA professional reports, 0168-1931 ; number 130</t>
  </si>
  <si>
    <t>1822047633:ara</t>
  </si>
  <si>
    <t>871253341</t>
  </si>
  <si>
    <t>ocn871253341</t>
  </si>
  <si>
    <t>3103516474X</t>
  </si>
  <si>
    <t>9789077897553</t>
  </si>
  <si>
    <t>794967495</t>
  </si>
  <si>
    <t>ZA3075 F3812 2011</t>
  </si>
  <si>
    <t>0                      ZA 3075000F  3812        2011</t>
  </si>
  <si>
    <t>Zai tu shu guan zhong yong lai yan jiu cu jin shi zi yu yue du : tu shu guan yuan zhi nan / bian zhe Laisili·Famu'er(Lesley Farmer), Yiwan·Siqisheweiqi(Ivanka Stricevic).</t>
  </si>
  <si>
    <t>The Hague : IFLA Headquarters, 2011.</t>
  </si>
  <si>
    <t>IFLA professional reports ; no. 131, 0168-1931</t>
  </si>
  <si>
    <t>8912180688:chi</t>
  </si>
  <si>
    <t>813846764</t>
  </si>
  <si>
    <t>ocn813846764</t>
  </si>
  <si>
    <t>3103523031N</t>
  </si>
  <si>
    <t>9789077897546</t>
  </si>
  <si>
    <t>794931821</t>
  </si>
  <si>
    <t>ZA3075 F3814 2011</t>
  </si>
  <si>
    <t>0                      ZA 3075000F  3814        2011</t>
  </si>
  <si>
    <t>Utiliser la recherche pour promouvoir la littératie et la lecture dans les bibliothèques : recommandations à l'attention des bibliothécaires / réalisé par Lesley Farmer et Ivanka Stricevic.</t>
  </si>
  <si>
    <t>Rapport professionel de l'IFLA, 0168-1931 ; no. 127</t>
  </si>
  <si>
    <t>4451985945:fre</t>
  </si>
  <si>
    <t>864890402</t>
  </si>
  <si>
    <t>ocn864890402</t>
  </si>
  <si>
    <t>3103514792S</t>
  </si>
  <si>
    <t>9789077897508</t>
  </si>
  <si>
    <t>794962623</t>
  </si>
  <si>
    <t>ZA3075 F3815 2011</t>
  </si>
  <si>
    <t>0                      ZA 3075000F  3815        2011</t>
  </si>
  <si>
    <t>Die Nutzung von Forschung zur Förderung von Lese- und Schreibkompetenzen in Bibliotheken : ein Leitfaden für Bibliothekare / zussammengestellt von Lesley Farmer und Ivanka Stricevic.</t>
  </si>
  <si>
    <t>Den Haag : IFLA-Zentrale, 2011.</t>
  </si>
  <si>
    <t>IFLA professional reports, 0168-1931 ; no. 129</t>
  </si>
  <si>
    <t>1041205890:ger</t>
  </si>
  <si>
    <t>865748110</t>
  </si>
  <si>
    <t>ocn865748110</t>
  </si>
  <si>
    <t>3103514797S</t>
  </si>
  <si>
    <t>9789077897539</t>
  </si>
  <si>
    <t>794963300</t>
  </si>
  <si>
    <t>ZA3075 F3818 2011</t>
  </si>
  <si>
    <t>0                      ZA 3075000F  3818        2011</t>
  </si>
  <si>
    <t>El uso de la investigación para promover la alfabetización y la lectura en las bibliotecas : directrices para bibliotecarios / preparado por Lesley Farmer e Ivanka Stricevic.</t>
  </si>
  <si>
    <t>La Haya : Sede de la IFLA, 2011.</t>
  </si>
  <si>
    <t>IFLA reporte profesional, 0168-1931 ; no. 126</t>
  </si>
  <si>
    <t>3902599635:spa</t>
  </si>
  <si>
    <t>864892879</t>
  </si>
  <si>
    <t>ocn864892879</t>
  </si>
  <si>
    <t>3103514787U</t>
  </si>
  <si>
    <t>9789077897492</t>
  </si>
  <si>
    <t>794962628</t>
  </si>
  <si>
    <t>ZA3075 F67 2015</t>
  </si>
  <si>
    <t>0                      ZA 3075000F  67          2015</t>
  </si>
  <si>
    <t>Introduction to information behaviour / Nigel Ford.</t>
  </si>
  <si>
    <t>Ford, Nigel, author.</t>
  </si>
  <si>
    <t>1160787188:eng</t>
  </si>
  <si>
    <t>919338254</t>
  </si>
  <si>
    <t>ocn919338254</t>
  </si>
  <si>
    <t>3103612913B</t>
  </si>
  <si>
    <t>9781856048507</t>
  </si>
  <si>
    <t>795001758</t>
  </si>
  <si>
    <t>ZA3075 F85 2010</t>
  </si>
  <si>
    <t>0                      ZA 3075000F  85          2010</t>
  </si>
  <si>
    <t>Information pathways : a problem-solving approach to information literacy / Crystal Fulton.</t>
  </si>
  <si>
    <t>Fulton, Crystal, 1965-</t>
  </si>
  <si>
    <t>803043067:eng</t>
  </si>
  <si>
    <t>468232748</t>
  </si>
  <si>
    <t>ocn468232748</t>
  </si>
  <si>
    <t>3103240485L</t>
  </si>
  <si>
    <t>9780810874268</t>
  </si>
  <si>
    <t>794795374</t>
  </si>
  <si>
    <t>ZA3075 G38 2008</t>
  </si>
  <si>
    <t>0                      ZA 3075000G  38          2008</t>
  </si>
  <si>
    <t>Teaching information literacy : a conceptual approach / Christy Gavin.</t>
  </si>
  <si>
    <t>Gavin, Christy, 1952-</t>
  </si>
  <si>
    <t>290338675:eng</t>
  </si>
  <si>
    <t>123968252</t>
  </si>
  <si>
    <t>ocn123968252</t>
  </si>
  <si>
    <t>3102647555G</t>
  </si>
  <si>
    <t>9780810852020</t>
  </si>
  <si>
    <t>794228920</t>
  </si>
  <si>
    <t>ZA3075 G73 2001</t>
  </si>
  <si>
    <t>0                      ZA 3075000G  73          2001</t>
  </si>
  <si>
    <t>Information literacy instruction : theory and practice / Esther S. Grassian and Joan R. Kaplowitz.</t>
  </si>
  <si>
    <t>text + CDRom</t>
  </si>
  <si>
    <t>New York : Neal-Schuman, ©2001.</t>
  </si>
  <si>
    <t>793895994:eng</t>
  </si>
  <si>
    <t>45575553</t>
  </si>
  <si>
    <t>ocm45575553</t>
  </si>
  <si>
    <t>3102629615N</t>
  </si>
  <si>
    <t>9781555704063</t>
  </si>
  <si>
    <t>793674049</t>
  </si>
  <si>
    <t>ZA3075 G73 2009</t>
  </si>
  <si>
    <t>0                      ZA 3075000G  73          2009</t>
  </si>
  <si>
    <t>Grassian, Esther S., author.</t>
  </si>
  <si>
    <t>New York ; London : Neal-Schuman Publishers, Inc., ©2009.</t>
  </si>
  <si>
    <t>2019-12-09</t>
  </si>
  <si>
    <t>391414131</t>
  </si>
  <si>
    <t>ocn391414131</t>
  </si>
  <si>
    <t>3103534558W</t>
  </si>
  <si>
    <t>9781555706661</t>
  </si>
  <si>
    <t>794495843</t>
  </si>
  <si>
    <t>31031557039</t>
  </si>
  <si>
    <t>794495844</t>
  </si>
  <si>
    <t>ZA3075 G74 2008</t>
  </si>
  <si>
    <t>0                      ZA 3075000G  74          2008</t>
  </si>
  <si>
    <t>Getting the buggers to find out : information skills and learning how to learn / Duncan Grey.</t>
  </si>
  <si>
    <t>Grey, Duncan.</t>
  </si>
  <si>
    <t>London ; New York : Continuum International Pub. Group, ©2008.</t>
  </si>
  <si>
    <t>803438767:eng</t>
  </si>
  <si>
    <t>212847527</t>
  </si>
  <si>
    <t>ocn212847527</t>
  </si>
  <si>
    <t>3103053511R</t>
  </si>
  <si>
    <t>9780826499738</t>
  </si>
  <si>
    <t>794306284</t>
  </si>
  <si>
    <t>ZA3075 G75 2010</t>
  </si>
  <si>
    <t>0                      ZA 3075000G  75          2010</t>
  </si>
  <si>
    <t>Information skills : finding and using the right resources / Jonathan Grix, Gerald Watkins.</t>
  </si>
  <si>
    <t>Grix, Jonathan.</t>
  </si>
  <si>
    <t>New York : Palgrave Macmillan, 2010.</t>
  </si>
  <si>
    <t>Palgrave study skills</t>
  </si>
  <si>
    <t>2011-07-12</t>
  </si>
  <si>
    <t>837080021:eng</t>
  </si>
  <si>
    <t>671491649</t>
  </si>
  <si>
    <t>ocn671491649</t>
  </si>
  <si>
    <t>31033443578</t>
  </si>
  <si>
    <t>9780230222502</t>
  </si>
  <si>
    <t>794848659</t>
  </si>
  <si>
    <t>ZA3075 G86 2009</t>
  </si>
  <si>
    <t>0                      ZA 3075000G  86          2009</t>
  </si>
  <si>
    <t>The Google generation : are ICT innovations changing information-seeking behaviour? / Barrie Gunter, Ian Rowlands, and David Nicholas.</t>
  </si>
  <si>
    <t>Gunter, Barrie.</t>
  </si>
  <si>
    <t>793203245:eng</t>
  </si>
  <si>
    <t>404718175</t>
  </si>
  <si>
    <t>ocn404718175</t>
  </si>
  <si>
    <t>3103130962L</t>
  </si>
  <si>
    <t>9781843345572</t>
  </si>
  <si>
    <t>794499203</t>
  </si>
  <si>
    <t>ZA3075 H275 2011</t>
  </si>
  <si>
    <t>0                      ZA 3075000H  275         2011</t>
  </si>
  <si>
    <t>Information retrieval evaluation / Donna Harman.</t>
  </si>
  <si>
    <t>Harman, D. K. (Donna K.)</t>
  </si>
  <si>
    <t>[San Rafael, Calif.] : Morgan &amp; Claypool, ©2011.</t>
  </si>
  <si>
    <t>Synthesis lectures on information concepts, retrieval, and services, 1947-9468 ; #19</t>
  </si>
  <si>
    <t>932827849:eng</t>
  </si>
  <si>
    <t>299691951</t>
  </si>
  <si>
    <t>ocn299691951</t>
  </si>
  <si>
    <t>3103363683O</t>
  </si>
  <si>
    <t>9781598299717</t>
  </si>
  <si>
    <t>794430415</t>
  </si>
  <si>
    <t>ZA3075 H46 2010</t>
  </si>
  <si>
    <t>0                      ZA 3075000H  46          2010</t>
  </si>
  <si>
    <t>From fear to flow : personality and information reaction / Jannica Heinström.</t>
  </si>
  <si>
    <t>Heinström, Jannica, 1970-</t>
  </si>
  <si>
    <t>2542316505:eng</t>
  </si>
  <si>
    <t>455821571</t>
  </si>
  <si>
    <t>ocn455821571</t>
  </si>
  <si>
    <t>31032310503</t>
  </si>
  <si>
    <t>9781843345145</t>
  </si>
  <si>
    <t>794788197</t>
  </si>
  <si>
    <t>ZA3075 H477 2011</t>
  </si>
  <si>
    <t>0                      ZA 3075000H  477         2011</t>
  </si>
  <si>
    <t>Improving students' web use and information literacy : a guide for teachers and teacher librarians / James E. Herring.</t>
  </si>
  <si>
    <t>Herring, James E.</t>
  </si>
  <si>
    <t>2013-09-30</t>
  </si>
  <si>
    <t>764950397:eng</t>
  </si>
  <si>
    <t>692612273</t>
  </si>
  <si>
    <t>ocn692612273</t>
  </si>
  <si>
    <t>3103232904J</t>
  </si>
  <si>
    <t>9781856047432</t>
  </si>
  <si>
    <t>794856311</t>
  </si>
  <si>
    <t>ZA3075 H86 2008</t>
  </si>
  <si>
    <t>0                      ZA 3075000H  86          2008</t>
  </si>
  <si>
    <t>More hands-on information literacy activities / Fiona Hunt and Jane Birks.</t>
  </si>
  <si>
    <t>CD-ROM missing</t>
  </si>
  <si>
    <t>Hunt, Fiona.</t>
  </si>
  <si>
    <t>3856803038:eng</t>
  </si>
  <si>
    <t>244567183</t>
  </si>
  <si>
    <t>ocn244567183</t>
  </si>
  <si>
    <t>3103052539R</t>
  </si>
  <si>
    <t>9781555706487</t>
  </si>
  <si>
    <t>794381790</t>
  </si>
  <si>
    <t>ZA3075 I53 2007</t>
  </si>
  <si>
    <t>0                      ZA 3075000I  53          2007</t>
  </si>
  <si>
    <t>Information and emotion : the emergent affective paradigm in information behavior research and theory / edited by Diane Nahl and Dania Bilal.</t>
  </si>
  <si>
    <t>2018-08-28</t>
  </si>
  <si>
    <t>892470381:eng</t>
  </si>
  <si>
    <t>163593073</t>
  </si>
  <si>
    <t>ocn163593073</t>
  </si>
  <si>
    <t>3102647122Y</t>
  </si>
  <si>
    <t>9781573873109</t>
  </si>
  <si>
    <t>794258107</t>
  </si>
  <si>
    <t>ZA3075 I5325 2013</t>
  </si>
  <si>
    <t>0                      ZA 3075000I  5325        2013</t>
  </si>
  <si>
    <t>The information behavior of a new generation : children and teens in the 21st century / edited by Jamshid Beheshti and Andrew Large.</t>
  </si>
  <si>
    <t>1123296333:eng</t>
  </si>
  <si>
    <t>798132807</t>
  </si>
  <si>
    <t>ocn798132807</t>
  </si>
  <si>
    <t>3103453759Q</t>
  </si>
  <si>
    <t>9780810885943</t>
  </si>
  <si>
    <t>794923251</t>
  </si>
  <si>
    <t>ZA3075 I5328 2013</t>
  </si>
  <si>
    <t>0                      ZA 3075000I  5328        2013</t>
  </si>
  <si>
    <t>Information literacy and social justice : radical professional praxis / Lua Gregory and Shana Higgins, editors ; foreword by Toni Samek.</t>
  </si>
  <si>
    <t>Sacramento, CA : Library Juice Press, [2013]</t>
  </si>
  <si>
    <t>1436885941:eng</t>
  </si>
  <si>
    <t>843124185</t>
  </si>
  <si>
    <t>ocn843124185</t>
  </si>
  <si>
    <t>31036105203</t>
  </si>
  <si>
    <t>9781936117567</t>
  </si>
  <si>
    <t>794947927</t>
  </si>
  <si>
    <t>ZA3075 I535 2007</t>
  </si>
  <si>
    <t>0                      ZA 3075000I  535         2007</t>
  </si>
  <si>
    <t>The information literacy cookbook : ingredients, tasters and recipes for success / edited by Jane Secker, Debbi Boden and Gwyneth Price.</t>
  </si>
  <si>
    <t>852975225:eng</t>
  </si>
  <si>
    <t>171529377</t>
  </si>
  <si>
    <t>ocn171529377</t>
  </si>
  <si>
    <t>3102572976B</t>
  </si>
  <si>
    <t>9781843342267</t>
  </si>
  <si>
    <t>794264424</t>
  </si>
  <si>
    <t>ZA3075 I536 2008</t>
  </si>
  <si>
    <t>0                      ZA 3075000I  536         2008</t>
  </si>
  <si>
    <t>Information literacy instruction handbook / edited by Christopher N. Cox, Elizabeth Blakesley Lindsay.</t>
  </si>
  <si>
    <t>348615203:eng</t>
  </si>
  <si>
    <t>191881975</t>
  </si>
  <si>
    <t>ocn191881975</t>
  </si>
  <si>
    <t>3102971272C</t>
  </si>
  <si>
    <t>9780838909638</t>
  </si>
  <si>
    <t>794301729</t>
  </si>
  <si>
    <t>ZA3075 I537 2013</t>
  </si>
  <si>
    <t>0                      ZA 3075000I  537         2013</t>
  </si>
  <si>
    <t>Information literacy instruction that works : a guide to teaching by discipline and student population / edited by Patrick Ragains.</t>
  </si>
  <si>
    <t>894374681:eng</t>
  </si>
  <si>
    <t>841199102</t>
  </si>
  <si>
    <t>ocn841199102</t>
  </si>
  <si>
    <t>3103499641O</t>
  </si>
  <si>
    <t>9781555708603</t>
  </si>
  <si>
    <t>794946682</t>
  </si>
  <si>
    <t>ZA3075 I54 2011</t>
  </si>
  <si>
    <t>0                      ZA 3075000I  54          2011</t>
  </si>
  <si>
    <t>Information literacy : infiltrating the agenda, challenging minds / edited by Geoff Walton and Alison Pope.</t>
  </si>
  <si>
    <t>2013-04-29</t>
  </si>
  <si>
    <t>918870245:eng</t>
  </si>
  <si>
    <t>748328525</t>
  </si>
  <si>
    <t>ocn748328525</t>
  </si>
  <si>
    <t>3103342324M</t>
  </si>
  <si>
    <t>9781843346104</t>
  </si>
  <si>
    <t>794888944</t>
  </si>
  <si>
    <t>ZA3075 I54 2014</t>
  </si>
  <si>
    <t>0                      ZA 3075000I  54          2014</t>
  </si>
  <si>
    <t>Information experience : approaches to theory and practice / edited by Christine Bruce, Kate Davis, Hilary Hughes, Helen Partridge and Ian Stoodley.</t>
  </si>
  <si>
    <t>Bingley, UK : Emerald Group Publishing Limited, 2014.</t>
  </si>
  <si>
    <t>Library and Information Science</t>
  </si>
  <si>
    <t>4161667615:eng</t>
  </si>
  <si>
    <t>889726465</t>
  </si>
  <si>
    <t>ocn889726465</t>
  </si>
  <si>
    <t>31035676316</t>
  </si>
  <si>
    <t>9781783508150</t>
  </si>
  <si>
    <t>794978557</t>
  </si>
  <si>
    <t>ZA3075 I543 2012</t>
  </si>
  <si>
    <t>0                      ZA 3075000I  543         2012</t>
  </si>
  <si>
    <t>Information literacy beyond Library 2.0 / edited by Peter Godwin and Jo Parker.</t>
  </si>
  <si>
    <t>2013-12-16</t>
  </si>
  <si>
    <t>1082288243:eng</t>
  </si>
  <si>
    <t>778274955</t>
  </si>
  <si>
    <t>ocn778274955</t>
  </si>
  <si>
    <t>3103395360E</t>
  </si>
  <si>
    <t>9781856047623</t>
  </si>
  <si>
    <t>794909568</t>
  </si>
  <si>
    <t>ZA3075 I87 2009</t>
  </si>
  <si>
    <t>0                      ZA 3075000I  87          2009</t>
  </si>
  <si>
    <t>Issues in information and media literacy / edited by Marcus Leaning.</t>
  </si>
  <si>
    <t>Santa Rosa, Calif. : Informing Science Press, ©2009-</t>
  </si>
  <si>
    <t>3373582084:eng</t>
  </si>
  <si>
    <t>430027239</t>
  </si>
  <si>
    <t>ocn430027239</t>
  </si>
  <si>
    <t>3103155859X</t>
  </si>
  <si>
    <t>9781932886115</t>
  </si>
  <si>
    <t>794780443</t>
  </si>
  <si>
    <t>3103155854X</t>
  </si>
  <si>
    <t>794780444</t>
  </si>
  <si>
    <t>ZA3075 K37 2012</t>
  </si>
  <si>
    <t>0                      ZA 3075000K  37          2012</t>
  </si>
  <si>
    <t>Transforming information literacy instruction using learner-centered teaching / Joan R. Kaplowitz.</t>
  </si>
  <si>
    <t>Kaplowitz, Joan R.</t>
  </si>
  <si>
    <t>1077102222:eng</t>
  </si>
  <si>
    <t>773014820</t>
  </si>
  <si>
    <t>ocn773014820</t>
  </si>
  <si>
    <t>31034092535</t>
  </si>
  <si>
    <t>9781856048354</t>
  </si>
  <si>
    <t>794905103</t>
  </si>
  <si>
    <t>ZA3075 K62 2008</t>
  </si>
  <si>
    <t>0                      ZA 3075000K  62          2008</t>
  </si>
  <si>
    <t>Building info smarts : how to work with all kinds of information and make it your own / Carol Koechlin, Sandi Zwaan.</t>
  </si>
  <si>
    <t>Koechlin, Carol.</t>
  </si>
  <si>
    <t>Markham, Ont. : Pembroke Publishers, c2008.</t>
  </si>
  <si>
    <t>139702084:eng</t>
  </si>
  <si>
    <t>233522131</t>
  </si>
  <si>
    <t>ocn233522131</t>
  </si>
  <si>
    <t>3103094469X</t>
  </si>
  <si>
    <t>9781551382265</t>
  </si>
  <si>
    <t>794366077</t>
  </si>
  <si>
    <t>ZA3075 L46 2010</t>
  </si>
  <si>
    <t>0                      ZA 3075000L  46          2010</t>
  </si>
  <si>
    <t>The Facts on File guide to research / Jeff Lenburg.</t>
  </si>
  <si>
    <t>Lenburg, Jeff.</t>
  </si>
  <si>
    <t>New York : Facts On File, ©2010.</t>
  </si>
  <si>
    <t>Facts on File library of language and literature</t>
  </si>
  <si>
    <t>907830:eng</t>
  </si>
  <si>
    <t>460053345</t>
  </si>
  <si>
    <t>ocn460053345</t>
  </si>
  <si>
    <t>3103314274M</t>
  </si>
  <si>
    <t>9780816081219</t>
  </si>
  <si>
    <t>794790858</t>
  </si>
  <si>
    <t>ZA3075 L48 2011</t>
  </si>
  <si>
    <t>0                      ZA 3075000L  48          2011</t>
  </si>
  <si>
    <t>Let the games begin! : engaging students with field-tested interactive information literacy instruction / edited by Theresa R. McDevitt.</t>
  </si>
  <si>
    <t>902880279:eng</t>
  </si>
  <si>
    <t>726620637</t>
  </si>
  <si>
    <t>ocn726620637</t>
  </si>
  <si>
    <t>31033963924</t>
  </si>
  <si>
    <t>9781555707392</t>
  </si>
  <si>
    <t>794877252</t>
  </si>
  <si>
    <t>ZA3075 L56 2010</t>
  </si>
  <si>
    <t>0                      ZA 3075000L  56          2010</t>
  </si>
  <si>
    <t>Information literacy landscapes : information literacy in education, workplace and everyday contexts / Annemaree Lloyd.</t>
  </si>
  <si>
    <t>Lloyd, Annemaree.</t>
  </si>
  <si>
    <t>865184907:eng</t>
  </si>
  <si>
    <t>317253832</t>
  </si>
  <si>
    <t>ocn317253832</t>
  </si>
  <si>
    <t>3103231607W</t>
  </si>
  <si>
    <t>9781843345084</t>
  </si>
  <si>
    <t>794451872</t>
  </si>
  <si>
    <t>ZA3075 L575 2008</t>
  </si>
  <si>
    <t>0                      ZA 3075000L  575         2008</t>
  </si>
  <si>
    <t>Information literacy &amp; technology / Carla J. List-Handley.</t>
  </si>
  <si>
    <t>List-Handley, Carla J.</t>
  </si>
  <si>
    <t>Dubuque, Iowa : Kendall/Hunt, ©2008.</t>
  </si>
  <si>
    <t>43876104:eng</t>
  </si>
  <si>
    <t>196733856</t>
  </si>
  <si>
    <t>ocn196733856</t>
  </si>
  <si>
    <t>3103158375W</t>
  </si>
  <si>
    <t>9780757546761</t>
  </si>
  <si>
    <t>794304421</t>
  </si>
  <si>
    <t>ZA3075 L652 2010</t>
  </si>
  <si>
    <t>0                      ZA 3075000L  652         2010</t>
  </si>
  <si>
    <t>Pursuing information literacy : roles and relationships / by Emmett Lombard.</t>
  </si>
  <si>
    <t>Lombard, Emmett, 1971-</t>
  </si>
  <si>
    <t>796567903:eng</t>
  </si>
  <si>
    <t>608618567</t>
  </si>
  <si>
    <t>ocn608618567</t>
  </si>
  <si>
    <t>31031322441</t>
  </si>
  <si>
    <t>9781843345909</t>
  </si>
  <si>
    <t>794819557</t>
  </si>
  <si>
    <t>ZA3075 L665 2012</t>
  </si>
  <si>
    <t>0                      ZA 3075000L  665         2012</t>
  </si>
  <si>
    <t>Looking for Information : a survey of research on information seeking, needs and behavior / edited by Donald O. Case.</t>
  </si>
  <si>
    <t>Bingley, UK : Emerald Group Pub., 2012.</t>
  </si>
  <si>
    <t>759908110</t>
  </si>
  <si>
    <t>ocn759908110</t>
  </si>
  <si>
    <t>3103395216R</t>
  </si>
  <si>
    <t>9781780526546</t>
  </si>
  <si>
    <t>794897802</t>
  </si>
  <si>
    <t>ZA3075 M327 2014</t>
  </si>
  <si>
    <t>0                      ZA 3075000M  327         2014</t>
  </si>
  <si>
    <t>Metaliteracy : reinventing information literacy to empower learners / Thomas P. Mackey and Trudi E. Jacobson.</t>
  </si>
  <si>
    <t>Mackey, Thomas P.</t>
  </si>
  <si>
    <t>1916867393:eng</t>
  </si>
  <si>
    <t>881671128</t>
  </si>
  <si>
    <t>ocn881671128</t>
  </si>
  <si>
    <t>3103531980Q</t>
  </si>
  <si>
    <t>9781783300129</t>
  </si>
  <si>
    <t>794974752</t>
  </si>
  <si>
    <t>ZA3075 M337 2018</t>
  </si>
  <si>
    <t>0                      ZA 3075000M  337         2018</t>
  </si>
  <si>
    <t>Researching serendipity in digital information environments / Lori McCay-Peet, Elaine G. Toms.</t>
  </si>
  <si>
    <t>McCay-Peet, Lori, 1973- author.</t>
  </si>
  <si>
    <t>Synthesis lectures on information concepts, retrieval, and services, 1947-945X ; #59</t>
  </si>
  <si>
    <t>4529109726:eng</t>
  </si>
  <si>
    <t>1005466200</t>
  </si>
  <si>
    <t>on1005466200</t>
  </si>
  <si>
    <t>3103739756L</t>
  </si>
  <si>
    <t>9781681730936</t>
  </si>
  <si>
    <t>795042594</t>
  </si>
  <si>
    <t>ZA3075 M38 2014</t>
  </si>
  <si>
    <t>0                      ZA 3075000M  38          2014</t>
  </si>
  <si>
    <t>Voyage across a constellation of information : information literacy in interest-driven learning communities / Crystle Martin.</t>
  </si>
  <si>
    <t>Martin, Crystle.</t>
  </si>
  <si>
    <t>New York : Peter Lang, [2014]</t>
  </si>
  <si>
    <t>New literacies and digital epistemologies ; vol. 57</t>
  </si>
  <si>
    <t>1440935655:eng</t>
  </si>
  <si>
    <t>843124146</t>
  </si>
  <si>
    <t>ocn843124146</t>
  </si>
  <si>
    <t>3103505068J</t>
  </si>
  <si>
    <t>9781433118050</t>
  </si>
  <si>
    <t>794947924</t>
  </si>
  <si>
    <t>ZA3075 M43 2015</t>
  </si>
  <si>
    <t>0                      ZA 3075000M  43          2015</t>
  </si>
  <si>
    <t>The student's survival guide to research / Monty L. McAdoo.</t>
  </si>
  <si>
    <t>McAdoo, Monty L., author.</t>
  </si>
  <si>
    <t>Chicago : Neal-Schuman, 2015.</t>
  </si>
  <si>
    <t>2930334742:eng</t>
  </si>
  <si>
    <t>912140484</t>
  </si>
  <si>
    <t>ocn912140484</t>
  </si>
  <si>
    <t>3103609900S</t>
  </si>
  <si>
    <t>9780838912768</t>
  </si>
  <si>
    <t>794998730</t>
  </si>
  <si>
    <t>ZA3075 M47 2012</t>
  </si>
  <si>
    <t>0                      ZA 3075000M  47          2012</t>
  </si>
  <si>
    <t>Designing effective library tutorials : a guide for accommodating multiple learning styles / Lori S. Mestre.</t>
  </si>
  <si>
    <t>Oxford, UK : Chandos Publishing, 2012.</t>
  </si>
  <si>
    <t>Chandos learning and teaching series</t>
  </si>
  <si>
    <t>2016-08-31</t>
  </si>
  <si>
    <t>1321016798:eng</t>
  </si>
  <si>
    <t>815515009</t>
  </si>
  <si>
    <t>ocn815515009</t>
  </si>
  <si>
    <t>3103498375V</t>
  </si>
  <si>
    <t>9781843346883</t>
  </si>
  <si>
    <t>794932578</t>
  </si>
  <si>
    <t>ZA3075 M48 2016</t>
  </si>
  <si>
    <t>0                      ZA 3075000M  48          2016</t>
  </si>
  <si>
    <t>Metaliteracy in practice / edited by Trudi E. Jacobson, Thomas P. Mackey.</t>
  </si>
  <si>
    <t>2019-07-15</t>
  </si>
  <si>
    <t>2770728103:eng</t>
  </si>
  <si>
    <t>938790818</t>
  </si>
  <si>
    <t>ocn938790818</t>
  </si>
  <si>
    <t>31036109636</t>
  </si>
  <si>
    <t>9781783300938</t>
  </si>
  <si>
    <t>795011428</t>
  </si>
  <si>
    <t>ZA3075 M485 2019</t>
  </si>
  <si>
    <t>0                      ZA 3075000M  485         2019</t>
  </si>
  <si>
    <t>Metaliterate learning for the post-truth world / edited by Thomas P. Mackey and Trudi E. Jacobson ; foreword by Troy A. Swanson.</t>
  </si>
  <si>
    <t>Chicago : ALA Neal-Schuman, 2019.</t>
  </si>
  <si>
    <t>2019-03-31</t>
  </si>
  <si>
    <t>8949756193:eng</t>
  </si>
  <si>
    <t>1051042845</t>
  </si>
  <si>
    <t>on1051042845</t>
  </si>
  <si>
    <t>3103811857N</t>
  </si>
  <si>
    <t>9780838917763</t>
  </si>
  <si>
    <t>795061670</t>
  </si>
  <si>
    <t>ZA3075 M55 2002</t>
  </si>
  <si>
    <t>0                      ZA 3075000M  55          2002</t>
  </si>
  <si>
    <t>InfoQuest : a new twist on information literacy / Peggy S. Milam.</t>
  </si>
  <si>
    <t>Milam, Peggy S., 1953-</t>
  </si>
  <si>
    <t>Worthington, Ohio : Linworth Pub., ©2002.</t>
  </si>
  <si>
    <t>323145102:eng</t>
  </si>
  <si>
    <t>48045762</t>
  </si>
  <si>
    <t>ocm48045762</t>
  </si>
  <si>
    <t>3102346208K</t>
  </si>
  <si>
    <t>9781586830229</t>
  </si>
  <si>
    <t>793714527</t>
  </si>
  <si>
    <t>ZA3075 N435 2006</t>
  </si>
  <si>
    <t>0                      ZA 3075000N  435         2006</t>
  </si>
  <si>
    <t>Information literacy assessment : standards-based tools and assignments / Teresa Y. Neely ; foreword by Hannelore Rader.</t>
  </si>
  <si>
    <t>Neely, Teresa Y., author.</t>
  </si>
  <si>
    <t>800573283:eng</t>
  </si>
  <si>
    <t>62738604</t>
  </si>
  <si>
    <t>ocm62738604</t>
  </si>
  <si>
    <t>31026326483</t>
  </si>
  <si>
    <t>9780838909140</t>
  </si>
  <si>
    <t>794111564</t>
  </si>
  <si>
    <t>ZA3075 N44 2002</t>
  </si>
  <si>
    <t>0                      ZA 3075000N  44          2002</t>
  </si>
  <si>
    <t>Sociological and psychological aspects of information literacy in higher education / Teresa Y. Neely.</t>
  </si>
  <si>
    <t>Neely, Teresa Y.</t>
  </si>
  <si>
    <t>1008343:eng</t>
  </si>
  <si>
    <t>49805695</t>
  </si>
  <si>
    <t>ocm49805695</t>
  </si>
  <si>
    <t>31021840115</t>
  </si>
  <si>
    <t>9780810841055</t>
  </si>
  <si>
    <t>793748289</t>
  </si>
  <si>
    <t>ZA3075 N49 2005</t>
  </si>
  <si>
    <t>0                      ZA 3075000N  49          2005</t>
  </si>
  <si>
    <t>New directions in cognitive information retrieval / edited by Amanda Spink and Charles Cole.</t>
  </si>
  <si>
    <t>Dordrecht : Springer, ©2005.</t>
  </si>
  <si>
    <t>The information retrieval series ; 19</t>
  </si>
  <si>
    <t>1074410172:eng</t>
  </si>
  <si>
    <t>63182723</t>
  </si>
  <si>
    <t>ocm63182723</t>
  </si>
  <si>
    <t>3102548466J</t>
  </si>
  <si>
    <t>9781402040139</t>
  </si>
  <si>
    <t>794119575</t>
  </si>
  <si>
    <t>ZA3075 N49 2014</t>
  </si>
  <si>
    <t>0                      ZA 3075000N  49          2014</t>
  </si>
  <si>
    <t>New directions in children's and adolescents' information behavior research / edited by Dania Bilal and Jamshid Beheshti.</t>
  </si>
  <si>
    <t>Bingley, England : Emerald, 2014.</t>
  </si>
  <si>
    <t>2211605396:eng</t>
  </si>
  <si>
    <t>866620502</t>
  </si>
  <si>
    <t>ocn866620502</t>
  </si>
  <si>
    <t>31035800297</t>
  </si>
  <si>
    <t>9781783508136</t>
  </si>
  <si>
    <t>794963559</t>
  </si>
  <si>
    <t>ZA3075 N493 2006</t>
  </si>
  <si>
    <t>0                      ZA 3075000N  493         2006</t>
  </si>
  <si>
    <t>New directions in human information behavior / edited by Amanda Spink and Charles Cole.</t>
  </si>
  <si>
    <t>Dordrecht, the Netherlands : Springer, ©2006.</t>
  </si>
  <si>
    <t>Information science and knowledge management ; v. 8</t>
  </si>
  <si>
    <t>905992021:eng</t>
  </si>
  <si>
    <t>65166654</t>
  </si>
  <si>
    <t>ocm65166654</t>
  </si>
  <si>
    <t>3102586152I</t>
  </si>
  <si>
    <t>9781402036675</t>
  </si>
  <si>
    <t>794132389</t>
  </si>
  <si>
    <t>ZA3075 P57 2007</t>
  </si>
  <si>
    <t>0                      ZA 3075000P  57          2007</t>
  </si>
  <si>
    <t>Information foraging theory : adaptive interaction with information / Peter Pirolli.</t>
  </si>
  <si>
    <t>Pirolli, Peter.</t>
  </si>
  <si>
    <t>Oxford ; New York : Oxford University Press, 2007.</t>
  </si>
  <si>
    <t>Oxford series in human-technology interaction</t>
  </si>
  <si>
    <t>802577525:eng</t>
  </si>
  <si>
    <t>70334982</t>
  </si>
  <si>
    <t>ocm70334982</t>
  </si>
  <si>
    <t>31025974570</t>
  </si>
  <si>
    <t>9780195173321</t>
  </si>
  <si>
    <t>794153732</t>
  </si>
  <si>
    <t>ZA3075 P73 2007</t>
  </si>
  <si>
    <t>0                      ZA 3075000P  73          2007</t>
  </si>
  <si>
    <t>A practical guide to information literacy assessment for academic librarians / by Carolyn J. Radcliff [and others].</t>
  </si>
  <si>
    <t>69732774:eng</t>
  </si>
  <si>
    <t>85829987</t>
  </si>
  <si>
    <t>ocm85829987</t>
  </si>
  <si>
    <t>31026434018</t>
  </si>
  <si>
    <t>9781591583400</t>
  </si>
  <si>
    <t>794216710</t>
  </si>
  <si>
    <t>ZA3075 P76 2007</t>
  </si>
  <si>
    <t>0                      ZA 3075000P  76          2007</t>
  </si>
  <si>
    <t>Proven strategies for building an information literacy program / edited by Susan Carol Curzon and Lynn D. Lampert.</t>
  </si>
  <si>
    <t>363894798:eng</t>
  </si>
  <si>
    <t>122701481</t>
  </si>
  <si>
    <t>ocn122701481</t>
  </si>
  <si>
    <t>3102649893S</t>
  </si>
  <si>
    <t>9781555706081</t>
  </si>
  <si>
    <t>794220705</t>
  </si>
  <si>
    <t>ZA3075 R43 2013</t>
  </si>
  <si>
    <t>0                      ZA 3075000R  43          2013</t>
  </si>
  <si>
    <t>La recherche d'information et le travail documentaire / Maria del Mar Castellanos ... [et al.].</t>
  </si>
  <si>
    <t>Paris : Nathan, [2013], c2012.</t>
  </si>
  <si>
    <t>Repères pratiques ; 25</t>
  </si>
  <si>
    <t>5219055915:fre</t>
  </si>
  <si>
    <t>959842792</t>
  </si>
  <si>
    <t>ocn959842792</t>
  </si>
  <si>
    <t>3103662997N</t>
  </si>
  <si>
    <t>9782091620435</t>
  </si>
  <si>
    <t>795022697</t>
  </si>
  <si>
    <t>ZA3075 R46 2006</t>
  </si>
  <si>
    <t>0                      ZA 3075000R  46          2006</t>
  </si>
  <si>
    <t>The research virtuoso : brilliant methods for normal brains / Toronto Public Library ; art by Joe Weissmann.</t>
  </si>
  <si>
    <t>Toronto : Annick Press, 2006.</t>
  </si>
  <si>
    <t>1074526330:eng</t>
  </si>
  <si>
    <t>62894604</t>
  </si>
  <si>
    <t>ocm62894604</t>
  </si>
  <si>
    <t>3102534105O</t>
  </si>
  <si>
    <t>9781550379563</t>
  </si>
  <si>
    <t>794113780</t>
  </si>
  <si>
    <t>ZA3075 R47 2013</t>
  </si>
  <si>
    <t>0                      ZA 3075000R  47          2013</t>
  </si>
  <si>
    <t>Research, evaluation and audit : key steps in demonstrating your value / edited by Maria J. Grant, Barbara Sen and Hannah Spring.</t>
  </si>
  <si>
    <t>1348147890:eng</t>
  </si>
  <si>
    <t>844731163</t>
  </si>
  <si>
    <t>ocn844731163</t>
  </si>
  <si>
    <t>3103503406R</t>
  </si>
  <si>
    <t>9781856047418</t>
  </si>
  <si>
    <t>794948696</t>
  </si>
  <si>
    <t>ZA3075 R48 2013</t>
  </si>
  <si>
    <t>0                      ZA 3075000R  48          2013</t>
  </si>
  <si>
    <t>The new information literacy : a practical framework for teaching / Jane Secker and Emma Coonan.</t>
  </si>
  <si>
    <t>1160787187:eng</t>
  </si>
  <si>
    <t>806494823</t>
  </si>
  <si>
    <t>ocn806494823</t>
  </si>
  <si>
    <t>3103456373M</t>
  </si>
  <si>
    <t>9781856048224</t>
  </si>
  <si>
    <t>794927024</t>
  </si>
  <si>
    <t>ZA3075 R54 2002</t>
  </si>
  <si>
    <t>0                      ZA 3075000R  54          2002</t>
  </si>
  <si>
    <t>Learning to learn : a guide to becoming information literate / Ann Marlow Riedling ; introduction by Michael Eisenberg.</t>
  </si>
  <si>
    <t>Riedling, Ann Marlow, 1952-</t>
  </si>
  <si>
    <t>51339614:eng</t>
  </si>
  <si>
    <t>50204131</t>
  </si>
  <si>
    <t>ocm50204131</t>
  </si>
  <si>
    <t>3102286099V</t>
  </si>
  <si>
    <t>9781555704520</t>
  </si>
  <si>
    <t>793757848</t>
  </si>
  <si>
    <t>ZA3075 R88 2010</t>
  </si>
  <si>
    <t>0                      ZA 3075000R  88          2010</t>
  </si>
  <si>
    <t>Interactive information seeking, behaviour and retrieval / edited by Ian Ruthven and Diane Kelly.</t>
  </si>
  <si>
    <t>1017131142:eng</t>
  </si>
  <si>
    <t>755065979</t>
  </si>
  <si>
    <t>ocn755065979</t>
  </si>
  <si>
    <t>3103342974V</t>
  </si>
  <si>
    <t>9781856047074</t>
  </si>
  <si>
    <t>794893526</t>
  </si>
  <si>
    <t>ZA3075 S38 2008</t>
  </si>
  <si>
    <t>0                      ZA 3075000S  38          2008</t>
  </si>
  <si>
    <t>Everyday information practices : a social phenomenological perspective / Reijo Savolainen.</t>
  </si>
  <si>
    <t>Savolainen, Reijo.</t>
  </si>
  <si>
    <t>908382609:eng</t>
  </si>
  <si>
    <t>185026532</t>
  </si>
  <si>
    <t>ocn185026532</t>
  </si>
  <si>
    <t>3103699243L</t>
  </si>
  <si>
    <t>9780810861114</t>
  </si>
  <si>
    <t>794291815</t>
  </si>
  <si>
    <t>3102971329J</t>
  </si>
  <si>
    <t>794291814</t>
  </si>
  <si>
    <t>ZA3075 S45 2007</t>
  </si>
  <si>
    <t>0                      ZA 3075000S  45          2007</t>
  </si>
  <si>
    <t>Encouraging and supporting student inquiry : researching controversial issues / Harriet S. Selverstone.</t>
  </si>
  <si>
    <t>Selverstone, Harriet S.</t>
  </si>
  <si>
    <t>Libraries Unlimited professional guides in school librarianship, 1074-150X</t>
  </si>
  <si>
    <t>196805499:eng</t>
  </si>
  <si>
    <t>86109765</t>
  </si>
  <si>
    <t>ocm86109765</t>
  </si>
  <si>
    <t>31031543859</t>
  </si>
  <si>
    <t>9781591584964</t>
  </si>
  <si>
    <t>794218389</t>
  </si>
  <si>
    <t>ZA3075 S57 2005</t>
  </si>
  <si>
    <t>0                      ZA 3075000S  57          2005</t>
  </si>
  <si>
    <t>Teaching &amp; testing information literacy skills / Jane Bandy Smith ; Lisa Churchill and Lucy Mason, contributors.</t>
  </si>
  <si>
    <t>Smith, Jane Bandy.</t>
  </si>
  <si>
    <t>Worthington, Ohio : Linworth Books, ©2005.</t>
  </si>
  <si>
    <t>946554:eng</t>
  </si>
  <si>
    <t>57069360</t>
  </si>
  <si>
    <t>ocm57069360</t>
  </si>
  <si>
    <t>3102547417X</t>
  </si>
  <si>
    <t>9781586830786</t>
  </si>
  <si>
    <t>793906839</t>
  </si>
  <si>
    <t>ZA3075 S63 2012</t>
  </si>
  <si>
    <t>0                      ZA 3075000S  63          2012</t>
  </si>
  <si>
    <t>Information basics for college students / Karen Sobel.</t>
  </si>
  <si>
    <t>Sobel, Karen, author.</t>
  </si>
  <si>
    <t>1120806760:eng</t>
  </si>
  <si>
    <t>756576983</t>
  </si>
  <si>
    <t>ocn756576983</t>
  </si>
  <si>
    <t>3103412137Z</t>
  </si>
  <si>
    <t>9781598849585</t>
  </si>
  <si>
    <t>794894542</t>
  </si>
  <si>
    <t>ZA3075 S87 2010</t>
  </si>
  <si>
    <t>0                      ZA 3075000S  87          2010</t>
  </si>
  <si>
    <t>The survey of academic librarians : views on library information literacy efforts.</t>
  </si>
  <si>
    <t>2011-12-22</t>
  </si>
  <si>
    <t>895280661:eng</t>
  </si>
  <si>
    <t>645099185</t>
  </si>
  <si>
    <t>ocn645099185</t>
  </si>
  <si>
    <t>3103313698A</t>
  </si>
  <si>
    <t>9781574401516</t>
  </si>
  <si>
    <t>794829441</t>
  </si>
  <si>
    <t>ZA3075 S87 2014</t>
  </si>
  <si>
    <t>0                      ZA 3075000S  87          2014</t>
  </si>
  <si>
    <t>The survey of use of emerging technologies in information literacy instruction.</t>
  </si>
  <si>
    <t>2054545395:eng</t>
  </si>
  <si>
    <t>887860794</t>
  </si>
  <si>
    <t>ocn887860794</t>
  </si>
  <si>
    <t>3103579798F</t>
  </si>
  <si>
    <t>9781574403022</t>
  </si>
  <si>
    <t>794977885</t>
  </si>
  <si>
    <t>ZA3075 T394 2007</t>
  </si>
  <si>
    <t>0                      ZA 3075000T  394         2007</t>
  </si>
  <si>
    <t>100% information literacy success / Terry Taylor ; contributing authors, Joan Arth, Amy Solomon, and Naomi Williamson.</t>
  </si>
  <si>
    <t>Taylor, Terry (College teacher)</t>
  </si>
  <si>
    <t>Clifton Park, NY : Thomson Delmar Learning, ©2007.</t>
  </si>
  <si>
    <t>581728764:eng</t>
  </si>
  <si>
    <t>85851454</t>
  </si>
  <si>
    <t>ocm85851454</t>
  </si>
  <si>
    <t>31031584104</t>
  </si>
  <si>
    <t>9781418048181</t>
  </si>
  <si>
    <t>794217181</t>
  </si>
  <si>
    <t>ZA3075 T423 2012</t>
  </si>
  <si>
    <t>0                      ZA 3075000T  423         2012</t>
  </si>
  <si>
    <t>Teaching for inquiry : engaging the learner within / Ruth V. Small [and others].</t>
  </si>
  <si>
    <t>2015-12-17</t>
  </si>
  <si>
    <t>1009131971:eng</t>
  </si>
  <si>
    <t>751780485</t>
  </si>
  <si>
    <t>ocn751780485</t>
  </si>
  <si>
    <t>3103414376D</t>
  </si>
  <si>
    <t>9781555707552</t>
  </si>
  <si>
    <t>794890991</t>
  </si>
  <si>
    <t>ZA3075 T427 2011</t>
  </si>
  <si>
    <t>0                      ZA 3075000T  427         2011</t>
  </si>
  <si>
    <t>Teaching information literacy online / edited by Thomas P. Mackey and Trudi E. Jacobson.</t>
  </si>
  <si>
    <t>933529551:eng</t>
  </si>
  <si>
    <t>715142974</t>
  </si>
  <si>
    <t>ocn715142974</t>
  </si>
  <si>
    <t>3103235175H</t>
  </si>
  <si>
    <t>9781856047678</t>
  </si>
  <si>
    <t>794873805</t>
  </si>
  <si>
    <t>ZA3075 T43 2006</t>
  </si>
  <si>
    <t>0                      ZA 3075000T  43          2006</t>
  </si>
  <si>
    <t>Teaching information literacy skills to social sciences students and practitioners : a casebook of applications / edited by Douglas Cook and Natasha Cooper.</t>
  </si>
  <si>
    <t>Chicago : Association of College and Research Libraries, 2006.</t>
  </si>
  <si>
    <t>2016-07-18</t>
  </si>
  <si>
    <t>481163027:eng</t>
  </si>
  <si>
    <t>70176819</t>
  </si>
  <si>
    <t>ocm70176819</t>
  </si>
  <si>
    <t>3102633777R</t>
  </si>
  <si>
    <t>9780838983898</t>
  </si>
  <si>
    <t>794150306</t>
  </si>
  <si>
    <t>ZA3075 T434 2015</t>
  </si>
  <si>
    <t>0                      ZA 3075000T  434         2015</t>
  </si>
  <si>
    <t>Teaching information literacy threshold concepts : lesson plans for librarians / edited by Patricia Bravender, Hazel McClure, Gayle Schaub.</t>
  </si>
  <si>
    <t>2016-07-27</t>
  </si>
  <si>
    <t>2611356029:eng</t>
  </si>
  <si>
    <t>908448271</t>
  </si>
  <si>
    <t>ocn908448271</t>
  </si>
  <si>
    <t>3103633664Q</t>
  </si>
  <si>
    <t>9780838987711</t>
  </si>
  <si>
    <t>794994726</t>
  </si>
  <si>
    <t>ZA3075 T44 2007</t>
  </si>
  <si>
    <t>0                      ZA 3075000T  44          2007</t>
  </si>
  <si>
    <t>The teaching library : approaches to assessing information literacy instruction / Scott Walter, editor.</t>
  </si>
  <si>
    <t>Binghamton, NY : Haworth Information Press, ©2007.</t>
  </si>
  <si>
    <t>Professional Developmental Collection.</t>
  </si>
  <si>
    <t>2015-05-12</t>
  </si>
  <si>
    <t>866258891:eng</t>
  </si>
  <si>
    <t>171111764</t>
  </si>
  <si>
    <t>ocn171111764</t>
  </si>
  <si>
    <t>31028637368</t>
  </si>
  <si>
    <t>9780789031495</t>
  </si>
  <si>
    <t>794264134</t>
  </si>
  <si>
    <t>ZA3075 T44 2016</t>
  </si>
  <si>
    <t>0                      ZA 3075000T  44          2016</t>
  </si>
  <si>
    <t>Teaching with primary sources / edited by Christopher J. Prom &amp; Lisa Janicke Hinchliffe.</t>
  </si>
  <si>
    <t>3626677545:eng</t>
  </si>
  <si>
    <t>953877130</t>
  </si>
  <si>
    <t>ocn953877130</t>
  </si>
  <si>
    <t>3103866969V</t>
  </si>
  <si>
    <t>9781931666923</t>
  </si>
  <si>
    <t>795019337</t>
  </si>
  <si>
    <t>ZA3075 T45 2010</t>
  </si>
  <si>
    <t>0                      ZA 3075000T  45          2010</t>
  </si>
  <si>
    <t>Mastering digital research : a guide for students / Bonnie L. Tensen, Keith Hampson.</t>
  </si>
  <si>
    <t>Tensen, Bonnie L.</t>
  </si>
  <si>
    <t>Toronto : Nelson Education, [2009], c2010.</t>
  </si>
  <si>
    <t>1st Canadian ed.</t>
  </si>
  <si>
    <t>179404006:eng</t>
  </si>
  <si>
    <t>298593325</t>
  </si>
  <si>
    <t>ocn298593325</t>
  </si>
  <si>
    <t>31030725749</t>
  </si>
  <si>
    <t>9780176440022</t>
  </si>
  <si>
    <t>794428018</t>
  </si>
  <si>
    <t>ZA3075 T46 2007</t>
  </si>
  <si>
    <t>0                      ZA 3075000T  46          2007</t>
  </si>
  <si>
    <t>Research strategies for a digital age / Bonnie L. Tensen.</t>
  </si>
  <si>
    <t>Boston, Mass. : Thomson Wadsworth, ©2007.</t>
  </si>
  <si>
    <t>985660:eng</t>
  </si>
  <si>
    <t>70865793</t>
  </si>
  <si>
    <t>ocm70865793</t>
  </si>
  <si>
    <t>3102631784X</t>
  </si>
  <si>
    <t>9781413019230</t>
  </si>
  <si>
    <t>794160344</t>
  </si>
  <si>
    <t>ZA3075 T46 2013</t>
  </si>
  <si>
    <t>0                      ZA 3075000T  46          2013</t>
  </si>
  <si>
    <t>Boston, MA : Wadsworth, ©2013.</t>
  </si>
  <si>
    <t>773610432</t>
  </si>
  <si>
    <t>ocn773610432</t>
  </si>
  <si>
    <t>3103431261K</t>
  </si>
  <si>
    <t>9780840028822</t>
  </si>
  <si>
    <t>794905780</t>
  </si>
  <si>
    <t>ZA3075 T465 2005</t>
  </si>
  <si>
    <t>0                      ZA 3075000T  465         2005</t>
  </si>
  <si>
    <t>Theories of information behavior / edited by Karen E. Fisher, Sanda Erdelez, and Lynne (E.F.) McKechnie.</t>
  </si>
  <si>
    <t>Medford, N.J. : Published for the American Society for Information Science and Technology by Information Today, ©2005.</t>
  </si>
  <si>
    <t>351139443:eng</t>
  </si>
  <si>
    <t>59818630</t>
  </si>
  <si>
    <t>ocm59818630</t>
  </si>
  <si>
    <t>31024958346</t>
  </si>
  <si>
    <t>9781573872300</t>
  </si>
  <si>
    <t>793932013</t>
  </si>
  <si>
    <t>ZA3075 T73 2013</t>
  </si>
  <si>
    <t>0                      ZA 3075000T  73          2013</t>
  </si>
  <si>
    <t>Training students at small &amp; medium sized colleges in information literacy.</t>
  </si>
  <si>
    <t>[New York] : Primary Research Group, 2013.</t>
  </si>
  <si>
    <t>3862858481:eng</t>
  </si>
  <si>
    <t>856054961</t>
  </si>
  <si>
    <t>ocn856054961</t>
  </si>
  <si>
    <t>3103502360M</t>
  </si>
  <si>
    <t>9781574402506</t>
  </si>
  <si>
    <t>794954121</t>
  </si>
  <si>
    <t>ZA3075 U67 2015</t>
  </si>
  <si>
    <t>0                      ZA 3075000U  67          2015</t>
  </si>
  <si>
    <t>Information now : a graphic guide to student research / Matt Upson, C. Michael Hall, and Kevin Cannon.</t>
  </si>
  <si>
    <t>Upson, Matt, author.</t>
  </si>
  <si>
    <t>Chicago ; London : The University of Chicago Press, 2015.</t>
  </si>
  <si>
    <t>2269296326:eng</t>
  </si>
  <si>
    <t>900333000</t>
  </si>
  <si>
    <t>ocn900333000</t>
  </si>
  <si>
    <t>3103740062J</t>
  </si>
  <si>
    <t>9780226095691</t>
  </si>
  <si>
    <t>794987383</t>
  </si>
  <si>
    <t>ZA3075 V64 2011</t>
  </si>
  <si>
    <t>0                      ZA 3075000V  64          2011</t>
  </si>
  <si>
    <t>Humor and information literacy : practical techniques for library instruction / Joshua Vossler and Scott Sheidlower.</t>
  </si>
  <si>
    <t>Vossler, Joshua J.</t>
  </si>
  <si>
    <t>2019-10-17</t>
  </si>
  <si>
    <t>865550240:eng</t>
  </si>
  <si>
    <t>712115048</t>
  </si>
  <si>
    <t>ocn712115048</t>
  </si>
  <si>
    <t>3103406157K</t>
  </si>
  <si>
    <t>9781598845327</t>
  </si>
  <si>
    <t>794871638</t>
  </si>
  <si>
    <t>ZA3075 W35 2011</t>
  </si>
  <si>
    <t>0                      ZA 3075000W  35          2011</t>
  </si>
  <si>
    <t>Information literacy instruction : selecting an effective model / John Walsh.</t>
  </si>
  <si>
    <t>Walsh, John (Librarian)</t>
  </si>
  <si>
    <t>815072412:eng</t>
  </si>
  <si>
    <t>701799172</t>
  </si>
  <si>
    <t>ocn701799172</t>
  </si>
  <si>
    <t>31034305979</t>
  </si>
  <si>
    <t>9781843346272</t>
  </si>
  <si>
    <t>794863461</t>
  </si>
  <si>
    <t>ZA3075 W37 2008</t>
  </si>
  <si>
    <t>0                      ZA 3075000W  37          2008</t>
  </si>
  <si>
    <t>A disciplinary blueprint for the assessment of information literacy / Dorothy Anne Warner.</t>
  </si>
  <si>
    <t>Warner, Dorothy, 1948-</t>
  </si>
  <si>
    <t>2016-05-04</t>
  </si>
  <si>
    <t>119789801:eng</t>
  </si>
  <si>
    <t>191846886</t>
  </si>
  <si>
    <t>ocn191846886</t>
  </si>
  <si>
    <t>3102971949Y</t>
  </si>
  <si>
    <t>9781591585930</t>
  </si>
  <si>
    <t>794301401</t>
  </si>
  <si>
    <t>ZA3075 W375 2010</t>
  </si>
  <si>
    <t>0                      ZA 3075000W  375         2010</t>
  </si>
  <si>
    <t>Human information retrieval / Julian Warner.</t>
  </si>
  <si>
    <t>Warner, Julian, 1955-</t>
  </si>
  <si>
    <t>Cambridge, Mass. : MIT Press, ©2010.</t>
  </si>
  <si>
    <t>2016-08-01</t>
  </si>
  <si>
    <t>195094090:eng</t>
  </si>
  <si>
    <t>317777892</t>
  </si>
  <si>
    <t>ocn317777892</t>
  </si>
  <si>
    <t>3103136224Q</t>
  </si>
  <si>
    <t>9780262013444</t>
  </si>
  <si>
    <t>794464404</t>
  </si>
  <si>
    <t>ZA3157 B57 2017</t>
  </si>
  <si>
    <t>0                      ZA 3157000B  57          2017</t>
  </si>
  <si>
    <t>Shareveillance : the dangers of openly sharing and covertly collecting data / Clare Birchall.</t>
  </si>
  <si>
    <t>Birchall, Clare. author.</t>
  </si>
  <si>
    <t>Minneapolis : University of Minnesota Press, 2017.</t>
  </si>
  <si>
    <t>Forerunners: ideas first</t>
  </si>
  <si>
    <t>5055614089:eng</t>
  </si>
  <si>
    <t>1002185233</t>
  </si>
  <si>
    <t>on1002185233</t>
  </si>
  <si>
    <t>3103737540H</t>
  </si>
  <si>
    <t>9781517904258</t>
  </si>
  <si>
    <t>795040978</t>
  </si>
  <si>
    <t>ZA3157 D45 2014</t>
  </si>
  <si>
    <t>0                      ZA 3157000D  45          2014</t>
  </si>
  <si>
    <t>Delivering research data management services : fundamentals of good practice / edited by Graham Pryor, Sarah Jones and Angus Whyte.</t>
  </si>
  <si>
    <t>1778721848:eng</t>
  </si>
  <si>
    <t>868665029</t>
  </si>
  <si>
    <t>ocn868665029</t>
  </si>
  <si>
    <t>3103504014X</t>
  </si>
  <si>
    <t>9781856049337</t>
  </si>
  <si>
    <t>794964892</t>
  </si>
  <si>
    <t>ZA3157 D47 2012</t>
  </si>
  <si>
    <t>0                      ZA 3157000D  47          2012</t>
  </si>
  <si>
    <t>Information 2.0 : new models of information production, distribution and consumption / Martin De Saulles.</t>
  </si>
  <si>
    <t>De Saulles, Martin.</t>
  </si>
  <si>
    <t>1082288242:eng</t>
  </si>
  <si>
    <t>778274954</t>
  </si>
  <si>
    <t>ocn778274954</t>
  </si>
  <si>
    <t>3103413375H</t>
  </si>
  <si>
    <t>9781856047548</t>
  </si>
  <si>
    <t>794909567</t>
  </si>
  <si>
    <t>ZA3157 D47 2015</t>
  </si>
  <si>
    <t>0                      ZA 3157000D  47          2015</t>
  </si>
  <si>
    <t>De Saulles, Martin, author.</t>
  </si>
  <si>
    <t>910239918</t>
  </si>
  <si>
    <t>ocn910239918</t>
  </si>
  <si>
    <t>3103583155N</t>
  </si>
  <si>
    <t>9781783300099</t>
  </si>
  <si>
    <t>794996028</t>
  </si>
  <si>
    <t>ZA3157 D48 2010</t>
  </si>
  <si>
    <t>0                      ZA 3157000D  48          2010</t>
  </si>
  <si>
    <t>Le développement de l'intelligence informationnelle : les acteurs, les défis et la quête de sens / sous la direction de Danielle Boisvert ; [textes de] Danielle Boisvert ... [et al.].</t>
  </si>
  <si>
    <t>Montréal : Éditions ASTED, ©2010.</t>
  </si>
  <si>
    <t>890659781:fre</t>
  </si>
  <si>
    <t>473378153</t>
  </si>
  <si>
    <t>ocn473378153</t>
  </si>
  <si>
    <t>31030725897</t>
  </si>
  <si>
    <t>9782923563183</t>
  </si>
  <si>
    <t>794797764</t>
  </si>
  <si>
    <t>ZA3157 D67 2015</t>
  </si>
  <si>
    <t>0                      ZA 3157000D  67          2015</t>
  </si>
  <si>
    <t>Information needs analysis : principles and practice in information organizations / Daniel G. Dorner, G.E. Gorman and Philip J. Calvert.</t>
  </si>
  <si>
    <t>Dorner, Daniel G., author.</t>
  </si>
  <si>
    <t>918630621:eng</t>
  </si>
  <si>
    <t>900082672</t>
  </si>
  <si>
    <t>ocn900082672</t>
  </si>
  <si>
    <t>3103612560I</t>
  </si>
  <si>
    <t>9781856044844</t>
  </si>
  <si>
    <t>794987134</t>
  </si>
  <si>
    <t>ZA3157 F47 2008</t>
  </si>
  <si>
    <t>0                      ZA 3157000F  47          2008</t>
  </si>
  <si>
    <t>L'élaboration de politiques en milieux documentaires / Benoit Ferland ; préface, Philippe Sauvageau.</t>
  </si>
  <si>
    <t>Ferland, Benoit.</t>
  </si>
  <si>
    <t>Montréal : Éditions ASTED, 2008.</t>
  </si>
  <si>
    <t>351957505:fre</t>
  </si>
  <si>
    <t>166688403</t>
  </si>
  <si>
    <t>ocn166688403</t>
  </si>
  <si>
    <t>3102940911M</t>
  </si>
  <si>
    <t>9782923563060</t>
  </si>
  <si>
    <t>794262093</t>
  </si>
  <si>
    <t>ZA3157 F69 2005</t>
  </si>
  <si>
    <t>0                      ZA 3157000F  69          2005</t>
  </si>
  <si>
    <t>Information entrepreneurship : information services based on the information lifecycle / Susan G. Fowler.</t>
  </si>
  <si>
    <t>Fowler, Susan G., 1958-</t>
  </si>
  <si>
    <t>1105124098:eng</t>
  </si>
  <si>
    <t>56194896</t>
  </si>
  <si>
    <t>ocm56194896</t>
  </si>
  <si>
    <t>3102606879R</t>
  </si>
  <si>
    <t>9780810852587</t>
  </si>
  <si>
    <t>793888948</t>
  </si>
  <si>
    <t>2011-01-12</t>
  </si>
  <si>
    <t>3102439843I</t>
  </si>
  <si>
    <t>793888949</t>
  </si>
  <si>
    <t>ZA3157 H46 2001</t>
  </si>
  <si>
    <t>0                      ZA 3157000H  46          2001</t>
  </si>
  <si>
    <t>The information audit : a practical guide / Susan Henczel.</t>
  </si>
  <si>
    <t>Henczel, Susan.</t>
  </si>
  <si>
    <t>Information services management series</t>
  </si>
  <si>
    <t>1088647:eng</t>
  </si>
  <si>
    <t>47242582</t>
  </si>
  <si>
    <t>ocm47242582</t>
  </si>
  <si>
    <t>3102163636J</t>
  </si>
  <si>
    <t>9783598243677</t>
  </si>
  <si>
    <t>793701672</t>
  </si>
  <si>
    <t>ZA3157 I53 2014</t>
  </si>
  <si>
    <t>0                      ZA 3157000I  53          2014</t>
  </si>
  <si>
    <t>Information beyond borders : international cultural and intellectual exchange in the Belle Époque / edited by W. Boyd Rayward, University of New South Wales, Sydney, Australia and University of Illinois at Urbana-Champaign, USA.</t>
  </si>
  <si>
    <t>Farnham, Surrey, England : Ashgate Publishing Limited ; Burlington, VT : Ashgate Publishing Company, [2014]</t>
  </si>
  <si>
    <t>1784471997:eng</t>
  </si>
  <si>
    <t>858246312</t>
  </si>
  <si>
    <t>ocn858246312</t>
  </si>
  <si>
    <t>3103530347J</t>
  </si>
  <si>
    <t>9781409442257</t>
  </si>
  <si>
    <t>794955895</t>
  </si>
  <si>
    <t>ZA3157 P36 1998</t>
  </si>
  <si>
    <t>0                      ZA 3157000P  36          1998</t>
  </si>
  <si>
    <t>Becoming a successful intrapreneur : a practical guide to creating an innovative information service / Sheila Pantry and Peter Griffiths.</t>
  </si>
  <si>
    <t>London : Library Association Pub., 1998.</t>
  </si>
  <si>
    <t>889969762:eng</t>
  </si>
  <si>
    <t>40412035</t>
  </si>
  <si>
    <t>ocm40412035</t>
  </si>
  <si>
    <t>31019458265</t>
  </si>
  <si>
    <t>9781856042925</t>
  </si>
  <si>
    <t>793566063</t>
  </si>
  <si>
    <t>ZA3157 R69 2011</t>
  </si>
  <si>
    <t>0                      ZA 3157000R  69          2011</t>
  </si>
  <si>
    <t>Being an information innovator / Jennifer Rowley.</t>
  </si>
  <si>
    <t>768603435:eng</t>
  </si>
  <si>
    <t>695570130</t>
  </si>
  <si>
    <t>ocn695570130</t>
  </si>
  <si>
    <t>3103343162G</t>
  </si>
  <si>
    <t>9781856046718</t>
  </si>
  <si>
    <t>794858503</t>
  </si>
  <si>
    <t>ZA3157 W56 2012</t>
  </si>
  <si>
    <t>0                      ZA 3157000W  56          2012</t>
  </si>
  <si>
    <t>Information services design : a design science approach for sustainable knowledge / by Fons Wijnhoven.</t>
  </si>
  <si>
    <t>Wijnhoven, Fons.</t>
  </si>
  <si>
    <t>New York : Routledge, 2012.</t>
  </si>
  <si>
    <t>Routledge studies in organization and systems ; 2</t>
  </si>
  <si>
    <t>908770251:eng</t>
  </si>
  <si>
    <t>730114662</t>
  </si>
  <si>
    <t>ocn730114662</t>
  </si>
  <si>
    <t>3103395780Z</t>
  </si>
  <si>
    <t>9780415899857</t>
  </si>
  <si>
    <t>794879901</t>
  </si>
  <si>
    <t>ZA3159 G7 B55 2007</t>
  </si>
  <si>
    <t>0                      ZA 3159000G  7                  B  55          2007</t>
  </si>
  <si>
    <t>The early information society : information management in Britain before the computer / Alistair Black, Dave Muddiman, Helen Plant.</t>
  </si>
  <si>
    <t>Aldershot, England ; Burlington, VT : Ashgate, ©2007.</t>
  </si>
  <si>
    <t>801134101:eng</t>
  </si>
  <si>
    <t>74492027</t>
  </si>
  <si>
    <t>ocm74492027</t>
  </si>
  <si>
    <t>3102569978P</t>
  </si>
  <si>
    <t>9780754642794</t>
  </si>
  <si>
    <t>794172999</t>
  </si>
  <si>
    <t>ZA3225 B36 2011</t>
  </si>
  <si>
    <t>0                      ZA 3225000B  36          2011</t>
  </si>
  <si>
    <t>The future of looking back / Richard Banks.</t>
  </si>
  <si>
    <t>Banks, Richard.</t>
  </si>
  <si>
    <t>Redmond, Wash. : Microsoft Press, ©2011.</t>
  </si>
  <si>
    <t>Microsoft Research series ; 1</t>
  </si>
  <si>
    <t>2012-04-27</t>
  </si>
  <si>
    <t>1044133725:eng</t>
  </si>
  <si>
    <t>752068919</t>
  </si>
  <si>
    <t>ocn752068919</t>
  </si>
  <si>
    <t>3103385578B</t>
  </si>
  <si>
    <t>9780735658066</t>
  </si>
  <si>
    <t>794891471</t>
  </si>
  <si>
    <t>ZA3225 L47 1999</t>
  </si>
  <si>
    <t>0                      ZA 3225000L  47          1999</t>
  </si>
  <si>
    <t>Code and other laws of cyberspace / Lawrence Lessig.</t>
  </si>
  <si>
    <t>Lessig, Lawrence.</t>
  </si>
  <si>
    <t>New York : Basic Books, [1999]</t>
  </si>
  <si>
    <t>7110854:eng</t>
  </si>
  <si>
    <t>43836713</t>
  </si>
  <si>
    <t>ocm43836713</t>
  </si>
  <si>
    <t>3102114455B</t>
  </si>
  <si>
    <t>9780465039128</t>
  </si>
  <si>
    <t>793636511</t>
  </si>
  <si>
    <t>3103038100V</t>
  </si>
  <si>
    <t>793636510</t>
  </si>
  <si>
    <t>ZA3250 U6 G38 1996</t>
  </si>
  <si>
    <t>0                      ZA 3250000U  6                  G  38          1996</t>
  </si>
  <si>
    <t>The road ahead / Bill Gates, with Nathan Myhrvold and Peter Rinearson.</t>
  </si>
  <si>
    <t>Text &amp; 1 CD.</t>
  </si>
  <si>
    <t>Gates, Bill, 1955-</t>
  </si>
  <si>
    <t>New York : Penguin Books, ©1996.</t>
  </si>
  <si>
    <t>Completely rev. and up-to-date.</t>
  </si>
  <si>
    <t>4663675545:eng</t>
  </si>
  <si>
    <t>35908629</t>
  </si>
  <si>
    <t>ocm35908629</t>
  </si>
  <si>
    <t>3102968762D</t>
  </si>
  <si>
    <t>9780140260403</t>
  </si>
  <si>
    <t>793460436</t>
  </si>
  <si>
    <t>ZA3270 B35 2008</t>
  </si>
  <si>
    <t>0                      ZA 3270000B  35          2008</t>
  </si>
  <si>
    <t>Transforming library service through information commons : case studies for the digital age / D. Russell Bailey and Barbara Gunter Tierney.</t>
  </si>
  <si>
    <t>Bailey, D. Russell.</t>
  </si>
  <si>
    <t>2016-05-17</t>
  </si>
  <si>
    <t>801866613:eng</t>
  </si>
  <si>
    <t>174112635</t>
  </si>
  <si>
    <t>ocn174112635</t>
  </si>
  <si>
    <t>3102898247N</t>
  </si>
  <si>
    <t>9780838909584</t>
  </si>
  <si>
    <t>794273229</t>
  </si>
  <si>
    <t>ZA3270 B43 2006</t>
  </si>
  <si>
    <t>0                      ZA 3270000B  43          2006</t>
  </si>
  <si>
    <t>The information commons handbook / Donald Robert Beagle ; with contributions by Donald Russell Bailey and Barbara Tierney.</t>
  </si>
  <si>
    <t>Beagle, Donald Robert.</t>
  </si>
  <si>
    <t>New York : Neal-Schuman Publishers, [2006]</t>
  </si>
  <si>
    <t>58266085:eng</t>
  </si>
  <si>
    <t>71312660</t>
  </si>
  <si>
    <t>ocm71312660</t>
  </si>
  <si>
    <t>3102594405M</t>
  </si>
  <si>
    <t>9781555705626</t>
  </si>
  <si>
    <t>794165234</t>
  </si>
  <si>
    <t>ZA3270 F54 2009</t>
  </si>
  <si>
    <t>0                      ZA 3270000F  54          2009</t>
  </si>
  <si>
    <t>A field guide to the information commons / edited by Charles Forrest, Martin Halbert.</t>
  </si>
  <si>
    <t>Plymouth, U.K. ; Lanham, Md. : Scarecrow Press, 2009.</t>
  </si>
  <si>
    <t>766918713:eng</t>
  </si>
  <si>
    <t>253634660</t>
  </si>
  <si>
    <t>ocn253634660</t>
  </si>
  <si>
    <t>3103083899O</t>
  </si>
  <si>
    <t>9780810861008</t>
  </si>
  <si>
    <t>794390564</t>
  </si>
  <si>
    <t>ZA3270 H93 2010</t>
  </si>
  <si>
    <t>0                      ZA 3270000H  93          2010</t>
  </si>
  <si>
    <t>Common as air : revolution, art, and ownership / Lewis Hyde.</t>
  </si>
  <si>
    <t>Hyde, Lewis, 1945-</t>
  </si>
  <si>
    <t>New York, N.Y. : Farrar, Straus and Giroux, 2010.</t>
  </si>
  <si>
    <t>795523638:eng</t>
  </si>
  <si>
    <t>456171442</t>
  </si>
  <si>
    <t>ocn456171442</t>
  </si>
  <si>
    <t>31032282983</t>
  </si>
  <si>
    <t>9780374223137</t>
  </si>
  <si>
    <t>794788454</t>
  </si>
  <si>
    <t>ZA3270 L43 2008</t>
  </si>
  <si>
    <t>0                      ZA 3270000L  43          2008</t>
  </si>
  <si>
    <t>Learning commons : evolution and collaborative essentials / edited by Barbara Schader.</t>
  </si>
  <si>
    <t>836503405:eng</t>
  </si>
  <si>
    <t>148313886</t>
  </si>
  <si>
    <t>ocn148313886</t>
  </si>
  <si>
    <t>3102853030Y</t>
  </si>
  <si>
    <t>9781843343134</t>
  </si>
  <si>
    <t>794240698</t>
  </si>
  <si>
    <t>ZA3270 L43 2015</t>
  </si>
  <si>
    <t>0                      ZA 3270000L  43          2015</t>
  </si>
  <si>
    <t>Learning commons benchmarks.</t>
  </si>
  <si>
    <t>New York, NY : Primary Research Group, [2015]</t>
  </si>
  <si>
    <t>2601635255:eng</t>
  </si>
  <si>
    <t>913831900</t>
  </si>
  <si>
    <t>ocn913831900</t>
  </si>
  <si>
    <t>3103609910P</t>
  </si>
  <si>
    <t>9781574403442</t>
  </si>
  <si>
    <t>794999660</t>
  </si>
  <si>
    <t>ZA3270 P47 2016</t>
  </si>
  <si>
    <t>0                      ZA 3270000P  47          2016</t>
  </si>
  <si>
    <t>The idealist : Aaron Swartz and the rise of free culture on the Internet / Justin Peters.</t>
  </si>
  <si>
    <t>Peters, Justin, author.</t>
  </si>
  <si>
    <t>New York : Scribner, 2016.</t>
  </si>
  <si>
    <t>First Scribner hardcover edition.</t>
  </si>
  <si>
    <t>2838944646:eng</t>
  </si>
  <si>
    <t>932463247</t>
  </si>
  <si>
    <t>ocn932463247</t>
  </si>
  <si>
    <t>3103653508S</t>
  </si>
  <si>
    <t>9781476767727</t>
  </si>
  <si>
    <t>795008623</t>
  </si>
  <si>
    <t>ZA4045 B47 2015</t>
  </si>
  <si>
    <t>0                      ZA 4045000B  47          2015</t>
  </si>
  <si>
    <t>From digital to analog : Agrippa and other hybrids in the beginnings of digital culture / Agustín Berti.</t>
  </si>
  <si>
    <t>Berti, Agustín, author.</t>
  </si>
  <si>
    <t>New York, NY : Peter Lang Publishing, Inc., [2015]</t>
  </si>
  <si>
    <t>The new literacies and digital epistemologies series, 1523-9543 ; Vol. 69</t>
  </si>
  <si>
    <t>2619078578:eng</t>
  </si>
  <si>
    <t>914156955</t>
  </si>
  <si>
    <t>ocn914156955</t>
  </si>
  <si>
    <t>3103584142L</t>
  </si>
  <si>
    <t>9781433125058</t>
  </si>
  <si>
    <t>794999813</t>
  </si>
  <si>
    <t>ZA4045 C46 2014</t>
  </si>
  <si>
    <t>0                      ZA 4045000C  46          2014</t>
  </si>
  <si>
    <t>Sustainability of scholarly information / G.G. Chowdhury.</t>
  </si>
  <si>
    <t>Chowdhury, G. G. (Gobinda G.), author.</t>
  </si>
  <si>
    <t>2033069092:eng</t>
  </si>
  <si>
    <t>890934005</t>
  </si>
  <si>
    <t>ocn890934005</t>
  </si>
  <si>
    <t>3103567592Y</t>
  </si>
  <si>
    <t>9781856049566</t>
  </si>
  <si>
    <t>794979711</t>
  </si>
  <si>
    <t>ZA4045 D54 2011</t>
  </si>
  <si>
    <t>0                      ZA 4045000D  54          2011</t>
  </si>
  <si>
    <t>Digital media : technological and social challenges of the interactive world / edited by Megan A. Winget, William Aspray.</t>
  </si>
  <si>
    <t>Lanham, Md. : Scarecrow Press, ©2011.</t>
  </si>
  <si>
    <t>1058867195:eng</t>
  </si>
  <si>
    <t>724673922</t>
  </si>
  <si>
    <t>ocn724673922</t>
  </si>
  <si>
    <t>3103408329C</t>
  </si>
  <si>
    <t>9780810881969</t>
  </si>
  <si>
    <t>794876691</t>
  </si>
  <si>
    <t>ZA4045 E26 2015</t>
  </si>
  <si>
    <t>0                      ZA 4045000E  26          2015</t>
  </si>
  <si>
    <t>Economic analysis of the digital economy / edited by Avi Goldfarb, Shane M. Greenstein, and Catherine E. Tucker.</t>
  </si>
  <si>
    <t>National Bureau of Economic Research Conference Report</t>
  </si>
  <si>
    <t>2015-12-23</t>
  </si>
  <si>
    <t>2500166337:eng</t>
  </si>
  <si>
    <t>891001556</t>
  </si>
  <si>
    <t>ocn891001556</t>
  </si>
  <si>
    <t>3103622035V</t>
  </si>
  <si>
    <t>9780226206844</t>
  </si>
  <si>
    <t>794979788</t>
  </si>
  <si>
    <t>ZA4050 E93 2010</t>
  </si>
  <si>
    <t>0                      ZA 4050000E  93          2010</t>
  </si>
  <si>
    <t>Evaluating e-resources / [compiled by] Richard Bleiler, Jill Livingston.</t>
  </si>
  <si>
    <t>Washington, D.C. : Association of Research Libraries, c2010.</t>
  </si>
  <si>
    <t>SPEC kit, 0160-3582 ; 316</t>
  </si>
  <si>
    <t>505910208:eng</t>
  </si>
  <si>
    <t>645458141</t>
  </si>
  <si>
    <t>ocn645458141</t>
  </si>
  <si>
    <t>3103283904R</t>
  </si>
  <si>
    <t>9781594078507</t>
  </si>
  <si>
    <t>794829530</t>
  </si>
  <si>
    <t>ZA4060 H67 1997</t>
  </si>
  <si>
    <t>0                      ZA 4060000H  67          1997</t>
  </si>
  <si>
    <t>Understanding information retrieval interactions : theoretical and practical implications / Carol A. Hert.</t>
  </si>
  <si>
    <t>Hert, Carol A.</t>
  </si>
  <si>
    <t>Greenwich, Conn. : Ablex Pub. Corp., ©1997.</t>
  </si>
  <si>
    <t>328679605:eng</t>
  </si>
  <si>
    <t>36865628</t>
  </si>
  <si>
    <t>ocm36865628</t>
  </si>
  <si>
    <t>3101836318W</t>
  </si>
  <si>
    <t>9781567503050</t>
  </si>
  <si>
    <t>793486146</t>
  </si>
  <si>
    <t>ZA4060 I52 2010</t>
  </si>
  <si>
    <t>0                      ZA 4060000I  52          2010</t>
  </si>
  <si>
    <t>L'information scientifique et technique dans l'univers numérique : mesures et usages = Academic online resources : usage and assessment : actes du colloque, Lille, 26-27 novembre 2009 / coordonné par Chérifa Boukacem-Zeghmouri ; préface de Carol Tenopir.</t>
  </si>
  <si>
    <t>Paris : ADBS, ©2010.</t>
  </si>
  <si>
    <t>Sciences et techniques de l'information, 1160-2376</t>
  </si>
  <si>
    <t>2035494258:fre</t>
  </si>
  <si>
    <t>727511880</t>
  </si>
  <si>
    <t>ocn727511880</t>
  </si>
  <si>
    <t>3103297960V</t>
  </si>
  <si>
    <t>9782843651236</t>
  </si>
  <si>
    <t>794878218</t>
  </si>
  <si>
    <t>ZA4060 I58 2010</t>
  </si>
  <si>
    <t>0                      ZA 4060000I  58          2010</t>
  </si>
  <si>
    <t>M-libraries 2 : a virtual library in everyone's pocket / edited by Mohamed Ally and Gill Needham ; [contributors, Mohamed Ally [and others]].</t>
  </si>
  <si>
    <t>International M-Libraries Conference (2nd : 2009 : Vancouver, B.C.)</t>
  </si>
  <si>
    <t>2012-10-20</t>
  </si>
  <si>
    <t>313953456:eng</t>
  </si>
  <si>
    <t>426030628</t>
  </si>
  <si>
    <t>ocn426030628</t>
  </si>
  <si>
    <t>3103133499I</t>
  </si>
  <si>
    <t>9781856046961</t>
  </si>
  <si>
    <t>794514277</t>
  </si>
  <si>
    <t>ZA4060 I59 2015</t>
  </si>
  <si>
    <t>0                      ZA 4060000I  59          2015</t>
  </si>
  <si>
    <t>M-libraries 5 : from devices to people / edited by Gill Needham and Mohamed Ally.</t>
  </si>
  <si>
    <t>International M-Libraries Conference (5th : 2014 : Chinese University of Hong Kong)</t>
  </si>
  <si>
    <t>2558891701:eng</t>
  </si>
  <si>
    <t>910626659</t>
  </si>
  <si>
    <t>ocn910626659</t>
  </si>
  <si>
    <t>3103611910M</t>
  </si>
  <si>
    <t>9781783300341</t>
  </si>
  <si>
    <t>794996366</t>
  </si>
  <si>
    <t>ZA4060 M55 2013</t>
  </si>
  <si>
    <t>0                      ZA 4060000M  55          2013</t>
  </si>
  <si>
    <t>M-libraries. 4 : from margin to mainstream - mobile technologies transforming lives and libraries / edited by Mohamed Ally and Gill Needham.</t>
  </si>
  <si>
    <t>International M-Libraries Conference (4th : 2012 : Milton Keynes, England)</t>
  </si>
  <si>
    <t>1411434229:eng</t>
  </si>
  <si>
    <t>861119768</t>
  </si>
  <si>
    <t>ocn861119768</t>
  </si>
  <si>
    <t>31035044807</t>
  </si>
  <si>
    <t>9781856049443</t>
  </si>
  <si>
    <t>794958768</t>
  </si>
  <si>
    <t>ZA4060 M56 2012</t>
  </si>
  <si>
    <t>0                      ZA 4060000M  56          2012</t>
  </si>
  <si>
    <t>M-libraries 3 : transforming libraries with mobile technology / edited by Mohamed Ally and Gill Needham.</t>
  </si>
  <si>
    <t>1083208094:eng</t>
  </si>
  <si>
    <t>707962667</t>
  </si>
  <si>
    <t>ocn707962667</t>
  </si>
  <si>
    <t>31033968233</t>
  </si>
  <si>
    <t>9781856047760</t>
  </si>
  <si>
    <t>794868366</t>
  </si>
  <si>
    <t>ZA4065 C73 1997</t>
  </si>
  <si>
    <t>0                      ZA 4065000C  73          1997</t>
  </si>
  <si>
    <t>Teaching electronic literacy : a concepts-based approach for school library media specialists / Kathleen W. Craver.</t>
  </si>
  <si>
    <t>Craver, Kathleen W.</t>
  </si>
  <si>
    <t>Greenwood professional guides in school librarianship, 1074-150X</t>
  </si>
  <si>
    <t>802516672:eng</t>
  </si>
  <si>
    <t>36469576</t>
  </si>
  <si>
    <t>ocm36469576</t>
  </si>
  <si>
    <t>3101826921P</t>
  </si>
  <si>
    <t>9780313302206</t>
  </si>
  <si>
    <t>793476012</t>
  </si>
  <si>
    <t>ZA4065 D54 2010</t>
  </si>
  <si>
    <t>0                      ZA 4065000D  54          2010</t>
  </si>
  <si>
    <t>Digital information : order or anarchy? / edited by Hazel Woodward and Lorraine Estelle.</t>
  </si>
  <si>
    <t>892467314:eng</t>
  </si>
  <si>
    <t>320315314</t>
  </si>
  <si>
    <t>ocn320315314</t>
  </si>
  <si>
    <t>3103130909X</t>
  </si>
  <si>
    <t>9781856046800</t>
  </si>
  <si>
    <t>794486109</t>
  </si>
  <si>
    <t>ZA4065 H47 2009</t>
  </si>
  <si>
    <t>0                      ZA 4065000H  47          2009</t>
  </si>
  <si>
    <t>Teaching information literacy for inquiry-based learning / Mark Hepworth and Geoff Walton.</t>
  </si>
  <si>
    <t>Hepworth, Mark, 1955-</t>
  </si>
  <si>
    <t>346868782:eng</t>
  </si>
  <si>
    <t>462916696</t>
  </si>
  <si>
    <t>ocn462916696</t>
  </si>
  <si>
    <t>3103131484S</t>
  </si>
  <si>
    <t>9781843344414</t>
  </si>
  <si>
    <t>794792152</t>
  </si>
  <si>
    <t>ZA4065 L53 2013</t>
  </si>
  <si>
    <t>0                      ZA 4065000L  53          2013</t>
  </si>
  <si>
    <t>Library use of LibGuides.</t>
  </si>
  <si>
    <t>1402944886:eng</t>
  </si>
  <si>
    <t>859038514</t>
  </si>
  <si>
    <t>ocn859038514</t>
  </si>
  <si>
    <t>31035049254</t>
  </si>
  <si>
    <t>9781574402575</t>
  </si>
  <si>
    <t>794957315</t>
  </si>
  <si>
    <t>ZA4065 W43 2010</t>
  </si>
  <si>
    <t>0                      ZA 4065000W  43          2010</t>
  </si>
  <si>
    <t>Web research in academic libraries / compiled by Rebecca Sullivan.</t>
  </si>
  <si>
    <t>Chicago : College Library Information Packet Committee, College Libraries Section, Association of College and Research Libraries, 2010.</t>
  </si>
  <si>
    <t>CLIP note ; #41</t>
  </si>
  <si>
    <t>570800416:eng</t>
  </si>
  <si>
    <t>656213185</t>
  </si>
  <si>
    <t>ocn656213185</t>
  </si>
  <si>
    <t>3103302805V</t>
  </si>
  <si>
    <t>9780838999264</t>
  </si>
  <si>
    <t>794834581</t>
  </si>
  <si>
    <t>ZA4080 A53 2018</t>
  </si>
  <si>
    <t>0                      ZA 4080000A  53          2018</t>
  </si>
  <si>
    <t>Digital libraries and crowdsourcing / Mathieu Andro.</t>
  </si>
  <si>
    <t>Andro, Mathieu, author.</t>
  </si>
  <si>
    <t>London, UK : ISTE, Ltd. ; Hoboken, NJ : John Wiley &amp; Sons, Inc., 2018.</t>
  </si>
  <si>
    <t>Computer engineering series</t>
  </si>
  <si>
    <t>9468904863:eng</t>
  </si>
  <si>
    <t>1011022349</t>
  </si>
  <si>
    <t>on1011022349</t>
  </si>
  <si>
    <t>3103669842H</t>
  </si>
  <si>
    <t>9781786301611</t>
  </si>
  <si>
    <t>795045347</t>
  </si>
  <si>
    <t>ZA4080 B36 2019</t>
  </si>
  <si>
    <t>0                      ZA 4080000B  36          2019</t>
  </si>
  <si>
    <t>Building digital libraries : a how-to-do-it manual for librarians / Kyle Banerjee and Terry Reese, Jr.</t>
  </si>
  <si>
    <t>Banerjee, Kyle, author.</t>
  </si>
  <si>
    <t>A how-to-do-it manual for librarians</t>
  </si>
  <si>
    <t>314958599:eng</t>
  </si>
  <si>
    <t>1048015209</t>
  </si>
  <si>
    <t>on1048015209</t>
  </si>
  <si>
    <t>3103809777O</t>
  </si>
  <si>
    <t>9780838916353</t>
  </si>
  <si>
    <t>795060794</t>
  </si>
  <si>
    <t>ZA4080 C47 2010</t>
  </si>
  <si>
    <t>0                      ZA 4080000C  47          2010</t>
  </si>
  <si>
    <t>Virtual visits to lost libraries : reconstruction of and access to dispersed collections : papers presented on 5 November 2010, at the CERL Seminar hosted by the Royal Library of Denmark, Copenhagen / edited by Ivan Boserup and David J. Shaw.</t>
  </si>
  <si>
    <t>London : Consortium of European Research Libraries ; Copenhagen : The Royal Library of Denmark, 2011.</t>
  </si>
  <si>
    <t>CERL papers ; 11</t>
  </si>
  <si>
    <t>1046129031:eng</t>
  </si>
  <si>
    <t>778628043</t>
  </si>
  <si>
    <t>ocn778628043</t>
  </si>
  <si>
    <t>3103580180T</t>
  </si>
  <si>
    <t>9780956999603</t>
  </si>
  <si>
    <t>794910088</t>
  </si>
  <si>
    <t>ZA4080 C56 2010</t>
  </si>
  <si>
    <t>0                      ZA 4080000C  56          2010</t>
  </si>
  <si>
    <t>Building a digital repository program with limited resources / Abby Clobridge.</t>
  </si>
  <si>
    <t>Clobridge, Abby.</t>
  </si>
  <si>
    <t>Oxford [England] : Chandos Publishing, 2010.</t>
  </si>
  <si>
    <t>2012-10-16</t>
  </si>
  <si>
    <t>659486782:eng</t>
  </si>
  <si>
    <t>665042800</t>
  </si>
  <si>
    <t>ocn665042800</t>
  </si>
  <si>
    <t>31033611918</t>
  </si>
  <si>
    <t>9781843345961</t>
  </si>
  <si>
    <t>794844464</t>
  </si>
  <si>
    <t>ZA4080 D44 2002</t>
  </si>
  <si>
    <t>0                      ZA 4080000D  44          2002</t>
  </si>
  <si>
    <t>Digital futures : strategies for the information age / Marilyn Deegan and Simon Tanner.</t>
  </si>
  <si>
    <t>Deegan, Marilyn.</t>
  </si>
  <si>
    <t>London : Library Association, 2002.</t>
  </si>
  <si>
    <t>36187037:eng</t>
  </si>
  <si>
    <t>48883771</t>
  </si>
  <si>
    <t>ocm48883771</t>
  </si>
  <si>
    <t>3102629612N</t>
  </si>
  <si>
    <t>9781856044110</t>
  </si>
  <si>
    <t>793729628</t>
  </si>
  <si>
    <t>ZA4080 D53 2008</t>
  </si>
  <si>
    <t>0                      ZA 4080000D  53          2008</t>
  </si>
  <si>
    <t>Digital libraries / edited by Fabrice Papy.</t>
  </si>
  <si>
    <t>London, UK : ISTE Ltd. ; Hoboken, NJ : John Wiley &amp; Sons, ©2008.</t>
  </si>
  <si>
    <t>3901278350:eng</t>
  </si>
  <si>
    <t>191881991</t>
  </si>
  <si>
    <t>ocn191881991</t>
  </si>
  <si>
    <t>3102973640Z</t>
  </si>
  <si>
    <t>9781848210424</t>
  </si>
  <si>
    <t>794301735</t>
  </si>
  <si>
    <t>ZA4080 D54 2009</t>
  </si>
  <si>
    <t>0                      ZA 4080000D  54          2009</t>
  </si>
  <si>
    <t>Digital library economics : an academic perspective / edited by David Baker and Wendy Evans ; assisted by Claire Stevens.</t>
  </si>
  <si>
    <t>3858306461:eng</t>
  </si>
  <si>
    <t>435418341</t>
  </si>
  <si>
    <t>ocn435418341</t>
  </si>
  <si>
    <t>3102858136B</t>
  </si>
  <si>
    <t>9781843344032</t>
  </si>
  <si>
    <t>794783222</t>
  </si>
  <si>
    <t>ZA4080 D54 2012</t>
  </si>
  <si>
    <t>0                      ZA 4080000D  54          2012</t>
  </si>
  <si>
    <t>Digital libraries and information access : research perspectives / edited by G.G. Chowdhury and Schubert Foo.</t>
  </si>
  <si>
    <t>[London] : Facet, 2012.</t>
  </si>
  <si>
    <t>2014-05-25</t>
  </si>
  <si>
    <t>1088910702:eng</t>
  </si>
  <si>
    <t>780335314</t>
  </si>
  <si>
    <t>ocn780335314</t>
  </si>
  <si>
    <t>3103432874X</t>
  </si>
  <si>
    <t>9781856048217</t>
  </si>
  <si>
    <t>794912015</t>
  </si>
  <si>
    <t>ZA4080 D5455 2009</t>
  </si>
  <si>
    <t>0                      ZA 4080000D  5455        2009</t>
  </si>
  <si>
    <t>Digital Library Futures: User Perspectives and Institutional Strategies / edited by Ingeborg Verheul, Anna Maria Tammaro, and Steve Witt.</t>
  </si>
  <si>
    <t>Digital Library Futures: User Perspectives and Institutional Strategies (Conference) (2009 : Milan, Italy)</t>
  </si>
  <si>
    <t>Berlin ; New York : De Gruyter Saur, [2010]</t>
  </si>
  <si>
    <t>IFLA publications, 0344-6891 ; 146</t>
  </si>
  <si>
    <t>2013-09-20</t>
  </si>
  <si>
    <t>892079081:eng</t>
  </si>
  <si>
    <t>610832080</t>
  </si>
  <si>
    <t>ocn610832080</t>
  </si>
  <si>
    <t>31033283424</t>
  </si>
  <si>
    <t>9783110232189</t>
  </si>
  <si>
    <t>794820796</t>
  </si>
  <si>
    <t>ZA4080 D546 2003</t>
  </si>
  <si>
    <t>0                      ZA 4080000D  546         2003</t>
  </si>
  <si>
    <t>Digital library use : social practice in design and evaluation / edited by Ann Peterson Bishop, Nancy A. Van House, and Barbara P. Buttenfield.</t>
  </si>
  <si>
    <t>Cambridge, Mass. : MIT Press, ©2003.</t>
  </si>
  <si>
    <t>794195259:eng</t>
  </si>
  <si>
    <t>51389233</t>
  </si>
  <si>
    <t>ocm51389233</t>
  </si>
  <si>
    <t>3102309973U</t>
  </si>
  <si>
    <t>9780262025447</t>
  </si>
  <si>
    <t>793783923</t>
  </si>
  <si>
    <t>ZA4080 D554 2011</t>
  </si>
  <si>
    <t>0                      ZA 4080000D  554         2011</t>
  </si>
  <si>
    <t>Die digitale Bibliothek / [Thomas Stäcker and others].</t>
  </si>
  <si>
    <t>Wiesbaden : Harrassowitz Verlag, 2011.</t>
  </si>
  <si>
    <t>Kodex--Jahrbuch der Internationalen Buchwissenschaftlichen Gesellschaft, 2193-4983 ; 1</t>
  </si>
  <si>
    <t>5092098845:ger</t>
  </si>
  <si>
    <t>792939760</t>
  </si>
  <si>
    <t>ocn792939760</t>
  </si>
  <si>
    <t>3103440082L</t>
  </si>
  <si>
    <t>9783447064859</t>
  </si>
  <si>
    <t>794917382</t>
  </si>
  <si>
    <t>ZA4080 E85 2009</t>
  </si>
  <si>
    <t>0                      ZA 4080000E  85          2009</t>
  </si>
  <si>
    <t>Evaluation of digital libraries : an insight into useful applications and methods / edited by Giannis Tsakonas and Christos Papatheodorou.</t>
  </si>
  <si>
    <t>891639941:eng</t>
  </si>
  <si>
    <t>280426556</t>
  </si>
  <si>
    <t>ocn280426556</t>
  </si>
  <si>
    <t>3102859914O</t>
  </si>
  <si>
    <t>9781843344841</t>
  </si>
  <si>
    <t>794420376</t>
  </si>
  <si>
    <t>ZA4080 F57 2010</t>
  </si>
  <si>
    <t>0                      ZA 4080000F  57          2010</t>
  </si>
  <si>
    <t>The concept of electronic resource usage and libraries / Rachel A. Fleming-May and Jill E. Grogg.</t>
  </si>
  <si>
    <t>Fleming-May, Rachel Anne.</t>
  </si>
  <si>
    <t>Chicago, IL : ALA TechSource, ©2010.</t>
  </si>
  <si>
    <t>Library technology reports ; v. 46, no. 6</t>
  </si>
  <si>
    <t>607886884:eng</t>
  </si>
  <si>
    <t>660187915</t>
  </si>
  <si>
    <t>ocn660187915</t>
  </si>
  <si>
    <t>3103236305L</t>
  </si>
  <si>
    <t>9780838958124</t>
  </si>
  <si>
    <t>794836825</t>
  </si>
  <si>
    <t>ZA4080 F69 2012</t>
  </si>
  <si>
    <t>0                      ZA 4080000F  69          2012</t>
  </si>
  <si>
    <t>Theoretical foundations for digital libraries : the 5S (societies, scenarios, spaces, structures, streams) approach / Edward A. Fox, Marcos André Gonçalves, Rao Shen.</t>
  </si>
  <si>
    <t>Fox, Edward A. (Edward Alan), 1950-</t>
  </si>
  <si>
    <t>[San Rafael, Calif.] : Morgan &amp; Claypool Publishers, ©2012.</t>
  </si>
  <si>
    <t>Synthesis lectures on information concepts, retrieval, and services, 1947-9468 ; #22</t>
  </si>
  <si>
    <t>1149183437:eng</t>
  </si>
  <si>
    <t>798611501</t>
  </si>
  <si>
    <t>ocn798611501</t>
  </si>
  <si>
    <t>31034145993</t>
  </si>
  <si>
    <t>9781608459100</t>
  </si>
  <si>
    <t>794923825</t>
  </si>
  <si>
    <t>ZA4080 I54 2001</t>
  </si>
  <si>
    <t>0                      ZA 4080000I  54          2001</t>
  </si>
  <si>
    <t>Information services in an electronic environment / edited by G.E. Gorman.</t>
  </si>
  <si>
    <t>International yearbook of library and information management ; 2001/2002</t>
  </si>
  <si>
    <t>56759875:eng</t>
  </si>
  <si>
    <t>48589189</t>
  </si>
  <si>
    <t>ocm48589189</t>
  </si>
  <si>
    <t>3102234338U</t>
  </si>
  <si>
    <t>9781856044035</t>
  </si>
  <si>
    <t>793724585</t>
  </si>
  <si>
    <t>ZA4080 I8 2015</t>
  </si>
  <si>
    <t>0                      ZA 4080000I  8           2015</t>
  </si>
  <si>
    <t>Is digital different? : How information creation, capture, preservation and discovery are being transformed / edited by Michael Moss and Barbara Endicott-Popovsky with Marc J. Dupuis.</t>
  </si>
  <si>
    <t>2214709200:eng</t>
  </si>
  <si>
    <t>894201347</t>
  </si>
  <si>
    <t>ocn894201347</t>
  </si>
  <si>
    <t>3103613176E</t>
  </si>
  <si>
    <t>9781856048545</t>
  </si>
  <si>
    <t>794982478</t>
  </si>
  <si>
    <t>ZA4080 J64 2005</t>
  </si>
  <si>
    <t>0                      ZA 4080000J  64          2005</t>
  </si>
  <si>
    <t>Exploring the digital library : a guide for online teaching and learning / Kay Johnson and Elaine Magusin.</t>
  </si>
  <si>
    <t>Johnson, Kay, 1963-</t>
  </si>
  <si>
    <t>San Francisco, CA : Jossey-Bass, ©2005.</t>
  </si>
  <si>
    <t>Jossey-Bass guides to online teaching and learning</t>
  </si>
  <si>
    <t>908391452:eng</t>
  </si>
  <si>
    <t>58830555</t>
  </si>
  <si>
    <t>ocm58830555</t>
  </si>
  <si>
    <t>3102507028Q</t>
  </si>
  <si>
    <t>9780787976279</t>
  </si>
  <si>
    <t>793924977</t>
  </si>
  <si>
    <t>ZA4080 J67 2006</t>
  </si>
  <si>
    <t>0                      ZA 4080000J  67          2006</t>
  </si>
  <si>
    <t>Putting content online : a practical guide for libraries / Mark Jordan.</t>
  </si>
  <si>
    <t>Jordan, Mark (Mark Jerrid)</t>
  </si>
  <si>
    <t>217664722:eng</t>
  </si>
  <si>
    <t>69022549</t>
  </si>
  <si>
    <t>ocm69022549</t>
  </si>
  <si>
    <t>31025669564</t>
  </si>
  <si>
    <t>9781843341772</t>
  </si>
  <si>
    <t>794145125</t>
  </si>
  <si>
    <t>ZA4080 L42 2002</t>
  </si>
  <si>
    <t>0                      ZA 4080000L  42          2002</t>
  </si>
  <si>
    <t>Building an electronic resource collection : a practical guide / Stuart D. Lee.</t>
  </si>
  <si>
    <t>Lee, Stuart D.</t>
  </si>
  <si>
    <t>London : Library Association Pub., 2002.</t>
  </si>
  <si>
    <t>1065157:eng</t>
  </si>
  <si>
    <t>48417693</t>
  </si>
  <si>
    <t>ocm48417693</t>
  </si>
  <si>
    <t>31028099544</t>
  </si>
  <si>
    <t>9781856044226</t>
  </si>
  <si>
    <t>793720573</t>
  </si>
  <si>
    <t>ZA4080 L43 2002</t>
  </si>
  <si>
    <t>0                      ZA 4080000L  43          2002</t>
  </si>
  <si>
    <t>Electronic collection development : a practical guide / Stuart D. Lee.</t>
  </si>
  <si>
    <t>New York : Neal-Schuman Publishers ; London : Library Association Pub., ©2002.</t>
  </si>
  <si>
    <t>3740838032:eng</t>
  </si>
  <si>
    <t>49407078</t>
  </si>
  <si>
    <t>ocm49407078</t>
  </si>
  <si>
    <t>3102205550V</t>
  </si>
  <si>
    <t>9781555704407</t>
  </si>
  <si>
    <t>793739904</t>
  </si>
  <si>
    <t>3102744643L</t>
  </si>
  <si>
    <t>793739903</t>
  </si>
  <si>
    <t>ZA4080 M36 2005</t>
  </si>
  <si>
    <t>0                      ZA 4080000M  36          2005</t>
  </si>
  <si>
    <t>Delivering digital services : a handbook for public libraries and learning centres / David McMenemy and Alan Poulter.</t>
  </si>
  <si>
    <t>891930720:eng</t>
  </si>
  <si>
    <t>58830603</t>
  </si>
  <si>
    <t>ocm58830603</t>
  </si>
  <si>
    <t>3103130661U</t>
  </si>
  <si>
    <t>9781856045100</t>
  </si>
  <si>
    <t>793924979</t>
  </si>
  <si>
    <t>ZA4080 M36 2012</t>
  </si>
  <si>
    <t>0                      ZA 4080000M  36          2012</t>
  </si>
  <si>
    <t>Managing born-digital special collections and archival materials / Naomi L. Nelson [and others].</t>
  </si>
  <si>
    <t>SPEC kit, 0160-3582 ; 329</t>
  </si>
  <si>
    <t>1167872773:eng</t>
  </si>
  <si>
    <t>810089119</t>
  </si>
  <si>
    <t>ocn810089119</t>
  </si>
  <si>
    <t>31034678690</t>
  </si>
  <si>
    <t>9781594078835</t>
  </si>
  <si>
    <t>794929066</t>
  </si>
  <si>
    <t>ZA4080 M36 2016</t>
  </si>
  <si>
    <t>0                      ZA 4080000M  36          2016</t>
  </si>
  <si>
    <t>Managing digital cultural objects : analysis, discovery and retrieval / edited by Allen Foster and Pauline Rafferty.</t>
  </si>
  <si>
    <t>2019-09-10</t>
  </si>
  <si>
    <t>2586847436:eng</t>
  </si>
  <si>
    <t>908700870</t>
  </si>
  <si>
    <t>ocn908700870</t>
  </si>
  <si>
    <t>3103657217J</t>
  </si>
  <si>
    <t>9780838913437</t>
  </si>
  <si>
    <t>794995022</t>
  </si>
  <si>
    <t>ZA4080 O44 2012</t>
  </si>
  <si>
    <t>0                      ZA 4080000O  44          2012</t>
  </si>
  <si>
    <t>Creating the digital library / by Joan Oleck.</t>
  </si>
  <si>
    <t>Oleck, Joan.</t>
  </si>
  <si>
    <t>New York : Primary Research Group, Inc., ©2012.</t>
  </si>
  <si>
    <t>2013-02-02</t>
  </si>
  <si>
    <t>1098207693:eng</t>
  </si>
  <si>
    <t>783142282</t>
  </si>
  <si>
    <t>ocn783142282</t>
  </si>
  <si>
    <t>3103412083S</t>
  </si>
  <si>
    <t>9781574401981</t>
  </si>
  <si>
    <t>794913865</t>
  </si>
  <si>
    <t>ZA4080 O44 2013</t>
  </si>
  <si>
    <t>0                      ZA 4080000O  44          2013</t>
  </si>
  <si>
    <t>Creating the digital library : 2013 edition.</t>
  </si>
  <si>
    <t>New York, NY : Primary Research Group Inc., [2013]</t>
  </si>
  <si>
    <t>2014-04-09</t>
  </si>
  <si>
    <t>4495114752:eng</t>
  </si>
  <si>
    <t>869388617</t>
  </si>
  <si>
    <t>ocn869388617</t>
  </si>
  <si>
    <t>3103505521C</t>
  </si>
  <si>
    <t>9781574402551</t>
  </si>
  <si>
    <t>794965403</t>
  </si>
  <si>
    <t>ZA4080 P36 2016</t>
  </si>
  <si>
    <t>0                      ZA 4080000P  36          2016</t>
  </si>
  <si>
    <t>Digital libraries : interoperability and uses / Fabrice Papy.</t>
  </si>
  <si>
    <t>Papy, Fabrice, author.</t>
  </si>
  <si>
    <t>London : ISTE Press ; Oxford : Elsevier, 2016.</t>
  </si>
  <si>
    <t>Digital libraries and collections set</t>
  </si>
  <si>
    <t>4417629633:eng</t>
  </si>
  <si>
    <t>939693742</t>
  </si>
  <si>
    <t>ocn939693742</t>
  </si>
  <si>
    <t>3103610247W</t>
  </si>
  <si>
    <t>9781785480454</t>
  </si>
  <si>
    <t>795011755</t>
  </si>
  <si>
    <t>ZA4080 P36 2017</t>
  </si>
  <si>
    <t>0                      ZA 4080000P  36          2017</t>
  </si>
  <si>
    <t>Digital libraries and innovation / Fabrice Papy, Cyril Jakubowicz.</t>
  </si>
  <si>
    <t>Oxford, UK : Elsevier, 2017.</t>
  </si>
  <si>
    <t>4566373070:eng</t>
  </si>
  <si>
    <t>1032263056</t>
  </si>
  <si>
    <t>on1032263056</t>
  </si>
  <si>
    <t>3103669638G</t>
  </si>
  <si>
    <t>9781785482236</t>
  </si>
  <si>
    <t>795055936</t>
  </si>
  <si>
    <t>ZA4080 P87 2016</t>
  </si>
  <si>
    <t>0                      ZA 4080000P  87          2016</t>
  </si>
  <si>
    <t>Digital library programs for libraries and archives : developing, managing, and sustaining unique digital collections / Aaron D. Purcell.</t>
  </si>
  <si>
    <t>Purcell, Aaron D., 1972- author.</t>
  </si>
  <si>
    <t>2962179429:eng</t>
  </si>
  <si>
    <t>945483315</t>
  </si>
  <si>
    <t>ocn945483315</t>
  </si>
  <si>
    <t>31036564663</t>
  </si>
  <si>
    <t>9780838914502</t>
  </si>
  <si>
    <t>795013558</t>
  </si>
  <si>
    <t>ZA4080 T74 2006</t>
  </si>
  <si>
    <t>0                      ZA 4080000T  74          2006</t>
  </si>
  <si>
    <t>Digital information contexts : theoretical approaches to understanding digital information / Luke Tredinnick.</t>
  </si>
  <si>
    <t>Tredinnick, Luke.</t>
  </si>
  <si>
    <t>217664740:eng</t>
  </si>
  <si>
    <t>70882244</t>
  </si>
  <si>
    <t>ocm70882244</t>
  </si>
  <si>
    <t>31025675768</t>
  </si>
  <si>
    <t>9781843341598</t>
  </si>
  <si>
    <t>794160864</t>
  </si>
  <si>
    <t>ZA4080 W43 2006</t>
  </si>
  <si>
    <t>0                      ZA 4080000W  43          2006</t>
  </si>
  <si>
    <t>Web archiving / Julien Masanès [ed.].</t>
  </si>
  <si>
    <t>Berlin ; New York : Springer, ©2006.</t>
  </si>
  <si>
    <t>905979420:eng</t>
  </si>
  <si>
    <t>66425108</t>
  </si>
  <si>
    <t>ocm66425108</t>
  </si>
  <si>
    <t>3102631414J</t>
  </si>
  <si>
    <t>9783540233381</t>
  </si>
  <si>
    <t>794139053</t>
  </si>
  <si>
    <t>ZA4080 W43 2014</t>
  </si>
  <si>
    <t>0                      ZA 4080000W  43          2014</t>
  </si>
  <si>
    <t>Using massive digital libraries : a LITA guide / Andrew Weiss.</t>
  </si>
  <si>
    <t>Weiss, Andrew, 1971- author.</t>
  </si>
  <si>
    <t>Chicago : ALA TechSource, An imprint of the American Library Association, 2014.</t>
  </si>
  <si>
    <t>1884299103:eng</t>
  </si>
  <si>
    <t>879538784</t>
  </si>
  <si>
    <t>ocn879538784</t>
  </si>
  <si>
    <t>3103567133L</t>
  </si>
  <si>
    <t>9780838912355</t>
  </si>
  <si>
    <t>794972199</t>
  </si>
  <si>
    <t>ZA4080 W48 2007</t>
  </si>
  <si>
    <t>0                      ZA 4080000W  48          2007</t>
  </si>
  <si>
    <t>The whole digital library handbook / edited by Diane Kresh for the Council on Library and Information Resources.</t>
  </si>
  <si>
    <t>766878731:eng</t>
  </si>
  <si>
    <t>71126827</t>
  </si>
  <si>
    <t>ocm71126827</t>
  </si>
  <si>
    <t>3102645955C</t>
  </si>
  <si>
    <t>9780838909263</t>
  </si>
  <si>
    <t>794162684</t>
  </si>
  <si>
    <t>ZA4080 W58 2010</t>
  </si>
  <si>
    <t>0                      ZA 4080000W  58          2010</t>
  </si>
  <si>
    <t>How to build a digital library / Ian H. Witten, David Bainbridge, and David M. Nichols.</t>
  </si>
  <si>
    <t>Witten, I. H. (Ian H.)</t>
  </si>
  <si>
    <t>Amsterdam ; Boston : Morgan Kaufmann Publishers, ©2010.</t>
  </si>
  <si>
    <t>The Morgan Kaufmann series in multimedia information and systems</t>
  </si>
  <si>
    <t>1047501:eng</t>
  </si>
  <si>
    <t>262433476</t>
  </si>
  <si>
    <t>ocn262433476</t>
  </si>
  <si>
    <t>31030976979</t>
  </si>
  <si>
    <t>9780123748577</t>
  </si>
  <si>
    <t>794401915</t>
  </si>
  <si>
    <t>ZA4080.4 K69 2018</t>
  </si>
  <si>
    <t>0                      ZA 4080400K  69          2018</t>
  </si>
  <si>
    <t>Digital curation for libraries and archives / Stacy T. Kowalczyk.</t>
  </si>
  <si>
    <t>Kowalczyk, Stacy T., author.</t>
  </si>
  <si>
    <t>4904990464:eng</t>
  </si>
  <si>
    <t>1030445946</t>
  </si>
  <si>
    <t>on1030445946</t>
  </si>
  <si>
    <t>31037040893</t>
  </si>
  <si>
    <t>9781610696319</t>
  </si>
  <si>
    <t>795054687</t>
  </si>
  <si>
    <t>ZA4080.5 E93 2012</t>
  </si>
  <si>
    <t>0                      ZA 4080500E  93          2012</t>
  </si>
  <si>
    <t>Evaluating and measuring the value, use and impact of digital collections / edited by Lorna M. Hughes.</t>
  </si>
  <si>
    <t>1069434229:eng</t>
  </si>
  <si>
    <t>770181855</t>
  </si>
  <si>
    <t>ocn770181855</t>
  </si>
  <si>
    <t>3103401933K</t>
  </si>
  <si>
    <t>9781856047203</t>
  </si>
  <si>
    <t>794903854</t>
  </si>
  <si>
    <t>ZA4080.5 U84 2012</t>
  </si>
  <si>
    <t>0                      ZA 4080500U  84          2012</t>
  </si>
  <si>
    <t>User Studies for Digital Library Development / edited by Milena Dobreva, Andy O'Dwyer, and Pierluigi Feliciati.</t>
  </si>
  <si>
    <t>London : Facet, ©2012.</t>
  </si>
  <si>
    <t>1082288244:eng</t>
  </si>
  <si>
    <t>778274956</t>
  </si>
  <si>
    <t>ocn778274956</t>
  </si>
  <si>
    <t>3103413233S</t>
  </si>
  <si>
    <t>9781856047654</t>
  </si>
  <si>
    <t>794909569</t>
  </si>
  <si>
    <t>ZA4080.5 Z53 2008</t>
  </si>
  <si>
    <t>0                      ZA 4080500Z  53          2008</t>
  </si>
  <si>
    <t>Creating digital collections : a practical guide / Allison B. Zhang and Don Gourley.</t>
  </si>
  <si>
    <t>Zhang, Allison B.</t>
  </si>
  <si>
    <t>Oxford : Chandos Pub., ©2009.</t>
  </si>
  <si>
    <t>2014-10-15</t>
  </si>
  <si>
    <t>197984683:eng</t>
  </si>
  <si>
    <t>232713009</t>
  </si>
  <si>
    <t>ocn232713009</t>
  </si>
  <si>
    <t>3103440087L</t>
  </si>
  <si>
    <t>9781843343974</t>
  </si>
  <si>
    <t>794364328</t>
  </si>
  <si>
    <t>31031322431</t>
  </si>
  <si>
    <t>794364329</t>
  </si>
  <si>
    <t>ZA4081.86 C35 2018</t>
  </si>
  <si>
    <t>0                      ZA 4081860C  35          2018</t>
  </si>
  <si>
    <t>Profiles of research university institutional digital repositories / by Burton Callicott.</t>
  </si>
  <si>
    <t>Callicott, Burton B., 1968- author.</t>
  </si>
  <si>
    <t>[New York, New York] : Primary Research Group Inc., [2018]</t>
  </si>
  <si>
    <t>5356405056:eng</t>
  </si>
  <si>
    <t>1041879175</t>
  </si>
  <si>
    <t>on1041879175</t>
  </si>
  <si>
    <t>3103704120Z</t>
  </si>
  <si>
    <t>9781574405286</t>
  </si>
  <si>
    <t>795059306</t>
  </si>
  <si>
    <t>ZA4081.86 G66 2018</t>
  </si>
  <si>
    <t>0                      ZA 4081860G  66          2018</t>
  </si>
  <si>
    <t>CLIPP 44 : Institutional Repositories / compiled and written by Brighid M. Gonzales.</t>
  </si>
  <si>
    <t>Gonzales, Brighid M., author, compiler.</t>
  </si>
  <si>
    <t>5478316512:eng</t>
  </si>
  <si>
    <t>1056250402</t>
  </si>
  <si>
    <t>on1056250402</t>
  </si>
  <si>
    <t>3103794903N</t>
  </si>
  <si>
    <t>9780838946046</t>
  </si>
  <si>
    <t>795063613</t>
  </si>
  <si>
    <t>ZA4081.86 I57 2013</t>
  </si>
  <si>
    <t>0                      ZA 4081860I  57          2013</t>
  </si>
  <si>
    <t>The institutional repository : benefits and challenges / Pamela Bluh and Cindy Hepfer, editors.</t>
  </si>
  <si>
    <t>Chicago : Association for Library Collections &amp; Technical Services, American Library Association, 2013.</t>
  </si>
  <si>
    <t>ALCTS papers on library technical services and collections ; #18</t>
  </si>
  <si>
    <t>1352606212:eng</t>
  </si>
  <si>
    <t>845349634</t>
  </si>
  <si>
    <t>ocn845349634</t>
  </si>
  <si>
    <t>31035323803</t>
  </si>
  <si>
    <t>9780838986615</t>
  </si>
  <si>
    <t>794948982</t>
  </si>
  <si>
    <t>ZA4081.86 N33 2010</t>
  </si>
  <si>
    <t>0                      ZA 4081860N  33          2010</t>
  </si>
  <si>
    <t>Starting, strengthening, and managing institutional repositories : a how-to-do-it-manual / Jonathan A. Nabe.</t>
  </si>
  <si>
    <t>Nabe, Jonathan A., 1966-</t>
  </si>
  <si>
    <t>How-to-do-it manuals ; no. 169</t>
  </si>
  <si>
    <t>2011-05-26</t>
  </si>
  <si>
    <t>322514086:eng</t>
  </si>
  <si>
    <t>436310944</t>
  </si>
  <si>
    <t>ocn436310944</t>
  </si>
  <si>
    <t>3103242914C</t>
  </si>
  <si>
    <t>9781555706890</t>
  </si>
  <si>
    <t>794784605</t>
  </si>
  <si>
    <t>ZA4081.86 P75 2017</t>
  </si>
  <si>
    <t>0                      ZA 4081860P  75          2017</t>
  </si>
  <si>
    <t>Survey of law school faculty : use of law school &amp; other digital repositories / Primary Research Group staff.</t>
  </si>
  <si>
    <t>[New York, New York] : Primary Research Group Inc., [2017]</t>
  </si>
  <si>
    <t>4488369119:eng</t>
  </si>
  <si>
    <t>995320283</t>
  </si>
  <si>
    <t>ocn995320283</t>
  </si>
  <si>
    <t>31037027714</t>
  </si>
  <si>
    <t>9781574404630</t>
  </si>
  <si>
    <t>795039459</t>
  </si>
  <si>
    <t>ZA4081.86 S87 2011</t>
  </si>
  <si>
    <t>0                      ZA 4081860S  87          2011</t>
  </si>
  <si>
    <t>The survey of institutional digital repositories / [Primary Research Group].</t>
  </si>
  <si>
    <t>[New York?] : The Group, ©2011.</t>
  </si>
  <si>
    <t>3860842064:eng</t>
  </si>
  <si>
    <t>701209006</t>
  </si>
  <si>
    <t>ocn701209006</t>
  </si>
  <si>
    <t>3103361607B</t>
  </si>
  <si>
    <t>9781574401615</t>
  </si>
  <si>
    <t>794862639</t>
  </si>
  <si>
    <t>ZA4081.86 S87 2012</t>
  </si>
  <si>
    <t>0                      ZA 4081860S  87          2012</t>
  </si>
  <si>
    <t>The survey of institutional digital repositories.</t>
  </si>
  <si>
    <t>[New York, N.Y.] : Primary Research Group, 2012.</t>
  </si>
  <si>
    <t>2012-2013 ed.</t>
  </si>
  <si>
    <t>808416548</t>
  </si>
  <si>
    <t>ocn808416548</t>
  </si>
  <si>
    <t>3103466295G</t>
  </si>
  <si>
    <t>9781574402070</t>
  </si>
  <si>
    <t>794927589</t>
  </si>
  <si>
    <t>ZA4082 U6 I67 2006</t>
  </si>
  <si>
    <t>0                      ZA 4082000U  6                  I  67          2006</t>
  </si>
  <si>
    <t>Institutional repositories / University of Houston Libraries, Institutional Repository Task Force, Charles W. Bailey, Jr., chair.</t>
  </si>
  <si>
    <t>Washington, DC : Association of Research Libraries, Office of Management Services, ©2006.</t>
  </si>
  <si>
    <t>SPEC kit, 0160-3582 ; 292</t>
  </si>
  <si>
    <t>58103707:eng</t>
  </si>
  <si>
    <t>71123217</t>
  </si>
  <si>
    <t>ocm71123217</t>
  </si>
  <si>
    <t>3102655847C</t>
  </si>
  <si>
    <t>9781594077081</t>
  </si>
  <si>
    <t>794162617</t>
  </si>
  <si>
    <t>ZA4082 U63 G66 2010</t>
  </si>
  <si>
    <t>0                      ZA 4082000U  63                 G  66          2010</t>
  </si>
  <si>
    <t>Google livres et le futur des bibliothèques numériques : historique du projet, techniques documentaires, alternatives et controverses / Alain Jacquesson.</t>
  </si>
  <si>
    <t>Jacquesson, Alain.</t>
  </si>
  <si>
    <t>796304536:fre</t>
  </si>
  <si>
    <t>641955209</t>
  </si>
  <si>
    <t>ocn641955209</t>
  </si>
  <si>
    <t>3103357640L</t>
  </si>
  <si>
    <t>9782765409809</t>
  </si>
  <si>
    <t>794827806</t>
  </si>
  <si>
    <t>ZA4084 A78 C73 2000</t>
  </si>
  <si>
    <t>0                      ZA 4084000A  78                 C  73          2000</t>
  </si>
  <si>
    <t>Creating digital resources for the visual arts : standards and good practice / Catherine Grout [and others].</t>
  </si>
  <si>
    <t>Oxford : Oxbow ; [London] : Arts and Humanities Data Service, ©2000.</t>
  </si>
  <si>
    <t>AHDS guides to good practice</t>
  </si>
  <si>
    <t>837035355:eng</t>
  </si>
  <si>
    <t>47641761</t>
  </si>
  <si>
    <t>ocm47641761</t>
  </si>
  <si>
    <t>3102970223Q</t>
  </si>
  <si>
    <t>9781842170137</t>
  </si>
  <si>
    <t>793704239</t>
  </si>
  <si>
    <t>ZA4084 A78 D54 2003</t>
  </si>
  <si>
    <t>0                      ZA 4084000A  78                 D  54          2003</t>
  </si>
  <si>
    <t>Digital images and art libraries in the twenty-first century / Susan Wyngaard, editor.</t>
  </si>
  <si>
    <t>Binghamton, N.Y. : Haworth Information Press, ©2003.</t>
  </si>
  <si>
    <t>57008310:eng</t>
  </si>
  <si>
    <t>53954131</t>
  </si>
  <si>
    <t>ocm53954131</t>
  </si>
  <si>
    <t>3102495348J</t>
  </si>
  <si>
    <t>9780789023476</t>
  </si>
  <si>
    <t>793853938</t>
  </si>
  <si>
    <t>ZA4084 H85 D54 2011</t>
  </si>
  <si>
    <t>0                      ZA 4084000H  85                 D  54          2011</t>
  </si>
  <si>
    <t>Digital humanities / [compiled by] Tim Bryson [and others].</t>
  </si>
  <si>
    <t>SPEC kit, 0160-3582 ; 326</t>
  </si>
  <si>
    <t>1059966609:eng</t>
  </si>
  <si>
    <t>767885887</t>
  </si>
  <si>
    <t>ocn767885887</t>
  </si>
  <si>
    <t>3103436990A</t>
  </si>
  <si>
    <t>9781594078705</t>
  </si>
  <si>
    <t>794901694</t>
  </si>
  <si>
    <t>ZA4150 C46 2003</t>
  </si>
  <si>
    <t>0                      ZA 4150000C  46          2003</t>
  </si>
  <si>
    <t>Introduction to digital libraries / G.G. Chowdhury, Sudatta Chowdhury.</t>
  </si>
  <si>
    <t>816633:eng</t>
  </si>
  <si>
    <t>50401967</t>
  </si>
  <si>
    <t>ocm50401967</t>
  </si>
  <si>
    <t>3102286632P</t>
  </si>
  <si>
    <t>9781856044653</t>
  </si>
  <si>
    <t>793764163</t>
  </si>
  <si>
    <t>ZA4150 L48 2009</t>
  </si>
  <si>
    <t>0                      ZA 4150000L  48          2009</t>
  </si>
  <si>
    <t>New new media / Paul Levinson.</t>
  </si>
  <si>
    <t>Levinson, Paul.</t>
  </si>
  <si>
    <t>Boston : Allyn &amp; Bacon, ©2009.</t>
  </si>
  <si>
    <t>Penguin academics</t>
  </si>
  <si>
    <t>193876607:eng</t>
  </si>
  <si>
    <t>316017167</t>
  </si>
  <si>
    <t>ocn316017167</t>
  </si>
  <si>
    <t>31030971005</t>
  </si>
  <si>
    <t>9780205673308</t>
  </si>
  <si>
    <t>794440472</t>
  </si>
  <si>
    <t>ZA4150 L48 2013</t>
  </si>
  <si>
    <t>0                      ZA 4150000L  48          2013</t>
  </si>
  <si>
    <t>New New Media / Paul Levinson, Fordham University.</t>
  </si>
  <si>
    <t>Boston : Pearson, [2013]</t>
  </si>
  <si>
    <t>787508383</t>
  </si>
  <si>
    <t>ocn787508383</t>
  </si>
  <si>
    <t>3103457128Y</t>
  </si>
  <si>
    <t>9780205865574</t>
  </si>
  <si>
    <t>794916104</t>
  </si>
  <si>
    <t>ZA4197 M55 2019</t>
  </si>
  <si>
    <t>0                      ZA 4197000M  55          2019</t>
  </si>
  <si>
    <t>History in the age of abundance? : how the web is transforming historical research / Ian Milligan.</t>
  </si>
  <si>
    <t>Milligan, Ian, 1983- author.</t>
  </si>
  <si>
    <t>Montreal ; Kingston ; London ; Chicago : McGill-Queen's University Press, [2019]</t>
  </si>
  <si>
    <t>8220535451:eng</t>
  </si>
  <si>
    <t>1065735001</t>
  </si>
  <si>
    <t>on1065735001</t>
  </si>
  <si>
    <t>3103819512H</t>
  </si>
  <si>
    <t>9780773556973</t>
  </si>
  <si>
    <t>795066625</t>
  </si>
  <si>
    <t>ZA4201 B688 2013</t>
  </si>
  <si>
    <t>0                      ZA 4201000B  688         2013</t>
  </si>
  <si>
    <t>Expert Internet searching / Phil Bradley.</t>
  </si>
  <si>
    <t>2014-05-13</t>
  </si>
  <si>
    <t>2564976172:eng</t>
  </si>
  <si>
    <t>859577405</t>
  </si>
  <si>
    <t>ocn859577405</t>
  </si>
  <si>
    <t>3103504524G</t>
  </si>
  <si>
    <t>9781856046053</t>
  </si>
  <si>
    <t>794957954</t>
  </si>
  <si>
    <t>ZA4201 C58 2003</t>
  </si>
  <si>
    <t>0                      ZA 4201000C  58          2003</t>
  </si>
  <si>
    <t>Keeping current : advanced Internet strategies to meet librarian and patron needs / Steven M. Cohen.</t>
  </si>
  <si>
    <t>Cohen, Steven M., 1974-</t>
  </si>
  <si>
    <t>800656394:eng</t>
  </si>
  <si>
    <t>52542559</t>
  </si>
  <si>
    <t>ocm52542559</t>
  </si>
  <si>
    <t>31023213540</t>
  </si>
  <si>
    <t>9780838908648</t>
  </si>
  <si>
    <t>793809244</t>
  </si>
  <si>
    <t>ZA4201 H47 2007</t>
  </si>
  <si>
    <t>0                      ZA 4201000H  47          2007</t>
  </si>
  <si>
    <t>Fool's gold : why the Internet is no substitute for a library / Mark Y. Herring.</t>
  </si>
  <si>
    <t>Jefferson, N.C. : McFarland, ©2007.</t>
  </si>
  <si>
    <t>863886486:eng</t>
  </si>
  <si>
    <t>123119572</t>
  </si>
  <si>
    <t>ocn123119572</t>
  </si>
  <si>
    <t>3102637094S</t>
  </si>
  <si>
    <t>9780786430826</t>
  </si>
  <si>
    <t>794223039</t>
  </si>
  <si>
    <t>ZA4201 I56 1997</t>
  </si>
  <si>
    <t>0                      ZA 4201000I  56          1997</t>
  </si>
  <si>
    <t>Internet culture / edited by David Porter.</t>
  </si>
  <si>
    <t>New York : Routledge, 1997.</t>
  </si>
  <si>
    <t>2015-05-29</t>
  </si>
  <si>
    <t>40417357:eng</t>
  </si>
  <si>
    <t>35620235</t>
  </si>
  <si>
    <t>ocm35620235</t>
  </si>
  <si>
    <t>31017421103</t>
  </si>
  <si>
    <t>9780415916837</t>
  </si>
  <si>
    <t>793453394</t>
  </si>
  <si>
    <t>ZA4201 J64 2003</t>
  </si>
  <si>
    <t>0                      ZA 4201000J  64          2003</t>
  </si>
  <si>
    <t>Understanding the psychology of Internet behaviour : virtual worlds, real lives / Adam N. Joinson.</t>
  </si>
  <si>
    <t>Joinson, Adam N., 1970-</t>
  </si>
  <si>
    <t>Houndmills, Basingstoke, Hampshire ; New York : Palgrave Macmillan, 2003.</t>
  </si>
  <si>
    <t>839002938:eng</t>
  </si>
  <si>
    <t>50761477</t>
  </si>
  <si>
    <t>ocm50761477</t>
  </si>
  <si>
    <t>3102579130F</t>
  </si>
  <si>
    <t>9780333984673</t>
  </si>
  <si>
    <t>793772515</t>
  </si>
  <si>
    <t>ZA4201 K46 2015</t>
  </si>
  <si>
    <t>0                      ZA 4201000K  46          2015</t>
  </si>
  <si>
    <t>Kensaku no shinchihei : atsumeru, sagasu, mitsukeru, nagameru / Takano Akihiko kanshū.</t>
  </si>
  <si>
    <t>Intānetto kōza / Kadokawa = Course-internet / Kadokawa ; 08</t>
  </si>
  <si>
    <t>2505542975:jpn</t>
  </si>
  <si>
    <t>908016448</t>
  </si>
  <si>
    <t>ocn908016448</t>
  </si>
  <si>
    <t>31036321783</t>
  </si>
  <si>
    <t>9784046538888</t>
  </si>
  <si>
    <t>794994061</t>
  </si>
  <si>
    <t>ZA4201 S34 2014</t>
  </si>
  <si>
    <t>0                      ZA 4201000S  34          2014</t>
  </si>
  <si>
    <t>Internet censorship : a reference handbook / Bernadette H. Schell.</t>
  </si>
  <si>
    <t>Schell, Bernadette H. (Bernadette Hlubik), 1952- author.</t>
  </si>
  <si>
    <t>Santa Barbara, California : ABC-CLIO, [2014]</t>
  </si>
  <si>
    <t>Contemporary world issues : science, technology, and medicine</t>
  </si>
  <si>
    <t>2070702505:eng</t>
  </si>
  <si>
    <t>860943831</t>
  </si>
  <si>
    <t>ocn860943831</t>
  </si>
  <si>
    <t>3103567321H</t>
  </si>
  <si>
    <t>9781610694810</t>
  </si>
  <si>
    <t>794958636</t>
  </si>
  <si>
    <t>ZA4201 S44 2014</t>
  </si>
  <si>
    <t>0                      ZA 4201000S  44          2014</t>
  </si>
  <si>
    <t>Virtual unreality : just because the Internet told you, how do you know it's true? / Charles Seife.</t>
  </si>
  <si>
    <t>Seife, Charles.</t>
  </si>
  <si>
    <t>New York : Viking, 2014.</t>
  </si>
  <si>
    <t>1925008117:eng</t>
  </si>
  <si>
    <t>871534390</t>
  </si>
  <si>
    <t>ocn871534390</t>
  </si>
  <si>
    <t>3103567087E</t>
  </si>
  <si>
    <t>9780670026081</t>
  </si>
  <si>
    <t>794967711</t>
  </si>
  <si>
    <t>ZA4225 P44 2012</t>
  </si>
  <si>
    <t>0                      ZA 4225000P  44          2012</t>
  </si>
  <si>
    <t>The cybrarian's web : an A-Z guide to 101 free Web 2.0 tools and other resources / Cheryl Ann Peltier-Davis.</t>
  </si>
  <si>
    <t>Peltier-Davis, Cheryl Ann.</t>
  </si>
  <si>
    <t>London. : Facet, 2012.</t>
  </si>
  <si>
    <t>1012049514:eng</t>
  </si>
  <si>
    <t>778275123</t>
  </si>
  <si>
    <t>ocn778275123</t>
  </si>
  <si>
    <t>31033968243</t>
  </si>
  <si>
    <t>9781856048293</t>
  </si>
  <si>
    <t>794909574</t>
  </si>
  <si>
    <t>ZA4228 I57 2009</t>
  </si>
  <si>
    <t>0                      ZA 4228000I  57          2009</t>
  </si>
  <si>
    <t>Internet inquiry : conversations about method / edited by Annette N. Markham, Nancy K. Baym.</t>
  </si>
  <si>
    <t>Los Angeles : Sage Publications, ©2009.</t>
  </si>
  <si>
    <t>865187542:eng</t>
  </si>
  <si>
    <t>190860107</t>
  </si>
  <si>
    <t>ocn190860107</t>
  </si>
  <si>
    <t>3102974281Z</t>
  </si>
  <si>
    <t>9781412910002</t>
  </si>
  <si>
    <t>794296302</t>
  </si>
  <si>
    <t>ZA4228 I59 2017</t>
  </si>
  <si>
    <t>0                      ZA 4228000I  59          2017</t>
  </si>
  <si>
    <t>Internet research ethics for the social age : new challenges, cases, and contexts / Edited by Michael Zimmer and Katharina Kinder-Kurlanda.</t>
  </si>
  <si>
    <t>New York, NY : Peter Lang Publishing, Inc., [2017]</t>
  </si>
  <si>
    <t>Digital formations, 1526-3169 ; vol. 108</t>
  </si>
  <si>
    <t>4138374902:eng</t>
  </si>
  <si>
    <t>978358853</t>
  </si>
  <si>
    <t>ocn978358853</t>
  </si>
  <si>
    <t>3103738541A</t>
  </si>
  <si>
    <t>9781433142666</t>
  </si>
  <si>
    <t>795033283</t>
  </si>
  <si>
    <t>ZA4228 N54 2012</t>
  </si>
  <si>
    <t>0                      ZA 4228000N  54          2012</t>
  </si>
  <si>
    <t>The essential guide to using the Web for research / Nigel Ford.</t>
  </si>
  <si>
    <t>Ford, Nigel.</t>
  </si>
  <si>
    <t>Los Angeles : Sage Publications Ltd, 2012.</t>
  </si>
  <si>
    <t>2013-07-09</t>
  </si>
  <si>
    <t>1075681163:eng</t>
  </si>
  <si>
    <t>665137836</t>
  </si>
  <si>
    <t>ocn665137836</t>
  </si>
  <si>
    <t>3103406210P</t>
  </si>
  <si>
    <t>9780857023643</t>
  </si>
  <si>
    <t>794844652</t>
  </si>
  <si>
    <t>ZA4228 R64 2013</t>
  </si>
  <si>
    <t>0                      ZA 4228000R  64          2013</t>
  </si>
  <si>
    <t>Digital methods / Richard Rogers.</t>
  </si>
  <si>
    <t>Rogers, Richard, 1965- author.</t>
  </si>
  <si>
    <t>Cambridge, Massachusetts : The MIT Press, [2013]</t>
  </si>
  <si>
    <t>1371503210:eng</t>
  </si>
  <si>
    <t>808627924</t>
  </si>
  <si>
    <t>ocn808627924</t>
  </si>
  <si>
    <t>3103497983F</t>
  </si>
  <si>
    <t>9780262018838</t>
  </si>
  <si>
    <t>794927776</t>
  </si>
  <si>
    <t>ZA4228 S34 2008</t>
  </si>
  <si>
    <t>0                      ZA 4228000S  34          2008</t>
  </si>
  <si>
    <t>The SAGE handbook of online research methods / edited by Nigel G. Fielding, Raymond M. Lee and Grant Blank.</t>
  </si>
  <si>
    <t>Los Angeles ; London : SAGE, 2008.</t>
  </si>
  <si>
    <t>2017-02-12</t>
  </si>
  <si>
    <t>354613811:eng</t>
  </si>
  <si>
    <t>214308663</t>
  </si>
  <si>
    <t>ocn214308663</t>
  </si>
  <si>
    <t>3102972410E</t>
  </si>
  <si>
    <t>9781412922937</t>
  </si>
  <si>
    <t>794313783</t>
  </si>
  <si>
    <t>ZA4228 S78 2014</t>
  </si>
  <si>
    <t>0                      ZA 4228000S  78          2014</t>
  </si>
  <si>
    <t>Web metrics for library and information professionals / David Stuart.</t>
  </si>
  <si>
    <t>Stuart, David (David Patrick), author.</t>
  </si>
  <si>
    <t>1784306017:eng</t>
  </si>
  <si>
    <t>870211165</t>
  </si>
  <si>
    <t>ocn870211165</t>
  </si>
  <si>
    <t>3103529817G</t>
  </si>
  <si>
    <t>9781856048743</t>
  </si>
  <si>
    <t>794966211</t>
  </si>
  <si>
    <t>ZA4228 T54 2004</t>
  </si>
  <si>
    <t>0                      ZA 4228000T  54          2004</t>
  </si>
  <si>
    <t>Link analysis : an information science approach / Mike Thelwall.</t>
  </si>
  <si>
    <t>Thelwall, Mike.</t>
  </si>
  <si>
    <t>Amsterdam ; Boston : Elsevier Academic Press, 2004.</t>
  </si>
  <si>
    <t>863038452:eng</t>
  </si>
  <si>
    <t>57658586</t>
  </si>
  <si>
    <t>ocm57658586</t>
  </si>
  <si>
    <t>31025056952</t>
  </si>
  <si>
    <t>9780120885534</t>
  </si>
  <si>
    <t>793917145</t>
  </si>
  <si>
    <t>ZA4228 W55 2005</t>
  </si>
  <si>
    <t>0                      ZA 4228000W  55          2005</t>
  </si>
  <si>
    <t>100 ready-to-use pathfinders for the Web : a guidebook and CD-ROM / A. Paula Wilson.</t>
  </si>
  <si>
    <t>Wilson, A. Paula.</t>
  </si>
  <si>
    <t>908799241:eng</t>
  </si>
  <si>
    <t>54865163</t>
  </si>
  <si>
    <t>ocm54865163</t>
  </si>
  <si>
    <t>3102451051P</t>
  </si>
  <si>
    <t>9781555704902</t>
  </si>
  <si>
    <t>793869452</t>
  </si>
  <si>
    <t>ZA4230 C37 2010</t>
  </si>
  <si>
    <t>0                      ZA 4230000C  37          2010</t>
  </si>
  <si>
    <t>Estimating the query difficulty for information retrieval / David Carmel and Elad Yom-Tov.</t>
  </si>
  <si>
    <t>Carmel, David.</t>
  </si>
  <si>
    <t>[San Rafael] : Morgan &amp; Claypool, ©2010.</t>
  </si>
  <si>
    <t>Synthesis lectures on information concepts, retrieval, and services, 1947-945X ; #15</t>
  </si>
  <si>
    <t>2011-04-08</t>
  </si>
  <si>
    <t>474635660:eng</t>
  </si>
  <si>
    <t>604920334</t>
  </si>
  <si>
    <t>ocn604920334</t>
  </si>
  <si>
    <t>3103231434W</t>
  </si>
  <si>
    <t>9781608453573</t>
  </si>
  <si>
    <t>794816143</t>
  </si>
  <si>
    <t>ZA4230 F53 2016</t>
  </si>
  <si>
    <t>0                      ZA 4230000F  53          2016</t>
  </si>
  <si>
    <t>Comment montrer aux élèves à faire de bonnes recherches sur le Web / Patrick Fleury ; préface de Thierry Karsenti.</t>
  </si>
  <si>
    <t>Fleury, Patrick.</t>
  </si>
  <si>
    <t>Montréal, Québec, Canada : Chenelière éducation, 2016.</t>
  </si>
  <si>
    <t>Chenelière/Didactique. TIC</t>
  </si>
  <si>
    <t>2826431286:fre</t>
  </si>
  <si>
    <t>931502601</t>
  </si>
  <si>
    <t>ocn931502601</t>
  </si>
  <si>
    <t>3103644741N</t>
  </si>
  <si>
    <t>9782765046639</t>
  </si>
  <si>
    <t>795007584</t>
  </si>
  <si>
    <t>ZA4230 H63 2010</t>
  </si>
  <si>
    <t>0                      ZA 4230000H  63          2010</t>
  </si>
  <si>
    <t>The extreme searcher's Internet handbook : a guide for the serious searcher / Randolph Hock.</t>
  </si>
  <si>
    <t>Hock, Randolph, 1944-</t>
  </si>
  <si>
    <t>Medford, N.J. : CyberAge Books, ©2010.</t>
  </si>
  <si>
    <t>2013-07-04</t>
  </si>
  <si>
    <t>796391493:eng</t>
  </si>
  <si>
    <t>440563027</t>
  </si>
  <si>
    <t>ocn440563027</t>
  </si>
  <si>
    <t>31031583481</t>
  </si>
  <si>
    <t>9780910965842</t>
  </si>
  <si>
    <t>794786492</t>
  </si>
  <si>
    <t>ZA4230 M67 2010</t>
  </si>
  <si>
    <t>0                      ZA 4230000M  67          2010</t>
  </si>
  <si>
    <t>Collaborative Web search : who, what, where, when, and why / Meredith Ringel Morris and Jaime Teevan.</t>
  </si>
  <si>
    <t>Morris, Meredith Ringel.</t>
  </si>
  <si>
    <t>Synthesis lectures on information concepts, retrieval, and services, 1947-945X ; #14</t>
  </si>
  <si>
    <t>793509541:eng</t>
  </si>
  <si>
    <t>401167355</t>
  </si>
  <si>
    <t>ocn401167355</t>
  </si>
  <si>
    <t>3103239722U</t>
  </si>
  <si>
    <t>9781608451210</t>
  </si>
  <si>
    <t>794498594</t>
  </si>
  <si>
    <t>ZA4230 M84 2010</t>
  </si>
  <si>
    <t>0                      ZA 4230000M  84          2010</t>
  </si>
  <si>
    <t>Multilinguisme et traitement des langues naturelles / sous la direction de Ismaïl Biskri et Adel Jebali.</t>
  </si>
  <si>
    <t>Québec : Presses de l'Université du Québec, 2010.</t>
  </si>
  <si>
    <t>436847080:fre</t>
  </si>
  <si>
    <t>565931085</t>
  </si>
  <si>
    <t>ocn565931085</t>
  </si>
  <si>
    <t>3103267505X</t>
  </si>
  <si>
    <t>9782760525696</t>
  </si>
  <si>
    <t>794813101</t>
  </si>
  <si>
    <t>ZA4230 R84 2011</t>
  </si>
  <si>
    <t>0                      ZA 4230000R  84          2011</t>
  </si>
  <si>
    <t>Visual interface design for digital cultural heritage : a guide to rich-prospect browsing / by Stan Ruecker, Milena Radzikowska and Stéfan Sinclair.</t>
  </si>
  <si>
    <t>Ruecker, Stan.</t>
  </si>
  <si>
    <t>2018-06-29</t>
  </si>
  <si>
    <t>772871419:eng</t>
  </si>
  <si>
    <t>698450401</t>
  </si>
  <si>
    <t>ocn698450401</t>
  </si>
  <si>
    <t>3103341513M</t>
  </si>
  <si>
    <t>9781409404224</t>
  </si>
  <si>
    <t>794861097</t>
  </si>
  <si>
    <t>ZA4230 S74 2015</t>
  </si>
  <si>
    <t>0                      ZA 4230000S  74          2015</t>
  </si>
  <si>
    <t>Finding reliable information online : adventures of an information sleuth / Leslie F. Stebbins.</t>
  </si>
  <si>
    <t>Stebbins, Leslie F., 1958- author.</t>
  </si>
  <si>
    <t>2019-09-04</t>
  </si>
  <si>
    <t>2523421009:eng</t>
  </si>
  <si>
    <t>908990886</t>
  </si>
  <si>
    <t>ocn908990886</t>
  </si>
  <si>
    <t>3103608831Q</t>
  </si>
  <si>
    <t>9781442253926</t>
  </si>
  <si>
    <t>794995222</t>
  </si>
  <si>
    <t>ZA4230 W42 2012</t>
  </si>
  <si>
    <t>0                      ZA 4230000W  42          2012</t>
  </si>
  <si>
    <t>Web search engine research / edited by Dirk Lewandowski.</t>
  </si>
  <si>
    <t>1110349802:eng</t>
  </si>
  <si>
    <t>756592995</t>
  </si>
  <si>
    <t>ocn756592995</t>
  </si>
  <si>
    <t>3103395266H</t>
  </si>
  <si>
    <t>9781780526362</t>
  </si>
  <si>
    <t>794894706</t>
  </si>
  <si>
    <t>ZA4230 W8 2018</t>
  </si>
  <si>
    <t>0                      ZA 4230000W  8           2018</t>
  </si>
  <si>
    <t>Mobile search behaviors : an in-depth analysis based on contexts, APPs, and devices / Dan Wu, Shaobo Liang.</t>
  </si>
  <si>
    <t>Wu, Dan (College teacher), author.</t>
  </si>
  <si>
    <t>San Rafael, California (1537 Fourth Street, 1537 Fourth Street, San Rafael, CA 94901 USA) : Morgan &amp; Claypool Publishers, [2018]</t>
  </si>
  <si>
    <t>Synthesis lectures information concepts, retrieval, and services, 1947-9468 ; #63</t>
  </si>
  <si>
    <t>4897414849:eng</t>
  </si>
  <si>
    <t>1091029654</t>
  </si>
  <si>
    <t>on1091029654</t>
  </si>
  <si>
    <t>3103738171H</t>
  </si>
  <si>
    <t>9781681732992</t>
  </si>
  <si>
    <t>795080132</t>
  </si>
  <si>
    <t>ZA4232 S39 2001</t>
  </si>
  <si>
    <t>0                      ZA 4232000S  39          2001</t>
  </si>
  <si>
    <t>Sorting out the Web : approaches to subject access / Candy Schwartz.</t>
  </si>
  <si>
    <t>Westport, Conn. : Ablex Pub., 2001.</t>
  </si>
  <si>
    <t>837074624:eng</t>
  </si>
  <si>
    <t>43499408</t>
  </si>
  <si>
    <t>ocm43499408</t>
  </si>
  <si>
    <t>3103600847E</t>
  </si>
  <si>
    <t>9781567505184</t>
  </si>
  <si>
    <t>793628113</t>
  </si>
  <si>
    <t>ZA4234 G64 B87 2014</t>
  </si>
  <si>
    <t>0                      ZA 4234000G  64                 B  87          2014</t>
  </si>
  <si>
    <t>Google search secrets / Christa Burns and Michael P. Sauers.</t>
  </si>
  <si>
    <t>Burns, Christa.</t>
  </si>
  <si>
    <t>Chicago : Neal-Schuman, 2014.</t>
  </si>
  <si>
    <t>2017-05-13</t>
  </si>
  <si>
    <t>1778416077:eng</t>
  </si>
  <si>
    <t>841212716</t>
  </si>
  <si>
    <t>ocn841212716</t>
  </si>
  <si>
    <t>3103505266D</t>
  </si>
  <si>
    <t>9781555709235</t>
  </si>
  <si>
    <t>794946751</t>
  </si>
  <si>
    <t>ZA4234 G64 H56 2013</t>
  </si>
  <si>
    <t>0                      ZA 4234000G  64                 H  56          2013</t>
  </si>
  <si>
    <t>Google and the culture of search / Ken Hillis, Michael Petit, and Kylie Jarrett.</t>
  </si>
  <si>
    <t>Hillis, Ken, author.</t>
  </si>
  <si>
    <t>New York ; London : Routledge Taylor &amp; Francis Group, 2013.</t>
  </si>
  <si>
    <t>1106194131:eng</t>
  </si>
  <si>
    <t>654318106</t>
  </si>
  <si>
    <t>ocn654318106</t>
  </si>
  <si>
    <t>31034120185</t>
  </si>
  <si>
    <t>9780415883009</t>
  </si>
  <si>
    <t>794834034</t>
  </si>
  <si>
    <t>ZA4234 G64 S45 2010</t>
  </si>
  <si>
    <t>0                      ZA 4234000G  64                 S  45          2010</t>
  </si>
  <si>
    <t>Google and the digital divide : the bias of online knowledge / Elad Segev.</t>
  </si>
  <si>
    <t>Segev, Elad.</t>
  </si>
  <si>
    <t>796306084:eng</t>
  </si>
  <si>
    <t>503046716</t>
  </si>
  <si>
    <t>ocn503046716</t>
  </si>
  <si>
    <t>3103242518O</t>
  </si>
  <si>
    <t>9781843345657</t>
  </si>
  <si>
    <t>794806105</t>
  </si>
  <si>
    <t>ZA4235 A54 2016</t>
  </si>
  <si>
    <t>0                      ZA 4235000A  54          2016</t>
  </si>
  <si>
    <t>Measuring the digital world : using digital analytics to drive better digital experiences / Gary Angel.</t>
  </si>
  <si>
    <t>Angel, Gary, author.</t>
  </si>
  <si>
    <t>Upper Saddle River, New Jersey : Pearson Education, Inc., Publishing as FT Press, [2016]</t>
  </si>
  <si>
    <t>2830342594:eng</t>
  </si>
  <si>
    <t>910088639</t>
  </si>
  <si>
    <t>ocn910088639</t>
  </si>
  <si>
    <t>3103862222V</t>
  </si>
  <si>
    <t>9780134195087</t>
  </si>
  <si>
    <t>794995874</t>
  </si>
  <si>
    <t>ZA4235 J36 2009</t>
  </si>
  <si>
    <t>0                      ZA 4235000J  36          2009</t>
  </si>
  <si>
    <t>Understanding user-Web interactions via Web analytics / Bernard J. (Jim) Jansen.</t>
  </si>
  <si>
    <t>Jansen, Bernard J.</t>
  </si>
  <si>
    <t>[San Rafael, Calif.] : Morgan &amp; Claypool Publishers, ©2009.</t>
  </si>
  <si>
    <t>Synthesis lectures on information concepts, retrieval, and services, 1947-9468 ; #6</t>
  </si>
  <si>
    <t>315911675:eng</t>
  </si>
  <si>
    <t>464227874</t>
  </si>
  <si>
    <t>ocn464227874</t>
  </si>
  <si>
    <t>31031545981</t>
  </si>
  <si>
    <t>9781598298512</t>
  </si>
  <si>
    <t>794793159</t>
  </si>
  <si>
    <t>ZA4235 K38 2007</t>
  </si>
  <si>
    <t>0                      ZA 4235000K  38          2007</t>
  </si>
  <si>
    <t>Web analytics : an hour a day / Avinash Kaushik.</t>
  </si>
  <si>
    <t>Kaushik, Avinash.</t>
  </si>
  <si>
    <t>Indianapolis, Ind. : Sybex, ©2007.</t>
  </si>
  <si>
    <t>Serious skills</t>
  </si>
  <si>
    <t>792666654:eng</t>
  </si>
  <si>
    <t>144566695</t>
  </si>
  <si>
    <t>ocn144566695</t>
  </si>
  <si>
    <t>3103214681E</t>
  </si>
  <si>
    <t>9780470130650</t>
  </si>
  <si>
    <t>794236077</t>
  </si>
  <si>
    <t>ZA4235 M44 2008</t>
  </si>
  <si>
    <t>0                      ZA 4235000M  44          2008</t>
  </si>
  <si>
    <t>Search engines, link analysis, and user's Web behavior : [a unifying Web mining approach] / George Meghabghab, Abraham Kandel.</t>
  </si>
  <si>
    <t>Meghabghab, George.</t>
  </si>
  <si>
    <t>Berlin : Springer, ©2008.</t>
  </si>
  <si>
    <t>Studies in computational intelligence, 1860-949X ; v. 99</t>
  </si>
  <si>
    <t>119838116:eng</t>
  </si>
  <si>
    <t>191923950</t>
  </si>
  <si>
    <t>ocn191923950</t>
  </si>
  <si>
    <t>31029740746</t>
  </si>
  <si>
    <t>9783540774686</t>
  </si>
  <si>
    <t>794302201</t>
  </si>
  <si>
    <t>ZA4235 M55 2015</t>
  </si>
  <si>
    <t>0                      ZA 4235000M  55          2015</t>
  </si>
  <si>
    <t>Web and network data science : modeling techniques in predictive analytics / Thomas W. Miller.</t>
  </si>
  <si>
    <t>Miller, Thomas W., 1946-</t>
  </si>
  <si>
    <t>Upper Saddle River, New Jersey : Pearson Education, Inc., [2015]</t>
  </si>
  <si>
    <t>2275958936:eng</t>
  </si>
  <si>
    <t>872429961</t>
  </si>
  <si>
    <t>ocn872429961</t>
  </si>
  <si>
    <t>3103582529L</t>
  </si>
  <si>
    <t>9780133886443</t>
  </si>
  <si>
    <t>794968106</t>
  </si>
  <si>
    <t>ZA4235 R67 2011</t>
  </si>
  <si>
    <t>0                      ZA 4235000R  67          2011</t>
  </si>
  <si>
    <t>Search analytics for your site : conversations with your customers / Louis Rosenfeld.</t>
  </si>
  <si>
    <t>Rosenfeld, Louis.</t>
  </si>
  <si>
    <t>Brooklyn, N.Y. : Rosenfeld Media, 2011.</t>
  </si>
  <si>
    <t>942056998:eng</t>
  </si>
  <si>
    <t>741509854</t>
  </si>
  <si>
    <t>ocn741509854</t>
  </si>
  <si>
    <t>3103370303J</t>
  </si>
  <si>
    <t>9781933820200</t>
  </si>
  <si>
    <t>794884063</t>
  </si>
  <si>
    <t>ZA4237 D43 2014</t>
  </si>
  <si>
    <t>0                      ZA 4237000D  43          2014</t>
  </si>
  <si>
    <t>Going beyond Google again : strategies for using and teaching the invisible web / Jane Devine and Francine Egger-Sider.</t>
  </si>
  <si>
    <t>Devine, Jane, 1947- author.</t>
  </si>
  <si>
    <t>2070487040:eng</t>
  </si>
  <si>
    <t>862845291</t>
  </si>
  <si>
    <t>ocn862845291</t>
  </si>
  <si>
    <t>3103503704I</t>
  </si>
  <si>
    <t>9781856048385</t>
  </si>
  <si>
    <t>794960653</t>
  </si>
  <si>
    <t>Going beyond Google again : strategies for using and teaching the Invisible Web / Jane Devine and Francine Egger-Sider.</t>
  </si>
  <si>
    <t>Devine, Jane, 1947-</t>
  </si>
  <si>
    <t>828053784</t>
  </si>
  <si>
    <t>ocn828053784</t>
  </si>
  <si>
    <t>3103502931A</t>
  </si>
  <si>
    <t>9781555708986</t>
  </si>
  <si>
    <t>794940612</t>
  </si>
  <si>
    <t>ZA4240 V58 2012</t>
  </si>
  <si>
    <t>0                      ZA 4240000V  58          2012</t>
  </si>
  <si>
    <t>VIVO : a semantic approach to scholarly networking and discovery / Katy Börner [and others].</t>
  </si>
  <si>
    <t>[San Rafael, Calif.] : Morgan &amp; Claypool, ©2012.</t>
  </si>
  <si>
    <t>Synthesis lectures on the semantic web: theory and technology ; #2</t>
  </si>
  <si>
    <t>1132244547:eng</t>
  </si>
  <si>
    <t>801929122</t>
  </si>
  <si>
    <t>ocn801929122</t>
  </si>
  <si>
    <t>3103469341B</t>
  </si>
  <si>
    <t>9781608459933</t>
  </si>
  <si>
    <t>794925323</t>
  </si>
  <si>
    <t>- Book Display - Regular Loan</t>
  </si>
  <si>
    <t>ZA4375 V57 1999</t>
  </si>
  <si>
    <t>0                      ZA 4375000V  57          1999</t>
  </si>
  <si>
    <t>Virtual geographies : bodies, space, and relations / edited by Mike Crang, Phil Crang, and Jon May.</t>
  </si>
  <si>
    <t>London ; New York : Routledge, 1999.</t>
  </si>
  <si>
    <t>Sussex studies in culture and communication</t>
  </si>
  <si>
    <t>800439319:eng</t>
  </si>
  <si>
    <t>39886944</t>
  </si>
  <si>
    <t>ocm39886944</t>
  </si>
  <si>
    <t>3103006112F</t>
  </si>
  <si>
    <t>9780415168274</t>
  </si>
  <si>
    <t>793555968</t>
  </si>
  <si>
    <t>ZA4450 J34 2001</t>
  </si>
  <si>
    <t>0                      ZA 4450000J  34          2001</t>
  </si>
  <si>
    <t>Content evaluation of textual CD-ROM and Web databases / Péter Jacsó ; editor, Carol Tenopir.</t>
  </si>
  <si>
    <t>Jacsó, Péter.</t>
  </si>
  <si>
    <t>Database searching series</t>
  </si>
  <si>
    <t>3020211:eng</t>
  </si>
  <si>
    <t>48053772</t>
  </si>
  <si>
    <t>ocm48053772</t>
  </si>
  <si>
    <t>3103001205Y</t>
  </si>
  <si>
    <t>9781563087370</t>
  </si>
  <si>
    <t>793714685</t>
  </si>
  <si>
    <t>ZA4460 B45 2006</t>
  </si>
  <si>
    <t>0                      ZA 4460000B  45          2006</t>
  </si>
  <si>
    <t>Librarian's guide to online searching / Suzanne S. Bell.</t>
  </si>
  <si>
    <t>Bell, Suzanne S.</t>
  </si>
  <si>
    <t>53316986:eng</t>
  </si>
  <si>
    <t>69734489</t>
  </si>
  <si>
    <t>ocm69734489</t>
  </si>
  <si>
    <t>31026782800</t>
  </si>
  <si>
    <t>9781591583264</t>
  </si>
  <si>
    <t>794147046</t>
  </si>
  <si>
    <t>ZA4460 B45 2009</t>
  </si>
  <si>
    <t>0                      ZA 4460000B  45          2009</t>
  </si>
  <si>
    <t>243845503</t>
  </si>
  <si>
    <t>ocn243845503</t>
  </si>
  <si>
    <t>3103096666J</t>
  </si>
  <si>
    <t>9781591587637</t>
  </si>
  <si>
    <t>794379476</t>
  </si>
  <si>
    <t>3103084076B</t>
  </si>
  <si>
    <t>794379475</t>
  </si>
  <si>
    <t>ZA4460 B45 2015</t>
  </si>
  <si>
    <t>0                      ZA 4460000B  45          2015</t>
  </si>
  <si>
    <t>Librarian's guide to online searching : cultivating database skills for research and instruction / Suzanne S. Bell.</t>
  </si>
  <si>
    <t>Bell, Suzanne S., author.</t>
  </si>
  <si>
    <t>Santa Barbara, California : Libraries Unlimited, An imprint of ABC-CLIO, LLC, [2015]</t>
  </si>
  <si>
    <t>893455649</t>
  </si>
  <si>
    <t>ocn893455649</t>
  </si>
  <si>
    <t>3103612169G</t>
  </si>
  <si>
    <t>9781610699983</t>
  </si>
  <si>
    <t>794981663</t>
  </si>
  <si>
    <t>ZA4460 B45 2018</t>
  </si>
  <si>
    <t>0                      ZA 4460000B  45          2018</t>
  </si>
  <si>
    <t>Librarian's guide to online searching : cultivating database skills for research and instruction / Christopher C. Brown and Suzanne S. Bell.</t>
  </si>
  <si>
    <t>1048033681</t>
  </si>
  <si>
    <t>on1048033681</t>
  </si>
  <si>
    <t>3103704409B</t>
  </si>
  <si>
    <t>9781440861567</t>
  </si>
  <si>
    <t>795060805</t>
  </si>
  <si>
    <t>ZA4460 D54 2008</t>
  </si>
  <si>
    <t>0                      ZA 4460000D  54          2008</t>
  </si>
  <si>
    <t>Digital consumers : reshaping the information professions / edited by David Nicholas and Ian Rowlands.</t>
  </si>
  <si>
    <t>London : Facet, 2008.</t>
  </si>
  <si>
    <t>864339000:eng</t>
  </si>
  <si>
    <t>220006972</t>
  </si>
  <si>
    <t>ocn220006972</t>
  </si>
  <si>
    <t>3102854403O</t>
  </si>
  <si>
    <t>9781856046510</t>
  </si>
  <si>
    <t>794319608</t>
  </si>
  <si>
    <t>ZA4460 G46 2010</t>
  </si>
  <si>
    <t>0                      ZA 4460000G  46          2010</t>
  </si>
  <si>
    <t>Data integration : the relational logic approach / Michael Genesereth.</t>
  </si>
  <si>
    <t>Genesereth, Michael R., 1948-</t>
  </si>
  <si>
    <t>Synthesis lectures on artificial intelligence and machine learning, 1939-4608 ; #8</t>
  </si>
  <si>
    <t>476263748:eng</t>
  </si>
  <si>
    <t>228425550</t>
  </si>
  <si>
    <t>ocn228425550</t>
  </si>
  <si>
    <t>31032392376</t>
  </si>
  <si>
    <t>9781598297416</t>
  </si>
  <si>
    <t>794349498</t>
  </si>
  <si>
    <t>ZA4460 K36 2010</t>
  </si>
  <si>
    <t>0                      ZA 4460000K  36          2010</t>
  </si>
  <si>
    <t>Numerical algorithms for personalized search in self-organizing information networks / Sep Kamvar.</t>
  </si>
  <si>
    <t>Kamvar, Sep, 1977-</t>
  </si>
  <si>
    <t>Princeton, N.J. ; Oxford : Princeton University Press, ©2010.</t>
  </si>
  <si>
    <t>458033907:eng</t>
  </si>
  <si>
    <t>587249040</t>
  </si>
  <si>
    <t>ocn587249040</t>
  </si>
  <si>
    <t>31032277402</t>
  </si>
  <si>
    <t>9780691145037</t>
  </si>
  <si>
    <t>794814546</t>
  </si>
  <si>
    <t>ZA4460 L37 1999</t>
  </si>
  <si>
    <t>0                      ZA 4460000L  37          1999</t>
  </si>
  <si>
    <t>Information seeking in the online age : principles and practice / Andrew Large, Lucy A. Tedd, and R.J. Hartley.</t>
  </si>
  <si>
    <t>Large, J. A.</t>
  </si>
  <si>
    <t>London ; New Providence, NJ : Bowker-Saur, ©1999.</t>
  </si>
  <si>
    <t>36020494:eng</t>
  </si>
  <si>
    <t>39778731</t>
  </si>
  <si>
    <t>ocm39778731</t>
  </si>
  <si>
    <t>3102629621L</t>
  </si>
  <si>
    <t>9781857392609</t>
  </si>
  <si>
    <t>793553089</t>
  </si>
  <si>
    <t>2011-08-26</t>
  </si>
  <si>
    <t>3102866681Q</t>
  </si>
  <si>
    <t>793553088</t>
  </si>
  <si>
    <t>ZA4482 B78 2008</t>
  </si>
  <si>
    <t>0                      ZA 4482000B  78          2008</t>
  </si>
  <si>
    <t>Blogs, Wikipedia, Second life, and Beyond : from production to produsage / Axel Bruns.</t>
  </si>
  <si>
    <t>Bruns, Axel, 1970-</t>
  </si>
  <si>
    <t>New York : Peter Lang, ©2008.</t>
  </si>
  <si>
    <t>Digital formations, 1526-3169 ; v. 45</t>
  </si>
  <si>
    <t>892497622:eng</t>
  </si>
  <si>
    <t>181910115</t>
  </si>
  <si>
    <t>ocn181910115</t>
  </si>
  <si>
    <t>3102654454Q</t>
  </si>
  <si>
    <t>9780820488660</t>
  </si>
  <si>
    <t>794284046</t>
  </si>
  <si>
    <t>ZA4482 C35 2009</t>
  </si>
  <si>
    <t>0                      ZA 4482000C  35          2009</t>
  </si>
  <si>
    <t>User-generated content and its impact on web-based library services / Kay Cahill.</t>
  </si>
  <si>
    <t>Cahill, Kay.</t>
  </si>
  <si>
    <t>Oxford, Eng. : Chandos Pub., 2009.</t>
  </si>
  <si>
    <t>291362650:eng</t>
  </si>
  <si>
    <t>404718204</t>
  </si>
  <si>
    <t>ocn404718204</t>
  </si>
  <si>
    <t>3102859924M</t>
  </si>
  <si>
    <t>9781843345343</t>
  </si>
  <si>
    <t>794499205</t>
  </si>
  <si>
    <t>ZA4482 G46 2012</t>
  </si>
  <si>
    <t>0                      ZA 4482000G  46          2012</t>
  </si>
  <si>
    <t>Conversation and community : the social web for documentation / Anne Gentle.</t>
  </si>
  <si>
    <t>Gentle, Anne.</t>
  </si>
  <si>
    <t>Laguna Hills, Ca. : Xml Press, 2012.</t>
  </si>
  <si>
    <t>1117592057:eng</t>
  </si>
  <si>
    <t>794490599</t>
  </si>
  <si>
    <t>ocn794490599</t>
  </si>
  <si>
    <t>3103525555X</t>
  </si>
  <si>
    <t>9781937434106</t>
  </si>
  <si>
    <t>794919927</t>
  </si>
  <si>
    <t>ZA4482 G56 2014</t>
  </si>
  <si>
    <t>0                      ZA 4482000G  56          2014</t>
  </si>
  <si>
    <t>Global Wikipedia : international and cross-cultural issues in online collaboration / edited by Pnina Fichman and Noriko Hara.</t>
  </si>
  <si>
    <t>2086613164:eng</t>
  </si>
  <si>
    <t>861955584</t>
  </si>
  <si>
    <t>ocn861955584</t>
  </si>
  <si>
    <t>3103567139L</t>
  </si>
  <si>
    <t>9780810891012</t>
  </si>
  <si>
    <t>794959735</t>
  </si>
  <si>
    <t>ZA4575 T85 2012</t>
  </si>
  <si>
    <t>0                      ZA 4575000T  85          2012</t>
  </si>
  <si>
    <t>TV content analysis : techniques and applications / edited by Yiannis Kompatsiaris, Bernard Merialdo, Shiguo Lian.</t>
  </si>
  <si>
    <t>Boca Raton, FL : CRC Press, ©2012.</t>
  </si>
  <si>
    <t>Multimedia computing, communication, and intelligence</t>
  </si>
  <si>
    <t>2013-08-09</t>
  </si>
  <si>
    <t>1044600777:eng</t>
  </si>
  <si>
    <t>761380934</t>
  </si>
  <si>
    <t>ocn761380934</t>
  </si>
  <si>
    <t>3103431613I</t>
  </si>
  <si>
    <t>9781439855607</t>
  </si>
  <si>
    <t>794899312</t>
  </si>
  <si>
    <t>ZA5055 U6 F67 2011</t>
  </si>
  <si>
    <t>0                      ZA 5055000U  6                  F  67          2011</t>
  </si>
  <si>
    <t>Fundamentals of government information : mining, finding, evaluating, and using government resources / Eric J. Forte, Cassandra J. Hartnett, Andrea L. Sevetson.</t>
  </si>
  <si>
    <t>Forte, Eric J., 1967-</t>
  </si>
  <si>
    <t>862994886:eng</t>
  </si>
  <si>
    <t>710044961</t>
  </si>
  <si>
    <t>ocn710044961</t>
  </si>
  <si>
    <t>3103365434W</t>
  </si>
  <si>
    <t>9781555707378</t>
  </si>
  <si>
    <t>794870067</t>
  </si>
  <si>
    <t>ZA5055 U6 F67 2016</t>
  </si>
  <si>
    <t>0                      ZA 5055000U  6                  F  67          2016</t>
  </si>
  <si>
    <t>Fundamentals of government information : mining, finding, evaluating, and using government resources / Cassandra J. Hartnett, Andrea L. Sevetson, Eric J. Forte.</t>
  </si>
  <si>
    <t>Forte, Eric J., 1967- author.</t>
  </si>
  <si>
    <t>935674960</t>
  </si>
  <si>
    <t>ocn935674960</t>
  </si>
  <si>
    <t>3103656416I</t>
  </si>
  <si>
    <t>9780838913956</t>
  </si>
  <si>
    <t>795010104</t>
  </si>
  <si>
    <t>folio Z4 V46</t>
  </si>
  <si>
    <t>0folio                 Z  0004000V  46</t>
  </si>
  <si>
    <t>3103251984Y</t>
  </si>
  <si>
    <t>791417974</t>
  </si>
  <si>
    <t>folio Z6 L788 1988</t>
  </si>
  <si>
    <t>0folio                 Z  0006000L  788         1988</t>
  </si>
  <si>
    <t>Le Livre au Moyen Age / sous la direction de Jean Glénisson ; préface de Louis Holtz.</t>
  </si>
  <si>
    <t>[Paris] : Presses du CNRS, ©1988.</t>
  </si>
  <si>
    <t>350301740:fre</t>
  </si>
  <si>
    <t>21559868</t>
  </si>
  <si>
    <t>ocm21559868</t>
  </si>
  <si>
    <t>3100224373G</t>
  </si>
  <si>
    <t>9782876820159</t>
  </si>
  <si>
    <t>793122571</t>
  </si>
  <si>
    <t>folio Z42.4 E85 A87 2017</t>
  </si>
  <si>
    <t>0folio                 Z  0042400E  85                 A  87          2017</t>
  </si>
  <si>
    <t>Aus Goethes Autographensammlung / herausgegeben vom Goethe- und Schiller-Archiv und vom Freien Deutschen Hochstift.</t>
  </si>
  <si>
    <t>Hamburg : Maximilian-Gesellschaft ; Göttingen : Wallstein Verlag, 2017.</t>
  </si>
  <si>
    <t>Veröffentlichung der Maximilian-Gesellschaft für das Jahr ; 2017</t>
  </si>
  <si>
    <t>4583985355:ger</t>
  </si>
  <si>
    <t>1017089574</t>
  </si>
  <si>
    <t>on1017089574</t>
  </si>
  <si>
    <t>3103721320U</t>
  </si>
  <si>
    <t>9783921743669</t>
  </si>
  <si>
    <t>795048573</t>
  </si>
  <si>
    <t>folio Z43 K65 1998</t>
  </si>
  <si>
    <t>0folio                 Z  0043000K  65          1998</t>
  </si>
  <si>
    <t>Historical scripts : from classical times to the Renaissance / Stan Knight.</t>
  </si>
  <si>
    <t>Knight, Stan, 1937-</t>
  </si>
  <si>
    <t>New Castle, Del. : Oak Knoll Press, 1998.</t>
  </si>
  <si>
    <t>229194275:eng</t>
  </si>
  <si>
    <t>38542646</t>
  </si>
  <si>
    <t>ocm38542646</t>
  </si>
  <si>
    <t>3101918128W</t>
  </si>
  <si>
    <t>9781884718564</t>
  </si>
  <si>
    <t>793526468</t>
  </si>
  <si>
    <t>folio Z105 C58 2007</t>
  </si>
  <si>
    <t>0folio                 Z  0105000C  58          2007</t>
  </si>
  <si>
    <t>Introduction to manuscript studies / Raymond Clemens and Timothy Graham.</t>
  </si>
  <si>
    <t>Clemens, Raymond, 1966- author.</t>
  </si>
  <si>
    <t>Ithaca : Cornell University Press, 2007.</t>
  </si>
  <si>
    <t>101463988:eng</t>
  </si>
  <si>
    <t>122423508</t>
  </si>
  <si>
    <t>ocn122423508</t>
  </si>
  <si>
    <t>3102652535Z</t>
  </si>
  <si>
    <t>9780801438639</t>
  </si>
  <si>
    <t>794220363</t>
  </si>
  <si>
    <t>folio Z105.5 V65 C44 2016</t>
  </si>
  <si>
    <t>0folio                 Z  0105500V  65                 C  44          2016</t>
  </si>
  <si>
    <t>The Voynich manuscript / edited by Raymond Clemens ; with an introduction by Deborah Harkness.</t>
  </si>
  <si>
    <t>New Haven ; London : Beinecke Rare Book &amp; Manuscript Library, in association with Yale University Press, [2016]</t>
  </si>
  <si>
    <t>3905174587:eng</t>
  </si>
  <si>
    <t>946159550</t>
  </si>
  <si>
    <t>ocn946159550</t>
  </si>
  <si>
    <t>3103657795G</t>
  </si>
  <si>
    <t>9780300217230</t>
  </si>
  <si>
    <t>795014308</t>
  </si>
  <si>
    <t>folio Z106.5 G7 K47 2012</t>
  </si>
  <si>
    <t>0folio                 Z  0106500G  7                  K  47          2012</t>
  </si>
  <si>
    <t>Opening up Middle English manuscripts : literary and visual approaches / Kathryn Kerby-Fulton, Linda Olson, and Maidie Hilmo.</t>
  </si>
  <si>
    <t>Kerby-Fulton, Kathryn.</t>
  </si>
  <si>
    <t>Ithaca : Cornell University Press, 2012.</t>
  </si>
  <si>
    <t>1083096549:eng</t>
  </si>
  <si>
    <t>778828648</t>
  </si>
  <si>
    <t>ocn778828648</t>
  </si>
  <si>
    <t>31034139239</t>
  </si>
  <si>
    <t>9780801450532</t>
  </si>
  <si>
    <t>794910268</t>
  </si>
  <si>
    <t>folio Z106.5 G72 L66 2013</t>
  </si>
  <si>
    <t>0folio                 Z  0106500G  72                 L  66          2013</t>
  </si>
  <si>
    <t>Scribes and the city : London Guildhall clerks and the dissemination of Middle English literature, 1375-1425 / Linne R. Mooney &amp; Estelle Stubbs.</t>
  </si>
  <si>
    <t>Mooney, Linne R., 1949- author.</t>
  </si>
  <si>
    <t>Woodbridge, Suffolk : York Medieval Press ; Rochester, NY : Boydell Press, 2013.</t>
  </si>
  <si>
    <t>Manuscript culture in the British Isles</t>
  </si>
  <si>
    <t>2015-05-26</t>
  </si>
  <si>
    <t>1366223769:eng</t>
  </si>
  <si>
    <t>796759729</t>
  </si>
  <si>
    <t>ocn796759729</t>
  </si>
  <si>
    <t>3103500028A</t>
  </si>
  <si>
    <t>9781903153406</t>
  </si>
  <si>
    <t>794922330</t>
  </si>
  <si>
    <t>folio Z107 M58 1990</t>
  </si>
  <si>
    <t>0folio                 Z  0107000M  58          1990</t>
  </si>
  <si>
    <t>Mise en page et mise en texte du livre manuscrit / sous la direction de Henri-Jean Martin et Jean Vezin ; préface de Jacques Monfrin.</t>
  </si>
  <si>
    <t>[Paris] : Editions du Cercle de la librairie-Promodis, ©1990.</t>
  </si>
  <si>
    <t>346667154:fre</t>
  </si>
  <si>
    <t>29704058</t>
  </si>
  <si>
    <t>ocm29704058</t>
  </si>
  <si>
    <t>3101017218P</t>
  </si>
  <si>
    <t>9782765404460</t>
  </si>
  <si>
    <t>793318911</t>
  </si>
  <si>
    <t>folio Z114 V3 v. 37</t>
  </si>
  <si>
    <t>0folio                 Z  0114000V  3                                                       v. 37</t>
  </si>
  <si>
    <t>Il codice Chigiano L.V. 176 / autografo di Giovanni Boccaccio ; introduzione di Domenico de Robertis.</t>
  </si>
  <si>
    <t>v. 37*</t>
  </si>
  <si>
    <t>Boccaccio, Giovanni, 1313-1375.</t>
  </si>
  <si>
    <t>Roma : Archivi Edizioni ; Firenze : Fratelli Alinari, 1975, ©1974.</t>
  </si>
  <si>
    <t>Ed. fototipica.</t>
  </si>
  <si>
    <t>Codices e Vaticais selecti quam simillime expressi. [Ser. maior] v. 37</t>
  </si>
  <si>
    <t>4066100107:ita</t>
  </si>
  <si>
    <t>30871267</t>
  </si>
  <si>
    <t>ocm30871267</t>
  </si>
  <si>
    <t>3000460937P</t>
  </si>
  <si>
    <t>793347151</t>
  </si>
  <si>
    <t>folio Z115 E5 J57</t>
  </si>
  <si>
    <t>0folio                 Z  0115000E  5                  J  57</t>
  </si>
  <si>
    <t>The later court hands in England from the fifteenth to the seventeenth century / illustrated from the Common paper of the Scriveners' Company of London, the English writing masters, and the public records.</t>
  </si>
  <si>
    <t>Cambridge : At the University Press, 1927.</t>
  </si>
  <si>
    <t>9964577172:eng</t>
  </si>
  <si>
    <t>270109375</t>
  </si>
  <si>
    <t>ocn270109375</t>
  </si>
  <si>
    <t>31005519476</t>
  </si>
  <si>
    <t>794409853</t>
  </si>
  <si>
    <t>3000782770T</t>
  </si>
  <si>
    <t>794409854</t>
  </si>
  <si>
    <t>folio Z115 E5 W7</t>
  </si>
  <si>
    <t>0folio                 Z  0115000E  5                  W  7</t>
  </si>
  <si>
    <t>English vernacular hands from the twelfth to the fifteenth centuries.</t>
  </si>
  <si>
    <t>Wright, C. E. (Cyril Ernest)</t>
  </si>
  <si>
    <t>Oxford, Clarendon Press, 1960.</t>
  </si>
  <si>
    <t>1307692:eng</t>
  </si>
  <si>
    <t>175181</t>
  </si>
  <si>
    <t>ocm00175181</t>
  </si>
  <si>
    <t>3101240881Y</t>
  </si>
  <si>
    <t>791281841</t>
  </si>
  <si>
    <t>3000782908Q</t>
  </si>
  <si>
    <t>791281840</t>
  </si>
  <si>
    <t>folio Z115 F7 P6</t>
  </si>
  <si>
    <t>0folio                 Z  0115000F  7                  P  6</t>
  </si>
  <si>
    <t>Paléographie des écritures cursives en France du 15e au 17e siècle. Recueil de fac-similés de documents parisiens avec leur transcription, précédé d'une introduction.</t>
  </si>
  <si>
    <t>Poulle, Emmanuel.</t>
  </si>
  <si>
    <t>2288103912:fre</t>
  </si>
  <si>
    <t>2540910</t>
  </si>
  <si>
    <t>ocm02540910</t>
  </si>
  <si>
    <t>3000565000F</t>
  </si>
  <si>
    <t>792141105</t>
  </si>
  <si>
    <t>folio Z124 B66 2012</t>
  </si>
  <si>
    <t>0folio                 Z  0124000B  66          2012</t>
  </si>
  <si>
    <t>The book of books : 500 years of graphic innovation / edited by Mathieu Lommen.</t>
  </si>
  <si>
    <t>London ; New York : Thames &amp; Hudson, 2012.</t>
  </si>
  <si>
    <t>4813726113:eng</t>
  </si>
  <si>
    <t>793099364</t>
  </si>
  <si>
    <t>ocn793099364</t>
  </si>
  <si>
    <t>3103458098J</t>
  </si>
  <si>
    <t>9780500515914</t>
  </si>
  <si>
    <t>794917553</t>
  </si>
  <si>
    <t>folio Z228 H4 G65 2006</t>
  </si>
  <si>
    <t>0folio                 Z  0228000H  4                  G  65          2006</t>
  </si>
  <si>
    <t>Hebrew printing in America 1735-1926 : a history and annotated bibliography / by Yosef Goldman ; research and editing by Ari Kinsberg.</t>
  </si>
  <si>
    <t>Goldman, Yosef.</t>
  </si>
  <si>
    <t>Brooklyn, N.Y. : YG Books, 2006.</t>
  </si>
  <si>
    <t>248700154:eng</t>
  </si>
  <si>
    <t>85169183</t>
  </si>
  <si>
    <t>ocm85169183</t>
  </si>
  <si>
    <t>31026664817</t>
  </si>
  <si>
    <t>9781599756851</t>
  </si>
  <si>
    <t>794213131</t>
  </si>
  <si>
    <t>31026664769</t>
  </si>
  <si>
    <t>794213130</t>
  </si>
  <si>
    <t>folio Z241 B58 G88 2018</t>
  </si>
  <si>
    <t>0folio                 Z  0241000B  58                 G  88          2018</t>
  </si>
  <si>
    <t>The Gutenberg Bible of 1454.</t>
  </si>
  <si>
    <t>Bible. Latin. Vulgate. 1454.</t>
  </si>
  <si>
    <t>Köln : Taschen, [2018]</t>
  </si>
  <si>
    <t>Facsimile edition.</t>
  </si>
  <si>
    <t>8852256413:eng</t>
  </si>
  <si>
    <t>1044981431</t>
  </si>
  <si>
    <t>on1044981431</t>
  </si>
  <si>
    <t>31039036109</t>
  </si>
  <si>
    <t>9783836562218</t>
  </si>
  <si>
    <t>795060191</t>
  </si>
  <si>
    <t>3103903609V</t>
  </si>
  <si>
    <t>795060190</t>
  </si>
  <si>
    <t>31039036141</t>
  </si>
  <si>
    <t>795060192</t>
  </si>
  <si>
    <t>folio Z241 B58 W45 2017</t>
  </si>
  <si>
    <t>0folio                 Z  0241000B  58                 W  45          2017</t>
  </si>
  <si>
    <t>Editio princeps : a history of the Gutenberg Bible / Eric Marshall White.</t>
  </si>
  <si>
    <t>White, Eric Marshall, author.</t>
  </si>
  <si>
    <t>London ; Turnhout, Belgium : Harvey Miller Publishers, an imprint of Brepols Publishers, [2017]</t>
  </si>
  <si>
    <t>[Harvey Miller studies in the history of culture]</t>
  </si>
  <si>
    <t>4151638446:eng</t>
  </si>
  <si>
    <t>968775560</t>
  </si>
  <si>
    <t>ocn968775560</t>
  </si>
  <si>
    <t>3103704790R</t>
  </si>
  <si>
    <t>9781909400849</t>
  </si>
  <si>
    <t>795027247</t>
  </si>
  <si>
    <t>folio Z246 G44 2017</t>
  </si>
  <si>
    <t>0folio                 Z  0246000G  44          2017</t>
  </si>
  <si>
    <t>Design, typography, etc. : a handbook / Damien and Claire Gautier.</t>
  </si>
  <si>
    <t>Gautier, Damien, 1971- author.</t>
  </si>
  <si>
    <t>Salenstein, Switzerland : Niggli, [2018]</t>
  </si>
  <si>
    <t>4446150843:eng</t>
  </si>
  <si>
    <t>999601452</t>
  </si>
  <si>
    <t>ocn999601452</t>
  </si>
  <si>
    <t>31037381011</t>
  </si>
  <si>
    <t>9783721209778</t>
  </si>
  <si>
    <t>795039947</t>
  </si>
  <si>
    <t>folio Z246 J87 2012</t>
  </si>
  <si>
    <t>0folio                 Z  0246000J  87          2012</t>
  </si>
  <si>
    <t>Graphic design before graphic designers : the printer as designer and craftsman 1700-1914 / David Jury.</t>
  </si>
  <si>
    <t>Jury, David.</t>
  </si>
  <si>
    <t>New York, N.Y. : Thames &amp; Hudson, 2012.</t>
  </si>
  <si>
    <t>2016-04-27</t>
  </si>
  <si>
    <t>1165613419:eng</t>
  </si>
  <si>
    <t>783161354</t>
  </si>
  <si>
    <t>ocn783161354</t>
  </si>
  <si>
    <t>31034684952</t>
  </si>
  <si>
    <t>9780500516461</t>
  </si>
  <si>
    <t>794914027</t>
  </si>
  <si>
    <t>folio Z246 M54 2011</t>
  </si>
  <si>
    <t>0folio                 Z  0246000M  54          2011</t>
  </si>
  <si>
    <t>Type navigator : the independent foundries handbook / Jan Middendorp &amp; TwoPoints.Net.</t>
  </si>
  <si>
    <t>(Text + 1 CD-ROM)</t>
  </si>
  <si>
    <t>Middendorp, Jan, 1956-</t>
  </si>
  <si>
    <t>Berlin, Germany : Gestalten, 2011.</t>
  </si>
  <si>
    <t>2013-02-11</t>
  </si>
  <si>
    <t>1043891243:eng</t>
  </si>
  <si>
    <t>774911051</t>
  </si>
  <si>
    <t>ocn774911051</t>
  </si>
  <si>
    <t>3103406327K</t>
  </si>
  <si>
    <t>9783899553772</t>
  </si>
  <si>
    <t>794906904</t>
  </si>
  <si>
    <t>folio Z246 T87 2010</t>
  </si>
  <si>
    <t>0folio                 Z  0246000T  87          2010</t>
  </si>
  <si>
    <t>Turning Pages : Editorial Design for Print Media / [edited by Robert Klanten Sven Ehmann, Kitty Bolhöfer, and Floyd Schulze ; introduction and prologue texts by Andrew Losowsky ; all other texts by Kitty Bolhöfer].</t>
  </si>
  <si>
    <t>Berlin : Gestalten, 2010, ©2010.</t>
  </si>
  <si>
    <t>792283391:eng</t>
  </si>
  <si>
    <t>630456835</t>
  </si>
  <si>
    <t>ocn630456835</t>
  </si>
  <si>
    <t>3103408907Z</t>
  </si>
  <si>
    <t>9783899553147</t>
  </si>
  <si>
    <t>794824446</t>
  </si>
  <si>
    <t>folio Z250 A2 T47 2009</t>
  </si>
  <si>
    <t>0folio                 Z  0250000A  2                  T  47          2009</t>
  </si>
  <si>
    <t>Type : a visual history of typefaces and graphic styles / edited by Cees W. de Jong ; with texts by Jan Tholenaar and Cees W. de Jong.</t>
  </si>
  <si>
    <t>Köln : Taschen, ©2009-</t>
  </si>
  <si>
    <t>2012-06-09</t>
  </si>
  <si>
    <t>891017534:eng</t>
  </si>
  <si>
    <t>295001098</t>
  </si>
  <si>
    <t>ocn295001098</t>
  </si>
  <si>
    <t>3103248980B</t>
  </si>
  <si>
    <t>9783836511018</t>
  </si>
  <si>
    <t>794425372</t>
  </si>
  <si>
    <t>31032489939</t>
  </si>
  <si>
    <t>794425373</t>
  </si>
  <si>
    <t>folio Z250 A2 V47 2008</t>
  </si>
  <si>
    <t>0folio                 Z  0250000A  2                  V  47          2008</t>
  </si>
  <si>
    <t>The palaeotypography of the French Renaissance : selected papers on sixteenth-century typefaces / Hendrik D.L. Vervliet.</t>
  </si>
  <si>
    <t>Vervliet, Hendrik D. L.</t>
  </si>
  <si>
    <t>Library of the written word, 1874-4834 ; v. 6. The handpress world ; v. 4</t>
  </si>
  <si>
    <t>798264435:eng</t>
  </si>
  <si>
    <t>267248500</t>
  </si>
  <si>
    <t>ocn267248500</t>
  </si>
  <si>
    <t>3103073863Z</t>
  </si>
  <si>
    <t>9789004169821</t>
  </si>
  <si>
    <t>794408128</t>
  </si>
  <si>
    <t>31030738530</t>
  </si>
  <si>
    <t>794408127</t>
  </si>
  <si>
    <t>folio Z250.5 W65 S65 2017</t>
  </si>
  <si>
    <t>0folio                 Z  0250500W  65                 S  65          2017</t>
  </si>
  <si>
    <t>Specimens of chromatic wood type, borders, &amp;c. / Esther K. Smith, Steven Heller, Wayne White.</t>
  </si>
  <si>
    <t>Smith, Esther K., author.</t>
  </si>
  <si>
    <t>New York, NY : Rizzoli International Publications, Inc., [2017]</t>
  </si>
  <si>
    <t>4411943097:eng</t>
  </si>
  <si>
    <t>993042722</t>
  </si>
  <si>
    <t>ocn993042722</t>
  </si>
  <si>
    <t>3103704952R</t>
  </si>
  <si>
    <t>9780847858682</t>
  </si>
  <si>
    <t>795038509</t>
  </si>
  <si>
    <t>folio Z269 M14</t>
  </si>
  <si>
    <t>0folio                 Z  0269000M  14</t>
  </si>
  <si>
    <t>Victorian publishers' book-bindings in cloth and leather / Ruari McLean.</t>
  </si>
  <si>
    <t>Berkeley : University of California Press, 1973.</t>
  </si>
  <si>
    <t>1784848:eng</t>
  </si>
  <si>
    <t>427326372</t>
  </si>
  <si>
    <t>ocn427326372</t>
  </si>
  <si>
    <t>3103523311I</t>
  </si>
  <si>
    <t>9780900406287</t>
  </si>
  <si>
    <t>794599622</t>
  </si>
  <si>
    <t>folio Z269 N37</t>
  </si>
  <si>
    <t>0folio                 Z  0269000N  37</t>
  </si>
  <si>
    <t>Twelve centuries of bookbindings, 400-1600 / by Paul Needham.</t>
  </si>
  <si>
    <t>New York : Pierpont Morgan Library : Oxford University Press, 1979.</t>
  </si>
  <si>
    <t>414181:eng</t>
  </si>
  <si>
    <t>5721881</t>
  </si>
  <si>
    <t>ocm05721881</t>
  </si>
  <si>
    <t>3000906660D</t>
  </si>
  <si>
    <t>9780192115805</t>
  </si>
  <si>
    <t>792448934</t>
  </si>
  <si>
    <t>folio Z329 S79 S73 2001</t>
  </si>
  <si>
    <t>0folio                 Z  0329000S  79                 S  73          2001</t>
  </si>
  <si>
    <t>The Stationers' Company : a history of the later years, 1800-2000 / edited by Robin Myers.</t>
  </si>
  <si>
    <t>Chichester, West Sussex : Published for the Worshipful Co. of Stationers &amp; Newspaper Makers by Phillimore, ©2001.</t>
  </si>
  <si>
    <t>837009531:eng</t>
  </si>
  <si>
    <t>47144680</t>
  </si>
  <si>
    <t>ocm47144680</t>
  </si>
  <si>
    <t>3102203056H</t>
  </si>
  <si>
    <t>9781860771408</t>
  </si>
  <si>
    <t>793699528</t>
  </si>
  <si>
    <t>folio Z679 L493 1997</t>
  </si>
  <si>
    <t>0folio                 Z  0679000L  493         1997</t>
  </si>
  <si>
    <t>Library builders / [contributors, Michael Brawne and others].</t>
  </si>
  <si>
    <t>London : Academy Editions ; Lanham, Md. : Distributed in the U.S. by National Book Network, Inc., 1997.</t>
  </si>
  <si>
    <t>56181409:eng</t>
  </si>
  <si>
    <t>36966421</t>
  </si>
  <si>
    <t>ocm36966421</t>
  </si>
  <si>
    <t>3101830249I</t>
  </si>
  <si>
    <t>9781854904843</t>
  </si>
  <si>
    <t>793488606</t>
  </si>
  <si>
    <t>folio Z679 T53 1973</t>
  </si>
  <si>
    <t>0folio                 Z  0679000T  53          1973</t>
  </si>
  <si>
    <t>Planning and design of library buildings.</t>
  </si>
  <si>
    <t>Thompson, Godfrey, 1921-</t>
  </si>
  <si>
    <t>London, Architectural Press, 1973.</t>
  </si>
  <si>
    <t>4919681938:eng</t>
  </si>
  <si>
    <t>827538</t>
  </si>
  <si>
    <t>ocm00827538</t>
  </si>
  <si>
    <t>3000921735L</t>
  </si>
  <si>
    <t>9780851395265</t>
  </si>
  <si>
    <t>791481013</t>
  </si>
  <si>
    <t>2006-04-21</t>
  </si>
  <si>
    <t>30008485974</t>
  </si>
  <si>
    <t>791481014</t>
  </si>
  <si>
    <t>folio Z733 B4 B45 2003</t>
  </si>
  <si>
    <t>0folio                 Z  0733000B  4                  B  45          2003</t>
  </si>
  <si>
    <t>The Beinecke Library of Yale University / edited by Stephen Parks ; architectural photography by Richard Cheek ; dedication photography by Ezra Stoller ; collection photography by Stan Godlewski ; with contributions by Robert G. Babcock [and others].</t>
  </si>
  <si>
    <t>New Haven, CT : Beinecke Rare Book &amp; Manuscript Library ; Hanover, NH : Distributed by the University of New England Press, ©2003.</t>
  </si>
  <si>
    <t>724963:eng</t>
  </si>
  <si>
    <t>52858317</t>
  </si>
  <si>
    <t>ocm52858317</t>
  </si>
  <si>
    <t>3102348361Y</t>
  </si>
  <si>
    <t>9780845731505</t>
  </si>
  <si>
    <t>793815928</t>
  </si>
  <si>
    <t>folio Z735 B7 O24 2011</t>
  </si>
  <si>
    <t>0folio                 Z  0735000B  7                  O  24          2011</t>
  </si>
  <si>
    <t>The library book : a history of service to British Columbia / Dave Obee.</t>
  </si>
  <si>
    <t>Obee, Dave, 1953-</t>
  </si>
  <si>
    <t>Vancouver : British Columbia Library Association, c2011.</t>
  </si>
  <si>
    <t>1155577234:eng</t>
  </si>
  <si>
    <t>705507862</t>
  </si>
  <si>
    <t>ocn705507862</t>
  </si>
  <si>
    <t>3103325775Z</t>
  </si>
  <si>
    <t>9780969261490</t>
  </si>
  <si>
    <t>794866210</t>
  </si>
  <si>
    <t>folio Z792 B85932 S76 2004</t>
  </si>
  <si>
    <t>0folio                 Z  0792000B  85932              S  76          2004</t>
  </si>
  <si>
    <t>The architecture of the British Library at St. Pancras / Roger Stonehouse and Gerhard Stromberg ; contributors, Richard MacCormac and Brian Lang.</t>
  </si>
  <si>
    <t>Stonehouse, Roger.</t>
  </si>
  <si>
    <t>London ; New York : Spon Press, 2004.</t>
  </si>
  <si>
    <t>7990479:eng</t>
  </si>
  <si>
    <t>51280996</t>
  </si>
  <si>
    <t>ocm51280996</t>
  </si>
  <si>
    <t>3102440906H</t>
  </si>
  <si>
    <t>9780419251200</t>
  </si>
  <si>
    <t>793782205</t>
  </si>
  <si>
    <t>folio Z921 A14 L537 2011</t>
  </si>
  <si>
    <t>0folio                 Z  0921000A  14                 L  537         2011</t>
  </si>
  <si>
    <t>The Library and Archive Collections of the University of Aberdeen : an introduction and description / edited by Iain Beavan, Peter Davidson and Jane Stevenson.</t>
  </si>
  <si>
    <t>Manchester : Manchester University Press with the University of Aberdeen, 2011.</t>
  </si>
  <si>
    <t>1120467685:eng</t>
  </si>
  <si>
    <t>770943597</t>
  </si>
  <si>
    <t>ocn770943597</t>
  </si>
  <si>
    <t>3103409008L</t>
  </si>
  <si>
    <t>9780719087882</t>
  </si>
  <si>
    <t>794904066</t>
  </si>
  <si>
    <t>folio Z1029 S536 2010</t>
  </si>
  <si>
    <t>0folio                 Z  1029000S  536         2010</t>
  </si>
  <si>
    <t>Shanghai tu shu guan cang Song ben tu lu / Shanghai tu shu guan bian.</t>
  </si>
  <si>
    <t>Shanghai : Shanghai gu ji chu ban she, 2010.</t>
  </si>
  <si>
    <t>1391878712:chi</t>
  </si>
  <si>
    <t>696035624</t>
  </si>
  <si>
    <t>ocn696035624</t>
  </si>
  <si>
    <t>3103558276B</t>
  </si>
  <si>
    <t>9787532556724</t>
  </si>
  <si>
    <t>794858870</t>
  </si>
  <si>
    <t>folio Z1401 L3x</t>
  </si>
  <si>
    <t>0folio                 Z  1401000L  3x</t>
  </si>
  <si>
    <t>The Lawrence Lande collection of Canadiana in the Redpath Library of McGill University : a bibliography / collected, arranged, and annotated by Lawrence Lande ; with an introduction by Edgar Andrew Collard.</t>
  </si>
  <si>
    <t>Montreal : Lawrence Lande Foundation for Canadian Historical Research, 1965.</t>
  </si>
  <si>
    <t>Lawrence Lande Foundation for Canadian Historical Research. Publication. no. 1</t>
  </si>
  <si>
    <t>367015254:eng</t>
  </si>
  <si>
    <t>577159</t>
  </si>
  <si>
    <t>ocm00577159</t>
  </si>
  <si>
    <t>3000955178Q</t>
  </si>
  <si>
    <t>791419403</t>
  </si>
  <si>
    <t>folio Z5956 G5 E9</t>
  </si>
  <si>
    <t>0folio                 Z  5956000G  5                  E  9</t>
  </si>
  <si>
    <t>A bibliography of stained glass / David Evans.</t>
  </si>
  <si>
    <t>Evans, David, 1942 November 11-</t>
  </si>
  <si>
    <t>Cambridge [Cambridgeshire] : D.S. Brewer ; Totowa, N.J., U.S.A. : Biblio Distribution Services, 1982.</t>
  </si>
  <si>
    <t>2019-11-17</t>
  </si>
  <si>
    <t>147289345:eng</t>
  </si>
  <si>
    <t>9184859</t>
  </si>
  <si>
    <t>ocm09184859</t>
  </si>
  <si>
    <t>3000909102W</t>
  </si>
  <si>
    <t>9780859910873</t>
  </si>
  <si>
    <t>792662579</t>
  </si>
  <si>
    <t>folio Z5961 U5 R46 1984</t>
  </si>
  <si>
    <t>0folio                 Z  5961000U  5                  R  46          1984</t>
  </si>
  <si>
    <t>Views and viewmakers of urban America : lithographs of towns and cities in the United States and Canada, notes on the artists and publishers, and a union catalog of their work, 1825-1925 / John W. Reps.</t>
  </si>
  <si>
    <t>Reps, John William.</t>
  </si>
  <si>
    <t>Columbia : University of Missouri Press, 1984.</t>
  </si>
  <si>
    <t>2017-08-15</t>
  </si>
  <si>
    <t>118331438:eng</t>
  </si>
  <si>
    <t>9465818</t>
  </si>
  <si>
    <t>ocm09465818</t>
  </si>
  <si>
    <t>3000914390K</t>
  </si>
  <si>
    <t>9780826204165</t>
  </si>
  <si>
    <t>792677711</t>
  </si>
  <si>
    <t>folio Z6371 T2 S877 2012</t>
  </si>
  <si>
    <t>0folio                 Z  6371000T  2                  S  877         2012</t>
  </si>
  <si>
    <t>Otsar kitve-ha-yad ha-Talmudiyim / Yaʻaḳov Zusman ; be-hishtatfut Yoʼav Rozenṭal ṿe-Aharon Shṿeḳah.</t>
  </si>
  <si>
    <t>kerekh 3</t>
  </si>
  <si>
    <t>Sussmann, Yaacov.</t>
  </si>
  <si>
    <t>Yerushalayim : Yad Yitsḥaḳ Ben-Tsevi : Friedberg Genizah Project, c772 [©2011 or c2012]</t>
  </si>
  <si>
    <t>2830159101:heb</t>
  </si>
  <si>
    <t>793546259</t>
  </si>
  <si>
    <t>ocn793546259</t>
  </si>
  <si>
    <t>31034739952</t>
  </si>
  <si>
    <t>9789652173416</t>
  </si>
  <si>
    <t>794918353</t>
  </si>
  <si>
    <t>kerekh 1</t>
  </si>
  <si>
    <t>31034739932</t>
  </si>
  <si>
    <t>794918355</t>
  </si>
  <si>
    <t>kerekh 2</t>
  </si>
  <si>
    <t>31034739942</t>
  </si>
  <si>
    <t>794918354</t>
  </si>
  <si>
    <t>folio Z6605 C5 Z4464 2013</t>
  </si>
  <si>
    <t>0folio                 Z  6605000C  5                  Z  4464        2013</t>
  </si>
  <si>
    <t>Hunan chu tu jian du xuan bian = Hunan chutu jiandu xuanbian / Zheng Shubin [and three others] bian zhu.</t>
  </si>
  <si>
    <t>Zheng, Shubin, author.</t>
  </si>
  <si>
    <t>Changsha : Yuelu shu she, 2013.</t>
  </si>
  <si>
    <t>2235380902:chi</t>
  </si>
  <si>
    <t>868007516</t>
  </si>
  <si>
    <t>ocn868007516</t>
  </si>
  <si>
    <t>3103201151F</t>
  </si>
  <si>
    <t>9787553801636</t>
  </si>
  <si>
    <t>794964285</t>
  </si>
  <si>
    <t>folio Z6617 B6 D7</t>
  </si>
  <si>
    <t>0folio                 Z  6617000B  6                  D  7</t>
  </si>
  <si>
    <t>The Weigel-Felix Biblia pauperum; a monograph, by Campbell Dodgson, M. A.</t>
  </si>
  <si>
    <t>Dodgson, Campbell, 1867-1948.</t>
  </si>
  <si>
    <t>[London, Chiswick Press, C. Whittingham and co., 19--]</t>
  </si>
  <si>
    <t>16021868:eng</t>
  </si>
  <si>
    <t>19569277</t>
  </si>
  <si>
    <t>ocm19569277</t>
  </si>
  <si>
    <t>3000784752L</t>
  </si>
  <si>
    <t>793062586</t>
  </si>
  <si>
    <t>folio Z6621 B5573 Y56 2011</t>
  </si>
  <si>
    <t>0folio                 Z  6621000B  5573               Y  56          2011</t>
  </si>
  <si>
    <t>Yingguo guo jia tu shu guan cang Dunhuang Xiyu Zang wen wen xian = Dbyin-ji Rgyal-gnyer Dpe-mdzod-khang du nyar baʼi Tun-hong dang nub phyogs kyi Bod yig yig tshags = Tibetan documents from Dunhuang and other Central Asian in the British Library / zhu bian Jin Yasheng, Zhao De'an, Sha Mu ; bian zuan Xi bei min zu da xue, Shanghai gu ji chu ban she, Yingguo guo jia tu shu guan.</t>
  </si>
  <si>
    <t>British Library.</t>
  </si>
  <si>
    <t>Shanghai : Shanghai gu ji chu ban she, 2011-</t>
  </si>
  <si>
    <t>tib</t>
  </si>
  <si>
    <t>2020-01-15</t>
  </si>
  <si>
    <t>1120485043:tib</t>
  </si>
  <si>
    <t>795911800</t>
  </si>
  <si>
    <t>ocn795911800</t>
  </si>
  <si>
    <t>3103447424U</t>
  </si>
  <si>
    <t>9787532557745</t>
  </si>
  <si>
    <t>794921895</t>
  </si>
  <si>
    <t>3103447420U</t>
  </si>
  <si>
    <t>794921894</t>
  </si>
  <si>
    <t>folio Z6621 C853 G74 2011</t>
  </si>
  <si>
    <t>0folio                 Z  6621000C  853                G  74          2011</t>
  </si>
  <si>
    <t>A descriptive catalogue of the Greek manuscripts at Corpus Christi College, Oxford / Nigel Wilson.</t>
  </si>
  <si>
    <t>Wilson, N. G. (Nigel Guy), 1935- compiler.</t>
  </si>
  <si>
    <t>Cambridge [England] : Published for Corpus Christi College Oxford [by] D.S. Brewer, 2011.</t>
  </si>
  <si>
    <t>3860982410:eng</t>
  </si>
  <si>
    <t>731910992</t>
  </si>
  <si>
    <t>ocn731910992</t>
  </si>
  <si>
    <t>31034145835</t>
  </si>
  <si>
    <t>9781843842873</t>
  </si>
  <si>
    <t>794880981</t>
  </si>
  <si>
    <t>folio Z6621 P9453 S56 2013</t>
  </si>
  <si>
    <t>0folio                 Z  6621000P  9453               S  56          2013</t>
  </si>
  <si>
    <t>Medieval &amp; Renaissance manuscripts in the Princeton University Library / by Don C. Skemer ; incorporating contributions by Adelaide Bennett, Jean F. Preston, William P. Stoneman, and the Index of Christian Art.</t>
  </si>
  <si>
    <t>Skemer, Don C.</t>
  </si>
  <si>
    <t>Princeton, New Jersey : Published by the Department of Art and Archaeology, Princeton University : Distributed by Princeton University Press, 2013.</t>
  </si>
  <si>
    <t>1357194984:eng</t>
  </si>
  <si>
    <t>820123498</t>
  </si>
  <si>
    <t>ocn820123498</t>
  </si>
  <si>
    <t>31035511873</t>
  </si>
  <si>
    <t>9780691157504</t>
  </si>
  <si>
    <t>794935133</t>
  </si>
  <si>
    <t>31035593588</t>
  </si>
  <si>
    <t>794935134</t>
  </si>
  <si>
    <t>folio Z6621 W925 2001</t>
  </si>
  <si>
    <t>0folio                 Z  6621000W  925         2001</t>
  </si>
  <si>
    <t>A descriptive catalogue of the medieval manuscripts in Worcester Cathedral Library / R.M. Thomson ; with a contribution on the bindings by Michael Gullick.</t>
  </si>
  <si>
    <t>Worcester Cathedral. Library.</t>
  </si>
  <si>
    <t>Woodbridge, Suffolk ; Rochester, NY : Published on behalf of the dean and chapter of Worcester Cathedral [by] D.S. Brewer, 2001.</t>
  </si>
  <si>
    <t>2008-11-20</t>
  </si>
  <si>
    <t>35190215:eng</t>
  </si>
  <si>
    <t>228662173</t>
  </si>
  <si>
    <t>ocn228662173</t>
  </si>
  <si>
    <t>31022529556</t>
  </si>
  <si>
    <t>9780859916189</t>
  </si>
  <si>
    <t>794350184</t>
  </si>
  <si>
    <t>3103628491C</t>
  </si>
  <si>
    <t>794350185</t>
  </si>
  <si>
    <t>folio Z6623 W66 W65 2010</t>
  </si>
  <si>
    <t>0folio                 Z  6623000W  66                 W  65          2010</t>
  </si>
  <si>
    <t>The Wollaton medieval manuscripts : texts, owners and readers / edited by Ralph Hanna, Thorlac Turville-Petre.</t>
  </si>
  <si>
    <t>Woodbridge, Suffolk : York Medieval Press ... in association with Boydell &amp; Brewer ... and with the Centre for Medieval Studies, University of York, 2010.</t>
  </si>
  <si>
    <t>Manuscript culture in the British Isles ; 3</t>
  </si>
  <si>
    <t>793199114:eng</t>
  </si>
  <si>
    <t>607973763</t>
  </si>
  <si>
    <t>ocn607973763</t>
  </si>
  <si>
    <t>3103431284G</t>
  </si>
  <si>
    <t>9781903153345</t>
  </si>
  <si>
    <t>794818497</t>
  </si>
  <si>
    <t>folio Z7026 C25 2000</t>
  </si>
  <si>
    <t>0folio                 Z  7026000C  25          2000</t>
  </si>
  <si>
    <t>C.A.L.M.A., Compendium auctorum Latinorum Medii Aevi, 500-1500 / curantibus (Cantabrigiae et Nostrae Dominae a Lacu) Michael Lapidge, (Florentiae) Gian Carlo Garfagnini et Claudio Leonardi.</t>
  </si>
  <si>
    <t>vol. III</t>
  </si>
  <si>
    <t>Firenze : SISMEL, Edizioni del Galluzzo, 2000-&lt;2019&gt;</t>
  </si>
  <si>
    <t>Societa internazionale per lo Studio del Medioevo Latino (S.I.S.M.E.L.) "Medioevo latino"</t>
  </si>
  <si>
    <t>369489805:ita</t>
  </si>
  <si>
    <t>57170194</t>
  </si>
  <si>
    <t>ocm57170194</t>
  </si>
  <si>
    <t>3103642590S</t>
  </si>
  <si>
    <t>9788887027891</t>
  </si>
  <si>
    <t>793907886</t>
  </si>
  <si>
    <t>abbrev.:suppl.10 ( boxed)</t>
  </si>
  <si>
    <t>B001250498</t>
  </si>
  <si>
    <t>793907890</t>
  </si>
  <si>
    <t>abbrev.:suppl.2(boxed)</t>
  </si>
  <si>
    <t>3102203848W</t>
  </si>
  <si>
    <t>793907898</t>
  </si>
  <si>
    <t>vol.I</t>
  </si>
  <si>
    <t>3102503681C</t>
  </si>
  <si>
    <t>793907888</t>
  </si>
  <si>
    <t>abbrev.:suppl.8( boxed)</t>
  </si>
  <si>
    <t>B001075693</t>
  </si>
  <si>
    <t>793907892</t>
  </si>
  <si>
    <t>vol.V.6.2(+loose-leaf Suppl.)(boxed)</t>
  </si>
  <si>
    <t>31038596469</t>
  </si>
  <si>
    <t>793907875</t>
  </si>
  <si>
    <t>vol. IV.6(+ loose-leaf Suppl).( boxed)</t>
  </si>
  <si>
    <t>3103637868R</t>
  </si>
  <si>
    <t>793907879</t>
  </si>
  <si>
    <t>vol.VI.3(+loose-leaf Suppl.)(boxed)</t>
  </si>
  <si>
    <t>3103898645T</t>
  </si>
  <si>
    <t>793907874</t>
  </si>
  <si>
    <t>vol.V.2 (+loose-leaf Suppl.) (boxed)</t>
  </si>
  <si>
    <t>3103641353A</t>
  </si>
  <si>
    <t>793907902</t>
  </si>
  <si>
    <t>abbrev.:suppl.5(boxed)</t>
  </si>
  <si>
    <t>B000524762</t>
  </si>
  <si>
    <t>793907895</t>
  </si>
  <si>
    <t>vol. II</t>
  </si>
  <si>
    <t>3103068296W</t>
  </si>
  <si>
    <t>793907887</t>
  </si>
  <si>
    <t>abbrev.:suppl.4(boxed)</t>
  </si>
  <si>
    <t>3102405800K</t>
  </si>
  <si>
    <t>793907896</t>
  </si>
  <si>
    <t>vol.4 (+ loose-leaf Suppl.) (boxed)</t>
  </si>
  <si>
    <t>3103701328Q</t>
  </si>
  <si>
    <t>793907901</t>
  </si>
  <si>
    <t>abbrev.:suppl.1(boxed)</t>
  </si>
  <si>
    <t>3102203853U</t>
  </si>
  <si>
    <t>793907899</t>
  </si>
  <si>
    <t>vol. IV.5 (+ loose-leaf Suppl).( boxed)</t>
  </si>
  <si>
    <t>B001577138</t>
  </si>
  <si>
    <t>793907880</t>
  </si>
  <si>
    <t>abbrev.:suppl.11 ( boxed)</t>
  </si>
  <si>
    <t>B001283416</t>
  </si>
  <si>
    <t>793907889</t>
  </si>
  <si>
    <t>STANDING ORDER</t>
  </si>
  <si>
    <t>B001448668</t>
  </si>
  <si>
    <t>793907900</t>
  </si>
  <si>
    <t>vol.V.6.1(+ loose-leaf Suppl.)( boxed)</t>
  </si>
  <si>
    <t>3103767526U</t>
  </si>
  <si>
    <t>793907876</t>
  </si>
  <si>
    <t>vol. IV.3 ( boxed)</t>
  </si>
  <si>
    <t>B001547148</t>
  </si>
  <si>
    <t>793907882</t>
  </si>
  <si>
    <t>abbrev.:suppl.9(boxed)</t>
  </si>
  <si>
    <t>B001138343</t>
  </si>
  <si>
    <t>793907891</t>
  </si>
  <si>
    <t>vol.V.6</t>
  </si>
  <si>
    <t>31037660909</t>
  </si>
  <si>
    <t>793907877</t>
  </si>
  <si>
    <t>vol. IV.1 ( boxed)</t>
  </si>
  <si>
    <t>B001497336</t>
  </si>
  <si>
    <t>793907884</t>
  </si>
  <si>
    <t>vol. V.1 (boxed)</t>
  </si>
  <si>
    <t>3103637873Y</t>
  </si>
  <si>
    <t>793907903</t>
  </si>
  <si>
    <t>abbrev.:suppl.6( boxed)</t>
  </si>
  <si>
    <t>B000818315</t>
  </si>
  <si>
    <t>793907894</t>
  </si>
  <si>
    <t>vol. IV.4 ( boxed)</t>
  </si>
  <si>
    <t>B001564283</t>
  </si>
  <si>
    <t>793907881</t>
  </si>
  <si>
    <t>vol. IV.2 ( boxed)</t>
  </si>
  <si>
    <t>B001523154</t>
  </si>
  <si>
    <t>793907883</t>
  </si>
  <si>
    <t>vol.V.5(+ loose-leaf Suppl).( boxed)</t>
  </si>
  <si>
    <t>3103759799S</t>
  </si>
  <si>
    <t>793907878</t>
  </si>
  <si>
    <t>vol. III. 1-6</t>
  </si>
  <si>
    <t>3103600547Q</t>
  </si>
  <si>
    <t>793907885</t>
  </si>
  <si>
    <t>abbrev.:suppl.7( boxed)</t>
  </si>
  <si>
    <t>B001005861</t>
  </si>
  <si>
    <t>793907893</t>
  </si>
  <si>
    <t>abbrev.:suppl.3(boxed)</t>
  </si>
  <si>
    <t>3102226725H</t>
  </si>
  <si>
    <t>793907897</t>
  </si>
  <si>
    <t>folio Z7144 H4 P88</t>
  </si>
  <si>
    <t>0folio                 Z  7144000H  4                  P  88</t>
  </si>
  <si>
    <t>A review of literature on heat transfer between metals in contact and by means of liquid metals.</t>
  </si>
  <si>
    <t>pt.2</t>
  </si>
  <si>
    <t>Putnaerglis, R. (Rudolph)</t>
  </si>
  <si>
    <t>Montreal : McGill University, Dept. of mechanical engineering, 1953.</t>
  </si>
  <si>
    <t>McGill University, Dept. of Mechanical Engineering, Gas Dynamics Laboratory.</t>
  </si>
  <si>
    <t>46143931:eng</t>
  </si>
  <si>
    <t>61575129</t>
  </si>
  <si>
    <t>ocm61575129</t>
  </si>
  <si>
    <t>31035600933</t>
  </si>
  <si>
    <t>794010042</t>
  </si>
  <si>
    <t>3103560100I</t>
  </si>
  <si>
    <t>794010043</t>
  </si>
  <si>
    <t>folio Z7165 N35 B8</t>
  </si>
  <si>
    <t>0folio                 Z  7165000N  35                 B  8</t>
  </si>
  <si>
    <t>An annotated bibliography of books and periodicals in English dealing with human relations in the Arab states of the Middle East, with special emphasis on modern times (1945-1954).</t>
  </si>
  <si>
    <t>Burke, Jean T.</t>
  </si>
  <si>
    <t>Beirut, Lebanon, American University of Beirut, 1956.</t>
  </si>
  <si>
    <t>2869140755:eng</t>
  </si>
  <si>
    <t>9258086</t>
  </si>
  <si>
    <t>ocm09258086</t>
  </si>
  <si>
    <t>3000796699K</t>
  </si>
  <si>
    <t>792666596</t>
  </si>
  <si>
    <t>folio Z8303.7 G55 2012</t>
  </si>
  <si>
    <t>0folio                 Z  8303700G  55          2012</t>
  </si>
  <si>
    <t>Ian Fleming : the bibliography / Jon Gilbert ; preface by Fergus Fleming ; foreword by Michael L. VanBlaricum ; edited by Brad Frank.</t>
  </si>
  <si>
    <t>Gilbert, Jon.</t>
  </si>
  <si>
    <t>London : Queen Anne Press : Distributed by Adrian Harrington Ltd., 2012.</t>
  </si>
  <si>
    <t>1337731854:eng</t>
  </si>
  <si>
    <t>822229535</t>
  </si>
  <si>
    <t>ocn822229535</t>
  </si>
  <si>
    <t>31034973532</t>
  </si>
  <si>
    <t>9780955818967</t>
  </si>
  <si>
    <t>794936427</t>
  </si>
  <si>
    <t>folio Z8528 E3x 1967</t>
  </si>
  <si>
    <t>0folio                 Z  8528000E  3x          1967</t>
  </si>
  <si>
    <t>Catalogue of a collection of fifteen hundred tracts by Martin Luther and his contemporaries, 1511-1598.</t>
  </si>
  <si>
    <t>Edmond, John Philip, 1850-1906.</t>
  </si>
  <si>
    <t>New York, B. Franklin [1966?]</t>
  </si>
  <si>
    <t>Bibliotheca Lindesiana, 7</t>
  </si>
  <si>
    <t>5091032721:eng</t>
  </si>
  <si>
    <t>268787918</t>
  </si>
  <si>
    <t>ocn268787918</t>
  </si>
  <si>
    <t>3001158147X</t>
  </si>
  <si>
    <t>794408354</t>
  </si>
  <si>
    <t>folio Z8818.83 O73 2016</t>
  </si>
  <si>
    <t>0folio                 Z  8818830O  73          2016</t>
  </si>
  <si>
    <t>Oranda Doitsu ni shozaisuru Shīboruto kankei chizu shiryō : Raiden Myunhen Burandenshutainjō o chūshin ni / Aoyama Hiroo hen = Map materials relating to Philipp Franz von Siebold in the Netherlands and Germany : With a focus on Leiden, Munich and the Brandenstein Castle / Edited by Hiro'o Aoyama.</t>
  </si>
  <si>
    <t>Aoyama, Hiroo, editor.</t>
  </si>
  <si>
    <t>Sakura-shi : Kokuritsu Rekishi Minzoku Hakubutsukan = National Museum of Japanese History, 2016.</t>
  </si>
  <si>
    <t>3864853052:jpn</t>
  </si>
  <si>
    <t>958844528</t>
  </si>
  <si>
    <t>ocn958844528</t>
  </si>
  <si>
    <t>3103762249I</t>
  </si>
  <si>
    <t>795022039</t>
  </si>
  <si>
    <t>10826</t>
  </si>
  <si>
    <t>810826</t>
  </si>
  <si>
    <t>How to operate a book ; From punch to printing type / Book Arts Press.</t>
  </si>
  <si>
    <t>Charlottesville, Va. : Book Arts Press, [2008]</t>
  </si>
  <si>
    <t>863940986:eng</t>
  </si>
  <si>
    <t>232114044</t>
  </si>
  <si>
    <t>ocn232114044</t>
  </si>
  <si>
    <t>3103543654S</t>
  </si>
  <si>
    <t>Video_DVD</t>
  </si>
  <si>
    <t>794358952</t>
  </si>
  <si>
    <t>12469</t>
  </si>
  <si>
    <t>812469</t>
  </si>
  <si>
    <t>Ex libris : New York Public Library / a film by Frederick Wiseman ; director, producer, editor, sound, Frederick Wiseman ; a production of Ex Libris Films, LLC ; in association with Public Broadcasting Service (PBS), WGBH and Independent Television Service (ITVS)</t>
  </si>
  <si>
    <t>Cambridge, MA : Zipporah, [2017]</t>
  </si>
  <si>
    <t>9020822138:eng</t>
  </si>
  <si>
    <t>1029561715</t>
  </si>
  <si>
    <t>on1029561715</t>
  </si>
  <si>
    <t>31037689471</t>
  </si>
  <si>
    <t>9781885918383</t>
  </si>
  <si>
    <t>795054152</t>
  </si>
  <si>
    <t>25415</t>
  </si>
  <si>
    <t>825415</t>
  </si>
  <si>
    <t>Iberian books. Volumes II &amp; III, Books published in Spain, Portugal and the New World or elsewhere in Spanish or Portuguese between 1601 and 1650 = Libros ibéricos. Volúmenes II y III, Libros publicados en España, Portugal y el Nuevo Mundo o impresos en otros lugares en español o portugués entre 1601 y 1650 / edited by Alexander S. Wilkinson and Alejandra Ulla Lorenzo.</t>
  </si>
  <si>
    <t>Leiden ; Boston : Brill, 2016.</t>
  </si>
  <si>
    <t>3771399338:eng</t>
  </si>
  <si>
    <t>933883502</t>
  </si>
  <si>
    <t>ocn933883502</t>
  </si>
  <si>
    <t>3103710166P</t>
  </si>
  <si>
    <t>9789004292291</t>
  </si>
  <si>
    <t>795009457</t>
  </si>
  <si>
    <t>3103710155U</t>
  </si>
  <si>
    <t>795009456</t>
  </si>
  <si>
    <t>31,022</t>
  </si>
  <si>
    <t>831,022</t>
  </si>
  <si>
    <t>Le siècle des lumières : bibliographie chronologique / Pierre M. Conlon.</t>
  </si>
  <si>
    <t>t.25</t>
  </si>
  <si>
    <t>Genève : Droz, 1983-2009.</t>
  </si>
  <si>
    <t>Histoire des idées et critique littéraire, 0073-2397 ; vol. 213, 222, 227, 239, 250, 266, 282, 299, 302, 309, 319, 323, 333, 339, 346, 352, 359, 367, 376, 384, 388, 403, 419, 429, 435, 443, 446, 453-457</t>
  </si>
  <si>
    <t>891346848:fre</t>
  </si>
  <si>
    <t>11112895</t>
  </si>
  <si>
    <t>ocm11112895</t>
  </si>
  <si>
    <t>3102833286S</t>
  </si>
  <si>
    <t>9782600010313</t>
  </si>
  <si>
    <t>792758383</t>
  </si>
  <si>
    <t>t.28</t>
  </si>
  <si>
    <t>3103100191H</t>
  </si>
  <si>
    <t>792758380</t>
  </si>
  <si>
    <t>t.32</t>
  </si>
  <si>
    <t>3103217547D</t>
  </si>
  <si>
    <t>792758376</t>
  </si>
  <si>
    <t>t.20</t>
  </si>
  <si>
    <t>3102044582U</t>
  </si>
  <si>
    <t>792758388</t>
  </si>
  <si>
    <t>t.12</t>
  </si>
  <si>
    <t>3101224137K</t>
  </si>
  <si>
    <t>792758396</t>
  </si>
  <si>
    <t>t.6</t>
  </si>
  <si>
    <t>3100828223A</t>
  </si>
  <si>
    <t>792758402</t>
  </si>
  <si>
    <t>t.17</t>
  </si>
  <si>
    <t>31017431870</t>
  </si>
  <si>
    <t>792758391</t>
  </si>
  <si>
    <t>3000951918W</t>
  </si>
  <si>
    <t>792758407</t>
  </si>
  <si>
    <t>t.3</t>
  </si>
  <si>
    <t>3100828220G</t>
  </si>
  <si>
    <t>792758405</t>
  </si>
  <si>
    <t>t.21</t>
  </si>
  <si>
    <t>3102093370K</t>
  </si>
  <si>
    <t>792758387</t>
  </si>
  <si>
    <t>t.16</t>
  </si>
  <si>
    <t>31015764779</t>
  </si>
  <si>
    <t>792758392</t>
  </si>
  <si>
    <t>t.23</t>
  </si>
  <si>
    <t>3102510881D</t>
  </si>
  <si>
    <t>792758385</t>
  </si>
  <si>
    <t>t.22</t>
  </si>
  <si>
    <t>3102257026J</t>
  </si>
  <si>
    <t>792758386</t>
  </si>
  <si>
    <t>t.30</t>
  </si>
  <si>
    <t>3103217543D</t>
  </si>
  <si>
    <t>792758378</t>
  </si>
  <si>
    <t>t.9</t>
  </si>
  <si>
    <t>3100961871G</t>
  </si>
  <si>
    <t>792758399</t>
  </si>
  <si>
    <t>t.29</t>
  </si>
  <si>
    <t>3103100195H</t>
  </si>
  <si>
    <t>792758379</t>
  </si>
  <si>
    <t>t.11</t>
  </si>
  <si>
    <t>3101221023D</t>
  </si>
  <si>
    <t>792758397</t>
  </si>
  <si>
    <t>t.5</t>
  </si>
  <si>
    <t>3100828222C</t>
  </si>
  <si>
    <t>792758403</t>
  </si>
  <si>
    <t>t.4</t>
  </si>
  <si>
    <t>3100828221E</t>
  </si>
  <si>
    <t>792758404</t>
  </si>
  <si>
    <t>t.15</t>
  </si>
  <si>
    <t>3101419984K</t>
  </si>
  <si>
    <t>792758393</t>
  </si>
  <si>
    <t>t.8</t>
  </si>
  <si>
    <t>3100986846F</t>
  </si>
  <si>
    <t>792758400</t>
  </si>
  <si>
    <t>31008282191</t>
  </si>
  <si>
    <t>792758406</t>
  </si>
  <si>
    <t>t.18</t>
  </si>
  <si>
    <t>31018648184</t>
  </si>
  <si>
    <t>792758390</t>
  </si>
  <si>
    <t>t.7</t>
  </si>
  <si>
    <t>31008282248</t>
  </si>
  <si>
    <t>792758401</t>
  </si>
  <si>
    <t>t.14</t>
  </si>
  <si>
    <t>3101460683C</t>
  </si>
  <si>
    <t>792758394</t>
  </si>
  <si>
    <t>t.27</t>
  </si>
  <si>
    <t>3103041216C</t>
  </si>
  <si>
    <t>792758381</t>
  </si>
  <si>
    <t>t.26</t>
  </si>
  <si>
    <t>31030297790</t>
  </si>
  <si>
    <t>792758382</t>
  </si>
  <si>
    <t>t.13</t>
  </si>
  <si>
    <t>3101458188P</t>
  </si>
  <si>
    <t>792758395</t>
  </si>
  <si>
    <t>t.19</t>
  </si>
  <si>
    <t>3101952535P</t>
  </si>
  <si>
    <t>792758389</t>
  </si>
  <si>
    <t>t.31</t>
  </si>
  <si>
    <t>3103217542D</t>
  </si>
  <si>
    <t>792758377</t>
  </si>
  <si>
    <t>t.24</t>
  </si>
  <si>
    <t>31027180049</t>
  </si>
  <si>
    <t>792758384</t>
  </si>
  <si>
    <t>t.10</t>
  </si>
  <si>
    <t>3100962606U</t>
  </si>
  <si>
    <t>792758398</t>
  </si>
  <si>
    <t>8608</t>
  </si>
  <si>
    <t>88608</t>
  </si>
  <si>
    <t>The making of a medieval manuscript / Bernard J. Muir.</t>
  </si>
  <si>
    <t>[Place of publication not identified] : Evellum, ©2008.</t>
  </si>
  <si>
    <t>Evellum Scriptorium series</t>
  </si>
  <si>
    <t>1119659310:eng</t>
  </si>
  <si>
    <t>232607013</t>
  </si>
  <si>
    <t>ocn232607013</t>
  </si>
  <si>
    <t>31030430424</t>
  </si>
  <si>
    <t>9780980286205</t>
  </si>
  <si>
    <t>794363995</t>
  </si>
  <si>
    <t>8611</t>
  </si>
  <si>
    <t>88611</t>
  </si>
  <si>
    <t>Helvetica / a Swiss Dots production ; in association with Veer ; a film by Gary Hustwit ; produced and directed by Gary Hustwit.</t>
  </si>
  <si>
    <t>[London] : Swiss Dots Ltd. ; Brooklyn, NY : Plexifilm, [2007]</t>
  </si>
  <si>
    <t>Design trilogy</t>
  </si>
  <si>
    <t>785848105:eng</t>
  </si>
  <si>
    <t>184841541</t>
  </si>
  <si>
    <t>ocn184841541</t>
  </si>
  <si>
    <t>31028510395</t>
  </si>
  <si>
    <t>794290930</t>
  </si>
  <si>
    <t>9974</t>
  </si>
  <si>
    <t>89974</t>
  </si>
  <si>
    <t>Citizen Hearst / Leslie Iwerks productions presents ; directed, produced &amp; edited by Leslie Iwerks ; produced Jane Kelly Kosek ; written by Leslie Iwerks &amp; Mark A. Johnson.</t>
  </si>
  <si>
    <t>Santa Monica, Calif. : Lionsgate, [2013]</t>
  </si>
  <si>
    <t>2013-12-20</t>
  </si>
  <si>
    <t>1236251629:eng</t>
  </si>
  <si>
    <t>839697520</t>
  </si>
  <si>
    <t>ocn839697520</t>
  </si>
  <si>
    <t>31035227424</t>
  </si>
  <si>
    <t>794945758</t>
  </si>
  <si>
    <t>- Government Document Collection - In Library Use</t>
  </si>
  <si>
    <t>CA1 NA2 E73 1987J</t>
  </si>
  <si>
    <t>8CA1 NA2 E73 1987J</t>
  </si>
  <si>
    <t>CVB425578-20</t>
  </si>
  <si>
    <t>794556193</t>
  </si>
  <si>
    <t>CA1 Z1 1980 N1</t>
  </si>
  <si>
    <t>8CA1 Z1 1980 N1</t>
  </si>
  <si>
    <t>31013337896</t>
  </si>
  <si>
    <t>794452066</t>
  </si>
  <si>
    <t>CA2 PQ ACZ721 2001 C35</t>
  </si>
  <si>
    <t>8CA2 PQ ACZ721 2001 C35</t>
  </si>
  <si>
    <t>31021639464</t>
  </si>
  <si>
    <t>793732716</t>
  </si>
  <si>
    <t>Z250 A2 B15 1972</t>
  </si>
  <si>
    <t>0                      Z  0250000A  2                  B  15          1972</t>
  </si>
  <si>
    <t>Stanley Morison.</t>
  </si>
  <si>
    <t>London, Macmillan [1972]</t>
  </si>
  <si>
    <t>HathiTrust Record</t>
  </si>
  <si>
    <t>Catalog Record</t>
  </si>
  <si>
    <t>WorldCat Record</t>
  </si>
  <si>
    <t>1554616:eng</t>
  </si>
  <si>
    <t>478898</t>
  </si>
  <si>
    <t>ocm00478898</t>
  </si>
  <si>
    <t>30008552732</t>
  </si>
  <si>
    <t>9780333131367</t>
  </si>
  <si>
    <t>791388277</t>
  </si>
  <si>
    <t>Z4 M372</t>
  </si>
  <si>
    <t>0                      Z  0004000M  372</t>
  </si>
  <si>
    <t>Le livre et la civilisation écrite.</t>
  </si>
  <si>
    <t>Martin, Henri Jean.</t>
  </si>
  <si>
    <t>Paris, Ecole nationale supérieure de bibliothécaires, 1968-</t>
  </si>
  <si>
    <t>2002-12-07</t>
  </si>
  <si>
    <t>350463844:fre</t>
  </si>
  <si>
    <t>3196627</t>
  </si>
  <si>
    <t>ocm03196627</t>
  </si>
  <si>
    <t>3000636249K</t>
  </si>
  <si>
    <t>792228150</t>
  </si>
  <si>
    <t>2000-09-23</t>
  </si>
  <si>
    <t>31008498066</t>
  </si>
  <si>
    <t>792228149</t>
  </si>
  <si>
    <t>Z4 Z9 M35 1993</t>
  </si>
  <si>
    <t>0                      Z  0004000Z  9                  M  35          1993</t>
  </si>
  <si>
    <t>What's past is prologue : the Bibliographical Society and history of the book / D.F. McKenzie.</t>
  </si>
  <si>
    <t>[London?] : Hearthstone Publications : Bibliographical Society, 1993.</t>
  </si>
  <si>
    <t>2007-02-20</t>
  </si>
  <si>
    <t>31751853:eng</t>
  </si>
  <si>
    <t>29586687</t>
  </si>
  <si>
    <t>ocm29586687</t>
  </si>
  <si>
    <t>31012587333</t>
  </si>
  <si>
    <t>793315097</t>
  </si>
  <si>
    <t>Z124 M343 1987</t>
  </si>
  <si>
    <t>0                      Z  0124000M  343         1987</t>
  </si>
  <si>
    <t>Pour une histoire du livre : XVe-XVIIIe siècle : cinq conférences / Henri-Jean Martin.</t>
  </si>
  <si>
    <t>Napoli : Bibliopolis, ©1987.</t>
  </si>
  <si>
    <t>Lezioni della Scuola di studi superiori in Napoli ; 8</t>
  </si>
  <si>
    <t>2008-02-07</t>
  </si>
  <si>
    <t>808832744:fre</t>
  </si>
  <si>
    <t>19629390</t>
  </si>
  <si>
    <t>ocm19629390</t>
  </si>
  <si>
    <t>3100657774B</t>
  </si>
  <si>
    <t>793064604</t>
  </si>
  <si>
    <t>Z124 P865 2002</t>
  </si>
  <si>
    <t>0                      Z  0124000P  865         2002</t>
  </si>
  <si>
    <t>Printed matters : printing, publishing and urban culture in Europe in the modern period / edited by Malcolm Gee and Tim Kirk.</t>
  </si>
  <si>
    <t>Aldershot ; Burlington USA : Ashgate, ©2002.</t>
  </si>
  <si>
    <t>Historical urban studies</t>
  </si>
  <si>
    <t>793049172:eng</t>
  </si>
  <si>
    <t>47091993</t>
  </si>
  <si>
    <t>ocm47091993</t>
  </si>
  <si>
    <t>3102246112R</t>
  </si>
  <si>
    <t>9780754602798</t>
  </si>
  <si>
    <t>793698095</t>
  </si>
  <si>
    <t>Z246 M67 2007</t>
  </si>
  <si>
    <t>0                      Z  0246000M  67          2007</t>
  </si>
  <si>
    <t>The ideal book : three essays on books &amp; printing / William Morris ; edited with an introduction by Richard Mathews.</t>
  </si>
  <si>
    <t>Tampa, FL : University of Tampa Press, ©2007.</t>
  </si>
  <si>
    <t>1059159063:eng</t>
  </si>
  <si>
    <t>190966233</t>
  </si>
  <si>
    <t>ocn190966233</t>
  </si>
  <si>
    <t>31028833596</t>
  </si>
  <si>
    <t>9781597320276</t>
  </si>
  <si>
    <t>794296548</t>
  </si>
  <si>
    <t>Z278 D38 2009</t>
  </si>
  <si>
    <t>0                      Z  0278000D  38          2009</t>
  </si>
  <si>
    <t>Transferred illusions : digital technology and the forms of print / Marilyn Deegan and Kathryn Sutherland.</t>
  </si>
  <si>
    <t>801642154:eng</t>
  </si>
  <si>
    <t>257553336</t>
  </si>
  <si>
    <t>ocn257553336</t>
  </si>
  <si>
    <t>31028576310</t>
  </si>
  <si>
    <t>9780754670162</t>
  </si>
  <si>
    <t>794399301</t>
  </si>
  <si>
    <t>Z115 N4 G86 1990</t>
  </si>
  <si>
    <t>0                      Z  0115000N  4                  G  86          1990</t>
  </si>
  <si>
    <t>The Dutch and their books in the manuscript age / J.P. Gumbert.</t>
  </si>
  <si>
    <t>Gumbert, J. P.</t>
  </si>
  <si>
    <t>London : British Library, 1990.</t>
  </si>
  <si>
    <t>The Panizzi lectures ; 1989</t>
  </si>
  <si>
    <t>20646626:eng</t>
  </si>
  <si>
    <t>26502208</t>
  </si>
  <si>
    <t>ocm26502208</t>
  </si>
  <si>
    <t>3102952320P</t>
  </si>
  <si>
    <t>9780712302227</t>
  </si>
  <si>
    <t>793245810</t>
  </si>
  <si>
    <t>Z115.4 B483 1993</t>
  </si>
  <si>
    <t>0                      Z  0115400B  483         1993</t>
  </si>
  <si>
    <t>Hebrew manuscripts of east and west : towards a comparative codicology / Malachi Beit-Arié.</t>
  </si>
  <si>
    <t>London : British Library, 1993, ©1992.</t>
  </si>
  <si>
    <t>Panizzi lectures ; 1992</t>
  </si>
  <si>
    <t>808263719:eng</t>
  </si>
  <si>
    <t>29959774</t>
  </si>
  <si>
    <t>ocm29959774</t>
  </si>
  <si>
    <t>3102314792A</t>
  </si>
  <si>
    <t>9780712303064</t>
  </si>
  <si>
    <t>793325244</t>
  </si>
  <si>
    <t>Z1003.5 G7 B57 1987</t>
  </si>
  <si>
    <t>0                      Z  1003500G  7                  B  57          1987</t>
  </si>
  <si>
    <t>English monarchs and their books : from Henry VII to Charles II / T.A. Birrell.</t>
  </si>
  <si>
    <t>London ; Wolfeboro, N.H. : British Library, ©1987.</t>
  </si>
  <si>
    <t>The Panizzi lectures ; 1986</t>
  </si>
  <si>
    <t>836725531:eng</t>
  </si>
  <si>
    <t>20593621</t>
  </si>
  <si>
    <t>ocm20593621</t>
  </si>
  <si>
    <t>3101951392Q</t>
  </si>
  <si>
    <t>9780712301381</t>
  </si>
  <si>
    <t>793092141</t>
  </si>
  <si>
    <t>Z1039 W65 L66 2005</t>
  </si>
  <si>
    <t>0                      Z  1039000W  65                 L  66          2005</t>
  </si>
  <si>
    <t>The polished cornerstone of the temple : queenly libraries of the Enlightenment / María Luisa López-Vidriero.</t>
  </si>
  <si>
    <t>López-Vidriero, María Luisa.</t>
  </si>
  <si>
    <t>London : British Library, ©2005.</t>
  </si>
  <si>
    <t>Panizzi lectures ; 2004</t>
  </si>
  <si>
    <t>891385426:eng</t>
  </si>
  <si>
    <t>62710967</t>
  </si>
  <si>
    <t>ocm62710967</t>
  </si>
  <si>
    <t>3102556344T</t>
  </si>
  <si>
    <t>9780712349079</t>
  </si>
  <si>
    <t>794111084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</si>
</sst>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3" x14ac:knownFonts="1">
    <font>
      <sz val="11"/>
      <color theme="1"/>
      <name val="Calibri"/>
      <family val="2"/>
      <scheme val="minor"/>
    </font>
    <font>
      <b/>
      <sz val="11"/>
      <color theme="1"/>
      <name val="Calibri"/>
      <family val="2"/>
      <scheme val="minor"/>
    </font>
    <font>
      <u/>
      <sz val="11"/>
      <color rgb="FF0000FF"/>
      <name val="Calibri"/>
      <family val="2"/>
      <scheme val="minor"/>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7">
    <xf numFmtId="0" fontId="0" fillId="0" borderId="0" xfId="0"/>
    <xf numFmtId="0" fontId="1" fillId="2" borderId="0" xfId="0" applyFont="1" applyFill="1" applyAlignment="1">
      <alignment horizontal="center" vertical="center" wrapText="1"/>
    </xf>
    <xf numFmtId="0" fontId="0" fillId="0" borderId="0" xfId="0" applyAlignment="1">
      <alignment vertical="center" wrapText="1"/>
    </xf>
    <xf numFmtId="49" fontId="0" fillId="0" borderId="0" xfId="0" applyNumberFormat="1" applyAlignment="1">
      <alignment horizontal="center" vertical="center"/>
    </xf>
    <xf numFmtId="3"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431"/>
  <sheetViews>
    <sheetView tabSelected="1" workbookViewId="0">
      <pane ySplit="1" topLeftCell="A2" activePane="bottomLeft" state="frozen"/>
      <selection pane="bottomLeft" activeCell="A2" sqref="A2"/>
    </sheetView>
  </sheetViews>
  <sheetFormatPr defaultRowHeight="14.5" x14ac:dyDescent="0.35"/>
  <cols>
    <col min="1" max="1" width="12.7265625" customWidth="1"/>
    <col min="2" max="3" width="10.7265625" customWidth="1"/>
    <col min="4" max="4" width="12.7265625" hidden="1" customWidth="1"/>
    <col min="5" max="5" width="40.453125" customWidth="1"/>
    <col min="6" max="6" width="13.7265625" customWidth="1"/>
    <col min="7" max="7" width="10.7265625" hidden="1" customWidth="1"/>
    <col min="8" max="8" width="8.7265625" hidden="1" customWidth="1"/>
    <col min="9" max="9" width="11.7265625" hidden="1" customWidth="1"/>
    <col min="10" max="10" width="9.7265625" hidden="1" customWidth="1"/>
    <col min="11" max="11" width="10.7265625" customWidth="1"/>
    <col min="12" max="13" width="35.7265625" customWidth="1"/>
    <col min="14" max="14" width="13.7265625" customWidth="1"/>
    <col min="15" max="15" width="9.7265625" customWidth="1"/>
    <col min="16" max="16" width="10.7265625" customWidth="1"/>
    <col min="17" max="17" width="35.7265625" customWidth="1"/>
    <col min="18" max="18" width="10.7265625" customWidth="1"/>
    <col min="19" max="29" width="10.7265625" hidden="1" customWidth="1"/>
    <col min="30" max="31" width="12.7265625" hidden="1" customWidth="1"/>
    <col min="32" max="33" width="9.7265625" hidden="1" customWidth="1"/>
    <col min="34" max="35" width="11.7265625" hidden="1" customWidth="1"/>
    <col min="36" max="39" width="9.7265625" hidden="1" customWidth="1"/>
    <col min="40" max="41" width="13.7265625" hidden="1" customWidth="1"/>
    <col min="42" max="43" width="9.7265625" hidden="1" customWidth="1"/>
    <col min="44" max="44" width="11.7265625" hidden="1" customWidth="1"/>
    <col min="45" max="47" width="12.7265625" hidden="1" customWidth="1"/>
    <col min="48" max="48" width="10.7265625" customWidth="1"/>
    <col min="49" max="49" width="10.7265625" hidden="1" customWidth="1"/>
    <col min="50" max="50" width="15.7265625" hidden="1" customWidth="1"/>
    <col min="51" max="54" width="20.7265625" hidden="1" customWidth="1"/>
    <col min="55" max="55" width="15.7265625" customWidth="1"/>
    <col min="56" max="57" width="15.7265625" hidden="1" customWidth="1"/>
    <col min="58" max="58" width="25.7265625" customWidth="1"/>
    <col min="59" max="59" width="10.7265625" hidden="1" customWidth="1"/>
  </cols>
  <sheetData>
    <row r="1" spans="1:60" ht="72.5"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row>
    <row r="2" spans="1:60" ht="87" x14ac:dyDescent="0.35">
      <c r="A2" s="2" t="s">
        <v>59</v>
      </c>
      <c r="B2" s="2" t="s">
        <v>29786</v>
      </c>
      <c r="C2" s="2" t="s">
        <v>52853</v>
      </c>
      <c r="D2" s="2" t="s">
        <v>52854</v>
      </c>
      <c r="E2" s="2" t="s">
        <v>52855</v>
      </c>
      <c r="G2" s="3" t="s">
        <v>64</v>
      </c>
      <c r="I2" s="3" t="s">
        <v>64</v>
      </c>
      <c r="J2" s="3" t="s">
        <v>64</v>
      </c>
      <c r="K2" s="3" t="s">
        <v>65</v>
      </c>
      <c r="M2" s="2" t="s">
        <v>52856</v>
      </c>
      <c r="N2" s="3" t="s">
        <v>144</v>
      </c>
      <c r="P2" s="3" t="s">
        <v>102</v>
      </c>
      <c r="Q2" s="2" t="s">
        <v>52857</v>
      </c>
      <c r="R2" s="3" t="s">
        <v>70</v>
      </c>
      <c r="S2" s="4">
        <v>12</v>
      </c>
      <c r="T2" s="4">
        <v>12</v>
      </c>
      <c r="U2" s="5" t="s">
        <v>34440</v>
      </c>
      <c r="V2" s="5" t="s">
        <v>34440</v>
      </c>
      <c r="W2" s="5" t="s">
        <v>72</v>
      </c>
      <c r="X2" s="5" t="s">
        <v>72</v>
      </c>
      <c r="Y2" s="4">
        <v>42</v>
      </c>
      <c r="Z2" s="4">
        <v>4</v>
      </c>
      <c r="AA2" s="4">
        <v>5</v>
      </c>
      <c r="AB2" s="4">
        <v>1</v>
      </c>
      <c r="AC2" s="4">
        <v>1</v>
      </c>
      <c r="AD2" s="4">
        <v>12</v>
      </c>
      <c r="AE2" s="4">
        <v>15</v>
      </c>
      <c r="AF2" s="4">
        <v>0</v>
      </c>
      <c r="AG2" s="4">
        <v>0</v>
      </c>
      <c r="AH2" s="4">
        <v>12</v>
      </c>
      <c r="AI2" s="4">
        <v>13</v>
      </c>
      <c r="AJ2" s="4">
        <v>2</v>
      </c>
      <c r="AK2" s="4">
        <v>2</v>
      </c>
      <c r="AL2" s="4">
        <v>7</v>
      </c>
      <c r="AM2" s="4">
        <v>9</v>
      </c>
      <c r="AN2" s="4">
        <v>0</v>
      </c>
      <c r="AO2" s="4">
        <v>0</v>
      </c>
      <c r="AP2" s="4">
        <v>2</v>
      </c>
      <c r="AQ2" s="4">
        <v>3</v>
      </c>
      <c r="AR2" s="3" t="s">
        <v>64</v>
      </c>
      <c r="AS2" s="3" t="s">
        <v>64</v>
      </c>
      <c r="AT2" s="3" t="s">
        <v>64</v>
      </c>
      <c r="AV2" s="6" t="str">
        <f>HYPERLINK("http://mcgill.on.worldcat.org/oclc/232607013","Catalog Record")</f>
        <v>Catalog Record</v>
      </c>
      <c r="AW2" s="6" t="str">
        <f>HYPERLINK("http://www.worldcat.org/oclc/232607013","WorldCat Record")</f>
        <v>WorldCat Record</v>
      </c>
      <c r="AX2" s="3" t="s">
        <v>52858</v>
      </c>
      <c r="AY2" s="3" t="s">
        <v>52859</v>
      </c>
      <c r="AZ2" s="3" t="s">
        <v>52860</v>
      </c>
      <c r="BA2" s="3" t="s">
        <v>52860</v>
      </c>
      <c r="BB2" s="3" t="s">
        <v>52861</v>
      </c>
      <c r="BC2" s="3" t="s">
        <v>52726</v>
      </c>
      <c r="BD2" s="3" t="s">
        <v>78</v>
      </c>
      <c r="BE2" s="3" t="s">
        <v>52862</v>
      </c>
      <c r="BF2" s="3" t="s">
        <v>52861</v>
      </c>
      <c r="BG2" s="3" t="s">
        <v>52863</v>
      </c>
      <c r="BH2">
        <f t="shared" ref="BH2:BH65" si="0">IF(COUNTIF($BF$1:$BF$5431,BF2)=1,0,1)</f>
        <v>0</v>
      </c>
    </row>
    <row r="3" spans="1:60" ht="87" x14ac:dyDescent="0.35">
      <c r="A3" s="2" t="s">
        <v>59</v>
      </c>
      <c r="B3" s="2" t="s">
        <v>29786</v>
      </c>
      <c r="C3" s="2" t="s">
        <v>52864</v>
      </c>
      <c r="D3" s="2" t="s">
        <v>52865</v>
      </c>
      <c r="E3" s="2" t="s">
        <v>52866</v>
      </c>
      <c r="G3" s="3" t="s">
        <v>64</v>
      </c>
      <c r="I3" s="3" t="s">
        <v>64</v>
      </c>
      <c r="J3" s="3" t="s">
        <v>64</v>
      </c>
      <c r="K3" s="3" t="s">
        <v>65</v>
      </c>
      <c r="M3" s="2" t="s">
        <v>52867</v>
      </c>
      <c r="N3" s="3" t="s">
        <v>291</v>
      </c>
      <c r="P3" s="3" t="s">
        <v>102</v>
      </c>
      <c r="Q3" s="2" t="s">
        <v>52868</v>
      </c>
      <c r="R3" s="3" t="s">
        <v>70</v>
      </c>
      <c r="S3" s="4">
        <v>112</v>
      </c>
      <c r="T3" s="4">
        <v>112</v>
      </c>
      <c r="U3" s="5" t="s">
        <v>22597</v>
      </c>
      <c r="V3" s="5" t="s">
        <v>22597</v>
      </c>
      <c r="W3" s="5" t="s">
        <v>72</v>
      </c>
      <c r="X3" s="5" t="s">
        <v>72</v>
      </c>
      <c r="Y3" s="4">
        <v>833</v>
      </c>
      <c r="Z3" s="4">
        <v>18</v>
      </c>
      <c r="AA3" s="4">
        <v>54</v>
      </c>
      <c r="AB3" s="4">
        <v>2</v>
      </c>
      <c r="AC3" s="4">
        <v>7</v>
      </c>
      <c r="AD3" s="4">
        <v>70</v>
      </c>
      <c r="AE3" s="4">
        <v>101</v>
      </c>
      <c r="AF3" s="4">
        <v>0</v>
      </c>
      <c r="AG3" s="4">
        <v>3</v>
      </c>
      <c r="AH3" s="4">
        <v>63</v>
      </c>
      <c r="AI3" s="4">
        <v>84</v>
      </c>
      <c r="AJ3" s="4">
        <v>4</v>
      </c>
      <c r="AK3" s="4">
        <v>16</v>
      </c>
      <c r="AL3" s="4">
        <v>34</v>
      </c>
      <c r="AM3" s="4">
        <v>43</v>
      </c>
      <c r="AN3" s="4">
        <v>0</v>
      </c>
      <c r="AO3" s="4">
        <v>0</v>
      </c>
      <c r="AP3" s="4">
        <v>7</v>
      </c>
      <c r="AQ3" s="4">
        <v>24</v>
      </c>
      <c r="AR3" s="3" t="s">
        <v>64</v>
      </c>
      <c r="AS3" s="3" t="s">
        <v>64</v>
      </c>
      <c r="AT3" s="3" t="s">
        <v>64</v>
      </c>
      <c r="AV3" s="6" t="str">
        <f>HYPERLINK("http://mcgill.on.worldcat.org/oclc/184841541","Catalog Record")</f>
        <v>Catalog Record</v>
      </c>
      <c r="AW3" s="6" t="str">
        <f>HYPERLINK("http://www.worldcat.org/oclc/184841541","WorldCat Record")</f>
        <v>WorldCat Record</v>
      </c>
      <c r="AX3" s="3" t="s">
        <v>52869</v>
      </c>
      <c r="AY3" s="3" t="s">
        <v>52870</v>
      </c>
      <c r="AZ3" s="3" t="s">
        <v>52871</v>
      </c>
      <c r="BA3" s="3" t="s">
        <v>52871</v>
      </c>
      <c r="BB3" s="3" t="s">
        <v>52872</v>
      </c>
      <c r="BC3" s="3" t="s">
        <v>52726</v>
      </c>
      <c r="BD3" s="3" t="s">
        <v>78</v>
      </c>
      <c r="BF3" s="3" t="s">
        <v>52872</v>
      </c>
      <c r="BG3" s="3" t="s">
        <v>52873</v>
      </c>
      <c r="BH3">
        <f t="shared" si="0"/>
        <v>0</v>
      </c>
    </row>
    <row r="4" spans="1:60" ht="87" x14ac:dyDescent="0.35">
      <c r="A4" s="2" t="s">
        <v>59</v>
      </c>
      <c r="B4" s="2" t="s">
        <v>29786</v>
      </c>
      <c r="C4" s="2" t="s">
        <v>52874</v>
      </c>
      <c r="D4" s="2" t="s">
        <v>52875</v>
      </c>
      <c r="E4" s="2" t="s">
        <v>52876</v>
      </c>
      <c r="G4" s="3" t="s">
        <v>64</v>
      </c>
      <c r="I4" s="3" t="s">
        <v>64</v>
      </c>
      <c r="J4" s="3" t="s">
        <v>64</v>
      </c>
      <c r="K4" s="3" t="s">
        <v>65</v>
      </c>
      <c r="M4" s="2" t="s">
        <v>52877</v>
      </c>
      <c r="N4" s="3" t="s">
        <v>1075</v>
      </c>
      <c r="P4" s="3" t="s">
        <v>102</v>
      </c>
      <c r="R4" s="3" t="s">
        <v>70</v>
      </c>
      <c r="S4" s="4">
        <v>5</v>
      </c>
      <c r="T4" s="4">
        <v>5</v>
      </c>
      <c r="U4" s="5" t="s">
        <v>52878</v>
      </c>
      <c r="V4" s="5" t="s">
        <v>52878</v>
      </c>
      <c r="W4" s="5" t="s">
        <v>72</v>
      </c>
      <c r="X4" s="5" t="s">
        <v>72</v>
      </c>
      <c r="Y4" s="4">
        <v>183</v>
      </c>
      <c r="Z4" s="4">
        <v>3</v>
      </c>
      <c r="AA4" s="4">
        <v>4</v>
      </c>
      <c r="AB4" s="4">
        <v>1</v>
      </c>
      <c r="AC4" s="4">
        <v>1</v>
      </c>
      <c r="AD4" s="4">
        <v>12</v>
      </c>
      <c r="AE4" s="4">
        <v>12</v>
      </c>
      <c r="AF4" s="4">
        <v>0</v>
      </c>
      <c r="AG4" s="4">
        <v>0</v>
      </c>
      <c r="AH4" s="4">
        <v>12</v>
      </c>
      <c r="AI4" s="4">
        <v>12</v>
      </c>
      <c r="AJ4" s="4">
        <v>0</v>
      </c>
      <c r="AK4" s="4">
        <v>0</v>
      </c>
      <c r="AL4" s="4">
        <v>4</v>
      </c>
      <c r="AM4" s="4">
        <v>4</v>
      </c>
      <c r="AN4" s="4">
        <v>0</v>
      </c>
      <c r="AO4" s="4">
        <v>0</v>
      </c>
      <c r="AP4" s="4">
        <v>0</v>
      </c>
      <c r="AQ4" s="4">
        <v>0</v>
      </c>
      <c r="AR4" s="3" t="s">
        <v>64</v>
      </c>
      <c r="AS4" s="3" t="s">
        <v>64</v>
      </c>
      <c r="AT4" s="3" t="s">
        <v>64</v>
      </c>
      <c r="AV4" s="6" t="str">
        <f>HYPERLINK("http://mcgill.on.worldcat.org/oclc/839697520","Catalog Record")</f>
        <v>Catalog Record</v>
      </c>
      <c r="AW4" s="6" t="str">
        <f>HYPERLINK("http://www.worldcat.org/oclc/839697520","WorldCat Record")</f>
        <v>WorldCat Record</v>
      </c>
      <c r="AX4" s="3" t="s">
        <v>52879</v>
      </c>
      <c r="AY4" s="3" t="s">
        <v>52880</v>
      </c>
      <c r="AZ4" s="3" t="s">
        <v>52881</v>
      </c>
      <c r="BA4" s="3" t="s">
        <v>52881</v>
      </c>
      <c r="BB4" s="3" t="s">
        <v>52882</v>
      </c>
      <c r="BC4" s="3" t="s">
        <v>52726</v>
      </c>
      <c r="BD4" s="3" t="s">
        <v>78</v>
      </c>
      <c r="BF4" s="3" t="s">
        <v>52882</v>
      </c>
      <c r="BG4" s="3" t="s">
        <v>52883</v>
      </c>
      <c r="BH4">
        <f t="shared" si="0"/>
        <v>0</v>
      </c>
    </row>
    <row r="5" spans="1:60" ht="87" x14ac:dyDescent="0.35">
      <c r="A5" s="2" t="s">
        <v>59</v>
      </c>
      <c r="B5" s="2" t="s">
        <v>29786</v>
      </c>
      <c r="C5" s="2" t="s">
        <v>52718</v>
      </c>
      <c r="D5" s="2" t="s">
        <v>52719</v>
      </c>
      <c r="E5" s="2" t="s">
        <v>52720</v>
      </c>
      <c r="G5" s="3" t="s">
        <v>64</v>
      </c>
      <c r="I5" s="3" t="s">
        <v>64</v>
      </c>
      <c r="J5" s="3" t="s">
        <v>64</v>
      </c>
      <c r="K5" s="3" t="s">
        <v>65</v>
      </c>
      <c r="M5" s="2" t="s">
        <v>52721</v>
      </c>
      <c r="N5" s="3" t="s">
        <v>144</v>
      </c>
      <c r="P5" s="3" t="s">
        <v>102</v>
      </c>
      <c r="R5" s="3" t="s">
        <v>70</v>
      </c>
      <c r="S5" s="4">
        <v>5</v>
      </c>
      <c r="T5" s="4">
        <v>5</v>
      </c>
      <c r="U5" s="5" t="s">
        <v>3865</v>
      </c>
      <c r="V5" s="5" t="s">
        <v>3865</v>
      </c>
      <c r="W5" s="5" t="s">
        <v>72</v>
      </c>
      <c r="X5" s="5" t="s">
        <v>72</v>
      </c>
      <c r="Y5" s="4">
        <v>28</v>
      </c>
      <c r="Z5" s="4">
        <v>2</v>
      </c>
      <c r="AA5" s="4">
        <v>7</v>
      </c>
      <c r="AB5" s="4">
        <v>1</v>
      </c>
      <c r="AC5" s="4">
        <v>1</v>
      </c>
      <c r="AD5" s="4">
        <v>13</v>
      </c>
      <c r="AE5" s="4">
        <v>34</v>
      </c>
      <c r="AF5" s="4">
        <v>0</v>
      </c>
      <c r="AG5" s="4">
        <v>0</v>
      </c>
      <c r="AH5" s="4">
        <v>12</v>
      </c>
      <c r="AI5" s="4">
        <v>30</v>
      </c>
      <c r="AJ5" s="4">
        <v>1</v>
      </c>
      <c r="AK5" s="4">
        <v>3</v>
      </c>
      <c r="AL5" s="4">
        <v>8</v>
      </c>
      <c r="AM5" s="4">
        <v>23</v>
      </c>
      <c r="AN5" s="4">
        <v>0</v>
      </c>
      <c r="AO5" s="4">
        <v>0</v>
      </c>
      <c r="AP5" s="4">
        <v>1</v>
      </c>
      <c r="AQ5" s="4">
        <v>4</v>
      </c>
      <c r="AR5" s="3" t="s">
        <v>64</v>
      </c>
      <c r="AS5" s="3" t="s">
        <v>64</v>
      </c>
      <c r="AT5" s="3" t="s">
        <v>64</v>
      </c>
      <c r="AV5" s="6" t="str">
        <f>HYPERLINK("http://mcgill.on.worldcat.org/oclc/232114044","Catalog Record")</f>
        <v>Catalog Record</v>
      </c>
      <c r="AW5" s="6" t="str">
        <f>HYPERLINK("http://www.worldcat.org/oclc/232114044","WorldCat Record")</f>
        <v>WorldCat Record</v>
      </c>
      <c r="AX5" s="3" t="s">
        <v>52722</v>
      </c>
      <c r="AY5" s="3" t="s">
        <v>52723</v>
      </c>
      <c r="AZ5" s="3" t="s">
        <v>52724</v>
      </c>
      <c r="BA5" s="3" t="s">
        <v>52724</v>
      </c>
      <c r="BB5" s="3" t="s">
        <v>52725</v>
      </c>
      <c r="BC5" s="3" t="s">
        <v>52726</v>
      </c>
      <c r="BD5" s="3" t="s">
        <v>78</v>
      </c>
      <c r="BF5" s="3" t="s">
        <v>52725</v>
      </c>
      <c r="BG5" s="3" t="s">
        <v>52727</v>
      </c>
      <c r="BH5">
        <f t="shared" si="0"/>
        <v>0</v>
      </c>
    </row>
    <row r="6" spans="1:60" ht="101.5" x14ac:dyDescent="0.35">
      <c r="A6" s="2" t="s">
        <v>59</v>
      </c>
      <c r="B6" s="2" t="s">
        <v>29786</v>
      </c>
      <c r="C6" s="2" t="s">
        <v>52728</v>
      </c>
      <c r="D6" s="2" t="s">
        <v>52729</v>
      </c>
      <c r="E6" s="2" t="s">
        <v>52730</v>
      </c>
      <c r="G6" s="3" t="s">
        <v>64</v>
      </c>
      <c r="I6" s="3" t="s">
        <v>64</v>
      </c>
      <c r="J6" s="3" t="s">
        <v>64</v>
      </c>
      <c r="K6" s="3" t="s">
        <v>65</v>
      </c>
      <c r="M6" s="2" t="s">
        <v>52731</v>
      </c>
      <c r="N6" s="3" t="s">
        <v>578</v>
      </c>
      <c r="P6" s="3" t="s">
        <v>102</v>
      </c>
      <c r="R6" s="3" t="s">
        <v>70</v>
      </c>
      <c r="S6" s="4">
        <v>12</v>
      </c>
      <c r="T6" s="4">
        <v>12</v>
      </c>
      <c r="U6" s="5" t="s">
        <v>3651</v>
      </c>
      <c r="V6" s="5" t="s">
        <v>3651</v>
      </c>
      <c r="W6" s="5" t="s">
        <v>72</v>
      </c>
      <c r="X6" s="5" t="s">
        <v>72</v>
      </c>
      <c r="Y6" s="4">
        <v>145</v>
      </c>
      <c r="Z6" s="4">
        <v>3</v>
      </c>
      <c r="AA6" s="4">
        <v>5</v>
      </c>
      <c r="AB6" s="4">
        <v>1</v>
      </c>
      <c r="AC6" s="4">
        <v>1</v>
      </c>
      <c r="AD6" s="4">
        <v>22</v>
      </c>
      <c r="AE6" s="4">
        <v>23</v>
      </c>
      <c r="AF6" s="4">
        <v>0</v>
      </c>
      <c r="AG6" s="4">
        <v>0</v>
      </c>
      <c r="AH6" s="4">
        <v>20</v>
      </c>
      <c r="AI6" s="4">
        <v>21</v>
      </c>
      <c r="AJ6" s="4">
        <v>1</v>
      </c>
      <c r="AK6" s="4">
        <v>2</v>
      </c>
      <c r="AL6" s="4">
        <v>13</v>
      </c>
      <c r="AM6" s="4">
        <v>13</v>
      </c>
      <c r="AN6" s="4">
        <v>0</v>
      </c>
      <c r="AO6" s="4">
        <v>0</v>
      </c>
      <c r="AP6" s="4">
        <v>1</v>
      </c>
      <c r="AQ6" s="4">
        <v>2</v>
      </c>
      <c r="AR6" s="3" t="s">
        <v>64</v>
      </c>
      <c r="AS6" s="3" t="s">
        <v>64</v>
      </c>
      <c r="AT6" s="3" t="s">
        <v>64</v>
      </c>
      <c r="AV6" s="6" t="str">
        <f>HYPERLINK("http://mcgill.on.worldcat.org/oclc/1029561715","Catalog Record")</f>
        <v>Catalog Record</v>
      </c>
      <c r="AW6" s="6" t="str">
        <f>HYPERLINK("http://www.worldcat.org/oclc/1029561715","WorldCat Record")</f>
        <v>WorldCat Record</v>
      </c>
      <c r="AX6" s="3" t="s">
        <v>52732</v>
      </c>
      <c r="AY6" s="3" t="s">
        <v>52733</v>
      </c>
      <c r="AZ6" s="3" t="s">
        <v>52734</v>
      </c>
      <c r="BA6" s="3" t="s">
        <v>52734</v>
      </c>
      <c r="BB6" s="3" t="s">
        <v>52735</v>
      </c>
      <c r="BC6" s="3" t="s">
        <v>52726</v>
      </c>
      <c r="BD6" s="3" t="s">
        <v>165</v>
      </c>
      <c r="BE6" s="3" t="s">
        <v>52736</v>
      </c>
      <c r="BF6" s="3" t="s">
        <v>52735</v>
      </c>
      <c r="BG6" s="3" t="s">
        <v>52737</v>
      </c>
      <c r="BH6">
        <f t="shared" si="0"/>
        <v>0</v>
      </c>
    </row>
    <row r="7" spans="1:60" ht="145" x14ac:dyDescent="0.35">
      <c r="A7" s="2" t="s">
        <v>6202</v>
      </c>
      <c r="B7" s="2" t="s">
        <v>6203</v>
      </c>
      <c r="C7" s="2" t="s">
        <v>52738</v>
      </c>
      <c r="D7" s="2" t="s">
        <v>52739</v>
      </c>
      <c r="E7" s="2" t="s">
        <v>52740</v>
      </c>
      <c r="F7" s="3" t="s">
        <v>525</v>
      </c>
      <c r="G7" s="3" t="s">
        <v>128</v>
      </c>
      <c r="I7" s="3" t="s">
        <v>64</v>
      </c>
      <c r="J7" s="3" t="s">
        <v>64</v>
      </c>
      <c r="K7" s="3" t="s">
        <v>65</v>
      </c>
      <c r="M7" s="2" t="s">
        <v>52741</v>
      </c>
      <c r="N7" s="3" t="s">
        <v>537</v>
      </c>
      <c r="P7" s="3" t="s">
        <v>102</v>
      </c>
      <c r="R7" s="3" t="s">
        <v>70</v>
      </c>
      <c r="S7" s="4">
        <v>0</v>
      </c>
      <c r="T7" s="4">
        <v>0</v>
      </c>
      <c r="W7" s="5" t="s">
        <v>72</v>
      </c>
      <c r="X7" s="5" t="s">
        <v>72</v>
      </c>
      <c r="Y7" s="4">
        <v>23</v>
      </c>
      <c r="Z7" s="4">
        <v>2</v>
      </c>
      <c r="AA7" s="4">
        <v>69</v>
      </c>
      <c r="AB7" s="4">
        <v>1</v>
      </c>
      <c r="AC7" s="4">
        <v>14</v>
      </c>
      <c r="AD7" s="4">
        <v>13</v>
      </c>
      <c r="AE7" s="4">
        <v>80</v>
      </c>
      <c r="AF7" s="4">
        <v>0</v>
      </c>
      <c r="AG7" s="4">
        <v>8</v>
      </c>
      <c r="AH7" s="4">
        <v>13</v>
      </c>
      <c r="AI7" s="4">
        <v>51</v>
      </c>
      <c r="AJ7" s="4">
        <v>1</v>
      </c>
      <c r="AK7" s="4">
        <v>15</v>
      </c>
      <c r="AL7" s="4">
        <v>7</v>
      </c>
      <c r="AM7" s="4">
        <v>26</v>
      </c>
      <c r="AN7" s="4">
        <v>0</v>
      </c>
      <c r="AO7" s="4">
        <v>0</v>
      </c>
      <c r="AP7" s="4">
        <v>1</v>
      </c>
      <c r="AQ7" s="4">
        <v>34</v>
      </c>
      <c r="AR7" s="3" t="s">
        <v>64</v>
      </c>
      <c r="AS7" s="3" t="s">
        <v>64</v>
      </c>
      <c r="AT7" s="3" t="s">
        <v>64</v>
      </c>
      <c r="AV7" s="6" t="str">
        <f>HYPERLINK("http://mcgill.on.worldcat.org/oclc/933883502","Catalog Record")</f>
        <v>Catalog Record</v>
      </c>
      <c r="AW7" s="6" t="str">
        <f>HYPERLINK("http://www.worldcat.org/oclc/933883502","WorldCat Record")</f>
        <v>WorldCat Record</v>
      </c>
      <c r="AX7" s="3" t="s">
        <v>52742</v>
      </c>
      <c r="AY7" s="3" t="s">
        <v>52743</v>
      </c>
      <c r="AZ7" s="3" t="s">
        <v>52744</v>
      </c>
      <c r="BA7" s="3" t="s">
        <v>52744</v>
      </c>
      <c r="BB7" s="3" t="s">
        <v>52745</v>
      </c>
      <c r="BC7" s="3" t="s">
        <v>77</v>
      </c>
      <c r="BD7" s="3" t="s">
        <v>78</v>
      </c>
      <c r="BE7" s="3" t="s">
        <v>52746</v>
      </c>
      <c r="BF7" s="3" t="s">
        <v>52745</v>
      </c>
      <c r="BG7" s="3" t="s">
        <v>52747</v>
      </c>
      <c r="BH7">
        <f t="shared" si="0"/>
        <v>0</v>
      </c>
    </row>
    <row r="8" spans="1:60" ht="145" x14ac:dyDescent="0.35">
      <c r="A8" s="2" t="s">
        <v>6202</v>
      </c>
      <c r="B8" s="2" t="s">
        <v>6203</v>
      </c>
      <c r="C8" s="2" t="s">
        <v>52738</v>
      </c>
      <c r="D8" s="2" t="s">
        <v>52739</v>
      </c>
      <c r="E8" s="2" t="s">
        <v>52740</v>
      </c>
      <c r="F8" s="3" t="s">
        <v>529</v>
      </c>
      <c r="G8" s="3" t="s">
        <v>128</v>
      </c>
      <c r="I8" s="3" t="s">
        <v>64</v>
      </c>
      <c r="J8" s="3" t="s">
        <v>64</v>
      </c>
      <c r="K8" s="3" t="s">
        <v>65</v>
      </c>
      <c r="M8" s="2" t="s">
        <v>52741</v>
      </c>
      <c r="N8" s="3" t="s">
        <v>537</v>
      </c>
      <c r="P8" s="3" t="s">
        <v>102</v>
      </c>
      <c r="R8" s="3" t="s">
        <v>70</v>
      </c>
      <c r="S8" s="4">
        <v>0</v>
      </c>
      <c r="T8" s="4">
        <v>0</v>
      </c>
      <c r="W8" s="5" t="s">
        <v>72</v>
      </c>
      <c r="X8" s="5" t="s">
        <v>72</v>
      </c>
      <c r="Y8" s="4">
        <v>23</v>
      </c>
      <c r="Z8" s="4">
        <v>2</v>
      </c>
      <c r="AA8" s="4">
        <v>69</v>
      </c>
      <c r="AB8" s="4">
        <v>1</v>
      </c>
      <c r="AC8" s="4">
        <v>14</v>
      </c>
      <c r="AD8" s="4">
        <v>13</v>
      </c>
      <c r="AE8" s="4">
        <v>80</v>
      </c>
      <c r="AF8" s="4">
        <v>0</v>
      </c>
      <c r="AG8" s="4">
        <v>8</v>
      </c>
      <c r="AH8" s="4">
        <v>13</v>
      </c>
      <c r="AI8" s="4">
        <v>51</v>
      </c>
      <c r="AJ8" s="4">
        <v>1</v>
      </c>
      <c r="AK8" s="4">
        <v>15</v>
      </c>
      <c r="AL8" s="4">
        <v>7</v>
      </c>
      <c r="AM8" s="4">
        <v>26</v>
      </c>
      <c r="AN8" s="4">
        <v>0</v>
      </c>
      <c r="AO8" s="4">
        <v>0</v>
      </c>
      <c r="AP8" s="4">
        <v>1</v>
      </c>
      <c r="AQ8" s="4">
        <v>34</v>
      </c>
      <c r="AR8" s="3" t="s">
        <v>64</v>
      </c>
      <c r="AS8" s="3" t="s">
        <v>64</v>
      </c>
      <c r="AT8" s="3" t="s">
        <v>64</v>
      </c>
      <c r="AV8" s="6" t="str">
        <f>HYPERLINK("http://mcgill.on.worldcat.org/oclc/933883502","Catalog Record")</f>
        <v>Catalog Record</v>
      </c>
      <c r="AW8" s="6" t="str">
        <f>HYPERLINK("http://www.worldcat.org/oclc/933883502","WorldCat Record")</f>
        <v>WorldCat Record</v>
      </c>
      <c r="AX8" s="3" t="s">
        <v>52742</v>
      </c>
      <c r="AY8" s="3" t="s">
        <v>52743</v>
      </c>
      <c r="AZ8" s="3" t="s">
        <v>52744</v>
      </c>
      <c r="BA8" s="3" t="s">
        <v>52744</v>
      </c>
      <c r="BB8" s="3" t="s">
        <v>52748</v>
      </c>
      <c r="BC8" s="3" t="s">
        <v>77</v>
      </c>
      <c r="BD8" s="3" t="s">
        <v>78</v>
      </c>
      <c r="BE8" s="3" t="s">
        <v>52746</v>
      </c>
      <c r="BF8" s="3" t="s">
        <v>52748</v>
      </c>
      <c r="BG8" s="3" t="s">
        <v>52749</v>
      </c>
      <c r="BH8">
        <f t="shared" si="0"/>
        <v>0</v>
      </c>
    </row>
    <row r="9" spans="1:60" ht="72.5" x14ac:dyDescent="0.35">
      <c r="A9" s="2" t="s">
        <v>6202</v>
      </c>
      <c r="B9" s="2" t="s">
        <v>6203</v>
      </c>
      <c r="C9" s="2" t="s">
        <v>52750</v>
      </c>
      <c r="D9" s="2" t="s">
        <v>52751</v>
      </c>
      <c r="E9" s="2" t="s">
        <v>52752</v>
      </c>
      <c r="F9" s="3" t="s">
        <v>52753</v>
      </c>
      <c r="G9" s="3" t="s">
        <v>128</v>
      </c>
      <c r="I9" s="3" t="s">
        <v>64</v>
      </c>
      <c r="J9" s="3" t="s">
        <v>64</v>
      </c>
      <c r="K9" s="3" t="s">
        <v>65</v>
      </c>
      <c r="L9" s="2" t="s">
        <v>41246</v>
      </c>
      <c r="M9" s="2" t="s">
        <v>52754</v>
      </c>
      <c r="N9" s="3" t="s">
        <v>1004</v>
      </c>
      <c r="P9" s="3" t="s">
        <v>68</v>
      </c>
      <c r="Q9" s="2" t="s">
        <v>52755</v>
      </c>
      <c r="R9" s="3" t="s">
        <v>70</v>
      </c>
      <c r="S9" s="4">
        <v>1</v>
      </c>
      <c r="T9" s="4">
        <v>4</v>
      </c>
      <c r="U9" s="5" t="s">
        <v>27601</v>
      </c>
      <c r="V9" s="5" t="s">
        <v>27601</v>
      </c>
      <c r="W9" s="5" t="s">
        <v>72</v>
      </c>
      <c r="X9" s="5" t="s">
        <v>72</v>
      </c>
      <c r="Y9" s="4">
        <v>220</v>
      </c>
      <c r="Z9" s="4">
        <v>24</v>
      </c>
      <c r="AA9" s="4">
        <v>33</v>
      </c>
      <c r="AB9" s="4">
        <v>1</v>
      </c>
      <c r="AC9" s="4">
        <v>7</v>
      </c>
      <c r="AD9" s="4">
        <v>101</v>
      </c>
      <c r="AE9" s="4">
        <v>107</v>
      </c>
      <c r="AF9" s="4">
        <v>0</v>
      </c>
      <c r="AG9" s="4">
        <v>4</v>
      </c>
      <c r="AH9" s="4">
        <v>89</v>
      </c>
      <c r="AI9" s="4">
        <v>91</v>
      </c>
      <c r="AJ9" s="4">
        <v>19</v>
      </c>
      <c r="AK9" s="4">
        <v>25</v>
      </c>
      <c r="AL9" s="4">
        <v>51</v>
      </c>
      <c r="AM9" s="4">
        <v>51</v>
      </c>
      <c r="AN9" s="4">
        <v>0</v>
      </c>
      <c r="AO9" s="4">
        <v>0</v>
      </c>
      <c r="AP9" s="4">
        <v>20</v>
      </c>
      <c r="AQ9" s="4">
        <v>25</v>
      </c>
      <c r="AR9" s="3" t="s">
        <v>64</v>
      </c>
      <c r="AS9" s="3" t="s">
        <v>64</v>
      </c>
      <c r="AT9" s="3" t="s">
        <v>128</v>
      </c>
      <c r="AU9" s="6" t="str">
        <f t="shared" ref="AU9:AU40" si="1">HYPERLINK("http://catalog.hathitrust.org/Record/000208828","HathiTrust Record")</f>
        <v>HathiTrust Record</v>
      </c>
      <c r="AV9" s="6" t="str">
        <f t="shared" ref="AV9:AV40" si="2">HYPERLINK("http://mcgill.on.worldcat.org/oclc/11112895","Catalog Record")</f>
        <v>Catalog Record</v>
      </c>
      <c r="AW9" s="6" t="str">
        <f t="shared" ref="AW9:AW40" si="3">HYPERLINK("http://www.worldcat.org/oclc/11112895","WorldCat Record")</f>
        <v>WorldCat Record</v>
      </c>
      <c r="AX9" s="3" t="s">
        <v>52756</v>
      </c>
      <c r="AY9" s="3" t="s">
        <v>52757</v>
      </c>
      <c r="AZ9" s="3" t="s">
        <v>52758</v>
      </c>
      <c r="BA9" s="3" t="s">
        <v>52758</v>
      </c>
      <c r="BB9" s="3" t="s">
        <v>52759</v>
      </c>
      <c r="BC9" s="3" t="s">
        <v>77</v>
      </c>
      <c r="BD9" s="3" t="s">
        <v>78</v>
      </c>
      <c r="BE9" s="3" t="s">
        <v>52760</v>
      </c>
      <c r="BF9" s="3" t="s">
        <v>52759</v>
      </c>
      <c r="BG9" s="3" t="s">
        <v>52761</v>
      </c>
      <c r="BH9">
        <f t="shared" si="0"/>
        <v>0</v>
      </c>
    </row>
    <row r="10" spans="1:60" ht="72.5" x14ac:dyDescent="0.35">
      <c r="A10" s="2" t="s">
        <v>6202</v>
      </c>
      <c r="B10" s="2" t="s">
        <v>6203</v>
      </c>
      <c r="C10" s="2" t="s">
        <v>52750</v>
      </c>
      <c r="D10" s="2" t="s">
        <v>52751</v>
      </c>
      <c r="E10" s="2" t="s">
        <v>52752</v>
      </c>
      <c r="F10" s="3" t="s">
        <v>52762</v>
      </c>
      <c r="G10" s="3" t="s">
        <v>128</v>
      </c>
      <c r="I10" s="3" t="s">
        <v>64</v>
      </c>
      <c r="J10" s="3" t="s">
        <v>64</v>
      </c>
      <c r="K10" s="3" t="s">
        <v>65</v>
      </c>
      <c r="L10" s="2" t="s">
        <v>41246</v>
      </c>
      <c r="M10" s="2" t="s">
        <v>52754</v>
      </c>
      <c r="N10" s="3" t="s">
        <v>1004</v>
      </c>
      <c r="P10" s="3" t="s">
        <v>68</v>
      </c>
      <c r="Q10" s="2" t="s">
        <v>52755</v>
      </c>
      <c r="R10" s="3" t="s">
        <v>70</v>
      </c>
      <c r="S10" s="4">
        <v>0</v>
      </c>
      <c r="T10" s="4">
        <v>4</v>
      </c>
      <c r="V10" s="5" t="s">
        <v>27601</v>
      </c>
      <c r="W10" s="5" t="s">
        <v>72</v>
      </c>
      <c r="X10" s="5" t="s">
        <v>72</v>
      </c>
      <c r="Y10" s="4">
        <v>220</v>
      </c>
      <c r="Z10" s="4">
        <v>24</v>
      </c>
      <c r="AA10" s="4">
        <v>33</v>
      </c>
      <c r="AB10" s="4">
        <v>1</v>
      </c>
      <c r="AC10" s="4">
        <v>7</v>
      </c>
      <c r="AD10" s="4">
        <v>101</v>
      </c>
      <c r="AE10" s="4">
        <v>107</v>
      </c>
      <c r="AF10" s="4">
        <v>0</v>
      </c>
      <c r="AG10" s="4">
        <v>4</v>
      </c>
      <c r="AH10" s="4">
        <v>89</v>
      </c>
      <c r="AI10" s="4">
        <v>91</v>
      </c>
      <c r="AJ10" s="4">
        <v>19</v>
      </c>
      <c r="AK10" s="4">
        <v>25</v>
      </c>
      <c r="AL10" s="4">
        <v>51</v>
      </c>
      <c r="AM10" s="4">
        <v>51</v>
      </c>
      <c r="AN10" s="4">
        <v>0</v>
      </c>
      <c r="AO10" s="4">
        <v>0</v>
      </c>
      <c r="AP10" s="4">
        <v>20</v>
      </c>
      <c r="AQ10" s="4">
        <v>25</v>
      </c>
      <c r="AR10" s="3" t="s">
        <v>64</v>
      </c>
      <c r="AS10" s="3" t="s">
        <v>64</v>
      </c>
      <c r="AT10" s="3" t="s">
        <v>128</v>
      </c>
      <c r="AU10" s="6" t="str">
        <f t="shared" si="1"/>
        <v>HathiTrust Record</v>
      </c>
      <c r="AV10" s="6" t="str">
        <f t="shared" si="2"/>
        <v>Catalog Record</v>
      </c>
      <c r="AW10" s="6" t="str">
        <f t="shared" si="3"/>
        <v>WorldCat Record</v>
      </c>
      <c r="AX10" s="3" t="s">
        <v>52756</v>
      </c>
      <c r="AY10" s="3" t="s">
        <v>52757</v>
      </c>
      <c r="AZ10" s="3" t="s">
        <v>52758</v>
      </c>
      <c r="BA10" s="3" t="s">
        <v>52758</v>
      </c>
      <c r="BB10" s="3" t="s">
        <v>52763</v>
      </c>
      <c r="BC10" s="3" t="s">
        <v>77</v>
      </c>
      <c r="BD10" s="3" t="s">
        <v>78</v>
      </c>
      <c r="BE10" s="3" t="s">
        <v>52760</v>
      </c>
      <c r="BF10" s="3" t="s">
        <v>52763</v>
      </c>
      <c r="BG10" s="3" t="s">
        <v>52764</v>
      </c>
      <c r="BH10">
        <f t="shared" si="0"/>
        <v>0</v>
      </c>
    </row>
    <row r="11" spans="1:60" ht="72.5" x14ac:dyDescent="0.35">
      <c r="A11" s="2" t="s">
        <v>6202</v>
      </c>
      <c r="B11" s="2" t="s">
        <v>6203</v>
      </c>
      <c r="C11" s="2" t="s">
        <v>52750</v>
      </c>
      <c r="D11" s="2" t="s">
        <v>52751</v>
      </c>
      <c r="E11" s="2" t="s">
        <v>52752</v>
      </c>
      <c r="F11" s="3" t="s">
        <v>52765</v>
      </c>
      <c r="G11" s="3" t="s">
        <v>128</v>
      </c>
      <c r="I11" s="3" t="s">
        <v>64</v>
      </c>
      <c r="J11" s="3" t="s">
        <v>64</v>
      </c>
      <c r="K11" s="3" t="s">
        <v>65</v>
      </c>
      <c r="L11" s="2" t="s">
        <v>41246</v>
      </c>
      <c r="M11" s="2" t="s">
        <v>52754</v>
      </c>
      <c r="N11" s="3" t="s">
        <v>1004</v>
      </c>
      <c r="P11" s="3" t="s">
        <v>68</v>
      </c>
      <c r="Q11" s="2" t="s">
        <v>52755</v>
      </c>
      <c r="R11" s="3" t="s">
        <v>70</v>
      </c>
      <c r="S11" s="4">
        <v>0</v>
      </c>
      <c r="T11" s="4">
        <v>4</v>
      </c>
      <c r="V11" s="5" t="s">
        <v>27601</v>
      </c>
      <c r="W11" s="5" t="s">
        <v>72</v>
      </c>
      <c r="X11" s="5" t="s">
        <v>72</v>
      </c>
      <c r="Y11" s="4">
        <v>220</v>
      </c>
      <c r="Z11" s="4">
        <v>24</v>
      </c>
      <c r="AA11" s="4">
        <v>33</v>
      </c>
      <c r="AB11" s="4">
        <v>1</v>
      </c>
      <c r="AC11" s="4">
        <v>7</v>
      </c>
      <c r="AD11" s="4">
        <v>101</v>
      </c>
      <c r="AE11" s="4">
        <v>107</v>
      </c>
      <c r="AF11" s="4">
        <v>0</v>
      </c>
      <c r="AG11" s="4">
        <v>4</v>
      </c>
      <c r="AH11" s="4">
        <v>89</v>
      </c>
      <c r="AI11" s="4">
        <v>91</v>
      </c>
      <c r="AJ11" s="4">
        <v>19</v>
      </c>
      <c r="AK11" s="4">
        <v>25</v>
      </c>
      <c r="AL11" s="4">
        <v>51</v>
      </c>
      <c r="AM11" s="4">
        <v>51</v>
      </c>
      <c r="AN11" s="4">
        <v>0</v>
      </c>
      <c r="AO11" s="4">
        <v>0</v>
      </c>
      <c r="AP11" s="4">
        <v>20</v>
      </c>
      <c r="AQ11" s="4">
        <v>25</v>
      </c>
      <c r="AR11" s="3" t="s">
        <v>64</v>
      </c>
      <c r="AS11" s="3" t="s">
        <v>64</v>
      </c>
      <c r="AT11" s="3" t="s">
        <v>128</v>
      </c>
      <c r="AU11" s="6" t="str">
        <f t="shared" si="1"/>
        <v>HathiTrust Record</v>
      </c>
      <c r="AV11" s="6" t="str">
        <f t="shared" si="2"/>
        <v>Catalog Record</v>
      </c>
      <c r="AW11" s="6" t="str">
        <f t="shared" si="3"/>
        <v>WorldCat Record</v>
      </c>
      <c r="AX11" s="3" t="s">
        <v>52756</v>
      </c>
      <c r="AY11" s="3" t="s">
        <v>52757</v>
      </c>
      <c r="AZ11" s="3" t="s">
        <v>52758</v>
      </c>
      <c r="BA11" s="3" t="s">
        <v>52758</v>
      </c>
      <c r="BB11" s="3" t="s">
        <v>52766</v>
      </c>
      <c r="BC11" s="3" t="s">
        <v>77</v>
      </c>
      <c r="BD11" s="3" t="s">
        <v>78</v>
      </c>
      <c r="BE11" s="3" t="s">
        <v>52760</v>
      </c>
      <c r="BF11" s="3" t="s">
        <v>52766</v>
      </c>
      <c r="BG11" s="3" t="s">
        <v>52767</v>
      </c>
      <c r="BH11">
        <f t="shared" si="0"/>
        <v>0</v>
      </c>
    </row>
    <row r="12" spans="1:60" ht="72.5" x14ac:dyDescent="0.35">
      <c r="A12" s="2" t="s">
        <v>6202</v>
      </c>
      <c r="B12" s="2" t="s">
        <v>6203</v>
      </c>
      <c r="C12" s="2" t="s">
        <v>52750</v>
      </c>
      <c r="D12" s="2" t="s">
        <v>52751</v>
      </c>
      <c r="E12" s="2" t="s">
        <v>52752</v>
      </c>
      <c r="F12" s="3" t="s">
        <v>52768</v>
      </c>
      <c r="G12" s="3" t="s">
        <v>128</v>
      </c>
      <c r="I12" s="3" t="s">
        <v>64</v>
      </c>
      <c r="J12" s="3" t="s">
        <v>64</v>
      </c>
      <c r="K12" s="3" t="s">
        <v>65</v>
      </c>
      <c r="L12" s="2" t="s">
        <v>41246</v>
      </c>
      <c r="M12" s="2" t="s">
        <v>52754</v>
      </c>
      <c r="N12" s="3" t="s">
        <v>1004</v>
      </c>
      <c r="P12" s="3" t="s">
        <v>68</v>
      </c>
      <c r="Q12" s="2" t="s">
        <v>52755</v>
      </c>
      <c r="R12" s="3" t="s">
        <v>70</v>
      </c>
      <c r="S12" s="4">
        <v>0</v>
      </c>
      <c r="T12" s="4">
        <v>4</v>
      </c>
      <c r="V12" s="5" t="s">
        <v>27601</v>
      </c>
      <c r="W12" s="5" t="s">
        <v>72</v>
      </c>
      <c r="X12" s="5" t="s">
        <v>72</v>
      </c>
      <c r="Y12" s="4">
        <v>220</v>
      </c>
      <c r="Z12" s="4">
        <v>24</v>
      </c>
      <c r="AA12" s="4">
        <v>33</v>
      </c>
      <c r="AB12" s="4">
        <v>1</v>
      </c>
      <c r="AC12" s="4">
        <v>7</v>
      </c>
      <c r="AD12" s="4">
        <v>101</v>
      </c>
      <c r="AE12" s="4">
        <v>107</v>
      </c>
      <c r="AF12" s="4">
        <v>0</v>
      </c>
      <c r="AG12" s="4">
        <v>4</v>
      </c>
      <c r="AH12" s="4">
        <v>89</v>
      </c>
      <c r="AI12" s="4">
        <v>91</v>
      </c>
      <c r="AJ12" s="4">
        <v>19</v>
      </c>
      <c r="AK12" s="4">
        <v>25</v>
      </c>
      <c r="AL12" s="4">
        <v>51</v>
      </c>
      <c r="AM12" s="4">
        <v>51</v>
      </c>
      <c r="AN12" s="4">
        <v>0</v>
      </c>
      <c r="AO12" s="4">
        <v>0</v>
      </c>
      <c r="AP12" s="4">
        <v>20</v>
      </c>
      <c r="AQ12" s="4">
        <v>25</v>
      </c>
      <c r="AR12" s="3" t="s">
        <v>64</v>
      </c>
      <c r="AS12" s="3" t="s">
        <v>64</v>
      </c>
      <c r="AT12" s="3" t="s">
        <v>128</v>
      </c>
      <c r="AU12" s="6" t="str">
        <f t="shared" si="1"/>
        <v>HathiTrust Record</v>
      </c>
      <c r="AV12" s="6" t="str">
        <f t="shared" si="2"/>
        <v>Catalog Record</v>
      </c>
      <c r="AW12" s="6" t="str">
        <f t="shared" si="3"/>
        <v>WorldCat Record</v>
      </c>
      <c r="AX12" s="3" t="s">
        <v>52756</v>
      </c>
      <c r="AY12" s="3" t="s">
        <v>52757</v>
      </c>
      <c r="AZ12" s="3" t="s">
        <v>52758</v>
      </c>
      <c r="BA12" s="3" t="s">
        <v>52758</v>
      </c>
      <c r="BB12" s="3" t="s">
        <v>52769</v>
      </c>
      <c r="BC12" s="3" t="s">
        <v>77</v>
      </c>
      <c r="BD12" s="3" t="s">
        <v>78</v>
      </c>
      <c r="BE12" s="3" t="s">
        <v>52760</v>
      </c>
      <c r="BF12" s="3" t="s">
        <v>52769</v>
      </c>
      <c r="BG12" s="3" t="s">
        <v>52770</v>
      </c>
      <c r="BH12">
        <f t="shared" si="0"/>
        <v>0</v>
      </c>
    </row>
    <row r="13" spans="1:60" ht="72.5" x14ac:dyDescent="0.35">
      <c r="A13" s="2" t="s">
        <v>6202</v>
      </c>
      <c r="B13" s="2" t="s">
        <v>6203</v>
      </c>
      <c r="C13" s="2" t="s">
        <v>52750</v>
      </c>
      <c r="D13" s="2" t="s">
        <v>52751</v>
      </c>
      <c r="E13" s="2" t="s">
        <v>52752</v>
      </c>
      <c r="F13" s="3" t="s">
        <v>52771</v>
      </c>
      <c r="G13" s="3" t="s">
        <v>128</v>
      </c>
      <c r="I13" s="3" t="s">
        <v>64</v>
      </c>
      <c r="J13" s="3" t="s">
        <v>64</v>
      </c>
      <c r="K13" s="3" t="s">
        <v>65</v>
      </c>
      <c r="L13" s="2" t="s">
        <v>41246</v>
      </c>
      <c r="M13" s="2" t="s">
        <v>52754</v>
      </c>
      <c r="N13" s="3" t="s">
        <v>1004</v>
      </c>
      <c r="P13" s="3" t="s">
        <v>68</v>
      </c>
      <c r="Q13" s="2" t="s">
        <v>52755</v>
      </c>
      <c r="R13" s="3" t="s">
        <v>70</v>
      </c>
      <c r="S13" s="4">
        <v>0</v>
      </c>
      <c r="T13" s="4">
        <v>4</v>
      </c>
      <c r="V13" s="5" t="s">
        <v>27601</v>
      </c>
      <c r="W13" s="5" t="s">
        <v>72</v>
      </c>
      <c r="X13" s="5" t="s">
        <v>72</v>
      </c>
      <c r="Y13" s="4">
        <v>220</v>
      </c>
      <c r="Z13" s="4">
        <v>24</v>
      </c>
      <c r="AA13" s="4">
        <v>33</v>
      </c>
      <c r="AB13" s="4">
        <v>1</v>
      </c>
      <c r="AC13" s="4">
        <v>7</v>
      </c>
      <c r="AD13" s="4">
        <v>101</v>
      </c>
      <c r="AE13" s="4">
        <v>107</v>
      </c>
      <c r="AF13" s="4">
        <v>0</v>
      </c>
      <c r="AG13" s="4">
        <v>4</v>
      </c>
      <c r="AH13" s="4">
        <v>89</v>
      </c>
      <c r="AI13" s="4">
        <v>91</v>
      </c>
      <c r="AJ13" s="4">
        <v>19</v>
      </c>
      <c r="AK13" s="4">
        <v>25</v>
      </c>
      <c r="AL13" s="4">
        <v>51</v>
      </c>
      <c r="AM13" s="4">
        <v>51</v>
      </c>
      <c r="AN13" s="4">
        <v>0</v>
      </c>
      <c r="AO13" s="4">
        <v>0</v>
      </c>
      <c r="AP13" s="4">
        <v>20</v>
      </c>
      <c r="AQ13" s="4">
        <v>25</v>
      </c>
      <c r="AR13" s="3" t="s">
        <v>64</v>
      </c>
      <c r="AS13" s="3" t="s">
        <v>64</v>
      </c>
      <c r="AT13" s="3" t="s">
        <v>128</v>
      </c>
      <c r="AU13" s="6" t="str">
        <f t="shared" si="1"/>
        <v>HathiTrust Record</v>
      </c>
      <c r="AV13" s="6" t="str">
        <f t="shared" si="2"/>
        <v>Catalog Record</v>
      </c>
      <c r="AW13" s="6" t="str">
        <f t="shared" si="3"/>
        <v>WorldCat Record</v>
      </c>
      <c r="AX13" s="3" t="s">
        <v>52756</v>
      </c>
      <c r="AY13" s="3" t="s">
        <v>52757</v>
      </c>
      <c r="AZ13" s="3" t="s">
        <v>52758</v>
      </c>
      <c r="BA13" s="3" t="s">
        <v>52758</v>
      </c>
      <c r="BB13" s="3" t="s">
        <v>52772</v>
      </c>
      <c r="BC13" s="3" t="s">
        <v>77</v>
      </c>
      <c r="BD13" s="3" t="s">
        <v>78</v>
      </c>
      <c r="BE13" s="3" t="s">
        <v>52760</v>
      </c>
      <c r="BF13" s="3" t="s">
        <v>52772</v>
      </c>
      <c r="BG13" s="3" t="s">
        <v>52773</v>
      </c>
      <c r="BH13">
        <f t="shared" si="0"/>
        <v>0</v>
      </c>
    </row>
    <row r="14" spans="1:60" ht="72.5" x14ac:dyDescent="0.35">
      <c r="A14" s="2" t="s">
        <v>6202</v>
      </c>
      <c r="B14" s="2" t="s">
        <v>6203</v>
      </c>
      <c r="C14" s="2" t="s">
        <v>52750</v>
      </c>
      <c r="D14" s="2" t="s">
        <v>52751</v>
      </c>
      <c r="E14" s="2" t="s">
        <v>52752</v>
      </c>
      <c r="F14" s="3" t="s">
        <v>52774</v>
      </c>
      <c r="G14" s="3" t="s">
        <v>128</v>
      </c>
      <c r="I14" s="3" t="s">
        <v>64</v>
      </c>
      <c r="J14" s="3" t="s">
        <v>64</v>
      </c>
      <c r="K14" s="3" t="s">
        <v>65</v>
      </c>
      <c r="L14" s="2" t="s">
        <v>41246</v>
      </c>
      <c r="M14" s="2" t="s">
        <v>52754</v>
      </c>
      <c r="N14" s="3" t="s">
        <v>1004</v>
      </c>
      <c r="P14" s="3" t="s">
        <v>68</v>
      </c>
      <c r="Q14" s="2" t="s">
        <v>52755</v>
      </c>
      <c r="R14" s="3" t="s">
        <v>70</v>
      </c>
      <c r="S14" s="4">
        <v>0</v>
      </c>
      <c r="T14" s="4">
        <v>4</v>
      </c>
      <c r="V14" s="5" t="s">
        <v>27601</v>
      </c>
      <c r="W14" s="5" t="s">
        <v>72</v>
      </c>
      <c r="X14" s="5" t="s">
        <v>72</v>
      </c>
      <c r="Y14" s="4">
        <v>220</v>
      </c>
      <c r="Z14" s="4">
        <v>24</v>
      </c>
      <c r="AA14" s="4">
        <v>33</v>
      </c>
      <c r="AB14" s="4">
        <v>1</v>
      </c>
      <c r="AC14" s="4">
        <v>7</v>
      </c>
      <c r="AD14" s="4">
        <v>101</v>
      </c>
      <c r="AE14" s="4">
        <v>107</v>
      </c>
      <c r="AF14" s="4">
        <v>0</v>
      </c>
      <c r="AG14" s="4">
        <v>4</v>
      </c>
      <c r="AH14" s="4">
        <v>89</v>
      </c>
      <c r="AI14" s="4">
        <v>91</v>
      </c>
      <c r="AJ14" s="4">
        <v>19</v>
      </c>
      <c r="AK14" s="4">
        <v>25</v>
      </c>
      <c r="AL14" s="4">
        <v>51</v>
      </c>
      <c r="AM14" s="4">
        <v>51</v>
      </c>
      <c r="AN14" s="4">
        <v>0</v>
      </c>
      <c r="AO14" s="4">
        <v>0</v>
      </c>
      <c r="AP14" s="4">
        <v>20</v>
      </c>
      <c r="AQ14" s="4">
        <v>25</v>
      </c>
      <c r="AR14" s="3" t="s">
        <v>64</v>
      </c>
      <c r="AS14" s="3" t="s">
        <v>64</v>
      </c>
      <c r="AT14" s="3" t="s">
        <v>128</v>
      </c>
      <c r="AU14" s="6" t="str">
        <f t="shared" si="1"/>
        <v>HathiTrust Record</v>
      </c>
      <c r="AV14" s="6" t="str">
        <f t="shared" si="2"/>
        <v>Catalog Record</v>
      </c>
      <c r="AW14" s="6" t="str">
        <f t="shared" si="3"/>
        <v>WorldCat Record</v>
      </c>
      <c r="AX14" s="3" t="s">
        <v>52756</v>
      </c>
      <c r="AY14" s="3" t="s">
        <v>52757</v>
      </c>
      <c r="AZ14" s="3" t="s">
        <v>52758</v>
      </c>
      <c r="BA14" s="3" t="s">
        <v>52758</v>
      </c>
      <c r="BB14" s="3" t="s">
        <v>52775</v>
      </c>
      <c r="BC14" s="3" t="s">
        <v>77</v>
      </c>
      <c r="BD14" s="3" t="s">
        <v>78</v>
      </c>
      <c r="BE14" s="3" t="s">
        <v>52760</v>
      </c>
      <c r="BF14" s="3" t="s">
        <v>52775</v>
      </c>
      <c r="BG14" s="3" t="s">
        <v>52776</v>
      </c>
      <c r="BH14">
        <f t="shared" si="0"/>
        <v>0</v>
      </c>
    </row>
    <row r="15" spans="1:60" ht="72.5" x14ac:dyDescent="0.35">
      <c r="A15" s="2" t="s">
        <v>6202</v>
      </c>
      <c r="B15" s="2" t="s">
        <v>6203</v>
      </c>
      <c r="C15" s="2" t="s">
        <v>52750</v>
      </c>
      <c r="D15" s="2" t="s">
        <v>52751</v>
      </c>
      <c r="E15" s="2" t="s">
        <v>52752</v>
      </c>
      <c r="F15" s="3" t="s">
        <v>52777</v>
      </c>
      <c r="G15" s="3" t="s">
        <v>128</v>
      </c>
      <c r="I15" s="3" t="s">
        <v>64</v>
      </c>
      <c r="J15" s="3" t="s">
        <v>64</v>
      </c>
      <c r="K15" s="3" t="s">
        <v>65</v>
      </c>
      <c r="L15" s="2" t="s">
        <v>41246</v>
      </c>
      <c r="M15" s="2" t="s">
        <v>52754</v>
      </c>
      <c r="N15" s="3" t="s">
        <v>1004</v>
      </c>
      <c r="P15" s="3" t="s">
        <v>68</v>
      </c>
      <c r="Q15" s="2" t="s">
        <v>52755</v>
      </c>
      <c r="R15" s="3" t="s">
        <v>70</v>
      </c>
      <c r="S15" s="4">
        <v>0</v>
      </c>
      <c r="T15" s="4">
        <v>4</v>
      </c>
      <c r="V15" s="5" t="s">
        <v>27601</v>
      </c>
      <c r="W15" s="5" t="s">
        <v>72</v>
      </c>
      <c r="X15" s="5" t="s">
        <v>72</v>
      </c>
      <c r="Y15" s="4">
        <v>220</v>
      </c>
      <c r="Z15" s="4">
        <v>24</v>
      </c>
      <c r="AA15" s="4">
        <v>33</v>
      </c>
      <c r="AB15" s="4">
        <v>1</v>
      </c>
      <c r="AC15" s="4">
        <v>7</v>
      </c>
      <c r="AD15" s="4">
        <v>101</v>
      </c>
      <c r="AE15" s="4">
        <v>107</v>
      </c>
      <c r="AF15" s="4">
        <v>0</v>
      </c>
      <c r="AG15" s="4">
        <v>4</v>
      </c>
      <c r="AH15" s="4">
        <v>89</v>
      </c>
      <c r="AI15" s="4">
        <v>91</v>
      </c>
      <c r="AJ15" s="4">
        <v>19</v>
      </c>
      <c r="AK15" s="4">
        <v>25</v>
      </c>
      <c r="AL15" s="4">
        <v>51</v>
      </c>
      <c r="AM15" s="4">
        <v>51</v>
      </c>
      <c r="AN15" s="4">
        <v>0</v>
      </c>
      <c r="AO15" s="4">
        <v>0</v>
      </c>
      <c r="AP15" s="4">
        <v>20</v>
      </c>
      <c r="AQ15" s="4">
        <v>25</v>
      </c>
      <c r="AR15" s="3" t="s">
        <v>64</v>
      </c>
      <c r="AS15" s="3" t="s">
        <v>64</v>
      </c>
      <c r="AT15" s="3" t="s">
        <v>128</v>
      </c>
      <c r="AU15" s="6" t="str">
        <f t="shared" si="1"/>
        <v>HathiTrust Record</v>
      </c>
      <c r="AV15" s="6" t="str">
        <f t="shared" si="2"/>
        <v>Catalog Record</v>
      </c>
      <c r="AW15" s="6" t="str">
        <f t="shared" si="3"/>
        <v>WorldCat Record</v>
      </c>
      <c r="AX15" s="3" t="s">
        <v>52756</v>
      </c>
      <c r="AY15" s="3" t="s">
        <v>52757</v>
      </c>
      <c r="AZ15" s="3" t="s">
        <v>52758</v>
      </c>
      <c r="BA15" s="3" t="s">
        <v>52758</v>
      </c>
      <c r="BB15" s="3" t="s">
        <v>52778</v>
      </c>
      <c r="BC15" s="3" t="s">
        <v>77</v>
      </c>
      <c r="BD15" s="3" t="s">
        <v>78</v>
      </c>
      <c r="BE15" s="3" t="s">
        <v>52760</v>
      </c>
      <c r="BF15" s="3" t="s">
        <v>52778</v>
      </c>
      <c r="BG15" s="3" t="s">
        <v>52779</v>
      </c>
      <c r="BH15">
        <f t="shared" si="0"/>
        <v>0</v>
      </c>
    </row>
    <row r="16" spans="1:60" ht="72.5" x14ac:dyDescent="0.35">
      <c r="A16" s="2" t="s">
        <v>6202</v>
      </c>
      <c r="B16" s="2" t="s">
        <v>6203</v>
      </c>
      <c r="C16" s="2" t="s">
        <v>52750</v>
      </c>
      <c r="D16" s="2" t="s">
        <v>52751</v>
      </c>
      <c r="E16" s="2" t="s">
        <v>52752</v>
      </c>
      <c r="F16" s="3" t="s">
        <v>41239</v>
      </c>
      <c r="G16" s="3" t="s">
        <v>128</v>
      </c>
      <c r="I16" s="3" t="s">
        <v>64</v>
      </c>
      <c r="J16" s="3" t="s">
        <v>64</v>
      </c>
      <c r="K16" s="3" t="s">
        <v>65</v>
      </c>
      <c r="L16" s="2" t="s">
        <v>41246</v>
      </c>
      <c r="M16" s="2" t="s">
        <v>52754</v>
      </c>
      <c r="N16" s="3" t="s">
        <v>1004</v>
      </c>
      <c r="P16" s="3" t="s">
        <v>68</v>
      </c>
      <c r="Q16" s="2" t="s">
        <v>52755</v>
      </c>
      <c r="R16" s="3" t="s">
        <v>70</v>
      </c>
      <c r="S16" s="4">
        <v>0</v>
      </c>
      <c r="T16" s="4">
        <v>4</v>
      </c>
      <c r="V16" s="5" t="s">
        <v>27601</v>
      </c>
      <c r="W16" s="5" t="s">
        <v>72</v>
      </c>
      <c r="X16" s="5" t="s">
        <v>72</v>
      </c>
      <c r="Y16" s="4">
        <v>220</v>
      </c>
      <c r="Z16" s="4">
        <v>24</v>
      </c>
      <c r="AA16" s="4">
        <v>33</v>
      </c>
      <c r="AB16" s="4">
        <v>1</v>
      </c>
      <c r="AC16" s="4">
        <v>7</v>
      </c>
      <c r="AD16" s="4">
        <v>101</v>
      </c>
      <c r="AE16" s="4">
        <v>107</v>
      </c>
      <c r="AF16" s="4">
        <v>0</v>
      </c>
      <c r="AG16" s="4">
        <v>4</v>
      </c>
      <c r="AH16" s="4">
        <v>89</v>
      </c>
      <c r="AI16" s="4">
        <v>91</v>
      </c>
      <c r="AJ16" s="4">
        <v>19</v>
      </c>
      <c r="AK16" s="4">
        <v>25</v>
      </c>
      <c r="AL16" s="4">
        <v>51</v>
      </c>
      <c r="AM16" s="4">
        <v>51</v>
      </c>
      <c r="AN16" s="4">
        <v>0</v>
      </c>
      <c r="AO16" s="4">
        <v>0</v>
      </c>
      <c r="AP16" s="4">
        <v>20</v>
      </c>
      <c r="AQ16" s="4">
        <v>25</v>
      </c>
      <c r="AR16" s="3" t="s">
        <v>64</v>
      </c>
      <c r="AS16" s="3" t="s">
        <v>64</v>
      </c>
      <c r="AT16" s="3" t="s">
        <v>128</v>
      </c>
      <c r="AU16" s="6" t="str">
        <f t="shared" si="1"/>
        <v>HathiTrust Record</v>
      </c>
      <c r="AV16" s="6" t="str">
        <f t="shared" si="2"/>
        <v>Catalog Record</v>
      </c>
      <c r="AW16" s="6" t="str">
        <f t="shared" si="3"/>
        <v>WorldCat Record</v>
      </c>
      <c r="AX16" s="3" t="s">
        <v>52756</v>
      </c>
      <c r="AY16" s="3" t="s">
        <v>52757</v>
      </c>
      <c r="AZ16" s="3" t="s">
        <v>52758</v>
      </c>
      <c r="BA16" s="3" t="s">
        <v>52758</v>
      </c>
      <c r="BB16" s="3" t="s">
        <v>52780</v>
      </c>
      <c r="BC16" s="3" t="s">
        <v>77</v>
      </c>
      <c r="BD16" s="3" t="s">
        <v>78</v>
      </c>
      <c r="BE16" s="3" t="s">
        <v>52760</v>
      </c>
      <c r="BF16" s="3" t="s">
        <v>52780</v>
      </c>
      <c r="BG16" s="3" t="s">
        <v>52781</v>
      </c>
      <c r="BH16">
        <f t="shared" si="0"/>
        <v>0</v>
      </c>
    </row>
    <row r="17" spans="1:60" ht="72.5" x14ac:dyDescent="0.35">
      <c r="A17" s="2" t="s">
        <v>6202</v>
      </c>
      <c r="B17" s="2" t="s">
        <v>6203</v>
      </c>
      <c r="C17" s="2" t="s">
        <v>52750</v>
      </c>
      <c r="D17" s="2" t="s">
        <v>52751</v>
      </c>
      <c r="E17" s="2" t="s">
        <v>52752</v>
      </c>
      <c r="F17" s="3" t="s">
        <v>52782</v>
      </c>
      <c r="G17" s="3" t="s">
        <v>128</v>
      </c>
      <c r="I17" s="3" t="s">
        <v>64</v>
      </c>
      <c r="J17" s="3" t="s">
        <v>64</v>
      </c>
      <c r="K17" s="3" t="s">
        <v>65</v>
      </c>
      <c r="L17" s="2" t="s">
        <v>41246</v>
      </c>
      <c r="M17" s="2" t="s">
        <v>52754</v>
      </c>
      <c r="N17" s="3" t="s">
        <v>1004</v>
      </c>
      <c r="P17" s="3" t="s">
        <v>68</v>
      </c>
      <c r="Q17" s="2" t="s">
        <v>52755</v>
      </c>
      <c r="R17" s="3" t="s">
        <v>70</v>
      </c>
      <c r="S17" s="4">
        <v>0</v>
      </c>
      <c r="T17" s="4">
        <v>4</v>
      </c>
      <c r="V17" s="5" t="s">
        <v>27601</v>
      </c>
      <c r="W17" s="5" t="s">
        <v>72</v>
      </c>
      <c r="X17" s="5" t="s">
        <v>72</v>
      </c>
      <c r="Y17" s="4">
        <v>220</v>
      </c>
      <c r="Z17" s="4">
        <v>24</v>
      </c>
      <c r="AA17" s="4">
        <v>33</v>
      </c>
      <c r="AB17" s="4">
        <v>1</v>
      </c>
      <c r="AC17" s="4">
        <v>7</v>
      </c>
      <c r="AD17" s="4">
        <v>101</v>
      </c>
      <c r="AE17" s="4">
        <v>107</v>
      </c>
      <c r="AF17" s="4">
        <v>0</v>
      </c>
      <c r="AG17" s="4">
        <v>4</v>
      </c>
      <c r="AH17" s="4">
        <v>89</v>
      </c>
      <c r="AI17" s="4">
        <v>91</v>
      </c>
      <c r="AJ17" s="4">
        <v>19</v>
      </c>
      <c r="AK17" s="4">
        <v>25</v>
      </c>
      <c r="AL17" s="4">
        <v>51</v>
      </c>
      <c r="AM17" s="4">
        <v>51</v>
      </c>
      <c r="AN17" s="4">
        <v>0</v>
      </c>
      <c r="AO17" s="4">
        <v>0</v>
      </c>
      <c r="AP17" s="4">
        <v>20</v>
      </c>
      <c r="AQ17" s="4">
        <v>25</v>
      </c>
      <c r="AR17" s="3" t="s">
        <v>64</v>
      </c>
      <c r="AS17" s="3" t="s">
        <v>64</v>
      </c>
      <c r="AT17" s="3" t="s">
        <v>128</v>
      </c>
      <c r="AU17" s="6" t="str">
        <f t="shared" si="1"/>
        <v>HathiTrust Record</v>
      </c>
      <c r="AV17" s="6" t="str">
        <f t="shared" si="2"/>
        <v>Catalog Record</v>
      </c>
      <c r="AW17" s="6" t="str">
        <f t="shared" si="3"/>
        <v>WorldCat Record</v>
      </c>
      <c r="AX17" s="3" t="s">
        <v>52756</v>
      </c>
      <c r="AY17" s="3" t="s">
        <v>52757</v>
      </c>
      <c r="AZ17" s="3" t="s">
        <v>52758</v>
      </c>
      <c r="BA17" s="3" t="s">
        <v>52758</v>
      </c>
      <c r="BB17" s="3" t="s">
        <v>52783</v>
      </c>
      <c r="BC17" s="3" t="s">
        <v>77</v>
      </c>
      <c r="BD17" s="3" t="s">
        <v>78</v>
      </c>
      <c r="BE17" s="3" t="s">
        <v>52760</v>
      </c>
      <c r="BF17" s="3" t="s">
        <v>52783</v>
      </c>
      <c r="BG17" s="3" t="s">
        <v>52784</v>
      </c>
      <c r="BH17">
        <f t="shared" si="0"/>
        <v>0</v>
      </c>
    </row>
    <row r="18" spans="1:60" ht="72.5" x14ac:dyDescent="0.35">
      <c r="A18" s="2" t="s">
        <v>6202</v>
      </c>
      <c r="B18" s="2" t="s">
        <v>6203</v>
      </c>
      <c r="C18" s="2" t="s">
        <v>52750</v>
      </c>
      <c r="D18" s="2" t="s">
        <v>52751</v>
      </c>
      <c r="E18" s="2" t="s">
        <v>52752</v>
      </c>
      <c r="F18" s="3" t="s">
        <v>52785</v>
      </c>
      <c r="G18" s="3" t="s">
        <v>128</v>
      </c>
      <c r="I18" s="3" t="s">
        <v>64</v>
      </c>
      <c r="J18" s="3" t="s">
        <v>64</v>
      </c>
      <c r="K18" s="3" t="s">
        <v>65</v>
      </c>
      <c r="L18" s="2" t="s">
        <v>41246</v>
      </c>
      <c r="M18" s="2" t="s">
        <v>52754</v>
      </c>
      <c r="N18" s="3" t="s">
        <v>1004</v>
      </c>
      <c r="P18" s="3" t="s">
        <v>68</v>
      </c>
      <c r="Q18" s="2" t="s">
        <v>52755</v>
      </c>
      <c r="R18" s="3" t="s">
        <v>70</v>
      </c>
      <c r="S18" s="4">
        <v>0</v>
      </c>
      <c r="T18" s="4">
        <v>4</v>
      </c>
      <c r="V18" s="5" t="s">
        <v>27601</v>
      </c>
      <c r="W18" s="5" t="s">
        <v>72</v>
      </c>
      <c r="X18" s="5" t="s">
        <v>72</v>
      </c>
      <c r="Y18" s="4">
        <v>220</v>
      </c>
      <c r="Z18" s="4">
        <v>24</v>
      </c>
      <c r="AA18" s="4">
        <v>33</v>
      </c>
      <c r="AB18" s="4">
        <v>1</v>
      </c>
      <c r="AC18" s="4">
        <v>7</v>
      </c>
      <c r="AD18" s="4">
        <v>101</v>
      </c>
      <c r="AE18" s="4">
        <v>107</v>
      </c>
      <c r="AF18" s="4">
        <v>0</v>
      </c>
      <c r="AG18" s="4">
        <v>4</v>
      </c>
      <c r="AH18" s="4">
        <v>89</v>
      </c>
      <c r="AI18" s="4">
        <v>91</v>
      </c>
      <c r="AJ18" s="4">
        <v>19</v>
      </c>
      <c r="AK18" s="4">
        <v>25</v>
      </c>
      <c r="AL18" s="4">
        <v>51</v>
      </c>
      <c r="AM18" s="4">
        <v>51</v>
      </c>
      <c r="AN18" s="4">
        <v>0</v>
      </c>
      <c r="AO18" s="4">
        <v>0</v>
      </c>
      <c r="AP18" s="4">
        <v>20</v>
      </c>
      <c r="AQ18" s="4">
        <v>25</v>
      </c>
      <c r="AR18" s="3" t="s">
        <v>64</v>
      </c>
      <c r="AS18" s="3" t="s">
        <v>64</v>
      </c>
      <c r="AT18" s="3" t="s">
        <v>128</v>
      </c>
      <c r="AU18" s="6" t="str">
        <f t="shared" si="1"/>
        <v>HathiTrust Record</v>
      </c>
      <c r="AV18" s="6" t="str">
        <f t="shared" si="2"/>
        <v>Catalog Record</v>
      </c>
      <c r="AW18" s="6" t="str">
        <f t="shared" si="3"/>
        <v>WorldCat Record</v>
      </c>
      <c r="AX18" s="3" t="s">
        <v>52756</v>
      </c>
      <c r="AY18" s="3" t="s">
        <v>52757</v>
      </c>
      <c r="AZ18" s="3" t="s">
        <v>52758</v>
      </c>
      <c r="BA18" s="3" t="s">
        <v>52758</v>
      </c>
      <c r="BB18" s="3" t="s">
        <v>52786</v>
      </c>
      <c r="BC18" s="3" t="s">
        <v>77</v>
      </c>
      <c r="BD18" s="3" t="s">
        <v>78</v>
      </c>
      <c r="BE18" s="3" t="s">
        <v>52760</v>
      </c>
      <c r="BF18" s="3" t="s">
        <v>52786</v>
      </c>
      <c r="BG18" s="3" t="s">
        <v>52787</v>
      </c>
      <c r="BH18">
        <f t="shared" si="0"/>
        <v>0</v>
      </c>
    </row>
    <row r="19" spans="1:60" ht="72.5" x14ac:dyDescent="0.35">
      <c r="A19" s="2" t="s">
        <v>6202</v>
      </c>
      <c r="B19" s="2" t="s">
        <v>6203</v>
      </c>
      <c r="C19" s="2" t="s">
        <v>52750</v>
      </c>
      <c r="D19" s="2" t="s">
        <v>52751</v>
      </c>
      <c r="E19" s="2" t="s">
        <v>52752</v>
      </c>
      <c r="F19" s="3" t="s">
        <v>52788</v>
      </c>
      <c r="G19" s="3" t="s">
        <v>128</v>
      </c>
      <c r="I19" s="3" t="s">
        <v>64</v>
      </c>
      <c r="J19" s="3" t="s">
        <v>64</v>
      </c>
      <c r="K19" s="3" t="s">
        <v>65</v>
      </c>
      <c r="L19" s="2" t="s">
        <v>41246</v>
      </c>
      <c r="M19" s="2" t="s">
        <v>52754</v>
      </c>
      <c r="N19" s="3" t="s">
        <v>1004</v>
      </c>
      <c r="P19" s="3" t="s">
        <v>68</v>
      </c>
      <c r="Q19" s="2" t="s">
        <v>52755</v>
      </c>
      <c r="R19" s="3" t="s">
        <v>70</v>
      </c>
      <c r="S19" s="4">
        <v>0</v>
      </c>
      <c r="T19" s="4">
        <v>4</v>
      </c>
      <c r="V19" s="5" t="s">
        <v>27601</v>
      </c>
      <c r="W19" s="5" t="s">
        <v>72</v>
      </c>
      <c r="X19" s="5" t="s">
        <v>72</v>
      </c>
      <c r="Y19" s="4">
        <v>220</v>
      </c>
      <c r="Z19" s="4">
        <v>24</v>
      </c>
      <c r="AA19" s="4">
        <v>33</v>
      </c>
      <c r="AB19" s="4">
        <v>1</v>
      </c>
      <c r="AC19" s="4">
        <v>7</v>
      </c>
      <c r="AD19" s="4">
        <v>101</v>
      </c>
      <c r="AE19" s="4">
        <v>107</v>
      </c>
      <c r="AF19" s="4">
        <v>0</v>
      </c>
      <c r="AG19" s="4">
        <v>4</v>
      </c>
      <c r="AH19" s="4">
        <v>89</v>
      </c>
      <c r="AI19" s="4">
        <v>91</v>
      </c>
      <c r="AJ19" s="4">
        <v>19</v>
      </c>
      <c r="AK19" s="4">
        <v>25</v>
      </c>
      <c r="AL19" s="4">
        <v>51</v>
      </c>
      <c r="AM19" s="4">
        <v>51</v>
      </c>
      <c r="AN19" s="4">
        <v>0</v>
      </c>
      <c r="AO19" s="4">
        <v>0</v>
      </c>
      <c r="AP19" s="4">
        <v>20</v>
      </c>
      <c r="AQ19" s="4">
        <v>25</v>
      </c>
      <c r="AR19" s="3" t="s">
        <v>64</v>
      </c>
      <c r="AS19" s="3" t="s">
        <v>64</v>
      </c>
      <c r="AT19" s="3" t="s">
        <v>128</v>
      </c>
      <c r="AU19" s="6" t="str">
        <f t="shared" si="1"/>
        <v>HathiTrust Record</v>
      </c>
      <c r="AV19" s="6" t="str">
        <f t="shared" si="2"/>
        <v>Catalog Record</v>
      </c>
      <c r="AW19" s="6" t="str">
        <f t="shared" si="3"/>
        <v>WorldCat Record</v>
      </c>
      <c r="AX19" s="3" t="s">
        <v>52756</v>
      </c>
      <c r="AY19" s="3" t="s">
        <v>52757</v>
      </c>
      <c r="AZ19" s="3" t="s">
        <v>52758</v>
      </c>
      <c r="BA19" s="3" t="s">
        <v>52758</v>
      </c>
      <c r="BB19" s="3" t="s">
        <v>52789</v>
      </c>
      <c r="BC19" s="3" t="s">
        <v>77</v>
      </c>
      <c r="BD19" s="3" t="s">
        <v>78</v>
      </c>
      <c r="BE19" s="3" t="s">
        <v>52760</v>
      </c>
      <c r="BF19" s="3" t="s">
        <v>52789</v>
      </c>
      <c r="BG19" s="3" t="s">
        <v>52790</v>
      </c>
      <c r="BH19">
        <f t="shared" si="0"/>
        <v>0</v>
      </c>
    </row>
    <row r="20" spans="1:60" ht="72.5" x14ac:dyDescent="0.35">
      <c r="A20" s="2" t="s">
        <v>6202</v>
      </c>
      <c r="B20" s="2" t="s">
        <v>6203</v>
      </c>
      <c r="C20" s="2" t="s">
        <v>52750</v>
      </c>
      <c r="D20" s="2" t="s">
        <v>52751</v>
      </c>
      <c r="E20" s="2" t="s">
        <v>52752</v>
      </c>
      <c r="F20" s="3" t="s">
        <v>52791</v>
      </c>
      <c r="G20" s="3" t="s">
        <v>128</v>
      </c>
      <c r="I20" s="3" t="s">
        <v>64</v>
      </c>
      <c r="J20" s="3" t="s">
        <v>64</v>
      </c>
      <c r="K20" s="3" t="s">
        <v>65</v>
      </c>
      <c r="L20" s="2" t="s">
        <v>41246</v>
      </c>
      <c r="M20" s="2" t="s">
        <v>52754</v>
      </c>
      <c r="N20" s="3" t="s">
        <v>1004</v>
      </c>
      <c r="P20" s="3" t="s">
        <v>68</v>
      </c>
      <c r="Q20" s="2" t="s">
        <v>52755</v>
      </c>
      <c r="R20" s="3" t="s">
        <v>70</v>
      </c>
      <c r="S20" s="4">
        <v>1</v>
      </c>
      <c r="T20" s="4">
        <v>4</v>
      </c>
      <c r="U20" s="5" t="s">
        <v>27601</v>
      </c>
      <c r="V20" s="5" t="s">
        <v>27601</v>
      </c>
      <c r="W20" s="5" t="s">
        <v>72</v>
      </c>
      <c r="X20" s="5" t="s">
        <v>72</v>
      </c>
      <c r="Y20" s="4">
        <v>220</v>
      </c>
      <c r="Z20" s="4">
        <v>24</v>
      </c>
      <c r="AA20" s="4">
        <v>33</v>
      </c>
      <c r="AB20" s="4">
        <v>1</v>
      </c>
      <c r="AC20" s="4">
        <v>7</v>
      </c>
      <c r="AD20" s="4">
        <v>101</v>
      </c>
      <c r="AE20" s="4">
        <v>107</v>
      </c>
      <c r="AF20" s="4">
        <v>0</v>
      </c>
      <c r="AG20" s="4">
        <v>4</v>
      </c>
      <c r="AH20" s="4">
        <v>89</v>
      </c>
      <c r="AI20" s="4">
        <v>91</v>
      </c>
      <c r="AJ20" s="4">
        <v>19</v>
      </c>
      <c r="AK20" s="4">
        <v>25</v>
      </c>
      <c r="AL20" s="4">
        <v>51</v>
      </c>
      <c r="AM20" s="4">
        <v>51</v>
      </c>
      <c r="AN20" s="4">
        <v>0</v>
      </c>
      <c r="AO20" s="4">
        <v>0</v>
      </c>
      <c r="AP20" s="4">
        <v>20</v>
      </c>
      <c r="AQ20" s="4">
        <v>25</v>
      </c>
      <c r="AR20" s="3" t="s">
        <v>64</v>
      </c>
      <c r="AS20" s="3" t="s">
        <v>64</v>
      </c>
      <c r="AT20" s="3" t="s">
        <v>128</v>
      </c>
      <c r="AU20" s="6" t="str">
        <f t="shared" si="1"/>
        <v>HathiTrust Record</v>
      </c>
      <c r="AV20" s="6" t="str">
        <f t="shared" si="2"/>
        <v>Catalog Record</v>
      </c>
      <c r="AW20" s="6" t="str">
        <f t="shared" si="3"/>
        <v>WorldCat Record</v>
      </c>
      <c r="AX20" s="3" t="s">
        <v>52756</v>
      </c>
      <c r="AY20" s="3" t="s">
        <v>52757</v>
      </c>
      <c r="AZ20" s="3" t="s">
        <v>52758</v>
      </c>
      <c r="BA20" s="3" t="s">
        <v>52758</v>
      </c>
      <c r="BB20" s="3" t="s">
        <v>52792</v>
      </c>
      <c r="BC20" s="3" t="s">
        <v>77</v>
      </c>
      <c r="BD20" s="3" t="s">
        <v>78</v>
      </c>
      <c r="BE20" s="3" t="s">
        <v>52760</v>
      </c>
      <c r="BF20" s="3" t="s">
        <v>52792</v>
      </c>
      <c r="BG20" s="3" t="s">
        <v>52793</v>
      </c>
      <c r="BH20">
        <f t="shared" si="0"/>
        <v>0</v>
      </c>
    </row>
    <row r="21" spans="1:60" ht="72.5" x14ac:dyDescent="0.35">
      <c r="A21" s="2" t="s">
        <v>6202</v>
      </c>
      <c r="B21" s="2" t="s">
        <v>6203</v>
      </c>
      <c r="C21" s="2" t="s">
        <v>52750</v>
      </c>
      <c r="D21" s="2" t="s">
        <v>52751</v>
      </c>
      <c r="E21" s="2" t="s">
        <v>52752</v>
      </c>
      <c r="F21" s="3" t="s">
        <v>52794</v>
      </c>
      <c r="G21" s="3" t="s">
        <v>128</v>
      </c>
      <c r="I21" s="3" t="s">
        <v>64</v>
      </c>
      <c r="J21" s="3" t="s">
        <v>64</v>
      </c>
      <c r="K21" s="3" t="s">
        <v>65</v>
      </c>
      <c r="L21" s="2" t="s">
        <v>41246</v>
      </c>
      <c r="M21" s="2" t="s">
        <v>52754</v>
      </c>
      <c r="N21" s="3" t="s">
        <v>1004</v>
      </c>
      <c r="P21" s="3" t="s">
        <v>68</v>
      </c>
      <c r="Q21" s="2" t="s">
        <v>52755</v>
      </c>
      <c r="R21" s="3" t="s">
        <v>70</v>
      </c>
      <c r="S21" s="4">
        <v>0</v>
      </c>
      <c r="T21" s="4">
        <v>4</v>
      </c>
      <c r="V21" s="5" t="s">
        <v>27601</v>
      </c>
      <c r="W21" s="5" t="s">
        <v>72</v>
      </c>
      <c r="X21" s="5" t="s">
        <v>72</v>
      </c>
      <c r="Y21" s="4">
        <v>220</v>
      </c>
      <c r="Z21" s="4">
        <v>24</v>
      </c>
      <c r="AA21" s="4">
        <v>33</v>
      </c>
      <c r="AB21" s="4">
        <v>1</v>
      </c>
      <c r="AC21" s="4">
        <v>7</v>
      </c>
      <c r="AD21" s="4">
        <v>101</v>
      </c>
      <c r="AE21" s="4">
        <v>107</v>
      </c>
      <c r="AF21" s="4">
        <v>0</v>
      </c>
      <c r="AG21" s="4">
        <v>4</v>
      </c>
      <c r="AH21" s="4">
        <v>89</v>
      </c>
      <c r="AI21" s="4">
        <v>91</v>
      </c>
      <c r="AJ21" s="4">
        <v>19</v>
      </c>
      <c r="AK21" s="4">
        <v>25</v>
      </c>
      <c r="AL21" s="4">
        <v>51</v>
      </c>
      <c r="AM21" s="4">
        <v>51</v>
      </c>
      <c r="AN21" s="4">
        <v>0</v>
      </c>
      <c r="AO21" s="4">
        <v>0</v>
      </c>
      <c r="AP21" s="4">
        <v>20</v>
      </c>
      <c r="AQ21" s="4">
        <v>25</v>
      </c>
      <c r="AR21" s="3" t="s">
        <v>64</v>
      </c>
      <c r="AS21" s="3" t="s">
        <v>64</v>
      </c>
      <c r="AT21" s="3" t="s">
        <v>128</v>
      </c>
      <c r="AU21" s="6" t="str">
        <f t="shared" si="1"/>
        <v>HathiTrust Record</v>
      </c>
      <c r="AV21" s="6" t="str">
        <f t="shared" si="2"/>
        <v>Catalog Record</v>
      </c>
      <c r="AW21" s="6" t="str">
        <f t="shared" si="3"/>
        <v>WorldCat Record</v>
      </c>
      <c r="AX21" s="3" t="s">
        <v>52756</v>
      </c>
      <c r="AY21" s="3" t="s">
        <v>52757</v>
      </c>
      <c r="AZ21" s="3" t="s">
        <v>52758</v>
      </c>
      <c r="BA21" s="3" t="s">
        <v>52758</v>
      </c>
      <c r="BB21" s="3" t="s">
        <v>52795</v>
      </c>
      <c r="BC21" s="3" t="s">
        <v>77</v>
      </c>
      <c r="BD21" s="3" t="s">
        <v>78</v>
      </c>
      <c r="BE21" s="3" t="s">
        <v>52760</v>
      </c>
      <c r="BF21" s="3" t="s">
        <v>52795</v>
      </c>
      <c r="BG21" s="3" t="s">
        <v>52796</v>
      </c>
      <c r="BH21">
        <f t="shared" si="0"/>
        <v>0</v>
      </c>
    </row>
    <row r="22" spans="1:60" ht="72.5" x14ac:dyDescent="0.35">
      <c r="A22" s="2" t="s">
        <v>6202</v>
      </c>
      <c r="B22" s="2" t="s">
        <v>6203</v>
      </c>
      <c r="C22" s="2" t="s">
        <v>52750</v>
      </c>
      <c r="D22" s="2" t="s">
        <v>52751</v>
      </c>
      <c r="E22" s="2" t="s">
        <v>52752</v>
      </c>
      <c r="F22" s="3" t="s">
        <v>52797</v>
      </c>
      <c r="G22" s="3" t="s">
        <v>128</v>
      </c>
      <c r="I22" s="3" t="s">
        <v>64</v>
      </c>
      <c r="J22" s="3" t="s">
        <v>64</v>
      </c>
      <c r="K22" s="3" t="s">
        <v>65</v>
      </c>
      <c r="L22" s="2" t="s">
        <v>41246</v>
      </c>
      <c r="M22" s="2" t="s">
        <v>52754</v>
      </c>
      <c r="N22" s="3" t="s">
        <v>1004</v>
      </c>
      <c r="P22" s="3" t="s">
        <v>68</v>
      </c>
      <c r="Q22" s="2" t="s">
        <v>52755</v>
      </c>
      <c r="R22" s="3" t="s">
        <v>70</v>
      </c>
      <c r="S22" s="4">
        <v>0</v>
      </c>
      <c r="T22" s="4">
        <v>4</v>
      </c>
      <c r="V22" s="5" t="s">
        <v>27601</v>
      </c>
      <c r="W22" s="5" t="s">
        <v>72</v>
      </c>
      <c r="X22" s="5" t="s">
        <v>72</v>
      </c>
      <c r="Y22" s="4">
        <v>220</v>
      </c>
      <c r="Z22" s="4">
        <v>24</v>
      </c>
      <c r="AA22" s="4">
        <v>33</v>
      </c>
      <c r="AB22" s="4">
        <v>1</v>
      </c>
      <c r="AC22" s="4">
        <v>7</v>
      </c>
      <c r="AD22" s="4">
        <v>101</v>
      </c>
      <c r="AE22" s="4">
        <v>107</v>
      </c>
      <c r="AF22" s="4">
        <v>0</v>
      </c>
      <c r="AG22" s="4">
        <v>4</v>
      </c>
      <c r="AH22" s="4">
        <v>89</v>
      </c>
      <c r="AI22" s="4">
        <v>91</v>
      </c>
      <c r="AJ22" s="4">
        <v>19</v>
      </c>
      <c r="AK22" s="4">
        <v>25</v>
      </c>
      <c r="AL22" s="4">
        <v>51</v>
      </c>
      <c r="AM22" s="4">
        <v>51</v>
      </c>
      <c r="AN22" s="4">
        <v>0</v>
      </c>
      <c r="AO22" s="4">
        <v>0</v>
      </c>
      <c r="AP22" s="4">
        <v>20</v>
      </c>
      <c r="AQ22" s="4">
        <v>25</v>
      </c>
      <c r="AR22" s="3" t="s">
        <v>64</v>
      </c>
      <c r="AS22" s="3" t="s">
        <v>64</v>
      </c>
      <c r="AT22" s="3" t="s">
        <v>128</v>
      </c>
      <c r="AU22" s="6" t="str">
        <f t="shared" si="1"/>
        <v>HathiTrust Record</v>
      </c>
      <c r="AV22" s="6" t="str">
        <f t="shared" si="2"/>
        <v>Catalog Record</v>
      </c>
      <c r="AW22" s="6" t="str">
        <f t="shared" si="3"/>
        <v>WorldCat Record</v>
      </c>
      <c r="AX22" s="3" t="s">
        <v>52756</v>
      </c>
      <c r="AY22" s="3" t="s">
        <v>52757</v>
      </c>
      <c r="AZ22" s="3" t="s">
        <v>52758</v>
      </c>
      <c r="BA22" s="3" t="s">
        <v>52758</v>
      </c>
      <c r="BB22" s="3" t="s">
        <v>52798</v>
      </c>
      <c r="BC22" s="3" t="s">
        <v>77</v>
      </c>
      <c r="BD22" s="3" t="s">
        <v>78</v>
      </c>
      <c r="BE22" s="3" t="s">
        <v>52760</v>
      </c>
      <c r="BF22" s="3" t="s">
        <v>52798</v>
      </c>
      <c r="BG22" s="3" t="s">
        <v>52799</v>
      </c>
      <c r="BH22">
        <f t="shared" si="0"/>
        <v>0</v>
      </c>
    </row>
    <row r="23" spans="1:60" ht="72.5" x14ac:dyDescent="0.35">
      <c r="A23" s="2" t="s">
        <v>6202</v>
      </c>
      <c r="B23" s="2" t="s">
        <v>6203</v>
      </c>
      <c r="C23" s="2" t="s">
        <v>52750</v>
      </c>
      <c r="D23" s="2" t="s">
        <v>52751</v>
      </c>
      <c r="E23" s="2" t="s">
        <v>52752</v>
      </c>
      <c r="F23" s="3" t="s">
        <v>52800</v>
      </c>
      <c r="G23" s="3" t="s">
        <v>128</v>
      </c>
      <c r="I23" s="3" t="s">
        <v>64</v>
      </c>
      <c r="J23" s="3" t="s">
        <v>64</v>
      </c>
      <c r="K23" s="3" t="s">
        <v>65</v>
      </c>
      <c r="L23" s="2" t="s">
        <v>41246</v>
      </c>
      <c r="M23" s="2" t="s">
        <v>52754</v>
      </c>
      <c r="N23" s="3" t="s">
        <v>1004</v>
      </c>
      <c r="P23" s="3" t="s">
        <v>68</v>
      </c>
      <c r="Q23" s="2" t="s">
        <v>52755</v>
      </c>
      <c r="R23" s="3" t="s">
        <v>70</v>
      </c>
      <c r="S23" s="4">
        <v>0</v>
      </c>
      <c r="T23" s="4">
        <v>4</v>
      </c>
      <c r="V23" s="5" t="s">
        <v>27601</v>
      </c>
      <c r="W23" s="5" t="s">
        <v>72</v>
      </c>
      <c r="X23" s="5" t="s">
        <v>72</v>
      </c>
      <c r="Y23" s="4">
        <v>220</v>
      </c>
      <c r="Z23" s="4">
        <v>24</v>
      </c>
      <c r="AA23" s="4">
        <v>33</v>
      </c>
      <c r="AB23" s="4">
        <v>1</v>
      </c>
      <c r="AC23" s="4">
        <v>7</v>
      </c>
      <c r="AD23" s="4">
        <v>101</v>
      </c>
      <c r="AE23" s="4">
        <v>107</v>
      </c>
      <c r="AF23" s="4">
        <v>0</v>
      </c>
      <c r="AG23" s="4">
        <v>4</v>
      </c>
      <c r="AH23" s="4">
        <v>89</v>
      </c>
      <c r="AI23" s="4">
        <v>91</v>
      </c>
      <c r="AJ23" s="4">
        <v>19</v>
      </c>
      <c r="AK23" s="4">
        <v>25</v>
      </c>
      <c r="AL23" s="4">
        <v>51</v>
      </c>
      <c r="AM23" s="4">
        <v>51</v>
      </c>
      <c r="AN23" s="4">
        <v>0</v>
      </c>
      <c r="AO23" s="4">
        <v>0</v>
      </c>
      <c r="AP23" s="4">
        <v>20</v>
      </c>
      <c r="AQ23" s="4">
        <v>25</v>
      </c>
      <c r="AR23" s="3" t="s">
        <v>64</v>
      </c>
      <c r="AS23" s="3" t="s">
        <v>64</v>
      </c>
      <c r="AT23" s="3" t="s">
        <v>128</v>
      </c>
      <c r="AU23" s="6" t="str">
        <f t="shared" si="1"/>
        <v>HathiTrust Record</v>
      </c>
      <c r="AV23" s="6" t="str">
        <f t="shared" si="2"/>
        <v>Catalog Record</v>
      </c>
      <c r="AW23" s="6" t="str">
        <f t="shared" si="3"/>
        <v>WorldCat Record</v>
      </c>
      <c r="AX23" s="3" t="s">
        <v>52756</v>
      </c>
      <c r="AY23" s="3" t="s">
        <v>52757</v>
      </c>
      <c r="AZ23" s="3" t="s">
        <v>52758</v>
      </c>
      <c r="BA23" s="3" t="s">
        <v>52758</v>
      </c>
      <c r="BB23" s="3" t="s">
        <v>52801</v>
      </c>
      <c r="BC23" s="3" t="s">
        <v>77</v>
      </c>
      <c r="BD23" s="3" t="s">
        <v>78</v>
      </c>
      <c r="BE23" s="3" t="s">
        <v>52760</v>
      </c>
      <c r="BF23" s="3" t="s">
        <v>52801</v>
      </c>
      <c r="BG23" s="3" t="s">
        <v>52802</v>
      </c>
      <c r="BH23">
        <f t="shared" si="0"/>
        <v>0</v>
      </c>
    </row>
    <row r="24" spans="1:60" ht="72.5" x14ac:dyDescent="0.35">
      <c r="A24" s="2" t="s">
        <v>6202</v>
      </c>
      <c r="B24" s="2" t="s">
        <v>6203</v>
      </c>
      <c r="C24" s="2" t="s">
        <v>52750</v>
      </c>
      <c r="D24" s="2" t="s">
        <v>52751</v>
      </c>
      <c r="E24" s="2" t="s">
        <v>52752</v>
      </c>
      <c r="F24" s="3" t="s">
        <v>52803</v>
      </c>
      <c r="G24" s="3" t="s">
        <v>128</v>
      </c>
      <c r="I24" s="3" t="s">
        <v>64</v>
      </c>
      <c r="J24" s="3" t="s">
        <v>64</v>
      </c>
      <c r="K24" s="3" t="s">
        <v>65</v>
      </c>
      <c r="L24" s="2" t="s">
        <v>41246</v>
      </c>
      <c r="M24" s="2" t="s">
        <v>52754</v>
      </c>
      <c r="N24" s="3" t="s">
        <v>1004</v>
      </c>
      <c r="P24" s="3" t="s">
        <v>68</v>
      </c>
      <c r="Q24" s="2" t="s">
        <v>52755</v>
      </c>
      <c r="R24" s="3" t="s">
        <v>70</v>
      </c>
      <c r="S24" s="4">
        <v>0</v>
      </c>
      <c r="T24" s="4">
        <v>4</v>
      </c>
      <c r="V24" s="5" t="s">
        <v>27601</v>
      </c>
      <c r="W24" s="5" t="s">
        <v>72</v>
      </c>
      <c r="X24" s="5" t="s">
        <v>72</v>
      </c>
      <c r="Y24" s="4">
        <v>220</v>
      </c>
      <c r="Z24" s="4">
        <v>24</v>
      </c>
      <c r="AA24" s="4">
        <v>33</v>
      </c>
      <c r="AB24" s="4">
        <v>1</v>
      </c>
      <c r="AC24" s="4">
        <v>7</v>
      </c>
      <c r="AD24" s="4">
        <v>101</v>
      </c>
      <c r="AE24" s="4">
        <v>107</v>
      </c>
      <c r="AF24" s="4">
        <v>0</v>
      </c>
      <c r="AG24" s="4">
        <v>4</v>
      </c>
      <c r="AH24" s="4">
        <v>89</v>
      </c>
      <c r="AI24" s="4">
        <v>91</v>
      </c>
      <c r="AJ24" s="4">
        <v>19</v>
      </c>
      <c r="AK24" s="4">
        <v>25</v>
      </c>
      <c r="AL24" s="4">
        <v>51</v>
      </c>
      <c r="AM24" s="4">
        <v>51</v>
      </c>
      <c r="AN24" s="4">
        <v>0</v>
      </c>
      <c r="AO24" s="4">
        <v>0</v>
      </c>
      <c r="AP24" s="4">
        <v>20</v>
      </c>
      <c r="AQ24" s="4">
        <v>25</v>
      </c>
      <c r="AR24" s="3" t="s">
        <v>64</v>
      </c>
      <c r="AS24" s="3" t="s">
        <v>64</v>
      </c>
      <c r="AT24" s="3" t="s">
        <v>128</v>
      </c>
      <c r="AU24" s="6" t="str">
        <f t="shared" si="1"/>
        <v>HathiTrust Record</v>
      </c>
      <c r="AV24" s="6" t="str">
        <f t="shared" si="2"/>
        <v>Catalog Record</v>
      </c>
      <c r="AW24" s="6" t="str">
        <f t="shared" si="3"/>
        <v>WorldCat Record</v>
      </c>
      <c r="AX24" s="3" t="s">
        <v>52756</v>
      </c>
      <c r="AY24" s="3" t="s">
        <v>52757</v>
      </c>
      <c r="AZ24" s="3" t="s">
        <v>52758</v>
      </c>
      <c r="BA24" s="3" t="s">
        <v>52758</v>
      </c>
      <c r="BB24" s="3" t="s">
        <v>52804</v>
      </c>
      <c r="BC24" s="3" t="s">
        <v>77</v>
      </c>
      <c r="BD24" s="3" t="s">
        <v>78</v>
      </c>
      <c r="BE24" s="3" t="s">
        <v>52760</v>
      </c>
      <c r="BF24" s="3" t="s">
        <v>52804</v>
      </c>
      <c r="BG24" s="3" t="s">
        <v>52805</v>
      </c>
      <c r="BH24">
        <f t="shared" si="0"/>
        <v>0</v>
      </c>
    </row>
    <row r="25" spans="1:60" ht="72.5" x14ac:dyDescent="0.35">
      <c r="A25" s="2" t="s">
        <v>6202</v>
      </c>
      <c r="B25" s="2" t="s">
        <v>6203</v>
      </c>
      <c r="C25" s="2" t="s">
        <v>52750</v>
      </c>
      <c r="D25" s="2" t="s">
        <v>52751</v>
      </c>
      <c r="E25" s="2" t="s">
        <v>52752</v>
      </c>
      <c r="F25" s="3" t="s">
        <v>52806</v>
      </c>
      <c r="G25" s="3" t="s">
        <v>128</v>
      </c>
      <c r="I25" s="3" t="s">
        <v>64</v>
      </c>
      <c r="J25" s="3" t="s">
        <v>64</v>
      </c>
      <c r="K25" s="3" t="s">
        <v>65</v>
      </c>
      <c r="L25" s="2" t="s">
        <v>41246</v>
      </c>
      <c r="M25" s="2" t="s">
        <v>52754</v>
      </c>
      <c r="N25" s="3" t="s">
        <v>1004</v>
      </c>
      <c r="P25" s="3" t="s">
        <v>68</v>
      </c>
      <c r="Q25" s="2" t="s">
        <v>52755</v>
      </c>
      <c r="R25" s="3" t="s">
        <v>70</v>
      </c>
      <c r="S25" s="4">
        <v>0</v>
      </c>
      <c r="T25" s="4">
        <v>4</v>
      </c>
      <c r="V25" s="5" t="s">
        <v>27601</v>
      </c>
      <c r="W25" s="5" t="s">
        <v>72</v>
      </c>
      <c r="X25" s="5" t="s">
        <v>72</v>
      </c>
      <c r="Y25" s="4">
        <v>220</v>
      </c>
      <c r="Z25" s="4">
        <v>24</v>
      </c>
      <c r="AA25" s="4">
        <v>33</v>
      </c>
      <c r="AB25" s="4">
        <v>1</v>
      </c>
      <c r="AC25" s="4">
        <v>7</v>
      </c>
      <c r="AD25" s="4">
        <v>101</v>
      </c>
      <c r="AE25" s="4">
        <v>107</v>
      </c>
      <c r="AF25" s="4">
        <v>0</v>
      </c>
      <c r="AG25" s="4">
        <v>4</v>
      </c>
      <c r="AH25" s="4">
        <v>89</v>
      </c>
      <c r="AI25" s="4">
        <v>91</v>
      </c>
      <c r="AJ25" s="4">
        <v>19</v>
      </c>
      <c r="AK25" s="4">
        <v>25</v>
      </c>
      <c r="AL25" s="4">
        <v>51</v>
      </c>
      <c r="AM25" s="4">
        <v>51</v>
      </c>
      <c r="AN25" s="4">
        <v>0</v>
      </c>
      <c r="AO25" s="4">
        <v>0</v>
      </c>
      <c r="AP25" s="4">
        <v>20</v>
      </c>
      <c r="AQ25" s="4">
        <v>25</v>
      </c>
      <c r="AR25" s="3" t="s">
        <v>64</v>
      </c>
      <c r="AS25" s="3" t="s">
        <v>64</v>
      </c>
      <c r="AT25" s="3" t="s">
        <v>128</v>
      </c>
      <c r="AU25" s="6" t="str">
        <f t="shared" si="1"/>
        <v>HathiTrust Record</v>
      </c>
      <c r="AV25" s="6" t="str">
        <f t="shared" si="2"/>
        <v>Catalog Record</v>
      </c>
      <c r="AW25" s="6" t="str">
        <f t="shared" si="3"/>
        <v>WorldCat Record</v>
      </c>
      <c r="AX25" s="3" t="s">
        <v>52756</v>
      </c>
      <c r="AY25" s="3" t="s">
        <v>52757</v>
      </c>
      <c r="AZ25" s="3" t="s">
        <v>52758</v>
      </c>
      <c r="BA25" s="3" t="s">
        <v>52758</v>
      </c>
      <c r="BB25" s="3" t="s">
        <v>52807</v>
      </c>
      <c r="BC25" s="3" t="s">
        <v>77</v>
      </c>
      <c r="BD25" s="3" t="s">
        <v>78</v>
      </c>
      <c r="BE25" s="3" t="s">
        <v>52760</v>
      </c>
      <c r="BF25" s="3" t="s">
        <v>52807</v>
      </c>
      <c r="BG25" s="3" t="s">
        <v>52808</v>
      </c>
      <c r="BH25">
        <f t="shared" si="0"/>
        <v>0</v>
      </c>
    </row>
    <row r="26" spans="1:60" ht="72.5" x14ac:dyDescent="0.35">
      <c r="A26" s="2" t="s">
        <v>6202</v>
      </c>
      <c r="B26" s="2" t="s">
        <v>6203</v>
      </c>
      <c r="C26" s="2" t="s">
        <v>52750</v>
      </c>
      <c r="D26" s="2" t="s">
        <v>52751</v>
      </c>
      <c r="E26" s="2" t="s">
        <v>52752</v>
      </c>
      <c r="F26" s="3" t="s">
        <v>52809</v>
      </c>
      <c r="G26" s="3" t="s">
        <v>128</v>
      </c>
      <c r="I26" s="3" t="s">
        <v>64</v>
      </c>
      <c r="J26" s="3" t="s">
        <v>64</v>
      </c>
      <c r="K26" s="3" t="s">
        <v>65</v>
      </c>
      <c r="L26" s="2" t="s">
        <v>41246</v>
      </c>
      <c r="M26" s="2" t="s">
        <v>52754</v>
      </c>
      <c r="N26" s="3" t="s">
        <v>1004</v>
      </c>
      <c r="P26" s="3" t="s">
        <v>68</v>
      </c>
      <c r="Q26" s="2" t="s">
        <v>52755</v>
      </c>
      <c r="R26" s="3" t="s">
        <v>70</v>
      </c>
      <c r="S26" s="4">
        <v>0</v>
      </c>
      <c r="T26" s="4">
        <v>4</v>
      </c>
      <c r="V26" s="5" t="s">
        <v>27601</v>
      </c>
      <c r="W26" s="5" t="s">
        <v>72</v>
      </c>
      <c r="X26" s="5" t="s">
        <v>72</v>
      </c>
      <c r="Y26" s="4">
        <v>220</v>
      </c>
      <c r="Z26" s="4">
        <v>24</v>
      </c>
      <c r="AA26" s="4">
        <v>33</v>
      </c>
      <c r="AB26" s="4">
        <v>1</v>
      </c>
      <c r="AC26" s="4">
        <v>7</v>
      </c>
      <c r="AD26" s="4">
        <v>101</v>
      </c>
      <c r="AE26" s="4">
        <v>107</v>
      </c>
      <c r="AF26" s="4">
        <v>0</v>
      </c>
      <c r="AG26" s="4">
        <v>4</v>
      </c>
      <c r="AH26" s="4">
        <v>89</v>
      </c>
      <c r="AI26" s="4">
        <v>91</v>
      </c>
      <c r="AJ26" s="4">
        <v>19</v>
      </c>
      <c r="AK26" s="4">
        <v>25</v>
      </c>
      <c r="AL26" s="4">
        <v>51</v>
      </c>
      <c r="AM26" s="4">
        <v>51</v>
      </c>
      <c r="AN26" s="4">
        <v>0</v>
      </c>
      <c r="AO26" s="4">
        <v>0</v>
      </c>
      <c r="AP26" s="4">
        <v>20</v>
      </c>
      <c r="AQ26" s="4">
        <v>25</v>
      </c>
      <c r="AR26" s="3" t="s">
        <v>64</v>
      </c>
      <c r="AS26" s="3" t="s">
        <v>64</v>
      </c>
      <c r="AT26" s="3" t="s">
        <v>128</v>
      </c>
      <c r="AU26" s="6" t="str">
        <f t="shared" si="1"/>
        <v>HathiTrust Record</v>
      </c>
      <c r="AV26" s="6" t="str">
        <f t="shared" si="2"/>
        <v>Catalog Record</v>
      </c>
      <c r="AW26" s="6" t="str">
        <f t="shared" si="3"/>
        <v>WorldCat Record</v>
      </c>
      <c r="AX26" s="3" t="s">
        <v>52756</v>
      </c>
      <c r="AY26" s="3" t="s">
        <v>52757</v>
      </c>
      <c r="AZ26" s="3" t="s">
        <v>52758</v>
      </c>
      <c r="BA26" s="3" t="s">
        <v>52758</v>
      </c>
      <c r="BB26" s="3" t="s">
        <v>52810</v>
      </c>
      <c r="BC26" s="3" t="s">
        <v>77</v>
      </c>
      <c r="BD26" s="3" t="s">
        <v>78</v>
      </c>
      <c r="BE26" s="3" t="s">
        <v>52760</v>
      </c>
      <c r="BF26" s="3" t="s">
        <v>52810</v>
      </c>
      <c r="BG26" s="3" t="s">
        <v>52811</v>
      </c>
      <c r="BH26">
        <f t="shared" si="0"/>
        <v>0</v>
      </c>
    </row>
    <row r="27" spans="1:60" ht="72.5" x14ac:dyDescent="0.35">
      <c r="A27" s="2" t="s">
        <v>6202</v>
      </c>
      <c r="B27" s="2" t="s">
        <v>6203</v>
      </c>
      <c r="C27" s="2" t="s">
        <v>52750</v>
      </c>
      <c r="D27" s="2" t="s">
        <v>52751</v>
      </c>
      <c r="E27" s="2" t="s">
        <v>52752</v>
      </c>
      <c r="F27" s="3" t="s">
        <v>52812</v>
      </c>
      <c r="G27" s="3" t="s">
        <v>128</v>
      </c>
      <c r="I27" s="3" t="s">
        <v>64</v>
      </c>
      <c r="J27" s="3" t="s">
        <v>64</v>
      </c>
      <c r="K27" s="3" t="s">
        <v>65</v>
      </c>
      <c r="L27" s="2" t="s">
        <v>41246</v>
      </c>
      <c r="M27" s="2" t="s">
        <v>52754</v>
      </c>
      <c r="N27" s="3" t="s">
        <v>1004</v>
      </c>
      <c r="P27" s="3" t="s">
        <v>68</v>
      </c>
      <c r="Q27" s="2" t="s">
        <v>52755</v>
      </c>
      <c r="R27" s="3" t="s">
        <v>70</v>
      </c>
      <c r="S27" s="4">
        <v>0</v>
      </c>
      <c r="T27" s="4">
        <v>4</v>
      </c>
      <c r="V27" s="5" t="s">
        <v>27601</v>
      </c>
      <c r="W27" s="5" t="s">
        <v>72</v>
      </c>
      <c r="X27" s="5" t="s">
        <v>72</v>
      </c>
      <c r="Y27" s="4">
        <v>220</v>
      </c>
      <c r="Z27" s="4">
        <v>24</v>
      </c>
      <c r="AA27" s="4">
        <v>33</v>
      </c>
      <c r="AB27" s="4">
        <v>1</v>
      </c>
      <c r="AC27" s="4">
        <v>7</v>
      </c>
      <c r="AD27" s="4">
        <v>101</v>
      </c>
      <c r="AE27" s="4">
        <v>107</v>
      </c>
      <c r="AF27" s="4">
        <v>0</v>
      </c>
      <c r="AG27" s="4">
        <v>4</v>
      </c>
      <c r="AH27" s="4">
        <v>89</v>
      </c>
      <c r="AI27" s="4">
        <v>91</v>
      </c>
      <c r="AJ27" s="4">
        <v>19</v>
      </c>
      <c r="AK27" s="4">
        <v>25</v>
      </c>
      <c r="AL27" s="4">
        <v>51</v>
      </c>
      <c r="AM27" s="4">
        <v>51</v>
      </c>
      <c r="AN27" s="4">
        <v>0</v>
      </c>
      <c r="AO27" s="4">
        <v>0</v>
      </c>
      <c r="AP27" s="4">
        <v>20</v>
      </c>
      <c r="AQ27" s="4">
        <v>25</v>
      </c>
      <c r="AR27" s="3" t="s">
        <v>64</v>
      </c>
      <c r="AS27" s="3" t="s">
        <v>64</v>
      </c>
      <c r="AT27" s="3" t="s">
        <v>128</v>
      </c>
      <c r="AU27" s="6" t="str">
        <f t="shared" si="1"/>
        <v>HathiTrust Record</v>
      </c>
      <c r="AV27" s="6" t="str">
        <f t="shared" si="2"/>
        <v>Catalog Record</v>
      </c>
      <c r="AW27" s="6" t="str">
        <f t="shared" si="3"/>
        <v>WorldCat Record</v>
      </c>
      <c r="AX27" s="3" t="s">
        <v>52756</v>
      </c>
      <c r="AY27" s="3" t="s">
        <v>52757</v>
      </c>
      <c r="AZ27" s="3" t="s">
        <v>52758</v>
      </c>
      <c r="BA27" s="3" t="s">
        <v>52758</v>
      </c>
      <c r="BB27" s="3" t="s">
        <v>52813</v>
      </c>
      <c r="BC27" s="3" t="s">
        <v>77</v>
      </c>
      <c r="BD27" s="3" t="s">
        <v>78</v>
      </c>
      <c r="BE27" s="3" t="s">
        <v>52760</v>
      </c>
      <c r="BF27" s="3" t="s">
        <v>52813</v>
      </c>
      <c r="BG27" s="3" t="s">
        <v>52814</v>
      </c>
      <c r="BH27">
        <f t="shared" si="0"/>
        <v>0</v>
      </c>
    </row>
    <row r="28" spans="1:60" ht="72.5" x14ac:dyDescent="0.35">
      <c r="A28" s="2" t="s">
        <v>6202</v>
      </c>
      <c r="B28" s="2" t="s">
        <v>6203</v>
      </c>
      <c r="C28" s="2" t="s">
        <v>52750</v>
      </c>
      <c r="D28" s="2" t="s">
        <v>52751</v>
      </c>
      <c r="E28" s="2" t="s">
        <v>52752</v>
      </c>
      <c r="F28" s="3" t="s">
        <v>52815</v>
      </c>
      <c r="G28" s="3" t="s">
        <v>128</v>
      </c>
      <c r="I28" s="3" t="s">
        <v>64</v>
      </c>
      <c r="J28" s="3" t="s">
        <v>64</v>
      </c>
      <c r="K28" s="3" t="s">
        <v>65</v>
      </c>
      <c r="L28" s="2" t="s">
        <v>41246</v>
      </c>
      <c r="M28" s="2" t="s">
        <v>52754</v>
      </c>
      <c r="N28" s="3" t="s">
        <v>1004</v>
      </c>
      <c r="P28" s="3" t="s">
        <v>68</v>
      </c>
      <c r="Q28" s="2" t="s">
        <v>52755</v>
      </c>
      <c r="R28" s="3" t="s">
        <v>70</v>
      </c>
      <c r="S28" s="4">
        <v>0</v>
      </c>
      <c r="T28" s="4">
        <v>4</v>
      </c>
      <c r="V28" s="5" t="s">
        <v>27601</v>
      </c>
      <c r="W28" s="5" t="s">
        <v>72</v>
      </c>
      <c r="X28" s="5" t="s">
        <v>72</v>
      </c>
      <c r="Y28" s="4">
        <v>220</v>
      </c>
      <c r="Z28" s="4">
        <v>24</v>
      </c>
      <c r="AA28" s="4">
        <v>33</v>
      </c>
      <c r="AB28" s="4">
        <v>1</v>
      </c>
      <c r="AC28" s="4">
        <v>7</v>
      </c>
      <c r="AD28" s="4">
        <v>101</v>
      </c>
      <c r="AE28" s="4">
        <v>107</v>
      </c>
      <c r="AF28" s="4">
        <v>0</v>
      </c>
      <c r="AG28" s="4">
        <v>4</v>
      </c>
      <c r="AH28" s="4">
        <v>89</v>
      </c>
      <c r="AI28" s="4">
        <v>91</v>
      </c>
      <c r="AJ28" s="4">
        <v>19</v>
      </c>
      <c r="AK28" s="4">
        <v>25</v>
      </c>
      <c r="AL28" s="4">
        <v>51</v>
      </c>
      <c r="AM28" s="4">
        <v>51</v>
      </c>
      <c r="AN28" s="4">
        <v>0</v>
      </c>
      <c r="AO28" s="4">
        <v>0</v>
      </c>
      <c r="AP28" s="4">
        <v>20</v>
      </c>
      <c r="AQ28" s="4">
        <v>25</v>
      </c>
      <c r="AR28" s="3" t="s">
        <v>64</v>
      </c>
      <c r="AS28" s="3" t="s">
        <v>64</v>
      </c>
      <c r="AT28" s="3" t="s">
        <v>128</v>
      </c>
      <c r="AU28" s="6" t="str">
        <f t="shared" si="1"/>
        <v>HathiTrust Record</v>
      </c>
      <c r="AV28" s="6" t="str">
        <f t="shared" si="2"/>
        <v>Catalog Record</v>
      </c>
      <c r="AW28" s="6" t="str">
        <f t="shared" si="3"/>
        <v>WorldCat Record</v>
      </c>
      <c r="AX28" s="3" t="s">
        <v>52756</v>
      </c>
      <c r="AY28" s="3" t="s">
        <v>52757</v>
      </c>
      <c r="AZ28" s="3" t="s">
        <v>52758</v>
      </c>
      <c r="BA28" s="3" t="s">
        <v>52758</v>
      </c>
      <c r="BB28" s="3" t="s">
        <v>52816</v>
      </c>
      <c r="BC28" s="3" t="s">
        <v>77</v>
      </c>
      <c r="BD28" s="3" t="s">
        <v>78</v>
      </c>
      <c r="BE28" s="3" t="s">
        <v>52760</v>
      </c>
      <c r="BF28" s="3" t="s">
        <v>52816</v>
      </c>
      <c r="BG28" s="3" t="s">
        <v>52817</v>
      </c>
      <c r="BH28">
        <f t="shared" si="0"/>
        <v>0</v>
      </c>
    </row>
    <row r="29" spans="1:60" ht="72.5" x14ac:dyDescent="0.35">
      <c r="A29" s="2" t="s">
        <v>6202</v>
      </c>
      <c r="B29" s="2" t="s">
        <v>6203</v>
      </c>
      <c r="C29" s="2" t="s">
        <v>52750</v>
      </c>
      <c r="D29" s="2" t="s">
        <v>52751</v>
      </c>
      <c r="E29" s="2" t="s">
        <v>52752</v>
      </c>
      <c r="F29" s="3" t="s">
        <v>52818</v>
      </c>
      <c r="G29" s="3" t="s">
        <v>128</v>
      </c>
      <c r="I29" s="3" t="s">
        <v>64</v>
      </c>
      <c r="J29" s="3" t="s">
        <v>64</v>
      </c>
      <c r="K29" s="3" t="s">
        <v>65</v>
      </c>
      <c r="L29" s="2" t="s">
        <v>41246</v>
      </c>
      <c r="M29" s="2" t="s">
        <v>52754</v>
      </c>
      <c r="N29" s="3" t="s">
        <v>1004</v>
      </c>
      <c r="P29" s="3" t="s">
        <v>68</v>
      </c>
      <c r="Q29" s="2" t="s">
        <v>52755</v>
      </c>
      <c r="R29" s="3" t="s">
        <v>70</v>
      </c>
      <c r="S29" s="4">
        <v>0</v>
      </c>
      <c r="T29" s="4">
        <v>4</v>
      </c>
      <c r="V29" s="5" t="s">
        <v>27601</v>
      </c>
      <c r="W29" s="5" t="s">
        <v>72</v>
      </c>
      <c r="X29" s="5" t="s">
        <v>72</v>
      </c>
      <c r="Y29" s="4">
        <v>220</v>
      </c>
      <c r="Z29" s="4">
        <v>24</v>
      </c>
      <c r="AA29" s="4">
        <v>33</v>
      </c>
      <c r="AB29" s="4">
        <v>1</v>
      </c>
      <c r="AC29" s="4">
        <v>7</v>
      </c>
      <c r="AD29" s="4">
        <v>101</v>
      </c>
      <c r="AE29" s="4">
        <v>107</v>
      </c>
      <c r="AF29" s="4">
        <v>0</v>
      </c>
      <c r="AG29" s="4">
        <v>4</v>
      </c>
      <c r="AH29" s="4">
        <v>89</v>
      </c>
      <c r="AI29" s="4">
        <v>91</v>
      </c>
      <c r="AJ29" s="4">
        <v>19</v>
      </c>
      <c r="AK29" s="4">
        <v>25</v>
      </c>
      <c r="AL29" s="4">
        <v>51</v>
      </c>
      <c r="AM29" s="4">
        <v>51</v>
      </c>
      <c r="AN29" s="4">
        <v>0</v>
      </c>
      <c r="AO29" s="4">
        <v>0</v>
      </c>
      <c r="AP29" s="4">
        <v>20</v>
      </c>
      <c r="AQ29" s="4">
        <v>25</v>
      </c>
      <c r="AR29" s="3" t="s">
        <v>64</v>
      </c>
      <c r="AS29" s="3" t="s">
        <v>64</v>
      </c>
      <c r="AT29" s="3" t="s">
        <v>128</v>
      </c>
      <c r="AU29" s="6" t="str">
        <f t="shared" si="1"/>
        <v>HathiTrust Record</v>
      </c>
      <c r="AV29" s="6" t="str">
        <f t="shared" si="2"/>
        <v>Catalog Record</v>
      </c>
      <c r="AW29" s="6" t="str">
        <f t="shared" si="3"/>
        <v>WorldCat Record</v>
      </c>
      <c r="AX29" s="3" t="s">
        <v>52756</v>
      </c>
      <c r="AY29" s="3" t="s">
        <v>52757</v>
      </c>
      <c r="AZ29" s="3" t="s">
        <v>52758</v>
      </c>
      <c r="BA29" s="3" t="s">
        <v>52758</v>
      </c>
      <c r="BB29" s="3" t="s">
        <v>52819</v>
      </c>
      <c r="BC29" s="3" t="s">
        <v>77</v>
      </c>
      <c r="BD29" s="3" t="s">
        <v>78</v>
      </c>
      <c r="BE29" s="3" t="s">
        <v>52760</v>
      </c>
      <c r="BF29" s="3" t="s">
        <v>52819</v>
      </c>
      <c r="BG29" s="3" t="s">
        <v>52820</v>
      </c>
      <c r="BH29">
        <f t="shared" si="0"/>
        <v>0</v>
      </c>
    </row>
    <row r="30" spans="1:60" ht="72.5" x14ac:dyDescent="0.35">
      <c r="A30" s="2" t="s">
        <v>6202</v>
      </c>
      <c r="B30" s="2" t="s">
        <v>6203</v>
      </c>
      <c r="C30" s="2" t="s">
        <v>52750</v>
      </c>
      <c r="D30" s="2" t="s">
        <v>52751</v>
      </c>
      <c r="E30" s="2" t="s">
        <v>52752</v>
      </c>
      <c r="F30" s="3" t="s">
        <v>41228</v>
      </c>
      <c r="G30" s="3" t="s">
        <v>128</v>
      </c>
      <c r="I30" s="3" t="s">
        <v>64</v>
      </c>
      <c r="J30" s="3" t="s">
        <v>64</v>
      </c>
      <c r="K30" s="3" t="s">
        <v>65</v>
      </c>
      <c r="L30" s="2" t="s">
        <v>41246</v>
      </c>
      <c r="M30" s="2" t="s">
        <v>52754</v>
      </c>
      <c r="N30" s="3" t="s">
        <v>1004</v>
      </c>
      <c r="P30" s="3" t="s">
        <v>68</v>
      </c>
      <c r="Q30" s="2" t="s">
        <v>52755</v>
      </c>
      <c r="R30" s="3" t="s">
        <v>70</v>
      </c>
      <c r="S30" s="4">
        <v>0</v>
      </c>
      <c r="T30" s="4">
        <v>4</v>
      </c>
      <c r="V30" s="5" t="s">
        <v>27601</v>
      </c>
      <c r="W30" s="5" t="s">
        <v>72</v>
      </c>
      <c r="X30" s="5" t="s">
        <v>72</v>
      </c>
      <c r="Y30" s="4">
        <v>220</v>
      </c>
      <c r="Z30" s="4">
        <v>24</v>
      </c>
      <c r="AA30" s="4">
        <v>33</v>
      </c>
      <c r="AB30" s="4">
        <v>1</v>
      </c>
      <c r="AC30" s="4">
        <v>7</v>
      </c>
      <c r="AD30" s="4">
        <v>101</v>
      </c>
      <c r="AE30" s="4">
        <v>107</v>
      </c>
      <c r="AF30" s="4">
        <v>0</v>
      </c>
      <c r="AG30" s="4">
        <v>4</v>
      </c>
      <c r="AH30" s="4">
        <v>89</v>
      </c>
      <c r="AI30" s="4">
        <v>91</v>
      </c>
      <c r="AJ30" s="4">
        <v>19</v>
      </c>
      <c r="AK30" s="4">
        <v>25</v>
      </c>
      <c r="AL30" s="4">
        <v>51</v>
      </c>
      <c r="AM30" s="4">
        <v>51</v>
      </c>
      <c r="AN30" s="4">
        <v>0</v>
      </c>
      <c r="AO30" s="4">
        <v>0</v>
      </c>
      <c r="AP30" s="4">
        <v>20</v>
      </c>
      <c r="AQ30" s="4">
        <v>25</v>
      </c>
      <c r="AR30" s="3" t="s">
        <v>64</v>
      </c>
      <c r="AS30" s="3" t="s">
        <v>64</v>
      </c>
      <c r="AT30" s="3" t="s">
        <v>128</v>
      </c>
      <c r="AU30" s="6" t="str">
        <f t="shared" si="1"/>
        <v>HathiTrust Record</v>
      </c>
      <c r="AV30" s="6" t="str">
        <f t="shared" si="2"/>
        <v>Catalog Record</v>
      </c>
      <c r="AW30" s="6" t="str">
        <f t="shared" si="3"/>
        <v>WorldCat Record</v>
      </c>
      <c r="AX30" s="3" t="s">
        <v>52756</v>
      </c>
      <c r="AY30" s="3" t="s">
        <v>52757</v>
      </c>
      <c r="AZ30" s="3" t="s">
        <v>52758</v>
      </c>
      <c r="BA30" s="3" t="s">
        <v>52758</v>
      </c>
      <c r="BB30" s="3" t="s">
        <v>52821</v>
      </c>
      <c r="BC30" s="3" t="s">
        <v>77</v>
      </c>
      <c r="BD30" s="3" t="s">
        <v>78</v>
      </c>
      <c r="BE30" s="3" t="s">
        <v>52760</v>
      </c>
      <c r="BF30" s="3" t="s">
        <v>52821</v>
      </c>
      <c r="BG30" s="3" t="s">
        <v>52822</v>
      </c>
      <c r="BH30">
        <f t="shared" si="0"/>
        <v>0</v>
      </c>
    </row>
    <row r="31" spans="1:60" ht="72.5" x14ac:dyDescent="0.35">
      <c r="A31" s="2" t="s">
        <v>6202</v>
      </c>
      <c r="B31" s="2" t="s">
        <v>6203</v>
      </c>
      <c r="C31" s="2" t="s">
        <v>52750</v>
      </c>
      <c r="D31" s="2" t="s">
        <v>52751</v>
      </c>
      <c r="E31" s="2" t="s">
        <v>52752</v>
      </c>
      <c r="F31" s="3" t="s">
        <v>52823</v>
      </c>
      <c r="G31" s="3" t="s">
        <v>128</v>
      </c>
      <c r="I31" s="3" t="s">
        <v>64</v>
      </c>
      <c r="J31" s="3" t="s">
        <v>64</v>
      </c>
      <c r="K31" s="3" t="s">
        <v>65</v>
      </c>
      <c r="L31" s="2" t="s">
        <v>41246</v>
      </c>
      <c r="M31" s="2" t="s">
        <v>52754</v>
      </c>
      <c r="N31" s="3" t="s">
        <v>1004</v>
      </c>
      <c r="P31" s="3" t="s">
        <v>68</v>
      </c>
      <c r="Q31" s="2" t="s">
        <v>52755</v>
      </c>
      <c r="R31" s="3" t="s">
        <v>70</v>
      </c>
      <c r="S31" s="4">
        <v>0</v>
      </c>
      <c r="T31" s="4">
        <v>4</v>
      </c>
      <c r="V31" s="5" t="s">
        <v>27601</v>
      </c>
      <c r="W31" s="5" t="s">
        <v>72</v>
      </c>
      <c r="X31" s="5" t="s">
        <v>72</v>
      </c>
      <c r="Y31" s="4">
        <v>220</v>
      </c>
      <c r="Z31" s="4">
        <v>24</v>
      </c>
      <c r="AA31" s="4">
        <v>33</v>
      </c>
      <c r="AB31" s="4">
        <v>1</v>
      </c>
      <c r="AC31" s="4">
        <v>7</v>
      </c>
      <c r="AD31" s="4">
        <v>101</v>
      </c>
      <c r="AE31" s="4">
        <v>107</v>
      </c>
      <c r="AF31" s="4">
        <v>0</v>
      </c>
      <c r="AG31" s="4">
        <v>4</v>
      </c>
      <c r="AH31" s="4">
        <v>89</v>
      </c>
      <c r="AI31" s="4">
        <v>91</v>
      </c>
      <c r="AJ31" s="4">
        <v>19</v>
      </c>
      <c r="AK31" s="4">
        <v>25</v>
      </c>
      <c r="AL31" s="4">
        <v>51</v>
      </c>
      <c r="AM31" s="4">
        <v>51</v>
      </c>
      <c r="AN31" s="4">
        <v>0</v>
      </c>
      <c r="AO31" s="4">
        <v>0</v>
      </c>
      <c r="AP31" s="4">
        <v>20</v>
      </c>
      <c r="AQ31" s="4">
        <v>25</v>
      </c>
      <c r="AR31" s="3" t="s">
        <v>64</v>
      </c>
      <c r="AS31" s="3" t="s">
        <v>64</v>
      </c>
      <c r="AT31" s="3" t="s">
        <v>128</v>
      </c>
      <c r="AU31" s="6" t="str">
        <f t="shared" si="1"/>
        <v>HathiTrust Record</v>
      </c>
      <c r="AV31" s="6" t="str">
        <f t="shared" si="2"/>
        <v>Catalog Record</v>
      </c>
      <c r="AW31" s="6" t="str">
        <f t="shared" si="3"/>
        <v>WorldCat Record</v>
      </c>
      <c r="AX31" s="3" t="s">
        <v>52756</v>
      </c>
      <c r="AY31" s="3" t="s">
        <v>52757</v>
      </c>
      <c r="AZ31" s="3" t="s">
        <v>52758</v>
      </c>
      <c r="BA31" s="3" t="s">
        <v>52758</v>
      </c>
      <c r="BB31" s="3" t="s">
        <v>52824</v>
      </c>
      <c r="BC31" s="3" t="s">
        <v>77</v>
      </c>
      <c r="BD31" s="3" t="s">
        <v>78</v>
      </c>
      <c r="BE31" s="3" t="s">
        <v>52760</v>
      </c>
      <c r="BF31" s="3" t="s">
        <v>52824</v>
      </c>
      <c r="BG31" s="3" t="s">
        <v>52825</v>
      </c>
      <c r="BH31">
        <f t="shared" si="0"/>
        <v>0</v>
      </c>
    </row>
    <row r="32" spans="1:60" ht="72.5" x14ac:dyDescent="0.35">
      <c r="A32" s="2" t="s">
        <v>6202</v>
      </c>
      <c r="B32" s="2" t="s">
        <v>6203</v>
      </c>
      <c r="C32" s="2" t="s">
        <v>52750</v>
      </c>
      <c r="D32" s="2" t="s">
        <v>52751</v>
      </c>
      <c r="E32" s="2" t="s">
        <v>52752</v>
      </c>
      <c r="F32" s="3" t="s">
        <v>52826</v>
      </c>
      <c r="G32" s="3" t="s">
        <v>128</v>
      </c>
      <c r="I32" s="3" t="s">
        <v>64</v>
      </c>
      <c r="J32" s="3" t="s">
        <v>64</v>
      </c>
      <c r="K32" s="3" t="s">
        <v>65</v>
      </c>
      <c r="L32" s="2" t="s">
        <v>41246</v>
      </c>
      <c r="M32" s="2" t="s">
        <v>52754</v>
      </c>
      <c r="N32" s="3" t="s">
        <v>1004</v>
      </c>
      <c r="P32" s="3" t="s">
        <v>68</v>
      </c>
      <c r="Q32" s="2" t="s">
        <v>52755</v>
      </c>
      <c r="R32" s="3" t="s">
        <v>70</v>
      </c>
      <c r="S32" s="4">
        <v>0</v>
      </c>
      <c r="T32" s="4">
        <v>4</v>
      </c>
      <c r="V32" s="5" t="s">
        <v>27601</v>
      </c>
      <c r="W32" s="5" t="s">
        <v>72</v>
      </c>
      <c r="X32" s="5" t="s">
        <v>72</v>
      </c>
      <c r="Y32" s="4">
        <v>220</v>
      </c>
      <c r="Z32" s="4">
        <v>24</v>
      </c>
      <c r="AA32" s="4">
        <v>33</v>
      </c>
      <c r="AB32" s="4">
        <v>1</v>
      </c>
      <c r="AC32" s="4">
        <v>7</v>
      </c>
      <c r="AD32" s="4">
        <v>101</v>
      </c>
      <c r="AE32" s="4">
        <v>107</v>
      </c>
      <c r="AF32" s="4">
        <v>0</v>
      </c>
      <c r="AG32" s="4">
        <v>4</v>
      </c>
      <c r="AH32" s="4">
        <v>89</v>
      </c>
      <c r="AI32" s="4">
        <v>91</v>
      </c>
      <c r="AJ32" s="4">
        <v>19</v>
      </c>
      <c r="AK32" s="4">
        <v>25</v>
      </c>
      <c r="AL32" s="4">
        <v>51</v>
      </c>
      <c r="AM32" s="4">
        <v>51</v>
      </c>
      <c r="AN32" s="4">
        <v>0</v>
      </c>
      <c r="AO32" s="4">
        <v>0</v>
      </c>
      <c r="AP32" s="4">
        <v>20</v>
      </c>
      <c r="AQ32" s="4">
        <v>25</v>
      </c>
      <c r="AR32" s="3" t="s">
        <v>64</v>
      </c>
      <c r="AS32" s="3" t="s">
        <v>64</v>
      </c>
      <c r="AT32" s="3" t="s">
        <v>128</v>
      </c>
      <c r="AU32" s="6" t="str">
        <f t="shared" si="1"/>
        <v>HathiTrust Record</v>
      </c>
      <c r="AV32" s="6" t="str">
        <f t="shared" si="2"/>
        <v>Catalog Record</v>
      </c>
      <c r="AW32" s="6" t="str">
        <f t="shared" si="3"/>
        <v>WorldCat Record</v>
      </c>
      <c r="AX32" s="3" t="s">
        <v>52756</v>
      </c>
      <c r="AY32" s="3" t="s">
        <v>52757</v>
      </c>
      <c r="AZ32" s="3" t="s">
        <v>52758</v>
      </c>
      <c r="BA32" s="3" t="s">
        <v>52758</v>
      </c>
      <c r="BB32" s="3" t="s">
        <v>52827</v>
      </c>
      <c r="BC32" s="3" t="s">
        <v>77</v>
      </c>
      <c r="BD32" s="3" t="s">
        <v>78</v>
      </c>
      <c r="BE32" s="3" t="s">
        <v>52760</v>
      </c>
      <c r="BF32" s="3" t="s">
        <v>52827</v>
      </c>
      <c r="BG32" s="3" t="s">
        <v>52828</v>
      </c>
      <c r="BH32">
        <f t="shared" si="0"/>
        <v>0</v>
      </c>
    </row>
    <row r="33" spans="1:60" ht="72.5" x14ac:dyDescent="0.35">
      <c r="A33" s="2" t="s">
        <v>6202</v>
      </c>
      <c r="B33" s="2" t="s">
        <v>6203</v>
      </c>
      <c r="C33" s="2" t="s">
        <v>52750</v>
      </c>
      <c r="D33" s="2" t="s">
        <v>52751</v>
      </c>
      <c r="E33" s="2" t="s">
        <v>52752</v>
      </c>
      <c r="F33" s="3" t="s">
        <v>52829</v>
      </c>
      <c r="G33" s="3" t="s">
        <v>128</v>
      </c>
      <c r="I33" s="3" t="s">
        <v>64</v>
      </c>
      <c r="J33" s="3" t="s">
        <v>64</v>
      </c>
      <c r="K33" s="3" t="s">
        <v>65</v>
      </c>
      <c r="L33" s="2" t="s">
        <v>41246</v>
      </c>
      <c r="M33" s="2" t="s">
        <v>52754</v>
      </c>
      <c r="N33" s="3" t="s">
        <v>1004</v>
      </c>
      <c r="P33" s="3" t="s">
        <v>68</v>
      </c>
      <c r="Q33" s="2" t="s">
        <v>52755</v>
      </c>
      <c r="R33" s="3" t="s">
        <v>70</v>
      </c>
      <c r="S33" s="4">
        <v>0</v>
      </c>
      <c r="T33" s="4">
        <v>4</v>
      </c>
      <c r="V33" s="5" t="s">
        <v>27601</v>
      </c>
      <c r="W33" s="5" t="s">
        <v>72</v>
      </c>
      <c r="X33" s="5" t="s">
        <v>72</v>
      </c>
      <c r="Y33" s="4">
        <v>220</v>
      </c>
      <c r="Z33" s="4">
        <v>24</v>
      </c>
      <c r="AA33" s="4">
        <v>33</v>
      </c>
      <c r="AB33" s="4">
        <v>1</v>
      </c>
      <c r="AC33" s="4">
        <v>7</v>
      </c>
      <c r="AD33" s="4">
        <v>101</v>
      </c>
      <c r="AE33" s="4">
        <v>107</v>
      </c>
      <c r="AF33" s="4">
        <v>0</v>
      </c>
      <c r="AG33" s="4">
        <v>4</v>
      </c>
      <c r="AH33" s="4">
        <v>89</v>
      </c>
      <c r="AI33" s="4">
        <v>91</v>
      </c>
      <c r="AJ33" s="4">
        <v>19</v>
      </c>
      <c r="AK33" s="4">
        <v>25</v>
      </c>
      <c r="AL33" s="4">
        <v>51</v>
      </c>
      <c r="AM33" s="4">
        <v>51</v>
      </c>
      <c r="AN33" s="4">
        <v>0</v>
      </c>
      <c r="AO33" s="4">
        <v>0</v>
      </c>
      <c r="AP33" s="4">
        <v>20</v>
      </c>
      <c r="AQ33" s="4">
        <v>25</v>
      </c>
      <c r="AR33" s="3" t="s">
        <v>64</v>
      </c>
      <c r="AS33" s="3" t="s">
        <v>64</v>
      </c>
      <c r="AT33" s="3" t="s">
        <v>128</v>
      </c>
      <c r="AU33" s="6" t="str">
        <f t="shared" si="1"/>
        <v>HathiTrust Record</v>
      </c>
      <c r="AV33" s="6" t="str">
        <f t="shared" si="2"/>
        <v>Catalog Record</v>
      </c>
      <c r="AW33" s="6" t="str">
        <f t="shared" si="3"/>
        <v>WorldCat Record</v>
      </c>
      <c r="AX33" s="3" t="s">
        <v>52756</v>
      </c>
      <c r="AY33" s="3" t="s">
        <v>52757</v>
      </c>
      <c r="AZ33" s="3" t="s">
        <v>52758</v>
      </c>
      <c r="BA33" s="3" t="s">
        <v>52758</v>
      </c>
      <c r="BB33" s="3" t="s">
        <v>52830</v>
      </c>
      <c r="BC33" s="3" t="s">
        <v>77</v>
      </c>
      <c r="BD33" s="3" t="s">
        <v>78</v>
      </c>
      <c r="BE33" s="3" t="s">
        <v>52760</v>
      </c>
      <c r="BF33" s="3" t="s">
        <v>52830</v>
      </c>
      <c r="BG33" s="3" t="s">
        <v>52831</v>
      </c>
      <c r="BH33">
        <f t="shared" si="0"/>
        <v>0</v>
      </c>
    </row>
    <row r="34" spans="1:60" ht="72.5" x14ac:dyDescent="0.35">
      <c r="A34" s="2" t="s">
        <v>6202</v>
      </c>
      <c r="B34" s="2" t="s">
        <v>6203</v>
      </c>
      <c r="C34" s="2" t="s">
        <v>52750</v>
      </c>
      <c r="D34" s="2" t="s">
        <v>52751</v>
      </c>
      <c r="E34" s="2" t="s">
        <v>52752</v>
      </c>
      <c r="F34" s="3" t="s">
        <v>52832</v>
      </c>
      <c r="G34" s="3" t="s">
        <v>128</v>
      </c>
      <c r="I34" s="3" t="s">
        <v>64</v>
      </c>
      <c r="J34" s="3" t="s">
        <v>64</v>
      </c>
      <c r="K34" s="3" t="s">
        <v>65</v>
      </c>
      <c r="L34" s="2" t="s">
        <v>41246</v>
      </c>
      <c r="M34" s="2" t="s">
        <v>52754</v>
      </c>
      <c r="N34" s="3" t="s">
        <v>1004</v>
      </c>
      <c r="P34" s="3" t="s">
        <v>68</v>
      </c>
      <c r="Q34" s="2" t="s">
        <v>52755</v>
      </c>
      <c r="R34" s="3" t="s">
        <v>70</v>
      </c>
      <c r="S34" s="4">
        <v>0</v>
      </c>
      <c r="T34" s="4">
        <v>4</v>
      </c>
      <c r="V34" s="5" t="s">
        <v>27601</v>
      </c>
      <c r="W34" s="5" t="s">
        <v>72</v>
      </c>
      <c r="X34" s="5" t="s">
        <v>72</v>
      </c>
      <c r="Y34" s="4">
        <v>220</v>
      </c>
      <c r="Z34" s="4">
        <v>24</v>
      </c>
      <c r="AA34" s="4">
        <v>33</v>
      </c>
      <c r="AB34" s="4">
        <v>1</v>
      </c>
      <c r="AC34" s="4">
        <v>7</v>
      </c>
      <c r="AD34" s="4">
        <v>101</v>
      </c>
      <c r="AE34" s="4">
        <v>107</v>
      </c>
      <c r="AF34" s="4">
        <v>0</v>
      </c>
      <c r="AG34" s="4">
        <v>4</v>
      </c>
      <c r="AH34" s="4">
        <v>89</v>
      </c>
      <c r="AI34" s="4">
        <v>91</v>
      </c>
      <c r="AJ34" s="4">
        <v>19</v>
      </c>
      <c r="AK34" s="4">
        <v>25</v>
      </c>
      <c r="AL34" s="4">
        <v>51</v>
      </c>
      <c r="AM34" s="4">
        <v>51</v>
      </c>
      <c r="AN34" s="4">
        <v>0</v>
      </c>
      <c r="AO34" s="4">
        <v>0</v>
      </c>
      <c r="AP34" s="4">
        <v>20</v>
      </c>
      <c r="AQ34" s="4">
        <v>25</v>
      </c>
      <c r="AR34" s="3" t="s">
        <v>64</v>
      </c>
      <c r="AS34" s="3" t="s">
        <v>64</v>
      </c>
      <c r="AT34" s="3" t="s">
        <v>128</v>
      </c>
      <c r="AU34" s="6" t="str">
        <f t="shared" si="1"/>
        <v>HathiTrust Record</v>
      </c>
      <c r="AV34" s="6" t="str">
        <f t="shared" si="2"/>
        <v>Catalog Record</v>
      </c>
      <c r="AW34" s="6" t="str">
        <f t="shared" si="3"/>
        <v>WorldCat Record</v>
      </c>
      <c r="AX34" s="3" t="s">
        <v>52756</v>
      </c>
      <c r="AY34" s="3" t="s">
        <v>52757</v>
      </c>
      <c r="AZ34" s="3" t="s">
        <v>52758</v>
      </c>
      <c r="BA34" s="3" t="s">
        <v>52758</v>
      </c>
      <c r="BB34" s="3" t="s">
        <v>52833</v>
      </c>
      <c r="BC34" s="3" t="s">
        <v>77</v>
      </c>
      <c r="BD34" s="3" t="s">
        <v>78</v>
      </c>
      <c r="BE34" s="3" t="s">
        <v>52760</v>
      </c>
      <c r="BF34" s="3" t="s">
        <v>52833</v>
      </c>
      <c r="BG34" s="3" t="s">
        <v>52834</v>
      </c>
      <c r="BH34">
        <f t="shared" si="0"/>
        <v>0</v>
      </c>
    </row>
    <row r="35" spans="1:60" ht="72.5" x14ac:dyDescent="0.35">
      <c r="A35" s="2" t="s">
        <v>6202</v>
      </c>
      <c r="B35" s="2" t="s">
        <v>6203</v>
      </c>
      <c r="C35" s="2" t="s">
        <v>52750</v>
      </c>
      <c r="D35" s="2" t="s">
        <v>52751</v>
      </c>
      <c r="E35" s="2" t="s">
        <v>52752</v>
      </c>
      <c r="F35" s="3" t="s">
        <v>52835</v>
      </c>
      <c r="G35" s="3" t="s">
        <v>128</v>
      </c>
      <c r="I35" s="3" t="s">
        <v>64</v>
      </c>
      <c r="J35" s="3" t="s">
        <v>64</v>
      </c>
      <c r="K35" s="3" t="s">
        <v>65</v>
      </c>
      <c r="L35" s="2" t="s">
        <v>41246</v>
      </c>
      <c r="M35" s="2" t="s">
        <v>52754</v>
      </c>
      <c r="N35" s="3" t="s">
        <v>1004</v>
      </c>
      <c r="P35" s="3" t="s">
        <v>68</v>
      </c>
      <c r="Q35" s="2" t="s">
        <v>52755</v>
      </c>
      <c r="R35" s="3" t="s">
        <v>70</v>
      </c>
      <c r="S35" s="4">
        <v>1</v>
      </c>
      <c r="T35" s="4">
        <v>4</v>
      </c>
      <c r="U35" s="5" t="s">
        <v>27601</v>
      </c>
      <c r="V35" s="5" t="s">
        <v>27601</v>
      </c>
      <c r="W35" s="5" t="s">
        <v>72</v>
      </c>
      <c r="X35" s="5" t="s">
        <v>72</v>
      </c>
      <c r="Y35" s="4">
        <v>220</v>
      </c>
      <c r="Z35" s="4">
        <v>24</v>
      </c>
      <c r="AA35" s="4">
        <v>33</v>
      </c>
      <c r="AB35" s="4">
        <v>1</v>
      </c>
      <c r="AC35" s="4">
        <v>7</v>
      </c>
      <c r="AD35" s="4">
        <v>101</v>
      </c>
      <c r="AE35" s="4">
        <v>107</v>
      </c>
      <c r="AF35" s="4">
        <v>0</v>
      </c>
      <c r="AG35" s="4">
        <v>4</v>
      </c>
      <c r="AH35" s="4">
        <v>89</v>
      </c>
      <c r="AI35" s="4">
        <v>91</v>
      </c>
      <c r="AJ35" s="4">
        <v>19</v>
      </c>
      <c r="AK35" s="4">
        <v>25</v>
      </c>
      <c r="AL35" s="4">
        <v>51</v>
      </c>
      <c r="AM35" s="4">
        <v>51</v>
      </c>
      <c r="AN35" s="4">
        <v>0</v>
      </c>
      <c r="AO35" s="4">
        <v>0</v>
      </c>
      <c r="AP35" s="4">
        <v>20</v>
      </c>
      <c r="AQ35" s="4">
        <v>25</v>
      </c>
      <c r="AR35" s="3" t="s">
        <v>64</v>
      </c>
      <c r="AS35" s="3" t="s">
        <v>64</v>
      </c>
      <c r="AT35" s="3" t="s">
        <v>128</v>
      </c>
      <c r="AU35" s="6" t="str">
        <f t="shared" si="1"/>
        <v>HathiTrust Record</v>
      </c>
      <c r="AV35" s="6" t="str">
        <f t="shared" si="2"/>
        <v>Catalog Record</v>
      </c>
      <c r="AW35" s="6" t="str">
        <f t="shared" si="3"/>
        <v>WorldCat Record</v>
      </c>
      <c r="AX35" s="3" t="s">
        <v>52756</v>
      </c>
      <c r="AY35" s="3" t="s">
        <v>52757</v>
      </c>
      <c r="AZ35" s="3" t="s">
        <v>52758</v>
      </c>
      <c r="BA35" s="3" t="s">
        <v>52758</v>
      </c>
      <c r="BB35" s="3" t="s">
        <v>52836</v>
      </c>
      <c r="BC35" s="3" t="s">
        <v>77</v>
      </c>
      <c r="BD35" s="3" t="s">
        <v>78</v>
      </c>
      <c r="BE35" s="3" t="s">
        <v>52760</v>
      </c>
      <c r="BF35" s="3" t="s">
        <v>52836</v>
      </c>
      <c r="BG35" s="3" t="s">
        <v>52837</v>
      </c>
      <c r="BH35">
        <f t="shared" si="0"/>
        <v>0</v>
      </c>
    </row>
    <row r="36" spans="1:60" ht="72.5" x14ac:dyDescent="0.35">
      <c r="A36" s="2" t="s">
        <v>6202</v>
      </c>
      <c r="B36" s="2" t="s">
        <v>6203</v>
      </c>
      <c r="C36" s="2" t="s">
        <v>52750</v>
      </c>
      <c r="D36" s="2" t="s">
        <v>52751</v>
      </c>
      <c r="E36" s="2" t="s">
        <v>52752</v>
      </c>
      <c r="F36" s="3" t="s">
        <v>52838</v>
      </c>
      <c r="G36" s="3" t="s">
        <v>128</v>
      </c>
      <c r="I36" s="3" t="s">
        <v>64</v>
      </c>
      <c r="J36" s="3" t="s">
        <v>64</v>
      </c>
      <c r="K36" s="3" t="s">
        <v>65</v>
      </c>
      <c r="L36" s="2" t="s">
        <v>41246</v>
      </c>
      <c r="M36" s="2" t="s">
        <v>52754</v>
      </c>
      <c r="N36" s="3" t="s">
        <v>1004</v>
      </c>
      <c r="P36" s="3" t="s">
        <v>68</v>
      </c>
      <c r="Q36" s="2" t="s">
        <v>52755</v>
      </c>
      <c r="R36" s="3" t="s">
        <v>70</v>
      </c>
      <c r="S36" s="4">
        <v>0</v>
      </c>
      <c r="T36" s="4">
        <v>4</v>
      </c>
      <c r="V36" s="5" t="s">
        <v>27601</v>
      </c>
      <c r="W36" s="5" t="s">
        <v>72</v>
      </c>
      <c r="X36" s="5" t="s">
        <v>72</v>
      </c>
      <c r="Y36" s="4">
        <v>220</v>
      </c>
      <c r="Z36" s="4">
        <v>24</v>
      </c>
      <c r="AA36" s="4">
        <v>33</v>
      </c>
      <c r="AB36" s="4">
        <v>1</v>
      </c>
      <c r="AC36" s="4">
        <v>7</v>
      </c>
      <c r="AD36" s="4">
        <v>101</v>
      </c>
      <c r="AE36" s="4">
        <v>107</v>
      </c>
      <c r="AF36" s="4">
        <v>0</v>
      </c>
      <c r="AG36" s="4">
        <v>4</v>
      </c>
      <c r="AH36" s="4">
        <v>89</v>
      </c>
      <c r="AI36" s="4">
        <v>91</v>
      </c>
      <c r="AJ36" s="4">
        <v>19</v>
      </c>
      <c r="AK36" s="4">
        <v>25</v>
      </c>
      <c r="AL36" s="4">
        <v>51</v>
      </c>
      <c r="AM36" s="4">
        <v>51</v>
      </c>
      <c r="AN36" s="4">
        <v>0</v>
      </c>
      <c r="AO36" s="4">
        <v>0</v>
      </c>
      <c r="AP36" s="4">
        <v>20</v>
      </c>
      <c r="AQ36" s="4">
        <v>25</v>
      </c>
      <c r="AR36" s="3" t="s">
        <v>64</v>
      </c>
      <c r="AS36" s="3" t="s">
        <v>64</v>
      </c>
      <c r="AT36" s="3" t="s">
        <v>128</v>
      </c>
      <c r="AU36" s="6" t="str">
        <f t="shared" si="1"/>
        <v>HathiTrust Record</v>
      </c>
      <c r="AV36" s="6" t="str">
        <f t="shared" si="2"/>
        <v>Catalog Record</v>
      </c>
      <c r="AW36" s="6" t="str">
        <f t="shared" si="3"/>
        <v>WorldCat Record</v>
      </c>
      <c r="AX36" s="3" t="s">
        <v>52756</v>
      </c>
      <c r="AY36" s="3" t="s">
        <v>52757</v>
      </c>
      <c r="AZ36" s="3" t="s">
        <v>52758</v>
      </c>
      <c r="BA36" s="3" t="s">
        <v>52758</v>
      </c>
      <c r="BB36" s="3" t="s">
        <v>52839</v>
      </c>
      <c r="BC36" s="3" t="s">
        <v>77</v>
      </c>
      <c r="BD36" s="3" t="s">
        <v>78</v>
      </c>
      <c r="BE36" s="3" t="s">
        <v>52760</v>
      </c>
      <c r="BF36" s="3" t="s">
        <v>52839</v>
      </c>
      <c r="BG36" s="3" t="s">
        <v>52840</v>
      </c>
      <c r="BH36">
        <f t="shared" si="0"/>
        <v>0</v>
      </c>
    </row>
    <row r="37" spans="1:60" ht="72.5" x14ac:dyDescent="0.35">
      <c r="A37" s="2" t="s">
        <v>6202</v>
      </c>
      <c r="B37" s="2" t="s">
        <v>6203</v>
      </c>
      <c r="C37" s="2" t="s">
        <v>52750</v>
      </c>
      <c r="D37" s="2" t="s">
        <v>52751</v>
      </c>
      <c r="E37" s="2" t="s">
        <v>52752</v>
      </c>
      <c r="F37" s="3" t="s">
        <v>52841</v>
      </c>
      <c r="G37" s="3" t="s">
        <v>128</v>
      </c>
      <c r="I37" s="3" t="s">
        <v>64</v>
      </c>
      <c r="J37" s="3" t="s">
        <v>64</v>
      </c>
      <c r="K37" s="3" t="s">
        <v>65</v>
      </c>
      <c r="L37" s="2" t="s">
        <v>41246</v>
      </c>
      <c r="M37" s="2" t="s">
        <v>52754</v>
      </c>
      <c r="N37" s="3" t="s">
        <v>1004</v>
      </c>
      <c r="P37" s="3" t="s">
        <v>68</v>
      </c>
      <c r="Q37" s="2" t="s">
        <v>52755</v>
      </c>
      <c r="R37" s="3" t="s">
        <v>70</v>
      </c>
      <c r="S37" s="4">
        <v>0</v>
      </c>
      <c r="T37" s="4">
        <v>4</v>
      </c>
      <c r="V37" s="5" t="s">
        <v>27601</v>
      </c>
      <c r="W37" s="5" t="s">
        <v>72</v>
      </c>
      <c r="X37" s="5" t="s">
        <v>72</v>
      </c>
      <c r="Y37" s="4">
        <v>220</v>
      </c>
      <c r="Z37" s="4">
        <v>24</v>
      </c>
      <c r="AA37" s="4">
        <v>33</v>
      </c>
      <c r="AB37" s="4">
        <v>1</v>
      </c>
      <c r="AC37" s="4">
        <v>7</v>
      </c>
      <c r="AD37" s="4">
        <v>101</v>
      </c>
      <c r="AE37" s="4">
        <v>107</v>
      </c>
      <c r="AF37" s="4">
        <v>0</v>
      </c>
      <c r="AG37" s="4">
        <v>4</v>
      </c>
      <c r="AH37" s="4">
        <v>89</v>
      </c>
      <c r="AI37" s="4">
        <v>91</v>
      </c>
      <c r="AJ37" s="4">
        <v>19</v>
      </c>
      <c r="AK37" s="4">
        <v>25</v>
      </c>
      <c r="AL37" s="4">
        <v>51</v>
      </c>
      <c r="AM37" s="4">
        <v>51</v>
      </c>
      <c r="AN37" s="4">
        <v>0</v>
      </c>
      <c r="AO37" s="4">
        <v>0</v>
      </c>
      <c r="AP37" s="4">
        <v>20</v>
      </c>
      <c r="AQ37" s="4">
        <v>25</v>
      </c>
      <c r="AR37" s="3" t="s">
        <v>64</v>
      </c>
      <c r="AS37" s="3" t="s">
        <v>64</v>
      </c>
      <c r="AT37" s="3" t="s">
        <v>128</v>
      </c>
      <c r="AU37" s="6" t="str">
        <f t="shared" si="1"/>
        <v>HathiTrust Record</v>
      </c>
      <c r="AV37" s="6" t="str">
        <f t="shared" si="2"/>
        <v>Catalog Record</v>
      </c>
      <c r="AW37" s="6" t="str">
        <f t="shared" si="3"/>
        <v>WorldCat Record</v>
      </c>
      <c r="AX37" s="3" t="s">
        <v>52756</v>
      </c>
      <c r="AY37" s="3" t="s">
        <v>52757</v>
      </c>
      <c r="AZ37" s="3" t="s">
        <v>52758</v>
      </c>
      <c r="BA37" s="3" t="s">
        <v>52758</v>
      </c>
      <c r="BB37" s="3" t="s">
        <v>52842</v>
      </c>
      <c r="BC37" s="3" t="s">
        <v>77</v>
      </c>
      <c r="BD37" s="3" t="s">
        <v>78</v>
      </c>
      <c r="BE37" s="3" t="s">
        <v>52760</v>
      </c>
      <c r="BF37" s="3" t="s">
        <v>52842</v>
      </c>
      <c r="BG37" s="3" t="s">
        <v>52843</v>
      </c>
      <c r="BH37">
        <f t="shared" si="0"/>
        <v>0</v>
      </c>
    </row>
    <row r="38" spans="1:60" ht="72.5" x14ac:dyDescent="0.35">
      <c r="A38" s="2" t="s">
        <v>6202</v>
      </c>
      <c r="B38" s="2" t="s">
        <v>6203</v>
      </c>
      <c r="C38" s="2" t="s">
        <v>52750</v>
      </c>
      <c r="D38" s="2" t="s">
        <v>52751</v>
      </c>
      <c r="E38" s="2" t="s">
        <v>52752</v>
      </c>
      <c r="F38" s="3" t="s">
        <v>52844</v>
      </c>
      <c r="G38" s="3" t="s">
        <v>128</v>
      </c>
      <c r="I38" s="3" t="s">
        <v>64</v>
      </c>
      <c r="J38" s="3" t="s">
        <v>64</v>
      </c>
      <c r="K38" s="3" t="s">
        <v>65</v>
      </c>
      <c r="L38" s="2" t="s">
        <v>41246</v>
      </c>
      <c r="M38" s="2" t="s">
        <v>52754</v>
      </c>
      <c r="N38" s="3" t="s">
        <v>1004</v>
      </c>
      <c r="P38" s="3" t="s">
        <v>68</v>
      </c>
      <c r="Q38" s="2" t="s">
        <v>52755</v>
      </c>
      <c r="R38" s="3" t="s">
        <v>70</v>
      </c>
      <c r="S38" s="4">
        <v>0</v>
      </c>
      <c r="T38" s="4">
        <v>4</v>
      </c>
      <c r="V38" s="5" t="s">
        <v>27601</v>
      </c>
      <c r="W38" s="5" t="s">
        <v>72</v>
      </c>
      <c r="X38" s="5" t="s">
        <v>72</v>
      </c>
      <c r="Y38" s="4">
        <v>220</v>
      </c>
      <c r="Z38" s="4">
        <v>24</v>
      </c>
      <c r="AA38" s="4">
        <v>33</v>
      </c>
      <c r="AB38" s="4">
        <v>1</v>
      </c>
      <c r="AC38" s="4">
        <v>7</v>
      </c>
      <c r="AD38" s="4">
        <v>101</v>
      </c>
      <c r="AE38" s="4">
        <v>107</v>
      </c>
      <c r="AF38" s="4">
        <v>0</v>
      </c>
      <c r="AG38" s="4">
        <v>4</v>
      </c>
      <c r="AH38" s="4">
        <v>89</v>
      </c>
      <c r="AI38" s="4">
        <v>91</v>
      </c>
      <c r="AJ38" s="4">
        <v>19</v>
      </c>
      <c r="AK38" s="4">
        <v>25</v>
      </c>
      <c r="AL38" s="4">
        <v>51</v>
      </c>
      <c r="AM38" s="4">
        <v>51</v>
      </c>
      <c r="AN38" s="4">
        <v>0</v>
      </c>
      <c r="AO38" s="4">
        <v>0</v>
      </c>
      <c r="AP38" s="4">
        <v>20</v>
      </c>
      <c r="AQ38" s="4">
        <v>25</v>
      </c>
      <c r="AR38" s="3" t="s">
        <v>64</v>
      </c>
      <c r="AS38" s="3" t="s">
        <v>64</v>
      </c>
      <c r="AT38" s="3" t="s">
        <v>128</v>
      </c>
      <c r="AU38" s="6" t="str">
        <f t="shared" si="1"/>
        <v>HathiTrust Record</v>
      </c>
      <c r="AV38" s="6" t="str">
        <f t="shared" si="2"/>
        <v>Catalog Record</v>
      </c>
      <c r="AW38" s="6" t="str">
        <f t="shared" si="3"/>
        <v>WorldCat Record</v>
      </c>
      <c r="AX38" s="3" t="s">
        <v>52756</v>
      </c>
      <c r="AY38" s="3" t="s">
        <v>52757</v>
      </c>
      <c r="AZ38" s="3" t="s">
        <v>52758</v>
      </c>
      <c r="BA38" s="3" t="s">
        <v>52758</v>
      </c>
      <c r="BB38" s="3" t="s">
        <v>52845</v>
      </c>
      <c r="BC38" s="3" t="s">
        <v>77</v>
      </c>
      <c r="BD38" s="3" t="s">
        <v>78</v>
      </c>
      <c r="BE38" s="3" t="s">
        <v>52760</v>
      </c>
      <c r="BF38" s="3" t="s">
        <v>52845</v>
      </c>
      <c r="BG38" s="3" t="s">
        <v>52846</v>
      </c>
      <c r="BH38">
        <f t="shared" si="0"/>
        <v>0</v>
      </c>
    </row>
    <row r="39" spans="1:60" ht="72.5" x14ac:dyDescent="0.35">
      <c r="A39" s="2" t="s">
        <v>6202</v>
      </c>
      <c r="B39" s="2" t="s">
        <v>6203</v>
      </c>
      <c r="C39" s="2" t="s">
        <v>52750</v>
      </c>
      <c r="D39" s="2" t="s">
        <v>52751</v>
      </c>
      <c r="E39" s="2" t="s">
        <v>52752</v>
      </c>
      <c r="F39" s="3" t="s">
        <v>52847</v>
      </c>
      <c r="G39" s="3" t="s">
        <v>128</v>
      </c>
      <c r="I39" s="3" t="s">
        <v>64</v>
      </c>
      <c r="J39" s="3" t="s">
        <v>64</v>
      </c>
      <c r="K39" s="3" t="s">
        <v>65</v>
      </c>
      <c r="L39" s="2" t="s">
        <v>41246</v>
      </c>
      <c r="M39" s="2" t="s">
        <v>52754</v>
      </c>
      <c r="N39" s="3" t="s">
        <v>1004</v>
      </c>
      <c r="P39" s="3" t="s">
        <v>68</v>
      </c>
      <c r="Q39" s="2" t="s">
        <v>52755</v>
      </c>
      <c r="R39" s="3" t="s">
        <v>70</v>
      </c>
      <c r="S39" s="4">
        <v>1</v>
      </c>
      <c r="T39" s="4">
        <v>4</v>
      </c>
      <c r="U39" s="5" t="s">
        <v>27601</v>
      </c>
      <c r="V39" s="5" t="s">
        <v>27601</v>
      </c>
      <c r="W39" s="5" t="s">
        <v>72</v>
      </c>
      <c r="X39" s="5" t="s">
        <v>72</v>
      </c>
      <c r="Y39" s="4">
        <v>220</v>
      </c>
      <c r="Z39" s="4">
        <v>24</v>
      </c>
      <c r="AA39" s="4">
        <v>33</v>
      </c>
      <c r="AB39" s="4">
        <v>1</v>
      </c>
      <c r="AC39" s="4">
        <v>7</v>
      </c>
      <c r="AD39" s="4">
        <v>101</v>
      </c>
      <c r="AE39" s="4">
        <v>107</v>
      </c>
      <c r="AF39" s="4">
        <v>0</v>
      </c>
      <c r="AG39" s="4">
        <v>4</v>
      </c>
      <c r="AH39" s="4">
        <v>89</v>
      </c>
      <c r="AI39" s="4">
        <v>91</v>
      </c>
      <c r="AJ39" s="4">
        <v>19</v>
      </c>
      <c r="AK39" s="4">
        <v>25</v>
      </c>
      <c r="AL39" s="4">
        <v>51</v>
      </c>
      <c r="AM39" s="4">
        <v>51</v>
      </c>
      <c r="AN39" s="4">
        <v>0</v>
      </c>
      <c r="AO39" s="4">
        <v>0</v>
      </c>
      <c r="AP39" s="4">
        <v>20</v>
      </c>
      <c r="AQ39" s="4">
        <v>25</v>
      </c>
      <c r="AR39" s="3" t="s">
        <v>64</v>
      </c>
      <c r="AS39" s="3" t="s">
        <v>64</v>
      </c>
      <c r="AT39" s="3" t="s">
        <v>128</v>
      </c>
      <c r="AU39" s="6" t="str">
        <f t="shared" si="1"/>
        <v>HathiTrust Record</v>
      </c>
      <c r="AV39" s="6" t="str">
        <f t="shared" si="2"/>
        <v>Catalog Record</v>
      </c>
      <c r="AW39" s="6" t="str">
        <f t="shared" si="3"/>
        <v>WorldCat Record</v>
      </c>
      <c r="AX39" s="3" t="s">
        <v>52756</v>
      </c>
      <c r="AY39" s="3" t="s">
        <v>52757</v>
      </c>
      <c r="AZ39" s="3" t="s">
        <v>52758</v>
      </c>
      <c r="BA39" s="3" t="s">
        <v>52758</v>
      </c>
      <c r="BB39" s="3" t="s">
        <v>52848</v>
      </c>
      <c r="BC39" s="3" t="s">
        <v>77</v>
      </c>
      <c r="BD39" s="3" t="s">
        <v>78</v>
      </c>
      <c r="BE39" s="3" t="s">
        <v>52760</v>
      </c>
      <c r="BF39" s="3" t="s">
        <v>52848</v>
      </c>
      <c r="BG39" s="3" t="s">
        <v>52849</v>
      </c>
      <c r="BH39">
        <f t="shared" si="0"/>
        <v>0</v>
      </c>
    </row>
    <row r="40" spans="1:60" ht="72.5" x14ac:dyDescent="0.35">
      <c r="A40" s="2" t="s">
        <v>6202</v>
      </c>
      <c r="B40" s="2" t="s">
        <v>6203</v>
      </c>
      <c r="C40" s="2" t="s">
        <v>52750</v>
      </c>
      <c r="D40" s="2" t="s">
        <v>52751</v>
      </c>
      <c r="E40" s="2" t="s">
        <v>52752</v>
      </c>
      <c r="F40" s="3" t="s">
        <v>52850</v>
      </c>
      <c r="G40" s="3" t="s">
        <v>128</v>
      </c>
      <c r="I40" s="3" t="s">
        <v>64</v>
      </c>
      <c r="J40" s="3" t="s">
        <v>64</v>
      </c>
      <c r="K40" s="3" t="s">
        <v>65</v>
      </c>
      <c r="L40" s="2" t="s">
        <v>41246</v>
      </c>
      <c r="M40" s="2" t="s">
        <v>52754</v>
      </c>
      <c r="N40" s="3" t="s">
        <v>1004</v>
      </c>
      <c r="P40" s="3" t="s">
        <v>68</v>
      </c>
      <c r="Q40" s="2" t="s">
        <v>52755</v>
      </c>
      <c r="R40" s="3" t="s">
        <v>70</v>
      </c>
      <c r="S40" s="4">
        <v>0</v>
      </c>
      <c r="T40" s="4">
        <v>4</v>
      </c>
      <c r="V40" s="5" t="s">
        <v>27601</v>
      </c>
      <c r="W40" s="5" t="s">
        <v>72</v>
      </c>
      <c r="X40" s="5" t="s">
        <v>72</v>
      </c>
      <c r="Y40" s="4">
        <v>220</v>
      </c>
      <c r="Z40" s="4">
        <v>24</v>
      </c>
      <c r="AA40" s="4">
        <v>33</v>
      </c>
      <c r="AB40" s="4">
        <v>1</v>
      </c>
      <c r="AC40" s="4">
        <v>7</v>
      </c>
      <c r="AD40" s="4">
        <v>101</v>
      </c>
      <c r="AE40" s="4">
        <v>107</v>
      </c>
      <c r="AF40" s="4">
        <v>0</v>
      </c>
      <c r="AG40" s="4">
        <v>4</v>
      </c>
      <c r="AH40" s="4">
        <v>89</v>
      </c>
      <c r="AI40" s="4">
        <v>91</v>
      </c>
      <c r="AJ40" s="4">
        <v>19</v>
      </c>
      <c r="AK40" s="4">
        <v>25</v>
      </c>
      <c r="AL40" s="4">
        <v>51</v>
      </c>
      <c r="AM40" s="4">
        <v>51</v>
      </c>
      <c r="AN40" s="4">
        <v>0</v>
      </c>
      <c r="AO40" s="4">
        <v>0</v>
      </c>
      <c r="AP40" s="4">
        <v>20</v>
      </c>
      <c r="AQ40" s="4">
        <v>25</v>
      </c>
      <c r="AR40" s="3" t="s">
        <v>64</v>
      </c>
      <c r="AS40" s="3" t="s">
        <v>64</v>
      </c>
      <c r="AT40" s="3" t="s">
        <v>128</v>
      </c>
      <c r="AU40" s="6" t="str">
        <f t="shared" si="1"/>
        <v>HathiTrust Record</v>
      </c>
      <c r="AV40" s="6" t="str">
        <f t="shared" si="2"/>
        <v>Catalog Record</v>
      </c>
      <c r="AW40" s="6" t="str">
        <f t="shared" si="3"/>
        <v>WorldCat Record</v>
      </c>
      <c r="AX40" s="3" t="s">
        <v>52756</v>
      </c>
      <c r="AY40" s="3" t="s">
        <v>52757</v>
      </c>
      <c r="AZ40" s="3" t="s">
        <v>52758</v>
      </c>
      <c r="BA40" s="3" t="s">
        <v>52758</v>
      </c>
      <c r="BB40" s="3" t="s">
        <v>52851</v>
      </c>
      <c r="BC40" s="3" t="s">
        <v>77</v>
      </c>
      <c r="BD40" s="3" t="s">
        <v>78</v>
      </c>
      <c r="BE40" s="3" t="s">
        <v>52760</v>
      </c>
      <c r="BF40" s="3" t="s">
        <v>52851</v>
      </c>
      <c r="BG40" s="3" t="s">
        <v>52852</v>
      </c>
      <c r="BH40">
        <f t="shared" si="0"/>
        <v>0</v>
      </c>
    </row>
    <row r="41" spans="1:60" ht="58" x14ac:dyDescent="0.35">
      <c r="A41" s="2" t="s">
        <v>59</v>
      </c>
      <c r="B41" s="2" t="s">
        <v>60</v>
      </c>
      <c r="C41" s="2" t="s">
        <v>61</v>
      </c>
      <c r="D41" s="2" t="s">
        <v>62</v>
      </c>
      <c r="E41" s="2" t="s">
        <v>63</v>
      </c>
      <c r="G41" s="3" t="s">
        <v>64</v>
      </c>
      <c r="I41" s="3" t="s">
        <v>64</v>
      </c>
      <c r="J41" s="3" t="s">
        <v>64</v>
      </c>
      <c r="K41" s="3" t="s">
        <v>65</v>
      </c>
      <c r="M41" s="2" t="s">
        <v>66</v>
      </c>
      <c r="N41" s="3" t="s">
        <v>67</v>
      </c>
      <c r="P41" s="3" t="s">
        <v>68</v>
      </c>
      <c r="Q41" s="2" t="s">
        <v>69</v>
      </c>
      <c r="R41" s="3" t="s">
        <v>70</v>
      </c>
      <c r="S41" s="4">
        <v>1</v>
      </c>
      <c r="T41" s="4">
        <v>1</v>
      </c>
      <c r="U41" s="5" t="s">
        <v>71</v>
      </c>
      <c r="V41" s="5" t="s">
        <v>71</v>
      </c>
      <c r="W41" s="5" t="s">
        <v>72</v>
      </c>
      <c r="X41" s="5" t="s">
        <v>72</v>
      </c>
      <c r="Y41" s="4">
        <v>28</v>
      </c>
      <c r="Z41" s="4">
        <v>4</v>
      </c>
      <c r="AA41" s="4">
        <v>14</v>
      </c>
      <c r="AB41" s="4">
        <v>1</v>
      </c>
      <c r="AC41" s="4">
        <v>7</v>
      </c>
      <c r="AD41" s="4">
        <v>12</v>
      </c>
      <c r="AE41" s="4">
        <v>23</v>
      </c>
      <c r="AF41" s="4">
        <v>0</v>
      </c>
      <c r="AG41" s="4">
        <v>3</v>
      </c>
      <c r="AH41" s="4">
        <v>11</v>
      </c>
      <c r="AI41" s="4">
        <v>16</v>
      </c>
      <c r="AJ41" s="4">
        <v>2</v>
      </c>
      <c r="AK41" s="4">
        <v>8</v>
      </c>
      <c r="AL41" s="4">
        <v>8</v>
      </c>
      <c r="AM41" s="4">
        <v>10</v>
      </c>
      <c r="AN41" s="4">
        <v>0</v>
      </c>
      <c r="AO41" s="4">
        <v>0</v>
      </c>
      <c r="AP41" s="4">
        <v>2</v>
      </c>
      <c r="AQ41" s="4">
        <v>8</v>
      </c>
      <c r="AR41" s="3" t="s">
        <v>64</v>
      </c>
      <c r="AS41" s="3" t="s">
        <v>64</v>
      </c>
      <c r="AT41" s="3" t="s">
        <v>64</v>
      </c>
      <c r="AV41" s="6" t="str">
        <f>HYPERLINK("http://mcgill.on.worldcat.org/oclc/875868282","Catalog Record")</f>
        <v>Catalog Record</v>
      </c>
      <c r="AW41" s="6" t="str">
        <f>HYPERLINK("http://www.worldcat.org/oclc/875868282","WorldCat Record")</f>
        <v>WorldCat Record</v>
      </c>
      <c r="AX41" s="3" t="s">
        <v>73</v>
      </c>
      <c r="AY41" s="3" t="s">
        <v>74</v>
      </c>
      <c r="AZ41" s="3" t="s">
        <v>75</v>
      </c>
      <c r="BA41" s="3" t="s">
        <v>75</v>
      </c>
      <c r="BB41" s="3" t="s">
        <v>76</v>
      </c>
      <c r="BC41" s="3" t="s">
        <v>77</v>
      </c>
      <c r="BD41" s="3" t="s">
        <v>78</v>
      </c>
      <c r="BE41" s="3" t="s">
        <v>79</v>
      </c>
      <c r="BF41" s="3" t="s">
        <v>76</v>
      </c>
      <c r="BG41" s="3" t="s">
        <v>80</v>
      </c>
      <c r="BH41">
        <f t="shared" si="0"/>
        <v>0</v>
      </c>
    </row>
    <row r="42" spans="1:60" ht="58" x14ac:dyDescent="0.35">
      <c r="A42" s="2" t="s">
        <v>59</v>
      </c>
      <c r="B42" s="2" t="s">
        <v>60</v>
      </c>
      <c r="C42" s="2" t="s">
        <v>81</v>
      </c>
      <c r="D42" s="2" t="s">
        <v>82</v>
      </c>
      <c r="E42" s="2" t="s">
        <v>83</v>
      </c>
      <c r="G42" s="3" t="s">
        <v>64</v>
      </c>
      <c r="I42" s="3" t="s">
        <v>64</v>
      </c>
      <c r="J42" s="3" t="s">
        <v>64</v>
      </c>
      <c r="K42" s="3" t="s">
        <v>65</v>
      </c>
      <c r="L42" s="2" t="s">
        <v>84</v>
      </c>
      <c r="M42" s="2" t="s">
        <v>85</v>
      </c>
      <c r="N42" s="3" t="s">
        <v>86</v>
      </c>
      <c r="O42" s="2" t="s">
        <v>87</v>
      </c>
      <c r="P42" s="3" t="s">
        <v>68</v>
      </c>
      <c r="Q42" s="2" t="s">
        <v>88</v>
      </c>
      <c r="R42" s="3" t="s">
        <v>70</v>
      </c>
      <c r="S42" s="4">
        <v>3</v>
      </c>
      <c r="T42" s="4">
        <v>3</v>
      </c>
      <c r="U42" s="5" t="s">
        <v>89</v>
      </c>
      <c r="V42" s="5" t="s">
        <v>89</v>
      </c>
      <c r="W42" s="5" t="s">
        <v>72</v>
      </c>
      <c r="X42" s="5" t="s">
        <v>72</v>
      </c>
      <c r="Y42" s="4">
        <v>12</v>
      </c>
      <c r="Z42" s="4">
        <v>3</v>
      </c>
      <c r="AA42" s="4">
        <v>9</v>
      </c>
      <c r="AB42" s="4">
        <v>1</v>
      </c>
      <c r="AC42" s="4">
        <v>6</v>
      </c>
      <c r="AD42" s="4">
        <v>3</v>
      </c>
      <c r="AE42" s="4">
        <v>7</v>
      </c>
      <c r="AF42" s="4">
        <v>0</v>
      </c>
      <c r="AG42" s="4">
        <v>3</v>
      </c>
      <c r="AH42" s="4">
        <v>2</v>
      </c>
      <c r="AI42" s="4">
        <v>4</v>
      </c>
      <c r="AJ42" s="4">
        <v>1</v>
      </c>
      <c r="AK42" s="4">
        <v>5</v>
      </c>
      <c r="AL42" s="4">
        <v>1</v>
      </c>
      <c r="AM42" s="4">
        <v>1</v>
      </c>
      <c r="AN42" s="4">
        <v>0</v>
      </c>
      <c r="AO42" s="4">
        <v>0</v>
      </c>
      <c r="AP42" s="4">
        <v>1</v>
      </c>
      <c r="AQ42" s="4">
        <v>4</v>
      </c>
      <c r="AR42" s="3" t="s">
        <v>64</v>
      </c>
      <c r="AS42" s="3" t="s">
        <v>64</v>
      </c>
      <c r="AT42" s="3" t="s">
        <v>64</v>
      </c>
      <c r="AV42" s="6" t="str">
        <f>HYPERLINK("http://mcgill.on.worldcat.org/oclc/806198387","Catalog Record")</f>
        <v>Catalog Record</v>
      </c>
      <c r="AW42" s="6" t="str">
        <f>HYPERLINK("http://www.worldcat.org/oclc/806198387","WorldCat Record")</f>
        <v>WorldCat Record</v>
      </c>
      <c r="AX42" s="3" t="s">
        <v>90</v>
      </c>
      <c r="AY42" s="3" t="s">
        <v>91</v>
      </c>
      <c r="AZ42" s="3" t="s">
        <v>92</v>
      </c>
      <c r="BA42" s="3" t="s">
        <v>92</v>
      </c>
      <c r="BB42" s="3" t="s">
        <v>93</v>
      </c>
      <c r="BC42" s="3" t="s">
        <v>77</v>
      </c>
      <c r="BD42" s="3" t="s">
        <v>78</v>
      </c>
      <c r="BE42" s="3" t="s">
        <v>94</v>
      </c>
      <c r="BF42" s="3" t="s">
        <v>93</v>
      </c>
      <c r="BG42" s="3" t="s">
        <v>95</v>
      </c>
      <c r="BH42">
        <f t="shared" si="0"/>
        <v>0</v>
      </c>
    </row>
    <row r="43" spans="1:60" ht="58" x14ac:dyDescent="0.35">
      <c r="A43" s="2" t="s">
        <v>59</v>
      </c>
      <c r="B43" s="2" t="s">
        <v>60</v>
      </c>
      <c r="C43" s="2" t="s">
        <v>96</v>
      </c>
      <c r="D43" s="2" t="s">
        <v>97</v>
      </c>
      <c r="E43" s="2" t="s">
        <v>98</v>
      </c>
      <c r="G43" s="3" t="s">
        <v>64</v>
      </c>
      <c r="I43" s="3" t="s">
        <v>64</v>
      </c>
      <c r="J43" s="3" t="s">
        <v>64</v>
      </c>
      <c r="K43" s="3" t="s">
        <v>65</v>
      </c>
      <c r="L43" s="2" t="s">
        <v>99</v>
      </c>
      <c r="M43" s="2" t="s">
        <v>100</v>
      </c>
      <c r="N43" s="3" t="s">
        <v>101</v>
      </c>
      <c r="P43" s="3" t="s">
        <v>102</v>
      </c>
      <c r="Q43" s="2" t="s">
        <v>103</v>
      </c>
      <c r="R43" s="3" t="s">
        <v>70</v>
      </c>
      <c r="S43" s="4">
        <v>25</v>
      </c>
      <c r="T43" s="4">
        <v>25</v>
      </c>
      <c r="U43" s="5" t="s">
        <v>104</v>
      </c>
      <c r="V43" s="5" t="s">
        <v>104</v>
      </c>
      <c r="W43" s="5" t="s">
        <v>72</v>
      </c>
      <c r="X43" s="5" t="s">
        <v>72</v>
      </c>
      <c r="Y43" s="4">
        <v>226</v>
      </c>
      <c r="Z43" s="4">
        <v>27</v>
      </c>
      <c r="AA43" s="4">
        <v>27</v>
      </c>
      <c r="AB43" s="4">
        <v>3</v>
      </c>
      <c r="AC43" s="4">
        <v>3</v>
      </c>
      <c r="AD43" s="4">
        <v>90</v>
      </c>
      <c r="AE43" s="4">
        <v>90</v>
      </c>
      <c r="AF43" s="4">
        <v>1</v>
      </c>
      <c r="AG43" s="4">
        <v>1</v>
      </c>
      <c r="AH43" s="4">
        <v>76</v>
      </c>
      <c r="AI43" s="4">
        <v>76</v>
      </c>
      <c r="AJ43" s="4">
        <v>15</v>
      </c>
      <c r="AK43" s="4">
        <v>15</v>
      </c>
      <c r="AL43" s="4">
        <v>49</v>
      </c>
      <c r="AM43" s="4">
        <v>49</v>
      </c>
      <c r="AN43" s="4">
        <v>0</v>
      </c>
      <c r="AO43" s="4">
        <v>0</v>
      </c>
      <c r="AP43" s="4">
        <v>17</v>
      </c>
      <c r="AQ43" s="4">
        <v>17</v>
      </c>
      <c r="AR43" s="3" t="s">
        <v>64</v>
      </c>
      <c r="AS43" s="3" t="s">
        <v>64</v>
      </c>
      <c r="AT43" s="3" t="s">
        <v>64</v>
      </c>
      <c r="AV43" s="6" t="str">
        <f>HYPERLINK("http://mcgill.on.worldcat.org/oclc/50935804","Catalog Record")</f>
        <v>Catalog Record</v>
      </c>
      <c r="AW43" s="6" t="str">
        <f>HYPERLINK("http://www.worldcat.org/oclc/50935804","WorldCat Record")</f>
        <v>WorldCat Record</v>
      </c>
      <c r="AX43" s="3" t="s">
        <v>105</v>
      </c>
      <c r="AY43" s="3" t="s">
        <v>106</v>
      </c>
      <c r="AZ43" s="3" t="s">
        <v>107</v>
      </c>
      <c r="BA43" s="3" t="s">
        <v>107</v>
      </c>
      <c r="BB43" s="3" t="s">
        <v>108</v>
      </c>
      <c r="BC43" s="3" t="s">
        <v>77</v>
      </c>
      <c r="BD43" s="3" t="s">
        <v>78</v>
      </c>
      <c r="BE43" s="3" t="s">
        <v>109</v>
      </c>
      <c r="BF43" s="3" t="s">
        <v>108</v>
      </c>
      <c r="BG43" s="3" t="s">
        <v>110</v>
      </c>
      <c r="BH43">
        <f t="shared" si="0"/>
        <v>0</v>
      </c>
    </row>
    <row r="44" spans="1:60" ht="58" x14ac:dyDescent="0.35">
      <c r="A44" s="2" t="s">
        <v>59</v>
      </c>
      <c r="B44" s="2" t="s">
        <v>60</v>
      </c>
      <c r="C44" s="2" t="s">
        <v>111</v>
      </c>
      <c r="D44" s="2" t="s">
        <v>112</v>
      </c>
      <c r="E44" s="2" t="s">
        <v>113</v>
      </c>
      <c r="G44" s="3" t="s">
        <v>64</v>
      </c>
      <c r="I44" s="3" t="s">
        <v>64</v>
      </c>
      <c r="J44" s="3" t="s">
        <v>64</v>
      </c>
      <c r="K44" s="3" t="s">
        <v>65</v>
      </c>
      <c r="L44" s="2" t="s">
        <v>114</v>
      </c>
      <c r="M44" s="2" t="s">
        <v>115</v>
      </c>
      <c r="N44" s="3" t="s">
        <v>116</v>
      </c>
      <c r="O44" s="2" t="s">
        <v>117</v>
      </c>
      <c r="P44" s="3" t="s">
        <v>102</v>
      </c>
      <c r="R44" s="3" t="s">
        <v>70</v>
      </c>
      <c r="S44" s="4">
        <v>11</v>
      </c>
      <c r="T44" s="4">
        <v>11</v>
      </c>
      <c r="U44" s="5" t="s">
        <v>118</v>
      </c>
      <c r="V44" s="5" t="s">
        <v>118</v>
      </c>
      <c r="W44" s="5" t="s">
        <v>72</v>
      </c>
      <c r="X44" s="5" t="s">
        <v>72</v>
      </c>
      <c r="Y44" s="4">
        <v>938</v>
      </c>
      <c r="Z44" s="4">
        <v>29</v>
      </c>
      <c r="AA44" s="4">
        <v>31</v>
      </c>
      <c r="AB44" s="4">
        <v>3</v>
      </c>
      <c r="AC44" s="4">
        <v>4</v>
      </c>
      <c r="AD44" s="4">
        <v>101</v>
      </c>
      <c r="AE44" s="4">
        <v>102</v>
      </c>
      <c r="AF44" s="4">
        <v>0</v>
      </c>
      <c r="AG44" s="4">
        <v>1</v>
      </c>
      <c r="AH44" s="4">
        <v>95</v>
      </c>
      <c r="AI44" s="4">
        <v>95</v>
      </c>
      <c r="AJ44" s="4">
        <v>8</v>
      </c>
      <c r="AK44" s="4">
        <v>9</v>
      </c>
      <c r="AL44" s="4">
        <v>52</v>
      </c>
      <c r="AM44" s="4">
        <v>52</v>
      </c>
      <c r="AN44" s="4">
        <v>0</v>
      </c>
      <c r="AO44" s="4">
        <v>0</v>
      </c>
      <c r="AP44" s="4">
        <v>9</v>
      </c>
      <c r="AQ44" s="4">
        <v>9</v>
      </c>
      <c r="AR44" s="3" t="s">
        <v>64</v>
      </c>
      <c r="AS44" s="3" t="s">
        <v>64</v>
      </c>
      <c r="AT44" s="3" t="s">
        <v>64</v>
      </c>
      <c r="AV44" s="6" t="str">
        <f>HYPERLINK("http://mcgill.on.worldcat.org/oclc/46401699","Catalog Record")</f>
        <v>Catalog Record</v>
      </c>
      <c r="AW44" s="6" t="str">
        <f>HYPERLINK("http://www.worldcat.org/oclc/46401699","WorldCat Record")</f>
        <v>WorldCat Record</v>
      </c>
      <c r="AX44" s="3" t="s">
        <v>119</v>
      </c>
      <c r="AY44" s="3" t="s">
        <v>120</v>
      </c>
      <c r="AZ44" s="3" t="s">
        <v>121</v>
      </c>
      <c r="BA44" s="3" t="s">
        <v>121</v>
      </c>
      <c r="BB44" s="3" t="s">
        <v>122</v>
      </c>
      <c r="BC44" s="3" t="s">
        <v>77</v>
      </c>
      <c r="BD44" s="3" t="s">
        <v>78</v>
      </c>
      <c r="BE44" s="3" t="s">
        <v>123</v>
      </c>
      <c r="BF44" s="3" t="s">
        <v>122</v>
      </c>
      <c r="BG44" s="3" t="s">
        <v>124</v>
      </c>
      <c r="BH44">
        <f t="shared" si="0"/>
        <v>0</v>
      </c>
    </row>
    <row r="45" spans="1:60" ht="58" x14ac:dyDescent="0.35">
      <c r="A45" s="2" t="s">
        <v>59</v>
      </c>
      <c r="B45" s="2" t="s">
        <v>60</v>
      </c>
      <c r="C45" s="2" t="s">
        <v>125</v>
      </c>
      <c r="D45" s="2" t="s">
        <v>126</v>
      </c>
      <c r="E45" s="2" t="s">
        <v>127</v>
      </c>
      <c r="G45" s="3" t="s">
        <v>64</v>
      </c>
      <c r="I45" s="3" t="s">
        <v>64</v>
      </c>
      <c r="J45" s="3" t="s">
        <v>128</v>
      </c>
      <c r="K45" s="3" t="s">
        <v>65</v>
      </c>
      <c r="L45" s="2" t="s">
        <v>129</v>
      </c>
      <c r="M45" s="2" t="s">
        <v>130</v>
      </c>
      <c r="N45" s="3" t="s">
        <v>131</v>
      </c>
      <c r="O45" s="2" t="s">
        <v>132</v>
      </c>
      <c r="P45" s="3" t="s">
        <v>102</v>
      </c>
      <c r="R45" s="3" t="s">
        <v>70</v>
      </c>
      <c r="S45" s="4">
        <v>8</v>
      </c>
      <c r="T45" s="4">
        <v>8</v>
      </c>
      <c r="U45" s="5" t="s">
        <v>133</v>
      </c>
      <c r="V45" s="5" t="s">
        <v>133</v>
      </c>
      <c r="W45" s="5" t="s">
        <v>72</v>
      </c>
      <c r="X45" s="5" t="s">
        <v>72</v>
      </c>
      <c r="Y45" s="4">
        <v>359</v>
      </c>
      <c r="Z45" s="4">
        <v>26</v>
      </c>
      <c r="AA45" s="4">
        <v>35</v>
      </c>
      <c r="AB45" s="4">
        <v>2</v>
      </c>
      <c r="AC45" s="4">
        <v>6</v>
      </c>
      <c r="AD45" s="4">
        <v>90</v>
      </c>
      <c r="AE45" s="4">
        <v>118</v>
      </c>
      <c r="AF45" s="4">
        <v>0</v>
      </c>
      <c r="AG45" s="4">
        <v>3</v>
      </c>
      <c r="AH45" s="4">
        <v>78</v>
      </c>
      <c r="AI45" s="4">
        <v>100</v>
      </c>
      <c r="AJ45" s="4">
        <v>15</v>
      </c>
      <c r="AK45" s="4">
        <v>21</v>
      </c>
      <c r="AL45" s="4">
        <v>47</v>
      </c>
      <c r="AM45" s="4">
        <v>53</v>
      </c>
      <c r="AN45" s="4">
        <v>0</v>
      </c>
      <c r="AO45" s="4">
        <v>0</v>
      </c>
      <c r="AP45" s="4">
        <v>18</v>
      </c>
      <c r="AQ45" s="4">
        <v>23</v>
      </c>
      <c r="AR45" s="3" t="s">
        <v>64</v>
      </c>
      <c r="AS45" s="3" t="s">
        <v>64</v>
      </c>
      <c r="AT45" s="3" t="s">
        <v>128</v>
      </c>
      <c r="AU45" s="6" t="str">
        <f>HYPERLINK("http://catalog.hathitrust.org/Record/001175084","HathiTrust Record")</f>
        <v>HathiTrust Record</v>
      </c>
      <c r="AV45" s="6" t="str">
        <f>HYPERLINK("http://mcgill.on.worldcat.org/oclc/654497","Catalog Record")</f>
        <v>Catalog Record</v>
      </c>
      <c r="AW45" s="6" t="str">
        <f>HYPERLINK("http://www.worldcat.org/oclc/654497","WorldCat Record")</f>
        <v>WorldCat Record</v>
      </c>
      <c r="AX45" s="3" t="s">
        <v>134</v>
      </c>
      <c r="AY45" s="3" t="s">
        <v>135</v>
      </c>
      <c r="AZ45" s="3" t="s">
        <v>136</v>
      </c>
      <c r="BA45" s="3" t="s">
        <v>136</v>
      </c>
      <c r="BB45" s="3" t="s">
        <v>137</v>
      </c>
      <c r="BC45" s="3" t="s">
        <v>77</v>
      </c>
      <c r="BD45" s="3" t="s">
        <v>78</v>
      </c>
      <c r="BF45" s="3" t="s">
        <v>137</v>
      </c>
      <c r="BG45" s="3" t="s">
        <v>138</v>
      </c>
      <c r="BH45">
        <f t="shared" si="0"/>
        <v>0</v>
      </c>
    </row>
    <row r="46" spans="1:60" ht="58" x14ac:dyDescent="0.35">
      <c r="A46" s="2" t="s">
        <v>59</v>
      </c>
      <c r="B46" s="2" t="s">
        <v>60</v>
      </c>
      <c r="C46" s="2" t="s">
        <v>139</v>
      </c>
      <c r="D46" s="2" t="s">
        <v>140</v>
      </c>
      <c r="E46" s="2" t="s">
        <v>141</v>
      </c>
      <c r="G46" s="3" t="s">
        <v>64</v>
      </c>
      <c r="I46" s="3" t="s">
        <v>64</v>
      </c>
      <c r="J46" s="3" t="s">
        <v>64</v>
      </c>
      <c r="K46" s="3" t="s">
        <v>65</v>
      </c>
      <c r="L46" s="2" t="s">
        <v>142</v>
      </c>
      <c r="M46" s="2" t="s">
        <v>143</v>
      </c>
      <c r="N46" s="3" t="s">
        <v>144</v>
      </c>
      <c r="P46" s="3" t="s">
        <v>68</v>
      </c>
      <c r="Q46" s="2" t="s">
        <v>145</v>
      </c>
      <c r="R46" s="3" t="s">
        <v>70</v>
      </c>
      <c r="S46" s="4">
        <v>6</v>
      </c>
      <c r="T46" s="4">
        <v>6</v>
      </c>
      <c r="U46" s="5" t="s">
        <v>146</v>
      </c>
      <c r="V46" s="5" t="s">
        <v>146</v>
      </c>
      <c r="W46" s="5" t="s">
        <v>72</v>
      </c>
      <c r="X46" s="5" t="s">
        <v>72</v>
      </c>
      <c r="Y46" s="4">
        <v>135</v>
      </c>
      <c r="Z46" s="4">
        <v>10</v>
      </c>
      <c r="AA46" s="4">
        <v>20</v>
      </c>
      <c r="AB46" s="4">
        <v>6</v>
      </c>
      <c r="AC46" s="4">
        <v>9</v>
      </c>
      <c r="AD46" s="4">
        <v>7</v>
      </c>
      <c r="AE46" s="4">
        <v>25</v>
      </c>
      <c r="AF46" s="4">
        <v>3</v>
      </c>
      <c r="AG46" s="4">
        <v>4</v>
      </c>
      <c r="AH46" s="4">
        <v>4</v>
      </c>
      <c r="AI46" s="4">
        <v>19</v>
      </c>
      <c r="AJ46" s="4">
        <v>5</v>
      </c>
      <c r="AK46" s="4">
        <v>7</v>
      </c>
      <c r="AL46" s="4">
        <v>3</v>
      </c>
      <c r="AM46" s="4">
        <v>12</v>
      </c>
      <c r="AN46" s="4">
        <v>0</v>
      </c>
      <c r="AO46" s="4">
        <v>0</v>
      </c>
      <c r="AP46" s="4">
        <v>4</v>
      </c>
      <c r="AQ46" s="4">
        <v>7</v>
      </c>
      <c r="AR46" s="3" t="s">
        <v>64</v>
      </c>
      <c r="AS46" s="3" t="s">
        <v>64</v>
      </c>
      <c r="AT46" s="3" t="s">
        <v>64</v>
      </c>
      <c r="AV46" s="6" t="str">
        <f>HYPERLINK("http://mcgill.on.worldcat.org/oclc/318604174","Catalog Record")</f>
        <v>Catalog Record</v>
      </c>
      <c r="AW46" s="6" t="str">
        <f>HYPERLINK("http://www.worldcat.org/oclc/318604174","WorldCat Record")</f>
        <v>WorldCat Record</v>
      </c>
      <c r="AX46" s="3" t="s">
        <v>147</v>
      </c>
      <c r="AY46" s="3" t="s">
        <v>148</v>
      </c>
      <c r="AZ46" s="3" t="s">
        <v>149</v>
      </c>
      <c r="BA46" s="3" t="s">
        <v>149</v>
      </c>
      <c r="BB46" s="3" t="s">
        <v>150</v>
      </c>
      <c r="BC46" s="3" t="s">
        <v>77</v>
      </c>
      <c r="BD46" s="3" t="s">
        <v>78</v>
      </c>
      <c r="BE46" s="3" t="s">
        <v>151</v>
      </c>
      <c r="BF46" s="3" t="s">
        <v>150</v>
      </c>
      <c r="BG46" s="3" t="s">
        <v>152</v>
      </c>
      <c r="BH46">
        <f t="shared" si="0"/>
        <v>0</v>
      </c>
    </row>
    <row r="47" spans="1:60" ht="58" x14ac:dyDescent="0.35">
      <c r="A47" s="2" t="s">
        <v>59</v>
      </c>
      <c r="B47" s="2" t="s">
        <v>60</v>
      </c>
      <c r="C47" s="2" t="s">
        <v>155</v>
      </c>
      <c r="D47" s="2" t="s">
        <v>156</v>
      </c>
      <c r="E47" s="2" t="s">
        <v>157</v>
      </c>
      <c r="G47" s="3" t="s">
        <v>64</v>
      </c>
      <c r="I47" s="3" t="s">
        <v>64</v>
      </c>
      <c r="J47" s="3" t="s">
        <v>128</v>
      </c>
      <c r="K47" s="3" t="s">
        <v>65</v>
      </c>
      <c r="M47" s="2" t="s">
        <v>158</v>
      </c>
      <c r="N47" s="3" t="s">
        <v>159</v>
      </c>
      <c r="P47" s="3" t="s">
        <v>102</v>
      </c>
      <c r="R47" s="3" t="s">
        <v>70</v>
      </c>
      <c r="S47" s="4">
        <v>7</v>
      </c>
      <c r="T47" s="4">
        <v>7</v>
      </c>
      <c r="U47" s="5" t="s">
        <v>160</v>
      </c>
      <c r="V47" s="5" t="s">
        <v>160</v>
      </c>
      <c r="W47" s="5" t="s">
        <v>72</v>
      </c>
      <c r="X47" s="5" t="s">
        <v>72</v>
      </c>
      <c r="Y47" s="4">
        <v>357</v>
      </c>
      <c r="Z47" s="4">
        <v>31</v>
      </c>
      <c r="AA47" s="4">
        <v>51</v>
      </c>
      <c r="AB47" s="4">
        <v>2</v>
      </c>
      <c r="AC47" s="4">
        <v>5</v>
      </c>
      <c r="AD47" s="4">
        <v>100</v>
      </c>
      <c r="AE47" s="4">
        <v>123</v>
      </c>
      <c r="AF47" s="4">
        <v>1</v>
      </c>
      <c r="AG47" s="4">
        <v>3</v>
      </c>
      <c r="AH47" s="4">
        <v>81</v>
      </c>
      <c r="AI47" s="4">
        <v>93</v>
      </c>
      <c r="AJ47" s="4">
        <v>14</v>
      </c>
      <c r="AK47" s="4">
        <v>21</v>
      </c>
      <c r="AL47" s="4">
        <v>49</v>
      </c>
      <c r="AM47" s="4">
        <v>57</v>
      </c>
      <c r="AN47" s="4">
        <v>0</v>
      </c>
      <c r="AO47" s="4">
        <v>0</v>
      </c>
      <c r="AP47" s="4">
        <v>23</v>
      </c>
      <c r="AQ47" s="4">
        <v>34</v>
      </c>
      <c r="AR47" s="3" t="s">
        <v>64</v>
      </c>
      <c r="AS47" s="3" t="s">
        <v>64</v>
      </c>
      <c r="AT47" s="3" t="s">
        <v>64</v>
      </c>
      <c r="AV47" s="6" t="str">
        <f>HYPERLINK("http://mcgill.on.worldcat.org/oclc/47192631","Catalog Record")</f>
        <v>Catalog Record</v>
      </c>
      <c r="AW47" s="6" t="str">
        <f>HYPERLINK("http://www.worldcat.org/oclc/47192631","WorldCat Record")</f>
        <v>WorldCat Record</v>
      </c>
      <c r="AX47" s="3" t="s">
        <v>161</v>
      </c>
      <c r="AY47" s="3" t="s">
        <v>162</v>
      </c>
      <c r="AZ47" s="3" t="s">
        <v>163</v>
      </c>
      <c r="BA47" s="3" t="s">
        <v>163</v>
      </c>
      <c r="BB47" s="3" t="s">
        <v>164</v>
      </c>
      <c r="BC47" s="3" t="s">
        <v>77</v>
      </c>
      <c r="BD47" s="3" t="s">
        <v>165</v>
      </c>
      <c r="BE47" s="3" t="s">
        <v>166</v>
      </c>
      <c r="BF47" s="3" t="s">
        <v>164</v>
      </c>
      <c r="BG47" s="3" t="s">
        <v>167</v>
      </c>
      <c r="BH47">
        <f t="shared" si="0"/>
        <v>0</v>
      </c>
    </row>
    <row r="48" spans="1:60" ht="58" x14ac:dyDescent="0.35">
      <c r="A48" s="2" t="s">
        <v>59</v>
      </c>
      <c r="B48" s="2" t="s">
        <v>60</v>
      </c>
      <c r="C48" s="2" t="s">
        <v>168</v>
      </c>
      <c r="D48" s="2" t="s">
        <v>169</v>
      </c>
      <c r="E48" s="2" t="s">
        <v>157</v>
      </c>
      <c r="G48" s="3" t="s">
        <v>64</v>
      </c>
      <c r="I48" s="3" t="s">
        <v>128</v>
      </c>
      <c r="J48" s="3" t="s">
        <v>128</v>
      </c>
      <c r="K48" s="3" t="s">
        <v>65</v>
      </c>
      <c r="M48" s="2" t="s">
        <v>170</v>
      </c>
      <c r="N48" s="3" t="s">
        <v>171</v>
      </c>
      <c r="O48" s="2" t="s">
        <v>172</v>
      </c>
      <c r="P48" s="3" t="s">
        <v>102</v>
      </c>
      <c r="R48" s="3" t="s">
        <v>70</v>
      </c>
      <c r="S48" s="4">
        <v>84</v>
      </c>
      <c r="T48" s="4">
        <v>168</v>
      </c>
      <c r="U48" s="5" t="s">
        <v>173</v>
      </c>
      <c r="V48" s="5" t="s">
        <v>174</v>
      </c>
      <c r="W48" s="5" t="s">
        <v>72</v>
      </c>
      <c r="X48" s="5" t="s">
        <v>175</v>
      </c>
      <c r="Y48" s="4">
        <v>375</v>
      </c>
      <c r="Z48" s="4">
        <v>19</v>
      </c>
      <c r="AA48" s="4">
        <v>51</v>
      </c>
      <c r="AB48" s="4">
        <v>1</v>
      </c>
      <c r="AC48" s="4">
        <v>5</v>
      </c>
      <c r="AD48" s="4">
        <v>74</v>
      </c>
      <c r="AE48" s="4">
        <v>123</v>
      </c>
      <c r="AF48" s="4">
        <v>0</v>
      </c>
      <c r="AG48" s="4">
        <v>3</v>
      </c>
      <c r="AH48" s="4">
        <v>65</v>
      </c>
      <c r="AI48" s="4">
        <v>93</v>
      </c>
      <c r="AJ48" s="4">
        <v>11</v>
      </c>
      <c r="AK48" s="4">
        <v>21</v>
      </c>
      <c r="AL48" s="4">
        <v>41</v>
      </c>
      <c r="AM48" s="4">
        <v>57</v>
      </c>
      <c r="AN48" s="4">
        <v>0</v>
      </c>
      <c r="AO48" s="4">
        <v>0</v>
      </c>
      <c r="AP48" s="4">
        <v>15</v>
      </c>
      <c r="AQ48" s="4">
        <v>34</v>
      </c>
      <c r="AR48" s="3" t="s">
        <v>64</v>
      </c>
      <c r="AS48" s="3" t="s">
        <v>64</v>
      </c>
      <c r="AT48" s="3" t="s">
        <v>64</v>
      </c>
      <c r="AV48" s="6" t="str">
        <f>HYPERLINK("http://mcgill.on.worldcat.org/oclc/65400154","Catalog Record")</f>
        <v>Catalog Record</v>
      </c>
      <c r="AW48" s="6" t="str">
        <f>HYPERLINK("http://www.worldcat.org/oclc/65400154","WorldCat Record")</f>
        <v>WorldCat Record</v>
      </c>
      <c r="AX48" s="3" t="s">
        <v>161</v>
      </c>
      <c r="AY48" s="3" t="s">
        <v>176</v>
      </c>
      <c r="AZ48" s="3" t="s">
        <v>177</v>
      </c>
      <c r="BA48" s="3" t="s">
        <v>177</v>
      </c>
      <c r="BB48" s="3" t="s">
        <v>178</v>
      </c>
      <c r="BC48" s="3" t="s">
        <v>77</v>
      </c>
      <c r="BD48" s="3" t="s">
        <v>78</v>
      </c>
      <c r="BE48" s="3" t="s">
        <v>179</v>
      </c>
      <c r="BF48" s="3" t="s">
        <v>178</v>
      </c>
      <c r="BG48" s="3" t="s">
        <v>180</v>
      </c>
      <c r="BH48">
        <f t="shared" si="0"/>
        <v>0</v>
      </c>
    </row>
    <row r="49" spans="1:60" ht="58" x14ac:dyDescent="0.35">
      <c r="A49" s="2" t="s">
        <v>59</v>
      </c>
      <c r="B49" s="2" t="s">
        <v>60</v>
      </c>
      <c r="C49" s="2" t="s">
        <v>168</v>
      </c>
      <c r="D49" s="2" t="s">
        <v>169</v>
      </c>
      <c r="E49" s="2" t="s">
        <v>157</v>
      </c>
      <c r="G49" s="3" t="s">
        <v>64</v>
      </c>
      <c r="I49" s="3" t="s">
        <v>128</v>
      </c>
      <c r="J49" s="3" t="s">
        <v>128</v>
      </c>
      <c r="K49" s="3" t="s">
        <v>65</v>
      </c>
      <c r="M49" s="2" t="s">
        <v>170</v>
      </c>
      <c r="N49" s="3" t="s">
        <v>171</v>
      </c>
      <c r="O49" s="2" t="s">
        <v>172</v>
      </c>
      <c r="P49" s="3" t="s">
        <v>102</v>
      </c>
      <c r="R49" s="3" t="s">
        <v>70</v>
      </c>
      <c r="S49" s="4">
        <v>84</v>
      </c>
      <c r="T49" s="4">
        <v>168</v>
      </c>
      <c r="U49" s="5" t="s">
        <v>174</v>
      </c>
      <c r="V49" s="5" t="s">
        <v>174</v>
      </c>
      <c r="W49" s="5" t="s">
        <v>72</v>
      </c>
      <c r="X49" s="5" t="s">
        <v>175</v>
      </c>
      <c r="Y49" s="4">
        <v>375</v>
      </c>
      <c r="Z49" s="4">
        <v>19</v>
      </c>
      <c r="AA49" s="4">
        <v>51</v>
      </c>
      <c r="AB49" s="4">
        <v>1</v>
      </c>
      <c r="AC49" s="4">
        <v>5</v>
      </c>
      <c r="AD49" s="4">
        <v>74</v>
      </c>
      <c r="AE49" s="4">
        <v>123</v>
      </c>
      <c r="AF49" s="4">
        <v>0</v>
      </c>
      <c r="AG49" s="4">
        <v>3</v>
      </c>
      <c r="AH49" s="4">
        <v>65</v>
      </c>
      <c r="AI49" s="4">
        <v>93</v>
      </c>
      <c r="AJ49" s="4">
        <v>11</v>
      </c>
      <c r="AK49" s="4">
        <v>21</v>
      </c>
      <c r="AL49" s="4">
        <v>41</v>
      </c>
      <c r="AM49" s="4">
        <v>57</v>
      </c>
      <c r="AN49" s="4">
        <v>0</v>
      </c>
      <c r="AO49" s="4">
        <v>0</v>
      </c>
      <c r="AP49" s="4">
        <v>15</v>
      </c>
      <c r="AQ49" s="4">
        <v>34</v>
      </c>
      <c r="AR49" s="3" t="s">
        <v>64</v>
      </c>
      <c r="AS49" s="3" t="s">
        <v>64</v>
      </c>
      <c r="AT49" s="3" t="s">
        <v>64</v>
      </c>
      <c r="AV49" s="6" t="str">
        <f>HYPERLINK("http://mcgill.on.worldcat.org/oclc/65400154","Catalog Record")</f>
        <v>Catalog Record</v>
      </c>
      <c r="AW49" s="6" t="str">
        <f>HYPERLINK("http://www.worldcat.org/oclc/65400154","WorldCat Record")</f>
        <v>WorldCat Record</v>
      </c>
      <c r="AX49" s="3" t="s">
        <v>161</v>
      </c>
      <c r="AY49" s="3" t="s">
        <v>176</v>
      </c>
      <c r="AZ49" s="3" t="s">
        <v>177</v>
      </c>
      <c r="BA49" s="3" t="s">
        <v>177</v>
      </c>
      <c r="BB49" s="3" t="s">
        <v>181</v>
      </c>
      <c r="BC49" s="3" t="s">
        <v>77</v>
      </c>
      <c r="BD49" s="3" t="s">
        <v>78</v>
      </c>
      <c r="BE49" s="3" t="s">
        <v>179</v>
      </c>
      <c r="BF49" s="3" t="s">
        <v>181</v>
      </c>
      <c r="BG49" s="3" t="s">
        <v>182</v>
      </c>
      <c r="BH49">
        <f t="shared" si="0"/>
        <v>0</v>
      </c>
    </row>
    <row r="50" spans="1:60" ht="58" x14ac:dyDescent="0.35">
      <c r="A50" s="2" t="s">
        <v>59</v>
      </c>
      <c r="B50" s="2" t="s">
        <v>60</v>
      </c>
      <c r="C50" s="2" t="s">
        <v>168</v>
      </c>
      <c r="D50" s="2" t="s">
        <v>169</v>
      </c>
      <c r="E50" s="2" t="s">
        <v>157</v>
      </c>
      <c r="G50" s="3" t="s">
        <v>64</v>
      </c>
      <c r="H50" s="3" t="s">
        <v>183</v>
      </c>
      <c r="I50" s="3" t="s">
        <v>128</v>
      </c>
      <c r="J50" s="3" t="s">
        <v>128</v>
      </c>
      <c r="K50" s="3" t="s">
        <v>65</v>
      </c>
      <c r="M50" s="2" t="s">
        <v>170</v>
      </c>
      <c r="N50" s="3" t="s">
        <v>171</v>
      </c>
      <c r="O50" s="2" t="s">
        <v>172</v>
      </c>
      <c r="P50" s="3" t="s">
        <v>102</v>
      </c>
      <c r="R50" s="3" t="s">
        <v>70</v>
      </c>
      <c r="S50" s="4">
        <v>0</v>
      </c>
      <c r="T50" s="4">
        <v>168</v>
      </c>
      <c r="V50" s="5" t="s">
        <v>174</v>
      </c>
      <c r="W50" s="5" t="s">
        <v>175</v>
      </c>
      <c r="X50" s="5" t="s">
        <v>175</v>
      </c>
      <c r="Y50" s="4">
        <v>375</v>
      </c>
      <c r="Z50" s="4">
        <v>19</v>
      </c>
      <c r="AA50" s="4">
        <v>51</v>
      </c>
      <c r="AB50" s="4">
        <v>1</v>
      </c>
      <c r="AC50" s="4">
        <v>5</v>
      </c>
      <c r="AD50" s="4">
        <v>74</v>
      </c>
      <c r="AE50" s="4">
        <v>123</v>
      </c>
      <c r="AF50" s="4">
        <v>0</v>
      </c>
      <c r="AG50" s="4">
        <v>3</v>
      </c>
      <c r="AH50" s="4">
        <v>65</v>
      </c>
      <c r="AI50" s="4">
        <v>93</v>
      </c>
      <c r="AJ50" s="4">
        <v>11</v>
      </c>
      <c r="AK50" s="4">
        <v>21</v>
      </c>
      <c r="AL50" s="4">
        <v>41</v>
      </c>
      <c r="AM50" s="4">
        <v>57</v>
      </c>
      <c r="AN50" s="4">
        <v>0</v>
      </c>
      <c r="AO50" s="4">
        <v>0</v>
      </c>
      <c r="AP50" s="4">
        <v>15</v>
      </c>
      <c r="AQ50" s="4">
        <v>34</v>
      </c>
      <c r="AR50" s="3" t="s">
        <v>64</v>
      </c>
      <c r="AS50" s="3" t="s">
        <v>64</v>
      </c>
      <c r="AT50" s="3" t="s">
        <v>64</v>
      </c>
      <c r="AV50" s="6" t="str">
        <f>HYPERLINK("http://mcgill.on.worldcat.org/oclc/65400154","Catalog Record")</f>
        <v>Catalog Record</v>
      </c>
      <c r="AW50" s="6" t="str">
        <f>HYPERLINK("http://www.worldcat.org/oclc/65400154","WorldCat Record")</f>
        <v>WorldCat Record</v>
      </c>
      <c r="AX50" s="3" t="s">
        <v>161</v>
      </c>
      <c r="AY50" s="3" t="s">
        <v>176</v>
      </c>
      <c r="AZ50" s="3" t="s">
        <v>177</v>
      </c>
      <c r="BA50" s="3" t="s">
        <v>177</v>
      </c>
      <c r="BB50" s="3" t="s">
        <v>184</v>
      </c>
      <c r="BC50" s="3" t="s">
        <v>77</v>
      </c>
      <c r="BD50" s="3" t="s">
        <v>78</v>
      </c>
      <c r="BE50" s="3" t="s">
        <v>179</v>
      </c>
      <c r="BF50" s="3" t="s">
        <v>184</v>
      </c>
      <c r="BG50" s="3" t="s">
        <v>185</v>
      </c>
      <c r="BH50">
        <f t="shared" si="0"/>
        <v>0</v>
      </c>
    </row>
    <row r="51" spans="1:60" ht="58" x14ac:dyDescent="0.35">
      <c r="A51" s="2" t="s">
        <v>59</v>
      </c>
      <c r="B51" s="2" t="s">
        <v>60</v>
      </c>
      <c r="C51" s="2" t="s">
        <v>186</v>
      </c>
      <c r="D51" s="2" t="s">
        <v>187</v>
      </c>
      <c r="E51" s="2" t="s">
        <v>188</v>
      </c>
      <c r="G51" s="3" t="s">
        <v>64</v>
      </c>
      <c r="I51" s="3" t="s">
        <v>64</v>
      </c>
      <c r="J51" s="3" t="s">
        <v>64</v>
      </c>
      <c r="K51" s="3" t="s">
        <v>65</v>
      </c>
      <c r="M51" s="2" t="s">
        <v>189</v>
      </c>
      <c r="N51" s="3" t="s">
        <v>190</v>
      </c>
      <c r="P51" s="3" t="s">
        <v>102</v>
      </c>
      <c r="Q51" s="2" t="s">
        <v>191</v>
      </c>
      <c r="R51" s="3" t="s">
        <v>70</v>
      </c>
      <c r="S51" s="4">
        <v>0</v>
      </c>
      <c r="T51" s="4">
        <v>0</v>
      </c>
      <c r="W51" s="5" t="s">
        <v>72</v>
      </c>
      <c r="X51" s="5" t="s">
        <v>72</v>
      </c>
      <c r="Y51" s="4">
        <v>11</v>
      </c>
      <c r="Z51" s="4">
        <v>1</v>
      </c>
      <c r="AA51" s="4">
        <v>1</v>
      </c>
      <c r="AB51" s="4">
        <v>1</v>
      </c>
      <c r="AC51" s="4">
        <v>1</v>
      </c>
      <c r="AD51" s="4">
        <v>5</v>
      </c>
      <c r="AE51" s="4">
        <v>5</v>
      </c>
      <c r="AF51" s="4">
        <v>0</v>
      </c>
      <c r="AG51" s="4">
        <v>0</v>
      </c>
      <c r="AH51" s="4">
        <v>4</v>
      </c>
      <c r="AI51" s="4">
        <v>4</v>
      </c>
      <c r="AJ51" s="4">
        <v>0</v>
      </c>
      <c r="AK51" s="4">
        <v>0</v>
      </c>
      <c r="AL51" s="4">
        <v>5</v>
      </c>
      <c r="AM51" s="4">
        <v>5</v>
      </c>
      <c r="AN51" s="4">
        <v>0</v>
      </c>
      <c r="AO51" s="4">
        <v>0</v>
      </c>
      <c r="AP51" s="4">
        <v>0</v>
      </c>
      <c r="AQ51" s="4">
        <v>0</v>
      </c>
      <c r="AR51" s="3" t="s">
        <v>64</v>
      </c>
      <c r="AS51" s="3" t="s">
        <v>64</v>
      </c>
      <c r="AT51" s="3" t="s">
        <v>64</v>
      </c>
      <c r="AV51" s="6" t="str">
        <f>HYPERLINK("http://mcgill.on.worldcat.org/oclc/1059263808","Catalog Record")</f>
        <v>Catalog Record</v>
      </c>
      <c r="AW51" s="6" t="str">
        <f>HYPERLINK("http://www.worldcat.org/oclc/1059263808","WorldCat Record")</f>
        <v>WorldCat Record</v>
      </c>
      <c r="AX51" s="3" t="s">
        <v>192</v>
      </c>
      <c r="AY51" s="3" t="s">
        <v>193</v>
      </c>
      <c r="AZ51" s="3" t="s">
        <v>194</v>
      </c>
      <c r="BA51" s="3" t="s">
        <v>194</v>
      </c>
      <c r="BB51" s="3" t="s">
        <v>195</v>
      </c>
      <c r="BC51" s="3" t="s">
        <v>77</v>
      </c>
      <c r="BD51" s="3" t="s">
        <v>78</v>
      </c>
      <c r="BE51" s="3" t="s">
        <v>196</v>
      </c>
      <c r="BF51" s="3" t="s">
        <v>195</v>
      </c>
      <c r="BG51" s="3" t="s">
        <v>197</v>
      </c>
      <c r="BH51">
        <f t="shared" si="0"/>
        <v>0</v>
      </c>
    </row>
    <row r="52" spans="1:60" ht="58" x14ac:dyDescent="0.35">
      <c r="A52" s="2" t="s">
        <v>59</v>
      </c>
      <c r="B52" s="2" t="s">
        <v>60</v>
      </c>
      <c r="C52" s="2" t="s">
        <v>198</v>
      </c>
      <c r="D52" s="2" t="s">
        <v>199</v>
      </c>
      <c r="E52" s="2" t="s">
        <v>200</v>
      </c>
      <c r="G52" s="3" t="s">
        <v>64</v>
      </c>
      <c r="I52" s="3" t="s">
        <v>64</v>
      </c>
      <c r="J52" s="3" t="s">
        <v>64</v>
      </c>
      <c r="K52" s="3" t="s">
        <v>65</v>
      </c>
      <c r="L52" s="2" t="s">
        <v>201</v>
      </c>
      <c r="M52" s="2" t="s">
        <v>202</v>
      </c>
      <c r="N52" s="3" t="s">
        <v>190</v>
      </c>
      <c r="P52" s="3" t="s">
        <v>102</v>
      </c>
      <c r="Q52" s="2" t="s">
        <v>203</v>
      </c>
      <c r="R52" s="3" t="s">
        <v>70</v>
      </c>
      <c r="S52" s="4">
        <v>2</v>
      </c>
      <c r="T52" s="4">
        <v>2</v>
      </c>
      <c r="U52" s="5" t="s">
        <v>204</v>
      </c>
      <c r="V52" s="5" t="s">
        <v>204</v>
      </c>
      <c r="W52" s="5" t="s">
        <v>72</v>
      </c>
      <c r="X52" s="5" t="s">
        <v>72</v>
      </c>
      <c r="Y52" s="4">
        <v>215</v>
      </c>
      <c r="Z52" s="4">
        <v>13</v>
      </c>
      <c r="AA52" s="4">
        <v>21</v>
      </c>
      <c r="AB52" s="4">
        <v>2</v>
      </c>
      <c r="AC52" s="4">
        <v>5</v>
      </c>
      <c r="AD52" s="4">
        <v>62</v>
      </c>
      <c r="AE52" s="4">
        <v>80</v>
      </c>
      <c r="AF52" s="4">
        <v>0</v>
      </c>
      <c r="AG52" s="4">
        <v>1</v>
      </c>
      <c r="AH52" s="4">
        <v>55</v>
      </c>
      <c r="AI52" s="4">
        <v>69</v>
      </c>
      <c r="AJ52" s="4">
        <v>7</v>
      </c>
      <c r="AK52" s="4">
        <v>12</v>
      </c>
      <c r="AL52" s="4">
        <v>37</v>
      </c>
      <c r="AM52" s="4">
        <v>44</v>
      </c>
      <c r="AN52" s="4">
        <v>0</v>
      </c>
      <c r="AO52" s="4">
        <v>0</v>
      </c>
      <c r="AP52" s="4">
        <v>8</v>
      </c>
      <c r="AQ52" s="4">
        <v>13</v>
      </c>
      <c r="AR52" s="3" t="s">
        <v>64</v>
      </c>
      <c r="AS52" s="3" t="s">
        <v>64</v>
      </c>
      <c r="AT52" s="3" t="s">
        <v>64</v>
      </c>
      <c r="AV52" s="6" t="str">
        <f>HYPERLINK("http://mcgill.on.worldcat.org/oclc/1004091449","Catalog Record")</f>
        <v>Catalog Record</v>
      </c>
      <c r="AW52" s="6" t="str">
        <f>HYPERLINK("http://www.worldcat.org/oclc/1004091449","WorldCat Record")</f>
        <v>WorldCat Record</v>
      </c>
      <c r="AX52" s="3" t="s">
        <v>205</v>
      </c>
      <c r="AY52" s="3" t="s">
        <v>206</v>
      </c>
      <c r="AZ52" s="3" t="s">
        <v>207</v>
      </c>
      <c r="BA52" s="3" t="s">
        <v>207</v>
      </c>
      <c r="BB52" s="3" t="s">
        <v>208</v>
      </c>
      <c r="BC52" s="3" t="s">
        <v>77</v>
      </c>
      <c r="BD52" s="3" t="s">
        <v>78</v>
      </c>
      <c r="BE52" s="3" t="s">
        <v>209</v>
      </c>
      <c r="BF52" s="3" t="s">
        <v>208</v>
      </c>
      <c r="BG52" s="3" t="s">
        <v>210</v>
      </c>
      <c r="BH52">
        <f t="shared" si="0"/>
        <v>0</v>
      </c>
    </row>
    <row r="53" spans="1:60" ht="58" x14ac:dyDescent="0.35">
      <c r="A53" s="2" t="s">
        <v>59</v>
      </c>
      <c r="B53" s="2" t="s">
        <v>60</v>
      </c>
      <c r="C53" s="2" t="s">
        <v>211</v>
      </c>
      <c r="D53" s="2" t="s">
        <v>212</v>
      </c>
      <c r="E53" s="2" t="s">
        <v>213</v>
      </c>
      <c r="G53" s="3" t="s">
        <v>64</v>
      </c>
      <c r="I53" s="3" t="s">
        <v>64</v>
      </c>
      <c r="J53" s="3" t="s">
        <v>64</v>
      </c>
      <c r="K53" s="3" t="s">
        <v>65</v>
      </c>
      <c r="L53" s="2" t="s">
        <v>214</v>
      </c>
      <c r="M53" s="2" t="s">
        <v>215</v>
      </c>
      <c r="N53" s="3" t="s">
        <v>67</v>
      </c>
      <c r="O53" s="2" t="s">
        <v>117</v>
      </c>
      <c r="P53" s="3" t="s">
        <v>102</v>
      </c>
      <c r="Q53" s="2" t="s">
        <v>216</v>
      </c>
      <c r="R53" s="3" t="s">
        <v>70</v>
      </c>
      <c r="S53" s="4">
        <v>1</v>
      </c>
      <c r="T53" s="4">
        <v>1</v>
      </c>
      <c r="U53" s="5" t="s">
        <v>160</v>
      </c>
      <c r="V53" s="5" t="s">
        <v>160</v>
      </c>
      <c r="W53" s="5" t="s">
        <v>72</v>
      </c>
      <c r="X53" s="5" t="s">
        <v>72</v>
      </c>
      <c r="Y53" s="4">
        <v>182</v>
      </c>
      <c r="Z53" s="4">
        <v>19</v>
      </c>
      <c r="AA53" s="4">
        <v>82</v>
      </c>
      <c r="AB53" s="4">
        <v>1</v>
      </c>
      <c r="AC53" s="4">
        <v>14</v>
      </c>
      <c r="AD53" s="4">
        <v>78</v>
      </c>
      <c r="AE53" s="4">
        <v>125</v>
      </c>
      <c r="AF53" s="4">
        <v>0</v>
      </c>
      <c r="AG53" s="4">
        <v>8</v>
      </c>
      <c r="AH53" s="4">
        <v>74</v>
      </c>
      <c r="AI53" s="4">
        <v>92</v>
      </c>
      <c r="AJ53" s="4">
        <v>13</v>
      </c>
      <c r="AK53" s="4">
        <v>25</v>
      </c>
      <c r="AL53" s="4">
        <v>45</v>
      </c>
      <c r="AM53" s="4">
        <v>50</v>
      </c>
      <c r="AN53" s="4">
        <v>0</v>
      </c>
      <c r="AO53" s="4">
        <v>0</v>
      </c>
      <c r="AP53" s="4">
        <v>14</v>
      </c>
      <c r="AQ53" s="4">
        <v>45</v>
      </c>
      <c r="AR53" s="3" t="s">
        <v>64</v>
      </c>
      <c r="AS53" s="3" t="s">
        <v>64</v>
      </c>
      <c r="AT53" s="3" t="s">
        <v>64</v>
      </c>
      <c r="AV53" s="6" t="str">
        <f>HYPERLINK("http://mcgill.on.worldcat.org/oclc/869525975","Catalog Record")</f>
        <v>Catalog Record</v>
      </c>
      <c r="AW53" s="6" t="str">
        <f>HYPERLINK("http://www.worldcat.org/oclc/869525975","WorldCat Record")</f>
        <v>WorldCat Record</v>
      </c>
      <c r="AX53" s="3" t="s">
        <v>217</v>
      </c>
      <c r="AY53" s="3" t="s">
        <v>218</v>
      </c>
      <c r="AZ53" s="3" t="s">
        <v>219</v>
      </c>
      <c r="BA53" s="3" t="s">
        <v>219</v>
      </c>
      <c r="BB53" s="3" t="s">
        <v>220</v>
      </c>
      <c r="BC53" s="3" t="s">
        <v>77</v>
      </c>
      <c r="BD53" s="3" t="s">
        <v>78</v>
      </c>
      <c r="BE53" s="3" t="s">
        <v>221</v>
      </c>
      <c r="BF53" s="3" t="s">
        <v>220</v>
      </c>
      <c r="BG53" s="3" t="s">
        <v>222</v>
      </c>
      <c r="BH53">
        <f t="shared" si="0"/>
        <v>0</v>
      </c>
    </row>
    <row r="54" spans="1:60" ht="58" x14ac:dyDescent="0.35">
      <c r="A54" s="2" t="s">
        <v>59</v>
      </c>
      <c r="B54" s="2" t="s">
        <v>60</v>
      </c>
      <c r="C54" s="2" t="s">
        <v>223</v>
      </c>
      <c r="D54" s="2" t="s">
        <v>224</v>
      </c>
      <c r="E54" s="2" t="s">
        <v>225</v>
      </c>
      <c r="G54" s="3" t="s">
        <v>64</v>
      </c>
      <c r="I54" s="3" t="s">
        <v>128</v>
      </c>
      <c r="J54" s="3" t="s">
        <v>64</v>
      </c>
      <c r="K54" s="3" t="s">
        <v>65</v>
      </c>
      <c r="M54" s="2" t="s">
        <v>226</v>
      </c>
      <c r="N54" s="3" t="s">
        <v>67</v>
      </c>
      <c r="P54" s="3" t="s">
        <v>102</v>
      </c>
      <c r="R54" s="3" t="s">
        <v>70</v>
      </c>
      <c r="S54" s="4">
        <v>6</v>
      </c>
      <c r="T54" s="4">
        <v>26</v>
      </c>
      <c r="U54" s="5" t="s">
        <v>227</v>
      </c>
      <c r="V54" s="5" t="s">
        <v>227</v>
      </c>
      <c r="W54" s="5" t="s">
        <v>72</v>
      </c>
      <c r="X54" s="5" t="s">
        <v>72</v>
      </c>
      <c r="Y54" s="4">
        <v>77</v>
      </c>
      <c r="Z54" s="4">
        <v>11</v>
      </c>
      <c r="AA54" s="4">
        <v>21</v>
      </c>
      <c r="AB54" s="4">
        <v>1</v>
      </c>
      <c r="AC54" s="4">
        <v>2</v>
      </c>
      <c r="AD54" s="4">
        <v>29</v>
      </c>
      <c r="AE54" s="4">
        <v>52</v>
      </c>
      <c r="AF54" s="4">
        <v>0</v>
      </c>
      <c r="AG54" s="4">
        <v>1</v>
      </c>
      <c r="AH54" s="4">
        <v>25</v>
      </c>
      <c r="AI54" s="4">
        <v>43</v>
      </c>
      <c r="AJ54" s="4">
        <v>8</v>
      </c>
      <c r="AK54" s="4">
        <v>14</v>
      </c>
      <c r="AL54" s="4">
        <v>15</v>
      </c>
      <c r="AM54" s="4">
        <v>27</v>
      </c>
      <c r="AN54" s="4">
        <v>0</v>
      </c>
      <c r="AO54" s="4">
        <v>0</v>
      </c>
      <c r="AP54" s="4">
        <v>7</v>
      </c>
      <c r="AQ54" s="4">
        <v>14</v>
      </c>
      <c r="AR54" s="3" t="s">
        <v>128</v>
      </c>
      <c r="AS54" s="3" t="s">
        <v>64</v>
      </c>
      <c r="AT54" s="3" t="s">
        <v>64</v>
      </c>
      <c r="AV54" s="6" t="str">
        <f>HYPERLINK("http://mcgill.on.worldcat.org/oclc/866103385","Catalog Record")</f>
        <v>Catalog Record</v>
      </c>
      <c r="AW54" s="6" t="str">
        <f>HYPERLINK("http://www.worldcat.org/oclc/866103385","WorldCat Record")</f>
        <v>WorldCat Record</v>
      </c>
      <c r="AX54" s="3" t="s">
        <v>228</v>
      </c>
      <c r="AY54" s="3" t="s">
        <v>229</v>
      </c>
      <c r="AZ54" s="3" t="s">
        <v>230</v>
      </c>
      <c r="BA54" s="3" t="s">
        <v>230</v>
      </c>
      <c r="BB54" s="3" t="s">
        <v>231</v>
      </c>
      <c r="BC54" s="3" t="s">
        <v>77</v>
      </c>
      <c r="BD54" s="3" t="s">
        <v>78</v>
      </c>
      <c r="BE54" s="3" t="s">
        <v>232</v>
      </c>
      <c r="BF54" s="3" t="s">
        <v>231</v>
      </c>
      <c r="BG54" s="3" t="s">
        <v>233</v>
      </c>
      <c r="BH54">
        <f t="shared" si="0"/>
        <v>0</v>
      </c>
    </row>
    <row r="55" spans="1:60" ht="58" x14ac:dyDescent="0.35">
      <c r="A55" s="2" t="s">
        <v>59</v>
      </c>
      <c r="B55" s="2" t="s">
        <v>60</v>
      </c>
      <c r="C55" s="2" t="s">
        <v>223</v>
      </c>
      <c r="D55" s="2" t="s">
        <v>224</v>
      </c>
      <c r="E55" s="2" t="s">
        <v>225</v>
      </c>
      <c r="G55" s="3" t="s">
        <v>64</v>
      </c>
      <c r="I55" s="3" t="s">
        <v>128</v>
      </c>
      <c r="J55" s="3" t="s">
        <v>64</v>
      </c>
      <c r="K55" s="3" t="s">
        <v>65</v>
      </c>
      <c r="M55" s="2" t="s">
        <v>226</v>
      </c>
      <c r="N55" s="3" t="s">
        <v>67</v>
      </c>
      <c r="P55" s="3" t="s">
        <v>102</v>
      </c>
      <c r="R55" s="3" t="s">
        <v>70</v>
      </c>
      <c r="S55" s="4">
        <v>20</v>
      </c>
      <c r="T55" s="4">
        <v>26</v>
      </c>
      <c r="U55" s="5" t="s">
        <v>234</v>
      </c>
      <c r="V55" s="5" t="s">
        <v>227</v>
      </c>
      <c r="W55" s="5" t="s">
        <v>72</v>
      </c>
      <c r="X55" s="5" t="s">
        <v>72</v>
      </c>
      <c r="Y55" s="4">
        <v>77</v>
      </c>
      <c r="Z55" s="4">
        <v>11</v>
      </c>
      <c r="AA55" s="4">
        <v>21</v>
      </c>
      <c r="AB55" s="4">
        <v>1</v>
      </c>
      <c r="AC55" s="4">
        <v>2</v>
      </c>
      <c r="AD55" s="4">
        <v>29</v>
      </c>
      <c r="AE55" s="4">
        <v>52</v>
      </c>
      <c r="AF55" s="4">
        <v>0</v>
      </c>
      <c r="AG55" s="4">
        <v>1</v>
      </c>
      <c r="AH55" s="4">
        <v>25</v>
      </c>
      <c r="AI55" s="4">
        <v>43</v>
      </c>
      <c r="AJ55" s="4">
        <v>8</v>
      </c>
      <c r="AK55" s="4">
        <v>14</v>
      </c>
      <c r="AL55" s="4">
        <v>15</v>
      </c>
      <c r="AM55" s="4">
        <v>27</v>
      </c>
      <c r="AN55" s="4">
        <v>0</v>
      </c>
      <c r="AO55" s="4">
        <v>0</v>
      </c>
      <c r="AP55" s="4">
        <v>7</v>
      </c>
      <c r="AQ55" s="4">
        <v>14</v>
      </c>
      <c r="AR55" s="3" t="s">
        <v>128</v>
      </c>
      <c r="AS55" s="3" t="s">
        <v>64</v>
      </c>
      <c r="AT55" s="3" t="s">
        <v>64</v>
      </c>
      <c r="AV55" s="6" t="str">
        <f>HYPERLINK("http://mcgill.on.worldcat.org/oclc/866103385","Catalog Record")</f>
        <v>Catalog Record</v>
      </c>
      <c r="AW55" s="6" t="str">
        <f>HYPERLINK("http://www.worldcat.org/oclc/866103385","WorldCat Record")</f>
        <v>WorldCat Record</v>
      </c>
      <c r="AX55" s="3" t="s">
        <v>228</v>
      </c>
      <c r="AY55" s="3" t="s">
        <v>229</v>
      </c>
      <c r="AZ55" s="3" t="s">
        <v>230</v>
      </c>
      <c r="BA55" s="3" t="s">
        <v>230</v>
      </c>
      <c r="BB55" s="3" t="s">
        <v>235</v>
      </c>
      <c r="BC55" s="3" t="s">
        <v>77</v>
      </c>
      <c r="BD55" s="3" t="s">
        <v>165</v>
      </c>
      <c r="BE55" s="3" t="s">
        <v>232</v>
      </c>
      <c r="BF55" s="3" t="s">
        <v>235</v>
      </c>
      <c r="BG55" s="3" t="s">
        <v>236</v>
      </c>
      <c r="BH55">
        <f t="shared" si="0"/>
        <v>0</v>
      </c>
    </row>
    <row r="56" spans="1:60" ht="58" x14ac:dyDescent="0.35">
      <c r="A56" s="2" t="s">
        <v>59</v>
      </c>
      <c r="B56" s="2" t="s">
        <v>60</v>
      </c>
      <c r="C56" s="2" t="s">
        <v>237</v>
      </c>
      <c r="D56" s="2" t="s">
        <v>238</v>
      </c>
      <c r="E56" s="2" t="s">
        <v>239</v>
      </c>
      <c r="G56" s="3" t="s">
        <v>64</v>
      </c>
      <c r="I56" s="3" t="s">
        <v>64</v>
      </c>
      <c r="J56" s="3" t="s">
        <v>64</v>
      </c>
      <c r="K56" s="3" t="s">
        <v>65</v>
      </c>
      <c r="L56" s="2" t="s">
        <v>240</v>
      </c>
      <c r="M56" s="2" t="s">
        <v>241</v>
      </c>
      <c r="N56" s="3" t="s">
        <v>242</v>
      </c>
      <c r="P56" s="3" t="s">
        <v>102</v>
      </c>
      <c r="R56" s="3" t="s">
        <v>70</v>
      </c>
      <c r="S56" s="4">
        <v>7</v>
      </c>
      <c r="T56" s="4">
        <v>7</v>
      </c>
      <c r="U56" s="5" t="s">
        <v>243</v>
      </c>
      <c r="V56" s="5" t="s">
        <v>243</v>
      </c>
      <c r="W56" s="5" t="s">
        <v>72</v>
      </c>
      <c r="X56" s="5" t="s">
        <v>72</v>
      </c>
      <c r="Y56" s="4">
        <v>189</v>
      </c>
      <c r="Z56" s="4">
        <v>11</v>
      </c>
      <c r="AA56" s="4">
        <v>12</v>
      </c>
      <c r="AB56" s="4">
        <v>2</v>
      </c>
      <c r="AC56" s="4">
        <v>3</v>
      </c>
      <c r="AD56" s="4">
        <v>55</v>
      </c>
      <c r="AE56" s="4">
        <v>65</v>
      </c>
      <c r="AF56" s="4">
        <v>1</v>
      </c>
      <c r="AG56" s="4">
        <v>2</v>
      </c>
      <c r="AH56" s="4">
        <v>51</v>
      </c>
      <c r="AI56" s="4">
        <v>59</v>
      </c>
      <c r="AJ56" s="4">
        <v>7</v>
      </c>
      <c r="AK56" s="4">
        <v>8</v>
      </c>
      <c r="AL56" s="4">
        <v>35</v>
      </c>
      <c r="AM56" s="4">
        <v>39</v>
      </c>
      <c r="AN56" s="4">
        <v>0</v>
      </c>
      <c r="AO56" s="4">
        <v>0</v>
      </c>
      <c r="AP56" s="4">
        <v>8</v>
      </c>
      <c r="AQ56" s="4">
        <v>8</v>
      </c>
      <c r="AR56" s="3" t="s">
        <v>64</v>
      </c>
      <c r="AS56" s="3" t="s">
        <v>64</v>
      </c>
      <c r="AT56" s="3" t="s">
        <v>128</v>
      </c>
      <c r="AU56" s="6" t="str">
        <f>HYPERLINK("http://catalog.hathitrust.org/Record/001166808","HathiTrust Record")</f>
        <v>HathiTrust Record</v>
      </c>
      <c r="AV56" s="6" t="str">
        <f>HYPERLINK("http://mcgill.on.worldcat.org/oclc/6221068","Catalog Record")</f>
        <v>Catalog Record</v>
      </c>
      <c r="AW56" s="6" t="str">
        <f>HYPERLINK("http://www.worldcat.org/oclc/6221068","WorldCat Record")</f>
        <v>WorldCat Record</v>
      </c>
      <c r="AX56" s="3" t="s">
        <v>244</v>
      </c>
      <c r="AY56" s="3" t="s">
        <v>245</v>
      </c>
      <c r="AZ56" s="3" t="s">
        <v>246</v>
      </c>
      <c r="BA56" s="3" t="s">
        <v>246</v>
      </c>
      <c r="BB56" s="3" t="s">
        <v>247</v>
      </c>
      <c r="BC56" s="3" t="s">
        <v>77</v>
      </c>
      <c r="BD56" s="3" t="s">
        <v>78</v>
      </c>
      <c r="BF56" s="3" t="s">
        <v>247</v>
      </c>
      <c r="BG56" s="3" t="s">
        <v>248</v>
      </c>
      <c r="BH56">
        <f t="shared" si="0"/>
        <v>0</v>
      </c>
    </row>
    <row r="57" spans="1:60" ht="58" x14ac:dyDescent="0.35">
      <c r="A57" s="2" t="s">
        <v>59</v>
      </c>
      <c r="B57" s="2" t="s">
        <v>60</v>
      </c>
      <c r="C57" s="2" t="s">
        <v>249</v>
      </c>
      <c r="D57" s="2" t="s">
        <v>250</v>
      </c>
      <c r="E57" s="2" t="s">
        <v>251</v>
      </c>
      <c r="G57" s="3" t="s">
        <v>64</v>
      </c>
      <c r="I57" s="3" t="s">
        <v>64</v>
      </c>
      <c r="J57" s="3" t="s">
        <v>64</v>
      </c>
      <c r="K57" s="3" t="s">
        <v>65</v>
      </c>
      <c r="M57" s="2" t="s">
        <v>252</v>
      </c>
      <c r="N57" s="3" t="s">
        <v>253</v>
      </c>
      <c r="P57" s="3" t="s">
        <v>102</v>
      </c>
      <c r="Q57" s="2" t="s">
        <v>254</v>
      </c>
      <c r="R57" s="3" t="s">
        <v>70</v>
      </c>
      <c r="S57" s="4">
        <v>13</v>
      </c>
      <c r="T57" s="4">
        <v>13</v>
      </c>
      <c r="U57" s="5" t="s">
        <v>160</v>
      </c>
      <c r="V57" s="5" t="s">
        <v>160</v>
      </c>
      <c r="W57" s="5" t="s">
        <v>72</v>
      </c>
      <c r="X57" s="5" t="s">
        <v>72</v>
      </c>
      <c r="Y57" s="4">
        <v>300</v>
      </c>
      <c r="Z57" s="4">
        <v>25</v>
      </c>
      <c r="AA57" s="4">
        <v>35</v>
      </c>
      <c r="AB57" s="4">
        <v>1</v>
      </c>
      <c r="AC57" s="4">
        <v>6</v>
      </c>
      <c r="AD57" s="4">
        <v>77</v>
      </c>
      <c r="AE57" s="4">
        <v>99</v>
      </c>
      <c r="AF57" s="4">
        <v>0</v>
      </c>
      <c r="AG57" s="4">
        <v>3</v>
      </c>
      <c r="AH57" s="4">
        <v>67</v>
      </c>
      <c r="AI57" s="4">
        <v>84</v>
      </c>
      <c r="AJ57" s="4">
        <v>14</v>
      </c>
      <c r="AK57" s="4">
        <v>21</v>
      </c>
      <c r="AL57" s="4">
        <v>43</v>
      </c>
      <c r="AM57" s="4">
        <v>50</v>
      </c>
      <c r="AN57" s="4">
        <v>0</v>
      </c>
      <c r="AO57" s="4">
        <v>0</v>
      </c>
      <c r="AP57" s="4">
        <v>13</v>
      </c>
      <c r="AQ57" s="4">
        <v>20</v>
      </c>
      <c r="AR57" s="3" t="s">
        <v>64</v>
      </c>
      <c r="AS57" s="3" t="s">
        <v>64</v>
      </c>
      <c r="AT57" s="3" t="s">
        <v>64</v>
      </c>
      <c r="AV57" s="6" t="str">
        <f>HYPERLINK("http://mcgill.on.worldcat.org/oclc/890912093","Catalog Record")</f>
        <v>Catalog Record</v>
      </c>
      <c r="AW57" s="6" t="str">
        <f>HYPERLINK("http://www.worldcat.org/oclc/890912093","WorldCat Record")</f>
        <v>WorldCat Record</v>
      </c>
      <c r="AX57" s="3" t="s">
        <v>255</v>
      </c>
      <c r="AY57" s="3" t="s">
        <v>256</v>
      </c>
      <c r="AZ57" s="3" t="s">
        <v>257</v>
      </c>
      <c r="BA57" s="3" t="s">
        <v>257</v>
      </c>
      <c r="BB57" s="3" t="s">
        <v>258</v>
      </c>
      <c r="BC57" s="3" t="s">
        <v>77</v>
      </c>
      <c r="BD57" s="3" t="s">
        <v>165</v>
      </c>
      <c r="BE57" s="3" t="s">
        <v>259</v>
      </c>
      <c r="BF57" s="3" t="s">
        <v>258</v>
      </c>
      <c r="BG57" s="3" t="s">
        <v>260</v>
      </c>
      <c r="BH57">
        <f t="shared" si="0"/>
        <v>0</v>
      </c>
    </row>
    <row r="58" spans="1:60" ht="116" x14ac:dyDescent="0.35">
      <c r="A58" s="2" t="s">
        <v>59</v>
      </c>
      <c r="B58" s="2" t="s">
        <v>60</v>
      </c>
      <c r="C58" s="2" t="s">
        <v>261</v>
      </c>
      <c r="D58" s="2" t="s">
        <v>262</v>
      </c>
      <c r="E58" s="2" t="s">
        <v>263</v>
      </c>
      <c r="G58" s="3" t="s">
        <v>64</v>
      </c>
      <c r="I58" s="3" t="s">
        <v>128</v>
      </c>
      <c r="J58" s="3" t="s">
        <v>64</v>
      </c>
      <c r="K58" s="3" t="s">
        <v>65</v>
      </c>
      <c r="L58" s="2" t="s">
        <v>264</v>
      </c>
      <c r="M58" s="2" t="s">
        <v>265</v>
      </c>
      <c r="N58" s="3" t="s">
        <v>266</v>
      </c>
      <c r="O58" s="2" t="s">
        <v>267</v>
      </c>
      <c r="P58" s="3" t="s">
        <v>102</v>
      </c>
      <c r="R58" s="3" t="s">
        <v>70</v>
      </c>
      <c r="S58" s="4">
        <v>7</v>
      </c>
      <c r="T58" s="4">
        <v>9</v>
      </c>
      <c r="U58" s="5" t="s">
        <v>268</v>
      </c>
      <c r="V58" s="5" t="s">
        <v>269</v>
      </c>
      <c r="W58" s="5" t="s">
        <v>72</v>
      </c>
      <c r="X58" s="5" t="s">
        <v>72</v>
      </c>
      <c r="Y58" s="4">
        <v>798</v>
      </c>
      <c r="Z58" s="4">
        <v>43</v>
      </c>
      <c r="AA58" s="4">
        <v>48</v>
      </c>
      <c r="AB58" s="4">
        <v>3</v>
      </c>
      <c r="AC58" s="4">
        <v>7</v>
      </c>
      <c r="AD58" s="4">
        <v>128</v>
      </c>
      <c r="AE58" s="4">
        <v>135</v>
      </c>
      <c r="AF58" s="4">
        <v>2</v>
      </c>
      <c r="AG58" s="4">
        <v>4</v>
      </c>
      <c r="AH58" s="4">
        <v>108</v>
      </c>
      <c r="AI58" s="4">
        <v>113</v>
      </c>
      <c r="AJ58" s="4">
        <v>23</v>
      </c>
      <c r="AK58" s="4">
        <v>25</v>
      </c>
      <c r="AL58" s="4">
        <v>60</v>
      </c>
      <c r="AM58" s="4">
        <v>62</v>
      </c>
      <c r="AN58" s="4">
        <v>0</v>
      </c>
      <c r="AO58" s="4">
        <v>0</v>
      </c>
      <c r="AP58" s="4">
        <v>26</v>
      </c>
      <c r="AQ58" s="4">
        <v>28</v>
      </c>
      <c r="AR58" s="3" t="s">
        <v>64</v>
      </c>
      <c r="AS58" s="3" t="s">
        <v>64</v>
      </c>
      <c r="AT58" s="3" t="s">
        <v>64</v>
      </c>
      <c r="AV58" s="6" t="str">
        <f>HYPERLINK("http://mcgill.on.worldcat.org/oclc/576854","Catalog Record")</f>
        <v>Catalog Record</v>
      </c>
      <c r="AW58" s="6" t="str">
        <f>HYPERLINK("http://www.worldcat.org/oclc/576854","WorldCat Record")</f>
        <v>WorldCat Record</v>
      </c>
      <c r="AX58" s="3" t="s">
        <v>270</v>
      </c>
      <c r="AY58" s="3" t="s">
        <v>271</v>
      </c>
      <c r="AZ58" s="3" t="s">
        <v>272</v>
      </c>
      <c r="BA58" s="3" t="s">
        <v>272</v>
      </c>
      <c r="BB58" s="3" t="s">
        <v>273</v>
      </c>
      <c r="BC58" s="3" t="s">
        <v>77</v>
      </c>
      <c r="BD58" s="3" t="s">
        <v>165</v>
      </c>
      <c r="BF58" s="3" t="s">
        <v>273</v>
      </c>
      <c r="BG58" s="3" t="s">
        <v>274</v>
      </c>
      <c r="BH58">
        <f t="shared" si="0"/>
        <v>0</v>
      </c>
    </row>
    <row r="59" spans="1:60" ht="58" x14ac:dyDescent="0.35">
      <c r="A59" s="2" t="s">
        <v>59</v>
      </c>
      <c r="B59" s="2" t="s">
        <v>60</v>
      </c>
      <c r="C59" s="2" t="s">
        <v>275</v>
      </c>
      <c r="D59" s="2" t="s">
        <v>276</v>
      </c>
      <c r="E59" s="2" t="s">
        <v>277</v>
      </c>
      <c r="G59" s="3" t="s">
        <v>64</v>
      </c>
      <c r="I59" s="3" t="s">
        <v>64</v>
      </c>
      <c r="J59" s="3" t="s">
        <v>64</v>
      </c>
      <c r="K59" s="3" t="s">
        <v>65</v>
      </c>
      <c r="L59" s="2" t="s">
        <v>278</v>
      </c>
      <c r="M59" s="2" t="s">
        <v>279</v>
      </c>
      <c r="N59" s="3" t="s">
        <v>67</v>
      </c>
      <c r="P59" s="3" t="s">
        <v>102</v>
      </c>
      <c r="R59" s="3" t="s">
        <v>70</v>
      </c>
      <c r="S59" s="4">
        <v>5</v>
      </c>
      <c r="T59" s="4">
        <v>5</v>
      </c>
      <c r="U59" s="5" t="s">
        <v>280</v>
      </c>
      <c r="V59" s="5" t="s">
        <v>280</v>
      </c>
      <c r="W59" s="5" t="s">
        <v>72</v>
      </c>
      <c r="X59" s="5" t="s">
        <v>72</v>
      </c>
      <c r="Y59" s="4">
        <v>99</v>
      </c>
      <c r="Z59" s="4">
        <v>9</v>
      </c>
      <c r="AA59" s="4">
        <v>48</v>
      </c>
      <c r="AB59" s="4">
        <v>1</v>
      </c>
      <c r="AC59" s="4">
        <v>6</v>
      </c>
      <c r="AD59" s="4">
        <v>27</v>
      </c>
      <c r="AE59" s="4">
        <v>72</v>
      </c>
      <c r="AF59" s="4">
        <v>0</v>
      </c>
      <c r="AG59" s="4">
        <v>1</v>
      </c>
      <c r="AH59" s="4">
        <v>25</v>
      </c>
      <c r="AI59" s="4">
        <v>62</v>
      </c>
      <c r="AJ59" s="4">
        <v>7</v>
      </c>
      <c r="AK59" s="4">
        <v>12</v>
      </c>
      <c r="AL59" s="4">
        <v>17</v>
      </c>
      <c r="AM59" s="4">
        <v>37</v>
      </c>
      <c r="AN59" s="4">
        <v>0</v>
      </c>
      <c r="AO59" s="4">
        <v>0</v>
      </c>
      <c r="AP59" s="4">
        <v>7</v>
      </c>
      <c r="AQ59" s="4">
        <v>14</v>
      </c>
      <c r="AR59" s="3" t="s">
        <v>64</v>
      </c>
      <c r="AS59" s="3" t="s">
        <v>64</v>
      </c>
      <c r="AT59" s="3" t="s">
        <v>64</v>
      </c>
      <c r="AV59" s="6" t="str">
        <f>HYPERLINK("http://mcgill.on.worldcat.org/oclc/884243226","Catalog Record")</f>
        <v>Catalog Record</v>
      </c>
      <c r="AW59" s="6" t="str">
        <f>HYPERLINK("http://www.worldcat.org/oclc/884243226","WorldCat Record")</f>
        <v>WorldCat Record</v>
      </c>
      <c r="AX59" s="3" t="s">
        <v>281</v>
      </c>
      <c r="AY59" s="3" t="s">
        <v>282</v>
      </c>
      <c r="AZ59" s="3" t="s">
        <v>283</v>
      </c>
      <c r="BA59" s="3" t="s">
        <v>283</v>
      </c>
      <c r="BB59" s="3" t="s">
        <v>284</v>
      </c>
      <c r="BC59" s="3" t="s">
        <v>77</v>
      </c>
      <c r="BD59" s="3" t="s">
        <v>78</v>
      </c>
      <c r="BE59" s="3" t="s">
        <v>285</v>
      </c>
      <c r="BF59" s="3" t="s">
        <v>284</v>
      </c>
      <c r="BG59" s="3" t="s">
        <v>286</v>
      </c>
      <c r="BH59">
        <f t="shared" si="0"/>
        <v>0</v>
      </c>
    </row>
    <row r="60" spans="1:60" ht="58" x14ac:dyDescent="0.35">
      <c r="A60" s="2" t="s">
        <v>59</v>
      </c>
      <c r="B60" s="2" t="s">
        <v>60</v>
      </c>
      <c r="C60" s="2" t="s">
        <v>287</v>
      </c>
      <c r="D60" s="2" t="s">
        <v>288</v>
      </c>
      <c r="E60" s="2" t="s">
        <v>289</v>
      </c>
      <c r="G60" s="3" t="s">
        <v>64</v>
      </c>
      <c r="I60" s="3" t="s">
        <v>64</v>
      </c>
      <c r="J60" s="3" t="s">
        <v>64</v>
      </c>
      <c r="K60" s="3" t="s">
        <v>65</v>
      </c>
      <c r="M60" s="2" t="s">
        <v>290</v>
      </c>
      <c r="N60" s="3" t="s">
        <v>291</v>
      </c>
      <c r="P60" s="3" t="s">
        <v>102</v>
      </c>
      <c r="Q60" s="2" t="s">
        <v>292</v>
      </c>
      <c r="R60" s="3" t="s">
        <v>70</v>
      </c>
      <c r="S60" s="4">
        <v>35</v>
      </c>
      <c r="T60" s="4">
        <v>35</v>
      </c>
      <c r="U60" s="5" t="s">
        <v>269</v>
      </c>
      <c r="V60" s="5" t="s">
        <v>269</v>
      </c>
      <c r="W60" s="5" t="s">
        <v>72</v>
      </c>
      <c r="X60" s="5" t="s">
        <v>72</v>
      </c>
      <c r="Y60" s="4">
        <v>428</v>
      </c>
      <c r="Z60" s="4">
        <v>45</v>
      </c>
      <c r="AA60" s="4">
        <v>59</v>
      </c>
      <c r="AB60" s="4">
        <v>3</v>
      </c>
      <c r="AC60" s="4">
        <v>10</v>
      </c>
      <c r="AD60" s="4">
        <v>111</v>
      </c>
      <c r="AE60" s="4">
        <v>133</v>
      </c>
      <c r="AF60" s="4">
        <v>1</v>
      </c>
      <c r="AG60" s="4">
        <v>6</v>
      </c>
      <c r="AH60" s="4">
        <v>90</v>
      </c>
      <c r="AI60" s="4">
        <v>101</v>
      </c>
      <c r="AJ60" s="4">
        <v>20</v>
      </c>
      <c r="AK60" s="4">
        <v>26</v>
      </c>
      <c r="AL60" s="4">
        <v>50</v>
      </c>
      <c r="AM60" s="4">
        <v>56</v>
      </c>
      <c r="AN60" s="4">
        <v>0</v>
      </c>
      <c r="AO60" s="4">
        <v>0</v>
      </c>
      <c r="AP60" s="4">
        <v>31</v>
      </c>
      <c r="AQ60" s="4">
        <v>41</v>
      </c>
      <c r="AR60" s="3" t="s">
        <v>64</v>
      </c>
      <c r="AS60" s="3" t="s">
        <v>64</v>
      </c>
      <c r="AT60" s="3" t="s">
        <v>64</v>
      </c>
      <c r="AV60" s="6" t="str">
        <f>HYPERLINK("http://mcgill.on.worldcat.org/oclc/86115301","Catalog Record")</f>
        <v>Catalog Record</v>
      </c>
      <c r="AW60" s="6" t="str">
        <f>HYPERLINK("http://www.worldcat.org/oclc/86115301","WorldCat Record")</f>
        <v>WorldCat Record</v>
      </c>
      <c r="AX60" s="3" t="s">
        <v>293</v>
      </c>
      <c r="AY60" s="3" t="s">
        <v>294</v>
      </c>
      <c r="AZ60" s="3" t="s">
        <v>295</v>
      </c>
      <c r="BA60" s="3" t="s">
        <v>295</v>
      </c>
      <c r="BB60" s="3" t="s">
        <v>296</v>
      </c>
      <c r="BC60" s="3" t="s">
        <v>77</v>
      </c>
      <c r="BD60" s="3" t="s">
        <v>78</v>
      </c>
      <c r="BE60" s="3" t="s">
        <v>297</v>
      </c>
      <c r="BF60" s="3" t="s">
        <v>296</v>
      </c>
      <c r="BG60" s="3" t="s">
        <v>298</v>
      </c>
      <c r="BH60">
        <f t="shared" si="0"/>
        <v>0</v>
      </c>
    </row>
    <row r="61" spans="1:60" ht="58" x14ac:dyDescent="0.35">
      <c r="A61" s="2" t="s">
        <v>59</v>
      </c>
      <c r="B61" s="2" t="s">
        <v>60</v>
      </c>
      <c r="C61" s="2" t="s">
        <v>299</v>
      </c>
      <c r="D61" s="2" t="s">
        <v>300</v>
      </c>
      <c r="E61" s="2" t="s">
        <v>301</v>
      </c>
      <c r="G61" s="3" t="s">
        <v>64</v>
      </c>
      <c r="I61" s="3" t="s">
        <v>64</v>
      </c>
      <c r="J61" s="3" t="s">
        <v>128</v>
      </c>
      <c r="K61" s="3" t="s">
        <v>65</v>
      </c>
      <c r="L61" s="2" t="s">
        <v>302</v>
      </c>
      <c r="M61" s="2" t="s">
        <v>303</v>
      </c>
      <c r="N61" s="3" t="s">
        <v>304</v>
      </c>
      <c r="O61" s="2" t="s">
        <v>305</v>
      </c>
      <c r="P61" s="3" t="s">
        <v>102</v>
      </c>
      <c r="R61" s="3" t="s">
        <v>70</v>
      </c>
      <c r="S61" s="4">
        <v>14</v>
      </c>
      <c r="T61" s="4">
        <v>14</v>
      </c>
      <c r="U61" s="5" t="s">
        <v>306</v>
      </c>
      <c r="V61" s="5" t="s">
        <v>306</v>
      </c>
      <c r="W61" s="5" t="s">
        <v>72</v>
      </c>
      <c r="X61" s="5" t="s">
        <v>72</v>
      </c>
      <c r="Y61" s="4">
        <v>503</v>
      </c>
      <c r="Z61" s="4">
        <v>18</v>
      </c>
      <c r="AA61" s="4">
        <v>51</v>
      </c>
      <c r="AB61" s="4">
        <v>1</v>
      </c>
      <c r="AC61" s="4">
        <v>5</v>
      </c>
      <c r="AD61" s="4">
        <v>95</v>
      </c>
      <c r="AE61" s="4">
        <v>127</v>
      </c>
      <c r="AF61" s="4">
        <v>0</v>
      </c>
      <c r="AG61" s="4">
        <v>2</v>
      </c>
      <c r="AH61" s="4">
        <v>84</v>
      </c>
      <c r="AI61" s="4">
        <v>100</v>
      </c>
      <c r="AJ61" s="4">
        <v>8</v>
      </c>
      <c r="AK61" s="4">
        <v>20</v>
      </c>
      <c r="AL61" s="4">
        <v>50</v>
      </c>
      <c r="AM61" s="4">
        <v>56</v>
      </c>
      <c r="AN61" s="4">
        <v>0</v>
      </c>
      <c r="AO61" s="4">
        <v>0</v>
      </c>
      <c r="AP61" s="4">
        <v>11</v>
      </c>
      <c r="AQ61" s="4">
        <v>30</v>
      </c>
      <c r="AR61" s="3" t="s">
        <v>64</v>
      </c>
      <c r="AS61" s="3" t="s">
        <v>64</v>
      </c>
      <c r="AT61" s="3" t="s">
        <v>128</v>
      </c>
      <c r="AU61" s="6" t="str">
        <f>HYPERLINK("http://catalog.hathitrust.org/Record/001159084","HathiTrust Record")</f>
        <v>HathiTrust Record</v>
      </c>
      <c r="AV61" s="6" t="str">
        <f>HYPERLINK("http://mcgill.on.worldcat.org/oclc/575689","Catalog Record")</f>
        <v>Catalog Record</v>
      </c>
      <c r="AW61" s="6" t="str">
        <f>HYPERLINK("http://www.worldcat.org/oclc/575689","WorldCat Record")</f>
        <v>WorldCat Record</v>
      </c>
      <c r="AX61" s="3" t="s">
        <v>307</v>
      </c>
      <c r="AY61" s="3" t="s">
        <v>308</v>
      </c>
      <c r="AZ61" s="3" t="s">
        <v>309</v>
      </c>
      <c r="BA61" s="3" t="s">
        <v>309</v>
      </c>
      <c r="BB61" s="3" t="s">
        <v>310</v>
      </c>
      <c r="BC61" s="3" t="s">
        <v>77</v>
      </c>
      <c r="BD61" s="3" t="s">
        <v>78</v>
      </c>
      <c r="BF61" s="3" t="s">
        <v>310</v>
      </c>
      <c r="BG61" s="3" t="s">
        <v>311</v>
      </c>
      <c r="BH61">
        <f t="shared" si="0"/>
        <v>0</v>
      </c>
    </row>
    <row r="62" spans="1:60" ht="58" x14ac:dyDescent="0.35">
      <c r="A62" s="2" t="s">
        <v>59</v>
      </c>
      <c r="B62" s="2" t="s">
        <v>60</v>
      </c>
      <c r="C62" s="2" t="s">
        <v>312</v>
      </c>
      <c r="D62" s="2" t="s">
        <v>313</v>
      </c>
      <c r="E62" s="2" t="s">
        <v>301</v>
      </c>
      <c r="G62" s="3" t="s">
        <v>64</v>
      </c>
      <c r="I62" s="3" t="s">
        <v>64</v>
      </c>
      <c r="J62" s="3" t="s">
        <v>128</v>
      </c>
      <c r="K62" s="3" t="s">
        <v>65</v>
      </c>
      <c r="L62" s="2" t="s">
        <v>302</v>
      </c>
      <c r="M62" s="2" t="s">
        <v>314</v>
      </c>
      <c r="N62" s="3" t="s">
        <v>315</v>
      </c>
      <c r="O62" s="2" t="s">
        <v>316</v>
      </c>
      <c r="P62" s="3" t="s">
        <v>102</v>
      </c>
      <c r="R62" s="3" t="s">
        <v>70</v>
      </c>
      <c r="S62" s="4">
        <v>14</v>
      </c>
      <c r="T62" s="4">
        <v>14</v>
      </c>
      <c r="U62" s="5" t="s">
        <v>317</v>
      </c>
      <c r="V62" s="5" t="s">
        <v>317</v>
      </c>
      <c r="W62" s="5" t="s">
        <v>72</v>
      </c>
      <c r="X62" s="5" t="s">
        <v>72</v>
      </c>
      <c r="Y62" s="4">
        <v>585</v>
      </c>
      <c r="Z62" s="4">
        <v>34</v>
      </c>
      <c r="AA62" s="4">
        <v>51</v>
      </c>
      <c r="AB62" s="4">
        <v>4</v>
      </c>
      <c r="AC62" s="4">
        <v>5</v>
      </c>
      <c r="AD62" s="4">
        <v>87</v>
      </c>
      <c r="AE62" s="4">
        <v>127</v>
      </c>
      <c r="AF62" s="4">
        <v>1</v>
      </c>
      <c r="AG62" s="4">
        <v>2</v>
      </c>
      <c r="AH62" s="4">
        <v>71</v>
      </c>
      <c r="AI62" s="4">
        <v>100</v>
      </c>
      <c r="AJ62" s="4">
        <v>14</v>
      </c>
      <c r="AK62" s="4">
        <v>20</v>
      </c>
      <c r="AL62" s="4">
        <v>43</v>
      </c>
      <c r="AM62" s="4">
        <v>56</v>
      </c>
      <c r="AN62" s="4">
        <v>0</v>
      </c>
      <c r="AO62" s="4">
        <v>0</v>
      </c>
      <c r="AP62" s="4">
        <v>19</v>
      </c>
      <c r="AQ62" s="4">
        <v>30</v>
      </c>
      <c r="AR62" s="3" t="s">
        <v>64</v>
      </c>
      <c r="AS62" s="3" t="s">
        <v>64</v>
      </c>
      <c r="AT62" s="3" t="s">
        <v>128</v>
      </c>
      <c r="AU62" s="6" t="str">
        <f>HYPERLINK("http://catalog.hathitrust.org/Record/001159085","HathiTrust Record")</f>
        <v>HathiTrust Record</v>
      </c>
      <c r="AV62" s="6" t="str">
        <f>HYPERLINK("http://mcgill.on.worldcat.org/oclc/437356","Catalog Record")</f>
        <v>Catalog Record</v>
      </c>
      <c r="AW62" s="6" t="str">
        <f>HYPERLINK("http://www.worldcat.org/oclc/437356","WorldCat Record")</f>
        <v>WorldCat Record</v>
      </c>
      <c r="AX62" s="3" t="s">
        <v>307</v>
      </c>
      <c r="AY62" s="3" t="s">
        <v>318</v>
      </c>
      <c r="AZ62" s="3" t="s">
        <v>319</v>
      </c>
      <c r="BA62" s="3" t="s">
        <v>319</v>
      </c>
      <c r="BB62" s="3" t="s">
        <v>320</v>
      </c>
      <c r="BC62" s="3" t="s">
        <v>77</v>
      </c>
      <c r="BD62" s="3" t="s">
        <v>78</v>
      </c>
      <c r="BF62" s="3" t="s">
        <v>320</v>
      </c>
      <c r="BG62" s="3" t="s">
        <v>321</v>
      </c>
      <c r="BH62">
        <f t="shared" si="0"/>
        <v>0</v>
      </c>
    </row>
    <row r="63" spans="1:60" ht="58" x14ac:dyDescent="0.35">
      <c r="A63" s="2" t="s">
        <v>59</v>
      </c>
      <c r="B63" s="2" t="s">
        <v>60</v>
      </c>
      <c r="C63" s="2" t="s">
        <v>322</v>
      </c>
      <c r="D63" s="2" t="s">
        <v>323</v>
      </c>
      <c r="E63" s="2" t="s">
        <v>324</v>
      </c>
      <c r="G63" s="3" t="s">
        <v>64</v>
      </c>
      <c r="I63" s="3" t="s">
        <v>64</v>
      </c>
      <c r="J63" s="3" t="s">
        <v>64</v>
      </c>
      <c r="K63" s="3" t="s">
        <v>65</v>
      </c>
      <c r="M63" s="2" t="s">
        <v>325</v>
      </c>
      <c r="N63" s="3" t="s">
        <v>326</v>
      </c>
      <c r="P63" s="3" t="s">
        <v>68</v>
      </c>
      <c r="Q63" s="2" t="s">
        <v>327</v>
      </c>
      <c r="R63" s="3" t="s">
        <v>70</v>
      </c>
      <c r="S63" s="4">
        <v>0</v>
      </c>
      <c r="T63" s="4">
        <v>0</v>
      </c>
      <c r="W63" s="5" t="s">
        <v>72</v>
      </c>
      <c r="X63" s="5" t="s">
        <v>72</v>
      </c>
      <c r="Y63" s="4">
        <v>38</v>
      </c>
      <c r="Z63" s="4">
        <v>6</v>
      </c>
      <c r="AA63" s="4">
        <v>6</v>
      </c>
      <c r="AB63" s="4">
        <v>1</v>
      </c>
      <c r="AC63" s="4">
        <v>1</v>
      </c>
      <c r="AD63" s="4">
        <v>17</v>
      </c>
      <c r="AE63" s="4">
        <v>17</v>
      </c>
      <c r="AF63" s="4">
        <v>0</v>
      </c>
      <c r="AG63" s="4">
        <v>0</v>
      </c>
      <c r="AH63" s="4">
        <v>14</v>
      </c>
      <c r="AI63" s="4">
        <v>14</v>
      </c>
      <c r="AJ63" s="4">
        <v>4</v>
      </c>
      <c r="AK63" s="4">
        <v>4</v>
      </c>
      <c r="AL63" s="4">
        <v>11</v>
      </c>
      <c r="AM63" s="4">
        <v>11</v>
      </c>
      <c r="AN63" s="4">
        <v>0</v>
      </c>
      <c r="AO63" s="4">
        <v>0</v>
      </c>
      <c r="AP63" s="4">
        <v>4</v>
      </c>
      <c r="AQ63" s="4">
        <v>4</v>
      </c>
      <c r="AR63" s="3" t="s">
        <v>64</v>
      </c>
      <c r="AS63" s="3" t="s">
        <v>64</v>
      </c>
      <c r="AT63" s="3" t="s">
        <v>64</v>
      </c>
      <c r="AV63" s="6" t="str">
        <f>HYPERLINK("http://mcgill.on.worldcat.org/oclc/761846702","Catalog Record")</f>
        <v>Catalog Record</v>
      </c>
      <c r="AW63" s="6" t="str">
        <f>HYPERLINK("http://www.worldcat.org/oclc/761846702","WorldCat Record")</f>
        <v>WorldCat Record</v>
      </c>
      <c r="AX63" s="3" t="s">
        <v>328</v>
      </c>
      <c r="AY63" s="3" t="s">
        <v>329</v>
      </c>
      <c r="AZ63" s="3" t="s">
        <v>330</v>
      </c>
      <c r="BA63" s="3" t="s">
        <v>330</v>
      </c>
      <c r="BB63" s="3" t="s">
        <v>331</v>
      </c>
      <c r="BC63" s="3" t="s">
        <v>77</v>
      </c>
      <c r="BD63" s="3" t="s">
        <v>78</v>
      </c>
      <c r="BE63" s="3" t="s">
        <v>332</v>
      </c>
      <c r="BF63" s="3" t="s">
        <v>331</v>
      </c>
      <c r="BG63" s="3" t="s">
        <v>333</v>
      </c>
      <c r="BH63">
        <f t="shared" si="0"/>
        <v>0</v>
      </c>
    </row>
    <row r="64" spans="1:60" ht="58" x14ac:dyDescent="0.35">
      <c r="A64" s="2" t="s">
        <v>59</v>
      </c>
      <c r="B64" s="2" t="s">
        <v>60</v>
      </c>
      <c r="C64" s="2" t="s">
        <v>334</v>
      </c>
      <c r="D64" s="2" t="s">
        <v>335</v>
      </c>
      <c r="E64" s="2" t="s">
        <v>336</v>
      </c>
      <c r="G64" s="3" t="s">
        <v>64</v>
      </c>
      <c r="I64" s="3" t="s">
        <v>64</v>
      </c>
      <c r="J64" s="3" t="s">
        <v>64</v>
      </c>
      <c r="K64" s="3" t="s">
        <v>65</v>
      </c>
      <c r="L64" s="2" t="s">
        <v>337</v>
      </c>
      <c r="M64" s="2" t="s">
        <v>338</v>
      </c>
      <c r="N64" s="3" t="s">
        <v>339</v>
      </c>
      <c r="P64" s="3" t="s">
        <v>102</v>
      </c>
      <c r="Q64" s="2" t="s">
        <v>340</v>
      </c>
      <c r="R64" s="3" t="s">
        <v>70</v>
      </c>
      <c r="S64" s="4">
        <v>2</v>
      </c>
      <c r="T64" s="4">
        <v>2</v>
      </c>
      <c r="U64" s="5" t="s">
        <v>243</v>
      </c>
      <c r="V64" s="5" t="s">
        <v>243</v>
      </c>
      <c r="W64" s="5" t="s">
        <v>72</v>
      </c>
      <c r="X64" s="5" t="s">
        <v>72</v>
      </c>
      <c r="Y64" s="4">
        <v>85</v>
      </c>
      <c r="Z64" s="4">
        <v>1</v>
      </c>
      <c r="AA64" s="4">
        <v>1</v>
      </c>
      <c r="AB64" s="4">
        <v>1</v>
      </c>
      <c r="AC64" s="4">
        <v>1</v>
      </c>
      <c r="AD64" s="4">
        <v>36</v>
      </c>
      <c r="AE64" s="4">
        <v>37</v>
      </c>
      <c r="AF64" s="4">
        <v>0</v>
      </c>
      <c r="AG64" s="4">
        <v>0</v>
      </c>
      <c r="AH64" s="4">
        <v>35</v>
      </c>
      <c r="AI64" s="4">
        <v>35</v>
      </c>
      <c r="AJ64" s="4">
        <v>0</v>
      </c>
      <c r="AK64" s="4">
        <v>0</v>
      </c>
      <c r="AL64" s="4">
        <v>23</v>
      </c>
      <c r="AM64" s="4">
        <v>24</v>
      </c>
      <c r="AN64" s="4">
        <v>0</v>
      </c>
      <c r="AO64" s="4">
        <v>0</v>
      </c>
      <c r="AP64" s="4">
        <v>0</v>
      </c>
      <c r="AQ64" s="4">
        <v>0</v>
      </c>
      <c r="AR64" s="3" t="s">
        <v>64</v>
      </c>
      <c r="AS64" s="3" t="s">
        <v>64</v>
      </c>
      <c r="AT64" s="3" t="s">
        <v>64</v>
      </c>
      <c r="AU64" s="6" t="str">
        <f>HYPERLINK("http://catalog.hathitrust.org/Record/006275717","HathiTrust Record")</f>
        <v>HathiTrust Record</v>
      </c>
      <c r="AV64" s="6" t="str">
        <f>HYPERLINK("http://mcgill.on.worldcat.org/oclc/2194857","Catalog Record")</f>
        <v>Catalog Record</v>
      </c>
      <c r="AW64" s="6" t="str">
        <f>HYPERLINK("http://www.worldcat.org/oclc/2194857","WorldCat Record")</f>
        <v>WorldCat Record</v>
      </c>
      <c r="AX64" s="3" t="s">
        <v>341</v>
      </c>
      <c r="AY64" s="3" t="s">
        <v>342</v>
      </c>
      <c r="AZ64" s="3" t="s">
        <v>343</v>
      </c>
      <c r="BA64" s="3" t="s">
        <v>343</v>
      </c>
      <c r="BB64" s="3" t="s">
        <v>344</v>
      </c>
      <c r="BC64" s="3" t="s">
        <v>77</v>
      </c>
      <c r="BD64" s="3" t="s">
        <v>78</v>
      </c>
      <c r="BF64" s="3" t="s">
        <v>344</v>
      </c>
      <c r="BG64" s="3" t="s">
        <v>345</v>
      </c>
      <c r="BH64">
        <f t="shared" si="0"/>
        <v>0</v>
      </c>
    </row>
    <row r="65" spans="1:60" ht="58" x14ac:dyDescent="0.35">
      <c r="A65" s="2" t="s">
        <v>59</v>
      </c>
      <c r="B65" s="2" t="s">
        <v>60</v>
      </c>
      <c r="C65" s="2" t="s">
        <v>346</v>
      </c>
      <c r="D65" s="2" t="s">
        <v>347</v>
      </c>
      <c r="E65" s="2" t="s">
        <v>348</v>
      </c>
      <c r="G65" s="3" t="s">
        <v>64</v>
      </c>
      <c r="I65" s="3" t="s">
        <v>64</v>
      </c>
      <c r="J65" s="3" t="s">
        <v>64</v>
      </c>
      <c r="K65" s="3" t="s">
        <v>65</v>
      </c>
      <c r="L65" s="2" t="s">
        <v>349</v>
      </c>
      <c r="M65" s="2" t="s">
        <v>350</v>
      </c>
      <c r="N65" s="3" t="s">
        <v>144</v>
      </c>
      <c r="P65" s="3" t="s">
        <v>102</v>
      </c>
      <c r="Q65" s="2" t="s">
        <v>351</v>
      </c>
      <c r="R65" s="3" t="s">
        <v>70</v>
      </c>
      <c r="S65" s="4">
        <v>9</v>
      </c>
      <c r="T65" s="4">
        <v>9</v>
      </c>
      <c r="U65" s="5" t="s">
        <v>352</v>
      </c>
      <c r="V65" s="5" t="s">
        <v>352</v>
      </c>
      <c r="W65" s="5" t="s">
        <v>72</v>
      </c>
      <c r="X65" s="5" t="s">
        <v>72</v>
      </c>
      <c r="Y65" s="4">
        <v>314</v>
      </c>
      <c r="Z65" s="4">
        <v>31</v>
      </c>
      <c r="AA65" s="4">
        <v>45</v>
      </c>
      <c r="AB65" s="4">
        <v>2</v>
      </c>
      <c r="AC65" s="4">
        <v>6</v>
      </c>
      <c r="AD65" s="4">
        <v>101</v>
      </c>
      <c r="AE65" s="4">
        <v>115</v>
      </c>
      <c r="AF65" s="4">
        <v>0</v>
      </c>
      <c r="AG65" s="4">
        <v>0</v>
      </c>
      <c r="AH65" s="4">
        <v>85</v>
      </c>
      <c r="AI65" s="4">
        <v>93</v>
      </c>
      <c r="AJ65" s="4">
        <v>13</v>
      </c>
      <c r="AK65" s="4">
        <v>13</v>
      </c>
      <c r="AL65" s="4">
        <v>50</v>
      </c>
      <c r="AM65" s="4">
        <v>54</v>
      </c>
      <c r="AN65" s="4">
        <v>0</v>
      </c>
      <c r="AO65" s="4">
        <v>0</v>
      </c>
      <c r="AP65" s="4">
        <v>22</v>
      </c>
      <c r="AQ65" s="4">
        <v>27</v>
      </c>
      <c r="AR65" s="3" t="s">
        <v>64</v>
      </c>
      <c r="AS65" s="3" t="s">
        <v>64</v>
      </c>
      <c r="AT65" s="3" t="s">
        <v>64</v>
      </c>
      <c r="AV65" s="6" t="str">
        <f>HYPERLINK("http://mcgill.on.worldcat.org/oclc/183261771","Catalog Record")</f>
        <v>Catalog Record</v>
      </c>
      <c r="AW65" s="6" t="str">
        <f>HYPERLINK("http://www.worldcat.org/oclc/183261771","WorldCat Record")</f>
        <v>WorldCat Record</v>
      </c>
      <c r="AX65" s="3" t="s">
        <v>353</v>
      </c>
      <c r="AY65" s="3" t="s">
        <v>354</v>
      </c>
      <c r="AZ65" s="3" t="s">
        <v>355</v>
      </c>
      <c r="BA65" s="3" t="s">
        <v>355</v>
      </c>
      <c r="BB65" s="3" t="s">
        <v>356</v>
      </c>
      <c r="BC65" s="3" t="s">
        <v>77</v>
      </c>
      <c r="BD65" s="3" t="s">
        <v>78</v>
      </c>
      <c r="BE65" s="3" t="s">
        <v>357</v>
      </c>
      <c r="BF65" s="3" t="s">
        <v>356</v>
      </c>
      <c r="BG65" s="3" t="s">
        <v>358</v>
      </c>
      <c r="BH65">
        <f t="shared" si="0"/>
        <v>0</v>
      </c>
    </row>
    <row r="66" spans="1:60" ht="58" x14ac:dyDescent="0.35">
      <c r="A66" s="2" t="s">
        <v>59</v>
      </c>
      <c r="B66" s="2" t="s">
        <v>60</v>
      </c>
      <c r="C66" s="2" t="s">
        <v>359</v>
      </c>
      <c r="D66" s="2" t="s">
        <v>360</v>
      </c>
      <c r="E66" s="2" t="s">
        <v>361</v>
      </c>
      <c r="G66" s="3" t="s">
        <v>64</v>
      </c>
      <c r="I66" s="3" t="s">
        <v>64</v>
      </c>
      <c r="J66" s="3" t="s">
        <v>64</v>
      </c>
      <c r="K66" s="3" t="s">
        <v>65</v>
      </c>
      <c r="L66" s="2" t="s">
        <v>362</v>
      </c>
      <c r="M66" s="2" t="s">
        <v>363</v>
      </c>
      <c r="N66" s="3" t="s">
        <v>364</v>
      </c>
      <c r="P66" s="3" t="s">
        <v>365</v>
      </c>
      <c r="Q66" s="2" t="s">
        <v>366</v>
      </c>
      <c r="R66" s="3" t="s">
        <v>70</v>
      </c>
      <c r="S66" s="4">
        <v>2</v>
      </c>
      <c r="T66" s="4">
        <v>2</v>
      </c>
      <c r="U66" s="5" t="s">
        <v>367</v>
      </c>
      <c r="V66" s="5" t="s">
        <v>367</v>
      </c>
      <c r="W66" s="5" t="s">
        <v>72</v>
      </c>
      <c r="X66" s="5" t="s">
        <v>72</v>
      </c>
      <c r="Y66" s="4">
        <v>44</v>
      </c>
      <c r="Z66" s="4">
        <v>5</v>
      </c>
      <c r="AA66" s="4">
        <v>5</v>
      </c>
      <c r="AB66" s="4">
        <v>1</v>
      </c>
      <c r="AC66" s="4">
        <v>1</v>
      </c>
      <c r="AD66" s="4">
        <v>28</v>
      </c>
      <c r="AE66" s="4">
        <v>29</v>
      </c>
      <c r="AF66" s="4">
        <v>0</v>
      </c>
      <c r="AG66" s="4">
        <v>0</v>
      </c>
      <c r="AH66" s="4">
        <v>25</v>
      </c>
      <c r="AI66" s="4">
        <v>26</v>
      </c>
      <c r="AJ66" s="4">
        <v>3</v>
      </c>
      <c r="AK66" s="4">
        <v>3</v>
      </c>
      <c r="AL66" s="4">
        <v>21</v>
      </c>
      <c r="AM66" s="4">
        <v>22</v>
      </c>
      <c r="AN66" s="4">
        <v>0</v>
      </c>
      <c r="AO66" s="4">
        <v>0</v>
      </c>
      <c r="AP66" s="4">
        <v>3</v>
      </c>
      <c r="AQ66" s="4">
        <v>3</v>
      </c>
      <c r="AR66" s="3" t="s">
        <v>64</v>
      </c>
      <c r="AS66" s="3" t="s">
        <v>64</v>
      </c>
      <c r="AT66" s="3" t="s">
        <v>64</v>
      </c>
      <c r="AV66" s="6" t="str">
        <f>HYPERLINK("http://mcgill.on.worldcat.org/oclc/869506","Catalog Record")</f>
        <v>Catalog Record</v>
      </c>
      <c r="AW66" s="6" t="str">
        <f>HYPERLINK("http://www.worldcat.org/oclc/869506","WorldCat Record")</f>
        <v>WorldCat Record</v>
      </c>
      <c r="AX66" s="3" t="s">
        <v>368</v>
      </c>
      <c r="AY66" s="3" t="s">
        <v>369</v>
      </c>
      <c r="AZ66" s="3" t="s">
        <v>370</v>
      </c>
      <c r="BA66" s="3" t="s">
        <v>370</v>
      </c>
      <c r="BB66" s="3" t="s">
        <v>371</v>
      </c>
      <c r="BC66" s="3" t="s">
        <v>77</v>
      </c>
      <c r="BD66" s="3" t="s">
        <v>78</v>
      </c>
      <c r="BF66" s="3" t="s">
        <v>371</v>
      </c>
      <c r="BG66" s="3" t="s">
        <v>372</v>
      </c>
      <c r="BH66">
        <f t="shared" ref="BH66:BH129" si="4">IF(COUNTIF($BF$1:$BF$5431,BF66)=1,0,1)</f>
        <v>0</v>
      </c>
    </row>
    <row r="67" spans="1:60" ht="58" x14ac:dyDescent="0.35">
      <c r="A67" s="2" t="s">
        <v>59</v>
      </c>
      <c r="B67" s="2" t="s">
        <v>60</v>
      </c>
      <c r="C67" s="2" t="s">
        <v>373</v>
      </c>
      <c r="D67" s="2" t="s">
        <v>374</v>
      </c>
      <c r="E67" s="2" t="s">
        <v>375</v>
      </c>
      <c r="G67" s="3" t="s">
        <v>64</v>
      </c>
      <c r="I67" s="3" t="s">
        <v>64</v>
      </c>
      <c r="J67" s="3" t="s">
        <v>64</v>
      </c>
      <c r="K67" s="3" t="s">
        <v>183</v>
      </c>
      <c r="L67" s="2" t="s">
        <v>376</v>
      </c>
      <c r="M67" s="2" t="s">
        <v>377</v>
      </c>
      <c r="N67" s="3" t="s">
        <v>378</v>
      </c>
      <c r="P67" s="3" t="s">
        <v>102</v>
      </c>
      <c r="Q67" s="2" t="s">
        <v>379</v>
      </c>
      <c r="R67" s="3" t="s">
        <v>70</v>
      </c>
      <c r="S67" s="4">
        <v>13</v>
      </c>
      <c r="T67" s="4">
        <v>13</v>
      </c>
      <c r="U67" s="5" t="s">
        <v>380</v>
      </c>
      <c r="V67" s="5" t="s">
        <v>380</v>
      </c>
      <c r="W67" s="5" t="s">
        <v>72</v>
      </c>
      <c r="X67" s="5" t="s">
        <v>72</v>
      </c>
      <c r="Y67" s="4">
        <v>188</v>
      </c>
      <c r="Z67" s="4">
        <v>16</v>
      </c>
      <c r="AA67" s="4">
        <v>16</v>
      </c>
      <c r="AB67" s="4">
        <v>3</v>
      </c>
      <c r="AC67" s="4">
        <v>3</v>
      </c>
      <c r="AD67" s="4">
        <v>62</v>
      </c>
      <c r="AE67" s="4">
        <v>63</v>
      </c>
      <c r="AF67" s="4">
        <v>1</v>
      </c>
      <c r="AG67" s="4">
        <v>1</v>
      </c>
      <c r="AH67" s="4">
        <v>56</v>
      </c>
      <c r="AI67" s="4">
        <v>57</v>
      </c>
      <c r="AJ67" s="4">
        <v>7</v>
      </c>
      <c r="AK67" s="4">
        <v>7</v>
      </c>
      <c r="AL67" s="4">
        <v>37</v>
      </c>
      <c r="AM67" s="4">
        <v>37</v>
      </c>
      <c r="AN67" s="4">
        <v>0</v>
      </c>
      <c r="AO67" s="4">
        <v>0</v>
      </c>
      <c r="AP67" s="4">
        <v>7</v>
      </c>
      <c r="AQ67" s="4">
        <v>7</v>
      </c>
      <c r="AR67" s="3" t="s">
        <v>64</v>
      </c>
      <c r="AS67" s="3" t="s">
        <v>128</v>
      </c>
      <c r="AT67" s="3" t="s">
        <v>64</v>
      </c>
      <c r="AU67" s="6" t="str">
        <f>HYPERLINK("http://catalog.hathitrust.org/Record/011390633","HathiTrust Record")</f>
        <v>HathiTrust Record</v>
      </c>
      <c r="AV67" s="6" t="str">
        <f>HYPERLINK("http://mcgill.on.worldcat.org/oclc/13395344","Catalog Record")</f>
        <v>Catalog Record</v>
      </c>
      <c r="AW67" s="6" t="str">
        <f>HYPERLINK("http://www.worldcat.org/oclc/13395344","WorldCat Record")</f>
        <v>WorldCat Record</v>
      </c>
      <c r="AX67" s="3" t="s">
        <v>381</v>
      </c>
      <c r="AY67" s="3" t="s">
        <v>382</v>
      </c>
      <c r="AZ67" s="3" t="s">
        <v>383</v>
      </c>
      <c r="BA67" s="3" t="s">
        <v>383</v>
      </c>
      <c r="BB67" s="3" t="s">
        <v>384</v>
      </c>
      <c r="BC67" s="3" t="s">
        <v>77</v>
      </c>
      <c r="BD67" s="3" t="s">
        <v>78</v>
      </c>
      <c r="BE67" s="3" t="s">
        <v>385</v>
      </c>
      <c r="BF67" s="3" t="s">
        <v>384</v>
      </c>
      <c r="BG67" s="3" t="s">
        <v>386</v>
      </c>
      <c r="BH67">
        <f t="shared" si="4"/>
        <v>0</v>
      </c>
    </row>
    <row r="68" spans="1:60" ht="58" x14ac:dyDescent="0.35">
      <c r="A68" s="2" t="s">
        <v>59</v>
      </c>
      <c r="B68" s="2" t="s">
        <v>60</v>
      </c>
      <c r="C68" s="2" t="s">
        <v>387</v>
      </c>
      <c r="D68" s="2" t="s">
        <v>388</v>
      </c>
      <c r="E68" s="2" t="s">
        <v>389</v>
      </c>
      <c r="G68" s="3" t="s">
        <v>64</v>
      </c>
      <c r="I68" s="3" t="s">
        <v>128</v>
      </c>
      <c r="J68" s="3" t="s">
        <v>128</v>
      </c>
      <c r="K68" s="3" t="s">
        <v>65</v>
      </c>
      <c r="L68" s="2" t="s">
        <v>390</v>
      </c>
      <c r="M68" s="2" t="s">
        <v>391</v>
      </c>
      <c r="N68" s="3" t="s">
        <v>392</v>
      </c>
      <c r="P68" s="3" t="s">
        <v>68</v>
      </c>
      <c r="Q68" s="2" t="s">
        <v>393</v>
      </c>
      <c r="R68" s="3" t="s">
        <v>70</v>
      </c>
      <c r="S68" s="4">
        <v>17</v>
      </c>
      <c r="T68" s="4">
        <v>18</v>
      </c>
      <c r="U68" s="5" t="s">
        <v>394</v>
      </c>
      <c r="V68" s="5" t="s">
        <v>394</v>
      </c>
      <c r="W68" s="5" t="s">
        <v>72</v>
      </c>
      <c r="X68" s="5" t="s">
        <v>72</v>
      </c>
      <c r="Y68" s="4">
        <v>4</v>
      </c>
      <c r="Z68" s="4">
        <v>1</v>
      </c>
      <c r="AA68" s="4">
        <v>52</v>
      </c>
      <c r="AB68" s="4">
        <v>1</v>
      </c>
      <c r="AC68" s="4">
        <v>14</v>
      </c>
      <c r="AD68" s="4">
        <v>2</v>
      </c>
      <c r="AE68" s="4">
        <v>103</v>
      </c>
      <c r="AF68" s="4">
        <v>0</v>
      </c>
      <c r="AG68" s="4">
        <v>5</v>
      </c>
      <c r="AH68" s="4">
        <v>2</v>
      </c>
      <c r="AI68" s="4">
        <v>87</v>
      </c>
      <c r="AJ68" s="4">
        <v>0</v>
      </c>
      <c r="AK68" s="4">
        <v>24</v>
      </c>
      <c r="AL68" s="4">
        <v>2</v>
      </c>
      <c r="AM68" s="4">
        <v>52</v>
      </c>
      <c r="AN68" s="4">
        <v>0</v>
      </c>
      <c r="AO68" s="4">
        <v>0</v>
      </c>
      <c r="AP68" s="4">
        <v>0</v>
      </c>
      <c r="AQ68" s="4">
        <v>25</v>
      </c>
      <c r="AR68" s="3" t="s">
        <v>64</v>
      </c>
      <c r="AS68" s="3" t="s">
        <v>64</v>
      </c>
      <c r="AT68" s="3" t="s">
        <v>64</v>
      </c>
      <c r="AV68" s="6" t="str">
        <f>HYPERLINK("http://mcgill.on.worldcat.org/oclc/222577902","Catalog Record")</f>
        <v>Catalog Record</v>
      </c>
      <c r="AW68" s="6" t="str">
        <f>HYPERLINK("http://www.worldcat.org/oclc/222577902","WorldCat Record")</f>
        <v>WorldCat Record</v>
      </c>
      <c r="AX68" s="3" t="s">
        <v>395</v>
      </c>
      <c r="AY68" s="3" t="s">
        <v>396</v>
      </c>
      <c r="AZ68" s="3" t="s">
        <v>397</v>
      </c>
      <c r="BA68" s="3" t="s">
        <v>397</v>
      </c>
      <c r="BB68" s="3" t="s">
        <v>398</v>
      </c>
      <c r="BC68" s="3" t="s">
        <v>77</v>
      </c>
      <c r="BD68" s="3" t="s">
        <v>78</v>
      </c>
      <c r="BE68" s="3" t="s">
        <v>399</v>
      </c>
      <c r="BF68" s="3" t="s">
        <v>398</v>
      </c>
      <c r="BG68" s="3" t="s">
        <v>400</v>
      </c>
      <c r="BH68">
        <f t="shared" si="4"/>
        <v>0</v>
      </c>
    </row>
    <row r="69" spans="1:60" ht="72.5" x14ac:dyDescent="0.35">
      <c r="A69" s="2" t="s">
        <v>59</v>
      </c>
      <c r="B69" s="2" t="s">
        <v>60</v>
      </c>
      <c r="C69" s="2" t="s">
        <v>401</v>
      </c>
      <c r="D69" s="2" t="s">
        <v>402</v>
      </c>
      <c r="E69" s="2" t="s">
        <v>403</v>
      </c>
      <c r="G69" s="3" t="s">
        <v>64</v>
      </c>
      <c r="I69" s="3" t="s">
        <v>128</v>
      </c>
      <c r="J69" s="3" t="s">
        <v>128</v>
      </c>
      <c r="K69" s="3" t="s">
        <v>65</v>
      </c>
      <c r="L69" s="2" t="s">
        <v>390</v>
      </c>
      <c r="M69" s="2" t="s">
        <v>404</v>
      </c>
      <c r="N69" s="3" t="s">
        <v>405</v>
      </c>
      <c r="O69" s="2" t="s">
        <v>406</v>
      </c>
      <c r="P69" s="3" t="s">
        <v>102</v>
      </c>
      <c r="Q69" s="2" t="s">
        <v>407</v>
      </c>
      <c r="R69" s="3" t="s">
        <v>70</v>
      </c>
      <c r="S69" s="4">
        <v>70</v>
      </c>
      <c r="T69" s="4">
        <v>138</v>
      </c>
      <c r="U69" s="5" t="s">
        <v>408</v>
      </c>
      <c r="V69" s="5" t="s">
        <v>409</v>
      </c>
      <c r="W69" s="5" t="s">
        <v>72</v>
      </c>
      <c r="X69" s="5" t="s">
        <v>72</v>
      </c>
      <c r="Y69" s="4">
        <v>738</v>
      </c>
      <c r="Z69" s="4">
        <v>45</v>
      </c>
      <c r="AA69" s="4">
        <v>76</v>
      </c>
      <c r="AB69" s="4">
        <v>3</v>
      </c>
      <c r="AC69" s="4">
        <v>7</v>
      </c>
      <c r="AD69" s="4">
        <v>129</v>
      </c>
      <c r="AE69" s="4">
        <v>150</v>
      </c>
      <c r="AF69" s="4">
        <v>2</v>
      </c>
      <c r="AG69" s="4">
        <v>3</v>
      </c>
      <c r="AH69" s="4">
        <v>104</v>
      </c>
      <c r="AI69" s="4">
        <v>112</v>
      </c>
      <c r="AJ69" s="4">
        <v>18</v>
      </c>
      <c r="AK69" s="4">
        <v>24</v>
      </c>
      <c r="AL69" s="4">
        <v>59</v>
      </c>
      <c r="AM69" s="4">
        <v>61</v>
      </c>
      <c r="AN69" s="4">
        <v>0</v>
      </c>
      <c r="AO69" s="4">
        <v>0</v>
      </c>
      <c r="AP69" s="4">
        <v>30</v>
      </c>
      <c r="AQ69" s="4">
        <v>44</v>
      </c>
      <c r="AR69" s="3" t="s">
        <v>64</v>
      </c>
      <c r="AS69" s="3" t="s">
        <v>64</v>
      </c>
      <c r="AT69" s="3" t="s">
        <v>64</v>
      </c>
      <c r="AV69" s="6" t="str">
        <f>HYPERLINK("http://mcgill.on.worldcat.org/oclc/2379181","Catalog Record")</f>
        <v>Catalog Record</v>
      </c>
      <c r="AW69" s="6" t="str">
        <f>HYPERLINK("http://www.worldcat.org/oclc/2379181","WorldCat Record")</f>
        <v>WorldCat Record</v>
      </c>
      <c r="AX69" s="3" t="s">
        <v>410</v>
      </c>
      <c r="AY69" s="3" t="s">
        <v>411</v>
      </c>
      <c r="AZ69" s="3" t="s">
        <v>412</v>
      </c>
      <c r="BA69" s="3" t="s">
        <v>412</v>
      </c>
      <c r="BB69" s="3" t="s">
        <v>413</v>
      </c>
      <c r="BC69" s="3" t="s">
        <v>77</v>
      </c>
      <c r="BD69" s="3" t="s">
        <v>78</v>
      </c>
      <c r="BE69" s="3" t="s">
        <v>414</v>
      </c>
      <c r="BF69" s="3" t="s">
        <v>413</v>
      </c>
      <c r="BG69" s="3" t="s">
        <v>415</v>
      </c>
      <c r="BH69">
        <f t="shared" si="4"/>
        <v>0</v>
      </c>
    </row>
    <row r="70" spans="1:60" ht="72.5" x14ac:dyDescent="0.35">
      <c r="A70" s="2" t="s">
        <v>59</v>
      </c>
      <c r="B70" s="2" t="s">
        <v>60</v>
      </c>
      <c r="C70" s="2" t="s">
        <v>401</v>
      </c>
      <c r="D70" s="2" t="s">
        <v>402</v>
      </c>
      <c r="E70" s="2" t="s">
        <v>403</v>
      </c>
      <c r="G70" s="3" t="s">
        <v>64</v>
      </c>
      <c r="I70" s="3" t="s">
        <v>128</v>
      </c>
      <c r="J70" s="3" t="s">
        <v>128</v>
      </c>
      <c r="K70" s="3" t="s">
        <v>65</v>
      </c>
      <c r="L70" s="2" t="s">
        <v>390</v>
      </c>
      <c r="M70" s="2" t="s">
        <v>404</v>
      </c>
      <c r="N70" s="3" t="s">
        <v>405</v>
      </c>
      <c r="O70" s="2" t="s">
        <v>406</v>
      </c>
      <c r="P70" s="3" t="s">
        <v>102</v>
      </c>
      <c r="Q70" s="2" t="s">
        <v>407</v>
      </c>
      <c r="R70" s="3" t="s">
        <v>70</v>
      </c>
      <c r="S70" s="4">
        <v>68</v>
      </c>
      <c r="T70" s="4">
        <v>138</v>
      </c>
      <c r="U70" s="5" t="s">
        <v>409</v>
      </c>
      <c r="V70" s="5" t="s">
        <v>409</v>
      </c>
      <c r="W70" s="5" t="s">
        <v>72</v>
      </c>
      <c r="X70" s="5" t="s">
        <v>72</v>
      </c>
      <c r="Y70" s="4">
        <v>738</v>
      </c>
      <c r="Z70" s="4">
        <v>45</v>
      </c>
      <c r="AA70" s="4">
        <v>76</v>
      </c>
      <c r="AB70" s="4">
        <v>3</v>
      </c>
      <c r="AC70" s="4">
        <v>7</v>
      </c>
      <c r="AD70" s="4">
        <v>129</v>
      </c>
      <c r="AE70" s="4">
        <v>150</v>
      </c>
      <c r="AF70" s="4">
        <v>2</v>
      </c>
      <c r="AG70" s="4">
        <v>3</v>
      </c>
      <c r="AH70" s="4">
        <v>104</v>
      </c>
      <c r="AI70" s="4">
        <v>112</v>
      </c>
      <c r="AJ70" s="4">
        <v>18</v>
      </c>
      <c r="AK70" s="4">
        <v>24</v>
      </c>
      <c r="AL70" s="4">
        <v>59</v>
      </c>
      <c r="AM70" s="4">
        <v>61</v>
      </c>
      <c r="AN70" s="4">
        <v>0</v>
      </c>
      <c r="AO70" s="4">
        <v>0</v>
      </c>
      <c r="AP70" s="4">
        <v>30</v>
      </c>
      <c r="AQ70" s="4">
        <v>44</v>
      </c>
      <c r="AR70" s="3" t="s">
        <v>64</v>
      </c>
      <c r="AS70" s="3" t="s">
        <v>64</v>
      </c>
      <c r="AT70" s="3" t="s">
        <v>64</v>
      </c>
      <c r="AV70" s="6" t="str">
        <f>HYPERLINK("http://mcgill.on.worldcat.org/oclc/2379181","Catalog Record")</f>
        <v>Catalog Record</v>
      </c>
      <c r="AW70" s="6" t="str">
        <f>HYPERLINK("http://www.worldcat.org/oclc/2379181","WorldCat Record")</f>
        <v>WorldCat Record</v>
      </c>
      <c r="AX70" s="3" t="s">
        <v>410</v>
      </c>
      <c r="AY70" s="3" t="s">
        <v>411</v>
      </c>
      <c r="AZ70" s="3" t="s">
        <v>412</v>
      </c>
      <c r="BA70" s="3" t="s">
        <v>412</v>
      </c>
      <c r="BB70" s="3" t="s">
        <v>416</v>
      </c>
      <c r="BC70" s="3" t="s">
        <v>77</v>
      </c>
      <c r="BD70" s="3" t="s">
        <v>78</v>
      </c>
      <c r="BE70" s="3" t="s">
        <v>414</v>
      </c>
      <c r="BF70" s="3" t="s">
        <v>416</v>
      </c>
      <c r="BG70" s="3" t="s">
        <v>417</v>
      </c>
      <c r="BH70">
        <f t="shared" si="4"/>
        <v>0</v>
      </c>
    </row>
    <row r="71" spans="1:60" ht="72.5" x14ac:dyDescent="0.35">
      <c r="A71" s="2" t="s">
        <v>59</v>
      </c>
      <c r="B71" s="2" t="s">
        <v>60</v>
      </c>
      <c r="C71" s="2" t="s">
        <v>418</v>
      </c>
      <c r="D71" s="2" t="s">
        <v>419</v>
      </c>
      <c r="E71" s="2" t="s">
        <v>403</v>
      </c>
      <c r="G71" s="3" t="s">
        <v>64</v>
      </c>
      <c r="I71" s="3" t="s">
        <v>64</v>
      </c>
      <c r="J71" s="3" t="s">
        <v>128</v>
      </c>
      <c r="K71" s="3" t="s">
        <v>65</v>
      </c>
      <c r="L71" s="2" t="s">
        <v>390</v>
      </c>
      <c r="M71" s="2" t="s">
        <v>420</v>
      </c>
      <c r="N71" s="3" t="s">
        <v>421</v>
      </c>
      <c r="P71" s="3" t="s">
        <v>102</v>
      </c>
      <c r="Q71" s="2" t="s">
        <v>422</v>
      </c>
      <c r="R71" s="3" t="s">
        <v>70</v>
      </c>
      <c r="S71" s="4">
        <v>31</v>
      </c>
      <c r="T71" s="4">
        <v>31</v>
      </c>
      <c r="U71" s="5" t="s">
        <v>423</v>
      </c>
      <c r="V71" s="5" t="s">
        <v>423</v>
      </c>
      <c r="W71" s="5" t="s">
        <v>72</v>
      </c>
      <c r="X71" s="5" t="s">
        <v>72</v>
      </c>
      <c r="Y71" s="4">
        <v>200</v>
      </c>
      <c r="Z71" s="4">
        <v>13</v>
      </c>
      <c r="AA71" s="4">
        <v>76</v>
      </c>
      <c r="AB71" s="4">
        <v>1</v>
      </c>
      <c r="AC71" s="4">
        <v>7</v>
      </c>
      <c r="AD71" s="4">
        <v>28</v>
      </c>
      <c r="AE71" s="4">
        <v>150</v>
      </c>
      <c r="AF71" s="4">
        <v>0</v>
      </c>
      <c r="AG71" s="4">
        <v>3</v>
      </c>
      <c r="AH71" s="4">
        <v>25</v>
      </c>
      <c r="AI71" s="4">
        <v>112</v>
      </c>
      <c r="AJ71" s="4">
        <v>3</v>
      </c>
      <c r="AK71" s="4">
        <v>24</v>
      </c>
      <c r="AL71" s="4">
        <v>16</v>
      </c>
      <c r="AM71" s="4">
        <v>61</v>
      </c>
      <c r="AN71" s="4">
        <v>0</v>
      </c>
      <c r="AO71" s="4">
        <v>0</v>
      </c>
      <c r="AP71" s="4">
        <v>6</v>
      </c>
      <c r="AQ71" s="4">
        <v>44</v>
      </c>
      <c r="AR71" s="3" t="s">
        <v>64</v>
      </c>
      <c r="AS71" s="3" t="s">
        <v>64</v>
      </c>
      <c r="AT71" s="3" t="s">
        <v>128</v>
      </c>
      <c r="AU71" s="6" t="str">
        <f>HYPERLINK("http://catalog.hathitrust.org/Record/009424049","HathiTrust Record")</f>
        <v>HathiTrust Record</v>
      </c>
      <c r="AV71" s="6" t="str">
        <f>HYPERLINK("http://mcgill.on.worldcat.org/oclc/37324725","Catalog Record")</f>
        <v>Catalog Record</v>
      </c>
      <c r="AW71" s="6" t="str">
        <f>HYPERLINK("http://www.worldcat.org/oclc/37324725","WorldCat Record")</f>
        <v>WorldCat Record</v>
      </c>
      <c r="AX71" s="3" t="s">
        <v>410</v>
      </c>
      <c r="AY71" s="3" t="s">
        <v>424</v>
      </c>
      <c r="AZ71" s="3" t="s">
        <v>425</v>
      </c>
      <c r="BA71" s="3" t="s">
        <v>425</v>
      </c>
      <c r="BB71" s="3" t="s">
        <v>426</v>
      </c>
      <c r="BC71" s="3" t="s">
        <v>77</v>
      </c>
      <c r="BD71" s="3" t="s">
        <v>78</v>
      </c>
      <c r="BE71" s="3" t="s">
        <v>427</v>
      </c>
      <c r="BF71" s="3" t="s">
        <v>426</v>
      </c>
      <c r="BG71" s="3" t="s">
        <v>428</v>
      </c>
      <c r="BH71">
        <f t="shared" si="4"/>
        <v>0</v>
      </c>
    </row>
    <row r="72" spans="1:60" ht="58" x14ac:dyDescent="0.35">
      <c r="A72" s="2" t="s">
        <v>59</v>
      </c>
      <c r="B72" s="2" t="s">
        <v>60</v>
      </c>
      <c r="C72" s="2" t="s">
        <v>429</v>
      </c>
      <c r="D72" s="2" t="s">
        <v>430</v>
      </c>
      <c r="E72" s="2" t="s">
        <v>431</v>
      </c>
      <c r="G72" s="3" t="s">
        <v>64</v>
      </c>
      <c r="I72" s="3" t="s">
        <v>64</v>
      </c>
      <c r="J72" s="3" t="s">
        <v>128</v>
      </c>
      <c r="K72" s="3" t="s">
        <v>65</v>
      </c>
      <c r="L72" s="2" t="s">
        <v>432</v>
      </c>
      <c r="M72" s="2" t="s">
        <v>433</v>
      </c>
      <c r="N72" s="3" t="s">
        <v>434</v>
      </c>
      <c r="P72" s="3" t="s">
        <v>102</v>
      </c>
      <c r="R72" s="3" t="s">
        <v>70</v>
      </c>
      <c r="S72" s="4">
        <v>41</v>
      </c>
      <c r="T72" s="4">
        <v>41</v>
      </c>
      <c r="U72" s="5" t="s">
        <v>435</v>
      </c>
      <c r="V72" s="5" t="s">
        <v>435</v>
      </c>
      <c r="W72" s="5" t="s">
        <v>72</v>
      </c>
      <c r="X72" s="5" t="s">
        <v>72</v>
      </c>
      <c r="Y72" s="4">
        <v>434</v>
      </c>
      <c r="Z72" s="4">
        <v>37</v>
      </c>
      <c r="AA72" s="4">
        <v>71</v>
      </c>
      <c r="AB72" s="4">
        <v>1</v>
      </c>
      <c r="AC72" s="4">
        <v>5</v>
      </c>
      <c r="AD72" s="4">
        <v>113</v>
      </c>
      <c r="AE72" s="4">
        <v>131</v>
      </c>
      <c r="AF72" s="4">
        <v>0</v>
      </c>
      <c r="AG72" s="4">
        <v>1</v>
      </c>
      <c r="AH72" s="4">
        <v>95</v>
      </c>
      <c r="AI72" s="4">
        <v>103</v>
      </c>
      <c r="AJ72" s="4">
        <v>16</v>
      </c>
      <c r="AK72" s="4">
        <v>21</v>
      </c>
      <c r="AL72" s="4">
        <v>54</v>
      </c>
      <c r="AM72" s="4">
        <v>57</v>
      </c>
      <c r="AN72" s="4">
        <v>0</v>
      </c>
      <c r="AO72" s="4">
        <v>0</v>
      </c>
      <c r="AP72" s="4">
        <v>25</v>
      </c>
      <c r="AQ72" s="4">
        <v>35</v>
      </c>
      <c r="AR72" s="3" t="s">
        <v>64</v>
      </c>
      <c r="AS72" s="3" t="s">
        <v>64</v>
      </c>
      <c r="AT72" s="3" t="s">
        <v>64</v>
      </c>
      <c r="AV72" s="6" t="str">
        <f>HYPERLINK("http://mcgill.on.worldcat.org/oclc/57391942","Catalog Record")</f>
        <v>Catalog Record</v>
      </c>
      <c r="AW72" s="6" t="str">
        <f>HYPERLINK("http://www.worldcat.org/oclc/57391942","WorldCat Record")</f>
        <v>WorldCat Record</v>
      </c>
      <c r="AX72" s="3" t="s">
        <v>436</v>
      </c>
      <c r="AY72" s="3" t="s">
        <v>437</v>
      </c>
      <c r="AZ72" s="3" t="s">
        <v>438</v>
      </c>
      <c r="BA72" s="3" t="s">
        <v>438</v>
      </c>
      <c r="BB72" s="3" t="s">
        <v>439</v>
      </c>
      <c r="BC72" s="3" t="s">
        <v>77</v>
      </c>
      <c r="BD72" s="3" t="s">
        <v>78</v>
      </c>
      <c r="BE72" s="3" t="s">
        <v>440</v>
      </c>
      <c r="BF72" s="3" t="s">
        <v>439</v>
      </c>
      <c r="BG72" s="3" t="s">
        <v>441</v>
      </c>
      <c r="BH72">
        <f t="shared" si="4"/>
        <v>0</v>
      </c>
    </row>
    <row r="73" spans="1:60" ht="58" x14ac:dyDescent="0.35">
      <c r="A73" s="2" t="s">
        <v>59</v>
      </c>
      <c r="B73" s="2" t="s">
        <v>60</v>
      </c>
      <c r="C73" s="2" t="s">
        <v>442</v>
      </c>
      <c r="D73" s="2" t="s">
        <v>443</v>
      </c>
      <c r="E73" s="2" t="s">
        <v>431</v>
      </c>
      <c r="G73" s="3" t="s">
        <v>64</v>
      </c>
      <c r="I73" s="3" t="s">
        <v>64</v>
      </c>
      <c r="J73" s="3" t="s">
        <v>128</v>
      </c>
      <c r="K73" s="3" t="s">
        <v>65</v>
      </c>
      <c r="L73" s="2" t="s">
        <v>432</v>
      </c>
      <c r="M73" s="2" t="s">
        <v>444</v>
      </c>
      <c r="N73" s="3" t="s">
        <v>86</v>
      </c>
      <c r="O73" s="2" t="s">
        <v>172</v>
      </c>
      <c r="P73" s="3" t="s">
        <v>102</v>
      </c>
      <c r="R73" s="3" t="s">
        <v>70</v>
      </c>
      <c r="S73" s="4">
        <v>10</v>
      </c>
      <c r="T73" s="4">
        <v>10</v>
      </c>
      <c r="U73" s="5" t="s">
        <v>445</v>
      </c>
      <c r="V73" s="5" t="s">
        <v>445</v>
      </c>
      <c r="W73" s="5" t="s">
        <v>72</v>
      </c>
      <c r="X73" s="5" t="s">
        <v>72</v>
      </c>
      <c r="Y73" s="4">
        <v>28</v>
      </c>
      <c r="Z73" s="4">
        <v>3</v>
      </c>
      <c r="AA73" s="4">
        <v>71</v>
      </c>
      <c r="AB73" s="4">
        <v>1</v>
      </c>
      <c r="AC73" s="4">
        <v>5</v>
      </c>
      <c r="AD73" s="4">
        <v>4</v>
      </c>
      <c r="AE73" s="4">
        <v>131</v>
      </c>
      <c r="AF73" s="4">
        <v>0</v>
      </c>
      <c r="AG73" s="4">
        <v>1</v>
      </c>
      <c r="AH73" s="4">
        <v>3</v>
      </c>
      <c r="AI73" s="4">
        <v>103</v>
      </c>
      <c r="AJ73" s="4">
        <v>1</v>
      </c>
      <c r="AK73" s="4">
        <v>21</v>
      </c>
      <c r="AL73" s="4">
        <v>3</v>
      </c>
      <c r="AM73" s="4">
        <v>57</v>
      </c>
      <c r="AN73" s="4">
        <v>0</v>
      </c>
      <c r="AO73" s="4">
        <v>0</v>
      </c>
      <c r="AP73" s="4">
        <v>1</v>
      </c>
      <c r="AQ73" s="4">
        <v>35</v>
      </c>
      <c r="AR73" s="3" t="s">
        <v>64</v>
      </c>
      <c r="AS73" s="3" t="s">
        <v>64</v>
      </c>
      <c r="AT73" s="3" t="s">
        <v>64</v>
      </c>
      <c r="AV73" s="6" t="str">
        <f>HYPERLINK("http://mcgill.on.worldcat.org/oclc/797975935","Catalog Record")</f>
        <v>Catalog Record</v>
      </c>
      <c r="AW73" s="6" t="str">
        <f>HYPERLINK("http://www.worldcat.org/oclc/797975935","WorldCat Record")</f>
        <v>WorldCat Record</v>
      </c>
      <c r="AX73" s="3" t="s">
        <v>436</v>
      </c>
      <c r="AY73" s="3" t="s">
        <v>446</v>
      </c>
      <c r="AZ73" s="3" t="s">
        <v>447</v>
      </c>
      <c r="BA73" s="3" t="s">
        <v>447</v>
      </c>
      <c r="BB73" s="3" t="s">
        <v>448</v>
      </c>
      <c r="BC73" s="3" t="s">
        <v>77</v>
      </c>
      <c r="BD73" s="3" t="s">
        <v>78</v>
      </c>
      <c r="BE73" s="3" t="s">
        <v>449</v>
      </c>
      <c r="BF73" s="3" t="s">
        <v>448</v>
      </c>
      <c r="BG73" s="3" t="s">
        <v>450</v>
      </c>
      <c r="BH73">
        <f t="shared" si="4"/>
        <v>0</v>
      </c>
    </row>
    <row r="74" spans="1:60" ht="58" x14ac:dyDescent="0.35">
      <c r="A74" s="2" t="s">
        <v>59</v>
      </c>
      <c r="B74" s="2" t="s">
        <v>60</v>
      </c>
      <c r="C74" s="2" t="s">
        <v>451</v>
      </c>
      <c r="D74" s="2" t="s">
        <v>452</v>
      </c>
      <c r="E74" s="2" t="s">
        <v>453</v>
      </c>
      <c r="G74" s="3" t="s">
        <v>64</v>
      </c>
      <c r="I74" s="3" t="s">
        <v>128</v>
      </c>
      <c r="J74" s="3" t="s">
        <v>64</v>
      </c>
      <c r="K74" s="3" t="s">
        <v>65</v>
      </c>
      <c r="L74" s="2" t="s">
        <v>454</v>
      </c>
      <c r="M74" s="2" t="s">
        <v>455</v>
      </c>
      <c r="N74" s="3" t="s">
        <v>456</v>
      </c>
      <c r="P74" s="3" t="s">
        <v>68</v>
      </c>
      <c r="R74" s="3" t="s">
        <v>70</v>
      </c>
      <c r="S74" s="4">
        <v>9</v>
      </c>
      <c r="T74" s="4">
        <v>9</v>
      </c>
      <c r="U74" s="5" t="s">
        <v>457</v>
      </c>
      <c r="V74" s="5" t="s">
        <v>457</v>
      </c>
      <c r="W74" s="5" t="s">
        <v>72</v>
      </c>
      <c r="X74" s="5" t="s">
        <v>72</v>
      </c>
      <c r="Y74" s="4">
        <v>112</v>
      </c>
      <c r="Z74" s="4">
        <v>7</v>
      </c>
      <c r="AA74" s="4">
        <v>18</v>
      </c>
      <c r="AB74" s="4">
        <v>2</v>
      </c>
      <c r="AC74" s="4">
        <v>10</v>
      </c>
      <c r="AD74" s="4">
        <v>47</v>
      </c>
      <c r="AE74" s="4">
        <v>54</v>
      </c>
      <c r="AF74" s="4">
        <v>1</v>
      </c>
      <c r="AG74" s="4">
        <v>5</v>
      </c>
      <c r="AH74" s="4">
        <v>43</v>
      </c>
      <c r="AI74" s="4">
        <v>45</v>
      </c>
      <c r="AJ74" s="4">
        <v>4</v>
      </c>
      <c r="AK74" s="4">
        <v>10</v>
      </c>
      <c r="AL74" s="4">
        <v>29</v>
      </c>
      <c r="AM74" s="4">
        <v>29</v>
      </c>
      <c r="AN74" s="4">
        <v>0</v>
      </c>
      <c r="AO74" s="4">
        <v>0</v>
      </c>
      <c r="AP74" s="4">
        <v>5</v>
      </c>
      <c r="AQ74" s="4">
        <v>10</v>
      </c>
      <c r="AR74" s="3" t="s">
        <v>64</v>
      </c>
      <c r="AS74" s="3" t="s">
        <v>64</v>
      </c>
      <c r="AT74" s="3" t="s">
        <v>64</v>
      </c>
      <c r="AV74" s="6" t="str">
        <f>HYPERLINK("http://mcgill.on.worldcat.org/oclc/2013752","Catalog Record")</f>
        <v>Catalog Record</v>
      </c>
      <c r="AW74" s="6" t="str">
        <f>HYPERLINK("http://www.worldcat.org/oclc/2013752","WorldCat Record")</f>
        <v>WorldCat Record</v>
      </c>
      <c r="AX74" s="3" t="s">
        <v>458</v>
      </c>
      <c r="AY74" s="3" t="s">
        <v>459</v>
      </c>
      <c r="AZ74" s="3" t="s">
        <v>460</v>
      </c>
      <c r="BA74" s="3" t="s">
        <v>460</v>
      </c>
      <c r="BB74" s="3" t="s">
        <v>461</v>
      </c>
      <c r="BC74" s="3" t="s">
        <v>77</v>
      </c>
      <c r="BD74" s="3" t="s">
        <v>165</v>
      </c>
      <c r="BF74" s="3" t="s">
        <v>461</v>
      </c>
      <c r="BG74" s="3" t="s">
        <v>462</v>
      </c>
      <c r="BH74">
        <f t="shared" si="4"/>
        <v>0</v>
      </c>
    </row>
    <row r="75" spans="1:60" ht="58" x14ac:dyDescent="0.35">
      <c r="A75" s="2" t="s">
        <v>59</v>
      </c>
      <c r="B75" s="2" t="s">
        <v>60</v>
      </c>
      <c r="C75" s="2" t="s">
        <v>463</v>
      </c>
      <c r="D75" s="2" t="s">
        <v>464</v>
      </c>
      <c r="E75" s="2" t="s">
        <v>465</v>
      </c>
      <c r="G75" s="3" t="s">
        <v>64</v>
      </c>
      <c r="I75" s="3" t="s">
        <v>64</v>
      </c>
      <c r="J75" s="3" t="s">
        <v>64</v>
      </c>
      <c r="K75" s="3" t="s">
        <v>65</v>
      </c>
      <c r="L75" s="2" t="s">
        <v>466</v>
      </c>
      <c r="M75" s="2" t="s">
        <v>467</v>
      </c>
      <c r="N75" s="3" t="s">
        <v>468</v>
      </c>
      <c r="P75" s="3" t="s">
        <v>102</v>
      </c>
      <c r="R75" s="3" t="s">
        <v>70</v>
      </c>
      <c r="S75" s="4">
        <v>5</v>
      </c>
      <c r="T75" s="4">
        <v>5</v>
      </c>
      <c r="U75" s="5" t="s">
        <v>469</v>
      </c>
      <c r="V75" s="5" t="s">
        <v>469</v>
      </c>
      <c r="W75" s="5" t="s">
        <v>72</v>
      </c>
      <c r="X75" s="5" t="s">
        <v>72</v>
      </c>
      <c r="Y75" s="4">
        <v>190</v>
      </c>
      <c r="Z75" s="4">
        <v>18</v>
      </c>
      <c r="AA75" s="4">
        <v>21</v>
      </c>
      <c r="AB75" s="4">
        <v>2</v>
      </c>
      <c r="AC75" s="4">
        <v>3</v>
      </c>
      <c r="AD75" s="4">
        <v>55</v>
      </c>
      <c r="AE75" s="4">
        <v>64</v>
      </c>
      <c r="AF75" s="4">
        <v>0</v>
      </c>
      <c r="AG75" s="4">
        <v>1</v>
      </c>
      <c r="AH75" s="4">
        <v>48</v>
      </c>
      <c r="AI75" s="4">
        <v>55</v>
      </c>
      <c r="AJ75" s="4">
        <v>11</v>
      </c>
      <c r="AK75" s="4">
        <v>13</v>
      </c>
      <c r="AL75" s="4">
        <v>27</v>
      </c>
      <c r="AM75" s="4">
        <v>32</v>
      </c>
      <c r="AN75" s="4">
        <v>0</v>
      </c>
      <c r="AO75" s="4">
        <v>0</v>
      </c>
      <c r="AP75" s="4">
        <v>14</v>
      </c>
      <c r="AQ75" s="4">
        <v>16</v>
      </c>
      <c r="AR75" s="3" t="s">
        <v>64</v>
      </c>
      <c r="AS75" s="3" t="s">
        <v>64</v>
      </c>
      <c r="AT75" s="3" t="s">
        <v>128</v>
      </c>
      <c r="AU75" s="6" t="str">
        <f>HYPERLINK("http://catalog.hathitrust.org/Record/001159095","HathiTrust Record")</f>
        <v>HathiTrust Record</v>
      </c>
      <c r="AV75" s="6" t="str">
        <f>HYPERLINK("http://mcgill.on.worldcat.org/oclc/1246246","Catalog Record")</f>
        <v>Catalog Record</v>
      </c>
      <c r="AW75" s="6" t="str">
        <f>HYPERLINK("http://www.worldcat.org/oclc/1246246","WorldCat Record")</f>
        <v>WorldCat Record</v>
      </c>
      <c r="AX75" s="3" t="s">
        <v>470</v>
      </c>
      <c r="AY75" s="3" t="s">
        <v>471</v>
      </c>
      <c r="AZ75" s="3" t="s">
        <v>472</v>
      </c>
      <c r="BA75" s="3" t="s">
        <v>472</v>
      </c>
      <c r="BB75" s="3" t="s">
        <v>473</v>
      </c>
      <c r="BC75" s="3" t="s">
        <v>77</v>
      </c>
      <c r="BD75" s="3" t="s">
        <v>78</v>
      </c>
      <c r="BF75" s="3" t="s">
        <v>473</v>
      </c>
      <c r="BG75" s="3" t="s">
        <v>474</v>
      </c>
      <c r="BH75">
        <f t="shared" si="4"/>
        <v>0</v>
      </c>
    </row>
    <row r="76" spans="1:60" ht="72.5" x14ac:dyDescent="0.35">
      <c r="A76" s="2" t="s">
        <v>59</v>
      </c>
      <c r="B76" s="2" t="s">
        <v>60</v>
      </c>
      <c r="C76" s="2" t="s">
        <v>475</v>
      </c>
      <c r="D76" s="2" t="s">
        <v>476</v>
      </c>
      <c r="E76" s="2" t="s">
        <v>477</v>
      </c>
      <c r="F76" s="3" t="s">
        <v>478</v>
      </c>
      <c r="G76" s="3" t="s">
        <v>128</v>
      </c>
      <c r="I76" s="3" t="s">
        <v>64</v>
      </c>
      <c r="J76" s="3" t="s">
        <v>64</v>
      </c>
      <c r="K76" s="3" t="s">
        <v>65</v>
      </c>
      <c r="L76" s="2" t="s">
        <v>479</v>
      </c>
      <c r="M76" s="2" t="s">
        <v>480</v>
      </c>
      <c r="N76" s="3" t="s">
        <v>481</v>
      </c>
      <c r="P76" s="3" t="s">
        <v>68</v>
      </c>
      <c r="Q76" s="2" t="s">
        <v>482</v>
      </c>
      <c r="R76" s="3" t="s">
        <v>70</v>
      </c>
      <c r="S76" s="4">
        <v>24</v>
      </c>
      <c r="T76" s="4">
        <v>50</v>
      </c>
      <c r="U76" s="5" t="s">
        <v>483</v>
      </c>
      <c r="V76" s="5" t="s">
        <v>483</v>
      </c>
      <c r="W76" s="5" t="s">
        <v>72</v>
      </c>
      <c r="X76" s="5" t="s">
        <v>72</v>
      </c>
      <c r="Y76" s="4">
        <v>212</v>
      </c>
      <c r="Z76" s="4">
        <v>15</v>
      </c>
      <c r="AA76" s="4">
        <v>20</v>
      </c>
      <c r="AB76" s="4">
        <v>2</v>
      </c>
      <c r="AC76" s="4">
        <v>4</v>
      </c>
      <c r="AD76" s="4">
        <v>84</v>
      </c>
      <c r="AE76" s="4">
        <v>90</v>
      </c>
      <c r="AF76" s="4">
        <v>1</v>
      </c>
      <c r="AG76" s="4">
        <v>2</v>
      </c>
      <c r="AH76" s="4">
        <v>74</v>
      </c>
      <c r="AI76" s="4">
        <v>78</v>
      </c>
      <c r="AJ76" s="4">
        <v>11</v>
      </c>
      <c r="AK76" s="4">
        <v>14</v>
      </c>
      <c r="AL76" s="4">
        <v>50</v>
      </c>
      <c r="AM76" s="4">
        <v>50</v>
      </c>
      <c r="AN76" s="4">
        <v>0</v>
      </c>
      <c r="AO76" s="4">
        <v>0</v>
      </c>
      <c r="AP76" s="4">
        <v>13</v>
      </c>
      <c r="AQ76" s="4">
        <v>16</v>
      </c>
      <c r="AR76" s="3" t="s">
        <v>64</v>
      </c>
      <c r="AS76" s="3" t="s">
        <v>64</v>
      </c>
      <c r="AT76" s="3" t="s">
        <v>64</v>
      </c>
      <c r="AV76" s="6" t="str">
        <f>HYPERLINK("http://mcgill.on.worldcat.org/oclc/265498","Catalog Record")</f>
        <v>Catalog Record</v>
      </c>
      <c r="AW76" s="6" t="str">
        <f>HYPERLINK("http://www.worldcat.org/oclc/265498","WorldCat Record")</f>
        <v>WorldCat Record</v>
      </c>
      <c r="AX76" s="3" t="s">
        <v>484</v>
      </c>
      <c r="AY76" s="3" t="s">
        <v>485</v>
      </c>
      <c r="AZ76" s="3" t="s">
        <v>486</v>
      </c>
      <c r="BA76" s="3" t="s">
        <v>486</v>
      </c>
      <c r="BB76" s="3" t="s">
        <v>487</v>
      </c>
      <c r="BC76" s="3" t="s">
        <v>77</v>
      </c>
      <c r="BD76" s="3" t="s">
        <v>78</v>
      </c>
      <c r="BF76" s="3" t="s">
        <v>487</v>
      </c>
      <c r="BG76" s="3" t="s">
        <v>488</v>
      </c>
      <c r="BH76">
        <f t="shared" si="4"/>
        <v>0</v>
      </c>
    </row>
    <row r="77" spans="1:60" ht="72.5" x14ac:dyDescent="0.35">
      <c r="A77" s="2" t="s">
        <v>59</v>
      </c>
      <c r="B77" s="2" t="s">
        <v>60</v>
      </c>
      <c r="C77" s="2" t="s">
        <v>475</v>
      </c>
      <c r="D77" s="2" t="s">
        <v>476</v>
      </c>
      <c r="E77" s="2" t="s">
        <v>477</v>
      </c>
      <c r="F77" s="3" t="s">
        <v>489</v>
      </c>
      <c r="G77" s="3" t="s">
        <v>128</v>
      </c>
      <c r="I77" s="3" t="s">
        <v>64</v>
      </c>
      <c r="J77" s="3" t="s">
        <v>64</v>
      </c>
      <c r="K77" s="3" t="s">
        <v>65</v>
      </c>
      <c r="L77" s="2" t="s">
        <v>479</v>
      </c>
      <c r="M77" s="2" t="s">
        <v>480</v>
      </c>
      <c r="N77" s="3" t="s">
        <v>481</v>
      </c>
      <c r="P77" s="3" t="s">
        <v>68</v>
      </c>
      <c r="Q77" s="2" t="s">
        <v>482</v>
      </c>
      <c r="R77" s="3" t="s">
        <v>70</v>
      </c>
      <c r="S77" s="4">
        <v>26</v>
      </c>
      <c r="T77" s="4">
        <v>50</v>
      </c>
      <c r="U77" s="5" t="s">
        <v>483</v>
      </c>
      <c r="V77" s="5" t="s">
        <v>483</v>
      </c>
      <c r="W77" s="5" t="s">
        <v>72</v>
      </c>
      <c r="X77" s="5" t="s">
        <v>72</v>
      </c>
      <c r="Y77" s="4">
        <v>212</v>
      </c>
      <c r="Z77" s="4">
        <v>15</v>
      </c>
      <c r="AA77" s="4">
        <v>20</v>
      </c>
      <c r="AB77" s="4">
        <v>2</v>
      </c>
      <c r="AC77" s="4">
        <v>4</v>
      </c>
      <c r="AD77" s="4">
        <v>84</v>
      </c>
      <c r="AE77" s="4">
        <v>90</v>
      </c>
      <c r="AF77" s="4">
        <v>1</v>
      </c>
      <c r="AG77" s="4">
        <v>2</v>
      </c>
      <c r="AH77" s="4">
        <v>74</v>
      </c>
      <c r="AI77" s="4">
        <v>78</v>
      </c>
      <c r="AJ77" s="4">
        <v>11</v>
      </c>
      <c r="AK77" s="4">
        <v>14</v>
      </c>
      <c r="AL77" s="4">
        <v>50</v>
      </c>
      <c r="AM77" s="4">
        <v>50</v>
      </c>
      <c r="AN77" s="4">
        <v>0</v>
      </c>
      <c r="AO77" s="4">
        <v>0</v>
      </c>
      <c r="AP77" s="4">
        <v>13</v>
      </c>
      <c r="AQ77" s="4">
        <v>16</v>
      </c>
      <c r="AR77" s="3" t="s">
        <v>64</v>
      </c>
      <c r="AS77" s="3" t="s">
        <v>64</v>
      </c>
      <c r="AT77" s="3" t="s">
        <v>64</v>
      </c>
      <c r="AV77" s="6" t="str">
        <f>HYPERLINK("http://mcgill.on.worldcat.org/oclc/265498","Catalog Record")</f>
        <v>Catalog Record</v>
      </c>
      <c r="AW77" s="6" t="str">
        <f>HYPERLINK("http://www.worldcat.org/oclc/265498","WorldCat Record")</f>
        <v>WorldCat Record</v>
      </c>
      <c r="AX77" s="3" t="s">
        <v>484</v>
      </c>
      <c r="AY77" s="3" t="s">
        <v>485</v>
      </c>
      <c r="AZ77" s="3" t="s">
        <v>486</v>
      </c>
      <c r="BA77" s="3" t="s">
        <v>486</v>
      </c>
      <c r="BB77" s="3" t="s">
        <v>490</v>
      </c>
      <c r="BC77" s="3" t="s">
        <v>77</v>
      </c>
      <c r="BD77" s="3" t="s">
        <v>78</v>
      </c>
      <c r="BF77" s="3" t="s">
        <v>490</v>
      </c>
      <c r="BG77" s="3" t="s">
        <v>491</v>
      </c>
      <c r="BH77">
        <f t="shared" si="4"/>
        <v>0</v>
      </c>
    </row>
    <row r="78" spans="1:60" ht="72.5" x14ac:dyDescent="0.35">
      <c r="A78" s="2" t="s">
        <v>59</v>
      </c>
      <c r="B78" s="2" t="s">
        <v>60</v>
      </c>
      <c r="C78" s="2" t="s">
        <v>492</v>
      </c>
      <c r="D78" s="2" t="s">
        <v>493</v>
      </c>
      <c r="E78" s="2" t="s">
        <v>494</v>
      </c>
      <c r="F78" s="3" t="s">
        <v>495</v>
      </c>
      <c r="G78" s="3" t="s">
        <v>64</v>
      </c>
      <c r="I78" s="3" t="s">
        <v>64</v>
      </c>
      <c r="J78" s="3" t="s">
        <v>64</v>
      </c>
      <c r="K78" s="3" t="s">
        <v>65</v>
      </c>
      <c r="L78" s="2" t="s">
        <v>496</v>
      </c>
      <c r="M78" s="2" t="s">
        <v>497</v>
      </c>
      <c r="N78" s="3" t="s">
        <v>498</v>
      </c>
      <c r="P78" s="3" t="s">
        <v>68</v>
      </c>
      <c r="Q78" s="2" t="s">
        <v>499</v>
      </c>
      <c r="R78" s="3" t="s">
        <v>70</v>
      </c>
      <c r="S78" s="4">
        <v>4</v>
      </c>
      <c r="T78" s="4">
        <v>4</v>
      </c>
      <c r="U78" s="5" t="s">
        <v>500</v>
      </c>
      <c r="V78" s="5" t="s">
        <v>500</v>
      </c>
      <c r="W78" s="5" t="s">
        <v>72</v>
      </c>
      <c r="X78" s="5" t="s">
        <v>72</v>
      </c>
      <c r="Y78" s="4">
        <v>167</v>
      </c>
      <c r="Z78" s="4">
        <v>15</v>
      </c>
      <c r="AA78" s="4">
        <v>20</v>
      </c>
      <c r="AB78" s="4">
        <v>1</v>
      </c>
      <c r="AC78" s="4">
        <v>4</v>
      </c>
      <c r="AD78" s="4">
        <v>66</v>
      </c>
      <c r="AE78" s="4">
        <v>70</v>
      </c>
      <c r="AF78" s="4">
        <v>0</v>
      </c>
      <c r="AG78" s="4">
        <v>2</v>
      </c>
      <c r="AH78" s="4">
        <v>59</v>
      </c>
      <c r="AI78" s="4">
        <v>62</v>
      </c>
      <c r="AJ78" s="4">
        <v>11</v>
      </c>
      <c r="AK78" s="4">
        <v>15</v>
      </c>
      <c r="AL78" s="4">
        <v>43</v>
      </c>
      <c r="AM78" s="4">
        <v>43</v>
      </c>
      <c r="AN78" s="4">
        <v>0</v>
      </c>
      <c r="AO78" s="4">
        <v>0</v>
      </c>
      <c r="AP78" s="4">
        <v>10</v>
      </c>
      <c r="AQ78" s="4">
        <v>13</v>
      </c>
      <c r="AR78" s="3" t="s">
        <v>64</v>
      </c>
      <c r="AS78" s="3" t="s">
        <v>64</v>
      </c>
      <c r="AT78" s="3" t="s">
        <v>128</v>
      </c>
      <c r="AU78" s="6" t="str">
        <f>HYPERLINK("http://catalog.hathitrust.org/Record/001175548","HathiTrust Record")</f>
        <v>HathiTrust Record</v>
      </c>
      <c r="AV78" s="6" t="str">
        <f>HYPERLINK("http://mcgill.on.worldcat.org/oclc/1274326","Catalog Record")</f>
        <v>Catalog Record</v>
      </c>
      <c r="AW78" s="6" t="str">
        <f>HYPERLINK("http://www.worldcat.org/oclc/1274326","WorldCat Record")</f>
        <v>WorldCat Record</v>
      </c>
      <c r="AX78" s="3" t="s">
        <v>501</v>
      </c>
      <c r="AY78" s="3" t="s">
        <v>502</v>
      </c>
      <c r="AZ78" s="3" t="s">
        <v>503</v>
      </c>
      <c r="BA78" s="3" t="s">
        <v>503</v>
      </c>
      <c r="BB78" s="3" t="s">
        <v>504</v>
      </c>
      <c r="BC78" s="3" t="s">
        <v>77</v>
      </c>
      <c r="BD78" s="3" t="s">
        <v>78</v>
      </c>
      <c r="BF78" s="3" t="s">
        <v>504</v>
      </c>
      <c r="BG78" s="3" t="s">
        <v>505</v>
      </c>
      <c r="BH78">
        <f t="shared" si="4"/>
        <v>0</v>
      </c>
    </row>
    <row r="79" spans="1:60" ht="58" x14ac:dyDescent="0.35">
      <c r="A79" s="2" t="s">
        <v>59</v>
      </c>
      <c r="B79" s="2" t="s">
        <v>60</v>
      </c>
      <c r="C79" s="2" t="s">
        <v>506</v>
      </c>
      <c r="D79" s="2" t="s">
        <v>507</v>
      </c>
      <c r="E79" s="2" t="s">
        <v>508</v>
      </c>
      <c r="F79" s="3" t="s">
        <v>509</v>
      </c>
      <c r="G79" s="3" t="s">
        <v>128</v>
      </c>
      <c r="I79" s="3" t="s">
        <v>64</v>
      </c>
      <c r="J79" s="3" t="s">
        <v>64</v>
      </c>
      <c r="K79" s="3" t="s">
        <v>65</v>
      </c>
      <c r="M79" s="2" t="s">
        <v>510</v>
      </c>
      <c r="N79" s="3" t="s">
        <v>511</v>
      </c>
      <c r="P79" s="3" t="s">
        <v>102</v>
      </c>
      <c r="R79" s="3" t="s">
        <v>70</v>
      </c>
      <c r="S79" s="4">
        <v>5</v>
      </c>
      <c r="T79" s="4">
        <v>17</v>
      </c>
      <c r="U79" s="5" t="s">
        <v>512</v>
      </c>
      <c r="V79" s="5" t="s">
        <v>512</v>
      </c>
      <c r="W79" s="5" t="s">
        <v>72</v>
      </c>
      <c r="X79" s="5" t="s">
        <v>72</v>
      </c>
      <c r="Y79" s="4">
        <v>207</v>
      </c>
      <c r="Z79" s="4">
        <v>16</v>
      </c>
      <c r="AA79" s="4">
        <v>26</v>
      </c>
      <c r="AB79" s="4">
        <v>1</v>
      </c>
      <c r="AC79" s="4">
        <v>4</v>
      </c>
      <c r="AD79" s="4">
        <v>76</v>
      </c>
      <c r="AE79" s="4">
        <v>83</v>
      </c>
      <c r="AF79" s="4">
        <v>0</v>
      </c>
      <c r="AG79" s="4">
        <v>1</v>
      </c>
      <c r="AH79" s="4">
        <v>66</v>
      </c>
      <c r="AI79" s="4">
        <v>70</v>
      </c>
      <c r="AJ79" s="4">
        <v>11</v>
      </c>
      <c r="AK79" s="4">
        <v>13</v>
      </c>
      <c r="AL79" s="4">
        <v>38</v>
      </c>
      <c r="AM79" s="4">
        <v>39</v>
      </c>
      <c r="AN79" s="4">
        <v>0</v>
      </c>
      <c r="AO79" s="4">
        <v>0</v>
      </c>
      <c r="AP79" s="4">
        <v>14</v>
      </c>
      <c r="AQ79" s="4">
        <v>17</v>
      </c>
      <c r="AR79" s="3" t="s">
        <v>64</v>
      </c>
      <c r="AS79" s="3" t="s">
        <v>64</v>
      </c>
      <c r="AT79" s="3" t="s">
        <v>128</v>
      </c>
      <c r="AU79" s="6" t="str">
        <f>HYPERLINK("http://catalog.hathitrust.org/Record/007932481","HathiTrust Record")</f>
        <v>HathiTrust Record</v>
      </c>
      <c r="AV79" s="6" t="str">
        <f>HYPERLINK("http://mcgill.on.worldcat.org/oclc/614857304","Catalog Record")</f>
        <v>Catalog Record</v>
      </c>
      <c r="AW79" s="6" t="str">
        <f>HYPERLINK("http://www.worldcat.org/oclc/614857304","WorldCat Record")</f>
        <v>WorldCat Record</v>
      </c>
      <c r="AX79" s="3" t="s">
        <v>513</v>
      </c>
      <c r="AY79" s="3" t="s">
        <v>514</v>
      </c>
      <c r="AZ79" s="3" t="s">
        <v>515</v>
      </c>
      <c r="BA79" s="3" t="s">
        <v>515</v>
      </c>
      <c r="BB79" s="3" t="s">
        <v>516</v>
      </c>
      <c r="BC79" s="3" t="s">
        <v>77</v>
      </c>
      <c r="BD79" s="3" t="s">
        <v>78</v>
      </c>
      <c r="BE79" s="3" t="s">
        <v>517</v>
      </c>
      <c r="BF79" s="3" t="s">
        <v>516</v>
      </c>
      <c r="BG79" s="3" t="s">
        <v>518</v>
      </c>
      <c r="BH79">
        <f t="shared" si="4"/>
        <v>0</v>
      </c>
    </row>
    <row r="80" spans="1:60" ht="58" x14ac:dyDescent="0.35">
      <c r="A80" s="2" t="s">
        <v>59</v>
      </c>
      <c r="B80" s="2" t="s">
        <v>60</v>
      </c>
      <c r="C80" s="2" t="s">
        <v>506</v>
      </c>
      <c r="D80" s="2" t="s">
        <v>507</v>
      </c>
      <c r="E80" s="2" t="s">
        <v>508</v>
      </c>
      <c r="F80" s="3" t="s">
        <v>519</v>
      </c>
      <c r="G80" s="3" t="s">
        <v>128</v>
      </c>
      <c r="I80" s="3" t="s">
        <v>64</v>
      </c>
      <c r="J80" s="3" t="s">
        <v>64</v>
      </c>
      <c r="K80" s="3" t="s">
        <v>65</v>
      </c>
      <c r="M80" s="2" t="s">
        <v>510</v>
      </c>
      <c r="N80" s="3" t="s">
        <v>511</v>
      </c>
      <c r="P80" s="3" t="s">
        <v>102</v>
      </c>
      <c r="R80" s="3" t="s">
        <v>70</v>
      </c>
      <c r="S80" s="4">
        <v>2</v>
      </c>
      <c r="T80" s="4">
        <v>17</v>
      </c>
      <c r="U80" s="5" t="s">
        <v>512</v>
      </c>
      <c r="V80" s="5" t="s">
        <v>512</v>
      </c>
      <c r="W80" s="5" t="s">
        <v>72</v>
      </c>
      <c r="X80" s="5" t="s">
        <v>72</v>
      </c>
      <c r="Y80" s="4">
        <v>207</v>
      </c>
      <c r="Z80" s="4">
        <v>16</v>
      </c>
      <c r="AA80" s="4">
        <v>26</v>
      </c>
      <c r="AB80" s="4">
        <v>1</v>
      </c>
      <c r="AC80" s="4">
        <v>4</v>
      </c>
      <c r="AD80" s="4">
        <v>76</v>
      </c>
      <c r="AE80" s="4">
        <v>83</v>
      </c>
      <c r="AF80" s="4">
        <v>0</v>
      </c>
      <c r="AG80" s="4">
        <v>1</v>
      </c>
      <c r="AH80" s="4">
        <v>66</v>
      </c>
      <c r="AI80" s="4">
        <v>70</v>
      </c>
      <c r="AJ80" s="4">
        <v>11</v>
      </c>
      <c r="AK80" s="4">
        <v>13</v>
      </c>
      <c r="AL80" s="4">
        <v>38</v>
      </c>
      <c r="AM80" s="4">
        <v>39</v>
      </c>
      <c r="AN80" s="4">
        <v>0</v>
      </c>
      <c r="AO80" s="4">
        <v>0</v>
      </c>
      <c r="AP80" s="4">
        <v>14</v>
      </c>
      <c r="AQ80" s="4">
        <v>17</v>
      </c>
      <c r="AR80" s="3" t="s">
        <v>64</v>
      </c>
      <c r="AS80" s="3" t="s">
        <v>64</v>
      </c>
      <c r="AT80" s="3" t="s">
        <v>128</v>
      </c>
      <c r="AU80" s="6" t="str">
        <f>HYPERLINK("http://catalog.hathitrust.org/Record/007932481","HathiTrust Record")</f>
        <v>HathiTrust Record</v>
      </c>
      <c r="AV80" s="6" t="str">
        <f>HYPERLINK("http://mcgill.on.worldcat.org/oclc/614857304","Catalog Record")</f>
        <v>Catalog Record</v>
      </c>
      <c r="AW80" s="6" t="str">
        <f>HYPERLINK("http://www.worldcat.org/oclc/614857304","WorldCat Record")</f>
        <v>WorldCat Record</v>
      </c>
      <c r="AX80" s="3" t="s">
        <v>513</v>
      </c>
      <c r="AY80" s="3" t="s">
        <v>514</v>
      </c>
      <c r="AZ80" s="3" t="s">
        <v>515</v>
      </c>
      <c r="BA80" s="3" t="s">
        <v>515</v>
      </c>
      <c r="BB80" s="3" t="s">
        <v>520</v>
      </c>
      <c r="BC80" s="3" t="s">
        <v>77</v>
      </c>
      <c r="BD80" s="3" t="s">
        <v>78</v>
      </c>
      <c r="BE80" s="3" t="s">
        <v>517</v>
      </c>
      <c r="BF80" s="3" t="s">
        <v>520</v>
      </c>
      <c r="BG80" s="3" t="s">
        <v>521</v>
      </c>
      <c r="BH80">
        <f t="shared" si="4"/>
        <v>0</v>
      </c>
    </row>
    <row r="81" spans="1:60" ht="58" x14ac:dyDescent="0.35">
      <c r="A81" s="2" t="s">
        <v>59</v>
      </c>
      <c r="B81" s="2" t="s">
        <v>60</v>
      </c>
      <c r="C81" s="2" t="s">
        <v>506</v>
      </c>
      <c r="D81" s="2" t="s">
        <v>507</v>
      </c>
      <c r="E81" s="2" t="s">
        <v>508</v>
      </c>
      <c r="F81" s="3" t="s">
        <v>522</v>
      </c>
      <c r="G81" s="3" t="s">
        <v>128</v>
      </c>
      <c r="I81" s="3" t="s">
        <v>64</v>
      </c>
      <c r="J81" s="3" t="s">
        <v>64</v>
      </c>
      <c r="K81" s="3" t="s">
        <v>65</v>
      </c>
      <c r="M81" s="2" t="s">
        <v>510</v>
      </c>
      <c r="N81" s="3" t="s">
        <v>511</v>
      </c>
      <c r="P81" s="3" t="s">
        <v>102</v>
      </c>
      <c r="R81" s="3" t="s">
        <v>70</v>
      </c>
      <c r="S81" s="4">
        <v>3</v>
      </c>
      <c r="T81" s="4">
        <v>17</v>
      </c>
      <c r="U81" s="5" t="s">
        <v>512</v>
      </c>
      <c r="V81" s="5" t="s">
        <v>512</v>
      </c>
      <c r="W81" s="5" t="s">
        <v>72</v>
      </c>
      <c r="X81" s="5" t="s">
        <v>72</v>
      </c>
      <c r="Y81" s="4">
        <v>207</v>
      </c>
      <c r="Z81" s="4">
        <v>16</v>
      </c>
      <c r="AA81" s="4">
        <v>26</v>
      </c>
      <c r="AB81" s="4">
        <v>1</v>
      </c>
      <c r="AC81" s="4">
        <v>4</v>
      </c>
      <c r="AD81" s="4">
        <v>76</v>
      </c>
      <c r="AE81" s="4">
        <v>83</v>
      </c>
      <c r="AF81" s="4">
        <v>0</v>
      </c>
      <c r="AG81" s="4">
        <v>1</v>
      </c>
      <c r="AH81" s="4">
        <v>66</v>
      </c>
      <c r="AI81" s="4">
        <v>70</v>
      </c>
      <c r="AJ81" s="4">
        <v>11</v>
      </c>
      <c r="AK81" s="4">
        <v>13</v>
      </c>
      <c r="AL81" s="4">
        <v>38</v>
      </c>
      <c r="AM81" s="4">
        <v>39</v>
      </c>
      <c r="AN81" s="4">
        <v>0</v>
      </c>
      <c r="AO81" s="4">
        <v>0</v>
      </c>
      <c r="AP81" s="4">
        <v>14</v>
      </c>
      <c r="AQ81" s="4">
        <v>17</v>
      </c>
      <c r="AR81" s="3" t="s">
        <v>64</v>
      </c>
      <c r="AS81" s="3" t="s">
        <v>64</v>
      </c>
      <c r="AT81" s="3" t="s">
        <v>128</v>
      </c>
      <c r="AU81" s="6" t="str">
        <f>HYPERLINK("http://catalog.hathitrust.org/Record/007932481","HathiTrust Record")</f>
        <v>HathiTrust Record</v>
      </c>
      <c r="AV81" s="6" t="str">
        <f>HYPERLINK("http://mcgill.on.worldcat.org/oclc/614857304","Catalog Record")</f>
        <v>Catalog Record</v>
      </c>
      <c r="AW81" s="6" t="str">
        <f>HYPERLINK("http://www.worldcat.org/oclc/614857304","WorldCat Record")</f>
        <v>WorldCat Record</v>
      </c>
      <c r="AX81" s="3" t="s">
        <v>513</v>
      </c>
      <c r="AY81" s="3" t="s">
        <v>514</v>
      </c>
      <c r="AZ81" s="3" t="s">
        <v>515</v>
      </c>
      <c r="BA81" s="3" t="s">
        <v>515</v>
      </c>
      <c r="BB81" s="3" t="s">
        <v>523</v>
      </c>
      <c r="BC81" s="3" t="s">
        <v>77</v>
      </c>
      <c r="BD81" s="3" t="s">
        <v>78</v>
      </c>
      <c r="BE81" s="3" t="s">
        <v>517</v>
      </c>
      <c r="BF81" s="3" t="s">
        <v>523</v>
      </c>
      <c r="BG81" s="3" t="s">
        <v>524</v>
      </c>
      <c r="BH81">
        <f t="shared" si="4"/>
        <v>0</v>
      </c>
    </row>
    <row r="82" spans="1:60" ht="58" x14ac:dyDescent="0.35">
      <c r="A82" s="2" t="s">
        <v>59</v>
      </c>
      <c r="B82" s="2" t="s">
        <v>60</v>
      </c>
      <c r="C82" s="2" t="s">
        <v>506</v>
      </c>
      <c r="D82" s="2" t="s">
        <v>507</v>
      </c>
      <c r="E82" s="2" t="s">
        <v>508</v>
      </c>
      <c r="F82" s="3" t="s">
        <v>525</v>
      </c>
      <c r="G82" s="3" t="s">
        <v>128</v>
      </c>
      <c r="I82" s="3" t="s">
        <v>64</v>
      </c>
      <c r="J82" s="3" t="s">
        <v>64</v>
      </c>
      <c r="K82" s="3" t="s">
        <v>65</v>
      </c>
      <c r="M82" s="2" t="s">
        <v>510</v>
      </c>
      <c r="N82" s="3" t="s">
        <v>511</v>
      </c>
      <c r="P82" s="3" t="s">
        <v>102</v>
      </c>
      <c r="R82" s="3" t="s">
        <v>70</v>
      </c>
      <c r="S82" s="4">
        <v>3</v>
      </c>
      <c r="T82" s="4">
        <v>17</v>
      </c>
      <c r="U82" s="5" t="s">
        <v>526</v>
      </c>
      <c r="V82" s="5" t="s">
        <v>512</v>
      </c>
      <c r="W82" s="5" t="s">
        <v>72</v>
      </c>
      <c r="X82" s="5" t="s">
        <v>72</v>
      </c>
      <c r="Y82" s="4">
        <v>207</v>
      </c>
      <c r="Z82" s="4">
        <v>16</v>
      </c>
      <c r="AA82" s="4">
        <v>26</v>
      </c>
      <c r="AB82" s="4">
        <v>1</v>
      </c>
      <c r="AC82" s="4">
        <v>4</v>
      </c>
      <c r="AD82" s="4">
        <v>76</v>
      </c>
      <c r="AE82" s="4">
        <v>83</v>
      </c>
      <c r="AF82" s="4">
        <v>0</v>
      </c>
      <c r="AG82" s="4">
        <v>1</v>
      </c>
      <c r="AH82" s="4">
        <v>66</v>
      </c>
      <c r="AI82" s="4">
        <v>70</v>
      </c>
      <c r="AJ82" s="4">
        <v>11</v>
      </c>
      <c r="AK82" s="4">
        <v>13</v>
      </c>
      <c r="AL82" s="4">
        <v>38</v>
      </c>
      <c r="AM82" s="4">
        <v>39</v>
      </c>
      <c r="AN82" s="4">
        <v>0</v>
      </c>
      <c r="AO82" s="4">
        <v>0</v>
      </c>
      <c r="AP82" s="4">
        <v>14</v>
      </c>
      <c r="AQ82" s="4">
        <v>17</v>
      </c>
      <c r="AR82" s="3" t="s">
        <v>64</v>
      </c>
      <c r="AS82" s="3" t="s">
        <v>64</v>
      </c>
      <c r="AT82" s="3" t="s">
        <v>128</v>
      </c>
      <c r="AU82" s="6" t="str">
        <f>HYPERLINK("http://catalog.hathitrust.org/Record/007932481","HathiTrust Record")</f>
        <v>HathiTrust Record</v>
      </c>
      <c r="AV82" s="6" t="str">
        <f>HYPERLINK("http://mcgill.on.worldcat.org/oclc/614857304","Catalog Record")</f>
        <v>Catalog Record</v>
      </c>
      <c r="AW82" s="6" t="str">
        <f>HYPERLINK("http://www.worldcat.org/oclc/614857304","WorldCat Record")</f>
        <v>WorldCat Record</v>
      </c>
      <c r="AX82" s="3" t="s">
        <v>513</v>
      </c>
      <c r="AY82" s="3" t="s">
        <v>514</v>
      </c>
      <c r="AZ82" s="3" t="s">
        <v>515</v>
      </c>
      <c r="BA82" s="3" t="s">
        <v>515</v>
      </c>
      <c r="BB82" s="3" t="s">
        <v>527</v>
      </c>
      <c r="BC82" s="3" t="s">
        <v>77</v>
      </c>
      <c r="BD82" s="3" t="s">
        <v>78</v>
      </c>
      <c r="BE82" s="3" t="s">
        <v>517</v>
      </c>
      <c r="BF82" s="3" t="s">
        <v>527</v>
      </c>
      <c r="BG82" s="3" t="s">
        <v>528</v>
      </c>
      <c r="BH82">
        <f t="shared" si="4"/>
        <v>0</v>
      </c>
    </row>
    <row r="83" spans="1:60" ht="58" x14ac:dyDescent="0.35">
      <c r="A83" s="2" t="s">
        <v>59</v>
      </c>
      <c r="B83" s="2" t="s">
        <v>60</v>
      </c>
      <c r="C83" s="2" t="s">
        <v>506</v>
      </c>
      <c r="D83" s="2" t="s">
        <v>507</v>
      </c>
      <c r="E83" s="2" t="s">
        <v>508</v>
      </c>
      <c r="F83" s="3" t="s">
        <v>529</v>
      </c>
      <c r="G83" s="3" t="s">
        <v>128</v>
      </c>
      <c r="I83" s="3" t="s">
        <v>64</v>
      </c>
      <c r="J83" s="3" t="s">
        <v>64</v>
      </c>
      <c r="K83" s="3" t="s">
        <v>65</v>
      </c>
      <c r="M83" s="2" t="s">
        <v>510</v>
      </c>
      <c r="N83" s="3" t="s">
        <v>511</v>
      </c>
      <c r="P83" s="3" t="s">
        <v>102</v>
      </c>
      <c r="R83" s="3" t="s">
        <v>70</v>
      </c>
      <c r="S83" s="4">
        <v>4</v>
      </c>
      <c r="T83" s="4">
        <v>17</v>
      </c>
      <c r="U83" s="5" t="s">
        <v>408</v>
      </c>
      <c r="V83" s="5" t="s">
        <v>512</v>
      </c>
      <c r="W83" s="5" t="s">
        <v>72</v>
      </c>
      <c r="X83" s="5" t="s">
        <v>72</v>
      </c>
      <c r="Y83" s="4">
        <v>207</v>
      </c>
      <c r="Z83" s="4">
        <v>16</v>
      </c>
      <c r="AA83" s="4">
        <v>26</v>
      </c>
      <c r="AB83" s="4">
        <v>1</v>
      </c>
      <c r="AC83" s="4">
        <v>4</v>
      </c>
      <c r="AD83" s="4">
        <v>76</v>
      </c>
      <c r="AE83" s="4">
        <v>83</v>
      </c>
      <c r="AF83" s="4">
        <v>0</v>
      </c>
      <c r="AG83" s="4">
        <v>1</v>
      </c>
      <c r="AH83" s="4">
        <v>66</v>
      </c>
      <c r="AI83" s="4">
        <v>70</v>
      </c>
      <c r="AJ83" s="4">
        <v>11</v>
      </c>
      <c r="AK83" s="4">
        <v>13</v>
      </c>
      <c r="AL83" s="4">
        <v>38</v>
      </c>
      <c r="AM83" s="4">
        <v>39</v>
      </c>
      <c r="AN83" s="4">
        <v>0</v>
      </c>
      <c r="AO83" s="4">
        <v>0</v>
      </c>
      <c r="AP83" s="4">
        <v>14</v>
      </c>
      <c r="AQ83" s="4">
        <v>17</v>
      </c>
      <c r="AR83" s="3" t="s">
        <v>64</v>
      </c>
      <c r="AS83" s="3" t="s">
        <v>64</v>
      </c>
      <c r="AT83" s="3" t="s">
        <v>128</v>
      </c>
      <c r="AU83" s="6" t="str">
        <f>HYPERLINK("http://catalog.hathitrust.org/Record/007932481","HathiTrust Record")</f>
        <v>HathiTrust Record</v>
      </c>
      <c r="AV83" s="6" t="str">
        <f>HYPERLINK("http://mcgill.on.worldcat.org/oclc/614857304","Catalog Record")</f>
        <v>Catalog Record</v>
      </c>
      <c r="AW83" s="6" t="str">
        <f>HYPERLINK("http://www.worldcat.org/oclc/614857304","WorldCat Record")</f>
        <v>WorldCat Record</v>
      </c>
      <c r="AX83" s="3" t="s">
        <v>513</v>
      </c>
      <c r="AY83" s="3" t="s">
        <v>514</v>
      </c>
      <c r="AZ83" s="3" t="s">
        <v>515</v>
      </c>
      <c r="BA83" s="3" t="s">
        <v>515</v>
      </c>
      <c r="BB83" s="3" t="s">
        <v>530</v>
      </c>
      <c r="BC83" s="3" t="s">
        <v>77</v>
      </c>
      <c r="BD83" s="3" t="s">
        <v>78</v>
      </c>
      <c r="BE83" s="3" t="s">
        <v>517</v>
      </c>
      <c r="BF83" s="3" t="s">
        <v>530</v>
      </c>
      <c r="BG83" s="3" t="s">
        <v>531</v>
      </c>
      <c r="BH83">
        <f t="shared" si="4"/>
        <v>0</v>
      </c>
    </row>
    <row r="84" spans="1:60" ht="58" x14ac:dyDescent="0.35">
      <c r="A84" s="2" t="s">
        <v>59</v>
      </c>
      <c r="B84" s="2" t="s">
        <v>60</v>
      </c>
      <c r="C84" s="2" t="s">
        <v>532</v>
      </c>
      <c r="D84" s="2" t="s">
        <v>533</v>
      </c>
      <c r="E84" s="2" t="s">
        <v>534</v>
      </c>
      <c r="G84" s="3" t="s">
        <v>64</v>
      </c>
      <c r="I84" s="3" t="s">
        <v>64</v>
      </c>
      <c r="J84" s="3" t="s">
        <v>64</v>
      </c>
      <c r="K84" s="3" t="s">
        <v>65</v>
      </c>
      <c r="L84" s="2" t="s">
        <v>535</v>
      </c>
      <c r="M84" s="2" t="s">
        <v>536</v>
      </c>
      <c r="N84" s="3" t="s">
        <v>537</v>
      </c>
      <c r="O84" s="2" t="s">
        <v>117</v>
      </c>
      <c r="P84" s="3" t="s">
        <v>102</v>
      </c>
      <c r="R84" s="3" t="s">
        <v>70</v>
      </c>
      <c r="S84" s="4">
        <v>1</v>
      </c>
      <c r="T84" s="4">
        <v>1</v>
      </c>
      <c r="U84" s="5" t="s">
        <v>538</v>
      </c>
      <c r="V84" s="5" t="s">
        <v>538</v>
      </c>
      <c r="W84" s="5" t="s">
        <v>539</v>
      </c>
      <c r="X84" s="5" t="s">
        <v>539</v>
      </c>
      <c r="Y84" s="4">
        <v>1203</v>
      </c>
      <c r="Z84" s="4">
        <v>41</v>
      </c>
      <c r="AA84" s="4">
        <v>43</v>
      </c>
      <c r="AB84" s="4">
        <v>2</v>
      </c>
      <c r="AC84" s="4">
        <v>4</v>
      </c>
      <c r="AD84" s="4">
        <v>89</v>
      </c>
      <c r="AE84" s="4">
        <v>89</v>
      </c>
      <c r="AF84" s="4">
        <v>0</v>
      </c>
      <c r="AG84" s="4">
        <v>0</v>
      </c>
      <c r="AH84" s="4">
        <v>80</v>
      </c>
      <c r="AI84" s="4">
        <v>80</v>
      </c>
      <c r="AJ84" s="4">
        <v>12</v>
      </c>
      <c r="AK84" s="4">
        <v>12</v>
      </c>
      <c r="AL84" s="4">
        <v>50</v>
      </c>
      <c r="AM84" s="4">
        <v>50</v>
      </c>
      <c r="AN84" s="4">
        <v>0</v>
      </c>
      <c r="AO84" s="4">
        <v>0</v>
      </c>
      <c r="AP84" s="4">
        <v>17</v>
      </c>
      <c r="AQ84" s="4">
        <v>17</v>
      </c>
      <c r="AR84" s="3" t="s">
        <v>64</v>
      </c>
      <c r="AS84" s="3" t="s">
        <v>64</v>
      </c>
      <c r="AT84" s="3" t="s">
        <v>64</v>
      </c>
      <c r="AV84" s="6" t="str">
        <f>HYPERLINK("http://mcgill.on.worldcat.org/oclc/956980330","Catalog Record")</f>
        <v>Catalog Record</v>
      </c>
      <c r="AW84" s="6" t="str">
        <f>HYPERLINK("http://www.worldcat.org/oclc/956980330","WorldCat Record")</f>
        <v>WorldCat Record</v>
      </c>
      <c r="AX84" s="3" t="s">
        <v>540</v>
      </c>
      <c r="AY84" s="3" t="s">
        <v>541</v>
      </c>
      <c r="AZ84" s="3" t="s">
        <v>542</v>
      </c>
      <c r="BA84" s="3" t="s">
        <v>542</v>
      </c>
      <c r="BB84" s="3" t="s">
        <v>543</v>
      </c>
      <c r="BC84" s="3" t="s">
        <v>77</v>
      </c>
      <c r="BD84" s="3" t="s">
        <v>78</v>
      </c>
      <c r="BE84" s="3" t="s">
        <v>544</v>
      </c>
      <c r="BF84" s="3" t="s">
        <v>543</v>
      </c>
      <c r="BG84" s="3" t="s">
        <v>545</v>
      </c>
      <c r="BH84">
        <f t="shared" si="4"/>
        <v>0</v>
      </c>
    </row>
    <row r="85" spans="1:60" ht="58" x14ac:dyDescent="0.35">
      <c r="A85" s="2" t="s">
        <v>59</v>
      </c>
      <c r="B85" s="2" t="s">
        <v>60</v>
      </c>
      <c r="C85" s="2" t="s">
        <v>546</v>
      </c>
      <c r="D85" s="2" t="s">
        <v>547</v>
      </c>
      <c r="E85" s="2" t="s">
        <v>548</v>
      </c>
      <c r="G85" s="3" t="s">
        <v>64</v>
      </c>
      <c r="I85" s="3" t="s">
        <v>64</v>
      </c>
      <c r="J85" s="3" t="s">
        <v>64</v>
      </c>
      <c r="K85" s="3" t="s">
        <v>65</v>
      </c>
      <c r="L85" s="2" t="s">
        <v>549</v>
      </c>
      <c r="M85" s="2" t="s">
        <v>550</v>
      </c>
      <c r="N85" s="3" t="s">
        <v>551</v>
      </c>
      <c r="O85" s="2" t="s">
        <v>552</v>
      </c>
      <c r="P85" s="3" t="s">
        <v>102</v>
      </c>
      <c r="R85" s="3" t="s">
        <v>70</v>
      </c>
      <c r="S85" s="4">
        <v>2</v>
      </c>
      <c r="T85" s="4">
        <v>2</v>
      </c>
      <c r="U85" s="5" t="s">
        <v>553</v>
      </c>
      <c r="V85" s="5" t="s">
        <v>553</v>
      </c>
      <c r="W85" s="5" t="s">
        <v>72</v>
      </c>
      <c r="X85" s="5" t="s">
        <v>72</v>
      </c>
      <c r="Y85" s="4">
        <v>156</v>
      </c>
      <c r="Z85" s="4">
        <v>8</v>
      </c>
      <c r="AA85" s="4">
        <v>38</v>
      </c>
      <c r="AB85" s="4">
        <v>3</v>
      </c>
      <c r="AC85" s="4">
        <v>5</v>
      </c>
      <c r="AD85" s="4">
        <v>17</v>
      </c>
      <c r="AE85" s="4">
        <v>112</v>
      </c>
      <c r="AF85" s="4">
        <v>1</v>
      </c>
      <c r="AG85" s="4">
        <v>3</v>
      </c>
      <c r="AH85" s="4">
        <v>13</v>
      </c>
      <c r="AI85" s="4">
        <v>97</v>
      </c>
      <c r="AJ85" s="4">
        <v>2</v>
      </c>
      <c r="AK85" s="4">
        <v>17</v>
      </c>
      <c r="AL85" s="4">
        <v>10</v>
      </c>
      <c r="AM85" s="4">
        <v>54</v>
      </c>
      <c r="AN85" s="4">
        <v>0</v>
      </c>
      <c r="AO85" s="4">
        <v>0</v>
      </c>
      <c r="AP85" s="4">
        <v>4</v>
      </c>
      <c r="AQ85" s="4">
        <v>23</v>
      </c>
      <c r="AR85" s="3" t="s">
        <v>64</v>
      </c>
      <c r="AS85" s="3" t="s">
        <v>64</v>
      </c>
      <c r="AT85" s="3" t="s">
        <v>64</v>
      </c>
      <c r="AV85" s="6" t="str">
        <f>HYPERLINK("http://mcgill.on.worldcat.org/oclc/320193701","Catalog Record")</f>
        <v>Catalog Record</v>
      </c>
      <c r="AW85" s="6" t="str">
        <f>HYPERLINK("http://www.worldcat.org/oclc/320193701","WorldCat Record")</f>
        <v>WorldCat Record</v>
      </c>
      <c r="AX85" s="3" t="s">
        <v>554</v>
      </c>
      <c r="AY85" s="3" t="s">
        <v>555</v>
      </c>
      <c r="AZ85" s="3" t="s">
        <v>556</v>
      </c>
      <c r="BA85" s="3" t="s">
        <v>556</v>
      </c>
      <c r="BB85" s="3" t="s">
        <v>557</v>
      </c>
      <c r="BC85" s="3" t="s">
        <v>77</v>
      </c>
      <c r="BD85" s="3" t="s">
        <v>78</v>
      </c>
      <c r="BE85" s="3" t="s">
        <v>558</v>
      </c>
      <c r="BF85" s="3" t="s">
        <v>557</v>
      </c>
      <c r="BG85" s="3" t="s">
        <v>559</v>
      </c>
      <c r="BH85">
        <f t="shared" si="4"/>
        <v>0</v>
      </c>
    </row>
    <row r="86" spans="1:60" ht="58" x14ac:dyDescent="0.35">
      <c r="A86" s="2" t="s">
        <v>59</v>
      </c>
      <c r="B86" s="2" t="s">
        <v>60</v>
      </c>
      <c r="C86" s="2" t="s">
        <v>560</v>
      </c>
      <c r="D86" s="2" t="s">
        <v>561</v>
      </c>
      <c r="E86" s="2" t="s">
        <v>562</v>
      </c>
      <c r="G86" s="3" t="s">
        <v>64</v>
      </c>
      <c r="I86" s="3" t="s">
        <v>64</v>
      </c>
      <c r="J86" s="3" t="s">
        <v>64</v>
      </c>
      <c r="K86" s="3" t="s">
        <v>65</v>
      </c>
      <c r="L86" s="2" t="s">
        <v>563</v>
      </c>
      <c r="M86" s="2" t="s">
        <v>564</v>
      </c>
      <c r="N86" s="3" t="s">
        <v>171</v>
      </c>
      <c r="P86" s="3" t="s">
        <v>102</v>
      </c>
      <c r="Q86" s="2" t="s">
        <v>565</v>
      </c>
      <c r="R86" s="3" t="s">
        <v>70</v>
      </c>
      <c r="S86" s="4">
        <v>43</v>
      </c>
      <c r="T86" s="4">
        <v>43</v>
      </c>
      <c r="U86" s="5" t="s">
        <v>566</v>
      </c>
      <c r="V86" s="5" t="s">
        <v>566</v>
      </c>
      <c r="W86" s="5" t="s">
        <v>72</v>
      </c>
      <c r="X86" s="5" t="s">
        <v>72</v>
      </c>
      <c r="Y86" s="4">
        <v>315</v>
      </c>
      <c r="Z86" s="4">
        <v>40</v>
      </c>
      <c r="AA86" s="4">
        <v>112</v>
      </c>
      <c r="AB86" s="4">
        <v>2</v>
      </c>
      <c r="AC86" s="4">
        <v>19</v>
      </c>
      <c r="AD86" s="4">
        <v>112</v>
      </c>
      <c r="AE86" s="4">
        <v>143</v>
      </c>
      <c r="AF86" s="4">
        <v>1</v>
      </c>
      <c r="AG86" s="4">
        <v>8</v>
      </c>
      <c r="AH86" s="4">
        <v>90</v>
      </c>
      <c r="AI86" s="4">
        <v>98</v>
      </c>
      <c r="AJ86" s="4">
        <v>21</v>
      </c>
      <c r="AK86" s="4">
        <v>27</v>
      </c>
      <c r="AL86" s="4">
        <v>54</v>
      </c>
      <c r="AM86" s="4">
        <v>55</v>
      </c>
      <c r="AN86" s="4">
        <v>0</v>
      </c>
      <c r="AO86" s="4">
        <v>0</v>
      </c>
      <c r="AP86" s="4">
        <v>29</v>
      </c>
      <c r="AQ86" s="4">
        <v>53</v>
      </c>
      <c r="AR86" s="3" t="s">
        <v>128</v>
      </c>
      <c r="AS86" s="3" t="s">
        <v>64</v>
      </c>
      <c r="AT86" s="3" t="s">
        <v>64</v>
      </c>
      <c r="AV86" s="6" t="str">
        <f>HYPERLINK("http://mcgill.on.worldcat.org/oclc/67860121","Catalog Record")</f>
        <v>Catalog Record</v>
      </c>
      <c r="AW86" s="6" t="str">
        <f>HYPERLINK("http://www.worldcat.org/oclc/67860121","WorldCat Record")</f>
        <v>WorldCat Record</v>
      </c>
      <c r="AX86" s="3" t="s">
        <v>567</v>
      </c>
      <c r="AY86" s="3" t="s">
        <v>568</v>
      </c>
      <c r="AZ86" s="3" t="s">
        <v>569</v>
      </c>
      <c r="BA86" s="3" t="s">
        <v>569</v>
      </c>
      <c r="BB86" s="3" t="s">
        <v>570</v>
      </c>
      <c r="BC86" s="3" t="s">
        <v>77</v>
      </c>
      <c r="BD86" s="3" t="s">
        <v>78</v>
      </c>
      <c r="BE86" s="3" t="s">
        <v>571</v>
      </c>
      <c r="BF86" s="3" t="s">
        <v>570</v>
      </c>
      <c r="BG86" s="3" t="s">
        <v>572</v>
      </c>
      <c r="BH86">
        <f t="shared" si="4"/>
        <v>0</v>
      </c>
    </row>
    <row r="87" spans="1:60" ht="58" x14ac:dyDescent="0.35">
      <c r="A87" s="2" t="s">
        <v>59</v>
      </c>
      <c r="B87" s="2" t="s">
        <v>60</v>
      </c>
      <c r="C87" s="2" t="s">
        <v>573</v>
      </c>
      <c r="D87" s="2" t="s">
        <v>574</v>
      </c>
      <c r="E87" s="2" t="s">
        <v>575</v>
      </c>
      <c r="G87" s="3" t="s">
        <v>64</v>
      </c>
      <c r="I87" s="3" t="s">
        <v>64</v>
      </c>
      <c r="J87" s="3" t="s">
        <v>64</v>
      </c>
      <c r="K87" s="3" t="s">
        <v>65</v>
      </c>
      <c r="L87" s="2" t="s">
        <v>576</v>
      </c>
      <c r="M87" s="2" t="s">
        <v>577</v>
      </c>
      <c r="N87" s="3" t="s">
        <v>578</v>
      </c>
      <c r="P87" s="3" t="s">
        <v>102</v>
      </c>
      <c r="R87" s="3" t="s">
        <v>70</v>
      </c>
      <c r="S87" s="4">
        <v>2</v>
      </c>
      <c r="T87" s="4">
        <v>2</v>
      </c>
      <c r="U87" s="5" t="s">
        <v>579</v>
      </c>
      <c r="V87" s="5" t="s">
        <v>579</v>
      </c>
      <c r="W87" s="5" t="s">
        <v>72</v>
      </c>
      <c r="X87" s="5" t="s">
        <v>72</v>
      </c>
      <c r="Y87" s="4">
        <v>123</v>
      </c>
      <c r="Z87" s="4">
        <v>15</v>
      </c>
      <c r="AA87" s="4">
        <v>15</v>
      </c>
      <c r="AB87" s="4">
        <v>1</v>
      </c>
      <c r="AC87" s="4">
        <v>1</v>
      </c>
      <c r="AD87" s="4">
        <v>59</v>
      </c>
      <c r="AE87" s="4">
        <v>59</v>
      </c>
      <c r="AF87" s="4">
        <v>0</v>
      </c>
      <c r="AG87" s="4">
        <v>0</v>
      </c>
      <c r="AH87" s="4">
        <v>51</v>
      </c>
      <c r="AI87" s="4">
        <v>51</v>
      </c>
      <c r="AJ87" s="4">
        <v>10</v>
      </c>
      <c r="AK87" s="4">
        <v>10</v>
      </c>
      <c r="AL87" s="4">
        <v>32</v>
      </c>
      <c r="AM87" s="4">
        <v>32</v>
      </c>
      <c r="AN87" s="4">
        <v>0</v>
      </c>
      <c r="AO87" s="4">
        <v>0</v>
      </c>
      <c r="AP87" s="4">
        <v>12</v>
      </c>
      <c r="AQ87" s="4">
        <v>12</v>
      </c>
      <c r="AR87" s="3" t="s">
        <v>128</v>
      </c>
      <c r="AS87" s="3" t="s">
        <v>64</v>
      </c>
      <c r="AT87" s="3" t="s">
        <v>64</v>
      </c>
      <c r="AV87" s="6" t="str">
        <f>HYPERLINK("http://mcgill.on.worldcat.org/oclc/964384026","Catalog Record")</f>
        <v>Catalog Record</v>
      </c>
      <c r="AW87" s="6" t="str">
        <f>HYPERLINK("http://www.worldcat.org/oclc/964384026","WorldCat Record")</f>
        <v>WorldCat Record</v>
      </c>
      <c r="AX87" s="3" t="s">
        <v>580</v>
      </c>
      <c r="AY87" s="3" t="s">
        <v>581</v>
      </c>
      <c r="AZ87" s="3" t="s">
        <v>582</v>
      </c>
      <c r="BA87" s="3" t="s">
        <v>582</v>
      </c>
      <c r="BB87" s="3" t="s">
        <v>583</v>
      </c>
      <c r="BC87" s="3" t="s">
        <v>77</v>
      </c>
      <c r="BD87" s="3" t="s">
        <v>78</v>
      </c>
      <c r="BE87" s="3" t="s">
        <v>584</v>
      </c>
      <c r="BF87" s="3" t="s">
        <v>583</v>
      </c>
      <c r="BG87" s="3" t="s">
        <v>585</v>
      </c>
      <c r="BH87">
        <f t="shared" si="4"/>
        <v>0</v>
      </c>
    </row>
    <row r="88" spans="1:60" ht="58" x14ac:dyDescent="0.35">
      <c r="A88" s="2" t="s">
        <v>59</v>
      </c>
      <c r="B88" s="2" t="s">
        <v>60</v>
      </c>
      <c r="C88" s="2" t="s">
        <v>586</v>
      </c>
      <c r="D88" s="2" t="s">
        <v>587</v>
      </c>
      <c r="E88" s="2" t="s">
        <v>588</v>
      </c>
      <c r="G88" s="3" t="s">
        <v>64</v>
      </c>
      <c r="I88" s="3" t="s">
        <v>64</v>
      </c>
      <c r="J88" s="3" t="s">
        <v>64</v>
      </c>
      <c r="K88" s="3" t="s">
        <v>65</v>
      </c>
      <c r="M88" s="2" t="s">
        <v>589</v>
      </c>
      <c r="N88" s="3" t="s">
        <v>86</v>
      </c>
      <c r="P88" s="3" t="s">
        <v>68</v>
      </c>
      <c r="Q88" s="2" t="s">
        <v>590</v>
      </c>
      <c r="R88" s="3" t="s">
        <v>70</v>
      </c>
      <c r="S88" s="4">
        <v>0</v>
      </c>
      <c r="T88" s="4">
        <v>0</v>
      </c>
      <c r="W88" s="5" t="s">
        <v>72</v>
      </c>
      <c r="X88" s="5" t="s">
        <v>72</v>
      </c>
      <c r="Y88" s="4">
        <v>14</v>
      </c>
      <c r="Z88" s="4">
        <v>2</v>
      </c>
      <c r="AA88" s="4">
        <v>12</v>
      </c>
      <c r="AB88" s="4">
        <v>1</v>
      </c>
      <c r="AC88" s="4">
        <v>7</v>
      </c>
      <c r="AD88" s="4">
        <v>7</v>
      </c>
      <c r="AE88" s="4">
        <v>19</v>
      </c>
      <c r="AF88" s="4">
        <v>0</v>
      </c>
      <c r="AG88" s="4">
        <v>3</v>
      </c>
      <c r="AH88" s="4">
        <v>7</v>
      </c>
      <c r="AI88" s="4">
        <v>12</v>
      </c>
      <c r="AJ88" s="4">
        <v>1</v>
      </c>
      <c r="AK88" s="4">
        <v>7</v>
      </c>
      <c r="AL88" s="4">
        <v>4</v>
      </c>
      <c r="AM88" s="4">
        <v>7</v>
      </c>
      <c r="AN88" s="4">
        <v>0</v>
      </c>
      <c r="AO88" s="4">
        <v>0</v>
      </c>
      <c r="AP88" s="4">
        <v>1</v>
      </c>
      <c r="AQ88" s="4">
        <v>7</v>
      </c>
      <c r="AR88" s="3" t="s">
        <v>64</v>
      </c>
      <c r="AS88" s="3" t="s">
        <v>64</v>
      </c>
      <c r="AT88" s="3" t="s">
        <v>64</v>
      </c>
      <c r="AV88" s="6" t="str">
        <f>HYPERLINK("http://mcgill.on.worldcat.org/oclc/829852785","Catalog Record")</f>
        <v>Catalog Record</v>
      </c>
      <c r="AW88" s="6" t="str">
        <f>HYPERLINK("http://www.worldcat.org/oclc/829852785","WorldCat Record")</f>
        <v>WorldCat Record</v>
      </c>
      <c r="AX88" s="3" t="s">
        <v>591</v>
      </c>
      <c r="AY88" s="3" t="s">
        <v>592</v>
      </c>
      <c r="AZ88" s="3" t="s">
        <v>593</v>
      </c>
      <c r="BA88" s="3" t="s">
        <v>593</v>
      </c>
      <c r="BB88" s="3" t="s">
        <v>594</v>
      </c>
      <c r="BC88" s="3" t="s">
        <v>77</v>
      </c>
      <c r="BD88" s="3" t="s">
        <v>78</v>
      </c>
      <c r="BE88" s="3" t="s">
        <v>595</v>
      </c>
      <c r="BF88" s="3" t="s">
        <v>594</v>
      </c>
      <c r="BG88" s="3" t="s">
        <v>596</v>
      </c>
      <c r="BH88">
        <f t="shared" si="4"/>
        <v>0</v>
      </c>
    </row>
    <row r="89" spans="1:60" ht="58" x14ac:dyDescent="0.35">
      <c r="A89" s="2" t="s">
        <v>59</v>
      </c>
      <c r="B89" s="2" t="s">
        <v>60</v>
      </c>
      <c r="C89" s="2" t="s">
        <v>597</v>
      </c>
      <c r="D89" s="2" t="s">
        <v>598</v>
      </c>
      <c r="E89" s="2" t="s">
        <v>599</v>
      </c>
      <c r="G89" s="3" t="s">
        <v>64</v>
      </c>
      <c r="I89" s="3" t="s">
        <v>64</v>
      </c>
      <c r="J89" s="3" t="s">
        <v>64</v>
      </c>
      <c r="K89" s="3" t="s">
        <v>65</v>
      </c>
      <c r="L89" s="2" t="s">
        <v>600</v>
      </c>
      <c r="M89" s="2" t="s">
        <v>601</v>
      </c>
      <c r="N89" s="3" t="s">
        <v>326</v>
      </c>
      <c r="P89" s="3" t="s">
        <v>102</v>
      </c>
      <c r="R89" s="3" t="s">
        <v>70</v>
      </c>
      <c r="S89" s="4">
        <v>24</v>
      </c>
      <c r="T89" s="4">
        <v>24</v>
      </c>
      <c r="U89" s="5" t="s">
        <v>602</v>
      </c>
      <c r="V89" s="5" t="s">
        <v>602</v>
      </c>
      <c r="W89" s="5" t="s">
        <v>72</v>
      </c>
      <c r="X89" s="5" t="s">
        <v>72</v>
      </c>
      <c r="Y89" s="4">
        <v>143</v>
      </c>
      <c r="Z89" s="4">
        <v>10</v>
      </c>
      <c r="AA89" s="4">
        <v>57</v>
      </c>
      <c r="AB89" s="4">
        <v>1</v>
      </c>
      <c r="AC89" s="4">
        <v>7</v>
      </c>
      <c r="AD89" s="4">
        <v>17</v>
      </c>
      <c r="AE89" s="4">
        <v>110</v>
      </c>
      <c r="AF89" s="4">
        <v>0</v>
      </c>
      <c r="AG89" s="4">
        <v>4</v>
      </c>
      <c r="AH89" s="4">
        <v>11</v>
      </c>
      <c r="AI89" s="4">
        <v>90</v>
      </c>
      <c r="AJ89" s="4">
        <v>6</v>
      </c>
      <c r="AK89" s="4">
        <v>19</v>
      </c>
      <c r="AL89" s="4">
        <v>10</v>
      </c>
      <c r="AM89" s="4">
        <v>51</v>
      </c>
      <c r="AN89" s="4">
        <v>0</v>
      </c>
      <c r="AO89" s="4">
        <v>0</v>
      </c>
      <c r="AP89" s="4">
        <v>7</v>
      </c>
      <c r="AQ89" s="4">
        <v>27</v>
      </c>
      <c r="AR89" s="3" t="s">
        <v>64</v>
      </c>
      <c r="AS89" s="3" t="s">
        <v>64</v>
      </c>
      <c r="AT89" s="3" t="s">
        <v>64</v>
      </c>
      <c r="AV89" s="6" t="str">
        <f>HYPERLINK("http://mcgill.on.worldcat.org/oclc/733723690","Catalog Record")</f>
        <v>Catalog Record</v>
      </c>
      <c r="AW89" s="6" t="str">
        <f>HYPERLINK("http://www.worldcat.org/oclc/733723690","WorldCat Record")</f>
        <v>WorldCat Record</v>
      </c>
      <c r="AX89" s="3" t="s">
        <v>603</v>
      </c>
      <c r="AY89" s="3" t="s">
        <v>604</v>
      </c>
      <c r="AZ89" s="3" t="s">
        <v>605</v>
      </c>
      <c r="BA89" s="3" t="s">
        <v>605</v>
      </c>
      <c r="BB89" s="3" t="s">
        <v>606</v>
      </c>
      <c r="BC89" s="3" t="s">
        <v>77</v>
      </c>
      <c r="BD89" s="3" t="s">
        <v>165</v>
      </c>
      <c r="BE89" s="3" t="s">
        <v>607</v>
      </c>
      <c r="BF89" s="3" t="s">
        <v>606</v>
      </c>
      <c r="BG89" s="3" t="s">
        <v>608</v>
      </c>
      <c r="BH89">
        <f t="shared" si="4"/>
        <v>0</v>
      </c>
    </row>
    <row r="90" spans="1:60" ht="58" x14ac:dyDescent="0.35">
      <c r="A90" s="2" t="s">
        <v>59</v>
      </c>
      <c r="B90" s="2" t="s">
        <v>60</v>
      </c>
      <c r="C90" s="2" t="s">
        <v>609</v>
      </c>
      <c r="D90" s="2" t="s">
        <v>610</v>
      </c>
      <c r="E90" s="2" t="s">
        <v>611</v>
      </c>
      <c r="G90" s="3" t="s">
        <v>64</v>
      </c>
      <c r="I90" s="3" t="s">
        <v>64</v>
      </c>
      <c r="J90" s="3" t="s">
        <v>64</v>
      </c>
      <c r="K90" s="3" t="s">
        <v>65</v>
      </c>
      <c r="L90" s="2" t="s">
        <v>600</v>
      </c>
      <c r="M90" s="2" t="s">
        <v>612</v>
      </c>
      <c r="N90" s="3" t="s">
        <v>511</v>
      </c>
      <c r="P90" s="3" t="s">
        <v>102</v>
      </c>
      <c r="R90" s="3" t="s">
        <v>70</v>
      </c>
      <c r="S90" s="4">
        <v>14</v>
      </c>
      <c r="T90" s="4">
        <v>14</v>
      </c>
      <c r="U90" s="5" t="s">
        <v>613</v>
      </c>
      <c r="V90" s="5" t="s">
        <v>613</v>
      </c>
      <c r="W90" s="5" t="s">
        <v>72</v>
      </c>
      <c r="X90" s="5" t="s">
        <v>72</v>
      </c>
      <c r="Y90" s="4">
        <v>469</v>
      </c>
      <c r="Z90" s="4">
        <v>37</v>
      </c>
      <c r="AA90" s="4">
        <v>41</v>
      </c>
      <c r="AB90" s="4">
        <v>3</v>
      </c>
      <c r="AC90" s="4">
        <v>5</v>
      </c>
      <c r="AD90" s="4">
        <v>106</v>
      </c>
      <c r="AE90" s="4">
        <v>109</v>
      </c>
      <c r="AF90" s="4">
        <v>1</v>
      </c>
      <c r="AG90" s="4">
        <v>3</v>
      </c>
      <c r="AH90" s="4">
        <v>87</v>
      </c>
      <c r="AI90" s="4">
        <v>88</v>
      </c>
      <c r="AJ90" s="4">
        <v>17</v>
      </c>
      <c r="AK90" s="4">
        <v>20</v>
      </c>
      <c r="AL90" s="4">
        <v>53</v>
      </c>
      <c r="AM90" s="4">
        <v>53</v>
      </c>
      <c r="AN90" s="4">
        <v>0</v>
      </c>
      <c r="AO90" s="4">
        <v>0</v>
      </c>
      <c r="AP90" s="4">
        <v>25</v>
      </c>
      <c r="AQ90" s="4">
        <v>27</v>
      </c>
      <c r="AR90" s="3" t="s">
        <v>64</v>
      </c>
      <c r="AS90" s="3" t="s">
        <v>64</v>
      </c>
      <c r="AT90" s="3" t="s">
        <v>64</v>
      </c>
      <c r="AV90" s="6" t="str">
        <f>HYPERLINK("http://mcgill.on.worldcat.org/oclc/423584406","Catalog Record")</f>
        <v>Catalog Record</v>
      </c>
      <c r="AW90" s="6" t="str">
        <f>HYPERLINK("http://www.worldcat.org/oclc/423584406","WorldCat Record")</f>
        <v>WorldCat Record</v>
      </c>
      <c r="AX90" s="3" t="s">
        <v>614</v>
      </c>
      <c r="AY90" s="3" t="s">
        <v>615</v>
      </c>
      <c r="AZ90" s="3" t="s">
        <v>616</v>
      </c>
      <c r="BA90" s="3" t="s">
        <v>616</v>
      </c>
      <c r="BB90" s="3" t="s">
        <v>617</v>
      </c>
      <c r="BC90" s="3" t="s">
        <v>77</v>
      </c>
      <c r="BD90" s="3" t="s">
        <v>78</v>
      </c>
      <c r="BE90" s="3" t="s">
        <v>618</v>
      </c>
      <c r="BF90" s="3" t="s">
        <v>617</v>
      </c>
      <c r="BG90" s="3" t="s">
        <v>619</v>
      </c>
      <c r="BH90">
        <f t="shared" si="4"/>
        <v>0</v>
      </c>
    </row>
    <row r="91" spans="1:60" ht="58" x14ac:dyDescent="0.35">
      <c r="A91" s="2" t="s">
        <v>59</v>
      </c>
      <c r="B91" s="2" t="s">
        <v>60</v>
      </c>
      <c r="C91" s="2" t="s">
        <v>620</v>
      </c>
      <c r="D91" s="2" t="s">
        <v>621</v>
      </c>
      <c r="E91" s="2" t="s">
        <v>622</v>
      </c>
      <c r="G91" s="3" t="s">
        <v>64</v>
      </c>
      <c r="I91" s="3" t="s">
        <v>128</v>
      </c>
      <c r="J91" s="3" t="s">
        <v>64</v>
      </c>
      <c r="K91" s="3" t="s">
        <v>65</v>
      </c>
      <c r="L91" s="2" t="s">
        <v>623</v>
      </c>
      <c r="M91" s="2" t="s">
        <v>624</v>
      </c>
      <c r="N91" s="3" t="s">
        <v>468</v>
      </c>
      <c r="O91" s="2" t="s">
        <v>625</v>
      </c>
      <c r="P91" s="3" t="s">
        <v>102</v>
      </c>
      <c r="R91" s="3" t="s">
        <v>70</v>
      </c>
      <c r="S91" s="4">
        <v>26</v>
      </c>
      <c r="T91" s="4">
        <v>41</v>
      </c>
      <c r="U91" s="5" t="s">
        <v>626</v>
      </c>
      <c r="V91" s="5" t="s">
        <v>626</v>
      </c>
      <c r="W91" s="5" t="s">
        <v>72</v>
      </c>
      <c r="X91" s="5" t="s">
        <v>72</v>
      </c>
      <c r="Y91" s="4">
        <v>1237</v>
      </c>
      <c r="Z91" s="4">
        <v>27</v>
      </c>
      <c r="AA91" s="4">
        <v>84</v>
      </c>
      <c r="AB91" s="4">
        <v>3</v>
      </c>
      <c r="AC91" s="4">
        <v>9</v>
      </c>
      <c r="AD91" s="4">
        <v>106</v>
      </c>
      <c r="AE91" s="4">
        <v>153</v>
      </c>
      <c r="AF91" s="4">
        <v>1</v>
      </c>
      <c r="AG91" s="4">
        <v>4</v>
      </c>
      <c r="AH91" s="4">
        <v>88</v>
      </c>
      <c r="AI91" s="4">
        <v>115</v>
      </c>
      <c r="AJ91" s="4">
        <v>7</v>
      </c>
      <c r="AK91" s="4">
        <v>25</v>
      </c>
      <c r="AL91" s="4">
        <v>51</v>
      </c>
      <c r="AM91" s="4">
        <v>63</v>
      </c>
      <c r="AN91" s="4">
        <v>0</v>
      </c>
      <c r="AO91" s="4">
        <v>3</v>
      </c>
      <c r="AP91" s="4">
        <v>18</v>
      </c>
      <c r="AQ91" s="4">
        <v>42</v>
      </c>
      <c r="AR91" s="3" t="s">
        <v>64</v>
      </c>
      <c r="AS91" s="3" t="s">
        <v>64</v>
      </c>
      <c r="AT91" s="3" t="s">
        <v>128</v>
      </c>
      <c r="AU91" s="6" t="str">
        <f>HYPERLINK("http://catalog.hathitrust.org/Record/001159811","HathiTrust Record")</f>
        <v>HathiTrust Record</v>
      </c>
      <c r="AV91" s="6" t="str">
        <f>HYPERLINK("http://mcgill.on.worldcat.org/oclc/1387180","Catalog Record")</f>
        <v>Catalog Record</v>
      </c>
      <c r="AW91" s="6" t="str">
        <f>HYPERLINK("http://www.worldcat.org/oclc/1387180","WorldCat Record")</f>
        <v>WorldCat Record</v>
      </c>
      <c r="AX91" s="3" t="s">
        <v>627</v>
      </c>
      <c r="AY91" s="3" t="s">
        <v>628</v>
      </c>
      <c r="AZ91" s="3" t="s">
        <v>629</v>
      </c>
      <c r="BA91" s="3" t="s">
        <v>629</v>
      </c>
      <c r="BB91" s="3" t="s">
        <v>630</v>
      </c>
      <c r="BC91" s="3" t="s">
        <v>77</v>
      </c>
      <c r="BD91" s="3" t="s">
        <v>78</v>
      </c>
      <c r="BF91" s="3" t="s">
        <v>630</v>
      </c>
      <c r="BG91" s="3" t="s">
        <v>631</v>
      </c>
      <c r="BH91">
        <f t="shared" si="4"/>
        <v>0</v>
      </c>
    </row>
    <row r="92" spans="1:60" ht="58" x14ac:dyDescent="0.35">
      <c r="A92" s="2" t="s">
        <v>59</v>
      </c>
      <c r="B92" s="2" t="s">
        <v>60</v>
      </c>
      <c r="C92" s="2" t="s">
        <v>632</v>
      </c>
      <c r="D92" s="2" t="s">
        <v>633</v>
      </c>
      <c r="E92" s="2" t="s">
        <v>634</v>
      </c>
      <c r="G92" s="3" t="s">
        <v>64</v>
      </c>
      <c r="I92" s="3" t="s">
        <v>64</v>
      </c>
      <c r="J92" s="3" t="s">
        <v>128</v>
      </c>
      <c r="K92" s="3" t="s">
        <v>65</v>
      </c>
      <c r="L92" s="2" t="s">
        <v>635</v>
      </c>
      <c r="M92" s="2" t="s">
        <v>636</v>
      </c>
      <c r="N92" s="3" t="s">
        <v>131</v>
      </c>
      <c r="P92" s="3" t="s">
        <v>102</v>
      </c>
      <c r="R92" s="3" t="s">
        <v>70</v>
      </c>
      <c r="S92" s="4">
        <v>12</v>
      </c>
      <c r="T92" s="4">
        <v>12</v>
      </c>
      <c r="U92" s="5" t="s">
        <v>133</v>
      </c>
      <c r="V92" s="5" t="s">
        <v>133</v>
      </c>
      <c r="W92" s="5" t="s">
        <v>72</v>
      </c>
      <c r="X92" s="5" t="s">
        <v>72</v>
      </c>
      <c r="Y92" s="4">
        <v>13</v>
      </c>
      <c r="Z92" s="4">
        <v>6</v>
      </c>
      <c r="AA92" s="4">
        <v>62</v>
      </c>
      <c r="AB92" s="4">
        <v>3</v>
      </c>
      <c r="AC92" s="4">
        <v>8</v>
      </c>
      <c r="AD92" s="4">
        <v>4</v>
      </c>
      <c r="AE92" s="4">
        <v>149</v>
      </c>
      <c r="AF92" s="4">
        <v>1</v>
      </c>
      <c r="AG92" s="4">
        <v>4</v>
      </c>
      <c r="AH92" s="4">
        <v>2</v>
      </c>
      <c r="AI92" s="4">
        <v>118</v>
      </c>
      <c r="AJ92" s="4">
        <v>3</v>
      </c>
      <c r="AK92" s="4">
        <v>25</v>
      </c>
      <c r="AL92" s="4">
        <v>2</v>
      </c>
      <c r="AM92" s="4">
        <v>65</v>
      </c>
      <c r="AN92" s="4">
        <v>0</v>
      </c>
      <c r="AO92" s="4">
        <v>4</v>
      </c>
      <c r="AP92" s="4">
        <v>3</v>
      </c>
      <c r="AQ92" s="4">
        <v>36</v>
      </c>
      <c r="AR92" s="3" t="s">
        <v>64</v>
      </c>
      <c r="AS92" s="3" t="s">
        <v>64</v>
      </c>
      <c r="AT92" s="3" t="s">
        <v>128</v>
      </c>
      <c r="AU92" s="6" t="str">
        <f>HYPERLINK("http://catalog.hathitrust.org/Record/001166518","HathiTrust Record")</f>
        <v>HathiTrust Record</v>
      </c>
      <c r="AV92" s="6" t="str">
        <f>HYPERLINK("http://mcgill.on.worldcat.org/oclc/352788112","Catalog Record")</f>
        <v>Catalog Record</v>
      </c>
      <c r="AW92" s="6" t="str">
        <f>HYPERLINK("http://www.worldcat.org/oclc/352788112","WorldCat Record")</f>
        <v>WorldCat Record</v>
      </c>
      <c r="AX92" s="3" t="s">
        <v>637</v>
      </c>
      <c r="AY92" s="3" t="s">
        <v>638</v>
      </c>
      <c r="AZ92" s="3" t="s">
        <v>639</v>
      </c>
      <c r="BA92" s="3" t="s">
        <v>639</v>
      </c>
      <c r="BB92" s="3" t="s">
        <v>640</v>
      </c>
      <c r="BC92" s="3" t="s">
        <v>77</v>
      </c>
      <c r="BD92" s="3" t="s">
        <v>78</v>
      </c>
      <c r="BF92" s="3" t="s">
        <v>640</v>
      </c>
      <c r="BG92" s="3" t="s">
        <v>641</v>
      </c>
      <c r="BH92">
        <f t="shared" si="4"/>
        <v>0</v>
      </c>
    </row>
    <row r="93" spans="1:60" ht="58" x14ac:dyDescent="0.35">
      <c r="A93" s="2" t="s">
        <v>59</v>
      </c>
      <c r="B93" s="2" t="s">
        <v>60</v>
      </c>
      <c r="C93" s="2" t="s">
        <v>642</v>
      </c>
      <c r="D93" s="2" t="s">
        <v>643</v>
      </c>
      <c r="E93" s="2" t="s">
        <v>622</v>
      </c>
      <c r="G93" s="3" t="s">
        <v>64</v>
      </c>
      <c r="I93" s="3" t="s">
        <v>128</v>
      </c>
      <c r="J93" s="3" t="s">
        <v>64</v>
      </c>
      <c r="K93" s="3" t="s">
        <v>65</v>
      </c>
      <c r="L93" s="2" t="s">
        <v>623</v>
      </c>
      <c r="M93" s="2" t="s">
        <v>624</v>
      </c>
      <c r="N93" s="3" t="s">
        <v>468</v>
      </c>
      <c r="O93" s="2" t="s">
        <v>625</v>
      </c>
      <c r="P93" s="3" t="s">
        <v>102</v>
      </c>
      <c r="R93" s="3" t="s">
        <v>70</v>
      </c>
      <c r="S93" s="4">
        <v>15</v>
      </c>
      <c r="T93" s="4">
        <v>41</v>
      </c>
      <c r="U93" s="5" t="s">
        <v>644</v>
      </c>
      <c r="V93" s="5" t="s">
        <v>626</v>
      </c>
      <c r="W93" s="5" t="s">
        <v>72</v>
      </c>
      <c r="X93" s="5" t="s">
        <v>72</v>
      </c>
      <c r="Y93" s="4">
        <v>1237</v>
      </c>
      <c r="Z93" s="4">
        <v>27</v>
      </c>
      <c r="AA93" s="4">
        <v>84</v>
      </c>
      <c r="AB93" s="4">
        <v>3</v>
      </c>
      <c r="AC93" s="4">
        <v>9</v>
      </c>
      <c r="AD93" s="4">
        <v>106</v>
      </c>
      <c r="AE93" s="4">
        <v>153</v>
      </c>
      <c r="AF93" s="4">
        <v>1</v>
      </c>
      <c r="AG93" s="4">
        <v>4</v>
      </c>
      <c r="AH93" s="4">
        <v>88</v>
      </c>
      <c r="AI93" s="4">
        <v>115</v>
      </c>
      <c r="AJ93" s="4">
        <v>7</v>
      </c>
      <c r="AK93" s="4">
        <v>25</v>
      </c>
      <c r="AL93" s="4">
        <v>51</v>
      </c>
      <c r="AM93" s="4">
        <v>63</v>
      </c>
      <c r="AN93" s="4">
        <v>0</v>
      </c>
      <c r="AO93" s="4">
        <v>3</v>
      </c>
      <c r="AP93" s="4">
        <v>18</v>
      </c>
      <c r="AQ93" s="4">
        <v>42</v>
      </c>
      <c r="AR93" s="3" t="s">
        <v>64</v>
      </c>
      <c r="AS93" s="3" t="s">
        <v>64</v>
      </c>
      <c r="AT93" s="3" t="s">
        <v>128</v>
      </c>
      <c r="AU93" s="6" t="str">
        <f>HYPERLINK("http://catalog.hathitrust.org/Record/001159811","HathiTrust Record")</f>
        <v>HathiTrust Record</v>
      </c>
      <c r="AV93" s="6" t="str">
        <f>HYPERLINK("http://mcgill.on.worldcat.org/oclc/1387180","Catalog Record")</f>
        <v>Catalog Record</v>
      </c>
      <c r="AW93" s="6" t="str">
        <f>HYPERLINK("http://www.worldcat.org/oclc/1387180","WorldCat Record")</f>
        <v>WorldCat Record</v>
      </c>
      <c r="AX93" s="3" t="s">
        <v>627</v>
      </c>
      <c r="AY93" s="3" t="s">
        <v>628</v>
      </c>
      <c r="AZ93" s="3" t="s">
        <v>629</v>
      </c>
      <c r="BA93" s="3" t="s">
        <v>629</v>
      </c>
      <c r="BB93" s="3" t="s">
        <v>645</v>
      </c>
      <c r="BC93" s="3" t="s">
        <v>77</v>
      </c>
      <c r="BD93" s="3" t="s">
        <v>78</v>
      </c>
      <c r="BF93" s="3" t="s">
        <v>645</v>
      </c>
      <c r="BG93" s="3" t="s">
        <v>646</v>
      </c>
      <c r="BH93">
        <f t="shared" si="4"/>
        <v>0</v>
      </c>
    </row>
    <row r="94" spans="1:60" x14ac:dyDescent="0.35">
      <c r="A94" t="s">
        <v>59</v>
      </c>
      <c r="B94" t="s">
        <v>60</v>
      </c>
      <c r="C94" t="s">
        <v>52910</v>
      </c>
      <c r="D94" t="s">
        <v>52911</v>
      </c>
      <c r="E94" t="s">
        <v>52912</v>
      </c>
      <c r="F94" t="s">
        <v>478</v>
      </c>
      <c r="G94" t="s">
        <v>128</v>
      </c>
      <c r="I94" t="s">
        <v>64</v>
      </c>
      <c r="J94" t="s">
        <v>64</v>
      </c>
      <c r="K94" t="s">
        <v>65</v>
      </c>
      <c r="L94" t="s">
        <v>52913</v>
      </c>
      <c r="M94" t="s">
        <v>52914</v>
      </c>
      <c r="N94" t="s">
        <v>315</v>
      </c>
      <c r="P94" t="s">
        <v>68</v>
      </c>
      <c r="R94" t="s">
        <v>70</v>
      </c>
      <c r="S94">
        <v>3</v>
      </c>
      <c r="T94">
        <v>7</v>
      </c>
      <c r="U94" t="s">
        <v>52915</v>
      </c>
      <c r="V94" t="s">
        <v>52915</v>
      </c>
      <c r="W94" t="s">
        <v>72</v>
      </c>
      <c r="X94" t="s">
        <v>72</v>
      </c>
      <c r="Y94">
        <v>59</v>
      </c>
      <c r="Z94">
        <v>4</v>
      </c>
      <c r="AA94">
        <v>14</v>
      </c>
      <c r="AB94">
        <v>1</v>
      </c>
      <c r="AC94">
        <v>4</v>
      </c>
      <c r="AD94">
        <v>25</v>
      </c>
      <c r="AE94">
        <v>32</v>
      </c>
      <c r="AF94">
        <v>0</v>
      </c>
      <c r="AG94">
        <v>2</v>
      </c>
      <c r="AH94">
        <v>24</v>
      </c>
      <c r="AI94">
        <v>27</v>
      </c>
      <c r="AJ94">
        <v>3</v>
      </c>
      <c r="AK94">
        <v>10</v>
      </c>
      <c r="AL94">
        <v>14</v>
      </c>
      <c r="AM94">
        <v>15</v>
      </c>
      <c r="AN94">
        <v>0</v>
      </c>
      <c r="AO94">
        <v>0</v>
      </c>
      <c r="AP94">
        <v>3</v>
      </c>
      <c r="AQ94">
        <v>8</v>
      </c>
      <c r="AR94" t="s">
        <v>64</v>
      </c>
      <c r="AS94" t="s">
        <v>64</v>
      </c>
      <c r="AT94" t="s">
        <v>128</v>
      </c>
      <c r="AU94" t="s">
        <v>52901</v>
      </c>
      <c r="AV94" t="s">
        <v>52902</v>
      </c>
      <c r="AW94" t="s">
        <v>52903</v>
      </c>
      <c r="AX94" t="s">
        <v>52916</v>
      </c>
      <c r="AY94" t="s">
        <v>52917</v>
      </c>
      <c r="AZ94" t="s">
        <v>52918</v>
      </c>
      <c r="BA94" t="s">
        <v>52918</v>
      </c>
      <c r="BB94" t="s">
        <v>52919</v>
      </c>
      <c r="BC94" t="s">
        <v>77</v>
      </c>
      <c r="BD94" t="s">
        <v>78</v>
      </c>
      <c r="BF94" t="s">
        <v>52919</v>
      </c>
      <c r="BG94" t="s">
        <v>52920</v>
      </c>
      <c r="BH94">
        <f t="shared" si="4"/>
        <v>0</v>
      </c>
    </row>
    <row r="95" spans="1:60" x14ac:dyDescent="0.35">
      <c r="A95" t="s">
        <v>59</v>
      </c>
      <c r="B95" t="s">
        <v>60</v>
      </c>
      <c r="C95" t="s">
        <v>52910</v>
      </c>
      <c r="D95" t="s">
        <v>52911</v>
      </c>
      <c r="E95" t="s">
        <v>52912</v>
      </c>
      <c r="F95" t="s">
        <v>2044</v>
      </c>
      <c r="G95" t="s">
        <v>128</v>
      </c>
      <c r="I95" t="s">
        <v>64</v>
      </c>
      <c r="J95" t="s">
        <v>64</v>
      </c>
      <c r="K95" t="s">
        <v>65</v>
      </c>
      <c r="L95" t="s">
        <v>52913</v>
      </c>
      <c r="M95" t="s">
        <v>52914</v>
      </c>
      <c r="N95" t="s">
        <v>315</v>
      </c>
      <c r="P95" t="s">
        <v>68</v>
      </c>
      <c r="R95" t="s">
        <v>70</v>
      </c>
      <c r="S95">
        <v>4</v>
      </c>
      <c r="T95">
        <v>7</v>
      </c>
      <c r="U95" t="s">
        <v>52921</v>
      </c>
      <c r="V95" t="s">
        <v>52915</v>
      </c>
      <c r="W95" t="s">
        <v>72</v>
      </c>
      <c r="X95" t="s">
        <v>72</v>
      </c>
      <c r="Y95">
        <v>59</v>
      </c>
      <c r="Z95">
        <v>4</v>
      </c>
      <c r="AA95">
        <v>14</v>
      </c>
      <c r="AB95">
        <v>1</v>
      </c>
      <c r="AC95">
        <v>4</v>
      </c>
      <c r="AD95">
        <v>25</v>
      </c>
      <c r="AE95">
        <v>32</v>
      </c>
      <c r="AF95">
        <v>0</v>
      </c>
      <c r="AG95">
        <v>2</v>
      </c>
      <c r="AH95">
        <v>24</v>
      </c>
      <c r="AI95">
        <v>27</v>
      </c>
      <c r="AJ95">
        <v>3</v>
      </c>
      <c r="AK95">
        <v>10</v>
      </c>
      <c r="AL95">
        <v>14</v>
      </c>
      <c r="AM95">
        <v>15</v>
      </c>
      <c r="AN95">
        <v>0</v>
      </c>
      <c r="AO95">
        <v>0</v>
      </c>
      <c r="AP95">
        <v>3</v>
      </c>
      <c r="AQ95">
        <v>8</v>
      </c>
      <c r="AR95" t="s">
        <v>64</v>
      </c>
      <c r="AS95" t="s">
        <v>64</v>
      </c>
      <c r="AT95" t="s">
        <v>128</v>
      </c>
      <c r="AU95" t="s">
        <v>52901</v>
      </c>
      <c r="AV95" t="s">
        <v>52902</v>
      </c>
      <c r="AW95" t="s">
        <v>52903</v>
      </c>
      <c r="AX95" t="s">
        <v>52916</v>
      </c>
      <c r="AY95" t="s">
        <v>52917</v>
      </c>
      <c r="AZ95" t="s">
        <v>52918</v>
      </c>
      <c r="BA95" t="s">
        <v>52918</v>
      </c>
      <c r="BB95" t="s">
        <v>52922</v>
      </c>
      <c r="BC95" t="s">
        <v>77</v>
      </c>
      <c r="BD95" t="s">
        <v>78</v>
      </c>
      <c r="BF95" t="s">
        <v>52922</v>
      </c>
      <c r="BG95" t="s">
        <v>52923</v>
      </c>
      <c r="BH95">
        <f t="shared" si="4"/>
        <v>0</v>
      </c>
    </row>
    <row r="96" spans="1:60" ht="58" x14ac:dyDescent="0.35">
      <c r="A96" s="2" t="s">
        <v>59</v>
      </c>
      <c r="B96" s="2" t="s">
        <v>60</v>
      </c>
      <c r="C96" s="2" t="s">
        <v>647</v>
      </c>
      <c r="D96" s="2" t="s">
        <v>648</v>
      </c>
      <c r="E96" s="2" t="s">
        <v>649</v>
      </c>
      <c r="G96" s="3" t="s">
        <v>64</v>
      </c>
      <c r="I96" s="3" t="s">
        <v>64</v>
      </c>
      <c r="J96" s="3" t="s">
        <v>64</v>
      </c>
      <c r="K96" s="3" t="s">
        <v>65</v>
      </c>
      <c r="M96" s="2" t="s">
        <v>650</v>
      </c>
      <c r="N96" s="3" t="s">
        <v>67</v>
      </c>
      <c r="P96" s="3" t="s">
        <v>102</v>
      </c>
      <c r="R96" s="3" t="s">
        <v>70</v>
      </c>
      <c r="S96" s="4">
        <v>4</v>
      </c>
      <c r="T96" s="4">
        <v>4</v>
      </c>
      <c r="U96" s="5" t="s">
        <v>651</v>
      </c>
      <c r="V96" s="5" t="s">
        <v>651</v>
      </c>
      <c r="W96" s="5" t="s">
        <v>72</v>
      </c>
      <c r="X96" s="5" t="s">
        <v>72</v>
      </c>
      <c r="Y96" s="4">
        <v>30</v>
      </c>
      <c r="Z96" s="4">
        <v>3</v>
      </c>
      <c r="AA96" s="4">
        <v>23</v>
      </c>
      <c r="AB96" s="4">
        <v>1</v>
      </c>
      <c r="AC96" s="4">
        <v>4</v>
      </c>
      <c r="AD96" s="4">
        <v>14</v>
      </c>
      <c r="AE96" s="4">
        <v>25</v>
      </c>
      <c r="AF96" s="4">
        <v>0</v>
      </c>
      <c r="AG96" s="4">
        <v>1</v>
      </c>
      <c r="AH96" s="4">
        <v>11</v>
      </c>
      <c r="AI96" s="4">
        <v>16</v>
      </c>
      <c r="AJ96" s="4">
        <v>2</v>
      </c>
      <c r="AK96" s="4">
        <v>4</v>
      </c>
      <c r="AL96" s="4">
        <v>9</v>
      </c>
      <c r="AM96" s="4">
        <v>11</v>
      </c>
      <c r="AN96" s="4">
        <v>0</v>
      </c>
      <c r="AO96" s="4">
        <v>0</v>
      </c>
      <c r="AP96" s="4">
        <v>2</v>
      </c>
      <c r="AQ96" s="4">
        <v>8</v>
      </c>
      <c r="AR96" s="3" t="s">
        <v>64</v>
      </c>
      <c r="AS96" s="3" t="s">
        <v>64</v>
      </c>
      <c r="AT96" s="3" t="s">
        <v>64</v>
      </c>
      <c r="AV96" s="6" t="str">
        <f>HYPERLINK("http://mcgill.on.worldcat.org/oclc/891941605","Catalog Record")</f>
        <v>Catalog Record</v>
      </c>
      <c r="AW96" s="6" t="str">
        <f>HYPERLINK("http://www.worldcat.org/oclc/891941605","WorldCat Record")</f>
        <v>WorldCat Record</v>
      </c>
      <c r="AX96" s="3" t="s">
        <v>652</v>
      </c>
      <c r="AY96" s="3" t="s">
        <v>653</v>
      </c>
      <c r="AZ96" s="3" t="s">
        <v>654</v>
      </c>
      <c r="BA96" s="3" t="s">
        <v>654</v>
      </c>
      <c r="BB96" s="3" t="s">
        <v>655</v>
      </c>
      <c r="BC96" s="3" t="s">
        <v>77</v>
      </c>
      <c r="BD96" s="3" t="s">
        <v>78</v>
      </c>
      <c r="BE96" s="3" t="s">
        <v>656</v>
      </c>
      <c r="BF96" s="3" t="s">
        <v>655</v>
      </c>
      <c r="BG96" s="3" t="s">
        <v>657</v>
      </c>
      <c r="BH96">
        <f t="shared" si="4"/>
        <v>0</v>
      </c>
    </row>
    <row r="97" spans="1:60" ht="58" x14ac:dyDescent="0.35">
      <c r="A97" s="2" t="s">
        <v>59</v>
      </c>
      <c r="B97" s="2" t="s">
        <v>60</v>
      </c>
      <c r="C97" s="2" t="s">
        <v>658</v>
      </c>
      <c r="D97" s="2" t="s">
        <v>659</v>
      </c>
      <c r="E97" s="2" t="s">
        <v>660</v>
      </c>
      <c r="G97" s="3" t="s">
        <v>64</v>
      </c>
      <c r="I97" s="3" t="s">
        <v>64</v>
      </c>
      <c r="J97" s="3" t="s">
        <v>64</v>
      </c>
      <c r="K97" s="3" t="s">
        <v>65</v>
      </c>
      <c r="M97" s="2" t="s">
        <v>661</v>
      </c>
      <c r="N97" s="3" t="s">
        <v>511</v>
      </c>
      <c r="P97" s="3" t="s">
        <v>102</v>
      </c>
      <c r="Q97" s="2" t="s">
        <v>662</v>
      </c>
      <c r="R97" s="3" t="s">
        <v>70</v>
      </c>
      <c r="S97" s="4">
        <v>0</v>
      </c>
      <c r="T97" s="4">
        <v>0</v>
      </c>
      <c r="W97" s="5" t="s">
        <v>72</v>
      </c>
      <c r="X97" s="5" t="s">
        <v>72</v>
      </c>
      <c r="Y97" s="4">
        <v>36</v>
      </c>
      <c r="Z97" s="4">
        <v>9</v>
      </c>
      <c r="AA97" s="4">
        <v>9</v>
      </c>
      <c r="AB97" s="4">
        <v>1</v>
      </c>
      <c r="AC97" s="4">
        <v>1</v>
      </c>
      <c r="AD97" s="4">
        <v>22</v>
      </c>
      <c r="AE97" s="4">
        <v>22</v>
      </c>
      <c r="AF97" s="4">
        <v>0</v>
      </c>
      <c r="AG97" s="4">
        <v>0</v>
      </c>
      <c r="AH97" s="4">
        <v>18</v>
      </c>
      <c r="AI97" s="4">
        <v>18</v>
      </c>
      <c r="AJ97" s="4">
        <v>6</v>
      </c>
      <c r="AK97" s="4">
        <v>6</v>
      </c>
      <c r="AL97" s="4">
        <v>12</v>
      </c>
      <c r="AM97" s="4">
        <v>12</v>
      </c>
      <c r="AN97" s="4">
        <v>0</v>
      </c>
      <c r="AO97" s="4">
        <v>0</v>
      </c>
      <c r="AP97" s="4">
        <v>6</v>
      </c>
      <c r="AQ97" s="4">
        <v>6</v>
      </c>
      <c r="AR97" s="3" t="s">
        <v>64</v>
      </c>
      <c r="AS97" s="3" t="s">
        <v>64</v>
      </c>
      <c r="AT97" s="3" t="s">
        <v>64</v>
      </c>
      <c r="AV97" s="6" t="str">
        <f>HYPERLINK("http://mcgill.on.worldcat.org/oclc/665868976","Catalog Record")</f>
        <v>Catalog Record</v>
      </c>
      <c r="AW97" s="6" t="str">
        <f>HYPERLINK("http://www.worldcat.org/oclc/665868976","WorldCat Record")</f>
        <v>WorldCat Record</v>
      </c>
      <c r="AX97" s="3" t="s">
        <v>663</v>
      </c>
      <c r="AY97" s="3" t="s">
        <v>664</v>
      </c>
      <c r="AZ97" s="3" t="s">
        <v>665</v>
      </c>
      <c r="BA97" s="3" t="s">
        <v>665</v>
      </c>
      <c r="BB97" s="3" t="s">
        <v>666</v>
      </c>
      <c r="BC97" s="3" t="s">
        <v>77</v>
      </c>
      <c r="BD97" s="3" t="s">
        <v>78</v>
      </c>
      <c r="BE97" s="3" t="s">
        <v>667</v>
      </c>
      <c r="BF97" s="3" t="s">
        <v>666</v>
      </c>
      <c r="BG97" s="3" t="s">
        <v>668</v>
      </c>
      <c r="BH97">
        <f t="shared" si="4"/>
        <v>0</v>
      </c>
    </row>
    <row r="98" spans="1:60" ht="58" x14ac:dyDescent="0.35">
      <c r="A98" s="2" t="s">
        <v>59</v>
      </c>
      <c r="B98" s="2" t="s">
        <v>60</v>
      </c>
      <c r="C98" s="2" t="s">
        <v>669</v>
      </c>
      <c r="D98" s="2" t="s">
        <v>670</v>
      </c>
      <c r="E98" s="2" t="s">
        <v>671</v>
      </c>
      <c r="G98" s="3" t="s">
        <v>64</v>
      </c>
      <c r="I98" s="3" t="s">
        <v>64</v>
      </c>
      <c r="J98" s="3" t="s">
        <v>64</v>
      </c>
      <c r="K98" s="3" t="s">
        <v>65</v>
      </c>
      <c r="L98" s="2" t="s">
        <v>672</v>
      </c>
      <c r="M98" s="2" t="s">
        <v>673</v>
      </c>
      <c r="N98" s="3" t="s">
        <v>674</v>
      </c>
      <c r="P98" s="3" t="s">
        <v>102</v>
      </c>
      <c r="R98" s="3" t="s">
        <v>70</v>
      </c>
      <c r="S98" s="4">
        <v>4</v>
      </c>
      <c r="T98" s="4">
        <v>4</v>
      </c>
      <c r="U98" s="5" t="s">
        <v>243</v>
      </c>
      <c r="V98" s="5" t="s">
        <v>243</v>
      </c>
      <c r="W98" s="5" t="s">
        <v>72</v>
      </c>
      <c r="X98" s="5" t="s">
        <v>72</v>
      </c>
      <c r="Y98" s="4">
        <v>76</v>
      </c>
      <c r="Z98" s="4">
        <v>2</v>
      </c>
      <c r="AA98" s="4">
        <v>2</v>
      </c>
      <c r="AB98" s="4">
        <v>1</v>
      </c>
      <c r="AC98" s="4">
        <v>1</v>
      </c>
      <c r="AD98" s="4">
        <v>28</v>
      </c>
      <c r="AE98" s="4">
        <v>29</v>
      </c>
      <c r="AF98" s="4">
        <v>0</v>
      </c>
      <c r="AG98" s="4">
        <v>0</v>
      </c>
      <c r="AH98" s="4">
        <v>25</v>
      </c>
      <c r="AI98" s="4">
        <v>26</v>
      </c>
      <c r="AJ98" s="4">
        <v>1</v>
      </c>
      <c r="AK98" s="4">
        <v>1</v>
      </c>
      <c r="AL98" s="4">
        <v>18</v>
      </c>
      <c r="AM98" s="4">
        <v>19</v>
      </c>
      <c r="AN98" s="4">
        <v>0</v>
      </c>
      <c r="AO98" s="4">
        <v>0</v>
      </c>
      <c r="AP98" s="4">
        <v>1</v>
      </c>
      <c r="AQ98" s="4">
        <v>1</v>
      </c>
      <c r="AR98" s="3" t="s">
        <v>64</v>
      </c>
      <c r="AS98" s="3" t="s">
        <v>64</v>
      </c>
      <c r="AT98" s="3" t="s">
        <v>64</v>
      </c>
      <c r="AV98" s="6" t="str">
        <f>HYPERLINK("http://mcgill.on.worldcat.org/oclc/1185578","Catalog Record")</f>
        <v>Catalog Record</v>
      </c>
      <c r="AW98" s="6" t="str">
        <f>HYPERLINK("http://www.worldcat.org/oclc/1185578","WorldCat Record")</f>
        <v>WorldCat Record</v>
      </c>
      <c r="AX98" s="3" t="s">
        <v>675</v>
      </c>
      <c r="AY98" s="3" t="s">
        <v>676</v>
      </c>
      <c r="AZ98" s="3" t="s">
        <v>677</v>
      </c>
      <c r="BA98" s="3" t="s">
        <v>677</v>
      </c>
      <c r="BB98" s="3" t="s">
        <v>678</v>
      </c>
      <c r="BC98" s="3" t="s">
        <v>77</v>
      </c>
      <c r="BD98" s="3" t="s">
        <v>78</v>
      </c>
      <c r="BF98" s="3" t="s">
        <v>678</v>
      </c>
      <c r="BG98" s="3" t="s">
        <v>679</v>
      </c>
      <c r="BH98">
        <f t="shared" si="4"/>
        <v>0</v>
      </c>
    </row>
    <row r="99" spans="1:60" ht="58" x14ac:dyDescent="0.35">
      <c r="A99" s="2" t="s">
        <v>59</v>
      </c>
      <c r="B99" s="2" t="s">
        <v>60</v>
      </c>
      <c r="C99" s="2" t="s">
        <v>680</v>
      </c>
      <c r="D99" s="2" t="s">
        <v>681</v>
      </c>
      <c r="E99" s="2" t="s">
        <v>682</v>
      </c>
      <c r="G99" s="3" t="s">
        <v>128</v>
      </c>
      <c r="I99" s="3" t="s">
        <v>128</v>
      </c>
      <c r="J99" s="3" t="s">
        <v>64</v>
      </c>
      <c r="K99" s="3" t="s">
        <v>65</v>
      </c>
      <c r="L99" s="2" t="s">
        <v>683</v>
      </c>
      <c r="M99" s="2" t="s">
        <v>684</v>
      </c>
      <c r="N99" s="3" t="s">
        <v>685</v>
      </c>
      <c r="P99" s="3" t="s">
        <v>102</v>
      </c>
      <c r="R99" s="3" t="s">
        <v>70</v>
      </c>
      <c r="S99" s="4">
        <v>3</v>
      </c>
      <c r="T99" s="4">
        <v>4</v>
      </c>
      <c r="U99" s="5" t="s">
        <v>686</v>
      </c>
      <c r="V99" s="5" t="s">
        <v>687</v>
      </c>
      <c r="W99" s="5" t="s">
        <v>72</v>
      </c>
      <c r="X99" s="5" t="s">
        <v>72</v>
      </c>
      <c r="Y99" s="4">
        <v>440</v>
      </c>
      <c r="Z99" s="4">
        <v>26</v>
      </c>
      <c r="AA99" s="4">
        <v>26</v>
      </c>
      <c r="AB99" s="4">
        <v>3</v>
      </c>
      <c r="AC99" s="4">
        <v>3</v>
      </c>
      <c r="AD99" s="4">
        <v>105</v>
      </c>
      <c r="AE99" s="4">
        <v>108</v>
      </c>
      <c r="AF99" s="4">
        <v>1</v>
      </c>
      <c r="AG99" s="4">
        <v>1</v>
      </c>
      <c r="AH99" s="4">
        <v>91</v>
      </c>
      <c r="AI99" s="4">
        <v>94</v>
      </c>
      <c r="AJ99" s="4">
        <v>15</v>
      </c>
      <c r="AK99" s="4">
        <v>15</v>
      </c>
      <c r="AL99" s="4">
        <v>54</v>
      </c>
      <c r="AM99" s="4">
        <v>55</v>
      </c>
      <c r="AN99" s="4">
        <v>0</v>
      </c>
      <c r="AO99" s="4">
        <v>5</v>
      </c>
      <c r="AP99" s="4">
        <v>16</v>
      </c>
      <c r="AQ99" s="4">
        <v>16</v>
      </c>
      <c r="AR99" s="3" t="s">
        <v>64</v>
      </c>
      <c r="AS99" s="3" t="s">
        <v>64</v>
      </c>
      <c r="AT99" s="3" t="s">
        <v>128</v>
      </c>
      <c r="AU99" s="6" t="str">
        <f>HYPERLINK("http://catalog.hathitrust.org/Record/001159103","HathiTrust Record")</f>
        <v>HathiTrust Record</v>
      </c>
      <c r="AV99" s="6" t="str">
        <f>HYPERLINK("http://mcgill.on.worldcat.org/oclc/1011943546","Catalog Record")</f>
        <v>Catalog Record</v>
      </c>
      <c r="AW99" s="6" t="str">
        <f>HYPERLINK("http://www.worldcat.org/oclc/1011943546","WorldCat Record")</f>
        <v>WorldCat Record</v>
      </c>
      <c r="AX99" s="3" t="s">
        <v>688</v>
      </c>
      <c r="AY99" s="3" t="s">
        <v>689</v>
      </c>
      <c r="AZ99" s="3" t="s">
        <v>690</v>
      </c>
      <c r="BA99" s="3" t="s">
        <v>690</v>
      </c>
      <c r="BB99" s="3" t="s">
        <v>691</v>
      </c>
      <c r="BC99" s="3" t="s">
        <v>77</v>
      </c>
      <c r="BD99" s="3" t="s">
        <v>78</v>
      </c>
      <c r="BF99" s="3" t="s">
        <v>691</v>
      </c>
      <c r="BG99" s="3" t="s">
        <v>692</v>
      </c>
      <c r="BH99">
        <f t="shared" si="4"/>
        <v>0</v>
      </c>
    </row>
    <row r="100" spans="1:60" ht="58" x14ac:dyDescent="0.35">
      <c r="A100" s="2" t="s">
        <v>59</v>
      </c>
      <c r="B100" s="2" t="s">
        <v>60</v>
      </c>
      <c r="C100" s="2" t="s">
        <v>693</v>
      </c>
      <c r="D100" s="2" t="s">
        <v>694</v>
      </c>
      <c r="E100" s="2" t="s">
        <v>695</v>
      </c>
      <c r="G100" s="3" t="s">
        <v>64</v>
      </c>
      <c r="I100" s="3" t="s">
        <v>64</v>
      </c>
      <c r="J100" s="3" t="s">
        <v>64</v>
      </c>
      <c r="K100" s="3" t="s">
        <v>65</v>
      </c>
      <c r="L100" s="2" t="s">
        <v>696</v>
      </c>
      <c r="M100" s="2" t="s">
        <v>697</v>
      </c>
      <c r="N100" s="3" t="s">
        <v>253</v>
      </c>
      <c r="O100" s="2" t="s">
        <v>117</v>
      </c>
      <c r="P100" s="3" t="s">
        <v>102</v>
      </c>
      <c r="Q100" s="2" t="s">
        <v>216</v>
      </c>
      <c r="R100" s="3" t="s">
        <v>70</v>
      </c>
      <c r="S100" s="4">
        <v>2</v>
      </c>
      <c r="T100" s="4">
        <v>2</v>
      </c>
      <c r="U100" s="5" t="s">
        <v>698</v>
      </c>
      <c r="V100" s="5" t="s">
        <v>698</v>
      </c>
      <c r="W100" s="5" t="s">
        <v>72</v>
      </c>
      <c r="X100" s="5" t="s">
        <v>72</v>
      </c>
      <c r="Y100" s="4">
        <v>167</v>
      </c>
      <c r="Z100" s="4">
        <v>12</v>
      </c>
      <c r="AA100" s="4">
        <v>55</v>
      </c>
      <c r="AB100" s="4">
        <v>2</v>
      </c>
      <c r="AC100" s="4">
        <v>5</v>
      </c>
      <c r="AD100" s="4">
        <v>57</v>
      </c>
      <c r="AE100" s="4">
        <v>91</v>
      </c>
      <c r="AF100" s="4">
        <v>1</v>
      </c>
      <c r="AG100" s="4">
        <v>2</v>
      </c>
      <c r="AH100" s="4">
        <v>51</v>
      </c>
      <c r="AI100" s="4">
        <v>71</v>
      </c>
      <c r="AJ100" s="4">
        <v>4</v>
      </c>
      <c r="AK100" s="4">
        <v>11</v>
      </c>
      <c r="AL100" s="4">
        <v>40</v>
      </c>
      <c r="AM100" s="4">
        <v>46</v>
      </c>
      <c r="AN100" s="4">
        <v>0</v>
      </c>
      <c r="AO100" s="4">
        <v>0</v>
      </c>
      <c r="AP100" s="4">
        <v>6</v>
      </c>
      <c r="AQ100" s="4">
        <v>22</v>
      </c>
      <c r="AR100" s="3" t="s">
        <v>64</v>
      </c>
      <c r="AS100" s="3" t="s">
        <v>64</v>
      </c>
      <c r="AT100" s="3" t="s">
        <v>64</v>
      </c>
      <c r="AV100" s="6" t="str">
        <f>HYPERLINK("http://mcgill.on.worldcat.org/oclc/907661319","Catalog Record")</f>
        <v>Catalog Record</v>
      </c>
      <c r="AW100" s="6" t="str">
        <f>HYPERLINK("http://www.worldcat.org/oclc/907661319","WorldCat Record")</f>
        <v>WorldCat Record</v>
      </c>
      <c r="AX100" s="3" t="s">
        <v>699</v>
      </c>
      <c r="AY100" s="3" t="s">
        <v>700</v>
      </c>
      <c r="AZ100" s="3" t="s">
        <v>701</v>
      </c>
      <c r="BA100" s="3" t="s">
        <v>701</v>
      </c>
      <c r="BB100" s="3" t="s">
        <v>702</v>
      </c>
      <c r="BC100" s="3" t="s">
        <v>77</v>
      </c>
      <c r="BD100" s="3" t="s">
        <v>78</v>
      </c>
      <c r="BE100" s="3" t="s">
        <v>703</v>
      </c>
      <c r="BF100" s="3" t="s">
        <v>702</v>
      </c>
      <c r="BG100" s="3" t="s">
        <v>704</v>
      </c>
      <c r="BH100">
        <f t="shared" si="4"/>
        <v>0</v>
      </c>
    </row>
    <row r="101" spans="1:60" ht="58" x14ac:dyDescent="0.35">
      <c r="A101" s="2" t="s">
        <v>59</v>
      </c>
      <c r="B101" s="2" t="s">
        <v>60</v>
      </c>
      <c r="C101" s="2" t="s">
        <v>705</v>
      </c>
      <c r="D101" s="2" t="s">
        <v>706</v>
      </c>
      <c r="E101" s="2" t="s">
        <v>707</v>
      </c>
      <c r="F101" s="3" t="s">
        <v>525</v>
      </c>
      <c r="G101" s="3" t="s">
        <v>128</v>
      </c>
      <c r="I101" s="3" t="s">
        <v>64</v>
      </c>
      <c r="J101" s="3" t="s">
        <v>64</v>
      </c>
      <c r="K101" s="3" t="s">
        <v>65</v>
      </c>
      <c r="M101" s="2" t="s">
        <v>708</v>
      </c>
      <c r="N101" s="3" t="s">
        <v>511</v>
      </c>
      <c r="P101" s="3" t="s">
        <v>102</v>
      </c>
      <c r="R101" s="3" t="s">
        <v>70</v>
      </c>
      <c r="S101" s="4">
        <v>14</v>
      </c>
      <c r="T101" s="4">
        <v>28</v>
      </c>
      <c r="U101" s="5" t="s">
        <v>709</v>
      </c>
      <c r="V101" s="5" t="s">
        <v>709</v>
      </c>
      <c r="W101" s="5" t="s">
        <v>72</v>
      </c>
      <c r="X101" s="5" t="s">
        <v>72</v>
      </c>
      <c r="Y101" s="4">
        <v>686</v>
      </c>
      <c r="Z101" s="4">
        <v>45</v>
      </c>
      <c r="AA101" s="4">
        <v>53</v>
      </c>
      <c r="AB101" s="4">
        <v>3</v>
      </c>
      <c r="AC101" s="4">
        <v>9</v>
      </c>
      <c r="AD101" s="4">
        <v>110</v>
      </c>
      <c r="AE101" s="4">
        <v>122</v>
      </c>
      <c r="AF101" s="4">
        <v>1</v>
      </c>
      <c r="AG101" s="4">
        <v>6</v>
      </c>
      <c r="AH101" s="4">
        <v>93</v>
      </c>
      <c r="AI101" s="4">
        <v>100</v>
      </c>
      <c r="AJ101" s="4">
        <v>18</v>
      </c>
      <c r="AK101" s="4">
        <v>22</v>
      </c>
      <c r="AL101" s="4">
        <v>51</v>
      </c>
      <c r="AM101" s="4">
        <v>54</v>
      </c>
      <c r="AN101" s="4">
        <v>0</v>
      </c>
      <c r="AO101" s="4">
        <v>0</v>
      </c>
      <c r="AP101" s="4">
        <v>24</v>
      </c>
      <c r="AQ101" s="4">
        <v>29</v>
      </c>
      <c r="AR101" s="3" t="s">
        <v>64</v>
      </c>
      <c r="AS101" s="3" t="s">
        <v>64</v>
      </c>
      <c r="AT101" s="3" t="s">
        <v>64</v>
      </c>
      <c r="AV101" s="6" t="str">
        <f>HYPERLINK("http://mcgill.on.worldcat.org/oclc/370356568","Catalog Record")</f>
        <v>Catalog Record</v>
      </c>
      <c r="AW101" s="6" t="str">
        <f>HYPERLINK("http://www.worldcat.org/oclc/370356568","WorldCat Record")</f>
        <v>WorldCat Record</v>
      </c>
      <c r="AX101" s="3" t="s">
        <v>710</v>
      </c>
      <c r="AY101" s="3" t="s">
        <v>711</v>
      </c>
      <c r="AZ101" s="3" t="s">
        <v>712</v>
      </c>
      <c r="BA101" s="3" t="s">
        <v>712</v>
      </c>
      <c r="BB101" s="3" t="s">
        <v>713</v>
      </c>
      <c r="BC101" s="3" t="s">
        <v>77</v>
      </c>
      <c r="BD101" s="3" t="s">
        <v>78</v>
      </c>
      <c r="BE101" s="3" t="s">
        <v>714</v>
      </c>
      <c r="BF101" s="3" t="s">
        <v>713</v>
      </c>
      <c r="BG101" s="3" t="s">
        <v>715</v>
      </c>
      <c r="BH101">
        <f t="shared" si="4"/>
        <v>0</v>
      </c>
    </row>
    <row r="102" spans="1:60" ht="58" x14ac:dyDescent="0.35">
      <c r="A102" s="2" t="s">
        <v>59</v>
      </c>
      <c r="B102" s="2" t="s">
        <v>60</v>
      </c>
      <c r="C102" s="2" t="s">
        <v>705</v>
      </c>
      <c r="D102" s="2" t="s">
        <v>706</v>
      </c>
      <c r="E102" s="2" t="s">
        <v>707</v>
      </c>
      <c r="F102" s="3" t="s">
        <v>529</v>
      </c>
      <c r="G102" s="3" t="s">
        <v>128</v>
      </c>
      <c r="I102" s="3" t="s">
        <v>64</v>
      </c>
      <c r="J102" s="3" t="s">
        <v>64</v>
      </c>
      <c r="K102" s="3" t="s">
        <v>65</v>
      </c>
      <c r="M102" s="2" t="s">
        <v>708</v>
      </c>
      <c r="N102" s="3" t="s">
        <v>511</v>
      </c>
      <c r="P102" s="3" t="s">
        <v>102</v>
      </c>
      <c r="R102" s="3" t="s">
        <v>70</v>
      </c>
      <c r="S102" s="4">
        <v>14</v>
      </c>
      <c r="T102" s="4">
        <v>28</v>
      </c>
      <c r="U102" s="5" t="s">
        <v>716</v>
      </c>
      <c r="V102" s="5" t="s">
        <v>709</v>
      </c>
      <c r="W102" s="5" t="s">
        <v>72</v>
      </c>
      <c r="X102" s="5" t="s">
        <v>72</v>
      </c>
      <c r="Y102" s="4">
        <v>686</v>
      </c>
      <c r="Z102" s="4">
        <v>45</v>
      </c>
      <c r="AA102" s="4">
        <v>53</v>
      </c>
      <c r="AB102" s="4">
        <v>3</v>
      </c>
      <c r="AC102" s="4">
        <v>9</v>
      </c>
      <c r="AD102" s="4">
        <v>110</v>
      </c>
      <c r="AE102" s="4">
        <v>122</v>
      </c>
      <c r="AF102" s="4">
        <v>1</v>
      </c>
      <c r="AG102" s="4">
        <v>6</v>
      </c>
      <c r="AH102" s="4">
        <v>93</v>
      </c>
      <c r="AI102" s="4">
        <v>100</v>
      </c>
      <c r="AJ102" s="4">
        <v>18</v>
      </c>
      <c r="AK102" s="4">
        <v>22</v>
      </c>
      <c r="AL102" s="4">
        <v>51</v>
      </c>
      <c r="AM102" s="4">
        <v>54</v>
      </c>
      <c r="AN102" s="4">
        <v>0</v>
      </c>
      <c r="AO102" s="4">
        <v>0</v>
      </c>
      <c r="AP102" s="4">
        <v>24</v>
      </c>
      <c r="AQ102" s="4">
        <v>29</v>
      </c>
      <c r="AR102" s="3" t="s">
        <v>64</v>
      </c>
      <c r="AS102" s="3" t="s">
        <v>64</v>
      </c>
      <c r="AT102" s="3" t="s">
        <v>64</v>
      </c>
      <c r="AV102" s="6" t="str">
        <f>HYPERLINK("http://mcgill.on.worldcat.org/oclc/370356568","Catalog Record")</f>
        <v>Catalog Record</v>
      </c>
      <c r="AW102" s="6" t="str">
        <f>HYPERLINK("http://www.worldcat.org/oclc/370356568","WorldCat Record")</f>
        <v>WorldCat Record</v>
      </c>
      <c r="AX102" s="3" t="s">
        <v>710</v>
      </c>
      <c r="AY102" s="3" t="s">
        <v>711</v>
      </c>
      <c r="AZ102" s="3" t="s">
        <v>712</v>
      </c>
      <c r="BA102" s="3" t="s">
        <v>712</v>
      </c>
      <c r="BB102" s="3" t="s">
        <v>717</v>
      </c>
      <c r="BC102" s="3" t="s">
        <v>77</v>
      </c>
      <c r="BD102" s="3" t="s">
        <v>78</v>
      </c>
      <c r="BE102" s="3" t="s">
        <v>714</v>
      </c>
      <c r="BF102" s="3" t="s">
        <v>717</v>
      </c>
      <c r="BG102" s="3" t="s">
        <v>718</v>
      </c>
      <c r="BH102">
        <f t="shared" si="4"/>
        <v>0</v>
      </c>
    </row>
    <row r="103" spans="1:60" ht="58" x14ac:dyDescent="0.35">
      <c r="A103" s="2" t="s">
        <v>59</v>
      </c>
      <c r="B103" s="2" t="s">
        <v>60</v>
      </c>
      <c r="C103" s="2" t="s">
        <v>719</v>
      </c>
      <c r="D103" s="2" t="s">
        <v>720</v>
      </c>
      <c r="E103" s="2" t="s">
        <v>721</v>
      </c>
      <c r="G103" s="3" t="s">
        <v>64</v>
      </c>
      <c r="I103" s="3" t="s">
        <v>64</v>
      </c>
      <c r="J103" s="3" t="s">
        <v>128</v>
      </c>
      <c r="K103" s="3" t="s">
        <v>65</v>
      </c>
      <c r="L103" s="2" t="s">
        <v>722</v>
      </c>
      <c r="M103" s="2" t="s">
        <v>723</v>
      </c>
      <c r="N103" s="3" t="s">
        <v>144</v>
      </c>
      <c r="P103" s="3" t="s">
        <v>102</v>
      </c>
      <c r="R103" s="3" t="s">
        <v>70</v>
      </c>
      <c r="S103" s="4">
        <v>13</v>
      </c>
      <c r="T103" s="4">
        <v>13</v>
      </c>
      <c r="U103" s="5" t="s">
        <v>724</v>
      </c>
      <c r="V103" s="5" t="s">
        <v>724</v>
      </c>
      <c r="W103" s="5" t="s">
        <v>72</v>
      </c>
      <c r="X103" s="5" t="s">
        <v>72</v>
      </c>
      <c r="Y103" s="4">
        <v>604</v>
      </c>
      <c r="Z103" s="4">
        <v>43</v>
      </c>
      <c r="AA103" s="4">
        <v>57</v>
      </c>
      <c r="AB103" s="4">
        <v>4</v>
      </c>
      <c r="AC103" s="4">
        <v>9</v>
      </c>
      <c r="AD103" s="4">
        <v>118</v>
      </c>
      <c r="AE103" s="4">
        <v>132</v>
      </c>
      <c r="AF103" s="4">
        <v>1</v>
      </c>
      <c r="AG103" s="4">
        <v>3</v>
      </c>
      <c r="AH103" s="4">
        <v>96</v>
      </c>
      <c r="AI103" s="4">
        <v>105</v>
      </c>
      <c r="AJ103" s="4">
        <v>17</v>
      </c>
      <c r="AK103" s="4">
        <v>23</v>
      </c>
      <c r="AL103" s="4">
        <v>52</v>
      </c>
      <c r="AM103" s="4">
        <v>55</v>
      </c>
      <c r="AN103" s="4">
        <v>0</v>
      </c>
      <c r="AO103" s="4">
        <v>0</v>
      </c>
      <c r="AP103" s="4">
        <v>28</v>
      </c>
      <c r="AQ103" s="4">
        <v>35</v>
      </c>
      <c r="AR103" s="3" t="s">
        <v>64</v>
      </c>
      <c r="AS103" s="3" t="s">
        <v>64</v>
      </c>
      <c r="AT103" s="3" t="s">
        <v>128</v>
      </c>
      <c r="AU103" s="6" t="str">
        <f>HYPERLINK("http://catalog.hathitrust.org/Record/005882620","HathiTrust Record")</f>
        <v>HathiTrust Record</v>
      </c>
      <c r="AV103" s="6" t="str">
        <f>HYPERLINK("http://mcgill.on.worldcat.org/oclc/231724429","Catalog Record")</f>
        <v>Catalog Record</v>
      </c>
      <c r="AW103" s="6" t="str">
        <f>HYPERLINK("http://www.worldcat.org/oclc/231724429","WorldCat Record")</f>
        <v>WorldCat Record</v>
      </c>
      <c r="AX103" s="3" t="s">
        <v>725</v>
      </c>
      <c r="AY103" s="3" t="s">
        <v>726</v>
      </c>
      <c r="AZ103" s="3" t="s">
        <v>727</v>
      </c>
      <c r="BA103" s="3" t="s">
        <v>727</v>
      </c>
      <c r="BB103" s="3" t="s">
        <v>728</v>
      </c>
      <c r="BC103" s="3" t="s">
        <v>77</v>
      </c>
      <c r="BD103" s="3" t="s">
        <v>78</v>
      </c>
      <c r="BE103" s="3" t="s">
        <v>729</v>
      </c>
      <c r="BF103" s="3" t="s">
        <v>728</v>
      </c>
      <c r="BG103" s="3" t="s">
        <v>730</v>
      </c>
      <c r="BH103">
        <f t="shared" si="4"/>
        <v>0</v>
      </c>
    </row>
    <row r="104" spans="1:60" ht="58" x14ac:dyDescent="0.35">
      <c r="A104" s="2" t="s">
        <v>59</v>
      </c>
      <c r="B104" s="2" t="s">
        <v>60</v>
      </c>
      <c r="C104" s="2" t="s">
        <v>731</v>
      </c>
      <c r="D104" s="2" t="s">
        <v>732</v>
      </c>
      <c r="E104" s="2" t="s">
        <v>721</v>
      </c>
      <c r="G104" s="3" t="s">
        <v>64</v>
      </c>
      <c r="I104" s="3" t="s">
        <v>64</v>
      </c>
      <c r="J104" s="3" t="s">
        <v>128</v>
      </c>
      <c r="K104" s="3" t="s">
        <v>65</v>
      </c>
      <c r="L104" s="2" t="s">
        <v>722</v>
      </c>
      <c r="M104" s="2" t="s">
        <v>733</v>
      </c>
      <c r="N104" s="3" t="s">
        <v>326</v>
      </c>
      <c r="O104" s="2" t="s">
        <v>734</v>
      </c>
      <c r="P104" s="3" t="s">
        <v>102</v>
      </c>
      <c r="R104" s="3" t="s">
        <v>70</v>
      </c>
      <c r="S104" s="4">
        <v>15</v>
      </c>
      <c r="T104" s="4">
        <v>15</v>
      </c>
      <c r="U104" s="5" t="s">
        <v>698</v>
      </c>
      <c r="V104" s="5" t="s">
        <v>698</v>
      </c>
      <c r="W104" s="5" t="s">
        <v>72</v>
      </c>
      <c r="X104" s="5" t="s">
        <v>72</v>
      </c>
      <c r="Y104" s="4">
        <v>197</v>
      </c>
      <c r="Z104" s="4">
        <v>20</v>
      </c>
      <c r="AA104" s="4">
        <v>57</v>
      </c>
      <c r="AB104" s="4">
        <v>2</v>
      </c>
      <c r="AC104" s="4">
        <v>9</v>
      </c>
      <c r="AD104" s="4">
        <v>57</v>
      </c>
      <c r="AE104" s="4">
        <v>132</v>
      </c>
      <c r="AF104" s="4">
        <v>1</v>
      </c>
      <c r="AG104" s="4">
        <v>3</v>
      </c>
      <c r="AH104" s="4">
        <v>51</v>
      </c>
      <c r="AI104" s="4">
        <v>105</v>
      </c>
      <c r="AJ104" s="4">
        <v>12</v>
      </c>
      <c r="AK104" s="4">
        <v>23</v>
      </c>
      <c r="AL104" s="4">
        <v>35</v>
      </c>
      <c r="AM104" s="4">
        <v>55</v>
      </c>
      <c r="AN104" s="4">
        <v>0</v>
      </c>
      <c r="AO104" s="4">
        <v>0</v>
      </c>
      <c r="AP104" s="4">
        <v>13</v>
      </c>
      <c r="AQ104" s="4">
        <v>35</v>
      </c>
      <c r="AR104" s="3" t="s">
        <v>64</v>
      </c>
      <c r="AS104" s="3" t="s">
        <v>64</v>
      </c>
      <c r="AT104" s="3" t="s">
        <v>64</v>
      </c>
      <c r="AV104" s="6" t="str">
        <f>HYPERLINK("http://mcgill.on.worldcat.org/oclc/699379077","Catalog Record")</f>
        <v>Catalog Record</v>
      </c>
      <c r="AW104" s="6" t="str">
        <f>HYPERLINK("http://www.worldcat.org/oclc/699379077","WorldCat Record")</f>
        <v>WorldCat Record</v>
      </c>
      <c r="AX104" s="3" t="s">
        <v>725</v>
      </c>
      <c r="AY104" s="3" t="s">
        <v>735</v>
      </c>
      <c r="AZ104" s="3" t="s">
        <v>736</v>
      </c>
      <c r="BA104" s="3" t="s">
        <v>736</v>
      </c>
      <c r="BB104" s="3" t="s">
        <v>737</v>
      </c>
      <c r="BC104" s="3" t="s">
        <v>77</v>
      </c>
      <c r="BD104" s="3" t="s">
        <v>78</v>
      </c>
      <c r="BE104" s="3" t="s">
        <v>738</v>
      </c>
      <c r="BF104" s="3" t="s">
        <v>737</v>
      </c>
      <c r="BG104" s="3" t="s">
        <v>739</v>
      </c>
      <c r="BH104">
        <f t="shared" si="4"/>
        <v>0</v>
      </c>
    </row>
    <row r="105" spans="1:60" ht="58" x14ac:dyDescent="0.35">
      <c r="A105" s="2" t="s">
        <v>59</v>
      </c>
      <c r="B105" s="2" t="s">
        <v>60</v>
      </c>
      <c r="C105" s="2" t="s">
        <v>740</v>
      </c>
      <c r="D105" s="2" t="s">
        <v>741</v>
      </c>
      <c r="E105" s="2" t="s">
        <v>742</v>
      </c>
      <c r="G105" s="3" t="s">
        <v>64</v>
      </c>
      <c r="I105" s="3" t="s">
        <v>64</v>
      </c>
      <c r="J105" s="3" t="s">
        <v>128</v>
      </c>
      <c r="K105" s="3" t="s">
        <v>65</v>
      </c>
      <c r="L105" s="2" t="s">
        <v>743</v>
      </c>
      <c r="M105" s="2" t="s">
        <v>744</v>
      </c>
      <c r="N105" s="3" t="s">
        <v>304</v>
      </c>
      <c r="O105" s="2" t="s">
        <v>745</v>
      </c>
      <c r="P105" s="3" t="s">
        <v>102</v>
      </c>
      <c r="R105" s="3" t="s">
        <v>70</v>
      </c>
      <c r="S105" s="4">
        <v>4</v>
      </c>
      <c r="T105" s="4">
        <v>4</v>
      </c>
      <c r="U105" s="5" t="s">
        <v>243</v>
      </c>
      <c r="V105" s="5" t="s">
        <v>243</v>
      </c>
      <c r="W105" s="5" t="s">
        <v>72</v>
      </c>
      <c r="X105" s="5" t="s">
        <v>72</v>
      </c>
      <c r="Y105" s="4">
        <v>202</v>
      </c>
      <c r="Z105" s="4">
        <v>17</v>
      </c>
      <c r="AA105" s="4">
        <v>47</v>
      </c>
      <c r="AB105" s="4">
        <v>3</v>
      </c>
      <c r="AC105" s="4">
        <v>6</v>
      </c>
      <c r="AD105" s="4">
        <v>58</v>
      </c>
      <c r="AE105" s="4">
        <v>113</v>
      </c>
      <c r="AF105" s="4">
        <v>1</v>
      </c>
      <c r="AG105" s="4">
        <v>4</v>
      </c>
      <c r="AH105" s="4">
        <v>50</v>
      </c>
      <c r="AI105" s="4">
        <v>92</v>
      </c>
      <c r="AJ105" s="4">
        <v>10</v>
      </c>
      <c r="AK105" s="4">
        <v>24</v>
      </c>
      <c r="AL105" s="4">
        <v>26</v>
      </c>
      <c r="AM105" s="4">
        <v>52</v>
      </c>
      <c r="AN105" s="4">
        <v>3</v>
      </c>
      <c r="AO105" s="4">
        <v>3</v>
      </c>
      <c r="AP105" s="4">
        <v>11</v>
      </c>
      <c r="AQ105" s="4">
        <v>28</v>
      </c>
      <c r="AR105" s="3" t="s">
        <v>64</v>
      </c>
      <c r="AS105" s="3" t="s">
        <v>64</v>
      </c>
      <c r="AT105" s="3" t="s">
        <v>128</v>
      </c>
      <c r="AU105" s="6" t="str">
        <f>HYPERLINK("http://catalog.hathitrust.org/Record/001756880","HathiTrust Record")</f>
        <v>HathiTrust Record</v>
      </c>
      <c r="AV105" s="6" t="str">
        <f>HYPERLINK("http://mcgill.on.worldcat.org/oclc/8156384","Catalog Record")</f>
        <v>Catalog Record</v>
      </c>
      <c r="AW105" s="6" t="str">
        <f>HYPERLINK("http://www.worldcat.org/oclc/8156384","WorldCat Record")</f>
        <v>WorldCat Record</v>
      </c>
      <c r="AX105" s="3" t="s">
        <v>746</v>
      </c>
      <c r="AY105" s="3" t="s">
        <v>747</v>
      </c>
      <c r="AZ105" s="3" t="s">
        <v>748</v>
      </c>
      <c r="BA105" s="3" t="s">
        <v>748</v>
      </c>
      <c r="BB105" s="3" t="s">
        <v>749</v>
      </c>
      <c r="BC105" s="3" t="s">
        <v>77</v>
      </c>
      <c r="BD105" s="3" t="s">
        <v>78</v>
      </c>
      <c r="BF105" s="3" t="s">
        <v>749</v>
      </c>
      <c r="BG105" s="3" t="s">
        <v>750</v>
      </c>
      <c r="BH105">
        <f t="shared" si="4"/>
        <v>0</v>
      </c>
    </row>
    <row r="106" spans="1:60" ht="58" x14ac:dyDescent="0.35">
      <c r="A106" s="2" t="s">
        <v>59</v>
      </c>
      <c r="B106" s="2" t="s">
        <v>60</v>
      </c>
      <c r="C106" s="2" t="s">
        <v>751</v>
      </c>
      <c r="D106" s="2" t="s">
        <v>752</v>
      </c>
      <c r="E106" s="2" t="s">
        <v>753</v>
      </c>
      <c r="G106" s="3" t="s">
        <v>64</v>
      </c>
      <c r="I106" s="3" t="s">
        <v>64</v>
      </c>
      <c r="J106" s="3" t="s">
        <v>64</v>
      </c>
      <c r="K106" s="3" t="s">
        <v>65</v>
      </c>
      <c r="L106" s="2" t="s">
        <v>754</v>
      </c>
      <c r="M106" s="2" t="s">
        <v>755</v>
      </c>
      <c r="N106" s="3" t="s">
        <v>190</v>
      </c>
      <c r="P106" s="3" t="s">
        <v>102</v>
      </c>
      <c r="Q106" s="2" t="s">
        <v>756</v>
      </c>
      <c r="R106" s="3" t="s">
        <v>70</v>
      </c>
      <c r="S106" s="4">
        <v>6</v>
      </c>
      <c r="T106" s="4">
        <v>6</v>
      </c>
      <c r="U106" s="5" t="s">
        <v>757</v>
      </c>
      <c r="V106" s="5" t="s">
        <v>757</v>
      </c>
      <c r="W106" s="5" t="s">
        <v>72</v>
      </c>
      <c r="X106" s="5" t="s">
        <v>72</v>
      </c>
      <c r="Y106" s="4">
        <v>164</v>
      </c>
      <c r="Z106" s="4">
        <v>10</v>
      </c>
      <c r="AA106" s="4">
        <v>19</v>
      </c>
      <c r="AB106" s="4">
        <v>1</v>
      </c>
      <c r="AC106" s="4">
        <v>5</v>
      </c>
      <c r="AD106" s="4">
        <v>49</v>
      </c>
      <c r="AE106" s="4">
        <v>65</v>
      </c>
      <c r="AF106" s="4">
        <v>0</v>
      </c>
      <c r="AG106" s="4">
        <v>2</v>
      </c>
      <c r="AH106" s="4">
        <v>43</v>
      </c>
      <c r="AI106" s="4">
        <v>52</v>
      </c>
      <c r="AJ106" s="4">
        <v>8</v>
      </c>
      <c r="AK106" s="4">
        <v>13</v>
      </c>
      <c r="AL106" s="4">
        <v>31</v>
      </c>
      <c r="AM106" s="4">
        <v>36</v>
      </c>
      <c r="AN106" s="4">
        <v>0</v>
      </c>
      <c r="AO106" s="4">
        <v>0</v>
      </c>
      <c r="AP106" s="4">
        <v>8</v>
      </c>
      <c r="AQ106" s="4">
        <v>14</v>
      </c>
      <c r="AR106" s="3" t="s">
        <v>64</v>
      </c>
      <c r="AS106" s="3" t="s">
        <v>64</v>
      </c>
      <c r="AT106" s="3" t="s">
        <v>64</v>
      </c>
      <c r="AV106" s="6" t="str">
        <f>HYPERLINK("http://mcgill.on.worldcat.org/oclc/1000581533","Catalog Record")</f>
        <v>Catalog Record</v>
      </c>
      <c r="AW106" s="6" t="str">
        <f>HYPERLINK("http://www.worldcat.org/oclc/1000581533","WorldCat Record")</f>
        <v>WorldCat Record</v>
      </c>
      <c r="AX106" s="3" t="s">
        <v>758</v>
      </c>
      <c r="AY106" s="3" t="s">
        <v>759</v>
      </c>
      <c r="AZ106" s="3" t="s">
        <v>760</v>
      </c>
      <c r="BA106" s="3" t="s">
        <v>760</v>
      </c>
      <c r="BB106" s="3" t="s">
        <v>761</v>
      </c>
      <c r="BC106" s="3" t="s">
        <v>77</v>
      </c>
      <c r="BD106" s="3" t="s">
        <v>78</v>
      </c>
      <c r="BE106" s="3" t="s">
        <v>762</v>
      </c>
      <c r="BF106" s="3" t="s">
        <v>761</v>
      </c>
      <c r="BG106" s="3" t="s">
        <v>763</v>
      </c>
      <c r="BH106">
        <f t="shared" si="4"/>
        <v>0</v>
      </c>
    </row>
    <row r="107" spans="1:60" ht="58" x14ac:dyDescent="0.35">
      <c r="A107" s="2" t="s">
        <v>59</v>
      </c>
      <c r="B107" s="2" t="s">
        <v>60</v>
      </c>
      <c r="C107" s="2" t="s">
        <v>764</v>
      </c>
      <c r="D107" s="2" t="s">
        <v>765</v>
      </c>
      <c r="E107" s="2" t="s">
        <v>766</v>
      </c>
      <c r="G107" s="3" t="s">
        <v>64</v>
      </c>
      <c r="I107" s="3" t="s">
        <v>64</v>
      </c>
      <c r="J107" s="3" t="s">
        <v>64</v>
      </c>
      <c r="K107" s="3" t="s">
        <v>65</v>
      </c>
      <c r="M107" s="2" t="s">
        <v>767</v>
      </c>
      <c r="N107" s="3" t="s">
        <v>768</v>
      </c>
      <c r="P107" s="3" t="s">
        <v>102</v>
      </c>
      <c r="Q107" s="2" t="s">
        <v>769</v>
      </c>
      <c r="R107" s="3" t="s">
        <v>70</v>
      </c>
      <c r="S107" s="4">
        <v>29</v>
      </c>
      <c r="T107" s="4">
        <v>29</v>
      </c>
      <c r="U107" s="5" t="s">
        <v>770</v>
      </c>
      <c r="V107" s="5" t="s">
        <v>770</v>
      </c>
      <c r="W107" s="5" t="s">
        <v>72</v>
      </c>
      <c r="X107" s="5" t="s">
        <v>72</v>
      </c>
      <c r="Y107" s="4">
        <v>291</v>
      </c>
      <c r="Z107" s="4">
        <v>18</v>
      </c>
      <c r="AA107" s="4">
        <v>19</v>
      </c>
      <c r="AB107" s="4">
        <v>1</v>
      </c>
      <c r="AC107" s="4">
        <v>2</v>
      </c>
      <c r="AD107" s="4">
        <v>76</v>
      </c>
      <c r="AE107" s="4">
        <v>77</v>
      </c>
      <c r="AF107" s="4">
        <v>0</v>
      </c>
      <c r="AG107" s="4">
        <v>1</v>
      </c>
      <c r="AH107" s="4">
        <v>69</v>
      </c>
      <c r="AI107" s="4">
        <v>69</v>
      </c>
      <c r="AJ107" s="4">
        <v>10</v>
      </c>
      <c r="AK107" s="4">
        <v>11</v>
      </c>
      <c r="AL107" s="4">
        <v>40</v>
      </c>
      <c r="AM107" s="4">
        <v>40</v>
      </c>
      <c r="AN107" s="4">
        <v>0</v>
      </c>
      <c r="AO107" s="4">
        <v>0</v>
      </c>
      <c r="AP107" s="4">
        <v>12</v>
      </c>
      <c r="AQ107" s="4">
        <v>12</v>
      </c>
      <c r="AR107" s="3" t="s">
        <v>64</v>
      </c>
      <c r="AS107" s="3" t="s">
        <v>64</v>
      </c>
      <c r="AT107" s="3" t="s">
        <v>128</v>
      </c>
      <c r="AU107" s="6" t="str">
        <f>HYPERLINK("http://catalog.hathitrust.org/Record/000044362","HathiTrust Record")</f>
        <v>HathiTrust Record</v>
      </c>
      <c r="AV107" s="6" t="str">
        <f>HYPERLINK("http://mcgill.on.worldcat.org/oclc/4003931","Catalog Record")</f>
        <v>Catalog Record</v>
      </c>
      <c r="AW107" s="6" t="str">
        <f>HYPERLINK("http://www.worldcat.org/oclc/4003931","WorldCat Record")</f>
        <v>WorldCat Record</v>
      </c>
      <c r="AX107" s="3" t="s">
        <v>771</v>
      </c>
      <c r="AY107" s="3" t="s">
        <v>772</v>
      </c>
      <c r="AZ107" s="3" t="s">
        <v>773</v>
      </c>
      <c r="BA107" s="3" t="s">
        <v>773</v>
      </c>
      <c r="BB107" s="3" t="s">
        <v>774</v>
      </c>
      <c r="BC107" s="3" t="s">
        <v>77</v>
      </c>
      <c r="BD107" s="3" t="s">
        <v>78</v>
      </c>
      <c r="BE107" s="3" t="s">
        <v>775</v>
      </c>
      <c r="BF107" s="3" t="s">
        <v>774</v>
      </c>
      <c r="BG107" s="3" t="s">
        <v>776</v>
      </c>
      <c r="BH107">
        <f t="shared" si="4"/>
        <v>0</v>
      </c>
    </row>
    <row r="108" spans="1:60" ht="58" x14ac:dyDescent="0.35">
      <c r="A108" s="2" t="s">
        <v>59</v>
      </c>
      <c r="B108" s="2" t="s">
        <v>60</v>
      </c>
      <c r="C108" s="2" t="s">
        <v>777</v>
      </c>
      <c r="D108" s="2" t="s">
        <v>778</v>
      </c>
      <c r="E108" s="2" t="s">
        <v>779</v>
      </c>
      <c r="G108" s="3" t="s">
        <v>64</v>
      </c>
      <c r="I108" s="3" t="s">
        <v>64</v>
      </c>
      <c r="J108" s="3" t="s">
        <v>64</v>
      </c>
      <c r="K108" s="3" t="s">
        <v>65</v>
      </c>
      <c r="M108" s="2" t="s">
        <v>780</v>
      </c>
      <c r="N108" s="3" t="s">
        <v>326</v>
      </c>
      <c r="P108" s="3" t="s">
        <v>102</v>
      </c>
      <c r="Q108" s="2" t="s">
        <v>781</v>
      </c>
      <c r="R108" s="3" t="s">
        <v>70</v>
      </c>
      <c r="S108" s="4">
        <v>5</v>
      </c>
      <c r="T108" s="4">
        <v>5</v>
      </c>
      <c r="U108" s="5" t="s">
        <v>512</v>
      </c>
      <c r="V108" s="5" t="s">
        <v>512</v>
      </c>
      <c r="W108" s="5" t="s">
        <v>72</v>
      </c>
      <c r="X108" s="5" t="s">
        <v>72</v>
      </c>
      <c r="Y108" s="4">
        <v>81</v>
      </c>
      <c r="Z108" s="4">
        <v>14</v>
      </c>
      <c r="AA108" s="4">
        <v>18</v>
      </c>
      <c r="AB108" s="4">
        <v>1</v>
      </c>
      <c r="AC108" s="4">
        <v>4</v>
      </c>
      <c r="AD108" s="4">
        <v>37</v>
      </c>
      <c r="AE108" s="4">
        <v>45</v>
      </c>
      <c r="AF108" s="4">
        <v>0</v>
      </c>
      <c r="AG108" s="4">
        <v>0</v>
      </c>
      <c r="AH108" s="4">
        <v>32</v>
      </c>
      <c r="AI108" s="4">
        <v>40</v>
      </c>
      <c r="AJ108" s="4">
        <v>9</v>
      </c>
      <c r="AK108" s="4">
        <v>10</v>
      </c>
      <c r="AL108" s="4">
        <v>21</v>
      </c>
      <c r="AM108" s="4">
        <v>24</v>
      </c>
      <c r="AN108" s="4">
        <v>0</v>
      </c>
      <c r="AO108" s="4">
        <v>0</v>
      </c>
      <c r="AP108" s="4">
        <v>10</v>
      </c>
      <c r="AQ108" s="4">
        <v>11</v>
      </c>
      <c r="AR108" s="3" t="s">
        <v>64</v>
      </c>
      <c r="AS108" s="3" t="s">
        <v>64</v>
      </c>
      <c r="AT108" s="3" t="s">
        <v>64</v>
      </c>
      <c r="AV108" s="6" t="str">
        <f>HYPERLINK("http://mcgill.on.worldcat.org/oclc/693704895","Catalog Record")</f>
        <v>Catalog Record</v>
      </c>
      <c r="AW108" s="6" t="str">
        <f>HYPERLINK("http://www.worldcat.org/oclc/693704895","WorldCat Record")</f>
        <v>WorldCat Record</v>
      </c>
      <c r="AX108" s="3" t="s">
        <v>782</v>
      </c>
      <c r="AY108" s="3" t="s">
        <v>783</v>
      </c>
      <c r="AZ108" s="3" t="s">
        <v>784</v>
      </c>
      <c r="BA108" s="3" t="s">
        <v>784</v>
      </c>
      <c r="BB108" s="3" t="s">
        <v>785</v>
      </c>
      <c r="BC108" s="3" t="s">
        <v>77</v>
      </c>
      <c r="BD108" s="3" t="s">
        <v>78</v>
      </c>
      <c r="BE108" s="3" t="s">
        <v>786</v>
      </c>
      <c r="BF108" s="3" t="s">
        <v>785</v>
      </c>
      <c r="BG108" s="3" t="s">
        <v>787</v>
      </c>
      <c r="BH108">
        <f t="shared" si="4"/>
        <v>0</v>
      </c>
    </row>
    <row r="109" spans="1:60" ht="58" x14ac:dyDescent="0.35">
      <c r="A109" s="2" t="s">
        <v>59</v>
      </c>
      <c r="B109" s="2" t="s">
        <v>60</v>
      </c>
      <c r="C109" s="2" t="s">
        <v>788</v>
      </c>
      <c r="D109" s="2" t="s">
        <v>789</v>
      </c>
      <c r="E109" s="2" t="s">
        <v>790</v>
      </c>
      <c r="G109" s="3" t="s">
        <v>64</v>
      </c>
      <c r="I109" s="3" t="s">
        <v>64</v>
      </c>
      <c r="J109" s="3" t="s">
        <v>64</v>
      </c>
      <c r="K109" s="3" t="s">
        <v>65</v>
      </c>
      <c r="L109" s="2" t="s">
        <v>791</v>
      </c>
      <c r="M109" s="2" t="s">
        <v>792</v>
      </c>
      <c r="N109" s="3" t="s">
        <v>793</v>
      </c>
      <c r="P109" s="3" t="s">
        <v>102</v>
      </c>
      <c r="R109" s="3" t="s">
        <v>70</v>
      </c>
      <c r="S109" s="4">
        <v>2</v>
      </c>
      <c r="T109" s="4">
        <v>2</v>
      </c>
      <c r="U109" s="5" t="s">
        <v>243</v>
      </c>
      <c r="V109" s="5" t="s">
        <v>243</v>
      </c>
      <c r="W109" s="5" t="s">
        <v>72</v>
      </c>
      <c r="X109" s="5" t="s">
        <v>72</v>
      </c>
      <c r="Y109" s="4">
        <v>1</v>
      </c>
      <c r="Z109" s="4">
        <v>1</v>
      </c>
      <c r="AA109" s="4">
        <v>1</v>
      </c>
      <c r="AB109" s="4">
        <v>1</v>
      </c>
      <c r="AC109" s="4">
        <v>1</v>
      </c>
      <c r="AD109" s="4">
        <v>0</v>
      </c>
      <c r="AE109" s="4">
        <v>2</v>
      </c>
      <c r="AF109" s="4">
        <v>0</v>
      </c>
      <c r="AG109" s="4">
        <v>0</v>
      </c>
      <c r="AH109" s="4">
        <v>0</v>
      </c>
      <c r="AI109" s="4">
        <v>2</v>
      </c>
      <c r="AJ109" s="4">
        <v>0</v>
      </c>
      <c r="AK109" s="4">
        <v>0</v>
      </c>
      <c r="AL109" s="4">
        <v>0</v>
      </c>
      <c r="AM109" s="4">
        <v>1</v>
      </c>
      <c r="AN109" s="4">
        <v>0</v>
      </c>
      <c r="AO109" s="4">
        <v>0</v>
      </c>
      <c r="AP109" s="4">
        <v>0</v>
      </c>
      <c r="AQ109" s="4">
        <v>0</v>
      </c>
      <c r="AR109" s="3" t="s">
        <v>64</v>
      </c>
      <c r="AS109" s="3" t="s">
        <v>64</v>
      </c>
      <c r="AT109" s="3" t="s">
        <v>64</v>
      </c>
      <c r="AV109" s="6" t="str">
        <f>HYPERLINK("http://mcgill.on.worldcat.org/oclc/427246316","Catalog Record")</f>
        <v>Catalog Record</v>
      </c>
      <c r="AW109" s="6" t="str">
        <f>HYPERLINK("http://www.worldcat.org/oclc/427246316","WorldCat Record")</f>
        <v>WorldCat Record</v>
      </c>
      <c r="AX109" s="3" t="s">
        <v>794</v>
      </c>
      <c r="AY109" s="3" t="s">
        <v>795</v>
      </c>
      <c r="AZ109" s="3" t="s">
        <v>796</v>
      </c>
      <c r="BA109" s="3" t="s">
        <v>796</v>
      </c>
      <c r="BB109" s="3" t="s">
        <v>797</v>
      </c>
      <c r="BC109" s="3" t="s">
        <v>77</v>
      </c>
      <c r="BD109" s="3" t="s">
        <v>78</v>
      </c>
      <c r="BF109" s="3" t="s">
        <v>797</v>
      </c>
      <c r="BG109" s="3" t="s">
        <v>798</v>
      </c>
      <c r="BH109">
        <f t="shared" si="4"/>
        <v>0</v>
      </c>
    </row>
    <row r="110" spans="1:60" ht="58" x14ac:dyDescent="0.35">
      <c r="A110" s="2" t="s">
        <v>59</v>
      </c>
      <c r="B110" s="2" t="s">
        <v>60</v>
      </c>
      <c r="C110" s="2" t="s">
        <v>799</v>
      </c>
      <c r="D110" s="2" t="s">
        <v>800</v>
      </c>
      <c r="E110" s="2" t="s">
        <v>801</v>
      </c>
      <c r="G110" s="3" t="s">
        <v>64</v>
      </c>
      <c r="I110" s="3" t="s">
        <v>64</v>
      </c>
      <c r="J110" s="3" t="s">
        <v>64</v>
      </c>
      <c r="K110" s="3" t="s">
        <v>65</v>
      </c>
      <c r="L110" s="2" t="s">
        <v>802</v>
      </c>
      <c r="M110" s="2" t="s">
        <v>803</v>
      </c>
      <c r="N110" s="3" t="s">
        <v>405</v>
      </c>
      <c r="P110" s="3" t="s">
        <v>102</v>
      </c>
      <c r="R110" s="3" t="s">
        <v>70</v>
      </c>
      <c r="S110" s="4">
        <v>16</v>
      </c>
      <c r="T110" s="4">
        <v>16</v>
      </c>
      <c r="U110" s="5" t="s">
        <v>770</v>
      </c>
      <c r="V110" s="5" t="s">
        <v>770</v>
      </c>
      <c r="W110" s="5" t="s">
        <v>72</v>
      </c>
      <c r="X110" s="5" t="s">
        <v>72</v>
      </c>
      <c r="Y110" s="4">
        <v>291</v>
      </c>
      <c r="Z110" s="4">
        <v>10</v>
      </c>
      <c r="AA110" s="4">
        <v>11</v>
      </c>
      <c r="AB110" s="4">
        <v>1</v>
      </c>
      <c r="AC110" s="4">
        <v>2</v>
      </c>
      <c r="AD110" s="4">
        <v>50</v>
      </c>
      <c r="AE110" s="4">
        <v>51</v>
      </c>
      <c r="AF110" s="4">
        <v>0</v>
      </c>
      <c r="AG110" s="4">
        <v>1</v>
      </c>
      <c r="AH110" s="4">
        <v>47</v>
      </c>
      <c r="AI110" s="4">
        <v>47</v>
      </c>
      <c r="AJ110" s="4">
        <v>7</v>
      </c>
      <c r="AK110" s="4">
        <v>8</v>
      </c>
      <c r="AL110" s="4">
        <v>23</v>
      </c>
      <c r="AM110" s="4">
        <v>23</v>
      </c>
      <c r="AN110" s="4">
        <v>0</v>
      </c>
      <c r="AO110" s="4">
        <v>0</v>
      </c>
      <c r="AP110" s="4">
        <v>6</v>
      </c>
      <c r="AQ110" s="4">
        <v>6</v>
      </c>
      <c r="AR110" s="3" t="s">
        <v>64</v>
      </c>
      <c r="AS110" s="3" t="s">
        <v>64</v>
      </c>
      <c r="AT110" s="3" t="s">
        <v>128</v>
      </c>
      <c r="AU110" s="6" t="str">
        <f>HYPERLINK("http://catalog.hathitrust.org/Record/000727782","HathiTrust Record")</f>
        <v>HathiTrust Record</v>
      </c>
      <c r="AV110" s="6" t="str">
        <f>HYPERLINK("http://mcgill.on.worldcat.org/oclc/2091581","Catalog Record")</f>
        <v>Catalog Record</v>
      </c>
      <c r="AW110" s="6" t="str">
        <f>HYPERLINK("http://www.worldcat.org/oclc/2091581","WorldCat Record")</f>
        <v>WorldCat Record</v>
      </c>
      <c r="AX110" s="3" t="s">
        <v>804</v>
      </c>
      <c r="AY110" s="3" t="s">
        <v>805</v>
      </c>
      <c r="AZ110" s="3" t="s">
        <v>806</v>
      </c>
      <c r="BA110" s="3" t="s">
        <v>806</v>
      </c>
      <c r="BB110" s="3" t="s">
        <v>807</v>
      </c>
      <c r="BC110" s="3" t="s">
        <v>77</v>
      </c>
      <c r="BD110" s="3" t="s">
        <v>78</v>
      </c>
      <c r="BE110" s="3" t="s">
        <v>808</v>
      </c>
      <c r="BF110" s="3" t="s">
        <v>807</v>
      </c>
      <c r="BG110" s="3" t="s">
        <v>809</v>
      </c>
      <c r="BH110">
        <f t="shared" si="4"/>
        <v>0</v>
      </c>
    </row>
    <row r="111" spans="1:60" ht="58" x14ac:dyDescent="0.35">
      <c r="A111" s="2" t="s">
        <v>59</v>
      </c>
      <c r="B111" s="2" t="s">
        <v>60</v>
      </c>
      <c r="C111" s="2" t="s">
        <v>810</v>
      </c>
      <c r="D111" s="2" t="s">
        <v>811</v>
      </c>
      <c r="E111" s="2" t="s">
        <v>812</v>
      </c>
      <c r="G111" s="3" t="s">
        <v>64</v>
      </c>
      <c r="I111" s="3" t="s">
        <v>64</v>
      </c>
      <c r="J111" s="3" t="s">
        <v>64</v>
      </c>
      <c r="K111" s="3" t="s">
        <v>65</v>
      </c>
      <c r="L111" s="2" t="s">
        <v>813</v>
      </c>
      <c r="M111" s="2" t="s">
        <v>814</v>
      </c>
      <c r="N111" s="3" t="s">
        <v>67</v>
      </c>
      <c r="P111" s="3" t="s">
        <v>102</v>
      </c>
      <c r="R111" s="3" t="s">
        <v>70</v>
      </c>
      <c r="S111" s="4">
        <v>0</v>
      </c>
      <c r="T111" s="4">
        <v>0</v>
      </c>
      <c r="W111" s="5" t="s">
        <v>72</v>
      </c>
      <c r="X111" s="5" t="s">
        <v>72</v>
      </c>
      <c r="Y111" s="4">
        <v>74</v>
      </c>
      <c r="Z111" s="4">
        <v>16</v>
      </c>
      <c r="AA111" s="4">
        <v>17</v>
      </c>
      <c r="AB111" s="4">
        <v>1</v>
      </c>
      <c r="AC111" s="4">
        <v>1</v>
      </c>
      <c r="AD111" s="4">
        <v>29</v>
      </c>
      <c r="AE111" s="4">
        <v>30</v>
      </c>
      <c r="AF111" s="4">
        <v>0</v>
      </c>
      <c r="AG111" s="4">
        <v>0</v>
      </c>
      <c r="AH111" s="4">
        <v>25</v>
      </c>
      <c r="AI111" s="4">
        <v>25</v>
      </c>
      <c r="AJ111" s="4">
        <v>8</v>
      </c>
      <c r="AK111" s="4">
        <v>9</v>
      </c>
      <c r="AL111" s="4">
        <v>13</v>
      </c>
      <c r="AM111" s="4">
        <v>13</v>
      </c>
      <c r="AN111" s="4">
        <v>0</v>
      </c>
      <c r="AO111" s="4">
        <v>0</v>
      </c>
      <c r="AP111" s="4">
        <v>8</v>
      </c>
      <c r="AQ111" s="4">
        <v>9</v>
      </c>
      <c r="AR111" s="3" t="s">
        <v>128</v>
      </c>
      <c r="AS111" s="3" t="s">
        <v>64</v>
      </c>
      <c r="AT111" s="3" t="s">
        <v>64</v>
      </c>
      <c r="AV111" s="6" t="str">
        <f>HYPERLINK("http://mcgill.on.worldcat.org/oclc/861535351","Catalog Record")</f>
        <v>Catalog Record</v>
      </c>
      <c r="AW111" s="6" t="str">
        <f>HYPERLINK("http://www.worldcat.org/oclc/861535351","WorldCat Record")</f>
        <v>WorldCat Record</v>
      </c>
      <c r="AX111" s="3" t="s">
        <v>815</v>
      </c>
      <c r="AY111" s="3" t="s">
        <v>816</v>
      </c>
      <c r="AZ111" s="3" t="s">
        <v>817</v>
      </c>
      <c r="BA111" s="3" t="s">
        <v>817</v>
      </c>
      <c r="BB111" s="3" t="s">
        <v>818</v>
      </c>
      <c r="BC111" s="3" t="s">
        <v>77</v>
      </c>
      <c r="BD111" s="3" t="s">
        <v>78</v>
      </c>
      <c r="BE111" s="3" t="s">
        <v>819</v>
      </c>
      <c r="BF111" s="3" t="s">
        <v>818</v>
      </c>
      <c r="BG111" s="3" t="s">
        <v>820</v>
      </c>
      <c r="BH111">
        <f t="shared" si="4"/>
        <v>0</v>
      </c>
    </row>
    <row r="112" spans="1:60" ht="58" x14ac:dyDescent="0.35">
      <c r="A112" s="2" t="s">
        <v>59</v>
      </c>
      <c r="B112" s="2" t="s">
        <v>60</v>
      </c>
      <c r="C112" s="2" t="s">
        <v>821</v>
      </c>
      <c r="D112" s="2" t="s">
        <v>822</v>
      </c>
      <c r="E112" s="2" t="s">
        <v>823</v>
      </c>
      <c r="G112" s="3" t="s">
        <v>64</v>
      </c>
      <c r="H112" s="3" t="s">
        <v>183</v>
      </c>
      <c r="I112" s="3" t="s">
        <v>64</v>
      </c>
      <c r="J112" s="3" t="s">
        <v>64</v>
      </c>
      <c r="K112" s="3" t="s">
        <v>65</v>
      </c>
      <c r="L112" s="2" t="s">
        <v>824</v>
      </c>
      <c r="M112" s="2" t="s">
        <v>825</v>
      </c>
      <c r="N112" s="3" t="s">
        <v>190</v>
      </c>
      <c r="O112" s="2" t="s">
        <v>117</v>
      </c>
      <c r="P112" s="3" t="s">
        <v>102</v>
      </c>
      <c r="R112" s="3" t="s">
        <v>70</v>
      </c>
      <c r="S112" s="4">
        <v>1</v>
      </c>
      <c r="T112" s="4">
        <v>1</v>
      </c>
      <c r="W112" s="5" t="s">
        <v>826</v>
      </c>
      <c r="X112" s="5" t="s">
        <v>826</v>
      </c>
      <c r="Y112" s="4">
        <v>7</v>
      </c>
      <c r="Z112" s="4">
        <v>1</v>
      </c>
      <c r="AA112" s="4">
        <v>13</v>
      </c>
      <c r="AB112" s="4">
        <v>1</v>
      </c>
      <c r="AC112" s="4">
        <v>3</v>
      </c>
      <c r="AD112" s="4">
        <v>1</v>
      </c>
      <c r="AE112" s="4">
        <v>37</v>
      </c>
      <c r="AF112" s="4">
        <v>0</v>
      </c>
      <c r="AG112" s="4">
        <v>0</v>
      </c>
      <c r="AH112" s="4">
        <v>1</v>
      </c>
      <c r="AI112" s="4">
        <v>35</v>
      </c>
      <c r="AJ112" s="4">
        <v>0</v>
      </c>
      <c r="AK112" s="4">
        <v>2</v>
      </c>
      <c r="AL112" s="4">
        <v>1</v>
      </c>
      <c r="AM112" s="4">
        <v>23</v>
      </c>
      <c r="AN112" s="4">
        <v>0</v>
      </c>
      <c r="AO112" s="4">
        <v>0</v>
      </c>
      <c r="AP112" s="4">
        <v>0</v>
      </c>
      <c r="AQ112" s="4">
        <v>3</v>
      </c>
      <c r="AR112" s="3" t="s">
        <v>64</v>
      </c>
      <c r="AS112" s="3" t="s">
        <v>64</v>
      </c>
      <c r="AT112" s="3" t="s">
        <v>64</v>
      </c>
      <c r="AV112" s="6" t="str">
        <f>HYPERLINK("http://mcgill.on.worldcat.org/oclc/1090813391","Catalog Record")</f>
        <v>Catalog Record</v>
      </c>
      <c r="AW112" s="6" t="str">
        <f>HYPERLINK("http://www.worldcat.org/oclc/1090813391","WorldCat Record")</f>
        <v>WorldCat Record</v>
      </c>
      <c r="AX112" s="3" t="s">
        <v>827</v>
      </c>
      <c r="AY112" s="3" t="s">
        <v>828</v>
      </c>
      <c r="AZ112" s="3" t="s">
        <v>829</v>
      </c>
      <c r="BA112" s="3" t="s">
        <v>829</v>
      </c>
      <c r="BB112" s="3" t="s">
        <v>830</v>
      </c>
      <c r="BC112" s="3" t="s">
        <v>77</v>
      </c>
      <c r="BD112" s="3" t="s">
        <v>165</v>
      </c>
      <c r="BE112" s="3" t="s">
        <v>831</v>
      </c>
      <c r="BF112" s="3" t="s">
        <v>830</v>
      </c>
      <c r="BG112" s="3" t="s">
        <v>832</v>
      </c>
      <c r="BH112">
        <f t="shared" si="4"/>
        <v>0</v>
      </c>
    </row>
    <row r="113" spans="1:60" ht="58" x14ac:dyDescent="0.35">
      <c r="A113" s="2" t="s">
        <v>59</v>
      </c>
      <c r="B113" s="2" t="s">
        <v>60</v>
      </c>
      <c r="C113" s="2" t="s">
        <v>833</v>
      </c>
      <c r="D113" s="2" t="s">
        <v>834</v>
      </c>
      <c r="E113" s="2" t="s">
        <v>835</v>
      </c>
      <c r="G113" s="3" t="s">
        <v>64</v>
      </c>
      <c r="I113" s="3" t="s">
        <v>64</v>
      </c>
      <c r="J113" s="3" t="s">
        <v>64</v>
      </c>
      <c r="K113" s="3" t="s">
        <v>65</v>
      </c>
      <c r="L113" s="2" t="s">
        <v>836</v>
      </c>
      <c r="M113" s="2" t="s">
        <v>837</v>
      </c>
      <c r="N113" s="3" t="s">
        <v>171</v>
      </c>
      <c r="P113" s="3" t="s">
        <v>68</v>
      </c>
      <c r="R113" s="3" t="s">
        <v>70</v>
      </c>
      <c r="S113" s="4">
        <v>7</v>
      </c>
      <c r="T113" s="4">
        <v>7</v>
      </c>
      <c r="U113" s="5" t="s">
        <v>838</v>
      </c>
      <c r="V113" s="5" t="s">
        <v>838</v>
      </c>
      <c r="W113" s="5" t="s">
        <v>72</v>
      </c>
      <c r="X113" s="5" t="s">
        <v>72</v>
      </c>
      <c r="Y113" s="4">
        <v>49</v>
      </c>
      <c r="Z113" s="4">
        <v>23</v>
      </c>
      <c r="AA113" s="4">
        <v>27</v>
      </c>
      <c r="AB113" s="4">
        <v>11</v>
      </c>
      <c r="AC113" s="4">
        <v>12</v>
      </c>
      <c r="AD113" s="4">
        <v>9</v>
      </c>
      <c r="AE113" s="4">
        <v>16</v>
      </c>
      <c r="AF113" s="4">
        <v>4</v>
      </c>
      <c r="AG113" s="4">
        <v>4</v>
      </c>
      <c r="AH113" s="4">
        <v>4</v>
      </c>
      <c r="AI113" s="4">
        <v>11</v>
      </c>
      <c r="AJ113" s="4">
        <v>8</v>
      </c>
      <c r="AK113" s="4">
        <v>9</v>
      </c>
      <c r="AL113" s="4">
        <v>1</v>
      </c>
      <c r="AM113" s="4">
        <v>6</v>
      </c>
      <c r="AN113" s="4">
        <v>0</v>
      </c>
      <c r="AO113" s="4">
        <v>0</v>
      </c>
      <c r="AP113" s="4">
        <v>7</v>
      </c>
      <c r="AQ113" s="4">
        <v>8</v>
      </c>
      <c r="AR113" s="3" t="s">
        <v>128</v>
      </c>
      <c r="AS113" s="3" t="s">
        <v>64</v>
      </c>
      <c r="AT113" s="3" t="s">
        <v>64</v>
      </c>
      <c r="AV113" s="6" t="str">
        <f>HYPERLINK("http://mcgill.on.worldcat.org/oclc/70884671","Catalog Record")</f>
        <v>Catalog Record</v>
      </c>
      <c r="AW113" s="6" t="str">
        <f>HYPERLINK("http://www.worldcat.org/oclc/70884671","WorldCat Record")</f>
        <v>WorldCat Record</v>
      </c>
      <c r="AX113" s="3" t="s">
        <v>839</v>
      </c>
      <c r="AY113" s="3" t="s">
        <v>840</v>
      </c>
      <c r="AZ113" s="3" t="s">
        <v>841</v>
      </c>
      <c r="BA113" s="3" t="s">
        <v>841</v>
      </c>
      <c r="BB113" s="3" t="s">
        <v>842</v>
      </c>
      <c r="BC113" s="3" t="s">
        <v>77</v>
      </c>
      <c r="BD113" s="3" t="s">
        <v>78</v>
      </c>
      <c r="BE113" s="3" t="s">
        <v>843</v>
      </c>
      <c r="BF113" s="3" t="s">
        <v>842</v>
      </c>
      <c r="BG113" s="3" t="s">
        <v>844</v>
      </c>
      <c r="BH113">
        <f t="shared" si="4"/>
        <v>0</v>
      </c>
    </row>
    <row r="114" spans="1:60" ht="58" x14ac:dyDescent="0.35">
      <c r="A114" s="2" t="s">
        <v>59</v>
      </c>
      <c r="B114" s="2" t="s">
        <v>60</v>
      </c>
      <c r="C114" s="2" t="s">
        <v>845</v>
      </c>
      <c r="D114" s="2" t="s">
        <v>846</v>
      </c>
      <c r="E114" s="2" t="s">
        <v>847</v>
      </c>
      <c r="G114" s="3" t="s">
        <v>64</v>
      </c>
      <c r="I114" s="3" t="s">
        <v>64</v>
      </c>
      <c r="J114" s="3" t="s">
        <v>64</v>
      </c>
      <c r="K114" s="3" t="s">
        <v>65</v>
      </c>
      <c r="L114" s="2" t="s">
        <v>848</v>
      </c>
      <c r="M114" s="2" t="s">
        <v>849</v>
      </c>
      <c r="N114" s="3" t="s">
        <v>67</v>
      </c>
      <c r="P114" s="3" t="s">
        <v>68</v>
      </c>
      <c r="Q114" s="2" t="s">
        <v>850</v>
      </c>
      <c r="R114" s="3" t="s">
        <v>70</v>
      </c>
      <c r="S114" s="4">
        <v>0</v>
      </c>
      <c r="T114" s="4">
        <v>0</v>
      </c>
      <c r="W114" s="5" t="s">
        <v>72</v>
      </c>
      <c r="X114" s="5" t="s">
        <v>72</v>
      </c>
      <c r="Y114" s="4">
        <v>13</v>
      </c>
      <c r="Z114" s="4">
        <v>1</v>
      </c>
      <c r="AA114" s="4">
        <v>2</v>
      </c>
      <c r="AB114" s="4">
        <v>1</v>
      </c>
      <c r="AC114" s="4">
        <v>2</v>
      </c>
      <c r="AD114" s="4">
        <v>7</v>
      </c>
      <c r="AE114" s="4">
        <v>7</v>
      </c>
      <c r="AF114" s="4">
        <v>0</v>
      </c>
      <c r="AG114" s="4">
        <v>0</v>
      </c>
      <c r="AH114" s="4">
        <v>5</v>
      </c>
      <c r="AI114" s="4">
        <v>5</v>
      </c>
      <c r="AJ114" s="4">
        <v>0</v>
      </c>
      <c r="AK114" s="4">
        <v>0</v>
      </c>
      <c r="AL114" s="4">
        <v>5</v>
      </c>
      <c r="AM114" s="4">
        <v>5</v>
      </c>
      <c r="AN114" s="4">
        <v>0</v>
      </c>
      <c r="AO114" s="4">
        <v>0</v>
      </c>
      <c r="AP114" s="4">
        <v>0</v>
      </c>
      <c r="AQ114" s="4">
        <v>0</v>
      </c>
      <c r="AR114" s="3" t="s">
        <v>64</v>
      </c>
      <c r="AS114" s="3" t="s">
        <v>64</v>
      </c>
      <c r="AT114" s="3" t="s">
        <v>64</v>
      </c>
      <c r="AV114" s="6" t="str">
        <f>HYPERLINK("http://mcgill.on.worldcat.org/oclc/904238112","Catalog Record")</f>
        <v>Catalog Record</v>
      </c>
      <c r="AW114" s="6" t="str">
        <f>HYPERLINK("http://www.worldcat.org/oclc/904238112","WorldCat Record")</f>
        <v>WorldCat Record</v>
      </c>
      <c r="AX114" s="3" t="s">
        <v>851</v>
      </c>
      <c r="AY114" s="3" t="s">
        <v>852</v>
      </c>
      <c r="AZ114" s="3" t="s">
        <v>853</v>
      </c>
      <c r="BA114" s="3" t="s">
        <v>853</v>
      </c>
      <c r="BB114" s="3" t="s">
        <v>854</v>
      </c>
      <c r="BC114" s="3" t="s">
        <v>77</v>
      </c>
      <c r="BD114" s="3" t="s">
        <v>78</v>
      </c>
      <c r="BE114" s="3" t="s">
        <v>855</v>
      </c>
      <c r="BF114" s="3" t="s">
        <v>854</v>
      </c>
      <c r="BG114" s="3" t="s">
        <v>856</v>
      </c>
      <c r="BH114">
        <f t="shared" si="4"/>
        <v>0</v>
      </c>
    </row>
    <row r="115" spans="1:60" ht="58" x14ac:dyDescent="0.35">
      <c r="A115" s="2" t="s">
        <v>59</v>
      </c>
      <c r="B115" s="2" t="s">
        <v>60</v>
      </c>
      <c r="C115" s="2" t="s">
        <v>857</v>
      </c>
      <c r="D115" s="2" t="s">
        <v>858</v>
      </c>
      <c r="E115" s="2" t="s">
        <v>859</v>
      </c>
      <c r="G115" s="3" t="s">
        <v>64</v>
      </c>
      <c r="I115" s="3" t="s">
        <v>64</v>
      </c>
      <c r="J115" s="3" t="s">
        <v>64</v>
      </c>
      <c r="K115" s="3" t="s">
        <v>65</v>
      </c>
      <c r="L115" s="2" t="s">
        <v>860</v>
      </c>
      <c r="M115" s="2" t="s">
        <v>861</v>
      </c>
      <c r="N115" s="3" t="s">
        <v>291</v>
      </c>
      <c r="P115" s="3" t="s">
        <v>68</v>
      </c>
      <c r="Q115" s="2" t="s">
        <v>862</v>
      </c>
      <c r="R115" s="3" t="s">
        <v>70</v>
      </c>
      <c r="S115" s="4">
        <v>8</v>
      </c>
      <c r="T115" s="4">
        <v>8</v>
      </c>
      <c r="U115" s="5" t="s">
        <v>838</v>
      </c>
      <c r="V115" s="5" t="s">
        <v>838</v>
      </c>
      <c r="W115" s="5" t="s">
        <v>72</v>
      </c>
      <c r="X115" s="5" t="s">
        <v>72</v>
      </c>
      <c r="Y115" s="4">
        <v>8</v>
      </c>
      <c r="Z115" s="4">
        <v>3</v>
      </c>
      <c r="AA115" s="4">
        <v>3</v>
      </c>
      <c r="AB115" s="4">
        <v>2</v>
      </c>
      <c r="AC115" s="4">
        <v>2</v>
      </c>
      <c r="AD115" s="4">
        <v>2</v>
      </c>
      <c r="AE115" s="4">
        <v>2</v>
      </c>
      <c r="AF115" s="4">
        <v>1</v>
      </c>
      <c r="AG115" s="4">
        <v>1</v>
      </c>
      <c r="AH115" s="4">
        <v>1</v>
      </c>
      <c r="AI115" s="4">
        <v>1</v>
      </c>
      <c r="AJ115" s="4">
        <v>2</v>
      </c>
      <c r="AK115" s="4">
        <v>2</v>
      </c>
      <c r="AL115" s="4">
        <v>0</v>
      </c>
      <c r="AM115" s="4">
        <v>0</v>
      </c>
      <c r="AN115" s="4">
        <v>0</v>
      </c>
      <c r="AO115" s="4">
        <v>0</v>
      </c>
      <c r="AP115" s="4">
        <v>2</v>
      </c>
      <c r="AQ115" s="4">
        <v>2</v>
      </c>
      <c r="AR115" s="3" t="s">
        <v>64</v>
      </c>
      <c r="AS115" s="3" t="s">
        <v>64</v>
      </c>
      <c r="AT115" s="3" t="s">
        <v>64</v>
      </c>
      <c r="AV115" s="6" t="str">
        <f>HYPERLINK("http://mcgill.on.worldcat.org/oclc/471004200","Catalog Record")</f>
        <v>Catalog Record</v>
      </c>
      <c r="AW115" s="6" t="str">
        <f>HYPERLINK("http://www.worldcat.org/oclc/471004200","WorldCat Record")</f>
        <v>WorldCat Record</v>
      </c>
      <c r="AX115" s="3" t="s">
        <v>863</v>
      </c>
      <c r="AY115" s="3" t="s">
        <v>864</v>
      </c>
      <c r="AZ115" s="3" t="s">
        <v>865</v>
      </c>
      <c r="BA115" s="3" t="s">
        <v>865</v>
      </c>
      <c r="BB115" s="3" t="s">
        <v>866</v>
      </c>
      <c r="BC115" s="3" t="s">
        <v>77</v>
      </c>
      <c r="BD115" s="3" t="s">
        <v>78</v>
      </c>
      <c r="BE115" s="3" t="s">
        <v>867</v>
      </c>
      <c r="BF115" s="3" t="s">
        <v>866</v>
      </c>
      <c r="BG115" s="3" t="s">
        <v>868</v>
      </c>
      <c r="BH115">
        <f t="shared" si="4"/>
        <v>0</v>
      </c>
    </row>
    <row r="116" spans="1:60" ht="58" x14ac:dyDescent="0.35">
      <c r="A116" s="2" t="s">
        <v>59</v>
      </c>
      <c r="B116" s="2" t="s">
        <v>60</v>
      </c>
      <c r="C116" s="2" t="s">
        <v>869</v>
      </c>
      <c r="D116" s="2" t="s">
        <v>870</v>
      </c>
      <c r="E116" s="2" t="s">
        <v>871</v>
      </c>
      <c r="G116" s="3" t="s">
        <v>64</v>
      </c>
      <c r="I116" s="3" t="s">
        <v>128</v>
      </c>
      <c r="J116" s="3" t="s">
        <v>64</v>
      </c>
      <c r="K116" s="3" t="s">
        <v>65</v>
      </c>
      <c r="L116" s="2" t="s">
        <v>872</v>
      </c>
      <c r="M116" s="2" t="s">
        <v>873</v>
      </c>
      <c r="N116" s="3" t="s">
        <v>874</v>
      </c>
      <c r="P116" s="3" t="s">
        <v>102</v>
      </c>
      <c r="Q116" s="2" t="s">
        <v>875</v>
      </c>
      <c r="R116" s="3" t="s">
        <v>70</v>
      </c>
      <c r="S116" s="4">
        <v>20</v>
      </c>
      <c r="T116" s="4">
        <v>20</v>
      </c>
      <c r="U116" s="5" t="s">
        <v>602</v>
      </c>
      <c r="V116" s="5" t="s">
        <v>602</v>
      </c>
      <c r="W116" s="5" t="s">
        <v>72</v>
      </c>
      <c r="X116" s="5" t="s">
        <v>72</v>
      </c>
      <c r="Y116" s="4">
        <v>110</v>
      </c>
      <c r="Z116" s="4">
        <v>10</v>
      </c>
      <c r="AA116" s="4">
        <v>11</v>
      </c>
      <c r="AB116" s="4">
        <v>1</v>
      </c>
      <c r="AC116" s="4">
        <v>1</v>
      </c>
      <c r="AD116" s="4">
        <v>62</v>
      </c>
      <c r="AE116" s="4">
        <v>63</v>
      </c>
      <c r="AF116" s="4">
        <v>0</v>
      </c>
      <c r="AG116" s="4">
        <v>0</v>
      </c>
      <c r="AH116" s="4">
        <v>58</v>
      </c>
      <c r="AI116" s="4">
        <v>59</v>
      </c>
      <c r="AJ116" s="4">
        <v>5</v>
      </c>
      <c r="AK116" s="4">
        <v>6</v>
      </c>
      <c r="AL116" s="4">
        <v>40</v>
      </c>
      <c r="AM116" s="4">
        <v>40</v>
      </c>
      <c r="AN116" s="4">
        <v>0</v>
      </c>
      <c r="AO116" s="4">
        <v>0</v>
      </c>
      <c r="AP116" s="4">
        <v>6</v>
      </c>
      <c r="AQ116" s="4">
        <v>7</v>
      </c>
      <c r="AR116" s="3" t="s">
        <v>64</v>
      </c>
      <c r="AS116" s="3" t="s">
        <v>64</v>
      </c>
      <c r="AT116" s="3" t="s">
        <v>128</v>
      </c>
      <c r="AU116" s="6" t="str">
        <f>HYPERLINK("http://catalog.hathitrust.org/Record/000313131","HathiTrust Record")</f>
        <v>HathiTrust Record</v>
      </c>
      <c r="AV116" s="6" t="str">
        <f>HYPERLINK("http://mcgill.on.worldcat.org/oclc/8095671","Catalog Record")</f>
        <v>Catalog Record</v>
      </c>
      <c r="AW116" s="6" t="str">
        <f>HYPERLINK("http://www.worldcat.org/oclc/8095671","WorldCat Record")</f>
        <v>WorldCat Record</v>
      </c>
      <c r="AX116" s="3" t="s">
        <v>876</v>
      </c>
      <c r="AY116" s="3" t="s">
        <v>877</v>
      </c>
      <c r="AZ116" s="3" t="s">
        <v>878</v>
      </c>
      <c r="BA116" s="3" t="s">
        <v>878</v>
      </c>
      <c r="BB116" s="3" t="s">
        <v>879</v>
      </c>
      <c r="BC116" s="3" t="s">
        <v>77</v>
      </c>
      <c r="BD116" s="3" t="s">
        <v>78</v>
      </c>
      <c r="BF116" s="3" t="s">
        <v>879</v>
      </c>
      <c r="BG116" s="3" t="s">
        <v>880</v>
      </c>
      <c r="BH116">
        <f t="shared" si="4"/>
        <v>0</v>
      </c>
    </row>
    <row r="117" spans="1:60" ht="58" x14ac:dyDescent="0.35">
      <c r="A117" s="2" t="s">
        <v>59</v>
      </c>
      <c r="B117" s="2" t="s">
        <v>60</v>
      </c>
      <c r="C117" s="2" t="s">
        <v>881</v>
      </c>
      <c r="D117" s="2" t="s">
        <v>882</v>
      </c>
      <c r="E117" s="2" t="s">
        <v>883</v>
      </c>
      <c r="G117" s="3" t="s">
        <v>64</v>
      </c>
      <c r="I117" s="3" t="s">
        <v>64</v>
      </c>
      <c r="J117" s="3" t="s">
        <v>64</v>
      </c>
      <c r="K117" s="3" t="s">
        <v>65</v>
      </c>
      <c r="M117" s="2" t="s">
        <v>884</v>
      </c>
      <c r="N117" s="3" t="s">
        <v>511</v>
      </c>
      <c r="P117" s="3" t="s">
        <v>102</v>
      </c>
      <c r="Q117" s="2" t="s">
        <v>885</v>
      </c>
      <c r="R117" s="3" t="s">
        <v>70</v>
      </c>
      <c r="S117" s="4">
        <v>1</v>
      </c>
      <c r="T117" s="4">
        <v>1</v>
      </c>
      <c r="U117" s="5" t="s">
        <v>886</v>
      </c>
      <c r="V117" s="5" t="s">
        <v>886</v>
      </c>
      <c r="W117" s="5" t="s">
        <v>72</v>
      </c>
      <c r="X117" s="5" t="s">
        <v>72</v>
      </c>
      <c r="Y117" s="4">
        <v>223</v>
      </c>
      <c r="Z117" s="4">
        <v>24</v>
      </c>
      <c r="AA117" s="4">
        <v>28</v>
      </c>
      <c r="AB117" s="4">
        <v>2</v>
      </c>
      <c r="AC117" s="4">
        <v>5</v>
      </c>
      <c r="AD117" s="4">
        <v>80</v>
      </c>
      <c r="AE117" s="4">
        <v>86</v>
      </c>
      <c r="AF117" s="4">
        <v>1</v>
      </c>
      <c r="AG117" s="4">
        <v>1</v>
      </c>
      <c r="AH117" s="4">
        <v>69</v>
      </c>
      <c r="AI117" s="4">
        <v>74</v>
      </c>
      <c r="AJ117" s="4">
        <v>16</v>
      </c>
      <c r="AK117" s="4">
        <v>16</v>
      </c>
      <c r="AL117" s="4">
        <v>40</v>
      </c>
      <c r="AM117" s="4">
        <v>42</v>
      </c>
      <c r="AN117" s="4">
        <v>0</v>
      </c>
      <c r="AO117" s="4">
        <v>0</v>
      </c>
      <c r="AP117" s="4">
        <v>20</v>
      </c>
      <c r="AQ117" s="4">
        <v>20</v>
      </c>
      <c r="AR117" s="3" t="s">
        <v>64</v>
      </c>
      <c r="AS117" s="3" t="s">
        <v>64</v>
      </c>
      <c r="AT117" s="3" t="s">
        <v>64</v>
      </c>
      <c r="AV117" s="6" t="str">
        <f>HYPERLINK("http://mcgill.on.worldcat.org/oclc/619195612","Catalog Record")</f>
        <v>Catalog Record</v>
      </c>
      <c r="AW117" s="6" t="str">
        <f>HYPERLINK("http://www.worldcat.org/oclc/619195612","WorldCat Record")</f>
        <v>WorldCat Record</v>
      </c>
      <c r="AX117" s="3" t="s">
        <v>887</v>
      </c>
      <c r="AY117" s="3" t="s">
        <v>888</v>
      </c>
      <c r="AZ117" s="3" t="s">
        <v>889</v>
      </c>
      <c r="BA117" s="3" t="s">
        <v>889</v>
      </c>
      <c r="BB117" s="3" t="s">
        <v>890</v>
      </c>
      <c r="BC117" s="3" t="s">
        <v>77</v>
      </c>
      <c r="BD117" s="3" t="s">
        <v>78</v>
      </c>
      <c r="BE117" s="3" t="s">
        <v>891</v>
      </c>
      <c r="BF117" s="3" t="s">
        <v>890</v>
      </c>
      <c r="BG117" s="3" t="s">
        <v>892</v>
      </c>
      <c r="BH117">
        <f t="shared" si="4"/>
        <v>0</v>
      </c>
    </row>
    <row r="118" spans="1:60" ht="87" x14ac:dyDescent="0.35">
      <c r="A118" s="2" t="s">
        <v>59</v>
      </c>
      <c r="B118" s="2" t="s">
        <v>60</v>
      </c>
      <c r="C118" s="2" t="s">
        <v>893</v>
      </c>
      <c r="D118" s="2" t="s">
        <v>894</v>
      </c>
      <c r="E118" s="2" t="s">
        <v>895</v>
      </c>
      <c r="G118" s="3" t="s">
        <v>64</v>
      </c>
      <c r="I118" s="3" t="s">
        <v>64</v>
      </c>
      <c r="J118" s="3" t="s">
        <v>64</v>
      </c>
      <c r="K118" s="3" t="s">
        <v>65</v>
      </c>
      <c r="L118" s="2" t="s">
        <v>896</v>
      </c>
      <c r="M118" s="2" t="s">
        <v>897</v>
      </c>
      <c r="N118" s="3" t="s">
        <v>898</v>
      </c>
      <c r="P118" s="3" t="s">
        <v>102</v>
      </c>
      <c r="Q118" s="2" t="s">
        <v>899</v>
      </c>
      <c r="R118" s="3" t="s">
        <v>70</v>
      </c>
      <c r="S118" s="4">
        <v>1</v>
      </c>
      <c r="T118" s="4">
        <v>1</v>
      </c>
      <c r="U118" s="5" t="s">
        <v>243</v>
      </c>
      <c r="V118" s="5" t="s">
        <v>243</v>
      </c>
      <c r="W118" s="5" t="s">
        <v>72</v>
      </c>
      <c r="X118" s="5" t="s">
        <v>72</v>
      </c>
      <c r="Y118" s="4">
        <v>281</v>
      </c>
      <c r="Z118" s="4">
        <v>11</v>
      </c>
      <c r="AA118" s="4">
        <v>13</v>
      </c>
      <c r="AB118" s="4">
        <v>1</v>
      </c>
      <c r="AC118" s="4">
        <v>2</v>
      </c>
      <c r="AD118" s="4">
        <v>83</v>
      </c>
      <c r="AE118" s="4">
        <v>93</v>
      </c>
      <c r="AF118" s="4">
        <v>0</v>
      </c>
      <c r="AG118" s="4">
        <v>0</v>
      </c>
      <c r="AH118" s="4">
        <v>76</v>
      </c>
      <c r="AI118" s="4">
        <v>86</v>
      </c>
      <c r="AJ118" s="4">
        <v>7</v>
      </c>
      <c r="AK118" s="4">
        <v>7</v>
      </c>
      <c r="AL118" s="4">
        <v>41</v>
      </c>
      <c r="AM118" s="4">
        <v>47</v>
      </c>
      <c r="AN118" s="4">
        <v>0</v>
      </c>
      <c r="AO118" s="4">
        <v>0</v>
      </c>
      <c r="AP118" s="4">
        <v>8</v>
      </c>
      <c r="AQ118" s="4">
        <v>8</v>
      </c>
      <c r="AR118" s="3" t="s">
        <v>64</v>
      </c>
      <c r="AS118" s="3" t="s">
        <v>128</v>
      </c>
      <c r="AT118" s="3" t="s">
        <v>64</v>
      </c>
      <c r="AU118" s="6" t="str">
        <f>HYPERLINK("http://catalog.hathitrust.org/Record/001839082","HathiTrust Record")</f>
        <v>HathiTrust Record</v>
      </c>
      <c r="AV118" s="6" t="str">
        <f>HYPERLINK("http://mcgill.on.worldcat.org/oclc/5891659","Catalog Record")</f>
        <v>Catalog Record</v>
      </c>
      <c r="AW118" s="6" t="str">
        <f>HYPERLINK("http://www.worldcat.org/oclc/5891659","WorldCat Record")</f>
        <v>WorldCat Record</v>
      </c>
      <c r="AX118" s="3" t="s">
        <v>900</v>
      </c>
      <c r="AY118" s="3" t="s">
        <v>901</v>
      </c>
      <c r="AZ118" s="3" t="s">
        <v>902</v>
      </c>
      <c r="BA118" s="3" t="s">
        <v>902</v>
      </c>
      <c r="BB118" s="3" t="s">
        <v>903</v>
      </c>
      <c r="BC118" s="3" t="s">
        <v>77</v>
      </c>
      <c r="BD118" s="3" t="s">
        <v>78</v>
      </c>
      <c r="BE118" s="3" t="s">
        <v>904</v>
      </c>
      <c r="BF118" s="3" t="s">
        <v>903</v>
      </c>
      <c r="BG118" s="3" t="s">
        <v>905</v>
      </c>
      <c r="BH118">
        <f t="shared" si="4"/>
        <v>0</v>
      </c>
    </row>
    <row r="119" spans="1:60" ht="58" x14ac:dyDescent="0.35">
      <c r="A119" s="2" t="s">
        <v>59</v>
      </c>
      <c r="B119" s="2" t="s">
        <v>60</v>
      </c>
      <c r="C119" s="2" t="s">
        <v>906</v>
      </c>
      <c r="D119" s="2" t="s">
        <v>907</v>
      </c>
      <c r="E119" s="2" t="s">
        <v>908</v>
      </c>
      <c r="G119" s="3" t="s">
        <v>64</v>
      </c>
      <c r="I119" s="3" t="s">
        <v>64</v>
      </c>
      <c r="J119" s="3" t="s">
        <v>64</v>
      </c>
      <c r="K119" s="3" t="s">
        <v>65</v>
      </c>
      <c r="L119" s="2" t="s">
        <v>909</v>
      </c>
      <c r="M119" s="2" t="s">
        <v>910</v>
      </c>
      <c r="N119" s="3" t="s">
        <v>86</v>
      </c>
      <c r="P119" s="3" t="s">
        <v>102</v>
      </c>
      <c r="R119" s="3" t="s">
        <v>70</v>
      </c>
      <c r="S119" s="4">
        <v>13</v>
      </c>
      <c r="T119" s="4">
        <v>13</v>
      </c>
      <c r="U119" s="5" t="s">
        <v>911</v>
      </c>
      <c r="V119" s="5" t="s">
        <v>911</v>
      </c>
      <c r="W119" s="5" t="s">
        <v>72</v>
      </c>
      <c r="X119" s="5" t="s">
        <v>72</v>
      </c>
      <c r="Y119" s="4">
        <v>312</v>
      </c>
      <c r="Z119" s="4">
        <v>20</v>
      </c>
      <c r="AA119" s="4">
        <v>77</v>
      </c>
      <c r="AB119" s="4">
        <v>1</v>
      </c>
      <c r="AC119" s="4">
        <v>15</v>
      </c>
      <c r="AD119" s="4">
        <v>78</v>
      </c>
      <c r="AE119" s="4">
        <v>117</v>
      </c>
      <c r="AF119" s="4">
        <v>0</v>
      </c>
      <c r="AG119" s="4">
        <v>8</v>
      </c>
      <c r="AH119" s="4">
        <v>74</v>
      </c>
      <c r="AI119" s="4">
        <v>88</v>
      </c>
      <c r="AJ119" s="4">
        <v>10</v>
      </c>
      <c r="AK119" s="4">
        <v>20</v>
      </c>
      <c r="AL119" s="4">
        <v>45</v>
      </c>
      <c r="AM119" s="4">
        <v>50</v>
      </c>
      <c r="AN119" s="4">
        <v>0</v>
      </c>
      <c r="AO119" s="4">
        <v>0</v>
      </c>
      <c r="AP119" s="4">
        <v>11</v>
      </c>
      <c r="AQ119" s="4">
        <v>37</v>
      </c>
      <c r="AR119" s="3" t="s">
        <v>64</v>
      </c>
      <c r="AS119" s="3" t="s">
        <v>64</v>
      </c>
      <c r="AT119" s="3" t="s">
        <v>64</v>
      </c>
      <c r="AV119" s="6" t="str">
        <f>HYPERLINK("http://mcgill.on.worldcat.org/oclc/795020488","Catalog Record")</f>
        <v>Catalog Record</v>
      </c>
      <c r="AW119" s="6" t="str">
        <f>HYPERLINK("http://www.worldcat.org/oclc/795020488","WorldCat Record")</f>
        <v>WorldCat Record</v>
      </c>
      <c r="AX119" s="3" t="s">
        <v>912</v>
      </c>
      <c r="AY119" s="3" t="s">
        <v>913</v>
      </c>
      <c r="AZ119" s="3" t="s">
        <v>914</v>
      </c>
      <c r="BA119" s="3" t="s">
        <v>914</v>
      </c>
      <c r="BB119" s="3" t="s">
        <v>915</v>
      </c>
      <c r="BC119" s="3" t="s">
        <v>77</v>
      </c>
      <c r="BD119" s="3" t="s">
        <v>78</v>
      </c>
      <c r="BE119" s="3" t="s">
        <v>916</v>
      </c>
      <c r="BF119" s="3" t="s">
        <v>915</v>
      </c>
      <c r="BG119" s="3" t="s">
        <v>917</v>
      </c>
      <c r="BH119">
        <f t="shared" si="4"/>
        <v>0</v>
      </c>
    </row>
    <row r="120" spans="1:60" ht="58" x14ac:dyDescent="0.35">
      <c r="A120" s="2" t="s">
        <v>59</v>
      </c>
      <c r="B120" s="2" t="s">
        <v>60</v>
      </c>
      <c r="C120" s="2" t="s">
        <v>918</v>
      </c>
      <c r="D120" s="2" t="s">
        <v>919</v>
      </c>
      <c r="E120" s="2" t="s">
        <v>920</v>
      </c>
      <c r="G120" s="3" t="s">
        <v>64</v>
      </c>
      <c r="I120" s="3" t="s">
        <v>128</v>
      </c>
      <c r="J120" s="3" t="s">
        <v>64</v>
      </c>
      <c r="K120" s="3" t="s">
        <v>65</v>
      </c>
      <c r="M120" s="2" t="s">
        <v>921</v>
      </c>
      <c r="N120" s="3" t="s">
        <v>922</v>
      </c>
      <c r="P120" s="3" t="s">
        <v>102</v>
      </c>
      <c r="R120" s="3" t="s">
        <v>70</v>
      </c>
      <c r="S120" s="4">
        <v>10</v>
      </c>
      <c r="T120" s="4">
        <v>10</v>
      </c>
      <c r="U120" s="5" t="s">
        <v>380</v>
      </c>
      <c r="V120" s="5" t="s">
        <v>380</v>
      </c>
      <c r="W120" s="5" t="s">
        <v>72</v>
      </c>
      <c r="X120" s="5" t="s">
        <v>72</v>
      </c>
      <c r="Y120" s="4">
        <v>529</v>
      </c>
      <c r="Z120" s="4">
        <v>29</v>
      </c>
      <c r="AA120" s="4">
        <v>31</v>
      </c>
      <c r="AB120" s="4">
        <v>3</v>
      </c>
      <c r="AC120" s="4">
        <v>5</v>
      </c>
      <c r="AD120" s="4">
        <v>100</v>
      </c>
      <c r="AE120" s="4">
        <v>101</v>
      </c>
      <c r="AF120" s="4">
        <v>1</v>
      </c>
      <c r="AG120" s="4">
        <v>2</v>
      </c>
      <c r="AH120" s="4">
        <v>89</v>
      </c>
      <c r="AI120" s="4">
        <v>89</v>
      </c>
      <c r="AJ120" s="4">
        <v>16</v>
      </c>
      <c r="AK120" s="4">
        <v>17</v>
      </c>
      <c r="AL120" s="4">
        <v>51</v>
      </c>
      <c r="AM120" s="4">
        <v>51</v>
      </c>
      <c r="AN120" s="4">
        <v>0</v>
      </c>
      <c r="AO120" s="4">
        <v>0</v>
      </c>
      <c r="AP120" s="4">
        <v>18</v>
      </c>
      <c r="AQ120" s="4">
        <v>19</v>
      </c>
      <c r="AR120" s="3" t="s">
        <v>64</v>
      </c>
      <c r="AS120" s="3" t="s">
        <v>64</v>
      </c>
      <c r="AT120" s="3" t="s">
        <v>64</v>
      </c>
      <c r="AV120" s="6" t="str">
        <f>HYPERLINK("http://mcgill.on.worldcat.org/oclc/572095","Catalog Record")</f>
        <v>Catalog Record</v>
      </c>
      <c r="AW120" s="6" t="str">
        <f>HYPERLINK("http://www.worldcat.org/oclc/572095","WorldCat Record")</f>
        <v>WorldCat Record</v>
      </c>
      <c r="AX120" s="3" t="s">
        <v>923</v>
      </c>
      <c r="AY120" s="3" t="s">
        <v>924</v>
      </c>
      <c r="AZ120" s="3" t="s">
        <v>925</v>
      </c>
      <c r="BA120" s="3" t="s">
        <v>925</v>
      </c>
      <c r="BB120" s="3" t="s">
        <v>926</v>
      </c>
      <c r="BC120" s="3" t="s">
        <v>77</v>
      </c>
      <c r="BD120" s="3" t="s">
        <v>78</v>
      </c>
      <c r="BE120" s="3" t="s">
        <v>927</v>
      </c>
      <c r="BF120" s="3" t="s">
        <v>926</v>
      </c>
      <c r="BG120" s="3" t="s">
        <v>928</v>
      </c>
      <c r="BH120">
        <f t="shared" si="4"/>
        <v>0</v>
      </c>
    </row>
    <row r="121" spans="1:60" ht="72.5" x14ac:dyDescent="0.35">
      <c r="A121" s="2" t="s">
        <v>59</v>
      </c>
      <c r="B121" s="2" t="s">
        <v>60</v>
      </c>
      <c r="C121" s="2" t="s">
        <v>929</v>
      </c>
      <c r="D121" s="2" t="s">
        <v>930</v>
      </c>
      <c r="E121" s="2" t="s">
        <v>931</v>
      </c>
      <c r="G121" s="3" t="s">
        <v>64</v>
      </c>
      <c r="I121" s="3" t="s">
        <v>64</v>
      </c>
      <c r="J121" s="3" t="s">
        <v>64</v>
      </c>
      <c r="K121" s="3" t="s">
        <v>65</v>
      </c>
      <c r="M121" s="2" t="s">
        <v>932</v>
      </c>
      <c r="N121" s="3" t="s">
        <v>511</v>
      </c>
      <c r="P121" s="3" t="s">
        <v>68</v>
      </c>
      <c r="Q121" s="2" t="s">
        <v>933</v>
      </c>
      <c r="R121" s="3" t="s">
        <v>70</v>
      </c>
      <c r="S121" s="4">
        <v>0</v>
      </c>
      <c r="T121" s="4">
        <v>0</v>
      </c>
      <c r="W121" s="5" t="s">
        <v>72</v>
      </c>
      <c r="X121" s="5" t="s">
        <v>72</v>
      </c>
      <c r="Y121" s="4">
        <v>29</v>
      </c>
      <c r="Z121" s="4">
        <v>3</v>
      </c>
      <c r="AA121" s="4">
        <v>8</v>
      </c>
      <c r="AB121" s="4">
        <v>1</v>
      </c>
      <c r="AC121" s="4">
        <v>5</v>
      </c>
      <c r="AD121" s="4">
        <v>17</v>
      </c>
      <c r="AE121" s="4">
        <v>21</v>
      </c>
      <c r="AF121" s="4">
        <v>0</v>
      </c>
      <c r="AG121" s="4">
        <v>3</v>
      </c>
      <c r="AH121" s="4">
        <v>15</v>
      </c>
      <c r="AI121" s="4">
        <v>16</v>
      </c>
      <c r="AJ121" s="4">
        <v>2</v>
      </c>
      <c r="AK121" s="4">
        <v>6</v>
      </c>
      <c r="AL121" s="4">
        <v>12</v>
      </c>
      <c r="AM121" s="4">
        <v>12</v>
      </c>
      <c r="AN121" s="4">
        <v>0</v>
      </c>
      <c r="AO121" s="4">
        <v>0</v>
      </c>
      <c r="AP121" s="4">
        <v>2</v>
      </c>
      <c r="AQ121" s="4">
        <v>5</v>
      </c>
      <c r="AR121" s="3" t="s">
        <v>64</v>
      </c>
      <c r="AS121" s="3" t="s">
        <v>64</v>
      </c>
      <c r="AT121" s="3" t="s">
        <v>128</v>
      </c>
      <c r="AU121" s="6" t="str">
        <f>HYPERLINK("http://catalog.hathitrust.org/Record/009541835","HathiTrust Record")</f>
        <v>HathiTrust Record</v>
      </c>
      <c r="AV121" s="6" t="str">
        <f>HYPERLINK("http://mcgill.on.worldcat.org/oclc/669123691","Catalog Record")</f>
        <v>Catalog Record</v>
      </c>
      <c r="AW121" s="6" t="str">
        <f>HYPERLINK("http://www.worldcat.org/oclc/669123691","WorldCat Record")</f>
        <v>WorldCat Record</v>
      </c>
      <c r="AX121" s="3" t="s">
        <v>934</v>
      </c>
      <c r="AY121" s="3" t="s">
        <v>935</v>
      </c>
      <c r="AZ121" s="3" t="s">
        <v>936</v>
      </c>
      <c r="BA121" s="3" t="s">
        <v>936</v>
      </c>
      <c r="BB121" s="3" t="s">
        <v>937</v>
      </c>
      <c r="BC121" s="3" t="s">
        <v>77</v>
      </c>
      <c r="BD121" s="3" t="s">
        <v>78</v>
      </c>
      <c r="BE121" s="3" t="s">
        <v>938</v>
      </c>
      <c r="BF121" s="3" t="s">
        <v>937</v>
      </c>
      <c r="BG121" s="3" t="s">
        <v>939</v>
      </c>
      <c r="BH121">
        <f t="shared" si="4"/>
        <v>0</v>
      </c>
    </row>
    <row r="122" spans="1:60" ht="72.5" x14ac:dyDescent="0.35">
      <c r="A122" s="2" t="s">
        <v>59</v>
      </c>
      <c r="B122" s="2" t="s">
        <v>60</v>
      </c>
      <c r="C122" s="2" t="s">
        <v>940</v>
      </c>
      <c r="D122" s="2" t="s">
        <v>941</v>
      </c>
      <c r="E122" s="2" t="s">
        <v>942</v>
      </c>
      <c r="G122" s="3" t="s">
        <v>64</v>
      </c>
      <c r="I122" s="3" t="s">
        <v>64</v>
      </c>
      <c r="J122" s="3" t="s">
        <v>64</v>
      </c>
      <c r="K122" s="3" t="s">
        <v>65</v>
      </c>
      <c r="M122" s="2" t="s">
        <v>943</v>
      </c>
      <c r="N122" s="3" t="s">
        <v>253</v>
      </c>
      <c r="P122" s="3" t="s">
        <v>944</v>
      </c>
      <c r="Q122" s="2" t="s">
        <v>945</v>
      </c>
      <c r="R122" s="3" t="s">
        <v>70</v>
      </c>
      <c r="S122" s="4">
        <v>1</v>
      </c>
      <c r="T122" s="4">
        <v>1</v>
      </c>
      <c r="U122" s="5" t="s">
        <v>946</v>
      </c>
      <c r="V122" s="5" t="s">
        <v>946</v>
      </c>
      <c r="W122" s="5" t="s">
        <v>72</v>
      </c>
      <c r="X122" s="5" t="s">
        <v>72</v>
      </c>
      <c r="Y122" s="4">
        <v>6</v>
      </c>
      <c r="Z122" s="4">
        <v>1</v>
      </c>
      <c r="AA122" s="4">
        <v>1</v>
      </c>
      <c r="AB122" s="4">
        <v>1</v>
      </c>
      <c r="AC122" s="4">
        <v>1</v>
      </c>
      <c r="AD122" s="4">
        <v>1</v>
      </c>
      <c r="AE122" s="4">
        <v>1</v>
      </c>
      <c r="AF122" s="4">
        <v>0</v>
      </c>
      <c r="AG122" s="4">
        <v>0</v>
      </c>
      <c r="AH122" s="4">
        <v>0</v>
      </c>
      <c r="AI122" s="4">
        <v>0</v>
      </c>
      <c r="AJ122" s="4">
        <v>0</v>
      </c>
      <c r="AK122" s="4">
        <v>0</v>
      </c>
      <c r="AL122" s="4">
        <v>1</v>
      </c>
      <c r="AM122" s="4">
        <v>1</v>
      </c>
      <c r="AN122" s="4">
        <v>0</v>
      </c>
      <c r="AO122" s="4">
        <v>0</v>
      </c>
      <c r="AP122" s="4">
        <v>0</v>
      </c>
      <c r="AQ122" s="4">
        <v>0</v>
      </c>
      <c r="AR122" s="3" t="s">
        <v>64</v>
      </c>
      <c r="AS122" s="3" t="s">
        <v>64</v>
      </c>
      <c r="AT122" s="3" t="s">
        <v>64</v>
      </c>
      <c r="AV122" s="6" t="str">
        <f>HYPERLINK("http://mcgill.on.worldcat.org/oclc/926066636","Catalog Record")</f>
        <v>Catalog Record</v>
      </c>
      <c r="AW122" s="6" t="str">
        <f>HYPERLINK("http://www.worldcat.org/oclc/926066636","WorldCat Record")</f>
        <v>WorldCat Record</v>
      </c>
      <c r="AX122" s="3" t="s">
        <v>947</v>
      </c>
      <c r="AY122" s="3" t="s">
        <v>948</v>
      </c>
      <c r="AZ122" s="3" t="s">
        <v>949</v>
      </c>
      <c r="BA122" s="3" t="s">
        <v>949</v>
      </c>
      <c r="BB122" s="3" t="s">
        <v>950</v>
      </c>
      <c r="BC122" s="3" t="s">
        <v>77</v>
      </c>
      <c r="BD122" s="3" t="s">
        <v>78</v>
      </c>
      <c r="BE122" s="3" t="s">
        <v>951</v>
      </c>
      <c r="BF122" s="3" t="s">
        <v>950</v>
      </c>
      <c r="BG122" s="3" t="s">
        <v>952</v>
      </c>
      <c r="BH122">
        <f t="shared" si="4"/>
        <v>0</v>
      </c>
    </row>
    <row r="123" spans="1:60" ht="58" x14ac:dyDescent="0.35">
      <c r="A123" s="2" t="s">
        <v>59</v>
      </c>
      <c r="B123" s="2" t="s">
        <v>60</v>
      </c>
      <c r="C123" s="2" t="s">
        <v>953</v>
      </c>
      <c r="D123" s="2" t="s">
        <v>954</v>
      </c>
      <c r="E123" s="2" t="s">
        <v>955</v>
      </c>
      <c r="G123" s="3" t="s">
        <v>64</v>
      </c>
      <c r="I123" s="3" t="s">
        <v>64</v>
      </c>
      <c r="J123" s="3" t="s">
        <v>64</v>
      </c>
      <c r="K123" s="3" t="s">
        <v>65</v>
      </c>
      <c r="L123" s="2" t="s">
        <v>956</v>
      </c>
      <c r="M123" s="2" t="s">
        <v>957</v>
      </c>
      <c r="N123" s="3" t="s">
        <v>768</v>
      </c>
      <c r="P123" s="3" t="s">
        <v>102</v>
      </c>
      <c r="R123" s="3" t="s">
        <v>70</v>
      </c>
      <c r="S123" s="4">
        <v>8</v>
      </c>
      <c r="T123" s="4">
        <v>8</v>
      </c>
      <c r="U123" s="5" t="s">
        <v>243</v>
      </c>
      <c r="V123" s="5" t="s">
        <v>243</v>
      </c>
      <c r="W123" s="5" t="s">
        <v>72</v>
      </c>
      <c r="X123" s="5" t="s">
        <v>72</v>
      </c>
      <c r="Y123" s="4">
        <v>35</v>
      </c>
      <c r="Z123" s="4">
        <v>3</v>
      </c>
      <c r="AA123" s="4">
        <v>3</v>
      </c>
      <c r="AB123" s="4">
        <v>1</v>
      </c>
      <c r="AC123" s="4">
        <v>1</v>
      </c>
      <c r="AD123" s="4">
        <v>10</v>
      </c>
      <c r="AE123" s="4">
        <v>10</v>
      </c>
      <c r="AF123" s="4">
        <v>0</v>
      </c>
      <c r="AG123" s="4">
        <v>0</v>
      </c>
      <c r="AH123" s="4">
        <v>8</v>
      </c>
      <c r="AI123" s="4">
        <v>8</v>
      </c>
      <c r="AJ123" s="4">
        <v>1</v>
      </c>
      <c r="AK123" s="4">
        <v>1</v>
      </c>
      <c r="AL123" s="4">
        <v>8</v>
      </c>
      <c r="AM123" s="4">
        <v>8</v>
      </c>
      <c r="AN123" s="4">
        <v>0</v>
      </c>
      <c r="AO123" s="4">
        <v>0</v>
      </c>
      <c r="AP123" s="4">
        <v>1</v>
      </c>
      <c r="AQ123" s="4">
        <v>1</v>
      </c>
      <c r="AR123" s="3" t="s">
        <v>64</v>
      </c>
      <c r="AS123" s="3" t="s">
        <v>64</v>
      </c>
      <c r="AT123" s="3" t="s">
        <v>128</v>
      </c>
      <c r="AU123" s="6" t="str">
        <f>HYPERLINK("http://catalog.hathitrust.org/Record/000767621","HathiTrust Record")</f>
        <v>HathiTrust Record</v>
      </c>
      <c r="AV123" s="6" t="str">
        <f>HYPERLINK("http://mcgill.on.worldcat.org/oclc/4242374","Catalog Record")</f>
        <v>Catalog Record</v>
      </c>
      <c r="AW123" s="6" t="str">
        <f>HYPERLINK("http://www.worldcat.org/oclc/4242374","WorldCat Record")</f>
        <v>WorldCat Record</v>
      </c>
      <c r="AX123" s="3" t="s">
        <v>958</v>
      </c>
      <c r="AY123" s="3" t="s">
        <v>959</v>
      </c>
      <c r="AZ123" s="3" t="s">
        <v>960</v>
      </c>
      <c r="BA123" s="3" t="s">
        <v>960</v>
      </c>
      <c r="BB123" s="3" t="s">
        <v>961</v>
      </c>
      <c r="BC123" s="3" t="s">
        <v>77</v>
      </c>
      <c r="BD123" s="3" t="s">
        <v>78</v>
      </c>
      <c r="BF123" s="3" t="s">
        <v>961</v>
      </c>
      <c r="BG123" s="3" t="s">
        <v>962</v>
      </c>
      <c r="BH123">
        <f t="shared" si="4"/>
        <v>0</v>
      </c>
    </row>
    <row r="124" spans="1:60" x14ac:dyDescent="0.35">
      <c r="A124" t="s">
        <v>59</v>
      </c>
      <c r="B124" t="s">
        <v>60</v>
      </c>
      <c r="C124" t="s">
        <v>52924</v>
      </c>
      <c r="D124" t="s">
        <v>52925</v>
      </c>
      <c r="E124" t="s">
        <v>52926</v>
      </c>
      <c r="G124" t="s">
        <v>64</v>
      </c>
      <c r="I124" t="s">
        <v>64</v>
      </c>
      <c r="J124" t="s">
        <v>64</v>
      </c>
      <c r="K124" t="s">
        <v>65</v>
      </c>
      <c r="L124" t="s">
        <v>36150</v>
      </c>
      <c r="M124" t="s">
        <v>52927</v>
      </c>
      <c r="N124" t="s">
        <v>1263</v>
      </c>
      <c r="P124" t="s">
        <v>102</v>
      </c>
      <c r="R124" t="s">
        <v>70</v>
      </c>
      <c r="S124">
        <v>3</v>
      </c>
      <c r="T124">
        <v>3</v>
      </c>
      <c r="U124" t="s">
        <v>52928</v>
      </c>
      <c r="V124" t="s">
        <v>52928</v>
      </c>
      <c r="W124" t="s">
        <v>72</v>
      </c>
      <c r="X124" t="s">
        <v>72</v>
      </c>
      <c r="Y124">
        <v>85</v>
      </c>
      <c r="Z124">
        <v>11</v>
      </c>
      <c r="AA124">
        <v>12</v>
      </c>
      <c r="AB124">
        <v>1</v>
      </c>
      <c r="AC124">
        <v>1</v>
      </c>
      <c r="AD124">
        <v>41</v>
      </c>
      <c r="AE124">
        <v>44</v>
      </c>
      <c r="AF124">
        <v>0</v>
      </c>
      <c r="AG124">
        <v>0</v>
      </c>
      <c r="AH124">
        <v>37</v>
      </c>
      <c r="AI124">
        <v>40</v>
      </c>
      <c r="AJ124">
        <v>5</v>
      </c>
      <c r="AK124">
        <v>6</v>
      </c>
      <c r="AL124">
        <v>25</v>
      </c>
      <c r="AM124">
        <v>27</v>
      </c>
      <c r="AN124">
        <v>0</v>
      </c>
      <c r="AO124">
        <v>0</v>
      </c>
      <c r="AP124">
        <v>7</v>
      </c>
      <c r="AQ124">
        <v>8</v>
      </c>
      <c r="AR124" t="s">
        <v>64</v>
      </c>
      <c r="AS124" t="s">
        <v>64</v>
      </c>
      <c r="AT124" t="s">
        <v>128</v>
      </c>
      <c r="AU124" t="s">
        <v>52901</v>
      </c>
      <c r="AV124" t="s">
        <v>52902</v>
      </c>
      <c r="AW124" t="s">
        <v>52903</v>
      </c>
      <c r="AX124" t="s">
        <v>52929</v>
      </c>
      <c r="AY124" t="s">
        <v>52930</v>
      </c>
      <c r="AZ124" t="s">
        <v>52931</v>
      </c>
      <c r="BA124" t="s">
        <v>52931</v>
      </c>
      <c r="BB124" t="s">
        <v>52932</v>
      </c>
      <c r="BC124" t="s">
        <v>77</v>
      </c>
      <c r="BD124" t="s">
        <v>78</v>
      </c>
      <c r="BF124" t="s">
        <v>52932</v>
      </c>
      <c r="BG124" t="s">
        <v>52933</v>
      </c>
      <c r="BH124">
        <f t="shared" si="4"/>
        <v>0</v>
      </c>
    </row>
    <row r="125" spans="1:60" ht="58" x14ac:dyDescent="0.35">
      <c r="A125" s="2" t="s">
        <v>59</v>
      </c>
      <c r="B125" s="2" t="s">
        <v>60</v>
      </c>
      <c r="C125" s="2" t="s">
        <v>963</v>
      </c>
      <c r="D125" s="2" t="s">
        <v>964</v>
      </c>
      <c r="E125" s="2" t="s">
        <v>965</v>
      </c>
      <c r="G125" s="3" t="s">
        <v>64</v>
      </c>
      <c r="I125" s="3" t="s">
        <v>64</v>
      </c>
      <c r="J125" s="3" t="s">
        <v>64</v>
      </c>
      <c r="K125" s="3" t="s">
        <v>65</v>
      </c>
      <c r="L125" s="2" t="s">
        <v>966</v>
      </c>
      <c r="M125" s="2" t="s">
        <v>967</v>
      </c>
      <c r="N125" s="3" t="s">
        <v>315</v>
      </c>
      <c r="P125" s="3" t="s">
        <v>102</v>
      </c>
      <c r="R125" s="3" t="s">
        <v>70</v>
      </c>
      <c r="S125" s="4">
        <v>2</v>
      </c>
      <c r="T125" s="4">
        <v>2</v>
      </c>
      <c r="U125" s="5" t="s">
        <v>770</v>
      </c>
      <c r="V125" s="5" t="s">
        <v>770</v>
      </c>
      <c r="W125" s="5" t="s">
        <v>72</v>
      </c>
      <c r="X125" s="5" t="s">
        <v>72</v>
      </c>
      <c r="Y125" s="4">
        <v>86</v>
      </c>
      <c r="Z125" s="4">
        <v>6</v>
      </c>
      <c r="AA125" s="4">
        <v>8</v>
      </c>
      <c r="AB125" s="4">
        <v>1</v>
      </c>
      <c r="AC125" s="4">
        <v>1</v>
      </c>
      <c r="AD125" s="4">
        <v>32</v>
      </c>
      <c r="AE125" s="4">
        <v>37</v>
      </c>
      <c r="AF125" s="4">
        <v>0</v>
      </c>
      <c r="AG125" s="4">
        <v>0</v>
      </c>
      <c r="AH125" s="4">
        <v>29</v>
      </c>
      <c r="AI125" s="4">
        <v>33</v>
      </c>
      <c r="AJ125" s="4">
        <v>3</v>
      </c>
      <c r="AK125" s="4">
        <v>5</v>
      </c>
      <c r="AL125" s="4">
        <v>20</v>
      </c>
      <c r="AM125" s="4">
        <v>23</v>
      </c>
      <c r="AN125" s="4">
        <v>0</v>
      </c>
      <c r="AO125" s="4">
        <v>0</v>
      </c>
      <c r="AP125" s="4">
        <v>5</v>
      </c>
      <c r="AQ125" s="4">
        <v>7</v>
      </c>
      <c r="AR125" s="3" t="s">
        <v>64</v>
      </c>
      <c r="AS125" s="3" t="s">
        <v>64</v>
      </c>
      <c r="AT125" s="3" t="s">
        <v>128</v>
      </c>
      <c r="AU125" s="6" t="str">
        <f>HYPERLINK("http://catalog.hathitrust.org/Record/006171526","HathiTrust Record")</f>
        <v>HathiTrust Record</v>
      </c>
      <c r="AV125" s="6" t="str">
        <f>HYPERLINK("http://mcgill.on.worldcat.org/oclc/219476","Catalog Record")</f>
        <v>Catalog Record</v>
      </c>
      <c r="AW125" s="6" t="str">
        <f>HYPERLINK("http://www.worldcat.org/oclc/219476","WorldCat Record")</f>
        <v>WorldCat Record</v>
      </c>
      <c r="AX125" s="3" t="s">
        <v>968</v>
      </c>
      <c r="AY125" s="3" t="s">
        <v>969</v>
      </c>
      <c r="AZ125" s="3" t="s">
        <v>970</v>
      </c>
      <c r="BA125" s="3" t="s">
        <v>970</v>
      </c>
      <c r="BB125" s="3" t="s">
        <v>971</v>
      </c>
      <c r="BC125" s="3" t="s">
        <v>77</v>
      </c>
      <c r="BD125" s="3" t="s">
        <v>78</v>
      </c>
      <c r="BE125" s="3" t="s">
        <v>972</v>
      </c>
      <c r="BF125" s="3" t="s">
        <v>971</v>
      </c>
      <c r="BG125" s="3" t="s">
        <v>973</v>
      </c>
      <c r="BH125">
        <f t="shared" si="4"/>
        <v>0</v>
      </c>
    </row>
    <row r="126" spans="1:60" ht="58" x14ac:dyDescent="0.35">
      <c r="A126" s="2" t="s">
        <v>59</v>
      </c>
      <c r="B126" s="2" t="s">
        <v>60</v>
      </c>
      <c r="C126" s="2" t="s">
        <v>974</v>
      </c>
      <c r="D126" s="2" t="s">
        <v>975</v>
      </c>
      <c r="E126" s="2" t="s">
        <v>976</v>
      </c>
      <c r="G126" s="3" t="s">
        <v>64</v>
      </c>
      <c r="I126" s="3" t="s">
        <v>64</v>
      </c>
      <c r="J126" s="3" t="s">
        <v>64</v>
      </c>
      <c r="K126" s="3" t="s">
        <v>65</v>
      </c>
      <c r="L126" s="2" t="s">
        <v>977</v>
      </c>
      <c r="M126" s="2" t="s">
        <v>978</v>
      </c>
      <c r="N126" s="3" t="s">
        <v>979</v>
      </c>
      <c r="P126" s="3" t="s">
        <v>102</v>
      </c>
      <c r="R126" s="3" t="s">
        <v>70</v>
      </c>
      <c r="S126" s="4">
        <v>12</v>
      </c>
      <c r="T126" s="4">
        <v>12</v>
      </c>
      <c r="U126" s="5" t="s">
        <v>980</v>
      </c>
      <c r="V126" s="5" t="s">
        <v>980</v>
      </c>
      <c r="W126" s="5" t="s">
        <v>72</v>
      </c>
      <c r="X126" s="5" t="s">
        <v>72</v>
      </c>
      <c r="Y126" s="4">
        <v>245</v>
      </c>
      <c r="Z126" s="4">
        <v>15</v>
      </c>
      <c r="AA126" s="4">
        <v>16</v>
      </c>
      <c r="AB126" s="4">
        <v>2</v>
      </c>
      <c r="AC126" s="4">
        <v>3</v>
      </c>
      <c r="AD126" s="4">
        <v>89</v>
      </c>
      <c r="AE126" s="4">
        <v>90</v>
      </c>
      <c r="AF126" s="4">
        <v>0</v>
      </c>
      <c r="AG126" s="4">
        <v>1</v>
      </c>
      <c r="AH126" s="4">
        <v>80</v>
      </c>
      <c r="AI126" s="4">
        <v>80</v>
      </c>
      <c r="AJ126" s="4">
        <v>6</v>
      </c>
      <c r="AK126" s="4">
        <v>7</v>
      </c>
      <c r="AL126" s="4">
        <v>48</v>
      </c>
      <c r="AM126" s="4">
        <v>48</v>
      </c>
      <c r="AN126" s="4">
        <v>0</v>
      </c>
      <c r="AO126" s="4">
        <v>0</v>
      </c>
      <c r="AP126" s="4">
        <v>9</v>
      </c>
      <c r="AQ126" s="4">
        <v>9</v>
      </c>
      <c r="AR126" s="3" t="s">
        <v>64</v>
      </c>
      <c r="AS126" s="3" t="s">
        <v>64</v>
      </c>
      <c r="AT126" s="3" t="s">
        <v>64</v>
      </c>
      <c r="AV126" s="6" t="str">
        <f>HYPERLINK("http://mcgill.on.worldcat.org/oclc/43851353","Catalog Record")</f>
        <v>Catalog Record</v>
      </c>
      <c r="AW126" s="6" t="str">
        <f>HYPERLINK("http://www.worldcat.org/oclc/43851353","WorldCat Record")</f>
        <v>WorldCat Record</v>
      </c>
      <c r="AX126" s="3" t="s">
        <v>981</v>
      </c>
      <c r="AY126" s="3" t="s">
        <v>982</v>
      </c>
      <c r="AZ126" s="3" t="s">
        <v>983</v>
      </c>
      <c r="BA126" s="3" t="s">
        <v>983</v>
      </c>
      <c r="BB126" s="3" t="s">
        <v>984</v>
      </c>
      <c r="BC126" s="3" t="s">
        <v>77</v>
      </c>
      <c r="BD126" s="3" t="s">
        <v>78</v>
      </c>
      <c r="BE126" s="3" t="s">
        <v>985</v>
      </c>
      <c r="BF126" s="3" t="s">
        <v>984</v>
      </c>
      <c r="BG126" s="3" t="s">
        <v>986</v>
      </c>
      <c r="BH126">
        <f t="shared" si="4"/>
        <v>0</v>
      </c>
    </row>
    <row r="127" spans="1:60" ht="58" x14ac:dyDescent="0.35">
      <c r="A127" s="2" t="s">
        <v>59</v>
      </c>
      <c r="B127" s="2" t="s">
        <v>60</v>
      </c>
      <c r="C127" s="2" t="s">
        <v>987</v>
      </c>
      <c r="D127" s="2" t="s">
        <v>988</v>
      </c>
      <c r="E127" s="2" t="s">
        <v>989</v>
      </c>
      <c r="G127" s="3" t="s">
        <v>64</v>
      </c>
      <c r="I127" s="3" t="s">
        <v>128</v>
      </c>
      <c r="J127" s="3" t="s">
        <v>128</v>
      </c>
      <c r="K127" s="3" t="s">
        <v>65</v>
      </c>
      <c r="L127" s="2" t="s">
        <v>990</v>
      </c>
      <c r="M127" s="2" t="s">
        <v>991</v>
      </c>
      <c r="N127" s="3" t="s">
        <v>922</v>
      </c>
      <c r="P127" s="3" t="s">
        <v>102</v>
      </c>
      <c r="R127" s="3" t="s">
        <v>70</v>
      </c>
      <c r="S127" s="4">
        <v>15</v>
      </c>
      <c r="T127" s="4">
        <v>15</v>
      </c>
      <c r="U127" s="5" t="s">
        <v>992</v>
      </c>
      <c r="V127" s="5" t="s">
        <v>992</v>
      </c>
      <c r="W127" s="5" t="s">
        <v>72</v>
      </c>
      <c r="X127" s="5" t="s">
        <v>72</v>
      </c>
      <c r="Y127" s="4">
        <v>531</v>
      </c>
      <c r="Z127" s="4">
        <v>28</v>
      </c>
      <c r="AA127" s="4">
        <v>31</v>
      </c>
      <c r="AB127" s="4">
        <v>3</v>
      </c>
      <c r="AC127" s="4">
        <v>4</v>
      </c>
      <c r="AD127" s="4">
        <v>93</v>
      </c>
      <c r="AE127" s="4">
        <v>105</v>
      </c>
      <c r="AF127" s="4">
        <v>1</v>
      </c>
      <c r="AG127" s="4">
        <v>1</v>
      </c>
      <c r="AH127" s="4">
        <v>82</v>
      </c>
      <c r="AI127" s="4">
        <v>93</v>
      </c>
      <c r="AJ127" s="4">
        <v>13</v>
      </c>
      <c r="AK127" s="4">
        <v>15</v>
      </c>
      <c r="AL127" s="4">
        <v>44</v>
      </c>
      <c r="AM127" s="4">
        <v>50</v>
      </c>
      <c r="AN127" s="4">
        <v>0</v>
      </c>
      <c r="AO127" s="4">
        <v>0</v>
      </c>
      <c r="AP127" s="4">
        <v>16</v>
      </c>
      <c r="AQ127" s="4">
        <v>18</v>
      </c>
      <c r="AR127" s="3" t="s">
        <v>64</v>
      </c>
      <c r="AS127" s="3" t="s">
        <v>64</v>
      </c>
      <c r="AT127" s="3" t="s">
        <v>64</v>
      </c>
      <c r="AV127" s="6" t="str">
        <f>HYPERLINK("http://mcgill.on.worldcat.org/oclc/352140","Catalog Record")</f>
        <v>Catalog Record</v>
      </c>
      <c r="AW127" s="6" t="str">
        <f>HYPERLINK("http://www.worldcat.org/oclc/352140","WorldCat Record")</f>
        <v>WorldCat Record</v>
      </c>
      <c r="AX127" s="3" t="s">
        <v>993</v>
      </c>
      <c r="AY127" s="3" t="s">
        <v>994</v>
      </c>
      <c r="AZ127" s="3" t="s">
        <v>995</v>
      </c>
      <c r="BA127" s="3" t="s">
        <v>995</v>
      </c>
      <c r="BB127" s="3" t="s">
        <v>996</v>
      </c>
      <c r="BC127" s="3" t="s">
        <v>77</v>
      </c>
      <c r="BD127" s="3" t="s">
        <v>78</v>
      </c>
      <c r="BE127" s="3" t="s">
        <v>997</v>
      </c>
      <c r="BF127" s="3" t="s">
        <v>996</v>
      </c>
      <c r="BG127" s="3" t="s">
        <v>998</v>
      </c>
      <c r="BH127">
        <f t="shared" si="4"/>
        <v>0</v>
      </c>
    </row>
    <row r="128" spans="1:60" ht="58" x14ac:dyDescent="0.35">
      <c r="A128" s="2" t="s">
        <v>59</v>
      </c>
      <c r="B128" s="2" t="s">
        <v>60</v>
      </c>
      <c r="C128" s="2" t="s">
        <v>999</v>
      </c>
      <c r="D128" s="2" t="s">
        <v>1000</v>
      </c>
      <c r="E128" s="2" t="s">
        <v>1001</v>
      </c>
      <c r="G128" s="3" t="s">
        <v>64</v>
      </c>
      <c r="I128" s="3" t="s">
        <v>64</v>
      </c>
      <c r="J128" s="3" t="s">
        <v>64</v>
      </c>
      <c r="K128" s="3" t="s">
        <v>65</v>
      </c>
      <c r="L128" s="2" t="s">
        <v>1002</v>
      </c>
      <c r="M128" s="2" t="s">
        <v>1003</v>
      </c>
      <c r="N128" s="3" t="s">
        <v>1004</v>
      </c>
      <c r="P128" s="3" t="s">
        <v>102</v>
      </c>
      <c r="R128" s="3" t="s">
        <v>70</v>
      </c>
      <c r="S128" s="4">
        <v>28</v>
      </c>
      <c r="T128" s="4">
        <v>28</v>
      </c>
      <c r="U128" s="5" t="s">
        <v>1005</v>
      </c>
      <c r="V128" s="5" t="s">
        <v>1005</v>
      </c>
      <c r="W128" s="5" t="s">
        <v>72</v>
      </c>
      <c r="X128" s="5" t="s">
        <v>72</v>
      </c>
      <c r="Y128" s="4">
        <v>419</v>
      </c>
      <c r="Z128" s="4">
        <v>29</v>
      </c>
      <c r="AA128" s="4">
        <v>35</v>
      </c>
      <c r="AB128" s="4">
        <v>3</v>
      </c>
      <c r="AC128" s="4">
        <v>5</v>
      </c>
      <c r="AD128" s="4">
        <v>108</v>
      </c>
      <c r="AE128" s="4">
        <v>120</v>
      </c>
      <c r="AF128" s="4">
        <v>1</v>
      </c>
      <c r="AG128" s="4">
        <v>3</v>
      </c>
      <c r="AH128" s="4">
        <v>95</v>
      </c>
      <c r="AI128" s="4">
        <v>105</v>
      </c>
      <c r="AJ128" s="4">
        <v>15</v>
      </c>
      <c r="AK128" s="4">
        <v>19</v>
      </c>
      <c r="AL128" s="4">
        <v>54</v>
      </c>
      <c r="AM128" s="4">
        <v>56</v>
      </c>
      <c r="AN128" s="4">
        <v>0</v>
      </c>
      <c r="AO128" s="4">
        <v>0</v>
      </c>
      <c r="AP128" s="4">
        <v>18</v>
      </c>
      <c r="AQ128" s="4">
        <v>22</v>
      </c>
      <c r="AR128" s="3" t="s">
        <v>64</v>
      </c>
      <c r="AS128" s="3" t="s">
        <v>64</v>
      </c>
      <c r="AT128" s="3" t="s">
        <v>64</v>
      </c>
      <c r="AV128" s="6" t="str">
        <f>HYPERLINK("http://mcgill.on.worldcat.org/oclc/10447820","Catalog Record")</f>
        <v>Catalog Record</v>
      </c>
      <c r="AW128" s="6" t="str">
        <f>HYPERLINK("http://www.worldcat.org/oclc/10447820","WorldCat Record")</f>
        <v>WorldCat Record</v>
      </c>
      <c r="AX128" s="3" t="s">
        <v>1006</v>
      </c>
      <c r="AY128" s="3" t="s">
        <v>1007</v>
      </c>
      <c r="AZ128" s="3" t="s">
        <v>1008</v>
      </c>
      <c r="BA128" s="3" t="s">
        <v>1008</v>
      </c>
      <c r="BB128" s="3" t="s">
        <v>1009</v>
      </c>
      <c r="BC128" s="3" t="s">
        <v>77</v>
      </c>
      <c r="BD128" s="3" t="s">
        <v>78</v>
      </c>
      <c r="BE128" s="3" t="s">
        <v>1010</v>
      </c>
      <c r="BF128" s="3" t="s">
        <v>1009</v>
      </c>
      <c r="BG128" s="3" t="s">
        <v>1011</v>
      </c>
      <c r="BH128">
        <f t="shared" si="4"/>
        <v>0</v>
      </c>
    </row>
    <row r="129" spans="1:60" ht="58" x14ac:dyDescent="0.35">
      <c r="A129" s="2" t="s">
        <v>59</v>
      </c>
      <c r="B129" s="2" t="s">
        <v>60</v>
      </c>
      <c r="C129" s="2" t="s">
        <v>1012</v>
      </c>
      <c r="D129" s="2" t="s">
        <v>1013</v>
      </c>
      <c r="E129" s="2" t="s">
        <v>1014</v>
      </c>
      <c r="G129" s="3" t="s">
        <v>64</v>
      </c>
      <c r="I129" s="3" t="s">
        <v>64</v>
      </c>
      <c r="J129" s="3" t="s">
        <v>64</v>
      </c>
      <c r="K129" s="3" t="s">
        <v>65</v>
      </c>
      <c r="L129" s="2" t="s">
        <v>1015</v>
      </c>
      <c r="M129" s="2" t="s">
        <v>1016</v>
      </c>
      <c r="N129" s="3" t="s">
        <v>1017</v>
      </c>
      <c r="P129" s="3" t="s">
        <v>944</v>
      </c>
      <c r="Q129" s="2" t="s">
        <v>1018</v>
      </c>
      <c r="R129" s="3" t="s">
        <v>70</v>
      </c>
      <c r="S129" s="4">
        <v>2</v>
      </c>
      <c r="T129" s="4">
        <v>2</v>
      </c>
      <c r="U129" s="5" t="s">
        <v>1019</v>
      </c>
      <c r="V129" s="5" t="s">
        <v>1019</v>
      </c>
      <c r="W129" s="5" t="s">
        <v>72</v>
      </c>
      <c r="X129" s="5" t="s">
        <v>72</v>
      </c>
      <c r="Y129" s="4">
        <v>155</v>
      </c>
      <c r="Z129" s="4">
        <v>10</v>
      </c>
      <c r="AA129" s="4">
        <v>15</v>
      </c>
      <c r="AB129" s="4">
        <v>1</v>
      </c>
      <c r="AC129" s="4">
        <v>2</v>
      </c>
      <c r="AD129" s="4">
        <v>66</v>
      </c>
      <c r="AE129" s="4">
        <v>71</v>
      </c>
      <c r="AF129" s="4">
        <v>0</v>
      </c>
      <c r="AG129" s="4">
        <v>1</v>
      </c>
      <c r="AH129" s="4">
        <v>61</v>
      </c>
      <c r="AI129" s="4">
        <v>65</v>
      </c>
      <c r="AJ129" s="4">
        <v>8</v>
      </c>
      <c r="AK129" s="4">
        <v>13</v>
      </c>
      <c r="AL129" s="4">
        <v>42</v>
      </c>
      <c r="AM129" s="4">
        <v>42</v>
      </c>
      <c r="AN129" s="4">
        <v>0</v>
      </c>
      <c r="AO129" s="4">
        <v>0</v>
      </c>
      <c r="AP129" s="4">
        <v>8</v>
      </c>
      <c r="AQ129" s="4">
        <v>12</v>
      </c>
      <c r="AR129" s="3" t="s">
        <v>64</v>
      </c>
      <c r="AS129" s="3" t="s">
        <v>64</v>
      </c>
      <c r="AT129" s="3" t="s">
        <v>64</v>
      </c>
      <c r="AV129" s="6" t="str">
        <f>HYPERLINK("http://mcgill.on.worldcat.org/oclc/187214","Catalog Record")</f>
        <v>Catalog Record</v>
      </c>
      <c r="AW129" s="6" t="str">
        <f>HYPERLINK("http://www.worldcat.org/oclc/187214","WorldCat Record")</f>
        <v>WorldCat Record</v>
      </c>
      <c r="AX129" s="3" t="s">
        <v>1020</v>
      </c>
      <c r="AY129" s="3" t="s">
        <v>1021</v>
      </c>
      <c r="AZ129" s="3" t="s">
        <v>1022</v>
      </c>
      <c r="BA129" s="3" t="s">
        <v>1022</v>
      </c>
      <c r="BB129" s="3" t="s">
        <v>1023</v>
      </c>
      <c r="BC129" s="3" t="s">
        <v>77</v>
      </c>
      <c r="BD129" s="3" t="s">
        <v>78</v>
      </c>
      <c r="BF129" s="3" t="s">
        <v>1023</v>
      </c>
      <c r="BG129" s="3" t="s">
        <v>1024</v>
      </c>
      <c r="BH129">
        <f t="shared" si="4"/>
        <v>0</v>
      </c>
    </row>
    <row r="130" spans="1:60" ht="72.5" x14ac:dyDescent="0.35">
      <c r="A130" s="2" t="s">
        <v>59</v>
      </c>
      <c r="B130" s="2" t="s">
        <v>1025</v>
      </c>
      <c r="C130" s="2" t="s">
        <v>1026</v>
      </c>
      <c r="D130" s="2" t="s">
        <v>1027</v>
      </c>
      <c r="E130" s="2" t="s">
        <v>1028</v>
      </c>
      <c r="G130" s="3" t="s">
        <v>64</v>
      </c>
      <c r="I130" s="3" t="s">
        <v>64</v>
      </c>
      <c r="J130" s="3" t="s">
        <v>128</v>
      </c>
      <c r="K130" s="3" t="s">
        <v>65</v>
      </c>
      <c r="L130" s="2" t="s">
        <v>1029</v>
      </c>
      <c r="M130" s="2" t="s">
        <v>1030</v>
      </c>
      <c r="N130" s="3" t="s">
        <v>1031</v>
      </c>
      <c r="P130" s="3" t="s">
        <v>102</v>
      </c>
      <c r="Q130" s="2" t="s">
        <v>1032</v>
      </c>
      <c r="R130" s="3" t="s">
        <v>70</v>
      </c>
      <c r="S130" s="4">
        <v>28</v>
      </c>
      <c r="T130" s="4">
        <v>28</v>
      </c>
      <c r="U130" s="5" t="s">
        <v>1033</v>
      </c>
      <c r="V130" s="5" t="s">
        <v>1033</v>
      </c>
      <c r="W130" s="5" t="s">
        <v>72</v>
      </c>
      <c r="X130" s="5" t="s">
        <v>72</v>
      </c>
      <c r="Y130" s="4">
        <v>618</v>
      </c>
      <c r="Z130" s="4">
        <v>60</v>
      </c>
      <c r="AA130" s="4">
        <v>68</v>
      </c>
      <c r="AB130" s="4">
        <v>4</v>
      </c>
      <c r="AC130" s="4">
        <v>6</v>
      </c>
      <c r="AD130" s="4">
        <v>117</v>
      </c>
      <c r="AE130" s="4">
        <v>133</v>
      </c>
      <c r="AF130" s="4">
        <v>1</v>
      </c>
      <c r="AG130" s="4">
        <v>3</v>
      </c>
      <c r="AH130" s="4">
        <v>91</v>
      </c>
      <c r="AI130" s="4">
        <v>103</v>
      </c>
      <c r="AJ130" s="4">
        <v>19</v>
      </c>
      <c r="AK130" s="4">
        <v>23</v>
      </c>
      <c r="AL130" s="4">
        <v>51</v>
      </c>
      <c r="AM130" s="4">
        <v>57</v>
      </c>
      <c r="AN130" s="4">
        <v>0</v>
      </c>
      <c r="AO130" s="4">
        <v>0</v>
      </c>
      <c r="AP130" s="4">
        <v>32</v>
      </c>
      <c r="AQ130" s="4">
        <v>37</v>
      </c>
      <c r="AR130" s="3" t="s">
        <v>128</v>
      </c>
      <c r="AS130" s="3" t="s">
        <v>64</v>
      </c>
      <c r="AT130" s="3" t="s">
        <v>64</v>
      </c>
      <c r="AV130" s="6" t="str">
        <f>HYPERLINK("http://mcgill.on.worldcat.org/oclc/27643390","Catalog Record")</f>
        <v>Catalog Record</v>
      </c>
      <c r="AW130" s="6" t="str">
        <f>HYPERLINK("http://www.worldcat.org/oclc/27643390","WorldCat Record")</f>
        <v>WorldCat Record</v>
      </c>
      <c r="AX130" s="3" t="s">
        <v>1034</v>
      </c>
      <c r="AY130" s="3" t="s">
        <v>1035</v>
      </c>
      <c r="AZ130" s="3" t="s">
        <v>1036</v>
      </c>
      <c r="BA130" s="3" t="s">
        <v>1036</v>
      </c>
      <c r="BB130" s="3" t="s">
        <v>1037</v>
      </c>
      <c r="BC130" s="3" t="s">
        <v>77</v>
      </c>
      <c r="BD130" s="3" t="s">
        <v>78</v>
      </c>
      <c r="BE130" s="3" t="s">
        <v>1038</v>
      </c>
      <c r="BF130" s="3" t="s">
        <v>1037</v>
      </c>
      <c r="BG130" s="3" t="s">
        <v>1039</v>
      </c>
      <c r="BH130">
        <f t="shared" ref="BH130:BH193" si="5">IF(COUNTIF($BF$1:$BF$5431,BF130)=1,0,1)</f>
        <v>0</v>
      </c>
    </row>
    <row r="131" spans="1:60" ht="72.5" x14ac:dyDescent="0.35">
      <c r="A131" s="2" t="s">
        <v>1040</v>
      </c>
      <c r="B131" s="2" t="s">
        <v>1041</v>
      </c>
      <c r="C131" s="2" t="s">
        <v>1042</v>
      </c>
      <c r="D131" s="2" t="s">
        <v>1043</v>
      </c>
      <c r="E131" s="2" t="s">
        <v>1044</v>
      </c>
      <c r="G131" s="3" t="s">
        <v>64</v>
      </c>
      <c r="I131" s="3" t="s">
        <v>64</v>
      </c>
      <c r="J131" s="3" t="s">
        <v>64</v>
      </c>
      <c r="K131" s="3" t="s">
        <v>65</v>
      </c>
      <c r="L131" s="2" t="s">
        <v>1045</v>
      </c>
      <c r="M131" s="2" t="s">
        <v>1046</v>
      </c>
      <c r="N131" s="3" t="s">
        <v>1047</v>
      </c>
      <c r="O131" s="2" t="s">
        <v>1048</v>
      </c>
      <c r="P131" s="3" t="s">
        <v>102</v>
      </c>
      <c r="R131" s="3" t="s">
        <v>70</v>
      </c>
      <c r="S131" s="4">
        <v>12</v>
      </c>
      <c r="T131" s="4">
        <v>12</v>
      </c>
      <c r="U131" s="5" t="s">
        <v>1049</v>
      </c>
      <c r="V131" s="5" t="s">
        <v>1049</v>
      </c>
      <c r="W131" s="5" t="s">
        <v>72</v>
      </c>
      <c r="X131" s="5" t="s">
        <v>72</v>
      </c>
      <c r="Y131" s="4">
        <v>488</v>
      </c>
      <c r="Z131" s="4">
        <v>12</v>
      </c>
      <c r="AA131" s="4">
        <v>24</v>
      </c>
      <c r="AB131" s="4">
        <v>1</v>
      </c>
      <c r="AC131" s="4">
        <v>3</v>
      </c>
      <c r="AD131" s="4">
        <v>80</v>
      </c>
      <c r="AE131" s="4">
        <v>86</v>
      </c>
      <c r="AF131" s="4">
        <v>0</v>
      </c>
      <c r="AG131" s="4">
        <v>1</v>
      </c>
      <c r="AH131" s="4">
        <v>74</v>
      </c>
      <c r="AI131" s="4">
        <v>77</v>
      </c>
      <c r="AJ131" s="4">
        <v>4</v>
      </c>
      <c r="AK131" s="4">
        <v>9</v>
      </c>
      <c r="AL131" s="4">
        <v>42</v>
      </c>
      <c r="AM131" s="4">
        <v>43</v>
      </c>
      <c r="AN131" s="4">
        <v>0</v>
      </c>
      <c r="AO131" s="4">
        <v>0</v>
      </c>
      <c r="AP131" s="4">
        <v>6</v>
      </c>
      <c r="AQ131" s="4">
        <v>11</v>
      </c>
      <c r="AR131" s="3" t="s">
        <v>64</v>
      </c>
      <c r="AS131" s="3" t="s">
        <v>64</v>
      </c>
      <c r="AT131" s="3" t="s">
        <v>64</v>
      </c>
      <c r="AV131" s="6" t="str">
        <f>HYPERLINK("http://mcgill.on.worldcat.org/oclc/7945435","Catalog Record")</f>
        <v>Catalog Record</v>
      </c>
      <c r="AW131" s="6" t="str">
        <f>HYPERLINK("http://www.worldcat.org/oclc/7945435","WorldCat Record")</f>
        <v>WorldCat Record</v>
      </c>
      <c r="AX131" s="3" t="s">
        <v>1050</v>
      </c>
      <c r="AY131" s="3" t="s">
        <v>1051</v>
      </c>
      <c r="AZ131" s="3" t="s">
        <v>1052</v>
      </c>
      <c r="BA131" s="3" t="s">
        <v>1052</v>
      </c>
      <c r="BB131" s="3" t="s">
        <v>1053</v>
      </c>
      <c r="BC131" s="3" t="s">
        <v>77</v>
      </c>
      <c r="BD131" s="3" t="s">
        <v>78</v>
      </c>
      <c r="BE131" s="3" t="s">
        <v>1054</v>
      </c>
      <c r="BF131" s="3" t="s">
        <v>1053</v>
      </c>
      <c r="BG131" s="3" t="s">
        <v>1055</v>
      </c>
      <c r="BH131">
        <f t="shared" si="5"/>
        <v>0</v>
      </c>
    </row>
    <row r="132" spans="1:60" ht="58" x14ac:dyDescent="0.35">
      <c r="A132" s="2" t="s">
        <v>59</v>
      </c>
      <c r="B132" s="2" t="s">
        <v>60</v>
      </c>
      <c r="C132" s="2" t="s">
        <v>1056</v>
      </c>
      <c r="D132" s="2" t="s">
        <v>1057</v>
      </c>
      <c r="E132" s="2" t="s">
        <v>1058</v>
      </c>
      <c r="G132" s="3" t="s">
        <v>64</v>
      </c>
      <c r="I132" s="3" t="s">
        <v>128</v>
      </c>
      <c r="J132" s="3" t="s">
        <v>64</v>
      </c>
      <c r="K132" s="3" t="s">
        <v>65</v>
      </c>
      <c r="L132" s="2" t="s">
        <v>1059</v>
      </c>
      <c r="M132" s="2" t="s">
        <v>1060</v>
      </c>
      <c r="N132" s="3" t="s">
        <v>1061</v>
      </c>
      <c r="P132" s="3" t="s">
        <v>102</v>
      </c>
      <c r="R132" s="3" t="s">
        <v>70</v>
      </c>
      <c r="S132" s="4">
        <v>16</v>
      </c>
      <c r="T132" s="4">
        <v>56</v>
      </c>
      <c r="U132" s="5" t="s">
        <v>243</v>
      </c>
      <c r="V132" s="5" t="s">
        <v>243</v>
      </c>
      <c r="W132" s="5" t="s">
        <v>72</v>
      </c>
      <c r="X132" s="5" t="s">
        <v>72</v>
      </c>
      <c r="Y132" s="4">
        <v>753</v>
      </c>
      <c r="Z132" s="4">
        <v>45</v>
      </c>
      <c r="AA132" s="4">
        <v>67</v>
      </c>
      <c r="AB132" s="4">
        <v>4</v>
      </c>
      <c r="AC132" s="4">
        <v>12</v>
      </c>
      <c r="AD132" s="4">
        <v>135</v>
      </c>
      <c r="AE132" s="4">
        <v>149</v>
      </c>
      <c r="AF132" s="4">
        <v>2</v>
      </c>
      <c r="AG132" s="4">
        <v>6</v>
      </c>
      <c r="AH132" s="4">
        <v>111</v>
      </c>
      <c r="AI132" s="4">
        <v>113</v>
      </c>
      <c r="AJ132" s="4">
        <v>20</v>
      </c>
      <c r="AK132" s="4">
        <v>25</v>
      </c>
      <c r="AL132" s="4">
        <v>58</v>
      </c>
      <c r="AM132" s="4">
        <v>60</v>
      </c>
      <c r="AN132" s="4">
        <v>0</v>
      </c>
      <c r="AO132" s="4">
        <v>0</v>
      </c>
      <c r="AP132" s="4">
        <v>32</v>
      </c>
      <c r="AQ132" s="4">
        <v>43</v>
      </c>
      <c r="AR132" s="3" t="s">
        <v>64</v>
      </c>
      <c r="AS132" s="3" t="s">
        <v>64</v>
      </c>
      <c r="AT132" s="3" t="s">
        <v>64</v>
      </c>
      <c r="AV132" s="6" t="str">
        <f>HYPERLINK("http://mcgill.on.worldcat.org/oclc/11315776","Catalog Record")</f>
        <v>Catalog Record</v>
      </c>
      <c r="AW132" s="6" t="str">
        <f>HYPERLINK("http://www.worldcat.org/oclc/11315776","WorldCat Record")</f>
        <v>WorldCat Record</v>
      </c>
      <c r="AX132" s="3" t="s">
        <v>1062</v>
      </c>
      <c r="AY132" s="3" t="s">
        <v>1063</v>
      </c>
      <c r="AZ132" s="3" t="s">
        <v>1064</v>
      </c>
      <c r="BA132" s="3" t="s">
        <v>1064</v>
      </c>
      <c r="BB132" s="3" t="s">
        <v>1065</v>
      </c>
      <c r="BC132" s="3" t="s">
        <v>77</v>
      </c>
      <c r="BD132" s="3" t="s">
        <v>78</v>
      </c>
      <c r="BE132" s="3" t="s">
        <v>1066</v>
      </c>
      <c r="BF132" s="3" t="s">
        <v>1065</v>
      </c>
      <c r="BG132" s="3" t="s">
        <v>1067</v>
      </c>
      <c r="BH132">
        <f t="shared" si="5"/>
        <v>0</v>
      </c>
    </row>
    <row r="133" spans="1:60" ht="58" x14ac:dyDescent="0.35">
      <c r="A133" s="2" t="s">
        <v>59</v>
      </c>
      <c r="B133" s="2" t="s">
        <v>60</v>
      </c>
      <c r="C133" s="2" t="s">
        <v>1056</v>
      </c>
      <c r="D133" s="2" t="s">
        <v>1057</v>
      </c>
      <c r="E133" s="2" t="s">
        <v>1058</v>
      </c>
      <c r="G133" s="3" t="s">
        <v>64</v>
      </c>
      <c r="I133" s="3" t="s">
        <v>128</v>
      </c>
      <c r="J133" s="3" t="s">
        <v>64</v>
      </c>
      <c r="K133" s="3" t="s">
        <v>65</v>
      </c>
      <c r="L133" s="2" t="s">
        <v>1059</v>
      </c>
      <c r="M133" s="2" t="s">
        <v>1060</v>
      </c>
      <c r="N133" s="3" t="s">
        <v>1061</v>
      </c>
      <c r="P133" s="3" t="s">
        <v>102</v>
      </c>
      <c r="R133" s="3" t="s">
        <v>70</v>
      </c>
      <c r="S133" s="4">
        <v>40</v>
      </c>
      <c r="T133" s="4">
        <v>56</v>
      </c>
      <c r="U133" s="5" t="s">
        <v>1068</v>
      </c>
      <c r="V133" s="5" t="s">
        <v>243</v>
      </c>
      <c r="W133" s="5" t="s">
        <v>72</v>
      </c>
      <c r="X133" s="5" t="s">
        <v>72</v>
      </c>
      <c r="Y133" s="4">
        <v>753</v>
      </c>
      <c r="Z133" s="4">
        <v>45</v>
      </c>
      <c r="AA133" s="4">
        <v>67</v>
      </c>
      <c r="AB133" s="4">
        <v>4</v>
      </c>
      <c r="AC133" s="4">
        <v>12</v>
      </c>
      <c r="AD133" s="4">
        <v>135</v>
      </c>
      <c r="AE133" s="4">
        <v>149</v>
      </c>
      <c r="AF133" s="4">
        <v>2</v>
      </c>
      <c r="AG133" s="4">
        <v>6</v>
      </c>
      <c r="AH133" s="4">
        <v>111</v>
      </c>
      <c r="AI133" s="4">
        <v>113</v>
      </c>
      <c r="AJ133" s="4">
        <v>20</v>
      </c>
      <c r="AK133" s="4">
        <v>25</v>
      </c>
      <c r="AL133" s="4">
        <v>58</v>
      </c>
      <c r="AM133" s="4">
        <v>60</v>
      </c>
      <c r="AN133" s="4">
        <v>0</v>
      </c>
      <c r="AO133" s="4">
        <v>0</v>
      </c>
      <c r="AP133" s="4">
        <v>32</v>
      </c>
      <c r="AQ133" s="4">
        <v>43</v>
      </c>
      <c r="AR133" s="3" t="s">
        <v>64</v>
      </c>
      <c r="AS133" s="3" t="s">
        <v>64</v>
      </c>
      <c r="AT133" s="3" t="s">
        <v>64</v>
      </c>
      <c r="AV133" s="6" t="str">
        <f>HYPERLINK("http://mcgill.on.worldcat.org/oclc/11315776","Catalog Record")</f>
        <v>Catalog Record</v>
      </c>
      <c r="AW133" s="6" t="str">
        <f>HYPERLINK("http://www.worldcat.org/oclc/11315776","WorldCat Record")</f>
        <v>WorldCat Record</v>
      </c>
      <c r="AX133" s="3" t="s">
        <v>1062</v>
      </c>
      <c r="AY133" s="3" t="s">
        <v>1063</v>
      </c>
      <c r="AZ133" s="3" t="s">
        <v>1064</v>
      </c>
      <c r="BA133" s="3" t="s">
        <v>1064</v>
      </c>
      <c r="BB133" s="3" t="s">
        <v>1069</v>
      </c>
      <c r="BC133" s="3" t="s">
        <v>77</v>
      </c>
      <c r="BD133" s="3" t="s">
        <v>78</v>
      </c>
      <c r="BE133" s="3" t="s">
        <v>1066</v>
      </c>
      <c r="BF133" s="3" t="s">
        <v>1069</v>
      </c>
      <c r="BG133" s="3" t="s">
        <v>1070</v>
      </c>
      <c r="BH133">
        <f t="shared" si="5"/>
        <v>0</v>
      </c>
    </row>
    <row r="134" spans="1:60" ht="58" x14ac:dyDescent="0.35">
      <c r="A134" s="2" t="s">
        <v>59</v>
      </c>
      <c r="B134" s="2" t="s">
        <v>60</v>
      </c>
      <c r="C134" s="2" t="s">
        <v>1071</v>
      </c>
      <c r="D134" s="2" t="s">
        <v>1072</v>
      </c>
      <c r="E134" s="2" t="s">
        <v>1073</v>
      </c>
      <c r="G134" s="3" t="s">
        <v>64</v>
      </c>
      <c r="I134" s="3" t="s">
        <v>64</v>
      </c>
      <c r="J134" s="3" t="s">
        <v>64</v>
      </c>
      <c r="K134" s="3" t="s">
        <v>65</v>
      </c>
      <c r="M134" s="2" t="s">
        <v>1074</v>
      </c>
      <c r="N134" s="3" t="s">
        <v>1075</v>
      </c>
      <c r="P134" s="3" t="s">
        <v>102</v>
      </c>
      <c r="Q134" s="2" t="s">
        <v>1076</v>
      </c>
      <c r="R134" s="3" t="s">
        <v>70</v>
      </c>
      <c r="S134" s="4">
        <v>10</v>
      </c>
      <c r="T134" s="4">
        <v>10</v>
      </c>
      <c r="U134" s="5" t="s">
        <v>367</v>
      </c>
      <c r="V134" s="5" t="s">
        <v>367</v>
      </c>
      <c r="W134" s="5" t="s">
        <v>72</v>
      </c>
      <c r="X134" s="5" t="s">
        <v>72</v>
      </c>
      <c r="Y134" s="4">
        <v>124</v>
      </c>
      <c r="Z134" s="4">
        <v>13</v>
      </c>
      <c r="AA134" s="4">
        <v>14</v>
      </c>
      <c r="AB134" s="4">
        <v>1</v>
      </c>
      <c r="AC134" s="4">
        <v>2</v>
      </c>
      <c r="AD134" s="4">
        <v>54</v>
      </c>
      <c r="AE134" s="4">
        <v>58</v>
      </c>
      <c r="AF134" s="4">
        <v>0</v>
      </c>
      <c r="AG134" s="4">
        <v>1</v>
      </c>
      <c r="AH134" s="4">
        <v>50</v>
      </c>
      <c r="AI134" s="4">
        <v>54</v>
      </c>
      <c r="AJ134" s="4">
        <v>7</v>
      </c>
      <c r="AK134" s="4">
        <v>8</v>
      </c>
      <c r="AL134" s="4">
        <v>32</v>
      </c>
      <c r="AM134" s="4">
        <v>34</v>
      </c>
      <c r="AN134" s="4">
        <v>0</v>
      </c>
      <c r="AO134" s="4">
        <v>0</v>
      </c>
      <c r="AP134" s="4">
        <v>8</v>
      </c>
      <c r="AQ134" s="4">
        <v>9</v>
      </c>
      <c r="AR134" s="3" t="s">
        <v>64</v>
      </c>
      <c r="AS134" s="3" t="s">
        <v>64</v>
      </c>
      <c r="AT134" s="3" t="s">
        <v>64</v>
      </c>
      <c r="AV134" s="6" t="str">
        <f>HYPERLINK("http://mcgill.on.worldcat.org/oclc/788271991","Catalog Record")</f>
        <v>Catalog Record</v>
      </c>
      <c r="AW134" s="6" t="str">
        <f>HYPERLINK("http://www.worldcat.org/oclc/788271991","WorldCat Record")</f>
        <v>WorldCat Record</v>
      </c>
      <c r="AX134" s="3" t="s">
        <v>1077</v>
      </c>
      <c r="AY134" s="3" t="s">
        <v>1078</v>
      </c>
      <c r="AZ134" s="3" t="s">
        <v>1079</v>
      </c>
      <c r="BA134" s="3" t="s">
        <v>1079</v>
      </c>
      <c r="BB134" s="3" t="s">
        <v>1080</v>
      </c>
      <c r="BC134" s="3" t="s">
        <v>77</v>
      </c>
      <c r="BD134" s="3" t="s">
        <v>165</v>
      </c>
      <c r="BE134" s="3" t="s">
        <v>1081</v>
      </c>
      <c r="BF134" s="3" t="s">
        <v>1080</v>
      </c>
      <c r="BG134" s="3" t="s">
        <v>1082</v>
      </c>
      <c r="BH134">
        <f t="shared" si="5"/>
        <v>0</v>
      </c>
    </row>
    <row r="135" spans="1:60" ht="72.5" x14ac:dyDescent="0.35">
      <c r="A135" s="2" t="s">
        <v>59</v>
      </c>
      <c r="B135" s="2" t="s">
        <v>1025</v>
      </c>
      <c r="C135" s="2" t="s">
        <v>1083</v>
      </c>
      <c r="D135" s="2" t="s">
        <v>1084</v>
      </c>
      <c r="E135" s="2" t="s">
        <v>1085</v>
      </c>
      <c r="G135" s="3" t="s">
        <v>64</v>
      </c>
      <c r="I135" s="3" t="s">
        <v>64</v>
      </c>
      <c r="J135" s="3" t="s">
        <v>64</v>
      </c>
      <c r="K135" s="3" t="s">
        <v>65</v>
      </c>
      <c r="M135" s="2" t="s">
        <v>1086</v>
      </c>
      <c r="N135" s="3" t="s">
        <v>1087</v>
      </c>
      <c r="P135" s="3" t="s">
        <v>102</v>
      </c>
      <c r="R135" s="3" t="s">
        <v>70</v>
      </c>
      <c r="S135" s="4">
        <v>16</v>
      </c>
      <c r="T135" s="4">
        <v>16</v>
      </c>
      <c r="U135" s="5" t="s">
        <v>1088</v>
      </c>
      <c r="V135" s="5" t="s">
        <v>1088</v>
      </c>
      <c r="W135" s="5" t="s">
        <v>72</v>
      </c>
      <c r="X135" s="5" t="s">
        <v>72</v>
      </c>
      <c r="Y135" s="4">
        <v>306</v>
      </c>
      <c r="Z135" s="4">
        <v>15</v>
      </c>
      <c r="AA135" s="4">
        <v>21</v>
      </c>
      <c r="AB135" s="4">
        <v>2</v>
      </c>
      <c r="AC135" s="4">
        <v>7</v>
      </c>
      <c r="AD135" s="4">
        <v>83</v>
      </c>
      <c r="AE135" s="4">
        <v>86</v>
      </c>
      <c r="AF135" s="4">
        <v>1</v>
      </c>
      <c r="AG135" s="4">
        <v>3</v>
      </c>
      <c r="AH135" s="4">
        <v>76</v>
      </c>
      <c r="AI135" s="4">
        <v>77</v>
      </c>
      <c r="AJ135" s="4">
        <v>9</v>
      </c>
      <c r="AK135" s="4">
        <v>12</v>
      </c>
      <c r="AL135" s="4">
        <v>51</v>
      </c>
      <c r="AM135" s="4">
        <v>51</v>
      </c>
      <c r="AN135" s="4">
        <v>0</v>
      </c>
      <c r="AO135" s="4">
        <v>0</v>
      </c>
      <c r="AP135" s="4">
        <v>10</v>
      </c>
      <c r="AQ135" s="4">
        <v>12</v>
      </c>
      <c r="AR135" s="3" t="s">
        <v>64</v>
      </c>
      <c r="AS135" s="3" t="s">
        <v>64</v>
      </c>
      <c r="AT135" s="3" t="s">
        <v>128</v>
      </c>
      <c r="AU135" s="6" t="str">
        <f>HYPERLINK("http://catalog.hathitrust.org/Record/003844852","HathiTrust Record")</f>
        <v>HathiTrust Record</v>
      </c>
      <c r="AV135" s="6" t="str">
        <f>HYPERLINK("http://mcgill.on.worldcat.org/oclc/23355389","Catalog Record")</f>
        <v>Catalog Record</v>
      </c>
      <c r="AW135" s="6" t="str">
        <f>HYPERLINK("http://www.worldcat.org/oclc/23355389","WorldCat Record")</f>
        <v>WorldCat Record</v>
      </c>
      <c r="AX135" s="3" t="s">
        <v>1089</v>
      </c>
      <c r="AY135" s="3" t="s">
        <v>1090</v>
      </c>
      <c r="AZ135" s="3" t="s">
        <v>1091</v>
      </c>
      <c r="BA135" s="3" t="s">
        <v>1091</v>
      </c>
      <c r="BB135" s="3" t="s">
        <v>1092</v>
      </c>
      <c r="BC135" s="3" t="s">
        <v>77</v>
      </c>
      <c r="BD135" s="3" t="s">
        <v>165</v>
      </c>
      <c r="BE135" s="3" t="s">
        <v>1093</v>
      </c>
      <c r="BF135" s="3" t="s">
        <v>1092</v>
      </c>
      <c r="BG135" s="3" t="s">
        <v>1094</v>
      </c>
      <c r="BH135">
        <f t="shared" si="5"/>
        <v>0</v>
      </c>
    </row>
    <row r="136" spans="1:60" ht="72.5" x14ac:dyDescent="0.35">
      <c r="A136" s="2" t="s">
        <v>59</v>
      </c>
      <c r="B136" s="2" t="s">
        <v>1025</v>
      </c>
      <c r="C136" s="2" t="s">
        <v>1095</v>
      </c>
      <c r="D136" s="2" t="s">
        <v>1096</v>
      </c>
      <c r="E136" s="2" t="s">
        <v>1097</v>
      </c>
      <c r="F136" s="3" t="s">
        <v>478</v>
      </c>
      <c r="G136" s="3" t="s">
        <v>128</v>
      </c>
      <c r="I136" s="3" t="s">
        <v>64</v>
      </c>
      <c r="J136" s="3" t="s">
        <v>64</v>
      </c>
      <c r="K136" s="3" t="s">
        <v>65</v>
      </c>
      <c r="L136" s="2" t="s">
        <v>1098</v>
      </c>
      <c r="M136" s="2" t="s">
        <v>1099</v>
      </c>
      <c r="N136" s="3" t="s">
        <v>378</v>
      </c>
      <c r="P136" s="3" t="s">
        <v>102</v>
      </c>
      <c r="Q136" s="2" t="s">
        <v>1100</v>
      </c>
      <c r="R136" s="3" t="s">
        <v>70</v>
      </c>
      <c r="S136" s="4">
        <v>10</v>
      </c>
      <c r="T136" s="4">
        <v>21</v>
      </c>
      <c r="U136" s="5" t="s">
        <v>1101</v>
      </c>
      <c r="V136" s="5" t="s">
        <v>1102</v>
      </c>
      <c r="W136" s="5" t="s">
        <v>72</v>
      </c>
      <c r="X136" s="5" t="s">
        <v>72</v>
      </c>
      <c r="Y136" s="4">
        <v>185</v>
      </c>
      <c r="Z136" s="4">
        <v>15</v>
      </c>
      <c r="AA136" s="4">
        <v>15</v>
      </c>
      <c r="AB136" s="4">
        <v>1</v>
      </c>
      <c r="AC136" s="4">
        <v>1</v>
      </c>
      <c r="AD136" s="4">
        <v>76</v>
      </c>
      <c r="AE136" s="4">
        <v>76</v>
      </c>
      <c r="AF136" s="4">
        <v>0</v>
      </c>
      <c r="AG136" s="4">
        <v>0</v>
      </c>
      <c r="AH136" s="4">
        <v>71</v>
      </c>
      <c r="AI136" s="4">
        <v>71</v>
      </c>
      <c r="AJ136" s="4">
        <v>9</v>
      </c>
      <c r="AK136" s="4">
        <v>9</v>
      </c>
      <c r="AL136" s="4">
        <v>47</v>
      </c>
      <c r="AM136" s="4">
        <v>47</v>
      </c>
      <c r="AN136" s="4">
        <v>0</v>
      </c>
      <c r="AO136" s="4">
        <v>0</v>
      </c>
      <c r="AP136" s="4">
        <v>11</v>
      </c>
      <c r="AQ136" s="4">
        <v>11</v>
      </c>
      <c r="AR136" s="3" t="s">
        <v>64</v>
      </c>
      <c r="AS136" s="3" t="s">
        <v>64</v>
      </c>
      <c r="AT136" s="3" t="s">
        <v>128</v>
      </c>
      <c r="AU136" s="6" t="str">
        <f>HYPERLINK("http://catalog.hathitrust.org/Record/000866515","HathiTrust Record")</f>
        <v>HathiTrust Record</v>
      </c>
      <c r="AV136" s="6" t="str">
        <f>HYPERLINK("http://mcgill.on.worldcat.org/oclc/13787961","Catalog Record")</f>
        <v>Catalog Record</v>
      </c>
      <c r="AW136" s="6" t="str">
        <f>HYPERLINK("http://www.worldcat.org/oclc/13787961","WorldCat Record")</f>
        <v>WorldCat Record</v>
      </c>
      <c r="AX136" s="3" t="s">
        <v>1103</v>
      </c>
      <c r="AY136" s="3" t="s">
        <v>1104</v>
      </c>
      <c r="AZ136" s="3" t="s">
        <v>1105</v>
      </c>
      <c r="BA136" s="3" t="s">
        <v>1105</v>
      </c>
      <c r="BB136" s="3" t="s">
        <v>1106</v>
      </c>
      <c r="BC136" s="3" t="s">
        <v>77</v>
      </c>
      <c r="BD136" s="3" t="s">
        <v>78</v>
      </c>
      <c r="BF136" s="3" t="s">
        <v>1106</v>
      </c>
      <c r="BG136" s="3" t="s">
        <v>1107</v>
      </c>
      <c r="BH136">
        <f t="shared" si="5"/>
        <v>0</v>
      </c>
    </row>
    <row r="137" spans="1:60" ht="72.5" x14ac:dyDescent="0.35">
      <c r="A137" s="2" t="s">
        <v>59</v>
      </c>
      <c r="B137" s="2" t="s">
        <v>1025</v>
      </c>
      <c r="C137" s="2" t="s">
        <v>1095</v>
      </c>
      <c r="D137" s="2" t="s">
        <v>1096</v>
      </c>
      <c r="E137" s="2" t="s">
        <v>1097</v>
      </c>
      <c r="F137" s="3" t="s">
        <v>489</v>
      </c>
      <c r="G137" s="3" t="s">
        <v>128</v>
      </c>
      <c r="I137" s="3" t="s">
        <v>64</v>
      </c>
      <c r="J137" s="3" t="s">
        <v>64</v>
      </c>
      <c r="K137" s="3" t="s">
        <v>65</v>
      </c>
      <c r="L137" s="2" t="s">
        <v>1098</v>
      </c>
      <c r="M137" s="2" t="s">
        <v>1099</v>
      </c>
      <c r="N137" s="3" t="s">
        <v>378</v>
      </c>
      <c r="P137" s="3" t="s">
        <v>102</v>
      </c>
      <c r="Q137" s="2" t="s">
        <v>1100</v>
      </c>
      <c r="R137" s="3" t="s">
        <v>70</v>
      </c>
      <c r="S137" s="4">
        <v>11</v>
      </c>
      <c r="T137" s="4">
        <v>21</v>
      </c>
      <c r="U137" s="5" t="s">
        <v>1102</v>
      </c>
      <c r="V137" s="5" t="s">
        <v>1102</v>
      </c>
      <c r="W137" s="5" t="s">
        <v>72</v>
      </c>
      <c r="X137" s="5" t="s">
        <v>72</v>
      </c>
      <c r="Y137" s="4">
        <v>185</v>
      </c>
      <c r="Z137" s="4">
        <v>15</v>
      </c>
      <c r="AA137" s="4">
        <v>15</v>
      </c>
      <c r="AB137" s="4">
        <v>1</v>
      </c>
      <c r="AC137" s="4">
        <v>1</v>
      </c>
      <c r="AD137" s="4">
        <v>76</v>
      </c>
      <c r="AE137" s="4">
        <v>76</v>
      </c>
      <c r="AF137" s="4">
        <v>0</v>
      </c>
      <c r="AG137" s="4">
        <v>0</v>
      </c>
      <c r="AH137" s="4">
        <v>71</v>
      </c>
      <c r="AI137" s="4">
        <v>71</v>
      </c>
      <c r="AJ137" s="4">
        <v>9</v>
      </c>
      <c r="AK137" s="4">
        <v>9</v>
      </c>
      <c r="AL137" s="4">
        <v>47</v>
      </c>
      <c r="AM137" s="4">
        <v>47</v>
      </c>
      <c r="AN137" s="4">
        <v>0</v>
      </c>
      <c r="AO137" s="4">
        <v>0</v>
      </c>
      <c r="AP137" s="4">
        <v>11</v>
      </c>
      <c r="AQ137" s="4">
        <v>11</v>
      </c>
      <c r="AR137" s="3" t="s">
        <v>64</v>
      </c>
      <c r="AS137" s="3" t="s">
        <v>64</v>
      </c>
      <c r="AT137" s="3" t="s">
        <v>128</v>
      </c>
      <c r="AU137" s="6" t="str">
        <f>HYPERLINK("http://catalog.hathitrust.org/Record/000866515","HathiTrust Record")</f>
        <v>HathiTrust Record</v>
      </c>
      <c r="AV137" s="6" t="str">
        <f>HYPERLINK("http://mcgill.on.worldcat.org/oclc/13787961","Catalog Record")</f>
        <v>Catalog Record</v>
      </c>
      <c r="AW137" s="6" t="str">
        <f>HYPERLINK("http://www.worldcat.org/oclc/13787961","WorldCat Record")</f>
        <v>WorldCat Record</v>
      </c>
      <c r="AX137" s="3" t="s">
        <v>1103</v>
      </c>
      <c r="AY137" s="3" t="s">
        <v>1104</v>
      </c>
      <c r="AZ137" s="3" t="s">
        <v>1105</v>
      </c>
      <c r="BA137" s="3" t="s">
        <v>1105</v>
      </c>
      <c r="BB137" s="3" t="s">
        <v>1108</v>
      </c>
      <c r="BC137" s="3" t="s">
        <v>77</v>
      </c>
      <c r="BD137" s="3" t="s">
        <v>78</v>
      </c>
      <c r="BF137" s="3" t="s">
        <v>1108</v>
      </c>
      <c r="BG137" s="3" t="s">
        <v>1109</v>
      </c>
      <c r="BH137">
        <f t="shared" si="5"/>
        <v>0</v>
      </c>
    </row>
    <row r="138" spans="1:60" ht="58" x14ac:dyDescent="0.35">
      <c r="A138" s="2" t="s">
        <v>59</v>
      </c>
      <c r="B138" s="2" t="s">
        <v>60</v>
      </c>
      <c r="C138" s="2" t="s">
        <v>1110</v>
      </c>
      <c r="D138" s="2" t="s">
        <v>1111</v>
      </c>
      <c r="E138" s="2" t="s">
        <v>1112</v>
      </c>
      <c r="G138" s="3" t="s">
        <v>64</v>
      </c>
      <c r="I138" s="3" t="s">
        <v>64</v>
      </c>
      <c r="J138" s="3" t="s">
        <v>64</v>
      </c>
      <c r="K138" s="3" t="s">
        <v>65</v>
      </c>
      <c r="L138" s="2" t="s">
        <v>1113</v>
      </c>
      <c r="M138" s="2" t="s">
        <v>1114</v>
      </c>
      <c r="N138" s="3" t="s">
        <v>1087</v>
      </c>
      <c r="P138" s="3" t="s">
        <v>102</v>
      </c>
      <c r="Q138" s="2" t="s">
        <v>1115</v>
      </c>
      <c r="R138" s="3" t="s">
        <v>70</v>
      </c>
      <c r="S138" s="4">
        <v>21</v>
      </c>
      <c r="T138" s="4">
        <v>21</v>
      </c>
      <c r="U138" s="5" t="s">
        <v>1116</v>
      </c>
      <c r="V138" s="5" t="s">
        <v>1116</v>
      </c>
      <c r="W138" s="5" t="s">
        <v>72</v>
      </c>
      <c r="X138" s="5" t="s">
        <v>72</v>
      </c>
      <c r="Y138" s="4">
        <v>450</v>
      </c>
      <c r="Z138" s="4">
        <v>29</v>
      </c>
      <c r="AA138" s="4">
        <v>31</v>
      </c>
      <c r="AB138" s="4">
        <v>2</v>
      </c>
      <c r="AC138" s="4">
        <v>4</v>
      </c>
      <c r="AD138" s="4">
        <v>113</v>
      </c>
      <c r="AE138" s="4">
        <v>115</v>
      </c>
      <c r="AF138" s="4">
        <v>1</v>
      </c>
      <c r="AG138" s="4">
        <v>3</v>
      </c>
      <c r="AH138" s="4">
        <v>98</v>
      </c>
      <c r="AI138" s="4">
        <v>99</v>
      </c>
      <c r="AJ138" s="4">
        <v>15</v>
      </c>
      <c r="AK138" s="4">
        <v>17</v>
      </c>
      <c r="AL138" s="4">
        <v>53</v>
      </c>
      <c r="AM138" s="4">
        <v>53</v>
      </c>
      <c r="AN138" s="4">
        <v>0</v>
      </c>
      <c r="AO138" s="4">
        <v>0</v>
      </c>
      <c r="AP138" s="4">
        <v>22</v>
      </c>
      <c r="AQ138" s="4">
        <v>23</v>
      </c>
      <c r="AR138" s="3" t="s">
        <v>64</v>
      </c>
      <c r="AS138" s="3" t="s">
        <v>64</v>
      </c>
      <c r="AT138" s="3" t="s">
        <v>128</v>
      </c>
      <c r="AU138" s="6" t="str">
        <f>HYPERLINK("http://catalog.hathitrust.org/Record/003270640","HathiTrust Record")</f>
        <v>HathiTrust Record</v>
      </c>
      <c r="AV138" s="6" t="str">
        <f>HYPERLINK("http://mcgill.on.worldcat.org/oclc/20055977","Catalog Record")</f>
        <v>Catalog Record</v>
      </c>
      <c r="AW138" s="6" t="str">
        <f>HYPERLINK("http://www.worldcat.org/oclc/20055977","WorldCat Record")</f>
        <v>WorldCat Record</v>
      </c>
      <c r="AX138" s="3" t="s">
        <v>1117</v>
      </c>
      <c r="AY138" s="3" t="s">
        <v>1118</v>
      </c>
      <c r="AZ138" s="3" t="s">
        <v>1119</v>
      </c>
      <c r="BA138" s="3" t="s">
        <v>1119</v>
      </c>
      <c r="BB138" s="3" t="s">
        <v>1120</v>
      </c>
      <c r="BC138" s="3" t="s">
        <v>77</v>
      </c>
      <c r="BD138" s="3" t="s">
        <v>78</v>
      </c>
      <c r="BE138" s="3" t="s">
        <v>1121</v>
      </c>
      <c r="BF138" s="3" t="s">
        <v>1120</v>
      </c>
      <c r="BG138" s="3" t="s">
        <v>1122</v>
      </c>
      <c r="BH138">
        <f t="shared" si="5"/>
        <v>0</v>
      </c>
    </row>
    <row r="139" spans="1:60" ht="58" x14ac:dyDescent="0.35">
      <c r="A139" s="2" t="s">
        <v>59</v>
      </c>
      <c r="B139" s="2" t="s">
        <v>60</v>
      </c>
      <c r="C139" s="2" t="s">
        <v>1123</v>
      </c>
      <c r="D139" s="2" t="s">
        <v>1124</v>
      </c>
      <c r="E139" s="2" t="s">
        <v>1125</v>
      </c>
      <c r="G139" s="3" t="s">
        <v>64</v>
      </c>
      <c r="I139" s="3" t="s">
        <v>64</v>
      </c>
      <c r="J139" s="3" t="s">
        <v>64</v>
      </c>
      <c r="K139" s="3" t="s">
        <v>65</v>
      </c>
      <c r="M139" s="2" t="s">
        <v>1126</v>
      </c>
      <c r="N139" s="3" t="s">
        <v>1075</v>
      </c>
      <c r="P139" s="3" t="s">
        <v>102</v>
      </c>
      <c r="Q139" s="2" t="s">
        <v>1127</v>
      </c>
      <c r="R139" s="3" t="s">
        <v>70</v>
      </c>
      <c r="S139" s="4">
        <v>2</v>
      </c>
      <c r="T139" s="4">
        <v>2</v>
      </c>
      <c r="U139" s="5" t="s">
        <v>1128</v>
      </c>
      <c r="V139" s="5" t="s">
        <v>1128</v>
      </c>
      <c r="W139" s="5" t="s">
        <v>72</v>
      </c>
      <c r="X139" s="5" t="s">
        <v>72</v>
      </c>
      <c r="Y139" s="4">
        <v>93</v>
      </c>
      <c r="Z139" s="4">
        <v>10</v>
      </c>
      <c r="AA139" s="4">
        <v>11</v>
      </c>
      <c r="AB139" s="4">
        <v>1</v>
      </c>
      <c r="AC139" s="4">
        <v>2</v>
      </c>
      <c r="AD139" s="4">
        <v>42</v>
      </c>
      <c r="AE139" s="4">
        <v>43</v>
      </c>
      <c r="AF139" s="4">
        <v>0</v>
      </c>
      <c r="AG139" s="4">
        <v>1</v>
      </c>
      <c r="AH139" s="4">
        <v>39</v>
      </c>
      <c r="AI139" s="4">
        <v>40</v>
      </c>
      <c r="AJ139" s="4">
        <v>7</v>
      </c>
      <c r="AK139" s="4">
        <v>8</v>
      </c>
      <c r="AL139" s="4">
        <v>26</v>
      </c>
      <c r="AM139" s="4">
        <v>26</v>
      </c>
      <c r="AN139" s="4">
        <v>0</v>
      </c>
      <c r="AO139" s="4">
        <v>0</v>
      </c>
      <c r="AP139" s="4">
        <v>7</v>
      </c>
      <c r="AQ139" s="4">
        <v>8</v>
      </c>
      <c r="AR139" s="3" t="s">
        <v>64</v>
      </c>
      <c r="AS139" s="3" t="s">
        <v>64</v>
      </c>
      <c r="AT139" s="3" t="s">
        <v>64</v>
      </c>
      <c r="AV139" s="6" t="str">
        <f>HYPERLINK("http://mcgill.on.worldcat.org/oclc/825746398","Catalog Record")</f>
        <v>Catalog Record</v>
      </c>
      <c r="AW139" s="6" t="str">
        <f>HYPERLINK("http://www.worldcat.org/oclc/825746398","WorldCat Record")</f>
        <v>WorldCat Record</v>
      </c>
      <c r="AX139" s="3" t="s">
        <v>1129</v>
      </c>
      <c r="AY139" s="3" t="s">
        <v>1130</v>
      </c>
      <c r="AZ139" s="3" t="s">
        <v>1131</v>
      </c>
      <c r="BA139" s="3" t="s">
        <v>1131</v>
      </c>
      <c r="BB139" s="3" t="s">
        <v>1132</v>
      </c>
      <c r="BC139" s="3" t="s">
        <v>77</v>
      </c>
      <c r="BD139" s="3" t="s">
        <v>78</v>
      </c>
      <c r="BE139" s="3" t="s">
        <v>1133</v>
      </c>
      <c r="BF139" s="3" t="s">
        <v>1132</v>
      </c>
      <c r="BG139" s="3" t="s">
        <v>1134</v>
      </c>
      <c r="BH139">
        <f t="shared" si="5"/>
        <v>0</v>
      </c>
    </row>
    <row r="140" spans="1:60" ht="58" x14ac:dyDescent="0.35">
      <c r="A140" s="2" t="s">
        <v>59</v>
      </c>
      <c r="B140" s="2" t="s">
        <v>60</v>
      </c>
      <c r="C140" s="2" t="s">
        <v>1135</v>
      </c>
      <c r="D140" s="2" t="s">
        <v>1136</v>
      </c>
      <c r="E140" s="2" t="s">
        <v>1137</v>
      </c>
      <c r="G140" s="3" t="s">
        <v>64</v>
      </c>
      <c r="I140" s="3" t="s">
        <v>64</v>
      </c>
      <c r="J140" s="3" t="s">
        <v>64</v>
      </c>
      <c r="K140" s="3" t="s">
        <v>65</v>
      </c>
      <c r="M140" s="2" t="s">
        <v>1138</v>
      </c>
      <c r="N140" s="3" t="s">
        <v>1075</v>
      </c>
      <c r="P140" s="3" t="s">
        <v>102</v>
      </c>
      <c r="Q140" s="2" t="s">
        <v>1139</v>
      </c>
      <c r="R140" s="3" t="s">
        <v>70</v>
      </c>
      <c r="S140" s="4">
        <v>6</v>
      </c>
      <c r="T140" s="4">
        <v>6</v>
      </c>
      <c r="U140" s="5" t="s">
        <v>1140</v>
      </c>
      <c r="V140" s="5" t="s">
        <v>1140</v>
      </c>
      <c r="W140" s="5" t="s">
        <v>72</v>
      </c>
      <c r="X140" s="5" t="s">
        <v>72</v>
      </c>
      <c r="Y140" s="4">
        <v>95</v>
      </c>
      <c r="Z140" s="4">
        <v>7</v>
      </c>
      <c r="AA140" s="4">
        <v>10</v>
      </c>
      <c r="AB140" s="4">
        <v>1</v>
      </c>
      <c r="AC140" s="4">
        <v>4</v>
      </c>
      <c r="AD140" s="4">
        <v>35</v>
      </c>
      <c r="AE140" s="4">
        <v>37</v>
      </c>
      <c r="AF140" s="4">
        <v>0</v>
      </c>
      <c r="AG140" s="4">
        <v>0</v>
      </c>
      <c r="AH140" s="4">
        <v>33</v>
      </c>
      <c r="AI140" s="4">
        <v>35</v>
      </c>
      <c r="AJ140" s="4">
        <v>3</v>
      </c>
      <c r="AK140" s="4">
        <v>3</v>
      </c>
      <c r="AL140" s="4">
        <v>28</v>
      </c>
      <c r="AM140" s="4">
        <v>29</v>
      </c>
      <c r="AN140" s="4">
        <v>0</v>
      </c>
      <c r="AO140" s="4">
        <v>0</v>
      </c>
      <c r="AP140" s="4">
        <v>3</v>
      </c>
      <c r="AQ140" s="4">
        <v>3</v>
      </c>
      <c r="AR140" s="3" t="s">
        <v>64</v>
      </c>
      <c r="AS140" s="3" t="s">
        <v>64</v>
      </c>
      <c r="AT140" s="3" t="s">
        <v>64</v>
      </c>
      <c r="AV140" s="6" t="str">
        <f>HYPERLINK("http://mcgill.on.worldcat.org/oclc/816162740","Catalog Record")</f>
        <v>Catalog Record</v>
      </c>
      <c r="AW140" s="6" t="str">
        <f>HYPERLINK("http://www.worldcat.org/oclc/816162740","WorldCat Record")</f>
        <v>WorldCat Record</v>
      </c>
      <c r="AX140" s="3" t="s">
        <v>1141</v>
      </c>
      <c r="AY140" s="3" t="s">
        <v>1142</v>
      </c>
      <c r="AZ140" s="3" t="s">
        <v>1143</v>
      </c>
      <c r="BA140" s="3" t="s">
        <v>1143</v>
      </c>
      <c r="BB140" s="3" t="s">
        <v>1144</v>
      </c>
      <c r="BC140" s="3" t="s">
        <v>77</v>
      </c>
      <c r="BD140" s="3" t="s">
        <v>78</v>
      </c>
      <c r="BE140" s="3" t="s">
        <v>1145</v>
      </c>
      <c r="BF140" s="3" t="s">
        <v>1144</v>
      </c>
      <c r="BG140" s="3" t="s">
        <v>1146</v>
      </c>
      <c r="BH140">
        <f t="shared" si="5"/>
        <v>0</v>
      </c>
    </row>
    <row r="141" spans="1:60" ht="58" x14ac:dyDescent="0.35">
      <c r="A141" s="2" t="s">
        <v>59</v>
      </c>
      <c r="B141" s="2" t="s">
        <v>60</v>
      </c>
      <c r="C141" s="2" t="s">
        <v>1147</v>
      </c>
      <c r="D141" s="2" t="s">
        <v>1148</v>
      </c>
      <c r="E141" s="2" t="s">
        <v>1149</v>
      </c>
      <c r="G141" s="3" t="s">
        <v>64</v>
      </c>
      <c r="I141" s="3" t="s">
        <v>64</v>
      </c>
      <c r="J141" s="3" t="s">
        <v>64</v>
      </c>
      <c r="K141" s="3" t="s">
        <v>65</v>
      </c>
      <c r="M141" s="2" t="s">
        <v>1150</v>
      </c>
      <c r="N141" s="3" t="s">
        <v>67</v>
      </c>
      <c r="P141" s="3" t="s">
        <v>102</v>
      </c>
      <c r="Q141" s="2" t="s">
        <v>1151</v>
      </c>
      <c r="R141" s="3" t="s">
        <v>70</v>
      </c>
      <c r="S141" s="4">
        <v>0</v>
      </c>
      <c r="T141" s="4">
        <v>0</v>
      </c>
      <c r="W141" s="5" t="s">
        <v>72</v>
      </c>
      <c r="X141" s="5" t="s">
        <v>72</v>
      </c>
      <c r="Y141" s="4">
        <v>58</v>
      </c>
      <c r="Z141" s="4">
        <v>5</v>
      </c>
      <c r="AA141" s="4">
        <v>10</v>
      </c>
      <c r="AB141" s="4">
        <v>1</v>
      </c>
      <c r="AC141" s="4">
        <v>4</v>
      </c>
      <c r="AD141" s="4">
        <v>33</v>
      </c>
      <c r="AE141" s="4">
        <v>39</v>
      </c>
      <c r="AF141" s="4">
        <v>0</v>
      </c>
      <c r="AG141" s="4">
        <v>0</v>
      </c>
      <c r="AH141" s="4">
        <v>32</v>
      </c>
      <c r="AI141" s="4">
        <v>37</v>
      </c>
      <c r="AJ141" s="4">
        <v>3</v>
      </c>
      <c r="AK141" s="4">
        <v>5</v>
      </c>
      <c r="AL141" s="4">
        <v>22</v>
      </c>
      <c r="AM141" s="4">
        <v>25</v>
      </c>
      <c r="AN141" s="4">
        <v>0</v>
      </c>
      <c r="AO141" s="4">
        <v>0</v>
      </c>
      <c r="AP141" s="4">
        <v>3</v>
      </c>
      <c r="AQ141" s="4">
        <v>5</v>
      </c>
      <c r="AR141" s="3" t="s">
        <v>64</v>
      </c>
      <c r="AS141" s="3" t="s">
        <v>64</v>
      </c>
      <c r="AT141" s="3" t="s">
        <v>64</v>
      </c>
      <c r="AV141" s="6" t="str">
        <f>HYPERLINK("http://mcgill.on.worldcat.org/oclc/897884252","Catalog Record")</f>
        <v>Catalog Record</v>
      </c>
      <c r="AW141" s="6" t="str">
        <f>HYPERLINK("http://www.worldcat.org/oclc/897884252","WorldCat Record")</f>
        <v>WorldCat Record</v>
      </c>
      <c r="AX141" s="3" t="s">
        <v>1152</v>
      </c>
      <c r="AY141" s="3" t="s">
        <v>1153</v>
      </c>
      <c r="AZ141" s="3" t="s">
        <v>1154</v>
      </c>
      <c r="BA141" s="3" t="s">
        <v>1154</v>
      </c>
      <c r="BB141" s="3" t="s">
        <v>1155</v>
      </c>
      <c r="BC141" s="3" t="s">
        <v>77</v>
      </c>
      <c r="BD141" s="3" t="s">
        <v>78</v>
      </c>
      <c r="BE141" s="3" t="s">
        <v>1156</v>
      </c>
      <c r="BF141" s="3" t="s">
        <v>1155</v>
      </c>
      <c r="BG141" s="3" t="s">
        <v>1157</v>
      </c>
      <c r="BH141">
        <f t="shared" si="5"/>
        <v>0</v>
      </c>
    </row>
    <row r="142" spans="1:60" ht="58" x14ac:dyDescent="0.35">
      <c r="A142" s="2" t="s">
        <v>59</v>
      </c>
      <c r="B142" s="2" t="s">
        <v>60</v>
      </c>
      <c r="C142" s="2" t="s">
        <v>1158</v>
      </c>
      <c r="D142" s="2" t="s">
        <v>1159</v>
      </c>
      <c r="E142" s="2" t="s">
        <v>1160</v>
      </c>
      <c r="G142" s="3" t="s">
        <v>64</v>
      </c>
      <c r="I142" s="3" t="s">
        <v>64</v>
      </c>
      <c r="J142" s="3" t="s">
        <v>64</v>
      </c>
      <c r="K142" s="3" t="s">
        <v>65</v>
      </c>
      <c r="L142" s="2" t="s">
        <v>1161</v>
      </c>
      <c r="M142" s="2" t="s">
        <v>1162</v>
      </c>
      <c r="N142" s="3" t="s">
        <v>190</v>
      </c>
      <c r="P142" s="3" t="s">
        <v>102</v>
      </c>
      <c r="R142" s="3" t="s">
        <v>70</v>
      </c>
      <c r="S142" s="4">
        <v>1</v>
      </c>
      <c r="T142" s="4">
        <v>1</v>
      </c>
      <c r="U142" s="5" t="s">
        <v>1163</v>
      </c>
      <c r="V142" s="5" t="s">
        <v>1163</v>
      </c>
      <c r="W142" s="5" t="s">
        <v>72</v>
      </c>
      <c r="X142" s="5" t="s">
        <v>72</v>
      </c>
      <c r="Y142" s="4">
        <v>119</v>
      </c>
      <c r="Z142" s="4">
        <v>6</v>
      </c>
      <c r="AA142" s="4">
        <v>6</v>
      </c>
      <c r="AB142" s="4">
        <v>1</v>
      </c>
      <c r="AC142" s="4">
        <v>1</v>
      </c>
      <c r="AD142" s="4">
        <v>47</v>
      </c>
      <c r="AE142" s="4">
        <v>47</v>
      </c>
      <c r="AF142" s="4">
        <v>0</v>
      </c>
      <c r="AG142" s="4">
        <v>0</v>
      </c>
      <c r="AH142" s="4">
        <v>44</v>
      </c>
      <c r="AI142" s="4">
        <v>44</v>
      </c>
      <c r="AJ142" s="4">
        <v>5</v>
      </c>
      <c r="AK142" s="4">
        <v>5</v>
      </c>
      <c r="AL142" s="4">
        <v>28</v>
      </c>
      <c r="AM142" s="4">
        <v>28</v>
      </c>
      <c r="AN142" s="4">
        <v>0</v>
      </c>
      <c r="AO142" s="4">
        <v>0</v>
      </c>
      <c r="AP142" s="4">
        <v>5</v>
      </c>
      <c r="AQ142" s="4">
        <v>5</v>
      </c>
      <c r="AR142" s="3" t="s">
        <v>64</v>
      </c>
      <c r="AS142" s="3" t="s">
        <v>64</v>
      </c>
      <c r="AT142" s="3" t="s">
        <v>64</v>
      </c>
      <c r="AV142" s="6" t="str">
        <f>HYPERLINK("http://mcgill.on.worldcat.org/oclc/1006528322","Catalog Record")</f>
        <v>Catalog Record</v>
      </c>
      <c r="AW142" s="6" t="str">
        <f>HYPERLINK("http://www.worldcat.org/oclc/1006528322","WorldCat Record")</f>
        <v>WorldCat Record</v>
      </c>
      <c r="AX142" s="3" t="s">
        <v>1164</v>
      </c>
      <c r="AY142" s="3" t="s">
        <v>1165</v>
      </c>
      <c r="AZ142" s="3" t="s">
        <v>1166</v>
      </c>
      <c r="BA142" s="3" t="s">
        <v>1166</v>
      </c>
      <c r="BB142" s="3" t="s">
        <v>1167</v>
      </c>
      <c r="BC142" s="3" t="s">
        <v>77</v>
      </c>
      <c r="BD142" s="3" t="s">
        <v>78</v>
      </c>
      <c r="BE142" s="3" t="s">
        <v>1168</v>
      </c>
      <c r="BF142" s="3" t="s">
        <v>1167</v>
      </c>
      <c r="BG142" s="3" t="s">
        <v>1169</v>
      </c>
      <c r="BH142">
        <f t="shared" si="5"/>
        <v>0</v>
      </c>
    </row>
    <row r="143" spans="1:60" ht="58" x14ac:dyDescent="0.35">
      <c r="A143" s="2" t="s">
        <v>59</v>
      </c>
      <c r="B143" s="2" t="s">
        <v>60</v>
      </c>
      <c r="C143" s="2" t="s">
        <v>1170</v>
      </c>
      <c r="D143" s="2" t="s">
        <v>1171</v>
      </c>
      <c r="E143" s="2" t="s">
        <v>1172</v>
      </c>
      <c r="G143" s="3" t="s">
        <v>64</v>
      </c>
      <c r="I143" s="3" t="s">
        <v>64</v>
      </c>
      <c r="J143" s="3" t="s">
        <v>64</v>
      </c>
      <c r="K143" s="3" t="s">
        <v>65</v>
      </c>
      <c r="L143" s="2" t="s">
        <v>1173</v>
      </c>
      <c r="M143" s="2" t="s">
        <v>1174</v>
      </c>
      <c r="N143" s="3" t="s">
        <v>979</v>
      </c>
      <c r="P143" s="3" t="s">
        <v>102</v>
      </c>
      <c r="Q143" s="2" t="s">
        <v>1175</v>
      </c>
      <c r="R143" s="3" t="s">
        <v>70</v>
      </c>
      <c r="S143" s="4">
        <v>5</v>
      </c>
      <c r="T143" s="4">
        <v>5</v>
      </c>
      <c r="U143" s="5" t="s">
        <v>1176</v>
      </c>
      <c r="V143" s="5" t="s">
        <v>1176</v>
      </c>
      <c r="W143" s="5" t="s">
        <v>72</v>
      </c>
      <c r="X143" s="5" t="s">
        <v>72</v>
      </c>
      <c r="Y143" s="4">
        <v>142</v>
      </c>
      <c r="Z143" s="4">
        <v>11</v>
      </c>
      <c r="AA143" s="4">
        <v>25</v>
      </c>
      <c r="AB143" s="4">
        <v>2</v>
      </c>
      <c r="AC143" s="4">
        <v>5</v>
      </c>
      <c r="AD143" s="4">
        <v>56</v>
      </c>
      <c r="AE143" s="4">
        <v>79</v>
      </c>
      <c r="AF143" s="4">
        <v>0</v>
      </c>
      <c r="AG143" s="4">
        <v>1</v>
      </c>
      <c r="AH143" s="4">
        <v>53</v>
      </c>
      <c r="AI143" s="4">
        <v>68</v>
      </c>
      <c r="AJ143" s="4">
        <v>6</v>
      </c>
      <c r="AK143" s="4">
        <v>8</v>
      </c>
      <c r="AL143" s="4">
        <v>35</v>
      </c>
      <c r="AM143" s="4">
        <v>42</v>
      </c>
      <c r="AN143" s="4">
        <v>0</v>
      </c>
      <c r="AO143" s="4">
        <v>0</v>
      </c>
      <c r="AP143" s="4">
        <v>6</v>
      </c>
      <c r="AQ143" s="4">
        <v>13</v>
      </c>
      <c r="AR143" s="3" t="s">
        <v>64</v>
      </c>
      <c r="AS143" s="3" t="s">
        <v>64</v>
      </c>
      <c r="AT143" s="3" t="s">
        <v>64</v>
      </c>
      <c r="AV143" s="6" t="str">
        <f>HYPERLINK("http://mcgill.on.worldcat.org/oclc/45683853","Catalog Record")</f>
        <v>Catalog Record</v>
      </c>
      <c r="AW143" s="6" t="str">
        <f>HYPERLINK("http://www.worldcat.org/oclc/45683853","WorldCat Record")</f>
        <v>WorldCat Record</v>
      </c>
      <c r="AX143" s="3" t="s">
        <v>1177</v>
      </c>
      <c r="AY143" s="3" t="s">
        <v>1178</v>
      </c>
      <c r="AZ143" s="3" t="s">
        <v>1179</v>
      </c>
      <c r="BA143" s="3" t="s">
        <v>1179</v>
      </c>
      <c r="BB143" s="3" t="s">
        <v>1180</v>
      </c>
      <c r="BC143" s="3" t="s">
        <v>77</v>
      </c>
      <c r="BD143" s="3" t="s">
        <v>78</v>
      </c>
      <c r="BE143" s="3" t="s">
        <v>1181</v>
      </c>
      <c r="BF143" s="3" t="s">
        <v>1180</v>
      </c>
      <c r="BG143" s="3" t="s">
        <v>1182</v>
      </c>
      <c r="BH143">
        <f t="shared" si="5"/>
        <v>0</v>
      </c>
    </row>
    <row r="144" spans="1:60" ht="116" x14ac:dyDescent="0.35">
      <c r="A144" s="2" t="s">
        <v>59</v>
      </c>
      <c r="B144" s="2" t="s">
        <v>1183</v>
      </c>
      <c r="C144" s="2" t="s">
        <v>1184</v>
      </c>
      <c r="D144" s="2" t="s">
        <v>1185</v>
      </c>
      <c r="E144" s="2" t="s">
        <v>1186</v>
      </c>
      <c r="G144" s="3" t="s">
        <v>64</v>
      </c>
      <c r="I144" s="3" t="s">
        <v>64</v>
      </c>
      <c r="J144" s="3" t="s">
        <v>64</v>
      </c>
      <c r="K144" s="3" t="s">
        <v>65</v>
      </c>
      <c r="L144" s="2" t="s">
        <v>1187</v>
      </c>
      <c r="M144" s="2" t="s">
        <v>1188</v>
      </c>
      <c r="N144" s="3" t="s">
        <v>159</v>
      </c>
      <c r="O144" s="2" t="s">
        <v>1189</v>
      </c>
      <c r="P144" s="3" t="s">
        <v>1190</v>
      </c>
      <c r="Q144" s="2" t="s">
        <v>1191</v>
      </c>
      <c r="R144" s="3" t="s">
        <v>70</v>
      </c>
      <c r="S144" s="4">
        <v>1</v>
      </c>
      <c r="T144" s="4">
        <v>1</v>
      </c>
      <c r="U144" s="5" t="s">
        <v>1192</v>
      </c>
      <c r="V144" s="5" t="s">
        <v>1192</v>
      </c>
      <c r="W144" s="5" t="s">
        <v>72</v>
      </c>
      <c r="X144" s="5" t="s">
        <v>72</v>
      </c>
      <c r="Y144" s="4">
        <v>41</v>
      </c>
      <c r="Z144" s="4">
        <v>4</v>
      </c>
      <c r="AA144" s="4">
        <v>4</v>
      </c>
      <c r="AB144" s="4">
        <v>1</v>
      </c>
      <c r="AC144" s="4">
        <v>1</v>
      </c>
      <c r="AD144" s="4">
        <v>25</v>
      </c>
      <c r="AE144" s="4">
        <v>25</v>
      </c>
      <c r="AF144" s="4">
        <v>0</v>
      </c>
      <c r="AG144" s="4">
        <v>0</v>
      </c>
      <c r="AH144" s="4">
        <v>24</v>
      </c>
      <c r="AI144" s="4">
        <v>24</v>
      </c>
      <c r="AJ144" s="4">
        <v>2</v>
      </c>
      <c r="AK144" s="4">
        <v>2</v>
      </c>
      <c r="AL144" s="4">
        <v>20</v>
      </c>
      <c r="AM144" s="4">
        <v>20</v>
      </c>
      <c r="AN144" s="4">
        <v>5</v>
      </c>
      <c r="AO144" s="4">
        <v>5</v>
      </c>
      <c r="AP144" s="4">
        <v>2</v>
      </c>
      <c r="AQ144" s="4">
        <v>2</v>
      </c>
      <c r="AR144" s="3" t="s">
        <v>64</v>
      </c>
      <c r="AS144" s="3" t="s">
        <v>64</v>
      </c>
      <c r="AT144" s="3" t="s">
        <v>128</v>
      </c>
      <c r="AU144" s="6" t="str">
        <f>HYPERLINK("http://catalog.hathitrust.org/Record/102042146","HathiTrust Record")</f>
        <v>HathiTrust Record</v>
      </c>
      <c r="AV144" s="6" t="str">
        <f>HYPERLINK("http://mcgill.on.worldcat.org/oclc/52617893","Catalog Record")</f>
        <v>Catalog Record</v>
      </c>
      <c r="AW144" s="6" t="str">
        <f>HYPERLINK("http://www.worldcat.org/oclc/52617893","WorldCat Record")</f>
        <v>WorldCat Record</v>
      </c>
      <c r="AX144" s="3" t="s">
        <v>1193</v>
      </c>
      <c r="AY144" s="3" t="s">
        <v>1194</v>
      </c>
      <c r="AZ144" s="3" t="s">
        <v>1195</v>
      </c>
      <c r="BA144" s="3" t="s">
        <v>1195</v>
      </c>
      <c r="BB144" s="3" t="s">
        <v>1196</v>
      </c>
      <c r="BC144" s="3" t="s">
        <v>77</v>
      </c>
      <c r="BD144" s="3" t="s">
        <v>78</v>
      </c>
      <c r="BE144" s="3" t="s">
        <v>1197</v>
      </c>
      <c r="BF144" s="3" t="s">
        <v>1196</v>
      </c>
      <c r="BG144" s="3" t="s">
        <v>1198</v>
      </c>
      <c r="BH144">
        <f t="shared" si="5"/>
        <v>0</v>
      </c>
    </row>
    <row r="145" spans="1:60" ht="58" x14ac:dyDescent="0.35">
      <c r="A145" s="2" t="s">
        <v>59</v>
      </c>
      <c r="B145" s="2" t="s">
        <v>60</v>
      </c>
      <c r="C145" s="2" t="s">
        <v>1199</v>
      </c>
      <c r="D145" s="2" t="s">
        <v>1200</v>
      </c>
      <c r="E145" s="2" t="s">
        <v>1201</v>
      </c>
      <c r="G145" s="3" t="s">
        <v>64</v>
      </c>
      <c r="I145" s="3" t="s">
        <v>64</v>
      </c>
      <c r="J145" s="3" t="s">
        <v>64</v>
      </c>
      <c r="K145" s="3" t="s">
        <v>65</v>
      </c>
      <c r="M145" s="2" t="s">
        <v>1202</v>
      </c>
      <c r="N145" s="3" t="s">
        <v>291</v>
      </c>
      <c r="P145" s="3" t="s">
        <v>102</v>
      </c>
      <c r="Q145" s="2" t="s">
        <v>1203</v>
      </c>
      <c r="R145" s="3" t="s">
        <v>70</v>
      </c>
      <c r="S145" s="4">
        <v>2</v>
      </c>
      <c r="T145" s="4">
        <v>2</v>
      </c>
      <c r="U145" s="5" t="s">
        <v>1140</v>
      </c>
      <c r="V145" s="5" t="s">
        <v>1140</v>
      </c>
      <c r="W145" s="5" t="s">
        <v>72</v>
      </c>
      <c r="X145" s="5" t="s">
        <v>72</v>
      </c>
      <c r="Y145" s="4">
        <v>112</v>
      </c>
      <c r="Z145" s="4">
        <v>8</v>
      </c>
      <c r="AA145" s="4">
        <v>8</v>
      </c>
      <c r="AB145" s="4">
        <v>1</v>
      </c>
      <c r="AC145" s="4">
        <v>1</v>
      </c>
      <c r="AD145" s="4">
        <v>54</v>
      </c>
      <c r="AE145" s="4">
        <v>54</v>
      </c>
      <c r="AF145" s="4">
        <v>0</v>
      </c>
      <c r="AG145" s="4">
        <v>0</v>
      </c>
      <c r="AH145" s="4">
        <v>51</v>
      </c>
      <c r="AI145" s="4">
        <v>51</v>
      </c>
      <c r="AJ145" s="4">
        <v>6</v>
      </c>
      <c r="AK145" s="4">
        <v>6</v>
      </c>
      <c r="AL145" s="4">
        <v>37</v>
      </c>
      <c r="AM145" s="4">
        <v>37</v>
      </c>
      <c r="AN145" s="4">
        <v>0</v>
      </c>
      <c r="AO145" s="4">
        <v>0</v>
      </c>
      <c r="AP145" s="4">
        <v>6</v>
      </c>
      <c r="AQ145" s="4">
        <v>6</v>
      </c>
      <c r="AR145" s="3" t="s">
        <v>64</v>
      </c>
      <c r="AS145" s="3" t="s">
        <v>64</v>
      </c>
      <c r="AT145" s="3" t="s">
        <v>64</v>
      </c>
      <c r="AV145" s="6" t="str">
        <f>HYPERLINK("http://mcgill.on.worldcat.org/oclc/177006711","Catalog Record")</f>
        <v>Catalog Record</v>
      </c>
      <c r="AW145" s="6" t="str">
        <f>HYPERLINK("http://www.worldcat.org/oclc/177006711","WorldCat Record")</f>
        <v>WorldCat Record</v>
      </c>
      <c r="AX145" s="3" t="s">
        <v>1204</v>
      </c>
      <c r="AY145" s="3" t="s">
        <v>1205</v>
      </c>
      <c r="AZ145" s="3" t="s">
        <v>1206</v>
      </c>
      <c r="BA145" s="3" t="s">
        <v>1206</v>
      </c>
      <c r="BB145" s="3" t="s">
        <v>1207</v>
      </c>
      <c r="BC145" s="3" t="s">
        <v>77</v>
      </c>
      <c r="BD145" s="3" t="s">
        <v>78</v>
      </c>
      <c r="BE145" s="3" t="s">
        <v>1208</v>
      </c>
      <c r="BF145" s="3" t="s">
        <v>1207</v>
      </c>
      <c r="BG145" s="3" t="s">
        <v>1209</v>
      </c>
      <c r="BH145">
        <f t="shared" si="5"/>
        <v>0</v>
      </c>
    </row>
    <row r="146" spans="1:60" ht="58" x14ac:dyDescent="0.35">
      <c r="A146" s="2" t="s">
        <v>59</v>
      </c>
      <c r="B146" s="2" t="s">
        <v>60</v>
      </c>
      <c r="C146" s="2" t="s">
        <v>1210</v>
      </c>
      <c r="D146" s="2" t="s">
        <v>1211</v>
      </c>
      <c r="E146" s="2" t="s">
        <v>1212</v>
      </c>
      <c r="G146" s="3" t="s">
        <v>64</v>
      </c>
      <c r="I146" s="3" t="s">
        <v>64</v>
      </c>
      <c r="J146" s="3" t="s">
        <v>64</v>
      </c>
      <c r="K146" s="3" t="s">
        <v>65</v>
      </c>
      <c r="M146" s="2" t="s">
        <v>1213</v>
      </c>
      <c r="N146" s="3" t="s">
        <v>1075</v>
      </c>
      <c r="P146" s="3" t="s">
        <v>102</v>
      </c>
      <c r="Q146" s="2" t="s">
        <v>1214</v>
      </c>
      <c r="R146" s="3" t="s">
        <v>70</v>
      </c>
      <c r="S146" s="4">
        <v>5</v>
      </c>
      <c r="T146" s="4">
        <v>5</v>
      </c>
      <c r="U146" s="5" t="s">
        <v>1215</v>
      </c>
      <c r="V146" s="5" t="s">
        <v>1215</v>
      </c>
      <c r="W146" s="5" t="s">
        <v>72</v>
      </c>
      <c r="X146" s="5" t="s">
        <v>72</v>
      </c>
      <c r="Y146" s="4">
        <v>100</v>
      </c>
      <c r="Z146" s="4">
        <v>13</v>
      </c>
      <c r="AA146" s="4">
        <v>29</v>
      </c>
      <c r="AB146" s="4">
        <v>1</v>
      </c>
      <c r="AC146" s="4">
        <v>4</v>
      </c>
      <c r="AD146" s="4">
        <v>39</v>
      </c>
      <c r="AE146" s="4">
        <v>49</v>
      </c>
      <c r="AF146" s="4">
        <v>0</v>
      </c>
      <c r="AG146" s="4">
        <v>0</v>
      </c>
      <c r="AH146" s="4">
        <v>36</v>
      </c>
      <c r="AI146" s="4">
        <v>44</v>
      </c>
      <c r="AJ146" s="4">
        <v>8</v>
      </c>
      <c r="AK146" s="4">
        <v>8</v>
      </c>
      <c r="AL146" s="4">
        <v>23</v>
      </c>
      <c r="AM146" s="4">
        <v>29</v>
      </c>
      <c r="AN146" s="4">
        <v>0</v>
      </c>
      <c r="AO146" s="4">
        <v>0</v>
      </c>
      <c r="AP146" s="4">
        <v>9</v>
      </c>
      <c r="AQ146" s="4">
        <v>11</v>
      </c>
      <c r="AR146" s="3" t="s">
        <v>64</v>
      </c>
      <c r="AS146" s="3" t="s">
        <v>64</v>
      </c>
      <c r="AT146" s="3" t="s">
        <v>64</v>
      </c>
      <c r="AV146" s="6" t="str">
        <f>HYPERLINK("http://mcgill.on.worldcat.org/oclc/832608702","Catalog Record")</f>
        <v>Catalog Record</v>
      </c>
      <c r="AW146" s="6" t="str">
        <f>HYPERLINK("http://www.worldcat.org/oclc/832608702","WorldCat Record")</f>
        <v>WorldCat Record</v>
      </c>
      <c r="AX146" s="3" t="s">
        <v>1216</v>
      </c>
      <c r="AY146" s="3" t="s">
        <v>1217</v>
      </c>
      <c r="AZ146" s="3" t="s">
        <v>1218</v>
      </c>
      <c r="BA146" s="3" t="s">
        <v>1218</v>
      </c>
      <c r="BB146" s="3" t="s">
        <v>1219</v>
      </c>
      <c r="BC146" s="3" t="s">
        <v>77</v>
      </c>
      <c r="BD146" s="3" t="s">
        <v>78</v>
      </c>
      <c r="BE146" s="3" t="s">
        <v>1220</v>
      </c>
      <c r="BF146" s="3" t="s">
        <v>1219</v>
      </c>
      <c r="BG146" s="3" t="s">
        <v>1221</v>
      </c>
      <c r="BH146">
        <f t="shared" si="5"/>
        <v>0</v>
      </c>
    </row>
    <row r="147" spans="1:60" ht="58" x14ac:dyDescent="0.35">
      <c r="A147" s="2" t="s">
        <v>59</v>
      </c>
      <c r="B147" s="2" t="s">
        <v>60</v>
      </c>
      <c r="C147" s="2" t="s">
        <v>1222</v>
      </c>
      <c r="D147" s="2" t="s">
        <v>1223</v>
      </c>
      <c r="E147" s="2" t="s">
        <v>1224</v>
      </c>
      <c r="G147" s="3" t="s">
        <v>64</v>
      </c>
      <c r="I147" s="3" t="s">
        <v>64</v>
      </c>
      <c r="J147" s="3" t="s">
        <v>64</v>
      </c>
      <c r="K147" s="3" t="s">
        <v>65</v>
      </c>
      <c r="M147" s="2" t="s">
        <v>1225</v>
      </c>
      <c r="N147" s="3" t="s">
        <v>326</v>
      </c>
      <c r="P147" s="3" t="s">
        <v>102</v>
      </c>
      <c r="Q147" s="2" t="s">
        <v>1226</v>
      </c>
      <c r="R147" s="3" t="s">
        <v>70</v>
      </c>
      <c r="S147" s="4">
        <v>3</v>
      </c>
      <c r="T147" s="4">
        <v>3</v>
      </c>
      <c r="U147" s="5" t="s">
        <v>1227</v>
      </c>
      <c r="V147" s="5" t="s">
        <v>1227</v>
      </c>
      <c r="W147" s="5" t="s">
        <v>72</v>
      </c>
      <c r="X147" s="5" t="s">
        <v>72</v>
      </c>
      <c r="Y147" s="4">
        <v>102</v>
      </c>
      <c r="Z147" s="4">
        <v>11</v>
      </c>
      <c r="AA147" s="4">
        <v>92</v>
      </c>
      <c r="AB147" s="4">
        <v>1</v>
      </c>
      <c r="AC147" s="4">
        <v>18</v>
      </c>
      <c r="AD147" s="4">
        <v>40</v>
      </c>
      <c r="AE147" s="4">
        <v>117</v>
      </c>
      <c r="AF147" s="4">
        <v>0</v>
      </c>
      <c r="AG147" s="4">
        <v>8</v>
      </c>
      <c r="AH147" s="4">
        <v>37</v>
      </c>
      <c r="AI147" s="4">
        <v>81</v>
      </c>
      <c r="AJ147" s="4">
        <v>7</v>
      </c>
      <c r="AK147" s="4">
        <v>23</v>
      </c>
      <c r="AL147" s="4">
        <v>24</v>
      </c>
      <c r="AM147" s="4">
        <v>42</v>
      </c>
      <c r="AN147" s="4">
        <v>0</v>
      </c>
      <c r="AO147" s="4">
        <v>0</v>
      </c>
      <c r="AP147" s="4">
        <v>7</v>
      </c>
      <c r="AQ147" s="4">
        <v>44</v>
      </c>
      <c r="AR147" s="3" t="s">
        <v>64</v>
      </c>
      <c r="AS147" s="3" t="s">
        <v>64</v>
      </c>
      <c r="AT147" s="3" t="s">
        <v>64</v>
      </c>
      <c r="AV147" s="6" t="str">
        <f>HYPERLINK("http://mcgill.on.worldcat.org/oclc/730114567","Catalog Record")</f>
        <v>Catalog Record</v>
      </c>
      <c r="AW147" s="6" t="str">
        <f>HYPERLINK("http://www.worldcat.org/oclc/730114567","WorldCat Record")</f>
        <v>WorldCat Record</v>
      </c>
      <c r="AX147" s="3" t="s">
        <v>1228</v>
      </c>
      <c r="AY147" s="3" t="s">
        <v>1229</v>
      </c>
      <c r="AZ147" s="3" t="s">
        <v>1230</v>
      </c>
      <c r="BA147" s="3" t="s">
        <v>1230</v>
      </c>
      <c r="BB147" s="3" t="s">
        <v>1231</v>
      </c>
      <c r="BC147" s="3" t="s">
        <v>77</v>
      </c>
      <c r="BD147" s="3" t="s">
        <v>78</v>
      </c>
      <c r="BE147" s="3" t="s">
        <v>1232</v>
      </c>
      <c r="BF147" s="3" t="s">
        <v>1231</v>
      </c>
      <c r="BG147" s="3" t="s">
        <v>1233</v>
      </c>
      <c r="BH147">
        <f t="shared" si="5"/>
        <v>0</v>
      </c>
    </row>
    <row r="148" spans="1:60" ht="58" x14ac:dyDescent="0.35">
      <c r="A148" s="2" t="s">
        <v>59</v>
      </c>
      <c r="B148" s="2" t="s">
        <v>60</v>
      </c>
      <c r="C148" s="2" t="s">
        <v>1234</v>
      </c>
      <c r="D148" s="2" t="s">
        <v>1235</v>
      </c>
      <c r="E148" s="2" t="s">
        <v>1236</v>
      </c>
      <c r="G148" s="3" t="s">
        <v>64</v>
      </c>
      <c r="I148" s="3" t="s">
        <v>64</v>
      </c>
      <c r="J148" s="3" t="s">
        <v>64</v>
      </c>
      <c r="K148" s="3" t="s">
        <v>65</v>
      </c>
      <c r="M148" s="2" t="s">
        <v>1237</v>
      </c>
      <c r="N148" s="3" t="s">
        <v>326</v>
      </c>
      <c r="P148" s="3" t="s">
        <v>102</v>
      </c>
      <c r="R148" s="3" t="s">
        <v>70</v>
      </c>
      <c r="S148" s="4">
        <v>20</v>
      </c>
      <c r="T148" s="4">
        <v>20</v>
      </c>
      <c r="U148" s="5" t="s">
        <v>1238</v>
      </c>
      <c r="V148" s="5" t="s">
        <v>1238</v>
      </c>
      <c r="W148" s="5" t="s">
        <v>72</v>
      </c>
      <c r="X148" s="5" t="s">
        <v>72</v>
      </c>
      <c r="Y148" s="4">
        <v>118</v>
      </c>
      <c r="Z148" s="4">
        <v>14</v>
      </c>
      <c r="AA148" s="4">
        <v>20</v>
      </c>
      <c r="AB148" s="4">
        <v>2</v>
      </c>
      <c r="AC148" s="4">
        <v>7</v>
      </c>
      <c r="AD148" s="4">
        <v>51</v>
      </c>
      <c r="AE148" s="4">
        <v>60</v>
      </c>
      <c r="AF148" s="4">
        <v>1</v>
      </c>
      <c r="AG148" s="4">
        <v>3</v>
      </c>
      <c r="AH148" s="4">
        <v>47</v>
      </c>
      <c r="AI148" s="4">
        <v>54</v>
      </c>
      <c r="AJ148" s="4">
        <v>11</v>
      </c>
      <c r="AK148" s="4">
        <v>14</v>
      </c>
      <c r="AL148" s="4">
        <v>32</v>
      </c>
      <c r="AM148" s="4">
        <v>36</v>
      </c>
      <c r="AN148" s="4">
        <v>0</v>
      </c>
      <c r="AO148" s="4">
        <v>0</v>
      </c>
      <c r="AP148" s="4">
        <v>11</v>
      </c>
      <c r="AQ148" s="4">
        <v>13</v>
      </c>
      <c r="AR148" s="3" t="s">
        <v>64</v>
      </c>
      <c r="AS148" s="3" t="s">
        <v>64</v>
      </c>
      <c r="AT148" s="3" t="s">
        <v>64</v>
      </c>
      <c r="AV148" s="6" t="str">
        <f>HYPERLINK("http://mcgill.on.worldcat.org/oclc/698330365","Catalog Record")</f>
        <v>Catalog Record</v>
      </c>
      <c r="AW148" s="6" t="str">
        <f>HYPERLINK("http://www.worldcat.org/oclc/698330365","WorldCat Record")</f>
        <v>WorldCat Record</v>
      </c>
      <c r="AX148" s="3" t="s">
        <v>1239</v>
      </c>
      <c r="AY148" s="3" t="s">
        <v>1240</v>
      </c>
      <c r="AZ148" s="3" t="s">
        <v>1241</v>
      </c>
      <c r="BA148" s="3" t="s">
        <v>1241</v>
      </c>
      <c r="BB148" s="3" t="s">
        <v>1242</v>
      </c>
      <c r="BC148" s="3" t="s">
        <v>77</v>
      </c>
      <c r="BD148" s="3" t="s">
        <v>165</v>
      </c>
      <c r="BE148" s="3" t="s">
        <v>1243</v>
      </c>
      <c r="BF148" s="3" t="s">
        <v>1242</v>
      </c>
      <c r="BG148" s="3" t="s">
        <v>1244</v>
      </c>
      <c r="BH148">
        <f t="shared" si="5"/>
        <v>0</v>
      </c>
    </row>
    <row r="149" spans="1:60" ht="58" x14ac:dyDescent="0.35">
      <c r="A149" s="2" t="s">
        <v>59</v>
      </c>
      <c r="B149" s="2" t="s">
        <v>60</v>
      </c>
      <c r="C149" s="2" t="s">
        <v>1245</v>
      </c>
      <c r="D149" s="2" t="s">
        <v>1246</v>
      </c>
      <c r="E149" s="2" t="s">
        <v>1247</v>
      </c>
      <c r="G149" s="3" t="s">
        <v>64</v>
      </c>
      <c r="I149" s="3" t="s">
        <v>64</v>
      </c>
      <c r="J149" s="3" t="s">
        <v>64</v>
      </c>
      <c r="K149" s="3" t="s">
        <v>65</v>
      </c>
      <c r="L149" s="2" t="s">
        <v>1248</v>
      </c>
      <c r="M149" s="2" t="s">
        <v>1249</v>
      </c>
      <c r="N149" s="3" t="s">
        <v>1250</v>
      </c>
      <c r="P149" s="3" t="s">
        <v>102</v>
      </c>
      <c r="Q149" s="2" t="s">
        <v>1251</v>
      </c>
      <c r="R149" s="3" t="s">
        <v>70</v>
      </c>
      <c r="S149" s="4">
        <v>15</v>
      </c>
      <c r="T149" s="4">
        <v>15</v>
      </c>
      <c r="U149" s="5" t="s">
        <v>1252</v>
      </c>
      <c r="V149" s="5" t="s">
        <v>1252</v>
      </c>
      <c r="W149" s="5" t="s">
        <v>72</v>
      </c>
      <c r="X149" s="5" t="s">
        <v>72</v>
      </c>
      <c r="Y149" s="4">
        <v>374</v>
      </c>
      <c r="Z149" s="4">
        <v>21</v>
      </c>
      <c r="AA149" s="4">
        <v>26</v>
      </c>
      <c r="AB149" s="4">
        <v>2</v>
      </c>
      <c r="AC149" s="4">
        <v>3</v>
      </c>
      <c r="AD149" s="4">
        <v>112</v>
      </c>
      <c r="AE149" s="4">
        <v>116</v>
      </c>
      <c r="AF149" s="4">
        <v>0</v>
      </c>
      <c r="AG149" s="4">
        <v>0</v>
      </c>
      <c r="AH149" s="4">
        <v>100</v>
      </c>
      <c r="AI149" s="4">
        <v>102</v>
      </c>
      <c r="AJ149" s="4">
        <v>11</v>
      </c>
      <c r="AK149" s="4">
        <v>13</v>
      </c>
      <c r="AL149" s="4">
        <v>56</v>
      </c>
      <c r="AM149" s="4">
        <v>57</v>
      </c>
      <c r="AN149" s="4">
        <v>0</v>
      </c>
      <c r="AO149" s="4">
        <v>0</v>
      </c>
      <c r="AP149" s="4">
        <v>16</v>
      </c>
      <c r="AQ149" s="4">
        <v>19</v>
      </c>
      <c r="AR149" s="3" t="s">
        <v>64</v>
      </c>
      <c r="AS149" s="3" t="s">
        <v>64</v>
      </c>
      <c r="AT149" s="3" t="s">
        <v>64</v>
      </c>
      <c r="AV149" s="6" t="str">
        <f>HYPERLINK("http://mcgill.on.worldcat.org/oclc/27147066","Catalog Record")</f>
        <v>Catalog Record</v>
      </c>
      <c r="AW149" s="6" t="str">
        <f>HYPERLINK("http://www.worldcat.org/oclc/27147066","WorldCat Record")</f>
        <v>WorldCat Record</v>
      </c>
      <c r="AX149" s="3" t="s">
        <v>1253</v>
      </c>
      <c r="AY149" s="3" t="s">
        <v>1254</v>
      </c>
      <c r="AZ149" s="3" t="s">
        <v>1255</v>
      </c>
      <c r="BA149" s="3" t="s">
        <v>1255</v>
      </c>
      <c r="BB149" s="3" t="s">
        <v>1256</v>
      </c>
      <c r="BC149" s="3" t="s">
        <v>77</v>
      </c>
      <c r="BD149" s="3" t="s">
        <v>78</v>
      </c>
      <c r="BE149" s="3" t="s">
        <v>1257</v>
      </c>
      <c r="BF149" s="3" t="s">
        <v>1256</v>
      </c>
      <c r="BG149" s="3" t="s">
        <v>1258</v>
      </c>
      <c r="BH149">
        <f t="shared" si="5"/>
        <v>0</v>
      </c>
    </row>
    <row r="150" spans="1:60" ht="72.5" x14ac:dyDescent="0.35">
      <c r="A150" s="2" t="s">
        <v>59</v>
      </c>
      <c r="B150" s="2" t="s">
        <v>60</v>
      </c>
      <c r="C150" s="2" t="s">
        <v>1259</v>
      </c>
      <c r="D150" s="2" t="s">
        <v>1260</v>
      </c>
      <c r="E150" s="2" t="s">
        <v>1261</v>
      </c>
      <c r="G150" s="3" t="s">
        <v>64</v>
      </c>
      <c r="I150" s="3" t="s">
        <v>64</v>
      </c>
      <c r="J150" s="3" t="s">
        <v>64</v>
      </c>
      <c r="K150" s="3" t="s">
        <v>65</v>
      </c>
      <c r="L150" s="2" t="s">
        <v>479</v>
      </c>
      <c r="M150" s="2" t="s">
        <v>1262</v>
      </c>
      <c r="N150" s="3" t="s">
        <v>1263</v>
      </c>
      <c r="P150" s="3" t="s">
        <v>102</v>
      </c>
      <c r="R150" s="3" t="s">
        <v>70</v>
      </c>
      <c r="S150" s="4">
        <v>2</v>
      </c>
      <c r="T150" s="4">
        <v>2</v>
      </c>
      <c r="U150" s="5" t="s">
        <v>1264</v>
      </c>
      <c r="V150" s="5" t="s">
        <v>1264</v>
      </c>
      <c r="W150" s="5" t="s">
        <v>72</v>
      </c>
      <c r="X150" s="5" t="s">
        <v>72</v>
      </c>
      <c r="Y150" s="4">
        <v>181</v>
      </c>
      <c r="Z150" s="4">
        <v>10</v>
      </c>
      <c r="AA150" s="4">
        <v>11</v>
      </c>
      <c r="AB150" s="4">
        <v>1</v>
      </c>
      <c r="AC150" s="4">
        <v>1</v>
      </c>
      <c r="AD150" s="4">
        <v>72</v>
      </c>
      <c r="AE150" s="4">
        <v>73</v>
      </c>
      <c r="AF150" s="4">
        <v>0</v>
      </c>
      <c r="AG150" s="4">
        <v>0</v>
      </c>
      <c r="AH150" s="4">
        <v>68</v>
      </c>
      <c r="AI150" s="4">
        <v>68</v>
      </c>
      <c r="AJ150" s="4">
        <v>5</v>
      </c>
      <c r="AK150" s="4">
        <v>6</v>
      </c>
      <c r="AL150" s="4">
        <v>44</v>
      </c>
      <c r="AM150" s="4">
        <v>44</v>
      </c>
      <c r="AN150" s="4">
        <v>0</v>
      </c>
      <c r="AO150" s="4">
        <v>0</v>
      </c>
      <c r="AP150" s="4">
        <v>6</v>
      </c>
      <c r="AQ150" s="4">
        <v>7</v>
      </c>
      <c r="AR150" s="3" t="s">
        <v>64</v>
      </c>
      <c r="AS150" s="3" t="s">
        <v>64</v>
      </c>
      <c r="AT150" s="3" t="s">
        <v>128</v>
      </c>
      <c r="AU150" s="6" t="str">
        <f>HYPERLINK("http://catalog.hathitrust.org/Record/002727829","HathiTrust Record")</f>
        <v>HathiTrust Record</v>
      </c>
      <c r="AV150" s="6" t="str">
        <f>HYPERLINK("http://mcgill.on.worldcat.org/oclc/24671886","Catalog Record")</f>
        <v>Catalog Record</v>
      </c>
      <c r="AW150" s="6" t="str">
        <f>HYPERLINK("http://www.worldcat.org/oclc/24671886","WorldCat Record")</f>
        <v>WorldCat Record</v>
      </c>
      <c r="AX150" s="3" t="s">
        <v>1265</v>
      </c>
      <c r="AY150" s="3" t="s">
        <v>1266</v>
      </c>
      <c r="AZ150" s="3" t="s">
        <v>1267</v>
      </c>
      <c r="BA150" s="3" t="s">
        <v>1267</v>
      </c>
      <c r="BB150" s="3" t="s">
        <v>1268</v>
      </c>
      <c r="BC150" s="3" t="s">
        <v>77</v>
      </c>
      <c r="BD150" s="3" t="s">
        <v>78</v>
      </c>
      <c r="BE150" s="3" t="s">
        <v>1269</v>
      </c>
      <c r="BF150" s="3" t="s">
        <v>1268</v>
      </c>
      <c r="BG150" s="3" t="s">
        <v>1270</v>
      </c>
      <c r="BH150">
        <f t="shared" si="5"/>
        <v>0</v>
      </c>
    </row>
    <row r="151" spans="1:60" ht="58" x14ac:dyDescent="0.35">
      <c r="A151" s="2" t="s">
        <v>59</v>
      </c>
      <c r="B151" s="2" t="s">
        <v>60</v>
      </c>
      <c r="C151" s="2" t="s">
        <v>1271</v>
      </c>
      <c r="D151" s="2" t="s">
        <v>1272</v>
      </c>
      <c r="E151" s="2" t="s">
        <v>1273</v>
      </c>
      <c r="G151" s="3" t="s">
        <v>64</v>
      </c>
      <c r="I151" s="3" t="s">
        <v>64</v>
      </c>
      <c r="J151" s="3" t="s">
        <v>64</v>
      </c>
      <c r="K151" s="3" t="s">
        <v>65</v>
      </c>
      <c r="L151" s="2" t="s">
        <v>479</v>
      </c>
      <c r="M151" s="2" t="s">
        <v>1274</v>
      </c>
      <c r="N151" s="3" t="s">
        <v>1275</v>
      </c>
      <c r="P151" s="3" t="s">
        <v>68</v>
      </c>
      <c r="Q151" s="2" t="s">
        <v>1276</v>
      </c>
      <c r="R151" s="3" t="s">
        <v>70</v>
      </c>
      <c r="S151" s="4">
        <v>6</v>
      </c>
      <c r="T151" s="4">
        <v>6</v>
      </c>
      <c r="U151" s="5" t="s">
        <v>1277</v>
      </c>
      <c r="V151" s="5" t="s">
        <v>1277</v>
      </c>
      <c r="W151" s="5" t="s">
        <v>72</v>
      </c>
      <c r="X151" s="5" t="s">
        <v>72</v>
      </c>
      <c r="Y151" s="4">
        <v>39</v>
      </c>
      <c r="Z151" s="4">
        <v>2</v>
      </c>
      <c r="AA151" s="4">
        <v>8</v>
      </c>
      <c r="AB151" s="4">
        <v>1</v>
      </c>
      <c r="AC151" s="4">
        <v>6</v>
      </c>
      <c r="AD151" s="4">
        <v>16</v>
      </c>
      <c r="AE151" s="4">
        <v>21</v>
      </c>
      <c r="AF151" s="4">
        <v>0</v>
      </c>
      <c r="AG151" s="4">
        <v>4</v>
      </c>
      <c r="AH151" s="4">
        <v>15</v>
      </c>
      <c r="AI151" s="4">
        <v>17</v>
      </c>
      <c r="AJ151" s="4">
        <v>1</v>
      </c>
      <c r="AK151" s="4">
        <v>6</v>
      </c>
      <c r="AL151" s="4">
        <v>11</v>
      </c>
      <c r="AM151" s="4">
        <v>11</v>
      </c>
      <c r="AN151" s="4">
        <v>0</v>
      </c>
      <c r="AO151" s="4">
        <v>0</v>
      </c>
      <c r="AP151" s="4">
        <v>1</v>
      </c>
      <c r="AQ151" s="4">
        <v>5</v>
      </c>
      <c r="AR151" s="3" t="s">
        <v>64</v>
      </c>
      <c r="AS151" s="3" t="s">
        <v>64</v>
      </c>
      <c r="AT151" s="3" t="s">
        <v>64</v>
      </c>
      <c r="AV151" s="6" t="str">
        <f>HYPERLINK("http://mcgill.on.worldcat.org/oclc/55086051","Catalog Record")</f>
        <v>Catalog Record</v>
      </c>
      <c r="AW151" s="6" t="str">
        <f>HYPERLINK("http://www.worldcat.org/oclc/55086051","WorldCat Record")</f>
        <v>WorldCat Record</v>
      </c>
      <c r="AX151" s="3" t="s">
        <v>1278</v>
      </c>
      <c r="AY151" s="3" t="s">
        <v>1279</v>
      </c>
      <c r="AZ151" s="3" t="s">
        <v>1280</v>
      </c>
      <c r="BA151" s="3" t="s">
        <v>1280</v>
      </c>
      <c r="BB151" s="3" t="s">
        <v>1281</v>
      </c>
      <c r="BC151" s="3" t="s">
        <v>77</v>
      </c>
      <c r="BD151" s="3" t="s">
        <v>78</v>
      </c>
      <c r="BE151" s="3" t="s">
        <v>1282</v>
      </c>
      <c r="BF151" s="3" t="s">
        <v>1281</v>
      </c>
      <c r="BG151" s="3" t="s">
        <v>1283</v>
      </c>
      <c r="BH151">
        <f t="shared" si="5"/>
        <v>0</v>
      </c>
    </row>
    <row r="152" spans="1:60" ht="58" x14ac:dyDescent="0.35">
      <c r="A152" s="2" t="s">
        <v>59</v>
      </c>
      <c r="B152" s="2" t="s">
        <v>60</v>
      </c>
      <c r="C152" s="2" t="s">
        <v>1284</v>
      </c>
      <c r="D152" s="2" t="s">
        <v>1285</v>
      </c>
      <c r="E152" s="2" t="s">
        <v>1286</v>
      </c>
      <c r="G152" s="3" t="s">
        <v>64</v>
      </c>
      <c r="I152" s="3" t="s">
        <v>64</v>
      </c>
      <c r="J152" s="3" t="s">
        <v>64</v>
      </c>
      <c r="K152" s="3" t="s">
        <v>65</v>
      </c>
      <c r="L152" s="2" t="s">
        <v>1287</v>
      </c>
      <c r="M152" s="2" t="s">
        <v>1288</v>
      </c>
      <c r="N152" s="3" t="s">
        <v>511</v>
      </c>
      <c r="P152" s="3" t="s">
        <v>102</v>
      </c>
      <c r="R152" s="3" t="s">
        <v>70</v>
      </c>
      <c r="S152" s="4">
        <v>5</v>
      </c>
      <c r="T152" s="4">
        <v>5</v>
      </c>
      <c r="U152" s="5" t="s">
        <v>1289</v>
      </c>
      <c r="V152" s="5" t="s">
        <v>1289</v>
      </c>
      <c r="W152" s="5" t="s">
        <v>72</v>
      </c>
      <c r="X152" s="5" t="s">
        <v>72</v>
      </c>
      <c r="Y152" s="4">
        <v>156</v>
      </c>
      <c r="Z152" s="4">
        <v>10</v>
      </c>
      <c r="AA152" s="4">
        <v>13</v>
      </c>
      <c r="AB152" s="4">
        <v>1</v>
      </c>
      <c r="AC152" s="4">
        <v>4</v>
      </c>
      <c r="AD152" s="4">
        <v>68</v>
      </c>
      <c r="AE152" s="4">
        <v>71</v>
      </c>
      <c r="AF152" s="4">
        <v>0</v>
      </c>
      <c r="AG152" s="4">
        <v>0</v>
      </c>
      <c r="AH152" s="4">
        <v>66</v>
      </c>
      <c r="AI152" s="4">
        <v>69</v>
      </c>
      <c r="AJ152" s="4">
        <v>5</v>
      </c>
      <c r="AK152" s="4">
        <v>5</v>
      </c>
      <c r="AL152" s="4">
        <v>40</v>
      </c>
      <c r="AM152" s="4">
        <v>42</v>
      </c>
      <c r="AN152" s="4">
        <v>0</v>
      </c>
      <c r="AO152" s="4">
        <v>0</v>
      </c>
      <c r="AP152" s="4">
        <v>6</v>
      </c>
      <c r="AQ152" s="4">
        <v>6</v>
      </c>
      <c r="AR152" s="3" t="s">
        <v>64</v>
      </c>
      <c r="AS152" s="3" t="s">
        <v>64</v>
      </c>
      <c r="AT152" s="3" t="s">
        <v>64</v>
      </c>
      <c r="AV152" s="6" t="str">
        <f>HYPERLINK("http://mcgill.on.worldcat.org/oclc/496594368","Catalog Record")</f>
        <v>Catalog Record</v>
      </c>
      <c r="AW152" s="6" t="str">
        <f>HYPERLINK("http://www.worldcat.org/oclc/496594368","WorldCat Record")</f>
        <v>WorldCat Record</v>
      </c>
      <c r="AX152" s="3" t="s">
        <v>1290</v>
      </c>
      <c r="AY152" s="3" t="s">
        <v>1291</v>
      </c>
      <c r="AZ152" s="3" t="s">
        <v>1292</v>
      </c>
      <c r="BA152" s="3" t="s">
        <v>1292</v>
      </c>
      <c r="BB152" s="3" t="s">
        <v>1293</v>
      </c>
      <c r="BC152" s="3" t="s">
        <v>77</v>
      </c>
      <c r="BD152" s="3" t="s">
        <v>78</v>
      </c>
      <c r="BE152" s="3" t="s">
        <v>1294</v>
      </c>
      <c r="BF152" s="3" t="s">
        <v>1293</v>
      </c>
      <c r="BG152" s="3" t="s">
        <v>1295</v>
      </c>
      <c r="BH152">
        <f t="shared" si="5"/>
        <v>0</v>
      </c>
    </row>
    <row r="153" spans="1:60" ht="58" x14ac:dyDescent="0.35">
      <c r="A153" s="2" t="s">
        <v>59</v>
      </c>
      <c r="B153" s="2" t="s">
        <v>60</v>
      </c>
      <c r="C153" s="2" t="s">
        <v>1296</v>
      </c>
      <c r="D153" s="2" t="s">
        <v>1297</v>
      </c>
      <c r="E153" s="2" t="s">
        <v>1298</v>
      </c>
      <c r="G153" s="3" t="s">
        <v>64</v>
      </c>
      <c r="I153" s="3" t="s">
        <v>64</v>
      </c>
      <c r="J153" s="3" t="s">
        <v>64</v>
      </c>
      <c r="K153" s="3" t="s">
        <v>65</v>
      </c>
      <c r="M153" s="2" t="s">
        <v>1299</v>
      </c>
      <c r="N153" s="3" t="s">
        <v>171</v>
      </c>
      <c r="P153" s="3" t="s">
        <v>102</v>
      </c>
      <c r="Q153" s="2" t="s">
        <v>1300</v>
      </c>
      <c r="R153" s="3" t="s">
        <v>70</v>
      </c>
      <c r="S153" s="4">
        <v>5</v>
      </c>
      <c r="T153" s="4">
        <v>5</v>
      </c>
      <c r="U153" s="5" t="s">
        <v>1301</v>
      </c>
      <c r="V153" s="5" t="s">
        <v>1301</v>
      </c>
      <c r="W153" s="5" t="s">
        <v>72</v>
      </c>
      <c r="X153" s="5" t="s">
        <v>72</v>
      </c>
      <c r="Y153" s="4">
        <v>115</v>
      </c>
      <c r="Z153" s="4">
        <v>15</v>
      </c>
      <c r="AA153" s="4">
        <v>18</v>
      </c>
      <c r="AB153" s="4">
        <v>1</v>
      </c>
      <c r="AC153" s="4">
        <v>3</v>
      </c>
      <c r="AD153" s="4">
        <v>54</v>
      </c>
      <c r="AE153" s="4">
        <v>66</v>
      </c>
      <c r="AF153" s="4">
        <v>0</v>
      </c>
      <c r="AG153" s="4">
        <v>2</v>
      </c>
      <c r="AH153" s="4">
        <v>47</v>
      </c>
      <c r="AI153" s="4">
        <v>58</v>
      </c>
      <c r="AJ153" s="4">
        <v>8</v>
      </c>
      <c r="AK153" s="4">
        <v>11</v>
      </c>
      <c r="AL153" s="4">
        <v>32</v>
      </c>
      <c r="AM153" s="4">
        <v>40</v>
      </c>
      <c r="AN153" s="4">
        <v>0</v>
      </c>
      <c r="AO153" s="4">
        <v>0</v>
      </c>
      <c r="AP153" s="4">
        <v>10</v>
      </c>
      <c r="AQ153" s="4">
        <v>13</v>
      </c>
      <c r="AR153" s="3" t="s">
        <v>64</v>
      </c>
      <c r="AS153" s="3" t="s">
        <v>64</v>
      </c>
      <c r="AT153" s="3" t="s">
        <v>64</v>
      </c>
      <c r="AV153" s="6" t="str">
        <f>HYPERLINK("http://mcgill.on.worldcat.org/oclc/145989992","Catalog Record")</f>
        <v>Catalog Record</v>
      </c>
      <c r="AW153" s="6" t="str">
        <f>HYPERLINK("http://www.worldcat.org/oclc/145989992","WorldCat Record")</f>
        <v>WorldCat Record</v>
      </c>
      <c r="AX153" s="3" t="s">
        <v>1302</v>
      </c>
      <c r="AY153" s="3" t="s">
        <v>1303</v>
      </c>
      <c r="AZ153" s="3" t="s">
        <v>1304</v>
      </c>
      <c r="BA153" s="3" t="s">
        <v>1304</v>
      </c>
      <c r="BB153" s="3" t="s">
        <v>1305</v>
      </c>
      <c r="BC153" s="3" t="s">
        <v>77</v>
      </c>
      <c r="BD153" s="3" t="s">
        <v>78</v>
      </c>
      <c r="BE153" s="3" t="s">
        <v>1306</v>
      </c>
      <c r="BF153" s="3" t="s">
        <v>1305</v>
      </c>
      <c r="BG153" s="3" t="s">
        <v>1307</v>
      </c>
      <c r="BH153">
        <f t="shared" si="5"/>
        <v>0</v>
      </c>
    </row>
    <row r="154" spans="1:60" ht="58" x14ac:dyDescent="0.35">
      <c r="A154" s="2" t="s">
        <v>59</v>
      </c>
      <c r="B154" s="2" t="s">
        <v>60</v>
      </c>
      <c r="C154" s="2" t="s">
        <v>1308</v>
      </c>
      <c r="D154" s="2" t="s">
        <v>1309</v>
      </c>
      <c r="E154" s="2" t="s">
        <v>1310</v>
      </c>
      <c r="G154" s="3" t="s">
        <v>64</v>
      </c>
      <c r="I154" s="3" t="s">
        <v>64</v>
      </c>
      <c r="J154" s="3" t="s">
        <v>64</v>
      </c>
      <c r="K154" s="3" t="s">
        <v>65</v>
      </c>
      <c r="M154" s="2" t="s">
        <v>1311</v>
      </c>
      <c r="N154" s="3" t="s">
        <v>1075</v>
      </c>
      <c r="P154" s="3" t="s">
        <v>102</v>
      </c>
      <c r="Q154" s="2" t="s">
        <v>1312</v>
      </c>
      <c r="R154" s="3" t="s">
        <v>70</v>
      </c>
      <c r="S154" s="4">
        <v>1</v>
      </c>
      <c r="T154" s="4">
        <v>1</v>
      </c>
      <c r="U154" s="5" t="s">
        <v>1313</v>
      </c>
      <c r="V154" s="5" t="s">
        <v>1313</v>
      </c>
      <c r="W154" s="5" t="s">
        <v>72</v>
      </c>
      <c r="X154" s="5" t="s">
        <v>72</v>
      </c>
      <c r="Y154" s="4">
        <v>214</v>
      </c>
      <c r="Z154" s="4">
        <v>19</v>
      </c>
      <c r="AA154" s="4">
        <v>26</v>
      </c>
      <c r="AB154" s="4">
        <v>2</v>
      </c>
      <c r="AC154" s="4">
        <v>6</v>
      </c>
      <c r="AD154" s="4">
        <v>61</v>
      </c>
      <c r="AE154" s="4">
        <v>75</v>
      </c>
      <c r="AF154" s="4">
        <v>1</v>
      </c>
      <c r="AG154" s="4">
        <v>2</v>
      </c>
      <c r="AH154" s="4">
        <v>53</v>
      </c>
      <c r="AI154" s="4">
        <v>63</v>
      </c>
      <c r="AJ154" s="4">
        <v>12</v>
      </c>
      <c r="AK154" s="4">
        <v>13</v>
      </c>
      <c r="AL154" s="4">
        <v>32</v>
      </c>
      <c r="AM154" s="4">
        <v>39</v>
      </c>
      <c r="AN154" s="4">
        <v>0</v>
      </c>
      <c r="AO154" s="4">
        <v>0</v>
      </c>
      <c r="AP154" s="4">
        <v>15</v>
      </c>
      <c r="AQ154" s="4">
        <v>17</v>
      </c>
      <c r="AR154" s="3" t="s">
        <v>64</v>
      </c>
      <c r="AS154" s="3" t="s">
        <v>64</v>
      </c>
      <c r="AT154" s="3" t="s">
        <v>64</v>
      </c>
      <c r="AV154" s="6" t="str">
        <f>HYPERLINK("http://mcgill.on.worldcat.org/oclc/829738484","Catalog Record")</f>
        <v>Catalog Record</v>
      </c>
      <c r="AW154" s="6" t="str">
        <f>HYPERLINK("http://www.worldcat.org/oclc/829738484","WorldCat Record")</f>
        <v>WorldCat Record</v>
      </c>
      <c r="AX154" s="3" t="s">
        <v>1314</v>
      </c>
      <c r="AY154" s="3" t="s">
        <v>1315</v>
      </c>
      <c r="AZ154" s="3" t="s">
        <v>1316</v>
      </c>
      <c r="BA154" s="3" t="s">
        <v>1316</v>
      </c>
      <c r="BB154" s="3" t="s">
        <v>1317</v>
      </c>
      <c r="BC154" s="3" t="s">
        <v>77</v>
      </c>
      <c r="BD154" s="3" t="s">
        <v>78</v>
      </c>
      <c r="BE154" s="3" t="s">
        <v>1318</v>
      </c>
      <c r="BF154" s="3" t="s">
        <v>1317</v>
      </c>
      <c r="BG154" s="3" t="s">
        <v>1319</v>
      </c>
      <c r="BH154">
        <f t="shared" si="5"/>
        <v>0</v>
      </c>
    </row>
    <row r="155" spans="1:60" ht="58" x14ac:dyDescent="0.35">
      <c r="A155" s="2" t="s">
        <v>59</v>
      </c>
      <c r="B155" s="2" t="s">
        <v>60</v>
      </c>
      <c r="C155" s="2" t="s">
        <v>1320</v>
      </c>
      <c r="D155" s="2" t="s">
        <v>1321</v>
      </c>
      <c r="E155" s="2" t="s">
        <v>1322</v>
      </c>
      <c r="F155" s="3" t="s">
        <v>1323</v>
      </c>
      <c r="G155" s="3" t="s">
        <v>128</v>
      </c>
      <c r="I155" s="3" t="s">
        <v>128</v>
      </c>
      <c r="J155" s="3" t="s">
        <v>64</v>
      </c>
      <c r="K155" s="3" t="s">
        <v>65</v>
      </c>
      <c r="M155" s="2" t="s">
        <v>1324</v>
      </c>
      <c r="N155" s="3" t="s">
        <v>392</v>
      </c>
      <c r="P155" s="3" t="s">
        <v>102</v>
      </c>
      <c r="R155" s="3" t="s">
        <v>70</v>
      </c>
      <c r="S155" s="4">
        <v>7</v>
      </c>
      <c r="T155" s="4">
        <v>78</v>
      </c>
      <c r="U155" s="5" t="s">
        <v>1325</v>
      </c>
      <c r="V155" s="5" t="s">
        <v>1326</v>
      </c>
      <c r="W155" s="5" t="s">
        <v>72</v>
      </c>
      <c r="X155" s="5" t="s">
        <v>72</v>
      </c>
      <c r="Y155" s="4">
        <v>493</v>
      </c>
      <c r="Z155" s="4">
        <v>37</v>
      </c>
      <c r="AA155" s="4">
        <v>46</v>
      </c>
      <c r="AB155" s="4">
        <v>1</v>
      </c>
      <c r="AC155" s="4">
        <v>1</v>
      </c>
      <c r="AD155" s="4">
        <v>119</v>
      </c>
      <c r="AE155" s="4">
        <v>127</v>
      </c>
      <c r="AF155" s="4">
        <v>0</v>
      </c>
      <c r="AG155" s="4">
        <v>0</v>
      </c>
      <c r="AH155" s="4">
        <v>100</v>
      </c>
      <c r="AI155" s="4">
        <v>103</v>
      </c>
      <c r="AJ155" s="4">
        <v>17</v>
      </c>
      <c r="AK155" s="4">
        <v>23</v>
      </c>
      <c r="AL155" s="4">
        <v>56</v>
      </c>
      <c r="AM155" s="4">
        <v>56</v>
      </c>
      <c r="AN155" s="4">
        <v>0</v>
      </c>
      <c r="AO155" s="4">
        <v>0</v>
      </c>
      <c r="AP155" s="4">
        <v>24</v>
      </c>
      <c r="AQ155" s="4">
        <v>32</v>
      </c>
      <c r="AR155" s="3" t="s">
        <v>64</v>
      </c>
      <c r="AS155" s="3" t="s">
        <v>64</v>
      </c>
      <c r="AT155" s="3" t="s">
        <v>64</v>
      </c>
      <c r="AV155" s="6" t="str">
        <f t="shared" ref="AV155:AV160" si="6">HYPERLINK("http://mcgill.on.worldcat.org/oclc/38856036","Catalog Record")</f>
        <v>Catalog Record</v>
      </c>
      <c r="AW155" s="6" t="str">
        <f t="shared" ref="AW155:AW160" si="7">HYPERLINK("http://www.worldcat.org/oclc/38856036","WorldCat Record")</f>
        <v>WorldCat Record</v>
      </c>
      <c r="AX155" s="3" t="s">
        <v>1327</v>
      </c>
      <c r="AY155" s="3" t="s">
        <v>1328</v>
      </c>
      <c r="AZ155" s="3" t="s">
        <v>1329</v>
      </c>
      <c r="BA155" s="3" t="s">
        <v>1329</v>
      </c>
      <c r="BB155" s="3" t="s">
        <v>1330</v>
      </c>
      <c r="BC155" s="3" t="s">
        <v>77</v>
      </c>
      <c r="BD155" s="3" t="s">
        <v>78</v>
      </c>
      <c r="BE155" s="3" t="s">
        <v>1331</v>
      </c>
      <c r="BF155" s="3" t="s">
        <v>1330</v>
      </c>
      <c r="BG155" s="3" t="s">
        <v>1332</v>
      </c>
      <c r="BH155">
        <f t="shared" si="5"/>
        <v>0</v>
      </c>
    </row>
    <row r="156" spans="1:60" ht="58" x14ac:dyDescent="0.35">
      <c r="A156" s="2" t="s">
        <v>59</v>
      </c>
      <c r="B156" s="2" t="s">
        <v>60</v>
      </c>
      <c r="C156" s="2" t="s">
        <v>1320</v>
      </c>
      <c r="D156" s="2" t="s">
        <v>1321</v>
      </c>
      <c r="E156" s="2" t="s">
        <v>1322</v>
      </c>
      <c r="F156" s="3" t="s">
        <v>509</v>
      </c>
      <c r="G156" s="3" t="s">
        <v>128</v>
      </c>
      <c r="I156" s="3" t="s">
        <v>128</v>
      </c>
      <c r="J156" s="3" t="s">
        <v>64</v>
      </c>
      <c r="K156" s="3" t="s">
        <v>65</v>
      </c>
      <c r="M156" s="2" t="s">
        <v>1324</v>
      </c>
      <c r="N156" s="3" t="s">
        <v>392</v>
      </c>
      <c r="P156" s="3" t="s">
        <v>102</v>
      </c>
      <c r="R156" s="3" t="s">
        <v>70</v>
      </c>
      <c r="S156" s="4">
        <v>19</v>
      </c>
      <c r="T156" s="4">
        <v>78</v>
      </c>
      <c r="U156" s="5" t="s">
        <v>1325</v>
      </c>
      <c r="V156" s="5" t="s">
        <v>1326</v>
      </c>
      <c r="W156" s="5" t="s">
        <v>72</v>
      </c>
      <c r="X156" s="5" t="s">
        <v>72</v>
      </c>
      <c r="Y156" s="4">
        <v>493</v>
      </c>
      <c r="Z156" s="4">
        <v>37</v>
      </c>
      <c r="AA156" s="4">
        <v>46</v>
      </c>
      <c r="AB156" s="4">
        <v>1</v>
      </c>
      <c r="AC156" s="4">
        <v>1</v>
      </c>
      <c r="AD156" s="4">
        <v>119</v>
      </c>
      <c r="AE156" s="4">
        <v>127</v>
      </c>
      <c r="AF156" s="4">
        <v>0</v>
      </c>
      <c r="AG156" s="4">
        <v>0</v>
      </c>
      <c r="AH156" s="4">
        <v>100</v>
      </c>
      <c r="AI156" s="4">
        <v>103</v>
      </c>
      <c r="AJ156" s="4">
        <v>17</v>
      </c>
      <c r="AK156" s="4">
        <v>23</v>
      </c>
      <c r="AL156" s="4">
        <v>56</v>
      </c>
      <c r="AM156" s="4">
        <v>56</v>
      </c>
      <c r="AN156" s="4">
        <v>0</v>
      </c>
      <c r="AO156" s="4">
        <v>0</v>
      </c>
      <c r="AP156" s="4">
        <v>24</v>
      </c>
      <c r="AQ156" s="4">
        <v>32</v>
      </c>
      <c r="AR156" s="3" t="s">
        <v>64</v>
      </c>
      <c r="AS156" s="3" t="s">
        <v>64</v>
      </c>
      <c r="AT156" s="3" t="s">
        <v>64</v>
      </c>
      <c r="AV156" s="6" t="str">
        <f t="shared" si="6"/>
        <v>Catalog Record</v>
      </c>
      <c r="AW156" s="6" t="str">
        <f t="shared" si="7"/>
        <v>WorldCat Record</v>
      </c>
      <c r="AX156" s="3" t="s">
        <v>1327</v>
      </c>
      <c r="AY156" s="3" t="s">
        <v>1328</v>
      </c>
      <c r="AZ156" s="3" t="s">
        <v>1329</v>
      </c>
      <c r="BA156" s="3" t="s">
        <v>1329</v>
      </c>
      <c r="BB156" s="3" t="s">
        <v>1333</v>
      </c>
      <c r="BC156" s="3" t="s">
        <v>77</v>
      </c>
      <c r="BD156" s="3" t="s">
        <v>78</v>
      </c>
      <c r="BE156" s="3" t="s">
        <v>1331</v>
      </c>
      <c r="BF156" s="3" t="s">
        <v>1333</v>
      </c>
      <c r="BG156" s="3" t="s">
        <v>1334</v>
      </c>
      <c r="BH156">
        <f t="shared" si="5"/>
        <v>0</v>
      </c>
    </row>
    <row r="157" spans="1:60" ht="58" x14ac:dyDescent="0.35">
      <c r="A157" s="2" t="s">
        <v>59</v>
      </c>
      <c r="B157" s="2" t="s">
        <v>60</v>
      </c>
      <c r="C157" s="2" t="s">
        <v>1320</v>
      </c>
      <c r="D157" s="2" t="s">
        <v>1321</v>
      </c>
      <c r="E157" s="2" t="s">
        <v>1322</v>
      </c>
      <c r="F157" s="3" t="s">
        <v>1335</v>
      </c>
      <c r="G157" s="3" t="s">
        <v>128</v>
      </c>
      <c r="I157" s="3" t="s">
        <v>128</v>
      </c>
      <c r="J157" s="3" t="s">
        <v>64</v>
      </c>
      <c r="K157" s="3" t="s">
        <v>65</v>
      </c>
      <c r="M157" s="2" t="s">
        <v>1324</v>
      </c>
      <c r="N157" s="3" t="s">
        <v>392</v>
      </c>
      <c r="P157" s="3" t="s">
        <v>102</v>
      </c>
      <c r="R157" s="3" t="s">
        <v>70</v>
      </c>
      <c r="S157" s="4">
        <v>13</v>
      </c>
      <c r="T157" s="4">
        <v>78</v>
      </c>
      <c r="U157" s="5" t="s">
        <v>1326</v>
      </c>
      <c r="V157" s="5" t="s">
        <v>1326</v>
      </c>
      <c r="W157" s="5" t="s">
        <v>72</v>
      </c>
      <c r="X157" s="5" t="s">
        <v>72</v>
      </c>
      <c r="Y157" s="4">
        <v>493</v>
      </c>
      <c r="Z157" s="4">
        <v>37</v>
      </c>
      <c r="AA157" s="4">
        <v>46</v>
      </c>
      <c r="AB157" s="4">
        <v>1</v>
      </c>
      <c r="AC157" s="4">
        <v>1</v>
      </c>
      <c r="AD157" s="4">
        <v>119</v>
      </c>
      <c r="AE157" s="4">
        <v>127</v>
      </c>
      <c r="AF157" s="4">
        <v>0</v>
      </c>
      <c r="AG157" s="4">
        <v>0</v>
      </c>
      <c r="AH157" s="4">
        <v>100</v>
      </c>
      <c r="AI157" s="4">
        <v>103</v>
      </c>
      <c r="AJ157" s="4">
        <v>17</v>
      </c>
      <c r="AK157" s="4">
        <v>23</v>
      </c>
      <c r="AL157" s="4">
        <v>56</v>
      </c>
      <c r="AM157" s="4">
        <v>56</v>
      </c>
      <c r="AN157" s="4">
        <v>0</v>
      </c>
      <c r="AO157" s="4">
        <v>0</v>
      </c>
      <c r="AP157" s="4">
        <v>24</v>
      </c>
      <c r="AQ157" s="4">
        <v>32</v>
      </c>
      <c r="AR157" s="3" t="s">
        <v>64</v>
      </c>
      <c r="AS157" s="3" t="s">
        <v>64</v>
      </c>
      <c r="AT157" s="3" t="s">
        <v>64</v>
      </c>
      <c r="AV157" s="6" t="str">
        <f t="shared" si="6"/>
        <v>Catalog Record</v>
      </c>
      <c r="AW157" s="6" t="str">
        <f t="shared" si="7"/>
        <v>WorldCat Record</v>
      </c>
      <c r="AX157" s="3" t="s">
        <v>1327</v>
      </c>
      <c r="AY157" s="3" t="s">
        <v>1328</v>
      </c>
      <c r="AZ157" s="3" t="s">
        <v>1329</v>
      </c>
      <c r="BA157" s="3" t="s">
        <v>1329</v>
      </c>
      <c r="BB157" s="3" t="s">
        <v>1336</v>
      </c>
      <c r="BC157" s="3" t="s">
        <v>77</v>
      </c>
      <c r="BD157" s="3" t="s">
        <v>165</v>
      </c>
      <c r="BE157" s="3" t="s">
        <v>1331</v>
      </c>
      <c r="BF157" s="3" t="s">
        <v>1336</v>
      </c>
      <c r="BG157" s="3" t="s">
        <v>1337</v>
      </c>
      <c r="BH157">
        <f t="shared" si="5"/>
        <v>0</v>
      </c>
    </row>
    <row r="158" spans="1:60" ht="58" x14ac:dyDescent="0.35">
      <c r="A158" s="2" t="s">
        <v>59</v>
      </c>
      <c r="B158" s="2" t="s">
        <v>60</v>
      </c>
      <c r="C158" s="2" t="s">
        <v>1320</v>
      </c>
      <c r="D158" s="2" t="s">
        <v>1321</v>
      </c>
      <c r="E158" s="2" t="s">
        <v>1322</v>
      </c>
      <c r="F158" s="3" t="s">
        <v>529</v>
      </c>
      <c r="G158" s="3" t="s">
        <v>128</v>
      </c>
      <c r="I158" s="3" t="s">
        <v>128</v>
      </c>
      <c r="J158" s="3" t="s">
        <v>64</v>
      </c>
      <c r="K158" s="3" t="s">
        <v>65</v>
      </c>
      <c r="M158" s="2" t="s">
        <v>1324</v>
      </c>
      <c r="N158" s="3" t="s">
        <v>392</v>
      </c>
      <c r="P158" s="3" t="s">
        <v>102</v>
      </c>
      <c r="R158" s="3" t="s">
        <v>70</v>
      </c>
      <c r="S158" s="4">
        <v>11</v>
      </c>
      <c r="T158" s="4">
        <v>78</v>
      </c>
      <c r="U158" s="5" t="s">
        <v>1325</v>
      </c>
      <c r="V158" s="5" t="s">
        <v>1326</v>
      </c>
      <c r="W158" s="5" t="s">
        <v>72</v>
      </c>
      <c r="X158" s="5" t="s">
        <v>72</v>
      </c>
      <c r="Y158" s="4">
        <v>493</v>
      </c>
      <c r="Z158" s="4">
        <v>37</v>
      </c>
      <c r="AA158" s="4">
        <v>46</v>
      </c>
      <c r="AB158" s="4">
        <v>1</v>
      </c>
      <c r="AC158" s="4">
        <v>1</v>
      </c>
      <c r="AD158" s="4">
        <v>119</v>
      </c>
      <c r="AE158" s="4">
        <v>127</v>
      </c>
      <c r="AF158" s="4">
        <v>0</v>
      </c>
      <c r="AG158" s="4">
        <v>0</v>
      </c>
      <c r="AH158" s="4">
        <v>100</v>
      </c>
      <c r="AI158" s="4">
        <v>103</v>
      </c>
      <c r="AJ158" s="4">
        <v>17</v>
      </c>
      <c r="AK158" s="4">
        <v>23</v>
      </c>
      <c r="AL158" s="4">
        <v>56</v>
      </c>
      <c r="AM158" s="4">
        <v>56</v>
      </c>
      <c r="AN158" s="4">
        <v>0</v>
      </c>
      <c r="AO158" s="4">
        <v>0</v>
      </c>
      <c r="AP158" s="4">
        <v>24</v>
      </c>
      <c r="AQ158" s="4">
        <v>32</v>
      </c>
      <c r="AR158" s="3" t="s">
        <v>64</v>
      </c>
      <c r="AS158" s="3" t="s">
        <v>64</v>
      </c>
      <c r="AT158" s="3" t="s">
        <v>64</v>
      </c>
      <c r="AV158" s="6" t="str">
        <f t="shared" si="6"/>
        <v>Catalog Record</v>
      </c>
      <c r="AW158" s="6" t="str">
        <f t="shared" si="7"/>
        <v>WorldCat Record</v>
      </c>
      <c r="AX158" s="3" t="s">
        <v>1327</v>
      </c>
      <c r="AY158" s="3" t="s">
        <v>1328</v>
      </c>
      <c r="AZ158" s="3" t="s">
        <v>1329</v>
      </c>
      <c r="BA158" s="3" t="s">
        <v>1329</v>
      </c>
      <c r="BB158" s="3" t="s">
        <v>1338</v>
      </c>
      <c r="BC158" s="3" t="s">
        <v>77</v>
      </c>
      <c r="BD158" s="3" t="s">
        <v>78</v>
      </c>
      <c r="BE158" s="3" t="s">
        <v>1331</v>
      </c>
      <c r="BF158" s="3" t="s">
        <v>1338</v>
      </c>
      <c r="BG158" s="3" t="s">
        <v>1339</v>
      </c>
      <c r="BH158">
        <f t="shared" si="5"/>
        <v>0</v>
      </c>
    </row>
    <row r="159" spans="1:60" ht="58" x14ac:dyDescent="0.35">
      <c r="A159" s="2" t="s">
        <v>59</v>
      </c>
      <c r="B159" s="2" t="s">
        <v>60</v>
      </c>
      <c r="C159" s="2" t="s">
        <v>1320</v>
      </c>
      <c r="D159" s="2" t="s">
        <v>1321</v>
      </c>
      <c r="E159" s="2" t="s">
        <v>1322</v>
      </c>
      <c r="F159" s="3" t="s">
        <v>1340</v>
      </c>
      <c r="G159" s="3" t="s">
        <v>128</v>
      </c>
      <c r="I159" s="3" t="s">
        <v>128</v>
      </c>
      <c r="J159" s="3" t="s">
        <v>64</v>
      </c>
      <c r="K159" s="3" t="s">
        <v>65</v>
      </c>
      <c r="M159" s="2" t="s">
        <v>1324</v>
      </c>
      <c r="N159" s="3" t="s">
        <v>392</v>
      </c>
      <c r="P159" s="3" t="s">
        <v>102</v>
      </c>
      <c r="R159" s="3" t="s">
        <v>70</v>
      </c>
      <c r="S159" s="4">
        <v>7</v>
      </c>
      <c r="T159" s="4">
        <v>78</v>
      </c>
      <c r="U159" s="5" t="s">
        <v>651</v>
      </c>
      <c r="V159" s="5" t="s">
        <v>1326</v>
      </c>
      <c r="W159" s="5" t="s">
        <v>72</v>
      </c>
      <c r="X159" s="5" t="s">
        <v>72</v>
      </c>
      <c r="Y159" s="4">
        <v>493</v>
      </c>
      <c r="Z159" s="4">
        <v>37</v>
      </c>
      <c r="AA159" s="4">
        <v>46</v>
      </c>
      <c r="AB159" s="4">
        <v>1</v>
      </c>
      <c r="AC159" s="4">
        <v>1</v>
      </c>
      <c r="AD159" s="4">
        <v>119</v>
      </c>
      <c r="AE159" s="4">
        <v>127</v>
      </c>
      <c r="AF159" s="4">
        <v>0</v>
      </c>
      <c r="AG159" s="4">
        <v>0</v>
      </c>
      <c r="AH159" s="4">
        <v>100</v>
      </c>
      <c r="AI159" s="4">
        <v>103</v>
      </c>
      <c r="AJ159" s="4">
        <v>17</v>
      </c>
      <c r="AK159" s="4">
        <v>23</v>
      </c>
      <c r="AL159" s="4">
        <v>56</v>
      </c>
      <c r="AM159" s="4">
        <v>56</v>
      </c>
      <c r="AN159" s="4">
        <v>0</v>
      </c>
      <c r="AO159" s="4">
        <v>0</v>
      </c>
      <c r="AP159" s="4">
        <v>24</v>
      </c>
      <c r="AQ159" s="4">
        <v>32</v>
      </c>
      <c r="AR159" s="3" t="s">
        <v>64</v>
      </c>
      <c r="AS159" s="3" t="s">
        <v>64</v>
      </c>
      <c r="AT159" s="3" t="s">
        <v>64</v>
      </c>
      <c r="AV159" s="6" t="str">
        <f t="shared" si="6"/>
        <v>Catalog Record</v>
      </c>
      <c r="AW159" s="6" t="str">
        <f t="shared" si="7"/>
        <v>WorldCat Record</v>
      </c>
      <c r="AX159" s="3" t="s">
        <v>1327</v>
      </c>
      <c r="AY159" s="3" t="s">
        <v>1328</v>
      </c>
      <c r="AZ159" s="3" t="s">
        <v>1329</v>
      </c>
      <c r="BA159" s="3" t="s">
        <v>1329</v>
      </c>
      <c r="BB159" s="3" t="s">
        <v>1341</v>
      </c>
      <c r="BC159" s="3" t="s">
        <v>77</v>
      </c>
      <c r="BD159" s="3" t="s">
        <v>165</v>
      </c>
      <c r="BE159" s="3" t="s">
        <v>1331</v>
      </c>
      <c r="BF159" s="3" t="s">
        <v>1341</v>
      </c>
      <c r="BG159" s="3" t="s">
        <v>1342</v>
      </c>
      <c r="BH159">
        <f t="shared" si="5"/>
        <v>0</v>
      </c>
    </row>
    <row r="160" spans="1:60" ht="58" x14ac:dyDescent="0.35">
      <c r="A160" s="2" t="s">
        <v>59</v>
      </c>
      <c r="B160" s="2" t="s">
        <v>60</v>
      </c>
      <c r="C160" s="2" t="s">
        <v>1320</v>
      </c>
      <c r="D160" s="2" t="s">
        <v>1321</v>
      </c>
      <c r="E160" s="2" t="s">
        <v>1322</v>
      </c>
      <c r="F160" s="3" t="s">
        <v>522</v>
      </c>
      <c r="G160" s="3" t="s">
        <v>128</v>
      </c>
      <c r="I160" s="3" t="s">
        <v>128</v>
      </c>
      <c r="J160" s="3" t="s">
        <v>64</v>
      </c>
      <c r="K160" s="3" t="s">
        <v>65</v>
      </c>
      <c r="M160" s="2" t="s">
        <v>1324</v>
      </c>
      <c r="N160" s="3" t="s">
        <v>392</v>
      </c>
      <c r="P160" s="3" t="s">
        <v>102</v>
      </c>
      <c r="R160" s="3" t="s">
        <v>70</v>
      </c>
      <c r="S160" s="4">
        <v>20</v>
      </c>
      <c r="T160" s="4">
        <v>78</v>
      </c>
      <c r="U160" s="5" t="s">
        <v>1343</v>
      </c>
      <c r="V160" s="5" t="s">
        <v>1326</v>
      </c>
      <c r="W160" s="5" t="s">
        <v>72</v>
      </c>
      <c r="X160" s="5" t="s">
        <v>72</v>
      </c>
      <c r="Y160" s="4">
        <v>493</v>
      </c>
      <c r="Z160" s="4">
        <v>37</v>
      </c>
      <c r="AA160" s="4">
        <v>46</v>
      </c>
      <c r="AB160" s="4">
        <v>1</v>
      </c>
      <c r="AC160" s="4">
        <v>1</v>
      </c>
      <c r="AD160" s="4">
        <v>119</v>
      </c>
      <c r="AE160" s="4">
        <v>127</v>
      </c>
      <c r="AF160" s="4">
        <v>0</v>
      </c>
      <c r="AG160" s="4">
        <v>0</v>
      </c>
      <c r="AH160" s="4">
        <v>100</v>
      </c>
      <c r="AI160" s="4">
        <v>103</v>
      </c>
      <c r="AJ160" s="4">
        <v>17</v>
      </c>
      <c r="AK160" s="4">
        <v>23</v>
      </c>
      <c r="AL160" s="4">
        <v>56</v>
      </c>
      <c r="AM160" s="4">
        <v>56</v>
      </c>
      <c r="AN160" s="4">
        <v>0</v>
      </c>
      <c r="AO160" s="4">
        <v>0</v>
      </c>
      <c r="AP160" s="4">
        <v>24</v>
      </c>
      <c r="AQ160" s="4">
        <v>32</v>
      </c>
      <c r="AR160" s="3" t="s">
        <v>64</v>
      </c>
      <c r="AS160" s="3" t="s">
        <v>64</v>
      </c>
      <c r="AT160" s="3" t="s">
        <v>64</v>
      </c>
      <c r="AV160" s="6" t="str">
        <f t="shared" si="6"/>
        <v>Catalog Record</v>
      </c>
      <c r="AW160" s="6" t="str">
        <f t="shared" si="7"/>
        <v>WorldCat Record</v>
      </c>
      <c r="AX160" s="3" t="s">
        <v>1327</v>
      </c>
      <c r="AY160" s="3" t="s">
        <v>1328</v>
      </c>
      <c r="AZ160" s="3" t="s">
        <v>1329</v>
      </c>
      <c r="BA160" s="3" t="s">
        <v>1329</v>
      </c>
      <c r="BB160" s="3" t="s">
        <v>1344</v>
      </c>
      <c r="BC160" s="3" t="s">
        <v>77</v>
      </c>
      <c r="BD160" s="3" t="s">
        <v>165</v>
      </c>
      <c r="BE160" s="3" t="s">
        <v>1331</v>
      </c>
      <c r="BF160" s="3" t="s">
        <v>1344</v>
      </c>
      <c r="BG160" s="3" t="s">
        <v>1345</v>
      </c>
      <c r="BH160">
        <f t="shared" si="5"/>
        <v>0</v>
      </c>
    </row>
    <row r="161" spans="1:60" ht="58" x14ac:dyDescent="0.35">
      <c r="A161" s="2" t="s">
        <v>59</v>
      </c>
      <c r="B161" s="2" t="s">
        <v>60</v>
      </c>
      <c r="C161" s="2" t="s">
        <v>1346</v>
      </c>
      <c r="D161" s="2" t="s">
        <v>1347</v>
      </c>
      <c r="E161" s="2" t="s">
        <v>1348</v>
      </c>
      <c r="G161" s="3" t="s">
        <v>64</v>
      </c>
      <c r="I161" s="3" t="s">
        <v>64</v>
      </c>
      <c r="J161" s="3" t="s">
        <v>64</v>
      </c>
      <c r="K161" s="3" t="s">
        <v>65</v>
      </c>
      <c r="M161" s="2" t="s">
        <v>1349</v>
      </c>
      <c r="N161" s="3" t="s">
        <v>511</v>
      </c>
      <c r="P161" s="3" t="s">
        <v>102</v>
      </c>
      <c r="Q161" s="2" t="s">
        <v>1350</v>
      </c>
      <c r="R161" s="3" t="s">
        <v>70</v>
      </c>
      <c r="S161" s="4">
        <v>5</v>
      </c>
      <c r="T161" s="4">
        <v>5</v>
      </c>
      <c r="U161" s="5" t="s">
        <v>1351</v>
      </c>
      <c r="V161" s="5" t="s">
        <v>1351</v>
      </c>
      <c r="W161" s="5" t="s">
        <v>72</v>
      </c>
      <c r="X161" s="5" t="s">
        <v>72</v>
      </c>
      <c r="Y161" s="4">
        <v>144</v>
      </c>
      <c r="Z161" s="4">
        <v>20</v>
      </c>
      <c r="AA161" s="4">
        <v>20</v>
      </c>
      <c r="AB161" s="4">
        <v>2</v>
      </c>
      <c r="AC161" s="4">
        <v>2</v>
      </c>
      <c r="AD161" s="4">
        <v>62</v>
      </c>
      <c r="AE161" s="4">
        <v>62</v>
      </c>
      <c r="AF161" s="4">
        <v>1</v>
      </c>
      <c r="AG161" s="4">
        <v>1</v>
      </c>
      <c r="AH161" s="4">
        <v>54</v>
      </c>
      <c r="AI161" s="4">
        <v>54</v>
      </c>
      <c r="AJ161" s="4">
        <v>16</v>
      </c>
      <c r="AK161" s="4">
        <v>16</v>
      </c>
      <c r="AL161" s="4">
        <v>34</v>
      </c>
      <c r="AM161" s="4">
        <v>34</v>
      </c>
      <c r="AN161" s="4">
        <v>0</v>
      </c>
      <c r="AO161" s="4">
        <v>0</v>
      </c>
      <c r="AP161" s="4">
        <v>17</v>
      </c>
      <c r="AQ161" s="4">
        <v>17</v>
      </c>
      <c r="AR161" s="3" t="s">
        <v>64</v>
      </c>
      <c r="AS161" s="3" t="s">
        <v>64</v>
      </c>
      <c r="AT161" s="3" t="s">
        <v>64</v>
      </c>
      <c r="AV161" s="6" t="str">
        <f>HYPERLINK("http://mcgill.on.worldcat.org/oclc/613433789","Catalog Record")</f>
        <v>Catalog Record</v>
      </c>
      <c r="AW161" s="6" t="str">
        <f>HYPERLINK("http://www.worldcat.org/oclc/613433789","WorldCat Record")</f>
        <v>WorldCat Record</v>
      </c>
      <c r="AX161" s="3" t="s">
        <v>1352</v>
      </c>
      <c r="AY161" s="3" t="s">
        <v>1353</v>
      </c>
      <c r="AZ161" s="3" t="s">
        <v>1354</v>
      </c>
      <c r="BA161" s="3" t="s">
        <v>1354</v>
      </c>
      <c r="BB161" s="3" t="s">
        <v>1355</v>
      </c>
      <c r="BC161" s="3" t="s">
        <v>77</v>
      </c>
      <c r="BD161" s="3" t="s">
        <v>78</v>
      </c>
      <c r="BE161" s="3" t="s">
        <v>1356</v>
      </c>
      <c r="BF161" s="3" t="s">
        <v>1355</v>
      </c>
      <c r="BG161" s="3" t="s">
        <v>1357</v>
      </c>
      <c r="BH161">
        <f t="shared" si="5"/>
        <v>0</v>
      </c>
    </row>
    <row r="162" spans="1:60" ht="58" x14ac:dyDescent="0.35">
      <c r="A162" s="2" t="s">
        <v>59</v>
      </c>
      <c r="B162" s="2" t="s">
        <v>60</v>
      </c>
      <c r="C162" s="2" t="s">
        <v>1358</v>
      </c>
      <c r="D162" s="2" t="s">
        <v>1359</v>
      </c>
      <c r="E162" s="2" t="s">
        <v>1360</v>
      </c>
      <c r="G162" s="3" t="s">
        <v>64</v>
      </c>
      <c r="I162" s="3" t="s">
        <v>64</v>
      </c>
      <c r="J162" s="3" t="s">
        <v>64</v>
      </c>
      <c r="K162" s="3" t="s">
        <v>65</v>
      </c>
      <c r="L162" s="2" t="s">
        <v>1361</v>
      </c>
      <c r="M162" s="2" t="s">
        <v>1362</v>
      </c>
      <c r="N162" s="3" t="s">
        <v>421</v>
      </c>
      <c r="P162" s="3" t="s">
        <v>102</v>
      </c>
      <c r="R162" s="3" t="s">
        <v>70</v>
      </c>
      <c r="S162" s="4">
        <v>4</v>
      </c>
      <c r="T162" s="4">
        <v>4</v>
      </c>
      <c r="U162" s="5" t="s">
        <v>1351</v>
      </c>
      <c r="V162" s="5" t="s">
        <v>1351</v>
      </c>
      <c r="W162" s="5" t="s">
        <v>72</v>
      </c>
      <c r="X162" s="5" t="s">
        <v>72</v>
      </c>
      <c r="Y162" s="4">
        <v>130</v>
      </c>
      <c r="Z162" s="4">
        <v>4</v>
      </c>
      <c r="AA162" s="4">
        <v>7</v>
      </c>
      <c r="AB162" s="4">
        <v>1</v>
      </c>
      <c r="AC162" s="4">
        <v>1</v>
      </c>
      <c r="AD162" s="4">
        <v>59</v>
      </c>
      <c r="AE162" s="4">
        <v>62</v>
      </c>
      <c r="AF162" s="4">
        <v>0</v>
      </c>
      <c r="AG162" s="4">
        <v>0</v>
      </c>
      <c r="AH162" s="4">
        <v>55</v>
      </c>
      <c r="AI162" s="4">
        <v>57</v>
      </c>
      <c r="AJ162" s="4">
        <v>2</v>
      </c>
      <c r="AK162" s="4">
        <v>4</v>
      </c>
      <c r="AL162" s="4">
        <v>38</v>
      </c>
      <c r="AM162" s="4">
        <v>40</v>
      </c>
      <c r="AN162" s="4">
        <v>0</v>
      </c>
      <c r="AO162" s="4">
        <v>0</v>
      </c>
      <c r="AP162" s="4">
        <v>3</v>
      </c>
      <c r="AQ162" s="4">
        <v>5</v>
      </c>
      <c r="AR162" s="3" t="s">
        <v>64</v>
      </c>
      <c r="AS162" s="3" t="s">
        <v>64</v>
      </c>
      <c r="AT162" s="3" t="s">
        <v>64</v>
      </c>
      <c r="AV162" s="6" t="str">
        <f>HYPERLINK("http://mcgill.on.worldcat.org/oclc/35390963","Catalog Record")</f>
        <v>Catalog Record</v>
      </c>
      <c r="AW162" s="6" t="str">
        <f>HYPERLINK("http://www.worldcat.org/oclc/35390963","WorldCat Record")</f>
        <v>WorldCat Record</v>
      </c>
      <c r="AX162" s="3" t="s">
        <v>1363</v>
      </c>
      <c r="AY162" s="3" t="s">
        <v>1364</v>
      </c>
      <c r="AZ162" s="3" t="s">
        <v>1365</v>
      </c>
      <c r="BA162" s="3" t="s">
        <v>1365</v>
      </c>
      <c r="BB162" s="3" t="s">
        <v>1366</v>
      </c>
      <c r="BC162" s="3" t="s">
        <v>77</v>
      </c>
      <c r="BD162" s="3" t="s">
        <v>78</v>
      </c>
      <c r="BE162" s="3" t="s">
        <v>1367</v>
      </c>
      <c r="BF162" s="3" t="s">
        <v>1366</v>
      </c>
      <c r="BG162" s="3" t="s">
        <v>1368</v>
      </c>
      <c r="BH162">
        <f t="shared" si="5"/>
        <v>0</v>
      </c>
    </row>
    <row r="163" spans="1:60" ht="58" x14ac:dyDescent="0.35">
      <c r="A163" s="2" t="s">
        <v>59</v>
      </c>
      <c r="B163" s="2" t="s">
        <v>60</v>
      </c>
      <c r="C163" s="2" t="s">
        <v>1369</v>
      </c>
      <c r="D163" s="2" t="s">
        <v>1370</v>
      </c>
      <c r="E163" s="2" t="s">
        <v>1371</v>
      </c>
      <c r="G163" s="3" t="s">
        <v>64</v>
      </c>
      <c r="I163" s="3" t="s">
        <v>64</v>
      </c>
      <c r="J163" s="3" t="s">
        <v>64</v>
      </c>
      <c r="K163" s="3" t="s">
        <v>65</v>
      </c>
      <c r="L163" s="2" t="s">
        <v>1372</v>
      </c>
      <c r="M163" s="2" t="s">
        <v>1373</v>
      </c>
      <c r="N163" s="3" t="s">
        <v>1075</v>
      </c>
      <c r="P163" s="3" t="s">
        <v>102</v>
      </c>
      <c r="Q163" s="2" t="s">
        <v>1374</v>
      </c>
      <c r="R163" s="3" t="s">
        <v>70</v>
      </c>
      <c r="S163" s="4">
        <v>3</v>
      </c>
      <c r="T163" s="4">
        <v>3</v>
      </c>
      <c r="U163" s="5" t="s">
        <v>1375</v>
      </c>
      <c r="V163" s="5" t="s">
        <v>1375</v>
      </c>
      <c r="W163" s="5" t="s">
        <v>72</v>
      </c>
      <c r="X163" s="5" t="s">
        <v>72</v>
      </c>
      <c r="Y163" s="4">
        <v>102</v>
      </c>
      <c r="Z163" s="4">
        <v>8</v>
      </c>
      <c r="AA163" s="4">
        <v>9</v>
      </c>
      <c r="AB163" s="4">
        <v>1</v>
      </c>
      <c r="AC163" s="4">
        <v>2</v>
      </c>
      <c r="AD163" s="4">
        <v>40</v>
      </c>
      <c r="AE163" s="4">
        <v>41</v>
      </c>
      <c r="AF163" s="4">
        <v>0</v>
      </c>
      <c r="AG163" s="4">
        <v>1</v>
      </c>
      <c r="AH163" s="4">
        <v>37</v>
      </c>
      <c r="AI163" s="4">
        <v>37</v>
      </c>
      <c r="AJ163" s="4">
        <v>6</v>
      </c>
      <c r="AK163" s="4">
        <v>7</v>
      </c>
      <c r="AL163" s="4">
        <v>25</v>
      </c>
      <c r="AM163" s="4">
        <v>25</v>
      </c>
      <c r="AN163" s="4">
        <v>0</v>
      </c>
      <c r="AO163" s="4">
        <v>0</v>
      </c>
      <c r="AP163" s="4">
        <v>6</v>
      </c>
      <c r="AQ163" s="4">
        <v>7</v>
      </c>
      <c r="AR163" s="3" t="s">
        <v>64</v>
      </c>
      <c r="AS163" s="3" t="s">
        <v>64</v>
      </c>
      <c r="AT163" s="3" t="s">
        <v>64</v>
      </c>
      <c r="AV163" s="6" t="str">
        <f>HYPERLINK("http://mcgill.on.worldcat.org/oclc/812687891","Catalog Record")</f>
        <v>Catalog Record</v>
      </c>
      <c r="AW163" s="6" t="str">
        <f>HYPERLINK("http://www.worldcat.org/oclc/812687891","WorldCat Record")</f>
        <v>WorldCat Record</v>
      </c>
      <c r="AX163" s="3" t="s">
        <v>1376</v>
      </c>
      <c r="AY163" s="3" t="s">
        <v>1377</v>
      </c>
      <c r="AZ163" s="3" t="s">
        <v>1378</v>
      </c>
      <c r="BA163" s="3" t="s">
        <v>1378</v>
      </c>
      <c r="BB163" s="3" t="s">
        <v>1379</v>
      </c>
      <c r="BC163" s="3" t="s">
        <v>77</v>
      </c>
      <c r="BD163" s="3" t="s">
        <v>78</v>
      </c>
      <c r="BE163" s="3" t="s">
        <v>1380</v>
      </c>
      <c r="BF163" s="3" t="s">
        <v>1379</v>
      </c>
      <c r="BG163" s="3" t="s">
        <v>1381</v>
      </c>
      <c r="BH163">
        <f t="shared" si="5"/>
        <v>0</v>
      </c>
    </row>
    <row r="164" spans="1:60" ht="58" x14ac:dyDescent="0.35">
      <c r="A164" s="2" t="s">
        <v>59</v>
      </c>
      <c r="B164" s="2" t="s">
        <v>60</v>
      </c>
      <c r="C164" s="2" t="s">
        <v>1382</v>
      </c>
      <c r="D164" s="2" t="s">
        <v>1383</v>
      </c>
      <c r="E164" s="2" t="s">
        <v>1384</v>
      </c>
      <c r="G164" s="3" t="s">
        <v>64</v>
      </c>
      <c r="I164" s="3" t="s">
        <v>64</v>
      </c>
      <c r="J164" s="3" t="s">
        <v>64</v>
      </c>
      <c r="K164" s="3" t="s">
        <v>65</v>
      </c>
      <c r="M164" s="2" t="s">
        <v>1385</v>
      </c>
      <c r="N164" s="3" t="s">
        <v>67</v>
      </c>
      <c r="P164" s="3" t="s">
        <v>102</v>
      </c>
      <c r="R164" s="3" t="s">
        <v>70</v>
      </c>
      <c r="S164" s="4">
        <v>1</v>
      </c>
      <c r="T164" s="4">
        <v>1</v>
      </c>
      <c r="U164" s="5" t="s">
        <v>1386</v>
      </c>
      <c r="V164" s="5" t="s">
        <v>1386</v>
      </c>
      <c r="W164" s="5" t="s">
        <v>72</v>
      </c>
      <c r="X164" s="5" t="s">
        <v>72</v>
      </c>
      <c r="Y164" s="4">
        <v>162</v>
      </c>
      <c r="Z164" s="4">
        <v>13</v>
      </c>
      <c r="AA164" s="4">
        <v>22</v>
      </c>
      <c r="AB164" s="4">
        <v>1</v>
      </c>
      <c r="AC164" s="4">
        <v>5</v>
      </c>
      <c r="AD164" s="4">
        <v>50</v>
      </c>
      <c r="AE164" s="4">
        <v>73</v>
      </c>
      <c r="AF164" s="4">
        <v>0</v>
      </c>
      <c r="AG164" s="4">
        <v>1</v>
      </c>
      <c r="AH164" s="4">
        <v>46</v>
      </c>
      <c r="AI164" s="4">
        <v>63</v>
      </c>
      <c r="AJ164" s="4">
        <v>5</v>
      </c>
      <c r="AK164" s="4">
        <v>7</v>
      </c>
      <c r="AL164" s="4">
        <v>34</v>
      </c>
      <c r="AM164" s="4">
        <v>44</v>
      </c>
      <c r="AN164" s="4">
        <v>0</v>
      </c>
      <c r="AO164" s="4">
        <v>0</v>
      </c>
      <c r="AP164" s="4">
        <v>7</v>
      </c>
      <c r="AQ164" s="4">
        <v>11</v>
      </c>
      <c r="AR164" s="3" t="s">
        <v>64</v>
      </c>
      <c r="AS164" s="3" t="s">
        <v>64</v>
      </c>
      <c r="AT164" s="3" t="s">
        <v>64</v>
      </c>
      <c r="AV164" s="6" t="str">
        <f>HYPERLINK("http://mcgill.on.worldcat.org/oclc/834420335","Catalog Record")</f>
        <v>Catalog Record</v>
      </c>
      <c r="AW164" s="6" t="str">
        <f>HYPERLINK("http://www.worldcat.org/oclc/834420335","WorldCat Record")</f>
        <v>WorldCat Record</v>
      </c>
      <c r="AX164" s="3" t="s">
        <v>1387</v>
      </c>
      <c r="AY164" s="3" t="s">
        <v>1388</v>
      </c>
      <c r="AZ164" s="3" t="s">
        <v>1389</v>
      </c>
      <c r="BA164" s="3" t="s">
        <v>1389</v>
      </c>
      <c r="BB164" s="3" t="s">
        <v>1390</v>
      </c>
      <c r="BC164" s="3" t="s">
        <v>77</v>
      </c>
      <c r="BD164" s="3" t="s">
        <v>78</v>
      </c>
      <c r="BE164" s="3" t="s">
        <v>1391</v>
      </c>
      <c r="BF164" s="3" t="s">
        <v>1390</v>
      </c>
      <c r="BG164" s="3" t="s">
        <v>1392</v>
      </c>
      <c r="BH164">
        <f t="shared" si="5"/>
        <v>0</v>
      </c>
    </row>
    <row r="165" spans="1:60" ht="58" x14ac:dyDescent="0.35">
      <c r="A165" s="2" t="s">
        <v>59</v>
      </c>
      <c r="B165" s="2" t="s">
        <v>60</v>
      </c>
      <c r="C165" s="2" t="s">
        <v>1393</v>
      </c>
      <c r="D165" s="2" t="s">
        <v>1394</v>
      </c>
      <c r="E165" s="2" t="s">
        <v>1395</v>
      </c>
      <c r="G165" s="3" t="s">
        <v>64</v>
      </c>
      <c r="I165" s="3" t="s">
        <v>64</v>
      </c>
      <c r="J165" s="3" t="s">
        <v>64</v>
      </c>
      <c r="K165" s="3" t="s">
        <v>65</v>
      </c>
      <c r="M165" s="2" t="s">
        <v>1396</v>
      </c>
      <c r="N165" s="3" t="s">
        <v>551</v>
      </c>
      <c r="P165" s="3" t="s">
        <v>102</v>
      </c>
      <c r="R165" s="3" t="s">
        <v>70</v>
      </c>
      <c r="S165" s="4">
        <v>9</v>
      </c>
      <c r="T165" s="4">
        <v>9</v>
      </c>
      <c r="U165" s="5" t="s">
        <v>512</v>
      </c>
      <c r="V165" s="5" t="s">
        <v>512</v>
      </c>
      <c r="W165" s="5" t="s">
        <v>72</v>
      </c>
      <c r="X165" s="5" t="s">
        <v>72</v>
      </c>
      <c r="Y165" s="4">
        <v>158</v>
      </c>
      <c r="Z165" s="4">
        <v>17</v>
      </c>
      <c r="AA165" s="4">
        <v>18</v>
      </c>
      <c r="AB165" s="4">
        <v>1</v>
      </c>
      <c r="AC165" s="4">
        <v>2</v>
      </c>
      <c r="AD165" s="4">
        <v>69</v>
      </c>
      <c r="AE165" s="4">
        <v>71</v>
      </c>
      <c r="AF165" s="4">
        <v>0</v>
      </c>
      <c r="AG165" s="4">
        <v>0</v>
      </c>
      <c r="AH165" s="4">
        <v>60</v>
      </c>
      <c r="AI165" s="4">
        <v>62</v>
      </c>
      <c r="AJ165" s="4">
        <v>12</v>
      </c>
      <c r="AK165" s="4">
        <v>12</v>
      </c>
      <c r="AL165" s="4">
        <v>39</v>
      </c>
      <c r="AM165" s="4">
        <v>41</v>
      </c>
      <c r="AN165" s="4">
        <v>0</v>
      </c>
      <c r="AO165" s="4">
        <v>0</v>
      </c>
      <c r="AP165" s="4">
        <v>14</v>
      </c>
      <c r="AQ165" s="4">
        <v>14</v>
      </c>
      <c r="AR165" s="3" t="s">
        <v>64</v>
      </c>
      <c r="AS165" s="3" t="s">
        <v>64</v>
      </c>
      <c r="AT165" s="3" t="s">
        <v>64</v>
      </c>
      <c r="AV165" s="6" t="str">
        <f>HYPERLINK("http://mcgill.on.worldcat.org/oclc/314837938","Catalog Record")</f>
        <v>Catalog Record</v>
      </c>
      <c r="AW165" s="6" t="str">
        <f>HYPERLINK("http://www.worldcat.org/oclc/314837938","WorldCat Record")</f>
        <v>WorldCat Record</v>
      </c>
      <c r="AX165" s="3" t="s">
        <v>1397</v>
      </c>
      <c r="AY165" s="3" t="s">
        <v>1398</v>
      </c>
      <c r="AZ165" s="3" t="s">
        <v>1399</v>
      </c>
      <c r="BA165" s="3" t="s">
        <v>1399</v>
      </c>
      <c r="BB165" s="3" t="s">
        <v>1400</v>
      </c>
      <c r="BC165" s="3" t="s">
        <v>77</v>
      </c>
      <c r="BD165" s="3" t="s">
        <v>78</v>
      </c>
      <c r="BE165" s="3" t="s">
        <v>1401</v>
      </c>
      <c r="BF165" s="3" t="s">
        <v>1400</v>
      </c>
      <c r="BG165" s="3" t="s">
        <v>1402</v>
      </c>
      <c r="BH165">
        <f t="shared" si="5"/>
        <v>0</v>
      </c>
    </row>
    <row r="166" spans="1:60" ht="58" x14ac:dyDescent="0.35">
      <c r="A166" s="2" t="s">
        <v>59</v>
      </c>
      <c r="B166" s="2" t="s">
        <v>60</v>
      </c>
      <c r="C166" s="2" t="s">
        <v>1403</v>
      </c>
      <c r="D166" s="2" t="s">
        <v>1404</v>
      </c>
      <c r="E166" s="2" t="s">
        <v>1405</v>
      </c>
      <c r="G166" s="3" t="s">
        <v>64</v>
      </c>
      <c r="I166" s="3" t="s">
        <v>64</v>
      </c>
      <c r="J166" s="3" t="s">
        <v>64</v>
      </c>
      <c r="K166" s="3" t="s">
        <v>65</v>
      </c>
      <c r="M166" s="2" t="s">
        <v>1406</v>
      </c>
      <c r="N166" s="3" t="s">
        <v>326</v>
      </c>
      <c r="P166" s="3" t="s">
        <v>102</v>
      </c>
      <c r="Q166" s="2" t="s">
        <v>1407</v>
      </c>
      <c r="R166" s="3" t="s">
        <v>70</v>
      </c>
      <c r="S166" s="4">
        <v>14</v>
      </c>
      <c r="T166" s="4">
        <v>14</v>
      </c>
      <c r="U166" s="5" t="s">
        <v>435</v>
      </c>
      <c r="V166" s="5" t="s">
        <v>435</v>
      </c>
      <c r="W166" s="5" t="s">
        <v>72</v>
      </c>
      <c r="X166" s="5" t="s">
        <v>72</v>
      </c>
      <c r="Y166" s="4">
        <v>214</v>
      </c>
      <c r="Z166" s="4">
        <v>24</v>
      </c>
      <c r="AA166" s="4">
        <v>31</v>
      </c>
      <c r="AB166" s="4">
        <v>1</v>
      </c>
      <c r="AC166" s="4">
        <v>5</v>
      </c>
      <c r="AD166" s="4">
        <v>81</v>
      </c>
      <c r="AE166" s="4">
        <v>87</v>
      </c>
      <c r="AF166" s="4">
        <v>0</v>
      </c>
      <c r="AG166" s="4">
        <v>2</v>
      </c>
      <c r="AH166" s="4">
        <v>74</v>
      </c>
      <c r="AI166" s="4">
        <v>76</v>
      </c>
      <c r="AJ166" s="4">
        <v>12</v>
      </c>
      <c r="AK166" s="4">
        <v>16</v>
      </c>
      <c r="AL166" s="4">
        <v>44</v>
      </c>
      <c r="AM166" s="4">
        <v>45</v>
      </c>
      <c r="AN166" s="4">
        <v>0</v>
      </c>
      <c r="AO166" s="4">
        <v>0</v>
      </c>
      <c r="AP166" s="4">
        <v>15</v>
      </c>
      <c r="AQ166" s="4">
        <v>19</v>
      </c>
      <c r="AR166" s="3" t="s">
        <v>64</v>
      </c>
      <c r="AS166" s="3" t="s">
        <v>64</v>
      </c>
      <c r="AT166" s="3" t="s">
        <v>64</v>
      </c>
      <c r="AV166" s="6" t="str">
        <f>HYPERLINK("http://mcgill.on.worldcat.org/oclc/671709876","Catalog Record")</f>
        <v>Catalog Record</v>
      </c>
      <c r="AW166" s="6" t="str">
        <f>HYPERLINK("http://www.worldcat.org/oclc/671709876","WorldCat Record")</f>
        <v>WorldCat Record</v>
      </c>
      <c r="AX166" s="3" t="s">
        <v>1408</v>
      </c>
      <c r="AY166" s="3" t="s">
        <v>1409</v>
      </c>
      <c r="AZ166" s="3" t="s">
        <v>1410</v>
      </c>
      <c r="BA166" s="3" t="s">
        <v>1410</v>
      </c>
      <c r="BB166" s="3" t="s">
        <v>1411</v>
      </c>
      <c r="BC166" s="3" t="s">
        <v>77</v>
      </c>
      <c r="BD166" s="3" t="s">
        <v>78</v>
      </c>
      <c r="BE166" s="3" t="s">
        <v>1412</v>
      </c>
      <c r="BF166" s="3" t="s">
        <v>1411</v>
      </c>
      <c r="BG166" s="3" t="s">
        <v>1413</v>
      </c>
      <c r="BH166">
        <f t="shared" si="5"/>
        <v>0</v>
      </c>
    </row>
    <row r="167" spans="1:60" ht="58" x14ac:dyDescent="0.35">
      <c r="A167" s="2" t="s">
        <v>59</v>
      </c>
      <c r="B167" s="2" t="s">
        <v>60</v>
      </c>
      <c r="C167" s="2" t="s">
        <v>1414</v>
      </c>
      <c r="D167" s="2" t="s">
        <v>1415</v>
      </c>
      <c r="E167" s="2" t="s">
        <v>1416</v>
      </c>
      <c r="G167" s="3" t="s">
        <v>64</v>
      </c>
      <c r="I167" s="3" t="s">
        <v>64</v>
      </c>
      <c r="J167" s="3" t="s">
        <v>64</v>
      </c>
      <c r="K167" s="3" t="s">
        <v>65</v>
      </c>
      <c r="L167" s="2" t="s">
        <v>1417</v>
      </c>
      <c r="M167" s="2" t="s">
        <v>1418</v>
      </c>
      <c r="N167" s="3" t="s">
        <v>86</v>
      </c>
      <c r="P167" s="3" t="s">
        <v>102</v>
      </c>
      <c r="R167" s="3" t="s">
        <v>70</v>
      </c>
      <c r="S167" s="4">
        <v>2</v>
      </c>
      <c r="T167" s="4">
        <v>2</v>
      </c>
      <c r="U167" s="5" t="s">
        <v>1375</v>
      </c>
      <c r="V167" s="5" t="s">
        <v>1375</v>
      </c>
      <c r="W167" s="5" t="s">
        <v>72</v>
      </c>
      <c r="X167" s="5" t="s">
        <v>72</v>
      </c>
      <c r="Y167" s="4">
        <v>185</v>
      </c>
      <c r="Z167" s="4">
        <v>20</v>
      </c>
      <c r="AA167" s="4">
        <v>20</v>
      </c>
      <c r="AB167" s="4">
        <v>1</v>
      </c>
      <c r="AC167" s="4">
        <v>1</v>
      </c>
      <c r="AD167" s="4">
        <v>72</v>
      </c>
      <c r="AE167" s="4">
        <v>72</v>
      </c>
      <c r="AF167" s="4">
        <v>0</v>
      </c>
      <c r="AG167" s="4">
        <v>0</v>
      </c>
      <c r="AH167" s="4">
        <v>64</v>
      </c>
      <c r="AI167" s="4">
        <v>64</v>
      </c>
      <c r="AJ167" s="4">
        <v>12</v>
      </c>
      <c r="AK167" s="4">
        <v>12</v>
      </c>
      <c r="AL167" s="4">
        <v>39</v>
      </c>
      <c r="AM167" s="4">
        <v>39</v>
      </c>
      <c r="AN167" s="4">
        <v>0</v>
      </c>
      <c r="AO167" s="4">
        <v>0</v>
      </c>
      <c r="AP167" s="4">
        <v>15</v>
      </c>
      <c r="AQ167" s="4">
        <v>15</v>
      </c>
      <c r="AR167" s="3" t="s">
        <v>64</v>
      </c>
      <c r="AS167" s="3" t="s">
        <v>64</v>
      </c>
      <c r="AT167" s="3" t="s">
        <v>64</v>
      </c>
      <c r="AV167" s="6" t="str">
        <f>HYPERLINK("http://mcgill.on.worldcat.org/oclc/788271980","Catalog Record")</f>
        <v>Catalog Record</v>
      </c>
      <c r="AW167" s="6" t="str">
        <f>HYPERLINK("http://www.worldcat.org/oclc/788271980","WorldCat Record")</f>
        <v>WorldCat Record</v>
      </c>
      <c r="AX167" s="3" t="s">
        <v>1419</v>
      </c>
      <c r="AY167" s="3" t="s">
        <v>1420</v>
      </c>
      <c r="AZ167" s="3" t="s">
        <v>1421</v>
      </c>
      <c r="BA167" s="3" t="s">
        <v>1421</v>
      </c>
      <c r="BB167" s="3" t="s">
        <v>1422</v>
      </c>
      <c r="BC167" s="3" t="s">
        <v>77</v>
      </c>
      <c r="BD167" s="3" t="s">
        <v>78</v>
      </c>
      <c r="BE167" s="3" t="s">
        <v>1423</v>
      </c>
      <c r="BF167" s="3" t="s">
        <v>1422</v>
      </c>
      <c r="BG167" s="3" t="s">
        <v>1424</v>
      </c>
      <c r="BH167">
        <f t="shared" si="5"/>
        <v>0</v>
      </c>
    </row>
    <row r="168" spans="1:60" ht="58" x14ac:dyDescent="0.35">
      <c r="A168" s="2" t="s">
        <v>59</v>
      </c>
      <c r="B168" s="2" t="s">
        <v>60</v>
      </c>
      <c r="C168" s="2" t="s">
        <v>1425</v>
      </c>
      <c r="D168" s="2" t="s">
        <v>1426</v>
      </c>
      <c r="E168" s="2" t="s">
        <v>1427</v>
      </c>
      <c r="G168" s="3" t="s">
        <v>64</v>
      </c>
      <c r="I168" s="3" t="s">
        <v>64</v>
      </c>
      <c r="J168" s="3" t="s">
        <v>64</v>
      </c>
      <c r="K168" s="3" t="s">
        <v>65</v>
      </c>
      <c r="M168" s="2" t="s">
        <v>1428</v>
      </c>
      <c r="N168" s="3" t="s">
        <v>537</v>
      </c>
      <c r="P168" s="3" t="s">
        <v>102</v>
      </c>
      <c r="Q168" s="2" t="s">
        <v>1429</v>
      </c>
      <c r="R168" s="3" t="s">
        <v>70</v>
      </c>
      <c r="S168" s="4">
        <v>1</v>
      </c>
      <c r="T168" s="4">
        <v>1</v>
      </c>
      <c r="U168" s="5" t="s">
        <v>1430</v>
      </c>
      <c r="V168" s="5" t="s">
        <v>1430</v>
      </c>
      <c r="W168" s="5" t="s">
        <v>72</v>
      </c>
      <c r="X168" s="5" t="s">
        <v>72</v>
      </c>
      <c r="Y168" s="4">
        <v>24</v>
      </c>
      <c r="Z168" s="4">
        <v>1</v>
      </c>
      <c r="AA168" s="4">
        <v>1</v>
      </c>
      <c r="AB168" s="4">
        <v>1</v>
      </c>
      <c r="AC168" s="4">
        <v>1</v>
      </c>
      <c r="AD168" s="4">
        <v>16</v>
      </c>
      <c r="AE168" s="4">
        <v>16</v>
      </c>
      <c r="AF168" s="4">
        <v>0</v>
      </c>
      <c r="AG168" s="4">
        <v>0</v>
      </c>
      <c r="AH168" s="4">
        <v>15</v>
      </c>
      <c r="AI168" s="4">
        <v>15</v>
      </c>
      <c r="AJ168" s="4">
        <v>0</v>
      </c>
      <c r="AK168" s="4">
        <v>0</v>
      </c>
      <c r="AL168" s="4">
        <v>14</v>
      </c>
      <c r="AM168" s="4">
        <v>14</v>
      </c>
      <c r="AN168" s="4">
        <v>0</v>
      </c>
      <c r="AO168" s="4">
        <v>0</v>
      </c>
      <c r="AP168" s="4">
        <v>0</v>
      </c>
      <c r="AQ168" s="4">
        <v>0</v>
      </c>
      <c r="AR168" s="3" t="s">
        <v>64</v>
      </c>
      <c r="AS168" s="3" t="s">
        <v>64</v>
      </c>
      <c r="AT168" s="3" t="s">
        <v>64</v>
      </c>
      <c r="AV168" s="6" t="str">
        <f>HYPERLINK("http://mcgill.on.worldcat.org/oclc/934582018","Catalog Record")</f>
        <v>Catalog Record</v>
      </c>
      <c r="AW168" s="6" t="str">
        <f>HYPERLINK("http://www.worldcat.org/oclc/934582018","WorldCat Record")</f>
        <v>WorldCat Record</v>
      </c>
      <c r="AX168" s="3" t="s">
        <v>1431</v>
      </c>
      <c r="AY168" s="3" t="s">
        <v>1432</v>
      </c>
      <c r="AZ168" s="3" t="s">
        <v>1433</v>
      </c>
      <c r="BA168" s="3" t="s">
        <v>1433</v>
      </c>
      <c r="BB168" s="3" t="s">
        <v>1434</v>
      </c>
      <c r="BC168" s="3" t="s">
        <v>77</v>
      </c>
      <c r="BD168" s="3" t="s">
        <v>78</v>
      </c>
      <c r="BE168" s="3" t="s">
        <v>1435</v>
      </c>
      <c r="BF168" s="3" t="s">
        <v>1434</v>
      </c>
      <c r="BG168" s="3" t="s">
        <v>1436</v>
      </c>
      <c r="BH168">
        <f t="shared" si="5"/>
        <v>0</v>
      </c>
    </row>
    <row r="169" spans="1:60" ht="58" x14ac:dyDescent="0.35">
      <c r="A169" s="2" t="s">
        <v>59</v>
      </c>
      <c r="B169" s="2" t="s">
        <v>60</v>
      </c>
      <c r="C169" s="2" t="s">
        <v>1437</v>
      </c>
      <c r="D169" s="2" t="s">
        <v>1438</v>
      </c>
      <c r="E169" s="2" t="s">
        <v>1439</v>
      </c>
      <c r="G169" s="3" t="s">
        <v>64</v>
      </c>
      <c r="I169" s="3" t="s">
        <v>64</v>
      </c>
      <c r="J169" s="3" t="s">
        <v>64</v>
      </c>
      <c r="K169" s="3" t="s">
        <v>65</v>
      </c>
      <c r="M169" s="2" t="s">
        <v>1440</v>
      </c>
      <c r="N169" s="3" t="s">
        <v>1275</v>
      </c>
      <c r="P169" s="3" t="s">
        <v>102</v>
      </c>
      <c r="R169" s="3" t="s">
        <v>70</v>
      </c>
      <c r="S169" s="4">
        <v>5</v>
      </c>
      <c r="T169" s="4">
        <v>5</v>
      </c>
      <c r="U169" s="5" t="s">
        <v>1441</v>
      </c>
      <c r="V169" s="5" t="s">
        <v>1441</v>
      </c>
      <c r="W169" s="5" t="s">
        <v>72</v>
      </c>
      <c r="X169" s="5" t="s">
        <v>72</v>
      </c>
      <c r="Y169" s="4">
        <v>67</v>
      </c>
      <c r="Z169" s="4">
        <v>8</v>
      </c>
      <c r="AA169" s="4">
        <v>8</v>
      </c>
      <c r="AB169" s="4">
        <v>1</v>
      </c>
      <c r="AC169" s="4">
        <v>1</v>
      </c>
      <c r="AD169" s="4">
        <v>29</v>
      </c>
      <c r="AE169" s="4">
        <v>29</v>
      </c>
      <c r="AF169" s="4">
        <v>0</v>
      </c>
      <c r="AG169" s="4">
        <v>0</v>
      </c>
      <c r="AH169" s="4">
        <v>29</v>
      </c>
      <c r="AI169" s="4">
        <v>29</v>
      </c>
      <c r="AJ169" s="4">
        <v>5</v>
      </c>
      <c r="AK169" s="4">
        <v>5</v>
      </c>
      <c r="AL169" s="4">
        <v>22</v>
      </c>
      <c r="AM169" s="4">
        <v>22</v>
      </c>
      <c r="AN169" s="4">
        <v>0</v>
      </c>
      <c r="AO169" s="4">
        <v>0</v>
      </c>
      <c r="AP169" s="4">
        <v>5</v>
      </c>
      <c r="AQ169" s="4">
        <v>5</v>
      </c>
      <c r="AR169" s="3" t="s">
        <v>64</v>
      </c>
      <c r="AS169" s="3" t="s">
        <v>64</v>
      </c>
      <c r="AT169" s="3" t="s">
        <v>64</v>
      </c>
      <c r="AV169" s="6" t="str">
        <f>HYPERLINK("http://mcgill.on.worldcat.org/oclc/55961353","Catalog Record")</f>
        <v>Catalog Record</v>
      </c>
      <c r="AW169" s="6" t="str">
        <f>HYPERLINK("http://www.worldcat.org/oclc/55961353","WorldCat Record")</f>
        <v>WorldCat Record</v>
      </c>
      <c r="AX169" s="3" t="s">
        <v>1442</v>
      </c>
      <c r="AY169" s="3" t="s">
        <v>1443</v>
      </c>
      <c r="AZ169" s="3" t="s">
        <v>1444</v>
      </c>
      <c r="BA169" s="3" t="s">
        <v>1444</v>
      </c>
      <c r="BB169" s="3" t="s">
        <v>1445</v>
      </c>
      <c r="BC169" s="3" t="s">
        <v>77</v>
      </c>
      <c r="BD169" s="3" t="s">
        <v>78</v>
      </c>
      <c r="BE169" s="3" t="s">
        <v>1446</v>
      </c>
      <c r="BF169" s="3" t="s">
        <v>1445</v>
      </c>
      <c r="BG169" s="3" t="s">
        <v>1447</v>
      </c>
      <c r="BH169">
        <f t="shared" si="5"/>
        <v>0</v>
      </c>
    </row>
    <row r="170" spans="1:60" ht="58" x14ac:dyDescent="0.35">
      <c r="A170" s="2" t="s">
        <v>59</v>
      </c>
      <c r="B170" s="2" t="s">
        <v>60</v>
      </c>
      <c r="C170" s="2" t="s">
        <v>1448</v>
      </c>
      <c r="D170" s="2" t="s">
        <v>1449</v>
      </c>
      <c r="E170" s="2" t="s">
        <v>1450</v>
      </c>
      <c r="G170" s="3" t="s">
        <v>64</v>
      </c>
      <c r="I170" s="3" t="s">
        <v>64</v>
      </c>
      <c r="J170" s="3" t="s">
        <v>64</v>
      </c>
      <c r="K170" s="3" t="s">
        <v>65</v>
      </c>
      <c r="M170" s="2" t="s">
        <v>1451</v>
      </c>
      <c r="N170" s="3" t="s">
        <v>551</v>
      </c>
      <c r="P170" s="3" t="s">
        <v>102</v>
      </c>
      <c r="Q170" s="2" t="s">
        <v>1452</v>
      </c>
      <c r="R170" s="3" t="s">
        <v>70</v>
      </c>
      <c r="S170" s="4">
        <v>9</v>
      </c>
      <c r="T170" s="4">
        <v>9</v>
      </c>
      <c r="U170" s="5" t="s">
        <v>1453</v>
      </c>
      <c r="V170" s="5" t="s">
        <v>1453</v>
      </c>
      <c r="W170" s="5" t="s">
        <v>72</v>
      </c>
      <c r="X170" s="5" t="s">
        <v>72</v>
      </c>
      <c r="Y170" s="4">
        <v>101</v>
      </c>
      <c r="Z170" s="4">
        <v>10</v>
      </c>
      <c r="AA170" s="4">
        <v>10</v>
      </c>
      <c r="AB170" s="4">
        <v>2</v>
      </c>
      <c r="AC170" s="4">
        <v>2</v>
      </c>
      <c r="AD170" s="4">
        <v>43</v>
      </c>
      <c r="AE170" s="4">
        <v>43</v>
      </c>
      <c r="AF170" s="4">
        <v>0</v>
      </c>
      <c r="AG170" s="4">
        <v>0</v>
      </c>
      <c r="AH170" s="4">
        <v>38</v>
      </c>
      <c r="AI170" s="4">
        <v>38</v>
      </c>
      <c r="AJ170" s="4">
        <v>8</v>
      </c>
      <c r="AK170" s="4">
        <v>8</v>
      </c>
      <c r="AL170" s="4">
        <v>26</v>
      </c>
      <c r="AM170" s="4">
        <v>26</v>
      </c>
      <c r="AN170" s="4">
        <v>0</v>
      </c>
      <c r="AO170" s="4">
        <v>0</v>
      </c>
      <c r="AP170" s="4">
        <v>8</v>
      </c>
      <c r="AQ170" s="4">
        <v>8</v>
      </c>
      <c r="AR170" s="3" t="s">
        <v>64</v>
      </c>
      <c r="AS170" s="3" t="s">
        <v>64</v>
      </c>
      <c r="AT170" s="3" t="s">
        <v>64</v>
      </c>
      <c r="AV170" s="6" t="str">
        <f>HYPERLINK("http://mcgill.on.worldcat.org/oclc/314837475","Catalog Record")</f>
        <v>Catalog Record</v>
      </c>
      <c r="AW170" s="6" t="str">
        <f>HYPERLINK("http://www.worldcat.org/oclc/314837475","WorldCat Record")</f>
        <v>WorldCat Record</v>
      </c>
      <c r="AX170" s="3" t="s">
        <v>1454</v>
      </c>
      <c r="AY170" s="3" t="s">
        <v>1455</v>
      </c>
      <c r="AZ170" s="3" t="s">
        <v>1456</v>
      </c>
      <c r="BA170" s="3" t="s">
        <v>1456</v>
      </c>
      <c r="BB170" s="3" t="s">
        <v>1457</v>
      </c>
      <c r="BC170" s="3" t="s">
        <v>77</v>
      </c>
      <c r="BD170" s="3" t="s">
        <v>78</v>
      </c>
      <c r="BE170" s="3" t="s">
        <v>1458</v>
      </c>
      <c r="BF170" s="3" t="s">
        <v>1457</v>
      </c>
      <c r="BG170" s="3" t="s">
        <v>1459</v>
      </c>
      <c r="BH170">
        <f t="shared" si="5"/>
        <v>0</v>
      </c>
    </row>
    <row r="171" spans="1:60" ht="58" x14ac:dyDescent="0.35">
      <c r="A171" s="2" t="s">
        <v>59</v>
      </c>
      <c r="B171" s="2" t="s">
        <v>60</v>
      </c>
      <c r="C171" s="2" t="s">
        <v>1460</v>
      </c>
      <c r="D171" s="2" t="s">
        <v>1461</v>
      </c>
      <c r="E171" s="2" t="s">
        <v>1462</v>
      </c>
      <c r="G171" s="3" t="s">
        <v>64</v>
      </c>
      <c r="I171" s="3" t="s">
        <v>64</v>
      </c>
      <c r="J171" s="3" t="s">
        <v>64</v>
      </c>
      <c r="K171" s="3" t="s">
        <v>65</v>
      </c>
      <c r="L171" s="2" t="s">
        <v>1463</v>
      </c>
      <c r="M171" s="2" t="s">
        <v>1464</v>
      </c>
      <c r="N171" s="3" t="s">
        <v>153</v>
      </c>
      <c r="P171" s="3" t="s">
        <v>102</v>
      </c>
      <c r="Q171" s="2" t="s">
        <v>1465</v>
      </c>
      <c r="R171" s="3" t="s">
        <v>70</v>
      </c>
      <c r="S171" s="4">
        <v>21</v>
      </c>
      <c r="T171" s="4">
        <v>21</v>
      </c>
      <c r="U171" s="5" t="s">
        <v>1466</v>
      </c>
      <c r="V171" s="5" t="s">
        <v>1466</v>
      </c>
      <c r="W171" s="5" t="s">
        <v>72</v>
      </c>
      <c r="X171" s="5" t="s">
        <v>72</v>
      </c>
      <c r="Y171" s="4">
        <v>247</v>
      </c>
      <c r="Z171" s="4">
        <v>10</v>
      </c>
      <c r="AA171" s="4">
        <v>11</v>
      </c>
      <c r="AB171" s="4">
        <v>1</v>
      </c>
      <c r="AC171" s="4">
        <v>2</v>
      </c>
      <c r="AD171" s="4">
        <v>82</v>
      </c>
      <c r="AE171" s="4">
        <v>85</v>
      </c>
      <c r="AF171" s="4">
        <v>0</v>
      </c>
      <c r="AG171" s="4">
        <v>1</v>
      </c>
      <c r="AH171" s="4">
        <v>77</v>
      </c>
      <c r="AI171" s="4">
        <v>79</v>
      </c>
      <c r="AJ171" s="4">
        <v>8</v>
      </c>
      <c r="AK171" s="4">
        <v>9</v>
      </c>
      <c r="AL171" s="4">
        <v>46</v>
      </c>
      <c r="AM171" s="4">
        <v>47</v>
      </c>
      <c r="AN171" s="4">
        <v>0</v>
      </c>
      <c r="AO171" s="4">
        <v>0</v>
      </c>
      <c r="AP171" s="4">
        <v>8</v>
      </c>
      <c r="AQ171" s="4">
        <v>8</v>
      </c>
      <c r="AR171" s="3" t="s">
        <v>64</v>
      </c>
      <c r="AS171" s="3" t="s">
        <v>64</v>
      </c>
      <c r="AT171" s="3" t="s">
        <v>128</v>
      </c>
      <c r="AU171" s="6" t="str">
        <f>HYPERLINK("http://catalog.hathitrust.org/Record/003257887","HathiTrust Record")</f>
        <v>HathiTrust Record</v>
      </c>
      <c r="AV171" s="6" t="str">
        <f>HYPERLINK("http://mcgill.on.worldcat.org/oclc/37675786","Catalog Record")</f>
        <v>Catalog Record</v>
      </c>
      <c r="AW171" s="6" t="str">
        <f>HYPERLINK("http://www.worldcat.org/oclc/37675786","WorldCat Record")</f>
        <v>WorldCat Record</v>
      </c>
      <c r="AX171" s="3" t="s">
        <v>1467</v>
      </c>
      <c r="AY171" s="3" t="s">
        <v>1468</v>
      </c>
      <c r="AZ171" s="3" t="s">
        <v>1469</v>
      </c>
      <c r="BA171" s="3" t="s">
        <v>1469</v>
      </c>
      <c r="BB171" s="3" t="s">
        <v>1470</v>
      </c>
      <c r="BC171" s="3" t="s">
        <v>77</v>
      </c>
      <c r="BD171" s="3" t="s">
        <v>165</v>
      </c>
      <c r="BE171" s="3" t="s">
        <v>1471</v>
      </c>
      <c r="BF171" s="3" t="s">
        <v>1470</v>
      </c>
      <c r="BG171" s="3" t="s">
        <v>1472</v>
      </c>
      <c r="BH171">
        <f t="shared" si="5"/>
        <v>0</v>
      </c>
    </row>
    <row r="172" spans="1:60" ht="58" x14ac:dyDescent="0.35">
      <c r="A172" s="2" t="s">
        <v>59</v>
      </c>
      <c r="B172" s="2" t="s">
        <v>60</v>
      </c>
      <c r="C172" s="2" t="s">
        <v>1473</v>
      </c>
      <c r="D172" s="2" t="s">
        <v>1474</v>
      </c>
      <c r="E172" s="2" t="s">
        <v>1475</v>
      </c>
      <c r="G172" s="3" t="s">
        <v>64</v>
      </c>
      <c r="I172" s="3" t="s">
        <v>64</v>
      </c>
      <c r="J172" s="3" t="s">
        <v>64</v>
      </c>
      <c r="K172" s="3" t="s">
        <v>65</v>
      </c>
      <c r="L172" s="2" t="s">
        <v>1476</v>
      </c>
      <c r="M172" s="2" t="s">
        <v>1477</v>
      </c>
      <c r="N172" s="3" t="s">
        <v>378</v>
      </c>
      <c r="O172" s="2" t="s">
        <v>1478</v>
      </c>
      <c r="P172" s="3" t="s">
        <v>1479</v>
      </c>
      <c r="Q172" s="2" t="s">
        <v>1480</v>
      </c>
      <c r="R172" s="3" t="s">
        <v>70</v>
      </c>
      <c r="S172" s="4">
        <v>4</v>
      </c>
      <c r="T172" s="4">
        <v>4</v>
      </c>
      <c r="U172" s="5" t="s">
        <v>1481</v>
      </c>
      <c r="V172" s="5" t="s">
        <v>1481</v>
      </c>
      <c r="W172" s="5" t="s">
        <v>72</v>
      </c>
      <c r="X172" s="5" t="s">
        <v>72</v>
      </c>
      <c r="Y172" s="4">
        <v>52</v>
      </c>
      <c r="Z172" s="4">
        <v>4</v>
      </c>
      <c r="AA172" s="4">
        <v>5</v>
      </c>
      <c r="AB172" s="4">
        <v>1</v>
      </c>
      <c r="AC172" s="4">
        <v>1</v>
      </c>
      <c r="AD172" s="4">
        <v>28</v>
      </c>
      <c r="AE172" s="4">
        <v>33</v>
      </c>
      <c r="AF172" s="4">
        <v>0</v>
      </c>
      <c r="AG172" s="4">
        <v>0</v>
      </c>
      <c r="AH172" s="4">
        <v>24</v>
      </c>
      <c r="AI172" s="4">
        <v>28</v>
      </c>
      <c r="AJ172" s="4">
        <v>2</v>
      </c>
      <c r="AK172" s="4">
        <v>3</v>
      </c>
      <c r="AL172" s="4">
        <v>21</v>
      </c>
      <c r="AM172" s="4">
        <v>23</v>
      </c>
      <c r="AN172" s="4">
        <v>0</v>
      </c>
      <c r="AO172" s="4">
        <v>1</v>
      </c>
      <c r="AP172" s="4">
        <v>2</v>
      </c>
      <c r="AQ172" s="4">
        <v>3</v>
      </c>
      <c r="AR172" s="3" t="s">
        <v>64</v>
      </c>
      <c r="AS172" s="3" t="s">
        <v>64</v>
      </c>
      <c r="AT172" s="3" t="s">
        <v>128</v>
      </c>
      <c r="AU172" s="6" t="str">
        <f>HYPERLINK("http://catalog.hathitrust.org/Record/101410677","HathiTrust Record")</f>
        <v>HathiTrust Record</v>
      </c>
      <c r="AV172" s="6" t="str">
        <f>HYPERLINK("http://mcgill.on.worldcat.org/oclc/14166651","Catalog Record")</f>
        <v>Catalog Record</v>
      </c>
      <c r="AW172" s="6" t="str">
        <f>HYPERLINK("http://www.worldcat.org/oclc/14166651","WorldCat Record")</f>
        <v>WorldCat Record</v>
      </c>
      <c r="AX172" s="3" t="s">
        <v>1482</v>
      </c>
      <c r="AY172" s="3" t="s">
        <v>1483</v>
      </c>
      <c r="AZ172" s="3" t="s">
        <v>1484</v>
      </c>
      <c r="BA172" s="3" t="s">
        <v>1484</v>
      </c>
      <c r="BB172" s="3" t="s">
        <v>1485</v>
      </c>
      <c r="BC172" s="3" t="s">
        <v>77</v>
      </c>
      <c r="BD172" s="3" t="s">
        <v>78</v>
      </c>
      <c r="BE172" s="3" t="s">
        <v>1486</v>
      </c>
      <c r="BF172" s="3" t="s">
        <v>1485</v>
      </c>
      <c r="BG172" s="3" t="s">
        <v>1487</v>
      </c>
      <c r="BH172">
        <f t="shared" si="5"/>
        <v>0</v>
      </c>
    </row>
    <row r="173" spans="1:60" ht="58" x14ac:dyDescent="0.35">
      <c r="A173" s="2" t="s">
        <v>59</v>
      </c>
      <c r="B173" s="2" t="s">
        <v>60</v>
      </c>
      <c r="C173" s="2" t="s">
        <v>1488</v>
      </c>
      <c r="D173" s="2" t="s">
        <v>1489</v>
      </c>
      <c r="E173" s="2" t="s">
        <v>1490</v>
      </c>
      <c r="G173" s="3" t="s">
        <v>64</v>
      </c>
      <c r="H173" s="3" t="s">
        <v>183</v>
      </c>
      <c r="I173" s="3" t="s">
        <v>64</v>
      </c>
      <c r="J173" s="3" t="s">
        <v>64</v>
      </c>
      <c r="K173" s="3" t="s">
        <v>65</v>
      </c>
      <c r="M173" s="2" t="s">
        <v>1491</v>
      </c>
      <c r="N173" s="3" t="s">
        <v>1492</v>
      </c>
      <c r="P173" s="3" t="s">
        <v>1479</v>
      </c>
      <c r="R173" s="3" t="s">
        <v>70</v>
      </c>
      <c r="S173" s="4">
        <v>0</v>
      </c>
      <c r="T173" s="4">
        <v>0</v>
      </c>
      <c r="W173" s="5" t="s">
        <v>1493</v>
      </c>
      <c r="X173" s="5" t="s">
        <v>1493</v>
      </c>
      <c r="Y173" s="4">
        <v>44</v>
      </c>
      <c r="Z173" s="4">
        <v>5</v>
      </c>
      <c r="AA173" s="4">
        <v>6</v>
      </c>
      <c r="AB173" s="4">
        <v>1</v>
      </c>
      <c r="AC173" s="4">
        <v>2</v>
      </c>
      <c r="AD173" s="4">
        <v>34</v>
      </c>
      <c r="AE173" s="4">
        <v>35</v>
      </c>
      <c r="AF173" s="4">
        <v>0</v>
      </c>
      <c r="AG173" s="4">
        <v>0</v>
      </c>
      <c r="AH173" s="4">
        <v>33</v>
      </c>
      <c r="AI173" s="4">
        <v>34</v>
      </c>
      <c r="AJ173" s="4">
        <v>4</v>
      </c>
      <c r="AK173" s="4">
        <v>4</v>
      </c>
      <c r="AL173" s="4">
        <v>25</v>
      </c>
      <c r="AM173" s="4">
        <v>26</v>
      </c>
      <c r="AN173" s="4">
        <v>0</v>
      </c>
      <c r="AO173" s="4">
        <v>0</v>
      </c>
      <c r="AP173" s="4">
        <v>4</v>
      </c>
      <c r="AQ173" s="4">
        <v>4</v>
      </c>
      <c r="AR173" s="3" t="s">
        <v>64</v>
      </c>
      <c r="AS173" s="3" t="s">
        <v>64</v>
      </c>
      <c r="AT173" s="3" t="s">
        <v>64</v>
      </c>
      <c r="AV173" s="6" t="str">
        <f>HYPERLINK("http://mcgill.on.worldcat.org/oclc/1109971526","Catalog Record")</f>
        <v>Catalog Record</v>
      </c>
      <c r="AW173" s="6" t="str">
        <f>HYPERLINK("http://www.worldcat.org/oclc/1109971526","WorldCat Record")</f>
        <v>WorldCat Record</v>
      </c>
      <c r="AX173" s="3" t="s">
        <v>1494</v>
      </c>
      <c r="AY173" s="3" t="s">
        <v>1495</v>
      </c>
      <c r="AZ173" s="3" t="s">
        <v>1496</v>
      </c>
      <c r="BA173" s="3" t="s">
        <v>1496</v>
      </c>
      <c r="BB173" s="3" t="s">
        <v>1497</v>
      </c>
      <c r="BC173" s="3" t="s">
        <v>77</v>
      </c>
      <c r="BD173" s="3" t="s">
        <v>78</v>
      </c>
      <c r="BE173" s="3" t="s">
        <v>1498</v>
      </c>
      <c r="BF173" s="3" t="s">
        <v>1497</v>
      </c>
      <c r="BG173" s="3" t="s">
        <v>1499</v>
      </c>
      <c r="BH173">
        <f t="shared" si="5"/>
        <v>0</v>
      </c>
    </row>
    <row r="174" spans="1:60" ht="58" x14ac:dyDescent="0.35">
      <c r="A174" s="2" t="s">
        <v>59</v>
      </c>
      <c r="B174" s="2" t="s">
        <v>60</v>
      </c>
      <c r="C174" s="2" t="s">
        <v>1500</v>
      </c>
      <c r="D174" s="2" t="s">
        <v>1501</v>
      </c>
      <c r="E174" s="2" t="s">
        <v>1502</v>
      </c>
      <c r="G174" s="3" t="s">
        <v>64</v>
      </c>
      <c r="I174" s="3" t="s">
        <v>64</v>
      </c>
      <c r="J174" s="3" t="s">
        <v>64</v>
      </c>
      <c r="K174" s="3" t="s">
        <v>65</v>
      </c>
      <c r="L174" s="2" t="s">
        <v>1503</v>
      </c>
      <c r="M174" s="2" t="s">
        <v>1504</v>
      </c>
      <c r="N174" s="3" t="s">
        <v>144</v>
      </c>
      <c r="P174" s="3" t="s">
        <v>102</v>
      </c>
      <c r="R174" s="3" t="s">
        <v>70</v>
      </c>
      <c r="S174" s="4">
        <v>5</v>
      </c>
      <c r="T174" s="4">
        <v>5</v>
      </c>
      <c r="U174" s="5" t="s">
        <v>1505</v>
      </c>
      <c r="V174" s="5" t="s">
        <v>1505</v>
      </c>
      <c r="W174" s="5" t="s">
        <v>72</v>
      </c>
      <c r="X174" s="5" t="s">
        <v>72</v>
      </c>
      <c r="Y174" s="4">
        <v>229</v>
      </c>
      <c r="Z174" s="4">
        <v>26</v>
      </c>
      <c r="AA174" s="4">
        <v>85</v>
      </c>
      <c r="AB174" s="4">
        <v>1</v>
      </c>
      <c r="AC174" s="4">
        <v>16</v>
      </c>
      <c r="AD174" s="4">
        <v>81</v>
      </c>
      <c r="AE174" s="4">
        <v>123</v>
      </c>
      <c r="AF174" s="4">
        <v>0</v>
      </c>
      <c r="AG174" s="4">
        <v>8</v>
      </c>
      <c r="AH174" s="4">
        <v>71</v>
      </c>
      <c r="AI174" s="4">
        <v>87</v>
      </c>
      <c r="AJ174" s="4">
        <v>12</v>
      </c>
      <c r="AK174" s="4">
        <v>21</v>
      </c>
      <c r="AL174" s="4">
        <v>40</v>
      </c>
      <c r="AM174" s="4">
        <v>48</v>
      </c>
      <c r="AN174" s="4">
        <v>0</v>
      </c>
      <c r="AO174" s="4">
        <v>0</v>
      </c>
      <c r="AP174" s="4">
        <v>18</v>
      </c>
      <c r="AQ174" s="4">
        <v>44</v>
      </c>
      <c r="AR174" s="3" t="s">
        <v>64</v>
      </c>
      <c r="AS174" s="3" t="s">
        <v>64</v>
      </c>
      <c r="AT174" s="3" t="s">
        <v>128</v>
      </c>
      <c r="AU174" s="6" t="str">
        <f>HYPERLINK("http://catalog.hathitrust.org/Record/005928837","HathiTrust Record")</f>
        <v>HathiTrust Record</v>
      </c>
      <c r="AV174" s="6" t="str">
        <f>HYPERLINK("http://mcgill.on.worldcat.org/oclc/191846764","Catalog Record")</f>
        <v>Catalog Record</v>
      </c>
      <c r="AW174" s="6" t="str">
        <f>HYPERLINK("http://www.worldcat.org/oclc/191846764","WorldCat Record")</f>
        <v>WorldCat Record</v>
      </c>
      <c r="AX174" s="3" t="s">
        <v>1506</v>
      </c>
      <c r="AY174" s="3" t="s">
        <v>1507</v>
      </c>
      <c r="AZ174" s="3" t="s">
        <v>1508</v>
      </c>
      <c r="BA174" s="3" t="s">
        <v>1508</v>
      </c>
      <c r="BB174" s="3" t="s">
        <v>1509</v>
      </c>
      <c r="BC174" s="3" t="s">
        <v>77</v>
      </c>
      <c r="BD174" s="3" t="s">
        <v>78</v>
      </c>
      <c r="BE174" s="3" t="s">
        <v>1510</v>
      </c>
      <c r="BF174" s="3" t="s">
        <v>1509</v>
      </c>
      <c r="BG174" s="3" t="s">
        <v>1511</v>
      </c>
      <c r="BH174">
        <f t="shared" si="5"/>
        <v>0</v>
      </c>
    </row>
    <row r="175" spans="1:60" ht="58" x14ac:dyDescent="0.35">
      <c r="A175" s="2" t="s">
        <v>59</v>
      </c>
      <c r="B175" s="2" t="s">
        <v>60</v>
      </c>
      <c r="C175" s="2" t="s">
        <v>1512</v>
      </c>
      <c r="D175" s="2" t="s">
        <v>1513</v>
      </c>
      <c r="E175" s="2" t="s">
        <v>1514</v>
      </c>
      <c r="G175" s="3" t="s">
        <v>64</v>
      </c>
      <c r="I175" s="3" t="s">
        <v>64</v>
      </c>
      <c r="J175" s="3" t="s">
        <v>64</v>
      </c>
      <c r="K175" s="3" t="s">
        <v>65</v>
      </c>
      <c r="L175" s="2" t="s">
        <v>1515</v>
      </c>
      <c r="M175" s="2" t="s">
        <v>1516</v>
      </c>
      <c r="N175" s="3" t="s">
        <v>1061</v>
      </c>
      <c r="P175" s="3" t="s">
        <v>1479</v>
      </c>
      <c r="Q175" s="2" t="s">
        <v>1517</v>
      </c>
      <c r="R175" s="3" t="s">
        <v>70</v>
      </c>
      <c r="S175" s="4">
        <v>2</v>
      </c>
      <c r="T175" s="4">
        <v>2</v>
      </c>
      <c r="U175" s="5" t="s">
        <v>154</v>
      </c>
      <c r="V175" s="5" t="s">
        <v>154</v>
      </c>
      <c r="W175" s="5" t="s">
        <v>72</v>
      </c>
      <c r="X175" s="5" t="s">
        <v>72</v>
      </c>
      <c r="Y175" s="4">
        <v>43</v>
      </c>
      <c r="Z175" s="4">
        <v>3</v>
      </c>
      <c r="AA175" s="4">
        <v>3</v>
      </c>
      <c r="AB175" s="4">
        <v>1</v>
      </c>
      <c r="AC175" s="4">
        <v>1</v>
      </c>
      <c r="AD175" s="4">
        <v>31</v>
      </c>
      <c r="AE175" s="4">
        <v>36</v>
      </c>
      <c r="AF175" s="4">
        <v>0</v>
      </c>
      <c r="AG175" s="4">
        <v>0</v>
      </c>
      <c r="AH175" s="4">
        <v>29</v>
      </c>
      <c r="AI175" s="4">
        <v>34</v>
      </c>
      <c r="AJ175" s="4">
        <v>1</v>
      </c>
      <c r="AK175" s="4">
        <v>1</v>
      </c>
      <c r="AL175" s="4">
        <v>22</v>
      </c>
      <c r="AM175" s="4">
        <v>25</v>
      </c>
      <c r="AN175" s="4">
        <v>0</v>
      </c>
      <c r="AO175" s="4">
        <v>0</v>
      </c>
      <c r="AP175" s="4">
        <v>1</v>
      </c>
      <c r="AQ175" s="4">
        <v>1</v>
      </c>
      <c r="AR175" s="3" t="s">
        <v>64</v>
      </c>
      <c r="AS175" s="3" t="s">
        <v>64</v>
      </c>
      <c r="AT175" s="3" t="s">
        <v>64</v>
      </c>
      <c r="AV175" s="6" t="str">
        <f>HYPERLINK("http://mcgill.on.worldcat.org/oclc/14082810","Catalog Record")</f>
        <v>Catalog Record</v>
      </c>
      <c r="AW175" s="6" t="str">
        <f>HYPERLINK("http://www.worldcat.org/oclc/14082810","WorldCat Record")</f>
        <v>WorldCat Record</v>
      </c>
      <c r="AX175" s="3" t="s">
        <v>1518</v>
      </c>
      <c r="AY175" s="3" t="s">
        <v>1519</v>
      </c>
      <c r="AZ175" s="3" t="s">
        <v>1520</v>
      </c>
      <c r="BA175" s="3" t="s">
        <v>1520</v>
      </c>
      <c r="BB175" s="3" t="s">
        <v>1521</v>
      </c>
      <c r="BC175" s="3" t="s">
        <v>77</v>
      </c>
      <c r="BD175" s="3" t="s">
        <v>78</v>
      </c>
      <c r="BE175" s="3" t="s">
        <v>1522</v>
      </c>
      <c r="BF175" s="3" t="s">
        <v>1521</v>
      </c>
      <c r="BG175" s="3" t="s">
        <v>1523</v>
      </c>
      <c r="BH175">
        <f t="shared" si="5"/>
        <v>0</v>
      </c>
    </row>
    <row r="176" spans="1:60" ht="58" x14ac:dyDescent="0.35">
      <c r="A176" s="2" t="s">
        <v>59</v>
      </c>
      <c r="B176" s="2" t="s">
        <v>60</v>
      </c>
      <c r="C176" s="2" t="s">
        <v>1524</v>
      </c>
      <c r="D176" s="2" t="s">
        <v>1525</v>
      </c>
      <c r="E176" s="2" t="s">
        <v>1526</v>
      </c>
      <c r="G176" s="3" t="s">
        <v>64</v>
      </c>
      <c r="I176" s="3" t="s">
        <v>64</v>
      </c>
      <c r="J176" s="3" t="s">
        <v>64</v>
      </c>
      <c r="K176" s="3" t="s">
        <v>183</v>
      </c>
      <c r="M176" s="2" t="s">
        <v>1527</v>
      </c>
      <c r="N176" s="3" t="s">
        <v>537</v>
      </c>
      <c r="P176" s="3" t="s">
        <v>102</v>
      </c>
      <c r="Q176" s="2" t="s">
        <v>1528</v>
      </c>
      <c r="R176" s="3" t="s">
        <v>70</v>
      </c>
      <c r="S176" s="4">
        <v>0</v>
      </c>
      <c r="T176" s="4">
        <v>0</v>
      </c>
      <c r="W176" s="5" t="s">
        <v>72</v>
      </c>
      <c r="X176" s="5" t="s">
        <v>72</v>
      </c>
      <c r="Y176" s="4">
        <v>51</v>
      </c>
      <c r="Z176" s="4">
        <v>3</v>
      </c>
      <c r="AA176" s="4">
        <v>33</v>
      </c>
      <c r="AB176" s="4">
        <v>1</v>
      </c>
      <c r="AC176" s="4">
        <v>6</v>
      </c>
      <c r="AD176" s="4">
        <v>24</v>
      </c>
      <c r="AE176" s="4">
        <v>87</v>
      </c>
      <c r="AF176" s="4">
        <v>0</v>
      </c>
      <c r="AG176" s="4">
        <v>2</v>
      </c>
      <c r="AH176" s="4">
        <v>23</v>
      </c>
      <c r="AI176" s="4">
        <v>70</v>
      </c>
      <c r="AJ176" s="4">
        <v>2</v>
      </c>
      <c r="AK176" s="4">
        <v>13</v>
      </c>
      <c r="AL176" s="4">
        <v>14</v>
      </c>
      <c r="AM176" s="4">
        <v>36</v>
      </c>
      <c r="AN176" s="4">
        <v>0</v>
      </c>
      <c r="AO176" s="4">
        <v>0</v>
      </c>
      <c r="AP176" s="4">
        <v>2</v>
      </c>
      <c r="AQ176" s="4">
        <v>23</v>
      </c>
      <c r="AR176" s="3" t="s">
        <v>64</v>
      </c>
      <c r="AS176" s="3" t="s">
        <v>64</v>
      </c>
      <c r="AT176" s="3" t="s">
        <v>64</v>
      </c>
      <c r="AV176" s="6" t="str">
        <f>HYPERLINK("http://mcgill.on.worldcat.org/oclc/938394122","Catalog Record")</f>
        <v>Catalog Record</v>
      </c>
      <c r="AW176" s="6" t="str">
        <f>HYPERLINK("http://www.worldcat.org/oclc/938394122","WorldCat Record")</f>
        <v>WorldCat Record</v>
      </c>
      <c r="AX176" s="3" t="s">
        <v>1529</v>
      </c>
      <c r="AY176" s="3" t="s">
        <v>1530</v>
      </c>
      <c r="AZ176" s="3" t="s">
        <v>1531</v>
      </c>
      <c r="BA176" s="3" t="s">
        <v>1531</v>
      </c>
      <c r="BB176" s="3" t="s">
        <v>1532</v>
      </c>
      <c r="BC176" s="3" t="s">
        <v>77</v>
      </c>
      <c r="BD176" s="3" t="s">
        <v>78</v>
      </c>
      <c r="BE176" s="3" t="s">
        <v>1533</v>
      </c>
      <c r="BF176" s="3" t="s">
        <v>1532</v>
      </c>
      <c r="BG176" s="3" t="s">
        <v>1534</v>
      </c>
      <c r="BH176">
        <f t="shared" si="5"/>
        <v>0</v>
      </c>
    </row>
    <row r="177" spans="1:60" ht="58" x14ac:dyDescent="0.35">
      <c r="A177" s="2" t="s">
        <v>59</v>
      </c>
      <c r="B177" s="2" t="s">
        <v>60</v>
      </c>
      <c r="C177" s="2" t="s">
        <v>1535</v>
      </c>
      <c r="D177" s="2" t="s">
        <v>1536</v>
      </c>
      <c r="E177" s="2" t="s">
        <v>1537</v>
      </c>
      <c r="G177" s="3" t="s">
        <v>64</v>
      </c>
      <c r="I177" s="3" t="s">
        <v>64</v>
      </c>
      <c r="J177" s="3" t="s">
        <v>64</v>
      </c>
      <c r="K177" s="3" t="s">
        <v>65</v>
      </c>
      <c r="L177" s="2" t="s">
        <v>1538</v>
      </c>
      <c r="M177" s="2" t="s">
        <v>1539</v>
      </c>
      <c r="N177" s="3" t="s">
        <v>1004</v>
      </c>
      <c r="P177" s="3" t="s">
        <v>102</v>
      </c>
      <c r="Q177" s="2" t="s">
        <v>1540</v>
      </c>
      <c r="R177" s="3" t="s">
        <v>70</v>
      </c>
      <c r="S177" s="4">
        <v>8</v>
      </c>
      <c r="T177" s="4">
        <v>8</v>
      </c>
      <c r="U177" s="5" t="s">
        <v>1541</v>
      </c>
      <c r="V177" s="5" t="s">
        <v>1541</v>
      </c>
      <c r="W177" s="5" t="s">
        <v>72</v>
      </c>
      <c r="X177" s="5" t="s">
        <v>72</v>
      </c>
      <c r="Y177" s="4">
        <v>102</v>
      </c>
      <c r="Z177" s="4">
        <v>9</v>
      </c>
      <c r="AA177" s="4">
        <v>16</v>
      </c>
      <c r="AB177" s="4">
        <v>1</v>
      </c>
      <c r="AC177" s="4">
        <v>2</v>
      </c>
      <c r="AD177" s="4">
        <v>26</v>
      </c>
      <c r="AE177" s="4">
        <v>71</v>
      </c>
      <c r="AF177" s="4">
        <v>0</v>
      </c>
      <c r="AG177" s="4">
        <v>1</v>
      </c>
      <c r="AH177" s="4">
        <v>24</v>
      </c>
      <c r="AI177" s="4">
        <v>65</v>
      </c>
      <c r="AJ177" s="4">
        <v>6</v>
      </c>
      <c r="AK177" s="4">
        <v>10</v>
      </c>
      <c r="AL177" s="4">
        <v>16</v>
      </c>
      <c r="AM177" s="4">
        <v>44</v>
      </c>
      <c r="AN177" s="4">
        <v>0</v>
      </c>
      <c r="AO177" s="4">
        <v>5</v>
      </c>
      <c r="AP177" s="4">
        <v>7</v>
      </c>
      <c r="AQ177" s="4">
        <v>13</v>
      </c>
      <c r="AR177" s="3" t="s">
        <v>64</v>
      </c>
      <c r="AS177" s="3" t="s">
        <v>64</v>
      </c>
      <c r="AT177" s="3" t="s">
        <v>64</v>
      </c>
      <c r="AV177" s="6" t="str">
        <f>HYPERLINK("http://mcgill.on.worldcat.org/oclc/11163427","Catalog Record")</f>
        <v>Catalog Record</v>
      </c>
      <c r="AW177" s="6" t="str">
        <f>HYPERLINK("http://www.worldcat.org/oclc/11163427","WorldCat Record")</f>
        <v>WorldCat Record</v>
      </c>
      <c r="AX177" s="3" t="s">
        <v>1542</v>
      </c>
      <c r="AY177" s="3" t="s">
        <v>1543</v>
      </c>
      <c r="AZ177" s="3" t="s">
        <v>1544</v>
      </c>
      <c r="BA177" s="3" t="s">
        <v>1544</v>
      </c>
      <c r="BB177" s="3" t="s">
        <v>1545</v>
      </c>
      <c r="BC177" s="3" t="s">
        <v>77</v>
      </c>
      <c r="BD177" s="3" t="s">
        <v>78</v>
      </c>
      <c r="BE177" s="3" t="s">
        <v>1546</v>
      </c>
      <c r="BF177" s="3" t="s">
        <v>1545</v>
      </c>
      <c r="BG177" s="3" t="s">
        <v>1547</v>
      </c>
      <c r="BH177">
        <f t="shared" si="5"/>
        <v>0</v>
      </c>
    </row>
    <row r="178" spans="1:60" ht="58" x14ac:dyDescent="0.35">
      <c r="A178" s="2" t="s">
        <v>59</v>
      </c>
      <c r="B178" s="2" t="s">
        <v>60</v>
      </c>
      <c r="C178" s="2" t="s">
        <v>1548</v>
      </c>
      <c r="D178" s="2" t="s">
        <v>1549</v>
      </c>
      <c r="E178" s="2" t="s">
        <v>1550</v>
      </c>
      <c r="G178" s="3" t="s">
        <v>64</v>
      </c>
      <c r="I178" s="3" t="s">
        <v>64</v>
      </c>
      <c r="J178" s="3" t="s">
        <v>64</v>
      </c>
      <c r="K178" s="3" t="s">
        <v>65</v>
      </c>
      <c r="L178" s="2" t="s">
        <v>1551</v>
      </c>
      <c r="M178" s="2" t="s">
        <v>1552</v>
      </c>
      <c r="N178" s="3" t="s">
        <v>378</v>
      </c>
      <c r="P178" s="3" t="s">
        <v>102</v>
      </c>
      <c r="Q178" s="2" t="s">
        <v>1553</v>
      </c>
      <c r="R178" s="3" t="s">
        <v>70</v>
      </c>
      <c r="S178" s="4">
        <v>62</v>
      </c>
      <c r="T178" s="4">
        <v>62</v>
      </c>
      <c r="U178" s="5" t="s">
        <v>1554</v>
      </c>
      <c r="V178" s="5" t="s">
        <v>1554</v>
      </c>
      <c r="W178" s="5" t="s">
        <v>72</v>
      </c>
      <c r="X178" s="5" t="s">
        <v>72</v>
      </c>
      <c r="Y178" s="4">
        <v>596</v>
      </c>
      <c r="Z178" s="4">
        <v>39</v>
      </c>
      <c r="AA178" s="4">
        <v>53</v>
      </c>
      <c r="AB178" s="4">
        <v>3</v>
      </c>
      <c r="AC178" s="4">
        <v>9</v>
      </c>
      <c r="AD178" s="4">
        <v>127</v>
      </c>
      <c r="AE178" s="4">
        <v>138</v>
      </c>
      <c r="AF178" s="4">
        <v>2</v>
      </c>
      <c r="AG178" s="4">
        <v>5</v>
      </c>
      <c r="AH178" s="4">
        <v>105</v>
      </c>
      <c r="AI178" s="4">
        <v>109</v>
      </c>
      <c r="AJ178" s="4">
        <v>19</v>
      </c>
      <c r="AK178" s="4">
        <v>23</v>
      </c>
      <c r="AL178" s="4">
        <v>53</v>
      </c>
      <c r="AM178" s="4">
        <v>54</v>
      </c>
      <c r="AN178" s="4">
        <v>0</v>
      </c>
      <c r="AO178" s="4">
        <v>0</v>
      </c>
      <c r="AP178" s="4">
        <v>30</v>
      </c>
      <c r="AQ178" s="4">
        <v>37</v>
      </c>
      <c r="AR178" s="3" t="s">
        <v>64</v>
      </c>
      <c r="AS178" s="3" t="s">
        <v>64</v>
      </c>
      <c r="AT178" s="3" t="s">
        <v>64</v>
      </c>
      <c r="AV178" s="6" t="str">
        <f>HYPERLINK("http://mcgill.on.worldcat.org/oclc/13526682","Catalog Record")</f>
        <v>Catalog Record</v>
      </c>
      <c r="AW178" s="6" t="str">
        <f>HYPERLINK("http://www.worldcat.org/oclc/13526682","WorldCat Record")</f>
        <v>WorldCat Record</v>
      </c>
      <c r="AX178" s="3" t="s">
        <v>1555</v>
      </c>
      <c r="AY178" s="3" t="s">
        <v>1556</v>
      </c>
      <c r="AZ178" s="3" t="s">
        <v>1557</v>
      </c>
      <c r="BA178" s="3" t="s">
        <v>1557</v>
      </c>
      <c r="BB178" s="3" t="s">
        <v>1558</v>
      </c>
      <c r="BC178" s="3" t="s">
        <v>77</v>
      </c>
      <c r="BD178" s="3" t="s">
        <v>78</v>
      </c>
      <c r="BE178" s="3" t="s">
        <v>1559</v>
      </c>
      <c r="BF178" s="3" t="s">
        <v>1558</v>
      </c>
      <c r="BG178" s="3" t="s">
        <v>1560</v>
      </c>
      <c r="BH178">
        <f t="shared" si="5"/>
        <v>0</v>
      </c>
    </row>
    <row r="179" spans="1:60" ht="58" x14ac:dyDescent="0.35">
      <c r="A179" s="2" t="s">
        <v>59</v>
      </c>
      <c r="B179" s="2" t="s">
        <v>60</v>
      </c>
      <c r="C179" s="2" t="s">
        <v>1561</v>
      </c>
      <c r="D179" s="2" t="s">
        <v>1562</v>
      </c>
      <c r="E179" s="2" t="s">
        <v>1563</v>
      </c>
      <c r="G179" s="3" t="s">
        <v>64</v>
      </c>
      <c r="I179" s="3" t="s">
        <v>64</v>
      </c>
      <c r="J179" s="3" t="s">
        <v>64</v>
      </c>
      <c r="K179" s="3" t="s">
        <v>65</v>
      </c>
      <c r="L179" s="2" t="s">
        <v>1564</v>
      </c>
      <c r="M179" s="2" t="s">
        <v>1565</v>
      </c>
      <c r="N179" s="3" t="s">
        <v>86</v>
      </c>
      <c r="O179" s="2" t="s">
        <v>1566</v>
      </c>
      <c r="P179" s="3" t="s">
        <v>102</v>
      </c>
      <c r="R179" s="3" t="s">
        <v>70</v>
      </c>
      <c r="S179" s="4">
        <v>1</v>
      </c>
      <c r="T179" s="4">
        <v>1</v>
      </c>
      <c r="U179" s="5" t="s">
        <v>1567</v>
      </c>
      <c r="V179" s="5" t="s">
        <v>1567</v>
      </c>
      <c r="W179" s="5" t="s">
        <v>72</v>
      </c>
      <c r="X179" s="5" t="s">
        <v>72</v>
      </c>
      <c r="Y179" s="4">
        <v>642</v>
      </c>
      <c r="Z179" s="4">
        <v>25</v>
      </c>
      <c r="AA179" s="4">
        <v>27</v>
      </c>
      <c r="AB179" s="4">
        <v>1</v>
      </c>
      <c r="AC179" s="4">
        <v>2</v>
      </c>
      <c r="AD179" s="4">
        <v>61</v>
      </c>
      <c r="AE179" s="4">
        <v>64</v>
      </c>
      <c r="AF179" s="4">
        <v>0</v>
      </c>
      <c r="AG179" s="4">
        <v>0</v>
      </c>
      <c r="AH179" s="4">
        <v>56</v>
      </c>
      <c r="AI179" s="4">
        <v>58</v>
      </c>
      <c r="AJ179" s="4">
        <v>6</v>
      </c>
      <c r="AK179" s="4">
        <v>7</v>
      </c>
      <c r="AL179" s="4">
        <v>35</v>
      </c>
      <c r="AM179" s="4">
        <v>35</v>
      </c>
      <c r="AN179" s="4">
        <v>0</v>
      </c>
      <c r="AO179" s="4">
        <v>0</v>
      </c>
      <c r="AP179" s="4">
        <v>8</v>
      </c>
      <c r="AQ179" s="4">
        <v>9</v>
      </c>
      <c r="AR179" s="3" t="s">
        <v>64</v>
      </c>
      <c r="AS179" s="3" t="s">
        <v>64</v>
      </c>
      <c r="AT179" s="3" t="s">
        <v>64</v>
      </c>
      <c r="AV179" s="6" t="str">
        <f>HYPERLINK("http://mcgill.on.worldcat.org/oclc/818359780","Catalog Record")</f>
        <v>Catalog Record</v>
      </c>
      <c r="AW179" s="6" t="str">
        <f>HYPERLINK("http://www.worldcat.org/oclc/818359780","WorldCat Record")</f>
        <v>WorldCat Record</v>
      </c>
      <c r="AX179" s="3" t="s">
        <v>1568</v>
      </c>
      <c r="AY179" s="3" t="s">
        <v>1569</v>
      </c>
      <c r="AZ179" s="3" t="s">
        <v>1570</v>
      </c>
      <c r="BA179" s="3" t="s">
        <v>1570</v>
      </c>
      <c r="BB179" s="3" t="s">
        <v>1571</v>
      </c>
      <c r="BC179" s="3" t="s">
        <v>77</v>
      </c>
      <c r="BD179" s="3" t="s">
        <v>78</v>
      </c>
      <c r="BE179" s="3" t="s">
        <v>1572</v>
      </c>
      <c r="BF179" s="3" t="s">
        <v>1571</v>
      </c>
      <c r="BG179" s="3" t="s">
        <v>1573</v>
      </c>
      <c r="BH179">
        <f t="shared" si="5"/>
        <v>0</v>
      </c>
    </row>
    <row r="180" spans="1:60" ht="58" x14ac:dyDescent="0.35">
      <c r="A180" s="2" t="s">
        <v>59</v>
      </c>
      <c r="B180" s="2" t="s">
        <v>60</v>
      </c>
      <c r="C180" s="2" t="s">
        <v>1574</v>
      </c>
      <c r="D180" s="2" t="s">
        <v>1575</v>
      </c>
      <c r="E180" s="2" t="s">
        <v>1576</v>
      </c>
      <c r="G180" s="3" t="s">
        <v>64</v>
      </c>
      <c r="I180" s="3" t="s">
        <v>64</v>
      </c>
      <c r="J180" s="3" t="s">
        <v>64</v>
      </c>
      <c r="K180" s="3" t="s">
        <v>65</v>
      </c>
      <c r="L180" s="2" t="s">
        <v>1577</v>
      </c>
      <c r="M180" s="2" t="s">
        <v>1578</v>
      </c>
      <c r="N180" s="3" t="s">
        <v>1250</v>
      </c>
      <c r="P180" s="3" t="s">
        <v>102</v>
      </c>
      <c r="R180" s="3" t="s">
        <v>70</v>
      </c>
      <c r="S180" s="4">
        <v>31</v>
      </c>
      <c r="T180" s="4">
        <v>31</v>
      </c>
      <c r="U180" s="5" t="s">
        <v>1579</v>
      </c>
      <c r="V180" s="5" t="s">
        <v>1579</v>
      </c>
      <c r="W180" s="5" t="s">
        <v>72</v>
      </c>
      <c r="X180" s="5" t="s">
        <v>72</v>
      </c>
      <c r="Y180" s="4">
        <v>804</v>
      </c>
      <c r="Z180" s="4">
        <v>49</v>
      </c>
      <c r="AA180" s="4">
        <v>51</v>
      </c>
      <c r="AB180" s="4">
        <v>2</v>
      </c>
      <c r="AC180" s="4">
        <v>3</v>
      </c>
      <c r="AD180" s="4">
        <v>134</v>
      </c>
      <c r="AE180" s="4">
        <v>136</v>
      </c>
      <c r="AF180" s="4">
        <v>1</v>
      </c>
      <c r="AG180" s="4">
        <v>2</v>
      </c>
      <c r="AH180" s="4">
        <v>108</v>
      </c>
      <c r="AI180" s="4">
        <v>109</v>
      </c>
      <c r="AJ180" s="4">
        <v>19</v>
      </c>
      <c r="AK180" s="4">
        <v>20</v>
      </c>
      <c r="AL180" s="4">
        <v>58</v>
      </c>
      <c r="AM180" s="4">
        <v>59</v>
      </c>
      <c r="AN180" s="4">
        <v>0</v>
      </c>
      <c r="AO180" s="4">
        <v>0</v>
      </c>
      <c r="AP180" s="4">
        <v>34</v>
      </c>
      <c r="AQ180" s="4">
        <v>34</v>
      </c>
      <c r="AR180" s="3" t="s">
        <v>64</v>
      </c>
      <c r="AS180" s="3" t="s">
        <v>64</v>
      </c>
      <c r="AT180" s="3" t="s">
        <v>64</v>
      </c>
      <c r="AV180" s="6" t="str">
        <f>HYPERLINK("http://mcgill.on.worldcat.org/oclc/28423039","Catalog Record")</f>
        <v>Catalog Record</v>
      </c>
      <c r="AW180" s="6" t="str">
        <f>HYPERLINK("http://www.worldcat.org/oclc/28423039","WorldCat Record")</f>
        <v>WorldCat Record</v>
      </c>
      <c r="AX180" s="3" t="s">
        <v>1580</v>
      </c>
      <c r="AY180" s="3" t="s">
        <v>1581</v>
      </c>
      <c r="AZ180" s="3" t="s">
        <v>1582</v>
      </c>
      <c r="BA180" s="3" t="s">
        <v>1582</v>
      </c>
      <c r="BB180" s="3" t="s">
        <v>1583</v>
      </c>
      <c r="BC180" s="3" t="s">
        <v>77</v>
      </c>
      <c r="BD180" s="3" t="s">
        <v>78</v>
      </c>
      <c r="BE180" s="3" t="s">
        <v>1584</v>
      </c>
      <c r="BF180" s="3" t="s">
        <v>1583</v>
      </c>
      <c r="BG180" s="3" t="s">
        <v>1585</v>
      </c>
      <c r="BH180">
        <f t="shared" si="5"/>
        <v>0</v>
      </c>
    </row>
    <row r="181" spans="1:60" ht="58" x14ac:dyDescent="0.35">
      <c r="A181" s="2" t="s">
        <v>59</v>
      </c>
      <c r="B181" s="2" t="s">
        <v>60</v>
      </c>
      <c r="C181" s="2" t="s">
        <v>1586</v>
      </c>
      <c r="D181" s="2" t="s">
        <v>1587</v>
      </c>
      <c r="E181" s="2" t="s">
        <v>1588</v>
      </c>
      <c r="G181" s="3" t="s">
        <v>64</v>
      </c>
      <c r="I181" s="3" t="s">
        <v>64</v>
      </c>
      <c r="J181" s="3" t="s">
        <v>128</v>
      </c>
      <c r="K181" s="3" t="s">
        <v>65</v>
      </c>
      <c r="L181" s="2" t="s">
        <v>1589</v>
      </c>
      <c r="M181" s="2" t="s">
        <v>1590</v>
      </c>
      <c r="N181" s="3" t="s">
        <v>315</v>
      </c>
      <c r="P181" s="3" t="s">
        <v>102</v>
      </c>
      <c r="R181" s="3" t="s">
        <v>70</v>
      </c>
      <c r="S181" s="4">
        <v>6</v>
      </c>
      <c r="T181" s="4">
        <v>6</v>
      </c>
      <c r="U181" s="5" t="s">
        <v>1591</v>
      </c>
      <c r="V181" s="5" t="s">
        <v>1591</v>
      </c>
      <c r="W181" s="5" t="s">
        <v>72</v>
      </c>
      <c r="X181" s="5" t="s">
        <v>72</v>
      </c>
      <c r="Y181" s="4">
        <v>424</v>
      </c>
      <c r="Z181" s="4">
        <v>27</v>
      </c>
      <c r="AA181" s="4">
        <v>64</v>
      </c>
      <c r="AB181" s="4">
        <v>2</v>
      </c>
      <c r="AC181" s="4">
        <v>7</v>
      </c>
      <c r="AD181" s="4">
        <v>107</v>
      </c>
      <c r="AE181" s="4">
        <v>147</v>
      </c>
      <c r="AF181" s="4">
        <v>1</v>
      </c>
      <c r="AG181" s="4">
        <v>5</v>
      </c>
      <c r="AH181" s="4">
        <v>90</v>
      </c>
      <c r="AI181" s="4">
        <v>113</v>
      </c>
      <c r="AJ181" s="4">
        <v>12</v>
      </c>
      <c r="AK181" s="4">
        <v>26</v>
      </c>
      <c r="AL181" s="4">
        <v>53</v>
      </c>
      <c r="AM181" s="4">
        <v>60</v>
      </c>
      <c r="AN181" s="4">
        <v>0</v>
      </c>
      <c r="AO181" s="4">
        <v>0</v>
      </c>
      <c r="AP181" s="4">
        <v>21</v>
      </c>
      <c r="AQ181" s="4">
        <v>42</v>
      </c>
      <c r="AR181" s="3" t="s">
        <v>64</v>
      </c>
      <c r="AS181" s="3" t="s">
        <v>64</v>
      </c>
      <c r="AT181" s="3" t="s">
        <v>128</v>
      </c>
      <c r="AU181" s="6" t="str">
        <f>HYPERLINK("http://catalog.hathitrust.org/Record/001159159","HathiTrust Record")</f>
        <v>HathiTrust Record</v>
      </c>
      <c r="AV181" s="6" t="str">
        <f>HYPERLINK("http://mcgill.on.worldcat.org/oclc/176578","Catalog Record")</f>
        <v>Catalog Record</v>
      </c>
      <c r="AW181" s="6" t="str">
        <f>HYPERLINK("http://www.worldcat.org/oclc/176578","WorldCat Record")</f>
        <v>WorldCat Record</v>
      </c>
      <c r="AX181" s="3" t="s">
        <v>1592</v>
      </c>
      <c r="AY181" s="3" t="s">
        <v>1593</v>
      </c>
      <c r="AZ181" s="3" t="s">
        <v>1594</v>
      </c>
      <c r="BA181" s="3" t="s">
        <v>1594</v>
      </c>
      <c r="BB181" s="3" t="s">
        <v>1595</v>
      </c>
      <c r="BC181" s="3" t="s">
        <v>77</v>
      </c>
      <c r="BD181" s="3" t="s">
        <v>78</v>
      </c>
      <c r="BF181" s="3" t="s">
        <v>1595</v>
      </c>
      <c r="BG181" s="3" t="s">
        <v>1596</v>
      </c>
      <c r="BH181">
        <f t="shared" si="5"/>
        <v>0</v>
      </c>
    </row>
    <row r="182" spans="1:60" ht="58" x14ac:dyDescent="0.35">
      <c r="A182" s="2" t="s">
        <v>59</v>
      </c>
      <c r="B182" s="2" t="s">
        <v>60</v>
      </c>
      <c r="C182" s="2" t="s">
        <v>1597</v>
      </c>
      <c r="D182" s="2" t="s">
        <v>1598</v>
      </c>
      <c r="E182" s="2" t="s">
        <v>1599</v>
      </c>
      <c r="G182" s="3" t="s">
        <v>64</v>
      </c>
      <c r="I182" s="3" t="s">
        <v>64</v>
      </c>
      <c r="J182" s="3" t="s">
        <v>64</v>
      </c>
      <c r="K182" s="3" t="s">
        <v>65</v>
      </c>
      <c r="L182" s="2" t="s">
        <v>1600</v>
      </c>
      <c r="M182" s="2" t="s">
        <v>1601</v>
      </c>
      <c r="N182" s="3" t="s">
        <v>326</v>
      </c>
      <c r="P182" s="3" t="s">
        <v>102</v>
      </c>
      <c r="Q182" s="2" t="s">
        <v>1602</v>
      </c>
      <c r="R182" s="3" t="s">
        <v>70</v>
      </c>
      <c r="S182" s="4">
        <v>3</v>
      </c>
      <c r="T182" s="4">
        <v>3</v>
      </c>
      <c r="U182" s="5" t="s">
        <v>1603</v>
      </c>
      <c r="V182" s="5" t="s">
        <v>1603</v>
      </c>
      <c r="W182" s="5" t="s">
        <v>72</v>
      </c>
      <c r="X182" s="5" t="s">
        <v>72</v>
      </c>
      <c r="Y182" s="4">
        <v>117</v>
      </c>
      <c r="Z182" s="4">
        <v>13</v>
      </c>
      <c r="AA182" s="4">
        <v>17</v>
      </c>
      <c r="AB182" s="4">
        <v>1</v>
      </c>
      <c r="AC182" s="4">
        <v>4</v>
      </c>
      <c r="AD182" s="4">
        <v>50</v>
      </c>
      <c r="AE182" s="4">
        <v>59</v>
      </c>
      <c r="AF182" s="4">
        <v>0</v>
      </c>
      <c r="AG182" s="4">
        <v>0</v>
      </c>
      <c r="AH182" s="4">
        <v>45</v>
      </c>
      <c r="AI182" s="4">
        <v>54</v>
      </c>
      <c r="AJ182" s="4">
        <v>9</v>
      </c>
      <c r="AK182" s="4">
        <v>10</v>
      </c>
      <c r="AL182" s="4">
        <v>29</v>
      </c>
      <c r="AM182" s="4">
        <v>34</v>
      </c>
      <c r="AN182" s="4">
        <v>0</v>
      </c>
      <c r="AO182" s="4">
        <v>0</v>
      </c>
      <c r="AP182" s="4">
        <v>10</v>
      </c>
      <c r="AQ182" s="4">
        <v>11</v>
      </c>
      <c r="AR182" s="3" t="s">
        <v>64</v>
      </c>
      <c r="AS182" s="3" t="s">
        <v>64</v>
      </c>
      <c r="AT182" s="3" t="s">
        <v>64</v>
      </c>
      <c r="AV182" s="6" t="str">
        <f>HYPERLINK("http://mcgill.on.worldcat.org/oclc/694227555","Catalog Record")</f>
        <v>Catalog Record</v>
      </c>
      <c r="AW182" s="6" t="str">
        <f>HYPERLINK("http://www.worldcat.org/oclc/694227555","WorldCat Record")</f>
        <v>WorldCat Record</v>
      </c>
      <c r="AX182" s="3" t="s">
        <v>1604</v>
      </c>
      <c r="AY182" s="3" t="s">
        <v>1605</v>
      </c>
      <c r="AZ182" s="3" t="s">
        <v>1606</v>
      </c>
      <c r="BA182" s="3" t="s">
        <v>1606</v>
      </c>
      <c r="BB182" s="3" t="s">
        <v>1607</v>
      </c>
      <c r="BC182" s="3" t="s">
        <v>77</v>
      </c>
      <c r="BD182" s="3" t="s">
        <v>78</v>
      </c>
      <c r="BE182" s="3" t="s">
        <v>1608</v>
      </c>
      <c r="BF182" s="3" t="s">
        <v>1607</v>
      </c>
      <c r="BG182" s="3" t="s">
        <v>1609</v>
      </c>
      <c r="BH182">
        <f t="shared" si="5"/>
        <v>0</v>
      </c>
    </row>
    <row r="183" spans="1:60" ht="58" x14ac:dyDescent="0.35">
      <c r="A183" s="2" t="s">
        <v>59</v>
      </c>
      <c r="B183" s="2" t="s">
        <v>60</v>
      </c>
      <c r="C183" s="2" t="s">
        <v>1610</v>
      </c>
      <c r="D183" s="2" t="s">
        <v>1611</v>
      </c>
      <c r="E183" s="2" t="s">
        <v>1612</v>
      </c>
      <c r="G183" s="3" t="s">
        <v>64</v>
      </c>
      <c r="I183" s="3" t="s">
        <v>64</v>
      </c>
      <c r="J183" s="3" t="s">
        <v>64</v>
      </c>
      <c r="K183" s="3" t="s">
        <v>65</v>
      </c>
      <c r="L183" s="2" t="s">
        <v>1613</v>
      </c>
      <c r="M183" s="2" t="s">
        <v>1614</v>
      </c>
      <c r="N183" s="3" t="s">
        <v>1615</v>
      </c>
      <c r="P183" s="3" t="s">
        <v>102</v>
      </c>
      <c r="R183" s="3" t="s">
        <v>70</v>
      </c>
      <c r="S183" s="4">
        <v>8</v>
      </c>
      <c r="T183" s="4">
        <v>8</v>
      </c>
      <c r="U183" s="5" t="s">
        <v>1616</v>
      </c>
      <c r="V183" s="5" t="s">
        <v>1616</v>
      </c>
      <c r="W183" s="5" t="s">
        <v>72</v>
      </c>
      <c r="X183" s="5" t="s">
        <v>72</v>
      </c>
      <c r="Y183" s="4">
        <v>784</v>
      </c>
      <c r="Z183" s="4">
        <v>21</v>
      </c>
      <c r="AA183" s="4">
        <v>22</v>
      </c>
      <c r="AB183" s="4">
        <v>1</v>
      </c>
      <c r="AC183" s="4">
        <v>2</v>
      </c>
      <c r="AD183" s="4">
        <v>107</v>
      </c>
      <c r="AE183" s="4">
        <v>109</v>
      </c>
      <c r="AF183" s="4">
        <v>0</v>
      </c>
      <c r="AG183" s="4">
        <v>1</v>
      </c>
      <c r="AH183" s="4">
        <v>97</v>
      </c>
      <c r="AI183" s="4">
        <v>98</v>
      </c>
      <c r="AJ183" s="4">
        <v>9</v>
      </c>
      <c r="AK183" s="4">
        <v>10</v>
      </c>
      <c r="AL183" s="4">
        <v>55</v>
      </c>
      <c r="AM183" s="4">
        <v>55</v>
      </c>
      <c r="AN183" s="4">
        <v>0</v>
      </c>
      <c r="AO183" s="4">
        <v>0</v>
      </c>
      <c r="AP183" s="4">
        <v>12</v>
      </c>
      <c r="AQ183" s="4">
        <v>12</v>
      </c>
      <c r="AR183" s="3" t="s">
        <v>64</v>
      </c>
      <c r="AS183" s="3" t="s">
        <v>64</v>
      </c>
      <c r="AT183" s="3" t="s">
        <v>64</v>
      </c>
      <c r="AV183" s="6" t="str">
        <f>HYPERLINK("http://mcgill.on.worldcat.org/oclc/34285208","Catalog Record")</f>
        <v>Catalog Record</v>
      </c>
      <c r="AW183" s="6" t="str">
        <f>HYPERLINK("http://www.worldcat.org/oclc/34285208","WorldCat Record")</f>
        <v>WorldCat Record</v>
      </c>
      <c r="AX183" s="3" t="s">
        <v>1617</v>
      </c>
      <c r="AY183" s="3" t="s">
        <v>1618</v>
      </c>
      <c r="AZ183" s="3" t="s">
        <v>1619</v>
      </c>
      <c r="BA183" s="3" t="s">
        <v>1619</v>
      </c>
      <c r="BB183" s="3" t="s">
        <v>1620</v>
      </c>
      <c r="BC183" s="3" t="s">
        <v>77</v>
      </c>
      <c r="BD183" s="3" t="s">
        <v>78</v>
      </c>
      <c r="BE183" s="3" t="s">
        <v>1621</v>
      </c>
      <c r="BF183" s="3" t="s">
        <v>1620</v>
      </c>
      <c r="BG183" s="3" t="s">
        <v>1622</v>
      </c>
      <c r="BH183">
        <f t="shared" si="5"/>
        <v>0</v>
      </c>
    </row>
    <row r="184" spans="1:60" ht="58" x14ac:dyDescent="0.35">
      <c r="A184" s="2" t="s">
        <v>59</v>
      </c>
      <c r="B184" s="2" t="s">
        <v>60</v>
      </c>
      <c r="C184" s="2" t="s">
        <v>1623</v>
      </c>
      <c r="D184" s="2" t="s">
        <v>1624</v>
      </c>
      <c r="E184" s="2" t="s">
        <v>1625</v>
      </c>
      <c r="G184" s="3" t="s">
        <v>64</v>
      </c>
      <c r="I184" s="3" t="s">
        <v>64</v>
      </c>
      <c r="J184" s="3" t="s">
        <v>64</v>
      </c>
      <c r="K184" s="3" t="s">
        <v>65</v>
      </c>
      <c r="M184" s="2" t="s">
        <v>1626</v>
      </c>
      <c r="N184" s="3" t="s">
        <v>378</v>
      </c>
      <c r="P184" s="3" t="s">
        <v>102</v>
      </c>
      <c r="Q184" s="2" t="s">
        <v>1627</v>
      </c>
      <c r="R184" s="3" t="s">
        <v>70</v>
      </c>
      <c r="S184" s="4">
        <v>34</v>
      </c>
      <c r="T184" s="4">
        <v>34</v>
      </c>
      <c r="U184" s="5" t="s">
        <v>1628</v>
      </c>
      <c r="V184" s="5" t="s">
        <v>1628</v>
      </c>
      <c r="W184" s="5" t="s">
        <v>72</v>
      </c>
      <c r="X184" s="5" t="s">
        <v>72</v>
      </c>
      <c r="Y184" s="4">
        <v>328</v>
      </c>
      <c r="Z184" s="4">
        <v>26</v>
      </c>
      <c r="AA184" s="4">
        <v>26</v>
      </c>
      <c r="AB184" s="4">
        <v>3</v>
      </c>
      <c r="AC184" s="4">
        <v>3</v>
      </c>
      <c r="AD184" s="4">
        <v>105</v>
      </c>
      <c r="AE184" s="4">
        <v>105</v>
      </c>
      <c r="AF184" s="4">
        <v>1</v>
      </c>
      <c r="AG184" s="4">
        <v>1</v>
      </c>
      <c r="AH184" s="4">
        <v>92</v>
      </c>
      <c r="AI184" s="4">
        <v>92</v>
      </c>
      <c r="AJ184" s="4">
        <v>15</v>
      </c>
      <c r="AK184" s="4">
        <v>15</v>
      </c>
      <c r="AL184" s="4">
        <v>48</v>
      </c>
      <c r="AM184" s="4">
        <v>48</v>
      </c>
      <c r="AN184" s="4">
        <v>0</v>
      </c>
      <c r="AO184" s="4">
        <v>0</v>
      </c>
      <c r="AP184" s="4">
        <v>19</v>
      </c>
      <c r="AQ184" s="4">
        <v>19</v>
      </c>
      <c r="AR184" s="3" t="s">
        <v>64</v>
      </c>
      <c r="AS184" s="3" t="s">
        <v>64</v>
      </c>
      <c r="AT184" s="3" t="s">
        <v>128</v>
      </c>
      <c r="AU184" s="6" t="str">
        <f>HYPERLINK("http://catalog.hathitrust.org/Record/000673711","HathiTrust Record")</f>
        <v>HathiTrust Record</v>
      </c>
      <c r="AV184" s="6" t="str">
        <f>HYPERLINK("http://mcgill.on.worldcat.org/oclc/12944972","Catalog Record")</f>
        <v>Catalog Record</v>
      </c>
      <c r="AW184" s="6" t="str">
        <f>HYPERLINK("http://www.worldcat.org/oclc/12944972","WorldCat Record")</f>
        <v>WorldCat Record</v>
      </c>
      <c r="AX184" s="3" t="s">
        <v>1629</v>
      </c>
      <c r="AY184" s="3" t="s">
        <v>1630</v>
      </c>
      <c r="AZ184" s="3" t="s">
        <v>1631</v>
      </c>
      <c r="BA184" s="3" t="s">
        <v>1631</v>
      </c>
      <c r="BB184" s="3" t="s">
        <v>1632</v>
      </c>
      <c r="BC184" s="3" t="s">
        <v>77</v>
      </c>
      <c r="BD184" s="3" t="s">
        <v>165</v>
      </c>
      <c r="BE184" s="3" t="s">
        <v>1633</v>
      </c>
      <c r="BF184" s="3" t="s">
        <v>1632</v>
      </c>
      <c r="BG184" s="3" t="s">
        <v>1634</v>
      </c>
      <c r="BH184">
        <f t="shared" si="5"/>
        <v>0</v>
      </c>
    </row>
    <row r="185" spans="1:60" ht="58" x14ac:dyDescent="0.35">
      <c r="A185" s="2" t="s">
        <v>59</v>
      </c>
      <c r="B185" s="2" t="s">
        <v>60</v>
      </c>
      <c r="C185" s="2" t="s">
        <v>1635</v>
      </c>
      <c r="D185" s="2" t="s">
        <v>1636</v>
      </c>
      <c r="E185" s="2" t="s">
        <v>1637</v>
      </c>
      <c r="G185" s="3" t="s">
        <v>64</v>
      </c>
      <c r="I185" s="3" t="s">
        <v>64</v>
      </c>
      <c r="J185" s="3" t="s">
        <v>64</v>
      </c>
      <c r="K185" s="3" t="s">
        <v>65</v>
      </c>
      <c r="L185" s="2" t="s">
        <v>1638</v>
      </c>
      <c r="M185" s="2" t="s">
        <v>1639</v>
      </c>
      <c r="N185" s="3" t="s">
        <v>1640</v>
      </c>
      <c r="P185" s="3" t="s">
        <v>102</v>
      </c>
      <c r="Q185" s="2" t="s">
        <v>1641</v>
      </c>
      <c r="R185" s="3" t="s">
        <v>70</v>
      </c>
      <c r="S185" s="4">
        <v>2</v>
      </c>
      <c r="T185" s="4">
        <v>2</v>
      </c>
      <c r="U185" s="5" t="s">
        <v>1642</v>
      </c>
      <c r="V185" s="5" t="s">
        <v>1642</v>
      </c>
      <c r="W185" s="5" t="s">
        <v>72</v>
      </c>
      <c r="X185" s="5" t="s">
        <v>72</v>
      </c>
      <c r="Y185" s="4">
        <v>42</v>
      </c>
      <c r="Z185" s="4">
        <v>6</v>
      </c>
      <c r="AA185" s="4">
        <v>6</v>
      </c>
      <c r="AB185" s="4">
        <v>1</v>
      </c>
      <c r="AC185" s="4">
        <v>1</v>
      </c>
      <c r="AD185" s="4">
        <v>20</v>
      </c>
      <c r="AE185" s="4">
        <v>20</v>
      </c>
      <c r="AF185" s="4">
        <v>0</v>
      </c>
      <c r="AG185" s="4">
        <v>0</v>
      </c>
      <c r="AH185" s="4">
        <v>18</v>
      </c>
      <c r="AI185" s="4">
        <v>18</v>
      </c>
      <c r="AJ185" s="4">
        <v>4</v>
      </c>
      <c r="AK185" s="4">
        <v>4</v>
      </c>
      <c r="AL185" s="4">
        <v>13</v>
      </c>
      <c r="AM185" s="4">
        <v>13</v>
      </c>
      <c r="AN185" s="4">
        <v>0</v>
      </c>
      <c r="AO185" s="4">
        <v>0</v>
      </c>
      <c r="AP185" s="4">
        <v>4</v>
      </c>
      <c r="AQ185" s="4">
        <v>4</v>
      </c>
      <c r="AR185" s="3" t="s">
        <v>64</v>
      </c>
      <c r="AS185" s="3" t="s">
        <v>64</v>
      </c>
      <c r="AT185" s="3" t="s">
        <v>64</v>
      </c>
      <c r="AV185" s="6" t="str">
        <f>HYPERLINK("http://mcgill.on.worldcat.org/oclc/7685200","Catalog Record")</f>
        <v>Catalog Record</v>
      </c>
      <c r="AW185" s="6" t="str">
        <f>HYPERLINK("http://www.worldcat.org/oclc/7685200","WorldCat Record")</f>
        <v>WorldCat Record</v>
      </c>
      <c r="AX185" s="3" t="s">
        <v>1643</v>
      </c>
      <c r="AY185" s="3" t="s">
        <v>1644</v>
      </c>
      <c r="AZ185" s="3" t="s">
        <v>1645</v>
      </c>
      <c r="BA185" s="3" t="s">
        <v>1645</v>
      </c>
      <c r="BB185" s="3" t="s">
        <v>1646</v>
      </c>
      <c r="BC185" s="3" t="s">
        <v>77</v>
      </c>
      <c r="BD185" s="3" t="s">
        <v>78</v>
      </c>
      <c r="BF185" s="3" t="s">
        <v>1646</v>
      </c>
      <c r="BG185" s="3" t="s">
        <v>1647</v>
      </c>
      <c r="BH185">
        <f t="shared" si="5"/>
        <v>0</v>
      </c>
    </row>
    <row r="186" spans="1:60" ht="72.5" x14ac:dyDescent="0.35">
      <c r="A186" s="2" t="s">
        <v>59</v>
      </c>
      <c r="B186" s="2" t="s">
        <v>1025</v>
      </c>
      <c r="C186" s="2" t="s">
        <v>1648</v>
      </c>
      <c r="D186" s="2" t="s">
        <v>1649</v>
      </c>
      <c r="E186" s="2" t="s">
        <v>1650</v>
      </c>
      <c r="G186" s="3" t="s">
        <v>64</v>
      </c>
      <c r="I186" s="3" t="s">
        <v>128</v>
      </c>
      <c r="J186" s="3" t="s">
        <v>64</v>
      </c>
      <c r="K186" s="3" t="s">
        <v>65</v>
      </c>
      <c r="L186" s="2" t="s">
        <v>1651</v>
      </c>
      <c r="M186" s="2" t="s">
        <v>1652</v>
      </c>
      <c r="N186" s="3" t="s">
        <v>1653</v>
      </c>
      <c r="P186" s="3" t="s">
        <v>68</v>
      </c>
      <c r="Q186" s="2" t="s">
        <v>1654</v>
      </c>
      <c r="R186" s="3" t="s">
        <v>70</v>
      </c>
      <c r="S186" s="4">
        <v>0</v>
      </c>
      <c r="T186" s="4">
        <v>1</v>
      </c>
      <c r="V186" s="5" t="s">
        <v>1655</v>
      </c>
      <c r="W186" s="5" t="s">
        <v>72</v>
      </c>
      <c r="X186" s="5" t="s">
        <v>72</v>
      </c>
      <c r="Y186" s="4">
        <v>57</v>
      </c>
      <c r="Z186" s="4">
        <v>3</v>
      </c>
      <c r="AA186" s="4">
        <v>17</v>
      </c>
      <c r="AB186" s="4">
        <v>1</v>
      </c>
      <c r="AC186" s="4">
        <v>1</v>
      </c>
      <c r="AD186" s="4">
        <v>15</v>
      </c>
      <c r="AE186" s="4">
        <v>38</v>
      </c>
      <c r="AF186" s="4">
        <v>0</v>
      </c>
      <c r="AG186" s="4">
        <v>0</v>
      </c>
      <c r="AH186" s="4">
        <v>14</v>
      </c>
      <c r="AI186" s="4">
        <v>32</v>
      </c>
      <c r="AJ186" s="4">
        <v>1</v>
      </c>
      <c r="AK186" s="4">
        <v>4</v>
      </c>
      <c r="AL186" s="4">
        <v>10</v>
      </c>
      <c r="AM186" s="4">
        <v>23</v>
      </c>
      <c r="AN186" s="4">
        <v>0</v>
      </c>
      <c r="AO186" s="4">
        <v>5</v>
      </c>
      <c r="AP186" s="4">
        <v>1</v>
      </c>
      <c r="AQ186" s="4">
        <v>7</v>
      </c>
      <c r="AR186" s="3" t="s">
        <v>64</v>
      </c>
      <c r="AS186" s="3" t="s">
        <v>64</v>
      </c>
      <c r="AT186" s="3" t="s">
        <v>64</v>
      </c>
      <c r="AU186" s="6" t="str">
        <f>HYPERLINK("http://catalog.hathitrust.org/Record/001159202","HathiTrust Record")</f>
        <v>HathiTrust Record</v>
      </c>
      <c r="AV186" s="6" t="str">
        <f>HYPERLINK("http://mcgill.on.worldcat.org/oclc/2943024","Catalog Record")</f>
        <v>Catalog Record</v>
      </c>
      <c r="AW186" s="6" t="str">
        <f>HYPERLINK("http://www.worldcat.org/oclc/2943024","WorldCat Record")</f>
        <v>WorldCat Record</v>
      </c>
      <c r="AX186" s="3" t="s">
        <v>1656</v>
      </c>
      <c r="AY186" s="3" t="s">
        <v>1657</v>
      </c>
      <c r="AZ186" s="3" t="s">
        <v>1658</v>
      </c>
      <c r="BA186" s="3" t="s">
        <v>1658</v>
      </c>
      <c r="BB186" s="3" t="s">
        <v>1659</v>
      </c>
      <c r="BC186" s="3" t="s">
        <v>77</v>
      </c>
      <c r="BD186" s="3" t="s">
        <v>78</v>
      </c>
      <c r="BF186" s="3" t="s">
        <v>1659</v>
      </c>
      <c r="BG186" s="3" t="s">
        <v>1660</v>
      </c>
      <c r="BH186">
        <f t="shared" si="5"/>
        <v>0</v>
      </c>
    </row>
    <row r="187" spans="1:60" ht="58" x14ac:dyDescent="0.35">
      <c r="A187" s="2" t="s">
        <v>59</v>
      </c>
      <c r="B187" s="2" t="s">
        <v>60</v>
      </c>
      <c r="C187" s="2" t="s">
        <v>1661</v>
      </c>
      <c r="D187" s="2" t="s">
        <v>1662</v>
      </c>
      <c r="E187" s="2" t="s">
        <v>1663</v>
      </c>
      <c r="G187" s="3" t="s">
        <v>64</v>
      </c>
      <c r="I187" s="3" t="s">
        <v>64</v>
      </c>
      <c r="J187" s="3" t="s">
        <v>64</v>
      </c>
      <c r="K187" s="3" t="s">
        <v>65</v>
      </c>
      <c r="L187" s="2" t="s">
        <v>1664</v>
      </c>
      <c r="M187" s="2" t="s">
        <v>1665</v>
      </c>
      <c r="N187" s="3" t="s">
        <v>578</v>
      </c>
      <c r="P187" s="3" t="s">
        <v>102</v>
      </c>
      <c r="R187" s="3" t="s">
        <v>70</v>
      </c>
      <c r="S187" s="4">
        <v>1</v>
      </c>
      <c r="T187" s="4">
        <v>1</v>
      </c>
      <c r="U187" s="5" t="s">
        <v>1567</v>
      </c>
      <c r="V187" s="5" t="s">
        <v>1567</v>
      </c>
      <c r="W187" s="5" t="s">
        <v>72</v>
      </c>
      <c r="X187" s="5" t="s">
        <v>72</v>
      </c>
      <c r="Y187" s="4">
        <v>106</v>
      </c>
      <c r="Z187" s="4">
        <v>8</v>
      </c>
      <c r="AA187" s="4">
        <v>9</v>
      </c>
      <c r="AB187" s="4">
        <v>1</v>
      </c>
      <c r="AC187" s="4">
        <v>2</v>
      </c>
      <c r="AD187" s="4">
        <v>34</v>
      </c>
      <c r="AE187" s="4">
        <v>34</v>
      </c>
      <c r="AF187" s="4">
        <v>0</v>
      </c>
      <c r="AG187" s="4">
        <v>0</v>
      </c>
      <c r="AH187" s="4">
        <v>30</v>
      </c>
      <c r="AI187" s="4">
        <v>30</v>
      </c>
      <c r="AJ187" s="4">
        <v>6</v>
      </c>
      <c r="AK187" s="4">
        <v>6</v>
      </c>
      <c r="AL187" s="4">
        <v>22</v>
      </c>
      <c r="AM187" s="4">
        <v>22</v>
      </c>
      <c r="AN187" s="4">
        <v>0</v>
      </c>
      <c r="AO187" s="4">
        <v>0</v>
      </c>
      <c r="AP187" s="4">
        <v>6</v>
      </c>
      <c r="AQ187" s="4">
        <v>6</v>
      </c>
      <c r="AR187" s="3" t="s">
        <v>64</v>
      </c>
      <c r="AS187" s="3" t="s">
        <v>64</v>
      </c>
      <c r="AT187" s="3" t="s">
        <v>64</v>
      </c>
      <c r="AV187" s="6" t="str">
        <f>HYPERLINK("http://mcgill.on.worldcat.org/oclc/987069698","Catalog Record")</f>
        <v>Catalog Record</v>
      </c>
      <c r="AW187" s="6" t="str">
        <f>HYPERLINK("http://www.worldcat.org/oclc/987069698","WorldCat Record")</f>
        <v>WorldCat Record</v>
      </c>
      <c r="AX187" s="3" t="s">
        <v>1666</v>
      </c>
      <c r="AY187" s="3" t="s">
        <v>1667</v>
      </c>
      <c r="AZ187" s="3" t="s">
        <v>1668</v>
      </c>
      <c r="BA187" s="3" t="s">
        <v>1668</v>
      </c>
      <c r="BB187" s="3" t="s">
        <v>1669</v>
      </c>
      <c r="BC187" s="3" t="s">
        <v>77</v>
      </c>
      <c r="BD187" s="3" t="s">
        <v>78</v>
      </c>
      <c r="BE187" s="3" t="s">
        <v>1670</v>
      </c>
      <c r="BF187" s="3" t="s">
        <v>1669</v>
      </c>
      <c r="BG187" s="3" t="s">
        <v>1671</v>
      </c>
      <c r="BH187">
        <f t="shared" si="5"/>
        <v>0</v>
      </c>
    </row>
    <row r="188" spans="1:60" ht="203" x14ac:dyDescent="0.35">
      <c r="A188" s="2" t="s">
        <v>59</v>
      </c>
      <c r="B188" s="2" t="s">
        <v>60</v>
      </c>
      <c r="C188" s="2" t="s">
        <v>1672</v>
      </c>
      <c r="D188" s="2" t="s">
        <v>1673</v>
      </c>
      <c r="E188" s="2" t="s">
        <v>1674</v>
      </c>
      <c r="G188" s="3" t="s">
        <v>64</v>
      </c>
      <c r="I188" s="3" t="s">
        <v>64</v>
      </c>
      <c r="J188" s="3" t="s">
        <v>64</v>
      </c>
      <c r="K188" s="3" t="s">
        <v>65</v>
      </c>
      <c r="L188" s="2" t="s">
        <v>1675</v>
      </c>
      <c r="M188" s="2" t="s">
        <v>1676</v>
      </c>
      <c r="N188" s="3" t="s">
        <v>1677</v>
      </c>
      <c r="O188" s="2" t="s">
        <v>1678</v>
      </c>
      <c r="P188" s="3" t="s">
        <v>102</v>
      </c>
      <c r="R188" s="3" t="s">
        <v>70</v>
      </c>
      <c r="S188" s="4">
        <v>1</v>
      </c>
      <c r="T188" s="4">
        <v>1</v>
      </c>
      <c r="U188" s="5" t="s">
        <v>1679</v>
      </c>
      <c r="V188" s="5" t="s">
        <v>1679</v>
      </c>
      <c r="W188" s="5" t="s">
        <v>72</v>
      </c>
      <c r="X188" s="5" t="s">
        <v>72</v>
      </c>
      <c r="Y188" s="4">
        <v>131</v>
      </c>
      <c r="Z188" s="4">
        <v>2</v>
      </c>
      <c r="AA188" s="4">
        <v>24</v>
      </c>
      <c r="AB188" s="4">
        <v>1</v>
      </c>
      <c r="AC188" s="4">
        <v>3</v>
      </c>
      <c r="AD188" s="4">
        <v>33</v>
      </c>
      <c r="AE188" s="4">
        <v>95</v>
      </c>
      <c r="AF188" s="4">
        <v>0</v>
      </c>
      <c r="AG188" s="4">
        <v>1</v>
      </c>
      <c r="AH188" s="4">
        <v>32</v>
      </c>
      <c r="AI188" s="4">
        <v>84</v>
      </c>
      <c r="AJ188" s="4">
        <v>0</v>
      </c>
      <c r="AK188" s="4">
        <v>10</v>
      </c>
      <c r="AL188" s="4">
        <v>20</v>
      </c>
      <c r="AM188" s="4">
        <v>49</v>
      </c>
      <c r="AN188" s="4">
        <v>0</v>
      </c>
      <c r="AO188" s="4">
        <v>5</v>
      </c>
      <c r="AP188" s="4">
        <v>0</v>
      </c>
      <c r="AQ188" s="4">
        <v>12</v>
      </c>
      <c r="AR188" s="3" t="s">
        <v>64</v>
      </c>
      <c r="AS188" s="3" t="s">
        <v>64</v>
      </c>
      <c r="AT188" s="3" t="s">
        <v>64</v>
      </c>
      <c r="AV188" s="6" t="str">
        <f>HYPERLINK("http://mcgill.on.worldcat.org/oclc/1071270","Catalog Record")</f>
        <v>Catalog Record</v>
      </c>
      <c r="AW188" s="6" t="str">
        <f>HYPERLINK("http://www.worldcat.org/oclc/1071270","WorldCat Record")</f>
        <v>WorldCat Record</v>
      </c>
      <c r="AX188" s="3" t="s">
        <v>1680</v>
      </c>
      <c r="AY188" s="3" t="s">
        <v>1681</v>
      </c>
      <c r="AZ188" s="3" t="s">
        <v>1682</v>
      </c>
      <c r="BA188" s="3" t="s">
        <v>1682</v>
      </c>
      <c r="BB188" s="3" t="s">
        <v>1683</v>
      </c>
      <c r="BC188" s="3" t="s">
        <v>77</v>
      </c>
      <c r="BD188" s="3" t="s">
        <v>78</v>
      </c>
      <c r="BF188" s="3" t="s">
        <v>1683</v>
      </c>
      <c r="BG188" s="3" t="s">
        <v>1684</v>
      </c>
      <c r="BH188">
        <f t="shared" si="5"/>
        <v>0</v>
      </c>
    </row>
    <row r="189" spans="1:60" ht="58" x14ac:dyDescent="0.35">
      <c r="A189" s="2" t="s">
        <v>59</v>
      </c>
      <c r="B189" s="2" t="s">
        <v>60</v>
      </c>
      <c r="C189" s="2" t="s">
        <v>1685</v>
      </c>
      <c r="D189" s="2" t="s">
        <v>1686</v>
      </c>
      <c r="E189" s="2" t="s">
        <v>1687</v>
      </c>
      <c r="G189" s="3" t="s">
        <v>64</v>
      </c>
      <c r="I189" s="3" t="s">
        <v>64</v>
      </c>
      <c r="J189" s="3" t="s">
        <v>64</v>
      </c>
      <c r="K189" s="3" t="s">
        <v>65</v>
      </c>
      <c r="L189" s="2" t="s">
        <v>1688</v>
      </c>
      <c r="M189" s="2" t="s">
        <v>1689</v>
      </c>
      <c r="N189" s="3" t="s">
        <v>253</v>
      </c>
      <c r="O189" s="2" t="s">
        <v>1690</v>
      </c>
      <c r="P189" s="3" t="s">
        <v>102</v>
      </c>
      <c r="R189" s="3" t="s">
        <v>70</v>
      </c>
      <c r="S189" s="4">
        <v>2</v>
      </c>
      <c r="T189" s="4">
        <v>2</v>
      </c>
      <c r="U189" s="5" t="s">
        <v>306</v>
      </c>
      <c r="V189" s="5" t="s">
        <v>306</v>
      </c>
      <c r="W189" s="5" t="s">
        <v>72</v>
      </c>
      <c r="X189" s="5" t="s">
        <v>72</v>
      </c>
      <c r="Y189" s="4">
        <v>15</v>
      </c>
      <c r="Z189" s="4">
        <v>6</v>
      </c>
      <c r="AA189" s="4">
        <v>28</v>
      </c>
      <c r="AB189" s="4">
        <v>1</v>
      </c>
      <c r="AC189" s="4">
        <v>2</v>
      </c>
      <c r="AD189" s="4">
        <v>5</v>
      </c>
      <c r="AE189" s="4">
        <v>100</v>
      </c>
      <c r="AF189" s="4">
        <v>0</v>
      </c>
      <c r="AG189" s="4">
        <v>1</v>
      </c>
      <c r="AH189" s="4">
        <v>3</v>
      </c>
      <c r="AI189" s="4">
        <v>84</v>
      </c>
      <c r="AJ189" s="4">
        <v>3</v>
      </c>
      <c r="AK189" s="4">
        <v>15</v>
      </c>
      <c r="AL189" s="4">
        <v>3</v>
      </c>
      <c r="AM189" s="4">
        <v>46</v>
      </c>
      <c r="AN189" s="4">
        <v>0</v>
      </c>
      <c r="AO189" s="4">
        <v>0</v>
      </c>
      <c r="AP189" s="4">
        <v>2</v>
      </c>
      <c r="AQ189" s="4">
        <v>18</v>
      </c>
      <c r="AR189" s="3" t="s">
        <v>128</v>
      </c>
      <c r="AS189" s="3" t="s">
        <v>64</v>
      </c>
      <c r="AT189" s="3" t="s">
        <v>64</v>
      </c>
      <c r="AV189" s="6" t="str">
        <f>HYPERLINK("http://mcgill.on.worldcat.org/oclc/903770109","Catalog Record")</f>
        <v>Catalog Record</v>
      </c>
      <c r="AW189" s="6" t="str">
        <f>HYPERLINK("http://www.worldcat.org/oclc/903770109","WorldCat Record")</f>
        <v>WorldCat Record</v>
      </c>
      <c r="AX189" s="3" t="s">
        <v>1691</v>
      </c>
      <c r="AY189" s="3" t="s">
        <v>1692</v>
      </c>
      <c r="AZ189" s="3" t="s">
        <v>1693</v>
      </c>
      <c r="BA189" s="3" t="s">
        <v>1693</v>
      </c>
      <c r="BB189" s="3" t="s">
        <v>1694</v>
      </c>
      <c r="BC189" s="3" t="s">
        <v>77</v>
      </c>
      <c r="BD189" s="3" t="s">
        <v>78</v>
      </c>
      <c r="BE189" s="3" t="s">
        <v>1695</v>
      </c>
      <c r="BF189" s="3" t="s">
        <v>1694</v>
      </c>
      <c r="BG189" s="3" t="s">
        <v>1696</v>
      </c>
      <c r="BH189">
        <f t="shared" si="5"/>
        <v>0</v>
      </c>
    </row>
    <row r="190" spans="1:60" ht="72.5" x14ac:dyDescent="0.35">
      <c r="A190" s="2" t="s">
        <v>59</v>
      </c>
      <c r="B190" s="2" t="s">
        <v>1025</v>
      </c>
      <c r="C190" s="2" t="s">
        <v>1697</v>
      </c>
      <c r="D190" s="2" t="s">
        <v>1698</v>
      </c>
      <c r="E190" s="2" t="s">
        <v>1699</v>
      </c>
      <c r="G190" s="3" t="s">
        <v>64</v>
      </c>
      <c r="I190" s="3" t="s">
        <v>64</v>
      </c>
      <c r="J190" s="3" t="s">
        <v>64</v>
      </c>
      <c r="K190" s="3" t="s">
        <v>65</v>
      </c>
      <c r="L190" s="2" t="s">
        <v>1700</v>
      </c>
      <c r="M190" s="2" t="s">
        <v>1701</v>
      </c>
      <c r="N190" s="3" t="s">
        <v>1250</v>
      </c>
      <c r="P190" s="3" t="s">
        <v>102</v>
      </c>
      <c r="R190" s="3" t="s">
        <v>70</v>
      </c>
      <c r="S190" s="4">
        <v>11</v>
      </c>
      <c r="T190" s="4">
        <v>11</v>
      </c>
      <c r="U190" s="5" t="s">
        <v>1702</v>
      </c>
      <c r="V190" s="5" t="s">
        <v>1702</v>
      </c>
      <c r="W190" s="5" t="s">
        <v>72</v>
      </c>
      <c r="X190" s="5" t="s">
        <v>72</v>
      </c>
      <c r="Y190" s="4">
        <v>338</v>
      </c>
      <c r="Z190" s="4">
        <v>19</v>
      </c>
      <c r="AA190" s="4">
        <v>24</v>
      </c>
      <c r="AB190" s="4">
        <v>1</v>
      </c>
      <c r="AC190" s="4">
        <v>3</v>
      </c>
      <c r="AD190" s="4">
        <v>58</v>
      </c>
      <c r="AE190" s="4">
        <v>77</v>
      </c>
      <c r="AF190" s="4">
        <v>0</v>
      </c>
      <c r="AG190" s="4">
        <v>1</v>
      </c>
      <c r="AH190" s="4">
        <v>53</v>
      </c>
      <c r="AI190" s="4">
        <v>68</v>
      </c>
      <c r="AJ190" s="4">
        <v>5</v>
      </c>
      <c r="AK190" s="4">
        <v>9</v>
      </c>
      <c r="AL190" s="4">
        <v>28</v>
      </c>
      <c r="AM190" s="4">
        <v>40</v>
      </c>
      <c r="AN190" s="4">
        <v>0</v>
      </c>
      <c r="AO190" s="4">
        <v>0</v>
      </c>
      <c r="AP190" s="4">
        <v>7</v>
      </c>
      <c r="AQ190" s="4">
        <v>10</v>
      </c>
      <c r="AR190" s="3" t="s">
        <v>64</v>
      </c>
      <c r="AS190" s="3" t="s">
        <v>64</v>
      </c>
      <c r="AT190" s="3" t="s">
        <v>128</v>
      </c>
      <c r="AU190" s="6" t="str">
        <f>HYPERLINK("http://catalog.hathitrust.org/Record/002979011","HathiTrust Record")</f>
        <v>HathiTrust Record</v>
      </c>
      <c r="AV190" s="6" t="str">
        <f>HYPERLINK("http://mcgill.on.worldcat.org/oclc/31594508","Catalog Record")</f>
        <v>Catalog Record</v>
      </c>
      <c r="AW190" s="6" t="str">
        <f>HYPERLINK("http://www.worldcat.org/oclc/31594508","WorldCat Record")</f>
        <v>WorldCat Record</v>
      </c>
      <c r="AX190" s="3" t="s">
        <v>1703</v>
      </c>
      <c r="AY190" s="3" t="s">
        <v>1704</v>
      </c>
      <c r="AZ190" s="3" t="s">
        <v>1705</v>
      </c>
      <c r="BA190" s="3" t="s">
        <v>1705</v>
      </c>
      <c r="BB190" s="3" t="s">
        <v>1706</v>
      </c>
      <c r="BC190" s="3" t="s">
        <v>77</v>
      </c>
      <c r="BD190" s="3" t="s">
        <v>78</v>
      </c>
      <c r="BE190" s="3" t="s">
        <v>1707</v>
      </c>
      <c r="BF190" s="3" t="s">
        <v>1706</v>
      </c>
      <c r="BG190" s="3" t="s">
        <v>1708</v>
      </c>
      <c r="BH190">
        <f t="shared" si="5"/>
        <v>0</v>
      </c>
    </row>
    <row r="191" spans="1:60" ht="58" x14ac:dyDescent="0.35">
      <c r="A191" s="2" t="s">
        <v>59</v>
      </c>
      <c r="B191" s="2" t="s">
        <v>60</v>
      </c>
      <c r="C191" s="2" t="s">
        <v>1709</v>
      </c>
      <c r="D191" s="2" t="s">
        <v>1710</v>
      </c>
      <c r="E191" s="2" t="s">
        <v>1711</v>
      </c>
      <c r="G191" s="3" t="s">
        <v>64</v>
      </c>
      <c r="I191" s="3" t="s">
        <v>64</v>
      </c>
      <c r="J191" s="3" t="s">
        <v>64</v>
      </c>
      <c r="K191" s="3" t="s">
        <v>65</v>
      </c>
      <c r="L191" s="2" t="s">
        <v>1712</v>
      </c>
      <c r="M191" s="2" t="s">
        <v>1713</v>
      </c>
      <c r="N191" s="3" t="s">
        <v>537</v>
      </c>
      <c r="P191" s="3" t="s">
        <v>102</v>
      </c>
      <c r="R191" s="3" t="s">
        <v>70</v>
      </c>
      <c r="S191" s="4">
        <v>1</v>
      </c>
      <c r="T191" s="4">
        <v>1</v>
      </c>
      <c r="U191" s="5" t="s">
        <v>1714</v>
      </c>
      <c r="V191" s="5" t="s">
        <v>1714</v>
      </c>
      <c r="W191" s="5" t="s">
        <v>72</v>
      </c>
      <c r="X191" s="5" t="s">
        <v>72</v>
      </c>
      <c r="Y191" s="4">
        <v>657</v>
      </c>
      <c r="Z191" s="4">
        <v>18</v>
      </c>
      <c r="AA191" s="4">
        <v>20</v>
      </c>
      <c r="AB191" s="4">
        <v>1</v>
      </c>
      <c r="AC191" s="4">
        <v>2</v>
      </c>
      <c r="AD191" s="4">
        <v>53</v>
      </c>
      <c r="AE191" s="4">
        <v>53</v>
      </c>
      <c r="AF191" s="4">
        <v>0</v>
      </c>
      <c r="AG191" s="4">
        <v>0</v>
      </c>
      <c r="AH191" s="4">
        <v>48</v>
      </c>
      <c r="AI191" s="4">
        <v>48</v>
      </c>
      <c r="AJ191" s="4">
        <v>4</v>
      </c>
      <c r="AK191" s="4">
        <v>4</v>
      </c>
      <c r="AL191" s="4">
        <v>30</v>
      </c>
      <c r="AM191" s="4">
        <v>30</v>
      </c>
      <c r="AN191" s="4">
        <v>0</v>
      </c>
      <c r="AO191" s="4">
        <v>0</v>
      </c>
      <c r="AP191" s="4">
        <v>7</v>
      </c>
      <c r="AQ191" s="4">
        <v>7</v>
      </c>
      <c r="AR191" s="3" t="s">
        <v>64</v>
      </c>
      <c r="AS191" s="3" t="s">
        <v>64</v>
      </c>
      <c r="AT191" s="3" t="s">
        <v>64</v>
      </c>
      <c r="AV191" s="6" t="str">
        <f>HYPERLINK("http://mcgill.on.worldcat.org/oclc/933590390","Catalog Record")</f>
        <v>Catalog Record</v>
      </c>
      <c r="AW191" s="6" t="str">
        <f>HYPERLINK("http://www.worldcat.org/oclc/933590390","WorldCat Record")</f>
        <v>WorldCat Record</v>
      </c>
      <c r="AX191" s="3" t="s">
        <v>1715</v>
      </c>
      <c r="AY191" s="3" t="s">
        <v>1716</v>
      </c>
      <c r="AZ191" s="3" t="s">
        <v>1717</v>
      </c>
      <c r="BA191" s="3" t="s">
        <v>1717</v>
      </c>
      <c r="BB191" s="3" t="s">
        <v>1718</v>
      </c>
      <c r="BC191" s="3" t="s">
        <v>77</v>
      </c>
      <c r="BD191" s="3" t="s">
        <v>78</v>
      </c>
      <c r="BE191" s="3" t="s">
        <v>1719</v>
      </c>
      <c r="BF191" s="3" t="s">
        <v>1718</v>
      </c>
      <c r="BG191" s="3" t="s">
        <v>1720</v>
      </c>
      <c r="BH191">
        <f t="shared" si="5"/>
        <v>0</v>
      </c>
    </row>
    <row r="192" spans="1:60" ht="116" x14ac:dyDescent="0.35">
      <c r="A192" s="2" t="s">
        <v>59</v>
      </c>
      <c r="B192" s="2" t="s">
        <v>1183</v>
      </c>
      <c r="C192" s="2" t="s">
        <v>1721</v>
      </c>
      <c r="D192" s="2" t="s">
        <v>1722</v>
      </c>
      <c r="E192" s="2" t="s">
        <v>1723</v>
      </c>
      <c r="G192" s="3" t="s">
        <v>64</v>
      </c>
      <c r="I192" s="3" t="s">
        <v>64</v>
      </c>
      <c r="J192" s="3" t="s">
        <v>64</v>
      </c>
      <c r="K192" s="3" t="s">
        <v>65</v>
      </c>
      <c r="L192" s="2" t="s">
        <v>1724</v>
      </c>
      <c r="M192" s="2" t="s">
        <v>1725</v>
      </c>
      <c r="N192" s="3" t="s">
        <v>159</v>
      </c>
      <c r="O192" s="2" t="s">
        <v>1726</v>
      </c>
      <c r="P192" s="3" t="s">
        <v>1190</v>
      </c>
      <c r="R192" s="3" t="s">
        <v>70</v>
      </c>
      <c r="S192" s="4">
        <v>8</v>
      </c>
      <c r="T192" s="4">
        <v>8</v>
      </c>
      <c r="U192" s="5" t="s">
        <v>1727</v>
      </c>
      <c r="V192" s="5" t="s">
        <v>1727</v>
      </c>
      <c r="W192" s="5" t="s">
        <v>72</v>
      </c>
      <c r="X192" s="5" t="s">
        <v>72</v>
      </c>
      <c r="Y192" s="4">
        <v>31</v>
      </c>
      <c r="Z192" s="4">
        <v>2</v>
      </c>
      <c r="AA192" s="4">
        <v>5</v>
      </c>
      <c r="AB192" s="4">
        <v>1</v>
      </c>
      <c r="AC192" s="4">
        <v>1</v>
      </c>
      <c r="AD192" s="4">
        <v>20</v>
      </c>
      <c r="AE192" s="4">
        <v>55</v>
      </c>
      <c r="AF192" s="4">
        <v>0</v>
      </c>
      <c r="AG192" s="4">
        <v>0</v>
      </c>
      <c r="AH192" s="4">
        <v>18</v>
      </c>
      <c r="AI192" s="4">
        <v>53</v>
      </c>
      <c r="AJ192" s="4">
        <v>1</v>
      </c>
      <c r="AK192" s="4">
        <v>2</v>
      </c>
      <c r="AL192" s="4">
        <v>17</v>
      </c>
      <c r="AM192" s="4">
        <v>40</v>
      </c>
      <c r="AN192" s="4">
        <v>5</v>
      </c>
      <c r="AO192" s="4">
        <v>5</v>
      </c>
      <c r="AP192" s="4">
        <v>1</v>
      </c>
      <c r="AQ192" s="4">
        <v>2</v>
      </c>
      <c r="AR192" s="3" t="s">
        <v>64</v>
      </c>
      <c r="AS192" s="3" t="s">
        <v>64</v>
      </c>
      <c r="AT192" s="3" t="s">
        <v>128</v>
      </c>
      <c r="AU192" s="6" t="str">
        <f>HYPERLINK("http://catalog.hathitrust.org/Record/003797120","HathiTrust Record")</f>
        <v>HathiTrust Record</v>
      </c>
      <c r="AV192" s="6" t="str">
        <f>HYPERLINK("http://mcgill.on.worldcat.org/oclc/50793400","Catalog Record")</f>
        <v>Catalog Record</v>
      </c>
      <c r="AW192" s="6" t="str">
        <f>HYPERLINK("http://www.worldcat.org/oclc/50793400","WorldCat Record")</f>
        <v>WorldCat Record</v>
      </c>
      <c r="AX192" s="3" t="s">
        <v>1728</v>
      </c>
      <c r="AY192" s="3" t="s">
        <v>1729</v>
      </c>
      <c r="AZ192" s="3" t="s">
        <v>1730</v>
      </c>
      <c r="BA192" s="3" t="s">
        <v>1730</v>
      </c>
      <c r="BB192" s="3" t="s">
        <v>1731</v>
      </c>
      <c r="BC192" s="3" t="s">
        <v>77</v>
      </c>
      <c r="BD192" s="3" t="s">
        <v>78</v>
      </c>
      <c r="BE192" s="3" t="s">
        <v>1732</v>
      </c>
      <c r="BF192" s="3" t="s">
        <v>1731</v>
      </c>
      <c r="BG192" s="3" t="s">
        <v>1733</v>
      </c>
      <c r="BH192">
        <f t="shared" si="5"/>
        <v>0</v>
      </c>
    </row>
    <row r="193" spans="1:60" ht="101.5" x14ac:dyDescent="0.35">
      <c r="A193" s="2" t="s">
        <v>59</v>
      </c>
      <c r="B193" s="2" t="s">
        <v>60</v>
      </c>
      <c r="C193" s="2" t="s">
        <v>1734</v>
      </c>
      <c r="D193" s="2" t="s">
        <v>1735</v>
      </c>
      <c r="E193" s="2" t="s">
        <v>1736</v>
      </c>
      <c r="G193" s="3" t="s">
        <v>64</v>
      </c>
      <c r="I193" s="3" t="s">
        <v>64</v>
      </c>
      <c r="J193" s="3" t="s">
        <v>128</v>
      </c>
      <c r="K193" s="3" t="s">
        <v>65</v>
      </c>
      <c r="L193" s="2" t="s">
        <v>1724</v>
      </c>
      <c r="M193" s="2" t="s">
        <v>1737</v>
      </c>
      <c r="N193" s="3" t="s">
        <v>1275</v>
      </c>
      <c r="O193" s="2" t="s">
        <v>1738</v>
      </c>
      <c r="P193" s="3" t="s">
        <v>102</v>
      </c>
      <c r="R193" s="3" t="s">
        <v>70</v>
      </c>
      <c r="S193" s="4">
        <v>11</v>
      </c>
      <c r="T193" s="4">
        <v>11</v>
      </c>
      <c r="U193" s="5" t="s">
        <v>133</v>
      </c>
      <c r="V193" s="5" t="s">
        <v>133</v>
      </c>
      <c r="W193" s="5" t="s">
        <v>72</v>
      </c>
      <c r="X193" s="5" t="s">
        <v>72</v>
      </c>
      <c r="Y193" s="4">
        <v>241</v>
      </c>
      <c r="Z193" s="4">
        <v>22</v>
      </c>
      <c r="AA193" s="4">
        <v>45</v>
      </c>
      <c r="AB193" s="4">
        <v>1</v>
      </c>
      <c r="AC193" s="4">
        <v>6</v>
      </c>
      <c r="AD193" s="4">
        <v>79</v>
      </c>
      <c r="AE193" s="4">
        <v>134</v>
      </c>
      <c r="AF193" s="4">
        <v>0</v>
      </c>
      <c r="AG193" s="4">
        <v>2</v>
      </c>
      <c r="AH193" s="4">
        <v>71</v>
      </c>
      <c r="AI193" s="4">
        <v>112</v>
      </c>
      <c r="AJ193" s="4">
        <v>12</v>
      </c>
      <c r="AK193" s="4">
        <v>22</v>
      </c>
      <c r="AL193" s="4">
        <v>41</v>
      </c>
      <c r="AM193" s="4">
        <v>60</v>
      </c>
      <c r="AN193" s="4">
        <v>0</v>
      </c>
      <c r="AO193" s="4">
        <v>0</v>
      </c>
      <c r="AP193" s="4">
        <v>14</v>
      </c>
      <c r="AQ193" s="4">
        <v>27</v>
      </c>
      <c r="AR193" s="3" t="s">
        <v>64</v>
      </c>
      <c r="AS193" s="3" t="s">
        <v>64</v>
      </c>
      <c r="AT193" s="3" t="s">
        <v>64</v>
      </c>
      <c r="AV193" s="6" t="str">
        <f>HYPERLINK("http://mcgill.on.worldcat.org/oclc/53970654","Catalog Record")</f>
        <v>Catalog Record</v>
      </c>
      <c r="AW193" s="6" t="str">
        <f>HYPERLINK("http://www.worldcat.org/oclc/53970654","WorldCat Record")</f>
        <v>WorldCat Record</v>
      </c>
      <c r="AX193" s="3" t="s">
        <v>1739</v>
      </c>
      <c r="AY193" s="3" t="s">
        <v>1740</v>
      </c>
      <c r="AZ193" s="3" t="s">
        <v>1741</v>
      </c>
      <c r="BA193" s="3" t="s">
        <v>1741</v>
      </c>
      <c r="BB193" s="3" t="s">
        <v>1742</v>
      </c>
      <c r="BC193" s="3" t="s">
        <v>77</v>
      </c>
      <c r="BD193" s="3" t="s">
        <v>78</v>
      </c>
      <c r="BE193" s="3" t="s">
        <v>1743</v>
      </c>
      <c r="BF193" s="3" t="s">
        <v>1742</v>
      </c>
      <c r="BG193" s="3" t="s">
        <v>1744</v>
      </c>
      <c r="BH193">
        <f t="shared" si="5"/>
        <v>0</v>
      </c>
    </row>
    <row r="194" spans="1:60" ht="58" x14ac:dyDescent="0.35">
      <c r="A194" s="2" t="s">
        <v>59</v>
      </c>
      <c r="B194" s="2" t="s">
        <v>60</v>
      </c>
      <c r="C194" s="2" t="s">
        <v>1745</v>
      </c>
      <c r="D194" s="2" t="s">
        <v>1746</v>
      </c>
      <c r="E194" s="2" t="s">
        <v>1747</v>
      </c>
      <c r="G194" s="3" t="s">
        <v>64</v>
      </c>
      <c r="I194" s="3" t="s">
        <v>128</v>
      </c>
      <c r="J194" s="3" t="s">
        <v>64</v>
      </c>
      <c r="K194" s="3" t="s">
        <v>65</v>
      </c>
      <c r="L194" s="2" t="s">
        <v>1748</v>
      </c>
      <c r="M194" s="2" t="s">
        <v>1749</v>
      </c>
      <c r="N194" s="3" t="s">
        <v>1750</v>
      </c>
      <c r="P194" s="3" t="s">
        <v>102</v>
      </c>
      <c r="R194" s="3" t="s">
        <v>70</v>
      </c>
      <c r="S194" s="4">
        <v>1</v>
      </c>
      <c r="T194" s="4">
        <v>1</v>
      </c>
      <c r="U194" s="5" t="s">
        <v>1751</v>
      </c>
      <c r="V194" s="5" t="s">
        <v>1751</v>
      </c>
      <c r="W194" s="5" t="s">
        <v>72</v>
      </c>
      <c r="X194" s="5" t="s">
        <v>72</v>
      </c>
      <c r="Y194" s="4">
        <v>161</v>
      </c>
      <c r="Z194" s="4">
        <v>10</v>
      </c>
      <c r="AA194" s="4">
        <v>27</v>
      </c>
      <c r="AB194" s="4">
        <v>1</v>
      </c>
      <c r="AC194" s="4">
        <v>3</v>
      </c>
      <c r="AD194" s="4">
        <v>25</v>
      </c>
      <c r="AE194" s="4">
        <v>73</v>
      </c>
      <c r="AF194" s="4">
        <v>0</v>
      </c>
      <c r="AG194" s="4">
        <v>1</v>
      </c>
      <c r="AH194" s="4">
        <v>19</v>
      </c>
      <c r="AI194" s="4">
        <v>61</v>
      </c>
      <c r="AJ194" s="4">
        <v>5</v>
      </c>
      <c r="AK194" s="4">
        <v>11</v>
      </c>
      <c r="AL194" s="4">
        <v>11</v>
      </c>
      <c r="AM194" s="4">
        <v>33</v>
      </c>
      <c r="AN194" s="4">
        <v>0</v>
      </c>
      <c r="AO194" s="4">
        <v>0</v>
      </c>
      <c r="AP194" s="4">
        <v>8</v>
      </c>
      <c r="AQ194" s="4">
        <v>14</v>
      </c>
      <c r="AR194" s="3" t="s">
        <v>64</v>
      </c>
      <c r="AS194" s="3" t="s">
        <v>64</v>
      </c>
      <c r="AT194" s="3" t="s">
        <v>128</v>
      </c>
      <c r="AU194" s="6" t="str">
        <f>HYPERLINK("http://catalog.hathitrust.org/Record/008990172","HathiTrust Record")</f>
        <v>HathiTrust Record</v>
      </c>
      <c r="AV194" s="6" t="str">
        <f>HYPERLINK("http://mcgill.on.worldcat.org/oclc/1411651","Catalog Record")</f>
        <v>Catalog Record</v>
      </c>
      <c r="AW194" s="6" t="str">
        <f>HYPERLINK("http://www.worldcat.org/oclc/1411651","WorldCat Record")</f>
        <v>WorldCat Record</v>
      </c>
      <c r="AX194" s="3" t="s">
        <v>1752</v>
      </c>
      <c r="AY194" s="3" t="s">
        <v>1753</v>
      </c>
      <c r="AZ194" s="3" t="s">
        <v>1754</v>
      </c>
      <c r="BA194" s="3" t="s">
        <v>1754</v>
      </c>
      <c r="BB194" s="3" t="s">
        <v>1755</v>
      </c>
      <c r="BC194" s="3" t="s">
        <v>77</v>
      </c>
      <c r="BD194" s="3" t="s">
        <v>78</v>
      </c>
      <c r="BE194" s="3" t="s">
        <v>1756</v>
      </c>
      <c r="BF194" s="3" t="s">
        <v>1755</v>
      </c>
      <c r="BG194" s="3" t="s">
        <v>1757</v>
      </c>
      <c r="BH194">
        <f t="shared" ref="BH194:BH257" si="8">IF(COUNTIF($BF$1:$BF$5431,BF194)=1,0,1)</f>
        <v>0</v>
      </c>
    </row>
    <row r="195" spans="1:60" ht="58" x14ac:dyDescent="0.35">
      <c r="A195" s="2" t="s">
        <v>59</v>
      </c>
      <c r="B195" s="2" t="s">
        <v>60</v>
      </c>
      <c r="C195" s="2" t="s">
        <v>1758</v>
      </c>
      <c r="D195" s="2" t="s">
        <v>1759</v>
      </c>
      <c r="E195" s="2" t="s">
        <v>1760</v>
      </c>
      <c r="G195" s="3" t="s">
        <v>64</v>
      </c>
      <c r="I195" s="3" t="s">
        <v>64</v>
      </c>
      <c r="J195" s="3" t="s">
        <v>64</v>
      </c>
      <c r="K195" s="3" t="s">
        <v>65</v>
      </c>
      <c r="L195" s="2" t="s">
        <v>1761</v>
      </c>
      <c r="M195" s="2" t="s">
        <v>1762</v>
      </c>
      <c r="N195" s="3" t="s">
        <v>1763</v>
      </c>
      <c r="P195" s="3" t="s">
        <v>102</v>
      </c>
      <c r="Q195" s="2" t="s">
        <v>1764</v>
      </c>
      <c r="R195" s="3" t="s">
        <v>70</v>
      </c>
      <c r="S195" s="4">
        <v>4</v>
      </c>
      <c r="T195" s="4">
        <v>4</v>
      </c>
      <c r="U195" s="5" t="s">
        <v>1751</v>
      </c>
      <c r="V195" s="5" t="s">
        <v>1751</v>
      </c>
      <c r="W195" s="5" t="s">
        <v>72</v>
      </c>
      <c r="X195" s="5" t="s">
        <v>72</v>
      </c>
      <c r="Y195" s="4">
        <v>290</v>
      </c>
      <c r="Z195" s="4">
        <v>10</v>
      </c>
      <c r="AA195" s="4">
        <v>11</v>
      </c>
      <c r="AB195" s="4">
        <v>1</v>
      </c>
      <c r="AC195" s="4">
        <v>2</v>
      </c>
      <c r="AD195" s="4">
        <v>98</v>
      </c>
      <c r="AE195" s="4">
        <v>99</v>
      </c>
      <c r="AF195" s="4">
        <v>0</v>
      </c>
      <c r="AG195" s="4">
        <v>1</v>
      </c>
      <c r="AH195" s="4">
        <v>91</v>
      </c>
      <c r="AI195" s="4">
        <v>92</v>
      </c>
      <c r="AJ195" s="4">
        <v>7</v>
      </c>
      <c r="AK195" s="4">
        <v>8</v>
      </c>
      <c r="AL195" s="4">
        <v>55</v>
      </c>
      <c r="AM195" s="4">
        <v>55</v>
      </c>
      <c r="AN195" s="4">
        <v>0</v>
      </c>
      <c r="AO195" s="4">
        <v>0</v>
      </c>
      <c r="AP195" s="4">
        <v>8</v>
      </c>
      <c r="AQ195" s="4">
        <v>9</v>
      </c>
      <c r="AR195" s="3" t="s">
        <v>64</v>
      </c>
      <c r="AS195" s="3" t="s">
        <v>64</v>
      </c>
      <c r="AT195" s="3" t="s">
        <v>64</v>
      </c>
      <c r="AV195" s="6" t="str">
        <f>HYPERLINK("http://mcgill.on.worldcat.org/oclc/10727303","Catalog Record")</f>
        <v>Catalog Record</v>
      </c>
      <c r="AW195" s="6" t="str">
        <f>HYPERLINK("http://www.worldcat.org/oclc/10727303","WorldCat Record")</f>
        <v>WorldCat Record</v>
      </c>
      <c r="AX195" s="3" t="s">
        <v>1765</v>
      </c>
      <c r="AY195" s="3" t="s">
        <v>1766</v>
      </c>
      <c r="AZ195" s="3" t="s">
        <v>1767</v>
      </c>
      <c r="BA195" s="3" t="s">
        <v>1767</v>
      </c>
      <c r="BB195" s="3" t="s">
        <v>1768</v>
      </c>
      <c r="BC195" s="3" t="s">
        <v>77</v>
      </c>
      <c r="BD195" s="3" t="s">
        <v>78</v>
      </c>
      <c r="BE195" s="3" t="s">
        <v>1769</v>
      </c>
      <c r="BF195" s="3" t="s">
        <v>1768</v>
      </c>
      <c r="BG195" s="3" t="s">
        <v>1770</v>
      </c>
      <c r="BH195">
        <f t="shared" si="8"/>
        <v>0</v>
      </c>
    </row>
    <row r="196" spans="1:60" ht="58" x14ac:dyDescent="0.35">
      <c r="A196" s="2" t="s">
        <v>59</v>
      </c>
      <c r="B196" s="2" t="s">
        <v>60</v>
      </c>
      <c r="C196" s="2" t="s">
        <v>1771</v>
      </c>
      <c r="D196" s="2" t="s">
        <v>1772</v>
      </c>
      <c r="E196" s="2" t="s">
        <v>1773</v>
      </c>
      <c r="G196" s="3" t="s">
        <v>64</v>
      </c>
      <c r="I196" s="3" t="s">
        <v>64</v>
      </c>
      <c r="J196" s="3" t="s">
        <v>64</v>
      </c>
      <c r="K196" s="3" t="s">
        <v>65</v>
      </c>
      <c r="L196" s="2" t="s">
        <v>1774</v>
      </c>
      <c r="M196" s="2" t="s">
        <v>1775</v>
      </c>
      <c r="N196" s="3" t="s">
        <v>304</v>
      </c>
      <c r="P196" s="3" t="s">
        <v>102</v>
      </c>
      <c r="R196" s="3" t="s">
        <v>70</v>
      </c>
      <c r="S196" s="4">
        <v>2</v>
      </c>
      <c r="T196" s="4">
        <v>2</v>
      </c>
      <c r="U196" s="5" t="s">
        <v>1751</v>
      </c>
      <c r="V196" s="5" t="s">
        <v>1751</v>
      </c>
      <c r="W196" s="5" t="s">
        <v>72</v>
      </c>
      <c r="X196" s="5" t="s">
        <v>72</v>
      </c>
      <c r="Y196" s="4">
        <v>123</v>
      </c>
      <c r="Z196" s="4">
        <v>10</v>
      </c>
      <c r="AA196" s="4">
        <v>14</v>
      </c>
      <c r="AB196" s="4">
        <v>1</v>
      </c>
      <c r="AC196" s="4">
        <v>3</v>
      </c>
      <c r="AD196" s="4">
        <v>43</v>
      </c>
      <c r="AE196" s="4">
        <v>57</v>
      </c>
      <c r="AF196" s="4">
        <v>0</v>
      </c>
      <c r="AG196" s="4">
        <v>1</v>
      </c>
      <c r="AH196" s="4">
        <v>40</v>
      </c>
      <c r="AI196" s="4">
        <v>51</v>
      </c>
      <c r="AJ196" s="4">
        <v>7</v>
      </c>
      <c r="AK196" s="4">
        <v>9</v>
      </c>
      <c r="AL196" s="4">
        <v>22</v>
      </c>
      <c r="AM196" s="4">
        <v>29</v>
      </c>
      <c r="AN196" s="4">
        <v>0</v>
      </c>
      <c r="AO196" s="4">
        <v>0</v>
      </c>
      <c r="AP196" s="4">
        <v>6</v>
      </c>
      <c r="AQ196" s="4">
        <v>7</v>
      </c>
      <c r="AR196" s="3" t="s">
        <v>64</v>
      </c>
      <c r="AS196" s="3" t="s">
        <v>64</v>
      </c>
      <c r="AT196" s="3" t="s">
        <v>64</v>
      </c>
      <c r="AV196" s="6" t="str">
        <f>HYPERLINK("http://mcgill.on.worldcat.org/oclc/575182","Catalog Record")</f>
        <v>Catalog Record</v>
      </c>
      <c r="AW196" s="6" t="str">
        <f>HYPERLINK("http://www.worldcat.org/oclc/575182","WorldCat Record")</f>
        <v>WorldCat Record</v>
      </c>
      <c r="AX196" s="3" t="s">
        <v>1776</v>
      </c>
      <c r="AY196" s="3" t="s">
        <v>1777</v>
      </c>
      <c r="AZ196" s="3" t="s">
        <v>1778</v>
      </c>
      <c r="BA196" s="3" t="s">
        <v>1778</v>
      </c>
      <c r="BB196" s="3" t="s">
        <v>1779</v>
      </c>
      <c r="BC196" s="3" t="s">
        <v>77</v>
      </c>
      <c r="BD196" s="3" t="s">
        <v>78</v>
      </c>
      <c r="BF196" s="3" t="s">
        <v>1779</v>
      </c>
      <c r="BG196" s="3" t="s">
        <v>1780</v>
      </c>
      <c r="BH196">
        <f t="shared" si="8"/>
        <v>0</v>
      </c>
    </row>
    <row r="197" spans="1:60" ht="58" x14ac:dyDescent="0.35">
      <c r="A197" s="2" t="s">
        <v>59</v>
      </c>
      <c r="B197" s="2" t="s">
        <v>60</v>
      </c>
      <c r="C197" s="2" t="s">
        <v>1781</v>
      </c>
      <c r="D197" s="2" t="s">
        <v>1782</v>
      </c>
      <c r="E197" s="2" t="s">
        <v>1783</v>
      </c>
      <c r="G197" s="3" t="s">
        <v>64</v>
      </c>
      <c r="I197" s="3" t="s">
        <v>64</v>
      </c>
      <c r="J197" s="3" t="s">
        <v>64</v>
      </c>
      <c r="K197" s="3" t="s">
        <v>65</v>
      </c>
      <c r="L197" s="2" t="s">
        <v>1784</v>
      </c>
      <c r="M197" s="2" t="s">
        <v>1785</v>
      </c>
      <c r="N197" s="3" t="s">
        <v>364</v>
      </c>
      <c r="P197" s="3" t="s">
        <v>102</v>
      </c>
      <c r="R197" s="3" t="s">
        <v>70</v>
      </c>
      <c r="S197" s="4">
        <v>23</v>
      </c>
      <c r="T197" s="4">
        <v>23</v>
      </c>
      <c r="U197" s="5" t="s">
        <v>1786</v>
      </c>
      <c r="V197" s="5" t="s">
        <v>1786</v>
      </c>
      <c r="W197" s="5" t="s">
        <v>72</v>
      </c>
      <c r="X197" s="5" t="s">
        <v>72</v>
      </c>
      <c r="Y197" s="4">
        <v>257</v>
      </c>
      <c r="Z197" s="4">
        <v>18</v>
      </c>
      <c r="AA197" s="4">
        <v>18</v>
      </c>
      <c r="AB197" s="4">
        <v>2</v>
      </c>
      <c r="AC197" s="4">
        <v>2</v>
      </c>
      <c r="AD197" s="4">
        <v>52</v>
      </c>
      <c r="AE197" s="4">
        <v>52</v>
      </c>
      <c r="AF197" s="4">
        <v>1</v>
      </c>
      <c r="AG197" s="4">
        <v>1</v>
      </c>
      <c r="AH197" s="4">
        <v>43</v>
      </c>
      <c r="AI197" s="4">
        <v>43</v>
      </c>
      <c r="AJ197" s="4">
        <v>12</v>
      </c>
      <c r="AK197" s="4">
        <v>12</v>
      </c>
      <c r="AL197" s="4">
        <v>24</v>
      </c>
      <c r="AM197" s="4">
        <v>24</v>
      </c>
      <c r="AN197" s="4">
        <v>0</v>
      </c>
      <c r="AO197" s="4">
        <v>0</v>
      </c>
      <c r="AP197" s="4">
        <v>11</v>
      </c>
      <c r="AQ197" s="4">
        <v>11</v>
      </c>
      <c r="AR197" s="3" t="s">
        <v>64</v>
      </c>
      <c r="AS197" s="3" t="s">
        <v>64</v>
      </c>
      <c r="AT197" s="3" t="s">
        <v>64</v>
      </c>
      <c r="AV197" s="6" t="str">
        <f>HYPERLINK("http://mcgill.on.worldcat.org/oclc/791210","Catalog Record")</f>
        <v>Catalog Record</v>
      </c>
      <c r="AW197" s="6" t="str">
        <f>HYPERLINK("http://www.worldcat.org/oclc/791210","WorldCat Record")</f>
        <v>WorldCat Record</v>
      </c>
      <c r="AX197" s="3" t="s">
        <v>1787</v>
      </c>
      <c r="AY197" s="3" t="s">
        <v>1788</v>
      </c>
      <c r="AZ197" s="3" t="s">
        <v>1789</v>
      </c>
      <c r="BA197" s="3" t="s">
        <v>1789</v>
      </c>
      <c r="BB197" s="3" t="s">
        <v>1790</v>
      </c>
      <c r="BC197" s="3" t="s">
        <v>77</v>
      </c>
      <c r="BD197" s="3" t="s">
        <v>78</v>
      </c>
      <c r="BE197" s="3" t="s">
        <v>1791</v>
      </c>
      <c r="BF197" s="3" t="s">
        <v>1790</v>
      </c>
      <c r="BG197" s="3" t="s">
        <v>1792</v>
      </c>
      <c r="BH197">
        <f t="shared" si="8"/>
        <v>0</v>
      </c>
    </row>
    <row r="198" spans="1:60" ht="58" x14ac:dyDescent="0.35">
      <c r="A198" s="2" t="s">
        <v>59</v>
      </c>
      <c r="B198" s="2" t="s">
        <v>60</v>
      </c>
      <c r="C198" s="2" t="s">
        <v>1793</v>
      </c>
      <c r="D198" s="2" t="s">
        <v>1794</v>
      </c>
      <c r="E198" s="2" t="s">
        <v>1795</v>
      </c>
      <c r="G198" s="3" t="s">
        <v>64</v>
      </c>
      <c r="I198" s="3" t="s">
        <v>64</v>
      </c>
      <c r="J198" s="3" t="s">
        <v>64</v>
      </c>
      <c r="K198" s="3" t="s">
        <v>65</v>
      </c>
      <c r="L198" s="2" t="s">
        <v>1796</v>
      </c>
      <c r="M198" s="2" t="s">
        <v>1797</v>
      </c>
      <c r="N198" s="3" t="s">
        <v>498</v>
      </c>
      <c r="P198" s="3" t="s">
        <v>102</v>
      </c>
      <c r="R198" s="3" t="s">
        <v>70</v>
      </c>
      <c r="S198" s="4">
        <v>27</v>
      </c>
      <c r="T198" s="4">
        <v>27</v>
      </c>
      <c r="U198" s="5" t="s">
        <v>1786</v>
      </c>
      <c r="V198" s="5" t="s">
        <v>1786</v>
      </c>
      <c r="W198" s="5" t="s">
        <v>72</v>
      </c>
      <c r="X198" s="5" t="s">
        <v>72</v>
      </c>
      <c r="Y198" s="4">
        <v>152</v>
      </c>
      <c r="Z198" s="4">
        <v>15</v>
      </c>
      <c r="AA198" s="4">
        <v>23</v>
      </c>
      <c r="AB198" s="4">
        <v>2</v>
      </c>
      <c r="AC198" s="4">
        <v>2</v>
      </c>
      <c r="AD198" s="4">
        <v>22</v>
      </c>
      <c r="AE198" s="4">
        <v>59</v>
      </c>
      <c r="AF198" s="4">
        <v>0</v>
      </c>
      <c r="AG198" s="4">
        <v>0</v>
      </c>
      <c r="AH198" s="4">
        <v>20</v>
      </c>
      <c r="AI198" s="4">
        <v>53</v>
      </c>
      <c r="AJ198" s="4">
        <v>6</v>
      </c>
      <c r="AK198" s="4">
        <v>10</v>
      </c>
      <c r="AL198" s="4">
        <v>10</v>
      </c>
      <c r="AM198" s="4">
        <v>30</v>
      </c>
      <c r="AN198" s="4">
        <v>0</v>
      </c>
      <c r="AO198" s="4">
        <v>0</v>
      </c>
      <c r="AP198" s="4">
        <v>7</v>
      </c>
      <c r="AQ198" s="4">
        <v>13</v>
      </c>
      <c r="AR198" s="3" t="s">
        <v>64</v>
      </c>
      <c r="AS198" s="3" t="s">
        <v>64</v>
      </c>
      <c r="AT198" s="3" t="s">
        <v>64</v>
      </c>
      <c r="AV198" s="6" t="str">
        <f>HYPERLINK("http://mcgill.on.worldcat.org/oclc/1229841","Catalog Record")</f>
        <v>Catalog Record</v>
      </c>
      <c r="AW198" s="6" t="str">
        <f>HYPERLINK("http://www.worldcat.org/oclc/1229841","WorldCat Record")</f>
        <v>WorldCat Record</v>
      </c>
      <c r="AX198" s="3" t="s">
        <v>1798</v>
      </c>
      <c r="AY198" s="3" t="s">
        <v>1799</v>
      </c>
      <c r="AZ198" s="3" t="s">
        <v>1800</v>
      </c>
      <c r="BA198" s="3" t="s">
        <v>1800</v>
      </c>
      <c r="BB198" s="3" t="s">
        <v>1801</v>
      </c>
      <c r="BC198" s="3" t="s">
        <v>77</v>
      </c>
      <c r="BD198" s="3" t="s">
        <v>78</v>
      </c>
      <c r="BE198" s="3" t="s">
        <v>1802</v>
      </c>
      <c r="BF198" s="3" t="s">
        <v>1801</v>
      </c>
      <c r="BG198" s="3" t="s">
        <v>1803</v>
      </c>
      <c r="BH198">
        <f t="shared" si="8"/>
        <v>0</v>
      </c>
    </row>
    <row r="199" spans="1:60" ht="58" x14ac:dyDescent="0.35">
      <c r="A199" s="2" t="s">
        <v>59</v>
      </c>
      <c r="B199" s="2" t="s">
        <v>60</v>
      </c>
      <c r="C199" s="2" t="s">
        <v>1804</v>
      </c>
      <c r="D199" s="2" t="s">
        <v>1805</v>
      </c>
      <c r="E199" s="2" t="s">
        <v>1806</v>
      </c>
      <c r="G199" s="3" t="s">
        <v>64</v>
      </c>
      <c r="I199" s="3" t="s">
        <v>64</v>
      </c>
      <c r="J199" s="3" t="s">
        <v>64</v>
      </c>
      <c r="K199" s="3" t="s">
        <v>65</v>
      </c>
      <c r="L199" s="2" t="s">
        <v>1807</v>
      </c>
      <c r="M199" s="2" t="s">
        <v>1808</v>
      </c>
      <c r="N199" s="3" t="s">
        <v>434</v>
      </c>
      <c r="P199" s="3" t="s">
        <v>102</v>
      </c>
      <c r="R199" s="3" t="s">
        <v>70</v>
      </c>
      <c r="S199" s="4">
        <v>21</v>
      </c>
      <c r="T199" s="4">
        <v>21</v>
      </c>
      <c r="U199" s="5" t="s">
        <v>1809</v>
      </c>
      <c r="V199" s="5" t="s">
        <v>1809</v>
      </c>
      <c r="W199" s="5" t="s">
        <v>72</v>
      </c>
      <c r="X199" s="5" t="s">
        <v>72</v>
      </c>
      <c r="Y199" s="4">
        <v>79</v>
      </c>
      <c r="Z199" s="4">
        <v>36</v>
      </c>
      <c r="AA199" s="4">
        <v>45</v>
      </c>
      <c r="AB199" s="4">
        <v>4</v>
      </c>
      <c r="AC199" s="4">
        <v>5</v>
      </c>
      <c r="AD199" s="4">
        <v>39</v>
      </c>
      <c r="AE199" s="4">
        <v>98</v>
      </c>
      <c r="AF199" s="4">
        <v>1</v>
      </c>
      <c r="AG199" s="4">
        <v>2</v>
      </c>
      <c r="AH199" s="4">
        <v>28</v>
      </c>
      <c r="AI199" s="4">
        <v>82</v>
      </c>
      <c r="AJ199" s="4">
        <v>10</v>
      </c>
      <c r="AK199" s="4">
        <v>17</v>
      </c>
      <c r="AL199" s="4">
        <v>19</v>
      </c>
      <c r="AM199" s="4">
        <v>47</v>
      </c>
      <c r="AN199" s="4">
        <v>0</v>
      </c>
      <c r="AO199" s="4">
        <v>0</v>
      </c>
      <c r="AP199" s="4">
        <v>14</v>
      </c>
      <c r="AQ199" s="4">
        <v>21</v>
      </c>
      <c r="AR199" s="3" t="s">
        <v>128</v>
      </c>
      <c r="AS199" s="3" t="s">
        <v>64</v>
      </c>
      <c r="AT199" s="3" t="s">
        <v>64</v>
      </c>
      <c r="AV199" s="6" t="str">
        <f>HYPERLINK("http://mcgill.on.worldcat.org/oclc/60670222","Catalog Record")</f>
        <v>Catalog Record</v>
      </c>
      <c r="AW199" s="6" t="str">
        <f>HYPERLINK("http://www.worldcat.org/oclc/60670222","WorldCat Record")</f>
        <v>WorldCat Record</v>
      </c>
      <c r="AX199" s="3" t="s">
        <v>1810</v>
      </c>
      <c r="AY199" s="3" t="s">
        <v>1811</v>
      </c>
      <c r="AZ199" s="3" t="s">
        <v>1812</v>
      </c>
      <c r="BA199" s="3" t="s">
        <v>1812</v>
      </c>
      <c r="BB199" s="3" t="s">
        <v>1813</v>
      </c>
      <c r="BC199" s="3" t="s">
        <v>77</v>
      </c>
      <c r="BD199" s="3" t="s">
        <v>165</v>
      </c>
      <c r="BE199" s="3" t="s">
        <v>1814</v>
      </c>
      <c r="BF199" s="3" t="s">
        <v>1813</v>
      </c>
      <c r="BG199" s="3" t="s">
        <v>1815</v>
      </c>
      <c r="BH199">
        <f t="shared" si="8"/>
        <v>0</v>
      </c>
    </row>
    <row r="200" spans="1:60" ht="58" x14ac:dyDescent="0.35">
      <c r="A200" s="2" t="s">
        <v>59</v>
      </c>
      <c r="B200" s="2" t="s">
        <v>60</v>
      </c>
      <c r="C200" s="2" t="s">
        <v>1816</v>
      </c>
      <c r="D200" s="2" t="s">
        <v>1817</v>
      </c>
      <c r="E200" s="2" t="s">
        <v>1818</v>
      </c>
      <c r="G200" s="3" t="s">
        <v>64</v>
      </c>
      <c r="I200" s="3" t="s">
        <v>64</v>
      </c>
      <c r="J200" s="3" t="s">
        <v>64</v>
      </c>
      <c r="K200" s="3" t="s">
        <v>65</v>
      </c>
      <c r="L200" s="2" t="s">
        <v>1819</v>
      </c>
      <c r="M200" s="2" t="s">
        <v>1820</v>
      </c>
      <c r="N200" s="3" t="s">
        <v>1821</v>
      </c>
      <c r="P200" s="3" t="s">
        <v>102</v>
      </c>
      <c r="R200" s="3" t="s">
        <v>70</v>
      </c>
      <c r="S200" s="4">
        <v>5</v>
      </c>
      <c r="T200" s="4">
        <v>5</v>
      </c>
      <c r="U200" s="5" t="s">
        <v>1822</v>
      </c>
      <c r="V200" s="5" t="s">
        <v>1822</v>
      </c>
      <c r="W200" s="5" t="s">
        <v>72</v>
      </c>
      <c r="X200" s="5" t="s">
        <v>72</v>
      </c>
      <c r="Y200" s="4">
        <v>107</v>
      </c>
      <c r="Z200" s="4">
        <v>4</v>
      </c>
      <c r="AA200" s="4">
        <v>8</v>
      </c>
      <c r="AB200" s="4">
        <v>1</v>
      </c>
      <c r="AC200" s="4">
        <v>1</v>
      </c>
      <c r="AD200" s="4">
        <v>54</v>
      </c>
      <c r="AE200" s="4">
        <v>62</v>
      </c>
      <c r="AF200" s="4">
        <v>0</v>
      </c>
      <c r="AG200" s="4">
        <v>0</v>
      </c>
      <c r="AH200" s="4">
        <v>52</v>
      </c>
      <c r="AI200" s="4">
        <v>58</v>
      </c>
      <c r="AJ200" s="4">
        <v>2</v>
      </c>
      <c r="AK200" s="4">
        <v>5</v>
      </c>
      <c r="AL200" s="4">
        <v>34</v>
      </c>
      <c r="AM200" s="4">
        <v>35</v>
      </c>
      <c r="AN200" s="4">
        <v>0</v>
      </c>
      <c r="AO200" s="4">
        <v>0</v>
      </c>
      <c r="AP200" s="4">
        <v>2</v>
      </c>
      <c r="AQ200" s="4">
        <v>6</v>
      </c>
      <c r="AR200" s="3" t="s">
        <v>64</v>
      </c>
      <c r="AS200" s="3" t="s">
        <v>64</v>
      </c>
      <c r="AT200" s="3" t="s">
        <v>64</v>
      </c>
      <c r="AV200" s="6" t="str">
        <f>HYPERLINK("http://mcgill.on.worldcat.org/oclc/1246833","Catalog Record")</f>
        <v>Catalog Record</v>
      </c>
      <c r="AW200" s="6" t="str">
        <f>HYPERLINK("http://www.worldcat.org/oclc/1246833","WorldCat Record")</f>
        <v>WorldCat Record</v>
      </c>
      <c r="AX200" s="3" t="s">
        <v>1823</v>
      </c>
      <c r="AY200" s="3" t="s">
        <v>1824</v>
      </c>
      <c r="AZ200" s="3" t="s">
        <v>1825</v>
      </c>
      <c r="BA200" s="3" t="s">
        <v>1825</v>
      </c>
      <c r="BB200" s="3" t="s">
        <v>1826</v>
      </c>
      <c r="BC200" s="3" t="s">
        <v>77</v>
      </c>
      <c r="BD200" s="3" t="s">
        <v>78</v>
      </c>
      <c r="BF200" s="3" t="s">
        <v>1826</v>
      </c>
      <c r="BG200" s="3" t="s">
        <v>1827</v>
      </c>
      <c r="BH200">
        <f t="shared" si="8"/>
        <v>0</v>
      </c>
    </row>
    <row r="201" spans="1:60" ht="58" x14ac:dyDescent="0.35">
      <c r="A201" s="2" t="s">
        <v>59</v>
      </c>
      <c r="B201" s="2" t="s">
        <v>60</v>
      </c>
      <c r="C201" s="2" t="s">
        <v>1828</v>
      </c>
      <c r="D201" s="2" t="s">
        <v>1829</v>
      </c>
      <c r="E201" s="2" t="s">
        <v>1830</v>
      </c>
      <c r="G201" s="3" t="s">
        <v>64</v>
      </c>
      <c r="I201" s="3" t="s">
        <v>64</v>
      </c>
      <c r="J201" s="3" t="s">
        <v>64</v>
      </c>
      <c r="K201" s="3" t="s">
        <v>65</v>
      </c>
      <c r="L201" s="2" t="s">
        <v>1831</v>
      </c>
      <c r="M201" s="2" t="s">
        <v>1832</v>
      </c>
      <c r="N201" s="3" t="s">
        <v>578</v>
      </c>
      <c r="P201" s="3" t="s">
        <v>102</v>
      </c>
      <c r="Q201" s="2" t="s">
        <v>1833</v>
      </c>
      <c r="R201" s="3" t="s">
        <v>70</v>
      </c>
      <c r="S201" s="4">
        <v>1</v>
      </c>
      <c r="T201" s="4">
        <v>1</v>
      </c>
      <c r="U201" s="5" t="s">
        <v>1834</v>
      </c>
      <c r="V201" s="5" t="s">
        <v>1834</v>
      </c>
      <c r="W201" s="5" t="s">
        <v>72</v>
      </c>
      <c r="X201" s="5" t="s">
        <v>72</v>
      </c>
      <c r="Y201" s="4">
        <v>274</v>
      </c>
      <c r="Z201" s="4">
        <v>12</v>
      </c>
      <c r="AA201" s="4">
        <v>24</v>
      </c>
      <c r="AB201" s="4">
        <v>1</v>
      </c>
      <c r="AC201" s="4">
        <v>8</v>
      </c>
      <c r="AD201" s="4">
        <v>72</v>
      </c>
      <c r="AE201" s="4">
        <v>86</v>
      </c>
      <c r="AF201" s="4">
        <v>0</v>
      </c>
      <c r="AG201" s="4">
        <v>3</v>
      </c>
      <c r="AH201" s="4">
        <v>68</v>
      </c>
      <c r="AI201" s="4">
        <v>77</v>
      </c>
      <c r="AJ201" s="4">
        <v>6</v>
      </c>
      <c r="AK201" s="4">
        <v>11</v>
      </c>
      <c r="AL201" s="4">
        <v>45</v>
      </c>
      <c r="AM201" s="4">
        <v>50</v>
      </c>
      <c r="AN201" s="4">
        <v>0</v>
      </c>
      <c r="AO201" s="4">
        <v>0</v>
      </c>
      <c r="AP201" s="4">
        <v>7</v>
      </c>
      <c r="AQ201" s="4">
        <v>12</v>
      </c>
      <c r="AR201" s="3" t="s">
        <v>64</v>
      </c>
      <c r="AS201" s="3" t="s">
        <v>64</v>
      </c>
      <c r="AT201" s="3" t="s">
        <v>64</v>
      </c>
      <c r="AV201" s="6" t="str">
        <f>HYPERLINK("http://mcgill.on.worldcat.org/oclc/978286391","Catalog Record")</f>
        <v>Catalog Record</v>
      </c>
      <c r="AW201" s="6" t="str">
        <f>HYPERLINK("http://www.worldcat.org/oclc/978286391","WorldCat Record")</f>
        <v>WorldCat Record</v>
      </c>
      <c r="AX201" s="3" t="s">
        <v>1835</v>
      </c>
      <c r="AY201" s="3" t="s">
        <v>1836</v>
      </c>
      <c r="AZ201" s="3" t="s">
        <v>1837</v>
      </c>
      <c r="BA201" s="3" t="s">
        <v>1837</v>
      </c>
      <c r="BB201" s="3" t="s">
        <v>1838</v>
      </c>
      <c r="BC201" s="3" t="s">
        <v>77</v>
      </c>
      <c r="BD201" s="3" t="s">
        <v>78</v>
      </c>
      <c r="BE201" s="3" t="s">
        <v>1839</v>
      </c>
      <c r="BF201" s="3" t="s">
        <v>1838</v>
      </c>
      <c r="BG201" s="3" t="s">
        <v>1840</v>
      </c>
      <c r="BH201">
        <f t="shared" si="8"/>
        <v>0</v>
      </c>
    </row>
    <row r="202" spans="1:60" ht="58" x14ac:dyDescent="0.35">
      <c r="A202" s="2" t="s">
        <v>59</v>
      </c>
      <c r="B202" s="2" t="s">
        <v>60</v>
      </c>
      <c r="C202" s="2" t="s">
        <v>1841</v>
      </c>
      <c r="D202" s="2" t="s">
        <v>1842</v>
      </c>
      <c r="E202" s="2" t="s">
        <v>1843</v>
      </c>
      <c r="G202" s="3" t="s">
        <v>64</v>
      </c>
      <c r="I202" s="3" t="s">
        <v>64</v>
      </c>
      <c r="J202" s="3" t="s">
        <v>64</v>
      </c>
      <c r="K202" s="3" t="s">
        <v>65</v>
      </c>
      <c r="L202" s="2" t="s">
        <v>1844</v>
      </c>
      <c r="M202" s="2" t="s">
        <v>1845</v>
      </c>
      <c r="N202" s="3" t="s">
        <v>1087</v>
      </c>
      <c r="P202" s="3" t="s">
        <v>102</v>
      </c>
      <c r="R202" s="3" t="s">
        <v>70</v>
      </c>
      <c r="S202" s="4">
        <v>50</v>
      </c>
      <c r="T202" s="4">
        <v>50</v>
      </c>
      <c r="U202" s="5" t="s">
        <v>1846</v>
      </c>
      <c r="V202" s="5" t="s">
        <v>1846</v>
      </c>
      <c r="W202" s="5" t="s">
        <v>72</v>
      </c>
      <c r="X202" s="5" t="s">
        <v>72</v>
      </c>
      <c r="Y202" s="4">
        <v>736</v>
      </c>
      <c r="Z202" s="4">
        <v>39</v>
      </c>
      <c r="AA202" s="4">
        <v>41</v>
      </c>
      <c r="AB202" s="4">
        <v>1</v>
      </c>
      <c r="AC202" s="4">
        <v>3</v>
      </c>
      <c r="AD202" s="4">
        <v>128</v>
      </c>
      <c r="AE202" s="4">
        <v>131</v>
      </c>
      <c r="AF202" s="4">
        <v>0</v>
      </c>
      <c r="AG202" s="4">
        <v>2</v>
      </c>
      <c r="AH202" s="4">
        <v>107</v>
      </c>
      <c r="AI202" s="4">
        <v>108</v>
      </c>
      <c r="AJ202" s="4">
        <v>21</v>
      </c>
      <c r="AK202" s="4">
        <v>23</v>
      </c>
      <c r="AL202" s="4">
        <v>60</v>
      </c>
      <c r="AM202" s="4">
        <v>61</v>
      </c>
      <c r="AN202" s="4">
        <v>0</v>
      </c>
      <c r="AO202" s="4">
        <v>0</v>
      </c>
      <c r="AP202" s="4">
        <v>28</v>
      </c>
      <c r="AQ202" s="4">
        <v>30</v>
      </c>
      <c r="AR202" s="3" t="s">
        <v>64</v>
      </c>
      <c r="AS202" s="3" t="s">
        <v>64</v>
      </c>
      <c r="AT202" s="3" t="s">
        <v>128</v>
      </c>
      <c r="AU202" s="6" t="str">
        <f>HYPERLINK("http://catalog.hathitrust.org/Record/002525157","HathiTrust Record")</f>
        <v>HathiTrust Record</v>
      </c>
      <c r="AV202" s="6" t="str">
        <f>HYPERLINK("http://mcgill.on.worldcat.org/oclc/22310251","Catalog Record")</f>
        <v>Catalog Record</v>
      </c>
      <c r="AW202" s="6" t="str">
        <f>HYPERLINK("http://www.worldcat.org/oclc/22310251","WorldCat Record")</f>
        <v>WorldCat Record</v>
      </c>
      <c r="AX202" s="3" t="s">
        <v>1847</v>
      </c>
      <c r="AY202" s="3" t="s">
        <v>1848</v>
      </c>
      <c r="AZ202" s="3" t="s">
        <v>1849</v>
      </c>
      <c r="BA202" s="3" t="s">
        <v>1849</v>
      </c>
      <c r="BB202" s="3" t="s">
        <v>1850</v>
      </c>
      <c r="BC202" s="3" t="s">
        <v>77</v>
      </c>
      <c r="BD202" s="3" t="s">
        <v>78</v>
      </c>
      <c r="BE202" s="3" t="s">
        <v>1851</v>
      </c>
      <c r="BF202" s="3" t="s">
        <v>1850</v>
      </c>
      <c r="BG202" s="3" t="s">
        <v>1852</v>
      </c>
      <c r="BH202">
        <f t="shared" si="8"/>
        <v>0</v>
      </c>
    </row>
    <row r="203" spans="1:60" ht="58" x14ac:dyDescent="0.35">
      <c r="A203" s="2" t="s">
        <v>59</v>
      </c>
      <c r="B203" s="2" t="s">
        <v>60</v>
      </c>
      <c r="C203" s="2" t="s">
        <v>1853</v>
      </c>
      <c r="D203" s="2" t="s">
        <v>1854</v>
      </c>
      <c r="E203" s="2" t="s">
        <v>1855</v>
      </c>
      <c r="G203" s="3" t="s">
        <v>64</v>
      </c>
      <c r="I203" s="3" t="s">
        <v>64</v>
      </c>
      <c r="J203" s="3" t="s">
        <v>64</v>
      </c>
      <c r="K203" s="3" t="s">
        <v>65</v>
      </c>
      <c r="L203" s="2" t="s">
        <v>1844</v>
      </c>
      <c r="M203" s="2" t="s">
        <v>1856</v>
      </c>
      <c r="N203" s="3" t="s">
        <v>116</v>
      </c>
      <c r="O203" s="2" t="s">
        <v>172</v>
      </c>
      <c r="P203" s="3" t="s">
        <v>102</v>
      </c>
      <c r="R203" s="3" t="s">
        <v>70</v>
      </c>
      <c r="S203" s="4">
        <v>8</v>
      </c>
      <c r="T203" s="4">
        <v>8</v>
      </c>
      <c r="U203" s="5" t="s">
        <v>1857</v>
      </c>
      <c r="V203" s="5" t="s">
        <v>1857</v>
      </c>
      <c r="W203" s="5" t="s">
        <v>72</v>
      </c>
      <c r="X203" s="5" t="s">
        <v>72</v>
      </c>
      <c r="Y203" s="4">
        <v>321</v>
      </c>
      <c r="Z203" s="4">
        <v>25</v>
      </c>
      <c r="AA203" s="4">
        <v>31</v>
      </c>
      <c r="AB203" s="4">
        <v>3</v>
      </c>
      <c r="AC203" s="4">
        <v>8</v>
      </c>
      <c r="AD203" s="4">
        <v>77</v>
      </c>
      <c r="AE203" s="4">
        <v>89</v>
      </c>
      <c r="AF203" s="4">
        <v>1</v>
      </c>
      <c r="AG203" s="4">
        <v>3</v>
      </c>
      <c r="AH203" s="4">
        <v>66</v>
      </c>
      <c r="AI203" s="4">
        <v>76</v>
      </c>
      <c r="AJ203" s="4">
        <v>11</v>
      </c>
      <c r="AK203" s="4">
        <v>13</v>
      </c>
      <c r="AL203" s="4">
        <v>34</v>
      </c>
      <c r="AM203" s="4">
        <v>38</v>
      </c>
      <c r="AN203" s="4">
        <v>0</v>
      </c>
      <c r="AO203" s="4">
        <v>0</v>
      </c>
      <c r="AP203" s="4">
        <v>16</v>
      </c>
      <c r="AQ203" s="4">
        <v>18</v>
      </c>
      <c r="AR203" s="3" t="s">
        <v>64</v>
      </c>
      <c r="AS203" s="3" t="s">
        <v>64</v>
      </c>
      <c r="AT203" s="3" t="s">
        <v>64</v>
      </c>
      <c r="AV203" s="6" t="str">
        <f>HYPERLINK("http://mcgill.on.worldcat.org/oclc/43885424","Catalog Record")</f>
        <v>Catalog Record</v>
      </c>
      <c r="AW203" s="6" t="str">
        <f>HYPERLINK("http://www.worldcat.org/oclc/43885424","WorldCat Record")</f>
        <v>WorldCat Record</v>
      </c>
      <c r="AX203" s="3" t="s">
        <v>1858</v>
      </c>
      <c r="AY203" s="3" t="s">
        <v>1859</v>
      </c>
      <c r="AZ203" s="3" t="s">
        <v>1860</v>
      </c>
      <c r="BA203" s="3" t="s">
        <v>1860</v>
      </c>
      <c r="BB203" s="3" t="s">
        <v>1861</v>
      </c>
      <c r="BC203" s="3" t="s">
        <v>77</v>
      </c>
      <c r="BD203" s="3" t="s">
        <v>78</v>
      </c>
      <c r="BE203" s="3" t="s">
        <v>1862</v>
      </c>
      <c r="BF203" s="3" t="s">
        <v>1861</v>
      </c>
      <c r="BG203" s="3" t="s">
        <v>1863</v>
      </c>
      <c r="BH203">
        <f t="shared" si="8"/>
        <v>0</v>
      </c>
    </row>
    <row r="204" spans="1:60" ht="58" x14ac:dyDescent="0.35">
      <c r="A204" s="2" t="s">
        <v>59</v>
      </c>
      <c r="B204" s="2" t="s">
        <v>60</v>
      </c>
      <c r="C204" s="2" t="s">
        <v>1864</v>
      </c>
      <c r="D204" s="2" t="s">
        <v>1865</v>
      </c>
      <c r="E204" s="2" t="s">
        <v>1866</v>
      </c>
      <c r="G204" s="3" t="s">
        <v>64</v>
      </c>
      <c r="I204" s="3" t="s">
        <v>64</v>
      </c>
      <c r="J204" s="3" t="s">
        <v>64</v>
      </c>
      <c r="K204" s="3" t="s">
        <v>65</v>
      </c>
      <c r="L204" s="2" t="s">
        <v>1867</v>
      </c>
      <c r="M204" s="2" t="s">
        <v>1868</v>
      </c>
      <c r="N204" s="3" t="s">
        <v>537</v>
      </c>
      <c r="P204" s="3" t="s">
        <v>365</v>
      </c>
      <c r="Q204" s="2" t="s">
        <v>1869</v>
      </c>
      <c r="R204" s="3" t="s">
        <v>70</v>
      </c>
      <c r="S204" s="4">
        <v>0</v>
      </c>
      <c r="T204" s="4">
        <v>0</v>
      </c>
      <c r="W204" s="5" t="s">
        <v>72</v>
      </c>
      <c r="X204" s="5" t="s">
        <v>72</v>
      </c>
      <c r="Y204" s="4">
        <v>41</v>
      </c>
      <c r="Z204" s="4">
        <v>1</v>
      </c>
      <c r="AA204" s="4">
        <v>2</v>
      </c>
      <c r="AB204" s="4">
        <v>1</v>
      </c>
      <c r="AC204" s="4">
        <v>2</v>
      </c>
      <c r="AD204" s="4">
        <v>17</v>
      </c>
      <c r="AE204" s="4">
        <v>20</v>
      </c>
      <c r="AF204" s="4">
        <v>0</v>
      </c>
      <c r="AG204" s="4">
        <v>0</v>
      </c>
      <c r="AH204" s="4">
        <v>16</v>
      </c>
      <c r="AI204" s="4">
        <v>19</v>
      </c>
      <c r="AJ204" s="4">
        <v>0</v>
      </c>
      <c r="AK204" s="4">
        <v>0</v>
      </c>
      <c r="AL204" s="4">
        <v>15</v>
      </c>
      <c r="AM204" s="4">
        <v>16</v>
      </c>
      <c r="AN204" s="4">
        <v>0</v>
      </c>
      <c r="AO204" s="4">
        <v>0</v>
      </c>
      <c r="AP204" s="4">
        <v>0</v>
      </c>
      <c r="AQ204" s="4">
        <v>0</v>
      </c>
      <c r="AR204" s="3" t="s">
        <v>64</v>
      </c>
      <c r="AS204" s="3" t="s">
        <v>64</v>
      </c>
      <c r="AT204" s="3" t="s">
        <v>64</v>
      </c>
      <c r="AV204" s="6" t="str">
        <f>HYPERLINK("http://mcgill.on.worldcat.org/oclc/968800931","Catalog Record")</f>
        <v>Catalog Record</v>
      </c>
      <c r="AW204" s="6" t="str">
        <f>HYPERLINK("http://www.worldcat.org/oclc/968800931","WorldCat Record")</f>
        <v>WorldCat Record</v>
      </c>
      <c r="AX204" s="3" t="s">
        <v>1870</v>
      </c>
      <c r="AY204" s="3" t="s">
        <v>1871</v>
      </c>
      <c r="AZ204" s="3" t="s">
        <v>1872</v>
      </c>
      <c r="BA204" s="3" t="s">
        <v>1872</v>
      </c>
      <c r="BB204" s="3" t="s">
        <v>1873</v>
      </c>
      <c r="BC204" s="3" t="s">
        <v>77</v>
      </c>
      <c r="BD204" s="3" t="s">
        <v>78</v>
      </c>
      <c r="BE204" s="3" t="s">
        <v>1874</v>
      </c>
      <c r="BF204" s="3" t="s">
        <v>1873</v>
      </c>
      <c r="BG204" s="3" t="s">
        <v>1875</v>
      </c>
      <c r="BH204">
        <f t="shared" si="8"/>
        <v>0</v>
      </c>
    </row>
    <row r="205" spans="1:60" ht="58" x14ac:dyDescent="0.35">
      <c r="A205" s="2" t="s">
        <v>59</v>
      </c>
      <c r="B205" s="2" t="s">
        <v>60</v>
      </c>
      <c r="C205" s="2" t="s">
        <v>1876</v>
      </c>
      <c r="D205" s="2" t="s">
        <v>1877</v>
      </c>
      <c r="E205" s="2" t="s">
        <v>1878</v>
      </c>
      <c r="G205" s="3" t="s">
        <v>64</v>
      </c>
      <c r="I205" s="3" t="s">
        <v>64</v>
      </c>
      <c r="J205" s="3" t="s">
        <v>64</v>
      </c>
      <c r="K205" s="3" t="s">
        <v>65</v>
      </c>
      <c r="L205" s="2" t="s">
        <v>1879</v>
      </c>
      <c r="M205" s="2" t="s">
        <v>1880</v>
      </c>
      <c r="N205" s="3" t="s">
        <v>511</v>
      </c>
      <c r="P205" s="3" t="s">
        <v>102</v>
      </c>
      <c r="R205" s="3" t="s">
        <v>70</v>
      </c>
      <c r="S205" s="4">
        <v>2</v>
      </c>
      <c r="T205" s="4">
        <v>2</v>
      </c>
      <c r="U205" s="5" t="s">
        <v>1655</v>
      </c>
      <c r="V205" s="5" t="s">
        <v>1655</v>
      </c>
      <c r="W205" s="5" t="s">
        <v>72</v>
      </c>
      <c r="X205" s="5" t="s">
        <v>72</v>
      </c>
      <c r="Y205" s="4">
        <v>162</v>
      </c>
      <c r="Z205" s="4">
        <v>16</v>
      </c>
      <c r="AA205" s="4">
        <v>17</v>
      </c>
      <c r="AB205" s="4">
        <v>3</v>
      </c>
      <c r="AC205" s="4">
        <v>4</v>
      </c>
      <c r="AD205" s="4">
        <v>53</v>
      </c>
      <c r="AE205" s="4">
        <v>54</v>
      </c>
      <c r="AF205" s="4">
        <v>1</v>
      </c>
      <c r="AG205" s="4">
        <v>2</v>
      </c>
      <c r="AH205" s="4">
        <v>48</v>
      </c>
      <c r="AI205" s="4">
        <v>49</v>
      </c>
      <c r="AJ205" s="4">
        <v>8</v>
      </c>
      <c r="AK205" s="4">
        <v>9</v>
      </c>
      <c r="AL205" s="4">
        <v>28</v>
      </c>
      <c r="AM205" s="4">
        <v>28</v>
      </c>
      <c r="AN205" s="4">
        <v>0</v>
      </c>
      <c r="AO205" s="4">
        <v>0</v>
      </c>
      <c r="AP205" s="4">
        <v>9</v>
      </c>
      <c r="AQ205" s="4">
        <v>10</v>
      </c>
      <c r="AR205" s="3" t="s">
        <v>64</v>
      </c>
      <c r="AS205" s="3" t="s">
        <v>64</v>
      </c>
      <c r="AT205" s="3" t="s">
        <v>64</v>
      </c>
      <c r="AV205" s="6" t="str">
        <f>HYPERLINK("http://mcgill.on.worldcat.org/oclc/607976332","Catalog Record")</f>
        <v>Catalog Record</v>
      </c>
      <c r="AW205" s="6" t="str">
        <f>HYPERLINK("http://www.worldcat.org/oclc/607976332","WorldCat Record")</f>
        <v>WorldCat Record</v>
      </c>
      <c r="AX205" s="3" t="s">
        <v>1881</v>
      </c>
      <c r="AY205" s="3" t="s">
        <v>1882</v>
      </c>
      <c r="AZ205" s="3" t="s">
        <v>1883</v>
      </c>
      <c r="BA205" s="3" t="s">
        <v>1883</v>
      </c>
      <c r="BB205" s="3" t="s">
        <v>1884</v>
      </c>
      <c r="BC205" s="3" t="s">
        <v>77</v>
      </c>
      <c r="BD205" s="3" t="s">
        <v>78</v>
      </c>
      <c r="BE205" s="3" t="s">
        <v>1885</v>
      </c>
      <c r="BF205" s="3" t="s">
        <v>1884</v>
      </c>
      <c r="BG205" s="3" t="s">
        <v>1886</v>
      </c>
      <c r="BH205">
        <f t="shared" si="8"/>
        <v>0</v>
      </c>
    </row>
    <row r="206" spans="1:60" ht="58" x14ac:dyDescent="0.35">
      <c r="A206" s="2" t="s">
        <v>59</v>
      </c>
      <c r="B206" s="2" t="s">
        <v>60</v>
      </c>
      <c r="C206" s="2" t="s">
        <v>1887</v>
      </c>
      <c r="D206" s="2" t="s">
        <v>1888</v>
      </c>
      <c r="E206" s="2" t="s">
        <v>1889</v>
      </c>
      <c r="G206" s="3" t="s">
        <v>64</v>
      </c>
      <c r="I206" s="3" t="s">
        <v>64</v>
      </c>
      <c r="J206" s="3" t="s">
        <v>64</v>
      </c>
      <c r="K206" s="3" t="s">
        <v>65</v>
      </c>
      <c r="L206" s="2" t="s">
        <v>1890</v>
      </c>
      <c r="M206" s="2" t="s">
        <v>708</v>
      </c>
      <c r="N206" s="3" t="s">
        <v>511</v>
      </c>
      <c r="P206" s="3" t="s">
        <v>102</v>
      </c>
      <c r="R206" s="3" t="s">
        <v>70</v>
      </c>
      <c r="S206" s="4">
        <v>0</v>
      </c>
      <c r="T206" s="4">
        <v>0</v>
      </c>
      <c r="W206" s="5" t="s">
        <v>72</v>
      </c>
      <c r="X206" s="5" t="s">
        <v>72</v>
      </c>
      <c r="Y206" s="4">
        <v>570</v>
      </c>
      <c r="Z206" s="4">
        <v>35</v>
      </c>
      <c r="AA206" s="4">
        <v>125</v>
      </c>
      <c r="AB206" s="4">
        <v>3</v>
      </c>
      <c r="AC206" s="4">
        <v>18</v>
      </c>
      <c r="AD206" s="4">
        <v>93</v>
      </c>
      <c r="AE206" s="4">
        <v>146</v>
      </c>
      <c r="AF206" s="4">
        <v>1</v>
      </c>
      <c r="AG206" s="4">
        <v>8</v>
      </c>
      <c r="AH206" s="4">
        <v>81</v>
      </c>
      <c r="AI206" s="4">
        <v>103</v>
      </c>
      <c r="AJ206" s="4">
        <v>11</v>
      </c>
      <c r="AK206" s="4">
        <v>23</v>
      </c>
      <c r="AL206" s="4">
        <v>51</v>
      </c>
      <c r="AM206" s="4">
        <v>57</v>
      </c>
      <c r="AN206" s="4">
        <v>0</v>
      </c>
      <c r="AO206" s="4">
        <v>0</v>
      </c>
      <c r="AP206" s="4">
        <v>15</v>
      </c>
      <c r="AQ206" s="4">
        <v>50</v>
      </c>
      <c r="AR206" s="3" t="s">
        <v>64</v>
      </c>
      <c r="AS206" s="3" t="s">
        <v>64</v>
      </c>
      <c r="AT206" s="3" t="s">
        <v>64</v>
      </c>
      <c r="AV206" s="6" t="str">
        <f>HYPERLINK("http://mcgill.on.worldcat.org/oclc/465364155","Catalog Record")</f>
        <v>Catalog Record</v>
      </c>
      <c r="AW206" s="6" t="str">
        <f>HYPERLINK("http://www.worldcat.org/oclc/465364155","WorldCat Record")</f>
        <v>WorldCat Record</v>
      </c>
      <c r="AX206" s="3" t="s">
        <v>1891</v>
      </c>
      <c r="AY206" s="3" t="s">
        <v>1892</v>
      </c>
      <c r="AZ206" s="3" t="s">
        <v>1893</v>
      </c>
      <c r="BA206" s="3" t="s">
        <v>1893</v>
      </c>
      <c r="BB206" s="3" t="s">
        <v>1894</v>
      </c>
      <c r="BC206" s="3" t="s">
        <v>77</v>
      </c>
      <c r="BD206" s="3" t="s">
        <v>78</v>
      </c>
      <c r="BE206" s="3" t="s">
        <v>1895</v>
      </c>
      <c r="BF206" s="3" t="s">
        <v>1894</v>
      </c>
      <c r="BG206" s="3" t="s">
        <v>1896</v>
      </c>
      <c r="BH206">
        <f t="shared" si="8"/>
        <v>0</v>
      </c>
    </row>
    <row r="207" spans="1:60" ht="72.5" x14ac:dyDescent="0.35">
      <c r="A207" s="2" t="s">
        <v>1040</v>
      </c>
      <c r="B207" s="2" t="s">
        <v>1041</v>
      </c>
      <c r="C207" s="2" t="s">
        <v>1897</v>
      </c>
      <c r="D207" s="2" t="s">
        <v>1898</v>
      </c>
      <c r="E207" s="2" t="s">
        <v>1899</v>
      </c>
      <c r="G207" s="3" t="s">
        <v>64</v>
      </c>
      <c r="I207" s="3" t="s">
        <v>64</v>
      </c>
      <c r="J207" s="3" t="s">
        <v>128</v>
      </c>
      <c r="K207" s="3" t="s">
        <v>65</v>
      </c>
      <c r="L207" s="2" t="s">
        <v>1900</v>
      </c>
      <c r="M207" s="2" t="s">
        <v>1901</v>
      </c>
      <c r="N207" s="3" t="s">
        <v>1615</v>
      </c>
      <c r="O207" s="2" t="s">
        <v>1902</v>
      </c>
      <c r="P207" s="3" t="s">
        <v>102</v>
      </c>
      <c r="R207" s="3" t="s">
        <v>70</v>
      </c>
      <c r="S207" s="4">
        <v>30</v>
      </c>
      <c r="T207" s="4">
        <v>30</v>
      </c>
      <c r="U207" s="5" t="s">
        <v>553</v>
      </c>
      <c r="V207" s="5" t="s">
        <v>553</v>
      </c>
      <c r="W207" s="5" t="s">
        <v>72</v>
      </c>
      <c r="X207" s="5" t="s">
        <v>72</v>
      </c>
      <c r="Y207" s="4">
        <v>673</v>
      </c>
      <c r="Z207" s="4">
        <v>23</v>
      </c>
      <c r="AA207" s="4">
        <v>74</v>
      </c>
      <c r="AB207" s="4">
        <v>2</v>
      </c>
      <c r="AC207" s="4">
        <v>11</v>
      </c>
      <c r="AD207" s="4">
        <v>83</v>
      </c>
      <c r="AE207" s="4">
        <v>150</v>
      </c>
      <c r="AF207" s="4">
        <v>0</v>
      </c>
      <c r="AG207" s="4">
        <v>4</v>
      </c>
      <c r="AH207" s="4">
        <v>72</v>
      </c>
      <c r="AI207" s="4">
        <v>113</v>
      </c>
      <c r="AJ207" s="4">
        <v>7</v>
      </c>
      <c r="AK207" s="4">
        <v>28</v>
      </c>
      <c r="AL207" s="4">
        <v>44</v>
      </c>
      <c r="AM207" s="4">
        <v>63</v>
      </c>
      <c r="AN207" s="4">
        <v>0</v>
      </c>
      <c r="AO207" s="4">
        <v>0</v>
      </c>
      <c r="AP207" s="4">
        <v>11</v>
      </c>
      <c r="AQ207" s="4">
        <v>39</v>
      </c>
      <c r="AR207" s="3" t="s">
        <v>64</v>
      </c>
      <c r="AS207" s="3" t="s">
        <v>64</v>
      </c>
      <c r="AT207" s="3" t="s">
        <v>64</v>
      </c>
      <c r="AV207" s="6" t="str">
        <f>HYPERLINK("http://mcgill.on.worldcat.org/oclc/35159231","Catalog Record")</f>
        <v>Catalog Record</v>
      </c>
      <c r="AW207" s="6" t="str">
        <f>HYPERLINK("http://www.worldcat.org/oclc/35159231","WorldCat Record")</f>
        <v>WorldCat Record</v>
      </c>
      <c r="AX207" s="3" t="s">
        <v>1903</v>
      </c>
      <c r="AY207" s="3" t="s">
        <v>1904</v>
      </c>
      <c r="AZ207" s="3" t="s">
        <v>1905</v>
      </c>
      <c r="BA207" s="3" t="s">
        <v>1905</v>
      </c>
      <c r="BB207" s="3" t="s">
        <v>1906</v>
      </c>
      <c r="BC207" s="3" t="s">
        <v>77</v>
      </c>
      <c r="BD207" s="3" t="s">
        <v>78</v>
      </c>
      <c r="BE207" s="3" t="s">
        <v>1907</v>
      </c>
      <c r="BF207" s="3" t="s">
        <v>1906</v>
      </c>
      <c r="BG207" s="3" t="s">
        <v>1908</v>
      </c>
      <c r="BH207">
        <f t="shared" si="8"/>
        <v>0</v>
      </c>
    </row>
    <row r="208" spans="1:60" ht="58" x14ac:dyDescent="0.35">
      <c r="A208" s="2" t="s">
        <v>1040</v>
      </c>
      <c r="B208" s="2" t="s">
        <v>60</v>
      </c>
      <c r="C208" s="2" t="s">
        <v>1909</v>
      </c>
      <c r="D208" s="2" t="s">
        <v>1910</v>
      </c>
      <c r="E208" s="2" t="s">
        <v>1911</v>
      </c>
      <c r="G208" s="3" t="s">
        <v>64</v>
      </c>
      <c r="I208" s="3" t="s">
        <v>64</v>
      </c>
      <c r="J208" s="3" t="s">
        <v>64</v>
      </c>
      <c r="K208" s="3" t="s">
        <v>65</v>
      </c>
      <c r="L208" s="2" t="s">
        <v>1912</v>
      </c>
      <c r="M208" s="2" t="s">
        <v>1913</v>
      </c>
      <c r="N208" s="3" t="s">
        <v>392</v>
      </c>
      <c r="P208" s="3" t="s">
        <v>102</v>
      </c>
      <c r="R208" s="3" t="s">
        <v>70</v>
      </c>
      <c r="S208" s="4">
        <v>22</v>
      </c>
      <c r="T208" s="4">
        <v>22</v>
      </c>
      <c r="U208" s="5" t="s">
        <v>160</v>
      </c>
      <c r="V208" s="5" t="s">
        <v>160</v>
      </c>
      <c r="W208" s="5" t="s">
        <v>72</v>
      </c>
      <c r="X208" s="5" t="s">
        <v>72</v>
      </c>
      <c r="Y208" s="4">
        <v>907</v>
      </c>
      <c r="Z208" s="4">
        <v>20</v>
      </c>
      <c r="AA208" s="4">
        <v>24</v>
      </c>
      <c r="AB208" s="4">
        <v>1</v>
      </c>
      <c r="AC208" s="4">
        <v>2</v>
      </c>
      <c r="AD208" s="4">
        <v>75</v>
      </c>
      <c r="AE208" s="4">
        <v>80</v>
      </c>
      <c r="AF208" s="4">
        <v>0</v>
      </c>
      <c r="AG208" s="4">
        <v>1</v>
      </c>
      <c r="AH208" s="4">
        <v>68</v>
      </c>
      <c r="AI208" s="4">
        <v>72</v>
      </c>
      <c r="AJ208" s="4">
        <v>3</v>
      </c>
      <c r="AK208" s="4">
        <v>5</v>
      </c>
      <c r="AL208" s="4">
        <v>41</v>
      </c>
      <c r="AM208" s="4">
        <v>42</v>
      </c>
      <c r="AN208" s="4">
        <v>0</v>
      </c>
      <c r="AO208" s="4">
        <v>0</v>
      </c>
      <c r="AP208" s="4">
        <v>7</v>
      </c>
      <c r="AQ208" s="4">
        <v>8</v>
      </c>
      <c r="AR208" s="3" t="s">
        <v>64</v>
      </c>
      <c r="AS208" s="3" t="s">
        <v>64</v>
      </c>
      <c r="AT208" s="3" t="s">
        <v>128</v>
      </c>
      <c r="AU208" s="6" t="str">
        <f>HYPERLINK("http://catalog.hathitrust.org/Record/004066732","HathiTrust Record")</f>
        <v>HathiTrust Record</v>
      </c>
      <c r="AV208" s="6" t="str">
        <f>HYPERLINK("http://mcgill.on.worldcat.org/oclc/40150667","Catalog Record")</f>
        <v>Catalog Record</v>
      </c>
      <c r="AW208" s="6" t="str">
        <f>HYPERLINK("http://www.worldcat.org/oclc/40150667","WorldCat Record")</f>
        <v>WorldCat Record</v>
      </c>
      <c r="AX208" s="3" t="s">
        <v>1914</v>
      </c>
      <c r="AY208" s="3" t="s">
        <v>1915</v>
      </c>
      <c r="AZ208" s="3" t="s">
        <v>1916</v>
      </c>
      <c r="BA208" s="3" t="s">
        <v>1916</v>
      </c>
      <c r="BB208" s="3" t="s">
        <v>1917</v>
      </c>
      <c r="BC208" s="3" t="s">
        <v>77</v>
      </c>
      <c r="BD208" s="3" t="s">
        <v>78</v>
      </c>
      <c r="BE208" s="3" t="s">
        <v>1918</v>
      </c>
      <c r="BF208" s="3" t="s">
        <v>1917</v>
      </c>
      <c r="BG208" s="3" t="s">
        <v>1919</v>
      </c>
      <c r="BH208">
        <f t="shared" si="8"/>
        <v>0</v>
      </c>
    </row>
    <row r="209" spans="1:60" ht="58" x14ac:dyDescent="0.35">
      <c r="A209" s="2" t="s">
        <v>1040</v>
      </c>
      <c r="B209" s="2" t="s">
        <v>60</v>
      </c>
      <c r="C209" s="2" t="s">
        <v>1920</v>
      </c>
      <c r="D209" s="2" t="s">
        <v>1921</v>
      </c>
      <c r="E209" s="2" t="s">
        <v>1922</v>
      </c>
      <c r="G209" s="3" t="s">
        <v>64</v>
      </c>
      <c r="I209" s="3" t="s">
        <v>64</v>
      </c>
      <c r="J209" s="3" t="s">
        <v>64</v>
      </c>
      <c r="K209" s="3" t="s">
        <v>65</v>
      </c>
      <c r="L209" s="2" t="s">
        <v>1923</v>
      </c>
      <c r="M209" s="2" t="s">
        <v>1924</v>
      </c>
      <c r="N209" s="3" t="s">
        <v>86</v>
      </c>
      <c r="P209" s="3" t="s">
        <v>102</v>
      </c>
      <c r="R209" s="3" t="s">
        <v>70</v>
      </c>
      <c r="S209" s="4">
        <v>5</v>
      </c>
      <c r="T209" s="4">
        <v>5</v>
      </c>
      <c r="U209" s="5" t="s">
        <v>1925</v>
      </c>
      <c r="V209" s="5" t="s">
        <v>1925</v>
      </c>
      <c r="W209" s="5" t="s">
        <v>72</v>
      </c>
      <c r="X209" s="5" t="s">
        <v>72</v>
      </c>
      <c r="Y209" s="4">
        <v>140</v>
      </c>
      <c r="Z209" s="4">
        <v>14</v>
      </c>
      <c r="AA209" s="4">
        <v>79</v>
      </c>
      <c r="AB209" s="4">
        <v>1</v>
      </c>
      <c r="AC209" s="4">
        <v>16</v>
      </c>
      <c r="AD209" s="4">
        <v>25</v>
      </c>
      <c r="AE209" s="4">
        <v>94</v>
      </c>
      <c r="AF209" s="4">
        <v>0</v>
      </c>
      <c r="AG209" s="4">
        <v>9</v>
      </c>
      <c r="AH209" s="4">
        <v>21</v>
      </c>
      <c r="AI209" s="4">
        <v>63</v>
      </c>
      <c r="AJ209" s="4">
        <v>8</v>
      </c>
      <c r="AK209" s="4">
        <v>19</v>
      </c>
      <c r="AL209" s="4">
        <v>12</v>
      </c>
      <c r="AM209" s="4">
        <v>34</v>
      </c>
      <c r="AN209" s="4">
        <v>0</v>
      </c>
      <c r="AO209" s="4">
        <v>0</v>
      </c>
      <c r="AP209" s="4">
        <v>9</v>
      </c>
      <c r="AQ209" s="4">
        <v>38</v>
      </c>
      <c r="AR209" s="3" t="s">
        <v>64</v>
      </c>
      <c r="AS209" s="3" t="s">
        <v>64</v>
      </c>
      <c r="AT209" s="3" t="s">
        <v>64</v>
      </c>
      <c r="AV209" s="6" t="str">
        <f>HYPERLINK("http://mcgill.on.worldcat.org/oclc/760290421","Catalog Record")</f>
        <v>Catalog Record</v>
      </c>
      <c r="AW209" s="6" t="str">
        <f>HYPERLINK("http://www.worldcat.org/oclc/760290421","WorldCat Record")</f>
        <v>WorldCat Record</v>
      </c>
      <c r="AX209" s="3" t="s">
        <v>1926</v>
      </c>
      <c r="AY209" s="3" t="s">
        <v>1927</v>
      </c>
      <c r="AZ209" s="3" t="s">
        <v>1928</v>
      </c>
      <c r="BA209" s="3" t="s">
        <v>1928</v>
      </c>
      <c r="BB209" s="3" t="s">
        <v>1929</v>
      </c>
      <c r="BC209" s="3" t="s">
        <v>77</v>
      </c>
      <c r="BD209" s="3" t="s">
        <v>78</v>
      </c>
      <c r="BE209" s="3" t="s">
        <v>1930</v>
      </c>
      <c r="BF209" s="3" t="s">
        <v>1929</v>
      </c>
      <c r="BG209" s="3" t="s">
        <v>1931</v>
      </c>
      <c r="BH209">
        <f t="shared" si="8"/>
        <v>0</v>
      </c>
    </row>
    <row r="210" spans="1:60" ht="43.5" x14ac:dyDescent="0.35">
      <c r="A210" s="2" t="s">
        <v>1932</v>
      </c>
      <c r="B210" s="2" t="s">
        <v>1933</v>
      </c>
      <c r="C210" s="2" t="s">
        <v>1934</v>
      </c>
      <c r="D210" s="2" t="s">
        <v>1935</v>
      </c>
      <c r="E210" s="2" t="s">
        <v>1936</v>
      </c>
      <c r="G210" s="3" t="s">
        <v>64</v>
      </c>
      <c r="I210" s="3" t="s">
        <v>64</v>
      </c>
      <c r="J210" s="3" t="s">
        <v>64</v>
      </c>
      <c r="K210" s="3" t="s">
        <v>65</v>
      </c>
      <c r="M210" s="2" t="s">
        <v>1937</v>
      </c>
      <c r="N210" s="3" t="s">
        <v>1938</v>
      </c>
      <c r="P210" s="3" t="s">
        <v>102</v>
      </c>
      <c r="Q210" s="2" t="s">
        <v>1939</v>
      </c>
      <c r="R210" s="3" t="s">
        <v>70</v>
      </c>
      <c r="S210" s="4">
        <v>1</v>
      </c>
      <c r="T210" s="4">
        <v>1</v>
      </c>
      <c r="U210" s="5" t="s">
        <v>1940</v>
      </c>
      <c r="V210" s="5" t="s">
        <v>1940</v>
      </c>
      <c r="W210" s="5" t="s">
        <v>72</v>
      </c>
      <c r="X210" s="5" t="s">
        <v>72</v>
      </c>
      <c r="Y210" s="4">
        <v>300</v>
      </c>
      <c r="Z210" s="4">
        <v>16</v>
      </c>
      <c r="AA210" s="4">
        <v>92</v>
      </c>
      <c r="AB210" s="4">
        <v>2</v>
      </c>
      <c r="AC210" s="4">
        <v>16</v>
      </c>
      <c r="AD210" s="4">
        <v>84</v>
      </c>
      <c r="AE210" s="4">
        <v>130</v>
      </c>
      <c r="AF210" s="4">
        <v>1</v>
      </c>
      <c r="AG210" s="4">
        <v>8</v>
      </c>
      <c r="AH210" s="4">
        <v>74</v>
      </c>
      <c r="AI210" s="4">
        <v>91</v>
      </c>
      <c r="AJ210" s="4">
        <v>11</v>
      </c>
      <c r="AK210" s="4">
        <v>24</v>
      </c>
      <c r="AL210" s="4">
        <v>43</v>
      </c>
      <c r="AM210" s="4">
        <v>49</v>
      </c>
      <c r="AN210" s="4">
        <v>0</v>
      </c>
      <c r="AO210" s="4">
        <v>0</v>
      </c>
      <c r="AP210" s="4">
        <v>14</v>
      </c>
      <c r="AQ210" s="4">
        <v>48</v>
      </c>
      <c r="AR210" s="3" t="s">
        <v>64</v>
      </c>
      <c r="AS210" s="3" t="s">
        <v>64</v>
      </c>
      <c r="AT210" s="3" t="s">
        <v>64</v>
      </c>
      <c r="AV210" s="6" t="str">
        <f>HYPERLINK("http://mcgill.on.worldcat.org/oclc/22178663","Catalog Record")</f>
        <v>Catalog Record</v>
      </c>
      <c r="AW210" s="6" t="str">
        <f>HYPERLINK("http://www.worldcat.org/oclc/22178663","WorldCat Record")</f>
        <v>WorldCat Record</v>
      </c>
      <c r="AX210" s="3" t="s">
        <v>1941</v>
      </c>
      <c r="AY210" s="3" t="s">
        <v>1942</v>
      </c>
      <c r="AZ210" s="3" t="s">
        <v>1943</v>
      </c>
      <c r="BA210" s="3" t="s">
        <v>1943</v>
      </c>
      <c r="BB210" s="3" t="s">
        <v>1944</v>
      </c>
      <c r="BC210" s="3" t="s">
        <v>77</v>
      </c>
      <c r="BD210" s="3" t="s">
        <v>78</v>
      </c>
      <c r="BE210" s="3" t="s">
        <v>1945</v>
      </c>
      <c r="BF210" s="3" t="s">
        <v>1944</v>
      </c>
      <c r="BG210" s="3" t="s">
        <v>1946</v>
      </c>
      <c r="BH210">
        <f t="shared" si="8"/>
        <v>0</v>
      </c>
    </row>
    <row r="211" spans="1:60" ht="58" x14ac:dyDescent="0.35">
      <c r="A211" s="2" t="s">
        <v>1040</v>
      </c>
      <c r="B211" s="2" t="s">
        <v>60</v>
      </c>
      <c r="C211" s="2" t="s">
        <v>1947</v>
      </c>
      <c r="D211" s="2" t="s">
        <v>1948</v>
      </c>
      <c r="E211" s="2" t="s">
        <v>1949</v>
      </c>
      <c r="G211" s="3" t="s">
        <v>64</v>
      </c>
      <c r="I211" s="3" t="s">
        <v>64</v>
      </c>
      <c r="J211" s="3" t="s">
        <v>64</v>
      </c>
      <c r="K211" s="3" t="s">
        <v>65</v>
      </c>
      <c r="L211" s="2" t="s">
        <v>1950</v>
      </c>
      <c r="M211" s="2" t="s">
        <v>1951</v>
      </c>
      <c r="N211" s="3" t="s">
        <v>392</v>
      </c>
      <c r="O211" s="2" t="s">
        <v>117</v>
      </c>
      <c r="P211" s="3" t="s">
        <v>102</v>
      </c>
      <c r="R211" s="3" t="s">
        <v>70</v>
      </c>
      <c r="S211" s="4">
        <v>77</v>
      </c>
      <c r="T211" s="4">
        <v>77</v>
      </c>
      <c r="U211" s="5" t="s">
        <v>160</v>
      </c>
      <c r="V211" s="5" t="s">
        <v>160</v>
      </c>
      <c r="W211" s="5" t="s">
        <v>72</v>
      </c>
      <c r="X211" s="5" t="s">
        <v>72</v>
      </c>
      <c r="Y211" s="4">
        <v>1609</v>
      </c>
      <c r="Z211" s="4">
        <v>47</v>
      </c>
      <c r="AA211" s="4">
        <v>84</v>
      </c>
      <c r="AB211" s="4">
        <v>5</v>
      </c>
      <c r="AC211" s="4">
        <v>9</v>
      </c>
      <c r="AD211" s="4">
        <v>106</v>
      </c>
      <c r="AE211" s="4">
        <v>132</v>
      </c>
      <c r="AF211" s="4">
        <v>2</v>
      </c>
      <c r="AG211" s="4">
        <v>4</v>
      </c>
      <c r="AH211" s="4">
        <v>93</v>
      </c>
      <c r="AI211" s="4">
        <v>106</v>
      </c>
      <c r="AJ211" s="4">
        <v>12</v>
      </c>
      <c r="AK211" s="4">
        <v>22</v>
      </c>
      <c r="AL211" s="4">
        <v>51</v>
      </c>
      <c r="AM211" s="4">
        <v>57</v>
      </c>
      <c r="AN211" s="4">
        <v>0</v>
      </c>
      <c r="AO211" s="4">
        <v>0</v>
      </c>
      <c r="AP211" s="4">
        <v>16</v>
      </c>
      <c r="AQ211" s="4">
        <v>31</v>
      </c>
      <c r="AR211" s="3" t="s">
        <v>64</v>
      </c>
      <c r="AS211" s="3" t="s">
        <v>64</v>
      </c>
      <c r="AT211" s="3" t="s">
        <v>64</v>
      </c>
      <c r="AV211" s="6" t="str">
        <f>HYPERLINK("http://mcgill.on.worldcat.org/oclc/41572673","Catalog Record")</f>
        <v>Catalog Record</v>
      </c>
      <c r="AW211" s="6" t="str">
        <f>HYPERLINK("http://www.worldcat.org/oclc/41572673","WorldCat Record")</f>
        <v>WorldCat Record</v>
      </c>
      <c r="AX211" s="3" t="s">
        <v>1952</v>
      </c>
      <c r="AY211" s="3" t="s">
        <v>1953</v>
      </c>
      <c r="AZ211" s="3" t="s">
        <v>1954</v>
      </c>
      <c r="BA211" s="3" t="s">
        <v>1954</v>
      </c>
      <c r="BB211" s="3" t="s">
        <v>1955</v>
      </c>
      <c r="BC211" s="3" t="s">
        <v>77</v>
      </c>
      <c r="BD211" s="3" t="s">
        <v>1956</v>
      </c>
      <c r="BE211" s="3" t="s">
        <v>1957</v>
      </c>
      <c r="BF211" s="3" t="s">
        <v>1955</v>
      </c>
      <c r="BG211" s="3" t="s">
        <v>1958</v>
      </c>
      <c r="BH211">
        <f t="shared" si="8"/>
        <v>0</v>
      </c>
    </row>
    <row r="212" spans="1:60" ht="58" x14ac:dyDescent="0.35">
      <c r="A212" s="2" t="s">
        <v>59</v>
      </c>
      <c r="B212" s="2" t="s">
        <v>60</v>
      </c>
      <c r="C212" s="2" t="s">
        <v>1959</v>
      </c>
      <c r="D212" s="2" t="s">
        <v>1960</v>
      </c>
      <c r="E212" s="2" t="s">
        <v>1961</v>
      </c>
      <c r="G212" s="3" t="s">
        <v>64</v>
      </c>
      <c r="I212" s="3" t="s">
        <v>64</v>
      </c>
      <c r="J212" s="3" t="s">
        <v>64</v>
      </c>
      <c r="K212" s="3" t="s">
        <v>65</v>
      </c>
      <c r="L212" s="2" t="s">
        <v>1962</v>
      </c>
      <c r="M212" s="2" t="s">
        <v>1963</v>
      </c>
      <c r="N212" s="3" t="s">
        <v>578</v>
      </c>
      <c r="P212" s="3" t="s">
        <v>102</v>
      </c>
      <c r="R212" s="3" t="s">
        <v>70</v>
      </c>
      <c r="S212" s="4">
        <v>2</v>
      </c>
      <c r="T212" s="4">
        <v>2</v>
      </c>
      <c r="U212" s="5" t="s">
        <v>1964</v>
      </c>
      <c r="V212" s="5" t="s">
        <v>1964</v>
      </c>
      <c r="W212" s="5" t="s">
        <v>72</v>
      </c>
      <c r="X212" s="5" t="s">
        <v>72</v>
      </c>
      <c r="Y212" s="4">
        <v>356</v>
      </c>
      <c r="Z212" s="4">
        <v>12</v>
      </c>
      <c r="AA212" s="4">
        <v>27</v>
      </c>
      <c r="AB212" s="4">
        <v>2</v>
      </c>
      <c r="AC212" s="4">
        <v>8</v>
      </c>
      <c r="AD212" s="4">
        <v>38</v>
      </c>
      <c r="AE212" s="4">
        <v>71</v>
      </c>
      <c r="AF212" s="4">
        <v>0</v>
      </c>
      <c r="AG212" s="4">
        <v>3</v>
      </c>
      <c r="AH212" s="4">
        <v>33</v>
      </c>
      <c r="AI212" s="4">
        <v>58</v>
      </c>
      <c r="AJ212" s="4">
        <v>2</v>
      </c>
      <c r="AK212" s="4">
        <v>10</v>
      </c>
      <c r="AL212" s="4">
        <v>26</v>
      </c>
      <c r="AM212" s="4">
        <v>39</v>
      </c>
      <c r="AN212" s="4">
        <v>0</v>
      </c>
      <c r="AO212" s="4">
        <v>0</v>
      </c>
      <c r="AP212" s="4">
        <v>5</v>
      </c>
      <c r="AQ212" s="4">
        <v>15</v>
      </c>
      <c r="AR212" s="3" t="s">
        <v>64</v>
      </c>
      <c r="AS212" s="3" t="s">
        <v>64</v>
      </c>
      <c r="AT212" s="3" t="s">
        <v>64</v>
      </c>
      <c r="AV212" s="6" t="str">
        <f>HYPERLINK("http://mcgill.on.worldcat.org/oclc/963914459","Catalog Record")</f>
        <v>Catalog Record</v>
      </c>
      <c r="AW212" s="6" t="str">
        <f>HYPERLINK("http://www.worldcat.org/oclc/963914459","WorldCat Record")</f>
        <v>WorldCat Record</v>
      </c>
      <c r="AX212" s="3" t="s">
        <v>1965</v>
      </c>
      <c r="AY212" s="3" t="s">
        <v>1966</v>
      </c>
      <c r="AZ212" s="3" t="s">
        <v>1967</v>
      </c>
      <c r="BA212" s="3" t="s">
        <v>1967</v>
      </c>
      <c r="BB212" s="3" t="s">
        <v>1968</v>
      </c>
      <c r="BC212" s="3" t="s">
        <v>77</v>
      </c>
      <c r="BD212" s="3" t="s">
        <v>78</v>
      </c>
      <c r="BE212" s="3" t="s">
        <v>1969</v>
      </c>
      <c r="BF212" s="3" t="s">
        <v>1968</v>
      </c>
      <c r="BG212" s="3" t="s">
        <v>1970</v>
      </c>
      <c r="BH212">
        <f t="shared" si="8"/>
        <v>0</v>
      </c>
    </row>
    <row r="213" spans="1:60" ht="72.5" x14ac:dyDescent="0.35">
      <c r="A213" s="2" t="s">
        <v>1040</v>
      </c>
      <c r="B213" s="2" t="s">
        <v>1041</v>
      </c>
      <c r="C213" s="2" t="s">
        <v>1971</v>
      </c>
      <c r="D213" s="2" t="s">
        <v>1972</v>
      </c>
      <c r="E213" s="2" t="s">
        <v>1973</v>
      </c>
      <c r="G213" s="3" t="s">
        <v>64</v>
      </c>
      <c r="I213" s="3" t="s">
        <v>128</v>
      </c>
      <c r="J213" s="3" t="s">
        <v>64</v>
      </c>
      <c r="K213" s="3" t="s">
        <v>65</v>
      </c>
      <c r="M213" s="2" t="s">
        <v>1974</v>
      </c>
      <c r="N213" s="3" t="s">
        <v>768</v>
      </c>
      <c r="P213" s="3" t="s">
        <v>102</v>
      </c>
      <c r="R213" s="3" t="s">
        <v>70</v>
      </c>
      <c r="S213" s="4">
        <v>1</v>
      </c>
      <c r="T213" s="4">
        <v>6</v>
      </c>
      <c r="U213" s="5" t="s">
        <v>1975</v>
      </c>
      <c r="V213" s="5" t="s">
        <v>1976</v>
      </c>
      <c r="W213" s="5" t="s">
        <v>72</v>
      </c>
      <c r="X213" s="5" t="s">
        <v>72</v>
      </c>
      <c r="Y213" s="4">
        <v>287</v>
      </c>
      <c r="Z213" s="4">
        <v>21</v>
      </c>
      <c r="AA213" s="4">
        <v>21</v>
      </c>
      <c r="AB213" s="4">
        <v>2</v>
      </c>
      <c r="AC213" s="4">
        <v>2</v>
      </c>
      <c r="AD213" s="4">
        <v>96</v>
      </c>
      <c r="AE213" s="4">
        <v>97</v>
      </c>
      <c r="AF213" s="4">
        <v>1</v>
      </c>
      <c r="AG213" s="4">
        <v>1</v>
      </c>
      <c r="AH213" s="4">
        <v>84</v>
      </c>
      <c r="AI213" s="4">
        <v>85</v>
      </c>
      <c r="AJ213" s="4">
        <v>15</v>
      </c>
      <c r="AK213" s="4">
        <v>15</v>
      </c>
      <c r="AL213" s="4">
        <v>43</v>
      </c>
      <c r="AM213" s="4">
        <v>44</v>
      </c>
      <c r="AN213" s="4">
        <v>0</v>
      </c>
      <c r="AO213" s="4">
        <v>0</v>
      </c>
      <c r="AP213" s="4">
        <v>18</v>
      </c>
      <c r="AQ213" s="4">
        <v>18</v>
      </c>
      <c r="AR213" s="3" t="s">
        <v>64</v>
      </c>
      <c r="AS213" s="3" t="s">
        <v>64</v>
      </c>
      <c r="AT213" s="3" t="s">
        <v>64</v>
      </c>
      <c r="AV213" s="6" t="str">
        <f>HYPERLINK("http://mcgill.on.worldcat.org/oclc/3327448","Catalog Record")</f>
        <v>Catalog Record</v>
      </c>
      <c r="AW213" s="6" t="str">
        <f>HYPERLINK("http://www.worldcat.org/oclc/3327448","WorldCat Record")</f>
        <v>WorldCat Record</v>
      </c>
      <c r="AX213" s="3" t="s">
        <v>1977</v>
      </c>
      <c r="AY213" s="3" t="s">
        <v>1978</v>
      </c>
      <c r="AZ213" s="3" t="s">
        <v>1979</v>
      </c>
      <c r="BA213" s="3" t="s">
        <v>1979</v>
      </c>
      <c r="BB213" s="3" t="s">
        <v>1980</v>
      </c>
      <c r="BC213" s="3" t="s">
        <v>77</v>
      </c>
      <c r="BD213" s="3" t="s">
        <v>78</v>
      </c>
      <c r="BE213" s="3" t="s">
        <v>1981</v>
      </c>
      <c r="BF213" s="3" t="s">
        <v>1980</v>
      </c>
      <c r="BG213" s="3" t="s">
        <v>1982</v>
      </c>
      <c r="BH213">
        <f t="shared" si="8"/>
        <v>0</v>
      </c>
    </row>
    <row r="214" spans="1:60" ht="58" x14ac:dyDescent="0.35">
      <c r="A214" s="2" t="s">
        <v>59</v>
      </c>
      <c r="B214" s="2" t="s">
        <v>60</v>
      </c>
      <c r="C214" s="2" t="s">
        <v>1971</v>
      </c>
      <c r="D214" s="2" t="s">
        <v>1972</v>
      </c>
      <c r="E214" s="2" t="s">
        <v>1973</v>
      </c>
      <c r="G214" s="3" t="s">
        <v>64</v>
      </c>
      <c r="I214" s="3" t="s">
        <v>128</v>
      </c>
      <c r="J214" s="3" t="s">
        <v>64</v>
      </c>
      <c r="K214" s="3" t="s">
        <v>65</v>
      </c>
      <c r="M214" s="2" t="s">
        <v>1974</v>
      </c>
      <c r="N214" s="3" t="s">
        <v>768</v>
      </c>
      <c r="P214" s="3" t="s">
        <v>102</v>
      </c>
      <c r="R214" s="3" t="s">
        <v>70</v>
      </c>
      <c r="S214" s="4">
        <v>5</v>
      </c>
      <c r="T214" s="4">
        <v>6</v>
      </c>
      <c r="U214" s="5" t="s">
        <v>1976</v>
      </c>
      <c r="V214" s="5" t="s">
        <v>1976</v>
      </c>
      <c r="W214" s="5" t="s">
        <v>72</v>
      </c>
      <c r="X214" s="5" t="s">
        <v>72</v>
      </c>
      <c r="Y214" s="4">
        <v>287</v>
      </c>
      <c r="Z214" s="4">
        <v>21</v>
      </c>
      <c r="AA214" s="4">
        <v>21</v>
      </c>
      <c r="AB214" s="4">
        <v>2</v>
      </c>
      <c r="AC214" s="4">
        <v>2</v>
      </c>
      <c r="AD214" s="4">
        <v>96</v>
      </c>
      <c r="AE214" s="4">
        <v>97</v>
      </c>
      <c r="AF214" s="4">
        <v>1</v>
      </c>
      <c r="AG214" s="4">
        <v>1</v>
      </c>
      <c r="AH214" s="4">
        <v>84</v>
      </c>
      <c r="AI214" s="4">
        <v>85</v>
      </c>
      <c r="AJ214" s="4">
        <v>15</v>
      </c>
      <c r="AK214" s="4">
        <v>15</v>
      </c>
      <c r="AL214" s="4">
        <v>43</v>
      </c>
      <c r="AM214" s="4">
        <v>44</v>
      </c>
      <c r="AN214" s="4">
        <v>0</v>
      </c>
      <c r="AO214" s="4">
        <v>0</v>
      </c>
      <c r="AP214" s="4">
        <v>18</v>
      </c>
      <c r="AQ214" s="4">
        <v>18</v>
      </c>
      <c r="AR214" s="3" t="s">
        <v>64</v>
      </c>
      <c r="AS214" s="3" t="s">
        <v>64</v>
      </c>
      <c r="AT214" s="3" t="s">
        <v>64</v>
      </c>
      <c r="AV214" s="6" t="str">
        <f>HYPERLINK("http://mcgill.on.worldcat.org/oclc/3327448","Catalog Record")</f>
        <v>Catalog Record</v>
      </c>
      <c r="AW214" s="6" t="str">
        <f>HYPERLINK("http://www.worldcat.org/oclc/3327448","WorldCat Record")</f>
        <v>WorldCat Record</v>
      </c>
      <c r="AX214" s="3" t="s">
        <v>1977</v>
      </c>
      <c r="AY214" s="3" t="s">
        <v>1978</v>
      </c>
      <c r="AZ214" s="3" t="s">
        <v>1979</v>
      </c>
      <c r="BA214" s="3" t="s">
        <v>1979</v>
      </c>
      <c r="BB214" s="3" t="s">
        <v>1983</v>
      </c>
      <c r="BC214" s="3" t="s">
        <v>77</v>
      </c>
      <c r="BD214" s="3" t="s">
        <v>78</v>
      </c>
      <c r="BE214" s="3" t="s">
        <v>1981</v>
      </c>
      <c r="BF214" s="3" t="s">
        <v>1983</v>
      </c>
      <c r="BG214" s="3" t="s">
        <v>1984</v>
      </c>
      <c r="BH214">
        <f t="shared" si="8"/>
        <v>0</v>
      </c>
    </row>
    <row r="215" spans="1:60" ht="58" x14ac:dyDescent="0.35">
      <c r="A215" s="2" t="s">
        <v>1040</v>
      </c>
      <c r="B215" s="2" t="s">
        <v>60</v>
      </c>
      <c r="C215" s="2" t="s">
        <v>1985</v>
      </c>
      <c r="D215" s="2" t="s">
        <v>1986</v>
      </c>
      <c r="E215" s="2" t="s">
        <v>1987</v>
      </c>
      <c r="G215" s="3" t="s">
        <v>64</v>
      </c>
      <c r="I215" s="3" t="s">
        <v>64</v>
      </c>
      <c r="J215" s="3" t="s">
        <v>64</v>
      </c>
      <c r="K215" s="3" t="s">
        <v>65</v>
      </c>
      <c r="L215" s="2" t="s">
        <v>1988</v>
      </c>
      <c r="M215" s="2" t="s">
        <v>1989</v>
      </c>
      <c r="N215" s="3" t="s">
        <v>171</v>
      </c>
      <c r="O215" s="2" t="s">
        <v>1990</v>
      </c>
      <c r="P215" s="3" t="s">
        <v>102</v>
      </c>
      <c r="R215" s="3" t="s">
        <v>70</v>
      </c>
      <c r="S215" s="4">
        <v>9</v>
      </c>
      <c r="T215" s="4">
        <v>9</v>
      </c>
      <c r="U215" s="5" t="s">
        <v>553</v>
      </c>
      <c r="V215" s="5" t="s">
        <v>553</v>
      </c>
      <c r="W215" s="5" t="s">
        <v>72</v>
      </c>
      <c r="X215" s="5" t="s">
        <v>72</v>
      </c>
      <c r="Y215" s="4">
        <v>576</v>
      </c>
      <c r="Z215" s="4">
        <v>29</v>
      </c>
      <c r="AA215" s="4">
        <v>30</v>
      </c>
      <c r="AB215" s="4">
        <v>3</v>
      </c>
      <c r="AC215" s="4">
        <v>4</v>
      </c>
      <c r="AD215" s="4">
        <v>51</v>
      </c>
      <c r="AE215" s="4">
        <v>52</v>
      </c>
      <c r="AF215" s="4">
        <v>0</v>
      </c>
      <c r="AG215" s="4">
        <v>1</v>
      </c>
      <c r="AH215" s="4">
        <v>46</v>
      </c>
      <c r="AI215" s="4">
        <v>46</v>
      </c>
      <c r="AJ215" s="4">
        <v>6</v>
      </c>
      <c r="AK215" s="4">
        <v>7</v>
      </c>
      <c r="AL215" s="4">
        <v>24</v>
      </c>
      <c r="AM215" s="4">
        <v>24</v>
      </c>
      <c r="AN215" s="4">
        <v>0</v>
      </c>
      <c r="AO215" s="4">
        <v>0</v>
      </c>
      <c r="AP215" s="4">
        <v>8</v>
      </c>
      <c r="AQ215" s="4">
        <v>8</v>
      </c>
      <c r="AR215" s="3" t="s">
        <v>64</v>
      </c>
      <c r="AS215" s="3" t="s">
        <v>64</v>
      </c>
      <c r="AT215" s="3" t="s">
        <v>64</v>
      </c>
      <c r="AV215" s="6" t="str">
        <f>HYPERLINK("http://mcgill.on.worldcat.org/oclc/72056763","Catalog Record")</f>
        <v>Catalog Record</v>
      </c>
      <c r="AW215" s="6" t="str">
        <f>HYPERLINK("http://www.worldcat.org/oclc/72056763","WorldCat Record")</f>
        <v>WorldCat Record</v>
      </c>
      <c r="AX215" s="3" t="s">
        <v>1991</v>
      </c>
      <c r="AY215" s="3" t="s">
        <v>1992</v>
      </c>
      <c r="AZ215" s="3" t="s">
        <v>1993</v>
      </c>
      <c r="BA215" s="3" t="s">
        <v>1993</v>
      </c>
      <c r="BB215" s="3" t="s">
        <v>1994</v>
      </c>
      <c r="BC215" s="3" t="s">
        <v>77</v>
      </c>
      <c r="BD215" s="3" t="s">
        <v>78</v>
      </c>
      <c r="BE215" s="3" t="s">
        <v>1995</v>
      </c>
      <c r="BF215" s="3" t="s">
        <v>1994</v>
      </c>
      <c r="BG215" s="3" t="s">
        <v>1996</v>
      </c>
      <c r="BH215">
        <f t="shared" si="8"/>
        <v>0</v>
      </c>
    </row>
    <row r="216" spans="1:60" ht="58" x14ac:dyDescent="0.35">
      <c r="A216" s="2" t="s">
        <v>59</v>
      </c>
      <c r="B216" s="2" t="s">
        <v>60</v>
      </c>
      <c r="C216" s="2" t="s">
        <v>1997</v>
      </c>
      <c r="D216" s="2" t="s">
        <v>1998</v>
      </c>
      <c r="E216" s="2" t="s">
        <v>1999</v>
      </c>
      <c r="G216" s="3" t="s">
        <v>64</v>
      </c>
      <c r="I216" s="3" t="s">
        <v>64</v>
      </c>
      <c r="J216" s="3" t="s">
        <v>64</v>
      </c>
      <c r="K216" s="3" t="s">
        <v>65</v>
      </c>
      <c r="M216" s="2" t="s">
        <v>2000</v>
      </c>
      <c r="N216" s="3" t="s">
        <v>1250</v>
      </c>
      <c r="P216" s="3" t="s">
        <v>102</v>
      </c>
      <c r="Q216" s="2" t="s">
        <v>2001</v>
      </c>
      <c r="R216" s="3" t="s">
        <v>70</v>
      </c>
      <c r="S216" s="4">
        <v>11</v>
      </c>
      <c r="T216" s="4">
        <v>11</v>
      </c>
      <c r="U216" s="5" t="s">
        <v>2002</v>
      </c>
      <c r="V216" s="5" t="s">
        <v>2002</v>
      </c>
      <c r="W216" s="5" t="s">
        <v>72</v>
      </c>
      <c r="X216" s="5" t="s">
        <v>72</v>
      </c>
      <c r="Y216" s="4">
        <v>196</v>
      </c>
      <c r="Z216" s="4">
        <v>17</v>
      </c>
      <c r="AA216" s="4">
        <v>24</v>
      </c>
      <c r="AB216" s="4">
        <v>1</v>
      </c>
      <c r="AC216" s="4">
        <v>4</v>
      </c>
      <c r="AD216" s="4">
        <v>76</v>
      </c>
      <c r="AE216" s="4">
        <v>90</v>
      </c>
      <c r="AF216" s="4">
        <v>0</v>
      </c>
      <c r="AG216" s="4">
        <v>1</v>
      </c>
      <c r="AH216" s="4">
        <v>70</v>
      </c>
      <c r="AI216" s="4">
        <v>81</v>
      </c>
      <c r="AJ216" s="4">
        <v>11</v>
      </c>
      <c r="AK216" s="4">
        <v>14</v>
      </c>
      <c r="AL216" s="4">
        <v>39</v>
      </c>
      <c r="AM216" s="4">
        <v>45</v>
      </c>
      <c r="AN216" s="4">
        <v>0</v>
      </c>
      <c r="AO216" s="4">
        <v>0</v>
      </c>
      <c r="AP216" s="4">
        <v>14</v>
      </c>
      <c r="AQ216" s="4">
        <v>18</v>
      </c>
      <c r="AR216" s="3" t="s">
        <v>64</v>
      </c>
      <c r="AS216" s="3" t="s">
        <v>64</v>
      </c>
      <c r="AT216" s="3" t="s">
        <v>64</v>
      </c>
      <c r="AV216" s="6" t="str">
        <f>HYPERLINK("http://mcgill.on.worldcat.org/oclc/30624757","Catalog Record")</f>
        <v>Catalog Record</v>
      </c>
      <c r="AW216" s="6" t="str">
        <f>HYPERLINK("http://www.worldcat.org/oclc/30624757","WorldCat Record")</f>
        <v>WorldCat Record</v>
      </c>
      <c r="AX216" s="3" t="s">
        <v>2003</v>
      </c>
      <c r="AY216" s="3" t="s">
        <v>2004</v>
      </c>
      <c r="AZ216" s="3" t="s">
        <v>2005</v>
      </c>
      <c r="BA216" s="3" t="s">
        <v>2005</v>
      </c>
      <c r="BB216" s="3" t="s">
        <v>2006</v>
      </c>
      <c r="BC216" s="3" t="s">
        <v>77</v>
      </c>
      <c r="BD216" s="3" t="s">
        <v>78</v>
      </c>
      <c r="BE216" s="3" t="s">
        <v>2007</v>
      </c>
      <c r="BF216" s="3" t="s">
        <v>2006</v>
      </c>
      <c r="BG216" s="3" t="s">
        <v>2008</v>
      </c>
      <c r="BH216">
        <f t="shared" si="8"/>
        <v>0</v>
      </c>
    </row>
    <row r="217" spans="1:60" ht="72.5" x14ac:dyDescent="0.35">
      <c r="A217" s="2" t="s">
        <v>59</v>
      </c>
      <c r="B217" s="2" t="s">
        <v>60</v>
      </c>
      <c r="C217" s="2" t="s">
        <v>2009</v>
      </c>
      <c r="D217" s="2" t="s">
        <v>2010</v>
      </c>
      <c r="E217" s="2" t="s">
        <v>2011</v>
      </c>
      <c r="G217" s="3" t="s">
        <v>64</v>
      </c>
      <c r="I217" s="3" t="s">
        <v>64</v>
      </c>
      <c r="J217" s="3" t="s">
        <v>64</v>
      </c>
      <c r="K217" s="3" t="s">
        <v>65</v>
      </c>
      <c r="L217" s="2" t="s">
        <v>2012</v>
      </c>
      <c r="M217" s="2" t="s">
        <v>2013</v>
      </c>
      <c r="N217" s="3" t="s">
        <v>1075</v>
      </c>
      <c r="P217" s="3" t="s">
        <v>365</v>
      </c>
      <c r="Q217" s="2" t="s">
        <v>2014</v>
      </c>
      <c r="R217" s="3" t="s">
        <v>70</v>
      </c>
      <c r="S217" s="4">
        <v>0</v>
      </c>
      <c r="T217" s="4">
        <v>0</v>
      </c>
      <c r="W217" s="5" t="s">
        <v>72</v>
      </c>
      <c r="X217" s="5" t="s">
        <v>72</v>
      </c>
      <c r="Y217" s="4">
        <v>57</v>
      </c>
      <c r="Z217" s="4">
        <v>6</v>
      </c>
      <c r="AA217" s="4">
        <v>6</v>
      </c>
      <c r="AB217" s="4">
        <v>1</v>
      </c>
      <c r="AC217" s="4">
        <v>1</v>
      </c>
      <c r="AD217" s="4">
        <v>21</v>
      </c>
      <c r="AE217" s="4">
        <v>21</v>
      </c>
      <c r="AF217" s="4">
        <v>0</v>
      </c>
      <c r="AG217" s="4">
        <v>0</v>
      </c>
      <c r="AH217" s="4">
        <v>20</v>
      </c>
      <c r="AI217" s="4">
        <v>20</v>
      </c>
      <c r="AJ217" s="4">
        <v>3</v>
      </c>
      <c r="AK217" s="4">
        <v>3</v>
      </c>
      <c r="AL217" s="4">
        <v>15</v>
      </c>
      <c r="AM217" s="4">
        <v>15</v>
      </c>
      <c r="AN217" s="4">
        <v>0</v>
      </c>
      <c r="AO217" s="4">
        <v>0</v>
      </c>
      <c r="AP217" s="4">
        <v>3</v>
      </c>
      <c r="AQ217" s="4">
        <v>3</v>
      </c>
      <c r="AR217" s="3" t="s">
        <v>64</v>
      </c>
      <c r="AS217" s="3" t="s">
        <v>64</v>
      </c>
      <c r="AT217" s="3" t="s">
        <v>64</v>
      </c>
      <c r="AV217" s="6" t="str">
        <f>HYPERLINK("http://mcgill.on.worldcat.org/oclc/863141863","Catalog Record")</f>
        <v>Catalog Record</v>
      </c>
      <c r="AW217" s="6" t="str">
        <f>HYPERLINK("http://www.worldcat.org/oclc/863141863","WorldCat Record")</f>
        <v>WorldCat Record</v>
      </c>
      <c r="AX217" s="3" t="s">
        <v>2015</v>
      </c>
      <c r="AY217" s="3" t="s">
        <v>2016</v>
      </c>
      <c r="AZ217" s="3" t="s">
        <v>2017</v>
      </c>
      <c r="BA217" s="3" t="s">
        <v>2017</v>
      </c>
      <c r="BB217" s="3" t="s">
        <v>2018</v>
      </c>
      <c r="BC217" s="3" t="s">
        <v>77</v>
      </c>
      <c r="BD217" s="3" t="s">
        <v>78</v>
      </c>
      <c r="BE217" s="3" t="s">
        <v>2019</v>
      </c>
      <c r="BF217" s="3" t="s">
        <v>2018</v>
      </c>
      <c r="BG217" s="3" t="s">
        <v>2020</v>
      </c>
      <c r="BH217">
        <f t="shared" si="8"/>
        <v>0</v>
      </c>
    </row>
    <row r="218" spans="1:60" ht="58" x14ac:dyDescent="0.35">
      <c r="A218" s="2" t="s">
        <v>59</v>
      </c>
      <c r="B218" s="2" t="s">
        <v>60</v>
      </c>
      <c r="C218" s="2" t="s">
        <v>2021</v>
      </c>
      <c r="D218" s="2" t="s">
        <v>2022</v>
      </c>
      <c r="E218" s="2" t="s">
        <v>2023</v>
      </c>
      <c r="G218" s="3" t="s">
        <v>64</v>
      </c>
      <c r="I218" s="3" t="s">
        <v>64</v>
      </c>
      <c r="J218" s="3" t="s">
        <v>128</v>
      </c>
      <c r="K218" s="3" t="s">
        <v>65</v>
      </c>
      <c r="L218" s="2" t="s">
        <v>1029</v>
      </c>
      <c r="M218" s="2" t="s">
        <v>2024</v>
      </c>
      <c r="N218" s="3" t="s">
        <v>190</v>
      </c>
      <c r="P218" s="3" t="s">
        <v>102</v>
      </c>
      <c r="R218" s="3" t="s">
        <v>70</v>
      </c>
      <c r="S218" s="4">
        <v>3</v>
      </c>
      <c r="T218" s="4">
        <v>3</v>
      </c>
      <c r="U218" s="5" t="s">
        <v>1163</v>
      </c>
      <c r="V218" s="5" t="s">
        <v>1163</v>
      </c>
      <c r="W218" s="5" t="s">
        <v>72</v>
      </c>
      <c r="X218" s="5" t="s">
        <v>72</v>
      </c>
      <c r="Y218" s="4">
        <v>171</v>
      </c>
      <c r="Z218" s="4">
        <v>8</v>
      </c>
      <c r="AA218" s="4">
        <v>68</v>
      </c>
      <c r="AB218" s="4">
        <v>1</v>
      </c>
      <c r="AC218" s="4">
        <v>6</v>
      </c>
      <c r="AD218" s="4">
        <v>38</v>
      </c>
      <c r="AE218" s="4">
        <v>133</v>
      </c>
      <c r="AF218" s="4">
        <v>0</v>
      </c>
      <c r="AG218" s="4">
        <v>3</v>
      </c>
      <c r="AH218" s="4">
        <v>33</v>
      </c>
      <c r="AI218" s="4">
        <v>103</v>
      </c>
      <c r="AJ218" s="4">
        <v>4</v>
      </c>
      <c r="AK218" s="4">
        <v>23</v>
      </c>
      <c r="AL218" s="4">
        <v>26</v>
      </c>
      <c r="AM218" s="4">
        <v>57</v>
      </c>
      <c r="AN218" s="4">
        <v>0</v>
      </c>
      <c r="AO218" s="4">
        <v>0</v>
      </c>
      <c r="AP218" s="4">
        <v>6</v>
      </c>
      <c r="AQ218" s="4">
        <v>37</v>
      </c>
      <c r="AR218" s="3" t="s">
        <v>64</v>
      </c>
      <c r="AS218" s="3" t="s">
        <v>64</v>
      </c>
      <c r="AT218" s="3" t="s">
        <v>64</v>
      </c>
      <c r="AV218" s="6" t="str">
        <f>HYPERLINK("http://mcgill.on.worldcat.org/oclc/987050696","Catalog Record")</f>
        <v>Catalog Record</v>
      </c>
      <c r="AW218" s="6" t="str">
        <f>HYPERLINK("http://www.worldcat.org/oclc/987050696","WorldCat Record")</f>
        <v>WorldCat Record</v>
      </c>
      <c r="AX218" s="3" t="s">
        <v>1034</v>
      </c>
      <c r="AY218" s="3" t="s">
        <v>2025</v>
      </c>
      <c r="AZ218" s="3" t="s">
        <v>2026</v>
      </c>
      <c r="BA218" s="3" t="s">
        <v>2026</v>
      </c>
      <c r="BB218" s="3" t="s">
        <v>2027</v>
      </c>
      <c r="BC218" s="3" t="s">
        <v>77</v>
      </c>
      <c r="BD218" s="3" t="s">
        <v>78</v>
      </c>
      <c r="BE218" s="3" t="s">
        <v>2028</v>
      </c>
      <c r="BF218" s="3" t="s">
        <v>2027</v>
      </c>
      <c r="BG218" s="3" t="s">
        <v>2029</v>
      </c>
      <c r="BH218">
        <f t="shared" si="8"/>
        <v>0</v>
      </c>
    </row>
    <row r="219" spans="1:60" ht="58" x14ac:dyDescent="0.35">
      <c r="A219" s="2" t="s">
        <v>59</v>
      </c>
      <c r="B219" s="2" t="s">
        <v>60</v>
      </c>
      <c r="C219" s="2" t="s">
        <v>2030</v>
      </c>
      <c r="D219" s="2" t="s">
        <v>2031</v>
      </c>
      <c r="E219" s="2" t="s">
        <v>2032</v>
      </c>
      <c r="F219" s="3" t="s">
        <v>478</v>
      </c>
      <c r="G219" s="3" t="s">
        <v>128</v>
      </c>
      <c r="I219" s="3" t="s">
        <v>64</v>
      </c>
      <c r="J219" s="3" t="s">
        <v>64</v>
      </c>
      <c r="K219" s="3" t="s">
        <v>65</v>
      </c>
      <c r="M219" s="2" t="s">
        <v>2033</v>
      </c>
      <c r="N219" s="3" t="s">
        <v>922</v>
      </c>
      <c r="P219" s="3" t="s">
        <v>102</v>
      </c>
      <c r="Q219" s="2" t="s">
        <v>2034</v>
      </c>
      <c r="R219" s="3" t="s">
        <v>70</v>
      </c>
      <c r="S219" s="4">
        <v>4</v>
      </c>
      <c r="T219" s="4">
        <v>9</v>
      </c>
      <c r="U219" s="5" t="s">
        <v>2035</v>
      </c>
      <c r="V219" s="5" t="s">
        <v>2035</v>
      </c>
      <c r="W219" s="5" t="s">
        <v>72</v>
      </c>
      <c r="X219" s="5" t="s">
        <v>72</v>
      </c>
      <c r="Y219" s="4">
        <v>117</v>
      </c>
      <c r="Z219" s="4">
        <v>7</v>
      </c>
      <c r="AA219" s="4">
        <v>7</v>
      </c>
      <c r="AB219" s="4">
        <v>1</v>
      </c>
      <c r="AC219" s="4">
        <v>1</v>
      </c>
      <c r="AD219" s="4">
        <v>58</v>
      </c>
      <c r="AE219" s="4">
        <v>58</v>
      </c>
      <c r="AF219" s="4">
        <v>0</v>
      </c>
      <c r="AG219" s="4">
        <v>0</v>
      </c>
      <c r="AH219" s="4">
        <v>53</v>
      </c>
      <c r="AI219" s="4">
        <v>53</v>
      </c>
      <c r="AJ219" s="4">
        <v>4</v>
      </c>
      <c r="AK219" s="4">
        <v>4</v>
      </c>
      <c r="AL219" s="4">
        <v>37</v>
      </c>
      <c r="AM219" s="4">
        <v>37</v>
      </c>
      <c r="AN219" s="4">
        <v>0</v>
      </c>
      <c r="AO219" s="4">
        <v>0</v>
      </c>
      <c r="AP219" s="4">
        <v>4</v>
      </c>
      <c r="AQ219" s="4">
        <v>4</v>
      </c>
      <c r="AR219" s="3" t="s">
        <v>64</v>
      </c>
      <c r="AS219" s="3" t="s">
        <v>64</v>
      </c>
      <c r="AT219" s="3" t="s">
        <v>128</v>
      </c>
      <c r="AU219" s="6" t="str">
        <f>HYPERLINK("http://catalog.hathitrust.org/Record/000225291","HathiTrust Record")</f>
        <v>HathiTrust Record</v>
      </c>
      <c r="AV219" s="6" t="str">
        <f>HYPERLINK("http://mcgill.on.worldcat.org/oclc/524372","Catalog Record")</f>
        <v>Catalog Record</v>
      </c>
      <c r="AW219" s="6" t="str">
        <f>HYPERLINK("http://www.worldcat.org/oclc/524372","WorldCat Record")</f>
        <v>WorldCat Record</v>
      </c>
      <c r="AX219" s="3" t="s">
        <v>2036</v>
      </c>
      <c r="AY219" s="3" t="s">
        <v>2037</v>
      </c>
      <c r="AZ219" s="3" t="s">
        <v>2038</v>
      </c>
      <c r="BA219" s="3" t="s">
        <v>2038</v>
      </c>
      <c r="BB219" s="3" t="s">
        <v>2039</v>
      </c>
      <c r="BC219" s="3" t="s">
        <v>77</v>
      </c>
      <c r="BD219" s="3" t="s">
        <v>78</v>
      </c>
      <c r="BE219" s="3" t="s">
        <v>2040</v>
      </c>
      <c r="BF219" s="3" t="s">
        <v>2039</v>
      </c>
      <c r="BG219" s="3" t="s">
        <v>2041</v>
      </c>
      <c r="BH219">
        <f t="shared" si="8"/>
        <v>0</v>
      </c>
    </row>
    <row r="220" spans="1:60" ht="58" x14ac:dyDescent="0.35">
      <c r="A220" s="2" t="s">
        <v>59</v>
      </c>
      <c r="B220" s="2" t="s">
        <v>60</v>
      </c>
      <c r="C220" s="2" t="s">
        <v>2030</v>
      </c>
      <c r="D220" s="2" t="s">
        <v>2031</v>
      </c>
      <c r="E220" s="2" t="s">
        <v>2032</v>
      </c>
      <c r="F220" s="3" t="s">
        <v>489</v>
      </c>
      <c r="G220" s="3" t="s">
        <v>128</v>
      </c>
      <c r="I220" s="3" t="s">
        <v>64</v>
      </c>
      <c r="J220" s="3" t="s">
        <v>64</v>
      </c>
      <c r="K220" s="3" t="s">
        <v>65</v>
      </c>
      <c r="M220" s="2" t="s">
        <v>2033</v>
      </c>
      <c r="N220" s="3" t="s">
        <v>922</v>
      </c>
      <c r="P220" s="3" t="s">
        <v>102</v>
      </c>
      <c r="Q220" s="2" t="s">
        <v>2034</v>
      </c>
      <c r="R220" s="3" t="s">
        <v>70</v>
      </c>
      <c r="S220" s="4">
        <v>5</v>
      </c>
      <c r="T220" s="4">
        <v>9</v>
      </c>
      <c r="U220" s="5" t="s">
        <v>2035</v>
      </c>
      <c r="V220" s="5" t="s">
        <v>2035</v>
      </c>
      <c r="W220" s="5" t="s">
        <v>72</v>
      </c>
      <c r="X220" s="5" t="s">
        <v>72</v>
      </c>
      <c r="Y220" s="4">
        <v>117</v>
      </c>
      <c r="Z220" s="4">
        <v>7</v>
      </c>
      <c r="AA220" s="4">
        <v>7</v>
      </c>
      <c r="AB220" s="4">
        <v>1</v>
      </c>
      <c r="AC220" s="4">
        <v>1</v>
      </c>
      <c r="AD220" s="4">
        <v>58</v>
      </c>
      <c r="AE220" s="4">
        <v>58</v>
      </c>
      <c r="AF220" s="4">
        <v>0</v>
      </c>
      <c r="AG220" s="4">
        <v>0</v>
      </c>
      <c r="AH220" s="4">
        <v>53</v>
      </c>
      <c r="AI220" s="4">
        <v>53</v>
      </c>
      <c r="AJ220" s="4">
        <v>4</v>
      </c>
      <c r="AK220" s="4">
        <v>4</v>
      </c>
      <c r="AL220" s="4">
        <v>37</v>
      </c>
      <c r="AM220" s="4">
        <v>37</v>
      </c>
      <c r="AN220" s="4">
        <v>0</v>
      </c>
      <c r="AO220" s="4">
        <v>0</v>
      </c>
      <c r="AP220" s="4">
        <v>4</v>
      </c>
      <c r="AQ220" s="4">
        <v>4</v>
      </c>
      <c r="AR220" s="3" t="s">
        <v>64</v>
      </c>
      <c r="AS220" s="3" t="s">
        <v>64</v>
      </c>
      <c r="AT220" s="3" t="s">
        <v>128</v>
      </c>
      <c r="AU220" s="6" t="str">
        <f>HYPERLINK("http://catalog.hathitrust.org/Record/000225291","HathiTrust Record")</f>
        <v>HathiTrust Record</v>
      </c>
      <c r="AV220" s="6" t="str">
        <f>HYPERLINK("http://mcgill.on.worldcat.org/oclc/524372","Catalog Record")</f>
        <v>Catalog Record</v>
      </c>
      <c r="AW220" s="6" t="str">
        <f>HYPERLINK("http://www.worldcat.org/oclc/524372","WorldCat Record")</f>
        <v>WorldCat Record</v>
      </c>
      <c r="AX220" s="3" t="s">
        <v>2036</v>
      </c>
      <c r="AY220" s="3" t="s">
        <v>2037</v>
      </c>
      <c r="AZ220" s="3" t="s">
        <v>2038</v>
      </c>
      <c r="BA220" s="3" t="s">
        <v>2038</v>
      </c>
      <c r="BB220" s="3" t="s">
        <v>2042</v>
      </c>
      <c r="BC220" s="3" t="s">
        <v>77</v>
      </c>
      <c r="BD220" s="3" t="s">
        <v>78</v>
      </c>
      <c r="BE220" s="3" t="s">
        <v>2040</v>
      </c>
      <c r="BF220" s="3" t="s">
        <v>2042</v>
      </c>
      <c r="BG220" s="3" t="s">
        <v>2043</v>
      </c>
      <c r="BH220">
        <f t="shared" si="8"/>
        <v>0</v>
      </c>
    </row>
    <row r="221" spans="1:60" ht="58" x14ac:dyDescent="0.35">
      <c r="A221" s="2" t="s">
        <v>59</v>
      </c>
      <c r="B221" s="2" t="s">
        <v>60</v>
      </c>
      <c r="C221" s="2" t="s">
        <v>2030</v>
      </c>
      <c r="D221" s="2" t="s">
        <v>2031</v>
      </c>
      <c r="E221" s="2" t="s">
        <v>2032</v>
      </c>
      <c r="F221" s="3" t="s">
        <v>2044</v>
      </c>
      <c r="G221" s="3" t="s">
        <v>128</v>
      </c>
      <c r="I221" s="3" t="s">
        <v>64</v>
      </c>
      <c r="J221" s="3" t="s">
        <v>64</v>
      </c>
      <c r="K221" s="3" t="s">
        <v>65</v>
      </c>
      <c r="M221" s="2" t="s">
        <v>2033</v>
      </c>
      <c r="N221" s="3" t="s">
        <v>922</v>
      </c>
      <c r="P221" s="3" t="s">
        <v>102</v>
      </c>
      <c r="Q221" s="2" t="s">
        <v>2034</v>
      </c>
      <c r="R221" s="3" t="s">
        <v>70</v>
      </c>
      <c r="S221" s="4">
        <v>0</v>
      </c>
      <c r="T221" s="4">
        <v>9</v>
      </c>
      <c r="V221" s="5" t="s">
        <v>2035</v>
      </c>
      <c r="W221" s="5" t="s">
        <v>72</v>
      </c>
      <c r="X221" s="5" t="s">
        <v>72</v>
      </c>
      <c r="Y221" s="4">
        <v>117</v>
      </c>
      <c r="Z221" s="4">
        <v>7</v>
      </c>
      <c r="AA221" s="4">
        <v>7</v>
      </c>
      <c r="AB221" s="4">
        <v>1</v>
      </c>
      <c r="AC221" s="4">
        <v>1</v>
      </c>
      <c r="AD221" s="4">
        <v>58</v>
      </c>
      <c r="AE221" s="4">
        <v>58</v>
      </c>
      <c r="AF221" s="4">
        <v>0</v>
      </c>
      <c r="AG221" s="4">
        <v>0</v>
      </c>
      <c r="AH221" s="4">
        <v>53</v>
      </c>
      <c r="AI221" s="4">
        <v>53</v>
      </c>
      <c r="AJ221" s="4">
        <v>4</v>
      </c>
      <c r="AK221" s="4">
        <v>4</v>
      </c>
      <c r="AL221" s="4">
        <v>37</v>
      </c>
      <c r="AM221" s="4">
        <v>37</v>
      </c>
      <c r="AN221" s="4">
        <v>0</v>
      </c>
      <c r="AO221" s="4">
        <v>0</v>
      </c>
      <c r="AP221" s="4">
        <v>4</v>
      </c>
      <c r="AQ221" s="4">
        <v>4</v>
      </c>
      <c r="AR221" s="3" t="s">
        <v>64</v>
      </c>
      <c r="AS221" s="3" t="s">
        <v>64</v>
      </c>
      <c r="AT221" s="3" t="s">
        <v>128</v>
      </c>
      <c r="AU221" s="6" t="str">
        <f>HYPERLINK("http://catalog.hathitrust.org/Record/000225291","HathiTrust Record")</f>
        <v>HathiTrust Record</v>
      </c>
      <c r="AV221" s="6" t="str">
        <f>HYPERLINK("http://mcgill.on.worldcat.org/oclc/524372","Catalog Record")</f>
        <v>Catalog Record</v>
      </c>
      <c r="AW221" s="6" t="str">
        <f>HYPERLINK("http://www.worldcat.org/oclc/524372","WorldCat Record")</f>
        <v>WorldCat Record</v>
      </c>
      <c r="AX221" s="3" t="s">
        <v>2036</v>
      </c>
      <c r="AY221" s="3" t="s">
        <v>2037</v>
      </c>
      <c r="AZ221" s="3" t="s">
        <v>2038</v>
      </c>
      <c r="BA221" s="3" t="s">
        <v>2038</v>
      </c>
      <c r="BB221" s="3" t="s">
        <v>2045</v>
      </c>
      <c r="BC221" s="3" t="s">
        <v>77</v>
      </c>
      <c r="BD221" s="3" t="s">
        <v>78</v>
      </c>
      <c r="BE221" s="3" t="s">
        <v>2040</v>
      </c>
      <c r="BF221" s="3" t="s">
        <v>2045</v>
      </c>
      <c r="BG221" s="3" t="s">
        <v>2046</v>
      </c>
      <c r="BH221">
        <f t="shared" si="8"/>
        <v>0</v>
      </c>
    </row>
    <row r="222" spans="1:60" ht="58" x14ac:dyDescent="0.35">
      <c r="A222" s="2" t="s">
        <v>59</v>
      </c>
      <c r="B222" s="2" t="s">
        <v>60</v>
      </c>
      <c r="C222" s="2" t="s">
        <v>2030</v>
      </c>
      <c r="D222" s="2" t="s">
        <v>2031</v>
      </c>
      <c r="E222" s="2" t="s">
        <v>2032</v>
      </c>
      <c r="F222" s="3" t="s">
        <v>2047</v>
      </c>
      <c r="G222" s="3" t="s">
        <v>128</v>
      </c>
      <c r="I222" s="3" t="s">
        <v>64</v>
      </c>
      <c r="J222" s="3" t="s">
        <v>64</v>
      </c>
      <c r="K222" s="3" t="s">
        <v>65</v>
      </c>
      <c r="M222" s="2" t="s">
        <v>2033</v>
      </c>
      <c r="N222" s="3" t="s">
        <v>922</v>
      </c>
      <c r="P222" s="3" t="s">
        <v>102</v>
      </c>
      <c r="Q222" s="2" t="s">
        <v>2034</v>
      </c>
      <c r="R222" s="3" t="s">
        <v>70</v>
      </c>
      <c r="S222" s="4">
        <v>0</v>
      </c>
      <c r="T222" s="4">
        <v>9</v>
      </c>
      <c r="V222" s="5" t="s">
        <v>2035</v>
      </c>
      <c r="W222" s="5" t="s">
        <v>72</v>
      </c>
      <c r="X222" s="5" t="s">
        <v>72</v>
      </c>
      <c r="Y222" s="4">
        <v>117</v>
      </c>
      <c r="Z222" s="4">
        <v>7</v>
      </c>
      <c r="AA222" s="4">
        <v>7</v>
      </c>
      <c r="AB222" s="4">
        <v>1</v>
      </c>
      <c r="AC222" s="4">
        <v>1</v>
      </c>
      <c r="AD222" s="4">
        <v>58</v>
      </c>
      <c r="AE222" s="4">
        <v>58</v>
      </c>
      <c r="AF222" s="4">
        <v>0</v>
      </c>
      <c r="AG222" s="4">
        <v>0</v>
      </c>
      <c r="AH222" s="4">
        <v>53</v>
      </c>
      <c r="AI222" s="4">
        <v>53</v>
      </c>
      <c r="AJ222" s="4">
        <v>4</v>
      </c>
      <c r="AK222" s="4">
        <v>4</v>
      </c>
      <c r="AL222" s="4">
        <v>37</v>
      </c>
      <c r="AM222" s="4">
        <v>37</v>
      </c>
      <c r="AN222" s="4">
        <v>0</v>
      </c>
      <c r="AO222" s="4">
        <v>0</v>
      </c>
      <c r="AP222" s="4">
        <v>4</v>
      </c>
      <c r="AQ222" s="4">
        <v>4</v>
      </c>
      <c r="AR222" s="3" t="s">
        <v>64</v>
      </c>
      <c r="AS222" s="3" t="s">
        <v>64</v>
      </c>
      <c r="AT222" s="3" t="s">
        <v>128</v>
      </c>
      <c r="AU222" s="6" t="str">
        <f>HYPERLINK("http://catalog.hathitrust.org/Record/000225291","HathiTrust Record")</f>
        <v>HathiTrust Record</v>
      </c>
      <c r="AV222" s="6" t="str">
        <f>HYPERLINK("http://mcgill.on.worldcat.org/oclc/524372","Catalog Record")</f>
        <v>Catalog Record</v>
      </c>
      <c r="AW222" s="6" t="str">
        <f>HYPERLINK("http://www.worldcat.org/oclc/524372","WorldCat Record")</f>
        <v>WorldCat Record</v>
      </c>
      <c r="AX222" s="3" t="s">
        <v>2036</v>
      </c>
      <c r="AY222" s="3" t="s">
        <v>2037</v>
      </c>
      <c r="AZ222" s="3" t="s">
        <v>2038</v>
      </c>
      <c r="BA222" s="3" t="s">
        <v>2038</v>
      </c>
      <c r="BB222" s="3" t="s">
        <v>2048</v>
      </c>
      <c r="BC222" s="3" t="s">
        <v>77</v>
      </c>
      <c r="BD222" s="3" t="s">
        <v>78</v>
      </c>
      <c r="BE222" s="3" t="s">
        <v>2040</v>
      </c>
      <c r="BF222" s="3" t="s">
        <v>2048</v>
      </c>
      <c r="BG222" s="3" t="s">
        <v>2049</v>
      </c>
      <c r="BH222">
        <f t="shared" si="8"/>
        <v>0</v>
      </c>
    </row>
    <row r="223" spans="1:60" ht="58" x14ac:dyDescent="0.35">
      <c r="A223" s="2" t="s">
        <v>59</v>
      </c>
      <c r="B223" s="2" t="s">
        <v>60</v>
      </c>
      <c r="C223" s="2" t="s">
        <v>2050</v>
      </c>
      <c r="D223" s="2" t="s">
        <v>2051</v>
      </c>
      <c r="E223" s="2" t="s">
        <v>2052</v>
      </c>
      <c r="G223" s="3" t="s">
        <v>64</v>
      </c>
      <c r="I223" s="3" t="s">
        <v>64</v>
      </c>
      <c r="J223" s="3" t="s">
        <v>64</v>
      </c>
      <c r="K223" s="3" t="s">
        <v>65</v>
      </c>
      <c r="M223" s="2" t="s">
        <v>2053</v>
      </c>
      <c r="N223" s="3" t="s">
        <v>86</v>
      </c>
      <c r="P223" s="3" t="s">
        <v>102</v>
      </c>
      <c r="Q223" s="2" t="s">
        <v>2054</v>
      </c>
      <c r="R223" s="3" t="s">
        <v>70</v>
      </c>
      <c r="S223" s="4">
        <v>1</v>
      </c>
      <c r="T223" s="4">
        <v>1</v>
      </c>
      <c r="U223" s="5" t="s">
        <v>2055</v>
      </c>
      <c r="V223" s="5" t="s">
        <v>2055</v>
      </c>
      <c r="W223" s="5" t="s">
        <v>72</v>
      </c>
      <c r="X223" s="5" t="s">
        <v>72</v>
      </c>
      <c r="Y223" s="4">
        <v>132</v>
      </c>
      <c r="Z223" s="4">
        <v>11</v>
      </c>
      <c r="AA223" s="4">
        <v>19</v>
      </c>
      <c r="AB223" s="4">
        <v>1</v>
      </c>
      <c r="AC223" s="4">
        <v>5</v>
      </c>
      <c r="AD223" s="4">
        <v>50</v>
      </c>
      <c r="AE223" s="4">
        <v>64</v>
      </c>
      <c r="AF223" s="4">
        <v>0</v>
      </c>
      <c r="AG223" s="4">
        <v>2</v>
      </c>
      <c r="AH223" s="4">
        <v>46</v>
      </c>
      <c r="AI223" s="4">
        <v>55</v>
      </c>
      <c r="AJ223" s="4">
        <v>6</v>
      </c>
      <c r="AK223" s="4">
        <v>10</v>
      </c>
      <c r="AL223" s="4">
        <v>32</v>
      </c>
      <c r="AM223" s="4">
        <v>37</v>
      </c>
      <c r="AN223" s="4">
        <v>0</v>
      </c>
      <c r="AO223" s="4">
        <v>0</v>
      </c>
      <c r="AP223" s="4">
        <v>7</v>
      </c>
      <c r="AQ223" s="4">
        <v>12</v>
      </c>
      <c r="AR223" s="3" t="s">
        <v>64</v>
      </c>
      <c r="AS223" s="3" t="s">
        <v>64</v>
      </c>
      <c r="AT223" s="3" t="s">
        <v>64</v>
      </c>
      <c r="AV223" s="6" t="str">
        <f>HYPERLINK("http://mcgill.on.worldcat.org/oclc/788275738","Catalog Record")</f>
        <v>Catalog Record</v>
      </c>
      <c r="AW223" s="6" t="str">
        <f>HYPERLINK("http://www.worldcat.org/oclc/788275738","WorldCat Record")</f>
        <v>WorldCat Record</v>
      </c>
      <c r="AX223" s="3" t="s">
        <v>2056</v>
      </c>
      <c r="AY223" s="3" t="s">
        <v>2057</v>
      </c>
      <c r="AZ223" s="3" t="s">
        <v>2058</v>
      </c>
      <c r="BA223" s="3" t="s">
        <v>2058</v>
      </c>
      <c r="BB223" s="3" t="s">
        <v>2059</v>
      </c>
      <c r="BC223" s="3" t="s">
        <v>77</v>
      </c>
      <c r="BD223" s="3" t="s">
        <v>78</v>
      </c>
      <c r="BE223" s="3" t="s">
        <v>2060</v>
      </c>
      <c r="BF223" s="3" t="s">
        <v>2059</v>
      </c>
      <c r="BG223" s="3" t="s">
        <v>2061</v>
      </c>
      <c r="BH223">
        <f t="shared" si="8"/>
        <v>0</v>
      </c>
    </row>
    <row r="224" spans="1:60" ht="58" x14ac:dyDescent="0.35">
      <c r="A224" s="2" t="s">
        <v>59</v>
      </c>
      <c r="B224" s="2" t="s">
        <v>60</v>
      </c>
      <c r="C224" s="2" t="s">
        <v>2062</v>
      </c>
      <c r="D224" s="2" t="s">
        <v>2063</v>
      </c>
      <c r="E224" s="2" t="s">
        <v>2064</v>
      </c>
      <c r="G224" s="3" t="s">
        <v>64</v>
      </c>
      <c r="I224" s="3" t="s">
        <v>128</v>
      </c>
      <c r="J224" s="3" t="s">
        <v>64</v>
      </c>
      <c r="K224" s="3" t="s">
        <v>65</v>
      </c>
      <c r="L224" s="2" t="s">
        <v>2065</v>
      </c>
      <c r="M224" s="2" t="s">
        <v>2066</v>
      </c>
      <c r="N224" s="3" t="s">
        <v>2067</v>
      </c>
      <c r="P224" s="3" t="s">
        <v>68</v>
      </c>
      <c r="Q224" s="2" t="s">
        <v>2068</v>
      </c>
      <c r="R224" s="3" t="s">
        <v>70</v>
      </c>
      <c r="S224" s="4">
        <v>21</v>
      </c>
      <c r="T224" s="4">
        <v>21</v>
      </c>
      <c r="U224" s="5" t="s">
        <v>2069</v>
      </c>
      <c r="V224" s="5" t="s">
        <v>2069</v>
      </c>
      <c r="W224" s="5" t="s">
        <v>72</v>
      </c>
      <c r="X224" s="5" t="s">
        <v>72</v>
      </c>
      <c r="Y224" s="4">
        <v>155</v>
      </c>
      <c r="Z224" s="4">
        <v>7</v>
      </c>
      <c r="AA224" s="4">
        <v>11</v>
      </c>
      <c r="AB224" s="4">
        <v>1</v>
      </c>
      <c r="AC224" s="4">
        <v>2</v>
      </c>
      <c r="AD224" s="4">
        <v>58</v>
      </c>
      <c r="AE224" s="4">
        <v>61</v>
      </c>
      <c r="AF224" s="4">
        <v>0</v>
      </c>
      <c r="AG224" s="4">
        <v>1</v>
      </c>
      <c r="AH224" s="4">
        <v>51</v>
      </c>
      <c r="AI224" s="4">
        <v>54</v>
      </c>
      <c r="AJ224" s="4">
        <v>4</v>
      </c>
      <c r="AK224" s="4">
        <v>7</v>
      </c>
      <c r="AL224" s="4">
        <v>39</v>
      </c>
      <c r="AM224" s="4">
        <v>39</v>
      </c>
      <c r="AN224" s="4">
        <v>0</v>
      </c>
      <c r="AO224" s="4">
        <v>0</v>
      </c>
      <c r="AP224" s="4">
        <v>5</v>
      </c>
      <c r="AQ224" s="4">
        <v>8</v>
      </c>
      <c r="AR224" s="3" t="s">
        <v>64</v>
      </c>
      <c r="AS224" s="3" t="s">
        <v>64</v>
      </c>
      <c r="AT224" s="3" t="s">
        <v>64</v>
      </c>
      <c r="AV224" s="6" t="str">
        <f>HYPERLINK("http://mcgill.on.worldcat.org/oclc/20498302","Catalog Record")</f>
        <v>Catalog Record</v>
      </c>
      <c r="AW224" s="6" t="str">
        <f>HYPERLINK("http://www.worldcat.org/oclc/20498302","WorldCat Record")</f>
        <v>WorldCat Record</v>
      </c>
      <c r="AX224" s="3" t="s">
        <v>2070</v>
      </c>
      <c r="AY224" s="3" t="s">
        <v>2071</v>
      </c>
      <c r="AZ224" s="3" t="s">
        <v>2072</v>
      </c>
      <c r="BA224" s="3" t="s">
        <v>2072</v>
      </c>
      <c r="BB224" s="3" t="s">
        <v>2073</v>
      </c>
      <c r="BC224" s="3" t="s">
        <v>77</v>
      </c>
      <c r="BD224" s="3" t="s">
        <v>78</v>
      </c>
      <c r="BF224" s="3" t="s">
        <v>2073</v>
      </c>
      <c r="BG224" s="3" t="s">
        <v>2074</v>
      </c>
      <c r="BH224">
        <f t="shared" si="8"/>
        <v>0</v>
      </c>
    </row>
    <row r="225" spans="1:60" ht="58" x14ac:dyDescent="0.35">
      <c r="A225" s="2" t="s">
        <v>59</v>
      </c>
      <c r="B225" s="2" t="s">
        <v>60</v>
      </c>
      <c r="C225" s="2" t="s">
        <v>2075</v>
      </c>
      <c r="D225" s="2" t="s">
        <v>2076</v>
      </c>
      <c r="E225" s="2" t="s">
        <v>2077</v>
      </c>
      <c r="G225" s="3" t="s">
        <v>64</v>
      </c>
      <c r="I225" s="3" t="s">
        <v>64</v>
      </c>
      <c r="J225" s="3" t="s">
        <v>64</v>
      </c>
      <c r="K225" s="3" t="s">
        <v>65</v>
      </c>
      <c r="M225" s="2" t="s">
        <v>2078</v>
      </c>
      <c r="N225" s="3" t="s">
        <v>190</v>
      </c>
      <c r="P225" s="3" t="s">
        <v>68</v>
      </c>
      <c r="Q225" s="2" t="s">
        <v>2079</v>
      </c>
      <c r="R225" s="3" t="s">
        <v>70</v>
      </c>
      <c r="S225" s="4">
        <v>0</v>
      </c>
      <c r="T225" s="4">
        <v>0</v>
      </c>
      <c r="W225" s="5" t="s">
        <v>72</v>
      </c>
      <c r="X225" s="5" t="s">
        <v>72</v>
      </c>
      <c r="Y225" s="4">
        <v>44</v>
      </c>
      <c r="Z225" s="4">
        <v>1</v>
      </c>
      <c r="AA225" s="4">
        <v>2</v>
      </c>
      <c r="AB225" s="4">
        <v>1</v>
      </c>
      <c r="AC225" s="4">
        <v>2</v>
      </c>
      <c r="AD225" s="4">
        <v>19</v>
      </c>
      <c r="AE225" s="4">
        <v>20</v>
      </c>
      <c r="AF225" s="4">
        <v>0</v>
      </c>
      <c r="AG225" s="4">
        <v>1</v>
      </c>
      <c r="AH225" s="4">
        <v>18</v>
      </c>
      <c r="AI225" s="4">
        <v>18</v>
      </c>
      <c r="AJ225" s="4">
        <v>0</v>
      </c>
      <c r="AK225" s="4">
        <v>1</v>
      </c>
      <c r="AL225" s="4">
        <v>14</v>
      </c>
      <c r="AM225" s="4">
        <v>14</v>
      </c>
      <c r="AN225" s="4">
        <v>0</v>
      </c>
      <c r="AO225" s="4">
        <v>0</v>
      </c>
      <c r="AP225" s="4">
        <v>0</v>
      </c>
      <c r="AQ225" s="4">
        <v>0</v>
      </c>
      <c r="AR225" s="3" t="s">
        <v>64</v>
      </c>
      <c r="AS225" s="3" t="s">
        <v>64</v>
      </c>
      <c r="AT225" s="3" t="s">
        <v>64</v>
      </c>
      <c r="AV225" s="6" t="str">
        <f>HYPERLINK("http://mcgill.on.worldcat.org/oclc/1005712538","Catalog Record")</f>
        <v>Catalog Record</v>
      </c>
      <c r="AW225" s="6" t="str">
        <f>HYPERLINK("http://www.worldcat.org/oclc/1005712538","WorldCat Record")</f>
        <v>WorldCat Record</v>
      </c>
      <c r="AX225" s="3" t="s">
        <v>2080</v>
      </c>
      <c r="AY225" s="3" t="s">
        <v>2081</v>
      </c>
      <c r="AZ225" s="3" t="s">
        <v>2082</v>
      </c>
      <c r="BA225" s="3" t="s">
        <v>2082</v>
      </c>
      <c r="BB225" s="3" t="s">
        <v>2083</v>
      </c>
      <c r="BC225" s="3" t="s">
        <v>77</v>
      </c>
      <c r="BD225" s="3" t="s">
        <v>78</v>
      </c>
      <c r="BE225" s="3" t="s">
        <v>2084</v>
      </c>
      <c r="BF225" s="3" t="s">
        <v>2083</v>
      </c>
      <c r="BG225" s="3" t="s">
        <v>2085</v>
      </c>
      <c r="BH225">
        <f t="shared" si="8"/>
        <v>0</v>
      </c>
    </row>
    <row r="226" spans="1:60" ht="58" x14ac:dyDescent="0.35">
      <c r="A226" s="2" t="s">
        <v>59</v>
      </c>
      <c r="B226" s="2" t="s">
        <v>60</v>
      </c>
      <c r="C226" s="2" t="s">
        <v>2086</v>
      </c>
      <c r="D226" s="2" t="s">
        <v>2087</v>
      </c>
      <c r="E226" s="2" t="s">
        <v>2088</v>
      </c>
      <c r="G226" s="3" t="s">
        <v>64</v>
      </c>
      <c r="I226" s="3" t="s">
        <v>64</v>
      </c>
      <c r="J226" s="3" t="s">
        <v>64</v>
      </c>
      <c r="K226" s="3" t="s">
        <v>65</v>
      </c>
      <c r="M226" s="2" t="s">
        <v>2089</v>
      </c>
      <c r="N226" s="3" t="s">
        <v>67</v>
      </c>
      <c r="P226" s="3" t="s">
        <v>102</v>
      </c>
      <c r="Q226" s="2" t="s">
        <v>2090</v>
      </c>
      <c r="R226" s="3" t="s">
        <v>70</v>
      </c>
      <c r="S226" s="4">
        <v>1</v>
      </c>
      <c r="T226" s="4">
        <v>1</v>
      </c>
      <c r="U226" s="5" t="s">
        <v>2091</v>
      </c>
      <c r="V226" s="5" t="s">
        <v>2091</v>
      </c>
      <c r="W226" s="5" t="s">
        <v>72</v>
      </c>
      <c r="X226" s="5" t="s">
        <v>72</v>
      </c>
      <c r="Y226" s="4">
        <v>26</v>
      </c>
      <c r="Z226" s="4">
        <v>7</v>
      </c>
      <c r="AA226" s="4">
        <v>23</v>
      </c>
      <c r="AB226" s="4">
        <v>1</v>
      </c>
      <c r="AC226" s="4">
        <v>3</v>
      </c>
      <c r="AD226" s="4">
        <v>12</v>
      </c>
      <c r="AE226" s="4">
        <v>53</v>
      </c>
      <c r="AF226" s="4">
        <v>0</v>
      </c>
      <c r="AG226" s="4">
        <v>0</v>
      </c>
      <c r="AH226" s="4">
        <v>12</v>
      </c>
      <c r="AI226" s="4">
        <v>43</v>
      </c>
      <c r="AJ226" s="4">
        <v>4</v>
      </c>
      <c r="AK226" s="4">
        <v>9</v>
      </c>
      <c r="AL226" s="4">
        <v>6</v>
      </c>
      <c r="AM226" s="4">
        <v>24</v>
      </c>
      <c r="AN226" s="4">
        <v>0</v>
      </c>
      <c r="AO226" s="4">
        <v>0</v>
      </c>
      <c r="AP226" s="4">
        <v>4</v>
      </c>
      <c r="AQ226" s="4">
        <v>14</v>
      </c>
      <c r="AR226" s="3" t="s">
        <v>64</v>
      </c>
      <c r="AS226" s="3" t="s">
        <v>64</v>
      </c>
      <c r="AT226" s="3" t="s">
        <v>64</v>
      </c>
      <c r="AV226" s="6" t="str">
        <f>HYPERLINK("http://mcgill.on.worldcat.org/oclc/903974597","Catalog Record")</f>
        <v>Catalog Record</v>
      </c>
      <c r="AW226" s="6" t="str">
        <f>HYPERLINK("http://www.worldcat.org/oclc/903974597","WorldCat Record")</f>
        <v>WorldCat Record</v>
      </c>
      <c r="AX226" s="3" t="s">
        <v>2092</v>
      </c>
      <c r="AY226" s="3" t="s">
        <v>2093</v>
      </c>
      <c r="AZ226" s="3" t="s">
        <v>2094</v>
      </c>
      <c r="BA226" s="3" t="s">
        <v>2094</v>
      </c>
      <c r="BB226" s="3" t="s">
        <v>2095</v>
      </c>
      <c r="BC226" s="3" t="s">
        <v>77</v>
      </c>
      <c r="BD226" s="3" t="s">
        <v>78</v>
      </c>
      <c r="BE226" s="3" t="s">
        <v>2096</v>
      </c>
      <c r="BF226" s="3" t="s">
        <v>2095</v>
      </c>
      <c r="BG226" s="3" t="s">
        <v>2097</v>
      </c>
      <c r="BH226">
        <f t="shared" si="8"/>
        <v>0</v>
      </c>
    </row>
    <row r="227" spans="1:60" ht="101.5" x14ac:dyDescent="0.35">
      <c r="A227" s="2" t="s">
        <v>59</v>
      </c>
      <c r="B227" s="2" t="s">
        <v>60</v>
      </c>
      <c r="C227" s="2" t="s">
        <v>2098</v>
      </c>
      <c r="D227" s="2" t="s">
        <v>2099</v>
      </c>
      <c r="E227" s="2" t="s">
        <v>2100</v>
      </c>
      <c r="G227" s="3" t="s">
        <v>64</v>
      </c>
      <c r="I227" s="3" t="s">
        <v>64</v>
      </c>
      <c r="J227" s="3" t="s">
        <v>64</v>
      </c>
      <c r="K227" s="3" t="s">
        <v>65</v>
      </c>
      <c r="M227" s="2" t="s">
        <v>2101</v>
      </c>
      <c r="N227" s="3" t="s">
        <v>326</v>
      </c>
      <c r="P227" s="3" t="s">
        <v>102</v>
      </c>
      <c r="Q227" s="2" t="s">
        <v>2102</v>
      </c>
      <c r="R227" s="3" t="s">
        <v>70</v>
      </c>
      <c r="S227" s="4">
        <v>3</v>
      </c>
      <c r="T227" s="4">
        <v>3</v>
      </c>
      <c r="U227" s="5" t="s">
        <v>2103</v>
      </c>
      <c r="V227" s="5" t="s">
        <v>2103</v>
      </c>
      <c r="W227" s="5" t="s">
        <v>72</v>
      </c>
      <c r="X227" s="5" t="s">
        <v>72</v>
      </c>
      <c r="Y227" s="4">
        <v>124</v>
      </c>
      <c r="Z227" s="4">
        <v>10</v>
      </c>
      <c r="AA227" s="4">
        <v>14</v>
      </c>
      <c r="AB227" s="4">
        <v>1</v>
      </c>
      <c r="AC227" s="4">
        <v>5</v>
      </c>
      <c r="AD227" s="4">
        <v>43</v>
      </c>
      <c r="AE227" s="4">
        <v>45</v>
      </c>
      <c r="AF227" s="4">
        <v>0</v>
      </c>
      <c r="AG227" s="4">
        <v>2</v>
      </c>
      <c r="AH227" s="4">
        <v>39</v>
      </c>
      <c r="AI227" s="4">
        <v>40</v>
      </c>
      <c r="AJ227" s="4">
        <v>6</v>
      </c>
      <c r="AK227" s="4">
        <v>8</v>
      </c>
      <c r="AL227" s="4">
        <v>28</v>
      </c>
      <c r="AM227" s="4">
        <v>28</v>
      </c>
      <c r="AN227" s="4">
        <v>0</v>
      </c>
      <c r="AO227" s="4">
        <v>0</v>
      </c>
      <c r="AP227" s="4">
        <v>7</v>
      </c>
      <c r="AQ227" s="4">
        <v>8</v>
      </c>
      <c r="AR227" s="3" t="s">
        <v>64</v>
      </c>
      <c r="AS227" s="3" t="s">
        <v>64</v>
      </c>
      <c r="AT227" s="3" t="s">
        <v>64</v>
      </c>
      <c r="AV227" s="6" t="str">
        <f>HYPERLINK("http://mcgill.on.worldcat.org/oclc/742516100","Catalog Record")</f>
        <v>Catalog Record</v>
      </c>
      <c r="AW227" s="6" t="str">
        <f>HYPERLINK("http://www.worldcat.org/oclc/742516100","WorldCat Record")</f>
        <v>WorldCat Record</v>
      </c>
      <c r="AX227" s="3" t="s">
        <v>2104</v>
      </c>
      <c r="AY227" s="3" t="s">
        <v>2105</v>
      </c>
      <c r="AZ227" s="3" t="s">
        <v>2106</v>
      </c>
      <c r="BA227" s="3" t="s">
        <v>2106</v>
      </c>
      <c r="BB227" s="3" t="s">
        <v>2107</v>
      </c>
      <c r="BC227" s="3" t="s">
        <v>77</v>
      </c>
      <c r="BD227" s="3" t="s">
        <v>78</v>
      </c>
      <c r="BE227" s="3" t="s">
        <v>2108</v>
      </c>
      <c r="BF227" s="3" t="s">
        <v>2107</v>
      </c>
      <c r="BG227" s="3" t="s">
        <v>2109</v>
      </c>
      <c r="BH227">
        <f t="shared" si="8"/>
        <v>0</v>
      </c>
    </row>
    <row r="228" spans="1:60" ht="58" x14ac:dyDescent="0.35">
      <c r="A228" s="2" t="s">
        <v>59</v>
      </c>
      <c r="B228" s="2" t="s">
        <v>60</v>
      </c>
      <c r="C228" s="2" t="s">
        <v>2110</v>
      </c>
      <c r="D228" s="2" t="s">
        <v>2111</v>
      </c>
      <c r="E228" s="2" t="s">
        <v>2112</v>
      </c>
      <c r="G228" s="3" t="s">
        <v>64</v>
      </c>
      <c r="I228" s="3" t="s">
        <v>64</v>
      </c>
      <c r="J228" s="3" t="s">
        <v>64</v>
      </c>
      <c r="K228" s="3" t="s">
        <v>65</v>
      </c>
      <c r="L228" s="2" t="s">
        <v>2113</v>
      </c>
      <c r="M228" s="2" t="s">
        <v>2114</v>
      </c>
      <c r="N228" s="3" t="s">
        <v>144</v>
      </c>
      <c r="P228" s="3" t="s">
        <v>102</v>
      </c>
      <c r="R228" s="3" t="s">
        <v>70</v>
      </c>
      <c r="S228" s="4">
        <v>5</v>
      </c>
      <c r="T228" s="4">
        <v>5</v>
      </c>
      <c r="U228" s="5" t="s">
        <v>2115</v>
      </c>
      <c r="V228" s="5" t="s">
        <v>2115</v>
      </c>
      <c r="W228" s="5" t="s">
        <v>72</v>
      </c>
      <c r="X228" s="5" t="s">
        <v>72</v>
      </c>
      <c r="Y228" s="4">
        <v>214</v>
      </c>
      <c r="Z228" s="4">
        <v>14</v>
      </c>
      <c r="AA228" s="4">
        <v>19</v>
      </c>
      <c r="AB228" s="4">
        <v>1</v>
      </c>
      <c r="AC228" s="4">
        <v>4</v>
      </c>
      <c r="AD228" s="4">
        <v>76</v>
      </c>
      <c r="AE228" s="4">
        <v>79</v>
      </c>
      <c r="AF228" s="4">
        <v>0</v>
      </c>
      <c r="AG228" s="4">
        <v>0</v>
      </c>
      <c r="AH228" s="4">
        <v>70</v>
      </c>
      <c r="AI228" s="4">
        <v>72</v>
      </c>
      <c r="AJ228" s="4">
        <v>9</v>
      </c>
      <c r="AK228" s="4">
        <v>10</v>
      </c>
      <c r="AL228" s="4">
        <v>47</v>
      </c>
      <c r="AM228" s="4">
        <v>47</v>
      </c>
      <c r="AN228" s="4">
        <v>0</v>
      </c>
      <c r="AO228" s="4">
        <v>0</v>
      </c>
      <c r="AP228" s="4">
        <v>9</v>
      </c>
      <c r="AQ228" s="4">
        <v>11</v>
      </c>
      <c r="AR228" s="3" t="s">
        <v>64</v>
      </c>
      <c r="AS228" s="3" t="s">
        <v>64</v>
      </c>
      <c r="AT228" s="3" t="s">
        <v>64</v>
      </c>
      <c r="AV228" s="6" t="str">
        <f>HYPERLINK("http://mcgill.on.worldcat.org/oclc/173748336","Catalog Record")</f>
        <v>Catalog Record</v>
      </c>
      <c r="AW228" s="6" t="str">
        <f>HYPERLINK("http://www.worldcat.org/oclc/173748336","WorldCat Record")</f>
        <v>WorldCat Record</v>
      </c>
      <c r="AX228" s="3" t="s">
        <v>2116</v>
      </c>
      <c r="AY228" s="3" t="s">
        <v>2117</v>
      </c>
      <c r="AZ228" s="3" t="s">
        <v>2118</v>
      </c>
      <c r="BA228" s="3" t="s">
        <v>2118</v>
      </c>
      <c r="BB228" s="3" t="s">
        <v>2119</v>
      </c>
      <c r="BC228" s="3" t="s">
        <v>77</v>
      </c>
      <c r="BD228" s="3" t="s">
        <v>78</v>
      </c>
      <c r="BE228" s="3" t="s">
        <v>2120</v>
      </c>
      <c r="BF228" s="3" t="s">
        <v>2119</v>
      </c>
      <c r="BG228" s="3" t="s">
        <v>2121</v>
      </c>
      <c r="BH228">
        <f t="shared" si="8"/>
        <v>0</v>
      </c>
    </row>
    <row r="229" spans="1:60" ht="58" x14ac:dyDescent="0.35">
      <c r="A229" s="2" t="s">
        <v>59</v>
      </c>
      <c r="B229" s="2" t="s">
        <v>60</v>
      </c>
      <c r="C229" s="2" t="s">
        <v>2122</v>
      </c>
      <c r="D229" s="2" t="s">
        <v>2123</v>
      </c>
      <c r="E229" s="2" t="s">
        <v>2124</v>
      </c>
      <c r="G229" s="3" t="s">
        <v>64</v>
      </c>
      <c r="I229" s="3" t="s">
        <v>64</v>
      </c>
      <c r="J229" s="3" t="s">
        <v>64</v>
      </c>
      <c r="K229" s="3" t="s">
        <v>65</v>
      </c>
      <c r="L229" s="2" t="s">
        <v>2125</v>
      </c>
      <c r="M229" s="2" t="s">
        <v>2126</v>
      </c>
      <c r="N229" s="3" t="s">
        <v>1075</v>
      </c>
      <c r="P229" s="3" t="s">
        <v>102</v>
      </c>
      <c r="R229" s="3" t="s">
        <v>70</v>
      </c>
      <c r="S229" s="4">
        <v>3</v>
      </c>
      <c r="T229" s="4">
        <v>3</v>
      </c>
      <c r="U229" s="5" t="s">
        <v>1116</v>
      </c>
      <c r="V229" s="5" t="s">
        <v>1116</v>
      </c>
      <c r="W229" s="5" t="s">
        <v>72</v>
      </c>
      <c r="X229" s="5" t="s">
        <v>72</v>
      </c>
      <c r="Y229" s="4">
        <v>180</v>
      </c>
      <c r="Z229" s="4">
        <v>17</v>
      </c>
      <c r="AA229" s="4">
        <v>19</v>
      </c>
      <c r="AB229" s="4">
        <v>1</v>
      </c>
      <c r="AC229" s="4">
        <v>3</v>
      </c>
      <c r="AD229" s="4">
        <v>55</v>
      </c>
      <c r="AE229" s="4">
        <v>56</v>
      </c>
      <c r="AF229" s="4">
        <v>0</v>
      </c>
      <c r="AG229" s="4">
        <v>1</v>
      </c>
      <c r="AH229" s="4">
        <v>47</v>
      </c>
      <c r="AI229" s="4">
        <v>47</v>
      </c>
      <c r="AJ229" s="4">
        <v>8</v>
      </c>
      <c r="AK229" s="4">
        <v>9</v>
      </c>
      <c r="AL229" s="4">
        <v>38</v>
      </c>
      <c r="AM229" s="4">
        <v>38</v>
      </c>
      <c r="AN229" s="4">
        <v>0</v>
      </c>
      <c r="AO229" s="4">
        <v>0</v>
      </c>
      <c r="AP229" s="4">
        <v>11</v>
      </c>
      <c r="AQ229" s="4">
        <v>11</v>
      </c>
      <c r="AR229" s="3" t="s">
        <v>64</v>
      </c>
      <c r="AS229" s="3" t="s">
        <v>64</v>
      </c>
      <c r="AT229" s="3" t="s">
        <v>64</v>
      </c>
      <c r="AV229" s="6" t="str">
        <f>HYPERLINK("http://mcgill.on.worldcat.org/oclc/821025223","Catalog Record")</f>
        <v>Catalog Record</v>
      </c>
      <c r="AW229" s="6" t="str">
        <f>HYPERLINK("http://www.worldcat.org/oclc/821025223","WorldCat Record")</f>
        <v>WorldCat Record</v>
      </c>
      <c r="AX229" s="3" t="s">
        <v>2127</v>
      </c>
      <c r="AY229" s="3" t="s">
        <v>2128</v>
      </c>
      <c r="AZ229" s="3" t="s">
        <v>2129</v>
      </c>
      <c r="BA229" s="3" t="s">
        <v>2129</v>
      </c>
      <c r="BB229" s="3" t="s">
        <v>2130</v>
      </c>
      <c r="BC229" s="3" t="s">
        <v>77</v>
      </c>
      <c r="BD229" s="3" t="s">
        <v>78</v>
      </c>
      <c r="BE229" s="3" t="s">
        <v>2131</v>
      </c>
      <c r="BF229" s="3" t="s">
        <v>2130</v>
      </c>
      <c r="BG229" s="3" t="s">
        <v>2132</v>
      </c>
      <c r="BH229">
        <f t="shared" si="8"/>
        <v>0</v>
      </c>
    </row>
    <row r="230" spans="1:60" ht="58" x14ac:dyDescent="0.35">
      <c r="A230" s="2" t="s">
        <v>59</v>
      </c>
      <c r="B230" s="2" t="s">
        <v>60</v>
      </c>
      <c r="C230" s="2" t="s">
        <v>2133</v>
      </c>
      <c r="D230" s="2" t="s">
        <v>2134</v>
      </c>
      <c r="E230" s="2" t="s">
        <v>2135</v>
      </c>
      <c r="G230" s="3" t="s">
        <v>64</v>
      </c>
      <c r="I230" s="3" t="s">
        <v>64</v>
      </c>
      <c r="J230" s="3" t="s">
        <v>64</v>
      </c>
      <c r="K230" s="3" t="s">
        <v>65</v>
      </c>
      <c r="L230" s="2" t="s">
        <v>2136</v>
      </c>
      <c r="M230" s="2" t="s">
        <v>2137</v>
      </c>
      <c r="N230" s="3" t="s">
        <v>291</v>
      </c>
      <c r="P230" s="3" t="s">
        <v>102</v>
      </c>
      <c r="Q230" s="2" t="s">
        <v>2138</v>
      </c>
      <c r="R230" s="3" t="s">
        <v>70</v>
      </c>
      <c r="S230" s="4">
        <v>3</v>
      </c>
      <c r="T230" s="4">
        <v>3</v>
      </c>
      <c r="U230" s="5" t="s">
        <v>174</v>
      </c>
      <c r="V230" s="5" t="s">
        <v>174</v>
      </c>
      <c r="W230" s="5" t="s">
        <v>72</v>
      </c>
      <c r="X230" s="5" t="s">
        <v>72</v>
      </c>
      <c r="Y230" s="4">
        <v>135</v>
      </c>
      <c r="Z230" s="4">
        <v>14</v>
      </c>
      <c r="AA230" s="4">
        <v>17</v>
      </c>
      <c r="AB230" s="4">
        <v>1</v>
      </c>
      <c r="AC230" s="4">
        <v>3</v>
      </c>
      <c r="AD230" s="4">
        <v>59</v>
      </c>
      <c r="AE230" s="4">
        <v>61</v>
      </c>
      <c r="AF230" s="4">
        <v>0</v>
      </c>
      <c r="AG230" s="4">
        <v>0</v>
      </c>
      <c r="AH230" s="4">
        <v>53</v>
      </c>
      <c r="AI230" s="4">
        <v>54</v>
      </c>
      <c r="AJ230" s="4">
        <v>7</v>
      </c>
      <c r="AK230" s="4">
        <v>8</v>
      </c>
      <c r="AL230" s="4">
        <v>33</v>
      </c>
      <c r="AM230" s="4">
        <v>34</v>
      </c>
      <c r="AN230" s="4">
        <v>0</v>
      </c>
      <c r="AO230" s="4">
        <v>0</v>
      </c>
      <c r="AP230" s="4">
        <v>11</v>
      </c>
      <c r="AQ230" s="4">
        <v>12</v>
      </c>
      <c r="AR230" s="3" t="s">
        <v>64</v>
      </c>
      <c r="AS230" s="3" t="s">
        <v>64</v>
      </c>
      <c r="AT230" s="3" t="s">
        <v>64</v>
      </c>
      <c r="AV230" s="6" t="str">
        <f>HYPERLINK("http://mcgill.on.worldcat.org/oclc/122283895","Catalog Record")</f>
        <v>Catalog Record</v>
      </c>
      <c r="AW230" s="6" t="str">
        <f>HYPERLINK("http://www.worldcat.org/oclc/122283895","WorldCat Record")</f>
        <v>WorldCat Record</v>
      </c>
      <c r="AX230" s="3" t="s">
        <v>2139</v>
      </c>
      <c r="AY230" s="3" t="s">
        <v>2140</v>
      </c>
      <c r="AZ230" s="3" t="s">
        <v>2141</v>
      </c>
      <c r="BA230" s="3" t="s">
        <v>2141</v>
      </c>
      <c r="BB230" s="3" t="s">
        <v>2142</v>
      </c>
      <c r="BC230" s="3" t="s">
        <v>77</v>
      </c>
      <c r="BD230" s="3" t="s">
        <v>78</v>
      </c>
      <c r="BE230" s="3" t="s">
        <v>2143</v>
      </c>
      <c r="BF230" s="3" t="s">
        <v>2142</v>
      </c>
      <c r="BG230" s="3" t="s">
        <v>2144</v>
      </c>
      <c r="BH230">
        <f t="shared" si="8"/>
        <v>0</v>
      </c>
    </row>
    <row r="231" spans="1:60" ht="58" x14ac:dyDescent="0.35">
      <c r="A231" s="2" t="s">
        <v>59</v>
      </c>
      <c r="B231" s="2" t="s">
        <v>60</v>
      </c>
      <c r="C231" s="2" t="s">
        <v>2145</v>
      </c>
      <c r="D231" s="2" t="s">
        <v>2146</v>
      </c>
      <c r="E231" s="2" t="s">
        <v>2147</v>
      </c>
      <c r="G231" s="3" t="s">
        <v>64</v>
      </c>
      <c r="I231" s="3" t="s">
        <v>64</v>
      </c>
      <c r="J231" s="3" t="s">
        <v>64</v>
      </c>
      <c r="K231" s="3" t="s">
        <v>65</v>
      </c>
      <c r="M231" s="2" t="s">
        <v>2148</v>
      </c>
      <c r="N231" s="3" t="s">
        <v>86</v>
      </c>
      <c r="O231" s="2" t="s">
        <v>2149</v>
      </c>
      <c r="P231" s="3" t="s">
        <v>102</v>
      </c>
      <c r="Q231" s="2" t="s">
        <v>2150</v>
      </c>
      <c r="R231" s="3" t="s">
        <v>70</v>
      </c>
      <c r="S231" s="4">
        <v>3</v>
      </c>
      <c r="T231" s="4">
        <v>3</v>
      </c>
      <c r="U231" s="5" t="s">
        <v>2091</v>
      </c>
      <c r="V231" s="5" t="s">
        <v>2091</v>
      </c>
      <c r="W231" s="5" t="s">
        <v>72</v>
      </c>
      <c r="X231" s="5" t="s">
        <v>72</v>
      </c>
      <c r="Y231" s="4">
        <v>142</v>
      </c>
      <c r="Z231" s="4">
        <v>8</v>
      </c>
      <c r="AA231" s="4">
        <v>9</v>
      </c>
      <c r="AB231" s="4">
        <v>1</v>
      </c>
      <c r="AC231" s="4">
        <v>2</v>
      </c>
      <c r="AD231" s="4">
        <v>49</v>
      </c>
      <c r="AE231" s="4">
        <v>50</v>
      </c>
      <c r="AF231" s="4">
        <v>0</v>
      </c>
      <c r="AG231" s="4">
        <v>1</v>
      </c>
      <c r="AH231" s="4">
        <v>49</v>
      </c>
      <c r="AI231" s="4">
        <v>50</v>
      </c>
      <c r="AJ231" s="4">
        <v>4</v>
      </c>
      <c r="AK231" s="4">
        <v>5</v>
      </c>
      <c r="AL231" s="4">
        <v>34</v>
      </c>
      <c r="AM231" s="4">
        <v>34</v>
      </c>
      <c r="AN231" s="4">
        <v>0</v>
      </c>
      <c r="AO231" s="4">
        <v>0</v>
      </c>
      <c r="AP231" s="4">
        <v>4</v>
      </c>
      <c r="AQ231" s="4">
        <v>5</v>
      </c>
      <c r="AR231" s="3" t="s">
        <v>64</v>
      </c>
      <c r="AS231" s="3" t="s">
        <v>64</v>
      </c>
      <c r="AT231" s="3" t="s">
        <v>64</v>
      </c>
      <c r="AV231" s="6" t="str">
        <f>HYPERLINK("http://mcgill.on.worldcat.org/oclc/698450348","Catalog Record")</f>
        <v>Catalog Record</v>
      </c>
      <c r="AW231" s="6" t="str">
        <f>HYPERLINK("http://www.worldcat.org/oclc/698450348","WorldCat Record")</f>
        <v>WorldCat Record</v>
      </c>
      <c r="AX231" s="3" t="s">
        <v>2151</v>
      </c>
      <c r="AY231" s="3" t="s">
        <v>2152</v>
      </c>
      <c r="AZ231" s="3" t="s">
        <v>2153</v>
      </c>
      <c r="BA231" s="3" t="s">
        <v>2153</v>
      </c>
      <c r="BB231" s="3" t="s">
        <v>2154</v>
      </c>
      <c r="BC231" s="3" t="s">
        <v>77</v>
      </c>
      <c r="BD231" s="3" t="s">
        <v>78</v>
      </c>
      <c r="BE231" s="3" t="s">
        <v>2155</v>
      </c>
      <c r="BF231" s="3" t="s">
        <v>2154</v>
      </c>
      <c r="BG231" s="3" t="s">
        <v>2156</v>
      </c>
      <c r="BH231">
        <f t="shared" si="8"/>
        <v>0</v>
      </c>
    </row>
    <row r="232" spans="1:60" ht="72.5" x14ac:dyDescent="0.35">
      <c r="A232" s="2" t="s">
        <v>59</v>
      </c>
      <c r="B232" s="2" t="s">
        <v>1025</v>
      </c>
      <c r="C232" s="2" t="s">
        <v>2157</v>
      </c>
      <c r="D232" s="2" t="s">
        <v>2158</v>
      </c>
      <c r="E232" s="2" t="s">
        <v>2159</v>
      </c>
      <c r="G232" s="3" t="s">
        <v>64</v>
      </c>
      <c r="I232" s="3" t="s">
        <v>64</v>
      </c>
      <c r="J232" s="3" t="s">
        <v>64</v>
      </c>
      <c r="K232" s="3" t="s">
        <v>65</v>
      </c>
      <c r="M232" s="2" t="s">
        <v>2160</v>
      </c>
      <c r="N232" s="3" t="s">
        <v>1075</v>
      </c>
      <c r="P232" s="3" t="s">
        <v>102</v>
      </c>
      <c r="Q232" s="2" t="s">
        <v>2161</v>
      </c>
      <c r="R232" s="3" t="s">
        <v>70</v>
      </c>
      <c r="S232" s="4">
        <v>4</v>
      </c>
      <c r="T232" s="4">
        <v>4</v>
      </c>
      <c r="U232" s="5" t="s">
        <v>2162</v>
      </c>
      <c r="V232" s="5" t="s">
        <v>2162</v>
      </c>
      <c r="W232" s="5" t="s">
        <v>72</v>
      </c>
      <c r="X232" s="5" t="s">
        <v>72</v>
      </c>
      <c r="Y232" s="4">
        <v>122</v>
      </c>
      <c r="Z232" s="4">
        <v>12</v>
      </c>
      <c r="AA232" s="4">
        <v>15</v>
      </c>
      <c r="AB232" s="4">
        <v>1</v>
      </c>
      <c r="AC232" s="4">
        <v>3</v>
      </c>
      <c r="AD232" s="4">
        <v>48</v>
      </c>
      <c r="AE232" s="4">
        <v>54</v>
      </c>
      <c r="AF232" s="4">
        <v>0</v>
      </c>
      <c r="AG232" s="4">
        <v>1</v>
      </c>
      <c r="AH232" s="4">
        <v>44</v>
      </c>
      <c r="AI232" s="4">
        <v>50</v>
      </c>
      <c r="AJ232" s="4">
        <v>7</v>
      </c>
      <c r="AK232" s="4">
        <v>9</v>
      </c>
      <c r="AL232" s="4">
        <v>31</v>
      </c>
      <c r="AM232" s="4">
        <v>33</v>
      </c>
      <c r="AN232" s="4">
        <v>0</v>
      </c>
      <c r="AO232" s="4">
        <v>0</v>
      </c>
      <c r="AP232" s="4">
        <v>7</v>
      </c>
      <c r="AQ232" s="4">
        <v>9</v>
      </c>
      <c r="AR232" s="3" t="s">
        <v>64</v>
      </c>
      <c r="AS232" s="3" t="s">
        <v>64</v>
      </c>
      <c r="AT232" s="3" t="s">
        <v>64</v>
      </c>
      <c r="AV232" s="6" t="str">
        <f>HYPERLINK("http://mcgill.on.worldcat.org/oclc/812689011","Catalog Record")</f>
        <v>Catalog Record</v>
      </c>
      <c r="AW232" s="6" t="str">
        <f>HYPERLINK("http://www.worldcat.org/oclc/812689011","WorldCat Record")</f>
        <v>WorldCat Record</v>
      </c>
      <c r="AX232" s="3" t="s">
        <v>2163</v>
      </c>
      <c r="AY232" s="3" t="s">
        <v>2164</v>
      </c>
      <c r="AZ232" s="3" t="s">
        <v>2165</v>
      </c>
      <c r="BA232" s="3" t="s">
        <v>2165</v>
      </c>
      <c r="BB232" s="3" t="s">
        <v>2166</v>
      </c>
      <c r="BC232" s="3" t="s">
        <v>77</v>
      </c>
      <c r="BD232" s="3" t="s">
        <v>165</v>
      </c>
      <c r="BE232" s="3" t="s">
        <v>2167</v>
      </c>
      <c r="BF232" s="3" t="s">
        <v>2166</v>
      </c>
      <c r="BG232" s="3" t="s">
        <v>2168</v>
      </c>
      <c r="BH232">
        <f t="shared" si="8"/>
        <v>0</v>
      </c>
    </row>
    <row r="233" spans="1:60" ht="58" x14ac:dyDescent="0.35">
      <c r="A233" s="2" t="s">
        <v>59</v>
      </c>
      <c r="B233" s="2" t="s">
        <v>60</v>
      </c>
      <c r="C233" s="2" t="s">
        <v>2169</v>
      </c>
      <c r="D233" s="2" t="s">
        <v>2170</v>
      </c>
      <c r="E233" s="2" t="s">
        <v>2171</v>
      </c>
      <c r="G233" s="3" t="s">
        <v>64</v>
      </c>
      <c r="I233" s="3" t="s">
        <v>64</v>
      </c>
      <c r="J233" s="3" t="s">
        <v>64</v>
      </c>
      <c r="K233" s="3" t="s">
        <v>65</v>
      </c>
      <c r="M233" s="2" t="s">
        <v>2172</v>
      </c>
      <c r="N233" s="3" t="s">
        <v>291</v>
      </c>
      <c r="P233" s="3" t="s">
        <v>102</v>
      </c>
      <c r="Q233" s="2" t="s">
        <v>2173</v>
      </c>
      <c r="R233" s="3" t="s">
        <v>70</v>
      </c>
      <c r="S233" s="4">
        <v>8</v>
      </c>
      <c r="T233" s="4">
        <v>8</v>
      </c>
      <c r="U233" s="5" t="s">
        <v>174</v>
      </c>
      <c r="V233" s="5" t="s">
        <v>174</v>
      </c>
      <c r="W233" s="5" t="s">
        <v>72</v>
      </c>
      <c r="X233" s="5" t="s">
        <v>72</v>
      </c>
      <c r="Y233" s="4">
        <v>160</v>
      </c>
      <c r="Z233" s="4">
        <v>15</v>
      </c>
      <c r="AA233" s="4">
        <v>16</v>
      </c>
      <c r="AB233" s="4">
        <v>1</v>
      </c>
      <c r="AC233" s="4">
        <v>2</v>
      </c>
      <c r="AD233" s="4">
        <v>56</v>
      </c>
      <c r="AE233" s="4">
        <v>57</v>
      </c>
      <c r="AF233" s="4">
        <v>0</v>
      </c>
      <c r="AG233" s="4">
        <v>1</v>
      </c>
      <c r="AH233" s="4">
        <v>50</v>
      </c>
      <c r="AI233" s="4">
        <v>51</v>
      </c>
      <c r="AJ233" s="4">
        <v>9</v>
      </c>
      <c r="AK233" s="4">
        <v>10</v>
      </c>
      <c r="AL233" s="4">
        <v>35</v>
      </c>
      <c r="AM233" s="4">
        <v>35</v>
      </c>
      <c r="AN233" s="4">
        <v>0</v>
      </c>
      <c r="AO233" s="4">
        <v>0</v>
      </c>
      <c r="AP233" s="4">
        <v>11</v>
      </c>
      <c r="AQ233" s="4">
        <v>12</v>
      </c>
      <c r="AR233" s="3" t="s">
        <v>64</v>
      </c>
      <c r="AS233" s="3" t="s">
        <v>64</v>
      </c>
      <c r="AT233" s="3" t="s">
        <v>64</v>
      </c>
      <c r="AV233" s="6" t="str">
        <f>HYPERLINK("http://mcgill.on.worldcat.org/oclc/195924598","Catalog Record")</f>
        <v>Catalog Record</v>
      </c>
      <c r="AW233" s="6" t="str">
        <f>HYPERLINK("http://www.worldcat.org/oclc/195924598","WorldCat Record")</f>
        <v>WorldCat Record</v>
      </c>
      <c r="AX233" s="3" t="s">
        <v>2174</v>
      </c>
      <c r="AY233" s="3" t="s">
        <v>2175</v>
      </c>
      <c r="AZ233" s="3" t="s">
        <v>2176</v>
      </c>
      <c r="BA233" s="3" t="s">
        <v>2176</v>
      </c>
      <c r="BB233" s="3" t="s">
        <v>2177</v>
      </c>
      <c r="BC233" s="3" t="s">
        <v>77</v>
      </c>
      <c r="BD233" s="3" t="s">
        <v>78</v>
      </c>
      <c r="BE233" s="3" t="s">
        <v>2178</v>
      </c>
      <c r="BF233" s="3" t="s">
        <v>2177</v>
      </c>
      <c r="BG233" s="3" t="s">
        <v>2179</v>
      </c>
      <c r="BH233">
        <f t="shared" si="8"/>
        <v>0</v>
      </c>
    </row>
    <row r="234" spans="1:60" ht="72.5" x14ac:dyDescent="0.35">
      <c r="A234" s="2" t="s">
        <v>59</v>
      </c>
      <c r="B234" s="2" t="s">
        <v>1025</v>
      </c>
      <c r="C234" s="2" t="s">
        <v>2180</v>
      </c>
      <c r="D234" s="2" t="s">
        <v>2181</v>
      </c>
      <c r="E234" s="2" t="s">
        <v>2182</v>
      </c>
      <c r="G234" s="3" t="s">
        <v>64</v>
      </c>
      <c r="I234" s="3" t="s">
        <v>128</v>
      </c>
      <c r="J234" s="3" t="s">
        <v>64</v>
      </c>
      <c r="K234" s="3" t="s">
        <v>65</v>
      </c>
      <c r="L234" s="2" t="s">
        <v>2183</v>
      </c>
      <c r="M234" s="2" t="s">
        <v>2184</v>
      </c>
      <c r="N234" s="3" t="s">
        <v>364</v>
      </c>
      <c r="P234" s="3" t="s">
        <v>68</v>
      </c>
      <c r="Q234" s="2" t="s">
        <v>2185</v>
      </c>
      <c r="R234" s="3" t="s">
        <v>70</v>
      </c>
      <c r="S234" s="4">
        <v>2</v>
      </c>
      <c r="T234" s="4">
        <v>16</v>
      </c>
      <c r="U234" s="5" t="s">
        <v>2186</v>
      </c>
      <c r="V234" s="5" t="s">
        <v>2187</v>
      </c>
      <c r="W234" s="5" t="s">
        <v>72</v>
      </c>
      <c r="X234" s="5" t="s">
        <v>72</v>
      </c>
      <c r="Y234" s="4">
        <v>243</v>
      </c>
      <c r="Z234" s="4">
        <v>20</v>
      </c>
      <c r="AA234" s="4">
        <v>32</v>
      </c>
      <c r="AB234" s="4">
        <v>2</v>
      </c>
      <c r="AC234" s="4">
        <v>9</v>
      </c>
      <c r="AD234" s="4">
        <v>77</v>
      </c>
      <c r="AE234" s="4">
        <v>91</v>
      </c>
      <c r="AF234" s="4">
        <v>0</v>
      </c>
      <c r="AG234" s="4">
        <v>4</v>
      </c>
      <c r="AH234" s="4">
        <v>67</v>
      </c>
      <c r="AI234" s="4">
        <v>77</v>
      </c>
      <c r="AJ234" s="4">
        <v>12</v>
      </c>
      <c r="AK234" s="4">
        <v>19</v>
      </c>
      <c r="AL234" s="4">
        <v>44</v>
      </c>
      <c r="AM234" s="4">
        <v>47</v>
      </c>
      <c r="AN234" s="4">
        <v>0</v>
      </c>
      <c r="AO234" s="4">
        <v>0</v>
      </c>
      <c r="AP234" s="4">
        <v>13</v>
      </c>
      <c r="AQ234" s="4">
        <v>20</v>
      </c>
      <c r="AR234" s="3" t="s">
        <v>64</v>
      </c>
      <c r="AS234" s="3" t="s">
        <v>64</v>
      </c>
      <c r="AT234" s="3" t="s">
        <v>64</v>
      </c>
      <c r="AV234" s="6" t="str">
        <f>HYPERLINK("http://mcgill.on.worldcat.org/oclc/678360","Catalog Record")</f>
        <v>Catalog Record</v>
      </c>
      <c r="AW234" s="6" t="str">
        <f>HYPERLINK("http://www.worldcat.org/oclc/678360","WorldCat Record")</f>
        <v>WorldCat Record</v>
      </c>
      <c r="AX234" s="3" t="s">
        <v>2188</v>
      </c>
      <c r="AY234" s="3" t="s">
        <v>2189</v>
      </c>
      <c r="AZ234" s="3" t="s">
        <v>2190</v>
      </c>
      <c r="BA234" s="3" t="s">
        <v>2190</v>
      </c>
      <c r="BB234" s="3" t="s">
        <v>2191</v>
      </c>
      <c r="BC234" s="3" t="s">
        <v>77</v>
      </c>
      <c r="BD234" s="3" t="s">
        <v>78</v>
      </c>
      <c r="BE234" s="3" t="s">
        <v>2192</v>
      </c>
      <c r="BF234" s="3" t="s">
        <v>2191</v>
      </c>
      <c r="BG234" s="3" t="s">
        <v>2193</v>
      </c>
      <c r="BH234">
        <f t="shared" si="8"/>
        <v>0</v>
      </c>
    </row>
    <row r="235" spans="1:60" ht="58" x14ac:dyDescent="0.35">
      <c r="A235" s="2" t="s">
        <v>59</v>
      </c>
      <c r="B235" s="2" t="s">
        <v>60</v>
      </c>
      <c r="C235" s="2" t="s">
        <v>2180</v>
      </c>
      <c r="D235" s="2" t="s">
        <v>2181</v>
      </c>
      <c r="E235" s="2" t="s">
        <v>2182</v>
      </c>
      <c r="G235" s="3" t="s">
        <v>64</v>
      </c>
      <c r="I235" s="3" t="s">
        <v>128</v>
      </c>
      <c r="J235" s="3" t="s">
        <v>64</v>
      </c>
      <c r="K235" s="3" t="s">
        <v>65</v>
      </c>
      <c r="L235" s="2" t="s">
        <v>2183</v>
      </c>
      <c r="M235" s="2" t="s">
        <v>2184</v>
      </c>
      <c r="N235" s="3" t="s">
        <v>364</v>
      </c>
      <c r="P235" s="3" t="s">
        <v>68</v>
      </c>
      <c r="Q235" s="2" t="s">
        <v>2185</v>
      </c>
      <c r="R235" s="3" t="s">
        <v>70</v>
      </c>
      <c r="S235" s="4">
        <v>14</v>
      </c>
      <c r="T235" s="4">
        <v>16</v>
      </c>
      <c r="U235" s="5" t="s">
        <v>2187</v>
      </c>
      <c r="V235" s="5" t="s">
        <v>2187</v>
      </c>
      <c r="W235" s="5" t="s">
        <v>72</v>
      </c>
      <c r="X235" s="5" t="s">
        <v>72</v>
      </c>
      <c r="Y235" s="4">
        <v>243</v>
      </c>
      <c r="Z235" s="4">
        <v>20</v>
      </c>
      <c r="AA235" s="4">
        <v>32</v>
      </c>
      <c r="AB235" s="4">
        <v>2</v>
      </c>
      <c r="AC235" s="4">
        <v>9</v>
      </c>
      <c r="AD235" s="4">
        <v>77</v>
      </c>
      <c r="AE235" s="4">
        <v>91</v>
      </c>
      <c r="AF235" s="4">
        <v>0</v>
      </c>
      <c r="AG235" s="4">
        <v>4</v>
      </c>
      <c r="AH235" s="4">
        <v>67</v>
      </c>
      <c r="AI235" s="4">
        <v>77</v>
      </c>
      <c r="AJ235" s="4">
        <v>12</v>
      </c>
      <c r="AK235" s="4">
        <v>19</v>
      </c>
      <c r="AL235" s="4">
        <v>44</v>
      </c>
      <c r="AM235" s="4">
        <v>47</v>
      </c>
      <c r="AN235" s="4">
        <v>0</v>
      </c>
      <c r="AO235" s="4">
        <v>0</v>
      </c>
      <c r="AP235" s="4">
        <v>13</v>
      </c>
      <c r="AQ235" s="4">
        <v>20</v>
      </c>
      <c r="AR235" s="3" t="s">
        <v>64</v>
      </c>
      <c r="AS235" s="3" t="s">
        <v>64</v>
      </c>
      <c r="AT235" s="3" t="s">
        <v>64</v>
      </c>
      <c r="AV235" s="6" t="str">
        <f>HYPERLINK("http://mcgill.on.worldcat.org/oclc/678360","Catalog Record")</f>
        <v>Catalog Record</v>
      </c>
      <c r="AW235" s="6" t="str">
        <f>HYPERLINK("http://www.worldcat.org/oclc/678360","WorldCat Record")</f>
        <v>WorldCat Record</v>
      </c>
      <c r="AX235" s="3" t="s">
        <v>2188</v>
      </c>
      <c r="AY235" s="3" t="s">
        <v>2189</v>
      </c>
      <c r="AZ235" s="3" t="s">
        <v>2190</v>
      </c>
      <c r="BA235" s="3" t="s">
        <v>2190</v>
      </c>
      <c r="BB235" s="3" t="s">
        <v>2194</v>
      </c>
      <c r="BC235" s="3" t="s">
        <v>77</v>
      </c>
      <c r="BD235" s="3" t="s">
        <v>78</v>
      </c>
      <c r="BE235" s="3" t="s">
        <v>2192</v>
      </c>
      <c r="BF235" s="3" t="s">
        <v>2194</v>
      </c>
      <c r="BG235" s="3" t="s">
        <v>2195</v>
      </c>
      <c r="BH235">
        <f t="shared" si="8"/>
        <v>0</v>
      </c>
    </row>
    <row r="236" spans="1:60" ht="58" x14ac:dyDescent="0.35">
      <c r="A236" s="2" t="s">
        <v>59</v>
      </c>
      <c r="B236" s="2" t="s">
        <v>60</v>
      </c>
      <c r="C236" s="2" t="s">
        <v>2196</v>
      </c>
      <c r="D236" s="2" t="s">
        <v>2197</v>
      </c>
      <c r="E236" s="2" t="s">
        <v>2198</v>
      </c>
      <c r="G236" s="3" t="s">
        <v>64</v>
      </c>
      <c r="I236" s="3" t="s">
        <v>64</v>
      </c>
      <c r="J236" s="3" t="s">
        <v>64</v>
      </c>
      <c r="K236" s="3" t="s">
        <v>65</v>
      </c>
      <c r="M236" s="2" t="s">
        <v>2199</v>
      </c>
      <c r="N236" s="3" t="s">
        <v>253</v>
      </c>
      <c r="P236" s="3" t="s">
        <v>102</v>
      </c>
      <c r="Q236" s="2" t="s">
        <v>2200</v>
      </c>
      <c r="R236" s="3" t="s">
        <v>70</v>
      </c>
      <c r="S236" s="4">
        <v>2</v>
      </c>
      <c r="T236" s="4">
        <v>2</v>
      </c>
      <c r="U236" s="5" t="s">
        <v>2091</v>
      </c>
      <c r="V236" s="5" t="s">
        <v>2091</v>
      </c>
      <c r="W236" s="5" t="s">
        <v>72</v>
      </c>
      <c r="X236" s="5" t="s">
        <v>72</v>
      </c>
      <c r="Y236" s="4">
        <v>122</v>
      </c>
      <c r="Z236" s="4">
        <v>11</v>
      </c>
      <c r="AA236" s="4">
        <v>11</v>
      </c>
      <c r="AB236" s="4">
        <v>1</v>
      </c>
      <c r="AC236" s="4">
        <v>1</v>
      </c>
      <c r="AD236" s="4">
        <v>47</v>
      </c>
      <c r="AE236" s="4">
        <v>47</v>
      </c>
      <c r="AF236" s="4">
        <v>0</v>
      </c>
      <c r="AG236" s="4">
        <v>0</v>
      </c>
      <c r="AH236" s="4">
        <v>43</v>
      </c>
      <c r="AI236" s="4">
        <v>43</v>
      </c>
      <c r="AJ236" s="4">
        <v>7</v>
      </c>
      <c r="AK236" s="4">
        <v>7</v>
      </c>
      <c r="AL236" s="4">
        <v>28</v>
      </c>
      <c r="AM236" s="4">
        <v>28</v>
      </c>
      <c r="AN236" s="4">
        <v>0</v>
      </c>
      <c r="AO236" s="4">
        <v>0</v>
      </c>
      <c r="AP236" s="4">
        <v>7</v>
      </c>
      <c r="AQ236" s="4">
        <v>7</v>
      </c>
      <c r="AR236" s="3" t="s">
        <v>64</v>
      </c>
      <c r="AS236" s="3" t="s">
        <v>64</v>
      </c>
      <c r="AT236" s="3" t="s">
        <v>64</v>
      </c>
      <c r="AV236" s="6" t="str">
        <f>HYPERLINK("http://mcgill.on.worldcat.org/oclc/910239505","Catalog Record")</f>
        <v>Catalog Record</v>
      </c>
      <c r="AW236" s="6" t="str">
        <f>HYPERLINK("http://www.worldcat.org/oclc/910239505","WorldCat Record")</f>
        <v>WorldCat Record</v>
      </c>
      <c r="AX236" s="3" t="s">
        <v>2201</v>
      </c>
      <c r="AY236" s="3" t="s">
        <v>2202</v>
      </c>
      <c r="AZ236" s="3" t="s">
        <v>2203</v>
      </c>
      <c r="BA236" s="3" t="s">
        <v>2203</v>
      </c>
      <c r="BB236" s="3" t="s">
        <v>2204</v>
      </c>
      <c r="BC236" s="3" t="s">
        <v>77</v>
      </c>
      <c r="BD236" s="3" t="s">
        <v>165</v>
      </c>
      <c r="BE236" s="3" t="s">
        <v>2205</v>
      </c>
      <c r="BF236" s="3" t="s">
        <v>2204</v>
      </c>
      <c r="BG236" s="3" t="s">
        <v>2206</v>
      </c>
      <c r="BH236">
        <f t="shared" si="8"/>
        <v>0</v>
      </c>
    </row>
    <row r="237" spans="1:60" ht="58" x14ac:dyDescent="0.35">
      <c r="A237" s="2" t="s">
        <v>59</v>
      </c>
      <c r="B237" s="2" t="s">
        <v>60</v>
      </c>
      <c r="C237" s="2" t="s">
        <v>2207</v>
      </c>
      <c r="D237" s="2" t="s">
        <v>2208</v>
      </c>
      <c r="E237" s="2" t="s">
        <v>2209</v>
      </c>
      <c r="G237" s="3" t="s">
        <v>64</v>
      </c>
      <c r="I237" s="3" t="s">
        <v>64</v>
      </c>
      <c r="J237" s="3" t="s">
        <v>64</v>
      </c>
      <c r="K237" s="3" t="s">
        <v>65</v>
      </c>
      <c r="M237" s="2" t="s">
        <v>2210</v>
      </c>
      <c r="N237" s="3" t="s">
        <v>326</v>
      </c>
      <c r="P237" s="3" t="s">
        <v>102</v>
      </c>
      <c r="Q237" s="2" t="s">
        <v>2211</v>
      </c>
      <c r="R237" s="3" t="s">
        <v>70</v>
      </c>
      <c r="S237" s="4">
        <v>8</v>
      </c>
      <c r="T237" s="4">
        <v>8</v>
      </c>
      <c r="U237" s="5" t="s">
        <v>1325</v>
      </c>
      <c r="V237" s="5" t="s">
        <v>1325</v>
      </c>
      <c r="W237" s="5" t="s">
        <v>72</v>
      </c>
      <c r="X237" s="5" t="s">
        <v>72</v>
      </c>
      <c r="Y237" s="4">
        <v>93</v>
      </c>
      <c r="Z237" s="4">
        <v>8</v>
      </c>
      <c r="AA237" s="4">
        <v>8</v>
      </c>
      <c r="AB237" s="4">
        <v>1</v>
      </c>
      <c r="AC237" s="4">
        <v>1</v>
      </c>
      <c r="AD237" s="4">
        <v>42</v>
      </c>
      <c r="AE237" s="4">
        <v>43</v>
      </c>
      <c r="AF237" s="4">
        <v>0</v>
      </c>
      <c r="AG237" s="4">
        <v>0</v>
      </c>
      <c r="AH237" s="4">
        <v>40</v>
      </c>
      <c r="AI237" s="4">
        <v>41</v>
      </c>
      <c r="AJ237" s="4">
        <v>3</v>
      </c>
      <c r="AK237" s="4">
        <v>3</v>
      </c>
      <c r="AL237" s="4">
        <v>28</v>
      </c>
      <c r="AM237" s="4">
        <v>29</v>
      </c>
      <c r="AN237" s="4">
        <v>0</v>
      </c>
      <c r="AO237" s="4">
        <v>0</v>
      </c>
      <c r="AP237" s="4">
        <v>5</v>
      </c>
      <c r="AQ237" s="4">
        <v>5</v>
      </c>
      <c r="AR237" s="3" t="s">
        <v>64</v>
      </c>
      <c r="AS237" s="3" t="s">
        <v>64</v>
      </c>
      <c r="AT237" s="3" t="s">
        <v>64</v>
      </c>
      <c r="AV237" s="6" t="str">
        <f>HYPERLINK("http://mcgill.on.worldcat.org/oclc/723137804","Catalog Record")</f>
        <v>Catalog Record</v>
      </c>
      <c r="AW237" s="6" t="str">
        <f>HYPERLINK("http://www.worldcat.org/oclc/723137804","WorldCat Record")</f>
        <v>WorldCat Record</v>
      </c>
      <c r="AX237" s="3" t="s">
        <v>2212</v>
      </c>
      <c r="AY237" s="3" t="s">
        <v>2213</v>
      </c>
      <c r="AZ237" s="3" t="s">
        <v>2214</v>
      </c>
      <c r="BA237" s="3" t="s">
        <v>2214</v>
      </c>
      <c r="BB237" s="3" t="s">
        <v>2215</v>
      </c>
      <c r="BC237" s="3" t="s">
        <v>77</v>
      </c>
      <c r="BD237" s="3" t="s">
        <v>78</v>
      </c>
      <c r="BE237" s="3" t="s">
        <v>2216</v>
      </c>
      <c r="BF237" s="3" t="s">
        <v>2215</v>
      </c>
      <c r="BG237" s="3" t="s">
        <v>2217</v>
      </c>
      <c r="BH237">
        <f t="shared" si="8"/>
        <v>0</v>
      </c>
    </row>
    <row r="238" spans="1:60" ht="58" x14ac:dyDescent="0.35">
      <c r="A238" s="2" t="s">
        <v>59</v>
      </c>
      <c r="B238" s="2" t="s">
        <v>60</v>
      </c>
      <c r="C238" s="2" t="s">
        <v>2218</v>
      </c>
      <c r="D238" s="2" t="s">
        <v>2219</v>
      </c>
      <c r="E238" s="2" t="s">
        <v>2220</v>
      </c>
      <c r="G238" s="3" t="s">
        <v>64</v>
      </c>
      <c r="I238" s="3" t="s">
        <v>64</v>
      </c>
      <c r="J238" s="3" t="s">
        <v>64</v>
      </c>
      <c r="K238" s="3" t="s">
        <v>65</v>
      </c>
      <c r="M238" s="2" t="s">
        <v>2221</v>
      </c>
      <c r="N238" s="3" t="s">
        <v>253</v>
      </c>
      <c r="P238" s="3" t="s">
        <v>102</v>
      </c>
      <c r="R238" s="3" t="s">
        <v>70</v>
      </c>
      <c r="S238" s="4">
        <v>11</v>
      </c>
      <c r="T238" s="4">
        <v>11</v>
      </c>
      <c r="U238" s="5" t="s">
        <v>2222</v>
      </c>
      <c r="V238" s="5" t="s">
        <v>2222</v>
      </c>
      <c r="W238" s="5" t="s">
        <v>72</v>
      </c>
      <c r="X238" s="5" t="s">
        <v>72</v>
      </c>
      <c r="Y238" s="4">
        <v>102</v>
      </c>
      <c r="Z238" s="4">
        <v>8</v>
      </c>
      <c r="AA238" s="4">
        <v>8</v>
      </c>
      <c r="AB238" s="4">
        <v>2</v>
      </c>
      <c r="AC238" s="4">
        <v>2</v>
      </c>
      <c r="AD238" s="4">
        <v>38</v>
      </c>
      <c r="AE238" s="4">
        <v>38</v>
      </c>
      <c r="AF238" s="4">
        <v>1</v>
      </c>
      <c r="AG238" s="4">
        <v>1</v>
      </c>
      <c r="AH238" s="4">
        <v>36</v>
      </c>
      <c r="AI238" s="4">
        <v>36</v>
      </c>
      <c r="AJ238" s="4">
        <v>4</v>
      </c>
      <c r="AK238" s="4">
        <v>4</v>
      </c>
      <c r="AL238" s="4">
        <v>22</v>
      </c>
      <c r="AM238" s="4">
        <v>22</v>
      </c>
      <c r="AN238" s="4">
        <v>0</v>
      </c>
      <c r="AO238" s="4">
        <v>0</v>
      </c>
      <c r="AP238" s="4">
        <v>4</v>
      </c>
      <c r="AQ238" s="4">
        <v>4</v>
      </c>
      <c r="AR238" s="3" t="s">
        <v>64</v>
      </c>
      <c r="AS238" s="3" t="s">
        <v>64</v>
      </c>
      <c r="AT238" s="3" t="s">
        <v>64</v>
      </c>
      <c r="AV238" s="6" t="str">
        <f>HYPERLINK("http://mcgill.on.worldcat.org/oclc/910834278","Catalog Record")</f>
        <v>Catalog Record</v>
      </c>
      <c r="AW238" s="6" t="str">
        <f>HYPERLINK("http://www.worldcat.org/oclc/910834278","WorldCat Record")</f>
        <v>WorldCat Record</v>
      </c>
      <c r="AX238" s="3" t="s">
        <v>2223</v>
      </c>
      <c r="AY238" s="3" t="s">
        <v>2224</v>
      </c>
      <c r="AZ238" s="3" t="s">
        <v>2225</v>
      </c>
      <c r="BA238" s="3" t="s">
        <v>2225</v>
      </c>
      <c r="BB238" s="3" t="s">
        <v>2226</v>
      </c>
      <c r="BC238" s="3" t="s">
        <v>77</v>
      </c>
      <c r="BD238" s="3" t="s">
        <v>165</v>
      </c>
      <c r="BE238" s="3" t="s">
        <v>2227</v>
      </c>
      <c r="BF238" s="3" t="s">
        <v>2226</v>
      </c>
      <c r="BG238" s="3" t="s">
        <v>2228</v>
      </c>
      <c r="BH238">
        <f t="shared" si="8"/>
        <v>0</v>
      </c>
    </row>
    <row r="239" spans="1:60" ht="58" x14ac:dyDescent="0.35">
      <c r="A239" s="2" t="s">
        <v>59</v>
      </c>
      <c r="B239" s="2" t="s">
        <v>60</v>
      </c>
      <c r="C239" s="2" t="s">
        <v>2229</v>
      </c>
      <c r="D239" s="2" t="s">
        <v>2230</v>
      </c>
      <c r="E239" s="2" t="s">
        <v>2231</v>
      </c>
      <c r="G239" s="3" t="s">
        <v>64</v>
      </c>
      <c r="I239" s="3" t="s">
        <v>64</v>
      </c>
      <c r="J239" s="3" t="s">
        <v>64</v>
      </c>
      <c r="K239" s="3" t="s">
        <v>65</v>
      </c>
      <c r="L239" s="2" t="s">
        <v>2232</v>
      </c>
      <c r="M239" s="2" t="s">
        <v>2233</v>
      </c>
      <c r="N239" s="3" t="s">
        <v>1275</v>
      </c>
      <c r="P239" s="3" t="s">
        <v>102</v>
      </c>
      <c r="R239" s="3" t="s">
        <v>70</v>
      </c>
      <c r="S239" s="4">
        <v>7</v>
      </c>
      <c r="T239" s="4">
        <v>7</v>
      </c>
      <c r="U239" s="5" t="s">
        <v>2234</v>
      </c>
      <c r="V239" s="5" t="s">
        <v>2234</v>
      </c>
      <c r="W239" s="5" t="s">
        <v>72</v>
      </c>
      <c r="X239" s="5" t="s">
        <v>72</v>
      </c>
      <c r="Y239" s="4">
        <v>46</v>
      </c>
      <c r="Z239" s="4">
        <v>11</v>
      </c>
      <c r="AA239" s="4">
        <v>15</v>
      </c>
      <c r="AB239" s="4">
        <v>2</v>
      </c>
      <c r="AC239" s="4">
        <v>2</v>
      </c>
      <c r="AD239" s="4">
        <v>13</v>
      </c>
      <c r="AE239" s="4">
        <v>25</v>
      </c>
      <c r="AF239" s="4">
        <v>0</v>
      </c>
      <c r="AG239" s="4">
        <v>0</v>
      </c>
      <c r="AH239" s="4">
        <v>12</v>
      </c>
      <c r="AI239" s="4">
        <v>23</v>
      </c>
      <c r="AJ239" s="4">
        <v>2</v>
      </c>
      <c r="AK239" s="4">
        <v>4</v>
      </c>
      <c r="AL239" s="4">
        <v>8</v>
      </c>
      <c r="AM239" s="4">
        <v>15</v>
      </c>
      <c r="AN239" s="4">
        <v>0</v>
      </c>
      <c r="AO239" s="4">
        <v>0</v>
      </c>
      <c r="AP239" s="4">
        <v>2</v>
      </c>
      <c r="AQ239" s="4">
        <v>4</v>
      </c>
      <c r="AR239" s="3" t="s">
        <v>64</v>
      </c>
      <c r="AS239" s="3" t="s">
        <v>64</v>
      </c>
      <c r="AT239" s="3" t="s">
        <v>64</v>
      </c>
      <c r="AV239" s="6" t="str">
        <f>HYPERLINK("http://mcgill.on.worldcat.org/oclc/57683527","Catalog Record")</f>
        <v>Catalog Record</v>
      </c>
      <c r="AW239" s="6" t="str">
        <f>HYPERLINK("http://www.worldcat.org/oclc/57683527","WorldCat Record")</f>
        <v>WorldCat Record</v>
      </c>
      <c r="AX239" s="3" t="s">
        <v>2235</v>
      </c>
      <c r="AY239" s="3" t="s">
        <v>2236</v>
      </c>
      <c r="AZ239" s="3" t="s">
        <v>2237</v>
      </c>
      <c r="BA239" s="3" t="s">
        <v>2237</v>
      </c>
      <c r="BB239" s="3" t="s">
        <v>2238</v>
      </c>
      <c r="BC239" s="3" t="s">
        <v>77</v>
      </c>
      <c r="BD239" s="3" t="s">
        <v>78</v>
      </c>
      <c r="BE239" s="3" t="s">
        <v>2239</v>
      </c>
      <c r="BF239" s="3" t="s">
        <v>2238</v>
      </c>
      <c r="BG239" s="3" t="s">
        <v>2240</v>
      </c>
      <c r="BH239">
        <f t="shared" si="8"/>
        <v>0</v>
      </c>
    </row>
    <row r="240" spans="1:60" ht="72.5" x14ac:dyDescent="0.35">
      <c r="A240" s="2" t="s">
        <v>59</v>
      </c>
      <c r="B240" s="2" t="s">
        <v>60</v>
      </c>
      <c r="C240" s="2" t="s">
        <v>2241</v>
      </c>
      <c r="D240" s="2" t="s">
        <v>2242</v>
      </c>
      <c r="E240" s="2" t="s">
        <v>2243</v>
      </c>
      <c r="G240" s="3" t="s">
        <v>64</v>
      </c>
      <c r="I240" s="3" t="s">
        <v>64</v>
      </c>
      <c r="J240" s="3" t="s">
        <v>64</v>
      </c>
      <c r="K240" s="3" t="s">
        <v>65</v>
      </c>
      <c r="M240" s="2" t="s">
        <v>1225</v>
      </c>
      <c r="N240" s="3" t="s">
        <v>326</v>
      </c>
      <c r="P240" s="3" t="s">
        <v>102</v>
      </c>
      <c r="Q240" s="2" t="s">
        <v>2244</v>
      </c>
      <c r="R240" s="3" t="s">
        <v>70</v>
      </c>
      <c r="S240" s="4">
        <v>3</v>
      </c>
      <c r="T240" s="4">
        <v>3</v>
      </c>
      <c r="U240" s="5" t="s">
        <v>2245</v>
      </c>
      <c r="V240" s="5" t="s">
        <v>2245</v>
      </c>
      <c r="W240" s="5" t="s">
        <v>72</v>
      </c>
      <c r="X240" s="5" t="s">
        <v>72</v>
      </c>
      <c r="Y240" s="4">
        <v>122</v>
      </c>
      <c r="Z240" s="4">
        <v>7</v>
      </c>
      <c r="AA240" s="4">
        <v>87</v>
      </c>
      <c r="AB240" s="4">
        <v>1</v>
      </c>
      <c r="AC240" s="4">
        <v>17</v>
      </c>
      <c r="AD240" s="4">
        <v>53</v>
      </c>
      <c r="AE240" s="4">
        <v>121</v>
      </c>
      <c r="AF240" s="4">
        <v>0</v>
      </c>
      <c r="AG240" s="4">
        <v>8</v>
      </c>
      <c r="AH240" s="4">
        <v>52</v>
      </c>
      <c r="AI240" s="4">
        <v>87</v>
      </c>
      <c r="AJ240" s="4">
        <v>3</v>
      </c>
      <c r="AK240" s="4">
        <v>19</v>
      </c>
      <c r="AL240" s="4">
        <v>33</v>
      </c>
      <c r="AM240" s="4">
        <v>47</v>
      </c>
      <c r="AN240" s="4">
        <v>0</v>
      </c>
      <c r="AO240" s="4">
        <v>0</v>
      </c>
      <c r="AP240" s="4">
        <v>4</v>
      </c>
      <c r="AQ240" s="4">
        <v>40</v>
      </c>
      <c r="AR240" s="3" t="s">
        <v>64</v>
      </c>
      <c r="AS240" s="3" t="s">
        <v>64</v>
      </c>
      <c r="AT240" s="3" t="s">
        <v>64</v>
      </c>
      <c r="AV240" s="6" t="str">
        <f>HYPERLINK("http://mcgill.on.worldcat.org/oclc/663772851","Catalog Record")</f>
        <v>Catalog Record</v>
      </c>
      <c r="AW240" s="6" t="str">
        <f>HYPERLINK("http://www.worldcat.org/oclc/663772851","WorldCat Record")</f>
        <v>WorldCat Record</v>
      </c>
      <c r="AX240" s="3" t="s">
        <v>2246</v>
      </c>
      <c r="AY240" s="3" t="s">
        <v>2247</v>
      </c>
      <c r="AZ240" s="3" t="s">
        <v>2248</v>
      </c>
      <c r="BA240" s="3" t="s">
        <v>2248</v>
      </c>
      <c r="BB240" s="3" t="s">
        <v>2249</v>
      </c>
      <c r="BC240" s="3" t="s">
        <v>77</v>
      </c>
      <c r="BD240" s="3" t="s">
        <v>78</v>
      </c>
      <c r="BE240" s="3" t="s">
        <v>2250</v>
      </c>
      <c r="BF240" s="3" t="s">
        <v>2249</v>
      </c>
      <c r="BG240" s="3" t="s">
        <v>2251</v>
      </c>
      <c r="BH240">
        <f t="shared" si="8"/>
        <v>0</v>
      </c>
    </row>
    <row r="241" spans="1:60" ht="58" x14ac:dyDescent="0.35">
      <c r="A241" s="2" t="s">
        <v>59</v>
      </c>
      <c r="B241" s="2" t="s">
        <v>60</v>
      </c>
      <c r="C241" s="2" t="s">
        <v>2252</v>
      </c>
      <c r="D241" s="2" t="s">
        <v>2253</v>
      </c>
      <c r="E241" s="2" t="s">
        <v>2254</v>
      </c>
      <c r="G241" s="3" t="s">
        <v>64</v>
      </c>
      <c r="I241" s="3" t="s">
        <v>64</v>
      </c>
      <c r="J241" s="3" t="s">
        <v>64</v>
      </c>
      <c r="K241" s="3" t="s">
        <v>65</v>
      </c>
      <c r="L241" s="2" t="s">
        <v>2255</v>
      </c>
      <c r="M241" s="2" t="s">
        <v>2256</v>
      </c>
      <c r="N241" s="3" t="s">
        <v>578</v>
      </c>
      <c r="P241" s="3" t="s">
        <v>102</v>
      </c>
      <c r="Q241" s="2" t="s">
        <v>2257</v>
      </c>
      <c r="R241" s="3" t="s">
        <v>70</v>
      </c>
      <c r="S241" s="4">
        <v>0</v>
      </c>
      <c r="T241" s="4">
        <v>0</v>
      </c>
      <c r="W241" s="5" t="s">
        <v>72</v>
      </c>
      <c r="X241" s="5" t="s">
        <v>72</v>
      </c>
      <c r="Y241" s="4">
        <v>68</v>
      </c>
      <c r="Z241" s="4">
        <v>4</v>
      </c>
      <c r="AA241" s="4">
        <v>4</v>
      </c>
      <c r="AB241" s="4">
        <v>1</v>
      </c>
      <c r="AC241" s="4">
        <v>1</v>
      </c>
      <c r="AD241" s="4">
        <v>35</v>
      </c>
      <c r="AE241" s="4">
        <v>35</v>
      </c>
      <c r="AF241" s="4">
        <v>0</v>
      </c>
      <c r="AG241" s="4">
        <v>0</v>
      </c>
      <c r="AH241" s="4">
        <v>34</v>
      </c>
      <c r="AI241" s="4">
        <v>34</v>
      </c>
      <c r="AJ241" s="4">
        <v>3</v>
      </c>
      <c r="AK241" s="4">
        <v>3</v>
      </c>
      <c r="AL241" s="4">
        <v>25</v>
      </c>
      <c r="AM241" s="4">
        <v>25</v>
      </c>
      <c r="AN241" s="4">
        <v>0</v>
      </c>
      <c r="AO241" s="4">
        <v>0</v>
      </c>
      <c r="AP241" s="4">
        <v>3</v>
      </c>
      <c r="AQ241" s="4">
        <v>3</v>
      </c>
      <c r="AR241" s="3" t="s">
        <v>64</v>
      </c>
      <c r="AS241" s="3" t="s">
        <v>64</v>
      </c>
      <c r="AT241" s="3" t="s">
        <v>64</v>
      </c>
      <c r="AV241" s="6" t="str">
        <f>HYPERLINK("http://mcgill.on.worldcat.org/oclc/962330864","Catalog Record")</f>
        <v>Catalog Record</v>
      </c>
      <c r="AW241" s="6" t="str">
        <f>HYPERLINK("http://www.worldcat.org/oclc/962330864","WorldCat Record")</f>
        <v>WorldCat Record</v>
      </c>
      <c r="AX241" s="3" t="s">
        <v>2258</v>
      </c>
      <c r="AY241" s="3" t="s">
        <v>2259</v>
      </c>
      <c r="AZ241" s="3" t="s">
        <v>2260</v>
      </c>
      <c r="BA241" s="3" t="s">
        <v>2260</v>
      </c>
      <c r="BB241" s="3" t="s">
        <v>2261</v>
      </c>
      <c r="BC241" s="3" t="s">
        <v>77</v>
      </c>
      <c r="BD241" s="3" t="s">
        <v>78</v>
      </c>
      <c r="BE241" s="3" t="s">
        <v>2262</v>
      </c>
      <c r="BF241" s="3" t="s">
        <v>2261</v>
      </c>
      <c r="BG241" s="3" t="s">
        <v>2263</v>
      </c>
      <c r="BH241">
        <f t="shared" si="8"/>
        <v>0</v>
      </c>
    </row>
    <row r="242" spans="1:60" ht="58" x14ac:dyDescent="0.35">
      <c r="A242" s="2" t="s">
        <v>59</v>
      </c>
      <c r="B242" s="2" t="s">
        <v>60</v>
      </c>
      <c r="C242" s="2" t="s">
        <v>2264</v>
      </c>
      <c r="D242" s="2" t="s">
        <v>2265</v>
      </c>
      <c r="E242" s="2" t="s">
        <v>2266</v>
      </c>
      <c r="G242" s="3" t="s">
        <v>64</v>
      </c>
      <c r="I242" s="3" t="s">
        <v>64</v>
      </c>
      <c r="J242" s="3" t="s">
        <v>64</v>
      </c>
      <c r="K242" s="3" t="s">
        <v>65</v>
      </c>
      <c r="L242" s="2" t="s">
        <v>2267</v>
      </c>
      <c r="M242" s="2" t="s">
        <v>1225</v>
      </c>
      <c r="N242" s="3" t="s">
        <v>326</v>
      </c>
      <c r="P242" s="3" t="s">
        <v>102</v>
      </c>
      <c r="Q242" s="2" t="s">
        <v>2268</v>
      </c>
      <c r="R242" s="3" t="s">
        <v>70</v>
      </c>
      <c r="S242" s="4">
        <v>4</v>
      </c>
      <c r="T242" s="4">
        <v>4</v>
      </c>
      <c r="U242" s="5" t="s">
        <v>2269</v>
      </c>
      <c r="V242" s="5" t="s">
        <v>2269</v>
      </c>
      <c r="W242" s="5" t="s">
        <v>72</v>
      </c>
      <c r="X242" s="5" t="s">
        <v>72</v>
      </c>
      <c r="Y242" s="4">
        <v>100</v>
      </c>
      <c r="Z242" s="4">
        <v>12</v>
      </c>
      <c r="AA242" s="4">
        <v>47</v>
      </c>
      <c r="AB242" s="4">
        <v>1</v>
      </c>
      <c r="AC242" s="4">
        <v>6</v>
      </c>
      <c r="AD242" s="4">
        <v>45</v>
      </c>
      <c r="AE242" s="4">
        <v>84</v>
      </c>
      <c r="AF242" s="4">
        <v>0</v>
      </c>
      <c r="AG242" s="4">
        <v>0</v>
      </c>
      <c r="AH242" s="4">
        <v>40</v>
      </c>
      <c r="AI242" s="4">
        <v>68</v>
      </c>
      <c r="AJ242" s="4">
        <v>8</v>
      </c>
      <c r="AK242" s="4">
        <v>12</v>
      </c>
      <c r="AL242" s="4">
        <v>31</v>
      </c>
      <c r="AM242" s="4">
        <v>43</v>
      </c>
      <c r="AN242" s="4">
        <v>0</v>
      </c>
      <c r="AO242" s="4">
        <v>0</v>
      </c>
      <c r="AP242" s="4">
        <v>9</v>
      </c>
      <c r="AQ242" s="4">
        <v>22</v>
      </c>
      <c r="AR242" s="3" t="s">
        <v>64</v>
      </c>
      <c r="AS242" s="3" t="s">
        <v>64</v>
      </c>
      <c r="AT242" s="3" t="s">
        <v>64</v>
      </c>
      <c r="AV242" s="6" t="str">
        <f>HYPERLINK("http://mcgill.on.worldcat.org/oclc/666867888","Catalog Record")</f>
        <v>Catalog Record</v>
      </c>
      <c r="AW242" s="6" t="str">
        <f>HYPERLINK("http://www.worldcat.org/oclc/666867888","WorldCat Record")</f>
        <v>WorldCat Record</v>
      </c>
      <c r="AX242" s="3" t="s">
        <v>2270</v>
      </c>
      <c r="AY242" s="3" t="s">
        <v>2271</v>
      </c>
      <c r="AZ242" s="3" t="s">
        <v>2272</v>
      </c>
      <c r="BA242" s="3" t="s">
        <v>2272</v>
      </c>
      <c r="BB242" s="3" t="s">
        <v>2273</v>
      </c>
      <c r="BC242" s="3" t="s">
        <v>77</v>
      </c>
      <c r="BD242" s="3" t="s">
        <v>78</v>
      </c>
      <c r="BE242" s="3" t="s">
        <v>2274</v>
      </c>
      <c r="BF242" s="3" t="s">
        <v>2273</v>
      </c>
      <c r="BG242" s="3" t="s">
        <v>2275</v>
      </c>
      <c r="BH242">
        <f t="shared" si="8"/>
        <v>0</v>
      </c>
    </row>
    <row r="243" spans="1:60" ht="58" x14ac:dyDescent="0.35">
      <c r="A243" s="2" t="s">
        <v>59</v>
      </c>
      <c r="B243" s="2" t="s">
        <v>60</v>
      </c>
      <c r="C243" s="2" t="s">
        <v>2276</v>
      </c>
      <c r="D243" s="2" t="s">
        <v>2277</v>
      </c>
      <c r="E243" s="2" t="s">
        <v>2278</v>
      </c>
      <c r="G243" s="3" t="s">
        <v>64</v>
      </c>
      <c r="I243" s="3" t="s">
        <v>64</v>
      </c>
      <c r="J243" s="3" t="s">
        <v>64</v>
      </c>
      <c r="K243" s="3" t="s">
        <v>65</v>
      </c>
      <c r="L243" s="2" t="s">
        <v>2279</v>
      </c>
      <c r="M243" s="2" t="s">
        <v>2280</v>
      </c>
      <c r="N243" s="3" t="s">
        <v>190</v>
      </c>
      <c r="P243" s="3" t="s">
        <v>102</v>
      </c>
      <c r="Q243" s="2" t="s">
        <v>2281</v>
      </c>
      <c r="R243" s="3" t="s">
        <v>70</v>
      </c>
      <c r="S243" s="4">
        <v>1</v>
      </c>
      <c r="T243" s="4">
        <v>1</v>
      </c>
      <c r="U243" s="5" t="s">
        <v>2282</v>
      </c>
      <c r="V243" s="5" t="s">
        <v>2282</v>
      </c>
      <c r="W243" s="5" t="s">
        <v>72</v>
      </c>
      <c r="X243" s="5" t="s">
        <v>72</v>
      </c>
      <c r="Y243" s="4">
        <v>60</v>
      </c>
      <c r="Z243" s="4">
        <v>5</v>
      </c>
      <c r="AA243" s="4">
        <v>6</v>
      </c>
      <c r="AB243" s="4">
        <v>1</v>
      </c>
      <c r="AC243" s="4">
        <v>2</v>
      </c>
      <c r="AD243" s="4">
        <v>28</v>
      </c>
      <c r="AE243" s="4">
        <v>29</v>
      </c>
      <c r="AF243" s="4">
        <v>0</v>
      </c>
      <c r="AG243" s="4">
        <v>1</v>
      </c>
      <c r="AH243" s="4">
        <v>27</v>
      </c>
      <c r="AI243" s="4">
        <v>27</v>
      </c>
      <c r="AJ243" s="4">
        <v>4</v>
      </c>
      <c r="AK243" s="4">
        <v>5</v>
      </c>
      <c r="AL243" s="4">
        <v>19</v>
      </c>
      <c r="AM243" s="4">
        <v>19</v>
      </c>
      <c r="AN243" s="4">
        <v>0</v>
      </c>
      <c r="AO243" s="4">
        <v>0</v>
      </c>
      <c r="AP243" s="4">
        <v>4</v>
      </c>
      <c r="AQ243" s="4">
        <v>4</v>
      </c>
      <c r="AR243" s="3" t="s">
        <v>64</v>
      </c>
      <c r="AS243" s="3" t="s">
        <v>64</v>
      </c>
      <c r="AT243" s="3" t="s">
        <v>64</v>
      </c>
      <c r="AV243" s="6" t="str">
        <f>HYPERLINK("http://mcgill.on.worldcat.org/oclc/1035752742","Catalog Record")</f>
        <v>Catalog Record</v>
      </c>
      <c r="AW243" s="6" t="str">
        <f>HYPERLINK("http://www.worldcat.org/oclc/1035752742","WorldCat Record")</f>
        <v>WorldCat Record</v>
      </c>
      <c r="AX243" s="3" t="s">
        <v>2283</v>
      </c>
      <c r="AY243" s="3" t="s">
        <v>2284</v>
      </c>
      <c r="AZ243" s="3" t="s">
        <v>2285</v>
      </c>
      <c r="BA243" s="3" t="s">
        <v>2285</v>
      </c>
      <c r="BB243" s="3" t="s">
        <v>2286</v>
      </c>
      <c r="BC243" s="3" t="s">
        <v>77</v>
      </c>
      <c r="BD243" s="3" t="s">
        <v>78</v>
      </c>
      <c r="BE243" s="3" t="s">
        <v>2287</v>
      </c>
      <c r="BF243" s="3" t="s">
        <v>2286</v>
      </c>
      <c r="BG243" s="3" t="s">
        <v>2288</v>
      </c>
      <c r="BH243">
        <f t="shared" si="8"/>
        <v>0</v>
      </c>
    </row>
    <row r="244" spans="1:60" ht="58" x14ac:dyDescent="0.35">
      <c r="A244" s="2" t="s">
        <v>59</v>
      </c>
      <c r="B244" s="2" t="s">
        <v>60</v>
      </c>
      <c r="C244" s="2" t="s">
        <v>2289</v>
      </c>
      <c r="D244" s="2" t="s">
        <v>2290</v>
      </c>
      <c r="E244" s="2" t="s">
        <v>2291</v>
      </c>
      <c r="G244" s="3" t="s">
        <v>64</v>
      </c>
      <c r="I244" s="3" t="s">
        <v>64</v>
      </c>
      <c r="J244" s="3" t="s">
        <v>64</v>
      </c>
      <c r="K244" s="3" t="s">
        <v>65</v>
      </c>
      <c r="L244" s="2" t="s">
        <v>1029</v>
      </c>
      <c r="M244" s="2" t="s">
        <v>2292</v>
      </c>
      <c r="N244" s="3" t="s">
        <v>537</v>
      </c>
      <c r="P244" s="3" t="s">
        <v>102</v>
      </c>
      <c r="R244" s="3" t="s">
        <v>70</v>
      </c>
      <c r="S244" s="4">
        <v>8</v>
      </c>
      <c r="T244" s="4">
        <v>8</v>
      </c>
      <c r="U244" s="5" t="s">
        <v>2293</v>
      </c>
      <c r="V244" s="5" t="s">
        <v>2293</v>
      </c>
      <c r="W244" s="5" t="s">
        <v>72</v>
      </c>
      <c r="X244" s="5" t="s">
        <v>72</v>
      </c>
      <c r="Y244" s="4">
        <v>328</v>
      </c>
      <c r="Z244" s="4">
        <v>20</v>
      </c>
      <c r="AA244" s="4">
        <v>34</v>
      </c>
      <c r="AB244" s="4">
        <v>1</v>
      </c>
      <c r="AC244" s="4">
        <v>2</v>
      </c>
      <c r="AD244" s="4">
        <v>66</v>
      </c>
      <c r="AE244" s="4">
        <v>94</v>
      </c>
      <c r="AF244" s="4">
        <v>0</v>
      </c>
      <c r="AG244" s="4">
        <v>0</v>
      </c>
      <c r="AH244" s="4">
        <v>58</v>
      </c>
      <c r="AI244" s="4">
        <v>85</v>
      </c>
      <c r="AJ244" s="4">
        <v>10</v>
      </c>
      <c r="AK244" s="4">
        <v>12</v>
      </c>
      <c r="AL244" s="4">
        <v>38</v>
      </c>
      <c r="AM244" s="4">
        <v>51</v>
      </c>
      <c r="AN244" s="4">
        <v>0</v>
      </c>
      <c r="AO244" s="4">
        <v>0</v>
      </c>
      <c r="AP244" s="4">
        <v>13</v>
      </c>
      <c r="AQ244" s="4">
        <v>16</v>
      </c>
      <c r="AR244" s="3" t="s">
        <v>64</v>
      </c>
      <c r="AS244" s="3" t="s">
        <v>64</v>
      </c>
      <c r="AT244" s="3" t="s">
        <v>64</v>
      </c>
      <c r="AV244" s="6" t="str">
        <f>HYPERLINK("http://mcgill.on.worldcat.org/oclc/941875083","Catalog Record")</f>
        <v>Catalog Record</v>
      </c>
      <c r="AW244" s="6" t="str">
        <f>HYPERLINK("http://www.worldcat.org/oclc/941875083","WorldCat Record")</f>
        <v>WorldCat Record</v>
      </c>
      <c r="AX244" s="3" t="s">
        <v>2294</v>
      </c>
      <c r="AY244" s="3" t="s">
        <v>2295</v>
      </c>
      <c r="AZ244" s="3" t="s">
        <v>2296</v>
      </c>
      <c r="BA244" s="3" t="s">
        <v>2296</v>
      </c>
      <c r="BB244" s="3" t="s">
        <v>2297</v>
      </c>
      <c r="BC244" s="3" t="s">
        <v>77</v>
      </c>
      <c r="BD244" s="3" t="s">
        <v>78</v>
      </c>
      <c r="BE244" s="3" t="s">
        <v>2298</v>
      </c>
      <c r="BF244" s="3" t="s">
        <v>2297</v>
      </c>
      <c r="BG244" s="3" t="s">
        <v>2299</v>
      </c>
      <c r="BH244">
        <f t="shared" si="8"/>
        <v>0</v>
      </c>
    </row>
    <row r="245" spans="1:60" ht="58" x14ac:dyDescent="0.35">
      <c r="A245" s="2" t="s">
        <v>59</v>
      </c>
      <c r="B245" s="2" t="s">
        <v>60</v>
      </c>
      <c r="C245" s="2" t="s">
        <v>2300</v>
      </c>
      <c r="D245" s="2" t="s">
        <v>2301</v>
      </c>
      <c r="E245" s="2" t="s">
        <v>2302</v>
      </c>
      <c r="G245" s="3" t="s">
        <v>64</v>
      </c>
      <c r="I245" s="3" t="s">
        <v>64</v>
      </c>
      <c r="J245" s="3" t="s">
        <v>64</v>
      </c>
      <c r="K245" s="3" t="s">
        <v>65</v>
      </c>
      <c r="L245" s="2" t="s">
        <v>2303</v>
      </c>
      <c r="M245" s="2" t="s">
        <v>2304</v>
      </c>
      <c r="N245" s="3" t="s">
        <v>101</v>
      </c>
      <c r="P245" s="3" t="s">
        <v>102</v>
      </c>
      <c r="Q245" s="2" t="s">
        <v>2305</v>
      </c>
      <c r="R245" s="3" t="s">
        <v>70</v>
      </c>
      <c r="S245" s="4">
        <v>17</v>
      </c>
      <c r="T245" s="4">
        <v>17</v>
      </c>
      <c r="U245" s="5" t="s">
        <v>2187</v>
      </c>
      <c r="V245" s="5" t="s">
        <v>2187</v>
      </c>
      <c r="W245" s="5" t="s">
        <v>72</v>
      </c>
      <c r="X245" s="5" t="s">
        <v>72</v>
      </c>
      <c r="Y245" s="4">
        <v>275</v>
      </c>
      <c r="Z245" s="4">
        <v>11</v>
      </c>
      <c r="AA245" s="4">
        <v>25</v>
      </c>
      <c r="AB245" s="4">
        <v>1</v>
      </c>
      <c r="AC245" s="4">
        <v>4</v>
      </c>
      <c r="AD245" s="4">
        <v>80</v>
      </c>
      <c r="AE245" s="4">
        <v>92</v>
      </c>
      <c r="AF245" s="4">
        <v>0</v>
      </c>
      <c r="AG245" s="4">
        <v>3</v>
      </c>
      <c r="AH245" s="4">
        <v>74</v>
      </c>
      <c r="AI245" s="4">
        <v>80</v>
      </c>
      <c r="AJ245" s="4">
        <v>6</v>
      </c>
      <c r="AK245" s="4">
        <v>16</v>
      </c>
      <c r="AL245" s="4">
        <v>48</v>
      </c>
      <c r="AM245" s="4">
        <v>49</v>
      </c>
      <c r="AN245" s="4">
        <v>0</v>
      </c>
      <c r="AO245" s="4">
        <v>0</v>
      </c>
      <c r="AP245" s="4">
        <v>7</v>
      </c>
      <c r="AQ245" s="4">
        <v>18</v>
      </c>
      <c r="AR245" s="3" t="s">
        <v>64</v>
      </c>
      <c r="AS245" s="3" t="s">
        <v>64</v>
      </c>
      <c r="AT245" s="3" t="s">
        <v>64</v>
      </c>
      <c r="AV245" s="6" t="str">
        <f>HYPERLINK("http://mcgill.on.worldcat.org/oclc/50503173","Catalog Record")</f>
        <v>Catalog Record</v>
      </c>
      <c r="AW245" s="6" t="str">
        <f>HYPERLINK("http://www.worldcat.org/oclc/50503173","WorldCat Record")</f>
        <v>WorldCat Record</v>
      </c>
      <c r="AX245" s="3" t="s">
        <v>2306</v>
      </c>
      <c r="AY245" s="3" t="s">
        <v>2307</v>
      </c>
      <c r="AZ245" s="3" t="s">
        <v>2308</v>
      </c>
      <c r="BA245" s="3" t="s">
        <v>2308</v>
      </c>
      <c r="BB245" s="3" t="s">
        <v>2309</v>
      </c>
      <c r="BC245" s="3" t="s">
        <v>77</v>
      </c>
      <c r="BD245" s="3" t="s">
        <v>78</v>
      </c>
      <c r="BE245" s="3" t="s">
        <v>2310</v>
      </c>
      <c r="BF245" s="3" t="s">
        <v>2309</v>
      </c>
      <c r="BG245" s="3" t="s">
        <v>2311</v>
      </c>
      <c r="BH245">
        <f t="shared" si="8"/>
        <v>0</v>
      </c>
    </row>
    <row r="246" spans="1:60" ht="58" x14ac:dyDescent="0.35">
      <c r="A246" s="2" t="s">
        <v>59</v>
      </c>
      <c r="B246" s="2" t="s">
        <v>60</v>
      </c>
      <c r="C246" s="2" t="s">
        <v>2312</v>
      </c>
      <c r="D246" s="2" t="s">
        <v>2313</v>
      </c>
      <c r="E246" s="2" t="s">
        <v>2314</v>
      </c>
      <c r="G246" s="3" t="s">
        <v>64</v>
      </c>
      <c r="I246" s="3" t="s">
        <v>64</v>
      </c>
      <c r="J246" s="3" t="s">
        <v>64</v>
      </c>
      <c r="K246" s="3" t="s">
        <v>65</v>
      </c>
      <c r="M246" s="2" t="s">
        <v>2315</v>
      </c>
      <c r="N246" s="3" t="s">
        <v>253</v>
      </c>
      <c r="P246" s="3" t="s">
        <v>102</v>
      </c>
      <c r="Q246" s="2" t="s">
        <v>2316</v>
      </c>
      <c r="R246" s="3" t="s">
        <v>70</v>
      </c>
      <c r="S246" s="4">
        <v>7</v>
      </c>
      <c r="T246" s="4">
        <v>7</v>
      </c>
      <c r="U246" s="5" t="s">
        <v>2317</v>
      </c>
      <c r="V246" s="5" t="s">
        <v>2317</v>
      </c>
      <c r="W246" s="5" t="s">
        <v>72</v>
      </c>
      <c r="X246" s="5" t="s">
        <v>72</v>
      </c>
      <c r="Y246" s="4">
        <v>153</v>
      </c>
      <c r="Z246" s="4">
        <v>10</v>
      </c>
      <c r="AA246" s="4">
        <v>43</v>
      </c>
      <c r="AB246" s="4">
        <v>2</v>
      </c>
      <c r="AC246" s="4">
        <v>5</v>
      </c>
      <c r="AD246" s="4">
        <v>55</v>
      </c>
      <c r="AE246" s="4">
        <v>80</v>
      </c>
      <c r="AF246" s="4">
        <v>1</v>
      </c>
      <c r="AG246" s="4">
        <v>2</v>
      </c>
      <c r="AH246" s="4">
        <v>50</v>
      </c>
      <c r="AI246" s="4">
        <v>65</v>
      </c>
      <c r="AJ246" s="4">
        <v>6</v>
      </c>
      <c r="AK246" s="4">
        <v>11</v>
      </c>
      <c r="AL246" s="4">
        <v>36</v>
      </c>
      <c r="AM246" s="4">
        <v>43</v>
      </c>
      <c r="AN246" s="4">
        <v>0</v>
      </c>
      <c r="AO246" s="4">
        <v>0</v>
      </c>
      <c r="AP246" s="4">
        <v>8</v>
      </c>
      <c r="AQ246" s="4">
        <v>18</v>
      </c>
      <c r="AR246" s="3" t="s">
        <v>64</v>
      </c>
      <c r="AS246" s="3" t="s">
        <v>64</v>
      </c>
      <c r="AT246" s="3" t="s">
        <v>64</v>
      </c>
      <c r="AV246" s="6" t="str">
        <f>HYPERLINK("http://mcgill.on.worldcat.org/oclc/910092464","Catalog Record")</f>
        <v>Catalog Record</v>
      </c>
      <c r="AW246" s="6" t="str">
        <f>HYPERLINK("http://www.worldcat.org/oclc/910092464","WorldCat Record")</f>
        <v>WorldCat Record</v>
      </c>
      <c r="AX246" s="3" t="s">
        <v>2318</v>
      </c>
      <c r="AY246" s="3" t="s">
        <v>2319</v>
      </c>
      <c r="AZ246" s="3" t="s">
        <v>2320</v>
      </c>
      <c r="BA246" s="3" t="s">
        <v>2320</v>
      </c>
      <c r="BB246" s="3" t="s">
        <v>2321</v>
      </c>
      <c r="BC246" s="3" t="s">
        <v>77</v>
      </c>
      <c r="BD246" s="3" t="s">
        <v>78</v>
      </c>
      <c r="BE246" s="3" t="s">
        <v>2322</v>
      </c>
      <c r="BF246" s="3" t="s">
        <v>2321</v>
      </c>
      <c r="BG246" s="3" t="s">
        <v>2323</v>
      </c>
      <c r="BH246">
        <f t="shared" si="8"/>
        <v>0</v>
      </c>
    </row>
    <row r="247" spans="1:60" ht="87" x14ac:dyDescent="0.35">
      <c r="A247" s="2" t="s">
        <v>59</v>
      </c>
      <c r="B247" s="2" t="s">
        <v>60</v>
      </c>
      <c r="C247" s="2" t="s">
        <v>2324</v>
      </c>
      <c r="D247" s="2" t="s">
        <v>2325</v>
      </c>
      <c r="E247" s="2" t="s">
        <v>2326</v>
      </c>
      <c r="G247" s="3" t="s">
        <v>64</v>
      </c>
      <c r="I247" s="3" t="s">
        <v>64</v>
      </c>
      <c r="J247" s="3" t="s">
        <v>64</v>
      </c>
      <c r="K247" s="3" t="s">
        <v>65</v>
      </c>
      <c r="L247" s="2" t="s">
        <v>2327</v>
      </c>
      <c r="M247" s="2" t="s">
        <v>2328</v>
      </c>
      <c r="N247" s="3" t="s">
        <v>511</v>
      </c>
      <c r="P247" s="3" t="s">
        <v>102</v>
      </c>
      <c r="Q247" s="2" t="s">
        <v>2329</v>
      </c>
      <c r="R247" s="3" t="s">
        <v>70</v>
      </c>
      <c r="S247" s="4">
        <v>3</v>
      </c>
      <c r="T247" s="4">
        <v>3</v>
      </c>
      <c r="U247" s="5" t="s">
        <v>1128</v>
      </c>
      <c r="V247" s="5" t="s">
        <v>1128</v>
      </c>
      <c r="W247" s="5" t="s">
        <v>72</v>
      </c>
      <c r="X247" s="5" t="s">
        <v>72</v>
      </c>
      <c r="Y247" s="4">
        <v>72</v>
      </c>
      <c r="Z247" s="4">
        <v>6</v>
      </c>
      <c r="AA247" s="4">
        <v>7</v>
      </c>
      <c r="AB247" s="4">
        <v>1</v>
      </c>
      <c r="AC247" s="4">
        <v>1</v>
      </c>
      <c r="AD247" s="4">
        <v>31</v>
      </c>
      <c r="AE247" s="4">
        <v>32</v>
      </c>
      <c r="AF247" s="4">
        <v>0</v>
      </c>
      <c r="AG247" s="4">
        <v>0</v>
      </c>
      <c r="AH247" s="4">
        <v>29</v>
      </c>
      <c r="AI247" s="4">
        <v>29</v>
      </c>
      <c r="AJ247" s="4">
        <v>4</v>
      </c>
      <c r="AK247" s="4">
        <v>5</v>
      </c>
      <c r="AL247" s="4">
        <v>20</v>
      </c>
      <c r="AM247" s="4">
        <v>20</v>
      </c>
      <c r="AN247" s="4">
        <v>0</v>
      </c>
      <c r="AO247" s="4">
        <v>0</v>
      </c>
      <c r="AP247" s="4">
        <v>4</v>
      </c>
      <c r="AQ247" s="4">
        <v>5</v>
      </c>
      <c r="AR247" s="3" t="s">
        <v>64</v>
      </c>
      <c r="AS247" s="3" t="s">
        <v>64</v>
      </c>
      <c r="AT247" s="3" t="s">
        <v>64</v>
      </c>
      <c r="AV247" s="6" t="str">
        <f>HYPERLINK("http://mcgill.on.worldcat.org/oclc/663953992","Catalog Record")</f>
        <v>Catalog Record</v>
      </c>
      <c r="AW247" s="6" t="str">
        <f>HYPERLINK("http://www.worldcat.org/oclc/663953992","WorldCat Record")</f>
        <v>WorldCat Record</v>
      </c>
      <c r="AX247" s="3" t="s">
        <v>2330</v>
      </c>
      <c r="AY247" s="3" t="s">
        <v>2331</v>
      </c>
      <c r="AZ247" s="3" t="s">
        <v>2332</v>
      </c>
      <c r="BA247" s="3" t="s">
        <v>2332</v>
      </c>
      <c r="BB247" s="3" t="s">
        <v>2333</v>
      </c>
      <c r="BC247" s="3" t="s">
        <v>77</v>
      </c>
      <c r="BD247" s="3" t="s">
        <v>165</v>
      </c>
      <c r="BE247" s="3" t="s">
        <v>2334</v>
      </c>
      <c r="BF247" s="3" t="s">
        <v>2333</v>
      </c>
      <c r="BG247" s="3" t="s">
        <v>2335</v>
      </c>
      <c r="BH247">
        <f t="shared" si="8"/>
        <v>0</v>
      </c>
    </row>
    <row r="248" spans="1:60" ht="58" x14ac:dyDescent="0.35">
      <c r="A248" s="2" t="s">
        <v>59</v>
      </c>
      <c r="B248" s="2" t="s">
        <v>60</v>
      </c>
      <c r="C248" s="2" t="s">
        <v>2336</v>
      </c>
      <c r="D248" s="2" t="s">
        <v>2337</v>
      </c>
      <c r="E248" s="2" t="s">
        <v>2338</v>
      </c>
      <c r="G248" s="3" t="s">
        <v>64</v>
      </c>
      <c r="I248" s="3" t="s">
        <v>64</v>
      </c>
      <c r="J248" s="3" t="s">
        <v>64</v>
      </c>
      <c r="K248" s="3" t="s">
        <v>65</v>
      </c>
      <c r="M248" s="2" t="s">
        <v>2339</v>
      </c>
      <c r="N248" s="3" t="s">
        <v>326</v>
      </c>
      <c r="P248" s="3" t="s">
        <v>68</v>
      </c>
      <c r="Q248" s="2" t="s">
        <v>2340</v>
      </c>
      <c r="R248" s="3" t="s">
        <v>70</v>
      </c>
      <c r="S248" s="4">
        <v>5</v>
      </c>
      <c r="T248" s="4">
        <v>5</v>
      </c>
      <c r="U248" s="5" t="s">
        <v>2341</v>
      </c>
      <c r="V248" s="5" t="s">
        <v>2341</v>
      </c>
      <c r="W248" s="5" t="s">
        <v>72</v>
      </c>
      <c r="X248" s="5" t="s">
        <v>72</v>
      </c>
      <c r="Y248" s="4">
        <v>41</v>
      </c>
      <c r="Z248" s="4">
        <v>4</v>
      </c>
      <c r="AA248" s="4">
        <v>9</v>
      </c>
      <c r="AB248" s="4">
        <v>1</v>
      </c>
      <c r="AC248" s="4">
        <v>4</v>
      </c>
      <c r="AD248" s="4">
        <v>20</v>
      </c>
      <c r="AE248" s="4">
        <v>25</v>
      </c>
      <c r="AF248" s="4">
        <v>0</v>
      </c>
      <c r="AG248" s="4">
        <v>2</v>
      </c>
      <c r="AH248" s="4">
        <v>18</v>
      </c>
      <c r="AI248" s="4">
        <v>22</v>
      </c>
      <c r="AJ248" s="4">
        <v>2</v>
      </c>
      <c r="AK248" s="4">
        <v>6</v>
      </c>
      <c r="AL248" s="4">
        <v>17</v>
      </c>
      <c r="AM248" s="4">
        <v>17</v>
      </c>
      <c r="AN248" s="4">
        <v>0</v>
      </c>
      <c r="AO248" s="4">
        <v>0</v>
      </c>
      <c r="AP248" s="4">
        <v>2</v>
      </c>
      <c r="AQ248" s="4">
        <v>5</v>
      </c>
      <c r="AR248" s="3" t="s">
        <v>64</v>
      </c>
      <c r="AS248" s="3" t="s">
        <v>64</v>
      </c>
      <c r="AT248" s="3" t="s">
        <v>64</v>
      </c>
      <c r="AV248" s="6" t="str">
        <f>HYPERLINK("http://mcgill.on.worldcat.org/oclc/768813129","Catalog Record")</f>
        <v>Catalog Record</v>
      </c>
      <c r="AW248" s="6" t="str">
        <f>HYPERLINK("http://www.worldcat.org/oclc/768813129","WorldCat Record")</f>
        <v>WorldCat Record</v>
      </c>
      <c r="AX248" s="3" t="s">
        <v>2342</v>
      </c>
      <c r="AY248" s="3" t="s">
        <v>2343</v>
      </c>
      <c r="AZ248" s="3" t="s">
        <v>2344</v>
      </c>
      <c r="BA248" s="3" t="s">
        <v>2344</v>
      </c>
      <c r="BB248" s="3" t="s">
        <v>2345</v>
      </c>
      <c r="BC248" s="3" t="s">
        <v>77</v>
      </c>
      <c r="BD248" s="3" t="s">
        <v>78</v>
      </c>
      <c r="BE248" s="3" t="s">
        <v>2346</v>
      </c>
      <c r="BF248" s="3" t="s">
        <v>2345</v>
      </c>
      <c r="BG248" s="3" t="s">
        <v>2347</v>
      </c>
      <c r="BH248">
        <f t="shared" si="8"/>
        <v>0</v>
      </c>
    </row>
    <row r="249" spans="1:60" ht="72.5" x14ac:dyDescent="0.35">
      <c r="A249" s="2" t="s">
        <v>59</v>
      </c>
      <c r="B249" s="2" t="s">
        <v>60</v>
      </c>
      <c r="C249" s="2" t="s">
        <v>2348</v>
      </c>
      <c r="D249" s="2" t="s">
        <v>2349</v>
      </c>
      <c r="E249" s="2" t="s">
        <v>2350</v>
      </c>
      <c r="G249" s="3" t="s">
        <v>64</v>
      </c>
      <c r="I249" s="3" t="s">
        <v>64</v>
      </c>
      <c r="J249" s="3" t="s">
        <v>64</v>
      </c>
      <c r="K249" s="3" t="s">
        <v>65</v>
      </c>
      <c r="M249" s="2" t="s">
        <v>2351</v>
      </c>
      <c r="N249" s="3" t="s">
        <v>253</v>
      </c>
      <c r="P249" s="3" t="s">
        <v>102</v>
      </c>
      <c r="Q249" s="2" t="s">
        <v>2352</v>
      </c>
      <c r="R249" s="3" t="s">
        <v>70</v>
      </c>
      <c r="S249" s="4">
        <v>1</v>
      </c>
      <c r="T249" s="4">
        <v>1</v>
      </c>
      <c r="U249" s="5" t="s">
        <v>2353</v>
      </c>
      <c r="V249" s="5" t="s">
        <v>2353</v>
      </c>
      <c r="W249" s="5" t="s">
        <v>72</v>
      </c>
      <c r="X249" s="5" t="s">
        <v>72</v>
      </c>
      <c r="Y249" s="4">
        <v>160</v>
      </c>
      <c r="Z249" s="4">
        <v>16</v>
      </c>
      <c r="AA249" s="4">
        <v>51</v>
      </c>
      <c r="AB249" s="4">
        <v>2</v>
      </c>
      <c r="AC249" s="4">
        <v>7</v>
      </c>
      <c r="AD249" s="4">
        <v>48</v>
      </c>
      <c r="AE249" s="4">
        <v>72</v>
      </c>
      <c r="AF249" s="4">
        <v>1</v>
      </c>
      <c r="AG249" s="4">
        <v>3</v>
      </c>
      <c r="AH249" s="4">
        <v>41</v>
      </c>
      <c r="AI249" s="4">
        <v>54</v>
      </c>
      <c r="AJ249" s="4">
        <v>10</v>
      </c>
      <c r="AK249" s="4">
        <v>15</v>
      </c>
      <c r="AL249" s="4">
        <v>26</v>
      </c>
      <c r="AM249" s="4">
        <v>32</v>
      </c>
      <c r="AN249" s="4">
        <v>0</v>
      </c>
      <c r="AO249" s="4">
        <v>0</v>
      </c>
      <c r="AP249" s="4">
        <v>13</v>
      </c>
      <c r="AQ249" s="4">
        <v>23</v>
      </c>
      <c r="AR249" s="3" t="s">
        <v>64</v>
      </c>
      <c r="AS249" s="3" t="s">
        <v>64</v>
      </c>
      <c r="AT249" s="3" t="s">
        <v>64</v>
      </c>
      <c r="AV249" s="6" t="str">
        <f>HYPERLINK("http://mcgill.on.worldcat.org/oclc/917364307","Catalog Record")</f>
        <v>Catalog Record</v>
      </c>
      <c r="AW249" s="6" t="str">
        <f>HYPERLINK("http://www.worldcat.org/oclc/917364307","WorldCat Record")</f>
        <v>WorldCat Record</v>
      </c>
      <c r="AX249" s="3" t="s">
        <v>2354</v>
      </c>
      <c r="AY249" s="3" t="s">
        <v>2355</v>
      </c>
      <c r="AZ249" s="3" t="s">
        <v>2356</v>
      </c>
      <c r="BA249" s="3" t="s">
        <v>2356</v>
      </c>
      <c r="BB249" s="3" t="s">
        <v>2357</v>
      </c>
      <c r="BC249" s="3" t="s">
        <v>77</v>
      </c>
      <c r="BD249" s="3" t="s">
        <v>78</v>
      </c>
      <c r="BE249" s="3" t="s">
        <v>2358</v>
      </c>
      <c r="BF249" s="3" t="s">
        <v>2357</v>
      </c>
      <c r="BG249" s="3" t="s">
        <v>2359</v>
      </c>
      <c r="BH249">
        <f t="shared" si="8"/>
        <v>0</v>
      </c>
    </row>
    <row r="250" spans="1:60" ht="58" x14ac:dyDescent="0.35">
      <c r="A250" s="2" t="s">
        <v>59</v>
      </c>
      <c r="B250" s="2" t="s">
        <v>60</v>
      </c>
      <c r="C250" s="2" t="s">
        <v>2360</v>
      </c>
      <c r="D250" s="2" t="s">
        <v>2361</v>
      </c>
      <c r="E250" s="2" t="s">
        <v>2362</v>
      </c>
      <c r="G250" s="3" t="s">
        <v>64</v>
      </c>
      <c r="I250" s="3" t="s">
        <v>64</v>
      </c>
      <c r="J250" s="3" t="s">
        <v>64</v>
      </c>
      <c r="K250" s="3" t="s">
        <v>65</v>
      </c>
      <c r="L250" s="2" t="s">
        <v>2363</v>
      </c>
      <c r="M250" s="2" t="s">
        <v>2364</v>
      </c>
      <c r="N250" s="3" t="s">
        <v>326</v>
      </c>
      <c r="P250" s="3" t="s">
        <v>68</v>
      </c>
      <c r="R250" s="3" t="s">
        <v>70</v>
      </c>
      <c r="S250" s="4">
        <v>3</v>
      </c>
      <c r="T250" s="4">
        <v>3</v>
      </c>
      <c r="U250" s="5" t="s">
        <v>2365</v>
      </c>
      <c r="V250" s="5" t="s">
        <v>2365</v>
      </c>
      <c r="W250" s="5" t="s">
        <v>72</v>
      </c>
      <c r="X250" s="5" t="s">
        <v>72</v>
      </c>
      <c r="Y250" s="4">
        <v>46</v>
      </c>
      <c r="Z250" s="4">
        <v>5</v>
      </c>
      <c r="AA250" s="4">
        <v>16</v>
      </c>
      <c r="AB250" s="4">
        <v>1</v>
      </c>
      <c r="AC250" s="4">
        <v>8</v>
      </c>
      <c r="AD250" s="4">
        <v>28</v>
      </c>
      <c r="AE250" s="4">
        <v>40</v>
      </c>
      <c r="AF250" s="4">
        <v>0</v>
      </c>
      <c r="AG250" s="4">
        <v>4</v>
      </c>
      <c r="AH250" s="4">
        <v>26</v>
      </c>
      <c r="AI250" s="4">
        <v>34</v>
      </c>
      <c r="AJ250" s="4">
        <v>3</v>
      </c>
      <c r="AK250" s="4">
        <v>9</v>
      </c>
      <c r="AL250" s="4">
        <v>22</v>
      </c>
      <c r="AM250" s="4">
        <v>24</v>
      </c>
      <c r="AN250" s="4">
        <v>0</v>
      </c>
      <c r="AO250" s="4">
        <v>0</v>
      </c>
      <c r="AP250" s="4">
        <v>3</v>
      </c>
      <c r="AQ250" s="4">
        <v>10</v>
      </c>
      <c r="AR250" s="3" t="s">
        <v>64</v>
      </c>
      <c r="AS250" s="3" t="s">
        <v>64</v>
      </c>
      <c r="AT250" s="3" t="s">
        <v>64</v>
      </c>
      <c r="AV250" s="6" t="str">
        <f>HYPERLINK("http://mcgill.on.worldcat.org/oclc/703209083","Catalog Record")</f>
        <v>Catalog Record</v>
      </c>
      <c r="AW250" s="6" t="str">
        <f>HYPERLINK("http://www.worldcat.org/oclc/703209083","WorldCat Record")</f>
        <v>WorldCat Record</v>
      </c>
      <c r="AX250" s="3" t="s">
        <v>2366</v>
      </c>
      <c r="AY250" s="3" t="s">
        <v>2367</v>
      </c>
      <c r="AZ250" s="3" t="s">
        <v>2368</v>
      </c>
      <c r="BA250" s="3" t="s">
        <v>2368</v>
      </c>
      <c r="BB250" s="3" t="s">
        <v>2369</v>
      </c>
      <c r="BC250" s="3" t="s">
        <v>77</v>
      </c>
      <c r="BD250" s="3" t="s">
        <v>78</v>
      </c>
      <c r="BE250" s="3" t="s">
        <v>2370</v>
      </c>
      <c r="BF250" s="3" t="s">
        <v>2369</v>
      </c>
      <c r="BG250" s="3" t="s">
        <v>2371</v>
      </c>
      <c r="BH250">
        <f t="shared" si="8"/>
        <v>0</v>
      </c>
    </row>
    <row r="251" spans="1:60" ht="58" x14ac:dyDescent="0.35">
      <c r="A251" s="2" t="s">
        <v>59</v>
      </c>
      <c r="B251" s="2" t="s">
        <v>60</v>
      </c>
      <c r="C251" s="2" t="s">
        <v>2372</v>
      </c>
      <c r="D251" s="2" t="s">
        <v>2373</v>
      </c>
      <c r="E251" s="2" t="s">
        <v>2374</v>
      </c>
      <c r="G251" s="3" t="s">
        <v>64</v>
      </c>
      <c r="I251" s="3" t="s">
        <v>64</v>
      </c>
      <c r="J251" s="3" t="s">
        <v>64</v>
      </c>
      <c r="K251" s="3" t="s">
        <v>65</v>
      </c>
      <c r="L251" s="2" t="s">
        <v>2375</v>
      </c>
      <c r="M251" s="2" t="s">
        <v>2376</v>
      </c>
      <c r="N251" s="3" t="s">
        <v>67</v>
      </c>
      <c r="P251" s="3" t="s">
        <v>68</v>
      </c>
      <c r="Q251" s="2" t="s">
        <v>2377</v>
      </c>
      <c r="R251" s="3" t="s">
        <v>70</v>
      </c>
      <c r="S251" s="4">
        <v>0</v>
      </c>
      <c r="T251" s="4">
        <v>0</v>
      </c>
      <c r="W251" s="5" t="s">
        <v>72</v>
      </c>
      <c r="X251" s="5" t="s">
        <v>72</v>
      </c>
      <c r="Y251" s="4">
        <v>53</v>
      </c>
      <c r="Z251" s="4">
        <v>5</v>
      </c>
      <c r="AA251" s="4">
        <v>10</v>
      </c>
      <c r="AB251" s="4">
        <v>1</v>
      </c>
      <c r="AC251" s="4">
        <v>5</v>
      </c>
      <c r="AD251" s="4">
        <v>27</v>
      </c>
      <c r="AE251" s="4">
        <v>30</v>
      </c>
      <c r="AF251" s="4">
        <v>0</v>
      </c>
      <c r="AG251" s="4">
        <v>2</v>
      </c>
      <c r="AH251" s="4">
        <v>27</v>
      </c>
      <c r="AI251" s="4">
        <v>28</v>
      </c>
      <c r="AJ251" s="4">
        <v>2</v>
      </c>
      <c r="AK251" s="4">
        <v>4</v>
      </c>
      <c r="AL251" s="4">
        <v>23</v>
      </c>
      <c r="AM251" s="4">
        <v>23</v>
      </c>
      <c r="AN251" s="4">
        <v>0</v>
      </c>
      <c r="AO251" s="4">
        <v>0</v>
      </c>
      <c r="AP251" s="4">
        <v>2</v>
      </c>
      <c r="AQ251" s="4">
        <v>3</v>
      </c>
      <c r="AR251" s="3" t="s">
        <v>64</v>
      </c>
      <c r="AS251" s="3" t="s">
        <v>64</v>
      </c>
      <c r="AT251" s="3" t="s">
        <v>64</v>
      </c>
      <c r="AV251" s="6" t="str">
        <f>HYPERLINK("http://mcgill.on.worldcat.org/oclc/873518662","Catalog Record")</f>
        <v>Catalog Record</v>
      </c>
      <c r="AW251" s="6" t="str">
        <f>HYPERLINK("http://www.worldcat.org/oclc/873518662","WorldCat Record")</f>
        <v>WorldCat Record</v>
      </c>
      <c r="AX251" s="3" t="s">
        <v>2378</v>
      </c>
      <c r="AY251" s="3" t="s">
        <v>2379</v>
      </c>
      <c r="AZ251" s="3" t="s">
        <v>2380</v>
      </c>
      <c r="BA251" s="3" t="s">
        <v>2380</v>
      </c>
      <c r="BB251" s="3" t="s">
        <v>2381</v>
      </c>
      <c r="BC251" s="3" t="s">
        <v>77</v>
      </c>
      <c r="BD251" s="3" t="s">
        <v>78</v>
      </c>
      <c r="BE251" s="3" t="s">
        <v>2382</v>
      </c>
      <c r="BF251" s="3" t="s">
        <v>2381</v>
      </c>
      <c r="BG251" s="3" t="s">
        <v>2383</v>
      </c>
      <c r="BH251">
        <f t="shared" si="8"/>
        <v>0</v>
      </c>
    </row>
    <row r="252" spans="1:60" ht="58" x14ac:dyDescent="0.35">
      <c r="A252" s="2" t="s">
        <v>59</v>
      </c>
      <c r="B252" s="2" t="s">
        <v>60</v>
      </c>
      <c r="C252" s="2" t="s">
        <v>2384</v>
      </c>
      <c r="D252" s="2" t="s">
        <v>2385</v>
      </c>
      <c r="E252" s="2" t="s">
        <v>2386</v>
      </c>
      <c r="G252" s="3" t="s">
        <v>64</v>
      </c>
      <c r="I252" s="3" t="s">
        <v>64</v>
      </c>
      <c r="J252" s="3" t="s">
        <v>64</v>
      </c>
      <c r="K252" s="3" t="s">
        <v>65</v>
      </c>
      <c r="M252" s="2" t="s">
        <v>2387</v>
      </c>
      <c r="N252" s="3" t="s">
        <v>253</v>
      </c>
      <c r="P252" s="3" t="s">
        <v>68</v>
      </c>
      <c r="R252" s="3" t="s">
        <v>70</v>
      </c>
      <c r="S252" s="4">
        <v>2</v>
      </c>
      <c r="T252" s="4">
        <v>2</v>
      </c>
      <c r="U252" s="5" t="s">
        <v>1567</v>
      </c>
      <c r="V252" s="5" t="s">
        <v>1567</v>
      </c>
      <c r="W252" s="5" t="s">
        <v>72</v>
      </c>
      <c r="X252" s="5" t="s">
        <v>72</v>
      </c>
      <c r="Y252" s="4">
        <v>35</v>
      </c>
      <c r="Z252" s="4">
        <v>5</v>
      </c>
      <c r="AA252" s="4">
        <v>9</v>
      </c>
      <c r="AB252" s="4">
        <v>1</v>
      </c>
      <c r="AC252" s="4">
        <v>4</v>
      </c>
      <c r="AD252" s="4">
        <v>19</v>
      </c>
      <c r="AE252" s="4">
        <v>22</v>
      </c>
      <c r="AF252" s="4">
        <v>0</v>
      </c>
      <c r="AG252" s="4">
        <v>2</v>
      </c>
      <c r="AH252" s="4">
        <v>16</v>
      </c>
      <c r="AI252" s="4">
        <v>17</v>
      </c>
      <c r="AJ252" s="4">
        <v>3</v>
      </c>
      <c r="AK252" s="4">
        <v>6</v>
      </c>
      <c r="AL252" s="4">
        <v>15</v>
      </c>
      <c r="AM252" s="4">
        <v>15</v>
      </c>
      <c r="AN252" s="4">
        <v>0</v>
      </c>
      <c r="AO252" s="4">
        <v>0</v>
      </c>
      <c r="AP252" s="4">
        <v>3</v>
      </c>
      <c r="AQ252" s="4">
        <v>5</v>
      </c>
      <c r="AR252" s="3" t="s">
        <v>64</v>
      </c>
      <c r="AS252" s="3" t="s">
        <v>64</v>
      </c>
      <c r="AT252" s="3" t="s">
        <v>64</v>
      </c>
      <c r="AV252" s="6" t="str">
        <f>HYPERLINK("http://mcgill.on.worldcat.org/oclc/913221776","Catalog Record")</f>
        <v>Catalog Record</v>
      </c>
      <c r="AW252" s="6" t="str">
        <f>HYPERLINK("http://www.worldcat.org/oclc/913221776","WorldCat Record")</f>
        <v>WorldCat Record</v>
      </c>
      <c r="AX252" s="3" t="s">
        <v>2388</v>
      </c>
      <c r="AY252" s="3" t="s">
        <v>2389</v>
      </c>
      <c r="AZ252" s="3" t="s">
        <v>2390</v>
      </c>
      <c r="BA252" s="3" t="s">
        <v>2390</v>
      </c>
      <c r="BB252" s="3" t="s">
        <v>2391</v>
      </c>
      <c r="BC252" s="3" t="s">
        <v>77</v>
      </c>
      <c r="BD252" s="3" t="s">
        <v>78</v>
      </c>
      <c r="BE252" s="3" t="s">
        <v>2392</v>
      </c>
      <c r="BF252" s="3" t="s">
        <v>2391</v>
      </c>
      <c r="BG252" s="3" t="s">
        <v>2393</v>
      </c>
      <c r="BH252">
        <f t="shared" si="8"/>
        <v>0</v>
      </c>
    </row>
    <row r="253" spans="1:60" ht="58" x14ac:dyDescent="0.35">
      <c r="A253" s="2" t="s">
        <v>59</v>
      </c>
      <c r="B253" s="2" t="s">
        <v>60</v>
      </c>
      <c r="C253" s="2" t="s">
        <v>2394</v>
      </c>
      <c r="D253" s="2" t="s">
        <v>2395</v>
      </c>
      <c r="E253" s="2" t="s">
        <v>2396</v>
      </c>
      <c r="G253" s="3" t="s">
        <v>64</v>
      </c>
      <c r="I253" s="3" t="s">
        <v>64</v>
      </c>
      <c r="J253" s="3" t="s">
        <v>64</v>
      </c>
      <c r="K253" s="3" t="s">
        <v>65</v>
      </c>
      <c r="L253" s="2" t="s">
        <v>2397</v>
      </c>
      <c r="M253" s="2" t="s">
        <v>2398</v>
      </c>
      <c r="N253" s="3" t="s">
        <v>551</v>
      </c>
      <c r="P253" s="3" t="s">
        <v>102</v>
      </c>
      <c r="R253" s="3" t="s">
        <v>70</v>
      </c>
      <c r="S253" s="4">
        <v>2</v>
      </c>
      <c r="T253" s="4">
        <v>2</v>
      </c>
      <c r="U253" s="5" t="s">
        <v>2399</v>
      </c>
      <c r="V253" s="5" t="s">
        <v>2399</v>
      </c>
      <c r="W253" s="5" t="s">
        <v>72</v>
      </c>
      <c r="X253" s="5" t="s">
        <v>72</v>
      </c>
      <c r="Y253" s="4">
        <v>198</v>
      </c>
      <c r="Z253" s="4">
        <v>25</v>
      </c>
      <c r="AA253" s="4">
        <v>109</v>
      </c>
      <c r="AB253" s="4">
        <v>2</v>
      </c>
      <c r="AC253" s="4">
        <v>20</v>
      </c>
      <c r="AD253" s="4">
        <v>80</v>
      </c>
      <c r="AE253" s="4">
        <v>132</v>
      </c>
      <c r="AF253" s="4">
        <v>0</v>
      </c>
      <c r="AG253" s="4">
        <v>8</v>
      </c>
      <c r="AH253" s="4">
        <v>68</v>
      </c>
      <c r="AI253" s="4">
        <v>91</v>
      </c>
      <c r="AJ253" s="4">
        <v>17</v>
      </c>
      <c r="AK253" s="4">
        <v>27</v>
      </c>
      <c r="AL253" s="4">
        <v>41</v>
      </c>
      <c r="AM253" s="4">
        <v>49</v>
      </c>
      <c r="AN253" s="4">
        <v>0</v>
      </c>
      <c r="AO253" s="4">
        <v>0</v>
      </c>
      <c r="AP253" s="4">
        <v>18</v>
      </c>
      <c r="AQ253" s="4">
        <v>50</v>
      </c>
      <c r="AR253" s="3" t="s">
        <v>128</v>
      </c>
      <c r="AS253" s="3" t="s">
        <v>64</v>
      </c>
      <c r="AT253" s="3" t="s">
        <v>64</v>
      </c>
      <c r="AV253" s="6" t="str">
        <f>HYPERLINK("http://mcgill.on.worldcat.org/oclc/251891566","Catalog Record")</f>
        <v>Catalog Record</v>
      </c>
      <c r="AW253" s="6" t="str">
        <f>HYPERLINK("http://www.worldcat.org/oclc/251891566","WorldCat Record")</f>
        <v>WorldCat Record</v>
      </c>
      <c r="AX253" s="3" t="s">
        <v>2400</v>
      </c>
      <c r="AY253" s="3" t="s">
        <v>2401</v>
      </c>
      <c r="AZ253" s="3" t="s">
        <v>2402</v>
      </c>
      <c r="BA253" s="3" t="s">
        <v>2402</v>
      </c>
      <c r="BB253" s="3" t="s">
        <v>2403</v>
      </c>
      <c r="BC253" s="3" t="s">
        <v>77</v>
      </c>
      <c r="BD253" s="3" t="s">
        <v>78</v>
      </c>
      <c r="BE253" s="3" t="s">
        <v>2404</v>
      </c>
      <c r="BF253" s="3" t="s">
        <v>2403</v>
      </c>
      <c r="BG253" s="3" t="s">
        <v>2405</v>
      </c>
      <c r="BH253">
        <f t="shared" si="8"/>
        <v>0</v>
      </c>
    </row>
    <row r="254" spans="1:60" ht="58" x14ac:dyDescent="0.35">
      <c r="A254" s="2" t="s">
        <v>59</v>
      </c>
      <c r="B254" s="2" t="s">
        <v>60</v>
      </c>
      <c r="C254" s="2" t="s">
        <v>2406</v>
      </c>
      <c r="D254" s="2" t="s">
        <v>2407</v>
      </c>
      <c r="E254" s="2" t="s">
        <v>2408</v>
      </c>
      <c r="G254" s="3" t="s">
        <v>64</v>
      </c>
      <c r="I254" s="3" t="s">
        <v>64</v>
      </c>
      <c r="J254" s="3" t="s">
        <v>64</v>
      </c>
      <c r="K254" s="3" t="s">
        <v>65</v>
      </c>
      <c r="M254" s="2" t="s">
        <v>2409</v>
      </c>
      <c r="N254" s="3" t="s">
        <v>144</v>
      </c>
      <c r="P254" s="3" t="s">
        <v>102</v>
      </c>
      <c r="Q254" s="2" t="s">
        <v>2410</v>
      </c>
      <c r="R254" s="3" t="s">
        <v>70</v>
      </c>
      <c r="S254" s="4">
        <v>2</v>
      </c>
      <c r="T254" s="4">
        <v>2</v>
      </c>
      <c r="U254" s="5" t="s">
        <v>2411</v>
      </c>
      <c r="V254" s="5" t="s">
        <v>2411</v>
      </c>
      <c r="W254" s="5" t="s">
        <v>72</v>
      </c>
      <c r="X254" s="5" t="s">
        <v>72</v>
      </c>
      <c r="Y254" s="4">
        <v>73</v>
      </c>
      <c r="Z254" s="4">
        <v>9</v>
      </c>
      <c r="AA254" s="4">
        <v>9</v>
      </c>
      <c r="AB254" s="4">
        <v>2</v>
      </c>
      <c r="AC254" s="4">
        <v>2</v>
      </c>
      <c r="AD254" s="4">
        <v>30</v>
      </c>
      <c r="AE254" s="4">
        <v>30</v>
      </c>
      <c r="AF254" s="4">
        <v>0</v>
      </c>
      <c r="AG254" s="4">
        <v>0</v>
      </c>
      <c r="AH254" s="4">
        <v>27</v>
      </c>
      <c r="AI254" s="4">
        <v>27</v>
      </c>
      <c r="AJ254" s="4">
        <v>5</v>
      </c>
      <c r="AK254" s="4">
        <v>5</v>
      </c>
      <c r="AL254" s="4">
        <v>18</v>
      </c>
      <c r="AM254" s="4">
        <v>18</v>
      </c>
      <c r="AN254" s="4">
        <v>0</v>
      </c>
      <c r="AO254" s="4">
        <v>0</v>
      </c>
      <c r="AP254" s="4">
        <v>5</v>
      </c>
      <c r="AQ254" s="4">
        <v>5</v>
      </c>
      <c r="AR254" s="3" t="s">
        <v>64</v>
      </c>
      <c r="AS254" s="3" t="s">
        <v>64</v>
      </c>
      <c r="AT254" s="3" t="s">
        <v>64</v>
      </c>
      <c r="AV254" s="6" t="str">
        <f>HYPERLINK("http://mcgill.on.worldcat.org/oclc/231745507","Catalog Record")</f>
        <v>Catalog Record</v>
      </c>
      <c r="AW254" s="6" t="str">
        <f>HYPERLINK("http://www.worldcat.org/oclc/231745507","WorldCat Record")</f>
        <v>WorldCat Record</v>
      </c>
      <c r="AX254" s="3" t="s">
        <v>2412</v>
      </c>
      <c r="AY254" s="3" t="s">
        <v>2413</v>
      </c>
      <c r="AZ254" s="3" t="s">
        <v>2414</v>
      </c>
      <c r="BA254" s="3" t="s">
        <v>2414</v>
      </c>
      <c r="BB254" s="3" t="s">
        <v>2415</v>
      </c>
      <c r="BC254" s="3" t="s">
        <v>77</v>
      </c>
      <c r="BD254" s="3" t="s">
        <v>78</v>
      </c>
      <c r="BE254" s="3" t="s">
        <v>2416</v>
      </c>
      <c r="BF254" s="3" t="s">
        <v>2415</v>
      </c>
      <c r="BG254" s="3" t="s">
        <v>2417</v>
      </c>
      <c r="BH254">
        <f t="shared" si="8"/>
        <v>0</v>
      </c>
    </row>
    <row r="255" spans="1:60" ht="58" x14ac:dyDescent="0.35">
      <c r="A255" s="2" t="s">
        <v>59</v>
      </c>
      <c r="B255" s="2" t="s">
        <v>60</v>
      </c>
      <c r="C255" s="2" t="s">
        <v>2418</v>
      </c>
      <c r="D255" s="2" t="s">
        <v>2419</v>
      </c>
      <c r="E255" s="2" t="s">
        <v>2420</v>
      </c>
      <c r="G255" s="3" t="s">
        <v>64</v>
      </c>
      <c r="I255" s="3" t="s">
        <v>128</v>
      </c>
      <c r="J255" s="3" t="s">
        <v>64</v>
      </c>
      <c r="K255" s="3" t="s">
        <v>65</v>
      </c>
      <c r="L255" s="2" t="s">
        <v>2421</v>
      </c>
      <c r="M255" s="2" t="s">
        <v>2422</v>
      </c>
      <c r="N255" s="3" t="s">
        <v>144</v>
      </c>
      <c r="P255" s="3" t="s">
        <v>102</v>
      </c>
      <c r="R255" s="3" t="s">
        <v>70</v>
      </c>
      <c r="S255" s="4">
        <v>5</v>
      </c>
      <c r="T255" s="4">
        <v>5</v>
      </c>
      <c r="U255" s="5" t="s">
        <v>2423</v>
      </c>
      <c r="V255" s="5" t="s">
        <v>2423</v>
      </c>
      <c r="W255" s="5" t="s">
        <v>72</v>
      </c>
      <c r="X255" s="5" t="s">
        <v>72</v>
      </c>
      <c r="Y255" s="4">
        <v>257</v>
      </c>
      <c r="Z255" s="4">
        <v>24</v>
      </c>
      <c r="AA255" s="4">
        <v>98</v>
      </c>
      <c r="AB255" s="4">
        <v>2</v>
      </c>
      <c r="AC255" s="4">
        <v>18</v>
      </c>
      <c r="AD255" s="4">
        <v>88</v>
      </c>
      <c r="AE255" s="4">
        <v>138</v>
      </c>
      <c r="AF255" s="4">
        <v>0</v>
      </c>
      <c r="AG255" s="4">
        <v>8</v>
      </c>
      <c r="AH255" s="4">
        <v>78</v>
      </c>
      <c r="AI255" s="4">
        <v>100</v>
      </c>
      <c r="AJ255" s="4">
        <v>10</v>
      </c>
      <c r="AK255" s="4">
        <v>24</v>
      </c>
      <c r="AL255" s="4">
        <v>49</v>
      </c>
      <c r="AM255" s="4">
        <v>56</v>
      </c>
      <c r="AN255" s="4">
        <v>0</v>
      </c>
      <c r="AO255" s="4">
        <v>0</v>
      </c>
      <c r="AP255" s="4">
        <v>13</v>
      </c>
      <c r="AQ255" s="4">
        <v>45</v>
      </c>
      <c r="AR255" s="3" t="s">
        <v>64</v>
      </c>
      <c r="AS255" s="3" t="s">
        <v>64</v>
      </c>
      <c r="AT255" s="3" t="s">
        <v>64</v>
      </c>
      <c r="AV255" s="6" t="str">
        <f>HYPERLINK("http://mcgill.on.worldcat.org/oclc/173498627","Catalog Record")</f>
        <v>Catalog Record</v>
      </c>
      <c r="AW255" s="6" t="str">
        <f>HYPERLINK("http://www.worldcat.org/oclc/173498627","WorldCat Record")</f>
        <v>WorldCat Record</v>
      </c>
      <c r="AX255" s="3" t="s">
        <v>2424</v>
      </c>
      <c r="AY255" s="3" t="s">
        <v>2425</v>
      </c>
      <c r="AZ255" s="3" t="s">
        <v>2426</v>
      </c>
      <c r="BA255" s="3" t="s">
        <v>2426</v>
      </c>
      <c r="BB255" s="3" t="s">
        <v>2427</v>
      </c>
      <c r="BC255" s="3" t="s">
        <v>77</v>
      </c>
      <c r="BD255" s="3" t="s">
        <v>78</v>
      </c>
      <c r="BE255" s="3" t="s">
        <v>2428</v>
      </c>
      <c r="BF255" s="3" t="s">
        <v>2427</v>
      </c>
      <c r="BG255" s="3" t="s">
        <v>2429</v>
      </c>
      <c r="BH255">
        <f t="shared" si="8"/>
        <v>0</v>
      </c>
    </row>
    <row r="256" spans="1:60" ht="58" x14ac:dyDescent="0.35">
      <c r="A256" s="2" t="s">
        <v>59</v>
      </c>
      <c r="B256" s="2" t="s">
        <v>60</v>
      </c>
      <c r="C256" s="2" t="s">
        <v>2430</v>
      </c>
      <c r="D256" s="2" t="s">
        <v>2431</v>
      </c>
      <c r="E256" s="2" t="s">
        <v>2432</v>
      </c>
      <c r="G256" s="3" t="s">
        <v>64</v>
      </c>
      <c r="I256" s="3" t="s">
        <v>64</v>
      </c>
      <c r="J256" s="3" t="s">
        <v>64</v>
      </c>
      <c r="K256" s="3" t="s">
        <v>65</v>
      </c>
      <c r="L256" s="2" t="s">
        <v>2433</v>
      </c>
      <c r="M256" s="2" t="s">
        <v>2434</v>
      </c>
      <c r="N256" s="3" t="s">
        <v>291</v>
      </c>
      <c r="P256" s="3" t="s">
        <v>102</v>
      </c>
      <c r="R256" s="3" t="s">
        <v>70</v>
      </c>
      <c r="S256" s="4">
        <v>3</v>
      </c>
      <c r="T256" s="4">
        <v>3</v>
      </c>
      <c r="U256" s="5" t="s">
        <v>174</v>
      </c>
      <c r="V256" s="5" t="s">
        <v>174</v>
      </c>
      <c r="W256" s="5" t="s">
        <v>72</v>
      </c>
      <c r="X256" s="5" t="s">
        <v>72</v>
      </c>
      <c r="Y256" s="4">
        <v>70</v>
      </c>
      <c r="Z256" s="4">
        <v>4</v>
      </c>
      <c r="AA256" s="4">
        <v>34</v>
      </c>
      <c r="AB256" s="4">
        <v>1</v>
      </c>
      <c r="AC256" s="4">
        <v>3</v>
      </c>
      <c r="AD256" s="4">
        <v>22</v>
      </c>
      <c r="AE256" s="4">
        <v>88</v>
      </c>
      <c r="AF256" s="4">
        <v>0</v>
      </c>
      <c r="AG256" s="4">
        <v>1</v>
      </c>
      <c r="AH256" s="4">
        <v>20</v>
      </c>
      <c r="AI256" s="4">
        <v>72</v>
      </c>
      <c r="AJ256" s="4">
        <v>3</v>
      </c>
      <c r="AK256" s="4">
        <v>15</v>
      </c>
      <c r="AL256" s="4">
        <v>13</v>
      </c>
      <c r="AM256" s="4">
        <v>40</v>
      </c>
      <c r="AN256" s="4">
        <v>0</v>
      </c>
      <c r="AO256" s="4">
        <v>0</v>
      </c>
      <c r="AP256" s="4">
        <v>3</v>
      </c>
      <c r="AQ256" s="4">
        <v>22</v>
      </c>
      <c r="AR256" s="3" t="s">
        <v>64</v>
      </c>
      <c r="AS256" s="3" t="s">
        <v>64</v>
      </c>
      <c r="AT256" s="3" t="s">
        <v>64</v>
      </c>
      <c r="AV256" s="6" t="str">
        <f>HYPERLINK("http://mcgill.on.worldcat.org/oclc/153556415","Catalog Record")</f>
        <v>Catalog Record</v>
      </c>
      <c r="AW256" s="6" t="str">
        <f>HYPERLINK("http://www.worldcat.org/oclc/153556415","WorldCat Record")</f>
        <v>WorldCat Record</v>
      </c>
      <c r="AX256" s="3" t="s">
        <v>2435</v>
      </c>
      <c r="AY256" s="3" t="s">
        <v>2436</v>
      </c>
      <c r="AZ256" s="3" t="s">
        <v>2437</v>
      </c>
      <c r="BA256" s="3" t="s">
        <v>2437</v>
      </c>
      <c r="BB256" s="3" t="s">
        <v>2438</v>
      </c>
      <c r="BC256" s="3" t="s">
        <v>77</v>
      </c>
      <c r="BD256" s="3" t="s">
        <v>78</v>
      </c>
      <c r="BE256" s="3" t="s">
        <v>2439</v>
      </c>
      <c r="BF256" s="3" t="s">
        <v>2438</v>
      </c>
      <c r="BG256" s="3" t="s">
        <v>2440</v>
      </c>
      <c r="BH256">
        <f t="shared" si="8"/>
        <v>0</v>
      </c>
    </row>
    <row r="257" spans="1:60" ht="58" x14ac:dyDescent="0.35">
      <c r="A257" s="2" t="s">
        <v>59</v>
      </c>
      <c r="B257" s="2" t="s">
        <v>60</v>
      </c>
      <c r="C257" s="2" t="s">
        <v>2441</v>
      </c>
      <c r="D257" s="2" t="s">
        <v>2442</v>
      </c>
      <c r="E257" s="2" t="s">
        <v>2443</v>
      </c>
      <c r="G257" s="3" t="s">
        <v>64</v>
      </c>
      <c r="I257" s="3" t="s">
        <v>64</v>
      </c>
      <c r="J257" s="3" t="s">
        <v>64</v>
      </c>
      <c r="K257" s="3" t="s">
        <v>65</v>
      </c>
      <c r="M257" s="2" t="s">
        <v>1406</v>
      </c>
      <c r="N257" s="3" t="s">
        <v>326</v>
      </c>
      <c r="P257" s="3" t="s">
        <v>102</v>
      </c>
      <c r="Q257" s="2" t="s">
        <v>2444</v>
      </c>
      <c r="R257" s="3" t="s">
        <v>70</v>
      </c>
      <c r="S257" s="4">
        <v>0</v>
      </c>
      <c r="T257" s="4">
        <v>0</v>
      </c>
      <c r="W257" s="5" t="s">
        <v>72</v>
      </c>
      <c r="X257" s="5" t="s">
        <v>72</v>
      </c>
      <c r="Y257" s="4">
        <v>127</v>
      </c>
      <c r="Z257" s="4">
        <v>15</v>
      </c>
      <c r="AA257" s="4">
        <v>17</v>
      </c>
      <c r="AB257" s="4">
        <v>1</v>
      </c>
      <c r="AC257" s="4">
        <v>2</v>
      </c>
      <c r="AD257" s="4">
        <v>53</v>
      </c>
      <c r="AE257" s="4">
        <v>56</v>
      </c>
      <c r="AF257" s="4">
        <v>0</v>
      </c>
      <c r="AG257" s="4">
        <v>1</v>
      </c>
      <c r="AH257" s="4">
        <v>48</v>
      </c>
      <c r="AI257" s="4">
        <v>50</v>
      </c>
      <c r="AJ257" s="4">
        <v>11</v>
      </c>
      <c r="AK257" s="4">
        <v>12</v>
      </c>
      <c r="AL257" s="4">
        <v>28</v>
      </c>
      <c r="AM257" s="4">
        <v>29</v>
      </c>
      <c r="AN257" s="4">
        <v>0</v>
      </c>
      <c r="AO257" s="4">
        <v>0</v>
      </c>
      <c r="AP257" s="4">
        <v>12</v>
      </c>
      <c r="AQ257" s="4">
        <v>14</v>
      </c>
      <c r="AR257" s="3" t="s">
        <v>64</v>
      </c>
      <c r="AS257" s="3" t="s">
        <v>64</v>
      </c>
      <c r="AT257" s="3" t="s">
        <v>64</v>
      </c>
      <c r="AV257" s="6" t="str">
        <f>HYPERLINK("http://mcgill.on.worldcat.org/oclc/651916815","Catalog Record")</f>
        <v>Catalog Record</v>
      </c>
      <c r="AW257" s="6" t="str">
        <f>HYPERLINK("http://www.worldcat.org/oclc/651916815","WorldCat Record")</f>
        <v>WorldCat Record</v>
      </c>
      <c r="AX257" s="3" t="s">
        <v>2445</v>
      </c>
      <c r="AY257" s="3" t="s">
        <v>2446</v>
      </c>
      <c r="AZ257" s="3" t="s">
        <v>2447</v>
      </c>
      <c r="BA257" s="3" t="s">
        <v>2447</v>
      </c>
      <c r="BB257" s="3" t="s">
        <v>2448</v>
      </c>
      <c r="BC257" s="3" t="s">
        <v>77</v>
      </c>
      <c r="BD257" s="3" t="s">
        <v>78</v>
      </c>
      <c r="BE257" s="3" t="s">
        <v>2449</v>
      </c>
      <c r="BF257" s="3" t="s">
        <v>2448</v>
      </c>
      <c r="BG257" s="3" t="s">
        <v>2450</v>
      </c>
      <c r="BH257">
        <f t="shared" si="8"/>
        <v>0</v>
      </c>
    </row>
    <row r="258" spans="1:60" ht="58" x14ac:dyDescent="0.35">
      <c r="A258" s="2" t="s">
        <v>59</v>
      </c>
      <c r="B258" s="2" t="s">
        <v>60</v>
      </c>
      <c r="C258" s="2" t="s">
        <v>2451</v>
      </c>
      <c r="D258" s="2" t="s">
        <v>2452</v>
      </c>
      <c r="E258" s="2" t="s">
        <v>2453</v>
      </c>
      <c r="G258" s="3" t="s">
        <v>64</v>
      </c>
      <c r="I258" s="3" t="s">
        <v>64</v>
      </c>
      <c r="J258" s="3" t="s">
        <v>64</v>
      </c>
      <c r="K258" s="3" t="s">
        <v>65</v>
      </c>
      <c r="M258" s="2" t="s">
        <v>2454</v>
      </c>
      <c r="N258" s="3" t="s">
        <v>144</v>
      </c>
      <c r="P258" s="3" t="s">
        <v>102</v>
      </c>
      <c r="Q258" s="2" t="s">
        <v>2455</v>
      </c>
      <c r="R258" s="3" t="s">
        <v>70</v>
      </c>
      <c r="S258" s="4">
        <v>13</v>
      </c>
      <c r="T258" s="4">
        <v>13</v>
      </c>
      <c r="U258" s="5" t="s">
        <v>2456</v>
      </c>
      <c r="V258" s="5" t="s">
        <v>2456</v>
      </c>
      <c r="W258" s="5" t="s">
        <v>72</v>
      </c>
      <c r="X258" s="5" t="s">
        <v>72</v>
      </c>
      <c r="Y258" s="4">
        <v>152</v>
      </c>
      <c r="Z258" s="4">
        <v>17</v>
      </c>
      <c r="AA258" s="4">
        <v>17</v>
      </c>
      <c r="AB258" s="4">
        <v>1</v>
      </c>
      <c r="AC258" s="4">
        <v>1</v>
      </c>
      <c r="AD258" s="4">
        <v>60</v>
      </c>
      <c r="AE258" s="4">
        <v>60</v>
      </c>
      <c r="AF258" s="4">
        <v>0</v>
      </c>
      <c r="AG258" s="4">
        <v>0</v>
      </c>
      <c r="AH258" s="4">
        <v>51</v>
      </c>
      <c r="AI258" s="4">
        <v>51</v>
      </c>
      <c r="AJ258" s="4">
        <v>8</v>
      </c>
      <c r="AK258" s="4">
        <v>8</v>
      </c>
      <c r="AL258" s="4">
        <v>35</v>
      </c>
      <c r="AM258" s="4">
        <v>35</v>
      </c>
      <c r="AN258" s="4">
        <v>0</v>
      </c>
      <c r="AO258" s="4">
        <v>0</v>
      </c>
      <c r="AP258" s="4">
        <v>12</v>
      </c>
      <c r="AQ258" s="4">
        <v>12</v>
      </c>
      <c r="AR258" s="3" t="s">
        <v>64</v>
      </c>
      <c r="AS258" s="3" t="s">
        <v>64</v>
      </c>
      <c r="AT258" s="3" t="s">
        <v>128</v>
      </c>
      <c r="AU258" s="6" t="str">
        <f>HYPERLINK("http://catalog.hathitrust.org/Record/005882621","HathiTrust Record")</f>
        <v>HathiTrust Record</v>
      </c>
      <c r="AV258" s="6" t="str">
        <f>HYPERLINK("http://mcgill.on.worldcat.org/oclc/176925284","Catalog Record")</f>
        <v>Catalog Record</v>
      </c>
      <c r="AW258" s="6" t="str">
        <f>HYPERLINK("http://www.worldcat.org/oclc/176925284","WorldCat Record")</f>
        <v>WorldCat Record</v>
      </c>
      <c r="AX258" s="3" t="s">
        <v>2457</v>
      </c>
      <c r="AY258" s="3" t="s">
        <v>2458</v>
      </c>
      <c r="AZ258" s="3" t="s">
        <v>2459</v>
      </c>
      <c r="BA258" s="3" t="s">
        <v>2459</v>
      </c>
      <c r="BB258" s="3" t="s">
        <v>2460</v>
      </c>
      <c r="BC258" s="3" t="s">
        <v>77</v>
      </c>
      <c r="BD258" s="3" t="s">
        <v>78</v>
      </c>
      <c r="BE258" s="3" t="s">
        <v>2461</v>
      </c>
      <c r="BF258" s="3" t="s">
        <v>2460</v>
      </c>
      <c r="BG258" s="3" t="s">
        <v>2462</v>
      </c>
      <c r="BH258">
        <f t="shared" ref="BH258:BH321" si="9">IF(COUNTIF($BF$1:$BF$5431,BF258)=1,0,1)</f>
        <v>0</v>
      </c>
    </row>
    <row r="259" spans="1:60" ht="58" x14ac:dyDescent="0.35">
      <c r="A259" s="2" t="s">
        <v>59</v>
      </c>
      <c r="B259" s="2" t="s">
        <v>60</v>
      </c>
      <c r="C259" s="2" t="s">
        <v>2463</v>
      </c>
      <c r="D259" s="2" t="s">
        <v>2464</v>
      </c>
      <c r="E259" s="2" t="s">
        <v>2465</v>
      </c>
      <c r="G259" s="3" t="s">
        <v>64</v>
      </c>
      <c r="I259" s="3" t="s">
        <v>64</v>
      </c>
      <c r="J259" s="3" t="s">
        <v>64</v>
      </c>
      <c r="K259" s="3" t="s">
        <v>65</v>
      </c>
      <c r="L259" s="2" t="s">
        <v>2466</v>
      </c>
      <c r="M259" s="2" t="s">
        <v>2256</v>
      </c>
      <c r="N259" s="3" t="s">
        <v>578</v>
      </c>
      <c r="P259" s="3" t="s">
        <v>102</v>
      </c>
      <c r="Q259" s="2" t="s">
        <v>2467</v>
      </c>
      <c r="R259" s="3" t="s">
        <v>70</v>
      </c>
      <c r="S259" s="4">
        <v>0</v>
      </c>
      <c r="T259" s="4">
        <v>0</v>
      </c>
      <c r="W259" s="5" t="s">
        <v>72</v>
      </c>
      <c r="X259" s="5" t="s">
        <v>72</v>
      </c>
      <c r="Y259" s="4">
        <v>49</v>
      </c>
      <c r="Z259" s="4">
        <v>4</v>
      </c>
      <c r="AA259" s="4">
        <v>5</v>
      </c>
      <c r="AB259" s="4">
        <v>1</v>
      </c>
      <c r="AC259" s="4">
        <v>2</v>
      </c>
      <c r="AD259" s="4">
        <v>24</v>
      </c>
      <c r="AE259" s="4">
        <v>25</v>
      </c>
      <c r="AF259" s="4">
        <v>0</v>
      </c>
      <c r="AG259" s="4">
        <v>0</v>
      </c>
      <c r="AH259" s="4">
        <v>23</v>
      </c>
      <c r="AI259" s="4">
        <v>24</v>
      </c>
      <c r="AJ259" s="4">
        <v>3</v>
      </c>
      <c r="AK259" s="4">
        <v>3</v>
      </c>
      <c r="AL259" s="4">
        <v>16</v>
      </c>
      <c r="AM259" s="4">
        <v>16</v>
      </c>
      <c r="AN259" s="4">
        <v>0</v>
      </c>
      <c r="AO259" s="4">
        <v>0</v>
      </c>
      <c r="AP259" s="4">
        <v>3</v>
      </c>
      <c r="AQ259" s="4">
        <v>3</v>
      </c>
      <c r="AR259" s="3" t="s">
        <v>64</v>
      </c>
      <c r="AS259" s="3" t="s">
        <v>64</v>
      </c>
      <c r="AT259" s="3" t="s">
        <v>64</v>
      </c>
      <c r="AV259" s="6" t="str">
        <f>HYPERLINK("http://mcgill.on.worldcat.org/oclc/967819942","Catalog Record")</f>
        <v>Catalog Record</v>
      </c>
      <c r="AW259" s="6" t="str">
        <f>HYPERLINK("http://www.worldcat.org/oclc/967819942","WorldCat Record")</f>
        <v>WorldCat Record</v>
      </c>
      <c r="AX259" s="3" t="s">
        <v>2468</v>
      </c>
      <c r="AY259" s="3" t="s">
        <v>2469</v>
      </c>
      <c r="AZ259" s="3" t="s">
        <v>2470</v>
      </c>
      <c r="BA259" s="3" t="s">
        <v>2470</v>
      </c>
      <c r="BB259" s="3" t="s">
        <v>2471</v>
      </c>
      <c r="BC259" s="3" t="s">
        <v>77</v>
      </c>
      <c r="BD259" s="3" t="s">
        <v>78</v>
      </c>
      <c r="BE259" s="3" t="s">
        <v>2472</v>
      </c>
      <c r="BF259" s="3" t="s">
        <v>2471</v>
      </c>
      <c r="BG259" s="3" t="s">
        <v>2473</v>
      </c>
      <c r="BH259">
        <f t="shared" si="9"/>
        <v>0</v>
      </c>
    </row>
    <row r="260" spans="1:60" ht="58" x14ac:dyDescent="0.35">
      <c r="A260" s="2" t="s">
        <v>59</v>
      </c>
      <c r="B260" s="2" t="s">
        <v>60</v>
      </c>
      <c r="C260" s="2" t="s">
        <v>2474</v>
      </c>
      <c r="D260" s="2" t="s">
        <v>2475</v>
      </c>
      <c r="E260" s="2" t="s">
        <v>2476</v>
      </c>
      <c r="G260" s="3" t="s">
        <v>64</v>
      </c>
      <c r="I260" s="3" t="s">
        <v>128</v>
      </c>
      <c r="J260" s="3" t="s">
        <v>64</v>
      </c>
      <c r="K260" s="3" t="s">
        <v>65</v>
      </c>
      <c r="M260" s="2" t="s">
        <v>2477</v>
      </c>
      <c r="N260" s="3" t="s">
        <v>434</v>
      </c>
      <c r="P260" s="3" t="s">
        <v>102</v>
      </c>
      <c r="Q260" s="2" t="s">
        <v>2478</v>
      </c>
      <c r="R260" s="3" t="s">
        <v>70</v>
      </c>
      <c r="S260" s="4">
        <v>7</v>
      </c>
      <c r="T260" s="4">
        <v>15</v>
      </c>
      <c r="U260" s="5" t="s">
        <v>2423</v>
      </c>
      <c r="V260" s="5" t="s">
        <v>2423</v>
      </c>
      <c r="W260" s="5" t="s">
        <v>72</v>
      </c>
      <c r="X260" s="5" t="s">
        <v>72</v>
      </c>
      <c r="Y260" s="4">
        <v>160</v>
      </c>
      <c r="Z260" s="4">
        <v>13</v>
      </c>
      <c r="AA260" s="4">
        <v>15</v>
      </c>
      <c r="AB260" s="4">
        <v>1</v>
      </c>
      <c r="AC260" s="4">
        <v>2</v>
      </c>
      <c r="AD260" s="4">
        <v>69</v>
      </c>
      <c r="AE260" s="4">
        <v>72</v>
      </c>
      <c r="AF260" s="4">
        <v>0</v>
      </c>
      <c r="AG260" s="4">
        <v>0</v>
      </c>
      <c r="AH260" s="4">
        <v>63</v>
      </c>
      <c r="AI260" s="4">
        <v>66</v>
      </c>
      <c r="AJ260" s="4">
        <v>10</v>
      </c>
      <c r="AK260" s="4">
        <v>11</v>
      </c>
      <c r="AL260" s="4">
        <v>41</v>
      </c>
      <c r="AM260" s="4">
        <v>42</v>
      </c>
      <c r="AN260" s="4">
        <v>0</v>
      </c>
      <c r="AO260" s="4">
        <v>0</v>
      </c>
      <c r="AP260" s="4">
        <v>10</v>
      </c>
      <c r="AQ260" s="4">
        <v>11</v>
      </c>
      <c r="AR260" s="3" t="s">
        <v>64</v>
      </c>
      <c r="AS260" s="3" t="s">
        <v>64</v>
      </c>
      <c r="AT260" s="3" t="s">
        <v>128</v>
      </c>
      <c r="AU260" s="6" t="str">
        <f>HYPERLINK("http://catalog.hathitrust.org/Record/005109625","HathiTrust Record")</f>
        <v>HathiTrust Record</v>
      </c>
      <c r="AV260" s="6" t="str">
        <f>HYPERLINK("http://mcgill.on.worldcat.org/oclc/61441538","Catalog Record")</f>
        <v>Catalog Record</v>
      </c>
      <c r="AW260" s="6" t="str">
        <f>HYPERLINK("http://www.worldcat.org/oclc/61441538","WorldCat Record")</f>
        <v>WorldCat Record</v>
      </c>
      <c r="AX260" s="3" t="s">
        <v>2479</v>
      </c>
      <c r="AY260" s="3" t="s">
        <v>2480</v>
      </c>
      <c r="AZ260" s="3" t="s">
        <v>2481</v>
      </c>
      <c r="BA260" s="3" t="s">
        <v>2481</v>
      </c>
      <c r="BB260" s="3" t="s">
        <v>2482</v>
      </c>
      <c r="BC260" s="3" t="s">
        <v>77</v>
      </c>
      <c r="BD260" s="3" t="s">
        <v>165</v>
      </c>
      <c r="BE260" s="3" t="s">
        <v>2483</v>
      </c>
      <c r="BF260" s="3" t="s">
        <v>2482</v>
      </c>
      <c r="BG260" s="3" t="s">
        <v>2484</v>
      </c>
      <c r="BH260">
        <f t="shared" si="9"/>
        <v>0</v>
      </c>
    </row>
    <row r="261" spans="1:60" ht="58" x14ac:dyDescent="0.35">
      <c r="A261" s="2" t="s">
        <v>59</v>
      </c>
      <c r="B261" s="2" t="s">
        <v>60</v>
      </c>
      <c r="C261" s="2" t="s">
        <v>2474</v>
      </c>
      <c r="D261" s="2" t="s">
        <v>2475</v>
      </c>
      <c r="E261" s="2" t="s">
        <v>2476</v>
      </c>
      <c r="G261" s="3" t="s">
        <v>64</v>
      </c>
      <c r="I261" s="3" t="s">
        <v>128</v>
      </c>
      <c r="J261" s="3" t="s">
        <v>64</v>
      </c>
      <c r="K261" s="3" t="s">
        <v>65</v>
      </c>
      <c r="M261" s="2" t="s">
        <v>2477</v>
      </c>
      <c r="N261" s="3" t="s">
        <v>434</v>
      </c>
      <c r="P261" s="3" t="s">
        <v>102</v>
      </c>
      <c r="Q261" s="2" t="s">
        <v>2478</v>
      </c>
      <c r="R261" s="3" t="s">
        <v>70</v>
      </c>
      <c r="S261" s="4">
        <v>8</v>
      </c>
      <c r="T261" s="4">
        <v>15</v>
      </c>
      <c r="U261" s="5" t="s">
        <v>2485</v>
      </c>
      <c r="V261" s="5" t="s">
        <v>2423</v>
      </c>
      <c r="W261" s="5" t="s">
        <v>72</v>
      </c>
      <c r="X261" s="5" t="s">
        <v>72</v>
      </c>
      <c r="Y261" s="4">
        <v>160</v>
      </c>
      <c r="Z261" s="4">
        <v>13</v>
      </c>
      <c r="AA261" s="4">
        <v>15</v>
      </c>
      <c r="AB261" s="4">
        <v>1</v>
      </c>
      <c r="AC261" s="4">
        <v>2</v>
      </c>
      <c r="AD261" s="4">
        <v>69</v>
      </c>
      <c r="AE261" s="4">
        <v>72</v>
      </c>
      <c r="AF261" s="4">
        <v>0</v>
      </c>
      <c r="AG261" s="4">
        <v>0</v>
      </c>
      <c r="AH261" s="4">
        <v>63</v>
      </c>
      <c r="AI261" s="4">
        <v>66</v>
      </c>
      <c r="AJ261" s="4">
        <v>10</v>
      </c>
      <c r="AK261" s="4">
        <v>11</v>
      </c>
      <c r="AL261" s="4">
        <v>41</v>
      </c>
      <c r="AM261" s="4">
        <v>42</v>
      </c>
      <c r="AN261" s="4">
        <v>0</v>
      </c>
      <c r="AO261" s="4">
        <v>0</v>
      </c>
      <c r="AP261" s="4">
        <v>10</v>
      </c>
      <c r="AQ261" s="4">
        <v>11</v>
      </c>
      <c r="AR261" s="3" t="s">
        <v>64</v>
      </c>
      <c r="AS261" s="3" t="s">
        <v>64</v>
      </c>
      <c r="AT261" s="3" t="s">
        <v>128</v>
      </c>
      <c r="AU261" s="6" t="str">
        <f>HYPERLINK("http://catalog.hathitrust.org/Record/005109625","HathiTrust Record")</f>
        <v>HathiTrust Record</v>
      </c>
      <c r="AV261" s="6" t="str">
        <f>HYPERLINK("http://mcgill.on.worldcat.org/oclc/61441538","Catalog Record")</f>
        <v>Catalog Record</v>
      </c>
      <c r="AW261" s="6" t="str">
        <f>HYPERLINK("http://www.worldcat.org/oclc/61441538","WorldCat Record")</f>
        <v>WorldCat Record</v>
      </c>
      <c r="AX261" s="3" t="s">
        <v>2479</v>
      </c>
      <c r="AY261" s="3" t="s">
        <v>2480</v>
      </c>
      <c r="AZ261" s="3" t="s">
        <v>2481</v>
      </c>
      <c r="BA261" s="3" t="s">
        <v>2481</v>
      </c>
      <c r="BB261" s="3" t="s">
        <v>2486</v>
      </c>
      <c r="BC261" s="3" t="s">
        <v>77</v>
      </c>
      <c r="BD261" s="3" t="s">
        <v>78</v>
      </c>
      <c r="BE261" s="3" t="s">
        <v>2483</v>
      </c>
      <c r="BF261" s="3" t="s">
        <v>2486</v>
      </c>
      <c r="BG261" s="3" t="s">
        <v>2487</v>
      </c>
      <c r="BH261">
        <f t="shared" si="9"/>
        <v>0</v>
      </c>
    </row>
    <row r="262" spans="1:60" ht="58" x14ac:dyDescent="0.35">
      <c r="A262" s="2" t="s">
        <v>59</v>
      </c>
      <c r="B262" s="2" t="s">
        <v>60</v>
      </c>
      <c r="C262" s="2" t="s">
        <v>2488</v>
      </c>
      <c r="D262" s="2" t="s">
        <v>2489</v>
      </c>
      <c r="E262" s="2" t="s">
        <v>2490</v>
      </c>
      <c r="G262" s="3" t="s">
        <v>64</v>
      </c>
      <c r="I262" s="3" t="s">
        <v>64</v>
      </c>
      <c r="J262" s="3" t="s">
        <v>64</v>
      </c>
      <c r="K262" s="3" t="s">
        <v>65</v>
      </c>
      <c r="M262" s="2" t="s">
        <v>2491</v>
      </c>
      <c r="N262" s="3" t="s">
        <v>253</v>
      </c>
      <c r="P262" s="3" t="s">
        <v>102</v>
      </c>
      <c r="Q262" s="2" t="s">
        <v>2492</v>
      </c>
      <c r="R262" s="3" t="s">
        <v>70</v>
      </c>
      <c r="S262" s="4">
        <v>2</v>
      </c>
      <c r="T262" s="4">
        <v>2</v>
      </c>
      <c r="W262" s="5" t="s">
        <v>72</v>
      </c>
      <c r="X262" s="5" t="s">
        <v>72</v>
      </c>
      <c r="Y262" s="4">
        <v>130</v>
      </c>
      <c r="Z262" s="4">
        <v>18</v>
      </c>
      <c r="AA262" s="4">
        <v>18</v>
      </c>
      <c r="AB262" s="4">
        <v>1</v>
      </c>
      <c r="AC262" s="4">
        <v>1</v>
      </c>
      <c r="AD262" s="4">
        <v>58</v>
      </c>
      <c r="AE262" s="4">
        <v>61</v>
      </c>
      <c r="AF262" s="4">
        <v>0</v>
      </c>
      <c r="AG262" s="4">
        <v>0</v>
      </c>
      <c r="AH262" s="4">
        <v>53</v>
      </c>
      <c r="AI262" s="4">
        <v>56</v>
      </c>
      <c r="AJ262" s="4">
        <v>13</v>
      </c>
      <c r="AK262" s="4">
        <v>13</v>
      </c>
      <c r="AL262" s="4">
        <v>31</v>
      </c>
      <c r="AM262" s="4">
        <v>32</v>
      </c>
      <c r="AN262" s="4">
        <v>0</v>
      </c>
      <c r="AO262" s="4">
        <v>0</v>
      </c>
      <c r="AP262" s="4">
        <v>15</v>
      </c>
      <c r="AQ262" s="4">
        <v>15</v>
      </c>
      <c r="AR262" s="3" t="s">
        <v>64</v>
      </c>
      <c r="AS262" s="3" t="s">
        <v>64</v>
      </c>
      <c r="AT262" s="3" t="s">
        <v>64</v>
      </c>
      <c r="AV262" s="6" t="str">
        <f>HYPERLINK("http://mcgill.on.worldcat.org/oclc/894201823","Catalog Record")</f>
        <v>Catalog Record</v>
      </c>
      <c r="AW262" s="6" t="str">
        <f>HYPERLINK("http://www.worldcat.org/oclc/894201823","WorldCat Record")</f>
        <v>WorldCat Record</v>
      </c>
      <c r="AX262" s="3" t="s">
        <v>2493</v>
      </c>
      <c r="AY262" s="3" t="s">
        <v>2494</v>
      </c>
      <c r="AZ262" s="3" t="s">
        <v>2495</v>
      </c>
      <c r="BA262" s="3" t="s">
        <v>2495</v>
      </c>
      <c r="BB262" s="3" t="s">
        <v>2496</v>
      </c>
      <c r="BC262" s="3" t="s">
        <v>77</v>
      </c>
      <c r="BD262" s="3" t="s">
        <v>165</v>
      </c>
      <c r="BE262" s="3" t="s">
        <v>2497</v>
      </c>
      <c r="BF262" s="3" t="s">
        <v>2496</v>
      </c>
      <c r="BG262" s="3" t="s">
        <v>2498</v>
      </c>
      <c r="BH262">
        <f t="shared" si="9"/>
        <v>0</v>
      </c>
    </row>
    <row r="263" spans="1:60" ht="58" x14ac:dyDescent="0.35">
      <c r="A263" s="2" t="s">
        <v>59</v>
      </c>
      <c r="B263" s="2" t="s">
        <v>60</v>
      </c>
      <c r="C263" s="2" t="s">
        <v>2499</v>
      </c>
      <c r="D263" s="2" t="s">
        <v>2500</v>
      </c>
      <c r="E263" s="2" t="s">
        <v>2501</v>
      </c>
      <c r="G263" s="3" t="s">
        <v>64</v>
      </c>
      <c r="I263" s="3" t="s">
        <v>64</v>
      </c>
      <c r="J263" s="3" t="s">
        <v>64</v>
      </c>
      <c r="K263" s="3" t="s">
        <v>65</v>
      </c>
      <c r="M263" s="2" t="s">
        <v>1418</v>
      </c>
      <c r="N263" s="3" t="s">
        <v>86</v>
      </c>
      <c r="P263" s="3" t="s">
        <v>102</v>
      </c>
      <c r="R263" s="3" t="s">
        <v>70</v>
      </c>
      <c r="S263" s="4">
        <v>0</v>
      </c>
      <c r="T263" s="4">
        <v>0</v>
      </c>
      <c r="W263" s="5" t="s">
        <v>72</v>
      </c>
      <c r="X263" s="5" t="s">
        <v>72</v>
      </c>
      <c r="Y263" s="4">
        <v>99</v>
      </c>
      <c r="Z263" s="4">
        <v>10</v>
      </c>
      <c r="AA263" s="4">
        <v>10</v>
      </c>
      <c r="AB263" s="4">
        <v>1</v>
      </c>
      <c r="AC263" s="4">
        <v>1</v>
      </c>
      <c r="AD263" s="4">
        <v>47</v>
      </c>
      <c r="AE263" s="4">
        <v>47</v>
      </c>
      <c r="AF263" s="4">
        <v>0</v>
      </c>
      <c r="AG263" s="4">
        <v>0</v>
      </c>
      <c r="AH263" s="4">
        <v>43</v>
      </c>
      <c r="AI263" s="4">
        <v>43</v>
      </c>
      <c r="AJ263" s="4">
        <v>8</v>
      </c>
      <c r="AK263" s="4">
        <v>8</v>
      </c>
      <c r="AL263" s="4">
        <v>29</v>
      </c>
      <c r="AM263" s="4">
        <v>29</v>
      </c>
      <c r="AN263" s="4">
        <v>0</v>
      </c>
      <c r="AO263" s="4">
        <v>0</v>
      </c>
      <c r="AP263" s="4">
        <v>8</v>
      </c>
      <c r="AQ263" s="4">
        <v>8</v>
      </c>
      <c r="AR263" s="3" t="s">
        <v>64</v>
      </c>
      <c r="AS263" s="3" t="s">
        <v>64</v>
      </c>
      <c r="AT263" s="3" t="s">
        <v>64</v>
      </c>
      <c r="AV263" s="6" t="str">
        <f>HYPERLINK("http://mcgill.on.worldcat.org/oclc/760972802","Catalog Record")</f>
        <v>Catalog Record</v>
      </c>
      <c r="AW263" s="6" t="str">
        <f>HYPERLINK("http://www.worldcat.org/oclc/760972802","WorldCat Record")</f>
        <v>WorldCat Record</v>
      </c>
      <c r="AX263" s="3" t="s">
        <v>2502</v>
      </c>
      <c r="AY263" s="3" t="s">
        <v>2503</v>
      </c>
      <c r="AZ263" s="3" t="s">
        <v>2504</v>
      </c>
      <c r="BA263" s="3" t="s">
        <v>2504</v>
      </c>
      <c r="BB263" s="3" t="s">
        <v>2505</v>
      </c>
      <c r="BC263" s="3" t="s">
        <v>77</v>
      </c>
      <c r="BD263" s="3" t="s">
        <v>78</v>
      </c>
      <c r="BE263" s="3" t="s">
        <v>2506</v>
      </c>
      <c r="BF263" s="3" t="s">
        <v>2505</v>
      </c>
      <c r="BG263" s="3" t="s">
        <v>2507</v>
      </c>
      <c r="BH263">
        <f t="shared" si="9"/>
        <v>0</v>
      </c>
    </row>
    <row r="264" spans="1:60" ht="58" x14ac:dyDescent="0.35">
      <c r="A264" s="2" t="s">
        <v>59</v>
      </c>
      <c r="B264" s="2" t="s">
        <v>60</v>
      </c>
      <c r="C264" s="2" t="s">
        <v>2508</v>
      </c>
      <c r="D264" s="2" t="s">
        <v>2509</v>
      </c>
      <c r="E264" s="2" t="s">
        <v>2510</v>
      </c>
      <c r="G264" s="3" t="s">
        <v>64</v>
      </c>
      <c r="I264" s="3" t="s">
        <v>64</v>
      </c>
      <c r="J264" s="3" t="s">
        <v>64</v>
      </c>
      <c r="K264" s="3" t="s">
        <v>65</v>
      </c>
      <c r="M264" s="2" t="s">
        <v>2511</v>
      </c>
      <c r="N264" s="3" t="s">
        <v>1075</v>
      </c>
      <c r="P264" s="3" t="s">
        <v>102</v>
      </c>
      <c r="Q264" s="2" t="s">
        <v>2512</v>
      </c>
      <c r="R264" s="3" t="s">
        <v>70</v>
      </c>
      <c r="S264" s="4">
        <v>0</v>
      </c>
      <c r="T264" s="4">
        <v>0</v>
      </c>
      <c r="W264" s="5" t="s">
        <v>72</v>
      </c>
      <c r="X264" s="5" t="s">
        <v>72</v>
      </c>
      <c r="Y264" s="4">
        <v>101</v>
      </c>
      <c r="Z264" s="4">
        <v>14</v>
      </c>
      <c r="AA264" s="4">
        <v>16</v>
      </c>
      <c r="AB264" s="4">
        <v>1</v>
      </c>
      <c r="AC264" s="4">
        <v>3</v>
      </c>
      <c r="AD264" s="4">
        <v>46</v>
      </c>
      <c r="AE264" s="4">
        <v>47</v>
      </c>
      <c r="AF264" s="4">
        <v>0</v>
      </c>
      <c r="AG264" s="4">
        <v>1</v>
      </c>
      <c r="AH264" s="4">
        <v>43</v>
      </c>
      <c r="AI264" s="4">
        <v>43</v>
      </c>
      <c r="AJ264" s="4">
        <v>10</v>
      </c>
      <c r="AK264" s="4">
        <v>11</v>
      </c>
      <c r="AL264" s="4">
        <v>30</v>
      </c>
      <c r="AM264" s="4">
        <v>30</v>
      </c>
      <c r="AN264" s="4">
        <v>0</v>
      </c>
      <c r="AO264" s="4">
        <v>0</v>
      </c>
      <c r="AP264" s="4">
        <v>10</v>
      </c>
      <c r="AQ264" s="4">
        <v>10</v>
      </c>
      <c r="AR264" s="3" t="s">
        <v>64</v>
      </c>
      <c r="AS264" s="3" t="s">
        <v>64</v>
      </c>
      <c r="AT264" s="3" t="s">
        <v>64</v>
      </c>
      <c r="AV264" s="6" t="str">
        <f>HYPERLINK("http://mcgill.on.worldcat.org/oclc/847542485","Catalog Record")</f>
        <v>Catalog Record</v>
      </c>
      <c r="AW264" s="6" t="str">
        <f>HYPERLINK("http://www.worldcat.org/oclc/847542485","WorldCat Record")</f>
        <v>WorldCat Record</v>
      </c>
      <c r="AX264" s="3" t="s">
        <v>2513</v>
      </c>
      <c r="AY264" s="3" t="s">
        <v>2514</v>
      </c>
      <c r="AZ264" s="3" t="s">
        <v>2515</v>
      </c>
      <c r="BA264" s="3" t="s">
        <v>2515</v>
      </c>
      <c r="BB264" s="3" t="s">
        <v>2516</v>
      </c>
      <c r="BC264" s="3" t="s">
        <v>77</v>
      </c>
      <c r="BD264" s="3" t="s">
        <v>78</v>
      </c>
      <c r="BE264" s="3" t="s">
        <v>2517</v>
      </c>
      <c r="BF264" s="3" t="s">
        <v>2516</v>
      </c>
      <c r="BG264" s="3" t="s">
        <v>2518</v>
      </c>
      <c r="BH264">
        <f t="shared" si="9"/>
        <v>0</v>
      </c>
    </row>
    <row r="265" spans="1:60" ht="72.5" x14ac:dyDescent="0.35">
      <c r="A265" s="2" t="s">
        <v>59</v>
      </c>
      <c r="B265" s="2" t="s">
        <v>60</v>
      </c>
      <c r="C265" s="2" t="s">
        <v>2519</v>
      </c>
      <c r="D265" s="2" t="s">
        <v>2520</v>
      </c>
      <c r="E265" s="2" t="s">
        <v>2521</v>
      </c>
      <c r="G265" s="3" t="s">
        <v>64</v>
      </c>
      <c r="I265" s="3" t="s">
        <v>64</v>
      </c>
      <c r="J265" s="3" t="s">
        <v>64</v>
      </c>
      <c r="K265" s="3" t="s">
        <v>65</v>
      </c>
      <c r="M265" s="2" t="s">
        <v>2522</v>
      </c>
      <c r="N265" s="3" t="s">
        <v>67</v>
      </c>
      <c r="P265" s="3" t="s">
        <v>102</v>
      </c>
      <c r="Q265" s="2" t="s">
        <v>1214</v>
      </c>
      <c r="R265" s="3" t="s">
        <v>70</v>
      </c>
      <c r="S265" s="4">
        <v>0</v>
      </c>
      <c r="T265" s="4">
        <v>0</v>
      </c>
      <c r="W265" s="5" t="s">
        <v>72</v>
      </c>
      <c r="X265" s="5" t="s">
        <v>72</v>
      </c>
      <c r="Y265" s="4">
        <v>78</v>
      </c>
      <c r="Z265" s="4">
        <v>10</v>
      </c>
      <c r="AA265" s="4">
        <v>107</v>
      </c>
      <c r="AB265" s="4">
        <v>1</v>
      </c>
      <c r="AC265" s="4">
        <v>15</v>
      </c>
      <c r="AD265" s="4">
        <v>30</v>
      </c>
      <c r="AE265" s="4">
        <v>111</v>
      </c>
      <c r="AF265" s="4">
        <v>0</v>
      </c>
      <c r="AG265" s="4">
        <v>8</v>
      </c>
      <c r="AH265" s="4">
        <v>25</v>
      </c>
      <c r="AI265" s="4">
        <v>71</v>
      </c>
      <c r="AJ265" s="4">
        <v>8</v>
      </c>
      <c r="AK265" s="4">
        <v>23</v>
      </c>
      <c r="AL265" s="4">
        <v>17</v>
      </c>
      <c r="AM265" s="4">
        <v>36</v>
      </c>
      <c r="AN265" s="4">
        <v>0</v>
      </c>
      <c r="AO265" s="4">
        <v>0</v>
      </c>
      <c r="AP265" s="4">
        <v>8</v>
      </c>
      <c r="AQ265" s="4">
        <v>45</v>
      </c>
      <c r="AR265" s="3" t="s">
        <v>64</v>
      </c>
      <c r="AS265" s="3" t="s">
        <v>64</v>
      </c>
      <c r="AT265" s="3" t="s">
        <v>64</v>
      </c>
      <c r="AV265" s="6" t="str">
        <f>HYPERLINK("http://mcgill.on.worldcat.org/oclc/904507068","Catalog Record")</f>
        <v>Catalog Record</v>
      </c>
      <c r="AW265" s="6" t="str">
        <f>HYPERLINK("http://www.worldcat.org/oclc/904507068","WorldCat Record")</f>
        <v>WorldCat Record</v>
      </c>
      <c r="AX265" s="3" t="s">
        <v>2523</v>
      </c>
      <c r="AY265" s="3" t="s">
        <v>2524</v>
      </c>
      <c r="AZ265" s="3" t="s">
        <v>2525</v>
      </c>
      <c r="BA265" s="3" t="s">
        <v>2525</v>
      </c>
      <c r="BB265" s="3" t="s">
        <v>2526</v>
      </c>
      <c r="BC265" s="3" t="s">
        <v>77</v>
      </c>
      <c r="BD265" s="3" t="s">
        <v>78</v>
      </c>
      <c r="BE265" s="3" t="s">
        <v>2527</v>
      </c>
      <c r="BF265" s="3" t="s">
        <v>2526</v>
      </c>
      <c r="BG265" s="3" t="s">
        <v>2528</v>
      </c>
      <c r="BH265">
        <f t="shared" si="9"/>
        <v>0</v>
      </c>
    </row>
    <row r="266" spans="1:60" ht="58" x14ac:dyDescent="0.35">
      <c r="A266" s="2" t="s">
        <v>59</v>
      </c>
      <c r="B266" s="2" t="s">
        <v>60</v>
      </c>
      <c r="C266" s="2" t="s">
        <v>2529</v>
      </c>
      <c r="D266" s="2" t="s">
        <v>2530</v>
      </c>
      <c r="E266" s="2" t="s">
        <v>2531</v>
      </c>
      <c r="G266" s="3" t="s">
        <v>64</v>
      </c>
      <c r="I266" s="3" t="s">
        <v>64</v>
      </c>
      <c r="J266" s="3" t="s">
        <v>64</v>
      </c>
      <c r="K266" s="3" t="s">
        <v>65</v>
      </c>
      <c r="L266" s="2" t="s">
        <v>2532</v>
      </c>
      <c r="M266" s="2" t="s">
        <v>2533</v>
      </c>
      <c r="N266" s="3" t="s">
        <v>1275</v>
      </c>
      <c r="P266" s="3" t="s">
        <v>102</v>
      </c>
      <c r="R266" s="3" t="s">
        <v>70</v>
      </c>
      <c r="S266" s="4">
        <v>3</v>
      </c>
      <c r="T266" s="4">
        <v>3</v>
      </c>
      <c r="U266" s="5" t="s">
        <v>2534</v>
      </c>
      <c r="V266" s="5" t="s">
        <v>2534</v>
      </c>
      <c r="W266" s="5" t="s">
        <v>72</v>
      </c>
      <c r="X266" s="5" t="s">
        <v>72</v>
      </c>
      <c r="Y266" s="4">
        <v>103</v>
      </c>
      <c r="Z266" s="4">
        <v>10</v>
      </c>
      <c r="AA266" s="4">
        <v>15</v>
      </c>
      <c r="AB266" s="4">
        <v>1</v>
      </c>
      <c r="AC266" s="4">
        <v>3</v>
      </c>
      <c r="AD266" s="4">
        <v>24</v>
      </c>
      <c r="AE266" s="4">
        <v>28</v>
      </c>
      <c r="AF266" s="4">
        <v>0</v>
      </c>
      <c r="AG266" s="4">
        <v>1</v>
      </c>
      <c r="AH266" s="4">
        <v>22</v>
      </c>
      <c r="AI266" s="4">
        <v>25</v>
      </c>
      <c r="AJ266" s="4">
        <v>3</v>
      </c>
      <c r="AK266" s="4">
        <v>4</v>
      </c>
      <c r="AL266" s="4">
        <v>12</v>
      </c>
      <c r="AM266" s="4">
        <v>15</v>
      </c>
      <c r="AN266" s="4">
        <v>0</v>
      </c>
      <c r="AO266" s="4">
        <v>0</v>
      </c>
      <c r="AP266" s="4">
        <v>4</v>
      </c>
      <c r="AQ266" s="4">
        <v>5</v>
      </c>
      <c r="AR266" s="3" t="s">
        <v>64</v>
      </c>
      <c r="AS266" s="3" t="s">
        <v>64</v>
      </c>
      <c r="AT266" s="3" t="s">
        <v>64</v>
      </c>
      <c r="AV266" s="6" t="str">
        <f>HYPERLINK("http://mcgill.on.worldcat.org/oclc/58750992","Catalog Record")</f>
        <v>Catalog Record</v>
      </c>
      <c r="AW266" s="6" t="str">
        <f>HYPERLINK("http://www.worldcat.org/oclc/58750992","WorldCat Record")</f>
        <v>WorldCat Record</v>
      </c>
      <c r="AX266" s="3" t="s">
        <v>2535</v>
      </c>
      <c r="AY266" s="3" t="s">
        <v>2536</v>
      </c>
      <c r="AZ266" s="3" t="s">
        <v>2537</v>
      </c>
      <c r="BA266" s="3" t="s">
        <v>2537</v>
      </c>
      <c r="BB266" s="3" t="s">
        <v>2538</v>
      </c>
      <c r="BC266" s="3" t="s">
        <v>77</v>
      </c>
      <c r="BD266" s="3" t="s">
        <v>78</v>
      </c>
      <c r="BE266" s="3" t="s">
        <v>2539</v>
      </c>
      <c r="BF266" s="3" t="s">
        <v>2538</v>
      </c>
      <c r="BG266" s="3" t="s">
        <v>2540</v>
      </c>
      <c r="BH266">
        <f t="shared" si="9"/>
        <v>0</v>
      </c>
    </row>
    <row r="267" spans="1:60" ht="58" x14ac:dyDescent="0.35">
      <c r="A267" s="2" t="s">
        <v>59</v>
      </c>
      <c r="B267" s="2" t="s">
        <v>60</v>
      </c>
      <c r="C267" s="2" t="s">
        <v>2541</v>
      </c>
      <c r="D267" s="2" t="s">
        <v>2542</v>
      </c>
      <c r="E267" s="2" t="s">
        <v>2543</v>
      </c>
      <c r="G267" s="3" t="s">
        <v>64</v>
      </c>
      <c r="I267" s="3" t="s">
        <v>64</v>
      </c>
      <c r="J267" s="3" t="s">
        <v>64</v>
      </c>
      <c r="K267" s="3" t="s">
        <v>65</v>
      </c>
      <c r="M267" s="2" t="s">
        <v>2544</v>
      </c>
      <c r="N267" s="3" t="s">
        <v>67</v>
      </c>
      <c r="P267" s="3" t="s">
        <v>102</v>
      </c>
      <c r="R267" s="3" t="s">
        <v>70</v>
      </c>
      <c r="S267" s="4">
        <v>4</v>
      </c>
      <c r="T267" s="4">
        <v>4</v>
      </c>
      <c r="U267" s="5" t="s">
        <v>174</v>
      </c>
      <c r="V267" s="5" t="s">
        <v>174</v>
      </c>
      <c r="W267" s="5" t="s">
        <v>72</v>
      </c>
      <c r="X267" s="5" t="s">
        <v>72</v>
      </c>
      <c r="Y267" s="4">
        <v>100</v>
      </c>
      <c r="Z267" s="4">
        <v>12</v>
      </c>
      <c r="AA267" s="4">
        <v>16</v>
      </c>
      <c r="AB267" s="4">
        <v>1</v>
      </c>
      <c r="AC267" s="4">
        <v>4</v>
      </c>
      <c r="AD267" s="4">
        <v>45</v>
      </c>
      <c r="AE267" s="4">
        <v>62</v>
      </c>
      <c r="AF267" s="4">
        <v>0</v>
      </c>
      <c r="AG267" s="4">
        <v>2</v>
      </c>
      <c r="AH267" s="4">
        <v>40</v>
      </c>
      <c r="AI267" s="4">
        <v>53</v>
      </c>
      <c r="AJ267" s="4">
        <v>6</v>
      </c>
      <c r="AK267" s="4">
        <v>9</v>
      </c>
      <c r="AL267" s="4">
        <v>27</v>
      </c>
      <c r="AM267" s="4">
        <v>37</v>
      </c>
      <c r="AN267" s="4">
        <v>0</v>
      </c>
      <c r="AO267" s="4">
        <v>0</v>
      </c>
      <c r="AP267" s="4">
        <v>9</v>
      </c>
      <c r="AQ267" s="4">
        <v>11</v>
      </c>
      <c r="AR267" s="3" t="s">
        <v>64</v>
      </c>
      <c r="AS267" s="3" t="s">
        <v>64</v>
      </c>
      <c r="AT267" s="3" t="s">
        <v>64</v>
      </c>
      <c r="AV267" s="6" t="str">
        <f>HYPERLINK("http://mcgill.on.worldcat.org/oclc/880244311","Catalog Record")</f>
        <v>Catalog Record</v>
      </c>
      <c r="AW267" s="6" t="str">
        <f>HYPERLINK("http://www.worldcat.org/oclc/880244311","WorldCat Record")</f>
        <v>WorldCat Record</v>
      </c>
      <c r="AX267" s="3" t="s">
        <v>2545</v>
      </c>
      <c r="AY267" s="3" t="s">
        <v>2546</v>
      </c>
      <c r="AZ267" s="3" t="s">
        <v>2547</v>
      </c>
      <c r="BA267" s="3" t="s">
        <v>2547</v>
      </c>
      <c r="BB267" s="3" t="s">
        <v>2548</v>
      </c>
      <c r="BC267" s="3" t="s">
        <v>77</v>
      </c>
      <c r="BD267" s="3" t="s">
        <v>78</v>
      </c>
      <c r="BE267" s="3" t="s">
        <v>2549</v>
      </c>
      <c r="BF267" s="3" t="s">
        <v>2548</v>
      </c>
      <c r="BG267" s="3" t="s">
        <v>2550</v>
      </c>
      <c r="BH267">
        <f t="shared" si="9"/>
        <v>0</v>
      </c>
    </row>
    <row r="268" spans="1:60" ht="58" x14ac:dyDescent="0.35">
      <c r="A268" s="2" t="s">
        <v>59</v>
      </c>
      <c r="B268" s="2" t="s">
        <v>60</v>
      </c>
      <c r="C268" s="2" t="s">
        <v>2551</v>
      </c>
      <c r="D268" s="2" t="s">
        <v>2552</v>
      </c>
      <c r="E268" s="2" t="s">
        <v>2553</v>
      </c>
      <c r="G268" s="3" t="s">
        <v>64</v>
      </c>
      <c r="I268" s="3" t="s">
        <v>64</v>
      </c>
      <c r="J268" s="3" t="s">
        <v>64</v>
      </c>
      <c r="K268" s="3" t="s">
        <v>65</v>
      </c>
      <c r="M268" s="2" t="s">
        <v>2554</v>
      </c>
      <c r="N268" s="3" t="s">
        <v>421</v>
      </c>
      <c r="P268" s="3" t="s">
        <v>102</v>
      </c>
      <c r="R268" s="3" t="s">
        <v>70</v>
      </c>
      <c r="S268" s="4">
        <v>12</v>
      </c>
      <c r="T268" s="4">
        <v>12</v>
      </c>
      <c r="U268" s="5" t="s">
        <v>2103</v>
      </c>
      <c r="V268" s="5" t="s">
        <v>2103</v>
      </c>
      <c r="W268" s="5" t="s">
        <v>72</v>
      </c>
      <c r="X268" s="5" t="s">
        <v>72</v>
      </c>
      <c r="Y268" s="4">
        <v>232</v>
      </c>
      <c r="Z268" s="4">
        <v>14</v>
      </c>
      <c r="AA268" s="4">
        <v>15</v>
      </c>
      <c r="AB268" s="4">
        <v>1</v>
      </c>
      <c r="AC268" s="4">
        <v>2</v>
      </c>
      <c r="AD268" s="4">
        <v>80</v>
      </c>
      <c r="AE268" s="4">
        <v>81</v>
      </c>
      <c r="AF268" s="4">
        <v>0</v>
      </c>
      <c r="AG268" s="4">
        <v>1</v>
      </c>
      <c r="AH268" s="4">
        <v>73</v>
      </c>
      <c r="AI268" s="4">
        <v>73</v>
      </c>
      <c r="AJ268" s="4">
        <v>7</v>
      </c>
      <c r="AK268" s="4">
        <v>8</v>
      </c>
      <c r="AL268" s="4">
        <v>49</v>
      </c>
      <c r="AM268" s="4">
        <v>49</v>
      </c>
      <c r="AN268" s="4">
        <v>0</v>
      </c>
      <c r="AO268" s="4">
        <v>0</v>
      </c>
      <c r="AP268" s="4">
        <v>9</v>
      </c>
      <c r="AQ268" s="4">
        <v>9</v>
      </c>
      <c r="AR268" s="3" t="s">
        <v>64</v>
      </c>
      <c r="AS268" s="3" t="s">
        <v>64</v>
      </c>
      <c r="AT268" s="3" t="s">
        <v>64</v>
      </c>
      <c r="AV268" s="6" t="str">
        <f>HYPERLINK("http://mcgill.on.worldcat.org/oclc/36029726","Catalog Record")</f>
        <v>Catalog Record</v>
      </c>
      <c r="AW268" s="6" t="str">
        <f>HYPERLINK("http://www.worldcat.org/oclc/36029726","WorldCat Record")</f>
        <v>WorldCat Record</v>
      </c>
      <c r="AX268" s="3" t="s">
        <v>2555</v>
      </c>
      <c r="AY268" s="3" t="s">
        <v>2556</v>
      </c>
      <c r="AZ268" s="3" t="s">
        <v>2557</v>
      </c>
      <c r="BA268" s="3" t="s">
        <v>2557</v>
      </c>
      <c r="BB268" s="3" t="s">
        <v>2558</v>
      </c>
      <c r="BC268" s="3" t="s">
        <v>77</v>
      </c>
      <c r="BD268" s="3" t="s">
        <v>78</v>
      </c>
      <c r="BE268" s="3" t="s">
        <v>2559</v>
      </c>
      <c r="BF268" s="3" t="s">
        <v>2558</v>
      </c>
      <c r="BG268" s="3" t="s">
        <v>2560</v>
      </c>
      <c r="BH268">
        <f t="shared" si="9"/>
        <v>0</v>
      </c>
    </row>
    <row r="269" spans="1:60" ht="58" x14ac:dyDescent="0.35">
      <c r="A269" s="2" t="s">
        <v>59</v>
      </c>
      <c r="B269" s="2" t="s">
        <v>60</v>
      </c>
      <c r="C269" s="2" t="s">
        <v>2561</v>
      </c>
      <c r="D269" s="2" t="s">
        <v>2562</v>
      </c>
      <c r="E269" s="2" t="s">
        <v>2563</v>
      </c>
      <c r="G269" s="3" t="s">
        <v>64</v>
      </c>
      <c r="I269" s="3" t="s">
        <v>64</v>
      </c>
      <c r="J269" s="3" t="s">
        <v>64</v>
      </c>
      <c r="K269" s="3" t="s">
        <v>65</v>
      </c>
      <c r="L269" s="2" t="s">
        <v>2113</v>
      </c>
      <c r="M269" s="2" t="s">
        <v>2564</v>
      </c>
      <c r="N269" s="3" t="s">
        <v>86</v>
      </c>
      <c r="P269" s="3" t="s">
        <v>102</v>
      </c>
      <c r="Q269" s="2" t="s">
        <v>2565</v>
      </c>
      <c r="R269" s="3" t="s">
        <v>70</v>
      </c>
      <c r="S269" s="4">
        <v>4</v>
      </c>
      <c r="T269" s="4">
        <v>4</v>
      </c>
      <c r="U269" s="5" t="s">
        <v>2282</v>
      </c>
      <c r="V269" s="5" t="s">
        <v>2282</v>
      </c>
      <c r="W269" s="5" t="s">
        <v>72</v>
      </c>
      <c r="X269" s="5" t="s">
        <v>72</v>
      </c>
      <c r="Y269" s="4">
        <v>109</v>
      </c>
      <c r="Z269" s="4">
        <v>13</v>
      </c>
      <c r="AA269" s="4">
        <v>18</v>
      </c>
      <c r="AB269" s="4">
        <v>1</v>
      </c>
      <c r="AC269" s="4">
        <v>6</v>
      </c>
      <c r="AD269" s="4">
        <v>43</v>
      </c>
      <c r="AE269" s="4">
        <v>45</v>
      </c>
      <c r="AF269" s="4">
        <v>0</v>
      </c>
      <c r="AG269" s="4">
        <v>1</v>
      </c>
      <c r="AH269" s="4">
        <v>41</v>
      </c>
      <c r="AI269" s="4">
        <v>42</v>
      </c>
      <c r="AJ269" s="4">
        <v>9</v>
      </c>
      <c r="AK269" s="4">
        <v>10</v>
      </c>
      <c r="AL269" s="4">
        <v>22</v>
      </c>
      <c r="AM269" s="4">
        <v>22</v>
      </c>
      <c r="AN269" s="4">
        <v>0</v>
      </c>
      <c r="AO269" s="4">
        <v>0</v>
      </c>
      <c r="AP269" s="4">
        <v>9</v>
      </c>
      <c r="AQ269" s="4">
        <v>9</v>
      </c>
      <c r="AR269" s="3" t="s">
        <v>64</v>
      </c>
      <c r="AS269" s="3" t="s">
        <v>64</v>
      </c>
      <c r="AT269" s="3" t="s">
        <v>64</v>
      </c>
      <c r="AV269" s="6" t="str">
        <f>HYPERLINK("http://mcgill.on.worldcat.org/oclc/779242781","Catalog Record")</f>
        <v>Catalog Record</v>
      </c>
      <c r="AW269" s="6" t="str">
        <f>HYPERLINK("http://www.worldcat.org/oclc/779242781","WorldCat Record")</f>
        <v>WorldCat Record</v>
      </c>
      <c r="AX269" s="3" t="s">
        <v>2566</v>
      </c>
      <c r="AY269" s="3" t="s">
        <v>2567</v>
      </c>
      <c r="AZ269" s="3" t="s">
        <v>2568</v>
      </c>
      <c r="BA269" s="3" t="s">
        <v>2568</v>
      </c>
      <c r="BB269" s="3" t="s">
        <v>2569</v>
      </c>
      <c r="BC269" s="3" t="s">
        <v>77</v>
      </c>
      <c r="BD269" s="3" t="s">
        <v>165</v>
      </c>
      <c r="BE269" s="3" t="s">
        <v>2570</v>
      </c>
      <c r="BF269" s="3" t="s">
        <v>2569</v>
      </c>
      <c r="BG269" s="3" t="s">
        <v>2571</v>
      </c>
      <c r="BH269">
        <f t="shared" si="9"/>
        <v>0</v>
      </c>
    </row>
    <row r="270" spans="1:60" ht="58" x14ac:dyDescent="0.35">
      <c r="A270" s="2" t="s">
        <v>59</v>
      </c>
      <c r="B270" s="2" t="s">
        <v>60</v>
      </c>
      <c r="C270" s="2" t="s">
        <v>2572</v>
      </c>
      <c r="D270" s="2" t="s">
        <v>2573</v>
      </c>
      <c r="E270" s="2" t="s">
        <v>2574</v>
      </c>
      <c r="G270" s="3" t="s">
        <v>64</v>
      </c>
      <c r="I270" s="3" t="s">
        <v>64</v>
      </c>
      <c r="J270" s="3" t="s">
        <v>64</v>
      </c>
      <c r="K270" s="3" t="s">
        <v>65</v>
      </c>
      <c r="M270" s="2" t="s">
        <v>2575</v>
      </c>
      <c r="N270" s="3" t="s">
        <v>979</v>
      </c>
      <c r="P270" s="3" t="s">
        <v>102</v>
      </c>
      <c r="Q270" s="2" t="s">
        <v>2576</v>
      </c>
      <c r="R270" s="3" t="s">
        <v>70</v>
      </c>
      <c r="S270" s="4">
        <v>10</v>
      </c>
      <c r="T270" s="4">
        <v>10</v>
      </c>
      <c r="U270" s="5" t="s">
        <v>2577</v>
      </c>
      <c r="V270" s="5" t="s">
        <v>2577</v>
      </c>
      <c r="W270" s="5" t="s">
        <v>72</v>
      </c>
      <c r="X270" s="5" t="s">
        <v>72</v>
      </c>
      <c r="Y270" s="4">
        <v>148</v>
      </c>
      <c r="Z270" s="4">
        <v>13</v>
      </c>
      <c r="AA270" s="4">
        <v>18</v>
      </c>
      <c r="AB270" s="4">
        <v>1</v>
      </c>
      <c r="AC270" s="4">
        <v>5</v>
      </c>
      <c r="AD270" s="4">
        <v>72</v>
      </c>
      <c r="AE270" s="4">
        <v>84</v>
      </c>
      <c r="AF270" s="4">
        <v>0</v>
      </c>
      <c r="AG270" s="4">
        <v>1</v>
      </c>
      <c r="AH270" s="4">
        <v>65</v>
      </c>
      <c r="AI270" s="4">
        <v>76</v>
      </c>
      <c r="AJ270" s="4">
        <v>9</v>
      </c>
      <c r="AK270" s="4">
        <v>10</v>
      </c>
      <c r="AL270" s="4">
        <v>41</v>
      </c>
      <c r="AM270" s="4">
        <v>46</v>
      </c>
      <c r="AN270" s="4">
        <v>0</v>
      </c>
      <c r="AO270" s="4">
        <v>0</v>
      </c>
      <c r="AP270" s="4">
        <v>10</v>
      </c>
      <c r="AQ270" s="4">
        <v>10</v>
      </c>
      <c r="AR270" s="3" t="s">
        <v>64</v>
      </c>
      <c r="AS270" s="3" t="s">
        <v>64</v>
      </c>
      <c r="AT270" s="3" t="s">
        <v>64</v>
      </c>
      <c r="AV270" s="6" t="str">
        <f>HYPERLINK("http://mcgill.on.worldcat.org/oclc/42934619","Catalog Record")</f>
        <v>Catalog Record</v>
      </c>
      <c r="AW270" s="6" t="str">
        <f>HYPERLINK("http://www.worldcat.org/oclc/42934619","WorldCat Record")</f>
        <v>WorldCat Record</v>
      </c>
      <c r="AX270" s="3" t="s">
        <v>2578</v>
      </c>
      <c r="AY270" s="3" t="s">
        <v>2579</v>
      </c>
      <c r="AZ270" s="3" t="s">
        <v>2580</v>
      </c>
      <c r="BA270" s="3" t="s">
        <v>2580</v>
      </c>
      <c r="BB270" s="3" t="s">
        <v>2581</v>
      </c>
      <c r="BC270" s="3" t="s">
        <v>77</v>
      </c>
      <c r="BD270" s="3" t="s">
        <v>78</v>
      </c>
      <c r="BE270" s="3" t="s">
        <v>2582</v>
      </c>
      <c r="BF270" s="3" t="s">
        <v>2581</v>
      </c>
      <c r="BG270" s="3" t="s">
        <v>2583</v>
      </c>
      <c r="BH270">
        <f t="shared" si="9"/>
        <v>0</v>
      </c>
    </row>
    <row r="271" spans="1:60" ht="58" x14ac:dyDescent="0.35">
      <c r="A271" s="2" t="s">
        <v>59</v>
      </c>
      <c r="B271" s="2" t="s">
        <v>60</v>
      </c>
      <c r="C271" s="2" t="s">
        <v>2584</v>
      </c>
      <c r="D271" s="2" t="s">
        <v>2585</v>
      </c>
      <c r="E271" s="2" t="s">
        <v>2586</v>
      </c>
      <c r="G271" s="3" t="s">
        <v>64</v>
      </c>
      <c r="I271" s="3" t="s">
        <v>64</v>
      </c>
      <c r="J271" s="3" t="s">
        <v>64</v>
      </c>
      <c r="K271" s="3" t="s">
        <v>65</v>
      </c>
      <c r="L271" s="2" t="s">
        <v>2587</v>
      </c>
      <c r="M271" s="2" t="s">
        <v>2588</v>
      </c>
      <c r="N271" s="3" t="s">
        <v>86</v>
      </c>
      <c r="P271" s="3" t="s">
        <v>102</v>
      </c>
      <c r="Q271" s="2" t="s">
        <v>2589</v>
      </c>
      <c r="R271" s="3" t="s">
        <v>70</v>
      </c>
      <c r="S271" s="4">
        <v>0</v>
      </c>
      <c r="T271" s="4">
        <v>0</v>
      </c>
      <c r="W271" s="5" t="s">
        <v>72</v>
      </c>
      <c r="X271" s="5" t="s">
        <v>72</v>
      </c>
      <c r="Y271" s="4">
        <v>99</v>
      </c>
      <c r="Z271" s="4">
        <v>12</v>
      </c>
      <c r="AA271" s="4">
        <v>18</v>
      </c>
      <c r="AB271" s="4">
        <v>1</v>
      </c>
      <c r="AC271" s="4">
        <v>5</v>
      </c>
      <c r="AD271" s="4">
        <v>43</v>
      </c>
      <c r="AE271" s="4">
        <v>53</v>
      </c>
      <c r="AF271" s="4">
        <v>0</v>
      </c>
      <c r="AG271" s="4">
        <v>1</v>
      </c>
      <c r="AH271" s="4">
        <v>39</v>
      </c>
      <c r="AI271" s="4">
        <v>46</v>
      </c>
      <c r="AJ271" s="4">
        <v>7</v>
      </c>
      <c r="AK271" s="4">
        <v>9</v>
      </c>
      <c r="AL271" s="4">
        <v>24</v>
      </c>
      <c r="AM271" s="4">
        <v>29</v>
      </c>
      <c r="AN271" s="4">
        <v>0</v>
      </c>
      <c r="AO271" s="4">
        <v>0</v>
      </c>
      <c r="AP271" s="4">
        <v>8</v>
      </c>
      <c r="AQ271" s="4">
        <v>9</v>
      </c>
      <c r="AR271" s="3" t="s">
        <v>64</v>
      </c>
      <c r="AS271" s="3" t="s">
        <v>64</v>
      </c>
      <c r="AT271" s="3" t="s">
        <v>64</v>
      </c>
      <c r="AV271" s="6" t="str">
        <f>HYPERLINK("http://mcgill.on.worldcat.org/oclc/724651592","Catalog Record")</f>
        <v>Catalog Record</v>
      </c>
      <c r="AW271" s="6" t="str">
        <f>HYPERLINK("http://www.worldcat.org/oclc/724651592","WorldCat Record")</f>
        <v>WorldCat Record</v>
      </c>
      <c r="AX271" s="3" t="s">
        <v>2590</v>
      </c>
      <c r="AY271" s="3" t="s">
        <v>2591</v>
      </c>
      <c r="AZ271" s="3" t="s">
        <v>2592</v>
      </c>
      <c r="BA271" s="3" t="s">
        <v>2592</v>
      </c>
      <c r="BB271" s="3" t="s">
        <v>2593</v>
      </c>
      <c r="BC271" s="3" t="s">
        <v>77</v>
      </c>
      <c r="BD271" s="3" t="s">
        <v>78</v>
      </c>
      <c r="BE271" s="3" t="s">
        <v>2594</v>
      </c>
      <c r="BF271" s="3" t="s">
        <v>2593</v>
      </c>
      <c r="BG271" s="3" t="s">
        <v>2595</v>
      </c>
      <c r="BH271">
        <f t="shared" si="9"/>
        <v>0</v>
      </c>
    </row>
    <row r="272" spans="1:60" ht="58" x14ac:dyDescent="0.35">
      <c r="A272" s="2" t="s">
        <v>59</v>
      </c>
      <c r="B272" s="2" t="s">
        <v>60</v>
      </c>
      <c r="C272" s="2" t="s">
        <v>2596</v>
      </c>
      <c r="D272" s="2" t="s">
        <v>2597</v>
      </c>
      <c r="E272" s="2" t="s">
        <v>2598</v>
      </c>
      <c r="G272" s="3" t="s">
        <v>64</v>
      </c>
      <c r="I272" s="3" t="s">
        <v>64</v>
      </c>
      <c r="J272" s="3" t="s">
        <v>64</v>
      </c>
      <c r="K272" s="3" t="s">
        <v>65</v>
      </c>
      <c r="L272" s="2" t="s">
        <v>2599</v>
      </c>
      <c r="M272" s="2" t="s">
        <v>2600</v>
      </c>
      <c r="N272" s="3" t="s">
        <v>159</v>
      </c>
      <c r="P272" s="3" t="s">
        <v>102</v>
      </c>
      <c r="Q272" s="2" t="s">
        <v>351</v>
      </c>
      <c r="R272" s="3" t="s">
        <v>70</v>
      </c>
      <c r="S272" s="4">
        <v>10</v>
      </c>
      <c r="T272" s="4">
        <v>10</v>
      </c>
      <c r="U272" s="5" t="s">
        <v>2601</v>
      </c>
      <c r="V272" s="5" t="s">
        <v>2601</v>
      </c>
      <c r="W272" s="5" t="s">
        <v>72</v>
      </c>
      <c r="X272" s="5" t="s">
        <v>72</v>
      </c>
      <c r="Y272" s="4">
        <v>248</v>
      </c>
      <c r="Z272" s="4">
        <v>21</v>
      </c>
      <c r="AA272" s="4">
        <v>29</v>
      </c>
      <c r="AB272" s="4">
        <v>2</v>
      </c>
      <c r="AC272" s="4">
        <v>6</v>
      </c>
      <c r="AD272" s="4">
        <v>88</v>
      </c>
      <c r="AE272" s="4">
        <v>98</v>
      </c>
      <c r="AF272" s="4">
        <v>0</v>
      </c>
      <c r="AG272" s="4">
        <v>1</v>
      </c>
      <c r="AH272" s="4">
        <v>78</v>
      </c>
      <c r="AI272" s="4">
        <v>86</v>
      </c>
      <c r="AJ272" s="4">
        <v>14</v>
      </c>
      <c r="AK272" s="4">
        <v>15</v>
      </c>
      <c r="AL272" s="4">
        <v>42</v>
      </c>
      <c r="AM272" s="4">
        <v>48</v>
      </c>
      <c r="AN272" s="4">
        <v>0</v>
      </c>
      <c r="AO272" s="4">
        <v>0</v>
      </c>
      <c r="AP272" s="4">
        <v>17</v>
      </c>
      <c r="AQ272" s="4">
        <v>18</v>
      </c>
      <c r="AR272" s="3" t="s">
        <v>64</v>
      </c>
      <c r="AS272" s="3" t="s">
        <v>64</v>
      </c>
      <c r="AT272" s="3" t="s">
        <v>64</v>
      </c>
      <c r="AV272" s="6" t="str">
        <f>HYPERLINK("http://mcgill.on.worldcat.org/oclc/48176729","Catalog Record")</f>
        <v>Catalog Record</v>
      </c>
      <c r="AW272" s="6" t="str">
        <f>HYPERLINK("http://www.worldcat.org/oclc/48176729","WorldCat Record")</f>
        <v>WorldCat Record</v>
      </c>
      <c r="AX272" s="3" t="s">
        <v>2602</v>
      </c>
      <c r="AY272" s="3" t="s">
        <v>2603</v>
      </c>
      <c r="AZ272" s="3" t="s">
        <v>2604</v>
      </c>
      <c r="BA272" s="3" t="s">
        <v>2604</v>
      </c>
      <c r="BB272" s="3" t="s">
        <v>2605</v>
      </c>
      <c r="BC272" s="3" t="s">
        <v>77</v>
      </c>
      <c r="BD272" s="3" t="s">
        <v>165</v>
      </c>
      <c r="BE272" s="3" t="s">
        <v>2606</v>
      </c>
      <c r="BF272" s="3" t="s">
        <v>2605</v>
      </c>
      <c r="BG272" s="3" t="s">
        <v>2607</v>
      </c>
      <c r="BH272">
        <f t="shared" si="9"/>
        <v>0</v>
      </c>
    </row>
    <row r="273" spans="1:60" ht="58" x14ac:dyDescent="0.35">
      <c r="A273" s="2" t="s">
        <v>59</v>
      </c>
      <c r="B273" s="2" t="s">
        <v>60</v>
      </c>
      <c r="C273" s="2" t="s">
        <v>2608</v>
      </c>
      <c r="D273" s="2" t="s">
        <v>2609</v>
      </c>
      <c r="E273" s="2" t="s">
        <v>2610</v>
      </c>
      <c r="G273" s="3" t="s">
        <v>64</v>
      </c>
      <c r="I273" s="3" t="s">
        <v>64</v>
      </c>
      <c r="J273" s="3" t="s">
        <v>64</v>
      </c>
      <c r="K273" s="3" t="s">
        <v>65</v>
      </c>
      <c r="L273" s="2" t="s">
        <v>2611</v>
      </c>
      <c r="M273" s="2" t="s">
        <v>2612</v>
      </c>
      <c r="N273" s="3" t="s">
        <v>67</v>
      </c>
      <c r="P273" s="3" t="s">
        <v>102</v>
      </c>
      <c r="Q273" s="2" t="s">
        <v>2613</v>
      </c>
      <c r="R273" s="3" t="s">
        <v>70</v>
      </c>
      <c r="S273" s="4">
        <v>2</v>
      </c>
      <c r="T273" s="4">
        <v>2</v>
      </c>
      <c r="U273" s="5" t="s">
        <v>2282</v>
      </c>
      <c r="V273" s="5" t="s">
        <v>2282</v>
      </c>
      <c r="W273" s="5" t="s">
        <v>72</v>
      </c>
      <c r="X273" s="5" t="s">
        <v>72</v>
      </c>
      <c r="Y273" s="4">
        <v>127</v>
      </c>
      <c r="Z273" s="4">
        <v>14</v>
      </c>
      <c r="AA273" s="4">
        <v>99</v>
      </c>
      <c r="AB273" s="4">
        <v>1</v>
      </c>
      <c r="AC273" s="4">
        <v>14</v>
      </c>
      <c r="AD273" s="4">
        <v>59</v>
      </c>
      <c r="AE273" s="4">
        <v>116</v>
      </c>
      <c r="AF273" s="4">
        <v>0</v>
      </c>
      <c r="AG273" s="4">
        <v>8</v>
      </c>
      <c r="AH273" s="4">
        <v>50</v>
      </c>
      <c r="AI273" s="4">
        <v>78</v>
      </c>
      <c r="AJ273" s="4">
        <v>7</v>
      </c>
      <c r="AK273" s="4">
        <v>22</v>
      </c>
      <c r="AL273" s="4">
        <v>36</v>
      </c>
      <c r="AM273" s="4">
        <v>46</v>
      </c>
      <c r="AN273" s="4">
        <v>0</v>
      </c>
      <c r="AO273" s="4">
        <v>0</v>
      </c>
      <c r="AP273" s="4">
        <v>11</v>
      </c>
      <c r="AQ273" s="4">
        <v>44</v>
      </c>
      <c r="AR273" s="3" t="s">
        <v>64</v>
      </c>
      <c r="AS273" s="3" t="s">
        <v>64</v>
      </c>
      <c r="AT273" s="3" t="s">
        <v>64</v>
      </c>
      <c r="AV273" s="6" t="str">
        <f>HYPERLINK("http://mcgill.on.worldcat.org/oclc/880541460","Catalog Record")</f>
        <v>Catalog Record</v>
      </c>
      <c r="AW273" s="6" t="str">
        <f>HYPERLINK("http://www.worldcat.org/oclc/880541460","WorldCat Record")</f>
        <v>WorldCat Record</v>
      </c>
      <c r="AX273" s="3" t="s">
        <v>2614</v>
      </c>
      <c r="AY273" s="3" t="s">
        <v>2615</v>
      </c>
      <c r="AZ273" s="3" t="s">
        <v>2616</v>
      </c>
      <c r="BA273" s="3" t="s">
        <v>2616</v>
      </c>
      <c r="BB273" s="3" t="s">
        <v>2617</v>
      </c>
      <c r="BC273" s="3" t="s">
        <v>77</v>
      </c>
      <c r="BD273" s="3" t="s">
        <v>78</v>
      </c>
      <c r="BE273" s="3" t="s">
        <v>2618</v>
      </c>
      <c r="BF273" s="3" t="s">
        <v>2617</v>
      </c>
      <c r="BG273" s="3" t="s">
        <v>2619</v>
      </c>
      <c r="BH273">
        <f t="shared" si="9"/>
        <v>0</v>
      </c>
    </row>
    <row r="274" spans="1:60" ht="58" x14ac:dyDescent="0.35">
      <c r="A274" s="2" t="s">
        <v>59</v>
      </c>
      <c r="B274" s="2" t="s">
        <v>60</v>
      </c>
      <c r="C274" s="2" t="s">
        <v>2620</v>
      </c>
      <c r="D274" s="2" t="s">
        <v>2621</v>
      </c>
      <c r="E274" s="2" t="s">
        <v>2622</v>
      </c>
      <c r="G274" s="3" t="s">
        <v>64</v>
      </c>
      <c r="I274" s="3" t="s">
        <v>64</v>
      </c>
      <c r="J274" s="3" t="s">
        <v>64</v>
      </c>
      <c r="K274" s="3" t="s">
        <v>65</v>
      </c>
      <c r="L274" s="2" t="s">
        <v>2611</v>
      </c>
      <c r="M274" s="2" t="s">
        <v>2623</v>
      </c>
      <c r="N274" s="3" t="s">
        <v>190</v>
      </c>
      <c r="P274" s="3" t="s">
        <v>102</v>
      </c>
      <c r="R274" s="3" t="s">
        <v>70</v>
      </c>
      <c r="S274" s="4">
        <v>1</v>
      </c>
      <c r="T274" s="4">
        <v>1</v>
      </c>
      <c r="U274" s="5" t="s">
        <v>2103</v>
      </c>
      <c r="V274" s="5" t="s">
        <v>2103</v>
      </c>
      <c r="W274" s="5" t="s">
        <v>72</v>
      </c>
      <c r="X274" s="5" t="s">
        <v>72</v>
      </c>
      <c r="Y274" s="4">
        <v>141</v>
      </c>
      <c r="Z274" s="4">
        <v>9</v>
      </c>
      <c r="AA274" s="4">
        <v>10</v>
      </c>
      <c r="AB274" s="4">
        <v>1</v>
      </c>
      <c r="AC274" s="4">
        <v>2</v>
      </c>
      <c r="AD274" s="4">
        <v>49</v>
      </c>
      <c r="AE274" s="4">
        <v>50</v>
      </c>
      <c r="AF274" s="4">
        <v>0</v>
      </c>
      <c r="AG274" s="4">
        <v>1</v>
      </c>
      <c r="AH274" s="4">
        <v>45</v>
      </c>
      <c r="AI274" s="4">
        <v>45</v>
      </c>
      <c r="AJ274" s="4">
        <v>6</v>
      </c>
      <c r="AK274" s="4">
        <v>7</v>
      </c>
      <c r="AL274" s="4">
        <v>30</v>
      </c>
      <c r="AM274" s="4">
        <v>30</v>
      </c>
      <c r="AN274" s="4">
        <v>0</v>
      </c>
      <c r="AO274" s="4">
        <v>0</v>
      </c>
      <c r="AP274" s="4">
        <v>7</v>
      </c>
      <c r="AQ274" s="4">
        <v>7</v>
      </c>
      <c r="AR274" s="3" t="s">
        <v>64</v>
      </c>
      <c r="AS274" s="3" t="s">
        <v>64</v>
      </c>
      <c r="AT274" s="3" t="s">
        <v>64</v>
      </c>
      <c r="AV274" s="6" t="str">
        <f>HYPERLINK("http://mcgill.on.worldcat.org/oclc/987037968","Catalog Record")</f>
        <v>Catalog Record</v>
      </c>
      <c r="AW274" s="6" t="str">
        <f>HYPERLINK("http://www.worldcat.org/oclc/987037968","WorldCat Record")</f>
        <v>WorldCat Record</v>
      </c>
      <c r="AX274" s="3" t="s">
        <v>2624</v>
      </c>
      <c r="AY274" s="3" t="s">
        <v>2625</v>
      </c>
      <c r="AZ274" s="3" t="s">
        <v>2626</v>
      </c>
      <c r="BA274" s="3" t="s">
        <v>2626</v>
      </c>
      <c r="BB274" s="3" t="s">
        <v>2627</v>
      </c>
      <c r="BC274" s="3" t="s">
        <v>77</v>
      </c>
      <c r="BD274" s="3" t="s">
        <v>78</v>
      </c>
      <c r="BE274" s="3" t="s">
        <v>2628</v>
      </c>
      <c r="BF274" s="3" t="s">
        <v>2627</v>
      </c>
      <c r="BG274" s="3" t="s">
        <v>2629</v>
      </c>
      <c r="BH274">
        <f t="shared" si="9"/>
        <v>0</v>
      </c>
    </row>
    <row r="275" spans="1:60" ht="58" x14ac:dyDescent="0.35">
      <c r="A275" s="2" t="s">
        <v>59</v>
      </c>
      <c r="B275" s="2" t="s">
        <v>60</v>
      </c>
      <c r="C275" s="2" t="s">
        <v>2630</v>
      </c>
      <c r="D275" s="2" t="s">
        <v>2631</v>
      </c>
      <c r="E275" s="2" t="s">
        <v>2632</v>
      </c>
      <c r="G275" s="3" t="s">
        <v>64</v>
      </c>
      <c r="I275" s="3" t="s">
        <v>64</v>
      </c>
      <c r="J275" s="3" t="s">
        <v>64</v>
      </c>
      <c r="K275" s="3" t="s">
        <v>65</v>
      </c>
      <c r="M275" s="2" t="s">
        <v>2633</v>
      </c>
      <c r="N275" s="3" t="s">
        <v>253</v>
      </c>
      <c r="P275" s="3" t="s">
        <v>102</v>
      </c>
      <c r="Q275" s="2" t="s">
        <v>2634</v>
      </c>
      <c r="R275" s="3" t="s">
        <v>70</v>
      </c>
      <c r="S275" s="4">
        <v>1</v>
      </c>
      <c r="T275" s="4">
        <v>1</v>
      </c>
      <c r="U275" s="5" t="s">
        <v>2635</v>
      </c>
      <c r="V275" s="5" t="s">
        <v>2635</v>
      </c>
      <c r="W275" s="5" t="s">
        <v>72</v>
      </c>
      <c r="X275" s="5" t="s">
        <v>72</v>
      </c>
      <c r="Y275" s="4">
        <v>82</v>
      </c>
      <c r="Z275" s="4">
        <v>9</v>
      </c>
      <c r="AA275" s="4">
        <v>10</v>
      </c>
      <c r="AB275" s="4">
        <v>1</v>
      </c>
      <c r="AC275" s="4">
        <v>2</v>
      </c>
      <c r="AD275" s="4">
        <v>39</v>
      </c>
      <c r="AE275" s="4">
        <v>40</v>
      </c>
      <c r="AF275" s="4">
        <v>0</v>
      </c>
      <c r="AG275" s="4">
        <v>0</v>
      </c>
      <c r="AH275" s="4">
        <v>34</v>
      </c>
      <c r="AI275" s="4">
        <v>35</v>
      </c>
      <c r="AJ275" s="4">
        <v>5</v>
      </c>
      <c r="AK275" s="4">
        <v>5</v>
      </c>
      <c r="AL275" s="4">
        <v>25</v>
      </c>
      <c r="AM275" s="4">
        <v>25</v>
      </c>
      <c r="AN275" s="4">
        <v>0</v>
      </c>
      <c r="AO275" s="4">
        <v>0</v>
      </c>
      <c r="AP275" s="4">
        <v>6</v>
      </c>
      <c r="AQ275" s="4">
        <v>6</v>
      </c>
      <c r="AR275" s="3" t="s">
        <v>64</v>
      </c>
      <c r="AS275" s="3" t="s">
        <v>64</v>
      </c>
      <c r="AT275" s="3" t="s">
        <v>64</v>
      </c>
      <c r="AV275" s="6" t="str">
        <f>HYPERLINK("http://mcgill.on.worldcat.org/oclc/907631798","Catalog Record")</f>
        <v>Catalog Record</v>
      </c>
      <c r="AW275" s="6" t="str">
        <f>HYPERLINK("http://www.worldcat.org/oclc/907631798","WorldCat Record")</f>
        <v>WorldCat Record</v>
      </c>
      <c r="AX275" s="3" t="s">
        <v>2636</v>
      </c>
      <c r="AY275" s="3" t="s">
        <v>2637</v>
      </c>
      <c r="AZ275" s="3" t="s">
        <v>2638</v>
      </c>
      <c r="BA275" s="3" t="s">
        <v>2638</v>
      </c>
      <c r="BB275" s="3" t="s">
        <v>2639</v>
      </c>
      <c r="BC275" s="3" t="s">
        <v>77</v>
      </c>
      <c r="BD275" s="3" t="s">
        <v>78</v>
      </c>
      <c r="BE275" s="3" t="s">
        <v>2640</v>
      </c>
      <c r="BF275" s="3" t="s">
        <v>2639</v>
      </c>
      <c r="BG275" s="3" t="s">
        <v>2641</v>
      </c>
      <c r="BH275">
        <f t="shared" si="9"/>
        <v>0</v>
      </c>
    </row>
    <row r="276" spans="1:60" ht="58" x14ac:dyDescent="0.35">
      <c r="A276" s="2" t="s">
        <v>59</v>
      </c>
      <c r="B276" s="2" t="s">
        <v>60</v>
      </c>
      <c r="C276" s="2" t="s">
        <v>2642</v>
      </c>
      <c r="D276" s="2" t="s">
        <v>2643</v>
      </c>
      <c r="E276" s="2" t="s">
        <v>2644</v>
      </c>
      <c r="G276" s="3" t="s">
        <v>64</v>
      </c>
      <c r="I276" s="3" t="s">
        <v>64</v>
      </c>
      <c r="J276" s="3" t="s">
        <v>64</v>
      </c>
      <c r="K276" s="3" t="s">
        <v>65</v>
      </c>
      <c r="M276" s="2" t="s">
        <v>2645</v>
      </c>
      <c r="N276" s="3" t="s">
        <v>979</v>
      </c>
      <c r="P276" s="3" t="s">
        <v>102</v>
      </c>
      <c r="Q276" s="2" t="s">
        <v>2646</v>
      </c>
      <c r="R276" s="3" t="s">
        <v>70</v>
      </c>
      <c r="S276" s="4">
        <v>6</v>
      </c>
      <c r="T276" s="4">
        <v>6</v>
      </c>
      <c r="U276" s="5" t="s">
        <v>174</v>
      </c>
      <c r="V276" s="5" t="s">
        <v>174</v>
      </c>
      <c r="W276" s="5" t="s">
        <v>72</v>
      </c>
      <c r="X276" s="5" t="s">
        <v>72</v>
      </c>
      <c r="Y276" s="4">
        <v>206</v>
      </c>
      <c r="Z276" s="4">
        <v>20</v>
      </c>
      <c r="AA276" s="4">
        <v>33</v>
      </c>
      <c r="AB276" s="4">
        <v>1</v>
      </c>
      <c r="AC276" s="4">
        <v>3</v>
      </c>
      <c r="AD276" s="4">
        <v>75</v>
      </c>
      <c r="AE276" s="4">
        <v>94</v>
      </c>
      <c r="AF276" s="4">
        <v>0</v>
      </c>
      <c r="AG276" s="4">
        <v>0</v>
      </c>
      <c r="AH276" s="4">
        <v>66</v>
      </c>
      <c r="AI276" s="4">
        <v>79</v>
      </c>
      <c r="AJ276" s="4">
        <v>13</v>
      </c>
      <c r="AK276" s="4">
        <v>14</v>
      </c>
      <c r="AL276" s="4">
        <v>42</v>
      </c>
      <c r="AM276" s="4">
        <v>47</v>
      </c>
      <c r="AN276" s="4">
        <v>0</v>
      </c>
      <c r="AO276" s="4">
        <v>0</v>
      </c>
      <c r="AP276" s="4">
        <v>14</v>
      </c>
      <c r="AQ276" s="4">
        <v>21</v>
      </c>
      <c r="AR276" s="3" t="s">
        <v>64</v>
      </c>
      <c r="AS276" s="3" t="s">
        <v>64</v>
      </c>
      <c r="AT276" s="3" t="s">
        <v>64</v>
      </c>
      <c r="AV276" s="6" t="str">
        <f>HYPERLINK("http://mcgill.on.worldcat.org/oclc/44887321","Catalog Record")</f>
        <v>Catalog Record</v>
      </c>
      <c r="AW276" s="6" t="str">
        <f>HYPERLINK("http://www.worldcat.org/oclc/44887321","WorldCat Record")</f>
        <v>WorldCat Record</v>
      </c>
      <c r="AX276" s="3" t="s">
        <v>2647</v>
      </c>
      <c r="AY276" s="3" t="s">
        <v>2648</v>
      </c>
      <c r="AZ276" s="3" t="s">
        <v>2649</v>
      </c>
      <c r="BA276" s="3" t="s">
        <v>2649</v>
      </c>
      <c r="BB276" s="3" t="s">
        <v>2650</v>
      </c>
      <c r="BC276" s="3" t="s">
        <v>77</v>
      </c>
      <c r="BD276" s="3" t="s">
        <v>78</v>
      </c>
      <c r="BE276" s="3" t="s">
        <v>2651</v>
      </c>
      <c r="BF276" s="3" t="s">
        <v>2650</v>
      </c>
      <c r="BG276" s="3" t="s">
        <v>2652</v>
      </c>
      <c r="BH276">
        <f t="shared" si="9"/>
        <v>0</v>
      </c>
    </row>
    <row r="277" spans="1:60" ht="58" x14ac:dyDescent="0.35">
      <c r="A277" s="2" t="s">
        <v>59</v>
      </c>
      <c r="B277" s="2" t="s">
        <v>60</v>
      </c>
      <c r="C277" s="2" t="s">
        <v>2653</v>
      </c>
      <c r="D277" s="2" t="s">
        <v>2654</v>
      </c>
      <c r="E277" s="2" t="s">
        <v>2655</v>
      </c>
      <c r="G277" s="3" t="s">
        <v>64</v>
      </c>
      <c r="I277" s="3" t="s">
        <v>64</v>
      </c>
      <c r="J277" s="3" t="s">
        <v>64</v>
      </c>
      <c r="K277" s="3" t="s">
        <v>65</v>
      </c>
      <c r="M277" s="2" t="s">
        <v>2656</v>
      </c>
      <c r="N277" s="3" t="s">
        <v>551</v>
      </c>
      <c r="P277" s="3" t="s">
        <v>102</v>
      </c>
      <c r="Q277" s="2" t="s">
        <v>2657</v>
      </c>
      <c r="R277" s="3" t="s">
        <v>70</v>
      </c>
      <c r="S277" s="4">
        <v>3</v>
      </c>
      <c r="T277" s="4">
        <v>3</v>
      </c>
      <c r="U277" s="5" t="s">
        <v>174</v>
      </c>
      <c r="V277" s="5" t="s">
        <v>174</v>
      </c>
      <c r="W277" s="5" t="s">
        <v>72</v>
      </c>
      <c r="X277" s="5" t="s">
        <v>72</v>
      </c>
      <c r="Y277" s="4">
        <v>146</v>
      </c>
      <c r="Z277" s="4">
        <v>20</v>
      </c>
      <c r="AA277" s="4">
        <v>20</v>
      </c>
      <c r="AB277" s="4">
        <v>2</v>
      </c>
      <c r="AC277" s="4">
        <v>2</v>
      </c>
      <c r="AD277" s="4">
        <v>69</v>
      </c>
      <c r="AE277" s="4">
        <v>69</v>
      </c>
      <c r="AF277" s="4">
        <v>0</v>
      </c>
      <c r="AG277" s="4">
        <v>0</v>
      </c>
      <c r="AH277" s="4">
        <v>60</v>
      </c>
      <c r="AI277" s="4">
        <v>60</v>
      </c>
      <c r="AJ277" s="4">
        <v>10</v>
      </c>
      <c r="AK277" s="4">
        <v>10</v>
      </c>
      <c r="AL277" s="4">
        <v>38</v>
      </c>
      <c r="AM277" s="4">
        <v>38</v>
      </c>
      <c r="AN277" s="4">
        <v>0</v>
      </c>
      <c r="AO277" s="4">
        <v>0</v>
      </c>
      <c r="AP277" s="4">
        <v>15</v>
      </c>
      <c r="AQ277" s="4">
        <v>15</v>
      </c>
      <c r="AR277" s="3" t="s">
        <v>64</v>
      </c>
      <c r="AS277" s="3" t="s">
        <v>64</v>
      </c>
      <c r="AT277" s="3" t="s">
        <v>128</v>
      </c>
      <c r="AU277" s="6" t="str">
        <f>HYPERLINK("http://catalog.hathitrust.org/Record/006860863","HathiTrust Record")</f>
        <v>HathiTrust Record</v>
      </c>
      <c r="AV277" s="6" t="str">
        <f>HYPERLINK("http://mcgill.on.worldcat.org/oclc/262883587","Catalog Record")</f>
        <v>Catalog Record</v>
      </c>
      <c r="AW277" s="6" t="str">
        <f>HYPERLINK("http://www.worldcat.org/oclc/262883587","WorldCat Record")</f>
        <v>WorldCat Record</v>
      </c>
      <c r="AX277" s="3" t="s">
        <v>2658</v>
      </c>
      <c r="AY277" s="3" t="s">
        <v>2659</v>
      </c>
      <c r="AZ277" s="3" t="s">
        <v>2660</v>
      </c>
      <c r="BA277" s="3" t="s">
        <v>2660</v>
      </c>
      <c r="BB277" s="3" t="s">
        <v>2661</v>
      </c>
      <c r="BC277" s="3" t="s">
        <v>77</v>
      </c>
      <c r="BD277" s="3" t="s">
        <v>78</v>
      </c>
      <c r="BE277" s="3" t="s">
        <v>2662</v>
      </c>
      <c r="BF277" s="3" t="s">
        <v>2661</v>
      </c>
      <c r="BG277" s="3" t="s">
        <v>2663</v>
      </c>
      <c r="BH277">
        <f t="shared" si="9"/>
        <v>0</v>
      </c>
    </row>
    <row r="278" spans="1:60" ht="58" x14ac:dyDescent="0.35">
      <c r="A278" s="2" t="s">
        <v>59</v>
      </c>
      <c r="B278" s="2" t="s">
        <v>60</v>
      </c>
      <c r="C278" s="2" t="s">
        <v>2664</v>
      </c>
      <c r="D278" s="2" t="s">
        <v>2665</v>
      </c>
      <c r="E278" s="2" t="s">
        <v>2666</v>
      </c>
      <c r="G278" s="3" t="s">
        <v>64</v>
      </c>
      <c r="I278" s="3" t="s">
        <v>64</v>
      </c>
      <c r="J278" s="3" t="s">
        <v>64</v>
      </c>
      <c r="K278" s="3" t="s">
        <v>65</v>
      </c>
      <c r="L278" s="2" t="s">
        <v>2667</v>
      </c>
      <c r="M278" s="2" t="s">
        <v>1074</v>
      </c>
      <c r="N278" s="3" t="s">
        <v>1075</v>
      </c>
      <c r="P278" s="3" t="s">
        <v>102</v>
      </c>
      <c r="Q278" s="2" t="s">
        <v>2657</v>
      </c>
      <c r="R278" s="3" t="s">
        <v>70</v>
      </c>
      <c r="S278" s="4">
        <v>2</v>
      </c>
      <c r="T278" s="4">
        <v>2</v>
      </c>
      <c r="U278" s="5" t="s">
        <v>2668</v>
      </c>
      <c r="V278" s="5" t="s">
        <v>2668</v>
      </c>
      <c r="W278" s="5" t="s">
        <v>72</v>
      </c>
      <c r="X278" s="5" t="s">
        <v>72</v>
      </c>
      <c r="Y278" s="4">
        <v>135</v>
      </c>
      <c r="Z278" s="4">
        <v>14</v>
      </c>
      <c r="AA278" s="4">
        <v>16</v>
      </c>
      <c r="AB278" s="4">
        <v>1</v>
      </c>
      <c r="AC278" s="4">
        <v>2</v>
      </c>
      <c r="AD278" s="4">
        <v>58</v>
      </c>
      <c r="AE278" s="4">
        <v>64</v>
      </c>
      <c r="AF278" s="4">
        <v>0</v>
      </c>
      <c r="AG278" s="4">
        <v>1</v>
      </c>
      <c r="AH278" s="4">
        <v>55</v>
      </c>
      <c r="AI278" s="4">
        <v>60</v>
      </c>
      <c r="AJ278" s="4">
        <v>7</v>
      </c>
      <c r="AK278" s="4">
        <v>9</v>
      </c>
      <c r="AL278" s="4">
        <v>36</v>
      </c>
      <c r="AM278" s="4">
        <v>39</v>
      </c>
      <c r="AN278" s="4">
        <v>0</v>
      </c>
      <c r="AO278" s="4">
        <v>0</v>
      </c>
      <c r="AP278" s="4">
        <v>8</v>
      </c>
      <c r="AQ278" s="4">
        <v>10</v>
      </c>
      <c r="AR278" s="3" t="s">
        <v>64</v>
      </c>
      <c r="AS278" s="3" t="s">
        <v>64</v>
      </c>
      <c r="AT278" s="3" t="s">
        <v>64</v>
      </c>
      <c r="AV278" s="6" t="str">
        <f>HYPERLINK("http://mcgill.on.worldcat.org/oclc/854918561","Catalog Record")</f>
        <v>Catalog Record</v>
      </c>
      <c r="AW278" s="6" t="str">
        <f>HYPERLINK("http://www.worldcat.org/oclc/854918561","WorldCat Record")</f>
        <v>WorldCat Record</v>
      </c>
      <c r="AX278" s="3" t="s">
        <v>2669</v>
      </c>
      <c r="AY278" s="3" t="s">
        <v>2670</v>
      </c>
      <c r="AZ278" s="3" t="s">
        <v>2671</v>
      </c>
      <c r="BA278" s="3" t="s">
        <v>2671</v>
      </c>
      <c r="BB278" s="3" t="s">
        <v>2672</v>
      </c>
      <c r="BC278" s="3" t="s">
        <v>77</v>
      </c>
      <c r="BD278" s="3" t="s">
        <v>78</v>
      </c>
      <c r="BE278" s="3" t="s">
        <v>2673</v>
      </c>
      <c r="BF278" s="3" t="s">
        <v>2672</v>
      </c>
      <c r="BG278" s="3" t="s">
        <v>2674</v>
      </c>
      <c r="BH278">
        <f t="shared" si="9"/>
        <v>0</v>
      </c>
    </row>
    <row r="279" spans="1:60" ht="58" x14ac:dyDescent="0.35">
      <c r="A279" s="2" t="s">
        <v>59</v>
      </c>
      <c r="B279" s="2" t="s">
        <v>60</v>
      </c>
      <c r="C279" s="2" t="s">
        <v>2675</v>
      </c>
      <c r="D279" s="2" t="s">
        <v>2676</v>
      </c>
      <c r="E279" s="2" t="s">
        <v>2677</v>
      </c>
      <c r="G279" s="3" t="s">
        <v>64</v>
      </c>
      <c r="I279" s="3" t="s">
        <v>64</v>
      </c>
      <c r="J279" s="3" t="s">
        <v>64</v>
      </c>
      <c r="K279" s="3" t="s">
        <v>65</v>
      </c>
      <c r="M279" s="2" t="s">
        <v>2678</v>
      </c>
      <c r="N279" s="3" t="s">
        <v>86</v>
      </c>
      <c r="P279" s="3" t="s">
        <v>102</v>
      </c>
      <c r="Q279" s="2" t="s">
        <v>2679</v>
      </c>
      <c r="R279" s="3" t="s">
        <v>70</v>
      </c>
      <c r="S279" s="4">
        <v>1</v>
      </c>
      <c r="T279" s="4">
        <v>1</v>
      </c>
      <c r="U279" s="5" t="s">
        <v>2635</v>
      </c>
      <c r="V279" s="5" t="s">
        <v>2635</v>
      </c>
      <c r="W279" s="5" t="s">
        <v>72</v>
      </c>
      <c r="X279" s="5" t="s">
        <v>72</v>
      </c>
      <c r="Y279" s="4">
        <v>50</v>
      </c>
      <c r="Z279" s="4">
        <v>6</v>
      </c>
      <c r="AA279" s="4">
        <v>76</v>
      </c>
      <c r="AB279" s="4">
        <v>1</v>
      </c>
      <c r="AC279" s="4">
        <v>14</v>
      </c>
      <c r="AD279" s="4">
        <v>21</v>
      </c>
      <c r="AE279" s="4">
        <v>99</v>
      </c>
      <c r="AF279" s="4">
        <v>0</v>
      </c>
      <c r="AG279" s="4">
        <v>8</v>
      </c>
      <c r="AH279" s="4">
        <v>21</v>
      </c>
      <c r="AI279" s="4">
        <v>68</v>
      </c>
      <c r="AJ279" s="4">
        <v>4</v>
      </c>
      <c r="AK279" s="4">
        <v>21</v>
      </c>
      <c r="AL279" s="4">
        <v>16</v>
      </c>
      <c r="AM279" s="4">
        <v>33</v>
      </c>
      <c r="AN279" s="4">
        <v>0</v>
      </c>
      <c r="AO279" s="4">
        <v>0</v>
      </c>
      <c r="AP279" s="4">
        <v>4</v>
      </c>
      <c r="AQ279" s="4">
        <v>39</v>
      </c>
      <c r="AR279" s="3" t="s">
        <v>64</v>
      </c>
      <c r="AS279" s="3" t="s">
        <v>64</v>
      </c>
      <c r="AT279" s="3" t="s">
        <v>64</v>
      </c>
      <c r="AV279" s="6" t="str">
        <f>HYPERLINK("http://mcgill.on.worldcat.org/oclc/758393880","Catalog Record")</f>
        <v>Catalog Record</v>
      </c>
      <c r="AW279" s="6" t="str">
        <f>HYPERLINK("http://www.worldcat.org/oclc/758393880","WorldCat Record")</f>
        <v>WorldCat Record</v>
      </c>
      <c r="AX279" s="3" t="s">
        <v>2680</v>
      </c>
      <c r="AY279" s="3" t="s">
        <v>2681</v>
      </c>
      <c r="AZ279" s="3" t="s">
        <v>2682</v>
      </c>
      <c r="BA279" s="3" t="s">
        <v>2682</v>
      </c>
      <c r="BB279" s="3" t="s">
        <v>2683</v>
      </c>
      <c r="BC279" s="3" t="s">
        <v>77</v>
      </c>
      <c r="BD279" s="3" t="s">
        <v>78</v>
      </c>
      <c r="BE279" s="3" t="s">
        <v>2684</v>
      </c>
      <c r="BF279" s="3" t="s">
        <v>2683</v>
      </c>
      <c r="BG279" s="3" t="s">
        <v>2685</v>
      </c>
      <c r="BH279">
        <f t="shared" si="9"/>
        <v>0</v>
      </c>
    </row>
    <row r="280" spans="1:60" ht="87" x14ac:dyDescent="0.35">
      <c r="A280" s="2" t="s">
        <v>59</v>
      </c>
      <c r="B280" s="2" t="s">
        <v>60</v>
      </c>
      <c r="C280" s="2" t="s">
        <v>2686</v>
      </c>
      <c r="D280" s="2" t="s">
        <v>2687</v>
      </c>
      <c r="E280" s="2" t="s">
        <v>2688</v>
      </c>
      <c r="G280" s="3" t="s">
        <v>64</v>
      </c>
      <c r="I280" s="3" t="s">
        <v>64</v>
      </c>
      <c r="J280" s="3" t="s">
        <v>64</v>
      </c>
      <c r="K280" s="3" t="s">
        <v>65</v>
      </c>
      <c r="L280" s="2" t="s">
        <v>2689</v>
      </c>
      <c r="M280" s="2" t="s">
        <v>2690</v>
      </c>
      <c r="N280" s="3" t="s">
        <v>67</v>
      </c>
      <c r="P280" s="3" t="s">
        <v>102</v>
      </c>
      <c r="Q280" s="2" t="s">
        <v>2691</v>
      </c>
      <c r="R280" s="3" t="s">
        <v>70</v>
      </c>
      <c r="S280" s="4">
        <v>0</v>
      </c>
      <c r="T280" s="4">
        <v>0</v>
      </c>
      <c r="W280" s="5" t="s">
        <v>72</v>
      </c>
      <c r="X280" s="5" t="s">
        <v>72</v>
      </c>
      <c r="Y280" s="4">
        <v>55</v>
      </c>
      <c r="Z280" s="4">
        <v>6</v>
      </c>
      <c r="AA280" s="4">
        <v>10</v>
      </c>
      <c r="AB280" s="4">
        <v>1</v>
      </c>
      <c r="AC280" s="4">
        <v>4</v>
      </c>
      <c r="AD280" s="4">
        <v>29</v>
      </c>
      <c r="AE280" s="4">
        <v>41</v>
      </c>
      <c r="AF280" s="4">
        <v>0</v>
      </c>
      <c r="AG280" s="4">
        <v>1</v>
      </c>
      <c r="AH280" s="4">
        <v>28</v>
      </c>
      <c r="AI280" s="4">
        <v>38</v>
      </c>
      <c r="AJ280" s="4">
        <v>4</v>
      </c>
      <c r="AK280" s="4">
        <v>6</v>
      </c>
      <c r="AL280" s="4">
        <v>23</v>
      </c>
      <c r="AM280" s="4">
        <v>27</v>
      </c>
      <c r="AN280" s="4">
        <v>0</v>
      </c>
      <c r="AO280" s="4">
        <v>0</v>
      </c>
      <c r="AP280" s="4">
        <v>4</v>
      </c>
      <c r="AQ280" s="4">
        <v>6</v>
      </c>
      <c r="AR280" s="3" t="s">
        <v>64</v>
      </c>
      <c r="AS280" s="3" t="s">
        <v>64</v>
      </c>
      <c r="AT280" s="3" t="s">
        <v>64</v>
      </c>
      <c r="AV280" s="6" t="str">
        <f>HYPERLINK("http://mcgill.on.worldcat.org/oclc/873521023","Catalog Record")</f>
        <v>Catalog Record</v>
      </c>
      <c r="AW280" s="6" t="str">
        <f>HYPERLINK("http://www.worldcat.org/oclc/873521023","WorldCat Record")</f>
        <v>WorldCat Record</v>
      </c>
      <c r="AX280" s="3" t="s">
        <v>2692</v>
      </c>
      <c r="AY280" s="3" t="s">
        <v>2693</v>
      </c>
      <c r="AZ280" s="3" t="s">
        <v>2694</v>
      </c>
      <c r="BA280" s="3" t="s">
        <v>2694</v>
      </c>
      <c r="BB280" s="3" t="s">
        <v>2695</v>
      </c>
      <c r="BC280" s="3" t="s">
        <v>77</v>
      </c>
      <c r="BD280" s="3" t="s">
        <v>78</v>
      </c>
      <c r="BE280" s="3" t="s">
        <v>2696</v>
      </c>
      <c r="BF280" s="3" t="s">
        <v>2695</v>
      </c>
      <c r="BG280" s="3" t="s">
        <v>2697</v>
      </c>
      <c r="BH280">
        <f t="shared" si="9"/>
        <v>0</v>
      </c>
    </row>
    <row r="281" spans="1:60" ht="72.5" x14ac:dyDescent="0.35">
      <c r="A281" s="2" t="s">
        <v>59</v>
      </c>
      <c r="B281" s="2" t="s">
        <v>60</v>
      </c>
      <c r="C281" s="2" t="s">
        <v>2698</v>
      </c>
      <c r="D281" s="2" t="s">
        <v>2699</v>
      </c>
      <c r="E281" s="2" t="s">
        <v>2700</v>
      </c>
      <c r="G281" s="3" t="s">
        <v>64</v>
      </c>
      <c r="I281" s="3" t="s">
        <v>64</v>
      </c>
      <c r="J281" s="3" t="s">
        <v>64</v>
      </c>
      <c r="K281" s="3" t="s">
        <v>65</v>
      </c>
      <c r="L281" s="2" t="s">
        <v>2701</v>
      </c>
      <c r="M281" s="2" t="s">
        <v>2702</v>
      </c>
      <c r="N281" s="3" t="s">
        <v>67</v>
      </c>
      <c r="P281" s="3" t="s">
        <v>102</v>
      </c>
      <c r="R281" s="3" t="s">
        <v>70</v>
      </c>
      <c r="S281" s="4">
        <v>0</v>
      </c>
      <c r="T281" s="4">
        <v>0</v>
      </c>
      <c r="W281" s="5" t="s">
        <v>72</v>
      </c>
      <c r="X281" s="5" t="s">
        <v>72</v>
      </c>
      <c r="Y281" s="4">
        <v>79</v>
      </c>
      <c r="Z281" s="4">
        <v>10</v>
      </c>
      <c r="AA281" s="4">
        <v>10</v>
      </c>
      <c r="AB281" s="4">
        <v>1</v>
      </c>
      <c r="AC281" s="4">
        <v>1</v>
      </c>
      <c r="AD281" s="4">
        <v>27</v>
      </c>
      <c r="AE281" s="4">
        <v>28</v>
      </c>
      <c r="AF281" s="4">
        <v>0</v>
      </c>
      <c r="AG281" s="4">
        <v>0</v>
      </c>
      <c r="AH281" s="4">
        <v>25</v>
      </c>
      <c r="AI281" s="4">
        <v>25</v>
      </c>
      <c r="AJ281" s="4">
        <v>5</v>
      </c>
      <c r="AK281" s="4">
        <v>5</v>
      </c>
      <c r="AL281" s="4">
        <v>15</v>
      </c>
      <c r="AM281" s="4">
        <v>16</v>
      </c>
      <c r="AN281" s="4">
        <v>0</v>
      </c>
      <c r="AO281" s="4">
        <v>0</v>
      </c>
      <c r="AP281" s="4">
        <v>6</v>
      </c>
      <c r="AQ281" s="4">
        <v>6</v>
      </c>
      <c r="AR281" s="3" t="s">
        <v>64</v>
      </c>
      <c r="AS281" s="3" t="s">
        <v>64</v>
      </c>
      <c r="AT281" s="3" t="s">
        <v>64</v>
      </c>
      <c r="AV281" s="6" t="str">
        <f>HYPERLINK("http://mcgill.on.worldcat.org/oclc/869345459","Catalog Record")</f>
        <v>Catalog Record</v>
      </c>
      <c r="AW281" s="6" t="str">
        <f>HYPERLINK("http://www.worldcat.org/oclc/869345459","WorldCat Record")</f>
        <v>WorldCat Record</v>
      </c>
      <c r="AX281" s="3" t="s">
        <v>2703</v>
      </c>
      <c r="AY281" s="3" t="s">
        <v>2704</v>
      </c>
      <c r="AZ281" s="3" t="s">
        <v>2705</v>
      </c>
      <c r="BA281" s="3" t="s">
        <v>2705</v>
      </c>
      <c r="BB281" s="3" t="s">
        <v>2706</v>
      </c>
      <c r="BC281" s="3" t="s">
        <v>77</v>
      </c>
      <c r="BD281" s="3" t="s">
        <v>78</v>
      </c>
      <c r="BE281" s="3" t="s">
        <v>2707</v>
      </c>
      <c r="BF281" s="3" t="s">
        <v>2706</v>
      </c>
      <c r="BG281" s="3" t="s">
        <v>2708</v>
      </c>
      <c r="BH281">
        <f t="shared" si="9"/>
        <v>0</v>
      </c>
    </row>
    <row r="282" spans="1:60" ht="58" x14ac:dyDescent="0.35">
      <c r="A282" s="2" t="s">
        <v>59</v>
      </c>
      <c r="B282" s="2" t="s">
        <v>60</v>
      </c>
      <c r="C282" s="2" t="s">
        <v>2709</v>
      </c>
      <c r="D282" s="2" t="s">
        <v>2710</v>
      </c>
      <c r="E282" s="2" t="s">
        <v>2711</v>
      </c>
      <c r="G282" s="3" t="s">
        <v>64</v>
      </c>
      <c r="I282" s="3" t="s">
        <v>64</v>
      </c>
      <c r="J282" s="3" t="s">
        <v>64</v>
      </c>
      <c r="K282" s="3" t="s">
        <v>183</v>
      </c>
      <c r="M282" s="2" t="s">
        <v>2712</v>
      </c>
      <c r="N282" s="3" t="s">
        <v>537</v>
      </c>
      <c r="P282" s="3" t="s">
        <v>102</v>
      </c>
      <c r="R282" s="3" t="s">
        <v>70</v>
      </c>
      <c r="S282" s="4">
        <v>0</v>
      </c>
      <c r="T282" s="4">
        <v>0</v>
      </c>
      <c r="W282" s="5" t="s">
        <v>72</v>
      </c>
      <c r="X282" s="5" t="s">
        <v>72</v>
      </c>
      <c r="Y282" s="4">
        <v>92</v>
      </c>
      <c r="Z282" s="4">
        <v>9</v>
      </c>
      <c r="AA282" s="4">
        <v>74</v>
      </c>
      <c r="AB282" s="4">
        <v>1</v>
      </c>
      <c r="AC282" s="4">
        <v>14</v>
      </c>
      <c r="AD282" s="4">
        <v>49</v>
      </c>
      <c r="AE282" s="4">
        <v>104</v>
      </c>
      <c r="AF282" s="4">
        <v>0</v>
      </c>
      <c r="AG282" s="4">
        <v>8</v>
      </c>
      <c r="AH282" s="4">
        <v>46</v>
      </c>
      <c r="AI282" s="4">
        <v>73</v>
      </c>
      <c r="AJ282" s="4">
        <v>7</v>
      </c>
      <c r="AK282" s="4">
        <v>19</v>
      </c>
      <c r="AL282" s="4">
        <v>32</v>
      </c>
      <c r="AM282" s="4">
        <v>42</v>
      </c>
      <c r="AN282" s="4">
        <v>0</v>
      </c>
      <c r="AO282" s="4">
        <v>0</v>
      </c>
      <c r="AP282" s="4">
        <v>7</v>
      </c>
      <c r="AQ282" s="4">
        <v>38</v>
      </c>
      <c r="AR282" s="3" t="s">
        <v>64</v>
      </c>
      <c r="AS282" s="3" t="s">
        <v>64</v>
      </c>
      <c r="AT282" s="3" t="s">
        <v>64</v>
      </c>
      <c r="AV282" s="6" t="str">
        <f>HYPERLINK("http://mcgill.on.worldcat.org/oclc/929123061","Catalog Record")</f>
        <v>Catalog Record</v>
      </c>
      <c r="AW282" s="6" t="str">
        <f>HYPERLINK("http://www.worldcat.org/oclc/929123061","WorldCat Record")</f>
        <v>WorldCat Record</v>
      </c>
      <c r="AX282" s="3" t="s">
        <v>2713</v>
      </c>
      <c r="AY282" s="3" t="s">
        <v>2714</v>
      </c>
      <c r="AZ282" s="3" t="s">
        <v>2715</v>
      </c>
      <c r="BA282" s="3" t="s">
        <v>2715</v>
      </c>
      <c r="BB282" s="3" t="s">
        <v>2716</v>
      </c>
      <c r="BC282" s="3" t="s">
        <v>77</v>
      </c>
      <c r="BD282" s="3" t="s">
        <v>78</v>
      </c>
      <c r="BE282" s="3" t="s">
        <v>2717</v>
      </c>
      <c r="BF282" s="3" t="s">
        <v>2716</v>
      </c>
      <c r="BG282" s="3" t="s">
        <v>2718</v>
      </c>
      <c r="BH282">
        <f t="shared" si="9"/>
        <v>0</v>
      </c>
    </row>
    <row r="283" spans="1:60" ht="72.5" x14ac:dyDescent="0.35">
      <c r="A283" s="2" t="s">
        <v>59</v>
      </c>
      <c r="B283" s="2" t="s">
        <v>60</v>
      </c>
      <c r="C283" s="2" t="s">
        <v>2719</v>
      </c>
      <c r="D283" s="2" t="s">
        <v>2720</v>
      </c>
      <c r="E283" s="2" t="s">
        <v>2721</v>
      </c>
      <c r="G283" s="3" t="s">
        <v>64</v>
      </c>
      <c r="I283" s="3" t="s">
        <v>64</v>
      </c>
      <c r="J283" s="3" t="s">
        <v>64</v>
      </c>
      <c r="K283" s="3" t="s">
        <v>65</v>
      </c>
      <c r="L283" s="2" t="s">
        <v>2722</v>
      </c>
      <c r="M283" s="2" t="s">
        <v>2723</v>
      </c>
      <c r="N283" s="3" t="s">
        <v>511</v>
      </c>
      <c r="P283" s="3" t="s">
        <v>102</v>
      </c>
      <c r="Q283" s="2" t="s">
        <v>2724</v>
      </c>
      <c r="R283" s="3" t="s">
        <v>70</v>
      </c>
      <c r="S283" s="4">
        <v>2</v>
      </c>
      <c r="T283" s="4">
        <v>2</v>
      </c>
      <c r="U283" s="5" t="s">
        <v>2725</v>
      </c>
      <c r="V283" s="5" t="s">
        <v>2725</v>
      </c>
      <c r="W283" s="5" t="s">
        <v>72</v>
      </c>
      <c r="X283" s="5" t="s">
        <v>72</v>
      </c>
      <c r="Y283" s="4">
        <v>108</v>
      </c>
      <c r="Z283" s="4">
        <v>8</v>
      </c>
      <c r="AA283" s="4">
        <v>9</v>
      </c>
      <c r="AB283" s="4">
        <v>1</v>
      </c>
      <c r="AC283" s="4">
        <v>2</v>
      </c>
      <c r="AD283" s="4">
        <v>40</v>
      </c>
      <c r="AE283" s="4">
        <v>41</v>
      </c>
      <c r="AF283" s="4">
        <v>0</v>
      </c>
      <c r="AG283" s="4">
        <v>0</v>
      </c>
      <c r="AH283" s="4">
        <v>39</v>
      </c>
      <c r="AI283" s="4">
        <v>40</v>
      </c>
      <c r="AJ283" s="4">
        <v>4</v>
      </c>
      <c r="AK283" s="4">
        <v>4</v>
      </c>
      <c r="AL283" s="4">
        <v>32</v>
      </c>
      <c r="AM283" s="4">
        <v>32</v>
      </c>
      <c r="AN283" s="4">
        <v>0</v>
      </c>
      <c r="AO283" s="4">
        <v>0</v>
      </c>
      <c r="AP283" s="4">
        <v>4</v>
      </c>
      <c r="AQ283" s="4">
        <v>4</v>
      </c>
      <c r="AR283" s="3" t="s">
        <v>64</v>
      </c>
      <c r="AS283" s="3" t="s">
        <v>64</v>
      </c>
      <c r="AT283" s="3" t="s">
        <v>64</v>
      </c>
      <c r="AV283" s="6" t="str">
        <f>HYPERLINK("http://mcgill.on.worldcat.org/oclc/491905843","Catalog Record")</f>
        <v>Catalog Record</v>
      </c>
      <c r="AW283" s="6" t="str">
        <f>HYPERLINK("http://www.worldcat.org/oclc/491905843","WorldCat Record")</f>
        <v>WorldCat Record</v>
      </c>
      <c r="AX283" s="3" t="s">
        <v>2726</v>
      </c>
      <c r="AY283" s="3" t="s">
        <v>2727</v>
      </c>
      <c r="AZ283" s="3" t="s">
        <v>2728</v>
      </c>
      <c r="BA283" s="3" t="s">
        <v>2728</v>
      </c>
      <c r="BB283" s="3" t="s">
        <v>2729</v>
      </c>
      <c r="BC283" s="3" t="s">
        <v>77</v>
      </c>
      <c r="BD283" s="3" t="s">
        <v>78</v>
      </c>
      <c r="BE283" s="3" t="s">
        <v>2730</v>
      </c>
      <c r="BF283" s="3" t="s">
        <v>2729</v>
      </c>
      <c r="BG283" s="3" t="s">
        <v>2731</v>
      </c>
      <c r="BH283">
        <f t="shared" si="9"/>
        <v>0</v>
      </c>
    </row>
    <row r="284" spans="1:60" ht="58" x14ac:dyDescent="0.35">
      <c r="A284" s="2" t="s">
        <v>59</v>
      </c>
      <c r="B284" s="2" t="s">
        <v>60</v>
      </c>
      <c r="C284" s="2" t="s">
        <v>2732</v>
      </c>
      <c r="D284" s="2" t="s">
        <v>2733</v>
      </c>
      <c r="E284" s="2" t="s">
        <v>2734</v>
      </c>
      <c r="G284" s="3" t="s">
        <v>64</v>
      </c>
      <c r="I284" s="3" t="s">
        <v>128</v>
      </c>
      <c r="J284" s="3" t="s">
        <v>64</v>
      </c>
      <c r="K284" s="3" t="s">
        <v>65</v>
      </c>
      <c r="L284" s="2" t="s">
        <v>2735</v>
      </c>
      <c r="M284" s="2" t="s">
        <v>2736</v>
      </c>
      <c r="N284" s="3" t="s">
        <v>1004</v>
      </c>
      <c r="P284" s="3" t="s">
        <v>102</v>
      </c>
      <c r="R284" s="3" t="s">
        <v>70</v>
      </c>
      <c r="S284" s="4">
        <v>14</v>
      </c>
      <c r="T284" s="4">
        <v>15</v>
      </c>
      <c r="U284" s="5" t="s">
        <v>2737</v>
      </c>
      <c r="V284" s="5" t="s">
        <v>2737</v>
      </c>
      <c r="W284" s="5" t="s">
        <v>72</v>
      </c>
      <c r="X284" s="5" t="s">
        <v>72</v>
      </c>
      <c r="Y284" s="4">
        <v>12</v>
      </c>
      <c r="Z284" s="4">
        <v>2</v>
      </c>
      <c r="AA284" s="4">
        <v>2</v>
      </c>
      <c r="AB284" s="4">
        <v>1</v>
      </c>
      <c r="AC284" s="4">
        <v>1</v>
      </c>
      <c r="AD284" s="4">
        <v>1</v>
      </c>
      <c r="AE284" s="4">
        <v>1</v>
      </c>
      <c r="AF284" s="4">
        <v>0</v>
      </c>
      <c r="AG284" s="4">
        <v>0</v>
      </c>
      <c r="AH284" s="4">
        <v>1</v>
      </c>
      <c r="AI284" s="4">
        <v>1</v>
      </c>
      <c r="AJ284" s="4">
        <v>0</v>
      </c>
      <c r="AK284" s="4">
        <v>0</v>
      </c>
      <c r="AL284" s="4">
        <v>0</v>
      </c>
      <c r="AM284" s="4">
        <v>0</v>
      </c>
      <c r="AN284" s="4">
        <v>0</v>
      </c>
      <c r="AO284" s="4">
        <v>0</v>
      </c>
      <c r="AP284" s="4">
        <v>0</v>
      </c>
      <c r="AQ284" s="4">
        <v>0</v>
      </c>
      <c r="AR284" s="3" t="s">
        <v>64</v>
      </c>
      <c r="AS284" s="3" t="s">
        <v>64</v>
      </c>
      <c r="AT284" s="3" t="s">
        <v>64</v>
      </c>
      <c r="AV284" s="6" t="str">
        <f>HYPERLINK("http://mcgill.on.worldcat.org/oclc/220335141","Catalog Record")</f>
        <v>Catalog Record</v>
      </c>
      <c r="AW284" s="6" t="str">
        <f>HYPERLINK("http://www.worldcat.org/oclc/220335141","WorldCat Record")</f>
        <v>WorldCat Record</v>
      </c>
      <c r="AX284" s="3" t="s">
        <v>2738</v>
      </c>
      <c r="AY284" s="3" t="s">
        <v>2739</v>
      </c>
      <c r="AZ284" s="3" t="s">
        <v>2740</v>
      </c>
      <c r="BA284" s="3" t="s">
        <v>2740</v>
      </c>
      <c r="BB284" s="3" t="s">
        <v>2741</v>
      </c>
      <c r="BC284" s="3" t="s">
        <v>77</v>
      </c>
      <c r="BD284" s="3" t="s">
        <v>78</v>
      </c>
      <c r="BE284" s="3" t="s">
        <v>2742</v>
      </c>
      <c r="BF284" s="3" t="s">
        <v>2741</v>
      </c>
      <c r="BG284" s="3" t="s">
        <v>2743</v>
      </c>
      <c r="BH284">
        <f t="shared" si="9"/>
        <v>0</v>
      </c>
    </row>
    <row r="285" spans="1:60" ht="58" x14ac:dyDescent="0.35">
      <c r="A285" s="2" t="s">
        <v>59</v>
      </c>
      <c r="B285" s="2" t="s">
        <v>60</v>
      </c>
      <c r="C285" s="2" t="s">
        <v>2732</v>
      </c>
      <c r="D285" s="2" t="s">
        <v>2733</v>
      </c>
      <c r="E285" s="2" t="s">
        <v>2734</v>
      </c>
      <c r="G285" s="3" t="s">
        <v>64</v>
      </c>
      <c r="I285" s="3" t="s">
        <v>128</v>
      </c>
      <c r="J285" s="3" t="s">
        <v>64</v>
      </c>
      <c r="K285" s="3" t="s">
        <v>65</v>
      </c>
      <c r="L285" s="2" t="s">
        <v>2735</v>
      </c>
      <c r="M285" s="2" t="s">
        <v>2736</v>
      </c>
      <c r="N285" s="3" t="s">
        <v>1004</v>
      </c>
      <c r="P285" s="3" t="s">
        <v>102</v>
      </c>
      <c r="R285" s="3" t="s">
        <v>70</v>
      </c>
      <c r="S285" s="4">
        <v>1</v>
      </c>
      <c r="T285" s="4">
        <v>15</v>
      </c>
      <c r="U285" s="5" t="s">
        <v>2744</v>
      </c>
      <c r="V285" s="5" t="s">
        <v>2737</v>
      </c>
      <c r="W285" s="5" t="s">
        <v>72</v>
      </c>
      <c r="X285" s="5" t="s">
        <v>72</v>
      </c>
      <c r="Y285" s="4">
        <v>12</v>
      </c>
      <c r="Z285" s="4">
        <v>2</v>
      </c>
      <c r="AA285" s="4">
        <v>2</v>
      </c>
      <c r="AB285" s="4">
        <v>1</v>
      </c>
      <c r="AC285" s="4">
        <v>1</v>
      </c>
      <c r="AD285" s="4">
        <v>1</v>
      </c>
      <c r="AE285" s="4">
        <v>1</v>
      </c>
      <c r="AF285" s="4">
        <v>0</v>
      </c>
      <c r="AG285" s="4">
        <v>0</v>
      </c>
      <c r="AH285" s="4">
        <v>1</v>
      </c>
      <c r="AI285" s="4">
        <v>1</v>
      </c>
      <c r="AJ285" s="4">
        <v>0</v>
      </c>
      <c r="AK285" s="4">
        <v>0</v>
      </c>
      <c r="AL285" s="4">
        <v>0</v>
      </c>
      <c r="AM285" s="4">
        <v>0</v>
      </c>
      <c r="AN285" s="4">
        <v>0</v>
      </c>
      <c r="AO285" s="4">
        <v>0</v>
      </c>
      <c r="AP285" s="4">
        <v>0</v>
      </c>
      <c r="AQ285" s="4">
        <v>0</v>
      </c>
      <c r="AR285" s="3" t="s">
        <v>64</v>
      </c>
      <c r="AS285" s="3" t="s">
        <v>64</v>
      </c>
      <c r="AT285" s="3" t="s">
        <v>64</v>
      </c>
      <c r="AV285" s="6" t="str">
        <f>HYPERLINK("http://mcgill.on.worldcat.org/oclc/220335141","Catalog Record")</f>
        <v>Catalog Record</v>
      </c>
      <c r="AW285" s="6" t="str">
        <f>HYPERLINK("http://www.worldcat.org/oclc/220335141","WorldCat Record")</f>
        <v>WorldCat Record</v>
      </c>
      <c r="AX285" s="3" t="s">
        <v>2738</v>
      </c>
      <c r="AY285" s="3" t="s">
        <v>2739</v>
      </c>
      <c r="AZ285" s="3" t="s">
        <v>2740</v>
      </c>
      <c r="BA285" s="3" t="s">
        <v>2740</v>
      </c>
      <c r="BB285" s="3" t="s">
        <v>2745</v>
      </c>
      <c r="BC285" s="3" t="s">
        <v>77</v>
      </c>
      <c r="BD285" s="3" t="s">
        <v>78</v>
      </c>
      <c r="BE285" s="3" t="s">
        <v>2742</v>
      </c>
      <c r="BF285" s="3" t="s">
        <v>2745</v>
      </c>
      <c r="BG285" s="3" t="s">
        <v>2746</v>
      </c>
      <c r="BH285">
        <f t="shared" si="9"/>
        <v>0</v>
      </c>
    </row>
    <row r="286" spans="1:60" ht="58" x14ac:dyDescent="0.35">
      <c r="A286" s="2" t="s">
        <v>59</v>
      </c>
      <c r="B286" s="2" t="s">
        <v>60</v>
      </c>
      <c r="C286" s="2" t="s">
        <v>2747</v>
      </c>
      <c r="D286" s="2" t="s">
        <v>2748</v>
      </c>
      <c r="E286" s="2" t="s">
        <v>2749</v>
      </c>
      <c r="G286" s="3" t="s">
        <v>64</v>
      </c>
      <c r="I286" s="3" t="s">
        <v>64</v>
      </c>
      <c r="J286" s="3" t="s">
        <v>64</v>
      </c>
      <c r="K286" s="3" t="s">
        <v>65</v>
      </c>
      <c r="M286" s="2" t="s">
        <v>2750</v>
      </c>
      <c r="N286" s="3" t="s">
        <v>253</v>
      </c>
      <c r="P286" s="3" t="s">
        <v>102</v>
      </c>
      <c r="Q286" s="2" t="s">
        <v>1127</v>
      </c>
      <c r="R286" s="3" t="s">
        <v>70</v>
      </c>
      <c r="S286" s="4">
        <v>0</v>
      </c>
      <c r="T286" s="4">
        <v>0</v>
      </c>
      <c r="W286" s="5" t="s">
        <v>72</v>
      </c>
      <c r="X286" s="5" t="s">
        <v>72</v>
      </c>
      <c r="Y286" s="4">
        <v>74</v>
      </c>
      <c r="Z286" s="4">
        <v>6</v>
      </c>
      <c r="AA286" s="4">
        <v>29</v>
      </c>
      <c r="AB286" s="4">
        <v>1</v>
      </c>
      <c r="AC286" s="4">
        <v>7</v>
      </c>
      <c r="AD286" s="4">
        <v>36</v>
      </c>
      <c r="AE286" s="4">
        <v>70</v>
      </c>
      <c r="AF286" s="4">
        <v>0</v>
      </c>
      <c r="AG286" s="4">
        <v>4</v>
      </c>
      <c r="AH286" s="4">
        <v>34</v>
      </c>
      <c r="AI286" s="4">
        <v>57</v>
      </c>
      <c r="AJ286" s="4">
        <v>4</v>
      </c>
      <c r="AK286" s="4">
        <v>13</v>
      </c>
      <c r="AL286" s="4">
        <v>25</v>
      </c>
      <c r="AM286" s="4">
        <v>33</v>
      </c>
      <c r="AN286" s="4">
        <v>0</v>
      </c>
      <c r="AO286" s="4">
        <v>0</v>
      </c>
      <c r="AP286" s="4">
        <v>4</v>
      </c>
      <c r="AQ286" s="4">
        <v>18</v>
      </c>
      <c r="AR286" s="3" t="s">
        <v>64</v>
      </c>
      <c r="AS286" s="3" t="s">
        <v>64</v>
      </c>
      <c r="AT286" s="3" t="s">
        <v>64</v>
      </c>
      <c r="AV286" s="6" t="str">
        <f>HYPERLINK("http://mcgill.on.worldcat.org/oclc/905524750","Catalog Record")</f>
        <v>Catalog Record</v>
      </c>
      <c r="AW286" s="6" t="str">
        <f>HYPERLINK("http://www.worldcat.org/oclc/905524750","WorldCat Record")</f>
        <v>WorldCat Record</v>
      </c>
      <c r="AX286" s="3" t="s">
        <v>2751</v>
      </c>
      <c r="AY286" s="3" t="s">
        <v>2752</v>
      </c>
      <c r="AZ286" s="3" t="s">
        <v>2753</v>
      </c>
      <c r="BA286" s="3" t="s">
        <v>2753</v>
      </c>
      <c r="BB286" s="3" t="s">
        <v>2754</v>
      </c>
      <c r="BC286" s="3" t="s">
        <v>77</v>
      </c>
      <c r="BD286" s="3" t="s">
        <v>78</v>
      </c>
      <c r="BE286" s="3" t="s">
        <v>2755</v>
      </c>
      <c r="BF286" s="3" t="s">
        <v>2754</v>
      </c>
      <c r="BG286" s="3" t="s">
        <v>2756</v>
      </c>
      <c r="BH286">
        <f t="shared" si="9"/>
        <v>0</v>
      </c>
    </row>
    <row r="287" spans="1:60" ht="58" x14ac:dyDescent="0.35">
      <c r="A287" s="2" t="s">
        <v>59</v>
      </c>
      <c r="B287" s="2" t="s">
        <v>60</v>
      </c>
      <c r="C287" s="2" t="s">
        <v>2757</v>
      </c>
      <c r="D287" s="2" t="s">
        <v>2758</v>
      </c>
      <c r="E287" s="2" t="s">
        <v>2759</v>
      </c>
      <c r="G287" s="3" t="s">
        <v>64</v>
      </c>
      <c r="I287" s="3" t="s">
        <v>64</v>
      </c>
      <c r="J287" s="3" t="s">
        <v>64</v>
      </c>
      <c r="K287" s="3" t="s">
        <v>65</v>
      </c>
      <c r="L287" s="2" t="s">
        <v>2760</v>
      </c>
      <c r="M287" s="2" t="s">
        <v>2761</v>
      </c>
      <c r="N287" s="3" t="s">
        <v>1250</v>
      </c>
      <c r="P287" s="3" t="s">
        <v>102</v>
      </c>
      <c r="Q287" s="2" t="s">
        <v>2762</v>
      </c>
      <c r="R287" s="3" t="s">
        <v>70</v>
      </c>
      <c r="S287" s="4">
        <v>26</v>
      </c>
      <c r="T287" s="4">
        <v>26</v>
      </c>
      <c r="U287" s="5" t="s">
        <v>2763</v>
      </c>
      <c r="V287" s="5" t="s">
        <v>2763</v>
      </c>
      <c r="W287" s="5" t="s">
        <v>72</v>
      </c>
      <c r="X287" s="5" t="s">
        <v>72</v>
      </c>
      <c r="Y287" s="4">
        <v>224</v>
      </c>
      <c r="Z287" s="4">
        <v>9</v>
      </c>
      <c r="AA287" s="4">
        <v>11</v>
      </c>
      <c r="AB287" s="4">
        <v>1</v>
      </c>
      <c r="AC287" s="4">
        <v>2</v>
      </c>
      <c r="AD287" s="4">
        <v>68</v>
      </c>
      <c r="AE287" s="4">
        <v>69</v>
      </c>
      <c r="AF287" s="4">
        <v>0</v>
      </c>
      <c r="AG287" s="4">
        <v>1</v>
      </c>
      <c r="AH287" s="4">
        <v>65</v>
      </c>
      <c r="AI287" s="4">
        <v>66</v>
      </c>
      <c r="AJ287" s="4">
        <v>7</v>
      </c>
      <c r="AK287" s="4">
        <v>8</v>
      </c>
      <c r="AL287" s="4">
        <v>39</v>
      </c>
      <c r="AM287" s="4">
        <v>39</v>
      </c>
      <c r="AN287" s="4">
        <v>0</v>
      </c>
      <c r="AO287" s="4">
        <v>0</v>
      </c>
      <c r="AP287" s="4">
        <v>7</v>
      </c>
      <c r="AQ287" s="4">
        <v>8</v>
      </c>
      <c r="AR287" s="3" t="s">
        <v>64</v>
      </c>
      <c r="AS287" s="3" t="s">
        <v>64</v>
      </c>
      <c r="AT287" s="3" t="s">
        <v>128</v>
      </c>
      <c r="AU287" s="6" t="str">
        <f>HYPERLINK("http://catalog.hathitrust.org/Record/002995735","HathiTrust Record")</f>
        <v>HathiTrust Record</v>
      </c>
      <c r="AV287" s="6" t="str">
        <f>HYPERLINK("http://mcgill.on.worldcat.org/oclc/29954645","Catalog Record")</f>
        <v>Catalog Record</v>
      </c>
      <c r="AW287" s="6" t="str">
        <f>HYPERLINK("http://www.worldcat.org/oclc/29954645","WorldCat Record")</f>
        <v>WorldCat Record</v>
      </c>
      <c r="AX287" s="3" t="s">
        <v>2764</v>
      </c>
      <c r="AY287" s="3" t="s">
        <v>2765</v>
      </c>
      <c r="AZ287" s="3" t="s">
        <v>2766</v>
      </c>
      <c r="BA287" s="3" t="s">
        <v>2766</v>
      </c>
      <c r="BB287" s="3" t="s">
        <v>2767</v>
      </c>
      <c r="BC287" s="3" t="s">
        <v>77</v>
      </c>
      <c r="BD287" s="3" t="s">
        <v>78</v>
      </c>
      <c r="BE287" s="3" t="s">
        <v>2768</v>
      </c>
      <c r="BF287" s="3" t="s">
        <v>2767</v>
      </c>
      <c r="BG287" s="3" t="s">
        <v>2769</v>
      </c>
      <c r="BH287">
        <f t="shared" si="9"/>
        <v>0</v>
      </c>
    </row>
    <row r="288" spans="1:60" ht="58" x14ac:dyDescent="0.35">
      <c r="A288" s="2" t="s">
        <v>59</v>
      </c>
      <c r="B288" s="2" t="s">
        <v>60</v>
      </c>
      <c r="C288" s="2" t="s">
        <v>2770</v>
      </c>
      <c r="D288" s="2" t="s">
        <v>2771</v>
      </c>
      <c r="E288" s="2" t="s">
        <v>2772</v>
      </c>
      <c r="G288" s="3" t="s">
        <v>64</v>
      </c>
      <c r="I288" s="3" t="s">
        <v>64</v>
      </c>
      <c r="J288" s="3" t="s">
        <v>64</v>
      </c>
      <c r="K288" s="3" t="s">
        <v>65</v>
      </c>
      <c r="L288" s="2" t="s">
        <v>2773</v>
      </c>
      <c r="M288" s="2" t="s">
        <v>2774</v>
      </c>
      <c r="N288" s="3" t="s">
        <v>101</v>
      </c>
      <c r="P288" s="3" t="s">
        <v>102</v>
      </c>
      <c r="Q288" s="2" t="s">
        <v>2775</v>
      </c>
      <c r="R288" s="3" t="s">
        <v>70</v>
      </c>
      <c r="S288" s="4">
        <v>3</v>
      </c>
      <c r="T288" s="4">
        <v>3</v>
      </c>
      <c r="U288" s="5" t="s">
        <v>2776</v>
      </c>
      <c r="V288" s="5" t="s">
        <v>2776</v>
      </c>
      <c r="W288" s="5" t="s">
        <v>72</v>
      </c>
      <c r="X288" s="5" t="s">
        <v>72</v>
      </c>
      <c r="Y288" s="4">
        <v>52</v>
      </c>
      <c r="Z288" s="4">
        <v>4</v>
      </c>
      <c r="AA288" s="4">
        <v>13</v>
      </c>
      <c r="AB288" s="4">
        <v>1</v>
      </c>
      <c r="AC288" s="4">
        <v>2</v>
      </c>
      <c r="AD288" s="4">
        <v>8</v>
      </c>
      <c r="AE288" s="4">
        <v>68</v>
      </c>
      <c r="AF288" s="4">
        <v>0</v>
      </c>
      <c r="AG288" s="4">
        <v>1</v>
      </c>
      <c r="AH288" s="4">
        <v>8</v>
      </c>
      <c r="AI288" s="4">
        <v>64</v>
      </c>
      <c r="AJ288" s="4">
        <v>1</v>
      </c>
      <c r="AK288" s="4">
        <v>9</v>
      </c>
      <c r="AL288" s="4">
        <v>6</v>
      </c>
      <c r="AM288" s="4">
        <v>39</v>
      </c>
      <c r="AN288" s="4">
        <v>0</v>
      </c>
      <c r="AO288" s="4">
        <v>0</v>
      </c>
      <c r="AP288" s="4">
        <v>1</v>
      </c>
      <c r="AQ288" s="4">
        <v>8</v>
      </c>
      <c r="AR288" s="3" t="s">
        <v>64</v>
      </c>
      <c r="AS288" s="3" t="s">
        <v>64</v>
      </c>
      <c r="AT288" s="3" t="s">
        <v>128</v>
      </c>
      <c r="AU288" s="6" t="str">
        <f>HYPERLINK("http://catalog.hathitrust.org/Record/004318382","HathiTrust Record")</f>
        <v>HathiTrust Record</v>
      </c>
      <c r="AV288" s="6" t="str">
        <f>HYPERLINK("http://mcgill.on.worldcat.org/oclc/237789809","Catalog Record")</f>
        <v>Catalog Record</v>
      </c>
      <c r="AW288" s="6" t="str">
        <f>HYPERLINK("http://www.worldcat.org/oclc/237789809","WorldCat Record")</f>
        <v>WorldCat Record</v>
      </c>
      <c r="AX288" s="3" t="s">
        <v>2777</v>
      </c>
      <c r="AY288" s="3" t="s">
        <v>2778</v>
      </c>
      <c r="AZ288" s="3" t="s">
        <v>2779</v>
      </c>
      <c r="BA288" s="3" t="s">
        <v>2779</v>
      </c>
      <c r="BB288" s="3" t="s">
        <v>2780</v>
      </c>
      <c r="BC288" s="3" t="s">
        <v>77</v>
      </c>
      <c r="BD288" s="3" t="s">
        <v>78</v>
      </c>
      <c r="BE288" s="3" t="s">
        <v>2781</v>
      </c>
      <c r="BF288" s="3" t="s">
        <v>2780</v>
      </c>
      <c r="BG288" s="3" t="s">
        <v>2782</v>
      </c>
      <c r="BH288">
        <f t="shared" si="9"/>
        <v>0</v>
      </c>
    </row>
    <row r="289" spans="1:60" ht="58" x14ac:dyDescent="0.35">
      <c r="A289" s="2" t="s">
        <v>59</v>
      </c>
      <c r="B289" s="2" t="s">
        <v>60</v>
      </c>
      <c r="C289" s="2" t="s">
        <v>2785</v>
      </c>
      <c r="D289" s="2" t="s">
        <v>2786</v>
      </c>
      <c r="E289" s="2" t="s">
        <v>2787</v>
      </c>
      <c r="G289" s="3" t="s">
        <v>64</v>
      </c>
      <c r="I289" s="3" t="s">
        <v>128</v>
      </c>
      <c r="J289" s="3" t="s">
        <v>64</v>
      </c>
      <c r="K289" s="3" t="s">
        <v>65</v>
      </c>
      <c r="M289" s="2" t="s">
        <v>2788</v>
      </c>
      <c r="N289" s="3" t="s">
        <v>421</v>
      </c>
      <c r="P289" s="3" t="s">
        <v>102</v>
      </c>
      <c r="R289" s="3" t="s">
        <v>70</v>
      </c>
      <c r="S289" s="4">
        <v>10</v>
      </c>
      <c r="T289" s="4">
        <v>10</v>
      </c>
      <c r="U289" s="5" t="s">
        <v>2789</v>
      </c>
      <c r="V289" s="5" t="s">
        <v>2789</v>
      </c>
      <c r="W289" s="5" t="s">
        <v>72</v>
      </c>
      <c r="X289" s="5" t="s">
        <v>72</v>
      </c>
      <c r="Y289" s="4">
        <v>146</v>
      </c>
      <c r="Z289" s="4">
        <v>9</v>
      </c>
      <c r="AA289" s="4">
        <v>9</v>
      </c>
      <c r="AB289" s="4">
        <v>1</v>
      </c>
      <c r="AC289" s="4">
        <v>1</v>
      </c>
      <c r="AD289" s="4">
        <v>67</v>
      </c>
      <c r="AE289" s="4">
        <v>67</v>
      </c>
      <c r="AF289" s="4">
        <v>0</v>
      </c>
      <c r="AG289" s="4">
        <v>0</v>
      </c>
      <c r="AH289" s="4">
        <v>63</v>
      </c>
      <c r="AI289" s="4">
        <v>63</v>
      </c>
      <c r="AJ289" s="4">
        <v>7</v>
      </c>
      <c r="AK289" s="4">
        <v>7</v>
      </c>
      <c r="AL289" s="4">
        <v>37</v>
      </c>
      <c r="AM289" s="4">
        <v>37</v>
      </c>
      <c r="AN289" s="4">
        <v>0</v>
      </c>
      <c r="AO289" s="4">
        <v>0</v>
      </c>
      <c r="AP289" s="4">
        <v>7</v>
      </c>
      <c r="AQ289" s="4">
        <v>7</v>
      </c>
      <c r="AR289" s="3" t="s">
        <v>64</v>
      </c>
      <c r="AS289" s="3" t="s">
        <v>64</v>
      </c>
      <c r="AT289" s="3" t="s">
        <v>64</v>
      </c>
      <c r="AV289" s="6" t="str">
        <f>HYPERLINK("http://mcgill.on.worldcat.org/oclc/38022869","Catalog Record")</f>
        <v>Catalog Record</v>
      </c>
      <c r="AW289" s="6" t="str">
        <f>HYPERLINK("http://www.worldcat.org/oclc/38022869","WorldCat Record")</f>
        <v>WorldCat Record</v>
      </c>
      <c r="AX289" s="3" t="s">
        <v>2790</v>
      </c>
      <c r="AY289" s="3" t="s">
        <v>2791</v>
      </c>
      <c r="AZ289" s="3" t="s">
        <v>2792</v>
      </c>
      <c r="BA289" s="3" t="s">
        <v>2792</v>
      </c>
      <c r="BB289" s="3" t="s">
        <v>2793</v>
      </c>
      <c r="BC289" s="3" t="s">
        <v>77</v>
      </c>
      <c r="BD289" s="3" t="s">
        <v>78</v>
      </c>
      <c r="BE289" s="3" t="s">
        <v>2794</v>
      </c>
      <c r="BF289" s="3" t="s">
        <v>2793</v>
      </c>
      <c r="BG289" s="3" t="s">
        <v>2795</v>
      </c>
      <c r="BH289">
        <f t="shared" si="9"/>
        <v>0</v>
      </c>
    </row>
    <row r="290" spans="1:60" ht="58" x14ac:dyDescent="0.35">
      <c r="A290" s="2" t="s">
        <v>59</v>
      </c>
      <c r="B290" s="2" t="s">
        <v>60</v>
      </c>
      <c r="C290" s="2" t="s">
        <v>2796</v>
      </c>
      <c r="D290" s="2" t="s">
        <v>2797</v>
      </c>
      <c r="E290" s="2" t="s">
        <v>2798</v>
      </c>
      <c r="G290" s="3" t="s">
        <v>64</v>
      </c>
      <c r="I290" s="3" t="s">
        <v>64</v>
      </c>
      <c r="J290" s="3" t="s">
        <v>64</v>
      </c>
      <c r="K290" s="3" t="s">
        <v>65</v>
      </c>
      <c r="L290" s="2" t="s">
        <v>2799</v>
      </c>
      <c r="M290" s="2" t="s">
        <v>2800</v>
      </c>
      <c r="N290" s="3" t="s">
        <v>86</v>
      </c>
      <c r="P290" s="3" t="s">
        <v>102</v>
      </c>
      <c r="Q290" s="2" t="s">
        <v>2801</v>
      </c>
      <c r="R290" s="3" t="s">
        <v>70</v>
      </c>
      <c r="S290" s="4">
        <v>0</v>
      </c>
      <c r="T290" s="4">
        <v>0</v>
      </c>
      <c r="W290" s="5" t="s">
        <v>72</v>
      </c>
      <c r="X290" s="5" t="s">
        <v>72</v>
      </c>
      <c r="Y290" s="4">
        <v>27</v>
      </c>
      <c r="Z290" s="4">
        <v>4</v>
      </c>
      <c r="AA290" s="4">
        <v>4</v>
      </c>
      <c r="AB290" s="4">
        <v>1</v>
      </c>
      <c r="AC290" s="4">
        <v>1</v>
      </c>
      <c r="AD290" s="4">
        <v>5</v>
      </c>
      <c r="AE290" s="4">
        <v>5</v>
      </c>
      <c r="AF290" s="4">
        <v>0</v>
      </c>
      <c r="AG290" s="4">
        <v>0</v>
      </c>
      <c r="AH290" s="4">
        <v>5</v>
      </c>
      <c r="AI290" s="4">
        <v>5</v>
      </c>
      <c r="AJ290" s="4">
        <v>2</v>
      </c>
      <c r="AK290" s="4">
        <v>2</v>
      </c>
      <c r="AL290" s="4">
        <v>3</v>
      </c>
      <c r="AM290" s="4">
        <v>3</v>
      </c>
      <c r="AN290" s="4">
        <v>0</v>
      </c>
      <c r="AO290" s="4">
        <v>0</v>
      </c>
      <c r="AP290" s="4">
        <v>2</v>
      </c>
      <c r="AQ290" s="4">
        <v>2</v>
      </c>
      <c r="AR290" s="3" t="s">
        <v>64</v>
      </c>
      <c r="AS290" s="3" t="s">
        <v>64</v>
      </c>
      <c r="AT290" s="3" t="s">
        <v>64</v>
      </c>
      <c r="AV290" s="6" t="str">
        <f>HYPERLINK("http://mcgill.on.worldcat.org/oclc/814408112","Catalog Record")</f>
        <v>Catalog Record</v>
      </c>
      <c r="AW290" s="6" t="str">
        <f>HYPERLINK("http://www.worldcat.org/oclc/814408112","WorldCat Record")</f>
        <v>WorldCat Record</v>
      </c>
      <c r="AX290" s="3" t="s">
        <v>2802</v>
      </c>
      <c r="AY290" s="3" t="s">
        <v>2803</v>
      </c>
      <c r="AZ290" s="3" t="s">
        <v>2804</v>
      </c>
      <c r="BA290" s="3" t="s">
        <v>2804</v>
      </c>
      <c r="BB290" s="3" t="s">
        <v>2805</v>
      </c>
      <c r="BC290" s="3" t="s">
        <v>77</v>
      </c>
      <c r="BD290" s="3" t="s">
        <v>78</v>
      </c>
      <c r="BE290" s="3" t="s">
        <v>2806</v>
      </c>
      <c r="BF290" s="3" t="s">
        <v>2805</v>
      </c>
      <c r="BG290" s="3" t="s">
        <v>2807</v>
      </c>
      <c r="BH290">
        <f t="shared" si="9"/>
        <v>0</v>
      </c>
    </row>
    <row r="291" spans="1:60" ht="72.5" x14ac:dyDescent="0.35">
      <c r="A291" s="2" t="s">
        <v>59</v>
      </c>
      <c r="B291" s="2" t="s">
        <v>60</v>
      </c>
      <c r="C291" s="2" t="s">
        <v>2808</v>
      </c>
      <c r="D291" s="2" t="s">
        <v>2809</v>
      </c>
      <c r="E291" s="2" t="s">
        <v>2810</v>
      </c>
      <c r="G291" s="3" t="s">
        <v>64</v>
      </c>
      <c r="I291" s="3" t="s">
        <v>64</v>
      </c>
      <c r="J291" s="3" t="s">
        <v>64</v>
      </c>
      <c r="K291" s="3" t="s">
        <v>65</v>
      </c>
      <c r="L291" s="2" t="s">
        <v>2811</v>
      </c>
      <c r="M291" s="2" t="s">
        <v>2812</v>
      </c>
      <c r="N291" s="3" t="s">
        <v>67</v>
      </c>
      <c r="P291" s="3" t="s">
        <v>102</v>
      </c>
      <c r="Q291" s="2" t="s">
        <v>2813</v>
      </c>
      <c r="R291" s="3" t="s">
        <v>70</v>
      </c>
      <c r="S291" s="4">
        <v>0</v>
      </c>
      <c r="T291" s="4">
        <v>0</v>
      </c>
      <c r="W291" s="5" t="s">
        <v>72</v>
      </c>
      <c r="X291" s="5" t="s">
        <v>72</v>
      </c>
      <c r="Y291" s="4">
        <v>34</v>
      </c>
      <c r="Z291" s="4">
        <v>5</v>
      </c>
      <c r="AA291" s="4">
        <v>7</v>
      </c>
      <c r="AB291" s="4">
        <v>1</v>
      </c>
      <c r="AC291" s="4">
        <v>1</v>
      </c>
      <c r="AD291" s="4">
        <v>9</v>
      </c>
      <c r="AE291" s="4">
        <v>13</v>
      </c>
      <c r="AF291" s="4">
        <v>0</v>
      </c>
      <c r="AG291" s="4">
        <v>0</v>
      </c>
      <c r="AH291" s="4">
        <v>8</v>
      </c>
      <c r="AI291" s="4">
        <v>10</v>
      </c>
      <c r="AJ291" s="4">
        <v>3</v>
      </c>
      <c r="AK291" s="4">
        <v>4</v>
      </c>
      <c r="AL291" s="4">
        <v>6</v>
      </c>
      <c r="AM291" s="4">
        <v>9</v>
      </c>
      <c r="AN291" s="4">
        <v>0</v>
      </c>
      <c r="AO291" s="4">
        <v>0</v>
      </c>
      <c r="AP291" s="4">
        <v>3</v>
      </c>
      <c r="AQ291" s="4">
        <v>4</v>
      </c>
      <c r="AR291" s="3" t="s">
        <v>64</v>
      </c>
      <c r="AS291" s="3" t="s">
        <v>64</v>
      </c>
      <c r="AT291" s="3" t="s">
        <v>64</v>
      </c>
      <c r="AV291" s="6" t="str">
        <f>HYPERLINK("http://mcgill.on.worldcat.org/oclc/878493689","Catalog Record")</f>
        <v>Catalog Record</v>
      </c>
      <c r="AW291" s="6" t="str">
        <f>HYPERLINK("http://www.worldcat.org/oclc/878493689","WorldCat Record")</f>
        <v>WorldCat Record</v>
      </c>
      <c r="AX291" s="3" t="s">
        <v>2814</v>
      </c>
      <c r="AY291" s="3" t="s">
        <v>2815</v>
      </c>
      <c r="AZ291" s="3" t="s">
        <v>2816</v>
      </c>
      <c r="BA291" s="3" t="s">
        <v>2816</v>
      </c>
      <c r="BB291" s="3" t="s">
        <v>2817</v>
      </c>
      <c r="BC291" s="3" t="s">
        <v>77</v>
      </c>
      <c r="BD291" s="3" t="s">
        <v>78</v>
      </c>
      <c r="BE291" s="3" t="s">
        <v>2818</v>
      </c>
      <c r="BF291" s="3" t="s">
        <v>2817</v>
      </c>
      <c r="BG291" s="3" t="s">
        <v>2819</v>
      </c>
      <c r="BH291">
        <f t="shared" si="9"/>
        <v>0</v>
      </c>
    </row>
    <row r="292" spans="1:60" ht="58" x14ac:dyDescent="0.35">
      <c r="A292" s="2" t="s">
        <v>59</v>
      </c>
      <c r="B292" s="2" t="s">
        <v>60</v>
      </c>
      <c r="C292" s="2" t="s">
        <v>2820</v>
      </c>
      <c r="D292" s="2" t="s">
        <v>2821</v>
      </c>
      <c r="E292" s="2" t="s">
        <v>2822</v>
      </c>
      <c r="G292" s="3" t="s">
        <v>64</v>
      </c>
      <c r="I292" s="3" t="s">
        <v>64</v>
      </c>
      <c r="J292" s="3" t="s">
        <v>64</v>
      </c>
      <c r="K292" s="3" t="s">
        <v>65</v>
      </c>
      <c r="L292" s="2" t="s">
        <v>2823</v>
      </c>
      <c r="M292" s="2" t="s">
        <v>2824</v>
      </c>
      <c r="N292" s="3" t="s">
        <v>537</v>
      </c>
      <c r="P292" s="3" t="s">
        <v>102</v>
      </c>
      <c r="Q292" s="2" t="s">
        <v>2813</v>
      </c>
      <c r="R292" s="3" t="s">
        <v>70</v>
      </c>
      <c r="S292" s="4">
        <v>0</v>
      </c>
      <c r="T292" s="4">
        <v>0</v>
      </c>
      <c r="W292" s="5" t="s">
        <v>72</v>
      </c>
      <c r="X292" s="5" t="s">
        <v>72</v>
      </c>
      <c r="Y292" s="4">
        <v>24</v>
      </c>
      <c r="Z292" s="4">
        <v>2</v>
      </c>
      <c r="AA292" s="4">
        <v>2</v>
      </c>
      <c r="AB292" s="4">
        <v>1</v>
      </c>
      <c r="AC292" s="4">
        <v>1</v>
      </c>
      <c r="AD292" s="4">
        <v>8</v>
      </c>
      <c r="AE292" s="4">
        <v>8</v>
      </c>
      <c r="AF292" s="4">
        <v>0</v>
      </c>
      <c r="AG292" s="4">
        <v>0</v>
      </c>
      <c r="AH292" s="4">
        <v>7</v>
      </c>
      <c r="AI292" s="4">
        <v>7</v>
      </c>
      <c r="AJ292" s="4">
        <v>1</v>
      </c>
      <c r="AK292" s="4">
        <v>1</v>
      </c>
      <c r="AL292" s="4">
        <v>6</v>
      </c>
      <c r="AM292" s="4">
        <v>6</v>
      </c>
      <c r="AN292" s="4">
        <v>0</v>
      </c>
      <c r="AO292" s="4">
        <v>0</v>
      </c>
      <c r="AP292" s="4">
        <v>1</v>
      </c>
      <c r="AQ292" s="4">
        <v>1</v>
      </c>
      <c r="AR292" s="3" t="s">
        <v>64</v>
      </c>
      <c r="AS292" s="3" t="s">
        <v>64</v>
      </c>
      <c r="AT292" s="3" t="s">
        <v>64</v>
      </c>
      <c r="AV292" s="6" t="str">
        <f>HYPERLINK("http://mcgill.on.worldcat.org/oclc/951735130","Catalog Record")</f>
        <v>Catalog Record</v>
      </c>
      <c r="AW292" s="6" t="str">
        <f>HYPERLINK("http://www.worldcat.org/oclc/951735130","WorldCat Record")</f>
        <v>WorldCat Record</v>
      </c>
      <c r="AX292" s="3" t="s">
        <v>2825</v>
      </c>
      <c r="AY292" s="3" t="s">
        <v>2826</v>
      </c>
      <c r="AZ292" s="3" t="s">
        <v>2827</v>
      </c>
      <c r="BA292" s="3" t="s">
        <v>2827</v>
      </c>
      <c r="BB292" s="3" t="s">
        <v>2828</v>
      </c>
      <c r="BC292" s="3" t="s">
        <v>77</v>
      </c>
      <c r="BD292" s="3" t="s">
        <v>78</v>
      </c>
      <c r="BE292" s="3" t="s">
        <v>2829</v>
      </c>
      <c r="BF292" s="3" t="s">
        <v>2828</v>
      </c>
      <c r="BG292" s="3" t="s">
        <v>2830</v>
      </c>
      <c r="BH292">
        <f t="shared" si="9"/>
        <v>0</v>
      </c>
    </row>
    <row r="293" spans="1:60" ht="58" x14ac:dyDescent="0.35">
      <c r="A293" s="2" t="s">
        <v>59</v>
      </c>
      <c r="B293" s="2" t="s">
        <v>60</v>
      </c>
      <c r="C293" s="2" t="s">
        <v>2831</v>
      </c>
      <c r="D293" s="2" t="s">
        <v>2832</v>
      </c>
      <c r="E293" s="2" t="s">
        <v>2833</v>
      </c>
      <c r="G293" s="3" t="s">
        <v>64</v>
      </c>
      <c r="I293" s="3" t="s">
        <v>64</v>
      </c>
      <c r="J293" s="3" t="s">
        <v>128</v>
      </c>
      <c r="K293" s="3" t="s">
        <v>65</v>
      </c>
      <c r="L293" s="2" t="s">
        <v>2834</v>
      </c>
      <c r="M293" s="2" t="s">
        <v>2835</v>
      </c>
      <c r="N293" s="3" t="s">
        <v>511</v>
      </c>
      <c r="O293" s="2" t="s">
        <v>172</v>
      </c>
      <c r="P293" s="3" t="s">
        <v>102</v>
      </c>
      <c r="Q293" s="2" t="s">
        <v>2836</v>
      </c>
      <c r="R293" s="3" t="s">
        <v>70</v>
      </c>
      <c r="S293" s="4">
        <v>16</v>
      </c>
      <c r="T293" s="4">
        <v>16</v>
      </c>
      <c r="U293" s="5" t="s">
        <v>2837</v>
      </c>
      <c r="V293" s="5" t="s">
        <v>2837</v>
      </c>
      <c r="W293" s="5" t="s">
        <v>72</v>
      </c>
      <c r="X293" s="5" t="s">
        <v>72</v>
      </c>
      <c r="Y293" s="4">
        <v>450</v>
      </c>
      <c r="Z293" s="4">
        <v>23</v>
      </c>
      <c r="AA293" s="4">
        <v>47</v>
      </c>
      <c r="AB293" s="4">
        <v>2</v>
      </c>
      <c r="AC293" s="4">
        <v>7</v>
      </c>
      <c r="AD293" s="4">
        <v>76</v>
      </c>
      <c r="AE293" s="4">
        <v>125</v>
      </c>
      <c r="AF293" s="4">
        <v>0</v>
      </c>
      <c r="AG293" s="4">
        <v>3</v>
      </c>
      <c r="AH293" s="4">
        <v>70</v>
      </c>
      <c r="AI293" s="4">
        <v>103</v>
      </c>
      <c r="AJ293" s="4">
        <v>9</v>
      </c>
      <c r="AK293" s="4">
        <v>18</v>
      </c>
      <c r="AL293" s="4">
        <v>37</v>
      </c>
      <c r="AM293" s="4">
        <v>52</v>
      </c>
      <c r="AN293" s="4">
        <v>0</v>
      </c>
      <c r="AO293" s="4">
        <v>0</v>
      </c>
      <c r="AP293" s="4">
        <v>12</v>
      </c>
      <c r="AQ293" s="4">
        <v>26</v>
      </c>
      <c r="AR293" s="3" t="s">
        <v>64</v>
      </c>
      <c r="AS293" s="3" t="s">
        <v>64</v>
      </c>
      <c r="AT293" s="3" t="s">
        <v>64</v>
      </c>
      <c r="AV293" s="6" t="str">
        <f>HYPERLINK("http://mcgill.on.worldcat.org/oclc/496595620","Catalog Record")</f>
        <v>Catalog Record</v>
      </c>
      <c r="AW293" s="6" t="str">
        <f>HYPERLINK("http://www.worldcat.org/oclc/496595620","WorldCat Record")</f>
        <v>WorldCat Record</v>
      </c>
      <c r="AX293" s="3" t="s">
        <v>2838</v>
      </c>
      <c r="AY293" s="3" t="s">
        <v>2839</v>
      </c>
      <c r="AZ293" s="3" t="s">
        <v>2840</v>
      </c>
      <c r="BA293" s="3" t="s">
        <v>2840</v>
      </c>
      <c r="BB293" s="3" t="s">
        <v>2841</v>
      </c>
      <c r="BC293" s="3" t="s">
        <v>77</v>
      </c>
      <c r="BD293" s="3" t="s">
        <v>78</v>
      </c>
      <c r="BE293" s="3" t="s">
        <v>2842</v>
      </c>
      <c r="BF293" s="3" t="s">
        <v>2841</v>
      </c>
      <c r="BG293" s="3" t="s">
        <v>2843</v>
      </c>
      <c r="BH293">
        <f t="shared" si="9"/>
        <v>0</v>
      </c>
    </row>
    <row r="294" spans="1:60" ht="72.5" x14ac:dyDescent="0.35">
      <c r="A294" s="2" t="s">
        <v>59</v>
      </c>
      <c r="B294" s="2" t="s">
        <v>60</v>
      </c>
      <c r="C294" s="2" t="s">
        <v>2844</v>
      </c>
      <c r="D294" s="2" t="s">
        <v>2845</v>
      </c>
      <c r="E294" s="2" t="s">
        <v>2846</v>
      </c>
      <c r="G294" s="3" t="s">
        <v>64</v>
      </c>
      <c r="I294" s="3" t="s">
        <v>64</v>
      </c>
      <c r="J294" s="3" t="s">
        <v>64</v>
      </c>
      <c r="K294" s="3" t="s">
        <v>65</v>
      </c>
      <c r="L294" s="2" t="s">
        <v>2847</v>
      </c>
      <c r="M294" s="2" t="s">
        <v>2848</v>
      </c>
      <c r="N294" s="3" t="s">
        <v>190</v>
      </c>
      <c r="O294" s="2" t="s">
        <v>2849</v>
      </c>
      <c r="P294" s="3" t="s">
        <v>102</v>
      </c>
      <c r="R294" s="3" t="s">
        <v>70</v>
      </c>
      <c r="S294" s="4">
        <v>0</v>
      </c>
      <c r="T294" s="4">
        <v>0</v>
      </c>
      <c r="W294" s="5" t="s">
        <v>72</v>
      </c>
      <c r="X294" s="5" t="s">
        <v>72</v>
      </c>
      <c r="Y294" s="4">
        <v>247</v>
      </c>
      <c r="Z294" s="4">
        <v>4</v>
      </c>
      <c r="AA294" s="4">
        <v>6</v>
      </c>
      <c r="AB294" s="4">
        <v>1</v>
      </c>
      <c r="AC294" s="4">
        <v>2</v>
      </c>
      <c r="AD294" s="4">
        <v>34</v>
      </c>
      <c r="AE294" s="4">
        <v>34</v>
      </c>
      <c r="AF294" s="4">
        <v>0</v>
      </c>
      <c r="AG294" s="4">
        <v>0</v>
      </c>
      <c r="AH294" s="4">
        <v>32</v>
      </c>
      <c r="AI294" s="4">
        <v>32</v>
      </c>
      <c r="AJ294" s="4">
        <v>2</v>
      </c>
      <c r="AK294" s="4">
        <v>2</v>
      </c>
      <c r="AL294" s="4">
        <v>21</v>
      </c>
      <c r="AM294" s="4">
        <v>21</v>
      </c>
      <c r="AN294" s="4">
        <v>0</v>
      </c>
      <c r="AO294" s="4">
        <v>0</v>
      </c>
      <c r="AP294" s="4">
        <v>2</v>
      </c>
      <c r="AQ294" s="4">
        <v>2</v>
      </c>
      <c r="AR294" s="3" t="s">
        <v>64</v>
      </c>
      <c r="AS294" s="3" t="s">
        <v>64</v>
      </c>
      <c r="AT294" s="3" t="s">
        <v>64</v>
      </c>
      <c r="AV294" s="6" t="str">
        <f>HYPERLINK("http://mcgill.on.worldcat.org/oclc/1023547500","Catalog Record")</f>
        <v>Catalog Record</v>
      </c>
      <c r="AW294" s="6" t="str">
        <f>HYPERLINK("http://www.worldcat.org/oclc/1023547500","WorldCat Record")</f>
        <v>WorldCat Record</v>
      </c>
      <c r="AX294" s="3" t="s">
        <v>2850</v>
      </c>
      <c r="AY294" s="3" t="s">
        <v>2851</v>
      </c>
      <c r="AZ294" s="3" t="s">
        <v>2852</v>
      </c>
      <c r="BA294" s="3" t="s">
        <v>2852</v>
      </c>
      <c r="BB294" s="3" t="s">
        <v>2853</v>
      </c>
      <c r="BC294" s="3" t="s">
        <v>77</v>
      </c>
      <c r="BD294" s="3" t="s">
        <v>78</v>
      </c>
      <c r="BE294" s="3" t="s">
        <v>2854</v>
      </c>
      <c r="BF294" s="3" t="s">
        <v>2853</v>
      </c>
      <c r="BG294" s="3" t="s">
        <v>2855</v>
      </c>
      <c r="BH294">
        <f t="shared" si="9"/>
        <v>0</v>
      </c>
    </row>
    <row r="295" spans="1:60" ht="58" x14ac:dyDescent="0.35">
      <c r="A295" s="2" t="s">
        <v>59</v>
      </c>
      <c r="B295" s="2" t="s">
        <v>60</v>
      </c>
      <c r="C295" s="2" t="s">
        <v>2856</v>
      </c>
      <c r="D295" s="2" t="s">
        <v>2857</v>
      </c>
      <c r="E295" s="2" t="s">
        <v>2858</v>
      </c>
      <c r="G295" s="3" t="s">
        <v>64</v>
      </c>
      <c r="I295" s="3" t="s">
        <v>64</v>
      </c>
      <c r="J295" s="3" t="s">
        <v>64</v>
      </c>
      <c r="K295" s="3" t="s">
        <v>65</v>
      </c>
      <c r="M295" s="2" t="s">
        <v>2859</v>
      </c>
      <c r="N295" s="3" t="s">
        <v>551</v>
      </c>
      <c r="P295" s="3" t="s">
        <v>102</v>
      </c>
      <c r="Q295" s="2" t="s">
        <v>2860</v>
      </c>
      <c r="R295" s="3" t="s">
        <v>70</v>
      </c>
      <c r="S295" s="4">
        <v>12</v>
      </c>
      <c r="T295" s="4">
        <v>12</v>
      </c>
      <c r="U295" s="5" t="s">
        <v>2861</v>
      </c>
      <c r="V295" s="5" t="s">
        <v>2861</v>
      </c>
      <c r="W295" s="5" t="s">
        <v>72</v>
      </c>
      <c r="X295" s="5" t="s">
        <v>72</v>
      </c>
      <c r="Y295" s="4">
        <v>342</v>
      </c>
      <c r="Z295" s="4">
        <v>23</v>
      </c>
      <c r="AA295" s="4">
        <v>31</v>
      </c>
      <c r="AB295" s="4">
        <v>3</v>
      </c>
      <c r="AC295" s="4">
        <v>6</v>
      </c>
      <c r="AD295" s="4">
        <v>80</v>
      </c>
      <c r="AE295" s="4">
        <v>91</v>
      </c>
      <c r="AF295" s="4">
        <v>0</v>
      </c>
      <c r="AG295" s="4">
        <v>2</v>
      </c>
      <c r="AH295" s="4">
        <v>73</v>
      </c>
      <c r="AI295" s="4">
        <v>81</v>
      </c>
      <c r="AJ295" s="4">
        <v>11</v>
      </c>
      <c r="AK295" s="4">
        <v>17</v>
      </c>
      <c r="AL295" s="4">
        <v>46</v>
      </c>
      <c r="AM295" s="4">
        <v>50</v>
      </c>
      <c r="AN295" s="4">
        <v>0</v>
      </c>
      <c r="AO295" s="4">
        <v>0</v>
      </c>
      <c r="AP295" s="4">
        <v>14</v>
      </c>
      <c r="AQ295" s="4">
        <v>19</v>
      </c>
      <c r="AR295" s="3" t="s">
        <v>64</v>
      </c>
      <c r="AS295" s="3" t="s">
        <v>64</v>
      </c>
      <c r="AT295" s="3" t="s">
        <v>64</v>
      </c>
      <c r="AV295" s="6" t="str">
        <f>HYPERLINK("http://mcgill.on.worldcat.org/oclc/236082531","Catalog Record")</f>
        <v>Catalog Record</v>
      </c>
      <c r="AW295" s="6" t="str">
        <f>HYPERLINK("http://www.worldcat.org/oclc/236082531","WorldCat Record")</f>
        <v>WorldCat Record</v>
      </c>
      <c r="AX295" s="3" t="s">
        <v>2862</v>
      </c>
      <c r="AY295" s="3" t="s">
        <v>2863</v>
      </c>
      <c r="AZ295" s="3" t="s">
        <v>2864</v>
      </c>
      <c r="BA295" s="3" t="s">
        <v>2864</v>
      </c>
      <c r="BB295" s="3" t="s">
        <v>2865</v>
      </c>
      <c r="BC295" s="3" t="s">
        <v>77</v>
      </c>
      <c r="BD295" s="3" t="s">
        <v>78</v>
      </c>
      <c r="BE295" s="3" t="s">
        <v>2866</v>
      </c>
      <c r="BF295" s="3" t="s">
        <v>2865</v>
      </c>
      <c r="BG295" s="3" t="s">
        <v>2867</v>
      </c>
      <c r="BH295">
        <f t="shared" si="9"/>
        <v>0</v>
      </c>
    </row>
    <row r="296" spans="1:60" ht="58" x14ac:dyDescent="0.35">
      <c r="A296" s="2" t="s">
        <v>59</v>
      </c>
      <c r="B296" s="2" t="s">
        <v>60</v>
      </c>
      <c r="C296" s="2" t="s">
        <v>2868</v>
      </c>
      <c r="D296" s="2" t="s">
        <v>2869</v>
      </c>
      <c r="E296" s="2" t="s">
        <v>2870</v>
      </c>
      <c r="G296" s="3" t="s">
        <v>64</v>
      </c>
      <c r="I296" s="3" t="s">
        <v>64</v>
      </c>
      <c r="J296" s="3" t="s">
        <v>64</v>
      </c>
      <c r="K296" s="3" t="s">
        <v>65</v>
      </c>
      <c r="L296" s="2" t="s">
        <v>2871</v>
      </c>
      <c r="M296" s="2" t="s">
        <v>2872</v>
      </c>
      <c r="N296" s="3" t="s">
        <v>511</v>
      </c>
      <c r="P296" s="3" t="s">
        <v>102</v>
      </c>
      <c r="Q296" s="2" t="s">
        <v>2873</v>
      </c>
      <c r="R296" s="3" t="s">
        <v>70</v>
      </c>
      <c r="S296" s="4">
        <v>2</v>
      </c>
      <c r="T296" s="4">
        <v>2</v>
      </c>
      <c r="U296" s="5" t="s">
        <v>2874</v>
      </c>
      <c r="V296" s="5" t="s">
        <v>2874</v>
      </c>
      <c r="W296" s="5" t="s">
        <v>72</v>
      </c>
      <c r="X296" s="5" t="s">
        <v>72</v>
      </c>
      <c r="Y296" s="4">
        <v>106</v>
      </c>
      <c r="Z296" s="4">
        <v>9</v>
      </c>
      <c r="AA296" s="4">
        <v>9</v>
      </c>
      <c r="AB296" s="4">
        <v>1</v>
      </c>
      <c r="AC296" s="4">
        <v>1</v>
      </c>
      <c r="AD296" s="4">
        <v>52</v>
      </c>
      <c r="AE296" s="4">
        <v>52</v>
      </c>
      <c r="AF296" s="4">
        <v>0</v>
      </c>
      <c r="AG296" s="4">
        <v>0</v>
      </c>
      <c r="AH296" s="4">
        <v>48</v>
      </c>
      <c r="AI296" s="4">
        <v>48</v>
      </c>
      <c r="AJ296" s="4">
        <v>7</v>
      </c>
      <c r="AK296" s="4">
        <v>7</v>
      </c>
      <c r="AL296" s="4">
        <v>35</v>
      </c>
      <c r="AM296" s="4">
        <v>35</v>
      </c>
      <c r="AN296" s="4">
        <v>0</v>
      </c>
      <c r="AO296" s="4">
        <v>0</v>
      </c>
      <c r="AP296" s="4">
        <v>7</v>
      </c>
      <c r="AQ296" s="4">
        <v>7</v>
      </c>
      <c r="AR296" s="3" t="s">
        <v>64</v>
      </c>
      <c r="AS296" s="3" t="s">
        <v>64</v>
      </c>
      <c r="AT296" s="3" t="s">
        <v>64</v>
      </c>
      <c r="AV296" s="6" t="str">
        <f>HYPERLINK("http://mcgill.on.worldcat.org/oclc/310395115","Catalog Record")</f>
        <v>Catalog Record</v>
      </c>
      <c r="AW296" s="6" t="str">
        <f>HYPERLINK("http://www.worldcat.org/oclc/310395115","WorldCat Record")</f>
        <v>WorldCat Record</v>
      </c>
      <c r="AX296" s="3" t="s">
        <v>2875</v>
      </c>
      <c r="AY296" s="3" t="s">
        <v>2876</v>
      </c>
      <c r="AZ296" s="3" t="s">
        <v>2877</v>
      </c>
      <c r="BA296" s="3" t="s">
        <v>2877</v>
      </c>
      <c r="BB296" s="3" t="s">
        <v>2878</v>
      </c>
      <c r="BC296" s="3" t="s">
        <v>77</v>
      </c>
      <c r="BD296" s="3" t="s">
        <v>78</v>
      </c>
      <c r="BE296" s="3" t="s">
        <v>2879</v>
      </c>
      <c r="BF296" s="3" t="s">
        <v>2878</v>
      </c>
      <c r="BG296" s="3" t="s">
        <v>2880</v>
      </c>
      <c r="BH296">
        <f t="shared" si="9"/>
        <v>0</v>
      </c>
    </row>
    <row r="297" spans="1:60" ht="58" x14ac:dyDescent="0.35">
      <c r="A297" s="2" t="s">
        <v>59</v>
      </c>
      <c r="B297" s="2" t="s">
        <v>60</v>
      </c>
      <c r="C297" s="2" t="s">
        <v>2881</v>
      </c>
      <c r="D297" s="2" t="s">
        <v>2882</v>
      </c>
      <c r="E297" s="2" t="s">
        <v>2883</v>
      </c>
      <c r="G297" s="3" t="s">
        <v>64</v>
      </c>
      <c r="I297" s="3" t="s">
        <v>64</v>
      </c>
      <c r="J297" s="3" t="s">
        <v>64</v>
      </c>
      <c r="K297" s="3" t="s">
        <v>65</v>
      </c>
      <c r="L297" s="2" t="s">
        <v>2884</v>
      </c>
      <c r="M297" s="2" t="s">
        <v>2885</v>
      </c>
      <c r="N297" s="3" t="s">
        <v>537</v>
      </c>
      <c r="P297" s="3" t="s">
        <v>102</v>
      </c>
      <c r="Q297" s="2" t="s">
        <v>2886</v>
      </c>
      <c r="R297" s="3" t="s">
        <v>70</v>
      </c>
      <c r="S297" s="4">
        <v>0</v>
      </c>
      <c r="T297" s="4">
        <v>0</v>
      </c>
      <c r="W297" s="5" t="s">
        <v>72</v>
      </c>
      <c r="X297" s="5" t="s">
        <v>72</v>
      </c>
      <c r="Y297" s="4">
        <v>80</v>
      </c>
      <c r="Z297" s="4">
        <v>4</v>
      </c>
      <c r="AA297" s="4">
        <v>9</v>
      </c>
      <c r="AB297" s="4">
        <v>1</v>
      </c>
      <c r="AC297" s="4">
        <v>3</v>
      </c>
      <c r="AD297" s="4">
        <v>18</v>
      </c>
      <c r="AE297" s="4">
        <v>27</v>
      </c>
      <c r="AF297" s="4">
        <v>0</v>
      </c>
      <c r="AG297" s="4">
        <v>0</v>
      </c>
      <c r="AH297" s="4">
        <v>18</v>
      </c>
      <c r="AI297" s="4">
        <v>26</v>
      </c>
      <c r="AJ297" s="4">
        <v>1</v>
      </c>
      <c r="AK297" s="4">
        <v>3</v>
      </c>
      <c r="AL297" s="4">
        <v>11</v>
      </c>
      <c r="AM297" s="4">
        <v>19</v>
      </c>
      <c r="AN297" s="4">
        <v>0</v>
      </c>
      <c r="AO297" s="4">
        <v>0</v>
      </c>
      <c r="AP297" s="4">
        <v>1</v>
      </c>
      <c r="AQ297" s="4">
        <v>3</v>
      </c>
      <c r="AR297" s="3" t="s">
        <v>64</v>
      </c>
      <c r="AS297" s="3" t="s">
        <v>64</v>
      </c>
      <c r="AT297" s="3" t="s">
        <v>64</v>
      </c>
      <c r="AV297" s="6" t="str">
        <f>HYPERLINK("http://mcgill.on.worldcat.org/oclc/956637596","Catalog Record")</f>
        <v>Catalog Record</v>
      </c>
      <c r="AW297" s="6" t="str">
        <f>HYPERLINK("http://www.worldcat.org/oclc/956637596","WorldCat Record")</f>
        <v>WorldCat Record</v>
      </c>
      <c r="AX297" s="3" t="s">
        <v>2887</v>
      </c>
      <c r="AY297" s="3" t="s">
        <v>2888</v>
      </c>
      <c r="AZ297" s="3" t="s">
        <v>2889</v>
      </c>
      <c r="BA297" s="3" t="s">
        <v>2889</v>
      </c>
      <c r="BB297" s="3" t="s">
        <v>2890</v>
      </c>
      <c r="BC297" s="3" t="s">
        <v>2891</v>
      </c>
      <c r="BD297" s="3" t="s">
        <v>78</v>
      </c>
      <c r="BE297" s="3" t="s">
        <v>2892</v>
      </c>
      <c r="BF297" s="3" t="s">
        <v>2890</v>
      </c>
      <c r="BG297" s="3" t="s">
        <v>2893</v>
      </c>
      <c r="BH297">
        <f t="shared" si="9"/>
        <v>0</v>
      </c>
    </row>
    <row r="298" spans="1:60" ht="159.5" x14ac:dyDescent="0.35">
      <c r="A298" s="2" t="s">
        <v>59</v>
      </c>
      <c r="B298" s="2" t="s">
        <v>60</v>
      </c>
      <c r="C298" s="2" t="s">
        <v>2894</v>
      </c>
      <c r="D298" s="2" t="s">
        <v>2895</v>
      </c>
      <c r="E298" s="2" t="s">
        <v>2896</v>
      </c>
      <c r="G298" s="3" t="s">
        <v>64</v>
      </c>
      <c r="I298" s="3" t="s">
        <v>128</v>
      </c>
      <c r="J298" s="3" t="s">
        <v>64</v>
      </c>
      <c r="K298" s="3" t="s">
        <v>65</v>
      </c>
      <c r="L298" s="2" t="s">
        <v>2897</v>
      </c>
      <c r="M298" s="2" t="s">
        <v>2898</v>
      </c>
      <c r="N298" s="3" t="s">
        <v>2899</v>
      </c>
      <c r="P298" s="3" t="s">
        <v>365</v>
      </c>
      <c r="Q298" s="2" t="s">
        <v>2900</v>
      </c>
      <c r="R298" s="3" t="s">
        <v>70</v>
      </c>
      <c r="S298" s="4">
        <v>4</v>
      </c>
      <c r="T298" s="4">
        <v>4</v>
      </c>
      <c r="U298" s="5" t="s">
        <v>911</v>
      </c>
      <c r="V298" s="5" t="s">
        <v>911</v>
      </c>
      <c r="W298" s="5" t="s">
        <v>72</v>
      </c>
      <c r="X298" s="5" t="s">
        <v>72</v>
      </c>
      <c r="Y298" s="4">
        <v>55</v>
      </c>
      <c r="Z298" s="4">
        <v>2</v>
      </c>
      <c r="AA298" s="4">
        <v>2</v>
      </c>
      <c r="AB298" s="4">
        <v>1</v>
      </c>
      <c r="AC298" s="4">
        <v>1</v>
      </c>
      <c r="AD298" s="4">
        <v>23</v>
      </c>
      <c r="AE298" s="4">
        <v>25</v>
      </c>
      <c r="AF298" s="4">
        <v>0</v>
      </c>
      <c r="AG298" s="4">
        <v>0</v>
      </c>
      <c r="AH298" s="4">
        <v>21</v>
      </c>
      <c r="AI298" s="4">
        <v>23</v>
      </c>
      <c r="AJ298" s="4">
        <v>1</v>
      </c>
      <c r="AK298" s="4">
        <v>1</v>
      </c>
      <c r="AL298" s="4">
        <v>16</v>
      </c>
      <c r="AM298" s="4">
        <v>16</v>
      </c>
      <c r="AN298" s="4">
        <v>0</v>
      </c>
      <c r="AO298" s="4">
        <v>0</v>
      </c>
      <c r="AP298" s="4">
        <v>1</v>
      </c>
      <c r="AQ298" s="4">
        <v>1</v>
      </c>
      <c r="AR298" s="3" t="s">
        <v>64</v>
      </c>
      <c r="AS298" s="3" t="s">
        <v>128</v>
      </c>
      <c r="AT298" s="3" t="s">
        <v>64</v>
      </c>
      <c r="AU298" s="6" t="str">
        <f>HYPERLINK("http://catalog.hathitrust.org/Record/001159378","HathiTrust Record")</f>
        <v>HathiTrust Record</v>
      </c>
      <c r="AV298" s="6" t="str">
        <f>HYPERLINK("http://mcgill.on.worldcat.org/oclc/3971424","Catalog Record")</f>
        <v>Catalog Record</v>
      </c>
      <c r="AW298" s="6" t="str">
        <f>HYPERLINK("http://www.worldcat.org/oclc/3971424","WorldCat Record")</f>
        <v>WorldCat Record</v>
      </c>
      <c r="AX298" s="3" t="s">
        <v>2901</v>
      </c>
      <c r="AY298" s="3" t="s">
        <v>2902</v>
      </c>
      <c r="AZ298" s="3" t="s">
        <v>2903</v>
      </c>
      <c r="BA298" s="3" t="s">
        <v>2903</v>
      </c>
      <c r="BB298" s="3" t="s">
        <v>2904</v>
      </c>
      <c r="BC298" s="3" t="s">
        <v>77</v>
      </c>
      <c r="BD298" s="3" t="s">
        <v>78</v>
      </c>
      <c r="BF298" s="3" t="s">
        <v>2904</v>
      </c>
      <c r="BG298" s="3" t="s">
        <v>2905</v>
      </c>
      <c r="BH298">
        <f t="shared" si="9"/>
        <v>0</v>
      </c>
    </row>
    <row r="299" spans="1:60" ht="130.5" x14ac:dyDescent="0.35">
      <c r="A299" s="2" t="s">
        <v>59</v>
      </c>
      <c r="B299" s="2" t="s">
        <v>60</v>
      </c>
      <c r="C299" s="2" t="s">
        <v>2906</v>
      </c>
      <c r="D299" s="2" t="s">
        <v>2907</v>
      </c>
      <c r="E299" s="2" t="s">
        <v>2908</v>
      </c>
      <c r="G299" s="3" t="s">
        <v>64</v>
      </c>
      <c r="I299" s="3" t="s">
        <v>64</v>
      </c>
      <c r="J299" s="3" t="s">
        <v>64</v>
      </c>
      <c r="K299" s="3" t="s">
        <v>65</v>
      </c>
      <c r="L299" s="2" t="s">
        <v>2897</v>
      </c>
      <c r="M299" s="2" t="s">
        <v>2909</v>
      </c>
      <c r="N299" s="3" t="s">
        <v>326</v>
      </c>
      <c r="O299" s="2" t="s">
        <v>2910</v>
      </c>
      <c r="P299" s="3" t="s">
        <v>365</v>
      </c>
      <c r="Q299" s="2" t="s">
        <v>2900</v>
      </c>
      <c r="R299" s="3" t="s">
        <v>70</v>
      </c>
      <c r="S299" s="4">
        <v>4</v>
      </c>
      <c r="T299" s="4">
        <v>4</v>
      </c>
      <c r="U299" s="5" t="s">
        <v>2911</v>
      </c>
      <c r="V299" s="5" t="s">
        <v>2911</v>
      </c>
      <c r="W299" s="5" t="s">
        <v>72</v>
      </c>
      <c r="X299" s="5" t="s">
        <v>72</v>
      </c>
      <c r="Y299" s="4">
        <v>14</v>
      </c>
      <c r="Z299" s="4">
        <v>1</v>
      </c>
      <c r="AA299" s="4">
        <v>1</v>
      </c>
      <c r="AB299" s="4">
        <v>1</v>
      </c>
      <c r="AC299" s="4">
        <v>1</v>
      </c>
      <c r="AD299" s="4">
        <v>4</v>
      </c>
      <c r="AE299" s="4">
        <v>4</v>
      </c>
      <c r="AF299" s="4">
        <v>0</v>
      </c>
      <c r="AG299" s="4">
        <v>0</v>
      </c>
      <c r="AH299" s="4">
        <v>4</v>
      </c>
      <c r="AI299" s="4">
        <v>4</v>
      </c>
      <c r="AJ299" s="4">
        <v>0</v>
      </c>
      <c r="AK299" s="4">
        <v>0</v>
      </c>
      <c r="AL299" s="4">
        <v>3</v>
      </c>
      <c r="AM299" s="4">
        <v>3</v>
      </c>
      <c r="AN299" s="4">
        <v>0</v>
      </c>
      <c r="AO299" s="4">
        <v>0</v>
      </c>
      <c r="AP299" s="4">
        <v>0</v>
      </c>
      <c r="AQ299" s="4">
        <v>0</v>
      </c>
      <c r="AR299" s="3" t="s">
        <v>64</v>
      </c>
      <c r="AS299" s="3" t="s">
        <v>64</v>
      </c>
      <c r="AT299" s="3" t="s">
        <v>64</v>
      </c>
      <c r="AV299" s="6" t="str">
        <f>HYPERLINK("http://mcgill.on.worldcat.org/oclc/740626511","Catalog Record")</f>
        <v>Catalog Record</v>
      </c>
      <c r="AW299" s="6" t="str">
        <f>HYPERLINK("http://www.worldcat.org/oclc/740626511","WorldCat Record")</f>
        <v>WorldCat Record</v>
      </c>
      <c r="AX299" s="3" t="s">
        <v>2912</v>
      </c>
      <c r="AY299" s="3" t="s">
        <v>2913</v>
      </c>
      <c r="AZ299" s="3" t="s">
        <v>2914</v>
      </c>
      <c r="BA299" s="3" t="s">
        <v>2914</v>
      </c>
      <c r="BB299" s="3" t="s">
        <v>2915</v>
      </c>
      <c r="BC299" s="3" t="s">
        <v>77</v>
      </c>
      <c r="BD299" s="3" t="s">
        <v>78</v>
      </c>
      <c r="BE299" s="3" t="s">
        <v>2916</v>
      </c>
      <c r="BF299" s="3" t="s">
        <v>2915</v>
      </c>
      <c r="BG299" s="3" t="s">
        <v>2917</v>
      </c>
      <c r="BH299">
        <f t="shared" si="9"/>
        <v>0</v>
      </c>
    </row>
    <row r="300" spans="1:60" ht="58" x14ac:dyDescent="0.35">
      <c r="A300" s="2" t="s">
        <v>59</v>
      </c>
      <c r="B300" s="2" t="s">
        <v>60</v>
      </c>
      <c r="C300" s="2" t="s">
        <v>2918</v>
      </c>
      <c r="D300" s="2" t="s">
        <v>2919</v>
      </c>
      <c r="E300" s="2" t="s">
        <v>2920</v>
      </c>
      <c r="G300" s="3" t="s">
        <v>64</v>
      </c>
      <c r="I300" s="3" t="s">
        <v>64</v>
      </c>
      <c r="J300" s="3" t="s">
        <v>128</v>
      </c>
      <c r="K300" s="3" t="s">
        <v>65</v>
      </c>
      <c r="L300" s="2" t="s">
        <v>2921</v>
      </c>
      <c r="M300" s="2" t="s">
        <v>2922</v>
      </c>
      <c r="N300" s="3" t="s">
        <v>2923</v>
      </c>
      <c r="O300" s="2" t="s">
        <v>745</v>
      </c>
      <c r="P300" s="3" t="s">
        <v>102</v>
      </c>
      <c r="R300" s="3" t="s">
        <v>70</v>
      </c>
      <c r="S300" s="4">
        <v>15</v>
      </c>
      <c r="T300" s="4">
        <v>15</v>
      </c>
      <c r="U300" s="5" t="s">
        <v>2924</v>
      </c>
      <c r="V300" s="5" t="s">
        <v>2924</v>
      </c>
      <c r="W300" s="5" t="s">
        <v>72</v>
      </c>
      <c r="X300" s="5" t="s">
        <v>72</v>
      </c>
      <c r="Y300" s="4">
        <v>409</v>
      </c>
      <c r="Z300" s="4">
        <v>21</v>
      </c>
      <c r="AA300" s="4">
        <v>41</v>
      </c>
      <c r="AB300" s="4">
        <v>2</v>
      </c>
      <c r="AC300" s="4">
        <v>4</v>
      </c>
      <c r="AD300" s="4">
        <v>82</v>
      </c>
      <c r="AE300" s="4">
        <v>126</v>
      </c>
      <c r="AF300" s="4">
        <v>1</v>
      </c>
      <c r="AG300" s="4">
        <v>3</v>
      </c>
      <c r="AH300" s="4">
        <v>71</v>
      </c>
      <c r="AI300" s="4">
        <v>103</v>
      </c>
      <c r="AJ300" s="4">
        <v>11</v>
      </c>
      <c r="AK300" s="4">
        <v>21</v>
      </c>
      <c r="AL300" s="4">
        <v>47</v>
      </c>
      <c r="AM300" s="4">
        <v>59</v>
      </c>
      <c r="AN300" s="4">
        <v>0</v>
      </c>
      <c r="AO300" s="4">
        <v>0</v>
      </c>
      <c r="AP300" s="4">
        <v>14</v>
      </c>
      <c r="AQ300" s="4">
        <v>27</v>
      </c>
      <c r="AR300" s="3" t="s">
        <v>64</v>
      </c>
      <c r="AS300" s="3" t="s">
        <v>64</v>
      </c>
      <c r="AT300" s="3" t="s">
        <v>128</v>
      </c>
      <c r="AU300" s="6" t="str">
        <f>HYPERLINK("http://catalog.hathitrust.org/Record/001159393","HathiTrust Record")</f>
        <v>HathiTrust Record</v>
      </c>
      <c r="AV300" s="6" t="str">
        <f>HYPERLINK("http://mcgill.on.worldcat.org/oclc/679815","Catalog Record")</f>
        <v>Catalog Record</v>
      </c>
      <c r="AW300" s="6" t="str">
        <f>HYPERLINK("http://www.worldcat.org/oclc/679815","WorldCat Record")</f>
        <v>WorldCat Record</v>
      </c>
      <c r="AX300" s="3" t="s">
        <v>2925</v>
      </c>
      <c r="AY300" s="3" t="s">
        <v>2926</v>
      </c>
      <c r="AZ300" s="3" t="s">
        <v>2927</v>
      </c>
      <c r="BA300" s="3" t="s">
        <v>2927</v>
      </c>
      <c r="BB300" s="3" t="s">
        <v>2928</v>
      </c>
      <c r="BC300" s="3" t="s">
        <v>77</v>
      </c>
      <c r="BD300" s="3" t="s">
        <v>78</v>
      </c>
      <c r="BF300" s="3" t="s">
        <v>2928</v>
      </c>
      <c r="BG300" s="3" t="s">
        <v>2929</v>
      </c>
      <c r="BH300">
        <f t="shared" si="9"/>
        <v>0</v>
      </c>
    </row>
    <row r="301" spans="1:60" ht="58" x14ac:dyDescent="0.35">
      <c r="A301" s="2" t="s">
        <v>59</v>
      </c>
      <c r="B301" s="2" t="s">
        <v>60</v>
      </c>
      <c r="C301" s="2" t="s">
        <v>2930</v>
      </c>
      <c r="D301" s="2" t="s">
        <v>2931</v>
      </c>
      <c r="E301" s="2" t="s">
        <v>2932</v>
      </c>
      <c r="G301" s="3" t="s">
        <v>64</v>
      </c>
      <c r="I301" s="3" t="s">
        <v>64</v>
      </c>
      <c r="J301" s="3" t="s">
        <v>64</v>
      </c>
      <c r="K301" s="3" t="s">
        <v>65</v>
      </c>
      <c r="L301" s="2" t="s">
        <v>2933</v>
      </c>
      <c r="M301" s="2" t="s">
        <v>2934</v>
      </c>
      <c r="N301" s="3" t="s">
        <v>498</v>
      </c>
      <c r="P301" s="3" t="s">
        <v>102</v>
      </c>
      <c r="R301" s="3" t="s">
        <v>70</v>
      </c>
      <c r="S301" s="4">
        <v>11</v>
      </c>
      <c r="T301" s="4">
        <v>11</v>
      </c>
      <c r="U301" s="5" t="s">
        <v>2935</v>
      </c>
      <c r="V301" s="5" t="s">
        <v>2935</v>
      </c>
      <c r="W301" s="5" t="s">
        <v>72</v>
      </c>
      <c r="X301" s="5" t="s">
        <v>72</v>
      </c>
      <c r="Y301" s="4">
        <v>537</v>
      </c>
      <c r="Z301" s="4">
        <v>38</v>
      </c>
      <c r="AA301" s="4">
        <v>39</v>
      </c>
      <c r="AB301" s="4">
        <v>2</v>
      </c>
      <c r="AC301" s="4">
        <v>2</v>
      </c>
      <c r="AD301" s="4">
        <v>118</v>
      </c>
      <c r="AE301" s="4">
        <v>119</v>
      </c>
      <c r="AF301" s="4">
        <v>1</v>
      </c>
      <c r="AG301" s="4">
        <v>1</v>
      </c>
      <c r="AH301" s="4">
        <v>100</v>
      </c>
      <c r="AI301" s="4">
        <v>101</v>
      </c>
      <c r="AJ301" s="4">
        <v>21</v>
      </c>
      <c r="AK301" s="4">
        <v>22</v>
      </c>
      <c r="AL301" s="4">
        <v>52</v>
      </c>
      <c r="AM301" s="4">
        <v>52</v>
      </c>
      <c r="AN301" s="4">
        <v>0</v>
      </c>
      <c r="AO301" s="4">
        <v>0</v>
      </c>
      <c r="AP301" s="4">
        <v>25</v>
      </c>
      <c r="AQ301" s="4">
        <v>26</v>
      </c>
      <c r="AR301" s="3" t="s">
        <v>64</v>
      </c>
      <c r="AS301" s="3" t="s">
        <v>64</v>
      </c>
      <c r="AT301" s="3" t="s">
        <v>128</v>
      </c>
      <c r="AU301" s="6" t="str">
        <f>HYPERLINK("http://catalog.hathitrust.org/Record/000043342","HathiTrust Record")</f>
        <v>HathiTrust Record</v>
      </c>
      <c r="AV301" s="6" t="str">
        <f>HYPERLINK("http://mcgill.on.worldcat.org/oclc/1189307","Catalog Record")</f>
        <v>Catalog Record</v>
      </c>
      <c r="AW301" s="6" t="str">
        <f>HYPERLINK("http://www.worldcat.org/oclc/1189307","WorldCat Record")</f>
        <v>WorldCat Record</v>
      </c>
      <c r="AX301" s="3" t="s">
        <v>2936</v>
      </c>
      <c r="AY301" s="3" t="s">
        <v>2937</v>
      </c>
      <c r="AZ301" s="3" t="s">
        <v>2938</v>
      </c>
      <c r="BA301" s="3" t="s">
        <v>2938</v>
      </c>
      <c r="BB301" s="3" t="s">
        <v>2939</v>
      </c>
      <c r="BC301" s="3" t="s">
        <v>77</v>
      </c>
      <c r="BD301" s="3" t="s">
        <v>78</v>
      </c>
      <c r="BE301" s="3" t="s">
        <v>2940</v>
      </c>
      <c r="BF301" s="3" t="s">
        <v>2939</v>
      </c>
      <c r="BG301" s="3" t="s">
        <v>2941</v>
      </c>
      <c r="BH301">
        <f t="shared" si="9"/>
        <v>0</v>
      </c>
    </row>
    <row r="302" spans="1:60" ht="72.5" x14ac:dyDescent="0.35">
      <c r="A302" s="2" t="s">
        <v>59</v>
      </c>
      <c r="B302" s="2" t="s">
        <v>60</v>
      </c>
      <c r="C302" s="2" t="s">
        <v>2942</v>
      </c>
      <c r="D302" s="2" t="s">
        <v>2943</v>
      </c>
      <c r="E302" s="2" t="s">
        <v>2944</v>
      </c>
      <c r="G302" s="3" t="s">
        <v>64</v>
      </c>
      <c r="I302" s="3" t="s">
        <v>64</v>
      </c>
      <c r="J302" s="3" t="s">
        <v>64</v>
      </c>
      <c r="K302" s="3" t="s">
        <v>65</v>
      </c>
      <c r="L302" s="2" t="s">
        <v>2945</v>
      </c>
      <c r="M302" s="2" t="s">
        <v>2946</v>
      </c>
      <c r="N302" s="3" t="s">
        <v>2899</v>
      </c>
      <c r="P302" s="3" t="s">
        <v>68</v>
      </c>
      <c r="R302" s="3" t="s">
        <v>70</v>
      </c>
      <c r="S302" s="4">
        <v>3</v>
      </c>
      <c r="T302" s="4">
        <v>3</v>
      </c>
      <c r="U302" s="5" t="s">
        <v>2534</v>
      </c>
      <c r="V302" s="5" t="s">
        <v>2534</v>
      </c>
      <c r="W302" s="5" t="s">
        <v>72</v>
      </c>
      <c r="X302" s="5" t="s">
        <v>72</v>
      </c>
      <c r="Y302" s="4">
        <v>1</v>
      </c>
      <c r="Z302" s="4">
        <v>1</v>
      </c>
      <c r="AA302" s="4">
        <v>11</v>
      </c>
      <c r="AB302" s="4">
        <v>1</v>
      </c>
      <c r="AC302" s="4">
        <v>2</v>
      </c>
      <c r="AD302" s="4">
        <v>0</v>
      </c>
      <c r="AE302" s="4">
        <v>56</v>
      </c>
      <c r="AF302" s="4">
        <v>0</v>
      </c>
      <c r="AG302" s="4">
        <v>1</v>
      </c>
      <c r="AH302" s="4">
        <v>0</v>
      </c>
      <c r="AI302" s="4">
        <v>50</v>
      </c>
      <c r="AJ302" s="4">
        <v>0</v>
      </c>
      <c r="AK302" s="4">
        <v>7</v>
      </c>
      <c r="AL302" s="4">
        <v>0</v>
      </c>
      <c r="AM302" s="4">
        <v>36</v>
      </c>
      <c r="AN302" s="4">
        <v>0</v>
      </c>
      <c r="AO302" s="4">
        <v>0</v>
      </c>
      <c r="AP302" s="4">
        <v>0</v>
      </c>
      <c r="AQ302" s="4">
        <v>6</v>
      </c>
      <c r="AR302" s="3" t="s">
        <v>64</v>
      </c>
      <c r="AS302" s="3" t="s">
        <v>64</v>
      </c>
      <c r="AT302" s="3" t="s">
        <v>64</v>
      </c>
      <c r="AV302" s="6" t="str">
        <f>HYPERLINK("http://mcgill.on.worldcat.org/oclc/427197106","Catalog Record")</f>
        <v>Catalog Record</v>
      </c>
      <c r="AW302" s="6" t="str">
        <f>HYPERLINK("http://www.worldcat.org/oclc/427197106","WorldCat Record")</f>
        <v>WorldCat Record</v>
      </c>
      <c r="AX302" s="3" t="s">
        <v>2947</v>
      </c>
      <c r="AY302" s="3" t="s">
        <v>2948</v>
      </c>
      <c r="AZ302" s="3" t="s">
        <v>2949</v>
      </c>
      <c r="BA302" s="3" t="s">
        <v>2949</v>
      </c>
      <c r="BB302" s="3" t="s">
        <v>2950</v>
      </c>
      <c r="BC302" s="3" t="s">
        <v>77</v>
      </c>
      <c r="BD302" s="3" t="s">
        <v>78</v>
      </c>
      <c r="BF302" s="3" t="s">
        <v>2950</v>
      </c>
      <c r="BG302" s="3" t="s">
        <v>2951</v>
      </c>
      <c r="BH302">
        <f t="shared" si="9"/>
        <v>0</v>
      </c>
    </row>
    <row r="303" spans="1:60" ht="58" x14ac:dyDescent="0.35">
      <c r="A303" s="2" t="s">
        <v>59</v>
      </c>
      <c r="B303" s="2" t="s">
        <v>60</v>
      </c>
      <c r="C303" s="2" t="s">
        <v>2952</v>
      </c>
      <c r="D303" s="2" t="s">
        <v>2953</v>
      </c>
      <c r="E303" s="2" t="s">
        <v>2954</v>
      </c>
      <c r="G303" s="3" t="s">
        <v>64</v>
      </c>
      <c r="I303" s="3" t="s">
        <v>64</v>
      </c>
      <c r="J303" s="3" t="s">
        <v>64</v>
      </c>
      <c r="K303" s="3" t="s">
        <v>65</v>
      </c>
      <c r="L303" s="2" t="s">
        <v>2955</v>
      </c>
      <c r="M303" s="2" t="s">
        <v>2956</v>
      </c>
      <c r="N303" s="3" t="s">
        <v>578</v>
      </c>
      <c r="P303" s="3" t="s">
        <v>102</v>
      </c>
      <c r="Q303" s="2" t="s">
        <v>2957</v>
      </c>
      <c r="R303" s="3" t="s">
        <v>70</v>
      </c>
      <c r="S303" s="4">
        <v>0</v>
      </c>
      <c r="T303" s="4">
        <v>0</v>
      </c>
      <c r="W303" s="5" t="s">
        <v>72</v>
      </c>
      <c r="X303" s="5" t="s">
        <v>72</v>
      </c>
      <c r="Y303" s="4">
        <v>49</v>
      </c>
      <c r="Z303" s="4">
        <v>5</v>
      </c>
      <c r="AA303" s="4">
        <v>19</v>
      </c>
      <c r="AB303" s="4">
        <v>1</v>
      </c>
      <c r="AC303" s="4">
        <v>2</v>
      </c>
      <c r="AD303" s="4">
        <v>27</v>
      </c>
      <c r="AE303" s="4">
        <v>55</v>
      </c>
      <c r="AF303" s="4">
        <v>0</v>
      </c>
      <c r="AG303" s="4">
        <v>0</v>
      </c>
      <c r="AH303" s="4">
        <v>24</v>
      </c>
      <c r="AI303" s="4">
        <v>45</v>
      </c>
      <c r="AJ303" s="4">
        <v>4</v>
      </c>
      <c r="AK303" s="4">
        <v>6</v>
      </c>
      <c r="AL303" s="4">
        <v>19</v>
      </c>
      <c r="AM303" s="4">
        <v>29</v>
      </c>
      <c r="AN303" s="4">
        <v>0</v>
      </c>
      <c r="AO303" s="4">
        <v>0</v>
      </c>
      <c r="AP303" s="4">
        <v>4</v>
      </c>
      <c r="AQ303" s="4">
        <v>12</v>
      </c>
      <c r="AR303" s="3" t="s">
        <v>64</v>
      </c>
      <c r="AS303" s="3" t="s">
        <v>64</v>
      </c>
      <c r="AT303" s="3" t="s">
        <v>64</v>
      </c>
      <c r="AV303" s="6" t="str">
        <f>HYPERLINK("http://mcgill.on.worldcat.org/oclc/971333712","Catalog Record")</f>
        <v>Catalog Record</v>
      </c>
      <c r="AW303" s="6" t="str">
        <f>HYPERLINK("http://www.worldcat.org/oclc/971333712","WorldCat Record")</f>
        <v>WorldCat Record</v>
      </c>
      <c r="AX303" s="3" t="s">
        <v>2958</v>
      </c>
      <c r="AY303" s="3" t="s">
        <v>2959</v>
      </c>
      <c r="AZ303" s="3" t="s">
        <v>2960</v>
      </c>
      <c r="BA303" s="3" t="s">
        <v>2960</v>
      </c>
      <c r="BB303" s="3" t="s">
        <v>2961</v>
      </c>
      <c r="BC303" s="3" t="s">
        <v>77</v>
      </c>
      <c r="BD303" s="3" t="s">
        <v>78</v>
      </c>
      <c r="BE303" s="3" t="s">
        <v>2962</v>
      </c>
      <c r="BF303" s="3" t="s">
        <v>2961</v>
      </c>
      <c r="BG303" s="3" t="s">
        <v>2963</v>
      </c>
      <c r="BH303">
        <f t="shared" si="9"/>
        <v>0</v>
      </c>
    </row>
    <row r="304" spans="1:60" ht="58" x14ac:dyDescent="0.35">
      <c r="A304" s="2" t="s">
        <v>59</v>
      </c>
      <c r="B304" s="2" t="s">
        <v>60</v>
      </c>
      <c r="C304" s="2" t="s">
        <v>2964</v>
      </c>
      <c r="D304" s="2" t="s">
        <v>2965</v>
      </c>
      <c r="E304" s="2" t="s">
        <v>2966</v>
      </c>
      <c r="G304" s="3" t="s">
        <v>64</v>
      </c>
      <c r="I304" s="3" t="s">
        <v>64</v>
      </c>
      <c r="J304" s="3" t="s">
        <v>64</v>
      </c>
      <c r="K304" s="3" t="s">
        <v>65</v>
      </c>
      <c r="M304" s="2" t="s">
        <v>2967</v>
      </c>
      <c r="N304" s="3" t="s">
        <v>67</v>
      </c>
      <c r="O304" s="2" t="s">
        <v>2968</v>
      </c>
      <c r="P304" s="3" t="s">
        <v>68</v>
      </c>
      <c r="Q304" s="2" t="s">
        <v>2969</v>
      </c>
      <c r="R304" s="3" t="s">
        <v>70</v>
      </c>
      <c r="S304" s="4">
        <v>4</v>
      </c>
      <c r="T304" s="4">
        <v>4</v>
      </c>
      <c r="U304" s="5" t="s">
        <v>2970</v>
      </c>
      <c r="V304" s="5" t="s">
        <v>2970</v>
      </c>
      <c r="W304" s="5" t="s">
        <v>72</v>
      </c>
      <c r="X304" s="5" t="s">
        <v>72</v>
      </c>
      <c r="Y304" s="4">
        <v>9</v>
      </c>
      <c r="Z304" s="4">
        <v>1</v>
      </c>
      <c r="AA304" s="4">
        <v>1</v>
      </c>
      <c r="AB304" s="4">
        <v>1</v>
      </c>
      <c r="AC304" s="4">
        <v>1</v>
      </c>
      <c r="AD304" s="4">
        <v>5</v>
      </c>
      <c r="AE304" s="4">
        <v>5</v>
      </c>
      <c r="AF304" s="4">
        <v>0</v>
      </c>
      <c r="AG304" s="4">
        <v>0</v>
      </c>
      <c r="AH304" s="4">
        <v>5</v>
      </c>
      <c r="AI304" s="4">
        <v>5</v>
      </c>
      <c r="AJ304" s="4">
        <v>0</v>
      </c>
      <c r="AK304" s="4">
        <v>0</v>
      </c>
      <c r="AL304" s="4">
        <v>5</v>
      </c>
      <c r="AM304" s="4">
        <v>5</v>
      </c>
      <c r="AN304" s="4">
        <v>0</v>
      </c>
      <c r="AO304" s="4">
        <v>0</v>
      </c>
      <c r="AP304" s="4">
        <v>0</v>
      </c>
      <c r="AQ304" s="4">
        <v>0</v>
      </c>
      <c r="AR304" s="3" t="s">
        <v>64</v>
      </c>
      <c r="AS304" s="3" t="s">
        <v>64</v>
      </c>
      <c r="AT304" s="3" t="s">
        <v>64</v>
      </c>
      <c r="AV304" s="6" t="str">
        <f>HYPERLINK("http://mcgill.on.worldcat.org/oclc/880340988","Catalog Record")</f>
        <v>Catalog Record</v>
      </c>
      <c r="AW304" s="6" t="str">
        <f>HYPERLINK("http://www.worldcat.org/oclc/880340988","WorldCat Record")</f>
        <v>WorldCat Record</v>
      </c>
      <c r="AX304" s="3" t="s">
        <v>2971</v>
      </c>
      <c r="AY304" s="3" t="s">
        <v>2972</v>
      </c>
      <c r="AZ304" s="3" t="s">
        <v>2973</v>
      </c>
      <c r="BA304" s="3" t="s">
        <v>2973</v>
      </c>
      <c r="BB304" s="3" t="s">
        <v>2974</v>
      </c>
      <c r="BC304" s="3" t="s">
        <v>77</v>
      </c>
      <c r="BD304" s="3" t="s">
        <v>78</v>
      </c>
      <c r="BE304" s="3" t="s">
        <v>2975</v>
      </c>
      <c r="BF304" s="3" t="s">
        <v>2974</v>
      </c>
      <c r="BG304" s="3" t="s">
        <v>2976</v>
      </c>
      <c r="BH304">
        <f t="shared" si="9"/>
        <v>0</v>
      </c>
    </row>
    <row r="305" spans="1:60" ht="72.5" x14ac:dyDescent="0.35">
      <c r="A305" s="2" t="s">
        <v>59</v>
      </c>
      <c r="B305" s="2" t="s">
        <v>60</v>
      </c>
      <c r="C305" s="2" t="s">
        <v>2977</v>
      </c>
      <c r="D305" s="2" t="s">
        <v>2978</v>
      </c>
      <c r="E305" s="2" t="s">
        <v>2979</v>
      </c>
      <c r="G305" s="3" t="s">
        <v>64</v>
      </c>
      <c r="I305" s="3" t="s">
        <v>64</v>
      </c>
      <c r="J305" s="3" t="s">
        <v>64</v>
      </c>
      <c r="K305" s="3" t="s">
        <v>65</v>
      </c>
      <c r="M305" s="2" t="s">
        <v>2980</v>
      </c>
      <c r="N305" s="3" t="s">
        <v>551</v>
      </c>
      <c r="O305" s="2" t="s">
        <v>2981</v>
      </c>
      <c r="P305" s="3" t="s">
        <v>68</v>
      </c>
      <c r="Q305" s="2" t="s">
        <v>2982</v>
      </c>
      <c r="R305" s="3" t="s">
        <v>70</v>
      </c>
      <c r="S305" s="4">
        <v>2</v>
      </c>
      <c r="T305" s="4">
        <v>2</v>
      </c>
      <c r="U305" s="5" t="s">
        <v>2970</v>
      </c>
      <c r="V305" s="5" t="s">
        <v>2970</v>
      </c>
      <c r="W305" s="5" t="s">
        <v>72</v>
      </c>
      <c r="X305" s="5" t="s">
        <v>72</v>
      </c>
      <c r="Y305" s="4">
        <v>8</v>
      </c>
      <c r="Z305" s="4">
        <v>1</v>
      </c>
      <c r="AA305" s="4">
        <v>1</v>
      </c>
      <c r="AB305" s="4">
        <v>1</v>
      </c>
      <c r="AC305" s="4">
        <v>1</v>
      </c>
      <c r="AD305" s="4">
        <v>2</v>
      </c>
      <c r="AE305" s="4">
        <v>3</v>
      </c>
      <c r="AF305" s="4">
        <v>0</v>
      </c>
      <c r="AG305" s="4">
        <v>0</v>
      </c>
      <c r="AH305" s="4">
        <v>2</v>
      </c>
      <c r="AI305" s="4">
        <v>3</v>
      </c>
      <c r="AJ305" s="4">
        <v>0</v>
      </c>
      <c r="AK305" s="4">
        <v>0</v>
      </c>
      <c r="AL305" s="4">
        <v>2</v>
      </c>
      <c r="AM305" s="4">
        <v>3</v>
      </c>
      <c r="AN305" s="4">
        <v>0</v>
      </c>
      <c r="AO305" s="4">
        <v>0</v>
      </c>
      <c r="AP305" s="4">
        <v>0</v>
      </c>
      <c r="AQ305" s="4">
        <v>0</v>
      </c>
      <c r="AR305" s="3" t="s">
        <v>64</v>
      </c>
      <c r="AS305" s="3" t="s">
        <v>64</v>
      </c>
      <c r="AT305" s="3" t="s">
        <v>64</v>
      </c>
      <c r="AV305" s="6" t="str">
        <f>HYPERLINK("http://mcgill.on.worldcat.org/oclc/489374990","Catalog Record")</f>
        <v>Catalog Record</v>
      </c>
      <c r="AW305" s="6" t="str">
        <f>HYPERLINK("http://www.worldcat.org/oclc/489374990","WorldCat Record")</f>
        <v>WorldCat Record</v>
      </c>
      <c r="AX305" s="3" t="s">
        <v>2983</v>
      </c>
      <c r="AY305" s="3" t="s">
        <v>2984</v>
      </c>
      <c r="AZ305" s="3" t="s">
        <v>2985</v>
      </c>
      <c r="BA305" s="3" t="s">
        <v>2985</v>
      </c>
      <c r="BB305" s="3" t="s">
        <v>2986</v>
      </c>
      <c r="BC305" s="3" t="s">
        <v>77</v>
      </c>
      <c r="BD305" s="3" t="s">
        <v>78</v>
      </c>
      <c r="BE305" s="3" t="s">
        <v>2987</v>
      </c>
      <c r="BF305" s="3" t="s">
        <v>2986</v>
      </c>
      <c r="BG305" s="3" t="s">
        <v>2988</v>
      </c>
      <c r="BH305">
        <f t="shared" si="9"/>
        <v>0</v>
      </c>
    </row>
    <row r="306" spans="1:60" ht="58" x14ac:dyDescent="0.35">
      <c r="A306" s="2" t="s">
        <v>59</v>
      </c>
      <c r="B306" s="2" t="s">
        <v>60</v>
      </c>
      <c r="C306" s="2" t="s">
        <v>2989</v>
      </c>
      <c r="D306" s="2" t="s">
        <v>2990</v>
      </c>
      <c r="E306" s="2" t="s">
        <v>2991</v>
      </c>
      <c r="G306" s="3" t="s">
        <v>64</v>
      </c>
      <c r="I306" s="3" t="s">
        <v>64</v>
      </c>
      <c r="J306" s="3" t="s">
        <v>128</v>
      </c>
      <c r="K306" s="3" t="s">
        <v>65</v>
      </c>
      <c r="L306" s="2" t="s">
        <v>2992</v>
      </c>
      <c r="M306" s="2" t="s">
        <v>2993</v>
      </c>
      <c r="N306" s="3" t="s">
        <v>144</v>
      </c>
      <c r="O306" s="2" t="s">
        <v>2994</v>
      </c>
      <c r="P306" s="3" t="s">
        <v>102</v>
      </c>
      <c r="R306" s="3" t="s">
        <v>70</v>
      </c>
      <c r="S306" s="4">
        <v>3</v>
      </c>
      <c r="T306" s="4">
        <v>3</v>
      </c>
      <c r="U306" s="5" t="s">
        <v>980</v>
      </c>
      <c r="V306" s="5" t="s">
        <v>980</v>
      </c>
      <c r="W306" s="5" t="s">
        <v>72</v>
      </c>
      <c r="X306" s="5" t="s">
        <v>72</v>
      </c>
      <c r="Y306" s="4">
        <v>163</v>
      </c>
      <c r="Z306" s="4">
        <v>14</v>
      </c>
      <c r="AA306" s="4">
        <v>37</v>
      </c>
      <c r="AB306" s="4">
        <v>1</v>
      </c>
      <c r="AC306" s="4">
        <v>3</v>
      </c>
      <c r="AD306" s="4">
        <v>49</v>
      </c>
      <c r="AE306" s="4">
        <v>128</v>
      </c>
      <c r="AF306" s="4">
        <v>0</v>
      </c>
      <c r="AG306" s="4">
        <v>2</v>
      </c>
      <c r="AH306" s="4">
        <v>45</v>
      </c>
      <c r="AI306" s="4">
        <v>110</v>
      </c>
      <c r="AJ306" s="4">
        <v>6</v>
      </c>
      <c r="AK306" s="4">
        <v>21</v>
      </c>
      <c r="AL306" s="4">
        <v>23</v>
      </c>
      <c r="AM306" s="4">
        <v>57</v>
      </c>
      <c r="AN306" s="4">
        <v>0</v>
      </c>
      <c r="AO306" s="4">
        <v>0</v>
      </c>
      <c r="AP306" s="4">
        <v>8</v>
      </c>
      <c r="AQ306" s="4">
        <v>27</v>
      </c>
      <c r="AR306" s="3" t="s">
        <v>64</v>
      </c>
      <c r="AS306" s="3" t="s">
        <v>64</v>
      </c>
      <c r="AT306" s="3" t="s">
        <v>128</v>
      </c>
      <c r="AU306" s="6" t="str">
        <f>HYPERLINK("http://catalog.hathitrust.org/Record/005959356","HathiTrust Record")</f>
        <v>HathiTrust Record</v>
      </c>
      <c r="AV306" s="6" t="str">
        <f>HYPERLINK("http://mcgill.on.worldcat.org/oclc/214322937","Catalog Record")</f>
        <v>Catalog Record</v>
      </c>
      <c r="AW306" s="6" t="str">
        <f>HYPERLINK("http://www.worldcat.org/oclc/214322937","WorldCat Record")</f>
        <v>WorldCat Record</v>
      </c>
      <c r="AX306" s="3" t="s">
        <v>2995</v>
      </c>
      <c r="AY306" s="3" t="s">
        <v>2996</v>
      </c>
      <c r="AZ306" s="3" t="s">
        <v>2997</v>
      </c>
      <c r="BA306" s="3" t="s">
        <v>2997</v>
      </c>
      <c r="BB306" s="3" t="s">
        <v>2998</v>
      </c>
      <c r="BC306" s="3" t="s">
        <v>77</v>
      </c>
      <c r="BD306" s="3" t="s">
        <v>78</v>
      </c>
      <c r="BE306" s="3" t="s">
        <v>2999</v>
      </c>
      <c r="BF306" s="3" t="s">
        <v>2998</v>
      </c>
      <c r="BG306" s="3" t="s">
        <v>3000</v>
      </c>
      <c r="BH306">
        <f t="shared" si="9"/>
        <v>0</v>
      </c>
    </row>
    <row r="307" spans="1:60" ht="58" x14ac:dyDescent="0.35">
      <c r="A307" s="2" t="s">
        <v>59</v>
      </c>
      <c r="B307" s="2" t="s">
        <v>60</v>
      </c>
      <c r="C307" s="2" t="s">
        <v>3001</v>
      </c>
      <c r="D307" s="2" t="s">
        <v>3002</v>
      </c>
      <c r="E307" s="2" t="s">
        <v>3003</v>
      </c>
      <c r="G307" s="3" t="s">
        <v>64</v>
      </c>
      <c r="I307" s="3" t="s">
        <v>64</v>
      </c>
      <c r="J307" s="3" t="s">
        <v>64</v>
      </c>
      <c r="K307" s="3" t="s">
        <v>65</v>
      </c>
      <c r="L307" s="2" t="s">
        <v>3004</v>
      </c>
      <c r="M307" s="2" t="s">
        <v>3005</v>
      </c>
      <c r="N307" s="3" t="s">
        <v>326</v>
      </c>
      <c r="P307" s="3" t="s">
        <v>102</v>
      </c>
      <c r="Q307" s="2" t="s">
        <v>3006</v>
      </c>
      <c r="R307" s="3" t="s">
        <v>70</v>
      </c>
      <c r="S307" s="4">
        <v>1</v>
      </c>
      <c r="T307" s="4">
        <v>1</v>
      </c>
      <c r="U307" s="5" t="s">
        <v>2970</v>
      </c>
      <c r="V307" s="5" t="s">
        <v>2970</v>
      </c>
      <c r="W307" s="5" t="s">
        <v>72</v>
      </c>
      <c r="X307" s="5" t="s">
        <v>72</v>
      </c>
      <c r="Y307" s="4">
        <v>81</v>
      </c>
      <c r="Z307" s="4">
        <v>6</v>
      </c>
      <c r="AA307" s="4">
        <v>7</v>
      </c>
      <c r="AB307" s="4">
        <v>1</v>
      </c>
      <c r="AC307" s="4">
        <v>2</v>
      </c>
      <c r="AD307" s="4">
        <v>28</v>
      </c>
      <c r="AE307" s="4">
        <v>30</v>
      </c>
      <c r="AF307" s="4">
        <v>0</v>
      </c>
      <c r="AG307" s="4">
        <v>1</v>
      </c>
      <c r="AH307" s="4">
        <v>27</v>
      </c>
      <c r="AI307" s="4">
        <v>29</v>
      </c>
      <c r="AJ307" s="4">
        <v>3</v>
      </c>
      <c r="AK307" s="4">
        <v>4</v>
      </c>
      <c r="AL307" s="4">
        <v>21</v>
      </c>
      <c r="AM307" s="4">
        <v>22</v>
      </c>
      <c r="AN307" s="4">
        <v>0</v>
      </c>
      <c r="AO307" s="4">
        <v>0</v>
      </c>
      <c r="AP307" s="4">
        <v>3</v>
      </c>
      <c r="AQ307" s="4">
        <v>4</v>
      </c>
      <c r="AR307" s="3" t="s">
        <v>64</v>
      </c>
      <c r="AS307" s="3" t="s">
        <v>64</v>
      </c>
      <c r="AT307" s="3" t="s">
        <v>64</v>
      </c>
      <c r="AV307" s="6" t="str">
        <f>HYPERLINK("http://mcgill.on.worldcat.org/oclc/768810417","Catalog Record")</f>
        <v>Catalog Record</v>
      </c>
      <c r="AW307" s="6" t="str">
        <f>HYPERLINK("http://www.worldcat.org/oclc/768810417","WorldCat Record")</f>
        <v>WorldCat Record</v>
      </c>
      <c r="AX307" s="3" t="s">
        <v>3007</v>
      </c>
      <c r="AY307" s="3" t="s">
        <v>3008</v>
      </c>
      <c r="AZ307" s="3" t="s">
        <v>3009</v>
      </c>
      <c r="BA307" s="3" t="s">
        <v>3009</v>
      </c>
      <c r="BB307" s="3" t="s">
        <v>3010</v>
      </c>
      <c r="BC307" s="3" t="s">
        <v>77</v>
      </c>
      <c r="BD307" s="3" t="s">
        <v>78</v>
      </c>
      <c r="BE307" s="3" t="s">
        <v>3011</v>
      </c>
      <c r="BF307" s="3" t="s">
        <v>3010</v>
      </c>
      <c r="BG307" s="3" t="s">
        <v>3012</v>
      </c>
      <c r="BH307">
        <f t="shared" si="9"/>
        <v>0</v>
      </c>
    </row>
    <row r="308" spans="1:60" ht="58" x14ac:dyDescent="0.35">
      <c r="A308" s="2" t="s">
        <v>59</v>
      </c>
      <c r="B308" s="2" t="s">
        <v>60</v>
      </c>
      <c r="C308" s="2" t="s">
        <v>3013</v>
      </c>
      <c r="D308" s="2" t="s">
        <v>3014</v>
      </c>
      <c r="E308" s="2" t="s">
        <v>3015</v>
      </c>
      <c r="F308" s="3" t="s">
        <v>525</v>
      </c>
      <c r="G308" s="3" t="s">
        <v>128</v>
      </c>
      <c r="I308" s="3" t="s">
        <v>64</v>
      </c>
      <c r="J308" s="3" t="s">
        <v>64</v>
      </c>
      <c r="K308" s="3" t="s">
        <v>65</v>
      </c>
      <c r="L308" s="2" t="s">
        <v>3016</v>
      </c>
      <c r="M308" s="2" t="s">
        <v>3017</v>
      </c>
      <c r="N308" s="3" t="s">
        <v>511</v>
      </c>
      <c r="P308" s="3" t="s">
        <v>944</v>
      </c>
      <c r="Q308" s="2" t="s">
        <v>3018</v>
      </c>
      <c r="R308" s="3" t="s">
        <v>70</v>
      </c>
      <c r="S308" s="4">
        <v>7</v>
      </c>
      <c r="T308" s="4">
        <v>14</v>
      </c>
      <c r="U308" s="5" t="s">
        <v>3019</v>
      </c>
      <c r="V308" s="5" t="s">
        <v>3019</v>
      </c>
      <c r="W308" s="5" t="s">
        <v>72</v>
      </c>
      <c r="X308" s="5" t="s">
        <v>72</v>
      </c>
      <c r="Y308" s="4">
        <v>62</v>
      </c>
      <c r="Z308" s="4">
        <v>3</v>
      </c>
      <c r="AA308" s="4">
        <v>3</v>
      </c>
      <c r="AB308" s="4">
        <v>1</v>
      </c>
      <c r="AC308" s="4">
        <v>1</v>
      </c>
      <c r="AD308" s="4">
        <v>29</v>
      </c>
      <c r="AE308" s="4">
        <v>29</v>
      </c>
      <c r="AF308" s="4">
        <v>0</v>
      </c>
      <c r="AG308" s="4">
        <v>0</v>
      </c>
      <c r="AH308" s="4">
        <v>28</v>
      </c>
      <c r="AI308" s="4">
        <v>28</v>
      </c>
      <c r="AJ308" s="4">
        <v>2</v>
      </c>
      <c r="AK308" s="4">
        <v>2</v>
      </c>
      <c r="AL308" s="4">
        <v>22</v>
      </c>
      <c r="AM308" s="4">
        <v>22</v>
      </c>
      <c r="AN308" s="4">
        <v>0</v>
      </c>
      <c r="AO308" s="4">
        <v>0</v>
      </c>
      <c r="AP308" s="4">
        <v>2</v>
      </c>
      <c r="AQ308" s="4">
        <v>2</v>
      </c>
      <c r="AR308" s="3" t="s">
        <v>64</v>
      </c>
      <c r="AS308" s="3" t="s">
        <v>64</v>
      </c>
      <c r="AT308" s="3" t="s">
        <v>64</v>
      </c>
      <c r="AV308" s="6" t="str">
        <f>HYPERLINK("http://mcgill.on.worldcat.org/oclc/517261895","Catalog Record")</f>
        <v>Catalog Record</v>
      </c>
      <c r="AW308" s="6" t="str">
        <f>HYPERLINK("http://www.worldcat.org/oclc/517261895","WorldCat Record")</f>
        <v>WorldCat Record</v>
      </c>
      <c r="AX308" s="3" t="s">
        <v>3020</v>
      </c>
      <c r="AY308" s="3" t="s">
        <v>3021</v>
      </c>
      <c r="AZ308" s="3" t="s">
        <v>3022</v>
      </c>
      <c r="BA308" s="3" t="s">
        <v>3022</v>
      </c>
      <c r="BB308" s="3" t="s">
        <v>3023</v>
      </c>
      <c r="BC308" s="3" t="s">
        <v>77</v>
      </c>
      <c r="BD308" s="3" t="s">
        <v>78</v>
      </c>
      <c r="BE308" s="3" t="s">
        <v>3024</v>
      </c>
      <c r="BF308" s="3" t="s">
        <v>3023</v>
      </c>
      <c r="BG308" s="3" t="s">
        <v>3025</v>
      </c>
      <c r="BH308">
        <f t="shared" si="9"/>
        <v>0</v>
      </c>
    </row>
    <row r="309" spans="1:60" ht="58" x14ac:dyDescent="0.35">
      <c r="A309" s="2" t="s">
        <v>59</v>
      </c>
      <c r="B309" s="2" t="s">
        <v>60</v>
      </c>
      <c r="C309" s="2" t="s">
        <v>3013</v>
      </c>
      <c r="D309" s="2" t="s">
        <v>3014</v>
      </c>
      <c r="E309" s="2" t="s">
        <v>3015</v>
      </c>
      <c r="F309" s="3" t="s">
        <v>3026</v>
      </c>
      <c r="G309" s="3" t="s">
        <v>128</v>
      </c>
      <c r="I309" s="3" t="s">
        <v>64</v>
      </c>
      <c r="J309" s="3" t="s">
        <v>64</v>
      </c>
      <c r="K309" s="3" t="s">
        <v>65</v>
      </c>
      <c r="L309" s="2" t="s">
        <v>3016</v>
      </c>
      <c r="M309" s="2" t="s">
        <v>3017</v>
      </c>
      <c r="N309" s="3" t="s">
        <v>511</v>
      </c>
      <c r="P309" s="3" t="s">
        <v>944</v>
      </c>
      <c r="Q309" s="2" t="s">
        <v>3018</v>
      </c>
      <c r="R309" s="3" t="s">
        <v>70</v>
      </c>
      <c r="S309" s="4">
        <v>7</v>
      </c>
      <c r="T309" s="4">
        <v>14</v>
      </c>
      <c r="U309" s="5" t="s">
        <v>3019</v>
      </c>
      <c r="V309" s="5" t="s">
        <v>3019</v>
      </c>
      <c r="W309" s="5" t="s">
        <v>72</v>
      </c>
      <c r="X309" s="5" t="s">
        <v>72</v>
      </c>
      <c r="Y309" s="4">
        <v>62</v>
      </c>
      <c r="Z309" s="4">
        <v>3</v>
      </c>
      <c r="AA309" s="4">
        <v>3</v>
      </c>
      <c r="AB309" s="4">
        <v>1</v>
      </c>
      <c r="AC309" s="4">
        <v>1</v>
      </c>
      <c r="AD309" s="4">
        <v>29</v>
      </c>
      <c r="AE309" s="4">
        <v>29</v>
      </c>
      <c r="AF309" s="4">
        <v>0</v>
      </c>
      <c r="AG309" s="4">
        <v>0</v>
      </c>
      <c r="AH309" s="4">
        <v>28</v>
      </c>
      <c r="AI309" s="4">
        <v>28</v>
      </c>
      <c r="AJ309" s="4">
        <v>2</v>
      </c>
      <c r="AK309" s="4">
        <v>2</v>
      </c>
      <c r="AL309" s="4">
        <v>22</v>
      </c>
      <c r="AM309" s="4">
        <v>22</v>
      </c>
      <c r="AN309" s="4">
        <v>0</v>
      </c>
      <c r="AO309" s="4">
        <v>0</v>
      </c>
      <c r="AP309" s="4">
        <v>2</v>
      </c>
      <c r="AQ309" s="4">
        <v>2</v>
      </c>
      <c r="AR309" s="3" t="s">
        <v>64</v>
      </c>
      <c r="AS309" s="3" t="s">
        <v>64</v>
      </c>
      <c r="AT309" s="3" t="s">
        <v>64</v>
      </c>
      <c r="AV309" s="6" t="str">
        <f>HYPERLINK("http://mcgill.on.worldcat.org/oclc/517261895","Catalog Record")</f>
        <v>Catalog Record</v>
      </c>
      <c r="AW309" s="6" t="str">
        <f>HYPERLINK("http://www.worldcat.org/oclc/517261895","WorldCat Record")</f>
        <v>WorldCat Record</v>
      </c>
      <c r="AX309" s="3" t="s">
        <v>3020</v>
      </c>
      <c r="AY309" s="3" t="s">
        <v>3021</v>
      </c>
      <c r="AZ309" s="3" t="s">
        <v>3022</v>
      </c>
      <c r="BA309" s="3" t="s">
        <v>3022</v>
      </c>
      <c r="BB309" s="3" t="s">
        <v>3027</v>
      </c>
      <c r="BC309" s="3" t="s">
        <v>77</v>
      </c>
      <c r="BD309" s="3" t="s">
        <v>78</v>
      </c>
      <c r="BE309" s="3" t="s">
        <v>3024</v>
      </c>
      <c r="BF309" s="3" t="s">
        <v>3027</v>
      </c>
      <c r="BG309" s="3" t="s">
        <v>3028</v>
      </c>
      <c r="BH309">
        <f t="shared" si="9"/>
        <v>0</v>
      </c>
    </row>
    <row r="310" spans="1:60" ht="58" x14ac:dyDescent="0.35">
      <c r="A310" s="2" t="s">
        <v>59</v>
      </c>
      <c r="B310" s="2" t="s">
        <v>60</v>
      </c>
      <c r="C310" s="2" t="s">
        <v>3029</v>
      </c>
      <c r="D310" s="2" t="s">
        <v>3030</v>
      </c>
      <c r="E310" s="2" t="s">
        <v>3031</v>
      </c>
      <c r="G310" s="3" t="s">
        <v>64</v>
      </c>
      <c r="I310" s="3" t="s">
        <v>128</v>
      </c>
      <c r="J310" s="3" t="s">
        <v>64</v>
      </c>
      <c r="K310" s="3" t="s">
        <v>65</v>
      </c>
      <c r="L310" s="2" t="s">
        <v>1248</v>
      </c>
      <c r="M310" s="2" t="s">
        <v>3032</v>
      </c>
      <c r="N310" s="3" t="s">
        <v>1938</v>
      </c>
      <c r="P310" s="3" t="s">
        <v>102</v>
      </c>
      <c r="R310" s="3" t="s">
        <v>70</v>
      </c>
      <c r="S310" s="4">
        <v>25</v>
      </c>
      <c r="T310" s="4">
        <v>30</v>
      </c>
      <c r="U310" s="5" t="s">
        <v>3033</v>
      </c>
      <c r="V310" s="5" t="s">
        <v>3034</v>
      </c>
      <c r="W310" s="5" t="s">
        <v>72</v>
      </c>
      <c r="X310" s="5" t="s">
        <v>3035</v>
      </c>
      <c r="Y310" s="4">
        <v>530</v>
      </c>
      <c r="Z310" s="4">
        <v>37</v>
      </c>
      <c r="AA310" s="4">
        <v>42</v>
      </c>
      <c r="AB310" s="4">
        <v>4</v>
      </c>
      <c r="AC310" s="4">
        <v>5</v>
      </c>
      <c r="AD310" s="4">
        <v>121</v>
      </c>
      <c r="AE310" s="4">
        <v>124</v>
      </c>
      <c r="AF310" s="4">
        <v>2</v>
      </c>
      <c r="AG310" s="4">
        <v>3</v>
      </c>
      <c r="AH310" s="4">
        <v>98</v>
      </c>
      <c r="AI310" s="4">
        <v>100</v>
      </c>
      <c r="AJ310" s="4">
        <v>19</v>
      </c>
      <c r="AK310" s="4">
        <v>21</v>
      </c>
      <c r="AL310" s="4">
        <v>60</v>
      </c>
      <c r="AM310" s="4">
        <v>61</v>
      </c>
      <c r="AN310" s="4">
        <v>0</v>
      </c>
      <c r="AO310" s="4">
        <v>0</v>
      </c>
      <c r="AP310" s="4">
        <v>28</v>
      </c>
      <c r="AQ310" s="4">
        <v>29</v>
      </c>
      <c r="AR310" s="3" t="s">
        <v>64</v>
      </c>
      <c r="AS310" s="3" t="s">
        <v>64</v>
      </c>
      <c r="AT310" s="3" t="s">
        <v>64</v>
      </c>
      <c r="AV310" s="6" t="str">
        <f>HYPERLINK("http://mcgill.on.worldcat.org/oclc/18908629","Catalog Record")</f>
        <v>Catalog Record</v>
      </c>
      <c r="AW310" s="6" t="str">
        <f>HYPERLINK("http://www.worldcat.org/oclc/18908629","WorldCat Record")</f>
        <v>WorldCat Record</v>
      </c>
      <c r="AX310" s="3" t="s">
        <v>3036</v>
      </c>
      <c r="AY310" s="3" t="s">
        <v>3037</v>
      </c>
      <c r="AZ310" s="3" t="s">
        <v>3038</v>
      </c>
      <c r="BA310" s="3" t="s">
        <v>3038</v>
      </c>
      <c r="BB310" s="3" t="s">
        <v>3039</v>
      </c>
      <c r="BC310" s="3" t="s">
        <v>77</v>
      </c>
      <c r="BD310" s="3" t="s">
        <v>165</v>
      </c>
      <c r="BE310" s="3" t="s">
        <v>3040</v>
      </c>
      <c r="BF310" s="3" t="s">
        <v>3039</v>
      </c>
      <c r="BG310" s="3" t="s">
        <v>3041</v>
      </c>
      <c r="BH310">
        <f t="shared" si="9"/>
        <v>0</v>
      </c>
    </row>
    <row r="311" spans="1:60" ht="72.5" x14ac:dyDescent="0.35">
      <c r="A311" s="2" t="s">
        <v>59</v>
      </c>
      <c r="B311" s="2" t="s">
        <v>1025</v>
      </c>
      <c r="C311" s="2" t="s">
        <v>3042</v>
      </c>
      <c r="D311" s="2" t="s">
        <v>3043</v>
      </c>
      <c r="E311" s="2" t="s">
        <v>3044</v>
      </c>
      <c r="G311" s="3" t="s">
        <v>64</v>
      </c>
      <c r="I311" s="3" t="s">
        <v>64</v>
      </c>
      <c r="J311" s="3" t="s">
        <v>64</v>
      </c>
      <c r="K311" s="3" t="s">
        <v>65</v>
      </c>
      <c r="L311" s="2" t="s">
        <v>3045</v>
      </c>
      <c r="M311" s="2" t="s">
        <v>3046</v>
      </c>
      <c r="N311" s="3" t="s">
        <v>3047</v>
      </c>
      <c r="P311" s="3" t="s">
        <v>102</v>
      </c>
      <c r="R311" s="3" t="s">
        <v>70</v>
      </c>
      <c r="S311" s="4">
        <v>33</v>
      </c>
      <c r="T311" s="4">
        <v>33</v>
      </c>
      <c r="U311" s="5" t="s">
        <v>3048</v>
      </c>
      <c r="V311" s="5" t="s">
        <v>3048</v>
      </c>
      <c r="W311" s="5" t="s">
        <v>72</v>
      </c>
      <c r="X311" s="5" t="s">
        <v>72</v>
      </c>
      <c r="Y311" s="4">
        <v>506</v>
      </c>
      <c r="Z311" s="4">
        <v>27</v>
      </c>
      <c r="AA311" s="4">
        <v>30</v>
      </c>
      <c r="AB311" s="4">
        <v>1</v>
      </c>
      <c r="AC311" s="4">
        <v>2</v>
      </c>
      <c r="AD311" s="4">
        <v>98</v>
      </c>
      <c r="AE311" s="4">
        <v>108</v>
      </c>
      <c r="AF311" s="4">
        <v>0</v>
      </c>
      <c r="AG311" s="4">
        <v>1</v>
      </c>
      <c r="AH311" s="4">
        <v>87</v>
      </c>
      <c r="AI311" s="4">
        <v>94</v>
      </c>
      <c r="AJ311" s="4">
        <v>11</v>
      </c>
      <c r="AK311" s="4">
        <v>14</v>
      </c>
      <c r="AL311" s="4">
        <v>47</v>
      </c>
      <c r="AM311" s="4">
        <v>52</v>
      </c>
      <c r="AN311" s="4">
        <v>0</v>
      </c>
      <c r="AO311" s="4">
        <v>0</v>
      </c>
      <c r="AP311" s="4">
        <v>17</v>
      </c>
      <c r="AQ311" s="4">
        <v>19</v>
      </c>
      <c r="AR311" s="3" t="s">
        <v>64</v>
      </c>
      <c r="AS311" s="3" t="s">
        <v>64</v>
      </c>
      <c r="AT311" s="3" t="s">
        <v>64</v>
      </c>
      <c r="AV311" s="6" t="str">
        <f>HYPERLINK("http://mcgill.on.worldcat.org/oclc/15687285","Catalog Record")</f>
        <v>Catalog Record</v>
      </c>
      <c r="AW311" s="6" t="str">
        <f>HYPERLINK("http://www.worldcat.org/oclc/15687285","WorldCat Record")</f>
        <v>WorldCat Record</v>
      </c>
      <c r="AX311" s="3" t="s">
        <v>3049</v>
      </c>
      <c r="AY311" s="3" t="s">
        <v>3050</v>
      </c>
      <c r="AZ311" s="3" t="s">
        <v>3051</v>
      </c>
      <c r="BA311" s="3" t="s">
        <v>3051</v>
      </c>
      <c r="BB311" s="3" t="s">
        <v>3052</v>
      </c>
      <c r="BC311" s="3" t="s">
        <v>77</v>
      </c>
      <c r="BD311" s="3" t="s">
        <v>78</v>
      </c>
      <c r="BE311" s="3" t="s">
        <v>3053</v>
      </c>
      <c r="BF311" s="3" t="s">
        <v>3052</v>
      </c>
      <c r="BG311" s="3" t="s">
        <v>3054</v>
      </c>
      <c r="BH311">
        <f t="shared" si="9"/>
        <v>0</v>
      </c>
    </row>
    <row r="312" spans="1:60" ht="58" x14ac:dyDescent="0.35">
      <c r="A312" s="2" t="s">
        <v>59</v>
      </c>
      <c r="B312" s="2" t="s">
        <v>60</v>
      </c>
      <c r="C312" s="2" t="s">
        <v>3055</v>
      </c>
      <c r="D312" s="2" t="s">
        <v>3056</v>
      </c>
      <c r="E312" s="2" t="s">
        <v>3057</v>
      </c>
      <c r="G312" s="3" t="s">
        <v>64</v>
      </c>
      <c r="I312" s="3" t="s">
        <v>64</v>
      </c>
      <c r="J312" s="3" t="s">
        <v>64</v>
      </c>
      <c r="K312" s="3" t="s">
        <v>65</v>
      </c>
      <c r="M312" s="2" t="s">
        <v>3058</v>
      </c>
      <c r="N312" s="3" t="s">
        <v>537</v>
      </c>
      <c r="P312" s="3" t="s">
        <v>102</v>
      </c>
      <c r="Q312" s="2" t="s">
        <v>3059</v>
      </c>
      <c r="R312" s="3" t="s">
        <v>70</v>
      </c>
      <c r="S312" s="4">
        <v>0</v>
      </c>
      <c r="T312" s="4">
        <v>0</v>
      </c>
      <c r="W312" s="5" t="s">
        <v>72</v>
      </c>
      <c r="X312" s="5" t="s">
        <v>72</v>
      </c>
      <c r="Y312" s="4">
        <v>63</v>
      </c>
      <c r="Z312" s="4">
        <v>3</v>
      </c>
      <c r="AA312" s="4">
        <v>3</v>
      </c>
      <c r="AB312" s="4">
        <v>1</v>
      </c>
      <c r="AC312" s="4">
        <v>1</v>
      </c>
      <c r="AD312" s="4">
        <v>24</v>
      </c>
      <c r="AE312" s="4">
        <v>24</v>
      </c>
      <c r="AF312" s="4">
        <v>0</v>
      </c>
      <c r="AG312" s="4">
        <v>0</v>
      </c>
      <c r="AH312" s="4">
        <v>24</v>
      </c>
      <c r="AI312" s="4">
        <v>24</v>
      </c>
      <c r="AJ312" s="4">
        <v>1</v>
      </c>
      <c r="AK312" s="4">
        <v>1</v>
      </c>
      <c r="AL312" s="4">
        <v>19</v>
      </c>
      <c r="AM312" s="4">
        <v>19</v>
      </c>
      <c r="AN312" s="4">
        <v>0</v>
      </c>
      <c r="AO312" s="4">
        <v>0</v>
      </c>
      <c r="AP312" s="4">
        <v>1</v>
      </c>
      <c r="AQ312" s="4">
        <v>1</v>
      </c>
      <c r="AR312" s="3" t="s">
        <v>64</v>
      </c>
      <c r="AS312" s="3" t="s">
        <v>64</v>
      </c>
      <c r="AT312" s="3" t="s">
        <v>64</v>
      </c>
      <c r="AV312" s="6" t="str">
        <f>HYPERLINK("http://mcgill.on.worldcat.org/oclc/951846281","Catalog Record")</f>
        <v>Catalog Record</v>
      </c>
      <c r="AW312" s="6" t="str">
        <f>HYPERLINK("http://www.worldcat.org/oclc/951846281","WorldCat Record")</f>
        <v>WorldCat Record</v>
      </c>
      <c r="AX312" s="3" t="s">
        <v>3060</v>
      </c>
      <c r="AY312" s="3" t="s">
        <v>3061</v>
      </c>
      <c r="AZ312" s="3" t="s">
        <v>3062</v>
      </c>
      <c r="BA312" s="3" t="s">
        <v>3062</v>
      </c>
      <c r="BB312" s="3" t="s">
        <v>3063</v>
      </c>
      <c r="BC312" s="3" t="s">
        <v>77</v>
      </c>
      <c r="BD312" s="3" t="s">
        <v>78</v>
      </c>
      <c r="BE312" s="3" t="s">
        <v>3064</v>
      </c>
      <c r="BF312" s="3" t="s">
        <v>3063</v>
      </c>
      <c r="BG312" s="3" t="s">
        <v>3065</v>
      </c>
      <c r="BH312">
        <f t="shared" si="9"/>
        <v>0</v>
      </c>
    </row>
    <row r="313" spans="1:60" ht="58" x14ac:dyDescent="0.35">
      <c r="A313" s="2" t="s">
        <v>59</v>
      </c>
      <c r="B313" s="2" t="s">
        <v>60</v>
      </c>
      <c r="C313" s="2" t="s">
        <v>3066</v>
      </c>
      <c r="D313" s="2" t="s">
        <v>3067</v>
      </c>
      <c r="E313" s="2" t="s">
        <v>3068</v>
      </c>
      <c r="F313" s="3" t="s">
        <v>3069</v>
      </c>
      <c r="G313" s="3" t="s">
        <v>128</v>
      </c>
      <c r="I313" s="3" t="s">
        <v>64</v>
      </c>
      <c r="J313" s="3" t="s">
        <v>64</v>
      </c>
      <c r="K313" s="3" t="s">
        <v>65</v>
      </c>
      <c r="L313" s="2" t="s">
        <v>3070</v>
      </c>
      <c r="M313" s="2" t="s">
        <v>3071</v>
      </c>
      <c r="N313" s="3" t="s">
        <v>3072</v>
      </c>
      <c r="P313" s="3" t="s">
        <v>68</v>
      </c>
      <c r="R313" s="3" t="s">
        <v>70</v>
      </c>
      <c r="S313" s="4">
        <v>2</v>
      </c>
      <c r="T313" s="4">
        <v>11</v>
      </c>
      <c r="U313" s="5" t="s">
        <v>3073</v>
      </c>
      <c r="V313" s="5" t="s">
        <v>3074</v>
      </c>
      <c r="W313" s="5" t="s">
        <v>72</v>
      </c>
      <c r="X313" s="5" t="s">
        <v>72</v>
      </c>
      <c r="Y313" s="4">
        <v>14</v>
      </c>
      <c r="Z313" s="4">
        <v>3</v>
      </c>
      <c r="AA313" s="4">
        <v>19</v>
      </c>
      <c r="AB313" s="4">
        <v>1</v>
      </c>
      <c r="AC313" s="4">
        <v>5</v>
      </c>
      <c r="AD313" s="4">
        <v>5</v>
      </c>
      <c r="AE313" s="4">
        <v>89</v>
      </c>
      <c r="AF313" s="4">
        <v>0</v>
      </c>
      <c r="AG313" s="4">
        <v>3</v>
      </c>
      <c r="AH313" s="4">
        <v>3</v>
      </c>
      <c r="AI313" s="4">
        <v>75</v>
      </c>
      <c r="AJ313" s="4">
        <v>2</v>
      </c>
      <c r="AK313" s="4">
        <v>17</v>
      </c>
      <c r="AL313" s="4">
        <v>1</v>
      </c>
      <c r="AM313" s="4">
        <v>46</v>
      </c>
      <c r="AN313" s="4">
        <v>0</v>
      </c>
      <c r="AO313" s="4">
        <v>0</v>
      </c>
      <c r="AP313" s="4">
        <v>2</v>
      </c>
      <c r="AQ313" s="4">
        <v>15</v>
      </c>
      <c r="AR313" s="3" t="s">
        <v>64</v>
      </c>
      <c r="AS313" s="3" t="s">
        <v>64</v>
      </c>
      <c r="AT313" s="3" t="s">
        <v>128</v>
      </c>
      <c r="AU313" s="6" t="str">
        <f t="shared" ref="AU313:AU326" si="10">HYPERLINK("http://catalog.hathitrust.org/Record/000222805","HathiTrust Record")</f>
        <v>HathiTrust Record</v>
      </c>
      <c r="AV313" s="6" t="str">
        <f t="shared" ref="AV313:AV326" si="11">HYPERLINK("http://mcgill.on.worldcat.org/oclc/228772314","Catalog Record")</f>
        <v>Catalog Record</v>
      </c>
      <c r="AW313" s="6" t="str">
        <f t="shared" ref="AW313:AW326" si="12">HYPERLINK("http://www.worldcat.org/oclc/228772314","WorldCat Record")</f>
        <v>WorldCat Record</v>
      </c>
      <c r="AX313" s="3" t="s">
        <v>3075</v>
      </c>
      <c r="AY313" s="3" t="s">
        <v>3076</v>
      </c>
      <c r="AZ313" s="3" t="s">
        <v>3077</v>
      </c>
      <c r="BA313" s="3" t="s">
        <v>3077</v>
      </c>
      <c r="BB313" s="3" t="s">
        <v>3078</v>
      </c>
      <c r="BC313" s="3" t="s">
        <v>77</v>
      </c>
      <c r="BD313" s="3" t="s">
        <v>78</v>
      </c>
      <c r="BE313" s="3" t="s">
        <v>3079</v>
      </c>
      <c r="BF313" s="3" t="s">
        <v>3078</v>
      </c>
      <c r="BG313" s="3" t="s">
        <v>3080</v>
      </c>
      <c r="BH313">
        <f t="shared" si="9"/>
        <v>0</v>
      </c>
    </row>
    <row r="314" spans="1:60" ht="58" x14ac:dyDescent="0.35">
      <c r="A314" s="2" t="s">
        <v>59</v>
      </c>
      <c r="B314" s="2" t="s">
        <v>60</v>
      </c>
      <c r="C314" s="2" t="s">
        <v>3066</v>
      </c>
      <c r="D314" s="2" t="s">
        <v>3067</v>
      </c>
      <c r="E314" s="2" t="s">
        <v>3068</v>
      </c>
      <c r="F314" s="3" t="s">
        <v>3081</v>
      </c>
      <c r="G314" s="3" t="s">
        <v>128</v>
      </c>
      <c r="I314" s="3" t="s">
        <v>64</v>
      </c>
      <c r="J314" s="3" t="s">
        <v>64</v>
      </c>
      <c r="K314" s="3" t="s">
        <v>65</v>
      </c>
      <c r="L314" s="2" t="s">
        <v>3070</v>
      </c>
      <c r="M314" s="2" t="s">
        <v>3071</v>
      </c>
      <c r="N314" s="3" t="s">
        <v>3072</v>
      </c>
      <c r="P314" s="3" t="s">
        <v>68</v>
      </c>
      <c r="R314" s="3" t="s">
        <v>70</v>
      </c>
      <c r="S314" s="4">
        <v>1</v>
      </c>
      <c r="T314" s="4">
        <v>11</v>
      </c>
      <c r="U314" s="5" t="s">
        <v>3082</v>
      </c>
      <c r="V314" s="5" t="s">
        <v>3074</v>
      </c>
      <c r="W314" s="5" t="s">
        <v>72</v>
      </c>
      <c r="X314" s="5" t="s">
        <v>72</v>
      </c>
      <c r="Y314" s="4">
        <v>14</v>
      </c>
      <c r="Z314" s="4">
        <v>3</v>
      </c>
      <c r="AA314" s="4">
        <v>19</v>
      </c>
      <c r="AB314" s="4">
        <v>1</v>
      </c>
      <c r="AC314" s="4">
        <v>5</v>
      </c>
      <c r="AD314" s="4">
        <v>5</v>
      </c>
      <c r="AE314" s="4">
        <v>89</v>
      </c>
      <c r="AF314" s="4">
        <v>0</v>
      </c>
      <c r="AG314" s="4">
        <v>3</v>
      </c>
      <c r="AH314" s="4">
        <v>3</v>
      </c>
      <c r="AI314" s="4">
        <v>75</v>
      </c>
      <c r="AJ314" s="4">
        <v>2</v>
      </c>
      <c r="AK314" s="4">
        <v>17</v>
      </c>
      <c r="AL314" s="4">
        <v>1</v>
      </c>
      <c r="AM314" s="4">
        <v>46</v>
      </c>
      <c r="AN314" s="4">
        <v>0</v>
      </c>
      <c r="AO314" s="4">
        <v>0</v>
      </c>
      <c r="AP314" s="4">
        <v>2</v>
      </c>
      <c r="AQ314" s="4">
        <v>15</v>
      </c>
      <c r="AR314" s="3" t="s">
        <v>64</v>
      </c>
      <c r="AS314" s="3" t="s">
        <v>64</v>
      </c>
      <c r="AT314" s="3" t="s">
        <v>128</v>
      </c>
      <c r="AU314" s="6" t="str">
        <f t="shared" si="10"/>
        <v>HathiTrust Record</v>
      </c>
      <c r="AV314" s="6" t="str">
        <f t="shared" si="11"/>
        <v>Catalog Record</v>
      </c>
      <c r="AW314" s="6" t="str">
        <f t="shared" si="12"/>
        <v>WorldCat Record</v>
      </c>
      <c r="AX314" s="3" t="s">
        <v>3075</v>
      </c>
      <c r="AY314" s="3" t="s">
        <v>3076</v>
      </c>
      <c r="AZ314" s="3" t="s">
        <v>3077</v>
      </c>
      <c r="BA314" s="3" t="s">
        <v>3077</v>
      </c>
      <c r="BB314" s="3" t="s">
        <v>3083</v>
      </c>
      <c r="BC314" s="3" t="s">
        <v>77</v>
      </c>
      <c r="BD314" s="3" t="s">
        <v>78</v>
      </c>
      <c r="BE314" s="3" t="s">
        <v>3079</v>
      </c>
      <c r="BF314" s="3" t="s">
        <v>3083</v>
      </c>
      <c r="BG314" s="3" t="s">
        <v>3084</v>
      </c>
      <c r="BH314">
        <f t="shared" si="9"/>
        <v>0</v>
      </c>
    </row>
    <row r="315" spans="1:60" ht="58" x14ac:dyDescent="0.35">
      <c r="A315" s="2" t="s">
        <v>59</v>
      </c>
      <c r="B315" s="2" t="s">
        <v>60</v>
      </c>
      <c r="C315" s="2" t="s">
        <v>3066</v>
      </c>
      <c r="D315" s="2" t="s">
        <v>3067</v>
      </c>
      <c r="E315" s="2" t="s">
        <v>3068</v>
      </c>
      <c r="F315" s="3" t="s">
        <v>3085</v>
      </c>
      <c r="G315" s="3" t="s">
        <v>128</v>
      </c>
      <c r="I315" s="3" t="s">
        <v>64</v>
      </c>
      <c r="J315" s="3" t="s">
        <v>64</v>
      </c>
      <c r="K315" s="3" t="s">
        <v>65</v>
      </c>
      <c r="L315" s="2" t="s">
        <v>3070</v>
      </c>
      <c r="M315" s="2" t="s">
        <v>3071</v>
      </c>
      <c r="N315" s="3" t="s">
        <v>3072</v>
      </c>
      <c r="P315" s="3" t="s">
        <v>68</v>
      </c>
      <c r="R315" s="3" t="s">
        <v>70</v>
      </c>
      <c r="S315" s="4">
        <v>0</v>
      </c>
      <c r="T315" s="4">
        <v>11</v>
      </c>
      <c r="V315" s="5" t="s">
        <v>3074</v>
      </c>
      <c r="W315" s="5" t="s">
        <v>72</v>
      </c>
      <c r="X315" s="5" t="s">
        <v>72</v>
      </c>
      <c r="Y315" s="4">
        <v>14</v>
      </c>
      <c r="Z315" s="4">
        <v>3</v>
      </c>
      <c r="AA315" s="4">
        <v>19</v>
      </c>
      <c r="AB315" s="4">
        <v>1</v>
      </c>
      <c r="AC315" s="4">
        <v>5</v>
      </c>
      <c r="AD315" s="4">
        <v>5</v>
      </c>
      <c r="AE315" s="4">
        <v>89</v>
      </c>
      <c r="AF315" s="4">
        <v>0</v>
      </c>
      <c r="AG315" s="4">
        <v>3</v>
      </c>
      <c r="AH315" s="4">
        <v>3</v>
      </c>
      <c r="AI315" s="4">
        <v>75</v>
      </c>
      <c r="AJ315" s="4">
        <v>2</v>
      </c>
      <c r="AK315" s="4">
        <v>17</v>
      </c>
      <c r="AL315" s="4">
        <v>1</v>
      </c>
      <c r="AM315" s="4">
        <v>46</v>
      </c>
      <c r="AN315" s="4">
        <v>0</v>
      </c>
      <c r="AO315" s="4">
        <v>0</v>
      </c>
      <c r="AP315" s="4">
        <v>2</v>
      </c>
      <c r="AQ315" s="4">
        <v>15</v>
      </c>
      <c r="AR315" s="3" t="s">
        <v>64</v>
      </c>
      <c r="AS315" s="3" t="s">
        <v>64</v>
      </c>
      <c r="AT315" s="3" t="s">
        <v>128</v>
      </c>
      <c r="AU315" s="6" t="str">
        <f t="shared" si="10"/>
        <v>HathiTrust Record</v>
      </c>
      <c r="AV315" s="6" t="str">
        <f t="shared" si="11"/>
        <v>Catalog Record</v>
      </c>
      <c r="AW315" s="6" t="str">
        <f t="shared" si="12"/>
        <v>WorldCat Record</v>
      </c>
      <c r="AX315" s="3" t="s">
        <v>3075</v>
      </c>
      <c r="AY315" s="3" t="s">
        <v>3076</v>
      </c>
      <c r="AZ315" s="3" t="s">
        <v>3077</v>
      </c>
      <c r="BA315" s="3" t="s">
        <v>3077</v>
      </c>
      <c r="BB315" s="3" t="s">
        <v>3086</v>
      </c>
      <c r="BC315" s="3" t="s">
        <v>77</v>
      </c>
      <c r="BD315" s="3" t="s">
        <v>78</v>
      </c>
      <c r="BE315" s="3" t="s">
        <v>3079</v>
      </c>
      <c r="BF315" s="3" t="s">
        <v>3086</v>
      </c>
      <c r="BG315" s="3" t="s">
        <v>3087</v>
      </c>
      <c r="BH315">
        <f t="shared" si="9"/>
        <v>0</v>
      </c>
    </row>
    <row r="316" spans="1:60" ht="58" x14ac:dyDescent="0.35">
      <c r="A316" s="2" t="s">
        <v>59</v>
      </c>
      <c r="B316" s="2" t="s">
        <v>60</v>
      </c>
      <c r="C316" s="2" t="s">
        <v>3066</v>
      </c>
      <c r="D316" s="2" t="s">
        <v>3067</v>
      </c>
      <c r="E316" s="2" t="s">
        <v>3068</v>
      </c>
      <c r="F316" s="3" t="s">
        <v>3088</v>
      </c>
      <c r="G316" s="3" t="s">
        <v>128</v>
      </c>
      <c r="I316" s="3" t="s">
        <v>64</v>
      </c>
      <c r="J316" s="3" t="s">
        <v>64</v>
      </c>
      <c r="K316" s="3" t="s">
        <v>65</v>
      </c>
      <c r="L316" s="2" t="s">
        <v>3070</v>
      </c>
      <c r="M316" s="2" t="s">
        <v>3071</v>
      </c>
      <c r="N316" s="3" t="s">
        <v>3072</v>
      </c>
      <c r="P316" s="3" t="s">
        <v>68</v>
      </c>
      <c r="R316" s="3" t="s">
        <v>70</v>
      </c>
      <c r="S316" s="4">
        <v>0</v>
      </c>
      <c r="T316" s="4">
        <v>11</v>
      </c>
      <c r="V316" s="5" t="s">
        <v>3074</v>
      </c>
      <c r="W316" s="5" t="s">
        <v>72</v>
      </c>
      <c r="X316" s="5" t="s">
        <v>72</v>
      </c>
      <c r="Y316" s="4">
        <v>14</v>
      </c>
      <c r="Z316" s="4">
        <v>3</v>
      </c>
      <c r="AA316" s="4">
        <v>19</v>
      </c>
      <c r="AB316" s="4">
        <v>1</v>
      </c>
      <c r="AC316" s="4">
        <v>5</v>
      </c>
      <c r="AD316" s="4">
        <v>5</v>
      </c>
      <c r="AE316" s="4">
        <v>89</v>
      </c>
      <c r="AF316" s="4">
        <v>0</v>
      </c>
      <c r="AG316" s="4">
        <v>3</v>
      </c>
      <c r="AH316" s="4">
        <v>3</v>
      </c>
      <c r="AI316" s="4">
        <v>75</v>
      </c>
      <c r="AJ316" s="4">
        <v>2</v>
      </c>
      <c r="AK316" s="4">
        <v>17</v>
      </c>
      <c r="AL316" s="4">
        <v>1</v>
      </c>
      <c r="AM316" s="4">
        <v>46</v>
      </c>
      <c r="AN316" s="4">
        <v>0</v>
      </c>
      <c r="AO316" s="4">
        <v>0</v>
      </c>
      <c r="AP316" s="4">
        <v>2</v>
      </c>
      <c r="AQ316" s="4">
        <v>15</v>
      </c>
      <c r="AR316" s="3" t="s">
        <v>64</v>
      </c>
      <c r="AS316" s="3" t="s">
        <v>64</v>
      </c>
      <c r="AT316" s="3" t="s">
        <v>128</v>
      </c>
      <c r="AU316" s="6" t="str">
        <f t="shared" si="10"/>
        <v>HathiTrust Record</v>
      </c>
      <c r="AV316" s="6" t="str">
        <f t="shared" si="11"/>
        <v>Catalog Record</v>
      </c>
      <c r="AW316" s="6" t="str">
        <f t="shared" si="12"/>
        <v>WorldCat Record</v>
      </c>
      <c r="AX316" s="3" t="s">
        <v>3075</v>
      </c>
      <c r="AY316" s="3" t="s">
        <v>3076</v>
      </c>
      <c r="AZ316" s="3" t="s">
        <v>3077</v>
      </c>
      <c r="BA316" s="3" t="s">
        <v>3077</v>
      </c>
      <c r="BB316" s="3" t="s">
        <v>3089</v>
      </c>
      <c r="BC316" s="3" t="s">
        <v>77</v>
      </c>
      <c r="BD316" s="3" t="s">
        <v>78</v>
      </c>
      <c r="BE316" s="3" t="s">
        <v>3079</v>
      </c>
      <c r="BF316" s="3" t="s">
        <v>3089</v>
      </c>
      <c r="BG316" s="3" t="s">
        <v>3090</v>
      </c>
      <c r="BH316">
        <f t="shared" si="9"/>
        <v>0</v>
      </c>
    </row>
    <row r="317" spans="1:60" ht="58" x14ac:dyDescent="0.35">
      <c r="A317" s="2" t="s">
        <v>59</v>
      </c>
      <c r="B317" s="2" t="s">
        <v>60</v>
      </c>
      <c r="C317" s="2" t="s">
        <v>3066</v>
      </c>
      <c r="D317" s="2" t="s">
        <v>3067</v>
      </c>
      <c r="E317" s="2" t="s">
        <v>3068</v>
      </c>
      <c r="F317" s="3" t="s">
        <v>3091</v>
      </c>
      <c r="G317" s="3" t="s">
        <v>128</v>
      </c>
      <c r="I317" s="3" t="s">
        <v>64</v>
      </c>
      <c r="J317" s="3" t="s">
        <v>64</v>
      </c>
      <c r="K317" s="3" t="s">
        <v>65</v>
      </c>
      <c r="L317" s="2" t="s">
        <v>3070</v>
      </c>
      <c r="M317" s="2" t="s">
        <v>3071</v>
      </c>
      <c r="N317" s="3" t="s">
        <v>3072</v>
      </c>
      <c r="P317" s="3" t="s">
        <v>68</v>
      </c>
      <c r="R317" s="3" t="s">
        <v>70</v>
      </c>
      <c r="S317" s="4">
        <v>0</v>
      </c>
      <c r="T317" s="4">
        <v>11</v>
      </c>
      <c r="V317" s="5" t="s">
        <v>3074</v>
      </c>
      <c r="W317" s="5" t="s">
        <v>72</v>
      </c>
      <c r="X317" s="5" t="s">
        <v>72</v>
      </c>
      <c r="Y317" s="4">
        <v>14</v>
      </c>
      <c r="Z317" s="4">
        <v>3</v>
      </c>
      <c r="AA317" s="4">
        <v>19</v>
      </c>
      <c r="AB317" s="4">
        <v>1</v>
      </c>
      <c r="AC317" s="4">
        <v>5</v>
      </c>
      <c r="AD317" s="4">
        <v>5</v>
      </c>
      <c r="AE317" s="4">
        <v>89</v>
      </c>
      <c r="AF317" s="4">
        <v>0</v>
      </c>
      <c r="AG317" s="4">
        <v>3</v>
      </c>
      <c r="AH317" s="4">
        <v>3</v>
      </c>
      <c r="AI317" s="4">
        <v>75</v>
      </c>
      <c r="AJ317" s="4">
        <v>2</v>
      </c>
      <c r="AK317" s="4">
        <v>17</v>
      </c>
      <c r="AL317" s="4">
        <v>1</v>
      </c>
      <c r="AM317" s="4">
        <v>46</v>
      </c>
      <c r="AN317" s="4">
        <v>0</v>
      </c>
      <c r="AO317" s="4">
        <v>0</v>
      </c>
      <c r="AP317" s="4">
        <v>2</v>
      </c>
      <c r="AQ317" s="4">
        <v>15</v>
      </c>
      <c r="AR317" s="3" t="s">
        <v>64</v>
      </c>
      <c r="AS317" s="3" t="s">
        <v>64</v>
      </c>
      <c r="AT317" s="3" t="s">
        <v>128</v>
      </c>
      <c r="AU317" s="6" t="str">
        <f t="shared" si="10"/>
        <v>HathiTrust Record</v>
      </c>
      <c r="AV317" s="6" t="str">
        <f t="shared" si="11"/>
        <v>Catalog Record</v>
      </c>
      <c r="AW317" s="6" t="str">
        <f t="shared" si="12"/>
        <v>WorldCat Record</v>
      </c>
      <c r="AX317" s="3" t="s">
        <v>3075</v>
      </c>
      <c r="AY317" s="3" t="s">
        <v>3076</v>
      </c>
      <c r="AZ317" s="3" t="s">
        <v>3077</v>
      </c>
      <c r="BA317" s="3" t="s">
        <v>3077</v>
      </c>
      <c r="BB317" s="3" t="s">
        <v>3092</v>
      </c>
      <c r="BC317" s="3" t="s">
        <v>77</v>
      </c>
      <c r="BD317" s="3" t="s">
        <v>78</v>
      </c>
      <c r="BE317" s="3" t="s">
        <v>3079</v>
      </c>
      <c r="BF317" s="3" t="s">
        <v>3092</v>
      </c>
      <c r="BG317" s="3" t="s">
        <v>3093</v>
      </c>
      <c r="BH317">
        <f t="shared" si="9"/>
        <v>0</v>
      </c>
    </row>
    <row r="318" spans="1:60" ht="58" x14ac:dyDescent="0.35">
      <c r="A318" s="2" t="s">
        <v>59</v>
      </c>
      <c r="B318" s="2" t="s">
        <v>60</v>
      </c>
      <c r="C318" s="2" t="s">
        <v>3066</v>
      </c>
      <c r="D318" s="2" t="s">
        <v>3067</v>
      </c>
      <c r="E318" s="2" t="s">
        <v>3068</v>
      </c>
      <c r="F318" s="3" t="s">
        <v>3094</v>
      </c>
      <c r="G318" s="3" t="s">
        <v>128</v>
      </c>
      <c r="I318" s="3" t="s">
        <v>64</v>
      </c>
      <c r="J318" s="3" t="s">
        <v>64</v>
      </c>
      <c r="K318" s="3" t="s">
        <v>65</v>
      </c>
      <c r="L318" s="2" t="s">
        <v>3070</v>
      </c>
      <c r="M318" s="2" t="s">
        <v>3071</v>
      </c>
      <c r="N318" s="3" t="s">
        <v>3072</v>
      </c>
      <c r="P318" s="3" t="s">
        <v>68</v>
      </c>
      <c r="R318" s="3" t="s">
        <v>70</v>
      </c>
      <c r="S318" s="4">
        <v>4</v>
      </c>
      <c r="T318" s="4">
        <v>11</v>
      </c>
      <c r="U318" s="5" t="s">
        <v>3074</v>
      </c>
      <c r="V318" s="5" t="s">
        <v>3074</v>
      </c>
      <c r="W318" s="5" t="s">
        <v>72</v>
      </c>
      <c r="X318" s="5" t="s">
        <v>72</v>
      </c>
      <c r="Y318" s="4">
        <v>14</v>
      </c>
      <c r="Z318" s="4">
        <v>3</v>
      </c>
      <c r="AA318" s="4">
        <v>19</v>
      </c>
      <c r="AB318" s="4">
        <v>1</v>
      </c>
      <c r="AC318" s="4">
        <v>5</v>
      </c>
      <c r="AD318" s="4">
        <v>5</v>
      </c>
      <c r="AE318" s="4">
        <v>89</v>
      </c>
      <c r="AF318" s="4">
        <v>0</v>
      </c>
      <c r="AG318" s="4">
        <v>3</v>
      </c>
      <c r="AH318" s="4">
        <v>3</v>
      </c>
      <c r="AI318" s="4">
        <v>75</v>
      </c>
      <c r="AJ318" s="4">
        <v>2</v>
      </c>
      <c r="AK318" s="4">
        <v>17</v>
      </c>
      <c r="AL318" s="4">
        <v>1</v>
      </c>
      <c r="AM318" s="4">
        <v>46</v>
      </c>
      <c r="AN318" s="4">
        <v>0</v>
      </c>
      <c r="AO318" s="4">
        <v>0</v>
      </c>
      <c r="AP318" s="4">
        <v>2</v>
      </c>
      <c r="AQ318" s="4">
        <v>15</v>
      </c>
      <c r="AR318" s="3" t="s">
        <v>64</v>
      </c>
      <c r="AS318" s="3" t="s">
        <v>64</v>
      </c>
      <c r="AT318" s="3" t="s">
        <v>128</v>
      </c>
      <c r="AU318" s="6" t="str">
        <f t="shared" si="10"/>
        <v>HathiTrust Record</v>
      </c>
      <c r="AV318" s="6" t="str">
        <f t="shared" si="11"/>
        <v>Catalog Record</v>
      </c>
      <c r="AW318" s="6" t="str">
        <f t="shared" si="12"/>
        <v>WorldCat Record</v>
      </c>
      <c r="AX318" s="3" t="s">
        <v>3075</v>
      </c>
      <c r="AY318" s="3" t="s">
        <v>3076</v>
      </c>
      <c r="AZ318" s="3" t="s">
        <v>3077</v>
      </c>
      <c r="BA318" s="3" t="s">
        <v>3077</v>
      </c>
      <c r="BB318" s="3" t="s">
        <v>3095</v>
      </c>
      <c r="BC318" s="3" t="s">
        <v>77</v>
      </c>
      <c r="BD318" s="3" t="s">
        <v>78</v>
      </c>
      <c r="BE318" s="3" t="s">
        <v>3079</v>
      </c>
      <c r="BF318" s="3" t="s">
        <v>3095</v>
      </c>
      <c r="BG318" s="3" t="s">
        <v>3096</v>
      </c>
      <c r="BH318">
        <f t="shared" si="9"/>
        <v>0</v>
      </c>
    </row>
    <row r="319" spans="1:60" ht="58" x14ac:dyDescent="0.35">
      <c r="A319" s="2" t="s">
        <v>59</v>
      </c>
      <c r="B319" s="2" t="s">
        <v>60</v>
      </c>
      <c r="C319" s="2" t="s">
        <v>3066</v>
      </c>
      <c r="D319" s="2" t="s">
        <v>3067</v>
      </c>
      <c r="E319" s="2" t="s">
        <v>3068</v>
      </c>
      <c r="F319" s="3" t="s">
        <v>3097</v>
      </c>
      <c r="G319" s="3" t="s">
        <v>128</v>
      </c>
      <c r="I319" s="3" t="s">
        <v>64</v>
      </c>
      <c r="J319" s="3" t="s">
        <v>64</v>
      </c>
      <c r="K319" s="3" t="s">
        <v>65</v>
      </c>
      <c r="L319" s="2" t="s">
        <v>3070</v>
      </c>
      <c r="M319" s="2" t="s">
        <v>3071</v>
      </c>
      <c r="N319" s="3" t="s">
        <v>3072</v>
      </c>
      <c r="P319" s="3" t="s">
        <v>68</v>
      </c>
      <c r="R319" s="3" t="s">
        <v>70</v>
      </c>
      <c r="S319" s="4">
        <v>0</v>
      </c>
      <c r="T319" s="4">
        <v>11</v>
      </c>
      <c r="V319" s="5" t="s">
        <v>3074</v>
      </c>
      <c r="W319" s="5" t="s">
        <v>72</v>
      </c>
      <c r="X319" s="5" t="s">
        <v>72</v>
      </c>
      <c r="Y319" s="4">
        <v>14</v>
      </c>
      <c r="Z319" s="4">
        <v>3</v>
      </c>
      <c r="AA319" s="4">
        <v>19</v>
      </c>
      <c r="AB319" s="4">
        <v>1</v>
      </c>
      <c r="AC319" s="4">
        <v>5</v>
      </c>
      <c r="AD319" s="4">
        <v>5</v>
      </c>
      <c r="AE319" s="4">
        <v>89</v>
      </c>
      <c r="AF319" s="4">
        <v>0</v>
      </c>
      <c r="AG319" s="4">
        <v>3</v>
      </c>
      <c r="AH319" s="4">
        <v>3</v>
      </c>
      <c r="AI319" s="4">
        <v>75</v>
      </c>
      <c r="AJ319" s="4">
        <v>2</v>
      </c>
      <c r="AK319" s="4">
        <v>17</v>
      </c>
      <c r="AL319" s="4">
        <v>1</v>
      </c>
      <c r="AM319" s="4">
        <v>46</v>
      </c>
      <c r="AN319" s="4">
        <v>0</v>
      </c>
      <c r="AO319" s="4">
        <v>0</v>
      </c>
      <c r="AP319" s="4">
        <v>2</v>
      </c>
      <c r="AQ319" s="4">
        <v>15</v>
      </c>
      <c r="AR319" s="3" t="s">
        <v>64</v>
      </c>
      <c r="AS319" s="3" t="s">
        <v>64</v>
      </c>
      <c r="AT319" s="3" t="s">
        <v>128</v>
      </c>
      <c r="AU319" s="6" t="str">
        <f t="shared" si="10"/>
        <v>HathiTrust Record</v>
      </c>
      <c r="AV319" s="6" t="str">
        <f t="shared" si="11"/>
        <v>Catalog Record</v>
      </c>
      <c r="AW319" s="6" t="str">
        <f t="shared" si="12"/>
        <v>WorldCat Record</v>
      </c>
      <c r="AX319" s="3" t="s">
        <v>3075</v>
      </c>
      <c r="AY319" s="3" t="s">
        <v>3076</v>
      </c>
      <c r="AZ319" s="3" t="s">
        <v>3077</v>
      </c>
      <c r="BA319" s="3" t="s">
        <v>3077</v>
      </c>
      <c r="BB319" s="3" t="s">
        <v>3098</v>
      </c>
      <c r="BC319" s="3" t="s">
        <v>77</v>
      </c>
      <c r="BD319" s="3" t="s">
        <v>78</v>
      </c>
      <c r="BE319" s="3" t="s">
        <v>3079</v>
      </c>
      <c r="BF319" s="3" t="s">
        <v>3098</v>
      </c>
      <c r="BG319" s="3" t="s">
        <v>3099</v>
      </c>
      <c r="BH319">
        <f t="shared" si="9"/>
        <v>0</v>
      </c>
    </row>
    <row r="320" spans="1:60" ht="58" x14ac:dyDescent="0.35">
      <c r="A320" s="2" t="s">
        <v>59</v>
      </c>
      <c r="B320" s="2" t="s">
        <v>60</v>
      </c>
      <c r="C320" s="2" t="s">
        <v>3066</v>
      </c>
      <c r="D320" s="2" t="s">
        <v>3067</v>
      </c>
      <c r="E320" s="2" t="s">
        <v>3068</v>
      </c>
      <c r="F320" s="3" t="s">
        <v>3100</v>
      </c>
      <c r="G320" s="3" t="s">
        <v>128</v>
      </c>
      <c r="I320" s="3" t="s">
        <v>64</v>
      </c>
      <c r="J320" s="3" t="s">
        <v>64</v>
      </c>
      <c r="K320" s="3" t="s">
        <v>65</v>
      </c>
      <c r="L320" s="2" t="s">
        <v>3070</v>
      </c>
      <c r="M320" s="2" t="s">
        <v>3071</v>
      </c>
      <c r="N320" s="3" t="s">
        <v>3072</v>
      </c>
      <c r="P320" s="3" t="s">
        <v>68</v>
      </c>
      <c r="R320" s="3" t="s">
        <v>70</v>
      </c>
      <c r="S320" s="4">
        <v>0</v>
      </c>
      <c r="T320" s="4">
        <v>11</v>
      </c>
      <c r="V320" s="5" t="s">
        <v>3074</v>
      </c>
      <c r="W320" s="5" t="s">
        <v>72</v>
      </c>
      <c r="X320" s="5" t="s">
        <v>72</v>
      </c>
      <c r="Y320" s="4">
        <v>14</v>
      </c>
      <c r="Z320" s="4">
        <v>3</v>
      </c>
      <c r="AA320" s="4">
        <v>19</v>
      </c>
      <c r="AB320" s="4">
        <v>1</v>
      </c>
      <c r="AC320" s="4">
        <v>5</v>
      </c>
      <c r="AD320" s="4">
        <v>5</v>
      </c>
      <c r="AE320" s="4">
        <v>89</v>
      </c>
      <c r="AF320" s="4">
        <v>0</v>
      </c>
      <c r="AG320" s="4">
        <v>3</v>
      </c>
      <c r="AH320" s="4">
        <v>3</v>
      </c>
      <c r="AI320" s="4">
        <v>75</v>
      </c>
      <c r="AJ320" s="4">
        <v>2</v>
      </c>
      <c r="AK320" s="4">
        <v>17</v>
      </c>
      <c r="AL320" s="4">
        <v>1</v>
      </c>
      <c r="AM320" s="4">
        <v>46</v>
      </c>
      <c r="AN320" s="4">
        <v>0</v>
      </c>
      <c r="AO320" s="4">
        <v>0</v>
      </c>
      <c r="AP320" s="4">
        <v>2</v>
      </c>
      <c r="AQ320" s="4">
        <v>15</v>
      </c>
      <c r="AR320" s="3" t="s">
        <v>64</v>
      </c>
      <c r="AS320" s="3" t="s">
        <v>64</v>
      </c>
      <c r="AT320" s="3" t="s">
        <v>128</v>
      </c>
      <c r="AU320" s="6" t="str">
        <f t="shared" si="10"/>
        <v>HathiTrust Record</v>
      </c>
      <c r="AV320" s="6" t="str">
        <f t="shared" si="11"/>
        <v>Catalog Record</v>
      </c>
      <c r="AW320" s="6" t="str">
        <f t="shared" si="12"/>
        <v>WorldCat Record</v>
      </c>
      <c r="AX320" s="3" t="s">
        <v>3075</v>
      </c>
      <c r="AY320" s="3" t="s">
        <v>3076</v>
      </c>
      <c r="AZ320" s="3" t="s">
        <v>3077</v>
      </c>
      <c r="BA320" s="3" t="s">
        <v>3077</v>
      </c>
      <c r="BB320" s="3" t="s">
        <v>3101</v>
      </c>
      <c r="BC320" s="3" t="s">
        <v>77</v>
      </c>
      <c r="BD320" s="3" t="s">
        <v>78</v>
      </c>
      <c r="BE320" s="3" t="s">
        <v>3079</v>
      </c>
      <c r="BF320" s="3" t="s">
        <v>3101</v>
      </c>
      <c r="BG320" s="3" t="s">
        <v>3102</v>
      </c>
      <c r="BH320">
        <f t="shared" si="9"/>
        <v>0</v>
      </c>
    </row>
    <row r="321" spans="1:60" ht="58" x14ac:dyDescent="0.35">
      <c r="A321" s="2" t="s">
        <v>59</v>
      </c>
      <c r="B321" s="2" t="s">
        <v>60</v>
      </c>
      <c r="C321" s="2" t="s">
        <v>3066</v>
      </c>
      <c r="D321" s="2" t="s">
        <v>3067</v>
      </c>
      <c r="E321" s="2" t="s">
        <v>3068</v>
      </c>
      <c r="F321" s="3" t="s">
        <v>3103</v>
      </c>
      <c r="G321" s="3" t="s">
        <v>128</v>
      </c>
      <c r="I321" s="3" t="s">
        <v>64</v>
      </c>
      <c r="J321" s="3" t="s">
        <v>64</v>
      </c>
      <c r="K321" s="3" t="s">
        <v>65</v>
      </c>
      <c r="L321" s="2" t="s">
        <v>3070</v>
      </c>
      <c r="M321" s="2" t="s">
        <v>3071</v>
      </c>
      <c r="N321" s="3" t="s">
        <v>3072</v>
      </c>
      <c r="P321" s="3" t="s">
        <v>68</v>
      </c>
      <c r="R321" s="3" t="s">
        <v>70</v>
      </c>
      <c r="S321" s="4">
        <v>0</v>
      </c>
      <c r="T321" s="4">
        <v>11</v>
      </c>
      <c r="V321" s="5" t="s">
        <v>3074</v>
      </c>
      <c r="W321" s="5" t="s">
        <v>72</v>
      </c>
      <c r="X321" s="5" t="s">
        <v>72</v>
      </c>
      <c r="Y321" s="4">
        <v>14</v>
      </c>
      <c r="Z321" s="4">
        <v>3</v>
      </c>
      <c r="AA321" s="4">
        <v>19</v>
      </c>
      <c r="AB321" s="4">
        <v>1</v>
      </c>
      <c r="AC321" s="4">
        <v>5</v>
      </c>
      <c r="AD321" s="4">
        <v>5</v>
      </c>
      <c r="AE321" s="4">
        <v>89</v>
      </c>
      <c r="AF321" s="4">
        <v>0</v>
      </c>
      <c r="AG321" s="4">
        <v>3</v>
      </c>
      <c r="AH321" s="4">
        <v>3</v>
      </c>
      <c r="AI321" s="4">
        <v>75</v>
      </c>
      <c r="AJ321" s="4">
        <v>2</v>
      </c>
      <c r="AK321" s="4">
        <v>17</v>
      </c>
      <c r="AL321" s="4">
        <v>1</v>
      </c>
      <c r="AM321" s="4">
        <v>46</v>
      </c>
      <c r="AN321" s="4">
        <v>0</v>
      </c>
      <c r="AO321" s="4">
        <v>0</v>
      </c>
      <c r="AP321" s="4">
        <v>2</v>
      </c>
      <c r="AQ321" s="4">
        <v>15</v>
      </c>
      <c r="AR321" s="3" t="s">
        <v>64</v>
      </c>
      <c r="AS321" s="3" t="s">
        <v>64</v>
      </c>
      <c r="AT321" s="3" t="s">
        <v>128</v>
      </c>
      <c r="AU321" s="6" t="str">
        <f t="shared" si="10"/>
        <v>HathiTrust Record</v>
      </c>
      <c r="AV321" s="6" t="str">
        <f t="shared" si="11"/>
        <v>Catalog Record</v>
      </c>
      <c r="AW321" s="6" t="str">
        <f t="shared" si="12"/>
        <v>WorldCat Record</v>
      </c>
      <c r="AX321" s="3" t="s">
        <v>3075</v>
      </c>
      <c r="AY321" s="3" t="s">
        <v>3076</v>
      </c>
      <c r="AZ321" s="3" t="s">
        <v>3077</v>
      </c>
      <c r="BA321" s="3" t="s">
        <v>3077</v>
      </c>
      <c r="BB321" s="3" t="s">
        <v>3104</v>
      </c>
      <c r="BC321" s="3" t="s">
        <v>77</v>
      </c>
      <c r="BD321" s="3" t="s">
        <v>78</v>
      </c>
      <c r="BE321" s="3" t="s">
        <v>3079</v>
      </c>
      <c r="BF321" s="3" t="s">
        <v>3104</v>
      </c>
      <c r="BG321" s="3" t="s">
        <v>3105</v>
      </c>
      <c r="BH321">
        <f t="shared" si="9"/>
        <v>0</v>
      </c>
    </row>
    <row r="322" spans="1:60" ht="58" x14ac:dyDescent="0.35">
      <c r="A322" s="2" t="s">
        <v>59</v>
      </c>
      <c r="B322" s="2" t="s">
        <v>60</v>
      </c>
      <c r="C322" s="2" t="s">
        <v>3066</v>
      </c>
      <c r="D322" s="2" t="s">
        <v>3067</v>
      </c>
      <c r="E322" s="2" t="s">
        <v>3068</v>
      </c>
      <c r="F322" s="3" t="s">
        <v>3106</v>
      </c>
      <c r="G322" s="3" t="s">
        <v>128</v>
      </c>
      <c r="I322" s="3" t="s">
        <v>64</v>
      </c>
      <c r="J322" s="3" t="s">
        <v>64</v>
      </c>
      <c r="K322" s="3" t="s">
        <v>65</v>
      </c>
      <c r="L322" s="2" t="s">
        <v>3070</v>
      </c>
      <c r="M322" s="2" t="s">
        <v>3071</v>
      </c>
      <c r="N322" s="3" t="s">
        <v>3072</v>
      </c>
      <c r="P322" s="3" t="s">
        <v>68</v>
      </c>
      <c r="R322" s="3" t="s">
        <v>70</v>
      </c>
      <c r="S322" s="4">
        <v>1</v>
      </c>
      <c r="T322" s="4">
        <v>11</v>
      </c>
      <c r="U322" s="5" t="s">
        <v>3082</v>
      </c>
      <c r="V322" s="5" t="s">
        <v>3074</v>
      </c>
      <c r="W322" s="5" t="s">
        <v>72</v>
      </c>
      <c r="X322" s="5" t="s">
        <v>72</v>
      </c>
      <c r="Y322" s="4">
        <v>14</v>
      </c>
      <c r="Z322" s="4">
        <v>3</v>
      </c>
      <c r="AA322" s="4">
        <v>19</v>
      </c>
      <c r="AB322" s="4">
        <v>1</v>
      </c>
      <c r="AC322" s="4">
        <v>5</v>
      </c>
      <c r="AD322" s="4">
        <v>5</v>
      </c>
      <c r="AE322" s="4">
        <v>89</v>
      </c>
      <c r="AF322" s="4">
        <v>0</v>
      </c>
      <c r="AG322" s="4">
        <v>3</v>
      </c>
      <c r="AH322" s="4">
        <v>3</v>
      </c>
      <c r="AI322" s="4">
        <v>75</v>
      </c>
      <c r="AJ322" s="4">
        <v>2</v>
      </c>
      <c r="AK322" s="4">
        <v>17</v>
      </c>
      <c r="AL322" s="4">
        <v>1</v>
      </c>
      <c r="AM322" s="4">
        <v>46</v>
      </c>
      <c r="AN322" s="4">
        <v>0</v>
      </c>
      <c r="AO322" s="4">
        <v>0</v>
      </c>
      <c r="AP322" s="4">
        <v>2</v>
      </c>
      <c r="AQ322" s="4">
        <v>15</v>
      </c>
      <c r="AR322" s="3" t="s">
        <v>64</v>
      </c>
      <c r="AS322" s="3" t="s">
        <v>64</v>
      </c>
      <c r="AT322" s="3" t="s">
        <v>128</v>
      </c>
      <c r="AU322" s="6" t="str">
        <f t="shared" si="10"/>
        <v>HathiTrust Record</v>
      </c>
      <c r="AV322" s="6" t="str">
        <f t="shared" si="11"/>
        <v>Catalog Record</v>
      </c>
      <c r="AW322" s="6" t="str">
        <f t="shared" si="12"/>
        <v>WorldCat Record</v>
      </c>
      <c r="AX322" s="3" t="s">
        <v>3075</v>
      </c>
      <c r="AY322" s="3" t="s">
        <v>3076</v>
      </c>
      <c r="AZ322" s="3" t="s">
        <v>3077</v>
      </c>
      <c r="BA322" s="3" t="s">
        <v>3077</v>
      </c>
      <c r="BB322" s="3" t="s">
        <v>3107</v>
      </c>
      <c r="BC322" s="3" t="s">
        <v>77</v>
      </c>
      <c r="BD322" s="3" t="s">
        <v>78</v>
      </c>
      <c r="BE322" s="3" t="s">
        <v>3079</v>
      </c>
      <c r="BF322" s="3" t="s">
        <v>3107</v>
      </c>
      <c r="BG322" s="3" t="s">
        <v>3108</v>
      </c>
      <c r="BH322">
        <f t="shared" ref="BH322:BH385" si="13">IF(COUNTIF($BF$1:$BF$5431,BF322)=1,0,1)</f>
        <v>0</v>
      </c>
    </row>
    <row r="323" spans="1:60" ht="58" x14ac:dyDescent="0.35">
      <c r="A323" s="2" t="s">
        <v>59</v>
      </c>
      <c r="B323" s="2" t="s">
        <v>60</v>
      </c>
      <c r="C323" s="2" t="s">
        <v>3066</v>
      </c>
      <c r="D323" s="2" t="s">
        <v>3067</v>
      </c>
      <c r="E323" s="2" t="s">
        <v>3068</v>
      </c>
      <c r="F323" s="3" t="s">
        <v>3109</v>
      </c>
      <c r="G323" s="3" t="s">
        <v>128</v>
      </c>
      <c r="I323" s="3" t="s">
        <v>64</v>
      </c>
      <c r="J323" s="3" t="s">
        <v>64</v>
      </c>
      <c r="K323" s="3" t="s">
        <v>65</v>
      </c>
      <c r="L323" s="2" t="s">
        <v>3070</v>
      </c>
      <c r="M323" s="2" t="s">
        <v>3071</v>
      </c>
      <c r="N323" s="3" t="s">
        <v>3072</v>
      </c>
      <c r="P323" s="3" t="s">
        <v>68</v>
      </c>
      <c r="R323" s="3" t="s">
        <v>70</v>
      </c>
      <c r="S323" s="4">
        <v>0</v>
      </c>
      <c r="T323" s="4">
        <v>11</v>
      </c>
      <c r="V323" s="5" t="s">
        <v>3074</v>
      </c>
      <c r="W323" s="5" t="s">
        <v>72</v>
      </c>
      <c r="X323" s="5" t="s">
        <v>72</v>
      </c>
      <c r="Y323" s="4">
        <v>14</v>
      </c>
      <c r="Z323" s="4">
        <v>3</v>
      </c>
      <c r="AA323" s="4">
        <v>19</v>
      </c>
      <c r="AB323" s="4">
        <v>1</v>
      </c>
      <c r="AC323" s="4">
        <v>5</v>
      </c>
      <c r="AD323" s="4">
        <v>5</v>
      </c>
      <c r="AE323" s="4">
        <v>89</v>
      </c>
      <c r="AF323" s="4">
        <v>0</v>
      </c>
      <c r="AG323" s="4">
        <v>3</v>
      </c>
      <c r="AH323" s="4">
        <v>3</v>
      </c>
      <c r="AI323" s="4">
        <v>75</v>
      </c>
      <c r="AJ323" s="4">
        <v>2</v>
      </c>
      <c r="AK323" s="4">
        <v>17</v>
      </c>
      <c r="AL323" s="4">
        <v>1</v>
      </c>
      <c r="AM323" s="4">
        <v>46</v>
      </c>
      <c r="AN323" s="4">
        <v>0</v>
      </c>
      <c r="AO323" s="4">
        <v>0</v>
      </c>
      <c r="AP323" s="4">
        <v>2</v>
      </c>
      <c r="AQ323" s="4">
        <v>15</v>
      </c>
      <c r="AR323" s="3" t="s">
        <v>64</v>
      </c>
      <c r="AS323" s="3" t="s">
        <v>64</v>
      </c>
      <c r="AT323" s="3" t="s">
        <v>128</v>
      </c>
      <c r="AU323" s="6" t="str">
        <f t="shared" si="10"/>
        <v>HathiTrust Record</v>
      </c>
      <c r="AV323" s="6" t="str">
        <f t="shared" si="11"/>
        <v>Catalog Record</v>
      </c>
      <c r="AW323" s="6" t="str">
        <f t="shared" si="12"/>
        <v>WorldCat Record</v>
      </c>
      <c r="AX323" s="3" t="s">
        <v>3075</v>
      </c>
      <c r="AY323" s="3" t="s">
        <v>3076</v>
      </c>
      <c r="AZ323" s="3" t="s">
        <v>3077</v>
      </c>
      <c r="BA323" s="3" t="s">
        <v>3077</v>
      </c>
      <c r="BB323" s="3" t="s">
        <v>3110</v>
      </c>
      <c r="BC323" s="3" t="s">
        <v>77</v>
      </c>
      <c r="BD323" s="3" t="s">
        <v>78</v>
      </c>
      <c r="BE323" s="3" t="s">
        <v>3079</v>
      </c>
      <c r="BF323" s="3" t="s">
        <v>3110</v>
      </c>
      <c r="BG323" s="3" t="s">
        <v>3111</v>
      </c>
      <c r="BH323">
        <f t="shared" si="13"/>
        <v>0</v>
      </c>
    </row>
    <row r="324" spans="1:60" ht="58" x14ac:dyDescent="0.35">
      <c r="A324" s="2" t="s">
        <v>59</v>
      </c>
      <c r="B324" s="2" t="s">
        <v>60</v>
      </c>
      <c r="C324" s="2" t="s">
        <v>3066</v>
      </c>
      <c r="D324" s="2" t="s">
        <v>3067</v>
      </c>
      <c r="E324" s="2" t="s">
        <v>3068</v>
      </c>
      <c r="F324" s="3" t="s">
        <v>3112</v>
      </c>
      <c r="G324" s="3" t="s">
        <v>128</v>
      </c>
      <c r="I324" s="3" t="s">
        <v>64</v>
      </c>
      <c r="J324" s="3" t="s">
        <v>64</v>
      </c>
      <c r="K324" s="3" t="s">
        <v>65</v>
      </c>
      <c r="L324" s="2" t="s">
        <v>3070</v>
      </c>
      <c r="M324" s="2" t="s">
        <v>3071</v>
      </c>
      <c r="N324" s="3" t="s">
        <v>3072</v>
      </c>
      <c r="P324" s="3" t="s">
        <v>68</v>
      </c>
      <c r="R324" s="3" t="s">
        <v>70</v>
      </c>
      <c r="S324" s="4">
        <v>0</v>
      </c>
      <c r="T324" s="4">
        <v>11</v>
      </c>
      <c r="V324" s="5" t="s">
        <v>3074</v>
      </c>
      <c r="W324" s="5" t="s">
        <v>72</v>
      </c>
      <c r="X324" s="5" t="s">
        <v>72</v>
      </c>
      <c r="Y324" s="4">
        <v>14</v>
      </c>
      <c r="Z324" s="4">
        <v>3</v>
      </c>
      <c r="AA324" s="4">
        <v>19</v>
      </c>
      <c r="AB324" s="4">
        <v>1</v>
      </c>
      <c r="AC324" s="4">
        <v>5</v>
      </c>
      <c r="AD324" s="4">
        <v>5</v>
      </c>
      <c r="AE324" s="4">
        <v>89</v>
      </c>
      <c r="AF324" s="4">
        <v>0</v>
      </c>
      <c r="AG324" s="4">
        <v>3</v>
      </c>
      <c r="AH324" s="4">
        <v>3</v>
      </c>
      <c r="AI324" s="4">
        <v>75</v>
      </c>
      <c r="AJ324" s="4">
        <v>2</v>
      </c>
      <c r="AK324" s="4">
        <v>17</v>
      </c>
      <c r="AL324" s="4">
        <v>1</v>
      </c>
      <c r="AM324" s="4">
        <v>46</v>
      </c>
      <c r="AN324" s="4">
        <v>0</v>
      </c>
      <c r="AO324" s="4">
        <v>0</v>
      </c>
      <c r="AP324" s="4">
        <v>2</v>
      </c>
      <c r="AQ324" s="4">
        <v>15</v>
      </c>
      <c r="AR324" s="3" t="s">
        <v>64</v>
      </c>
      <c r="AS324" s="3" t="s">
        <v>64</v>
      </c>
      <c r="AT324" s="3" t="s">
        <v>128</v>
      </c>
      <c r="AU324" s="6" t="str">
        <f t="shared" si="10"/>
        <v>HathiTrust Record</v>
      </c>
      <c r="AV324" s="6" t="str">
        <f t="shared" si="11"/>
        <v>Catalog Record</v>
      </c>
      <c r="AW324" s="6" t="str">
        <f t="shared" si="12"/>
        <v>WorldCat Record</v>
      </c>
      <c r="AX324" s="3" t="s">
        <v>3075</v>
      </c>
      <c r="AY324" s="3" t="s">
        <v>3076</v>
      </c>
      <c r="AZ324" s="3" t="s">
        <v>3077</v>
      </c>
      <c r="BA324" s="3" t="s">
        <v>3077</v>
      </c>
      <c r="BB324" s="3" t="s">
        <v>3113</v>
      </c>
      <c r="BC324" s="3" t="s">
        <v>77</v>
      </c>
      <c r="BD324" s="3" t="s">
        <v>78</v>
      </c>
      <c r="BE324" s="3" t="s">
        <v>3079</v>
      </c>
      <c r="BF324" s="3" t="s">
        <v>3113</v>
      </c>
      <c r="BG324" s="3" t="s">
        <v>3114</v>
      </c>
      <c r="BH324">
        <f t="shared" si="13"/>
        <v>0</v>
      </c>
    </row>
    <row r="325" spans="1:60" ht="58" x14ac:dyDescent="0.35">
      <c r="A325" s="2" t="s">
        <v>59</v>
      </c>
      <c r="B325" s="2" t="s">
        <v>60</v>
      </c>
      <c r="C325" s="2" t="s">
        <v>3066</v>
      </c>
      <c r="D325" s="2" t="s">
        <v>3067</v>
      </c>
      <c r="E325" s="2" t="s">
        <v>3068</v>
      </c>
      <c r="F325" s="3" t="s">
        <v>3115</v>
      </c>
      <c r="G325" s="3" t="s">
        <v>128</v>
      </c>
      <c r="I325" s="3" t="s">
        <v>64</v>
      </c>
      <c r="J325" s="3" t="s">
        <v>64</v>
      </c>
      <c r="K325" s="3" t="s">
        <v>65</v>
      </c>
      <c r="L325" s="2" t="s">
        <v>3070</v>
      </c>
      <c r="M325" s="2" t="s">
        <v>3071</v>
      </c>
      <c r="N325" s="3" t="s">
        <v>3072</v>
      </c>
      <c r="P325" s="3" t="s">
        <v>68</v>
      </c>
      <c r="R325" s="3" t="s">
        <v>70</v>
      </c>
      <c r="S325" s="4">
        <v>1</v>
      </c>
      <c r="T325" s="4">
        <v>11</v>
      </c>
      <c r="U325" s="5" t="s">
        <v>3116</v>
      </c>
      <c r="V325" s="5" t="s">
        <v>3074</v>
      </c>
      <c r="W325" s="5" t="s">
        <v>72</v>
      </c>
      <c r="X325" s="5" t="s">
        <v>72</v>
      </c>
      <c r="Y325" s="4">
        <v>14</v>
      </c>
      <c r="Z325" s="4">
        <v>3</v>
      </c>
      <c r="AA325" s="4">
        <v>19</v>
      </c>
      <c r="AB325" s="4">
        <v>1</v>
      </c>
      <c r="AC325" s="4">
        <v>5</v>
      </c>
      <c r="AD325" s="4">
        <v>5</v>
      </c>
      <c r="AE325" s="4">
        <v>89</v>
      </c>
      <c r="AF325" s="4">
        <v>0</v>
      </c>
      <c r="AG325" s="4">
        <v>3</v>
      </c>
      <c r="AH325" s="4">
        <v>3</v>
      </c>
      <c r="AI325" s="4">
        <v>75</v>
      </c>
      <c r="AJ325" s="4">
        <v>2</v>
      </c>
      <c r="AK325" s="4">
        <v>17</v>
      </c>
      <c r="AL325" s="4">
        <v>1</v>
      </c>
      <c r="AM325" s="4">
        <v>46</v>
      </c>
      <c r="AN325" s="4">
        <v>0</v>
      </c>
      <c r="AO325" s="4">
        <v>0</v>
      </c>
      <c r="AP325" s="4">
        <v>2</v>
      </c>
      <c r="AQ325" s="4">
        <v>15</v>
      </c>
      <c r="AR325" s="3" t="s">
        <v>64</v>
      </c>
      <c r="AS325" s="3" t="s">
        <v>64</v>
      </c>
      <c r="AT325" s="3" t="s">
        <v>128</v>
      </c>
      <c r="AU325" s="6" t="str">
        <f t="shared" si="10"/>
        <v>HathiTrust Record</v>
      </c>
      <c r="AV325" s="6" t="str">
        <f t="shared" si="11"/>
        <v>Catalog Record</v>
      </c>
      <c r="AW325" s="6" t="str">
        <f t="shared" si="12"/>
        <v>WorldCat Record</v>
      </c>
      <c r="AX325" s="3" t="s">
        <v>3075</v>
      </c>
      <c r="AY325" s="3" t="s">
        <v>3076</v>
      </c>
      <c r="AZ325" s="3" t="s">
        <v>3077</v>
      </c>
      <c r="BA325" s="3" t="s">
        <v>3077</v>
      </c>
      <c r="BB325" s="3" t="s">
        <v>3117</v>
      </c>
      <c r="BC325" s="3" t="s">
        <v>77</v>
      </c>
      <c r="BD325" s="3" t="s">
        <v>78</v>
      </c>
      <c r="BE325" s="3" t="s">
        <v>3079</v>
      </c>
      <c r="BF325" s="3" t="s">
        <v>3117</v>
      </c>
      <c r="BG325" s="3" t="s">
        <v>3118</v>
      </c>
      <c r="BH325">
        <f t="shared" si="13"/>
        <v>0</v>
      </c>
    </row>
    <row r="326" spans="1:60" ht="58" x14ac:dyDescent="0.35">
      <c r="A326" s="2" t="s">
        <v>59</v>
      </c>
      <c r="B326" s="2" t="s">
        <v>60</v>
      </c>
      <c r="C326" s="2" t="s">
        <v>3066</v>
      </c>
      <c r="D326" s="2" t="s">
        <v>3067</v>
      </c>
      <c r="E326" s="2" t="s">
        <v>3068</v>
      </c>
      <c r="F326" s="3" t="s">
        <v>3119</v>
      </c>
      <c r="G326" s="3" t="s">
        <v>128</v>
      </c>
      <c r="I326" s="3" t="s">
        <v>64</v>
      </c>
      <c r="J326" s="3" t="s">
        <v>64</v>
      </c>
      <c r="K326" s="3" t="s">
        <v>65</v>
      </c>
      <c r="L326" s="2" t="s">
        <v>3070</v>
      </c>
      <c r="M326" s="2" t="s">
        <v>3071</v>
      </c>
      <c r="N326" s="3" t="s">
        <v>3072</v>
      </c>
      <c r="P326" s="3" t="s">
        <v>68</v>
      </c>
      <c r="R326" s="3" t="s">
        <v>70</v>
      </c>
      <c r="S326" s="4">
        <v>2</v>
      </c>
      <c r="T326" s="4">
        <v>11</v>
      </c>
      <c r="U326" s="5" t="s">
        <v>3074</v>
      </c>
      <c r="V326" s="5" t="s">
        <v>3074</v>
      </c>
      <c r="W326" s="5" t="s">
        <v>72</v>
      </c>
      <c r="X326" s="5" t="s">
        <v>72</v>
      </c>
      <c r="Y326" s="4">
        <v>14</v>
      </c>
      <c r="Z326" s="4">
        <v>3</v>
      </c>
      <c r="AA326" s="4">
        <v>19</v>
      </c>
      <c r="AB326" s="4">
        <v>1</v>
      </c>
      <c r="AC326" s="4">
        <v>5</v>
      </c>
      <c r="AD326" s="4">
        <v>5</v>
      </c>
      <c r="AE326" s="4">
        <v>89</v>
      </c>
      <c r="AF326" s="4">
        <v>0</v>
      </c>
      <c r="AG326" s="4">
        <v>3</v>
      </c>
      <c r="AH326" s="4">
        <v>3</v>
      </c>
      <c r="AI326" s="4">
        <v>75</v>
      </c>
      <c r="AJ326" s="4">
        <v>2</v>
      </c>
      <c r="AK326" s="4">
        <v>17</v>
      </c>
      <c r="AL326" s="4">
        <v>1</v>
      </c>
      <c r="AM326" s="4">
        <v>46</v>
      </c>
      <c r="AN326" s="4">
        <v>0</v>
      </c>
      <c r="AO326" s="4">
        <v>0</v>
      </c>
      <c r="AP326" s="4">
        <v>2</v>
      </c>
      <c r="AQ326" s="4">
        <v>15</v>
      </c>
      <c r="AR326" s="3" t="s">
        <v>64</v>
      </c>
      <c r="AS326" s="3" t="s">
        <v>64</v>
      </c>
      <c r="AT326" s="3" t="s">
        <v>128</v>
      </c>
      <c r="AU326" s="6" t="str">
        <f t="shared" si="10"/>
        <v>HathiTrust Record</v>
      </c>
      <c r="AV326" s="6" t="str">
        <f t="shared" si="11"/>
        <v>Catalog Record</v>
      </c>
      <c r="AW326" s="6" t="str">
        <f t="shared" si="12"/>
        <v>WorldCat Record</v>
      </c>
      <c r="AX326" s="3" t="s">
        <v>3075</v>
      </c>
      <c r="AY326" s="3" t="s">
        <v>3076</v>
      </c>
      <c r="AZ326" s="3" t="s">
        <v>3077</v>
      </c>
      <c r="BA326" s="3" t="s">
        <v>3077</v>
      </c>
      <c r="BB326" s="3" t="s">
        <v>3120</v>
      </c>
      <c r="BC326" s="3" t="s">
        <v>77</v>
      </c>
      <c r="BD326" s="3" t="s">
        <v>78</v>
      </c>
      <c r="BE326" s="3" t="s">
        <v>3079</v>
      </c>
      <c r="BF326" s="3" t="s">
        <v>3120</v>
      </c>
      <c r="BG326" s="3" t="s">
        <v>3121</v>
      </c>
      <c r="BH326">
        <f t="shared" si="13"/>
        <v>0</v>
      </c>
    </row>
    <row r="327" spans="1:60" ht="58" x14ac:dyDescent="0.35">
      <c r="A327" s="2" t="s">
        <v>59</v>
      </c>
      <c r="B327" s="2" t="s">
        <v>60</v>
      </c>
      <c r="C327" s="2" t="s">
        <v>3122</v>
      </c>
      <c r="D327" s="2" t="s">
        <v>3123</v>
      </c>
      <c r="E327" s="2" t="s">
        <v>3124</v>
      </c>
      <c r="G327" s="3" t="s">
        <v>64</v>
      </c>
      <c r="I327" s="3" t="s">
        <v>64</v>
      </c>
      <c r="J327" s="3" t="s">
        <v>64</v>
      </c>
      <c r="K327" s="3" t="s">
        <v>65</v>
      </c>
      <c r="M327" s="2" t="s">
        <v>3125</v>
      </c>
      <c r="N327" s="3" t="s">
        <v>3126</v>
      </c>
      <c r="P327" s="3" t="s">
        <v>3127</v>
      </c>
      <c r="Q327" s="2" t="s">
        <v>3128</v>
      </c>
      <c r="R327" s="3" t="s">
        <v>70</v>
      </c>
      <c r="S327" s="4">
        <v>5</v>
      </c>
      <c r="T327" s="4">
        <v>5</v>
      </c>
      <c r="U327" s="5" t="s">
        <v>3129</v>
      </c>
      <c r="V327" s="5" t="s">
        <v>3129</v>
      </c>
      <c r="W327" s="5" t="s">
        <v>72</v>
      </c>
      <c r="X327" s="5" t="s">
        <v>72</v>
      </c>
      <c r="Y327" s="4">
        <v>227</v>
      </c>
      <c r="Z327" s="4">
        <v>7</v>
      </c>
      <c r="AA327" s="4">
        <v>7</v>
      </c>
      <c r="AB327" s="4">
        <v>1</v>
      </c>
      <c r="AC327" s="4">
        <v>1</v>
      </c>
      <c r="AD327" s="4">
        <v>67</v>
      </c>
      <c r="AE327" s="4">
        <v>67</v>
      </c>
      <c r="AF327" s="4">
        <v>0</v>
      </c>
      <c r="AG327" s="4">
        <v>0</v>
      </c>
      <c r="AH327" s="4">
        <v>64</v>
      </c>
      <c r="AI327" s="4">
        <v>64</v>
      </c>
      <c r="AJ327" s="4">
        <v>3</v>
      </c>
      <c r="AK327" s="4">
        <v>3</v>
      </c>
      <c r="AL327" s="4">
        <v>42</v>
      </c>
      <c r="AM327" s="4">
        <v>42</v>
      </c>
      <c r="AN327" s="4">
        <v>0</v>
      </c>
      <c r="AO327" s="4">
        <v>0</v>
      </c>
      <c r="AP327" s="4">
        <v>4</v>
      </c>
      <c r="AQ327" s="4">
        <v>4</v>
      </c>
      <c r="AR327" s="3" t="s">
        <v>64</v>
      </c>
      <c r="AS327" s="3" t="s">
        <v>64</v>
      </c>
      <c r="AT327" s="3" t="s">
        <v>64</v>
      </c>
      <c r="AU327" s="6" t="str">
        <f>HYPERLINK("http://catalog.hathitrust.org/Record/001231861","HathiTrust Record")</f>
        <v>HathiTrust Record</v>
      </c>
      <c r="AV327" s="6" t="str">
        <f>HYPERLINK("http://mcgill.on.worldcat.org/oclc/1378288","Catalog Record")</f>
        <v>Catalog Record</v>
      </c>
      <c r="AW327" s="6" t="str">
        <f>HYPERLINK("http://www.worldcat.org/oclc/1378288","WorldCat Record")</f>
        <v>WorldCat Record</v>
      </c>
      <c r="AX327" s="3" t="s">
        <v>3130</v>
      </c>
      <c r="AY327" s="3" t="s">
        <v>3131</v>
      </c>
      <c r="AZ327" s="3" t="s">
        <v>3132</v>
      </c>
      <c r="BA327" s="3" t="s">
        <v>3132</v>
      </c>
      <c r="BB327" s="3" t="s">
        <v>3133</v>
      </c>
      <c r="BC327" s="3" t="s">
        <v>77</v>
      </c>
      <c r="BD327" s="3" t="s">
        <v>78</v>
      </c>
      <c r="BF327" s="3" t="s">
        <v>3133</v>
      </c>
      <c r="BG327" s="3" t="s">
        <v>3134</v>
      </c>
      <c r="BH327">
        <f t="shared" si="13"/>
        <v>0</v>
      </c>
    </row>
    <row r="328" spans="1:60" ht="72.5" x14ac:dyDescent="0.35">
      <c r="A328" s="2" t="s">
        <v>59</v>
      </c>
      <c r="B328" s="2" t="s">
        <v>60</v>
      </c>
      <c r="C328" s="2" t="s">
        <v>3135</v>
      </c>
      <c r="D328" s="2" t="s">
        <v>3136</v>
      </c>
      <c r="E328" s="2" t="s">
        <v>3137</v>
      </c>
      <c r="F328" s="3" t="s">
        <v>3138</v>
      </c>
      <c r="G328" s="3" t="s">
        <v>64</v>
      </c>
      <c r="I328" s="3" t="s">
        <v>64</v>
      </c>
      <c r="J328" s="3" t="s">
        <v>64</v>
      </c>
      <c r="K328" s="3" t="s">
        <v>65</v>
      </c>
      <c r="M328" s="2" t="s">
        <v>3139</v>
      </c>
      <c r="N328" s="3" t="s">
        <v>159</v>
      </c>
      <c r="P328" s="3" t="s">
        <v>102</v>
      </c>
      <c r="Q328" s="2" t="s">
        <v>3140</v>
      </c>
      <c r="R328" s="3" t="s">
        <v>70</v>
      </c>
      <c r="S328" s="4">
        <v>3</v>
      </c>
      <c r="T328" s="4">
        <v>3</v>
      </c>
      <c r="U328" s="5" t="s">
        <v>3141</v>
      </c>
      <c r="V328" s="5" t="s">
        <v>3141</v>
      </c>
      <c r="W328" s="5" t="s">
        <v>72</v>
      </c>
      <c r="X328" s="5" t="s">
        <v>72</v>
      </c>
      <c r="Y328" s="4">
        <v>63</v>
      </c>
      <c r="Z328" s="4">
        <v>6</v>
      </c>
      <c r="AA328" s="4">
        <v>6</v>
      </c>
      <c r="AB328" s="4">
        <v>1</v>
      </c>
      <c r="AC328" s="4">
        <v>1</v>
      </c>
      <c r="AD328" s="4">
        <v>22</v>
      </c>
      <c r="AE328" s="4">
        <v>22</v>
      </c>
      <c r="AF328" s="4">
        <v>0</v>
      </c>
      <c r="AG328" s="4">
        <v>0</v>
      </c>
      <c r="AH328" s="4">
        <v>20</v>
      </c>
      <c r="AI328" s="4">
        <v>20</v>
      </c>
      <c r="AJ328" s="4">
        <v>5</v>
      </c>
      <c r="AK328" s="4">
        <v>5</v>
      </c>
      <c r="AL328" s="4">
        <v>12</v>
      </c>
      <c r="AM328" s="4">
        <v>12</v>
      </c>
      <c r="AN328" s="4">
        <v>0</v>
      </c>
      <c r="AO328" s="4">
        <v>0</v>
      </c>
      <c r="AP328" s="4">
        <v>5</v>
      </c>
      <c r="AQ328" s="4">
        <v>5</v>
      </c>
      <c r="AR328" s="3" t="s">
        <v>64</v>
      </c>
      <c r="AS328" s="3" t="s">
        <v>64</v>
      </c>
      <c r="AT328" s="3" t="s">
        <v>128</v>
      </c>
      <c r="AU328" s="6" t="str">
        <f>HYPERLINK("http://catalog.hathitrust.org/Record/003848519","HathiTrust Record")</f>
        <v>HathiTrust Record</v>
      </c>
      <c r="AV328" s="6" t="str">
        <f>HYPERLINK("http://mcgill.on.worldcat.org/oclc/51708174","Catalog Record")</f>
        <v>Catalog Record</v>
      </c>
      <c r="AW328" s="6" t="str">
        <f>HYPERLINK("http://www.worldcat.org/oclc/51708174","WorldCat Record")</f>
        <v>WorldCat Record</v>
      </c>
      <c r="AX328" s="3" t="s">
        <v>3142</v>
      </c>
      <c r="AY328" s="3" t="s">
        <v>3143</v>
      </c>
      <c r="AZ328" s="3" t="s">
        <v>3144</v>
      </c>
      <c r="BA328" s="3" t="s">
        <v>3144</v>
      </c>
      <c r="BB328" s="3" t="s">
        <v>3145</v>
      </c>
      <c r="BC328" s="3" t="s">
        <v>77</v>
      </c>
      <c r="BD328" s="3" t="s">
        <v>78</v>
      </c>
      <c r="BE328" s="3" t="s">
        <v>3146</v>
      </c>
      <c r="BF328" s="3" t="s">
        <v>3145</v>
      </c>
      <c r="BG328" s="3" t="s">
        <v>3147</v>
      </c>
      <c r="BH328">
        <f t="shared" si="13"/>
        <v>0</v>
      </c>
    </row>
    <row r="329" spans="1:60" ht="72.5" x14ac:dyDescent="0.35">
      <c r="A329" s="2" t="s">
        <v>59</v>
      </c>
      <c r="B329" s="2" t="s">
        <v>60</v>
      </c>
      <c r="C329" s="2" t="s">
        <v>3148</v>
      </c>
      <c r="D329" s="2" t="s">
        <v>3149</v>
      </c>
      <c r="E329" s="2" t="s">
        <v>3150</v>
      </c>
      <c r="F329" s="3" t="s">
        <v>3151</v>
      </c>
      <c r="G329" s="3" t="s">
        <v>64</v>
      </c>
      <c r="I329" s="3" t="s">
        <v>64</v>
      </c>
      <c r="J329" s="3" t="s">
        <v>64</v>
      </c>
      <c r="K329" s="3" t="s">
        <v>65</v>
      </c>
      <c r="M329" s="2" t="s">
        <v>3152</v>
      </c>
      <c r="N329" s="3" t="s">
        <v>434</v>
      </c>
      <c r="P329" s="3" t="s">
        <v>102</v>
      </c>
      <c r="Q329" s="2" t="s">
        <v>3153</v>
      </c>
      <c r="R329" s="3" t="s">
        <v>70</v>
      </c>
      <c r="S329" s="4">
        <v>1</v>
      </c>
      <c r="T329" s="4">
        <v>1</v>
      </c>
      <c r="U329" s="5" t="s">
        <v>306</v>
      </c>
      <c r="V329" s="5" t="s">
        <v>306</v>
      </c>
      <c r="W329" s="5" t="s">
        <v>72</v>
      </c>
      <c r="X329" s="5" t="s">
        <v>72</v>
      </c>
      <c r="Y329" s="4">
        <v>55</v>
      </c>
      <c r="Z329" s="4">
        <v>5</v>
      </c>
      <c r="AA329" s="4">
        <v>5</v>
      </c>
      <c r="AB329" s="4">
        <v>1</v>
      </c>
      <c r="AC329" s="4">
        <v>1</v>
      </c>
      <c r="AD329" s="4">
        <v>16</v>
      </c>
      <c r="AE329" s="4">
        <v>16</v>
      </c>
      <c r="AF329" s="4">
        <v>0</v>
      </c>
      <c r="AG329" s="4">
        <v>0</v>
      </c>
      <c r="AH329" s="4">
        <v>15</v>
      </c>
      <c r="AI329" s="4">
        <v>15</v>
      </c>
      <c r="AJ329" s="4">
        <v>4</v>
      </c>
      <c r="AK329" s="4">
        <v>4</v>
      </c>
      <c r="AL329" s="4">
        <v>8</v>
      </c>
      <c r="AM329" s="4">
        <v>8</v>
      </c>
      <c r="AN329" s="4">
        <v>0</v>
      </c>
      <c r="AO329" s="4">
        <v>0</v>
      </c>
      <c r="AP329" s="4">
        <v>4</v>
      </c>
      <c r="AQ329" s="4">
        <v>4</v>
      </c>
      <c r="AR329" s="3" t="s">
        <v>64</v>
      </c>
      <c r="AS329" s="3" t="s">
        <v>64</v>
      </c>
      <c r="AT329" s="3" t="s">
        <v>128</v>
      </c>
      <c r="AU329" s="6" t="str">
        <f>HYPERLINK("http://catalog.hathitrust.org/Record/102039778","HathiTrust Record")</f>
        <v>HathiTrust Record</v>
      </c>
      <c r="AV329" s="6" t="str">
        <f>HYPERLINK("http://mcgill.on.worldcat.org/oclc/60494832","Catalog Record")</f>
        <v>Catalog Record</v>
      </c>
      <c r="AW329" s="6" t="str">
        <f>HYPERLINK("http://www.worldcat.org/oclc/60494832","WorldCat Record")</f>
        <v>WorldCat Record</v>
      </c>
      <c r="AX329" s="3" t="s">
        <v>3154</v>
      </c>
      <c r="AY329" s="3" t="s">
        <v>3155</v>
      </c>
      <c r="AZ329" s="3" t="s">
        <v>3156</v>
      </c>
      <c r="BA329" s="3" t="s">
        <v>3156</v>
      </c>
      <c r="BB329" s="3" t="s">
        <v>3157</v>
      </c>
      <c r="BC329" s="3" t="s">
        <v>77</v>
      </c>
      <c r="BD329" s="3" t="s">
        <v>78</v>
      </c>
      <c r="BE329" s="3" t="s">
        <v>3158</v>
      </c>
      <c r="BF329" s="3" t="s">
        <v>3157</v>
      </c>
      <c r="BG329" s="3" t="s">
        <v>3159</v>
      </c>
      <c r="BH329">
        <f t="shared" si="13"/>
        <v>0</v>
      </c>
    </row>
    <row r="330" spans="1:60" ht="72.5" x14ac:dyDescent="0.35">
      <c r="A330" s="2" t="s">
        <v>59</v>
      </c>
      <c r="B330" s="2" t="s">
        <v>60</v>
      </c>
      <c r="C330" s="2" t="s">
        <v>3160</v>
      </c>
      <c r="D330" s="2" t="s">
        <v>3161</v>
      </c>
      <c r="E330" s="2" t="s">
        <v>3162</v>
      </c>
      <c r="F330" s="3" t="s">
        <v>3163</v>
      </c>
      <c r="G330" s="3" t="s">
        <v>64</v>
      </c>
      <c r="I330" s="3" t="s">
        <v>64</v>
      </c>
      <c r="J330" s="3" t="s">
        <v>64</v>
      </c>
      <c r="K330" s="3" t="s">
        <v>65</v>
      </c>
      <c r="M330" s="2" t="s">
        <v>1418</v>
      </c>
      <c r="N330" s="3" t="s">
        <v>86</v>
      </c>
      <c r="P330" s="3" t="s">
        <v>102</v>
      </c>
      <c r="Q330" s="2" t="s">
        <v>3164</v>
      </c>
      <c r="R330" s="3" t="s">
        <v>70</v>
      </c>
      <c r="S330" s="4">
        <v>1</v>
      </c>
      <c r="T330" s="4">
        <v>1</v>
      </c>
      <c r="U330" s="5" t="s">
        <v>1128</v>
      </c>
      <c r="V330" s="5" t="s">
        <v>1128</v>
      </c>
      <c r="W330" s="5" t="s">
        <v>72</v>
      </c>
      <c r="X330" s="5" t="s">
        <v>72</v>
      </c>
      <c r="Y330" s="4">
        <v>58</v>
      </c>
      <c r="Z330" s="4">
        <v>8</v>
      </c>
      <c r="AA330" s="4">
        <v>9</v>
      </c>
      <c r="AB330" s="4">
        <v>1</v>
      </c>
      <c r="AC330" s="4">
        <v>1</v>
      </c>
      <c r="AD330" s="4">
        <v>15</v>
      </c>
      <c r="AE330" s="4">
        <v>16</v>
      </c>
      <c r="AF330" s="4">
        <v>0</v>
      </c>
      <c r="AG330" s="4">
        <v>0</v>
      </c>
      <c r="AH330" s="4">
        <v>13</v>
      </c>
      <c r="AI330" s="4">
        <v>13</v>
      </c>
      <c r="AJ330" s="4">
        <v>5</v>
      </c>
      <c r="AK330" s="4">
        <v>6</v>
      </c>
      <c r="AL330" s="4">
        <v>9</v>
      </c>
      <c r="AM330" s="4">
        <v>9</v>
      </c>
      <c r="AN330" s="4">
        <v>0</v>
      </c>
      <c r="AO330" s="4">
        <v>0</v>
      </c>
      <c r="AP330" s="4">
        <v>5</v>
      </c>
      <c r="AQ330" s="4">
        <v>6</v>
      </c>
      <c r="AR330" s="3" t="s">
        <v>64</v>
      </c>
      <c r="AS330" s="3" t="s">
        <v>64</v>
      </c>
      <c r="AT330" s="3" t="s">
        <v>64</v>
      </c>
      <c r="AV330" s="6" t="str">
        <f>HYPERLINK("http://mcgill.on.worldcat.org/oclc/828410841","Catalog Record")</f>
        <v>Catalog Record</v>
      </c>
      <c r="AW330" s="6" t="str">
        <f>HYPERLINK("http://www.worldcat.org/oclc/828410841","WorldCat Record")</f>
        <v>WorldCat Record</v>
      </c>
      <c r="AX330" s="3" t="s">
        <v>3165</v>
      </c>
      <c r="AY330" s="3" t="s">
        <v>3166</v>
      </c>
      <c r="AZ330" s="3" t="s">
        <v>3167</v>
      </c>
      <c r="BA330" s="3" t="s">
        <v>3167</v>
      </c>
      <c r="BB330" s="3" t="s">
        <v>3168</v>
      </c>
      <c r="BC330" s="3" t="s">
        <v>77</v>
      </c>
      <c r="BD330" s="3" t="s">
        <v>78</v>
      </c>
      <c r="BE330" s="3" t="s">
        <v>3169</v>
      </c>
      <c r="BF330" s="3" t="s">
        <v>3168</v>
      </c>
      <c r="BG330" s="3" t="s">
        <v>3170</v>
      </c>
      <c r="BH330">
        <f t="shared" si="13"/>
        <v>0</v>
      </c>
    </row>
    <row r="331" spans="1:60" ht="72.5" x14ac:dyDescent="0.35">
      <c r="A331" s="2" t="s">
        <v>59</v>
      </c>
      <c r="B331" s="2" t="s">
        <v>60</v>
      </c>
      <c r="C331" s="2" t="s">
        <v>3171</v>
      </c>
      <c r="D331" s="2" t="s">
        <v>3172</v>
      </c>
      <c r="E331" s="2" t="s">
        <v>3173</v>
      </c>
      <c r="F331" s="3" t="s">
        <v>3174</v>
      </c>
      <c r="G331" s="3" t="s">
        <v>64</v>
      </c>
      <c r="I331" s="3" t="s">
        <v>64</v>
      </c>
      <c r="J331" s="3" t="s">
        <v>64</v>
      </c>
      <c r="K331" s="3" t="s">
        <v>65</v>
      </c>
      <c r="M331" s="2" t="s">
        <v>3175</v>
      </c>
      <c r="N331" s="3" t="s">
        <v>1075</v>
      </c>
      <c r="P331" s="3" t="s">
        <v>102</v>
      </c>
      <c r="Q331" s="2" t="s">
        <v>3176</v>
      </c>
      <c r="R331" s="3" t="s">
        <v>70</v>
      </c>
      <c r="S331" s="4">
        <v>0</v>
      </c>
      <c r="T331" s="4">
        <v>0</v>
      </c>
      <c r="W331" s="5" t="s">
        <v>72</v>
      </c>
      <c r="X331" s="5" t="s">
        <v>72</v>
      </c>
      <c r="Y331" s="4">
        <v>54</v>
      </c>
      <c r="Z331" s="4">
        <v>9</v>
      </c>
      <c r="AA331" s="4">
        <v>9</v>
      </c>
      <c r="AB331" s="4">
        <v>1</v>
      </c>
      <c r="AC331" s="4">
        <v>1</v>
      </c>
      <c r="AD331" s="4">
        <v>15</v>
      </c>
      <c r="AE331" s="4">
        <v>15</v>
      </c>
      <c r="AF331" s="4">
        <v>0</v>
      </c>
      <c r="AG331" s="4">
        <v>0</v>
      </c>
      <c r="AH331" s="4">
        <v>13</v>
      </c>
      <c r="AI331" s="4">
        <v>13</v>
      </c>
      <c r="AJ331" s="4">
        <v>6</v>
      </c>
      <c r="AK331" s="4">
        <v>6</v>
      </c>
      <c r="AL331" s="4">
        <v>9</v>
      </c>
      <c r="AM331" s="4">
        <v>9</v>
      </c>
      <c r="AN331" s="4">
        <v>0</v>
      </c>
      <c r="AO331" s="4">
        <v>0</v>
      </c>
      <c r="AP331" s="4">
        <v>6</v>
      </c>
      <c r="AQ331" s="4">
        <v>6</v>
      </c>
      <c r="AR331" s="3" t="s">
        <v>64</v>
      </c>
      <c r="AS331" s="3" t="s">
        <v>64</v>
      </c>
      <c r="AT331" s="3" t="s">
        <v>64</v>
      </c>
      <c r="AV331" s="6" t="str">
        <f>HYPERLINK("http://mcgill.on.worldcat.org/oclc/809911130","Catalog Record")</f>
        <v>Catalog Record</v>
      </c>
      <c r="AW331" s="6" t="str">
        <f>HYPERLINK("http://www.worldcat.org/oclc/809911130","WorldCat Record")</f>
        <v>WorldCat Record</v>
      </c>
      <c r="AX331" s="3" t="s">
        <v>3177</v>
      </c>
      <c r="AY331" s="3" t="s">
        <v>3178</v>
      </c>
      <c r="AZ331" s="3" t="s">
        <v>3179</v>
      </c>
      <c r="BA331" s="3" t="s">
        <v>3179</v>
      </c>
      <c r="BB331" s="3" t="s">
        <v>3180</v>
      </c>
      <c r="BC331" s="3" t="s">
        <v>77</v>
      </c>
      <c r="BD331" s="3" t="s">
        <v>78</v>
      </c>
      <c r="BE331" s="3" t="s">
        <v>3181</v>
      </c>
      <c r="BF331" s="3" t="s">
        <v>3180</v>
      </c>
      <c r="BG331" s="3" t="s">
        <v>3182</v>
      </c>
      <c r="BH331">
        <f t="shared" si="13"/>
        <v>0</v>
      </c>
    </row>
    <row r="332" spans="1:60" ht="72.5" x14ac:dyDescent="0.35">
      <c r="A332" s="2" t="s">
        <v>59</v>
      </c>
      <c r="B332" s="2" t="s">
        <v>60</v>
      </c>
      <c r="C332" s="2" t="s">
        <v>3183</v>
      </c>
      <c r="D332" s="2" t="s">
        <v>3184</v>
      </c>
      <c r="E332" s="2" t="s">
        <v>3185</v>
      </c>
      <c r="F332" s="3" t="s">
        <v>3186</v>
      </c>
      <c r="G332" s="3" t="s">
        <v>64</v>
      </c>
      <c r="I332" s="3" t="s">
        <v>64</v>
      </c>
      <c r="J332" s="3" t="s">
        <v>64</v>
      </c>
      <c r="K332" s="3" t="s">
        <v>65</v>
      </c>
      <c r="M332" s="2" t="s">
        <v>3187</v>
      </c>
      <c r="N332" s="3" t="s">
        <v>326</v>
      </c>
      <c r="P332" s="3" t="s">
        <v>102</v>
      </c>
      <c r="Q332" s="2" t="s">
        <v>3188</v>
      </c>
      <c r="R332" s="3" t="s">
        <v>70</v>
      </c>
      <c r="S332" s="4">
        <v>1</v>
      </c>
      <c r="T332" s="4">
        <v>1</v>
      </c>
      <c r="U332" s="5" t="s">
        <v>1128</v>
      </c>
      <c r="V332" s="5" t="s">
        <v>1128</v>
      </c>
      <c r="W332" s="5" t="s">
        <v>72</v>
      </c>
      <c r="X332" s="5" t="s">
        <v>72</v>
      </c>
      <c r="Y332" s="4">
        <v>50</v>
      </c>
      <c r="Z332" s="4">
        <v>9</v>
      </c>
      <c r="AA332" s="4">
        <v>9</v>
      </c>
      <c r="AB332" s="4">
        <v>1</v>
      </c>
      <c r="AC332" s="4">
        <v>1</v>
      </c>
      <c r="AD332" s="4">
        <v>14</v>
      </c>
      <c r="AE332" s="4">
        <v>14</v>
      </c>
      <c r="AF332" s="4">
        <v>0</v>
      </c>
      <c r="AG332" s="4">
        <v>0</v>
      </c>
      <c r="AH332" s="4">
        <v>12</v>
      </c>
      <c r="AI332" s="4">
        <v>12</v>
      </c>
      <c r="AJ332" s="4">
        <v>6</v>
      </c>
      <c r="AK332" s="4">
        <v>6</v>
      </c>
      <c r="AL332" s="4">
        <v>8</v>
      </c>
      <c r="AM332" s="4">
        <v>8</v>
      </c>
      <c r="AN332" s="4">
        <v>0</v>
      </c>
      <c r="AO332" s="4">
        <v>0</v>
      </c>
      <c r="AP332" s="4">
        <v>6</v>
      </c>
      <c r="AQ332" s="4">
        <v>6</v>
      </c>
      <c r="AR332" s="3" t="s">
        <v>64</v>
      </c>
      <c r="AS332" s="3" t="s">
        <v>64</v>
      </c>
      <c r="AT332" s="3" t="s">
        <v>64</v>
      </c>
      <c r="AV332" s="6" t="str">
        <f>HYPERLINK("http://mcgill.on.worldcat.org/oclc/772965342","Catalog Record")</f>
        <v>Catalog Record</v>
      </c>
      <c r="AW332" s="6" t="str">
        <f>HYPERLINK("http://www.worldcat.org/oclc/772965342","WorldCat Record")</f>
        <v>WorldCat Record</v>
      </c>
      <c r="AX332" s="3" t="s">
        <v>3189</v>
      </c>
      <c r="AY332" s="3" t="s">
        <v>3190</v>
      </c>
      <c r="AZ332" s="3" t="s">
        <v>3191</v>
      </c>
      <c r="BA332" s="3" t="s">
        <v>3191</v>
      </c>
      <c r="BB332" s="3" t="s">
        <v>3192</v>
      </c>
      <c r="BC332" s="3" t="s">
        <v>77</v>
      </c>
      <c r="BD332" s="3" t="s">
        <v>78</v>
      </c>
      <c r="BE332" s="3" t="s">
        <v>3193</v>
      </c>
      <c r="BF332" s="3" t="s">
        <v>3192</v>
      </c>
      <c r="BG332" s="3" t="s">
        <v>3194</v>
      </c>
      <c r="BH332">
        <f t="shared" si="13"/>
        <v>0</v>
      </c>
    </row>
    <row r="333" spans="1:60" ht="58" x14ac:dyDescent="0.35">
      <c r="A333" s="2" t="s">
        <v>59</v>
      </c>
      <c r="B333" s="2" t="s">
        <v>60</v>
      </c>
      <c r="C333" s="2" t="s">
        <v>3195</v>
      </c>
      <c r="D333" s="2" t="s">
        <v>3196</v>
      </c>
      <c r="E333" s="2" t="s">
        <v>3197</v>
      </c>
      <c r="G333" s="3" t="s">
        <v>64</v>
      </c>
      <c r="I333" s="3" t="s">
        <v>64</v>
      </c>
      <c r="J333" s="3" t="s">
        <v>64</v>
      </c>
      <c r="K333" s="3" t="s">
        <v>65</v>
      </c>
      <c r="M333" s="2" t="s">
        <v>2101</v>
      </c>
      <c r="N333" s="3" t="s">
        <v>326</v>
      </c>
      <c r="P333" s="3" t="s">
        <v>102</v>
      </c>
      <c r="Q333" s="2" t="s">
        <v>3198</v>
      </c>
      <c r="R333" s="3" t="s">
        <v>70</v>
      </c>
      <c r="S333" s="4">
        <v>5</v>
      </c>
      <c r="T333" s="4">
        <v>5</v>
      </c>
      <c r="U333" s="5" t="s">
        <v>3199</v>
      </c>
      <c r="V333" s="5" t="s">
        <v>3199</v>
      </c>
      <c r="W333" s="5" t="s">
        <v>72</v>
      </c>
      <c r="X333" s="5" t="s">
        <v>72</v>
      </c>
      <c r="Y333" s="4">
        <v>95</v>
      </c>
      <c r="Z333" s="4">
        <v>9</v>
      </c>
      <c r="AA333" s="4">
        <v>11</v>
      </c>
      <c r="AB333" s="4">
        <v>1</v>
      </c>
      <c r="AC333" s="4">
        <v>2</v>
      </c>
      <c r="AD333" s="4">
        <v>37</v>
      </c>
      <c r="AE333" s="4">
        <v>45</v>
      </c>
      <c r="AF333" s="4">
        <v>0</v>
      </c>
      <c r="AG333" s="4">
        <v>0</v>
      </c>
      <c r="AH333" s="4">
        <v>35</v>
      </c>
      <c r="AI333" s="4">
        <v>42</v>
      </c>
      <c r="AJ333" s="4">
        <v>5</v>
      </c>
      <c r="AK333" s="4">
        <v>6</v>
      </c>
      <c r="AL333" s="4">
        <v>25</v>
      </c>
      <c r="AM333" s="4">
        <v>31</v>
      </c>
      <c r="AN333" s="4">
        <v>0</v>
      </c>
      <c r="AO333" s="4">
        <v>0</v>
      </c>
      <c r="AP333" s="4">
        <v>6</v>
      </c>
      <c r="AQ333" s="4">
        <v>7</v>
      </c>
      <c r="AR333" s="3" t="s">
        <v>64</v>
      </c>
      <c r="AS333" s="3" t="s">
        <v>64</v>
      </c>
      <c r="AT333" s="3" t="s">
        <v>64</v>
      </c>
      <c r="AV333" s="6" t="str">
        <f>HYPERLINK("http://mcgill.on.worldcat.org/oclc/719415540","Catalog Record")</f>
        <v>Catalog Record</v>
      </c>
      <c r="AW333" s="6" t="str">
        <f>HYPERLINK("http://www.worldcat.org/oclc/719415540","WorldCat Record")</f>
        <v>WorldCat Record</v>
      </c>
      <c r="AX333" s="3" t="s">
        <v>3200</v>
      </c>
      <c r="AY333" s="3" t="s">
        <v>3201</v>
      </c>
      <c r="AZ333" s="3" t="s">
        <v>3202</v>
      </c>
      <c r="BA333" s="3" t="s">
        <v>3202</v>
      </c>
      <c r="BB333" s="3" t="s">
        <v>3203</v>
      </c>
      <c r="BC333" s="3" t="s">
        <v>77</v>
      </c>
      <c r="BD333" s="3" t="s">
        <v>78</v>
      </c>
      <c r="BE333" s="3" t="s">
        <v>3204</v>
      </c>
      <c r="BF333" s="3" t="s">
        <v>3203</v>
      </c>
      <c r="BG333" s="3" t="s">
        <v>3205</v>
      </c>
      <c r="BH333">
        <f t="shared" si="13"/>
        <v>0</v>
      </c>
    </row>
    <row r="334" spans="1:60" ht="58" x14ac:dyDescent="0.35">
      <c r="A334" s="2" t="s">
        <v>59</v>
      </c>
      <c r="B334" s="2" t="s">
        <v>60</v>
      </c>
      <c r="C334" s="2" t="s">
        <v>3206</v>
      </c>
      <c r="D334" s="2" t="s">
        <v>3207</v>
      </c>
      <c r="E334" s="2" t="s">
        <v>3208</v>
      </c>
      <c r="G334" s="3" t="s">
        <v>64</v>
      </c>
      <c r="I334" s="3" t="s">
        <v>64</v>
      </c>
      <c r="J334" s="3" t="s">
        <v>64</v>
      </c>
      <c r="K334" s="3" t="s">
        <v>65</v>
      </c>
      <c r="L334" s="2" t="s">
        <v>3209</v>
      </c>
      <c r="M334" s="2" t="s">
        <v>3210</v>
      </c>
      <c r="N334" s="3" t="s">
        <v>1938</v>
      </c>
      <c r="P334" s="3" t="s">
        <v>102</v>
      </c>
      <c r="R334" s="3" t="s">
        <v>70</v>
      </c>
      <c r="S334" s="4">
        <v>40</v>
      </c>
      <c r="T334" s="4">
        <v>40</v>
      </c>
      <c r="U334" s="5" t="s">
        <v>1351</v>
      </c>
      <c r="V334" s="5" t="s">
        <v>1351</v>
      </c>
      <c r="W334" s="5" t="s">
        <v>72</v>
      </c>
      <c r="X334" s="5" t="s">
        <v>72</v>
      </c>
      <c r="Y334" s="4">
        <v>363</v>
      </c>
      <c r="Z334" s="4">
        <v>18</v>
      </c>
      <c r="AA334" s="4">
        <v>18</v>
      </c>
      <c r="AB334" s="4">
        <v>1</v>
      </c>
      <c r="AC334" s="4">
        <v>1</v>
      </c>
      <c r="AD334" s="4">
        <v>112</v>
      </c>
      <c r="AE334" s="4">
        <v>112</v>
      </c>
      <c r="AF334" s="4">
        <v>0</v>
      </c>
      <c r="AG334" s="4">
        <v>0</v>
      </c>
      <c r="AH334" s="4">
        <v>98</v>
      </c>
      <c r="AI334" s="4">
        <v>98</v>
      </c>
      <c r="AJ334" s="4">
        <v>14</v>
      </c>
      <c r="AK334" s="4">
        <v>14</v>
      </c>
      <c r="AL334" s="4">
        <v>58</v>
      </c>
      <c r="AM334" s="4">
        <v>58</v>
      </c>
      <c r="AN334" s="4">
        <v>0</v>
      </c>
      <c r="AO334" s="4">
        <v>0</v>
      </c>
      <c r="AP334" s="4">
        <v>16</v>
      </c>
      <c r="AQ334" s="4">
        <v>16</v>
      </c>
      <c r="AR334" s="3" t="s">
        <v>64</v>
      </c>
      <c r="AS334" s="3" t="s">
        <v>64</v>
      </c>
      <c r="AT334" s="3" t="s">
        <v>64</v>
      </c>
      <c r="AV334" s="6" t="str">
        <f>HYPERLINK("http://mcgill.on.worldcat.org/oclc/20057604","Catalog Record")</f>
        <v>Catalog Record</v>
      </c>
      <c r="AW334" s="6" t="str">
        <f>HYPERLINK("http://www.worldcat.org/oclc/20057604","WorldCat Record")</f>
        <v>WorldCat Record</v>
      </c>
      <c r="AX334" s="3" t="s">
        <v>3211</v>
      </c>
      <c r="AY334" s="3" t="s">
        <v>3212</v>
      </c>
      <c r="AZ334" s="3" t="s">
        <v>3213</v>
      </c>
      <c r="BA334" s="3" t="s">
        <v>3213</v>
      </c>
      <c r="BB334" s="3" t="s">
        <v>3214</v>
      </c>
      <c r="BC334" s="3" t="s">
        <v>77</v>
      </c>
      <c r="BD334" s="3" t="s">
        <v>78</v>
      </c>
      <c r="BE334" s="3" t="s">
        <v>3215</v>
      </c>
      <c r="BF334" s="3" t="s">
        <v>3214</v>
      </c>
      <c r="BG334" s="3" t="s">
        <v>3216</v>
      </c>
      <c r="BH334">
        <f t="shared" si="13"/>
        <v>0</v>
      </c>
    </row>
    <row r="335" spans="1:60" ht="58" x14ac:dyDescent="0.35">
      <c r="A335" s="2" t="s">
        <v>59</v>
      </c>
      <c r="B335" s="2" t="s">
        <v>60</v>
      </c>
      <c r="C335" s="2" t="s">
        <v>3217</v>
      </c>
      <c r="D335" s="2" t="s">
        <v>3218</v>
      </c>
      <c r="E335" s="2" t="s">
        <v>3219</v>
      </c>
      <c r="G335" s="3" t="s">
        <v>64</v>
      </c>
      <c r="I335" s="3" t="s">
        <v>64</v>
      </c>
      <c r="J335" s="3" t="s">
        <v>64</v>
      </c>
      <c r="K335" s="3" t="s">
        <v>65</v>
      </c>
      <c r="L335" s="2" t="s">
        <v>3220</v>
      </c>
      <c r="M335" s="2" t="s">
        <v>3221</v>
      </c>
      <c r="N335" s="3" t="s">
        <v>304</v>
      </c>
      <c r="P335" s="3" t="s">
        <v>102</v>
      </c>
      <c r="R335" s="3" t="s">
        <v>70</v>
      </c>
      <c r="S335" s="4">
        <v>11</v>
      </c>
      <c r="T335" s="4">
        <v>11</v>
      </c>
      <c r="U335" s="5" t="s">
        <v>3222</v>
      </c>
      <c r="V335" s="5" t="s">
        <v>3222</v>
      </c>
      <c r="W335" s="5" t="s">
        <v>72</v>
      </c>
      <c r="X335" s="5" t="s">
        <v>72</v>
      </c>
      <c r="Y335" s="4">
        <v>322</v>
      </c>
      <c r="Z335" s="4">
        <v>20</v>
      </c>
      <c r="AA335" s="4">
        <v>39</v>
      </c>
      <c r="AB335" s="4">
        <v>1</v>
      </c>
      <c r="AC335" s="4">
        <v>2</v>
      </c>
      <c r="AD335" s="4">
        <v>87</v>
      </c>
      <c r="AE335" s="4">
        <v>125</v>
      </c>
      <c r="AF335" s="4">
        <v>0</v>
      </c>
      <c r="AG335" s="4">
        <v>1</v>
      </c>
      <c r="AH335" s="4">
        <v>78</v>
      </c>
      <c r="AI335" s="4">
        <v>103</v>
      </c>
      <c r="AJ335" s="4">
        <v>9</v>
      </c>
      <c r="AK335" s="4">
        <v>21</v>
      </c>
      <c r="AL335" s="4">
        <v>48</v>
      </c>
      <c r="AM335" s="4">
        <v>59</v>
      </c>
      <c r="AN335" s="4">
        <v>0</v>
      </c>
      <c r="AO335" s="4">
        <v>0</v>
      </c>
      <c r="AP335" s="4">
        <v>13</v>
      </c>
      <c r="AQ335" s="4">
        <v>27</v>
      </c>
      <c r="AR335" s="3" t="s">
        <v>64</v>
      </c>
      <c r="AS335" s="3" t="s">
        <v>64</v>
      </c>
      <c r="AT335" s="3" t="s">
        <v>64</v>
      </c>
      <c r="AV335" s="6" t="str">
        <f>HYPERLINK("http://mcgill.on.worldcat.org/oclc/2231881","Catalog Record")</f>
        <v>Catalog Record</v>
      </c>
      <c r="AW335" s="6" t="str">
        <f>HYPERLINK("http://www.worldcat.org/oclc/2231881","WorldCat Record")</f>
        <v>WorldCat Record</v>
      </c>
      <c r="AX335" s="3" t="s">
        <v>3223</v>
      </c>
      <c r="AY335" s="3" t="s">
        <v>3224</v>
      </c>
      <c r="AZ335" s="3" t="s">
        <v>3225</v>
      </c>
      <c r="BA335" s="3" t="s">
        <v>3225</v>
      </c>
      <c r="BB335" s="3" t="s">
        <v>3226</v>
      </c>
      <c r="BC335" s="3" t="s">
        <v>77</v>
      </c>
      <c r="BD335" s="3" t="s">
        <v>78</v>
      </c>
      <c r="BF335" s="3" t="s">
        <v>3226</v>
      </c>
      <c r="BG335" s="3" t="s">
        <v>3227</v>
      </c>
      <c r="BH335">
        <f t="shared" si="13"/>
        <v>0</v>
      </c>
    </row>
    <row r="336" spans="1:60" ht="58" x14ac:dyDescent="0.35">
      <c r="A336" s="2" t="s">
        <v>59</v>
      </c>
      <c r="B336" s="2" t="s">
        <v>60</v>
      </c>
      <c r="C336" s="2" t="s">
        <v>3228</v>
      </c>
      <c r="D336" s="2" t="s">
        <v>3229</v>
      </c>
      <c r="E336" s="2" t="s">
        <v>3230</v>
      </c>
      <c r="G336" s="3" t="s">
        <v>64</v>
      </c>
      <c r="I336" s="3" t="s">
        <v>64</v>
      </c>
      <c r="J336" s="3" t="s">
        <v>64</v>
      </c>
      <c r="K336" s="3" t="s">
        <v>65</v>
      </c>
      <c r="M336" s="2" t="s">
        <v>3231</v>
      </c>
      <c r="N336" s="3" t="s">
        <v>2067</v>
      </c>
      <c r="P336" s="3" t="s">
        <v>102</v>
      </c>
      <c r="Q336" s="2" t="s">
        <v>3232</v>
      </c>
      <c r="R336" s="3" t="s">
        <v>70</v>
      </c>
      <c r="S336" s="4">
        <v>10</v>
      </c>
      <c r="T336" s="4">
        <v>10</v>
      </c>
      <c r="U336" s="5" t="s">
        <v>3141</v>
      </c>
      <c r="V336" s="5" t="s">
        <v>3141</v>
      </c>
      <c r="W336" s="5" t="s">
        <v>72</v>
      </c>
      <c r="X336" s="5" t="s">
        <v>72</v>
      </c>
      <c r="Y336" s="4">
        <v>179</v>
      </c>
      <c r="Z336" s="4">
        <v>11</v>
      </c>
      <c r="AA336" s="4">
        <v>12</v>
      </c>
      <c r="AB336" s="4">
        <v>2</v>
      </c>
      <c r="AC336" s="4">
        <v>3</v>
      </c>
      <c r="AD336" s="4">
        <v>72</v>
      </c>
      <c r="AE336" s="4">
        <v>76</v>
      </c>
      <c r="AF336" s="4">
        <v>1</v>
      </c>
      <c r="AG336" s="4">
        <v>2</v>
      </c>
      <c r="AH336" s="4">
        <v>67</v>
      </c>
      <c r="AI336" s="4">
        <v>70</v>
      </c>
      <c r="AJ336" s="4">
        <v>8</v>
      </c>
      <c r="AK336" s="4">
        <v>9</v>
      </c>
      <c r="AL336" s="4">
        <v>44</v>
      </c>
      <c r="AM336" s="4">
        <v>46</v>
      </c>
      <c r="AN336" s="4">
        <v>0</v>
      </c>
      <c r="AO336" s="4">
        <v>0</v>
      </c>
      <c r="AP336" s="4">
        <v>8</v>
      </c>
      <c r="AQ336" s="4">
        <v>8</v>
      </c>
      <c r="AR336" s="3" t="s">
        <v>64</v>
      </c>
      <c r="AS336" s="3" t="s">
        <v>64</v>
      </c>
      <c r="AT336" s="3" t="s">
        <v>64</v>
      </c>
      <c r="AV336" s="6" t="str">
        <f>HYPERLINK("http://mcgill.on.worldcat.org/oclc/19517979","Catalog Record")</f>
        <v>Catalog Record</v>
      </c>
      <c r="AW336" s="6" t="str">
        <f>HYPERLINK("http://www.worldcat.org/oclc/19517979","WorldCat Record")</f>
        <v>WorldCat Record</v>
      </c>
      <c r="AX336" s="3" t="s">
        <v>3233</v>
      </c>
      <c r="AY336" s="3" t="s">
        <v>3234</v>
      </c>
      <c r="AZ336" s="3" t="s">
        <v>3235</v>
      </c>
      <c r="BA336" s="3" t="s">
        <v>3235</v>
      </c>
      <c r="BB336" s="3" t="s">
        <v>3236</v>
      </c>
      <c r="BC336" s="3" t="s">
        <v>77</v>
      </c>
      <c r="BD336" s="3" t="s">
        <v>78</v>
      </c>
      <c r="BE336" s="3" t="s">
        <v>3237</v>
      </c>
      <c r="BF336" s="3" t="s">
        <v>3236</v>
      </c>
      <c r="BG336" s="3" t="s">
        <v>3238</v>
      </c>
      <c r="BH336">
        <f t="shared" si="13"/>
        <v>0</v>
      </c>
    </row>
    <row r="337" spans="1:60" ht="58" x14ac:dyDescent="0.35">
      <c r="A337" s="2" t="s">
        <v>59</v>
      </c>
      <c r="B337" s="2" t="s">
        <v>60</v>
      </c>
      <c r="C337" s="2" t="s">
        <v>3239</v>
      </c>
      <c r="D337" s="2" t="s">
        <v>3240</v>
      </c>
      <c r="E337" s="2" t="s">
        <v>3241</v>
      </c>
      <c r="G337" s="3" t="s">
        <v>64</v>
      </c>
      <c r="I337" s="3" t="s">
        <v>64</v>
      </c>
      <c r="J337" s="3" t="s">
        <v>64</v>
      </c>
      <c r="K337" s="3" t="s">
        <v>65</v>
      </c>
      <c r="L337" s="2" t="s">
        <v>2113</v>
      </c>
      <c r="M337" s="2" t="s">
        <v>3242</v>
      </c>
      <c r="N337" s="3" t="s">
        <v>481</v>
      </c>
      <c r="P337" s="3" t="s">
        <v>102</v>
      </c>
      <c r="Q337" s="2" t="s">
        <v>3243</v>
      </c>
      <c r="R337" s="3" t="s">
        <v>70</v>
      </c>
      <c r="S337" s="4">
        <v>9</v>
      </c>
      <c r="T337" s="4">
        <v>9</v>
      </c>
      <c r="U337" s="5" t="s">
        <v>3222</v>
      </c>
      <c r="V337" s="5" t="s">
        <v>3222</v>
      </c>
      <c r="W337" s="5" t="s">
        <v>72</v>
      </c>
      <c r="X337" s="5" t="s">
        <v>72</v>
      </c>
      <c r="Y337" s="4">
        <v>352</v>
      </c>
      <c r="Z337" s="4">
        <v>26</v>
      </c>
      <c r="AA337" s="4">
        <v>40</v>
      </c>
      <c r="AB337" s="4">
        <v>2</v>
      </c>
      <c r="AC337" s="4">
        <v>7</v>
      </c>
      <c r="AD337" s="4">
        <v>101</v>
      </c>
      <c r="AE337" s="4">
        <v>127</v>
      </c>
      <c r="AF337" s="4">
        <v>1</v>
      </c>
      <c r="AG337" s="4">
        <v>3</v>
      </c>
      <c r="AH337" s="4">
        <v>87</v>
      </c>
      <c r="AI337" s="4">
        <v>104</v>
      </c>
      <c r="AJ337" s="4">
        <v>16</v>
      </c>
      <c r="AK337" s="4">
        <v>21</v>
      </c>
      <c r="AL337" s="4">
        <v>51</v>
      </c>
      <c r="AM337" s="4">
        <v>58</v>
      </c>
      <c r="AN337" s="4">
        <v>0</v>
      </c>
      <c r="AO337" s="4">
        <v>0</v>
      </c>
      <c r="AP337" s="4">
        <v>19</v>
      </c>
      <c r="AQ337" s="4">
        <v>28</v>
      </c>
      <c r="AR337" s="3" t="s">
        <v>64</v>
      </c>
      <c r="AS337" s="3" t="s">
        <v>64</v>
      </c>
      <c r="AT337" s="3" t="s">
        <v>64</v>
      </c>
      <c r="AV337" s="6" t="str">
        <f>HYPERLINK("http://mcgill.on.worldcat.org/oclc/62638","Catalog Record")</f>
        <v>Catalog Record</v>
      </c>
      <c r="AW337" s="6" t="str">
        <f>HYPERLINK("http://www.worldcat.org/oclc/62638","WorldCat Record")</f>
        <v>WorldCat Record</v>
      </c>
      <c r="AX337" s="3" t="s">
        <v>3244</v>
      </c>
      <c r="AY337" s="3" t="s">
        <v>3245</v>
      </c>
      <c r="AZ337" s="3" t="s">
        <v>3246</v>
      </c>
      <c r="BA337" s="3" t="s">
        <v>3246</v>
      </c>
      <c r="BB337" s="3" t="s">
        <v>3247</v>
      </c>
      <c r="BC337" s="3" t="s">
        <v>77</v>
      </c>
      <c r="BD337" s="3" t="s">
        <v>78</v>
      </c>
      <c r="BE337" s="3" t="s">
        <v>3248</v>
      </c>
      <c r="BF337" s="3" t="s">
        <v>3247</v>
      </c>
      <c r="BG337" s="3" t="s">
        <v>3249</v>
      </c>
      <c r="BH337">
        <f t="shared" si="13"/>
        <v>0</v>
      </c>
    </row>
    <row r="338" spans="1:60" ht="58" x14ac:dyDescent="0.35">
      <c r="A338" s="2" t="s">
        <v>59</v>
      </c>
      <c r="B338" s="2" t="s">
        <v>60</v>
      </c>
      <c r="C338" s="2" t="s">
        <v>3250</v>
      </c>
      <c r="D338" s="2" t="s">
        <v>3251</v>
      </c>
      <c r="E338" s="2" t="s">
        <v>3252</v>
      </c>
      <c r="F338" s="3" t="s">
        <v>525</v>
      </c>
      <c r="G338" s="3" t="s">
        <v>128</v>
      </c>
      <c r="I338" s="3" t="s">
        <v>64</v>
      </c>
      <c r="J338" s="3" t="s">
        <v>64</v>
      </c>
      <c r="K338" s="3" t="s">
        <v>65</v>
      </c>
      <c r="L338" s="2" t="s">
        <v>3253</v>
      </c>
      <c r="M338" s="2" t="s">
        <v>3254</v>
      </c>
      <c r="N338" s="3" t="s">
        <v>1047</v>
      </c>
      <c r="P338" s="3" t="s">
        <v>68</v>
      </c>
      <c r="Q338" s="2" t="s">
        <v>3255</v>
      </c>
      <c r="R338" s="3" t="s">
        <v>70</v>
      </c>
      <c r="S338" s="4">
        <v>5</v>
      </c>
      <c r="T338" s="4">
        <v>14</v>
      </c>
      <c r="U338" s="5" t="s">
        <v>3256</v>
      </c>
      <c r="V338" s="5" t="s">
        <v>3256</v>
      </c>
      <c r="W338" s="5" t="s">
        <v>72</v>
      </c>
      <c r="X338" s="5" t="s">
        <v>72</v>
      </c>
      <c r="Y338" s="4">
        <v>28</v>
      </c>
      <c r="Z338" s="4">
        <v>10</v>
      </c>
      <c r="AA338" s="4">
        <v>25</v>
      </c>
      <c r="AB338" s="4">
        <v>2</v>
      </c>
      <c r="AC338" s="4">
        <v>10</v>
      </c>
      <c r="AD338" s="4">
        <v>22</v>
      </c>
      <c r="AE338" s="4">
        <v>31</v>
      </c>
      <c r="AF338" s="4">
        <v>1</v>
      </c>
      <c r="AG338" s="4">
        <v>5</v>
      </c>
      <c r="AH338" s="4">
        <v>17</v>
      </c>
      <c r="AI338" s="4">
        <v>21</v>
      </c>
      <c r="AJ338" s="4">
        <v>7</v>
      </c>
      <c r="AK338" s="4">
        <v>15</v>
      </c>
      <c r="AL338" s="4">
        <v>13</v>
      </c>
      <c r="AM338" s="4">
        <v>14</v>
      </c>
      <c r="AN338" s="4">
        <v>0</v>
      </c>
      <c r="AO338" s="4">
        <v>0</v>
      </c>
      <c r="AP338" s="4">
        <v>8</v>
      </c>
      <c r="AQ338" s="4">
        <v>15</v>
      </c>
      <c r="AR338" s="3" t="s">
        <v>128</v>
      </c>
      <c r="AS338" s="3" t="s">
        <v>64</v>
      </c>
      <c r="AT338" s="3" t="s">
        <v>128</v>
      </c>
      <c r="AU338" s="6" t="str">
        <f>HYPERLINK("http://catalog.hathitrust.org/Record/102460365","HathiTrust Record")</f>
        <v>HathiTrust Record</v>
      </c>
      <c r="AV338" s="6" t="str">
        <f>HYPERLINK("http://mcgill.on.worldcat.org/oclc/10824799","Catalog Record")</f>
        <v>Catalog Record</v>
      </c>
      <c r="AW338" s="6" t="str">
        <f>HYPERLINK("http://www.worldcat.org/oclc/10824799","WorldCat Record")</f>
        <v>WorldCat Record</v>
      </c>
      <c r="AX338" s="3" t="s">
        <v>3257</v>
      </c>
      <c r="AY338" s="3" t="s">
        <v>3258</v>
      </c>
      <c r="AZ338" s="3" t="s">
        <v>3259</v>
      </c>
      <c r="BA338" s="3" t="s">
        <v>3259</v>
      </c>
      <c r="BB338" s="3" t="s">
        <v>3260</v>
      </c>
      <c r="BC338" s="3" t="s">
        <v>77</v>
      </c>
      <c r="BD338" s="3" t="s">
        <v>78</v>
      </c>
      <c r="BF338" s="3" t="s">
        <v>3260</v>
      </c>
      <c r="BG338" s="3" t="s">
        <v>3261</v>
      </c>
      <c r="BH338">
        <f t="shared" si="13"/>
        <v>0</v>
      </c>
    </row>
    <row r="339" spans="1:60" ht="58" x14ac:dyDescent="0.35">
      <c r="A339" s="2" t="s">
        <v>59</v>
      </c>
      <c r="B339" s="2" t="s">
        <v>60</v>
      </c>
      <c r="C339" s="2" t="s">
        <v>3250</v>
      </c>
      <c r="D339" s="2" t="s">
        <v>3251</v>
      </c>
      <c r="E339" s="2" t="s">
        <v>3252</v>
      </c>
      <c r="F339" s="3" t="s">
        <v>509</v>
      </c>
      <c r="G339" s="3" t="s">
        <v>128</v>
      </c>
      <c r="I339" s="3" t="s">
        <v>64</v>
      </c>
      <c r="J339" s="3" t="s">
        <v>64</v>
      </c>
      <c r="K339" s="3" t="s">
        <v>65</v>
      </c>
      <c r="L339" s="2" t="s">
        <v>3253</v>
      </c>
      <c r="M339" s="2" t="s">
        <v>3254</v>
      </c>
      <c r="N339" s="3" t="s">
        <v>1047</v>
      </c>
      <c r="P339" s="3" t="s">
        <v>68</v>
      </c>
      <c r="Q339" s="2" t="s">
        <v>3255</v>
      </c>
      <c r="R339" s="3" t="s">
        <v>70</v>
      </c>
      <c r="S339" s="4">
        <v>5</v>
      </c>
      <c r="T339" s="4">
        <v>14</v>
      </c>
      <c r="U339" s="5" t="s">
        <v>3262</v>
      </c>
      <c r="V339" s="5" t="s">
        <v>3256</v>
      </c>
      <c r="W339" s="5" t="s">
        <v>72</v>
      </c>
      <c r="X339" s="5" t="s">
        <v>72</v>
      </c>
      <c r="Y339" s="4">
        <v>28</v>
      </c>
      <c r="Z339" s="4">
        <v>10</v>
      </c>
      <c r="AA339" s="4">
        <v>25</v>
      </c>
      <c r="AB339" s="4">
        <v>2</v>
      </c>
      <c r="AC339" s="4">
        <v>10</v>
      </c>
      <c r="AD339" s="4">
        <v>22</v>
      </c>
      <c r="AE339" s="4">
        <v>31</v>
      </c>
      <c r="AF339" s="4">
        <v>1</v>
      </c>
      <c r="AG339" s="4">
        <v>5</v>
      </c>
      <c r="AH339" s="4">
        <v>17</v>
      </c>
      <c r="AI339" s="4">
        <v>21</v>
      </c>
      <c r="AJ339" s="4">
        <v>7</v>
      </c>
      <c r="AK339" s="4">
        <v>15</v>
      </c>
      <c r="AL339" s="4">
        <v>13</v>
      </c>
      <c r="AM339" s="4">
        <v>14</v>
      </c>
      <c r="AN339" s="4">
        <v>0</v>
      </c>
      <c r="AO339" s="4">
        <v>0</v>
      </c>
      <c r="AP339" s="4">
        <v>8</v>
      </c>
      <c r="AQ339" s="4">
        <v>15</v>
      </c>
      <c r="AR339" s="3" t="s">
        <v>128</v>
      </c>
      <c r="AS339" s="3" t="s">
        <v>64</v>
      </c>
      <c r="AT339" s="3" t="s">
        <v>128</v>
      </c>
      <c r="AU339" s="6" t="str">
        <f>HYPERLINK("http://catalog.hathitrust.org/Record/102460365","HathiTrust Record")</f>
        <v>HathiTrust Record</v>
      </c>
      <c r="AV339" s="6" t="str">
        <f>HYPERLINK("http://mcgill.on.worldcat.org/oclc/10824799","Catalog Record")</f>
        <v>Catalog Record</v>
      </c>
      <c r="AW339" s="6" t="str">
        <f>HYPERLINK("http://www.worldcat.org/oclc/10824799","WorldCat Record")</f>
        <v>WorldCat Record</v>
      </c>
      <c r="AX339" s="3" t="s">
        <v>3257</v>
      </c>
      <c r="AY339" s="3" t="s">
        <v>3258</v>
      </c>
      <c r="AZ339" s="3" t="s">
        <v>3259</v>
      </c>
      <c r="BA339" s="3" t="s">
        <v>3259</v>
      </c>
      <c r="BB339" s="3" t="s">
        <v>3263</v>
      </c>
      <c r="BC339" s="3" t="s">
        <v>77</v>
      </c>
      <c r="BD339" s="3" t="s">
        <v>78</v>
      </c>
      <c r="BF339" s="3" t="s">
        <v>3263</v>
      </c>
      <c r="BG339" s="3" t="s">
        <v>3264</v>
      </c>
      <c r="BH339">
        <f t="shared" si="13"/>
        <v>0</v>
      </c>
    </row>
    <row r="340" spans="1:60" ht="58" x14ac:dyDescent="0.35">
      <c r="A340" s="2" t="s">
        <v>59</v>
      </c>
      <c r="B340" s="2" t="s">
        <v>60</v>
      </c>
      <c r="C340" s="2" t="s">
        <v>3250</v>
      </c>
      <c r="D340" s="2" t="s">
        <v>3251</v>
      </c>
      <c r="E340" s="2" t="s">
        <v>3252</v>
      </c>
      <c r="F340" s="3" t="s">
        <v>529</v>
      </c>
      <c r="G340" s="3" t="s">
        <v>128</v>
      </c>
      <c r="I340" s="3" t="s">
        <v>64</v>
      </c>
      <c r="J340" s="3" t="s">
        <v>64</v>
      </c>
      <c r="K340" s="3" t="s">
        <v>65</v>
      </c>
      <c r="L340" s="2" t="s">
        <v>3253</v>
      </c>
      <c r="M340" s="2" t="s">
        <v>3254</v>
      </c>
      <c r="N340" s="3" t="s">
        <v>1047</v>
      </c>
      <c r="P340" s="3" t="s">
        <v>68</v>
      </c>
      <c r="Q340" s="2" t="s">
        <v>3255</v>
      </c>
      <c r="R340" s="3" t="s">
        <v>70</v>
      </c>
      <c r="S340" s="4">
        <v>4</v>
      </c>
      <c r="T340" s="4">
        <v>14</v>
      </c>
      <c r="U340" s="5" t="s">
        <v>3262</v>
      </c>
      <c r="V340" s="5" t="s">
        <v>3256</v>
      </c>
      <c r="W340" s="5" t="s">
        <v>72</v>
      </c>
      <c r="X340" s="5" t="s">
        <v>72</v>
      </c>
      <c r="Y340" s="4">
        <v>28</v>
      </c>
      <c r="Z340" s="4">
        <v>10</v>
      </c>
      <c r="AA340" s="4">
        <v>25</v>
      </c>
      <c r="AB340" s="4">
        <v>2</v>
      </c>
      <c r="AC340" s="4">
        <v>10</v>
      </c>
      <c r="AD340" s="4">
        <v>22</v>
      </c>
      <c r="AE340" s="4">
        <v>31</v>
      </c>
      <c r="AF340" s="4">
        <v>1</v>
      </c>
      <c r="AG340" s="4">
        <v>5</v>
      </c>
      <c r="AH340" s="4">
        <v>17</v>
      </c>
      <c r="AI340" s="4">
        <v>21</v>
      </c>
      <c r="AJ340" s="4">
        <v>7</v>
      </c>
      <c r="AK340" s="4">
        <v>15</v>
      </c>
      <c r="AL340" s="4">
        <v>13</v>
      </c>
      <c r="AM340" s="4">
        <v>14</v>
      </c>
      <c r="AN340" s="4">
        <v>0</v>
      </c>
      <c r="AO340" s="4">
        <v>0</v>
      </c>
      <c r="AP340" s="4">
        <v>8</v>
      </c>
      <c r="AQ340" s="4">
        <v>15</v>
      </c>
      <c r="AR340" s="3" t="s">
        <v>128</v>
      </c>
      <c r="AS340" s="3" t="s">
        <v>64</v>
      </c>
      <c r="AT340" s="3" t="s">
        <v>128</v>
      </c>
      <c r="AU340" s="6" t="str">
        <f>HYPERLINK("http://catalog.hathitrust.org/Record/102460365","HathiTrust Record")</f>
        <v>HathiTrust Record</v>
      </c>
      <c r="AV340" s="6" t="str">
        <f>HYPERLINK("http://mcgill.on.worldcat.org/oclc/10824799","Catalog Record")</f>
        <v>Catalog Record</v>
      </c>
      <c r="AW340" s="6" t="str">
        <f>HYPERLINK("http://www.worldcat.org/oclc/10824799","WorldCat Record")</f>
        <v>WorldCat Record</v>
      </c>
      <c r="AX340" s="3" t="s">
        <v>3257</v>
      </c>
      <c r="AY340" s="3" t="s">
        <v>3258</v>
      </c>
      <c r="AZ340" s="3" t="s">
        <v>3259</v>
      </c>
      <c r="BA340" s="3" t="s">
        <v>3259</v>
      </c>
      <c r="BB340" s="3" t="s">
        <v>3265</v>
      </c>
      <c r="BC340" s="3" t="s">
        <v>77</v>
      </c>
      <c r="BD340" s="3" t="s">
        <v>78</v>
      </c>
      <c r="BF340" s="3" t="s">
        <v>3265</v>
      </c>
      <c r="BG340" s="3" t="s">
        <v>3266</v>
      </c>
      <c r="BH340">
        <f t="shared" si="13"/>
        <v>0</v>
      </c>
    </row>
    <row r="341" spans="1:60" ht="58" x14ac:dyDescent="0.35">
      <c r="A341" s="2" t="s">
        <v>59</v>
      </c>
      <c r="B341" s="2" t="s">
        <v>60</v>
      </c>
      <c r="C341" s="2" t="s">
        <v>3267</v>
      </c>
      <c r="D341" s="2" t="s">
        <v>3268</v>
      </c>
      <c r="E341" s="2" t="s">
        <v>3269</v>
      </c>
      <c r="G341" s="3" t="s">
        <v>64</v>
      </c>
      <c r="I341" s="3" t="s">
        <v>128</v>
      </c>
      <c r="J341" s="3" t="s">
        <v>64</v>
      </c>
      <c r="K341" s="3" t="s">
        <v>65</v>
      </c>
      <c r="L341" s="2" t="s">
        <v>3270</v>
      </c>
      <c r="M341" s="2" t="s">
        <v>3271</v>
      </c>
      <c r="N341" s="3" t="s">
        <v>3272</v>
      </c>
      <c r="P341" s="3" t="s">
        <v>102</v>
      </c>
      <c r="R341" s="3" t="s">
        <v>70</v>
      </c>
      <c r="S341" s="4">
        <v>4</v>
      </c>
      <c r="T341" s="4">
        <v>4</v>
      </c>
      <c r="U341" s="5" t="s">
        <v>3273</v>
      </c>
      <c r="V341" s="5" t="s">
        <v>3273</v>
      </c>
      <c r="W341" s="5" t="s">
        <v>72</v>
      </c>
      <c r="X341" s="5" t="s">
        <v>72</v>
      </c>
      <c r="Y341" s="4">
        <v>191</v>
      </c>
      <c r="Z341" s="4">
        <v>12</v>
      </c>
      <c r="AA341" s="4">
        <v>28</v>
      </c>
      <c r="AB341" s="4">
        <v>1</v>
      </c>
      <c r="AC341" s="4">
        <v>4</v>
      </c>
      <c r="AD341" s="4">
        <v>71</v>
      </c>
      <c r="AE341" s="4">
        <v>87</v>
      </c>
      <c r="AF341" s="4">
        <v>0</v>
      </c>
      <c r="AG341" s="4">
        <v>1</v>
      </c>
      <c r="AH341" s="4">
        <v>67</v>
      </c>
      <c r="AI341" s="4">
        <v>78</v>
      </c>
      <c r="AJ341" s="4">
        <v>8</v>
      </c>
      <c r="AK341" s="4">
        <v>11</v>
      </c>
      <c r="AL341" s="4">
        <v>44</v>
      </c>
      <c r="AM341" s="4">
        <v>47</v>
      </c>
      <c r="AN341" s="4">
        <v>0</v>
      </c>
      <c r="AO341" s="4">
        <v>0</v>
      </c>
      <c r="AP341" s="4">
        <v>8</v>
      </c>
      <c r="AQ341" s="4">
        <v>13</v>
      </c>
      <c r="AR341" s="3" t="s">
        <v>64</v>
      </c>
      <c r="AS341" s="3" t="s">
        <v>64</v>
      </c>
      <c r="AT341" s="3" t="s">
        <v>64</v>
      </c>
      <c r="AU341" s="6" t="str">
        <f>HYPERLINK("http://catalog.hathitrust.org/Record/001159504","HathiTrust Record")</f>
        <v>HathiTrust Record</v>
      </c>
      <c r="AV341" s="6" t="str">
        <f>HYPERLINK("http://mcgill.on.worldcat.org/oclc/1007319","Catalog Record")</f>
        <v>Catalog Record</v>
      </c>
      <c r="AW341" s="6" t="str">
        <f>HYPERLINK("http://www.worldcat.org/oclc/1007319","WorldCat Record")</f>
        <v>WorldCat Record</v>
      </c>
      <c r="AX341" s="3" t="s">
        <v>3274</v>
      </c>
      <c r="AY341" s="3" t="s">
        <v>3275</v>
      </c>
      <c r="AZ341" s="3" t="s">
        <v>3276</v>
      </c>
      <c r="BA341" s="3" t="s">
        <v>3276</v>
      </c>
      <c r="BB341" s="3" t="s">
        <v>3277</v>
      </c>
      <c r="BC341" s="3" t="s">
        <v>77</v>
      </c>
      <c r="BD341" s="3" t="s">
        <v>78</v>
      </c>
      <c r="BF341" s="3" t="s">
        <v>3277</v>
      </c>
      <c r="BG341" s="3" t="s">
        <v>3278</v>
      </c>
      <c r="BH341">
        <f t="shared" si="13"/>
        <v>0</v>
      </c>
    </row>
    <row r="342" spans="1:60" x14ac:dyDescent="0.35">
      <c r="A342" t="s">
        <v>59</v>
      </c>
      <c r="B342" t="s">
        <v>1025</v>
      </c>
      <c r="C342" t="s">
        <v>52975</v>
      </c>
      <c r="D342" t="s">
        <v>52976</v>
      </c>
      <c r="E342" t="s">
        <v>52977</v>
      </c>
      <c r="F342" t="s">
        <v>52978</v>
      </c>
      <c r="G342" t="s">
        <v>52979</v>
      </c>
      <c r="H342" t="s">
        <v>1938</v>
      </c>
      <c r="J342" t="s">
        <v>102</v>
      </c>
      <c r="Q342" t="s">
        <v>52980</v>
      </c>
      <c r="R342" t="s">
        <v>70</v>
      </c>
      <c r="S342">
        <v>174</v>
      </c>
      <c r="T342">
        <v>10</v>
      </c>
      <c r="U342">
        <v>13</v>
      </c>
      <c r="V342">
        <v>1</v>
      </c>
      <c r="W342">
        <v>4</v>
      </c>
      <c r="X342">
        <v>61</v>
      </c>
      <c r="Y342">
        <v>62</v>
      </c>
      <c r="Z342">
        <v>0</v>
      </c>
      <c r="AA342">
        <v>1</v>
      </c>
      <c r="AB342">
        <v>55</v>
      </c>
      <c r="AC342">
        <v>55</v>
      </c>
      <c r="AD342">
        <v>6</v>
      </c>
      <c r="AE342">
        <v>7</v>
      </c>
      <c r="AF342">
        <v>40</v>
      </c>
      <c r="AG342">
        <v>40</v>
      </c>
      <c r="AH342">
        <v>0</v>
      </c>
      <c r="AI342">
        <v>0</v>
      </c>
      <c r="AJ342">
        <v>7</v>
      </c>
      <c r="AK342">
        <v>7</v>
      </c>
      <c r="AL342" t="s">
        <v>64</v>
      </c>
      <c r="AM342" t="s">
        <v>64</v>
      </c>
      <c r="AN342" t="s">
        <v>128</v>
      </c>
      <c r="AO342" t="s">
        <v>52901</v>
      </c>
      <c r="AP342" t="s">
        <v>52902</v>
      </c>
      <c r="AQ342" t="s">
        <v>52903</v>
      </c>
      <c r="AR342" t="s">
        <v>52981</v>
      </c>
      <c r="AS342" t="s">
        <v>52982</v>
      </c>
      <c r="AT342" t="s">
        <v>52983</v>
      </c>
      <c r="AU342" t="s">
        <v>52983</v>
      </c>
      <c r="AW342" t="s">
        <v>77</v>
      </c>
      <c r="AX342" t="s">
        <v>78</v>
      </c>
      <c r="AY342" t="s">
        <v>52985</v>
      </c>
      <c r="AZ342" t="s">
        <v>52984</v>
      </c>
      <c r="BA342" t="s">
        <v>52986</v>
      </c>
      <c r="BF342" t="s">
        <v>52984</v>
      </c>
      <c r="BH342">
        <f t="shared" si="13"/>
        <v>0</v>
      </c>
    </row>
    <row r="343" spans="1:60" ht="58" x14ac:dyDescent="0.35">
      <c r="A343" s="2" t="s">
        <v>59</v>
      </c>
      <c r="B343" s="2" t="s">
        <v>60</v>
      </c>
      <c r="C343" s="2" t="s">
        <v>3279</v>
      </c>
      <c r="D343" s="2" t="s">
        <v>3280</v>
      </c>
      <c r="E343" s="2" t="s">
        <v>3281</v>
      </c>
      <c r="G343" s="3" t="s">
        <v>64</v>
      </c>
      <c r="I343" s="3" t="s">
        <v>64</v>
      </c>
      <c r="J343" s="3" t="s">
        <v>64</v>
      </c>
      <c r="K343" s="3" t="s">
        <v>65</v>
      </c>
      <c r="L343" s="2" t="s">
        <v>3282</v>
      </c>
      <c r="M343" s="2" t="s">
        <v>3283</v>
      </c>
      <c r="N343" s="3" t="s">
        <v>874</v>
      </c>
      <c r="P343" s="3" t="s">
        <v>102</v>
      </c>
      <c r="R343" s="3" t="s">
        <v>70</v>
      </c>
      <c r="S343" s="4">
        <v>5</v>
      </c>
      <c r="T343" s="4">
        <v>5</v>
      </c>
      <c r="U343" s="5" t="s">
        <v>3284</v>
      </c>
      <c r="V343" s="5" t="s">
        <v>3284</v>
      </c>
      <c r="W343" s="5" t="s">
        <v>72</v>
      </c>
      <c r="X343" s="5" t="s">
        <v>72</v>
      </c>
      <c r="Y343" s="4">
        <v>82</v>
      </c>
      <c r="Z343" s="4">
        <v>8</v>
      </c>
      <c r="AA343" s="4">
        <v>11</v>
      </c>
      <c r="AB343" s="4">
        <v>2</v>
      </c>
      <c r="AC343" s="4">
        <v>4</v>
      </c>
      <c r="AD343" s="4">
        <v>33</v>
      </c>
      <c r="AE343" s="4">
        <v>43</v>
      </c>
      <c r="AF343" s="4">
        <v>1</v>
      </c>
      <c r="AG343" s="4">
        <v>3</v>
      </c>
      <c r="AH343" s="4">
        <v>28</v>
      </c>
      <c r="AI343" s="4">
        <v>37</v>
      </c>
      <c r="AJ343" s="4">
        <v>6</v>
      </c>
      <c r="AK343" s="4">
        <v>9</v>
      </c>
      <c r="AL343" s="4">
        <v>23</v>
      </c>
      <c r="AM343" s="4">
        <v>29</v>
      </c>
      <c r="AN343" s="4">
        <v>0</v>
      </c>
      <c r="AO343" s="4">
        <v>2</v>
      </c>
      <c r="AP343" s="4">
        <v>5</v>
      </c>
      <c r="AQ343" s="4">
        <v>7</v>
      </c>
      <c r="AR343" s="3" t="s">
        <v>64</v>
      </c>
      <c r="AS343" s="3" t="s">
        <v>64</v>
      </c>
      <c r="AT343" s="3" t="s">
        <v>64</v>
      </c>
      <c r="AV343" s="6" t="str">
        <f>HYPERLINK("http://mcgill.on.worldcat.org/oclc/8154710","Catalog Record")</f>
        <v>Catalog Record</v>
      </c>
      <c r="AW343" s="6" t="str">
        <f>HYPERLINK("http://www.worldcat.org/oclc/8154710","WorldCat Record")</f>
        <v>WorldCat Record</v>
      </c>
      <c r="AX343" s="3" t="s">
        <v>3285</v>
      </c>
      <c r="AY343" s="3" t="s">
        <v>3286</v>
      </c>
      <c r="AZ343" s="3" t="s">
        <v>3287</v>
      </c>
      <c r="BA343" s="3" t="s">
        <v>3287</v>
      </c>
      <c r="BB343" s="3" t="s">
        <v>3288</v>
      </c>
      <c r="BC343" s="3" t="s">
        <v>77</v>
      </c>
      <c r="BD343" s="3" t="s">
        <v>78</v>
      </c>
      <c r="BE343" s="3" t="s">
        <v>3289</v>
      </c>
      <c r="BF343" s="3" t="s">
        <v>3288</v>
      </c>
      <c r="BG343" s="3" t="s">
        <v>3290</v>
      </c>
      <c r="BH343">
        <f t="shared" si="13"/>
        <v>0</v>
      </c>
    </row>
    <row r="344" spans="1:60" x14ac:dyDescent="0.35">
      <c r="A344" t="s">
        <v>59</v>
      </c>
      <c r="B344" t="s">
        <v>60</v>
      </c>
      <c r="C344" t="s">
        <v>52987</v>
      </c>
      <c r="D344" t="s">
        <v>52988</v>
      </c>
      <c r="E344" t="s">
        <v>52989</v>
      </c>
      <c r="F344" t="s">
        <v>3282</v>
      </c>
      <c r="G344" t="s">
        <v>52990</v>
      </c>
      <c r="H344" t="s">
        <v>1263</v>
      </c>
      <c r="J344" t="s">
        <v>102</v>
      </c>
      <c r="Q344" t="s">
        <v>52991</v>
      </c>
      <c r="R344" t="s">
        <v>70</v>
      </c>
      <c r="S344">
        <v>121</v>
      </c>
      <c r="T344">
        <v>12</v>
      </c>
      <c r="U344">
        <v>15</v>
      </c>
      <c r="V344">
        <v>1</v>
      </c>
      <c r="W344">
        <v>4</v>
      </c>
      <c r="X344">
        <v>56</v>
      </c>
      <c r="Y344">
        <v>57</v>
      </c>
      <c r="Z344">
        <v>0</v>
      </c>
      <c r="AA344">
        <v>1</v>
      </c>
      <c r="AB344">
        <v>51</v>
      </c>
      <c r="AC344">
        <v>51</v>
      </c>
      <c r="AD344">
        <v>6</v>
      </c>
      <c r="AE344">
        <v>7</v>
      </c>
      <c r="AF344">
        <v>39</v>
      </c>
      <c r="AG344">
        <v>39</v>
      </c>
      <c r="AH344">
        <v>0</v>
      </c>
      <c r="AI344">
        <v>0</v>
      </c>
      <c r="AJ344">
        <v>5</v>
      </c>
      <c r="AK344">
        <v>5</v>
      </c>
      <c r="AL344" t="s">
        <v>64</v>
      </c>
      <c r="AM344" t="s">
        <v>64</v>
      </c>
      <c r="AN344" t="s">
        <v>64</v>
      </c>
      <c r="AP344" t="s">
        <v>52902</v>
      </c>
      <c r="AQ344" t="s">
        <v>52903</v>
      </c>
      <c r="AR344" t="s">
        <v>52992</v>
      </c>
      <c r="AS344" t="s">
        <v>52993</v>
      </c>
      <c r="AT344" t="s">
        <v>52994</v>
      </c>
      <c r="AU344" t="s">
        <v>52994</v>
      </c>
      <c r="AW344" t="s">
        <v>77</v>
      </c>
      <c r="AX344" t="s">
        <v>78</v>
      </c>
      <c r="AY344" t="s">
        <v>52996</v>
      </c>
      <c r="AZ344" t="s">
        <v>52995</v>
      </c>
      <c r="BA344" t="s">
        <v>52997</v>
      </c>
      <c r="BF344" t="s">
        <v>52995</v>
      </c>
      <c r="BH344">
        <f t="shared" si="13"/>
        <v>0</v>
      </c>
    </row>
    <row r="345" spans="1:60" ht="58" x14ac:dyDescent="0.35">
      <c r="A345" s="2" t="s">
        <v>59</v>
      </c>
      <c r="B345" s="2" t="s">
        <v>60</v>
      </c>
      <c r="C345" s="2" t="s">
        <v>3291</v>
      </c>
      <c r="D345" s="2" t="s">
        <v>3292</v>
      </c>
      <c r="E345" s="2" t="s">
        <v>3293</v>
      </c>
      <c r="G345" s="3" t="s">
        <v>64</v>
      </c>
      <c r="I345" s="3" t="s">
        <v>64</v>
      </c>
      <c r="J345" s="3" t="s">
        <v>64</v>
      </c>
      <c r="K345" s="3" t="s">
        <v>65</v>
      </c>
      <c r="M345" s="2" t="s">
        <v>3294</v>
      </c>
      <c r="N345" s="3" t="s">
        <v>511</v>
      </c>
      <c r="P345" s="3" t="s">
        <v>102</v>
      </c>
      <c r="Q345" s="2" t="s">
        <v>3295</v>
      </c>
      <c r="R345" s="3" t="s">
        <v>70</v>
      </c>
      <c r="S345" s="4">
        <v>1</v>
      </c>
      <c r="T345" s="4">
        <v>1</v>
      </c>
      <c r="U345" s="5" t="s">
        <v>2187</v>
      </c>
      <c r="V345" s="5" t="s">
        <v>2187</v>
      </c>
      <c r="W345" s="5" t="s">
        <v>72</v>
      </c>
      <c r="X345" s="5" t="s">
        <v>72</v>
      </c>
      <c r="Y345" s="4">
        <v>56</v>
      </c>
      <c r="Z345" s="4">
        <v>4</v>
      </c>
      <c r="AA345" s="4">
        <v>95</v>
      </c>
      <c r="AB345" s="4">
        <v>1</v>
      </c>
      <c r="AC345" s="4">
        <v>17</v>
      </c>
      <c r="AD345" s="4">
        <v>24</v>
      </c>
      <c r="AE345" s="4">
        <v>107</v>
      </c>
      <c r="AF345" s="4">
        <v>0</v>
      </c>
      <c r="AG345" s="4">
        <v>8</v>
      </c>
      <c r="AH345" s="4">
        <v>22</v>
      </c>
      <c r="AI345" s="4">
        <v>72</v>
      </c>
      <c r="AJ345" s="4">
        <v>2</v>
      </c>
      <c r="AK345" s="4">
        <v>20</v>
      </c>
      <c r="AL345" s="4">
        <v>19</v>
      </c>
      <c r="AM345" s="4">
        <v>39</v>
      </c>
      <c r="AN345" s="4">
        <v>0</v>
      </c>
      <c r="AO345" s="4">
        <v>0</v>
      </c>
      <c r="AP345" s="4">
        <v>2</v>
      </c>
      <c r="AQ345" s="4">
        <v>41</v>
      </c>
      <c r="AR345" s="3" t="s">
        <v>64</v>
      </c>
      <c r="AS345" s="3" t="s">
        <v>64</v>
      </c>
      <c r="AT345" s="3" t="s">
        <v>64</v>
      </c>
      <c r="AV345" s="6" t="str">
        <f>HYPERLINK("http://mcgill.on.worldcat.org/oclc/429634783","Catalog Record")</f>
        <v>Catalog Record</v>
      </c>
      <c r="AW345" s="6" t="str">
        <f>HYPERLINK("http://www.worldcat.org/oclc/429634783","WorldCat Record")</f>
        <v>WorldCat Record</v>
      </c>
      <c r="AX345" s="3" t="s">
        <v>3296</v>
      </c>
      <c r="AY345" s="3" t="s">
        <v>3297</v>
      </c>
      <c r="AZ345" s="3" t="s">
        <v>3298</v>
      </c>
      <c r="BA345" s="3" t="s">
        <v>3298</v>
      </c>
      <c r="BB345" s="3" t="s">
        <v>3299</v>
      </c>
      <c r="BC345" s="3" t="s">
        <v>77</v>
      </c>
      <c r="BD345" s="3" t="s">
        <v>78</v>
      </c>
      <c r="BE345" s="3" t="s">
        <v>3300</v>
      </c>
      <c r="BF345" s="3" t="s">
        <v>3299</v>
      </c>
      <c r="BG345" s="3" t="s">
        <v>3301</v>
      </c>
      <c r="BH345">
        <f t="shared" si="13"/>
        <v>0</v>
      </c>
    </row>
    <row r="346" spans="1:60" ht="58" x14ac:dyDescent="0.35">
      <c r="A346" s="2" t="s">
        <v>59</v>
      </c>
      <c r="B346" s="2" t="s">
        <v>60</v>
      </c>
      <c r="C346" s="2" t="s">
        <v>3302</v>
      </c>
      <c r="D346" s="2" t="s">
        <v>3303</v>
      </c>
      <c r="E346" s="2" t="s">
        <v>3304</v>
      </c>
      <c r="G346" s="3" t="s">
        <v>64</v>
      </c>
      <c r="I346" s="3" t="s">
        <v>64</v>
      </c>
      <c r="J346" s="3" t="s">
        <v>64</v>
      </c>
      <c r="K346" s="3" t="s">
        <v>65</v>
      </c>
      <c r="L346" s="2" t="s">
        <v>3305</v>
      </c>
      <c r="M346" s="2" t="s">
        <v>3306</v>
      </c>
      <c r="N346" s="3" t="s">
        <v>1075</v>
      </c>
      <c r="P346" s="3" t="s">
        <v>102</v>
      </c>
      <c r="Q346" s="2" t="s">
        <v>3307</v>
      </c>
      <c r="R346" s="3" t="s">
        <v>70</v>
      </c>
      <c r="S346" s="4">
        <v>1</v>
      </c>
      <c r="T346" s="4">
        <v>1</v>
      </c>
      <c r="U346" s="5" t="s">
        <v>3308</v>
      </c>
      <c r="V346" s="5" t="s">
        <v>3308</v>
      </c>
      <c r="W346" s="5" t="s">
        <v>72</v>
      </c>
      <c r="X346" s="5" t="s">
        <v>72</v>
      </c>
      <c r="Y346" s="4">
        <v>38</v>
      </c>
      <c r="Z346" s="4">
        <v>3</v>
      </c>
      <c r="AA346" s="4">
        <v>3</v>
      </c>
      <c r="AB346" s="4">
        <v>1</v>
      </c>
      <c r="AC346" s="4">
        <v>1</v>
      </c>
      <c r="AD346" s="4">
        <v>14</v>
      </c>
      <c r="AE346" s="4">
        <v>14</v>
      </c>
      <c r="AF346" s="4">
        <v>0</v>
      </c>
      <c r="AG346" s="4">
        <v>0</v>
      </c>
      <c r="AH346" s="4">
        <v>12</v>
      </c>
      <c r="AI346" s="4">
        <v>12</v>
      </c>
      <c r="AJ346" s="4">
        <v>1</v>
      </c>
      <c r="AK346" s="4">
        <v>1</v>
      </c>
      <c r="AL346" s="4">
        <v>12</v>
      </c>
      <c r="AM346" s="4">
        <v>12</v>
      </c>
      <c r="AN346" s="4">
        <v>0</v>
      </c>
      <c r="AO346" s="4">
        <v>0</v>
      </c>
      <c r="AP346" s="4">
        <v>1</v>
      </c>
      <c r="AQ346" s="4">
        <v>1</v>
      </c>
      <c r="AR346" s="3" t="s">
        <v>64</v>
      </c>
      <c r="AS346" s="3" t="s">
        <v>64</v>
      </c>
      <c r="AT346" s="3" t="s">
        <v>64</v>
      </c>
      <c r="AV346" s="6" t="str">
        <f>HYPERLINK("http://mcgill.on.worldcat.org/oclc/854945712","Catalog Record")</f>
        <v>Catalog Record</v>
      </c>
      <c r="AW346" s="6" t="str">
        <f>HYPERLINK("http://www.worldcat.org/oclc/854945712","WorldCat Record")</f>
        <v>WorldCat Record</v>
      </c>
      <c r="AX346" s="3" t="s">
        <v>3309</v>
      </c>
      <c r="AY346" s="3" t="s">
        <v>3310</v>
      </c>
      <c r="AZ346" s="3" t="s">
        <v>3311</v>
      </c>
      <c r="BA346" s="3" t="s">
        <v>3311</v>
      </c>
      <c r="BB346" s="3" t="s">
        <v>3312</v>
      </c>
      <c r="BC346" s="3" t="s">
        <v>77</v>
      </c>
      <c r="BD346" s="3" t="s">
        <v>78</v>
      </c>
      <c r="BE346" s="3" t="s">
        <v>3313</v>
      </c>
      <c r="BF346" s="3" t="s">
        <v>3312</v>
      </c>
      <c r="BG346" s="3" t="s">
        <v>3314</v>
      </c>
      <c r="BH346">
        <f t="shared" si="13"/>
        <v>0</v>
      </c>
    </row>
    <row r="347" spans="1:60" ht="58" x14ac:dyDescent="0.35">
      <c r="A347" s="2" t="s">
        <v>59</v>
      </c>
      <c r="B347" s="2" t="s">
        <v>60</v>
      </c>
      <c r="C347" s="2" t="s">
        <v>3315</v>
      </c>
      <c r="D347" s="2" t="s">
        <v>3316</v>
      </c>
      <c r="E347" s="2" t="s">
        <v>3317</v>
      </c>
      <c r="G347" s="3" t="s">
        <v>64</v>
      </c>
      <c r="I347" s="3" t="s">
        <v>64</v>
      </c>
      <c r="J347" s="3" t="s">
        <v>64</v>
      </c>
      <c r="K347" s="3" t="s">
        <v>65</v>
      </c>
      <c r="M347" s="2" t="s">
        <v>3318</v>
      </c>
      <c r="N347" s="3" t="s">
        <v>67</v>
      </c>
      <c r="P347" s="3" t="s">
        <v>102</v>
      </c>
      <c r="Q347" s="2" t="s">
        <v>3319</v>
      </c>
      <c r="R347" s="3" t="s">
        <v>70</v>
      </c>
      <c r="S347" s="4">
        <v>0</v>
      </c>
      <c r="T347" s="4">
        <v>0</v>
      </c>
      <c r="W347" s="5" t="s">
        <v>72</v>
      </c>
      <c r="X347" s="5" t="s">
        <v>72</v>
      </c>
      <c r="Y347" s="4">
        <v>83</v>
      </c>
      <c r="Z347" s="4">
        <v>5</v>
      </c>
      <c r="AA347" s="4">
        <v>6</v>
      </c>
      <c r="AB347" s="4">
        <v>1</v>
      </c>
      <c r="AC347" s="4">
        <v>2</v>
      </c>
      <c r="AD347" s="4">
        <v>34</v>
      </c>
      <c r="AE347" s="4">
        <v>37</v>
      </c>
      <c r="AF347" s="4">
        <v>0</v>
      </c>
      <c r="AG347" s="4">
        <v>0</v>
      </c>
      <c r="AH347" s="4">
        <v>32</v>
      </c>
      <c r="AI347" s="4">
        <v>35</v>
      </c>
      <c r="AJ347" s="4">
        <v>2</v>
      </c>
      <c r="AK347" s="4">
        <v>2</v>
      </c>
      <c r="AL347" s="4">
        <v>27</v>
      </c>
      <c r="AM347" s="4">
        <v>29</v>
      </c>
      <c r="AN347" s="4">
        <v>0</v>
      </c>
      <c r="AO347" s="4">
        <v>0</v>
      </c>
      <c r="AP347" s="4">
        <v>2</v>
      </c>
      <c r="AQ347" s="4">
        <v>2</v>
      </c>
      <c r="AR347" s="3" t="s">
        <v>64</v>
      </c>
      <c r="AS347" s="3" t="s">
        <v>64</v>
      </c>
      <c r="AT347" s="3" t="s">
        <v>64</v>
      </c>
      <c r="AV347" s="6" t="str">
        <f>HYPERLINK("http://mcgill.on.worldcat.org/oclc/900912320","Catalog Record")</f>
        <v>Catalog Record</v>
      </c>
      <c r="AW347" s="6" t="str">
        <f>HYPERLINK("http://www.worldcat.org/oclc/900912320","WorldCat Record")</f>
        <v>WorldCat Record</v>
      </c>
      <c r="AX347" s="3" t="s">
        <v>3320</v>
      </c>
      <c r="AY347" s="3" t="s">
        <v>3321</v>
      </c>
      <c r="AZ347" s="3" t="s">
        <v>3322</v>
      </c>
      <c r="BA347" s="3" t="s">
        <v>3322</v>
      </c>
      <c r="BB347" s="3" t="s">
        <v>3323</v>
      </c>
      <c r="BC347" s="3" t="s">
        <v>77</v>
      </c>
      <c r="BD347" s="3" t="s">
        <v>78</v>
      </c>
      <c r="BE347" s="3" t="s">
        <v>3324</v>
      </c>
      <c r="BF347" s="3" t="s">
        <v>3323</v>
      </c>
      <c r="BG347" s="3" t="s">
        <v>3325</v>
      </c>
      <c r="BH347">
        <f t="shared" si="13"/>
        <v>0</v>
      </c>
    </row>
    <row r="348" spans="1:60" ht="58" x14ac:dyDescent="0.35">
      <c r="A348" s="2" t="s">
        <v>59</v>
      </c>
      <c r="B348" s="2" t="s">
        <v>60</v>
      </c>
      <c r="C348" s="2" t="s">
        <v>3326</v>
      </c>
      <c r="D348" s="2" t="s">
        <v>3327</v>
      </c>
      <c r="E348" s="2" t="s">
        <v>3328</v>
      </c>
      <c r="G348" s="3" t="s">
        <v>64</v>
      </c>
      <c r="I348" s="3" t="s">
        <v>64</v>
      </c>
      <c r="J348" s="3" t="s">
        <v>64</v>
      </c>
      <c r="K348" s="3" t="s">
        <v>65</v>
      </c>
      <c r="M348" s="2" t="s">
        <v>3329</v>
      </c>
      <c r="N348" s="3" t="s">
        <v>3330</v>
      </c>
      <c r="P348" s="3" t="s">
        <v>102</v>
      </c>
      <c r="Q348" s="2" t="s">
        <v>3331</v>
      </c>
      <c r="R348" s="3" t="s">
        <v>70</v>
      </c>
      <c r="S348" s="4">
        <v>16</v>
      </c>
      <c r="T348" s="4">
        <v>16</v>
      </c>
      <c r="U348" s="5" t="s">
        <v>3332</v>
      </c>
      <c r="V348" s="5" t="s">
        <v>3332</v>
      </c>
      <c r="W348" s="5" t="s">
        <v>72</v>
      </c>
      <c r="X348" s="5" t="s">
        <v>72</v>
      </c>
      <c r="Y348" s="4">
        <v>342</v>
      </c>
      <c r="Z348" s="4">
        <v>17</v>
      </c>
      <c r="AA348" s="4">
        <v>18</v>
      </c>
      <c r="AB348" s="4">
        <v>2</v>
      </c>
      <c r="AC348" s="4">
        <v>3</v>
      </c>
      <c r="AD348" s="4">
        <v>93</v>
      </c>
      <c r="AE348" s="4">
        <v>94</v>
      </c>
      <c r="AF348" s="4">
        <v>1</v>
      </c>
      <c r="AG348" s="4">
        <v>2</v>
      </c>
      <c r="AH348" s="4">
        <v>87</v>
      </c>
      <c r="AI348" s="4">
        <v>87</v>
      </c>
      <c r="AJ348" s="4">
        <v>9</v>
      </c>
      <c r="AK348" s="4">
        <v>10</v>
      </c>
      <c r="AL348" s="4">
        <v>54</v>
      </c>
      <c r="AM348" s="4">
        <v>54</v>
      </c>
      <c r="AN348" s="4">
        <v>0</v>
      </c>
      <c r="AO348" s="4">
        <v>0</v>
      </c>
      <c r="AP348" s="4">
        <v>8</v>
      </c>
      <c r="AQ348" s="4">
        <v>8</v>
      </c>
      <c r="AR348" s="3" t="s">
        <v>64</v>
      </c>
      <c r="AS348" s="3" t="s">
        <v>64</v>
      </c>
      <c r="AT348" s="3" t="s">
        <v>128</v>
      </c>
      <c r="AU348" s="6" t="str">
        <f>HYPERLINK("http://catalog.hathitrust.org/Record/001083229","HathiTrust Record")</f>
        <v>HathiTrust Record</v>
      </c>
      <c r="AV348" s="6" t="str">
        <f>HYPERLINK("http://mcgill.on.worldcat.org/oclc/18191950","Catalog Record")</f>
        <v>Catalog Record</v>
      </c>
      <c r="AW348" s="6" t="str">
        <f>HYPERLINK("http://www.worldcat.org/oclc/18191950","WorldCat Record")</f>
        <v>WorldCat Record</v>
      </c>
      <c r="AX348" s="3" t="s">
        <v>3333</v>
      </c>
      <c r="AY348" s="3" t="s">
        <v>3334</v>
      </c>
      <c r="AZ348" s="3" t="s">
        <v>3335</v>
      </c>
      <c r="BA348" s="3" t="s">
        <v>3335</v>
      </c>
      <c r="BB348" s="3" t="s">
        <v>3336</v>
      </c>
      <c r="BC348" s="3" t="s">
        <v>77</v>
      </c>
      <c r="BD348" s="3" t="s">
        <v>78</v>
      </c>
      <c r="BE348" s="3" t="s">
        <v>3337</v>
      </c>
      <c r="BF348" s="3" t="s">
        <v>3336</v>
      </c>
      <c r="BG348" s="3" t="s">
        <v>3338</v>
      </c>
      <c r="BH348">
        <f t="shared" si="13"/>
        <v>0</v>
      </c>
    </row>
    <row r="349" spans="1:60" ht="58" x14ac:dyDescent="0.35">
      <c r="A349" s="2" t="s">
        <v>59</v>
      </c>
      <c r="B349" s="2" t="s">
        <v>60</v>
      </c>
      <c r="C349" s="2" t="s">
        <v>3339</v>
      </c>
      <c r="D349" s="2" t="s">
        <v>3340</v>
      </c>
      <c r="E349" s="2" t="s">
        <v>3341</v>
      </c>
      <c r="G349" s="3" t="s">
        <v>64</v>
      </c>
      <c r="I349" s="3" t="s">
        <v>64</v>
      </c>
      <c r="J349" s="3" t="s">
        <v>64</v>
      </c>
      <c r="K349" s="3" t="s">
        <v>65</v>
      </c>
      <c r="L349" s="2" t="s">
        <v>3342</v>
      </c>
      <c r="M349" s="2" t="s">
        <v>3343</v>
      </c>
      <c r="N349" s="3" t="s">
        <v>159</v>
      </c>
      <c r="P349" s="3" t="s">
        <v>102</v>
      </c>
      <c r="R349" s="3" t="s">
        <v>70</v>
      </c>
      <c r="S349" s="4">
        <v>11</v>
      </c>
      <c r="T349" s="4">
        <v>11</v>
      </c>
      <c r="U349" s="5" t="s">
        <v>3344</v>
      </c>
      <c r="V349" s="5" t="s">
        <v>3344</v>
      </c>
      <c r="W349" s="5" t="s">
        <v>72</v>
      </c>
      <c r="X349" s="5" t="s">
        <v>72</v>
      </c>
      <c r="Y349" s="4">
        <v>231</v>
      </c>
      <c r="Z349" s="4">
        <v>13</v>
      </c>
      <c r="AA349" s="4">
        <v>14</v>
      </c>
      <c r="AB349" s="4">
        <v>1</v>
      </c>
      <c r="AC349" s="4">
        <v>2</v>
      </c>
      <c r="AD349" s="4">
        <v>80</v>
      </c>
      <c r="AE349" s="4">
        <v>81</v>
      </c>
      <c r="AF349" s="4">
        <v>0</v>
      </c>
      <c r="AG349" s="4">
        <v>1</v>
      </c>
      <c r="AH349" s="4">
        <v>75</v>
      </c>
      <c r="AI349" s="4">
        <v>76</v>
      </c>
      <c r="AJ349" s="4">
        <v>9</v>
      </c>
      <c r="AK349" s="4">
        <v>10</v>
      </c>
      <c r="AL349" s="4">
        <v>49</v>
      </c>
      <c r="AM349" s="4">
        <v>49</v>
      </c>
      <c r="AN349" s="4">
        <v>0</v>
      </c>
      <c r="AO349" s="4">
        <v>0</v>
      </c>
      <c r="AP349" s="4">
        <v>8</v>
      </c>
      <c r="AQ349" s="4">
        <v>9</v>
      </c>
      <c r="AR349" s="3" t="s">
        <v>64</v>
      </c>
      <c r="AS349" s="3" t="s">
        <v>64</v>
      </c>
      <c r="AT349" s="3" t="s">
        <v>64</v>
      </c>
      <c r="AV349" s="6" t="str">
        <f>HYPERLINK("http://mcgill.on.worldcat.org/oclc/47364087","Catalog Record")</f>
        <v>Catalog Record</v>
      </c>
      <c r="AW349" s="6" t="str">
        <f>HYPERLINK("http://www.worldcat.org/oclc/47364087","WorldCat Record")</f>
        <v>WorldCat Record</v>
      </c>
      <c r="AX349" s="3" t="s">
        <v>3345</v>
      </c>
      <c r="AY349" s="3" t="s">
        <v>3346</v>
      </c>
      <c r="AZ349" s="3" t="s">
        <v>3347</v>
      </c>
      <c r="BA349" s="3" t="s">
        <v>3347</v>
      </c>
      <c r="BB349" s="3" t="s">
        <v>3348</v>
      </c>
      <c r="BC349" s="3" t="s">
        <v>77</v>
      </c>
      <c r="BD349" s="3" t="s">
        <v>78</v>
      </c>
      <c r="BE349" s="3" t="s">
        <v>3349</v>
      </c>
      <c r="BF349" s="3" t="s">
        <v>3348</v>
      </c>
      <c r="BG349" s="3" t="s">
        <v>3350</v>
      </c>
      <c r="BH349">
        <f t="shared" si="13"/>
        <v>0</v>
      </c>
    </row>
    <row r="350" spans="1:60" ht="58" x14ac:dyDescent="0.35">
      <c r="A350" s="2" t="s">
        <v>59</v>
      </c>
      <c r="B350" s="2" t="s">
        <v>60</v>
      </c>
      <c r="C350" s="2" t="s">
        <v>3351</v>
      </c>
      <c r="D350" s="2" t="s">
        <v>3352</v>
      </c>
      <c r="E350" s="2" t="s">
        <v>3353</v>
      </c>
      <c r="G350" s="3" t="s">
        <v>64</v>
      </c>
      <c r="I350" s="3" t="s">
        <v>64</v>
      </c>
      <c r="J350" s="3" t="s">
        <v>64</v>
      </c>
      <c r="K350" s="3" t="s">
        <v>65</v>
      </c>
      <c r="L350" s="2" t="s">
        <v>3354</v>
      </c>
      <c r="M350" s="2" t="s">
        <v>2434</v>
      </c>
      <c r="N350" s="3" t="s">
        <v>291</v>
      </c>
      <c r="P350" s="3" t="s">
        <v>102</v>
      </c>
      <c r="R350" s="3" t="s">
        <v>70</v>
      </c>
      <c r="S350" s="4">
        <v>5</v>
      </c>
      <c r="T350" s="4">
        <v>5</v>
      </c>
      <c r="U350" s="5" t="s">
        <v>3355</v>
      </c>
      <c r="V350" s="5" t="s">
        <v>3355</v>
      </c>
      <c r="W350" s="5" t="s">
        <v>72</v>
      </c>
      <c r="X350" s="5" t="s">
        <v>72</v>
      </c>
      <c r="Y350" s="4">
        <v>283</v>
      </c>
      <c r="Z350" s="4">
        <v>16</v>
      </c>
      <c r="AA350" s="4">
        <v>17</v>
      </c>
      <c r="AB350" s="4">
        <v>2</v>
      </c>
      <c r="AC350" s="4">
        <v>2</v>
      </c>
      <c r="AD350" s="4">
        <v>79</v>
      </c>
      <c r="AE350" s="4">
        <v>80</v>
      </c>
      <c r="AF350" s="4">
        <v>0</v>
      </c>
      <c r="AG350" s="4">
        <v>0</v>
      </c>
      <c r="AH350" s="4">
        <v>72</v>
      </c>
      <c r="AI350" s="4">
        <v>72</v>
      </c>
      <c r="AJ350" s="4">
        <v>9</v>
      </c>
      <c r="AK350" s="4">
        <v>9</v>
      </c>
      <c r="AL350" s="4">
        <v>46</v>
      </c>
      <c r="AM350" s="4">
        <v>46</v>
      </c>
      <c r="AN350" s="4">
        <v>0</v>
      </c>
      <c r="AO350" s="4">
        <v>0</v>
      </c>
      <c r="AP350" s="4">
        <v>8</v>
      </c>
      <c r="AQ350" s="4">
        <v>9</v>
      </c>
      <c r="AR350" s="3" t="s">
        <v>64</v>
      </c>
      <c r="AS350" s="3" t="s">
        <v>64</v>
      </c>
      <c r="AT350" s="3" t="s">
        <v>64</v>
      </c>
      <c r="AV350" s="6" t="str">
        <f>HYPERLINK("http://mcgill.on.worldcat.org/oclc/148874083","Catalog Record")</f>
        <v>Catalog Record</v>
      </c>
      <c r="AW350" s="6" t="str">
        <f>HYPERLINK("http://www.worldcat.org/oclc/148874083","WorldCat Record")</f>
        <v>WorldCat Record</v>
      </c>
      <c r="AX350" s="3" t="s">
        <v>3356</v>
      </c>
      <c r="AY350" s="3" t="s">
        <v>3357</v>
      </c>
      <c r="AZ350" s="3" t="s">
        <v>3358</v>
      </c>
      <c r="BA350" s="3" t="s">
        <v>3358</v>
      </c>
      <c r="BB350" s="3" t="s">
        <v>3359</v>
      </c>
      <c r="BC350" s="3" t="s">
        <v>77</v>
      </c>
      <c r="BD350" s="3" t="s">
        <v>78</v>
      </c>
      <c r="BE350" s="3" t="s">
        <v>3360</v>
      </c>
      <c r="BF350" s="3" t="s">
        <v>3359</v>
      </c>
      <c r="BG350" s="3" t="s">
        <v>3361</v>
      </c>
      <c r="BH350">
        <f t="shared" si="13"/>
        <v>0</v>
      </c>
    </row>
    <row r="351" spans="1:60" ht="58" x14ac:dyDescent="0.35">
      <c r="A351" s="2" t="s">
        <v>59</v>
      </c>
      <c r="B351" s="2" t="s">
        <v>60</v>
      </c>
      <c r="C351" s="2" t="s">
        <v>3362</v>
      </c>
      <c r="D351" s="2" t="s">
        <v>3363</v>
      </c>
      <c r="E351" s="2" t="s">
        <v>3364</v>
      </c>
      <c r="G351" s="3" t="s">
        <v>64</v>
      </c>
      <c r="I351" s="3" t="s">
        <v>64</v>
      </c>
      <c r="J351" s="3" t="s">
        <v>64</v>
      </c>
      <c r="K351" s="3" t="s">
        <v>65</v>
      </c>
      <c r="L351" s="2" t="s">
        <v>3365</v>
      </c>
      <c r="M351" s="2" t="s">
        <v>3366</v>
      </c>
      <c r="N351" s="3" t="s">
        <v>537</v>
      </c>
      <c r="O351" s="2" t="s">
        <v>117</v>
      </c>
      <c r="P351" s="3" t="s">
        <v>102</v>
      </c>
      <c r="R351" s="3" t="s">
        <v>70</v>
      </c>
      <c r="S351" s="4">
        <v>4</v>
      </c>
      <c r="T351" s="4">
        <v>4</v>
      </c>
      <c r="U351" s="5" t="s">
        <v>3367</v>
      </c>
      <c r="V351" s="5" t="s">
        <v>3367</v>
      </c>
      <c r="W351" s="5" t="s">
        <v>72</v>
      </c>
      <c r="X351" s="5" t="s">
        <v>72</v>
      </c>
      <c r="Y351" s="4">
        <v>602</v>
      </c>
      <c r="Z351" s="4">
        <v>17</v>
      </c>
      <c r="AA351" s="4">
        <v>19</v>
      </c>
      <c r="AB351" s="4">
        <v>2</v>
      </c>
      <c r="AC351" s="4">
        <v>4</v>
      </c>
      <c r="AD351" s="4">
        <v>36</v>
      </c>
      <c r="AE351" s="4">
        <v>39</v>
      </c>
      <c r="AF351" s="4">
        <v>0</v>
      </c>
      <c r="AG351" s="4">
        <v>1</v>
      </c>
      <c r="AH351" s="4">
        <v>33</v>
      </c>
      <c r="AI351" s="4">
        <v>35</v>
      </c>
      <c r="AJ351" s="4">
        <v>4</v>
      </c>
      <c r="AK351" s="4">
        <v>5</v>
      </c>
      <c r="AL351" s="4">
        <v>24</v>
      </c>
      <c r="AM351" s="4">
        <v>24</v>
      </c>
      <c r="AN351" s="4">
        <v>0</v>
      </c>
      <c r="AO351" s="4">
        <v>0</v>
      </c>
      <c r="AP351" s="4">
        <v>4</v>
      </c>
      <c r="AQ351" s="4">
        <v>5</v>
      </c>
      <c r="AR351" s="3" t="s">
        <v>64</v>
      </c>
      <c r="AS351" s="3" t="s">
        <v>64</v>
      </c>
      <c r="AT351" s="3" t="s">
        <v>64</v>
      </c>
      <c r="AV351" s="6" t="str">
        <f>HYPERLINK("http://mcgill.on.worldcat.org/oclc/936359381","Catalog Record")</f>
        <v>Catalog Record</v>
      </c>
      <c r="AW351" s="6" t="str">
        <f>HYPERLINK("http://www.worldcat.org/oclc/936359381","WorldCat Record")</f>
        <v>WorldCat Record</v>
      </c>
      <c r="AX351" s="3" t="s">
        <v>3368</v>
      </c>
      <c r="AY351" s="3" t="s">
        <v>3369</v>
      </c>
      <c r="AZ351" s="3" t="s">
        <v>3370</v>
      </c>
      <c r="BA351" s="3" t="s">
        <v>3370</v>
      </c>
      <c r="BB351" s="3" t="s">
        <v>3371</v>
      </c>
      <c r="BC351" s="3" t="s">
        <v>77</v>
      </c>
      <c r="BD351" s="3" t="s">
        <v>78</v>
      </c>
      <c r="BE351" s="3" t="s">
        <v>3372</v>
      </c>
      <c r="BF351" s="3" t="s">
        <v>3371</v>
      </c>
      <c r="BG351" s="3" t="s">
        <v>3373</v>
      </c>
      <c r="BH351">
        <f t="shared" si="13"/>
        <v>0</v>
      </c>
    </row>
    <row r="352" spans="1:60" ht="72.5" x14ac:dyDescent="0.35">
      <c r="A352" s="2" t="s">
        <v>59</v>
      </c>
      <c r="B352" s="2" t="s">
        <v>1025</v>
      </c>
      <c r="C352" s="2" t="s">
        <v>3374</v>
      </c>
      <c r="D352" s="2" t="s">
        <v>3375</v>
      </c>
      <c r="E352" s="2" t="s">
        <v>3376</v>
      </c>
      <c r="G352" s="3" t="s">
        <v>64</v>
      </c>
      <c r="I352" s="3" t="s">
        <v>64</v>
      </c>
      <c r="J352" s="3" t="s">
        <v>64</v>
      </c>
      <c r="K352" s="3" t="s">
        <v>65</v>
      </c>
      <c r="L352" s="2" t="s">
        <v>3377</v>
      </c>
      <c r="M352" s="2" t="s">
        <v>3378</v>
      </c>
      <c r="N352" s="3" t="s">
        <v>1017</v>
      </c>
      <c r="O352" s="2" t="s">
        <v>3379</v>
      </c>
      <c r="P352" s="3" t="s">
        <v>944</v>
      </c>
      <c r="R352" s="3" t="s">
        <v>70</v>
      </c>
      <c r="S352" s="4">
        <v>1</v>
      </c>
      <c r="T352" s="4">
        <v>1</v>
      </c>
      <c r="U352" s="5" t="s">
        <v>3380</v>
      </c>
      <c r="V352" s="5" t="s">
        <v>3380</v>
      </c>
      <c r="W352" s="5" t="s">
        <v>72</v>
      </c>
      <c r="X352" s="5" t="s">
        <v>72</v>
      </c>
      <c r="Y352" s="4">
        <v>46</v>
      </c>
      <c r="Z352" s="4">
        <v>4</v>
      </c>
      <c r="AA352" s="4">
        <v>7</v>
      </c>
      <c r="AB352" s="4">
        <v>1</v>
      </c>
      <c r="AC352" s="4">
        <v>2</v>
      </c>
      <c r="AD352" s="4">
        <v>18</v>
      </c>
      <c r="AE352" s="4">
        <v>42</v>
      </c>
      <c r="AF352" s="4">
        <v>0</v>
      </c>
      <c r="AG352" s="4">
        <v>1</v>
      </c>
      <c r="AH352" s="4">
        <v>16</v>
      </c>
      <c r="AI352" s="4">
        <v>39</v>
      </c>
      <c r="AJ352" s="4">
        <v>3</v>
      </c>
      <c r="AK352" s="4">
        <v>5</v>
      </c>
      <c r="AL352" s="4">
        <v>10</v>
      </c>
      <c r="AM352" s="4">
        <v>30</v>
      </c>
      <c r="AN352" s="4">
        <v>0</v>
      </c>
      <c r="AO352" s="4">
        <v>0</v>
      </c>
      <c r="AP352" s="4">
        <v>3</v>
      </c>
      <c r="AQ352" s="4">
        <v>4</v>
      </c>
      <c r="AR352" s="3" t="s">
        <v>64</v>
      </c>
      <c r="AS352" s="3" t="s">
        <v>64</v>
      </c>
      <c r="AT352" s="3" t="s">
        <v>64</v>
      </c>
      <c r="AV352" s="6" t="str">
        <f>HYPERLINK("http://mcgill.on.worldcat.org/oclc/2891602","Catalog Record")</f>
        <v>Catalog Record</v>
      </c>
      <c r="AW352" s="6" t="str">
        <f>HYPERLINK("http://www.worldcat.org/oclc/2891602","WorldCat Record")</f>
        <v>WorldCat Record</v>
      </c>
      <c r="AX352" s="3" t="s">
        <v>3381</v>
      </c>
      <c r="AY352" s="3" t="s">
        <v>3382</v>
      </c>
      <c r="AZ352" s="3" t="s">
        <v>3383</v>
      </c>
      <c r="BA352" s="3" t="s">
        <v>3383</v>
      </c>
      <c r="BB352" s="3" t="s">
        <v>3384</v>
      </c>
      <c r="BC352" s="3" t="s">
        <v>77</v>
      </c>
      <c r="BD352" s="3" t="s">
        <v>78</v>
      </c>
      <c r="BF352" s="3" t="s">
        <v>3384</v>
      </c>
      <c r="BG352" s="3" t="s">
        <v>3385</v>
      </c>
      <c r="BH352">
        <f t="shared" si="13"/>
        <v>0</v>
      </c>
    </row>
    <row r="353" spans="1:60" ht="58" x14ac:dyDescent="0.35">
      <c r="A353" s="2" t="s">
        <v>59</v>
      </c>
      <c r="B353" s="2" t="s">
        <v>60</v>
      </c>
      <c r="C353" s="2" t="s">
        <v>3386</v>
      </c>
      <c r="D353" s="2" t="s">
        <v>3387</v>
      </c>
      <c r="E353" s="2" t="s">
        <v>3388</v>
      </c>
      <c r="G353" s="3" t="s">
        <v>64</v>
      </c>
      <c r="I353" s="3" t="s">
        <v>64</v>
      </c>
      <c r="J353" s="3" t="s">
        <v>64</v>
      </c>
      <c r="K353" s="3" t="s">
        <v>65</v>
      </c>
      <c r="L353" s="2" t="s">
        <v>3389</v>
      </c>
      <c r="M353" s="2" t="s">
        <v>3390</v>
      </c>
      <c r="N353" s="3" t="s">
        <v>101</v>
      </c>
      <c r="P353" s="3" t="s">
        <v>102</v>
      </c>
      <c r="Q353" s="2" t="s">
        <v>565</v>
      </c>
      <c r="R353" s="3" t="s">
        <v>70</v>
      </c>
      <c r="S353" s="4">
        <v>28</v>
      </c>
      <c r="T353" s="4">
        <v>28</v>
      </c>
      <c r="U353" s="5" t="s">
        <v>3391</v>
      </c>
      <c r="V353" s="5" t="s">
        <v>3391</v>
      </c>
      <c r="W353" s="5" t="s">
        <v>72</v>
      </c>
      <c r="X353" s="5" t="s">
        <v>72</v>
      </c>
      <c r="Y353" s="4">
        <v>276</v>
      </c>
      <c r="Z353" s="4">
        <v>37</v>
      </c>
      <c r="AA353" s="4">
        <v>123</v>
      </c>
      <c r="AB353" s="4">
        <v>3</v>
      </c>
      <c r="AC353" s="4">
        <v>24</v>
      </c>
      <c r="AD353" s="4">
        <v>111</v>
      </c>
      <c r="AE353" s="4">
        <v>154</v>
      </c>
      <c r="AF353" s="4">
        <v>1</v>
      </c>
      <c r="AG353" s="4">
        <v>9</v>
      </c>
      <c r="AH353" s="4">
        <v>92</v>
      </c>
      <c r="AI353" s="4">
        <v>105</v>
      </c>
      <c r="AJ353" s="4">
        <v>21</v>
      </c>
      <c r="AK353" s="4">
        <v>29</v>
      </c>
      <c r="AL353" s="4">
        <v>52</v>
      </c>
      <c r="AM353" s="4">
        <v>58</v>
      </c>
      <c r="AN353" s="4">
        <v>0</v>
      </c>
      <c r="AO353" s="4">
        <v>0</v>
      </c>
      <c r="AP353" s="4">
        <v>27</v>
      </c>
      <c r="AQ353" s="4">
        <v>56</v>
      </c>
      <c r="AR353" s="3" t="s">
        <v>128</v>
      </c>
      <c r="AS353" s="3" t="s">
        <v>64</v>
      </c>
      <c r="AT353" s="3" t="s">
        <v>64</v>
      </c>
      <c r="AV353" s="6" t="str">
        <f>HYPERLINK("http://mcgill.on.worldcat.org/oclc/52152816","Catalog Record")</f>
        <v>Catalog Record</v>
      </c>
      <c r="AW353" s="6" t="str">
        <f>HYPERLINK("http://www.worldcat.org/oclc/52152816","WorldCat Record")</f>
        <v>WorldCat Record</v>
      </c>
      <c r="AX353" s="3" t="s">
        <v>3392</v>
      </c>
      <c r="AY353" s="3" t="s">
        <v>3393</v>
      </c>
      <c r="AZ353" s="3" t="s">
        <v>3394</v>
      </c>
      <c r="BA353" s="3" t="s">
        <v>3394</v>
      </c>
      <c r="BB353" s="3" t="s">
        <v>3395</v>
      </c>
      <c r="BC353" s="3" t="s">
        <v>77</v>
      </c>
      <c r="BD353" s="3" t="s">
        <v>78</v>
      </c>
      <c r="BE353" s="3" t="s">
        <v>3396</v>
      </c>
      <c r="BF353" s="3" t="s">
        <v>3395</v>
      </c>
      <c r="BG353" s="3" t="s">
        <v>3397</v>
      </c>
      <c r="BH353">
        <f t="shared" si="13"/>
        <v>0</v>
      </c>
    </row>
    <row r="354" spans="1:60" ht="58" x14ac:dyDescent="0.35">
      <c r="A354" s="2" t="s">
        <v>59</v>
      </c>
      <c r="B354" s="2" t="s">
        <v>60</v>
      </c>
      <c r="C354" s="2" t="s">
        <v>3398</v>
      </c>
      <c r="D354" s="2" t="s">
        <v>3399</v>
      </c>
      <c r="E354" s="2" t="s">
        <v>3400</v>
      </c>
      <c r="G354" s="3" t="s">
        <v>64</v>
      </c>
      <c r="I354" s="3" t="s">
        <v>64</v>
      </c>
      <c r="J354" s="3" t="s">
        <v>64</v>
      </c>
      <c r="K354" s="3" t="s">
        <v>65</v>
      </c>
      <c r="L354" s="2" t="s">
        <v>3401</v>
      </c>
      <c r="M354" s="2" t="s">
        <v>3402</v>
      </c>
      <c r="N354" s="3" t="s">
        <v>551</v>
      </c>
      <c r="P354" s="3" t="s">
        <v>102</v>
      </c>
      <c r="R354" s="3" t="s">
        <v>70</v>
      </c>
      <c r="S354" s="4">
        <v>26</v>
      </c>
      <c r="T354" s="4">
        <v>26</v>
      </c>
      <c r="U354" s="5" t="s">
        <v>3403</v>
      </c>
      <c r="V354" s="5" t="s">
        <v>3403</v>
      </c>
      <c r="W354" s="5" t="s">
        <v>72</v>
      </c>
      <c r="X354" s="5" t="s">
        <v>72</v>
      </c>
      <c r="Y354" s="4">
        <v>1479</v>
      </c>
      <c r="Z354" s="4">
        <v>63</v>
      </c>
      <c r="AA354" s="4">
        <v>94</v>
      </c>
      <c r="AB354" s="4">
        <v>6</v>
      </c>
      <c r="AC354" s="4">
        <v>11</v>
      </c>
      <c r="AD354" s="4">
        <v>119</v>
      </c>
      <c r="AE354" s="4">
        <v>140</v>
      </c>
      <c r="AF354" s="4">
        <v>1</v>
      </c>
      <c r="AG354" s="4">
        <v>4</v>
      </c>
      <c r="AH354" s="4">
        <v>101</v>
      </c>
      <c r="AI354" s="4">
        <v>107</v>
      </c>
      <c r="AJ354" s="4">
        <v>20</v>
      </c>
      <c r="AK354" s="4">
        <v>25</v>
      </c>
      <c r="AL354" s="4">
        <v>54</v>
      </c>
      <c r="AM354" s="4">
        <v>58</v>
      </c>
      <c r="AN354" s="4">
        <v>0</v>
      </c>
      <c r="AO354" s="4">
        <v>0</v>
      </c>
      <c r="AP354" s="4">
        <v>26</v>
      </c>
      <c r="AQ354" s="4">
        <v>39</v>
      </c>
      <c r="AR354" s="3" t="s">
        <v>64</v>
      </c>
      <c r="AS354" s="3" t="s">
        <v>64</v>
      </c>
      <c r="AT354" s="3" t="s">
        <v>64</v>
      </c>
      <c r="AV354" s="6" t="str">
        <f>HYPERLINK("http://mcgill.on.worldcat.org/oclc/401147025","Catalog Record")</f>
        <v>Catalog Record</v>
      </c>
      <c r="AW354" s="6" t="str">
        <f>HYPERLINK("http://www.worldcat.org/oclc/401147025","WorldCat Record")</f>
        <v>WorldCat Record</v>
      </c>
      <c r="AX354" s="3" t="s">
        <v>3404</v>
      </c>
      <c r="AY354" s="3" t="s">
        <v>3405</v>
      </c>
      <c r="AZ354" s="3" t="s">
        <v>3406</v>
      </c>
      <c r="BA354" s="3" t="s">
        <v>3406</v>
      </c>
      <c r="BB354" s="3" t="s">
        <v>3407</v>
      </c>
      <c r="BC354" s="3" t="s">
        <v>77</v>
      </c>
      <c r="BD354" s="3" t="s">
        <v>78</v>
      </c>
      <c r="BE354" s="3" t="s">
        <v>3408</v>
      </c>
      <c r="BF354" s="3" t="s">
        <v>3407</v>
      </c>
      <c r="BG354" s="3" t="s">
        <v>3409</v>
      </c>
      <c r="BH354">
        <f t="shared" si="13"/>
        <v>0</v>
      </c>
    </row>
    <row r="355" spans="1:60" ht="58" x14ac:dyDescent="0.35">
      <c r="A355" s="2" t="s">
        <v>59</v>
      </c>
      <c r="B355" s="2" t="s">
        <v>60</v>
      </c>
      <c r="C355" s="2" t="s">
        <v>3410</v>
      </c>
      <c r="D355" s="2" t="s">
        <v>3411</v>
      </c>
      <c r="E355" s="2" t="s">
        <v>3412</v>
      </c>
      <c r="G355" s="3" t="s">
        <v>64</v>
      </c>
      <c r="I355" s="3" t="s">
        <v>128</v>
      </c>
      <c r="J355" s="3" t="s">
        <v>128</v>
      </c>
      <c r="K355" s="3" t="s">
        <v>65</v>
      </c>
      <c r="L355" s="2" t="s">
        <v>3413</v>
      </c>
      <c r="M355" s="2" t="s">
        <v>3414</v>
      </c>
      <c r="N355" s="3" t="s">
        <v>922</v>
      </c>
      <c r="P355" s="3" t="s">
        <v>102</v>
      </c>
      <c r="R355" s="3" t="s">
        <v>70</v>
      </c>
      <c r="S355" s="4">
        <v>82</v>
      </c>
      <c r="T355" s="4">
        <v>119</v>
      </c>
      <c r="U355" s="5" t="s">
        <v>3415</v>
      </c>
      <c r="V355" s="5" t="s">
        <v>3416</v>
      </c>
      <c r="W355" s="5" t="s">
        <v>3035</v>
      </c>
      <c r="X355" s="5" t="s">
        <v>3035</v>
      </c>
      <c r="Y355" s="4">
        <v>692</v>
      </c>
      <c r="Z355" s="4">
        <v>43</v>
      </c>
      <c r="AA355" s="4">
        <v>78</v>
      </c>
      <c r="AB355" s="4">
        <v>4</v>
      </c>
      <c r="AC355" s="4">
        <v>11</v>
      </c>
      <c r="AD355" s="4">
        <v>110</v>
      </c>
      <c r="AE355" s="4">
        <v>157</v>
      </c>
      <c r="AF355" s="4">
        <v>2</v>
      </c>
      <c r="AG355" s="4">
        <v>6</v>
      </c>
      <c r="AH355" s="4">
        <v>88</v>
      </c>
      <c r="AI355" s="4">
        <v>118</v>
      </c>
      <c r="AJ355" s="4">
        <v>18</v>
      </c>
      <c r="AK355" s="4">
        <v>27</v>
      </c>
      <c r="AL355" s="4">
        <v>48</v>
      </c>
      <c r="AM355" s="4">
        <v>64</v>
      </c>
      <c r="AN355" s="4">
        <v>0</v>
      </c>
      <c r="AO355" s="4">
        <v>0</v>
      </c>
      <c r="AP355" s="4">
        <v>26</v>
      </c>
      <c r="AQ355" s="4">
        <v>44</v>
      </c>
      <c r="AR355" s="3" t="s">
        <v>64</v>
      </c>
      <c r="AS355" s="3" t="s">
        <v>64</v>
      </c>
      <c r="AT355" s="3" t="s">
        <v>128</v>
      </c>
      <c r="AU355" s="6" t="str">
        <f>HYPERLINK("http://catalog.hathitrust.org/Record/001159624","HathiTrust Record")</f>
        <v>HathiTrust Record</v>
      </c>
      <c r="AV355" s="6" t="str">
        <f>HYPERLINK("http://mcgill.on.worldcat.org/oclc/503498","Catalog Record")</f>
        <v>Catalog Record</v>
      </c>
      <c r="AW355" s="6" t="str">
        <f>HYPERLINK("http://www.worldcat.org/oclc/503498","WorldCat Record")</f>
        <v>WorldCat Record</v>
      </c>
      <c r="AX355" s="3" t="s">
        <v>3417</v>
      </c>
      <c r="AY355" s="3" t="s">
        <v>3418</v>
      </c>
      <c r="AZ355" s="3" t="s">
        <v>3419</v>
      </c>
      <c r="BA355" s="3" t="s">
        <v>3419</v>
      </c>
      <c r="BB355" s="3" t="s">
        <v>3420</v>
      </c>
      <c r="BC355" s="3" t="s">
        <v>77</v>
      </c>
      <c r="BD355" s="3" t="s">
        <v>165</v>
      </c>
      <c r="BE355" s="3" t="s">
        <v>3421</v>
      </c>
      <c r="BF355" s="3" t="s">
        <v>3420</v>
      </c>
      <c r="BG355" s="3" t="s">
        <v>3422</v>
      </c>
      <c r="BH355">
        <f t="shared" si="13"/>
        <v>0</v>
      </c>
    </row>
    <row r="356" spans="1:60" ht="58" x14ac:dyDescent="0.35">
      <c r="A356" s="2" t="s">
        <v>59</v>
      </c>
      <c r="B356" s="2" t="s">
        <v>60</v>
      </c>
      <c r="C356" s="2" t="s">
        <v>3410</v>
      </c>
      <c r="D356" s="2" t="s">
        <v>3411</v>
      </c>
      <c r="E356" s="2" t="s">
        <v>3412</v>
      </c>
      <c r="G356" s="3" t="s">
        <v>64</v>
      </c>
      <c r="I356" s="3" t="s">
        <v>128</v>
      </c>
      <c r="J356" s="3" t="s">
        <v>128</v>
      </c>
      <c r="K356" s="3" t="s">
        <v>65</v>
      </c>
      <c r="L356" s="2" t="s">
        <v>3413</v>
      </c>
      <c r="M356" s="2" t="s">
        <v>3414</v>
      </c>
      <c r="N356" s="3" t="s">
        <v>922</v>
      </c>
      <c r="P356" s="3" t="s">
        <v>102</v>
      </c>
      <c r="R356" s="3" t="s">
        <v>70</v>
      </c>
      <c r="S356" s="4">
        <v>25</v>
      </c>
      <c r="T356" s="4">
        <v>119</v>
      </c>
      <c r="U356" s="5" t="s">
        <v>3416</v>
      </c>
      <c r="V356" s="5" t="s">
        <v>3416</v>
      </c>
      <c r="W356" s="5" t="s">
        <v>3035</v>
      </c>
      <c r="X356" s="5" t="s">
        <v>3035</v>
      </c>
      <c r="Y356" s="4">
        <v>692</v>
      </c>
      <c r="Z356" s="4">
        <v>43</v>
      </c>
      <c r="AA356" s="4">
        <v>78</v>
      </c>
      <c r="AB356" s="4">
        <v>4</v>
      </c>
      <c r="AC356" s="4">
        <v>11</v>
      </c>
      <c r="AD356" s="4">
        <v>110</v>
      </c>
      <c r="AE356" s="4">
        <v>157</v>
      </c>
      <c r="AF356" s="4">
        <v>2</v>
      </c>
      <c r="AG356" s="4">
        <v>6</v>
      </c>
      <c r="AH356" s="4">
        <v>88</v>
      </c>
      <c r="AI356" s="4">
        <v>118</v>
      </c>
      <c r="AJ356" s="4">
        <v>18</v>
      </c>
      <c r="AK356" s="4">
        <v>27</v>
      </c>
      <c r="AL356" s="4">
        <v>48</v>
      </c>
      <c r="AM356" s="4">
        <v>64</v>
      </c>
      <c r="AN356" s="4">
        <v>0</v>
      </c>
      <c r="AO356" s="4">
        <v>0</v>
      </c>
      <c r="AP356" s="4">
        <v>26</v>
      </c>
      <c r="AQ356" s="4">
        <v>44</v>
      </c>
      <c r="AR356" s="3" t="s">
        <v>64</v>
      </c>
      <c r="AS356" s="3" t="s">
        <v>64</v>
      </c>
      <c r="AT356" s="3" t="s">
        <v>128</v>
      </c>
      <c r="AU356" s="6" t="str">
        <f>HYPERLINK("http://catalog.hathitrust.org/Record/001159624","HathiTrust Record")</f>
        <v>HathiTrust Record</v>
      </c>
      <c r="AV356" s="6" t="str">
        <f>HYPERLINK("http://mcgill.on.worldcat.org/oclc/503498","Catalog Record")</f>
        <v>Catalog Record</v>
      </c>
      <c r="AW356" s="6" t="str">
        <f>HYPERLINK("http://www.worldcat.org/oclc/503498","WorldCat Record")</f>
        <v>WorldCat Record</v>
      </c>
      <c r="AX356" s="3" t="s">
        <v>3417</v>
      </c>
      <c r="AY356" s="3" t="s">
        <v>3418</v>
      </c>
      <c r="AZ356" s="3" t="s">
        <v>3419</v>
      </c>
      <c r="BA356" s="3" t="s">
        <v>3419</v>
      </c>
      <c r="BB356" s="3" t="s">
        <v>3423</v>
      </c>
      <c r="BC356" s="3" t="s">
        <v>77</v>
      </c>
      <c r="BD356" s="3" t="s">
        <v>78</v>
      </c>
      <c r="BE356" s="3" t="s">
        <v>3421</v>
      </c>
      <c r="BF356" s="3" t="s">
        <v>3423</v>
      </c>
      <c r="BG356" s="3" t="s">
        <v>3424</v>
      </c>
      <c r="BH356">
        <f t="shared" si="13"/>
        <v>0</v>
      </c>
    </row>
    <row r="357" spans="1:60" ht="58" x14ac:dyDescent="0.35">
      <c r="A357" s="2" t="s">
        <v>59</v>
      </c>
      <c r="B357" s="2" t="s">
        <v>60</v>
      </c>
      <c r="C357" s="2" t="s">
        <v>3425</v>
      </c>
      <c r="D357" s="2" t="s">
        <v>3426</v>
      </c>
      <c r="E357" s="2" t="s">
        <v>3412</v>
      </c>
      <c r="G357" s="3" t="s">
        <v>64</v>
      </c>
      <c r="I357" s="3" t="s">
        <v>128</v>
      </c>
      <c r="J357" s="3" t="s">
        <v>128</v>
      </c>
      <c r="K357" s="3" t="s">
        <v>65</v>
      </c>
      <c r="L357" s="2" t="s">
        <v>3413</v>
      </c>
      <c r="M357" s="2" t="s">
        <v>3427</v>
      </c>
      <c r="N357" s="3" t="s">
        <v>3428</v>
      </c>
      <c r="O357" s="2" t="s">
        <v>3429</v>
      </c>
      <c r="P357" s="3" t="s">
        <v>102</v>
      </c>
      <c r="R357" s="3" t="s">
        <v>70</v>
      </c>
      <c r="S357" s="4">
        <v>27</v>
      </c>
      <c r="T357" s="4">
        <v>38</v>
      </c>
      <c r="U357" s="5" t="s">
        <v>3430</v>
      </c>
      <c r="V357" s="5" t="s">
        <v>3431</v>
      </c>
      <c r="W357" s="5" t="s">
        <v>72</v>
      </c>
      <c r="X357" s="5" t="s">
        <v>72</v>
      </c>
      <c r="Y357" s="4">
        <v>294</v>
      </c>
      <c r="Z357" s="4">
        <v>9</v>
      </c>
      <c r="AA357" s="4">
        <v>78</v>
      </c>
      <c r="AB357" s="4">
        <v>2</v>
      </c>
      <c r="AC357" s="4">
        <v>11</v>
      </c>
      <c r="AD357" s="4">
        <v>75</v>
      </c>
      <c r="AE357" s="4">
        <v>157</v>
      </c>
      <c r="AF357" s="4">
        <v>0</v>
      </c>
      <c r="AG357" s="4">
        <v>6</v>
      </c>
      <c r="AH357" s="4">
        <v>70</v>
      </c>
      <c r="AI357" s="4">
        <v>118</v>
      </c>
      <c r="AJ357" s="4">
        <v>4</v>
      </c>
      <c r="AK357" s="4">
        <v>27</v>
      </c>
      <c r="AL357" s="4">
        <v>43</v>
      </c>
      <c r="AM357" s="4">
        <v>64</v>
      </c>
      <c r="AN357" s="4">
        <v>0</v>
      </c>
      <c r="AO357" s="4">
        <v>0</v>
      </c>
      <c r="AP357" s="4">
        <v>5</v>
      </c>
      <c r="AQ357" s="4">
        <v>44</v>
      </c>
      <c r="AR357" s="3" t="s">
        <v>64</v>
      </c>
      <c r="AS357" s="3" t="s">
        <v>64</v>
      </c>
      <c r="AT357" s="3" t="s">
        <v>64</v>
      </c>
      <c r="AV357" s="6" t="str">
        <f>HYPERLINK("http://mcgill.on.worldcat.org/oclc/32821740","Catalog Record")</f>
        <v>Catalog Record</v>
      </c>
      <c r="AW357" s="6" t="str">
        <f>HYPERLINK("http://www.worldcat.org/oclc/32821740","WorldCat Record")</f>
        <v>WorldCat Record</v>
      </c>
      <c r="AX357" s="3" t="s">
        <v>3417</v>
      </c>
      <c r="AY357" s="3" t="s">
        <v>3432</v>
      </c>
      <c r="AZ357" s="3" t="s">
        <v>3433</v>
      </c>
      <c r="BA357" s="3" t="s">
        <v>3433</v>
      </c>
      <c r="BB357" s="3" t="s">
        <v>3434</v>
      </c>
      <c r="BC357" s="3" t="s">
        <v>77</v>
      </c>
      <c r="BD357" s="3" t="s">
        <v>165</v>
      </c>
      <c r="BE357" s="3" t="s">
        <v>3435</v>
      </c>
      <c r="BF357" s="3" t="s">
        <v>3434</v>
      </c>
      <c r="BG357" s="3" t="s">
        <v>3436</v>
      </c>
      <c r="BH357">
        <f t="shared" si="13"/>
        <v>0</v>
      </c>
    </row>
    <row r="358" spans="1:60" ht="58" x14ac:dyDescent="0.35">
      <c r="A358" s="2" t="s">
        <v>59</v>
      </c>
      <c r="B358" s="2" t="s">
        <v>60</v>
      </c>
      <c r="C358" s="2" t="s">
        <v>3425</v>
      </c>
      <c r="D358" s="2" t="s">
        <v>3426</v>
      </c>
      <c r="E358" s="2" t="s">
        <v>3412</v>
      </c>
      <c r="G358" s="3" t="s">
        <v>64</v>
      </c>
      <c r="I358" s="3" t="s">
        <v>128</v>
      </c>
      <c r="J358" s="3" t="s">
        <v>128</v>
      </c>
      <c r="K358" s="3" t="s">
        <v>65</v>
      </c>
      <c r="L358" s="2" t="s">
        <v>3413</v>
      </c>
      <c r="M358" s="2" t="s">
        <v>3427</v>
      </c>
      <c r="N358" s="3" t="s">
        <v>3428</v>
      </c>
      <c r="O358" s="2" t="s">
        <v>3429</v>
      </c>
      <c r="P358" s="3" t="s">
        <v>102</v>
      </c>
      <c r="R358" s="3" t="s">
        <v>70</v>
      </c>
      <c r="S358" s="4">
        <v>9</v>
      </c>
      <c r="T358" s="4">
        <v>38</v>
      </c>
      <c r="U358" s="5" t="s">
        <v>3431</v>
      </c>
      <c r="V358" s="5" t="s">
        <v>3431</v>
      </c>
      <c r="W358" s="5" t="s">
        <v>72</v>
      </c>
      <c r="X358" s="5" t="s">
        <v>72</v>
      </c>
      <c r="Y358" s="4">
        <v>294</v>
      </c>
      <c r="Z358" s="4">
        <v>9</v>
      </c>
      <c r="AA358" s="4">
        <v>78</v>
      </c>
      <c r="AB358" s="4">
        <v>2</v>
      </c>
      <c r="AC358" s="4">
        <v>11</v>
      </c>
      <c r="AD358" s="4">
        <v>75</v>
      </c>
      <c r="AE358" s="4">
        <v>157</v>
      </c>
      <c r="AF358" s="4">
        <v>0</v>
      </c>
      <c r="AG358" s="4">
        <v>6</v>
      </c>
      <c r="AH358" s="4">
        <v>70</v>
      </c>
      <c r="AI358" s="4">
        <v>118</v>
      </c>
      <c r="AJ358" s="4">
        <v>4</v>
      </c>
      <c r="AK358" s="4">
        <v>27</v>
      </c>
      <c r="AL358" s="4">
        <v>43</v>
      </c>
      <c r="AM358" s="4">
        <v>64</v>
      </c>
      <c r="AN358" s="4">
        <v>0</v>
      </c>
      <c r="AO358" s="4">
        <v>0</v>
      </c>
      <c r="AP358" s="4">
        <v>5</v>
      </c>
      <c r="AQ358" s="4">
        <v>44</v>
      </c>
      <c r="AR358" s="3" t="s">
        <v>64</v>
      </c>
      <c r="AS358" s="3" t="s">
        <v>64</v>
      </c>
      <c r="AT358" s="3" t="s">
        <v>64</v>
      </c>
      <c r="AV358" s="6" t="str">
        <f>HYPERLINK("http://mcgill.on.worldcat.org/oclc/32821740","Catalog Record")</f>
        <v>Catalog Record</v>
      </c>
      <c r="AW358" s="6" t="str">
        <f>HYPERLINK("http://www.worldcat.org/oclc/32821740","WorldCat Record")</f>
        <v>WorldCat Record</v>
      </c>
      <c r="AX358" s="3" t="s">
        <v>3417</v>
      </c>
      <c r="AY358" s="3" t="s">
        <v>3432</v>
      </c>
      <c r="AZ358" s="3" t="s">
        <v>3433</v>
      </c>
      <c r="BA358" s="3" t="s">
        <v>3433</v>
      </c>
      <c r="BB358" s="3" t="s">
        <v>3437</v>
      </c>
      <c r="BC358" s="3" t="s">
        <v>77</v>
      </c>
      <c r="BD358" s="3" t="s">
        <v>78</v>
      </c>
      <c r="BE358" s="3" t="s">
        <v>3435</v>
      </c>
      <c r="BF358" s="3" t="s">
        <v>3437</v>
      </c>
      <c r="BG358" s="3" t="s">
        <v>3438</v>
      </c>
      <c r="BH358">
        <f t="shared" si="13"/>
        <v>0</v>
      </c>
    </row>
    <row r="359" spans="1:60" ht="58" x14ac:dyDescent="0.35">
      <c r="A359" s="2" t="s">
        <v>59</v>
      </c>
      <c r="B359" s="2" t="s">
        <v>60</v>
      </c>
      <c r="C359" s="2" t="s">
        <v>3439</v>
      </c>
      <c r="D359" s="2" t="s">
        <v>3440</v>
      </c>
      <c r="E359" s="2" t="s">
        <v>3441</v>
      </c>
      <c r="G359" s="3" t="s">
        <v>64</v>
      </c>
      <c r="I359" s="3" t="s">
        <v>64</v>
      </c>
      <c r="J359" s="3" t="s">
        <v>64</v>
      </c>
      <c r="K359" s="3" t="s">
        <v>65</v>
      </c>
      <c r="L359" s="2" t="s">
        <v>3442</v>
      </c>
      <c r="M359" s="2" t="s">
        <v>3443</v>
      </c>
      <c r="N359" s="3" t="s">
        <v>3444</v>
      </c>
      <c r="P359" s="3" t="s">
        <v>102</v>
      </c>
      <c r="R359" s="3" t="s">
        <v>70</v>
      </c>
      <c r="S359" s="4">
        <v>11</v>
      </c>
      <c r="T359" s="4">
        <v>11</v>
      </c>
      <c r="U359" s="5" t="s">
        <v>133</v>
      </c>
      <c r="V359" s="5" t="s">
        <v>133</v>
      </c>
      <c r="W359" s="5" t="s">
        <v>72</v>
      </c>
      <c r="X359" s="5" t="s">
        <v>72</v>
      </c>
      <c r="Y359" s="4">
        <v>150</v>
      </c>
      <c r="Z359" s="4">
        <v>8</v>
      </c>
      <c r="AA359" s="4">
        <v>13</v>
      </c>
      <c r="AB359" s="4">
        <v>1</v>
      </c>
      <c r="AC359" s="4">
        <v>2</v>
      </c>
      <c r="AD359" s="4">
        <v>52</v>
      </c>
      <c r="AE359" s="4">
        <v>70</v>
      </c>
      <c r="AF359" s="4">
        <v>0</v>
      </c>
      <c r="AG359" s="4">
        <v>0</v>
      </c>
      <c r="AH359" s="4">
        <v>52</v>
      </c>
      <c r="AI359" s="4">
        <v>68</v>
      </c>
      <c r="AJ359" s="4">
        <v>5</v>
      </c>
      <c r="AK359" s="4">
        <v>7</v>
      </c>
      <c r="AL359" s="4">
        <v>30</v>
      </c>
      <c r="AM359" s="4">
        <v>39</v>
      </c>
      <c r="AN359" s="4">
        <v>0</v>
      </c>
      <c r="AO359" s="4">
        <v>0</v>
      </c>
      <c r="AP359" s="4">
        <v>5</v>
      </c>
      <c r="AQ359" s="4">
        <v>8</v>
      </c>
      <c r="AR359" s="3" t="s">
        <v>64</v>
      </c>
      <c r="AS359" s="3" t="s">
        <v>64</v>
      </c>
      <c r="AT359" s="3" t="s">
        <v>64</v>
      </c>
      <c r="AV359" s="6" t="str">
        <f>HYPERLINK("http://mcgill.on.worldcat.org/oclc/1710267","Catalog Record")</f>
        <v>Catalog Record</v>
      </c>
      <c r="AW359" s="6" t="str">
        <f>HYPERLINK("http://www.worldcat.org/oclc/1710267","WorldCat Record")</f>
        <v>WorldCat Record</v>
      </c>
      <c r="AX359" s="3" t="s">
        <v>3445</v>
      </c>
      <c r="AY359" s="3" t="s">
        <v>3446</v>
      </c>
      <c r="AZ359" s="3" t="s">
        <v>3447</v>
      </c>
      <c r="BA359" s="3" t="s">
        <v>3447</v>
      </c>
      <c r="BB359" s="3" t="s">
        <v>3448</v>
      </c>
      <c r="BC359" s="3" t="s">
        <v>77</v>
      </c>
      <c r="BD359" s="3" t="s">
        <v>78</v>
      </c>
      <c r="BF359" s="3" t="s">
        <v>3448</v>
      </c>
      <c r="BG359" s="3" t="s">
        <v>3449</v>
      </c>
      <c r="BH359">
        <f t="shared" si="13"/>
        <v>0</v>
      </c>
    </row>
    <row r="360" spans="1:60" ht="58" x14ac:dyDescent="0.35">
      <c r="A360" s="2" t="s">
        <v>59</v>
      </c>
      <c r="B360" s="2" t="s">
        <v>60</v>
      </c>
      <c r="C360" s="2" t="s">
        <v>3450</v>
      </c>
      <c r="D360" s="2" t="s">
        <v>3451</v>
      </c>
      <c r="E360" s="2" t="s">
        <v>3452</v>
      </c>
      <c r="G360" s="3" t="s">
        <v>64</v>
      </c>
      <c r="I360" s="3" t="s">
        <v>64</v>
      </c>
      <c r="J360" s="3" t="s">
        <v>128</v>
      </c>
      <c r="K360" s="3" t="s">
        <v>65</v>
      </c>
      <c r="L360" s="2" t="s">
        <v>3453</v>
      </c>
      <c r="M360" s="2" t="s">
        <v>3454</v>
      </c>
      <c r="N360" s="3" t="s">
        <v>364</v>
      </c>
      <c r="O360" s="2" t="s">
        <v>3455</v>
      </c>
      <c r="P360" s="3" t="s">
        <v>102</v>
      </c>
      <c r="R360" s="3" t="s">
        <v>70</v>
      </c>
      <c r="S360" s="4">
        <v>5</v>
      </c>
      <c r="T360" s="4">
        <v>5</v>
      </c>
      <c r="U360" s="5" t="s">
        <v>3456</v>
      </c>
      <c r="V360" s="5" t="s">
        <v>3456</v>
      </c>
      <c r="W360" s="5" t="s">
        <v>72</v>
      </c>
      <c r="X360" s="5" t="s">
        <v>72</v>
      </c>
      <c r="Y360" s="4">
        <v>200</v>
      </c>
      <c r="Z360" s="4">
        <v>19</v>
      </c>
      <c r="AA360" s="4">
        <v>48</v>
      </c>
      <c r="AB360" s="4">
        <v>1</v>
      </c>
      <c r="AC360" s="4">
        <v>5</v>
      </c>
      <c r="AD360" s="4">
        <v>55</v>
      </c>
      <c r="AE360" s="4">
        <v>133</v>
      </c>
      <c r="AF360" s="4">
        <v>0</v>
      </c>
      <c r="AG360" s="4">
        <v>3</v>
      </c>
      <c r="AH360" s="4">
        <v>45</v>
      </c>
      <c r="AI360" s="4">
        <v>107</v>
      </c>
      <c r="AJ360" s="4">
        <v>12</v>
      </c>
      <c r="AK360" s="4">
        <v>22</v>
      </c>
      <c r="AL360" s="4">
        <v>23</v>
      </c>
      <c r="AM360" s="4">
        <v>61</v>
      </c>
      <c r="AN360" s="4">
        <v>0</v>
      </c>
      <c r="AO360" s="4">
        <v>0</v>
      </c>
      <c r="AP360" s="4">
        <v>17</v>
      </c>
      <c r="AQ360" s="4">
        <v>31</v>
      </c>
      <c r="AR360" s="3" t="s">
        <v>64</v>
      </c>
      <c r="AS360" s="3" t="s">
        <v>64</v>
      </c>
      <c r="AT360" s="3" t="s">
        <v>64</v>
      </c>
      <c r="AV360" s="6" t="str">
        <f>HYPERLINK("http://mcgill.on.worldcat.org/oclc/1296599","Catalog Record")</f>
        <v>Catalog Record</v>
      </c>
      <c r="AW360" s="6" t="str">
        <f>HYPERLINK("http://www.worldcat.org/oclc/1296599","WorldCat Record")</f>
        <v>WorldCat Record</v>
      </c>
      <c r="AX360" s="3" t="s">
        <v>3457</v>
      </c>
      <c r="AY360" s="3" t="s">
        <v>3458</v>
      </c>
      <c r="AZ360" s="3" t="s">
        <v>3459</v>
      </c>
      <c r="BA360" s="3" t="s">
        <v>3459</v>
      </c>
      <c r="BB360" s="3" t="s">
        <v>3460</v>
      </c>
      <c r="BC360" s="3" t="s">
        <v>77</v>
      </c>
      <c r="BD360" s="3" t="s">
        <v>78</v>
      </c>
      <c r="BE360" s="3" t="s">
        <v>3461</v>
      </c>
      <c r="BF360" s="3" t="s">
        <v>3460</v>
      </c>
      <c r="BG360" s="3" t="s">
        <v>3462</v>
      </c>
      <c r="BH360">
        <f t="shared" si="13"/>
        <v>0</v>
      </c>
    </row>
    <row r="361" spans="1:60" ht="58" x14ac:dyDescent="0.35">
      <c r="A361" s="2" t="s">
        <v>59</v>
      </c>
      <c r="B361" s="2" t="s">
        <v>60</v>
      </c>
      <c r="C361" s="2" t="s">
        <v>3463</v>
      </c>
      <c r="D361" s="2" t="s">
        <v>3464</v>
      </c>
      <c r="E361" s="2" t="s">
        <v>3465</v>
      </c>
      <c r="G361" s="3" t="s">
        <v>64</v>
      </c>
      <c r="I361" s="3" t="s">
        <v>64</v>
      </c>
      <c r="J361" s="3" t="s">
        <v>64</v>
      </c>
      <c r="K361" s="3" t="s">
        <v>65</v>
      </c>
      <c r="L361" s="2" t="s">
        <v>3466</v>
      </c>
      <c r="M361" s="2" t="s">
        <v>3467</v>
      </c>
      <c r="N361" s="3" t="s">
        <v>1075</v>
      </c>
      <c r="O361" s="2" t="s">
        <v>3468</v>
      </c>
      <c r="P361" s="3" t="s">
        <v>102</v>
      </c>
      <c r="Q361" s="2" t="s">
        <v>3469</v>
      </c>
      <c r="R361" s="3" t="s">
        <v>70</v>
      </c>
      <c r="S361" s="4">
        <v>1</v>
      </c>
      <c r="T361" s="4">
        <v>1</v>
      </c>
      <c r="U361" s="5" t="s">
        <v>3470</v>
      </c>
      <c r="V361" s="5" t="s">
        <v>3470</v>
      </c>
      <c r="W361" s="5" t="s">
        <v>72</v>
      </c>
      <c r="X361" s="5" t="s">
        <v>72</v>
      </c>
      <c r="Y361" s="4">
        <v>41</v>
      </c>
      <c r="Z361" s="4">
        <v>2</v>
      </c>
      <c r="AA361" s="4">
        <v>9</v>
      </c>
      <c r="AB361" s="4">
        <v>1</v>
      </c>
      <c r="AC361" s="4">
        <v>3</v>
      </c>
      <c r="AD361" s="4">
        <v>11</v>
      </c>
      <c r="AE361" s="4">
        <v>44</v>
      </c>
      <c r="AF361" s="4">
        <v>0</v>
      </c>
      <c r="AG361" s="4">
        <v>1</v>
      </c>
      <c r="AH361" s="4">
        <v>10</v>
      </c>
      <c r="AI361" s="4">
        <v>41</v>
      </c>
      <c r="AJ361" s="4">
        <v>1</v>
      </c>
      <c r="AK361" s="4">
        <v>6</v>
      </c>
      <c r="AL361" s="4">
        <v>8</v>
      </c>
      <c r="AM361" s="4">
        <v>27</v>
      </c>
      <c r="AN361" s="4">
        <v>0</v>
      </c>
      <c r="AO361" s="4">
        <v>0</v>
      </c>
      <c r="AP361" s="4">
        <v>1</v>
      </c>
      <c r="AQ361" s="4">
        <v>6</v>
      </c>
      <c r="AR361" s="3" t="s">
        <v>64</v>
      </c>
      <c r="AS361" s="3" t="s">
        <v>64</v>
      </c>
      <c r="AT361" s="3" t="s">
        <v>64</v>
      </c>
      <c r="AV361" s="6" t="str">
        <f>HYPERLINK("http://mcgill.on.worldcat.org/oclc/848162570","Catalog Record")</f>
        <v>Catalog Record</v>
      </c>
      <c r="AW361" s="6" t="str">
        <f>HYPERLINK("http://www.worldcat.org/oclc/848162570","WorldCat Record")</f>
        <v>WorldCat Record</v>
      </c>
      <c r="AX361" s="3" t="s">
        <v>3471</v>
      </c>
      <c r="AY361" s="3" t="s">
        <v>3472</v>
      </c>
      <c r="AZ361" s="3" t="s">
        <v>3473</v>
      </c>
      <c r="BA361" s="3" t="s">
        <v>3473</v>
      </c>
      <c r="BB361" s="3" t="s">
        <v>3474</v>
      </c>
      <c r="BC361" s="3" t="s">
        <v>77</v>
      </c>
      <c r="BD361" s="3" t="s">
        <v>78</v>
      </c>
      <c r="BE361" s="3" t="s">
        <v>3475</v>
      </c>
      <c r="BF361" s="3" t="s">
        <v>3474</v>
      </c>
      <c r="BG361" s="3" t="s">
        <v>3476</v>
      </c>
      <c r="BH361">
        <f t="shared" si="13"/>
        <v>0</v>
      </c>
    </row>
    <row r="362" spans="1:60" ht="72.5" x14ac:dyDescent="0.35">
      <c r="A362" s="2" t="s">
        <v>59</v>
      </c>
      <c r="B362" s="2" t="s">
        <v>1025</v>
      </c>
      <c r="C362" s="2" t="s">
        <v>3477</v>
      </c>
      <c r="D362" s="2" t="s">
        <v>3478</v>
      </c>
      <c r="E362" s="2" t="s">
        <v>3479</v>
      </c>
      <c r="G362" s="3" t="s">
        <v>64</v>
      </c>
      <c r="I362" s="3" t="s">
        <v>64</v>
      </c>
      <c r="J362" s="3" t="s">
        <v>64</v>
      </c>
      <c r="K362" s="3" t="s">
        <v>65</v>
      </c>
      <c r="L362" s="2" t="s">
        <v>3480</v>
      </c>
      <c r="M362" s="2" t="s">
        <v>3481</v>
      </c>
      <c r="N362" s="3" t="s">
        <v>116</v>
      </c>
      <c r="P362" s="3" t="s">
        <v>102</v>
      </c>
      <c r="R362" s="3" t="s">
        <v>70</v>
      </c>
      <c r="S362" s="4">
        <v>12</v>
      </c>
      <c r="T362" s="4">
        <v>12</v>
      </c>
      <c r="U362" s="5" t="s">
        <v>687</v>
      </c>
      <c r="V362" s="5" t="s">
        <v>687</v>
      </c>
      <c r="W362" s="5" t="s">
        <v>72</v>
      </c>
      <c r="X362" s="5" t="s">
        <v>72</v>
      </c>
      <c r="Y362" s="4">
        <v>925</v>
      </c>
      <c r="Z362" s="4">
        <v>34</v>
      </c>
      <c r="AA362" s="4">
        <v>35</v>
      </c>
      <c r="AB362" s="4">
        <v>3</v>
      </c>
      <c r="AC362" s="4">
        <v>4</v>
      </c>
      <c r="AD362" s="4">
        <v>99</v>
      </c>
      <c r="AE362" s="4">
        <v>100</v>
      </c>
      <c r="AF362" s="4">
        <v>1</v>
      </c>
      <c r="AG362" s="4">
        <v>2</v>
      </c>
      <c r="AH362" s="4">
        <v>87</v>
      </c>
      <c r="AI362" s="4">
        <v>87</v>
      </c>
      <c r="AJ362" s="4">
        <v>9</v>
      </c>
      <c r="AK362" s="4">
        <v>10</v>
      </c>
      <c r="AL362" s="4">
        <v>48</v>
      </c>
      <c r="AM362" s="4">
        <v>48</v>
      </c>
      <c r="AN362" s="4">
        <v>0</v>
      </c>
      <c r="AO362" s="4">
        <v>0</v>
      </c>
      <c r="AP362" s="4">
        <v>15</v>
      </c>
      <c r="AQ362" s="4">
        <v>16</v>
      </c>
      <c r="AR362" s="3" t="s">
        <v>64</v>
      </c>
      <c r="AS362" s="3" t="s">
        <v>64</v>
      </c>
      <c r="AT362" s="3" t="s">
        <v>64</v>
      </c>
      <c r="AV362" s="6" t="str">
        <f>HYPERLINK("http://mcgill.on.worldcat.org/oclc/55699872","Catalog Record")</f>
        <v>Catalog Record</v>
      </c>
      <c r="AW362" s="6" t="str">
        <f>HYPERLINK("http://www.worldcat.org/oclc/55699872","WorldCat Record")</f>
        <v>WorldCat Record</v>
      </c>
      <c r="AX362" s="3" t="s">
        <v>3482</v>
      </c>
      <c r="AY362" s="3" t="s">
        <v>3483</v>
      </c>
      <c r="AZ362" s="3" t="s">
        <v>3484</v>
      </c>
      <c r="BA362" s="3" t="s">
        <v>3484</v>
      </c>
      <c r="BB362" s="3" t="s">
        <v>3485</v>
      </c>
      <c r="BC362" s="3" t="s">
        <v>77</v>
      </c>
      <c r="BD362" s="3" t="s">
        <v>78</v>
      </c>
      <c r="BE362" s="3" t="s">
        <v>3486</v>
      </c>
      <c r="BF362" s="3" t="s">
        <v>3485</v>
      </c>
      <c r="BG362" s="3" t="s">
        <v>3487</v>
      </c>
      <c r="BH362">
        <f t="shared" si="13"/>
        <v>0</v>
      </c>
    </row>
    <row r="363" spans="1:60" ht="72.5" x14ac:dyDescent="0.35">
      <c r="A363" s="2" t="s">
        <v>59</v>
      </c>
      <c r="B363" s="2" t="s">
        <v>1025</v>
      </c>
      <c r="C363" s="2" t="s">
        <v>3488</v>
      </c>
      <c r="D363" s="2" t="s">
        <v>3489</v>
      </c>
      <c r="E363" s="2" t="s">
        <v>3490</v>
      </c>
      <c r="G363" s="3" t="s">
        <v>64</v>
      </c>
      <c r="I363" s="3" t="s">
        <v>64</v>
      </c>
      <c r="J363" s="3" t="s">
        <v>64</v>
      </c>
      <c r="K363" s="3" t="s">
        <v>65</v>
      </c>
      <c r="L363" s="2" t="s">
        <v>3491</v>
      </c>
      <c r="M363" s="2" t="s">
        <v>3492</v>
      </c>
      <c r="N363" s="3" t="s">
        <v>116</v>
      </c>
      <c r="P363" s="3" t="s">
        <v>102</v>
      </c>
      <c r="R363" s="3" t="s">
        <v>70</v>
      </c>
      <c r="S363" s="4">
        <v>10</v>
      </c>
      <c r="T363" s="4">
        <v>10</v>
      </c>
      <c r="U363" s="5" t="s">
        <v>3493</v>
      </c>
      <c r="V363" s="5" t="s">
        <v>3493</v>
      </c>
      <c r="W363" s="5" t="s">
        <v>72</v>
      </c>
      <c r="X363" s="5" t="s">
        <v>72</v>
      </c>
      <c r="Y363" s="4">
        <v>532</v>
      </c>
      <c r="Z363" s="4">
        <v>23</v>
      </c>
      <c r="AA363" s="4">
        <v>33</v>
      </c>
      <c r="AB363" s="4">
        <v>3</v>
      </c>
      <c r="AC363" s="4">
        <v>7</v>
      </c>
      <c r="AD363" s="4">
        <v>101</v>
      </c>
      <c r="AE363" s="4">
        <v>113</v>
      </c>
      <c r="AF363" s="4">
        <v>1</v>
      </c>
      <c r="AG363" s="4">
        <v>4</v>
      </c>
      <c r="AH363" s="4">
        <v>89</v>
      </c>
      <c r="AI363" s="4">
        <v>95</v>
      </c>
      <c r="AJ363" s="4">
        <v>9</v>
      </c>
      <c r="AK363" s="4">
        <v>16</v>
      </c>
      <c r="AL363" s="4">
        <v>52</v>
      </c>
      <c r="AM363" s="4">
        <v>56</v>
      </c>
      <c r="AN363" s="4">
        <v>0</v>
      </c>
      <c r="AO363" s="4">
        <v>0</v>
      </c>
      <c r="AP363" s="4">
        <v>13</v>
      </c>
      <c r="AQ363" s="4">
        <v>20</v>
      </c>
      <c r="AR363" s="3" t="s">
        <v>64</v>
      </c>
      <c r="AS363" s="3" t="s">
        <v>64</v>
      </c>
      <c r="AT363" s="3" t="s">
        <v>64</v>
      </c>
      <c r="AV363" s="6" t="str">
        <f>HYPERLINK("http://mcgill.on.worldcat.org/oclc/48260555","Catalog Record")</f>
        <v>Catalog Record</v>
      </c>
      <c r="AW363" s="6" t="str">
        <f>HYPERLINK("http://www.worldcat.org/oclc/48260555","WorldCat Record")</f>
        <v>WorldCat Record</v>
      </c>
      <c r="AX363" s="3" t="s">
        <v>3494</v>
      </c>
      <c r="AY363" s="3" t="s">
        <v>3495</v>
      </c>
      <c r="AZ363" s="3" t="s">
        <v>3496</v>
      </c>
      <c r="BA363" s="3" t="s">
        <v>3496</v>
      </c>
      <c r="BB363" s="3" t="s">
        <v>3497</v>
      </c>
      <c r="BC363" s="3" t="s">
        <v>77</v>
      </c>
      <c r="BD363" s="3" t="s">
        <v>78</v>
      </c>
      <c r="BE363" s="3" t="s">
        <v>3498</v>
      </c>
      <c r="BF363" s="3" t="s">
        <v>3497</v>
      </c>
      <c r="BG363" s="3" t="s">
        <v>3499</v>
      </c>
      <c r="BH363">
        <f t="shared" si="13"/>
        <v>0</v>
      </c>
    </row>
    <row r="364" spans="1:60" ht="58" x14ac:dyDescent="0.35">
      <c r="A364" s="2" t="s">
        <v>59</v>
      </c>
      <c r="B364" s="2" t="s">
        <v>60</v>
      </c>
      <c r="C364" s="2" t="s">
        <v>3500</v>
      </c>
      <c r="D364" s="2" t="s">
        <v>3501</v>
      </c>
      <c r="E364" s="2" t="s">
        <v>3502</v>
      </c>
      <c r="G364" s="3" t="s">
        <v>64</v>
      </c>
      <c r="I364" s="3" t="s">
        <v>64</v>
      </c>
      <c r="J364" s="3" t="s">
        <v>64</v>
      </c>
      <c r="K364" s="3" t="s">
        <v>65</v>
      </c>
      <c r="M364" s="2" t="s">
        <v>3503</v>
      </c>
      <c r="N364" s="3" t="s">
        <v>1275</v>
      </c>
      <c r="P364" s="3" t="s">
        <v>102</v>
      </c>
      <c r="Q364" s="2" t="s">
        <v>565</v>
      </c>
      <c r="R364" s="3" t="s">
        <v>70</v>
      </c>
      <c r="S364" s="4">
        <v>16</v>
      </c>
      <c r="T364" s="4">
        <v>16</v>
      </c>
      <c r="U364" s="5" t="s">
        <v>980</v>
      </c>
      <c r="V364" s="5" t="s">
        <v>980</v>
      </c>
      <c r="W364" s="5" t="s">
        <v>72</v>
      </c>
      <c r="X364" s="5" t="s">
        <v>72</v>
      </c>
      <c r="Y364" s="4">
        <v>303</v>
      </c>
      <c r="Z364" s="4">
        <v>58</v>
      </c>
      <c r="AA364" s="4">
        <v>80</v>
      </c>
      <c r="AB364" s="4">
        <v>2</v>
      </c>
      <c r="AC364" s="4">
        <v>8</v>
      </c>
      <c r="AD364" s="4">
        <v>125</v>
      </c>
      <c r="AE364" s="4">
        <v>134</v>
      </c>
      <c r="AF364" s="4">
        <v>0</v>
      </c>
      <c r="AG364" s="4">
        <v>2</v>
      </c>
      <c r="AH364" s="4">
        <v>94</v>
      </c>
      <c r="AI364" s="4">
        <v>97</v>
      </c>
      <c r="AJ364" s="4">
        <v>22</v>
      </c>
      <c r="AK364" s="4">
        <v>25</v>
      </c>
      <c r="AL364" s="4">
        <v>51</v>
      </c>
      <c r="AM364" s="4">
        <v>51</v>
      </c>
      <c r="AN364" s="4">
        <v>0</v>
      </c>
      <c r="AO364" s="4">
        <v>0</v>
      </c>
      <c r="AP364" s="4">
        <v>39</v>
      </c>
      <c r="AQ364" s="4">
        <v>46</v>
      </c>
      <c r="AR364" s="3" t="s">
        <v>128</v>
      </c>
      <c r="AS364" s="3" t="s">
        <v>64</v>
      </c>
      <c r="AT364" s="3" t="s">
        <v>64</v>
      </c>
      <c r="AV364" s="6" t="str">
        <f>HYPERLINK("http://mcgill.on.worldcat.org/oclc/56065718","Catalog Record")</f>
        <v>Catalog Record</v>
      </c>
      <c r="AW364" s="6" t="str">
        <f>HYPERLINK("http://www.worldcat.org/oclc/56065718","WorldCat Record")</f>
        <v>WorldCat Record</v>
      </c>
      <c r="AX364" s="3" t="s">
        <v>3504</v>
      </c>
      <c r="AY364" s="3" t="s">
        <v>3505</v>
      </c>
      <c r="AZ364" s="3" t="s">
        <v>3506</v>
      </c>
      <c r="BA364" s="3" t="s">
        <v>3506</v>
      </c>
      <c r="BB364" s="3" t="s">
        <v>3507</v>
      </c>
      <c r="BC364" s="3" t="s">
        <v>77</v>
      </c>
      <c r="BD364" s="3" t="s">
        <v>78</v>
      </c>
      <c r="BE364" s="3" t="s">
        <v>3508</v>
      </c>
      <c r="BF364" s="3" t="s">
        <v>3507</v>
      </c>
      <c r="BG364" s="3" t="s">
        <v>3509</v>
      </c>
      <c r="BH364">
        <f t="shared" si="13"/>
        <v>0</v>
      </c>
    </row>
    <row r="365" spans="1:60" ht="58" x14ac:dyDescent="0.35">
      <c r="A365" s="2" t="s">
        <v>59</v>
      </c>
      <c r="B365" s="2" t="s">
        <v>60</v>
      </c>
      <c r="C365" s="2" t="s">
        <v>3510</v>
      </c>
      <c r="D365" s="2" t="s">
        <v>3511</v>
      </c>
      <c r="E365" s="2" t="s">
        <v>3512</v>
      </c>
      <c r="G365" s="3" t="s">
        <v>64</v>
      </c>
      <c r="I365" s="3" t="s">
        <v>64</v>
      </c>
      <c r="J365" s="3" t="s">
        <v>64</v>
      </c>
      <c r="K365" s="3" t="s">
        <v>65</v>
      </c>
      <c r="L365" s="2" t="s">
        <v>3513</v>
      </c>
      <c r="M365" s="2" t="s">
        <v>3514</v>
      </c>
      <c r="N365" s="3" t="s">
        <v>171</v>
      </c>
      <c r="P365" s="3" t="s">
        <v>102</v>
      </c>
      <c r="Q365" s="2" t="s">
        <v>3515</v>
      </c>
      <c r="R365" s="3" t="s">
        <v>70</v>
      </c>
      <c r="S365" s="4">
        <v>10</v>
      </c>
      <c r="T365" s="4">
        <v>10</v>
      </c>
      <c r="U365" s="5" t="s">
        <v>2399</v>
      </c>
      <c r="V365" s="5" t="s">
        <v>2399</v>
      </c>
      <c r="W365" s="5" t="s">
        <v>72</v>
      </c>
      <c r="X365" s="5" t="s">
        <v>72</v>
      </c>
      <c r="Y365" s="4">
        <v>132</v>
      </c>
      <c r="Z365" s="4">
        <v>10</v>
      </c>
      <c r="AA365" s="4">
        <v>30</v>
      </c>
      <c r="AB365" s="4">
        <v>1</v>
      </c>
      <c r="AC365" s="4">
        <v>4</v>
      </c>
      <c r="AD365" s="4">
        <v>14</v>
      </c>
      <c r="AE365" s="4">
        <v>63</v>
      </c>
      <c r="AF365" s="4">
        <v>0</v>
      </c>
      <c r="AG365" s="4">
        <v>2</v>
      </c>
      <c r="AH365" s="4">
        <v>11</v>
      </c>
      <c r="AI365" s="4">
        <v>52</v>
      </c>
      <c r="AJ365" s="4">
        <v>3</v>
      </c>
      <c r="AK365" s="4">
        <v>8</v>
      </c>
      <c r="AL365" s="4">
        <v>4</v>
      </c>
      <c r="AM365" s="4">
        <v>27</v>
      </c>
      <c r="AN365" s="4">
        <v>0</v>
      </c>
      <c r="AO365" s="4">
        <v>0</v>
      </c>
      <c r="AP365" s="4">
        <v>6</v>
      </c>
      <c r="AQ365" s="4">
        <v>14</v>
      </c>
      <c r="AR365" s="3" t="s">
        <v>64</v>
      </c>
      <c r="AS365" s="3" t="s">
        <v>64</v>
      </c>
      <c r="AT365" s="3" t="s">
        <v>64</v>
      </c>
      <c r="AV365" s="6" t="str">
        <f>HYPERLINK("http://mcgill.on.worldcat.org/oclc/70765900","Catalog Record")</f>
        <v>Catalog Record</v>
      </c>
      <c r="AW365" s="6" t="str">
        <f>HYPERLINK("http://www.worldcat.org/oclc/70765900","WorldCat Record")</f>
        <v>WorldCat Record</v>
      </c>
      <c r="AX365" s="3" t="s">
        <v>3516</v>
      </c>
      <c r="AY365" s="3" t="s">
        <v>3517</v>
      </c>
      <c r="AZ365" s="3" t="s">
        <v>3518</v>
      </c>
      <c r="BA365" s="3" t="s">
        <v>3518</v>
      </c>
      <c r="BB365" s="3" t="s">
        <v>3519</v>
      </c>
      <c r="BC365" s="3" t="s">
        <v>77</v>
      </c>
      <c r="BD365" s="3" t="s">
        <v>78</v>
      </c>
      <c r="BE365" s="3" t="s">
        <v>3520</v>
      </c>
      <c r="BF365" s="3" t="s">
        <v>3519</v>
      </c>
      <c r="BG365" s="3" t="s">
        <v>3521</v>
      </c>
      <c r="BH365">
        <f t="shared" si="13"/>
        <v>0</v>
      </c>
    </row>
    <row r="366" spans="1:60" ht="58" x14ac:dyDescent="0.35">
      <c r="A366" s="2" t="s">
        <v>59</v>
      </c>
      <c r="B366" s="2" t="s">
        <v>60</v>
      </c>
      <c r="C366" s="2" t="s">
        <v>3522</v>
      </c>
      <c r="D366" s="2" t="s">
        <v>3523</v>
      </c>
      <c r="E366" s="2" t="s">
        <v>3524</v>
      </c>
      <c r="G366" s="3" t="s">
        <v>64</v>
      </c>
      <c r="I366" s="3" t="s">
        <v>128</v>
      </c>
      <c r="J366" s="3" t="s">
        <v>128</v>
      </c>
      <c r="K366" s="3" t="s">
        <v>65</v>
      </c>
      <c r="L366" s="2" t="s">
        <v>3525</v>
      </c>
      <c r="M366" s="2" t="s">
        <v>3526</v>
      </c>
      <c r="N366" s="3" t="s">
        <v>3527</v>
      </c>
      <c r="P366" s="3" t="s">
        <v>102</v>
      </c>
      <c r="R366" s="3" t="s">
        <v>70</v>
      </c>
      <c r="S366" s="4">
        <v>7</v>
      </c>
      <c r="T366" s="4">
        <v>7</v>
      </c>
      <c r="U366" s="5" t="s">
        <v>3528</v>
      </c>
      <c r="V366" s="5" t="s">
        <v>3528</v>
      </c>
      <c r="W366" s="5" t="s">
        <v>72</v>
      </c>
      <c r="X366" s="5" t="s">
        <v>72</v>
      </c>
      <c r="Y366" s="4">
        <v>284</v>
      </c>
      <c r="Z366" s="4">
        <v>24</v>
      </c>
      <c r="AA366" s="4">
        <v>53</v>
      </c>
      <c r="AB366" s="4">
        <v>2</v>
      </c>
      <c r="AC366" s="4">
        <v>7</v>
      </c>
      <c r="AD366" s="4">
        <v>72</v>
      </c>
      <c r="AE366" s="4">
        <v>133</v>
      </c>
      <c r="AF366" s="4">
        <v>1</v>
      </c>
      <c r="AG366" s="4">
        <v>4</v>
      </c>
      <c r="AH366" s="4">
        <v>60</v>
      </c>
      <c r="AI366" s="4">
        <v>108</v>
      </c>
      <c r="AJ366" s="4">
        <v>15</v>
      </c>
      <c r="AK366" s="4">
        <v>24</v>
      </c>
      <c r="AL366" s="4">
        <v>36</v>
      </c>
      <c r="AM366" s="4">
        <v>59</v>
      </c>
      <c r="AN366" s="4">
        <v>0</v>
      </c>
      <c r="AO366" s="4">
        <v>0</v>
      </c>
      <c r="AP366" s="4">
        <v>16</v>
      </c>
      <c r="AQ366" s="4">
        <v>31</v>
      </c>
      <c r="AR366" s="3" t="s">
        <v>64</v>
      </c>
      <c r="AS366" s="3" t="s">
        <v>64</v>
      </c>
      <c r="AT366" s="3" t="s">
        <v>128</v>
      </c>
      <c r="AU366" s="6" t="str">
        <f>HYPERLINK("http://catalog.hathitrust.org/Record/001175186","HathiTrust Record")</f>
        <v>HathiTrust Record</v>
      </c>
      <c r="AV366" s="6" t="str">
        <f>HYPERLINK("http://mcgill.on.worldcat.org/oclc/2360559","Catalog Record")</f>
        <v>Catalog Record</v>
      </c>
      <c r="AW366" s="6" t="str">
        <f>HYPERLINK("http://www.worldcat.org/oclc/2360559","WorldCat Record")</f>
        <v>WorldCat Record</v>
      </c>
      <c r="AX366" s="3" t="s">
        <v>3529</v>
      </c>
      <c r="AY366" s="3" t="s">
        <v>3530</v>
      </c>
      <c r="AZ366" s="3" t="s">
        <v>3531</v>
      </c>
      <c r="BA366" s="3" t="s">
        <v>3531</v>
      </c>
      <c r="BB366" s="3" t="s">
        <v>3532</v>
      </c>
      <c r="BC366" s="3" t="s">
        <v>77</v>
      </c>
      <c r="BD366" s="3" t="s">
        <v>78</v>
      </c>
      <c r="BF366" s="3" t="s">
        <v>3532</v>
      </c>
      <c r="BG366" s="3" t="s">
        <v>3533</v>
      </c>
      <c r="BH366">
        <f t="shared" si="13"/>
        <v>0</v>
      </c>
    </row>
    <row r="367" spans="1:60" ht="72.5" x14ac:dyDescent="0.35">
      <c r="A367" s="2" t="s">
        <v>59</v>
      </c>
      <c r="B367" s="2" t="s">
        <v>1025</v>
      </c>
      <c r="C367" s="2" t="s">
        <v>3534</v>
      </c>
      <c r="D367" s="2" t="s">
        <v>3535</v>
      </c>
      <c r="E367" s="2" t="s">
        <v>3536</v>
      </c>
      <c r="G367" s="3" t="s">
        <v>64</v>
      </c>
      <c r="I367" s="3" t="s">
        <v>64</v>
      </c>
      <c r="J367" s="3" t="s">
        <v>128</v>
      </c>
      <c r="K367" s="3" t="s">
        <v>65</v>
      </c>
      <c r="L367" s="2" t="s">
        <v>3525</v>
      </c>
      <c r="M367" s="2" t="s">
        <v>3537</v>
      </c>
      <c r="N367" s="3" t="s">
        <v>922</v>
      </c>
      <c r="O367" s="2" t="s">
        <v>3538</v>
      </c>
      <c r="P367" s="3" t="s">
        <v>102</v>
      </c>
      <c r="R367" s="3" t="s">
        <v>70</v>
      </c>
      <c r="S367" s="4">
        <v>8</v>
      </c>
      <c r="T367" s="4">
        <v>8</v>
      </c>
      <c r="U367" s="5" t="s">
        <v>1505</v>
      </c>
      <c r="V367" s="5" t="s">
        <v>1505</v>
      </c>
      <c r="W367" s="5" t="s">
        <v>72</v>
      </c>
      <c r="X367" s="5" t="s">
        <v>72</v>
      </c>
      <c r="Y367" s="4">
        <v>357</v>
      </c>
      <c r="Z367" s="4">
        <v>18</v>
      </c>
      <c r="AA367" s="4">
        <v>53</v>
      </c>
      <c r="AB367" s="4">
        <v>1</v>
      </c>
      <c r="AC367" s="4">
        <v>7</v>
      </c>
      <c r="AD367" s="4">
        <v>86</v>
      </c>
      <c r="AE367" s="4">
        <v>133</v>
      </c>
      <c r="AF367" s="4">
        <v>0</v>
      </c>
      <c r="AG367" s="4">
        <v>4</v>
      </c>
      <c r="AH367" s="4">
        <v>75</v>
      </c>
      <c r="AI367" s="4">
        <v>108</v>
      </c>
      <c r="AJ367" s="4">
        <v>9</v>
      </c>
      <c r="AK367" s="4">
        <v>24</v>
      </c>
      <c r="AL367" s="4">
        <v>46</v>
      </c>
      <c r="AM367" s="4">
        <v>59</v>
      </c>
      <c r="AN367" s="4">
        <v>0</v>
      </c>
      <c r="AO367" s="4">
        <v>0</v>
      </c>
      <c r="AP367" s="4">
        <v>14</v>
      </c>
      <c r="AQ367" s="4">
        <v>31</v>
      </c>
      <c r="AR367" s="3" t="s">
        <v>64</v>
      </c>
      <c r="AS367" s="3" t="s">
        <v>64</v>
      </c>
      <c r="AT367" s="3" t="s">
        <v>128</v>
      </c>
      <c r="AU367" s="6" t="str">
        <f>HYPERLINK("http://catalog.hathitrust.org/Record/007479098","HathiTrust Record")</f>
        <v>HathiTrust Record</v>
      </c>
      <c r="AV367" s="6" t="str">
        <f>HYPERLINK("http://mcgill.on.worldcat.org/oclc/447251","Catalog Record")</f>
        <v>Catalog Record</v>
      </c>
      <c r="AW367" s="6" t="str">
        <f>HYPERLINK("http://www.worldcat.org/oclc/447251","WorldCat Record")</f>
        <v>WorldCat Record</v>
      </c>
      <c r="AX367" s="3" t="s">
        <v>3529</v>
      </c>
      <c r="AY367" s="3" t="s">
        <v>3539</v>
      </c>
      <c r="AZ367" s="3" t="s">
        <v>3540</v>
      </c>
      <c r="BA367" s="3" t="s">
        <v>3540</v>
      </c>
      <c r="BB367" s="3" t="s">
        <v>3541</v>
      </c>
      <c r="BC367" s="3" t="s">
        <v>77</v>
      </c>
      <c r="BD367" s="3" t="s">
        <v>165</v>
      </c>
      <c r="BE367" s="3" t="s">
        <v>3542</v>
      </c>
      <c r="BF367" s="3" t="s">
        <v>3541</v>
      </c>
      <c r="BG367" s="3" t="s">
        <v>3543</v>
      </c>
      <c r="BH367">
        <f t="shared" si="13"/>
        <v>0</v>
      </c>
    </row>
    <row r="368" spans="1:60" ht="58" x14ac:dyDescent="0.35">
      <c r="A368" s="2" t="s">
        <v>59</v>
      </c>
      <c r="B368" s="2" t="s">
        <v>60</v>
      </c>
      <c r="C368" s="2" t="s">
        <v>3544</v>
      </c>
      <c r="D368" s="2" t="s">
        <v>3545</v>
      </c>
      <c r="E368" s="2" t="s">
        <v>3546</v>
      </c>
      <c r="G368" s="3" t="s">
        <v>64</v>
      </c>
      <c r="I368" s="3" t="s">
        <v>64</v>
      </c>
      <c r="J368" s="3" t="s">
        <v>64</v>
      </c>
      <c r="K368" s="3" t="s">
        <v>65</v>
      </c>
      <c r="L368" s="2" t="s">
        <v>3547</v>
      </c>
      <c r="M368" s="2" t="s">
        <v>3548</v>
      </c>
      <c r="N368" s="3" t="s">
        <v>3549</v>
      </c>
      <c r="P368" s="3" t="s">
        <v>102</v>
      </c>
      <c r="R368" s="3" t="s">
        <v>70</v>
      </c>
      <c r="S368" s="4">
        <v>4</v>
      </c>
      <c r="T368" s="4">
        <v>4</v>
      </c>
      <c r="U368" s="5" t="s">
        <v>3129</v>
      </c>
      <c r="V368" s="5" t="s">
        <v>3129</v>
      </c>
      <c r="W368" s="5" t="s">
        <v>72</v>
      </c>
      <c r="X368" s="5" t="s">
        <v>72</v>
      </c>
      <c r="Y368" s="4">
        <v>98</v>
      </c>
      <c r="Z368" s="4">
        <v>7</v>
      </c>
      <c r="AA368" s="4">
        <v>8</v>
      </c>
      <c r="AB368" s="4">
        <v>1</v>
      </c>
      <c r="AC368" s="4">
        <v>2</v>
      </c>
      <c r="AD368" s="4">
        <v>29</v>
      </c>
      <c r="AE368" s="4">
        <v>30</v>
      </c>
      <c r="AF368" s="4">
        <v>0</v>
      </c>
      <c r="AG368" s="4">
        <v>1</v>
      </c>
      <c r="AH368" s="4">
        <v>26</v>
      </c>
      <c r="AI368" s="4">
        <v>26</v>
      </c>
      <c r="AJ368" s="4">
        <v>5</v>
      </c>
      <c r="AK368" s="4">
        <v>6</v>
      </c>
      <c r="AL368" s="4">
        <v>19</v>
      </c>
      <c r="AM368" s="4">
        <v>19</v>
      </c>
      <c r="AN368" s="4">
        <v>0</v>
      </c>
      <c r="AO368" s="4">
        <v>0</v>
      </c>
      <c r="AP368" s="4">
        <v>5</v>
      </c>
      <c r="AQ368" s="4">
        <v>5</v>
      </c>
      <c r="AR368" s="3" t="s">
        <v>64</v>
      </c>
      <c r="AS368" s="3" t="s">
        <v>64</v>
      </c>
      <c r="AT368" s="3" t="s">
        <v>128</v>
      </c>
      <c r="AU368" s="6" t="str">
        <f>HYPERLINK("http://catalog.hathitrust.org/Record/001159658","HathiTrust Record")</f>
        <v>HathiTrust Record</v>
      </c>
      <c r="AV368" s="6" t="str">
        <f>HYPERLINK("http://mcgill.on.worldcat.org/oclc/4092730","Catalog Record")</f>
        <v>Catalog Record</v>
      </c>
      <c r="AW368" s="6" t="str">
        <f>HYPERLINK("http://www.worldcat.org/oclc/4092730","WorldCat Record")</f>
        <v>WorldCat Record</v>
      </c>
      <c r="AX368" s="3" t="s">
        <v>3550</v>
      </c>
      <c r="AY368" s="3" t="s">
        <v>3551</v>
      </c>
      <c r="AZ368" s="3" t="s">
        <v>3552</v>
      </c>
      <c r="BA368" s="3" t="s">
        <v>3552</v>
      </c>
      <c r="BB368" s="3" t="s">
        <v>3553</v>
      </c>
      <c r="BC368" s="3" t="s">
        <v>77</v>
      </c>
      <c r="BD368" s="3" t="s">
        <v>78</v>
      </c>
      <c r="BF368" s="3" t="s">
        <v>3553</v>
      </c>
      <c r="BG368" s="3" t="s">
        <v>3554</v>
      </c>
      <c r="BH368">
        <f t="shared" si="13"/>
        <v>0</v>
      </c>
    </row>
    <row r="369" spans="1:60" ht="72.5" x14ac:dyDescent="0.35">
      <c r="A369" s="2" t="s">
        <v>59</v>
      </c>
      <c r="B369" s="2" t="s">
        <v>60</v>
      </c>
      <c r="C369" s="2" t="s">
        <v>3555</v>
      </c>
      <c r="D369" s="2" t="s">
        <v>3556</v>
      </c>
      <c r="E369" s="2" t="s">
        <v>3557</v>
      </c>
      <c r="G369" s="3" t="s">
        <v>64</v>
      </c>
      <c r="I369" s="3" t="s">
        <v>64</v>
      </c>
      <c r="J369" s="3" t="s">
        <v>64</v>
      </c>
      <c r="K369" s="3" t="s">
        <v>65</v>
      </c>
      <c r="L369" s="2" t="s">
        <v>3558</v>
      </c>
      <c r="M369" s="2" t="s">
        <v>3559</v>
      </c>
      <c r="N369" s="3" t="s">
        <v>1047</v>
      </c>
      <c r="P369" s="3" t="s">
        <v>102</v>
      </c>
      <c r="R369" s="3" t="s">
        <v>70</v>
      </c>
      <c r="S369" s="4">
        <v>25</v>
      </c>
      <c r="T369" s="4">
        <v>25</v>
      </c>
      <c r="U369" s="5" t="s">
        <v>3560</v>
      </c>
      <c r="V369" s="5" t="s">
        <v>3560</v>
      </c>
      <c r="W369" s="5" t="s">
        <v>72</v>
      </c>
      <c r="X369" s="5" t="s">
        <v>72</v>
      </c>
      <c r="Y369" s="4">
        <v>599</v>
      </c>
      <c r="Z369" s="4">
        <v>36</v>
      </c>
      <c r="AA369" s="4">
        <v>36</v>
      </c>
      <c r="AB369" s="4">
        <v>2</v>
      </c>
      <c r="AC369" s="4">
        <v>2</v>
      </c>
      <c r="AD369" s="4">
        <v>124</v>
      </c>
      <c r="AE369" s="4">
        <v>124</v>
      </c>
      <c r="AF369" s="4">
        <v>0</v>
      </c>
      <c r="AG369" s="4">
        <v>0</v>
      </c>
      <c r="AH369" s="4">
        <v>105</v>
      </c>
      <c r="AI369" s="4">
        <v>105</v>
      </c>
      <c r="AJ369" s="4">
        <v>19</v>
      </c>
      <c r="AK369" s="4">
        <v>19</v>
      </c>
      <c r="AL369" s="4">
        <v>56</v>
      </c>
      <c r="AM369" s="4">
        <v>56</v>
      </c>
      <c r="AN369" s="4">
        <v>0</v>
      </c>
      <c r="AO369" s="4">
        <v>0</v>
      </c>
      <c r="AP369" s="4">
        <v>24</v>
      </c>
      <c r="AQ369" s="4">
        <v>24</v>
      </c>
      <c r="AR369" s="3" t="s">
        <v>64</v>
      </c>
      <c r="AS369" s="3" t="s">
        <v>64</v>
      </c>
      <c r="AT369" s="3" t="s">
        <v>128</v>
      </c>
      <c r="AU369" s="6" t="str">
        <f>HYPERLINK("http://catalog.hathitrust.org/Record/000273352","HathiTrust Record")</f>
        <v>HathiTrust Record</v>
      </c>
      <c r="AV369" s="6" t="str">
        <f>HYPERLINK("http://mcgill.on.worldcat.org/oclc/8001344","Catalog Record")</f>
        <v>Catalog Record</v>
      </c>
      <c r="AW369" s="6" t="str">
        <f>HYPERLINK("http://www.worldcat.org/oclc/8001344","WorldCat Record")</f>
        <v>WorldCat Record</v>
      </c>
      <c r="AX369" s="3" t="s">
        <v>3561</v>
      </c>
      <c r="AY369" s="3" t="s">
        <v>3562</v>
      </c>
      <c r="AZ369" s="3" t="s">
        <v>3563</v>
      </c>
      <c r="BA369" s="3" t="s">
        <v>3563</v>
      </c>
      <c r="BB369" s="3" t="s">
        <v>3564</v>
      </c>
      <c r="BC369" s="3" t="s">
        <v>77</v>
      </c>
      <c r="BD369" s="3" t="s">
        <v>78</v>
      </c>
      <c r="BE369" s="3" t="s">
        <v>3565</v>
      </c>
      <c r="BF369" s="3" t="s">
        <v>3564</v>
      </c>
      <c r="BG369" s="3" t="s">
        <v>3566</v>
      </c>
      <c r="BH369">
        <f t="shared" si="13"/>
        <v>0</v>
      </c>
    </row>
    <row r="370" spans="1:60" ht="72.5" x14ac:dyDescent="0.35">
      <c r="A370" s="2" t="s">
        <v>59</v>
      </c>
      <c r="B370" s="2" t="s">
        <v>1025</v>
      </c>
      <c r="C370" s="2" t="s">
        <v>3567</v>
      </c>
      <c r="D370" s="2" t="s">
        <v>3568</v>
      </c>
      <c r="E370" s="2" t="s">
        <v>3569</v>
      </c>
      <c r="G370" s="3" t="s">
        <v>64</v>
      </c>
      <c r="I370" s="3" t="s">
        <v>64</v>
      </c>
      <c r="J370" s="3" t="s">
        <v>64</v>
      </c>
      <c r="K370" s="3" t="s">
        <v>65</v>
      </c>
      <c r="L370" s="2" t="s">
        <v>3570</v>
      </c>
      <c r="M370" s="2" t="s">
        <v>3571</v>
      </c>
      <c r="N370" s="3" t="s">
        <v>159</v>
      </c>
      <c r="P370" s="3" t="s">
        <v>102</v>
      </c>
      <c r="R370" s="3" t="s">
        <v>70</v>
      </c>
      <c r="S370" s="4">
        <v>9</v>
      </c>
      <c r="T370" s="4">
        <v>9</v>
      </c>
      <c r="U370" s="5" t="s">
        <v>3572</v>
      </c>
      <c r="V370" s="5" t="s">
        <v>3572</v>
      </c>
      <c r="W370" s="5" t="s">
        <v>72</v>
      </c>
      <c r="X370" s="5" t="s">
        <v>72</v>
      </c>
      <c r="Y370" s="4">
        <v>541</v>
      </c>
      <c r="Z370" s="4">
        <v>30</v>
      </c>
      <c r="AA370" s="4">
        <v>33</v>
      </c>
      <c r="AB370" s="4">
        <v>5</v>
      </c>
      <c r="AC370" s="4">
        <v>8</v>
      </c>
      <c r="AD370" s="4">
        <v>109</v>
      </c>
      <c r="AE370" s="4">
        <v>112</v>
      </c>
      <c r="AF370" s="4">
        <v>1</v>
      </c>
      <c r="AG370" s="4">
        <v>4</v>
      </c>
      <c r="AH370" s="4">
        <v>96</v>
      </c>
      <c r="AI370" s="4">
        <v>97</v>
      </c>
      <c r="AJ370" s="4">
        <v>15</v>
      </c>
      <c r="AK370" s="4">
        <v>18</v>
      </c>
      <c r="AL370" s="4">
        <v>53</v>
      </c>
      <c r="AM370" s="4">
        <v>53</v>
      </c>
      <c r="AN370" s="4">
        <v>0</v>
      </c>
      <c r="AO370" s="4">
        <v>0</v>
      </c>
      <c r="AP370" s="4">
        <v>17</v>
      </c>
      <c r="AQ370" s="4">
        <v>19</v>
      </c>
      <c r="AR370" s="3" t="s">
        <v>64</v>
      </c>
      <c r="AS370" s="3" t="s">
        <v>64</v>
      </c>
      <c r="AT370" s="3" t="s">
        <v>64</v>
      </c>
      <c r="AV370" s="6" t="str">
        <f>HYPERLINK("http://mcgill.on.worldcat.org/oclc/49779415","Catalog Record")</f>
        <v>Catalog Record</v>
      </c>
      <c r="AW370" s="6" t="str">
        <f>HYPERLINK("http://www.worldcat.org/oclc/49779415","WorldCat Record")</f>
        <v>WorldCat Record</v>
      </c>
      <c r="AX370" s="3" t="s">
        <v>3573</v>
      </c>
      <c r="AY370" s="3" t="s">
        <v>3574</v>
      </c>
      <c r="AZ370" s="3" t="s">
        <v>3575</v>
      </c>
      <c r="BA370" s="3" t="s">
        <v>3575</v>
      </c>
      <c r="BB370" s="3" t="s">
        <v>3576</v>
      </c>
      <c r="BC370" s="3" t="s">
        <v>77</v>
      </c>
      <c r="BD370" s="3" t="s">
        <v>78</v>
      </c>
      <c r="BE370" s="3" t="s">
        <v>3577</v>
      </c>
      <c r="BF370" s="3" t="s">
        <v>3576</v>
      </c>
      <c r="BG370" s="3" t="s">
        <v>3578</v>
      </c>
      <c r="BH370">
        <f t="shared" si="13"/>
        <v>0</v>
      </c>
    </row>
    <row r="371" spans="1:60" ht="58" x14ac:dyDescent="0.35">
      <c r="A371" s="2" t="s">
        <v>59</v>
      </c>
      <c r="B371" s="2" t="s">
        <v>60</v>
      </c>
      <c r="C371" s="2" t="s">
        <v>3579</v>
      </c>
      <c r="D371" s="2" t="s">
        <v>3580</v>
      </c>
      <c r="E371" s="2" t="s">
        <v>3581</v>
      </c>
      <c r="G371" s="3" t="s">
        <v>64</v>
      </c>
      <c r="I371" s="3" t="s">
        <v>128</v>
      </c>
      <c r="J371" s="3" t="s">
        <v>128</v>
      </c>
      <c r="K371" s="3" t="s">
        <v>65</v>
      </c>
      <c r="L371" s="2" t="s">
        <v>3582</v>
      </c>
      <c r="M371" s="2" t="s">
        <v>3583</v>
      </c>
      <c r="N371" s="3" t="s">
        <v>3584</v>
      </c>
      <c r="P371" s="3" t="s">
        <v>102</v>
      </c>
      <c r="R371" s="3" t="s">
        <v>70</v>
      </c>
      <c r="S371" s="4">
        <v>9</v>
      </c>
      <c r="T371" s="4">
        <v>9</v>
      </c>
      <c r="U371" s="5" t="s">
        <v>3585</v>
      </c>
      <c r="V371" s="5" t="s">
        <v>3585</v>
      </c>
      <c r="W371" s="5" t="s">
        <v>72</v>
      </c>
      <c r="X371" s="5" t="s">
        <v>72</v>
      </c>
      <c r="Y371" s="4">
        <v>648</v>
      </c>
      <c r="Z371" s="4">
        <v>28</v>
      </c>
      <c r="AA371" s="4">
        <v>46</v>
      </c>
      <c r="AB371" s="4">
        <v>2</v>
      </c>
      <c r="AC371" s="4">
        <v>6</v>
      </c>
      <c r="AD371" s="4">
        <v>110</v>
      </c>
      <c r="AE371" s="4">
        <v>134</v>
      </c>
      <c r="AF371" s="4">
        <v>0</v>
      </c>
      <c r="AG371" s="4">
        <v>4</v>
      </c>
      <c r="AH371" s="4">
        <v>99</v>
      </c>
      <c r="AI371" s="4">
        <v>113</v>
      </c>
      <c r="AJ371" s="4">
        <v>11</v>
      </c>
      <c r="AK371" s="4">
        <v>24</v>
      </c>
      <c r="AL371" s="4">
        <v>55</v>
      </c>
      <c r="AM371" s="4">
        <v>60</v>
      </c>
      <c r="AN371" s="4">
        <v>0</v>
      </c>
      <c r="AO371" s="4">
        <v>0</v>
      </c>
      <c r="AP371" s="4">
        <v>14</v>
      </c>
      <c r="AQ371" s="4">
        <v>27</v>
      </c>
      <c r="AR371" s="3" t="s">
        <v>64</v>
      </c>
      <c r="AS371" s="3" t="s">
        <v>64</v>
      </c>
      <c r="AT371" s="3" t="s">
        <v>128</v>
      </c>
      <c r="AU371" s="6" t="str">
        <f>HYPERLINK("http://catalog.hathitrust.org/Record/000293743","HathiTrust Record")</f>
        <v>HathiTrust Record</v>
      </c>
      <c r="AV371" s="6" t="str">
        <f>HYPERLINK("http://mcgill.on.worldcat.org/oclc/3168961","Catalog Record")</f>
        <v>Catalog Record</v>
      </c>
      <c r="AW371" s="6" t="str">
        <f>HYPERLINK("http://www.worldcat.org/oclc/3168961","WorldCat Record")</f>
        <v>WorldCat Record</v>
      </c>
      <c r="AX371" s="3" t="s">
        <v>3586</v>
      </c>
      <c r="AY371" s="3" t="s">
        <v>3587</v>
      </c>
      <c r="AZ371" s="3" t="s">
        <v>3588</v>
      </c>
      <c r="BA371" s="3" t="s">
        <v>3588</v>
      </c>
      <c r="BB371" s="3" t="s">
        <v>3589</v>
      </c>
      <c r="BC371" s="3" t="s">
        <v>77</v>
      </c>
      <c r="BD371" s="3" t="s">
        <v>78</v>
      </c>
      <c r="BE371" s="3" t="s">
        <v>3590</v>
      </c>
      <c r="BF371" s="3" t="s">
        <v>3589</v>
      </c>
      <c r="BG371" s="3" t="s">
        <v>3591</v>
      </c>
      <c r="BH371">
        <f t="shared" si="13"/>
        <v>0</v>
      </c>
    </row>
    <row r="372" spans="1:60" ht="72.5" x14ac:dyDescent="0.35">
      <c r="A372" s="2" t="s">
        <v>59</v>
      </c>
      <c r="B372" s="2" t="s">
        <v>1025</v>
      </c>
      <c r="C372" s="2" t="s">
        <v>3592</v>
      </c>
      <c r="D372" s="2" t="s">
        <v>3593</v>
      </c>
      <c r="E372" s="2" t="s">
        <v>3594</v>
      </c>
      <c r="G372" s="3" t="s">
        <v>64</v>
      </c>
      <c r="I372" s="3" t="s">
        <v>128</v>
      </c>
      <c r="J372" s="3" t="s">
        <v>128</v>
      </c>
      <c r="K372" s="3" t="s">
        <v>65</v>
      </c>
      <c r="L372" s="2" t="s">
        <v>3582</v>
      </c>
      <c r="M372" s="2" t="s">
        <v>3595</v>
      </c>
      <c r="N372" s="3" t="s">
        <v>1615</v>
      </c>
      <c r="O372" s="2" t="s">
        <v>3596</v>
      </c>
      <c r="P372" s="3" t="s">
        <v>102</v>
      </c>
      <c r="Q372" s="2" t="s">
        <v>3597</v>
      </c>
      <c r="R372" s="3" t="s">
        <v>70</v>
      </c>
      <c r="S372" s="4">
        <v>6</v>
      </c>
      <c r="T372" s="4">
        <v>6</v>
      </c>
      <c r="U372" s="5" t="s">
        <v>1591</v>
      </c>
      <c r="V372" s="5" t="s">
        <v>1591</v>
      </c>
      <c r="W372" s="5" t="s">
        <v>72</v>
      </c>
      <c r="X372" s="5" t="s">
        <v>72</v>
      </c>
      <c r="Y372" s="4">
        <v>287</v>
      </c>
      <c r="Z372" s="4">
        <v>9</v>
      </c>
      <c r="AA372" s="4">
        <v>46</v>
      </c>
      <c r="AB372" s="4">
        <v>2</v>
      </c>
      <c r="AC372" s="4">
        <v>6</v>
      </c>
      <c r="AD372" s="4">
        <v>72</v>
      </c>
      <c r="AE372" s="4">
        <v>134</v>
      </c>
      <c r="AF372" s="4">
        <v>1</v>
      </c>
      <c r="AG372" s="4">
        <v>4</v>
      </c>
      <c r="AH372" s="4">
        <v>65</v>
      </c>
      <c r="AI372" s="4">
        <v>113</v>
      </c>
      <c r="AJ372" s="4">
        <v>7</v>
      </c>
      <c r="AK372" s="4">
        <v>24</v>
      </c>
      <c r="AL372" s="4">
        <v>42</v>
      </c>
      <c r="AM372" s="4">
        <v>60</v>
      </c>
      <c r="AN372" s="4">
        <v>0</v>
      </c>
      <c r="AO372" s="4">
        <v>0</v>
      </c>
      <c r="AP372" s="4">
        <v>8</v>
      </c>
      <c r="AQ372" s="4">
        <v>27</v>
      </c>
      <c r="AR372" s="3" t="s">
        <v>64</v>
      </c>
      <c r="AS372" s="3" t="s">
        <v>64</v>
      </c>
      <c r="AT372" s="3" t="s">
        <v>64</v>
      </c>
      <c r="AV372" s="6" t="str">
        <f>HYPERLINK("http://mcgill.on.worldcat.org/oclc/35029714","Catalog Record")</f>
        <v>Catalog Record</v>
      </c>
      <c r="AW372" s="6" t="str">
        <f>HYPERLINK("http://www.worldcat.org/oclc/35029714","WorldCat Record")</f>
        <v>WorldCat Record</v>
      </c>
      <c r="AX372" s="3" t="s">
        <v>3586</v>
      </c>
      <c r="AY372" s="3" t="s">
        <v>3598</v>
      </c>
      <c r="AZ372" s="3" t="s">
        <v>3599</v>
      </c>
      <c r="BA372" s="3" t="s">
        <v>3599</v>
      </c>
      <c r="BB372" s="3" t="s">
        <v>3600</v>
      </c>
      <c r="BC372" s="3" t="s">
        <v>77</v>
      </c>
      <c r="BD372" s="3" t="s">
        <v>78</v>
      </c>
      <c r="BE372" s="3" t="s">
        <v>3601</v>
      </c>
      <c r="BF372" s="3" t="s">
        <v>3600</v>
      </c>
      <c r="BG372" s="3" t="s">
        <v>3602</v>
      </c>
      <c r="BH372">
        <f t="shared" si="13"/>
        <v>0</v>
      </c>
    </row>
    <row r="373" spans="1:60" ht="58" x14ac:dyDescent="0.35">
      <c r="A373" s="2" t="s">
        <v>59</v>
      </c>
      <c r="B373" s="2" t="s">
        <v>60</v>
      </c>
      <c r="C373" s="2" t="s">
        <v>3603</v>
      </c>
      <c r="D373" s="2" t="s">
        <v>3604</v>
      </c>
      <c r="E373" s="2" t="s">
        <v>3605</v>
      </c>
      <c r="G373" s="3" t="s">
        <v>64</v>
      </c>
      <c r="I373" s="3" t="s">
        <v>64</v>
      </c>
      <c r="J373" s="3" t="s">
        <v>64</v>
      </c>
      <c r="K373" s="3" t="s">
        <v>65</v>
      </c>
      <c r="L373" s="2" t="s">
        <v>3606</v>
      </c>
      <c r="M373" s="2" t="s">
        <v>3607</v>
      </c>
      <c r="N373" s="3" t="s">
        <v>1087</v>
      </c>
      <c r="P373" s="3" t="s">
        <v>102</v>
      </c>
      <c r="R373" s="3" t="s">
        <v>70</v>
      </c>
      <c r="S373" s="4">
        <v>4</v>
      </c>
      <c r="T373" s="4">
        <v>4</v>
      </c>
      <c r="U373" s="5" t="s">
        <v>3608</v>
      </c>
      <c r="V373" s="5" t="s">
        <v>3608</v>
      </c>
      <c r="W373" s="5" t="s">
        <v>72</v>
      </c>
      <c r="X373" s="5" t="s">
        <v>72</v>
      </c>
      <c r="Y373" s="4">
        <v>220</v>
      </c>
      <c r="Z373" s="4">
        <v>27</v>
      </c>
      <c r="AA373" s="4">
        <v>33</v>
      </c>
      <c r="AB373" s="4">
        <v>2</v>
      </c>
      <c r="AC373" s="4">
        <v>3</v>
      </c>
      <c r="AD373" s="4">
        <v>60</v>
      </c>
      <c r="AE373" s="4">
        <v>79</v>
      </c>
      <c r="AF373" s="4">
        <v>1</v>
      </c>
      <c r="AG373" s="4">
        <v>2</v>
      </c>
      <c r="AH373" s="4">
        <v>50</v>
      </c>
      <c r="AI373" s="4">
        <v>64</v>
      </c>
      <c r="AJ373" s="4">
        <v>15</v>
      </c>
      <c r="AK373" s="4">
        <v>18</v>
      </c>
      <c r="AL373" s="4">
        <v>26</v>
      </c>
      <c r="AM373" s="4">
        <v>35</v>
      </c>
      <c r="AN373" s="4">
        <v>0</v>
      </c>
      <c r="AO373" s="4">
        <v>0</v>
      </c>
      <c r="AP373" s="4">
        <v>17</v>
      </c>
      <c r="AQ373" s="4">
        <v>22</v>
      </c>
      <c r="AR373" s="3" t="s">
        <v>64</v>
      </c>
      <c r="AS373" s="3" t="s">
        <v>64</v>
      </c>
      <c r="AT373" s="3" t="s">
        <v>128</v>
      </c>
      <c r="AU373" s="6" t="str">
        <f>HYPERLINK("http://catalog.hathitrust.org/Record/002595094","HathiTrust Record")</f>
        <v>HathiTrust Record</v>
      </c>
      <c r="AV373" s="6" t="str">
        <f>HYPERLINK("http://mcgill.on.worldcat.org/oclc/24429154","Catalog Record")</f>
        <v>Catalog Record</v>
      </c>
      <c r="AW373" s="6" t="str">
        <f>HYPERLINK("http://www.worldcat.org/oclc/24429154","WorldCat Record")</f>
        <v>WorldCat Record</v>
      </c>
      <c r="AX373" s="3" t="s">
        <v>3609</v>
      </c>
      <c r="AY373" s="3" t="s">
        <v>3610</v>
      </c>
      <c r="AZ373" s="3" t="s">
        <v>3611</v>
      </c>
      <c r="BA373" s="3" t="s">
        <v>3611</v>
      </c>
      <c r="BB373" s="3" t="s">
        <v>3612</v>
      </c>
      <c r="BC373" s="3" t="s">
        <v>77</v>
      </c>
      <c r="BD373" s="3" t="s">
        <v>78</v>
      </c>
      <c r="BE373" s="3" t="s">
        <v>3613</v>
      </c>
      <c r="BF373" s="3" t="s">
        <v>3612</v>
      </c>
      <c r="BG373" s="3" t="s">
        <v>3614</v>
      </c>
      <c r="BH373">
        <f t="shared" si="13"/>
        <v>0</v>
      </c>
    </row>
    <row r="374" spans="1:60" ht="58" x14ac:dyDescent="0.35">
      <c r="A374" s="2" t="s">
        <v>59</v>
      </c>
      <c r="B374" s="2" t="s">
        <v>60</v>
      </c>
      <c r="C374" s="2" t="s">
        <v>3615</v>
      </c>
      <c r="D374" s="2" t="s">
        <v>3616</v>
      </c>
      <c r="E374" s="2" t="s">
        <v>3617</v>
      </c>
      <c r="G374" s="3" t="s">
        <v>64</v>
      </c>
      <c r="I374" s="3" t="s">
        <v>64</v>
      </c>
      <c r="J374" s="3" t="s">
        <v>64</v>
      </c>
      <c r="K374" s="3" t="s">
        <v>65</v>
      </c>
      <c r="L374" s="2" t="s">
        <v>3618</v>
      </c>
      <c r="M374" s="2" t="s">
        <v>3619</v>
      </c>
      <c r="N374" s="3" t="s">
        <v>144</v>
      </c>
      <c r="O374" s="2" t="s">
        <v>3620</v>
      </c>
      <c r="P374" s="3" t="s">
        <v>102</v>
      </c>
      <c r="R374" s="3" t="s">
        <v>70</v>
      </c>
      <c r="S374" s="4">
        <v>1</v>
      </c>
      <c r="T374" s="4">
        <v>1</v>
      </c>
      <c r="U374" s="5" t="s">
        <v>3621</v>
      </c>
      <c r="V374" s="5" t="s">
        <v>3621</v>
      </c>
      <c r="W374" s="5" t="s">
        <v>72</v>
      </c>
      <c r="X374" s="5" t="s">
        <v>72</v>
      </c>
      <c r="Y374" s="4">
        <v>24</v>
      </c>
      <c r="Z374" s="4">
        <v>15</v>
      </c>
      <c r="AA374" s="4">
        <v>19</v>
      </c>
      <c r="AB374" s="4">
        <v>2</v>
      </c>
      <c r="AC374" s="4">
        <v>2</v>
      </c>
      <c r="AD374" s="4">
        <v>13</v>
      </c>
      <c r="AE374" s="4">
        <v>18</v>
      </c>
      <c r="AF374" s="4">
        <v>0</v>
      </c>
      <c r="AG374" s="4">
        <v>0</v>
      </c>
      <c r="AH374" s="4">
        <v>7</v>
      </c>
      <c r="AI374" s="4">
        <v>10</v>
      </c>
      <c r="AJ374" s="4">
        <v>8</v>
      </c>
      <c r="AK374" s="4">
        <v>10</v>
      </c>
      <c r="AL374" s="4">
        <v>3</v>
      </c>
      <c r="AM374" s="4">
        <v>4</v>
      </c>
      <c r="AN374" s="4">
        <v>0</v>
      </c>
      <c r="AO374" s="4">
        <v>0</v>
      </c>
      <c r="AP374" s="4">
        <v>9</v>
      </c>
      <c r="AQ374" s="4">
        <v>12</v>
      </c>
      <c r="AR374" s="3" t="s">
        <v>128</v>
      </c>
      <c r="AS374" s="3" t="s">
        <v>64</v>
      </c>
      <c r="AT374" s="3" t="s">
        <v>64</v>
      </c>
      <c r="AV374" s="6" t="str">
        <f>HYPERLINK("http://mcgill.on.worldcat.org/oclc/242052826","Catalog Record")</f>
        <v>Catalog Record</v>
      </c>
      <c r="AW374" s="6" t="str">
        <f>HYPERLINK("http://www.worldcat.org/oclc/242052826","WorldCat Record")</f>
        <v>WorldCat Record</v>
      </c>
      <c r="AX374" s="3" t="s">
        <v>3622</v>
      </c>
      <c r="AY374" s="3" t="s">
        <v>3623</v>
      </c>
      <c r="AZ374" s="3" t="s">
        <v>3624</v>
      </c>
      <c r="BA374" s="3" t="s">
        <v>3624</v>
      </c>
      <c r="BB374" s="3" t="s">
        <v>3625</v>
      </c>
      <c r="BC374" s="3" t="s">
        <v>77</v>
      </c>
      <c r="BD374" s="3" t="s">
        <v>78</v>
      </c>
      <c r="BE374" s="3" t="s">
        <v>3626</v>
      </c>
      <c r="BF374" s="3" t="s">
        <v>3625</v>
      </c>
      <c r="BG374" s="3" t="s">
        <v>3627</v>
      </c>
      <c r="BH374">
        <f t="shared" si="13"/>
        <v>0</v>
      </c>
    </row>
    <row r="375" spans="1:60" ht="58" x14ac:dyDescent="0.35">
      <c r="A375" s="2" t="s">
        <v>59</v>
      </c>
      <c r="B375" s="2" t="s">
        <v>60</v>
      </c>
      <c r="C375" s="2" t="s">
        <v>3628</v>
      </c>
      <c r="D375" s="2" t="s">
        <v>3629</v>
      </c>
      <c r="E375" s="2" t="s">
        <v>3630</v>
      </c>
      <c r="G375" s="3" t="s">
        <v>64</v>
      </c>
      <c r="I375" s="3" t="s">
        <v>128</v>
      </c>
      <c r="J375" s="3" t="s">
        <v>128</v>
      </c>
      <c r="K375" s="3" t="s">
        <v>65</v>
      </c>
      <c r="L375" s="2" t="s">
        <v>3631</v>
      </c>
      <c r="M375" s="2" t="s">
        <v>3632</v>
      </c>
      <c r="N375" s="3" t="s">
        <v>131</v>
      </c>
      <c r="P375" s="3" t="s">
        <v>102</v>
      </c>
      <c r="R375" s="3" t="s">
        <v>70</v>
      </c>
      <c r="S375" s="4">
        <v>33</v>
      </c>
      <c r="T375" s="4">
        <v>196</v>
      </c>
      <c r="U375" s="5" t="s">
        <v>613</v>
      </c>
      <c r="V375" s="5" t="s">
        <v>3633</v>
      </c>
      <c r="W375" s="5" t="s">
        <v>72</v>
      </c>
      <c r="X375" s="5" t="s">
        <v>72</v>
      </c>
      <c r="Y375" s="4">
        <v>1330</v>
      </c>
      <c r="Z375" s="4">
        <v>87</v>
      </c>
      <c r="AA375" s="4">
        <v>201</v>
      </c>
      <c r="AB375" s="4">
        <v>7</v>
      </c>
      <c r="AC375" s="4">
        <v>28</v>
      </c>
      <c r="AD375" s="4">
        <v>137</v>
      </c>
      <c r="AE375" s="4">
        <v>176</v>
      </c>
      <c r="AF375" s="4">
        <v>1</v>
      </c>
      <c r="AG375" s="4">
        <v>9</v>
      </c>
      <c r="AH375" s="4">
        <v>101</v>
      </c>
      <c r="AI375" s="4">
        <v>117</v>
      </c>
      <c r="AJ375" s="4">
        <v>15</v>
      </c>
      <c r="AK375" s="4">
        <v>29</v>
      </c>
      <c r="AL375" s="4">
        <v>60</v>
      </c>
      <c r="AM375" s="4">
        <v>65</v>
      </c>
      <c r="AN375" s="4">
        <v>0</v>
      </c>
      <c r="AO375" s="4">
        <v>0</v>
      </c>
      <c r="AP375" s="4">
        <v>37</v>
      </c>
      <c r="AQ375" s="4">
        <v>62</v>
      </c>
      <c r="AR375" s="3" t="s">
        <v>128</v>
      </c>
      <c r="AS375" s="3" t="s">
        <v>64</v>
      </c>
      <c r="AT375" s="3" t="s">
        <v>64</v>
      </c>
      <c r="AV375" s="6" t="str">
        <f t="shared" ref="AV375:AV380" si="14">HYPERLINK("http://mcgill.on.worldcat.org/oclc/428949","Catalog Record")</f>
        <v>Catalog Record</v>
      </c>
      <c r="AW375" s="6" t="str">
        <f t="shared" ref="AW375:AW380" si="15">HYPERLINK("http://www.worldcat.org/oclc/428949","WorldCat Record")</f>
        <v>WorldCat Record</v>
      </c>
      <c r="AX375" s="3" t="s">
        <v>3634</v>
      </c>
      <c r="AY375" s="3" t="s">
        <v>3635</v>
      </c>
      <c r="AZ375" s="3" t="s">
        <v>3636</v>
      </c>
      <c r="BA375" s="3" t="s">
        <v>3636</v>
      </c>
      <c r="BB375" s="3" t="s">
        <v>3637</v>
      </c>
      <c r="BC375" s="3" t="s">
        <v>77</v>
      </c>
      <c r="BD375" s="3" t="s">
        <v>78</v>
      </c>
      <c r="BE375" s="3" t="s">
        <v>3638</v>
      </c>
      <c r="BF375" s="3" t="s">
        <v>3637</v>
      </c>
      <c r="BG375" s="3" t="s">
        <v>3639</v>
      </c>
      <c r="BH375">
        <f t="shared" si="13"/>
        <v>0</v>
      </c>
    </row>
    <row r="376" spans="1:60" ht="58" x14ac:dyDescent="0.35">
      <c r="A376" s="2" t="s">
        <v>59</v>
      </c>
      <c r="B376" s="2" t="s">
        <v>60</v>
      </c>
      <c r="C376" s="2" t="s">
        <v>3640</v>
      </c>
      <c r="D376" s="2" t="s">
        <v>3641</v>
      </c>
      <c r="E376" s="2" t="s">
        <v>3630</v>
      </c>
      <c r="G376" s="3" t="s">
        <v>64</v>
      </c>
      <c r="I376" s="3" t="s">
        <v>128</v>
      </c>
      <c r="J376" s="3" t="s">
        <v>128</v>
      </c>
      <c r="K376" s="3" t="s">
        <v>65</v>
      </c>
      <c r="L376" s="2" t="s">
        <v>3631</v>
      </c>
      <c r="M376" s="2" t="s">
        <v>3632</v>
      </c>
      <c r="N376" s="3" t="s">
        <v>131</v>
      </c>
      <c r="P376" s="3" t="s">
        <v>102</v>
      </c>
      <c r="R376" s="3" t="s">
        <v>70</v>
      </c>
      <c r="S376" s="4">
        <v>37</v>
      </c>
      <c r="T376" s="4">
        <v>196</v>
      </c>
      <c r="U376" s="5" t="s">
        <v>3642</v>
      </c>
      <c r="V376" s="5" t="s">
        <v>3633</v>
      </c>
      <c r="W376" s="5" t="s">
        <v>72</v>
      </c>
      <c r="X376" s="5" t="s">
        <v>72</v>
      </c>
      <c r="Y376" s="4">
        <v>1330</v>
      </c>
      <c r="Z376" s="4">
        <v>87</v>
      </c>
      <c r="AA376" s="4">
        <v>201</v>
      </c>
      <c r="AB376" s="4">
        <v>7</v>
      </c>
      <c r="AC376" s="4">
        <v>28</v>
      </c>
      <c r="AD376" s="4">
        <v>137</v>
      </c>
      <c r="AE376" s="4">
        <v>176</v>
      </c>
      <c r="AF376" s="4">
        <v>1</v>
      </c>
      <c r="AG376" s="4">
        <v>9</v>
      </c>
      <c r="AH376" s="4">
        <v>101</v>
      </c>
      <c r="AI376" s="4">
        <v>117</v>
      </c>
      <c r="AJ376" s="4">
        <v>15</v>
      </c>
      <c r="AK376" s="4">
        <v>29</v>
      </c>
      <c r="AL376" s="4">
        <v>60</v>
      </c>
      <c r="AM376" s="4">
        <v>65</v>
      </c>
      <c r="AN376" s="4">
        <v>0</v>
      </c>
      <c r="AO376" s="4">
        <v>0</v>
      </c>
      <c r="AP376" s="4">
        <v>37</v>
      </c>
      <c r="AQ376" s="4">
        <v>62</v>
      </c>
      <c r="AR376" s="3" t="s">
        <v>128</v>
      </c>
      <c r="AS376" s="3" t="s">
        <v>64</v>
      </c>
      <c r="AT376" s="3" t="s">
        <v>64</v>
      </c>
      <c r="AV376" s="6" t="str">
        <f t="shared" si="14"/>
        <v>Catalog Record</v>
      </c>
      <c r="AW376" s="6" t="str">
        <f t="shared" si="15"/>
        <v>WorldCat Record</v>
      </c>
      <c r="AX376" s="3" t="s">
        <v>3634</v>
      </c>
      <c r="AY376" s="3" t="s">
        <v>3635</v>
      </c>
      <c r="AZ376" s="3" t="s">
        <v>3636</v>
      </c>
      <c r="BA376" s="3" t="s">
        <v>3636</v>
      </c>
      <c r="BB376" s="3" t="s">
        <v>3643</v>
      </c>
      <c r="BC376" s="3" t="s">
        <v>77</v>
      </c>
      <c r="BD376" s="3" t="s">
        <v>78</v>
      </c>
      <c r="BE376" s="3" t="s">
        <v>3638</v>
      </c>
      <c r="BF376" s="3" t="s">
        <v>3643</v>
      </c>
      <c r="BG376" s="3" t="s">
        <v>3644</v>
      </c>
      <c r="BH376">
        <f t="shared" si="13"/>
        <v>0</v>
      </c>
    </row>
    <row r="377" spans="1:60" ht="58" x14ac:dyDescent="0.35">
      <c r="A377" s="2" t="s">
        <v>59</v>
      </c>
      <c r="B377" s="2" t="s">
        <v>60</v>
      </c>
      <c r="C377" s="2" t="s">
        <v>3640</v>
      </c>
      <c r="D377" s="2" t="s">
        <v>3641</v>
      </c>
      <c r="E377" s="2" t="s">
        <v>3630</v>
      </c>
      <c r="G377" s="3" t="s">
        <v>64</v>
      </c>
      <c r="I377" s="3" t="s">
        <v>128</v>
      </c>
      <c r="J377" s="3" t="s">
        <v>128</v>
      </c>
      <c r="K377" s="3" t="s">
        <v>65</v>
      </c>
      <c r="L377" s="2" t="s">
        <v>3631</v>
      </c>
      <c r="M377" s="2" t="s">
        <v>3632</v>
      </c>
      <c r="N377" s="3" t="s">
        <v>131</v>
      </c>
      <c r="P377" s="3" t="s">
        <v>102</v>
      </c>
      <c r="R377" s="3" t="s">
        <v>70</v>
      </c>
      <c r="S377" s="4">
        <v>17</v>
      </c>
      <c r="T377" s="4">
        <v>196</v>
      </c>
      <c r="U377" s="5" t="s">
        <v>3633</v>
      </c>
      <c r="V377" s="5" t="s">
        <v>3633</v>
      </c>
      <c r="W377" s="5" t="s">
        <v>72</v>
      </c>
      <c r="X377" s="5" t="s">
        <v>72</v>
      </c>
      <c r="Y377" s="4">
        <v>1330</v>
      </c>
      <c r="Z377" s="4">
        <v>87</v>
      </c>
      <c r="AA377" s="4">
        <v>201</v>
      </c>
      <c r="AB377" s="4">
        <v>7</v>
      </c>
      <c r="AC377" s="4">
        <v>28</v>
      </c>
      <c r="AD377" s="4">
        <v>137</v>
      </c>
      <c r="AE377" s="4">
        <v>176</v>
      </c>
      <c r="AF377" s="4">
        <v>1</v>
      </c>
      <c r="AG377" s="4">
        <v>9</v>
      </c>
      <c r="AH377" s="4">
        <v>101</v>
      </c>
      <c r="AI377" s="4">
        <v>117</v>
      </c>
      <c r="AJ377" s="4">
        <v>15</v>
      </c>
      <c r="AK377" s="4">
        <v>29</v>
      </c>
      <c r="AL377" s="4">
        <v>60</v>
      </c>
      <c r="AM377" s="4">
        <v>65</v>
      </c>
      <c r="AN377" s="4">
        <v>0</v>
      </c>
      <c r="AO377" s="4">
        <v>0</v>
      </c>
      <c r="AP377" s="4">
        <v>37</v>
      </c>
      <c r="AQ377" s="4">
        <v>62</v>
      </c>
      <c r="AR377" s="3" t="s">
        <v>128</v>
      </c>
      <c r="AS377" s="3" t="s">
        <v>64</v>
      </c>
      <c r="AT377" s="3" t="s">
        <v>64</v>
      </c>
      <c r="AV377" s="6" t="str">
        <f t="shared" si="14"/>
        <v>Catalog Record</v>
      </c>
      <c r="AW377" s="6" t="str">
        <f t="shared" si="15"/>
        <v>WorldCat Record</v>
      </c>
      <c r="AX377" s="3" t="s">
        <v>3634</v>
      </c>
      <c r="AY377" s="3" t="s">
        <v>3635</v>
      </c>
      <c r="AZ377" s="3" t="s">
        <v>3636</v>
      </c>
      <c r="BA377" s="3" t="s">
        <v>3636</v>
      </c>
      <c r="BB377" s="3" t="s">
        <v>3645</v>
      </c>
      <c r="BC377" s="3" t="s">
        <v>77</v>
      </c>
      <c r="BD377" s="3" t="s">
        <v>78</v>
      </c>
      <c r="BE377" s="3" t="s">
        <v>3638</v>
      </c>
      <c r="BF377" s="3" t="s">
        <v>3645</v>
      </c>
      <c r="BG377" s="3" t="s">
        <v>3646</v>
      </c>
      <c r="BH377">
        <f t="shared" si="13"/>
        <v>0</v>
      </c>
    </row>
    <row r="378" spans="1:60" ht="58" x14ac:dyDescent="0.35">
      <c r="A378" s="2" t="s">
        <v>59</v>
      </c>
      <c r="B378" s="2" t="s">
        <v>60</v>
      </c>
      <c r="C378" s="2" t="s">
        <v>3640</v>
      </c>
      <c r="D378" s="2" t="s">
        <v>3641</v>
      </c>
      <c r="E378" s="2" t="s">
        <v>3630</v>
      </c>
      <c r="G378" s="3" t="s">
        <v>64</v>
      </c>
      <c r="I378" s="3" t="s">
        <v>128</v>
      </c>
      <c r="J378" s="3" t="s">
        <v>128</v>
      </c>
      <c r="K378" s="3" t="s">
        <v>65</v>
      </c>
      <c r="L378" s="2" t="s">
        <v>3631</v>
      </c>
      <c r="M378" s="2" t="s">
        <v>3632</v>
      </c>
      <c r="N378" s="3" t="s">
        <v>131</v>
      </c>
      <c r="P378" s="3" t="s">
        <v>102</v>
      </c>
      <c r="R378" s="3" t="s">
        <v>70</v>
      </c>
      <c r="S378" s="4">
        <v>40</v>
      </c>
      <c r="T378" s="4">
        <v>196</v>
      </c>
      <c r="U378" s="5" t="s">
        <v>2353</v>
      </c>
      <c r="V378" s="5" t="s">
        <v>3633</v>
      </c>
      <c r="W378" s="5" t="s">
        <v>72</v>
      </c>
      <c r="X378" s="5" t="s">
        <v>72</v>
      </c>
      <c r="Y378" s="4">
        <v>1330</v>
      </c>
      <c r="Z378" s="4">
        <v>87</v>
      </c>
      <c r="AA378" s="4">
        <v>201</v>
      </c>
      <c r="AB378" s="4">
        <v>7</v>
      </c>
      <c r="AC378" s="4">
        <v>28</v>
      </c>
      <c r="AD378" s="4">
        <v>137</v>
      </c>
      <c r="AE378" s="4">
        <v>176</v>
      </c>
      <c r="AF378" s="4">
        <v>1</v>
      </c>
      <c r="AG378" s="4">
        <v>9</v>
      </c>
      <c r="AH378" s="4">
        <v>101</v>
      </c>
      <c r="AI378" s="4">
        <v>117</v>
      </c>
      <c r="AJ378" s="4">
        <v>15</v>
      </c>
      <c r="AK378" s="4">
        <v>29</v>
      </c>
      <c r="AL378" s="4">
        <v>60</v>
      </c>
      <c r="AM378" s="4">
        <v>65</v>
      </c>
      <c r="AN378" s="4">
        <v>0</v>
      </c>
      <c r="AO378" s="4">
        <v>0</v>
      </c>
      <c r="AP378" s="4">
        <v>37</v>
      </c>
      <c r="AQ378" s="4">
        <v>62</v>
      </c>
      <c r="AR378" s="3" t="s">
        <v>128</v>
      </c>
      <c r="AS378" s="3" t="s">
        <v>64</v>
      </c>
      <c r="AT378" s="3" t="s">
        <v>64</v>
      </c>
      <c r="AV378" s="6" t="str">
        <f t="shared" si="14"/>
        <v>Catalog Record</v>
      </c>
      <c r="AW378" s="6" t="str">
        <f t="shared" si="15"/>
        <v>WorldCat Record</v>
      </c>
      <c r="AX378" s="3" t="s">
        <v>3634</v>
      </c>
      <c r="AY378" s="3" t="s">
        <v>3635</v>
      </c>
      <c r="AZ378" s="3" t="s">
        <v>3636</v>
      </c>
      <c r="BA378" s="3" t="s">
        <v>3636</v>
      </c>
      <c r="BB378" s="3" t="s">
        <v>3647</v>
      </c>
      <c r="BC378" s="3" t="s">
        <v>77</v>
      </c>
      <c r="BD378" s="3" t="s">
        <v>78</v>
      </c>
      <c r="BE378" s="3" t="s">
        <v>3638</v>
      </c>
      <c r="BF378" s="3" t="s">
        <v>3647</v>
      </c>
      <c r="BG378" s="3" t="s">
        <v>3648</v>
      </c>
      <c r="BH378">
        <f t="shared" si="13"/>
        <v>0</v>
      </c>
    </row>
    <row r="379" spans="1:60" ht="58" x14ac:dyDescent="0.35">
      <c r="A379" s="2" t="s">
        <v>59</v>
      </c>
      <c r="B379" s="2" t="s">
        <v>60</v>
      </c>
      <c r="C379" s="2" t="s">
        <v>3640</v>
      </c>
      <c r="D379" s="2" t="s">
        <v>3641</v>
      </c>
      <c r="E379" s="2" t="s">
        <v>3630</v>
      </c>
      <c r="G379" s="3" t="s">
        <v>64</v>
      </c>
      <c r="I379" s="3" t="s">
        <v>128</v>
      </c>
      <c r="J379" s="3" t="s">
        <v>128</v>
      </c>
      <c r="K379" s="3" t="s">
        <v>65</v>
      </c>
      <c r="L379" s="2" t="s">
        <v>3631</v>
      </c>
      <c r="M379" s="2" t="s">
        <v>3632</v>
      </c>
      <c r="N379" s="3" t="s">
        <v>131</v>
      </c>
      <c r="P379" s="3" t="s">
        <v>102</v>
      </c>
      <c r="R379" s="3" t="s">
        <v>70</v>
      </c>
      <c r="S379" s="4">
        <v>50</v>
      </c>
      <c r="T379" s="4">
        <v>196</v>
      </c>
      <c r="U379" s="5" t="s">
        <v>457</v>
      </c>
      <c r="V379" s="5" t="s">
        <v>3633</v>
      </c>
      <c r="W379" s="5" t="s">
        <v>72</v>
      </c>
      <c r="X379" s="5" t="s">
        <v>72</v>
      </c>
      <c r="Y379" s="4">
        <v>1330</v>
      </c>
      <c r="Z379" s="4">
        <v>87</v>
      </c>
      <c r="AA379" s="4">
        <v>201</v>
      </c>
      <c r="AB379" s="4">
        <v>7</v>
      </c>
      <c r="AC379" s="4">
        <v>28</v>
      </c>
      <c r="AD379" s="4">
        <v>137</v>
      </c>
      <c r="AE379" s="4">
        <v>176</v>
      </c>
      <c r="AF379" s="4">
        <v>1</v>
      </c>
      <c r="AG379" s="4">
        <v>9</v>
      </c>
      <c r="AH379" s="4">
        <v>101</v>
      </c>
      <c r="AI379" s="4">
        <v>117</v>
      </c>
      <c r="AJ379" s="4">
        <v>15</v>
      </c>
      <c r="AK379" s="4">
        <v>29</v>
      </c>
      <c r="AL379" s="4">
        <v>60</v>
      </c>
      <c r="AM379" s="4">
        <v>65</v>
      </c>
      <c r="AN379" s="4">
        <v>0</v>
      </c>
      <c r="AO379" s="4">
        <v>0</v>
      </c>
      <c r="AP379" s="4">
        <v>37</v>
      </c>
      <c r="AQ379" s="4">
        <v>62</v>
      </c>
      <c r="AR379" s="3" t="s">
        <v>128</v>
      </c>
      <c r="AS379" s="3" t="s">
        <v>64</v>
      </c>
      <c r="AT379" s="3" t="s">
        <v>64</v>
      </c>
      <c r="AV379" s="6" t="str">
        <f t="shared" si="14"/>
        <v>Catalog Record</v>
      </c>
      <c r="AW379" s="6" t="str">
        <f t="shared" si="15"/>
        <v>WorldCat Record</v>
      </c>
      <c r="AX379" s="3" t="s">
        <v>3634</v>
      </c>
      <c r="AY379" s="3" t="s">
        <v>3635</v>
      </c>
      <c r="AZ379" s="3" t="s">
        <v>3636</v>
      </c>
      <c r="BA379" s="3" t="s">
        <v>3636</v>
      </c>
      <c r="BB379" s="3" t="s">
        <v>3649</v>
      </c>
      <c r="BC379" s="3" t="s">
        <v>77</v>
      </c>
      <c r="BD379" s="3" t="s">
        <v>165</v>
      </c>
      <c r="BE379" s="3" t="s">
        <v>3638</v>
      </c>
      <c r="BF379" s="3" t="s">
        <v>3649</v>
      </c>
      <c r="BG379" s="3" t="s">
        <v>3650</v>
      </c>
      <c r="BH379">
        <f t="shared" si="13"/>
        <v>0</v>
      </c>
    </row>
    <row r="380" spans="1:60" ht="58" x14ac:dyDescent="0.35">
      <c r="A380" s="2" t="s">
        <v>59</v>
      </c>
      <c r="B380" s="2" t="s">
        <v>60</v>
      </c>
      <c r="C380" s="2" t="s">
        <v>3640</v>
      </c>
      <c r="D380" s="2" t="s">
        <v>3641</v>
      </c>
      <c r="E380" s="2" t="s">
        <v>3630</v>
      </c>
      <c r="G380" s="3" t="s">
        <v>64</v>
      </c>
      <c r="I380" s="3" t="s">
        <v>128</v>
      </c>
      <c r="J380" s="3" t="s">
        <v>128</v>
      </c>
      <c r="K380" s="3" t="s">
        <v>65</v>
      </c>
      <c r="L380" s="2" t="s">
        <v>3631</v>
      </c>
      <c r="M380" s="2" t="s">
        <v>3632</v>
      </c>
      <c r="N380" s="3" t="s">
        <v>131</v>
      </c>
      <c r="P380" s="3" t="s">
        <v>102</v>
      </c>
      <c r="R380" s="3" t="s">
        <v>70</v>
      </c>
      <c r="S380" s="4">
        <v>19</v>
      </c>
      <c r="T380" s="4">
        <v>196</v>
      </c>
      <c r="U380" s="5" t="s">
        <v>3651</v>
      </c>
      <c r="V380" s="5" t="s">
        <v>3633</v>
      </c>
      <c r="W380" s="5" t="s">
        <v>72</v>
      </c>
      <c r="X380" s="5" t="s">
        <v>72</v>
      </c>
      <c r="Y380" s="4">
        <v>1330</v>
      </c>
      <c r="Z380" s="4">
        <v>87</v>
      </c>
      <c r="AA380" s="4">
        <v>201</v>
      </c>
      <c r="AB380" s="4">
        <v>7</v>
      </c>
      <c r="AC380" s="4">
        <v>28</v>
      </c>
      <c r="AD380" s="4">
        <v>137</v>
      </c>
      <c r="AE380" s="4">
        <v>176</v>
      </c>
      <c r="AF380" s="4">
        <v>1</v>
      </c>
      <c r="AG380" s="4">
        <v>9</v>
      </c>
      <c r="AH380" s="4">
        <v>101</v>
      </c>
      <c r="AI380" s="4">
        <v>117</v>
      </c>
      <c r="AJ380" s="4">
        <v>15</v>
      </c>
      <c r="AK380" s="4">
        <v>29</v>
      </c>
      <c r="AL380" s="4">
        <v>60</v>
      </c>
      <c r="AM380" s="4">
        <v>65</v>
      </c>
      <c r="AN380" s="4">
        <v>0</v>
      </c>
      <c r="AO380" s="4">
        <v>0</v>
      </c>
      <c r="AP380" s="4">
        <v>37</v>
      </c>
      <c r="AQ380" s="4">
        <v>62</v>
      </c>
      <c r="AR380" s="3" t="s">
        <v>128</v>
      </c>
      <c r="AS380" s="3" t="s">
        <v>64</v>
      </c>
      <c r="AT380" s="3" t="s">
        <v>64</v>
      </c>
      <c r="AV380" s="6" t="str">
        <f t="shared" si="14"/>
        <v>Catalog Record</v>
      </c>
      <c r="AW380" s="6" t="str">
        <f t="shared" si="15"/>
        <v>WorldCat Record</v>
      </c>
      <c r="AX380" s="3" t="s">
        <v>3634</v>
      </c>
      <c r="AY380" s="3" t="s">
        <v>3635</v>
      </c>
      <c r="AZ380" s="3" t="s">
        <v>3636</v>
      </c>
      <c r="BA380" s="3" t="s">
        <v>3636</v>
      </c>
      <c r="BB380" s="3" t="s">
        <v>3652</v>
      </c>
      <c r="BC380" s="3" t="s">
        <v>77</v>
      </c>
      <c r="BD380" s="3" t="s">
        <v>78</v>
      </c>
      <c r="BE380" s="3" t="s">
        <v>3638</v>
      </c>
      <c r="BF380" s="3" t="s">
        <v>3652</v>
      </c>
      <c r="BG380" s="3" t="s">
        <v>3653</v>
      </c>
      <c r="BH380">
        <f t="shared" si="13"/>
        <v>0</v>
      </c>
    </row>
    <row r="381" spans="1:60" ht="58" x14ac:dyDescent="0.35">
      <c r="A381" s="2" t="s">
        <v>59</v>
      </c>
      <c r="B381" s="2" t="s">
        <v>60</v>
      </c>
      <c r="C381" s="2" t="s">
        <v>3654</v>
      </c>
      <c r="D381" s="2" t="s">
        <v>3655</v>
      </c>
      <c r="E381" s="2" t="s">
        <v>3656</v>
      </c>
      <c r="G381" s="3" t="s">
        <v>64</v>
      </c>
      <c r="I381" s="3" t="s">
        <v>128</v>
      </c>
      <c r="J381" s="3" t="s">
        <v>128</v>
      </c>
      <c r="K381" s="3" t="s">
        <v>65</v>
      </c>
      <c r="L381" s="2" t="s">
        <v>3631</v>
      </c>
      <c r="M381" s="2" t="s">
        <v>3657</v>
      </c>
      <c r="N381" s="3" t="s">
        <v>315</v>
      </c>
      <c r="P381" s="3" t="s">
        <v>102</v>
      </c>
      <c r="Q381" s="2" t="s">
        <v>3658</v>
      </c>
      <c r="R381" s="3" t="s">
        <v>70</v>
      </c>
      <c r="S381" s="4">
        <v>40</v>
      </c>
      <c r="T381" s="4">
        <v>91</v>
      </c>
      <c r="U381" s="5" t="s">
        <v>3659</v>
      </c>
      <c r="V381" s="5" t="s">
        <v>3659</v>
      </c>
      <c r="W381" s="5" t="s">
        <v>72</v>
      </c>
      <c r="X381" s="5" t="s">
        <v>72</v>
      </c>
      <c r="Y381" s="4">
        <v>73</v>
      </c>
      <c r="Z381" s="4">
        <v>21</v>
      </c>
      <c r="AA381" s="4">
        <v>201</v>
      </c>
      <c r="AB381" s="4">
        <v>1</v>
      </c>
      <c r="AC381" s="4">
        <v>28</v>
      </c>
      <c r="AD381" s="4">
        <v>17</v>
      </c>
      <c r="AE381" s="4">
        <v>176</v>
      </c>
      <c r="AF381" s="4">
        <v>0</v>
      </c>
      <c r="AG381" s="4">
        <v>9</v>
      </c>
      <c r="AH381" s="4">
        <v>14</v>
      </c>
      <c r="AI381" s="4">
        <v>117</v>
      </c>
      <c r="AJ381" s="4">
        <v>4</v>
      </c>
      <c r="AK381" s="4">
        <v>29</v>
      </c>
      <c r="AL381" s="4">
        <v>7</v>
      </c>
      <c r="AM381" s="4">
        <v>65</v>
      </c>
      <c r="AN381" s="4">
        <v>0</v>
      </c>
      <c r="AO381" s="4">
        <v>0</v>
      </c>
      <c r="AP381" s="4">
        <v>6</v>
      </c>
      <c r="AQ381" s="4">
        <v>62</v>
      </c>
      <c r="AR381" s="3" t="s">
        <v>64</v>
      </c>
      <c r="AS381" s="3" t="s">
        <v>64</v>
      </c>
      <c r="AT381" s="3" t="s">
        <v>64</v>
      </c>
      <c r="AV381" s="6" t="str">
        <f>HYPERLINK("http://mcgill.on.worldcat.org/oclc/4484270","Catalog Record")</f>
        <v>Catalog Record</v>
      </c>
      <c r="AW381" s="6" t="str">
        <f>HYPERLINK("http://www.worldcat.org/oclc/4484270","WorldCat Record")</f>
        <v>WorldCat Record</v>
      </c>
      <c r="AX381" s="3" t="s">
        <v>3634</v>
      </c>
      <c r="AY381" s="3" t="s">
        <v>3660</v>
      </c>
      <c r="AZ381" s="3" t="s">
        <v>3661</v>
      </c>
      <c r="BA381" s="3" t="s">
        <v>3661</v>
      </c>
      <c r="BB381" s="3" t="s">
        <v>3662</v>
      </c>
      <c r="BC381" s="3" t="s">
        <v>77</v>
      </c>
      <c r="BD381" s="3" t="s">
        <v>78</v>
      </c>
      <c r="BE381" s="3" t="s">
        <v>3638</v>
      </c>
      <c r="BF381" s="3" t="s">
        <v>3662</v>
      </c>
      <c r="BG381" s="3" t="s">
        <v>3663</v>
      </c>
      <c r="BH381">
        <f t="shared" si="13"/>
        <v>0</v>
      </c>
    </row>
    <row r="382" spans="1:60" ht="58" x14ac:dyDescent="0.35">
      <c r="A382" s="2" t="s">
        <v>59</v>
      </c>
      <c r="B382" s="2" t="s">
        <v>60</v>
      </c>
      <c r="C382" s="2" t="s">
        <v>3654</v>
      </c>
      <c r="D382" s="2" t="s">
        <v>3655</v>
      </c>
      <c r="E382" s="2" t="s">
        <v>3656</v>
      </c>
      <c r="G382" s="3" t="s">
        <v>64</v>
      </c>
      <c r="I382" s="3" t="s">
        <v>128</v>
      </c>
      <c r="J382" s="3" t="s">
        <v>128</v>
      </c>
      <c r="K382" s="3" t="s">
        <v>65</v>
      </c>
      <c r="L382" s="2" t="s">
        <v>3631</v>
      </c>
      <c r="M382" s="2" t="s">
        <v>3657</v>
      </c>
      <c r="N382" s="3" t="s">
        <v>315</v>
      </c>
      <c r="P382" s="3" t="s">
        <v>102</v>
      </c>
      <c r="Q382" s="2" t="s">
        <v>3658</v>
      </c>
      <c r="R382" s="3" t="s">
        <v>70</v>
      </c>
      <c r="S382" s="4">
        <v>51</v>
      </c>
      <c r="T382" s="4">
        <v>91</v>
      </c>
      <c r="U382" s="5" t="s">
        <v>3664</v>
      </c>
      <c r="V382" s="5" t="s">
        <v>3659</v>
      </c>
      <c r="W382" s="5" t="s">
        <v>72</v>
      </c>
      <c r="X382" s="5" t="s">
        <v>72</v>
      </c>
      <c r="Y382" s="4">
        <v>73</v>
      </c>
      <c r="Z382" s="4">
        <v>21</v>
      </c>
      <c r="AA382" s="4">
        <v>201</v>
      </c>
      <c r="AB382" s="4">
        <v>1</v>
      </c>
      <c r="AC382" s="4">
        <v>28</v>
      </c>
      <c r="AD382" s="4">
        <v>17</v>
      </c>
      <c r="AE382" s="4">
        <v>176</v>
      </c>
      <c r="AF382" s="4">
        <v>0</v>
      </c>
      <c r="AG382" s="4">
        <v>9</v>
      </c>
      <c r="AH382" s="4">
        <v>14</v>
      </c>
      <c r="AI382" s="4">
        <v>117</v>
      </c>
      <c r="AJ382" s="4">
        <v>4</v>
      </c>
      <c r="AK382" s="4">
        <v>29</v>
      </c>
      <c r="AL382" s="4">
        <v>7</v>
      </c>
      <c r="AM382" s="4">
        <v>65</v>
      </c>
      <c r="AN382" s="4">
        <v>0</v>
      </c>
      <c r="AO382" s="4">
        <v>0</v>
      </c>
      <c r="AP382" s="4">
        <v>6</v>
      </c>
      <c r="AQ382" s="4">
        <v>62</v>
      </c>
      <c r="AR382" s="3" t="s">
        <v>64</v>
      </c>
      <c r="AS382" s="3" t="s">
        <v>64</v>
      </c>
      <c r="AT382" s="3" t="s">
        <v>64</v>
      </c>
      <c r="AV382" s="6" t="str">
        <f>HYPERLINK("http://mcgill.on.worldcat.org/oclc/4484270","Catalog Record")</f>
        <v>Catalog Record</v>
      </c>
      <c r="AW382" s="6" t="str">
        <f>HYPERLINK("http://www.worldcat.org/oclc/4484270","WorldCat Record")</f>
        <v>WorldCat Record</v>
      </c>
      <c r="AX382" s="3" t="s">
        <v>3634</v>
      </c>
      <c r="AY382" s="3" t="s">
        <v>3660</v>
      </c>
      <c r="AZ382" s="3" t="s">
        <v>3661</v>
      </c>
      <c r="BA382" s="3" t="s">
        <v>3661</v>
      </c>
      <c r="BB382" s="3" t="s">
        <v>3665</v>
      </c>
      <c r="BC382" s="3" t="s">
        <v>77</v>
      </c>
      <c r="BD382" s="3" t="s">
        <v>78</v>
      </c>
      <c r="BE382" s="3" t="s">
        <v>3638</v>
      </c>
      <c r="BF382" s="3" t="s">
        <v>3665</v>
      </c>
      <c r="BG382" s="3" t="s">
        <v>3666</v>
      </c>
      <c r="BH382">
        <f t="shared" si="13"/>
        <v>0</v>
      </c>
    </row>
    <row r="383" spans="1:60" ht="58" x14ac:dyDescent="0.35">
      <c r="A383" s="2" t="s">
        <v>59</v>
      </c>
      <c r="B383" s="2" t="s">
        <v>60</v>
      </c>
      <c r="C383" s="2" t="s">
        <v>3667</v>
      </c>
      <c r="D383" s="2" t="s">
        <v>3668</v>
      </c>
      <c r="E383" s="2" t="s">
        <v>3669</v>
      </c>
      <c r="G383" s="3" t="s">
        <v>64</v>
      </c>
      <c r="I383" s="3" t="s">
        <v>128</v>
      </c>
      <c r="J383" s="3" t="s">
        <v>128</v>
      </c>
      <c r="K383" s="3" t="s">
        <v>65</v>
      </c>
      <c r="L383" s="2" t="s">
        <v>3631</v>
      </c>
      <c r="M383" s="2" t="s">
        <v>3670</v>
      </c>
      <c r="N383" s="3" t="s">
        <v>326</v>
      </c>
      <c r="O383" s="2" t="s">
        <v>2149</v>
      </c>
      <c r="P383" s="3" t="s">
        <v>102</v>
      </c>
      <c r="R383" s="3" t="s">
        <v>70</v>
      </c>
      <c r="S383" s="4">
        <v>1</v>
      </c>
      <c r="T383" s="4">
        <v>4</v>
      </c>
      <c r="U383" s="5" t="s">
        <v>3671</v>
      </c>
      <c r="V383" s="5" t="s">
        <v>3671</v>
      </c>
      <c r="W383" s="5" t="s">
        <v>72</v>
      </c>
      <c r="X383" s="5" t="s">
        <v>72</v>
      </c>
      <c r="Y383" s="4">
        <v>56</v>
      </c>
      <c r="Z383" s="4">
        <v>12</v>
      </c>
      <c r="AA383" s="4">
        <v>201</v>
      </c>
      <c r="AB383" s="4">
        <v>2</v>
      </c>
      <c r="AC383" s="4">
        <v>28</v>
      </c>
      <c r="AD383" s="4">
        <v>12</v>
      </c>
      <c r="AE383" s="4">
        <v>176</v>
      </c>
      <c r="AF383" s="4">
        <v>1</v>
      </c>
      <c r="AG383" s="4">
        <v>9</v>
      </c>
      <c r="AH383" s="4">
        <v>9</v>
      </c>
      <c r="AI383" s="4">
        <v>117</v>
      </c>
      <c r="AJ383" s="4">
        <v>4</v>
      </c>
      <c r="AK383" s="4">
        <v>29</v>
      </c>
      <c r="AL383" s="4">
        <v>3</v>
      </c>
      <c r="AM383" s="4">
        <v>65</v>
      </c>
      <c r="AN383" s="4">
        <v>0</v>
      </c>
      <c r="AO383" s="4">
        <v>0</v>
      </c>
      <c r="AP383" s="4">
        <v>6</v>
      </c>
      <c r="AQ383" s="4">
        <v>62</v>
      </c>
      <c r="AR383" s="3" t="s">
        <v>128</v>
      </c>
      <c r="AS383" s="3" t="s">
        <v>64</v>
      </c>
      <c r="AT383" s="3" t="s">
        <v>64</v>
      </c>
      <c r="AV383" s="6" t="str">
        <f>HYPERLINK("http://mcgill.on.worldcat.org/oclc/754889694","Catalog Record")</f>
        <v>Catalog Record</v>
      </c>
      <c r="AW383" s="6" t="str">
        <f>HYPERLINK("http://www.worldcat.org/oclc/754889694","WorldCat Record")</f>
        <v>WorldCat Record</v>
      </c>
      <c r="AX383" s="3" t="s">
        <v>3634</v>
      </c>
      <c r="AY383" s="3" t="s">
        <v>3672</v>
      </c>
      <c r="AZ383" s="3" t="s">
        <v>3673</v>
      </c>
      <c r="BA383" s="3" t="s">
        <v>3673</v>
      </c>
      <c r="BB383" s="3" t="s">
        <v>3674</v>
      </c>
      <c r="BC383" s="3" t="s">
        <v>77</v>
      </c>
      <c r="BD383" s="3" t="s">
        <v>78</v>
      </c>
      <c r="BE383" s="3" t="s">
        <v>3675</v>
      </c>
      <c r="BF383" s="3" t="s">
        <v>3674</v>
      </c>
      <c r="BG383" s="3" t="s">
        <v>3676</v>
      </c>
      <c r="BH383">
        <f t="shared" si="13"/>
        <v>0</v>
      </c>
    </row>
    <row r="384" spans="1:60" ht="58" x14ac:dyDescent="0.35">
      <c r="A384" s="2" t="s">
        <v>59</v>
      </c>
      <c r="B384" s="2" t="s">
        <v>60</v>
      </c>
      <c r="C384" s="2" t="s">
        <v>3667</v>
      </c>
      <c r="D384" s="2" t="s">
        <v>3668</v>
      </c>
      <c r="E384" s="2" t="s">
        <v>3669</v>
      </c>
      <c r="G384" s="3" t="s">
        <v>64</v>
      </c>
      <c r="I384" s="3" t="s">
        <v>128</v>
      </c>
      <c r="J384" s="3" t="s">
        <v>128</v>
      </c>
      <c r="K384" s="3" t="s">
        <v>65</v>
      </c>
      <c r="L384" s="2" t="s">
        <v>3631</v>
      </c>
      <c r="M384" s="2" t="s">
        <v>3670</v>
      </c>
      <c r="N384" s="3" t="s">
        <v>326</v>
      </c>
      <c r="O384" s="2" t="s">
        <v>2149</v>
      </c>
      <c r="P384" s="3" t="s">
        <v>102</v>
      </c>
      <c r="R384" s="3" t="s">
        <v>70</v>
      </c>
      <c r="S384" s="4">
        <v>1</v>
      </c>
      <c r="T384" s="4">
        <v>4</v>
      </c>
      <c r="U384" s="5" t="s">
        <v>3677</v>
      </c>
      <c r="V384" s="5" t="s">
        <v>3671</v>
      </c>
      <c r="W384" s="5" t="s">
        <v>72</v>
      </c>
      <c r="X384" s="5" t="s">
        <v>72</v>
      </c>
      <c r="Y384" s="4">
        <v>56</v>
      </c>
      <c r="Z384" s="4">
        <v>12</v>
      </c>
      <c r="AA384" s="4">
        <v>201</v>
      </c>
      <c r="AB384" s="4">
        <v>2</v>
      </c>
      <c r="AC384" s="4">
        <v>28</v>
      </c>
      <c r="AD384" s="4">
        <v>12</v>
      </c>
      <c r="AE384" s="4">
        <v>176</v>
      </c>
      <c r="AF384" s="4">
        <v>1</v>
      </c>
      <c r="AG384" s="4">
        <v>9</v>
      </c>
      <c r="AH384" s="4">
        <v>9</v>
      </c>
      <c r="AI384" s="4">
        <v>117</v>
      </c>
      <c r="AJ384" s="4">
        <v>4</v>
      </c>
      <c r="AK384" s="4">
        <v>29</v>
      </c>
      <c r="AL384" s="4">
        <v>3</v>
      </c>
      <c r="AM384" s="4">
        <v>65</v>
      </c>
      <c r="AN384" s="4">
        <v>0</v>
      </c>
      <c r="AO384" s="4">
        <v>0</v>
      </c>
      <c r="AP384" s="4">
        <v>6</v>
      </c>
      <c r="AQ384" s="4">
        <v>62</v>
      </c>
      <c r="AR384" s="3" t="s">
        <v>128</v>
      </c>
      <c r="AS384" s="3" t="s">
        <v>64</v>
      </c>
      <c r="AT384" s="3" t="s">
        <v>64</v>
      </c>
      <c r="AV384" s="6" t="str">
        <f>HYPERLINK("http://mcgill.on.worldcat.org/oclc/754889694","Catalog Record")</f>
        <v>Catalog Record</v>
      </c>
      <c r="AW384" s="6" t="str">
        <f>HYPERLINK("http://www.worldcat.org/oclc/754889694","WorldCat Record")</f>
        <v>WorldCat Record</v>
      </c>
      <c r="AX384" s="3" t="s">
        <v>3634</v>
      </c>
      <c r="AY384" s="3" t="s">
        <v>3672</v>
      </c>
      <c r="AZ384" s="3" t="s">
        <v>3673</v>
      </c>
      <c r="BA384" s="3" t="s">
        <v>3673</v>
      </c>
      <c r="BB384" s="3" t="s">
        <v>3678</v>
      </c>
      <c r="BC384" s="3" t="s">
        <v>77</v>
      </c>
      <c r="BD384" s="3" t="s">
        <v>78</v>
      </c>
      <c r="BE384" s="3" t="s">
        <v>3675</v>
      </c>
      <c r="BF384" s="3" t="s">
        <v>3678</v>
      </c>
      <c r="BG384" s="3" t="s">
        <v>3679</v>
      </c>
      <c r="BH384">
        <f t="shared" si="13"/>
        <v>0</v>
      </c>
    </row>
    <row r="385" spans="1:60" ht="58" x14ac:dyDescent="0.35">
      <c r="A385" s="2" t="s">
        <v>59</v>
      </c>
      <c r="B385" s="2" t="s">
        <v>60</v>
      </c>
      <c r="C385" s="2" t="s">
        <v>3667</v>
      </c>
      <c r="D385" s="2" t="s">
        <v>3668</v>
      </c>
      <c r="E385" s="2" t="s">
        <v>3669</v>
      </c>
      <c r="G385" s="3" t="s">
        <v>64</v>
      </c>
      <c r="I385" s="3" t="s">
        <v>128</v>
      </c>
      <c r="J385" s="3" t="s">
        <v>128</v>
      </c>
      <c r="K385" s="3" t="s">
        <v>65</v>
      </c>
      <c r="L385" s="2" t="s">
        <v>3631</v>
      </c>
      <c r="M385" s="2" t="s">
        <v>3670</v>
      </c>
      <c r="N385" s="3" t="s">
        <v>326</v>
      </c>
      <c r="O385" s="2" t="s">
        <v>2149</v>
      </c>
      <c r="P385" s="3" t="s">
        <v>102</v>
      </c>
      <c r="R385" s="3" t="s">
        <v>70</v>
      </c>
      <c r="S385" s="4">
        <v>2</v>
      </c>
      <c r="T385" s="4">
        <v>4</v>
      </c>
      <c r="U385" s="5" t="s">
        <v>3680</v>
      </c>
      <c r="V385" s="5" t="s">
        <v>3671</v>
      </c>
      <c r="W385" s="5" t="s">
        <v>72</v>
      </c>
      <c r="X385" s="5" t="s">
        <v>72</v>
      </c>
      <c r="Y385" s="4">
        <v>56</v>
      </c>
      <c r="Z385" s="4">
        <v>12</v>
      </c>
      <c r="AA385" s="4">
        <v>201</v>
      </c>
      <c r="AB385" s="4">
        <v>2</v>
      </c>
      <c r="AC385" s="4">
        <v>28</v>
      </c>
      <c r="AD385" s="4">
        <v>12</v>
      </c>
      <c r="AE385" s="4">
        <v>176</v>
      </c>
      <c r="AF385" s="4">
        <v>1</v>
      </c>
      <c r="AG385" s="4">
        <v>9</v>
      </c>
      <c r="AH385" s="4">
        <v>9</v>
      </c>
      <c r="AI385" s="4">
        <v>117</v>
      </c>
      <c r="AJ385" s="4">
        <v>4</v>
      </c>
      <c r="AK385" s="4">
        <v>29</v>
      </c>
      <c r="AL385" s="4">
        <v>3</v>
      </c>
      <c r="AM385" s="4">
        <v>65</v>
      </c>
      <c r="AN385" s="4">
        <v>0</v>
      </c>
      <c r="AO385" s="4">
        <v>0</v>
      </c>
      <c r="AP385" s="4">
        <v>6</v>
      </c>
      <c r="AQ385" s="4">
        <v>62</v>
      </c>
      <c r="AR385" s="3" t="s">
        <v>128</v>
      </c>
      <c r="AS385" s="3" t="s">
        <v>64</v>
      </c>
      <c r="AT385" s="3" t="s">
        <v>64</v>
      </c>
      <c r="AV385" s="6" t="str">
        <f>HYPERLINK("http://mcgill.on.worldcat.org/oclc/754889694","Catalog Record")</f>
        <v>Catalog Record</v>
      </c>
      <c r="AW385" s="6" t="str">
        <f>HYPERLINK("http://www.worldcat.org/oclc/754889694","WorldCat Record")</f>
        <v>WorldCat Record</v>
      </c>
      <c r="AX385" s="3" t="s">
        <v>3634</v>
      </c>
      <c r="AY385" s="3" t="s">
        <v>3672</v>
      </c>
      <c r="AZ385" s="3" t="s">
        <v>3673</v>
      </c>
      <c r="BA385" s="3" t="s">
        <v>3673</v>
      </c>
      <c r="BB385" s="3" t="s">
        <v>3681</v>
      </c>
      <c r="BC385" s="3" t="s">
        <v>77</v>
      </c>
      <c r="BD385" s="3" t="s">
        <v>78</v>
      </c>
      <c r="BE385" s="3" t="s">
        <v>3675</v>
      </c>
      <c r="BF385" s="3" t="s">
        <v>3681</v>
      </c>
      <c r="BG385" s="3" t="s">
        <v>3682</v>
      </c>
      <c r="BH385">
        <f t="shared" si="13"/>
        <v>0</v>
      </c>
    </row>
    <row r="386" spans="1:60" ht="58" x14ac:dyDescent="0.35">
      <c r="A386" s="2" t="s">
        <v>59</v>
      </c>
      <c r="B386" s="2" t="s">
        <v>60</v>
      </c>
      <c r="C386" s="2" t="s">
        <v>3683</v>
      </c>
      <c r="D386" s="2" t="s">
        <v>3684</v>
      </c>
      <c r="E386" s="2" t="s">
        <v>3685</v>
      </c>
      <c r="G386" s="3" t="s">
        <v>64</v>
      </c>
      <c r="I386" s="3" t="s">
        <v>64</v>
      </c>
      <c r="J386" s="3" t="s">
        <v>64</v>
      </c>
      <c r="K386" s="3" t="s">
        <v>65</v>
      </c>
      <c r="L386" s="2" t="s">
        <v>3631</v>
      </c>
      <c r="M386" s="2" t="s">
        <v>3686</v>
      </c>
      <c r="N386" s="3" t="s">
        <v>266</v>
      </c>
      <c r="P386" s="3" t="s">
        <v>68</v>
      </c>
      <c r="Q386" s="2" t="s">
        <v>3687</v>
      </c>
      <c r="R386" s="3" t="s">
        <v>70</v>
      </c>
      <c r="S386" s="4">
        <v>21</v>
      </c>
      <c r="T386" s="4">
        <v>21</v>
      </c>
      <c r="U386" s="5" t="s">
        <v>1301</v>
      </c>
      <c r="V386" s="5" t="s">
        <v>1301</v>
      </c>
      <c r="W386" s="5" t="s">
        <v>72</v>
      </c>
      <c r="X386" s="5" t="s">
        <v>72</v>
      </c>
      <c r="Y386" s="4">
        <v>2</v>
      </c>
      <c r="Z386" s="4">
        <v>2</v>
      </c>
      <c r="AA386" s="4">
        <v>6</v>
      </c>
      <c r="AB386" s="4">
        <v>1</v>
      </c>
      <c r="AC386" s="4">
        <v>4</v>
      </c>
      <c r="AD386" s="4">
        <v>1</v>
      </c>
      <c r="AE386" s="4">
        <v>4</v>
      </c>
      <c r="AF386" s="4">
        <v>0</v>
      </c>
      <c r="AG386" s="4">
        <v>2</v>
      </c>
      <c r="AH386" s="4">
        <v>0</v>
      </c>
      <c r="AI386" s="4">
        <v>1</v>
      </c>
      <c r="AJ386" s="4">
        <v>1</v>
      </c>
      <c r="AK386" s="4">
        <v>3</v>
      </c>
      <c r="AL386" s="4">
        <v>0</v>
      </c>
      <c r="AM386" s="4">
        <v>0</v>
      </c>
      <c r="AN386" s="4">
        <v>0</v>
      </c>
      <c r="AO386" s="4">
        <v>0</v>
      </c>
      <c r="AP386" s="4">
        <v>1</v>
      </c>
      <c r="AQ386" s="4">
        <v>4</v>
      </c>
      <c r="AR386" s="3" t="s">
        <v>128</v>
      </c>
      <c r="AS386" s="3" t="s">
        <v>64</v>
      </c>
      <c r="AT386" s="3" t="s">
        <v>64</v>
      </c>
      <c r="AV386" s="6" t="str">
        <f>HYPERLINK("http://mcgill.on.worldcat.org/oclc/1043985975","Catalog Record")</f>
        <v>Catalog Record</v>
      </c>
      <c r="AW386" s="6" t="str">
        <f>HYPERLINK("http://www.worldcat.org/oclc/1043985975","WorldCat Record")</f>
        <v>WorldCat Record</v>
      </c>
      <c r="AX386" s="3" t="s">
        <v>3688</v>
      </c>
      <c r="AY386" s="3" t="s">
        <v>3689</v>
      </c>
      <c r="AZ386" s="3" t="s">
        <v>3690</v>
      </c>
      <c r="BA386" s="3" t="s">
        <v>3690</v>
      </c>
      <c r="BB386" s="3" t="s">
        <v>3691</v>
      </c>
      <c r="BC386" s="3" t="s">
        <v>77</v>
      </c>
      <c r="BD386" s="3" t="s">
        <v>165</v>
      </c>
      <c r="BF386" s="3" t="s">
        <v>3691</v>
      </c>
      <c r="BG386" s="3" t="s">
        <v>3692</v>
      </c>
      <c r="BH386">
        <f t="shared" ref="BH386:BH449" si="16">IF(COUNTIF($BF$1:$BF$5431,BF386)=1,0,1)</f>
        <v>0</v>
      </c>
    </row>
    <row r="387" spans="1:60" ht="58" x14ac:dyDescent="0.35">
      <c r="A387" s="2" t="s">
        <v>59</v>
      </c>
      <c r="B387" s="2" t="s">
        <v>60</v>
      </c>
      <c r="C387" s="2" t="s">
        <v>3693</v>
      </c>
      <c r="D387" s="2" t="s">
        <v>3694</v>
      </c>
      <c r="E387" s="2" t="s">
        <v>3695</v>
      </c>
      <c r="G387" s="3" t="s">
        <v>64</v>
      </c>
      <c r="I387" s="3" t="s">
        <v>64</v>
      </c>
      <c r="J387" s="3" t="s">
        <v>64</v>
      </c>
      <c r="K387" s="3" t="s">
        <v>65</v>
      </c>
      <c r="L387" s="2" t="s">
        <v>3696</v>
      </c>
      <c r="M387" s="2" t="s">
        <v>3697</v>
      </c>
      <c r="N387" s="3" t="s">
        <v>3584</v>
      </c>
      <c r="P387" s="3" t="s">
        <v>102</v>
      </c>
      <c r="R387" s="3" t="s">
        <v>70</v>
      </c>
      <c r="S387" s="4">
        <v>2</v>
      </c>
      <c r="T387" s="4">
        <v>2</v>
      </c>
      <c r="U387" s="5" t="s">
        <v>626</v>
      </c>
      <c r="V387" s="5" t="s">
        <v>626</v>
      </c>
      <c r="W387" s="5" t="s">
        <v>72</v>
      </c>
      <c r="X387" s="5" t="s">
        <v>72</v>
      </c>
      <c r="Y387" s="4">
        <v>205</v>
      </c>
      <c r="Z387" s="4">
        <v>13</v>
      </c>
      <c r="AA387" s="4">
        <v>14</v>
      </c>
      <c r="AB387" s="4">
        <v>1</v>
      </c>
      <c r="AC387" s="4">
        <v>2</v>
      </c>
      <c r="AD387" s="4">
        <v>71</v>
      </c>
      <c r="AE387" s="4">
        <v>72</v>
      </c>
      <c r="AF387" s="4">
        <v>0</v>
      </c>
      <c r="AG387" s="4">
        <v>1</v>
      </c>
      <c r="AH387" s="4">
        <v>64</v>
      </c>
      <c r="AI387" s="4">
        <v>64</v>
      </c>
      <c r="AJ387" s="4">
        <v>9</v>
      </c>
      <c r="AK387" s="4">
        <v>10</v>
      </c>
      <c r="AL387" s="4">
        <v>44</v>
      </c>
      <c r="AM387" s="4">
        <v>44</v>
      </c>
      <c r="AN387" s="4">
        <v>0</v>
      </c>
      <c r="AO387" s="4">
        <v>0</v>
      </c>
      <c r="AP387" s="4">
        <v>9</v>
      </c>
      <c r="AQ387" s="4">
        <v>9</v>
      </c>
      <c r="AR387" s="3" t="s">
        <v>64</v>
      </c>
      <c r="AS387" s="3" t="s">
        <v>64</v>
      </c>
      <c r="AT387" s="3" t="s">
        <v>64</v>
      </c>
      <c r="AV387" s="6" t="str">
        <f>HYPERLINK("http://mcgill.on.worldcat.org/oclc/3121461","Catalog Record")</f>
        <v>Catalog Record</v>
      </c>
      <c r="AW387" s="6" t="str">
        <f>HYPERLINK("http://www.worldcat.org/oclc/3121461","WorldCat Record")</f>
        <v>WorldCat Record</v>
      </c>
      <c r="AX387" s="3" t="s">
        <v>3698</v>
      </c>
      <c r="AY387" s="3" t="s">
        <v>3699</v>
      </c>
      <c r="AZ387" s="3" t="s">
        <v>3700</v>
      </c>
      <c r="BA387" s="3" t="s">
        <v>3700</v>
      </c>
      <c r="BB387" s="3" t="s">
        <v>3701</v>
      </c>
      <c r="BC387" s="3" t="s">
        <v>77</v>
      </c>
      <c r="BD387" s="3" t="s">
        <v>78</v>
      </c>
      <c r="BE387" s="3" t="s">
        <v>3702</v>
      </c>
      <c r="BF387" s="3" t="s">
        <v>3701</v>
      </c>
      <c r="BG387" s="3" t="s">
        <v>3703</v>
      </c>
      <c r="BH387">
        <f t="shared" si="16"/>
        <v>0</v>
      </c>
    </row>
    <row r="388" spans="1:60" ht="72.5" x14ac:dyDescent="0.35">
      <c r="A388" s="2" t="s">
        <v>59</v>
      </c>
      <c r="B388" s="2" t="s">
        <v>1025</v>
      </c>
      <c r="C388" s="2" t="s">
        <v>3704</v>
      </c>
      <c r="D388" s="2" t="s">
        <v>3705</v>
      </c>
      <c r="E388" s="2" t="s">
        <v>3706</v>
      </c>
      <c r="G388" s="3" t="s">
        <v>64</v>
      </c>
      <c r="I388" s="3" t="s">
        <v>64</v>
      </c>
      <c r="J388" s="3" t="s">
        <v>64</v>
      </c>
      <c r="K388" s="3" t="s">
        <v>65</v>
      </c>
      <c r="L388" s="2" t="s">
        <v>3707</v>
      </c>
      <c r="M388" s="2" t="s">
        <v>3708</v>
      </c>
      <c r="N388" s="3" t="s">
        <v>551</v>
      </c>
      <c r="P388" s="3" t="s">
        <v>102</v>
      </c>
      <c r="R388" s="3" t="s">
        <v>70</v>
      </c>
      <c r="S388" s="4">
        <v>3</v>
      </c>
      <c r="T388" s="4">
        <v>3</v>
      </c>
      <c r="U388" s="5" t="s">
        <v>3709</v>
      </c>
      <c r="V388" s="5" t="s">
        <v>3709</v>
      </c>
      <c r="W388" s="5" t="s">
        <v>72</v>
      </c>
      <c r="X388" s="5" t="s">
        <v>72</v>
      </c>
      <c r="Y388" s="4">
        <v>247</v>
      </c>
      <c r="Z388" s="4">
        <v>21</v>
      </c>
      <c r="AA388" s="4">
        <v>22</v>
      </c>
      <c r="AB388" s="4">
        <v>3</v>
      </c>
      <c r="AC388" s="4">
        <v>4</v>
      </c>
      <c r="AD388" s="4">
        <v>50</v>
      </c>
      <c r="AE388" s="4">
        <v>51</v>
      </c>
      <c r="AF388" s="4">
        <v>0</v>
      </c>
      <c r="AG388" s="4">
        <v>1</v>
      </c>
      <c r="AH388" s="4">
        <v>41</v>
      </c>
      <c r="AI388" s="4">
        <v>41</v>
      </c>
      <c r="AJ388" s="4">
        <v>6</v>
      </c>
      <c r="AK388" s="4">
        <v>7</v>
      </c>
      <c r="AL388" s="4">
        <v>25</v>
      </c>
      <c r="AM388" s="4">
        <v>25</v>
      </c>
      <c r="AN388" s="4">
        <v>0</v>
      </c>
      <c r="AO388" s="4">
        <v>0</v>
      </c>
      <c r="AP388" s="4">
        <v>11</v>
      </c>
      <c r="AQ388" s="4">
        <v>12</v>
      </c>
      <c r="AR388" s="3" t="s">
        <v>64</v>
      </c>
      <c r="AS388" s="3" t="s">
        <v>64</v>
      </c>
      <c r="AT388" s="3" t="s">
        <v>64</v>
      </c>
      <c r="AV388" s="6" t="str">
        <f>HYPERLINK("http://mcgill.on.worldcat.org/oclc/339957056","Catalog Record")</f>
        <v>Catalog Record</v>
      </c>
      <c r="AW388" s="6" t="str">
        <f>HYPERLINK("http://www.worldcat.org/oclc/339957056","WorldCat Record")</f>
        <v>WorldCat Record</v>
      </c>
      <c r="AX388" s="3" t="s">
        <v>3710</v>
      </c>
      <c r="AY388" s="3" t="s">
        <v>3711</v>
      </c>
      <c r="AZ388" s="3" t="s">
        <v>3712</v>
      </c>
      <c r="BA388" s="3" t="s">
        <v>3712</v>
      </c>
      <c r="BB388" s="3" t="s">
        <v>3713</v>
      </c>
      <c r="BC388" s="3" t="s">
        <v>77</v>
      </c>
      <c r="BD388" s="3" t="s">
        <v>78</v>
      </c>
      <c r="BE388" s="3" t="s">
        <v>3714</v>
      </c>
      <c r="BF388" s="3" t="s">
        <v>3713</v>
      </c>
      <c r="BG388" s="3" t="s">
        <v>3715</v>
      </c>
      <c r="BH388">
        <f t="shared" si="16"/>
        <v>0</v>
      </c>
    </row>
    <row r="389" spans="1:60" ht="58" x14ac:dyDescent="0.35">
      <c r="A389" s="2" t="s">
        <v>59</v>
      </c>
      <c r="B389" s="2" t="s">
        <v>60</v>
      </c>
      <c r="C389" s="2" t="s">
        <v>3716</v>
      </c>
      <c r="D389" s="2" t="s">
        <v>3717</v>
      </c>
      <c r="E389" s="2" t="s">
        <v>3718</v>
      </c>
      <c r="G389" s="3" t="s">
        <v>64</v>
      </c>
      <c r="I389" s="3" t="s">
        <v>64</v>
      </c>
      <c r="J389" s="3" t="s">
        <v>64</v>
      </c>
      <c r="K389" s="3" t="s">
        <v>65</v>
      </c>
      <c r="L389" s="2" t="s">
        <v>3719</v>
      </c>
      <c r="M389" s="2" t="s">
        <v>3720</v>
      </c>
      <c r="N389" s="3" t="s">
        <v>3721</v>
      </c>
      <c r="P389" s="3" t="s">
        <v>102</v>
      </c>
      <c r="Q389" s="2" t="s">
        <v>3722</v>
      </c>
      <c r="R389" s="3" t="s">
        <v>70</v>
      </c>
      <c r="S389" s="4">
        <v>18</v>
      </c>
      <c r="T389" s="4">
        <v>18</v>
      </c>
      <c r="U389" s="5" t="s">
        <v>3723</v>
      </c>
      <c r="V389" s="5" t="s">
        <v>3723</v>
      </c>
      <c r="W389" s="5" t="s">
        <v>72</v>
      </c>
      <c r="X389" s="5" t="s">
        <v>72</v>
      </c>
      <c r="Y389" s="4">
        <v>298</v>
      </c>
      <c r="Z389" s="4">
        <v>21</v>
      </c>
      <c r="AA389" s="4">
        <v>24</v>
      </c>
      <c r="AB389" s="4">
        <v>3</v>
      </c>
      <c r="AC389" s="4">
        <v>6</v>
      </c>
      <c r="AD389" s="4">
        <v>93</v>
      </c>
      <c r="AE389" s="4">
        <v>95</v>
      </c>
      <c r="AF389" s="4">
        <v>1</v>
      </c>
      <c r="AG389" s="4">
        <v>3</v>
      </c>
      <c r="AH389" s="4">
        <v>83</v>
      </c>
      <c r="AI389" s="4">
        <v>84</v>
      </c>
      <c r="AJ389" s="4">
        <v>13</v>
      </c>
      <c r="AK389" s="4">
        <v>15</v>
      </c>
      <c r="AL389" s="4">
        <v>45</v>
      </c>
      <c r="AM389" s="4">
        <v>45</v>
      </c>
      <c r="AN389" s="4">
        <v>0</v>
      </c>
      <c r="AO389" s="4">
        <v>0</v>
      </c>
      <c r="AP389" s="4">
        <v>14</v>
      </c>
      <c r="AQ389" s="4">
        <v>15</v>
      </c>
      <c r="AR389" s="3" t="s">
        <v>64</v>
      </c>
      <c r="AS389" s="3" t="s">
        <v>64</v>
      </c>
      <c r="AT389" s="3" t="s">
        <v>128</v>
      </c>
      <c r="AU389" s="6" t="str">
        <f>HYPERLINK("http://catalog.hathitrust.org/Record/000301232","HathiTrust Record")</f>
        <v>HathiTrust Record</v>
      </c>
      <c r="AV389" s="6" t="str">
        <f>HYPERLINK("http://mcgill.on.worldcat.org/oclc/4957209","Catalog Record")</f>
        <v>Catalog Record</v>
      </c>
      <c r="AW389" s="6" t="str">
        <f>HYPERLINK("http://www.worldcat.org/oclc/4957209","WorldCat Record")</f>
        <v>WorldCat Record</v>
      </c>
      <c r="AX389" s="3" t="s">
        <v>3724</v>
      </c>
      <c r="AY389" s="3" t="s">
        <v>3725</v>
      </c>
      <c r="AZ389" s="3" t="s">
        <v>3726</v>
      </c>
      <c r="BA389" s="3" t="s">
        <v>3726</v>
      </c>
      <c r="BB389" s="3" t="s">
        <v>3727</v>
      </c>
      <c r="BC389" s="3" t="s">
        <v>77</v>
      </c>
      <c r="BD389" s="3" t="s">
        <v>78</v>
      </c>
      <c r="BE389" s="3" t="s">
        <v>3728</v>
      </c>
      <c r="BF389" s="3" t="s">
        <v>3727</v>
      </c>
      <c r="BG389" s="3" t="s">
        <v>3729</v>
      </c>
      <c r="BH389">
        <f t="shared" si="16"/>
        <v>0</v>
      </c>
    </row>
    <row r="390" spans="1:60" ht="101.5" x14ac:dyDescent="0.35">
      <c r="A390" s="2" t="s">
        <v>59</v>
      </c>
      <c r="B390" s="2" t="s">
        <v>60</v>
      </c>
      <c r="C390" s="2" t="s">
        <v>3730</v>
      </c>
      <c r="D390" s="2" t="s">
        <v>3731</v>
      </c>
      <c r="E390" s="2" t="s">
        <v>3732</v>
      </c>
      <c r="F390" s="3" t="s">
        <v>529</v>
      </c>
      <c r="G390" s="3" t="s">
        <v>128</v>
      </c>
      <c r="I390" s="3" t="s">
        <v>64</v>
      </c>
      <c r="J390" s="3" t="s">
        <v>64</v>
      </c>
      <c r="K390" s="3" t="s">
        <v>65</v>
      </c>
      <c r="M390" s="2" t="s">
        <v>3733</v>
      </c>
      <c r="N390" s="3" t="s">
        <v>159</v>
      </c>
      <c r="P390" s="3" t="s">
        <v>68</v>
      </c>
      <c r="R390" s="3" t="s">
        <v>70</v>
      </c>
      <c r="S390" s="4">
        <v>1</v>
      </c>
      <c r="T390" s="4">
        <v>3</v>
      </c>
      <c r="U390" s="5" t="s">
        <v>3734</v>
      </c>
      <c r="V390" s="5" t="s">
        <v>3734</v>
      </c>
      <c r="W390" s="5" t="s">
        <v>72</v>
      </c>
      <c r="X390" s="5" t="s">
        <v>72</v>
      </c>
      <c r="Y390" s="4">
        <v>97</v>
      </c>
      <c r="Z390" s="4">
        <v>12</v>
      </c>
      <c r="AA390" s="4">
        <v>23</v>
      </c>
      <c r="AB390" s="4">
        <v>2</v>
      </c>
      <c r="AC390" s="4">
        <v>7</v>
      </c>
      <c r="AD390" s="4">
        <v>47</v>
      </c>
      <c r="AE390" s="4">
        <v>56</v>
      </c>
      <c r="AF390" s="4">
        <v>0</v>
      </c>
      <c r="AG390" s="4">
        <v>3</v>
      </c>
      <c r="AH390" s="4">
        <v>42</v>
      </c>
      <c r="AI390" s="4">
        <v>45</v>
      </c>
      <c r="AJ390" s="4">
        <v>7</v>
      </c>
      <c r="AK390" s="4">
        <v>14</v>
      </c>
      <c r="AL390" s="4">
        <v>32</v>
      </c>
      <c r="AM390" s="4">
        <v>32</v>
      </c>
      <c r="AN390" s="4">
        <v>0</v>
      </c>
      <c r="AO390" s="4">
        <v>0</v>
      </c>
      <c r="AP390" s="4">
        <v>7</v>
      </c>
      <c r="AQ390" s="4">
        <v>14</v>
      </c>
      <c r="AR390" s="3" t="s">
        <v>64</v>
      </c>
      <c r="AS390" s="3" t="s">
        <v>64</v>
      </c>
      <c r="AT390" s="3" t="s">
        <v>128</v>
      </c>
      <c r="AU390" s="6" t="str">
        <f>HYPERLINK("http://catalog.hathitrust.org/Record/004345138","HathiTrust Record")</f>
        <v>HathiTrust Record</v>
      </c>
      <c r="AV390" s="6" t="str">
        <f>HYPERLINK("http://mcgill.on.worldcat.org/oclc/52757647","Catalog Record")</f>
        <v>Catalog Record</v>
      </c>
      <c r="AW390" s="6" t="str">
        <f>HYPERLINK("http://www.worldcat.org/oclc/52757647","WorldCat Record")</f>
        <v>WorldCat Record</v>
      </c>
      <c r="AX390" s="3" t="s">
        <v>3735</v>
      </c>
      <c r="AY390" s="3" t="s">
        <v>3736</v>
      </c>
      <c r="AZ390" s="3" t="s">
        <v>3737</v>
      </c>
      <c r="BA390" s="3" t="s">
        <v>3737</v>
      </c>
      <c r="BB390" s="3" t="s">
        <v>3738</v>
      </c>
      <c r="BC390" s="3" t="s">
        <v>77</v>
      </c>
      <c r="BD390" s="3" t="s">
        <v>78</v>
      </c>
      <c r="BE390" s="3" t="s">
        <v>3739</v>
      </c>
      <c r="BF390" s="3" t="s">
        <v>3738</v>
      </c>
      <c r="BG390" s="3" t="s">
        <v>3740</v>
      </c>
      <c r="BH390">
        <f t="shared" si="16"/>
        <v>0</v>
      </c>
    </row>
    <row r="391" spans="1:60" ht="101.5" x14ac:dyDescent="0.35">
      <c r="A391" s="2" t="s">
        <v>59</v>
      </c>
      <c r="B391" s="2" t="s">
        <v>60</v>
      </c>
      <c r="C391" s="2" t="s">
        <v>3730</v>
      </c>
      <c r="D391" s="2" t="s">
        <v>3731</v>
      </c>
      <c r="E391" s="2" t="s">
        <v>3732</v>
      </c>
      <c r="F391" s="3" t="s">
        <v>525</v>
      </c>
      <c r="G391" s="3" t="s">
        <v>128</v>
      </c>
      <c r="I391" s="3" t="s">
        <v>64</v>
      </c>
      <c r="J391" s="3" t="s">
        <v>64</v>
      </c>
      <c r="K391" s="3" t="s">
        <v>65</v>
      </c>
      <c r="M391" s="2" t="s">
        <v>3733</v>
      </c>
      <c r="N391" s="3" t="s">
        <v>159</v>
      </c>
      <c r="P391" s="3" t="s">
        <v>68</v>
      </c>
      <c r="R391" s="3" t="s">
        <v>70</v>
      </c>
      <c r="S391" s="4">
        <v>1</v>
      </c>
      <c r="T391" s="4">
        <v>3</v>
      </c>
      <c r="U391" s="5" t="s">
        <v>3734</v>
      </c>
      <c r="V391" s="5" t="s">
        <v>3734</v>
      </c>
      <c r="W391" s="5" t="s">
        <v>72</v>
      </c>
      <c r="X391" s="5" t="s">
        <v>72</v>
      </c>
      <c r="Y391" s="4">
        <v>97</v>
      </c>
      <c r="Z391" s="4">
        <v>12</v>
      </c>
      <c r="AA391" s="4">
        <v>23</v>
      </c>
      <c r="AB391" s="4">
        <v>2</v>
      </c>
      <c r="AC391" s="4">
        <v>7</v>
      </c>
      <c r="AD391" s="4">
        <v>47</v>
      </c>
      <c r="AE391" s="4">
        <v>56</v>
      </c>
      <c r="AF391" s="4">
        <v>0</v>
      </c>
      <c r="AG391" s="4">
        <v>3</v>
      </c>
      <c r="AH391" s="4">
        <v>42</v>
      </c>
      <c r="AI391" s="4">
        <v>45</v>
      </c>
      <c r="AJ391" s="4">
        <v>7</v>
      </c>
      <c r="AK391" s="4">
        <v>14</v>
      </c>
      <c r="AL391" s="4">
        <v>32</v>
      </c>
      <c r="AM391" s="4">
        <v>32</v>
      </c>
      <c r="AN391" s="4">
        <v>0</v>
      </c>
      <c r="AO391" s="4">
        <v>0</v>
      </c>
      <c r="AP391" s="4">
        <v>7</v>
      </c>
      <c r="AQ391" s="4">
        <v>14</v>
      </c>
      <c r="AR391" s="3" t="s">
        <v>64</v>
      </c>
      <c r="AS391" s="3" t="s">
        <v>64</v>
      </c>
      <c r="AT391" s="3" t="s">
        <v>128</v>
      </c>
      <c r="AU391" s="6" t="str">
        <f>HYPERLINK("http://catalog.hathitrust.org/Record/004345138","HathiTrust Record")</f>
        <v>HathiTrust Record</v>
      </c>
      <c r="AV391" s="6" t="str">
        <f>HYPERLINK("http://mcgill.on.worldcat.org/oclc/52757647","Catalog Record")</f>
        <v>Catalog Record</v>
      </c>
      <c r="AW391" s="6" t="str">
        <f>HYPERLINK("http://www.worldcat.org/oclc/52757647","WorldCat Record")</f>
        <v>WorldCat Record</v>
      </c>
      <c r="AX391" s="3" t="s">
        <v>3735</v>
      </c>
      <c r="AY391" s="3" t="s">
        <v>3736</v>
      </c>
      <c r="AZ391" s="3" t="s">
        <v>3737</v>
      </c>
      <c r="BA391" s="3" t="s">
        <v>3737</v>
      </c>
      <c r="BB391" s="3" t="s">
        <v>3741</v>
      </c>
      <c r="BC391" s="3" t="s">
        <v>77</v>
      </c>
      <c r="BD391" s="3" t="s">
        <v>78</v>
      </c>
      <c r="BE391" s="3" t="s">
        <v>3739</v>
      </c>
      <c r="BF391" s="3" t="s">
        <v>3741</v>
      </c>
      <c r="BG391" s="3" t="s">
        <v>3742</v>
      </c>
      <c r="BH391">
        <f t="shared" si="16"/>
        <v>0</v>
      </c>
    </row>
    <row r="392" spans="1:60" ht="101.5" x14ac:dyDescent="0.35">
      <c r="A392" s="2" t="s">
        <v>59</v>
      </c>
      <c r="B392" s="2" t="s">
        <v>60</v>
      </c>
      <c r="C392" s="2" t="s">
        <v>3730</v>
      </c>
      <c r="D392" s="2" t="s">
        <v>3731</v>
      </c>
      <c r="E392" s="2" t="s">
        <v>3732</v>
      </c>
      <c r="F392" s="3" t="s">
        <v>3743</v>
      </c>
      <c r="G392" s="3" t="s">
        <v>128</v>
      </c>
      <c r="I392" s="3" t="s">
        <v>64</v>
      </c>
      <c r="J392" s="3" t="s">
        <v>64</v>
      </c>
      <c r="K392" s="3" t="s">
        <v>65</v>
      </c>
      <c r="M392" s="2" t="s">
        <v>3733</v>
      </c>
      <c r="N392" s="3" t="s">
        <v>159</v>
      </c>
      <c r="P392" s="3" t="s">
        <v>68</v>
      </c>
      <c r="R392" s="3" t="s">
        <v>70</v>
      </c>
      <c r="S392" s="4">
        <v>1</v>
      </c>
      <c r="T392" s="4">
        <v>3</v>
      </c>
      <c r="U392" s="5" t="s">
        <v>3734</v>
      </c>
      <c r="V392" s="5" t="s">
        <v>3734</v>
      </c>
      <c r="W392" s="5" t="s">
        <v>72</v>
      </c>
      <c r="X392" s="5" t="s">
        <v>72</v>
      </c>
      <c r="Y392" s="4">
        <v>97</v>
      </c>
      <c r="Z392" s="4">
        <v>12</v>
      </c>
      <c r="AA392" s="4">
        <v>23</v>
      </c>
      <c r="AB392" s="4">
        <v>2</v>
      </c>
      <c r="AC392" s="4">
        <v>7</v>
      </c>
      <c r="AD392" s="4">
        <v>47</v>
      </c>
      <c r="AE392" s="4">
        <v>56</v>
      </c>
      <c r="AF392" s="4">
        <v>0</v>
      </c>
      <c r="AG392" s="4">
        <v>3</v>
      </c>
      <c r="AH392" s="4">
        <v>42</v>
      </c>
      <c r="AI392" s="4">
        <v>45</v>
      </c>
      <c r="AJ392" s="4">
        <v>7</v>
      </c>
      <c r="AK392" s="4">
        <v>14</v>
      </c>
      <c r="AL392" s="4">
        <v>32</v>
      </c>
      <c r="AM392" s="4">
        <v>32</v>
      </c>
      <c r="AN392" s="4">
        <v>0</v>
      </c>
      <c r="AO392" s="4">
        <v>0</v>
      </c>
      <c r="AP392" s="4">
        <v>7</v>
      </c>
      <c r="AQ392" s="4">
        <v>14</v>
      </c>
      <c r="AR392" s="3" t="s">
        <v>64</v>
      </c>
      <c r="AS392" s="3" t="s">
        <v>64</v>
      </c>
      <c r="AT392" s="3" t="s">
        <v>128</v>
      </c>
      <c r="AU392" s="6" t="str">
        <f>HYPERLINK("http://catalog.hathitrust.org/Record/004345138","HathiTrust Record")</f>
        <v>HathiTrust Record</v>
      </c>
      <c r="AV392" s="6" t="str">
        <f>HYPERLINK("http://mcgill.on.worldcat.org/oclc/52757647","Catalog Record")</f>
        <v>Catalog Record</v>
      </c>
      <c r="AW392" s="6" t="str">
        <f>HYPERLINK("http://www.worldcat.org/oclc/52757647","WorldCat Record")</f>
        <v>WorldCat Record</v>
      </c>
      <c r="AX392" s="3" t="s">
        <v>3735</v>
      </c>
      <c r="AY392" s="3" t="s">
        <v>3736</v>
      </c>
      <c r="AZ392" s="3" t="s">
        <v>3737</v>
      </c>
      <c r="BA392" s="3" t="s">
        <v>3737</v>
      </c>
      <c r="BB392" s="3" t="s">
        <v>3744</v>
      </c>
      <c r="BC392" s="3" t="s">
        <v>77</v>
      </c>
      <c r="BD392" s="3" t="s">
        <v>78</v>
      </c>
      <c r="BE392" s="3" t="s">
        <v>3739</v>
      </c>
      <c r="BF392" s="3" t="s">
        <v>3744</v>
      </c>
      <c r="BG392" s="3" t="s">
        <v>3745</v>
      </c>
      <c r="BH392">
        <f t="shared" si="16"/>
        <v>0</v>
      </c>
    </row>
    <row r="393" spans="1:60" ht="72.5" x14ac:dyDescent="0.35">
      <c r="A393" s="2" t="s">
        <v>59</v>
      </c>
      <c r="B393" s="2" t="s">
        <v>60</v>
      </c>
      <c r="C393" s="2" t="s">
        <v>3746</v>
      </c>
      <c r="D393" s="2" t="s">
        <v>3747</v>
      </c>
      <c r="E393" s="2" t="s">
        <v>3748</v>
      </c>
      <c r="G393" s="3" t="s">
        <v>64</v>
      </c>
      <c r="I393" s="3" t="s">
        <v>64</v>
      </c>
      <c r="J393" s="3" t="s">
        <v>64</v>
      </c>
      <c r="K393" s="3" t="s">
        <v>65</v>
      </c>
      <c r="M393" s="2" t="s">
        <v>3749</v>
      </c>
      <c r="N393" s="3" t="s">
        <v>537</v>
      </c>
      <c r="P393" s="3" t="s">
        <v>68</v>
      </c>
      <c r="R393" s="3" t="s">
        <v>70</v>
      </c>
      <c r="S393" s="4">
        <v>1</v>
      </c>
      <c r="T393" s="4">
        <v>1</v>
      </c>
      <c r="U393" s="5" t="s">
        <v>3344</v>
      </c>
      <c r="V393" s="5" t="s">
        <v>3344</v>
      </c>
      <c r="W393" s="5" t="s">
        <v>72</v>
      </c>
      <c r="X393" s="5" t="s">
        <v>72</v>
      </c>
      <c r="Y393" s="4">
        <v>9</v>
      </c>
      <c r="Z393" s="4">
        <v>2</v>
      </c>
      <c r="AA393" s="4">
        <v>6</v>
      </c>
      <c r="AB393" s="4">
        <v>1</v>
      </c>
      <c r="AC393" s="4">
        <v>4</v>
      </c>
      <c r="AD393" s="4">
        <v>5</v>
      </c>
      <c r="AE393" s="4">
        <v>8</v>
      </c>
      <c r="AF393" s="4">
        <v>0</v>
      </c>
      <c r="AG393" s="4">
        <v>2</v>
      </c>
      <c r="AH393" s="4">
        <v>4</v>
      </c>
      <c r="AI393" s="4">
        <v>5</v>
      </c>
      <c r="AJ393" s="4">
        <v>1</v>
      </c>
      <c r="AK393" s="4">
        <v>4</v>
      </c>
      <c r="AL393" s="4">
        <v>2</v>
      </c>
      <c r="AM393" s="4">
        <v>2</v>
      </c>
      <c r="AN393" s="4">
        <v>0</v>
      </c>
      <c r="AO393" s="4">
        <v>0</v>
      </c>
      <c r="AP393" s="4">
        <v>1</v>
      </c>
      <c r="AQ393" s="4">
        <v>3</v>
      </c>
      <c r="AR393" s="3" t="s">
        <v>64</v>
      </c>
      <c r="AS393" s="3" t="s">
        <v>64</v>
      </c>
      <c r="AT393" s="3" t="s">
        <v>64</v>
      </c>
      <c r="AV393" s="6" t="str">
        <f>HYPERLINK("http://mcgill.on.worldcat.org/oclc/961342250","Catalog Record")</f>
        <v>Catalog Record</v>
      </c>
      <c r="AW393" s="6" t="str">
        <f>HYPERLINK("http://www.worldcat.org/oclc/961342250","WorldCat Record")</f>
        <v>WorldCat Record</v>
      </c>
      <c r="AX393" s="3" t="s">
        <v>3750</v>
      </c>
      <c r="AY393" s="3" t="s">
        <v>3751</v>
      </c>
      <c r="AZ393" s="3" t="s">
        <v>3752</v>
      </c>
      <c r="BA393" s="3" t="s">
        <v>3752</v>
      </c>
      <c r="BB393" s="3" t="s">
        <v>3753</v>
      </c>
      <c r="BC393" s="3" t="s">
        <v>77</v>
      </c>
      <c r="BD393" s="3" t="s">
        <v>78</v>
      </c>
      <c r="BE393" s="3" t="s">
        <v>3754</v>
      </c>
      <c r="BF393" s="3" t="s">
        <v>3753</v>
      </c>
      <c r="BG393" s="3" t="s">
        <v>3755</v>
      </c>
      <c r="BH393">
        <f t="shared" si="16"/>
        <v>0</v>
      </c>
    </row>
    <row r="394" spans="1:60" ht="101.5" x14ac:dyDescent="0.35">
      <c r="A394" s="2" t="s">
        <v>59</v>
      </c>
      <c r="B394" s="2" t="s">
        <v>60</v>
      </c>
      <c r="C394" s="2" t="s">
        <v>3756</v>
      </c>
      <c r="D394" s="2" t="s">
        <v>3757</v>
      </c>
      <c r="E394" s="2" t="s">
        <v>3758</v>
      </c>
      <c r="G394" s="3" t="s">
        <v>64</v>
      </c>
      <c r="I394" s="3" t="s">
        <v>128</v>
      </c>
      <c r="J394" s="3" t="s">
        <v>64</v>
      </c>
      <c r="K394" s="3" t="s">
        <v>65</v>
      </c>
      <c r="L394" s="2" t="s">
        <v>3759</v>
      </c>
      <c r="M394" s="2" t="s">
        <v>3760</v>
      </c>
      <c r="N394" s="3" t="s">
        <v>3761</v>
      </c>
      <c r="O394" s="2" t="s">
        <v>2149</v>
      </c>
      <c r="P394" s="3" t="s">
        <v>102</v>
      </c>
      <c r="R394" s="3" t="s">
        <v>70</v>
      </c>
      <c r="S394" s="4">
        <v>7</v>
      </c>
      <c r="T394" s="4">
        <v>14</v>
      </c>
      <c r="U394" s="5" t="s">
        <v>3762</v>
      </c>
      <c r="V394" s="5" t="s">
        <v>3762</v>
      </c>
      <c r="W394" s="5" t="s">
        <v>72</v>
      </c>
      <c r="X394" s="5" t="s">
        <v>72</v>
      </c>
      <c r="Y394" s="4">
        <v>7</v>
      </c>
      <c r="Z394" s="4">
        <v>1</v>
      </c>
      <c r="AA394" s="4">
        <v>4</v>
      </c>
      <c r="AB394" s="4">
        <v>1</v>
      </c>
      <c r="AC394" s="4">
        <v>2</v>
      </c>
      <c r="AD394" s="4">
        <v>2</v>
      </c>
      <c r="AE394" s="4">
        <v>5</v>
      </c>
      <c r="AF394" s="4">
        <v>0</v>
      </c>
      <c r="AG394" s="4">
        <v>0</v>
      </c>
      <c r="AH394" s="4">
        <v>2</v>
      </c>
      <c r="AI394" s="4">
        <v>5</v>
      </c>
      <c r="AJ394" s="4">
        <v>0</v>
      </c>
      <c r="AK394" s="4">
        <v>2</v>
      </c>
      <c r="AL394" s="4">
        <v>1</v>
      </c>
      <c r="AM394" s="4">
        <v>2</v>
      </c>
      <c r="AN394" s="4">
        <v>0</v>
      </c>
      <c r="AO394" s="4">
        <v>0</v>
      </c>
      <c r="AP394" s="4">
        <v>0</v>
      </c>
      <c r="AQ394" s="4">
        <v>2</v>
      </c>
      <c r="AR394" s="3" t="s">
        <v>64</v>
      </c>
      <c r="AS394" s="3" t="s">
        <v>64</v>
      </c>
      <c r="AT394" s="3" t="s">
        <v>128</v>
      </c>
      <c r="AU394" s="6" t="str">
        <f>HYPERLINK("http://catalog.hathitrust.org/Record/006050846","HathiTrust Record")</f>
        <v>HathiTrust Record</v>
      </c>
      <c r="AV394" s="6" t="str">
        <f>HYPERLINK("http://mcgill.on.worldcat.org/oclc/270104241","Catalog Record")</f>
        <v>Catalog Record</v>
      </c>
      <c r="AW394" s="6" t="str">
        <f>HYPERLINK("http://www.worldcat.org/oclc/270104241","WorldCat Record")</f>
        <v>WorldCat Record</v>
      </c>
      <c r="AX394" s="3" t="s">
        <v>3763</v>
      </c>
      <c r="AY394" s="3" t="s">
        <v>3764</v>
      </c>
      <c r="AZ394" s="3" t="s">
        <v>3765</v>
      </c>
      <c r="BA394" s="3" t="s">
        <v>3765</v>
      </c>
      <c r="BB394" s="3" t="s">
        <v>3766</v>
      </c>
      <c r="BC394" s="3" t="s">
        <v>77</v>
      </c>
      <c r="BD394" s="3" t="s">
        <v>78</v>
      </c>
      <c r="BF394" s="3" t="s">
        <v>3766</v>
      </c>
      <c r="BG394" s="3" t="s">
        <v>3767</v>
      </c>
      <c r="BH394">
        <f t="shared" si="16"/>
        <v>0</v>
      </c>
    </row>
    <row r="395" spans="1:60" ht="101.5" x14ac:dyDescent="0.35">
      <c r="A395" s="2" t="s">
        <v>59</v>
      </c>
      <c r="B395" s="2" t="s">
        <v>60</v>
      </c>
      <c r="C395" s="2" t="s">
        <v>3756</v>
      </c>
      <c r="D395" s="2" t="s">
        <v>3757</v>
      </c>
      <c r="E395" s="2" t="s">
        <v>3758</v>
      </c>
      <c r="G395" s="3" t="s">
        <v>64</v>
      </c>
      <c r="I395" s="3" t="s">
        <v>128</v>
      </c>
      <c r="J395" s="3" t="s">
        <v>64</v>
      </c>
      <c r="K395" s="3" t="s">
        <v>65</v>
      </c>
      <c r="L395" s="2" t="s">
        <v>3759</v>
      </c>
      <c r="M395" s="2" t="s">
        <v>3760</v>
      </c>
      <c r="N395" s="3" t="s">
        <v>3761</v>
      </c>
      <c r="O395" s="2" t="s">
        <v>2149</v>
      </c>
      <c r="P395" s="3" t="s">
        <v>102</v>
      </c>
      <c r="R395" s="3" t="s">
        <v>70</v>
      </c>
      <c r="S395" s="4">
        <v>7</v>
      </c>
      <c r="T395" s="4">
        <v>14</v>
      </c>
      <c r="U395" s="5" t="s">
        <v>3768</v>
      </c>
      <c r="V395" s="5" t="s">
        <v>3762</v>
      </c>
      <c r="W395" s="5" t="s">
        <v>72</v>
      </c>
      <c r="X395" s="5" t="s">
        <v>72</v>
      </c>
      <c r="Y395" s="4">
        <v>7</v>
      </c>
      <c r="Z395" s="4">
        <v>1</v>
      </c>
      <c r="AA395" s="4">
        <v>4</v>
      </c>
      <c r="AB395" s="4">
        <v>1</v>
      </c>
      <c r="AC395" s="4">
        <v>2</v>
      </c>
      <c r="AD395" s="4">
        <v>2</v>
      </c>
      <c r="AE395" s="4">
        <v>5</v>
      </c>
      <c r="AF395" s="4">
        <v>0</v>
      </c>
      <c r="AG395" s="4">
        <v>0</v>
      </c>
      <c r="AH395" s="4">
        <v>2</v>
      </c>
      <c r="AI395" s="4">
        <v>5</v>
      </c>
      <c r="AJ395" s="4">
        <v>0</v>
      </c>
      <c r="AK395" s="4">
        <v>2</v>
      </c>
      <c r="AL395" s="4">
        <v>1</v>
      </c>
      <c r="AM395" s="4">
        <v>2</v>
      </c>
      <c r="AN395" s="4">
        <v>0</v>
      </c>
      <c r="AO395" s="4">
        <v>0</v>
      </c>
      <c r="AP395" s="4">
        <v>0</v>
      </c>
      <c r="AQ395" s="4">
        <v>2</v>
      </c>
      <c r="AR395" s="3" t="s">
        <v>64</v>
      </c>
      <c r="AS395" s="3" t="s">
        <v>64</v>
      </c>
      <c r="AT395" s="3" t="s">
        <v>128</v>
      </c>
      <c r="AU395" s="6" t="str">
        <f>HYPERLINK("http://catalog.hathitrust.org/Record/006050846","HathiTrust Record")</f>
        <v>HathiTrust Record</v>
      </c>
      <c r="AV395" s="6" t="str">
        <f>HYPERLINK("http://mcgill.on.worldcat.org/oclc/270104241","Catalog Record")</f>
        <v>Catalog Record</v>
      </c>
      <c r="AW395" s="6" t="str">
        <f>HYPERLINK("http://www.worldcat.org/oclc/270104241","WorldCat Record")</f>
        <v>WorldCat Record</v>
      </c>
      <c r="AX395" s="3" t="s">
        <v>3763</v>
      </c>
      <c r="AY395" s="3" t="s">
        <v>3764</v>
      </c>
      <c r="AZ395" s="3" t="s">
        <v>3765</v>
      </c>
      <c r="BA395" s="3" t="s">
        <v>3765</v>
      </c>
      <c r="BB395" s="3" t="s">
        <v>3769</v>
      </c>
      <c r="BC395" s="3" t="s">
        <v>77</v>
      </c>
      <c r="BD395" s="3" t="s">
        <v>78</v>
      </c>
      <c r="BF395" s="3" t="s">
        <v>3769</v>
      </c>
      <c r="BG395" s="3" t="s">
        <v>3770</v>
      </c>
      <c r="BH395">
        <f t="shared" si="16"/>
        <v>0</v>
      </c>
    </row>
    <row r="396" spans="1:60" ht="58" x14ac:dyDescent="0.35">
      <c r="A396" s="2" t="s">
        <v>59</v>
      </c>
      <c r="B396" s="2" t="s">
        <v>60</v>
      </c>
      <c r="C396" s="2" t="s">
        <v>3771</v>
      </c>
      <c r="D396" s="2" t="s">
        <v>3772</v>
      </c>
      <c r="E396" s="2" t="s">
        <v>3773</v>
      </c>
      <c r="G396" s="3" t="s">
        <v>64</v>
      </c>
      <c r="I396" s="3" t="s">
        <v>128</v>
      </c>
      <c r="J396" s="3" t="s">
        <v>64</v>
      </c>
      <c r="K396" s="3" t="s">
        <v>65</v>
      </c>
      <c r="L396" s="2" t="s">
        <v>3774</v>
      </c>
      <c r="M396" s="2" t="s">
        <v>3775</v>
      </c>
      <c r="N396" s="3" t="s">
        <v>405</v>
      </c>
      <c r="P396" s="3" t="s">
        <v>102</v>
      </c>
      <c r="R396" s="3" t="s">
        <v>70</v>
      </c>
      <c r="S396" s="4">
        <v>2</v>
      </c>
      <c r="T396" s="4">
        <v>2</v>
      </c>
      <c r="U396" s="5" t="s">
        <v>3723</v>
      </c>
      <c r="V396" s="5" t="s">
        <v>3723</v>
      </c>
      <c r="W396" s="5" t="s">
        <v>72</v>
      </c>
      <c r="X396" s="5" t="s">
        <v>72</v>
      </c>
      <c r="Y396" s="4">
        <v>717</v>
      </c>
      <c r="Z396" s="4">
        <v>22</v>
      </c>
      <c r="AA396" s="4">
        <v>23</v>
      </c>
      <c r="AB396" s="4">
        <v>2</v>
      </c>
      <c r="AC396" s="4">
        <v>3</v>
      </c>
      <c r="AD396" s="4">
        <v>99</v>
      </c>
      <c r="AE396" s="4">
        <v>100</v>
      </c>
      <c r="AF396" s="4">
        <v>1</v>
      </c>
      <c r="AG396" s="4">
        <v>2</v>
      </c>
      <c r="AH396" s="4">
        <v>87</v>
      </c>
      <c r="AI396" s="4">
        <v>87</v>
      </c>
      <c r="AJ396" s="4">
        <v>13</v>
      </c>
      <c r="AK396" s="4">
        <v>14</v>
      </c>
      <c r="AL396" s="4">
        <v>49</v>
      </c>
      <c r="AM396" s="4">
        <v>49</v>
      </c>
      <c r="AN396" s="4">
        <v>0</v>
      </c>
      <c r="AO396" s="4">
        <v>0</v>
      </c>
      <c r="AP396" s="4">
        <v>15</v>
      </c>
      <c r="AQ396" s="4">
        <v>15</v>
      </c>
      <c r="AR396" s="3" t="s">
        <v>64</v>
      </c>
      <c r="AS396" s="3" t="s">
        <v>64</v>
      </c>
      <c r="AT396" s="3" t="s">
        <v>128</v>
      </c>
      <c r="AU396" s="6" t="str">
        <f>HYPERLINK("http://catalog.hathitrust.org/Record/000683999","HathiTrust Record")</f>
        <v>HathiTrust Record</v>
      </c>
      <c r="AV396" s="6" t="str">
        <f>HYPERLINK("http://mcgill.on.worldcat.org/oclc/2095485","Catalog Record")</f>
        <v>Catalog Record</v>
      </c>
      <c r="AW396" s="6" t="str">
        <f>HYPERLINK("http://www.worldcat.org/oclc/2095485","WorldCat Record")</f>
        <v>WorldCat Record</v>
      </c>
      <c r="AX396" s="3" t="s">
        <v>3776</v>
      </c>
      <c r="AY396" s="3" t="s">
        <v>3777</v>
      </c>
      <c r="AZ396" s="3" t="s">
        <v>3778</v>
      </c>
      <c r="BA396" s="3" t="s">
        <v>3778</v>
      </c>
      <c r="BB396" s="3" t="s">
        <v>3779</v>
      </c>
      <c r="BC396" s="3" t="s">
        <v>77</v>
      </c>
      <c r="BD396" s="3" t="s">
        <v>78</v>
      </c>
      <c r="BE396" s="3" t="s">
        <v>3780</v>
      </c>
      <c r="BF396" s="3" t="s">
        <v>3779</v>
      </c>
      <c r="BG396" s="3" t="s">
        <v>3781</v>
      </c>
      <c r="BH396">
        <f t="shared" si="16"/>
        <v>0</v>
      </c>
    </row>
    <row r="397" spans="1:60" ht="58" x14ac:dyDescent="0.35">
      <c r="A397" s="2" t="s">
        <v>59</v>
      </c>
      <c r="B397" s="2" t="s">
        <v>60</v>
      </c>
      <c r="C397" s="2" t="s">
        <v>3782</v>
      </c>
      <c r="D397" s="2" t="s">
        <v>3783</v>
      </c>
      <c r="E397" s="2" t="s">
        <v>3784</v>
      </c>
      <c r="G397" s="3" t="s">
        <v>64</v>
      </c>
      <c r="I397" s="3" t="s">
        <v>64</v>
      </c>
      <c r="J397" s="3" t="s">
        <v>64</v>
      </c>
      <c r="K397" s="3" t="s">
        <v>65</v>
      </c>
      <c r="L397" s="2" t="s">
        <v>3785</v>
      </c>
      <c r="M397" s="2" t="s">
        <v>3786</v>
      </c>
      <c r="N397" s="3" t="s">
        <v>537</v>
      </c>
      <c r="O397" s="2" t="s">
        <v>3787</v>
      </c>
      <c r="P397" s="3" t="s">
        <v>102</v>
      </c>
      <c r="R397" s="3" t="s">
        <v>70</v>
      </c>
      <c r="S397" s="4">
        <v>1</v>
      </c>
      <c r="T397" s="4">
        <v>1</v>
      </c>
      <c r="U397" s="5" t="s">
        <v>3788</v>
      </c>
      <c r="V397" s="5" t="s">
        <v>3788</v>
      </c>
      <c r="W397" s="5" t="s">
        <v>72</v>
      </c>
      <c r="X397" s="5" t="s">
        <v>72</v>
      </c>
      <c r="Y397" s="4">
        <v>219</v>
      </c>
      <c r="Z397" s="4">
        <v>8</v>
      </c>
      <c r="AA397" s="4">
        <v>34</v>
      </c>
      <c r="AB397" s="4">
        <v>1</v>
      </c>
      <c r="AC397" s="4">
        <v>4</v>
      </c>
      <c r="AD397" s="4">
        <v>35</v>
      </c>
      <c r="AE397" s="4">
        <v>83</v>
      </c>
      <c r="AF397" s="4">
        <v>0</v>
      </c>
      <c r="AG397" s="4">
        <v>3</v>
      </c>
      <c r="AH397" s="4">
        <v>33</v>
      </c>
      <c r="AI397" s="4">
        <v>70</v>
      </c>
      <c r="AJ397" s="4">
        <v>2</v>
      </c>
      <c r="AK397" s="4">
        <v>14</v>
      </c>
      <c r="AL397" s="4">
        <v>24</v>
      </c>
      <c r="AM397" s="4">
        <v>41</v>
      </c>
      <c r="AN397" s="4">
        <v>0</v>
      </c>
      <c r="AO397" s="4">
        <v>0</v>
      </c>
      <c r="AP397" s="4">
        <v>2</v>
      </c>
      <c r="AQ397" s="4">
        <v>17</v>
      </c>
      <c r="AR397" s="3" t="s">
        <v>64</v>
      </c>
      <c r="AS397" s="3" t="s">
        <v>64</v>
      </c>
      <c r="AT397" s="3" t="s">
        <v>64</v>
      </c>
      <c r="AV397" s="6" t="str">
        <f>HYPERLINK("http://mcgill.on.worldcat.org/oclc/934504013","Catalog Record")</f>
        <v>Catalog Record</v>
      </c>
      <c r="AW397" s="6" t="str">
        <f>HYPERLINK("http://www.worldcat.org/oclc/934504013","WorldCat Record")</f>
        <v>WorldCat Record</v>
      </c>
      <c r="AX397" s="3" t="s">
        <v>3789</v>
      </c>
      <c r="AY397" s="3" t="s">
        <v>3790</v>
      </c>
      <c r="AZ397" s="3" t="s">
        <v>3791</v>
      </c>
      <c r="BA397" s="3" t="s">
        <v>3791</v>
      </c>
      <c r="BB397" s="3" t="s">
        <v>3792</v>
      </c>
      <c r="BC397" s="3" t="s">
        <v>77</v>
      </c>
      <c r="BD397" s="3" t="s">
        <v>78</v>
      </c>
      <c r="BE397" s="3" t="s">
        <v>3793</v>
      </c>
      <c r="BF397" s="3" t="s">
        <v>3792</v>
      </c>
      <c r="BG397" s="3" t="s">
        <v>3794</v>
      </c>
      <c r="BH397">
        <f t="shared" si="16"/>
        <v>0</v>
      </c>
    </row>
    <row r="398" spans="1:60" ht="72.5" x14ac:dyDescent="0.35">
      <c r="A398" s="2" t="s">
        <v>59</v>
      </c>
      <c r="B398" s="2" t="s">
        <v>60</v>
      </c>
      <c r="C398" s="2" t="s">
        <v>3798</v>
      </c>
      <c r="D398" s="2" t="s">
        <v>3799</v>
      </c>
      <c r="E398" s="2" t="s">
        <v>3800</v>
      </c>
      <c r="F398" s="3" t="s">
        <v>3801</v>
      </c>
      <c r="G398" s="3" t="s">
        <v>64</v>
      </c>
      <c r="I398" s="3" t="s">
        <v>128</v>
      </c>
      <c r="J398" s="3" t="s">
        <v>64</v>
      </c>
      <c r="K398" s="3" t="s">
        <v>65</v>
      </c>
      <c r="L398" s="2" t="s">
        <v>3802</v>
      </c>
      <c r="M398" s="2" t="s">
        <v>3803</v>
      </c>
      <c r="N398" s="3" t="s">
        <v>3804</v>
      </c>
      <c r="P398" s="3" t="s">
        <v>102</v>
      </c>
      <c r="R398" s="3" t="s">
        <v>70</v>
      </c>
      <c r="S398" s="4">
        <v>19</v>
      </c>
      <c r="T398" s="4">
        <v>41</v>
      </c>
      <c r="U398" s="5" t="s">
        <v>3805</v>
      </c>
      <c r="V398" s="5" t="s">
        <v>3805</v>
      </c>
      <c r="W398" s="5" t="s">
        <v>72</v>
      </c>
      <c r="X398" s="5" t="s">
        <v>72</v>
      </c>
      <c r="Y398" s="4">
        <v>617</v>
      </c>
      <c r="Z398" s="4">
        <v>34</v>
      </c>
      <c r="AA398" s="4">
        <v>50</v>
      </c>
      <c r="AB398" s="4">
        <v>3</v>
      </c>
      <c r="AC398" s="4">
        <v>6</v>
      </c>
      <c r="AD398" s="4">
        <v>116</v>
      </c>
      <c r="AE398" s="4">
        <v>139</v>
      </c>
      <c r="AF398" s="4">
        <v>1</v>
      </c>
      <c r="AG398" s="4">
        <v>4</v>
      </c>
      <c r="AH398" s="4">
        <v>96</v>
      </c>
      <c r="AI398" s="4">
        <v>108</v>
      </c>
      <c r="AJ398" s="4">
        <v>15</v>
      </c>
      <c r="AK398" s="4">
        <v>23</v>
      </c>
      <c r="AL398" s="4">
        <v>56</v>
      </c>
      <c r="AM398" s="4">
        <v>61</v>
      </c>
      <c r="AN398" s="4">
        <v>0</v>
      </c>
      <c r="AO398" s="4">
        <v>0</v>
      </c>
      <c r="AP398" s="4">
        <v>25</v>
      </c>
      <c r="AQ398" s="4">
        <v>36</v>
      </c>
      <c r="AR398" s="3" t="s">
        <v>64</v>
      </c>
      <c r="AS398" s="3" t="s">
        <v>64</v>
      </c>
      <c r="AT398" s="3" t="s">
        <v>128</v>
      </c>
      <c r="AU398" s="6" t="str">
        <f>HYPERLINK("http://catalog.hathitrust.org/Record/001159731","HathiTrust Record")</f>
        <v>HathiTrust Record</v>
      </c>
      <c r="AV398" s="6" t="str">
        <f>HYPERLINK("http://mcgill.on.worldcat.org/oclc/574030","Catalog Record")</f>
        <v>Catalog Record</v>
      </c>
      <c r="AW398" s="6" t="str">
        <f>HYPERLINK("http://www.worldcat.org/oclc/574030","WorldCat Record")</f>
        <v>WorldCat Record</v>
      </c>
      <c r="AX398" s="3" t="s">
        <v>3806</v>
      </c>
      <c r="AY398" s="3" t="s">
        <v>3807</v>
      </c>
      <c r="AZ398" s="3" t="s">
        <v>3808</v>
      </c>
      <c r="BA398" s="3" t="s">
        <v>3808</v>
      </c>
      <c r="BB398" s="3" t="s">
        <v>3809</v>
      </c>
      <c r="BC398" s="3" t="s">
        <v>77</v>
      </c>
      <c r="BD398" s="3" t="s">
        <v>78</v>
      </c>
      <c r="BF398" s="3" t="s">
        <v>3809</v>
      </c>
      <c r="BG398" s="3" t="s">
        <v>3810</v>
      </c>
      <c r="BH398">
        <f t="shared" si="16"/>
        <v>0</v>
      </c>
    </row>
    <row r="399" spans="1:60" ht="72.5" x14ac:dyDescent="0.35">
      <c r="A399" s="2" t="s">
        <v>59</v>
      </c>
      <c r="B399" s="2" t="s">
        <v>60</v>
      </c>
      <c r="C399" s="2" t="s">
        <v>3811</v>
      </c>
      <c r="D399" s="2" t="s">
        <v>3812</v>
      </c>
      <c r="E399" s="2" t="s">
        <v>3800</v>
      </c>
      <c r="G399" s="3" t="s">
        <v>64</v>
      </c>
      <c r="I399" s="3" t="s">
        <v>128</v>
      </c>
      <c r="J399" s="3" t="s">
        <v>64</v>
      </c>
      <c r="K399" s="3" t="s">
        <v>65</v>
      </c>
      <c r="L399" s="2" t="s">
        <v>3802</v>
      </c>
      <c r="M399" s="2" t="s">
        <v>3803</v>
      </c>
      <c r="N399" s="3" t="s">
        <v>3804</v>
      </c>
      <c r="P399" s="3" t="s">
        <v>102</v>
      </c>
      <c r="R399" s="3" t="s">
        <v>70</v>
      </c>
      <c r="S399" s="4">
        <v>22</v>
      </c>
      <c r="T399" s="4">
        <v>41</v>
      </c>
      <c r="U399" s="5" t="s">
        <v>3813</v>
      </c>
      <c r="V399" s="5" t="s">
        <v>3805</v>
      </c>
      <c r="W399" s="5" t="s">
        <v>72</v>
      </c>
      <c r="X399" s="5" t="s">
        <v>72</v>
      </c>
      <c r="Y399" s="4">
        <v>617</v>
      </c>
      <c r="Z399" s="4">
        <v>34</v>
      </c>
      <c r="AA399" s="4">
        <v>50</v>
      </c>
      <c r="AB399" s="4">
        <v>3</v>
      </c>
      <c r="AC399" s="4">
        <v>6</v>
      </c>
      <c r="AD399" s="4">
        <v>116</v>
      </c>
      <c r="AE399" s="4">
        <v>139</v>
      </c>
      <c r="AF399" s="4">
        <v>1</v>
      </c>
      <c r="AG399" s="4">
        <v>4</v>
      </c>
      <c r="AH399" s="4">
        <v>96</v>
      </c>
      <c r="AI399" s="4">
        <v>108</v>
      </c>
      <c r="AJ399" s="4">
        <v>15</v>
      </c>
      <c r="AK399" s="4">
        <v>23</v>
      </c>
      <c r="AL399" s="4">
        <v>56</v>
      </c>
      <c r="AM399" s="4">
        <v>61</v>
      </c>
      <c r="AN399" s="4">
        <v>0</v>
      </c>
      <c r="AO399" s="4">
        <v>0</v>
      </c>
      <c r="AP399" s="4">
        <v>25</v>
      </c>
      <c r="AQ399" s="4">
        <v>36</v>
      </c>
      <c r="AR399" s="3" t="s">
        <v>64</v>
      </c>
      <c r="AS399" s="3" t="s">
        <v>64</v>
      </c>
      <c r="AT399" s="3" t="s">
        <v>128</v>
      </c>
      <c r="AU399" s="6" t="str">
        <f>HYPERLINK("http://catalog.hathitrust.org/Record/001159731","HathiTrust Record")</f>
        <v>HathiTrust Record</v>
      </c>
      <c r="AV399" s="6" t="str">
        <f>HYPERLINK("http://mcgill.on.worldcat.org/oclc/574030","Catalog Record")</f>
        <v>Catalog Record</v>
      </c>
      <c r="AW399" s="6" t="str">
        <f>HYPERLINK("http://www.worldcat.org/oclc/574030","WorldCat Record")</f>
        <v>WorldCat Record</v>
      </c>
      <c r="AX399" s="3" t="s">
        <v>3806</v>
      </c>
      <c r="AY399" s="3" t="s">
        <v>3807</v>
      </c>
      <c r="AZ399" s="3" t="s">
        <v>3808</v>
      </c>
      <c r="BA399" s="3" t="s">
        <v>3808</v>
      </c>
      <c r="BB399" s="3" t="s">
        <v>3814</v>
      </c>
      <c r="BC399" s="3" t="s">
        <v>77</v>
      </c>
      <c r="BD399" s="3" t="s">
        <v>165</v>
      </c>
      <c r="BF399" s="3" t="s">
        <v>3814</v>
      </c>
      <c r="BG399" s="3" t="s">
        <v>3815</v>
      </c>
      <c r="BH399">
        <f t="shared" si="16"/>
        <v>0</v>
      </c>
    </row>
    <row r="400" spans="1:60" ht="116" x14ac:dyDescent="0.35">
      <c r="A400" s="2" t="s">
        <v>59</v>
      </c>
      <c r="B400" s="2" t="s">
        <v>60</v>
      </c>
      <c r="C400" s="2" t="s">
        <v>3816</v>
      </c>
      <c r="D400" s="2" t="s">
        <v>3817</v>
      </c>
      <c r="E400" s="2" t="s">
        <v>3818</v>
      </c>
      <c r="G400" s="3" t="s">
        <v>64</v>
      </c>
      <c r="I400" s="3" t="s">
        <v>64</v>
      </c>
      <c r="J400" s="3" t="s">
        <v>64</v>
      </c>
      <c r="K400" s="3" t="s">
        <v>65</v>
      </c>
      <c r="M400" s="2" t="s">
        <v>3819</v>
      </c>
      <c r="N400" s="3" t="s">
        <v>253</v>
      </c>
      <c r="P400" s="3" t="s">
        <v>102</v>
      </c>
      <c r="R400" s="3" t="s">
        <v>70</v>
      </c>
      <c r="S400" s="4">
        <v>0</v>
      </c>
      <c r="T400" s="4">
        <v>0</v>
      </c>
      <c r="W400" s="5" t="s">
        <v>3813</v>
      </c>
      <c r="X400" s="5" t="s">
        <v>3813</v>
      </c>
      <c r="Y400" s="4">
        <v>5</v>
      </c>
      <c r="Z400" s="4">
        <v>2</v>
      </c>
      <c r="AA400" s="4">
        <v>2</v>
      </c>
      <c r="AB400" s="4">
        <v>1</v>
      </c>
      <c r="AC400" s="4">
        <v>1</v>
      </c>
      <c r="AD400" s="4">
        <v>3</v>
      </c>
      <c r="AE400" s="4">
        <v>3</v>
      </c>
      <c r="AF400" s="4">
        <v>0</v>
      </c>
      <c r="AG400" s="4">
        <v>0</v>
      </c>
      <c r="AH400" s="4">
        <v>2</v>
      </c>
      <c r="AI400" s="4">
        <v>2</v>
      </c>
      <c r="AJ400" s="4">
        <v>1</v>
      </c>
      <c r="AK400" s="4">
        <v>1</v>
      </c>
      <c r="AL400" s="4">
        <v>1</v>
      </c>
      <c r="AM400" s="4">
        <v>1</v>
      </c>
      <c r="AN400" s="4">
        <v>0</v>
      </c>
      <c r="AO400" s="4">
        <v>0</v>
      </c>
      <c r="AP400" s="4">
        <v>1</v>
      </c>
      <c r="AQ400" s="4">
        <v>1</v>
      </c>
      <c r="AR400" s="3" t="s">
        <v>128</v>
      </c>
      <c r="AS400" s="3" t="s">
        <v>64</v>
      </c>
      <c r="AT400" s="3" t="s">
        <v>64</v>
      </c>
      <c r="AV400" s="6" t="str">
        <f>HYPERLINK("http://mcgill.on.worldcat.org/oclc/921032264","Catalog Record")</f>
        <v>Catalog Record</v>
      </c>
      <c r="AW400" s="6" t="str">
        <f>HYPERLINK("http://www.worldcat.org/oclc/921032264","WorldCat Record")</f>
        <v>WorldCat Record</v>
      </c>
      <c r="AX400" s="3" t="s">
        <v>3820</v>
      </c>
      <c r="AY400" s="3" t="s">
        <v>3821</v>
      </c>
      <c r="AZ400" s="3" t="s">
        <v>3822</v>
      </c>
      <c r="BA400" s="3" t="s">
        <v>3822</v>
      </c>
      <c r="BB400" s="3" t="s">
        <v>3823</v>
      </c>
      <c r="BC400" s="3" t="s">
        <v>77</v>
      </c>
      <c r="BD400" s="3" t="s">
        <v>78</v>
      </c>
      <c r="BE400" s="3" t="s">
        <v>3824</v>
      </c>
      <c r="BF400" s="3" t="s">
        <v>3823</v>
      </c>
      <c r="BG400" s="3" t="s">
        <v>3825</v>
      </c>
      <c r="BH400">
        <f t="shared" si="16"/>
        <v>0</v>
      </c>
    </row>
    <row r="401" spans="1:60" ht="87" x14ac:dyDescent="0.35">
      <c r="A401" s="2" t="s">
        <v>59</v>
      </c>
      <c r="B401" s="2" t="s">
        <v>60</v>
      </c>
      <c r="C401" s="2" t="s">
        <v>3826</v>
      </c>
      <c r="D401" s="2" t="s">
        <v>3827</v>
      </c>
      <c r="E401" s="2" t="s">
        <v>3828</v>
      </c>
      <c r="G401" s="3" t="s">
        <v>64</v>
      </c>
      <c r="I401" s="3" t="s">
        <v>64</v>
      </c>
      <c r="J401" s="3" t="s">
        <v>64</v>
      </c>
      <c r="K401" s="3" t="s">
        <v>65</v>
      </c>
      <c r="L401" s="2" t="s">
        <v>3829</v>
      </c>
      <c r="M401" s="2" t="s">
        <v>3830</v>
      </c>
      <c r="N401" s="3" t="s">
        <v>315</v>
      </c>
      <c r="P401" s="3" t="s">
        <v>102</v>
      </c>
      <c r="R401" s="3" t="s">
        <v>70</v>
      </c>
      <c r="S401" s="4">
        <v>1</v>
      </c>
      <c r="T401" s="4">
        <v>1</v>
      </c>
      <c r="U401" s="5" t="s">
        <v>3831</v>
      </c>
      <c r="V401" s="5" t="s">
        <v>3831</v>
      </c>
      <c r="W401" s="5" t="s">
        <v>72</v>
      </c>
      <c r="X401" s="5" t="s">
        <v>72</v>
      </c>
      <c r="Y401" s="4">
        <v>18</v>
      </c>
      <c r="Z401" s="4">
        <v>2</v>
      </c>
      <c r="AA401" s="4">
        <v>2</v>
      </c>
      <c r="AB401" s="4">
        <v>1</v>
      </c>
      <c r="AC401" s="4">
        <v>1</v>
      </c>
      <c r="AD401" s="4">
        <v>13</v>
      </c>
      <c r="AE401" s="4">
        <v>13</v>
      </c>
      <c r="AF401" s="4">
        <v>0</v>
      </c>
      <c r="AG401" s="4">
        <v>0</v>
      </c>
      <c r="AH401" s="4">
        <v>12</v>
      </c>
      <c r="AI401" s="4">
        <v>12</v>
      </c>
      <c r="AJ401" s="4">
        <v>1</v>
      </c>
      <c r="AK401" s="4">
        <v>1</v>
      </c>
      <c r="AL401" s="4">
        <v>7</v>
      </c>
      <c r="AM401" s="4">
        <v>7</v>
      </c>
      <c r="AN401" s="4">
        <v>0</v>
      </c>
      <c r="AO401" s="4">
        <v>0</v>
      </c>
      <c r="AP401" s="4">
        <v>0</v>
      </c>
      <c r="AQ401" s="4">
        <v>0</v>
      </c>
      <c r="AR401" s="3" t="s">
        <v>64</v>
      </c>
      <c r="AS401" s="3" t="s">
        <v>64</v>
      </c>
      <c r="AT401" s="3" t="s">
        <v>64</v>
      </c>
      <c r="AV401" s="6" t="str">
        <f>HYPERLINK("http://mcgill.on.worldcat.org/oclc/2020408","Catalog Record")</f>
        <v>Catalog Record</v>
      </c>
      <c r="AW401" s="6" t="str">
        <f>HYPERLINK("http://www.worldcat.org/oclc/2020408","WorldCat Record")</f>
        <v>WorldCat Record</v>
      </c>
      <c r="AX401" s="3" t="s">
        <v>3832</v>
      </c>
      <c r="AY401" s="3" t="s">
        <v>3833</v>
      </c>
      <c r="AZ401" s="3" t="s">
        <v>3834</v>
      </c>
      <c r="BA401" s="3" t="s">
        <v>3834</v>
      </c>
      <c r="BB401" s="3" t="s">
        <v>3835</v>
      </c>
      <c r="BC401" s="3" t="s">
        <v>77</v>
      </c>
      <c r="BD401" s="3" t="s">
        <v>78</v>
      </c>
      <c r="BF401" s="3" t="s">
        <v>3835</v>
      </c>
      <c r="BG401" s="3" t="s">
        <v>3836</v>
      </c>
      <c r="BH401">
        <f t="shared" si="16"/>
        <v>0</v>
      </c>
    </row>
    <row r="402" spans="1:60" ht="58" x14ac:dyDescent="0.35">
      <c r="A402" s="2" t="s">
        <v>59</v>
      </c>
      <c r="B402" s="2" t="s">
        <v>60</v>
      </c>
      <c r="C402" s="2" t="s">
        <v>3837</v>
      </c>
      <c r="D402" s="2" t="s">
        <v>3838</v>
      </c>
      <c r="E402" s="2" t="s">
        <v>3839</v>
      </c>
      <c r="G402" s="3" t="s">
        <v>64</v>
      </c>
      <c r="I402" s="3" t="s">
        <v>64</v>
      </c>
      <c r="J402" s="3" t="s">
        <v>64</v>
      </c>
      <c r="K402" s="3" t="s">
        <v>65</v>
      </c>
      <c r="L402" s="2" t="s">
        <v>3840</v>
      </c>
      <c r="M402" s="2" t="s">
        <v>3841</v>
      </c>
      <c r="N402" s="3" t="s">
        <v>190</v>
      </c>
      <c r="P402" s="3" t="s">
        <v>102</v>
      </c>
      <c r="R402" s="3" t="s">
        <v>70</v>
      </c>
      <c r="S402" s="4">
        <v>3</v>
      </c>
      <c r="T402" s="4">
        <v>3</v>
      </c>
      <c r="U402" s="5" t="s">
        <v>3842</v>
      </c>
      <c r="V402" s="5" t="s">
        <v>3842</v>
      </c>
      <c r="W402" s="5" t="s">
        <v>72</v>
      </c>
      <c r="X402" s="5" t="s">
        <v>72</v>
      </c>
      <c r="Y402" s="4">
        <v>177</v>
      </c>
      <c r="Z402" s="4">
        <v>10</v>
      </c>
      <c r="AA402" s="4">
        <v>18</v>
      </c>
      <c r="AB402" s="4">
        <v>2</v>
      </c>
      <c r="AC402" s="4">
        <v>6</v>
      </c>
      <c r="AD402" s="4">
        <v>60</v>
      </c>
      <c r="AE402" s="4">
        <v>71</v>
      </c>
      <c r="AF402" s="4">
        <v>1</v>
      </c>
      <c r="AG402" s="4">
        <v>3</v>
      </c>
      <c r="AH402" s="4">
        <v>54</v>
      </c>
      <c r="AI402" s="4">
        <v>60</v>
      </c>
      <c r="AJ402" s="4">
        <v>6</v>
      </c>
      <c r="AK402" s="4">
        <v>9</v>
      </c>
      <c r="AL402" s="4">
        <v>40</v>
      </c>
      <c r="AM402" s="4">
        <v>43</v>
      </c>
      <c r="AN402" s="4">
        <v>0</v>
      </c>
      <c r="AO402" s="4">
        <v>0</v>
      </c>
      <c r="AP402" s="4">
        <v>7</v>
      </c>
      <c r="AQ402" s="4">
        <v>12</v>
      </c>
      <c r="AR402" s="3" t="s">
        <v>64</v>
      </c>
      <c r="AS402" s="3" t="s">
        <v>64</v>
      </c>
      <c r="AT402" s="3" t="s">
        <v>64</v>
      </c>
      <c r="AV402" s="6" t="str">
        <f>HYPERLINK("http://mcgill.on.worldcat.org/oclc/958781742","Catalog Record")</f>
        <v>Catalog Record</v>
      </c>
      <c r="AW402" s="6" t="str">
        <f>HYPERLINK("http://www.worldcat.org/oclc/958781742","WorldCat Record")</f>
        <v>WorldCat Record</v>
      </c>
      <c r="AX402" s="3" t="s">
        <v>3843</v>
      </c>
      <c r="AY402" s="3" t="s">
        <v>3844</v>
      </c>
      <c r="AZ402" s="3" t="s">
        <v>3845</v>
      </c>
      <c r="BA402" s="3" t="s">
        <v>3845</v>
      </c>
      <c r="BB402" s="3" t="s">
        <v>3846</v>
      </c>
      <c r="BC402" s="3" t="s">
        <v>77</v>
      </c>
      <c r="BD402" s="3" t="s">
        <v>78</v>
      </c>
      <c r="BE402" s="3" t="s">
        <v>3847</v>
      </c>
      <c r="BF402" s="3" t="s">
        <v>3846</v>
      </c>
      <c r="BG402" s="3" t="s">
        <v>3848</v>
      </c>
      <c r="BH402">
        <f t="shared" si="16"/>
        <v>0</v>
      </c>
    </row>
    <row r="403" spans="1:60" ht="58" x14ac:dyDescent="0.35">
      <c r="A403" s="2" t="s">
        <v>59</v>
      </c>
      <c r="B403" s="2" t="s">
        <v>60</v>
      </c>
      <c r="C403" s="2" t="s">
        <v>3849</v>
      </c>
      <c r="D403" s="2" t="s">
        <v>3850</v>
      </c>
      <c r="E403" s="2" t="s">
        <v>3851</v>
      </c>
      <c r="G403" s="3" t="s">
        <v>64</v>
      </c>
      <c r="I403" s="3" t="s">
        <v>64</v>
      </c>
      <c r="J403" s="3" t="s">
        <v>64</v>
      </c>
      <c r="K403" s="3" t="s">
        <v>65</v>
      </c>
      <c r="M403" s="2" t="s">
        <v>3852</v>
      </c>
      <c r="N403" s="3" t="s">
        <v>3047</v>
      </c>
      <c r="P403" s="3" t="s">
        <v>102</v>
      </c>
      <c r="Q403" s="2" t="s">
        <v>3853</v>
      </c>
      <c r="R403" s="3" t="s">
        <v>70</v>
      </c>
      <c r="S403" s="4">
        <v>27</v>
      </c>
      <c r="T403" s="4">
        <v>27</v>
      </c>
      <c r="U403" s="5" t="s">
        <v>3854</v>
      </c>
      <c r="V403" s="5" t="s">
        <v>3854</v>
      </c>
      <c r="W403" s="5" t="s">
        <v>72</v>
      </c>
      <c r="X403" s="5" t="s">
        <v>72</v>
      </c>
      <c r="Y403" s="4">
        <v>59</v>
      </c>
      <c r="Z403" s="4">
        <v>9</v>
      </c>
      <c r="AA403" s="4">
        <v>9</v>
      </c>
      <c r="AB403" s="4">
        <v>2</v>
      </c>
      <c r="AC403" s="4">
        <v>2</v>
      </c>
      <c r="AD403" s="4">
        <v>27</v>
      </c>
      <c r="AE403" s="4">
        <v>27</v>
      </c>
      <c r="AF403" s="4">
        <v>1</v>
      </c>
      <c r="AG403" s="4">
        <v>1</v>
      </c>
      <c r="AH403" s="4">
        <v>24</v>
      </c>
      <c r="AI403" s="4">
        <v>24</v>
      </c>
      <c r="AJ403" s="4">
        <v>6</v>
      </c>
      <c r="AK403" s="4">
        <v>6</v>
      </c>
      <c r="AL403" s="4">
        <v>18</v>
      </c>
      <c r="AM403" s="4">
        <v>18</v>
      </c>
      <c r="AN403" s="4">
        <v>0</v>
      </c>
      <c r="AO403" s="4">
        <v>0</v>
      </c>
      <c r="AP403" s="4">
        <v>5</v>
      </c>
      <c r="AQ403" s="4">
        <v>5</v>
      </c>
      <c r="AR403" s="3" t="s">
        <v>128</v>
      </c>
      <c r="AS403" s="3" t="s">
        <v>64</v>
      </c>
      <c r="AT403" s="3" t="s">
        <v>64</v>
      </c>
      <c r="AV403" s="6" t="str">
        <f>HYPERLINK("http://mcgill.on.worldcat.org/oclc/18932322","Catalog Record")</f>
        <v>Catalog Record</v>
      </c>
      <c r="AW403" s="6" t="str">
        <f>HYPERLINK("http://www.worldcat.org/oclc/18932322","WorldCat Record")</f>
        <v>WorldCat Record</v>
      </c>
      <c r="AX403" s="3" t="s">
        <v>3855</v>
      </c>
      <c r="AY403" s="3" t="s">
        <v>3856</v>
      </c>
      <c r="AZ403" s="3" t="s">
        <v>3857</v>
      </c>
      <c r="BA403" s="3" t="s">
        <v>3857</v>
      </c>
      <c r="BB403" s="3" t="s">
        <v>3858</v>
      </c>
      <c r="BC403" s="3" t="s">
        <v>77</v>
      </c>
      <c r="BD403" s="3" t="s">
        <v>78</v>
      </c>
      <c r="BF403" s="3" t="s">
        <v>3858</v>
      </c>
      <c r="BG403" s="3" t="s">
        <v>3859</v>
      </c>
      <c r="BH403">
        <f t="shared" si="16"/>
        <v>0</v>
      </c>
    </row>
    <row r="404" spans="1:60" ht="58" x14ac:dyDescent="0.35">
      <c r="A404" s="2" t="s">
        <v>59</v>
      </c>
      <c r="B404" s="2" t="s">
        <v>60</v>
      </c>
      <c r="C404" s="2" t="s">
        <v>3860</v>
      </c>
      <c r="D404" s="2" t="s">
        <v>3861</v>
      </c>
      <c r="E404" s="2" t="s">
        <v>3862</v>
      </c>
      <c r="G404" s="3" t="s">
        <v>64</v>
      </c>
      <c r="I404" s="3" t="s">
        <v>64</v>
      </c>
      <c r="J404" s="3" t="s">
        <v>64</v>
      </c>
      <c r="K404" s="3" t="s">
        <v>65</v>
      </c>
      <c r="L404" s="2" t="s">
        <v>3863</v>
      </c>
      <c r="M404" s="2" t="s">
        <v>3864</v>
      </c>
      <c r="N404" s="3" t="s">
        <v>326</v>
      </c>
      <c r="P404" s="3" t="s">
        <v>102</v>
      </c>
      <c r="R404" s="3" t="s">
        <v>70</v>
      </c>
      <c r="S404" s="4">
        <v>10</v>
      </c>
      <c r="T404" s="4">
        <v>10</v>
      </c>
      <c r="U404" s="5" t="s">
        <v>3865</v>
      </c>
      <c r="V404" s="5" t="s">
        <v>3865</v>
      </c>
      <c r="W404" s="5" t="s">
        <v>72</v>
      </c>
      <c r="X404" s="5" t="s">
        <v>72</v>
      </c>
      <c r="Y404" s="4">
        <v>248</v>
      </c>
      <c r="Z404" s="4">
        <v>27</v>
      </c>
      <c r="AA404" s="4">
        <v>35</v>
      </c>
      <c r="AB404" s="4">
        <v>2</v>
      </c>
      <c r="AC404" s="4">
        <v>5</v>
      </c>
      <c r="AD404" s="4">
        <v>65</v>
      </c>
      <c r="AE404" s="4">
        <v>73</v>
      </c>
      <c r="AF404" s="4">
        <v>1</v>
      </c>
      <c r="AG404" s="4">
        <v>1</v>
      </c>
      <c r="AH404" s="4">
        <v>58</v>
      </c>
      <c r="AI404" s="4">
        <v>64</v>
      </c>
      <c r="AJ404" s="4">
        <v>11</v>
      </c>
      <c r="AK404" s="4">
        <v>13</v>
      </c>
      <c r="AL404" s="4">
        <v>33</v>
      </c>
      <c r="AM404" s="4">
        <v>36</v>
      </c>
      <c r="AN404" s="4">
        <v>0</v>
      </c>
      <c r="AO404" s="4">
        <v>0</v>
      </c>
      <c r="AP404" s="4">
        <v>13</v>
      </c>
      <c r="AQ404" s="4">
        <v>15</v>
      </c>
      <c r="AR404" s="3" t="s">
        <v>64</v>
      </c>
      <c r="AS404" s="3" t="s">
        <v>64</v>
      </c>
      <c r="AT404" s="3" t="s">
        <v>64</v>
      </c>
      <c r="AV404" s="6" t="str">
        <f>HYPERLINK("http://mcgill.on.worldcat.org/oclc/682902872","Catalog Record")</f>
        <v>Catalog Record</v>
      </c>
      <c r="AW404" s="6" t="str">
        <f>HYPERLINK("http://www.worldcat.org/oclc/682902872","WorldCat Record")</f>
        <v>WorldCat Record</v>
      </c>
      <c r="AX404" s="3" t="s">
        <v>3866</v>
      </c>
      <c r="AY404" s="3" t="s">
        <v>3867</v>
      </c>
      <c r="AZ404" s="3" t="s">
        <v>3868</v>
      </c>
      <c r="BA404" s="3" t="s">
        <v>3868</v>
      </c>
      <c r="BB404" s="3" t="s">
        <v>3869</v>
      </c>
      <c r="BC404" s="3" t="s">
        <v>77</v>
      </c>
      <c r="BD404" s="3" t="s">
        <v>78</v>
      </c>
      <c r="BE404" s="3" t="s">
        <v>3870</v>
      </c>
      <c r="BF404" s="3" t="s">
        <v>3869</v>
      </c>
      <c r="BG404" s="3" t="s">
        <v>3871</v>
      </c>
      <c r="BH404">
        <f t="shared" si="16"/>
        <v>0</v>
      </c>
    </row>
    <row r="405" spans="1:60" ht="58" x14ac:dyDescent="0.35">
      <c r="A405" s="2" t="s">
        <v>59</v>
      </c>
      <c r="B405" s="2" t="s">
        <v>60</v>
      </c>
      <c r="C405" s="2" t="s">
        <v>3872</v>
      </c>
      <c r="D405" s="2" t="s">
        <v>3873</v>
      </c>
      <c r="E405" s="2" t="s">
        <v>3874</v>
      </c>
      <c r="G405" s="3" t="s">
        <v>64</v>
      </c>
      <c r="I405" s="3" t="s">
        <v>64</v>
      </c>
      <c r="J405" s="3" t="s">
        <v>64</v>
      </c>
      <c r="K405" s="3" t="s">
        <v>65</v>
      </c>
      <c r="M405" s="2" t="s">
        <v>3875</v>
      </c>
      <c r="N405" s="3" t="s">
        <v>291</v>
      </c>
      <c r="P405" s="3" t="s">
        <v>102</v>
      </c>
      <c r="Q405" s="2" t="s">
        <v>3876</v>
      </c>
      <c r="R405" s="3" t="s">
        <v>70</v>
      </c>
      <c r="S405" s="4">
        <v>34</v>
      </c>
      <c r="T405" s="4">
        <v>34</v>
      </c>
      <c r="U405" s="5" t="s">
        <v>457</v>
      </c>
      <c r="V405" s="5" t="s">
        <v>457</v>
      </c>
      <c r="W405" s="5" t="s">
        <v>72</v>
      </c>
      <c r="X405" s="5" t="s">
        <v>72</v>
      </c>
      <c r="Y405" s="4">
        <v>313</v>
      </c>
      <c r="Z405" s="4">
        <v>27</v>
      </c>
      <c r="AA405" s="4">
        <v>34</v>
      </c>
      <c r="AB405" s="4">
        <v>2</v>
      </c>
      <c r="AC405" s="4">
        <v>6</v>
      </c>
      <c r="AD405" s="4">
        <v>102</v>
      </c>
      <c r="AE405" s="4">
        <v>109</v>
      </c>
      <c r="AF405" s="4">
        <v>1</v>
      </c>
      <c r="AG405" s="4">
        <v>2</v>
      </c>
      <c r="AH405" s="4">
        <v>88</v>
      </c>
      <c r="AI405" s="4">
        <v>92</v>
      </c>
      <c r="AJ405" s="4">
        <v>17</v>
      </c>
      <c r="AK405" s="4">
        <v>18</v>
      </c>
      <c r="AL405" s="4">
        <v>50</v>
      </c>
      <c r="AM405" s="4">
        <v>51</v>
      </c>
      <c r="AN405" s="4">
        <v>0</v>
      </c>
      <c r="AO405" s="4">
        <v>0</v>
      </c>
      <c r="AP405" s="4">
        <v>21</v>
      </c>
      <c r="AQ405" s="4">
        <v>22</v>
      </c>
      <c r="AR405" s="3" t="s">
        <v>64</v>
      </c>
      <c r="AS405" s="3" t="s">
        <v>64</v>
      </c>
      <c r="AT405" s="3" t="s">
        <v>128</v>
      </c>
      <c r="AU405" s="6" t="str">
        <f>HYPERLINK("http://catalog.hathitrust.org/Record/005590588","HathiTrust Record")</f>
        <v>HathiTrust Record</v>
      </c>
      <c r="AV405" s="6" t="str">
        <f>HYPERLINK("http://mcgill.on.worldcat.org/oclc/84837827","Catalog Record")</f>
        <v>Catalog Record</v>
      </c>
      <c r="AW405" s="6" t="str">
        <f>HYPERLINK("http://www.worldcat.org/oclc/84837827","WorldCat Record")</f>
        <v>WorldCat Record</v>
      </c>
      <c r="AX405" s="3" t="s">
        <v>3877</v>
      </c>
      <c r="AY405" s="3" t="s">
        <v>3878</v>
      </c>
      <c r="AZ405" s="3" t="s">
        <v>3879</v>
      </c>
      <c r="BA405" s="3" t="s">
        <v>3879</v>
      </c>
      <c r="BB405" s="3" t="s">
        <v>3880</v>
      </c>
      <c r="BC405" s="3" t="s">
        <v>77</v>
      </c>
      <c r="BD405" s="3" t="s">
        <v>165</v>
      </c>
      <c r="BE405" s="3" t="s">
        <v>3881</v>
      </c>
      <c r="BF405" s="3" t="s">
        <v>3880</v>
      </c>
      <c r="BG405" s="3" t="s">
        <v>3882</v>
      </c>
      <c r="BH405">
        <f t="shared" si="16"/>
        <v>0</v>
      </c>
    </row>
    <row r="406" spans="1:60" ht="58" x14ac:dyDescent="0.35">
      <c r="A406" s="2" t="s">
        <v>59</v>
      </c>
      <c r="B406" s="2" t="s">
        <v>60</v>
      </c>
      <c r="C406" s="2" t="s">
        <v>3883</v>
      </c>
      <c r="D406" s="2" t="s">
        <v>3884</v>
      </c>
      <c r="E406" s="2" t="s">
        <v>3885</v>
      </c>
      <c r="G406" s="3" t="s">
        <v>64</v>
      </c>
      <c r="I406" s="3" t="s">
        <v>64</v>
      </c>
      <c r="J406" s="3" t="s">
        <v>64</v>
      </c>
      <c r="K406" s="3" t="s">
        <v>65</v>
      </c>
      <c r="M406" s="2" t="s">
        <v>3886</v>
      </c>
      <c r="N406" s="3" t="s">
        <v>537</v>
      </c>
      <c r="P406" s="3" t="s">
        <v>102</v>
      </c>
      <c r="R406" s="3" t="s">
        <v>70</v>
      </c>
      <c r="S406" s="4">
        <v>0</v>
      </c>
      <c r="T406" s="4">
        <v>0</v>
      </c>
      <c r="W406" s="5" t="s">
        <v>72</v>
      </c>
      <c r="X406" s="5" t="s">
        <v>72</v>
      </c>
      <c r="Y406" s="4">
        <v>27</v>
      </c>
      <c r="Z406" s="4">
        <v>2</v>
      </c>
      <c r="AA406" s="4">
        <v>9</v>
      </c>
      <c r="AB406" s="4">
        <v>1</v>
      </c>
      <c r="AC406" s="4">
        <v>4</v>
      </c>
      <c r="AD406" s="4">
        <v>11</v>
      </c>
      <c r="AE406" s="4">
        <v>30</v>
      </c>
      <c r="AF406" s="4">
        <v>0</v>
      </c>
      <c r="AG406" s="4">
        <v>0</v>
      </c>
      <c r="AH406" s="4">
        <v>11</v>
      </c>
      <c r="AI406" s="4">
        <v>29</v>
      </c>
      <c r="AJ406" s="4">
        <v>1</v>
      </c>
      <c r="AK406" s="4">
        <v>3</v>
      </c>
      <c r="AL406" s="4">
        <v>7</v>
      </c>
      <c r="AM406" s="4">
        <v>21</v>
      </c>
      <c r="AN406" s="4">
        <v>0</v>
      </c>
      <c r="AO406" s="4">
        <v>0</v>
      </c>
      <c r="AP406" s="4">
        <v>1</v>
      </c>
      <c r="AQ406" s="4">
        <v>3</v>
      </c>
      <c r="AR406" s="3" t="s">
        <v>64</v>
      </c>
      <c r="AS406" s="3" t="s">
        <v>64</v>
      </c>
      <c r="AT406" s="3" t="s">
        <v>64</v>
      </c>
      <c r="AV406" s="6" t="str">
        <f>HYPERLINK("http://mcgill.on.worldcat.org/oclc/933446629","Catalog Record")</f>
        <v>Catalog Record</v>
      </c>
      <c r="AW406" s="6" t="str">
        <f>HYPERLINK("http://www.worldcat.org/oclc/933446629","WorldCat Record")</f>
        <v>WorldCat Record</v>
      </c>
      <c r="AX406" s="3" t="s">
        <v>3887</v>
      </c>
      <c r="AY406" s="3" t="s">
        <v>3888</v>
      </c>
      <c r="AZ406" s="3" t="s">
        <v>3889</v>
      </c>
      <c r="BA406" s="3" t="s">
        <v>3889</v>
      </c>
      <c r="BB406" s="3" t="s">
        <v>3890</v>
      </c>
      <c r="BC406" s="3" t="s">
        <v>77</v>
      </c>
      <c r="BD406" s="3" t="s">
        <v>78</v>
      </c>
      <c r="BE406" s="3" t="s">
        <v>3891</v>
      </c>
      <c r="BF406" s="3" t="s">
        <v>3890</v>
      </c>
      <c r="BG406" s="3" t="s">
        <v>3892</v>
      </c>
      <c r="BH406">
        <f t="shared" si="16"/>
        <v>0</v>
      </c>
    </row>
    <row r="407" spans="1:60" ht="72.5" x14ac:dyDescent="0.35">
      <c r="A407" s="2" t="s">
        <v>59</v>
      </c>
      <c r="B407" s="2" t="s">
        <v>1025</v>
      </c>
      <c r="C407" s="2" t="s">
        <v>3893</v>
      </c>
      <c r="D407" s="2" t="s">
        <v>3894</v>
      </c>
      <c r="E407" s="2" t="s">
        <v>3895</v>
      </c>
      <c r="G407" s="3" t="s">
        <v>64</v>
      </c>
      <c r="I407" s="3" t="s">
        <v>64</v>
      </c>
      <c r="J407" s="3" t="s">
        <v>64</v>
      </c>
      <c r="K407" s="3" t="s">
        <v>65</v>
      </c>
      <c r="L407" s="2" t="s">
        <v>3896</v>
      </c>
      <c r="M407" s="2" t="s">
        <v>3897</v>
      </c>
      <c r="N407" s="3" t="s">
        <v>551</v>
      </c>
      <c r="P407" s="3" t="s">
        <v>102</v>
      </c>
      <c r="R407" s="3" t="s">
        <v>70</v>
      </c>
      <c r="S407" s="4">
        <v>2</v>
      </c>
      <c r="T407" s="4">
        <v>2</v>
      </c>
      <c r="U407" s="5" t="s">
        <v>3898</v>
      </c>
      <c r="V407" s="5" t="s">
        <v>3898</v>
      </c>
      <c r="W407" s="5" t="s">
        <v>72</v>
      </c>
      <c r="X407" s="5" t="s">
        <v>72</v>
      </c>
      <c r="Y407" s="4">
        <v>176</v>
      </c>
      <c r="Z407" s="4">
        <v>19</v>
      </c>
      <c r="AA407" s="4">
        <v>20</v>
      </c>
      <c r="AB407" s="4">
        <v>4</v>
      </c>
      <c r="AC407" s="4">
        <v>4</v>
      </c>
      <c r="AD407" s="4">
        <v>58</v>
      </c>
      <c r="AE407" s="4">
        <v>59</v>
      </c>
      <c r="AF407" s="4">
        <v>1</v>
      </c>
      <c r="AG407" s="4">
        <v>1</v>
      </c>
      <c r="AH407" s="4">
        <v>52</v>
      </c>
      <c r="AI407" s="4">
        <v>52</v>
      </c>
      <c r="AJ407" s="4">
        <v>10</v>
      </c>
      <c r="AK407" s="4">
        <v>10</v>
      </c>
      <c r="AL407" s="4">
        <v>33</v>
      </c>
      <c r="AM407" s="4">
        <v>33</v>
      </c>
      <c r="AN407" s="4">
        <v>0</v>
      </c>
      <c r="AO407" s="4">
        <v>0</v>
      </c>
      <c r="AP407" s="4">
        <v>10</v>
      </c>
      <c r="AQ407" s="4">
        <v>11</v>
      </c>
      <c r="AR407" s="3" t="s">
        <v>64</v>
      </c>
      <c r="AS407" s="3" t="s">
        <v>64</v>
      </c>
      <c r="AT407" s="3" t="s">
        <v>64</v>
      </c>
      <c r="AV407" s="6" t="str">
        <f>HYPERLINK("http://mcgill.on.worldcat.org/oclc/416263945","Catalog Record")</f>
        <v>Catalog Record</v>
      </c>
      <c r="AW407" s="6" t="str">
        <f>HYPERLINK("http://www.worldcat.org/oclc/416263945","WorldCat Record")</f>
        <v>WorldCat Record</v>
      </c>
      <c r="AX407" s="3" t="s">
        <v>3899</v>
      </c>
      <c r="AY407" s="3" t="s">
        <v>3900</v>
      </c>
      <c r="AZ407" s="3" t="s">
        <v>3901</v>
      </c>
      <c r="BA407" s="3" t="s">
        <v>3901</v>
      </c>
      <c r="BB407" s="3" t="s">
        <v>3902</v>
      </c>
      <c r="BC407" s="3" t="s">
        <v>77</v>
      </c>
      <c r="BD407" s="3" t="s">
        <v>78</v>
      </c>
      <c r="BE407" s="3" t="s">
        <v>3903</v>
      </c>
      <c r="BF407" s="3" t="s">
        <v>3902</v>
      </c>
      <c r="BG407" s="3" t="s">
        <v>3904</v>
      </c>
      <c r="BH407">
        <f t="shared" si="16"/>
        <v>0</v>
      </c>
    </row>
    <row r="408" spans="1:60" ht="58" x14ac:dyDescent="0.35">
      <c r="A408" s="2" t="s">
        <v>59</v>
      </c>
      <c r="B408" s="2" t="s">
        <v>60</v>
      </c>
      <c r="C408" s="2" t="s">
        <v>3905</v>
      </c>
      <c r="D408" s="2" t="s">
        <v>3906</v>
      </c>
      <c r="E408" s="2" t="s">
        <v>3907</v>
      </c>
      <c r="G408" s="3" t="s">
        <v>64</v>
      </c>
      <c r="I408" s="3" t="s">
        <v>128</v>
      </c>
      <c r="J408" s="3" t="s">
        <v>128</v>
      </c>
      <c r="K408" s="3" t="s">
        <v>65</v>
      </c>
      <c r="L408" s="2" t="s">
        <v>3908</v>
      </c>
      <c r="M408" s="2" t="s">
        <v>3909</v>
      </c>
      <c r="N408" s="3" t="s">
        <v>3910</v>
      </c>
      <c r="P408" s="3" t="s">
        <v>102</v>
      </c>
      <c r="R408" s="3" t="s">
        <v>70</v>
      </c>
      <c r="S408" s="4">
        <v>3</v>
      </c>
      <c r="T408" s="4">
        <v>3</v>
      </c>
      <c r="U408" s="5" t="s">
        <v>3734</v>
      </c>
      <c r="V408" s="5" t="s">
        <v>3734</v>
      </c>
      <c r="W408" s="5" t="s">
        <v>72</v>
      </c>
      <c r="X408" s="5" t="s">
        <v>72</v>
      </c>
      <c r="Y408" s="4">
        <v>147</v>
      </c>
      <c r="Z408" s="4">
        <v>12</v>
      </c>
      <c r="AA408" s="4">
        <v>30</v>
      </c>
      <c r="AB408" s="4">
        <v>1</v>
      </c>
      <c r="AC408" s="4">
        <v>2</v>
      </c>
      <c r="AD408" s="4">
        <v>57</v>
      </c>
      <c r="AE408" s="4">
        <v>87</v>
      </c>
      <c r="AF408" s="4">
        <v>0</v>
      </c>
      <c r="AG408" s="4">
        <v>1</v>
      </c>
      <c r="AH408" s="4">
        <v>52</v>
      </c>
      <c r="AI408" s="4">
        <v>75</v>
      </c>
      <c r="AJ408" s="4">
        <v>7</v>
      </c>
      <c r="AK408" s="4">
        <v>13</v>
      </c>
      <c r="AL408" s="4">
        <v>34</v>
      </c>
      <c r="AM408" s="4">
        <v>47</v>
      </c>
      <c r="AN408" s="4">
        <v>4</v>
      </c>
      <c r="AO408" s="4">
        <v>5</v>
      </c>
      <c r="AP408" s="4">
        <v>7</v>
      </c>
      <c r="AQ408" s="4">
        <v>15</v>
      </c>
      <c r="AR408" s="3" t="s">
        <v>64</v>
      </c>
      <c r="AS408" s="3" t="s">
        <v>128</v>
      </c>
      <c r="AT408" s="3" t="s">
        <v>64</v>
      </c>
      <c r="AU408" s="6" t="str">
        <f>HYPERLINK("http://catalog.hathitrust.org/Record/001159648","HathiTrust Record")</f>
        <v>HathiTrust Record</v>
      </c>
      <c r="AV408" s="6" t="str">
        <f>HYPERLINK("http://mcgill.on.worldcat.org/oclc/12549165","Catalog Record")</f>
        <v>Catalog Record</v>
      </c>
      <c r="AW408" s="6" t="str">
        <f>HYPERLINK("http://www.worldcat.org/oclc/12549165","WorldCat Record")</f>
        <v>WorldCat Record</v>
      </c>
      <c r="AX408" s="3" t="s">
        <v>3911</v>
      </c>
      <c r="AY408" s="3" t="s">
        <v>3912</v>
      </c>
      <c r="AZ408" s="3" t="s">
        <v>3913</v>
      </c>
      <c r="BA408" s="3" t="s">
        <v>3913</v>
      </c>
      <c r="BB408" s="3" t="s">
        <v>3914</v>
      </c>
      <c r="BC408" s="3" t="s">
        <v>77</v>
      </c>
      <c r="BD408" s="3" t="s">
        <v>78</v>
      </c>
      <c r="BF408" s="3" t="s">
        <v>3914</v>
      </c>
      <c r="BG408" s="3" t="s">
        <v>3915</v>
      </c>
      <c r="BH408">
        <f t="shared" si="16"/>
        <v>0</v>
      </c>
    </row>
    <row r="409" spans="1:60" ht="58" x14ac:dyDescent="0.35">
      <c r="A409" s="2" t="s">
        <v>59</v>
      </c>
      <c r="B409" s="2" t="s">
        <v>60</v>
      </c>
      <c r="C409" s="2" t="s">
        <v>3916</v>
      </c>
      <c r="D409" s="2" t="s">
        <v>3917</v>
      </c>
      <c r="E409" s="2" t="s">
        <v>3918</v>
      </c>
      <c r="G409" s="3" t="s">
        <v>64</v>
      </c>
      <c r="I409" s="3" t="s">
        <v>64</v>
      </c>
      <c r="J409" s="3" t="s">
        <v>64</v>
      </c>
      <c r="K409" s="3" t="s">
        <v>65</v>
      </c>
      <c r="M409" s="2" t="s">
        <v>3919</v>
      </c>
      <c r="N409" s="3" t="s">
        <v>578</v>
      </c>
      <c r="P409" s="3" t="s">
        <v>102</v>
      </c>
      <c r="Q409" s="2" t="s">
        <v>3920</v>
      </c>
      <c r="R409" s="3" t="s">
        <v>70</v>
      </c>
      <c r="S409" s="4">
        <v>0</v>
      </c>
      <c r="T409" s="4">
        <v>0</v>
      </c>
      <c r="W409" s="5" t="s">
        <v>72</v>
      </c>
      <c r="X409" s="5" t="s">
        <v>72</v>
      </c>
      <c r="Y409" s="4">
        <v>72</v>
      </c>
      <c r="Z409" s="4">
        <v>2</v>
      </c>
      <c r="AA409" s="4">
        <v>68</v>
      </c>
      <c r="AB409" s="4">
        <v>1</v>
      </c>
      <c r="AC409" s="4">
        <v>14</v>
      </c>
      <c r="AD409" s="4">
        <v>20</v>
      </c>
      <c r="AE409" s="4">
        <v>87</v>
      </c>
      <c r="AF409" s="4">
        <v>0</v>
      </c>
      <c r="AG409" s="4">
        <v>8</v>
      </c>
      <c r="AH409" s="4">
        <v>17</v>
      </c>
      <c r="AI409" s="4">
        <v>56</v>
      </c>
      <c r="AJ409" s="4">
        <v>1</v>
      </c>
      <c r="AK409" s="4">
        <v>16</v>
      </c>
      <c r="AL409" s="4">
        <v>12</v>
      </c>
      <c r="AM409" s="4">
        <v>28</v>
      </c>
      <c r="AN409" s="4">
        <v>0</v>
      </c>
      <c r="AO409" s="4">
        <v>0</v>
      </c>
      <c r="AP409" s="4">
        <v>1</v>
      </c>
      <c r="AQ409" s="4">
        <v>35</v>
      </c>
      <c r="AR409" s="3" t="s">
        <v>64</v>
      </c>
      <c r="AS409" s="3" t="s">
        <v>64</v>
      </c>
      <c r="AT409" s="3" t="s">
        <v>64</v>
      </c>
      <c r="AV409" s="6" t="str">
        <f>HYPERLINK("http://mcgill.on.worldcat.org/oclc/982652319","Catalog Record")</f>
        <v>Catalog Record</v>
      </c>
      <c r="AW409" s="6" t="str">
        <f>HYPERLINK("http://www.worldcat.org/oclc/982652319","WorldCat Record")</f>
        <v>WorldCat Record</v>
      </c>
      <c r="AX409" s="3" t="s">
        <v>3921</v>
      </c>
      <c r="AY409" s="3" t="s">
        <v>3922</v>
      </c>
      <c r="AZ409" s="3" t="s">
        <v>3923</v>
      </c>
      <c r="BA409" s="3" t="s">
        <v>3923</v>
      </c>
      <c r="BB409" s="3" t="s">
        <v>3924</v>
      </c>
      <c r="BC409" s="3" t="s">
        <v>77</v>
      </c>
      <c r="BD409" s="3" t="s">
        <v>78</v>
      </c>
      <c r="BE409" s="3" t="s">
        <v>3925</v>
      </c>
      <c r="BF409" s="3" t="s">
        <v>3924</v>
      </c>
      <c r="BG409" s="3" t="s">
        <v>3926</v>
      </c>
      <c r="BH409">
        <f t="shared" si="16"/>
        <v>0</v>
      </c>
    </row>
    <row r="410" spans="1:60" ht="58" x14ac:dyDescent="0.35">
      <c r="A410" s="2" t="s">
        <v>59</v>
      </c>
      <c r="B410" s="2" t="s">
        <v>60</v>
      </c>
      <c r="C410" s="2" t="s">
        <v>3927</v>
      </c>
      <c r="D410" s="2" t="s">
        <v>3928</v>
      </c>
      <c r="E410" s="2" t="s">
        <v>3929</v>
      </c>
      <c r="G410" s="3" t="s">
        <v>64</v>
      </c>
      <c r="I410" s="3" t="s">
        <v>64</v>
      </c>
      <c r="J410" s="3" t="s">
        <v>64</v>
      </c>
      <c r="K410" s="3" t="s">
        <v>65</v>
      </c>
      <c r="L410" s="2" t="s">
        <v>3930</v>
      </c>
      <c r="M410" s="2" t="s">
        <v>3931</v>
      </c>
      <c r="N410" s="3" t="s">
        <v>578</v>
      </c>
      <c r="P410" s="3" t="s">
        <v>102</v>
      </c>
      <c r="R410" s="3" t="s">
        <v>70</v>
      </c>
      <c r="S410" s="4">
        <v>0</v>
      </c>
      <c r="T410" s="4">
        <v>0</v>
      </c>
      <c r="W410" s="5" t="s">
        <v>72</v>
      </c>
      <c r="X410" s="5" t="s">
        <v>72</v>
      </c>
      <c r="Y410" s="4">
        <v>49</v>
      </c>
      <c r="Z410" s="4">
        <v>11</v>
      </c>
      <c r="AA410" s="4">
        <v>13</v>
      </c>
      <c r="AB410" s="4">
        <v>1</v>
      </c>
      <c r="AC410" s="4">
        <v>3</v>
      </c>
      <c r="AD410" s="4">
        <v>43</v>
      </c>
      <c r="AE410" s="4">
        <v>45</v>
      </c>
      <c r="AF410" s="4">
        <v>0</v>
      </c>
      <c r="AG410" s="4">
        <v>2</v>
      </c>
      <c r="AH410" s="4">
        <v>36</v>
      </c>
      <c r="AI410" s="4">
        <v>37</v>
      </c>
      <c r="AJ410" s="4">
        <v>8</v>
      </c>
      <c r="AK410" s="4">
        <v>10</v>
      </c>
      <c r="AL410" s="4">
        <v>23</v>
      </c>
      <c r="AM410" s="4">
        <v>23</v>
      </c>
      <c r="AN410" s="4">
        <v>0</v>
      </c>
      <c r="AO410" s="4">
        <v>0</v>
      </c>
      <c r="AP410" s="4">
        <v>9</v>
      </c>
      <c r="AQ410" s="4">
        <v>11</v>
      </c>
      <c r="AR410" s="3" t="s">
        <v>128</v>
      </c>
      <c r="AS410" s="3" t="s">
        <v>64</v>
      </c>
      <c r="AT410" s="3" t="s">
        <v>64</v>
      </c>
      <c r="AV410" s="6" t="str">
        <f>HYPERLINK("http://mcgill.on.worldcat.org/oclc/988154335","Catalog Record")</f>
        <v>Catalog Record</v>
      </c>
      <c r="AW410" s="6" t="str">
        <f>HYPERLINK("http://www.worldcat.org/oclc/988154335","WorldCat Record")</f>
        <v>WorldCat Record</v>
      </c>
      <c r="AX410" s="3" t="s">
        <v>3932</v>
      </c>
      <c r="AY410" s="3" t="s">
        <v>3933</v>
      </c>
      <c r="AZ410" s="3" t="s">
        <v>3934</v>
      </c>
      <c r="BA410" s="3" t="s">
        <v>3934</v>
      </c>
      <c r="BB410" s="3" t="s">
        <v>3935</v>
      </c>
      <c r="BC410" s="3" t="s">
        <v>77</v>
      </c>
      <c r="BD410" s="3" t="s">
        <v>78</v>
      </c>
      <c r="BE410" s="3" t="s">
        <v>3936</v>
      </c>
      <c r="BF410" s="3" t="s">
        <v>3935</v>
      </c>
      <c r="BG410" s="3" t="s">
        <v>3937</v>
      </c>
      <c r="BH410">
        <f t="shared" si="16"/>
        <v>0</v>
      </c>
    </row>
    <row r="411" spans="1:60" ht="58" x14ac:dyDescent="0.35">
      <c r="A411" s="2" t="s">
        <v>59</v>
      </c>
      <c r="B411" s="2" t="s">
        <v>60</v>
      </c>
      <c r="C411" s="2" t="s">
        <v>3938</v>
      </c>
      <c r="D411" s="2" t="s">
        <v>3939</v>
      </c>
      <c r="E411" s="2" t="s">
        <v>3940</v>
      </c>
      <c r="G411" s="3" t="s">
        <v>64</v>
      </c>
      <c r="I411" s="3" t="s">
        <v>64</v>
      </c>
      <c r="J411" s="3" t="s">
        <v>64</v>
      </c>
      <c r="K411" s="3" t="s">
        <v>65</v>
      </c>
      <c r="L411" s="2" t="s">
        <v>3941</v>
      </c>
      <c r="M411" s="2" t="s">
        <v>3942</v>
      </c>
      <c r="N411" s="3" t="s">
        <v>67</v>
      </c>
      <c r="P411" s="3" t="s">
        <v>102</v>
      </c>
      <c r="R411" s="3" t="s">
        <v>70</v>
      </c>
      <c r="S411" s="4">
        <v>17</v>
      </c>
      <c r="T411" s="4">
        <v>17</v>
      </c>
      <c r="U411" s="5" t="s">
        <v>445</v>
      </c>
      <c r="V411" s="5" t="s">
        <v>445</v>
      </c>
      <c r="W411" s="5" t="s">
        <v>72</v>
      </c>
      <c r="X411" s="5" t="s">
        <v>72</v>
      </c>
      <c r="Y411" s="4">
        <v>161</v>
      </c>
      <c r="Z411" s="4">
        <v>17</v>
      </c>
      <c r="AA411" s="4">
        <v>47</v>
      </c>
      <c r="AB411" s="4">
        <v>1</v>
      </c>
      <c r="AC411" s="4">
        <v>3</v>
      </c>
      <c r="AD411" s="4">
        <v>59</v>
      </c>
      <c r="AE411" s="4">
        <v>76</v>
      </c>
      <c r="AF411" s="4">
        <v>0</v>
      </c>
      <c r="AG411" s="4">
        <v>0</v>
      </c>
      <c r="AH411" s="4">
        <v>53</v>
      </c>
      <c r="AI411" s="4">
        <v>61</v>
      </c>
      <c r="AJ411" s="4">
        <v>7</v>
      </c>
      <c r="AK411" s="4">
        <v>10</v>
      </c>
      <c r="AL411" s="4">
        <v>36</v>
      </c>
      <c r="AM411" s="4">
        <v>42</v>
      </c>
      <c r="AN411" s="4">
        <v>0</v>
      </c>
      <c r="AO411" s="4">
        <v>0</v>
      </c>
      <c r="AP411" s="4">
        <v>9</v>
      </c>
      <c r="AQ411" s="4">
        <v>17</v>
      </c>
      <c r="AR411" s="3" t="s">
        <v>64</v>
      </c>
      <c r="AS411" s="3" t="s">
        <v>64</v>
      </c>
      <c r="AT411" s="3" t="s">
        <v>64</v>
      </c>
      <c r="AV411" s="6" t="str">
        <f>HYPERLINK("http://mcgill.on.worldcat.org/oclc/828664488","Catalog Record")</f>
        <v>Catalog Record</v>
      </c>
      <c r="AW411" s="6" t="str">
        <f>HYPERLINK("http://www.worldcat.org/oclc/828664488","WorldCat Record")</f>
        <v>WorldCat Record</v>
      </c>
      <c r="AX411" s="3" t="s">
        <v>3943</v>
      </c>
      <c r="AY411" s="3" t="s">
        <v>3944</v>
      </c>
      <c r="AZ411" s="3" t="s">
        <v>3945</v>
      </c>
      <c r="BA411" s="3" t="s">
        <v>3945</v>
      </c>
      <c r="BB411" s="3" t="s">
        <v>3946</v>
      </c>
      <c r="BC411" s="3" t="s">
        <v>77</v>
      </c>
      <c r="BD411" s="3" t="s">
        <v>78</v>
      </c>
      <c r="BE411" s="3" t="s">
        <v>3947</v>
      </c>
      <c r="BF411" s="3" t="s">
        <v>3946</v>
      </c>
      <c r="BG411" s="3" t="s">
        <v>3948</v>
      </c>
      <c r="BH411">
        <f t="shared" si="16"/>
        <v>0</v>
      </c>
    </row>
    <row r="412" spans="1:60" ht="58" x14ac:dyDescent="0.35">
      <c r="A412" s="2" t="s">
        <v>59</v>
      </c>
      <c r="B412" s="2" t="s">
        <v>60</v>
      </c>
      <c r="C412" s="2" t="s">
        <v>3949</v>
      </c>
      <c r="D412" s="2" t="s">
        <v>3950</v>
      </c>
      <c r="E412" s="2" t="s">
        <v>3951</v>
      </c>
      <c r="G412" s="3" t="s">
        <v>64</v>
      </c>
      <c r="I412" s="3" t="s">
        <v>128</v>
      </c>
      <c r="J412" s="3" t="s">
        <v>64</v>
      </c>
      <c r="K412" s="3" t="s">
        <v>65</v>
      </c>
      <c r="L412" s="2" t="s">
        <v>3952</v>
      </c>
      <c r="M412" s="2" t="s">
        <v>3953</v>
      </c>
      <c r="N412" s="3" t="s">
        <v>1017</v>
      </c>
      <c r="O412" s="2" t="s">
        <v>3954</v>
      </c>
      <c r="P412" s="3" t="s">
        <v>102</v>
      </c>
      <c r="Q412" s="2" t="s">
        <v>3955</v>
      </c>
      <c r="R412" s="3" t="s">
        <v>70</v>
      </c>
      <c r="S412" s="4">
        <v>8</v>
      </c>
      <c r="T412" s="4">
        <v>25</v>
      </c>
      <c r="U412" s="5" t="s">
        <v>3956</v>
      </c>
      <c r="V412" s="5" t="s">
        <v>3957</v>
      </c>
      <c r="W412" s="5" t="s">
        <v>72</v>
      </c>
      <c r="X412" s="5" t="s">
        <v>72</v>
      </c>
      <c r="Y412" s="4">
        <v>951</v>
      </c>
      <c r="Z412" s="4">
        <v>51</v>
      </c>
      <c r="AA412" s="4">
        <v>83</v>
      </c>
      <c r="AB412" s="4">
        <v>4</v>
      </c>
      <c r="AC412" s="4">
        <v>12</v>
      </c>
      <c r="AD412" s="4">
        <v>123</v>
      </c>
      <c r="AE412" s="4">
        <v>144</v>
      </c>
      <c r="AF412" s="4">
        <v>1</v>
      </c>
      <c r="AG412" s="4">
        <v>6</v>
      </c>
      <c r="AH412" s="4">
        <v>105</v>
      </c>
      <c r="AI412" s="4">
        <v>112</v>
      </c>
      <c r="AJ412" s="4">
        <v>18</v>
      </c>
      <c r="AK412" s="4">
        <v>25</v>
      </c>
      <c r="AL412" s="4">
        <v>57</v>
      </c>
      <c r="AM412" s="4">
        <v>61</v>
      </c>
      <c r="AN412" s="4">
        <v>0</v>
      </c>
      <c r="AO412" s="4">
        <v>3</v>
      </c>
      <c r="AP412" s="4">
        <v>24</v>
      </c>
      <c r="AQ412" s="4">
        <v>38</v>
      </c>
      <c r="AR412" s="3" t="s">
        <v>64</v>
      </c>
      <c r="AS412" s="3" t="s">
        <v>64</v>
      </c>
      <c r="AT412" s="3" t="s">
        <v>128</v>
      </c>
      <c r="AU412" s="6" t="str">
        <f>HYPERLINK("http://catalog.hathitrust.org/Record/001757397","HathiTrust Record")</f>
        <v>HathiTrust Record</v>
      </c>
      <c r="AV412" s="6" t="str">
        <f>HYPERLINK("http://mcgill.on.worldcat.org/oclc/140865","Catalog Record")</f>
        <v>Catalog Record</v>
      </c>
      <c r="AW412" s="6" t="str">
        <f>HYPERLINK("http://www.worldcat.org/oclc/140865","WorldCat Record")</f>
        <v>WorldCat Record</v>
      </c>
      <c r="AX412" s="3" t="s">
        <v>3958</v>
      </c>
      <c r="AY412" s="3" t="s">
        <v>3959</v>
      </c>
      <c r="AZ412" s="3" t="s">
        <v>3960</v>
      </c>
      <c r="BA412" s="3" t="s">
        <v>3960</v>
      </c>
      <c r="BB412" s="3" t="s">
        <v>3961</v>
      </c>
      <c r="BC412" s="3" t="s">
        <v>77</v>
      </c>
      <c r="BD412" s="3" t="s">
        <v>78</v>
      </c>
      <c r="BE412" s="3" t="s">
        <v>3962</v>
      </c>
      <c r="BF412" s="3" t="s">
        <v>3961</v>
      </c>
      <c r="BG412" s="3" t="s">
        <v>3963</v>
      </c>
      <c r="BH412">
        <f t="shared" si="16"/>
        <v>0</v>
      </c>
    </row>
    <row r="413" spans="1:60" ht="58" x14ac:dyDescent="0.35">
      <c r="A413" s="2" t="s">
        <v>59</v>
      </c>
      <c r="B413" s="2" t="s">
        <v>60</v>
      </c>
      <c r="C413" s="2" t="s">
        <v>3949</v>
      </c>
      <c r="D413" s="2" t="s">
        <v>3950</v>
      </c>
      <c r="E413" s="2" t="s">
        <v>3951</v>
      </c>
      <c r="G413" s="3" t="s">
        <v>64</v>
      </c>
      <c r="I413" s="3" t="s">
        <v>128</v>
      </c>
      <c r="J413" s="3" t="s">
        <v>64</v>
      </c>
      <c r="K413" s="3" t="s">
        <v>65</v>
      </c>
      <c r="L413" s="2" t="s">
        <v>3952</v>
      </c>
      <c r="M413" s="2" t="s">
        <v>3953</v>
      </c>
      <c r="N413" s="3" t="s">
        <v>1017</v>
      </c>
      <c r="O413" s="2" t="s">
        <v>3954</v>
      </c>
      <c r="P413" s="3" t="s">
        <v>102</v>
      </c>
      <c r="Q413" s="2" t="s">
        <v>3955</v>
      </c>
      <c r="R413" s="3" t="s">
        <v>70</v>
      </c>
      <c r="S413" s="4">
        <v>16</v>
      </c>
      <c r="T413" s="4">
        <v>25</v>
      </c>
      <c r="U413" s="5" t="s">
        <v>3734</v>
      </c>
      <c r="V413" s="5" t="s">
        <v>3957</v>
      </c>
      <c r="W413" s="5" t="s">
        <v>72</v>
      </c>
      <c r="X413" s="5" t="s">
        <v>72</v>
      </c>
      <c r="Y413" s="4">
        <v>951</v>
      </c>
      <c r="Z413" s="4">
        <v>51</v>
      </c>
      <c r="AA413" s="4">
        <v>83</v>
      </c>
      <c r="AB413" s="4">
        <v>4</v>
      </c>
      <c r="AC413" s="4">
        <v>12</v>
      </c>
      <c r="AD413" s="4">
        <v>123</v>
      </c>
      <c r="AE413" s="4">
        <v>144</v>
      </c>
      <c r="AF413" s="4">
        <v>1</v>
      </c>
      <c r="AG413" s="4">
        <v>6</v>
      </c>
      <c r="AH413" s="4">
        <v>105</v>
      </c>
      <c r="AI413" s="4">
        <v>112</v>
      </c>
      <c r="AJ413" s="4">
        <v>18</v>
      </c>
      <c r="AK413" s="4">
        <v>25</v>
      </c>
      <c r="AL413" s="4">
        <v>57</v>
      </c>
      <c r="AM413" s="4">
        <v>61</v>
      </c>
      <c r="AN413" s="4">
        <v>0</v>
      </c>
      <c r="AO413" s="4">
        <v>3</v>
      </c>
      <c r="AP413" s="4">
        <v>24</v>
      </c>
      <c r="AQ413" s="4">
        <v>38</v>
      </c>
      <c r="AR413" s="3" t="s">
        <v>64</v>
      </c>
      <c r="AS413" s="3" t="s">
        <v>64</v>
      </c>
      <c r="AT413" s="3" t="s">
        <v>128</v>
      </c>
      <c r="AU413" s="6" t="str">
        <f>HYPERLINK("http://catalog.hathitrust.org/Record/001757397","HathiTrust Record")</f>
        <v>HathiTrust Record</v>
      </c>
      <c r="AV413" s="6" t="str">
        <f>HYPERLINK("http://mcgill.on.worldcat.org/oclc/140865","Catalog Record")</f>
        <v>Catalog Record</v>
      </c>
      <c r="AW413" s="6" t="str">
        <f>HYPERLINK("http://www.worldcat.org/oclc/140865","WorldCat Record")</f>
        <v>WorldCat Record</v>
      </c>
      <c r="AX413" s="3" t="s">
        <v>3958</v>
      </c>
      <c r="AY413" s="3" t="s">
        <v>3959</v>
      </c>
      <c r="AZ413" s="3" t="s">
        <v>3960</v>
      </c>
      <c r="BA413" s="3" t="s">
        <v>3960</v>
      </c>
      <c r="BB413" s="3" t="s">
        <v>3964</v>
      </c>
      <c r="BC413" s="3" t="s">
        <v>77</v>
      </c>
      <c r="BD413" s="3" t="s">
        <v>78</v>
      </c>
      <c r="BE413" s="3" t="s">
        <v>3962</v>
      </c>
      <c r="BF413" s="3" t="s">
        <v>3964</v>
      </c>
      <c r="BG413" s="3" t="s">
        <v>3965</v>
      </c>
      <c r="BH413">
        <f t="shared" si="16"/>
        <v>0</v>
      </c>
    </row>
    <row r="414" spans="1:60" ht="58" x14ac:dyDescent="0.35">
      <c r="A414" s="2" t="s">
        <v>59</v>
      </c>
      <c r="B414" s="2" t="s">
        <v>60</v>
      </c>
      <c r="C414" s="2" t="s">
        <v>3966</v>
      </c>
      <c r="D414" s="2" t="s">
        <v>3967</v>
      </c>
      <c r="E414" s="2" t="s">
        <v>3968</v>
      </c>
      <c r="G414" s="3" t="s">
        <v>64</v>
      </c>
      <c r="I414" s="3" t="s">
        <v>64</v>
      </c>
      <c r="J414" s="3" t="s">
        <v>64</v>
      </c>
      <c r="K414" s="3" t="s">
        <v>65</v>
      </c>
      <c r="L414" s="2" t="s">
        <v>3969</v>
      </c>
      <c r="M414" s="2" t="s">
        <v>3970</v>
      </c>
      <c r="N414" s="3" t="s">
        <v>405</v>
      </c>
      <c r="P414" s="3" t="s">
        <v>102</v>
      </c>
      <c r="R414" s="3" t="s">
        <v>70</v>
      </c>
      <c r="S414" s="4">
        <v>54</v>
      </c>
      <c r="T414" s="4">
        <v>54</v>
      </c>
      <c r="U414" s="5" t="s">
        <v>3971</v>
      </c>
      <c r="V414" s="5" t="s">
        <v>3971</v>
      </c>
      <c r="W414" s="5" t="s">
        <v>72</v>
      </c>
      <c r="X414" s="5" t="s">
        <v>72</v>
      </c>
      <c r="Y414" s="4">
        <v>555</v>
      </c>
      <c r="Z414" s="4">
        <v>35</v>
      </c>
      <c r="AA414" s="4">
        <v>38</v>
      </c>
      <c r="AB414" s="4">
        <v>2</v>
      </c>
      <c r="AC414" s="4">
        <v>5</v>
      </c>
      <c r="AD414" s="4">
        <v>109</v>
      </c>
      <c r="AE414" s="4">
        <v>111</v>
      </c>
      <c r="AF414" s="4">
        <v>1</v>
      </c>
      <c r="AG414" s="4">
        <v>3</v>
      </c>
      <c r="AH414" s="4">
        <v>91</v>
      </c>
      <c r="AI414" s="4">
        <v>92</v>
      </c>
      <c r="AJ414" s="4">
        <v>19</v>
      </c>
      <c r="AK414" s="4">
        <v>21</v>
      </c>
      <c r="AL414" s="4">
        <v>47</v>
      </c>
      <c r="AM414" s="4">
        <v>47</v>
      </c>
      <c r="AN414" s="4">
        <v>0</v>
      </c>
      <c r="AO414" s="4">
        <v>0</v>
      </c>
      <c r="AP414" s="4">
        <v>26</v>
      </c>
      <c r="AQ414" s="4">
        <v>27</v>
      </c>
      <c r="AR414" s="3" t="s">
        <v>64</v>
      </c>
      <c r="AS414" s="3" t="s">
        <v>64</v>
      </c>
      <c r="AT414" s="3" t="s">
        <v>128</v>
      </c>
      <c r="AU414" s="6" t="str">
        <f>HYPERLINK("http://catalog.hathitrust.org/Record/000210095","HathiTrust Record")</f>
        <v>HathiTrust Record</v>
      </c>
      <c r="AV414" s="6" t="str">
        <f>HYPERLINK("http://mcgill.on.worldcat.org/oclc/2810401","Catalog Record")</f>
        <v>Catalog Record</v>
      </c>
      <c r="AW414" s="6" t="str">
        <f>HYPERLINK("http://www.worldcat.org/oclc/2810401","WorldCat Record")</f>
        <v>WorldCat Record</v>
      </c>
      <c r="AX414" s="3" t="s">
        <v>3972</v>
      </c>
      <c r="AY414" s="3" t="s">
        <v>3973</v>
      </c>
      <c r="AZ414" s="3" t="s">
        <v>3974</v>
      </c>
      <c r="BA414" s="3" t="s">
        <v>3974</v>
      </c>
      <c r="BB414" s="3" t="s">
        <v>3975</v>
      </c>
      <c r="BC414" s="3" t="s">
        <v>77</v>
      </c>
      <c r="BD414" s="3" t="s">
        <v>78</v>
      </c>
      <c r="BE414" s="3" t="s">
        <v>3976</v>
      </c>
      <c r="BF414" s="3" t="s">
        <v>3975</v>
      </c>
      <c r="BG414" s="3" t="s">
        <v>3977</v>
      </c>
      <c r="BH414">
        <f t="shared" si="16"/>
        <v>0</v>
      </c>
    </row>
    <row r="415" spans="1:60" ht="58" x14ac:dyDescent="0.35">
      <c r="A415" s="2" t="s">
        <v>59</v>
      </c>
      <c r="B415" s="2" t="s">
        <v>60</v>
      </c>
      <c r="C415" s="2" t="s">
        <v>3978</v>
      </c>
      <c r="D415" s="2" t="s">
        <v>3979</v>
      </c>
      <c r="E415" s="2" t="s">
        <v>3980</v>
      </c>
      <c r="G415" s="3" t="s">
        <v>64</v>
      </c>
      <c r="I415" s="3" t="s">
        <v>64</v>
      </c>
      <c r="J415" s="3" t="s">
        <v>64</v>
      </c>
      <c r="K415" s="3" t="s">
        <v>65</v>
      </c>
      <c r="M415" s="2" t="s">
        <v>3981</v>
      </c>
      <c r="N415" s="3" t="s">
        <v>434</v>
      </c>
      <c r="P415" s="3" t="s">
        <v>102</v>
      </c>
      <c r="Q415" s="2" t="s">
        <v>3982</v>
      </c>
      <c r="R415" s="3" t="s">
        <v>70</v>
      </c>
      <c r="S415" s="4">
        <v>5</v>
      </c>
      <c r="T415" s="4">
        <v>5</v>
      </c>
      <c r="U415" s="5" t="s">
        <v>3983</v>
      </c>
      <c r="V415" s="5" t="s">
        <v>3983</v>
      </c>
      <c r="W415" s="5" t="s">
        <v>72</v>
      </c>
      <c r="X415" s="5" t="s">
        <v>72</v>
      </c>
      <c r="Y415" s="4">
        <v>82</v>
      </c>
      <c r="Z415" s="4">
        <v>8</v>
      </c>
      <c r="AA415" s="4">
        <v>100</v>
      </c>
      <c r="AB415" s="4">
        <v>1</v>
      </c>
      <c r="AC415" s="4">
        <v>18</v>
      </c>
      <c r="AD415" s="4">
        <v>28</v>
      </c>
      <c r="AE415" s="4">
        <v>111</v>
      </c>
      <c r="AF415" s="4">
        <v>0</v>
      </c>
      <c r="AG415" s="4">
        <v>8</v>
      </c>
      <c r="AH415" s="4">
        <v>27</v>
      </c>
      <c r="AI415" s="4">
        <v>75</v>
      </c>
      <c r="AJ415" s="4">
        <v>5</v>
      </c>
      <c r="AK415" s="4">
        <v>22</v>
      </c>
      <c r="AL415" s="4">
        <v>17</v>
      </c>
      <c r="AM415" s="4">
        <v>39</v>
      </c>
      <c r="AN415" s="4">
        <v>0</v>
      </c>
      <c r="AO415" s="4">
        <v>0</v>
      </c>
      <c r="AP415" s="4">
        <v>5</v>
      </c>
      <c r="AQ415" s="4">
        <v>43</v>
      </c>
      <c r="AR415" s="3" t="s">
        <v>64</v>
      </c>
      <c r="AS415" s="3" t="s">
        <v>64</v>
      </c>
      <c r="AT415" s="3" t="s">
        <v>64</v>
      </c>
      <c r="AV415" s="6" t="str">
        <f>HYPERLINK("http://mcgill.on.worldcat.org/oclc/58872208","Catalog Record")</f>
        <v>Catalog Record</v>
      </c>
      <c r="AW415" s="6" t="str">
        <f>HYPERLINK("http://www.worldcat.org/oclc/58872208","WorldCat Record")</f>
        <v>WorldCat Record</v>
      </c>
      <c r="AX415" s="3" t="s">
        <v>3984</v>
      </c>
      <c r="AY415" s="3" t="s">
        <v>3985</v>
      </c>
      <c r="AZ415" s="3" t="s">
        <v>3986</v>
      </c>
      <c r="BA415" s="3" t="s">
        <v>3986</v>
      </c>
      <c r="BB415" s="3" t="s">
        <v>3987</v>
      </c>
      <c r="BC415" s="3" t="s">
        <v>77</v>
      </c>
      <c r="BD415" s="3" t="s">
        <v>78</v>
      </c>
      <c r="BE415" s="3" t="s">
        <v>3988</v>
      </c>
      <c r="BF415" s="3" t="s">
        <v>3987</v>
      </c>
      <c r="BG415" s="3" t="s">
        <v>3989</v>
      </c>
      <c r="BH415">
        <f t="shared" si="16"/>
        <v>0</v>
      </c>
    </row>
    <row r="416" spans="1:60" ht="72.5" x14ac:dyDescent="0.35">
      <c r="A416" s="2" t="s">
        <v>59</v>
      </c>
      <c r="B416" s="2" t="s">
        <v>1025</v>
      </c>
      <c r="C416" s="2" t="s">
        <v>3990</v>
      </c>
      <c r="D416" s="2" t="s">
        <v>3991</v>
      </c>
      <c r="E416" s="2" t="s">
        <v>3992</v>
      </c>
      <c r="G416" s="3" t="s">
        <v>64</v>
      </c>
      <c r="I416" s="3" t="s">
        <v>64</v>
      </c>
      <c r="J416" s="3" t="s">
        <v>64</v>
      </c>
      <c r="K416" s="3" t="s">
        <v>65</v>
      </c>
      <c r="L416" s="2" t="s">
        <v>3993</v>
      </c>
      <c r="M416" s="2" t="s">
        <v>1578</v>
      </c>
      <c r="N416" s="3" t="s">
        <v>1250</v>
      </c>
      <c r="P416" s="3" t="s">
        <v>102</v>
      </c>
      <c r="R416" s="3" t="s">
        <v>70</v>
      </c>
      <c r="S416" s="4">
        <v>34</v>
      </c>
      <c r="T416" s="4">
        <v>34</v>
      </c>
      <c r="U416" s="5" t="s">
        <v>3994</v>
      </c>
      <c r="V416" s="5" t="s">
        <v>3994</v>
      </c>
      <c r="W416" s="5" t="s">
        <v>72</v>
      </c>
      <c r="X416" s="5" t="s">
        <v>72</v>
      </c>
      <c r="Y416" s="4">
        <v>513</v>
      </c>
      <c r="Z416" s="4">
        <v>35</v>
      </c>
      <c r="AA416" s="4">
        <v>41</v>
      </c>
      <c r="AB416" s="4">
        <v>3</v>
      </c>
      <c r="AC416" s="4">
        <v>5</v>
      </c>
      <c r="AD416" s="4">
        <v>120</v>
      </c>
      <c r="AE416" s="4">
        <v>129</v>
      </c>
      <c r="AF416" s="4">
        <v>1</v>
      </c>
      <c r="AG416" s="4">
        <v>3</v>
      </c>
      <c r="AH416" s="4">
        <v>105</v>
      </c>
      <c r="AI416" s="4">
        <v>110</v>
      </c>
      <c r="AJ416" s="4">
        <v>17</v>
      </c>
      <c r="AK416" s="4">
        <v>21</v>
      </c>
      <c r="AL416" s="4">
        <v>59</v>
      </c>
      <c r="AM416" s="4">
        <v>61</v>
      </c>
      <c r="AN416" s="4">
        <v>0</v>
      </c>
      <c r="AO416" s="4">
        <v>0</v>
      </c>
      <c r="AP416" s="4">
        <v>22</v>
      </c>
      <c r="AQ416" s="4">
        <v>27</v>
      </c>
      <c r="AR416" s="3" t="s">
        <v>64</v>
      </c>
      <c r="AS416" s="3" t="s">
        <v>64</v>
      </c>
      <c r="AT416" s="3" t="s">
        <v>64</v>
      </c>
      <c r="AV416" s="6" t="str">
        <f>HYPERLINK("http://mcgill.on.worldcat.org/oclc/29184703","Catalog Record")</f>
        <v>Catalog Record</v>
      </c>
      <c r="AW416" s="6" t="str">
        <f>HYPERLINK("http://www.worldcat.org/oclc/29184703","WorldCat Record")</f>
        <v>WorldCat Record</v>
      </c>
      <c r="AX416" s="3" t="s">
        <v>3995</v>
      </c>
      <c r="AY416" s="3" t="s">
        <v>3996</v>
      </c>
      <c r="AZ416" s="3" t="s">
        <v>3997</v>
      </c>
      <c r="BA416" s="3" t="s">
        <v>3997</v>
      </c>
      <c r="BB416" s="3" t="s">
        <v>3998</v>
      </c>
      <c r="BC416" s="3" t="s">
        <v>77</v>
      </c>
      <c r="BD416" s="3" t="s">
        <v>78</v>
      </c>
      <c r="BE416" s="3" t="s">
        <v>3999</v>
      </c>
      <c r="BF416" s="3" t="s">
        <v>3998</v>
      </c>
      <c r="BG416" s="3" t="s">
        <v>4000</v>
      </c>
      <c r="BH416">
        <f t="shared" si="16"/>
        <v>0</v>
      </c>
    </row>
    <row r="417" spans="1:60" ht="58" x14ac:dyDescent="0.35">
      <c r="A417" s="2" t="s">
        <v>59</v>
      </c>
      <c r="B417" s="2" t="s">
        <v>60</v>
      </c>
      <c r="C417" s="2" t="s">
        <v>4001</v>
      </c>
      <c r="D417" s="2" t="s">
        <v>4002</v>
      </c>
      <c r="E417" s="2" t="s">
        <v>4003</v>
      </c>
      <c r="G417" s="3" t="s">
        <v>64</v>
      </c>
      <c r="I417" s="3" t="s">
        <v>64</v>
      </c>
      <c r="J417" s="3" t="s">
        <v>64</v>
      </c>
      <c r="K417" s="3" t="s">
        <v>65</v>
      </c>
      <c r="L417" s="2" t="s">
        <v>4004</v>
      </c>
      <c r="M417" s="2" t="s">
        <v>4005</v>
      </c>
      <c r="N417" s="3" t="s">
        <v>326</v>
      </c>
      <c r="P417" s="3" t="s">
        <v>102</v>
      </c>
      <c r="Q417" s="2" t="s">
        <v>351</v>
      </c>
      <c r="R417" s="3" t="s">
        <v>70</v>
      </c>
      <c r="S417" s="4">
        <v>10</v>
      </c>
      <c r="T417" s="4">
        <v>10</v>
      </c>
      <c r="U417" s="5" t="s">
        <v>3284</v>
      </c>
      <c r="V417" s="5" t="s">
        <v>3284</v>
      </c>
      <c r="W417" s="5" t="s">
        <v>72</v>
      </c>
      <c r="X417" s="5" t="s">
        <v>72</v>
      </c>
      <c r="Y417" s="4">
        <v>463</v>
      </c>
      <c r="Z417" s="4">
        <v>24</v>
      </c>
      <c r="AA417" s="4">
        <v>52</v>
      </c>
      <c r="AB417" s="4">
        <v>3</v>
      </c>
      <c r="AC417" s="4">
        <v>10</v>
      </c>
      <c r="AD417" s="4">
        <v>97</v>
      </c>
      <c r="AE417" s="4">
        <v>125</v>
      </c>
      <c r="AF417" s="4">
        <v>1</v>
      </c>
      <c r="AG417" s="4">
        <v>4</v>
      </c>
      <c r="AH417" s="4">
        <v>88</v>
      </c>
      <c r="AI417" s="4">
        <v>100</v>
      </c>
      <c r="AJ417" s="4">
        <v>10</v>
      </c>
      <c r="AK417" s="4">
        <v>19</v>
      </c>
      <c r="AL417" s="4">
        <v>54</v>
      </c>
      <c r="AM417" s="4">
        <v>58</v>
      </c>
      <c r="AN417" s="4">
        <v>0</v>
      </c>
      <c r="AO417" s="4">
        <v>0</v>
      </c>
      <c r="AP417" s="4">
        <v>13</v>
      </c>
      <c r="AQ417" s="4">
        <v>29</v>
      </c>
      <c r="AR417" s="3" t="s">
        <v>64</v>
      </c>
      <c r="AS417" s="3" t="s">
        <v>64</v>
      </c>
      <c r="AT417" s="3" t="s">
        <v>64</v>
      </c>
      <c r="AV417" s="6" t="str">
        <f>HYPERLINK("http://mcgill.on.worldcat.org/oclc/606785076","Catalog Record")</f>
        <v>Catalog Record</v>
      </c>
      <c r="AW417" s="6" t="str">
        <f>HYPERLINK("http://www.worldcat.org/oclc/606785076","WorldCat Record")</f>
        <v>WorldCat Record</v>
      </c>
      <c r="AX417" s="3" t="s">
        <v>4006</v>
      </c>
      <c r="AY417" s="3" t="s">
        <v>4007</v>
      </c>
      <c r="AZ417" s="3" t="s">
        <v>4008</v>
      </c>
      <c r="BA417" s="3" t="s">
        <v>4008</v>
      </c>
      <c r="BB417" s="3" t="s">
        <v>4009</v>
      </c>
      <c r="BC417" s="3" t="s">
        <v>77</v>
      </c>
      <c r="BD417" s="3" t="s">
        <v>78</v>
      </c>
      <c r="BE417" s="3" t="s">
        <v>4010</v>
      </c>
      <c r="BF417" s="3" t="s">
        <v>4009</v>
      </c>
      <c r="BG417" s="3" t="s">
        <v>4011</v>
      </c>
      <c r="BH417">
        <f t="shared" si="16"/>
        <v>0</v>
      </c>
    </row>
    <row r="418" spans="1:60" ht="72.5" x14ac:dyDescent="0.35">
      <c r="A418" s="2" t="s">
        <v>59</v>
      </c>
      <c r="B418" s="2" t="s">
        <v>1025</v>
      </c>
      <c r="C418" s="2" t="s">
        <v>4012</v>
      </c>
      <c r="D418" s="2" t="s">
        <v>4013</v>
      </c>
      <c r="E418" s="2" t="s">
        <v>4014</v>
      </c>
      <c r="F418" s="3" t="s">
        <v>478</v>
      </c>
      <c r="G418" s="3" t="s">
        <v>128</v>
      </c>
      <c r="I418" s="3" t="s">
        <v>128</v>
      </c>
      <c r="J418" s="3" t="s">
        <v>64</v>
      </c>
      <c r="K418" s="3" t="s">
        <v>65</v>
      </c>
      <c r="L418" s="2" t="s">
        <v>4004</v>
      </c>
      <c r="M418" s="2" t="s">
        <v>4015</v>
      </c>
      <c r="N418" s="3" t="s">
        <v>3721</v>
      </c>
      <c r="P418" s="3" t="s">
        <v>102</v>
      </c>
      <c r="R418" s="3" t="s">
        <v>70</v>
      </c>
      <c r="S418" s="4">
        <v>82</v>
      </c>
      <c r="T418" s="4">
        <v>335</v>
      </c>
      <c r="U418" s="5" t="s">
        <v>4016</v>
      </c>
      <c r="V418" s="5" t="s">
        <v>4017</v>
      </c>
      <c r="W418" s="5" t="s">
        <v>72</v>
      </c>
      <c r="X418" s="5" t="s">
        <v>72</v>
      </c>
      <c r="Y418" s="4">
        <v>1117</v>
      </c>
      <c r="Z418" s="4">
        <v>69</v>
      </c>
      <c r="AA418" s="4">
        <v>87</v>
      </c>
      <c r="AB418" s="4">
        <v>4</v>
      </c>
      <c r="AC418" s="4">
        <v>11</v>
      </c>
      <c r="AD418" s="4">
        <v>152</v>
      </c>
      <c r="AE418" s="4">
        <v>162</v>
      </c>
      <c r="AF418" s="4">
        <v>2</v>
      </c>
      <c r="AG418" s="4">
        <v>6</v>
      </c>
      <c r="AH418" s="4">
        <v>115</v>
      </c>
      <c r="AI418" s="4">
        <v>117</v>
      </c>
      <c r="AJ418" s="4">
        <v>23</v>
      </c>
      <c r="AK418" s="4">
        <v>28</v>
      </c>
      <c r="AL418" s="4">
        <v>61</v>
      </c>
      <c r="AM418" s="4">
        <v>61</v>
      </c>
      <c r="AN418" s="4">
        <v>0</v>
      </c>
      <c r="AO418" s="4">
        <v>0</v>
      </c>
      <c r="AP418" s="4">
        <v>41</v>
      </c>
      <c r="AQ418" s="4">
        <v>50</v>
      </c>
      <c r="AR418" s="3" t="s">
        <v>64</v>
      </c>
      <c r="AS418" s="3" t="s">
        <v>64</v>
      </c>
      <c r="AT418" s="3" t="s">
        <v>128</v>
      </c>
      <c r="AU418" s="6" t="str">
        <f>HYPERLINK("http://catalog.hathitrust.org/Record/000037087","HathiTrust Record")</f>
        <v>HathiTrust Record</v>
      </c>
      <c r="AV418" s="6" t="str">
        <f>HYPERLINK("http://mcgill.on.worldcat.org/oclc/3608722","Catalog Record")</f>
        <v>Catalog Record</v>
      </c>
      <c r="AW418" s="6" t="str">
        <f>HYPERLINK("http://www.worldcat.org/oclc/3608722","WorldCat Record")</f>
        <v>WorldCat Record</v>
      </c>
      <c r="AX418" s="3" t="s">
        <v>4018</v>
      </c>
      <c r="AY418" s="3" t="s">
        <v>4019</v>
      </c>
      <c r="AZ418" s="3" t="s">
        <v>4020</v>
      </c>
      <c r="BA418" s="3" t="s">
        <v>4020</v>
      </c>
      <c r="BB418" s="3" t="s">
        <v>4021</v>
      </c>
      <c r="BC418" s="3" t="s">
        <v>77</v>
      </c>
      <c r="BD418" s="3" t="s">
        <v>78</v>
      </c>
      <c r="BE418" s="3" t="s">
        <v>4022</v>
      </c>
      <c r="BF418" s="3" t="s">
        <v>4021</v>
      </c>
      <c r="BG418" s="3" t="s">
        <v>4023</v>
      </c>
      <c r="BH418">
        <f t="shared" si="16"/>
        <v>0</v>
      </c>
    </row>
    <row r="419" spans="1:60" ht="58" x14ac:dyDescent="0.35">
      <c r="A419" s="2" t="s">
        <v>59</v>
      </c>
      <c r="B419" s="2" t="s">
        <v>60</v>
      </c>
      <c r="C419" s="2" t="s">
        <v>4012</v>
      </c>
      <c r="D419" s="2" t="s">
        <v>4013</v>
      </c>
      <c r="E419" s="2" t="s">
        <v>4014</v>
      </c>
      <c r="F419" s="3" t="s">
        <v>4024</v>
      </c>
      <c r="G419" s="3" t="s">
        <v>128</v>
      </c>
      <c r="I419" s="3" t="s">
        <v>128</v>
      </c>
      <c r="J419" s="3" t="s">
        <v>64</v>
      </c>
      <c r="K419" s="3" t="s">
        <v>65</v>
      </c>
      <c r="L419" s="2" t="s">
        <v>4004</v>
      </c>
      <c r="M419" s="2" t="s">
        <v>4015</v>
      </c>
      <c r="N419" s="3" t="s">
        <v>3721</v>
      </c>
      <c r="P419" s="3" t="s">
        <v>102</v>
      </c>
      <c r="R419" s="3" t="s">
        <v>70</v>
      </c>
      <c r="S419" s="4">
        <v>96</v>
      </c>
      <c r="T419" s="4">
        <v>335</v>
      </c>
      <c r="U419" s="5" t="s">
        <v>4017</v>
      </c>
      <c r="V419" s="5" t="s">
        <v>4017</v>
      </c>
      <c r="W419" s="5" t="s">
        <v>72</v>
      </c>
      <c r="X419" s="5" t="s">
        <v>72</v>
      </c>
      <c r="Y419" s="4">
        <v>1117</v>
      </c>
      <c r="Z419" s="4">
        <v>69</v>
      </c>
      <c r="AA419" s="4">
        <v>87</v>
      </c>
      <c r="AB419" s="4">
        <v>4</v>
      </c>
      <c r="AC419" s="4">
        <v>11</v>
      </c>
      <c r="AD419" s="4">
        <v>152</v>
      </c>
      <c r="AE419" s="4">
        <v>162</v>
      </c>
      <c r="AF419" s="4">
        <v>2</v>
      </c>
      <c r="AG419" s="4">
        <v>6</v>
      </c>
      <c r="AH419" s="4">
        <v>115</v>
      </c>
      <c r="AI419" s="4">
        <v>117</v>
      </c>
      <c r="AJ419" s="4">
        <v>23</v>
      </c>
      <c r="AK419" s="4">
        <v>28</v>
      </c>
      <c r="AL419" s="4">
        <v>61</v>
      </c>
      <c r="AM419" s="4">
        <v>61</v>
      </c>
      <c r="AN419" s="4">
        <v>0</v>
      </c>
      <c r="AO419" s="4">
        <v>0</v>
      </c>
      <c r="AP419" s="4">
        <v>41</v>
      </c>
      <c r="AQ419" s="4">
        <v>50</v>
      </c>
      <c r="AR419" s="3" t="s">
        <v>64</v>
      </c>
      <c r="AS419" s="3" t="s">
        <v>64</v>
      </c>
      <c r="AT419" s="3" t="s">
        <v>128</v>
      </c>
      <c r="AU419" s="6" t="str">
        <f>HYPERLINK("http://catalog.hathitrust.org/Record/000037087","HathiTrust Record")</f>
        <v>HathiTrust Record</v>
      </c>
      <c r="AV419" s="6" t="str">
        <f>HYPERLINK("http://mcgill.on.worldcat.org/oclc/3608722","Catalog Record")</f>
        <v>Catalog Record</v>
      </c>
      <c r="AW419" s="6" t="str">
        <f>HYPERLINK("http://www.worldcat.org/oclc/3608722","WorldCat Record")</f>
        <v>WorldCat Record</v>
      </c>
      <c r="AX419" s="3" t="s">
        <v>4018</v>
      </c>
      <c r="AY419" s="3" t="s">
        <v>4019</v>
      </c>
      <c r="AZ419" s="3" t="s">
        <v>4020</v>
      </c>
      <c r="BA419" s="3" t="s">
        <v>4020</v>
      </c>
      <c r="BB419" s="3" t="s">
        <v>4025</v>
      </c>
      <c r="BC419" s="3" t="s">
        <v>77</v>
      </c>
      <c r="BD419" s="3" t="s">
        <v>165</v>
      </c>
      <c r="BE419" s="3" t="s">
        <v>4022</v>
      </c>
      <c r="BF419" s="3" t="s">
        <v>4025</v>
      </c>
      <c r="BG419" s="3" t="s">
        <v>4026</v>
      </c>
      <c r="BH419">
        <f t="shared" si="16"/>
        <v>0</v>
      </c>
    </row>
    <row r="420" spans="1:60" ht="72.5" x14ac:dyDescent="0.35">
      <c r="A420" s="2" t="s">
        <v>59</v>
      </c>
      <c r="B420" s="2" t="s">
        <v>1025</v>
      </c>
      <c r="C420" s="2" t="s">
        <v>4012</v>
      </c>
      <c r="D420" s="2" t="s">
        <v>4013</v>
      </c>
      <c r="E420" s="2" t="s">
        <v>4014</v>
      </c>
      <c r="F420" s="3" t="s">
        <v>489</v>
      </c>
      <c r="G420" s="3" t="s">
        <v>128</v>
      </c>
      <c r="I420" s="3" t="s">
        <v>128</v>
      </c>
      <c r="J420" s="3" t="s">
        <v>64</v>
      </c>
      <c r="K420" s="3" t="s">
        <v>65</v>
      </c>
      <c r="L420" s="2" t="s">
        <v>4004</v>
      </c>
      <c r="M420" s="2" t="s">
        <v>4015</v>
      </c>
      <c r="N420" s="3" t="s">
        <v>3721</v>
      </c>
      <c r="P420" s="3" t="s">
        <v>102</v>
      </c>
      <c r="R420" s="3" t="s">
        <v>70</v>
      </c>
      <c r="S420" s="4">
        <v>54</v>
      </c>
      <c r="T420" s="4">
        <v>335</v>
      </c>
      <c r="U420" s="5" t="s">
        <v>4027</v>
      </c>
      <c r="V420" s="5" t="s">
        <v>4017</v>
      </c>
      <c r="W420" s="5" t="s">
        <v>72</v>
      </c>
      <c r="X420" s="5" t="s">
        <v>72</v>
      </c>
      <c r="Y420" s="4">
        <v>1117</v>
      </c>
      <c r="Z420" s="4">
        <v>69</v>
      </c>
      <c r="AA420" s="4">
        <v>87</v>
      </c>
      <c r="AB420" s="4">
        <v>4</v>
      </c>
      <c r="AC420" s="4">
        <v>11</v>
      </c>
      <c r="AD420" s="4">
        <v>152</v>
      </c>
      <c r="AE420" s="4">
        <v>162</v>
      </c>
      <c r="AF420" s="4">
        <v>2</v>
      </c>
      <c r="AG420" s="4">
        <v>6</v>
      </c>
      <c r="AH420" s="4">
        <v>115</v>
      </c>
      <c r="AI420" s="4">
        <v>117</v>
      </c>
      <c r="AJ420" s="4">
        <v>23</v>
      </c>
      <c r="AK420" s="4">
        <v>28</v>
      </c>
      <c r="AL420" s="4">
        <v>61</v>
      </c>
      <c r="AM420" s="4">
        <v>61</v>
      </c>
      <c r="AN420" s="4">
        <v>0</v>
      </c>
      <c r="AO420" s="4">
        <v>0</v>
      </c>
      <c r="AP420" s="4">
        <v>41</v>
      </c>
      <c r="AQ420" s="4">
        <v>50</v>
      </c>
      <c r="AR420" s="3" t="s">
        <v>64</v>
      </c>
      <c r="AS420" s="3" t="s">
        <v>64</v>
      </c>
      <c r="AT420" s="3" t="s">
        <v>128</v>
      </c>
      <c r="AU420" s="6" t="str">
        <f>HYPERLINK("http://catalog.hathitrust.org/Record/000037087","HathiTrust Record")</f>
        <v>HathiTrust Record</v>
      </c>
      <c r="AV420" s="6" t="str">
        <f>HYPERLINK("http://mcgill.on.worldcat.org/oclc/3608722","Catalog Record")</f>
        <v>Catalog Record</v>
      </c>
      <c r="AW420" s="6" t="str">
        <f>HYPERLINK("http://www.worldcat.org/oclc/3608722","WorldCat Record")</f>
        <v>WorldCat Record</v>
      </c>
      <c r="AX420" s="3" t="s">
        <v>4018</v>
      </c>
      <c r="AY420" s="3" t="s">
        <v>4019</v>
      </c>
      <c r="AZ420" s="3" t="s">
        <v>4020</v>
      </c>
      <c r="BA420" s="3" t="s">
        <v>4020</v>
      </c>
      <c r="BB420" s="3" t="s">
        <v>4028</v>
      </c>
      <c r="BC420" s="3" t="s">
        <v>77</v>
      </c>
      <c r="BD420" s="3" t="s">
        <v>78</v>
      </c>
      <c r="BE420" s="3" t="s">
        <v>4022</v>
      </c>
      <c r="BF420" s="3" t="s">
        <v>4028</v>
      </c>
      <c r="BG420" s="3" t="s">
        <v>4029</v>
      </c>
      <c r="BH420">
        <f t="shared" si="16"/>
        <v>0</v>
      </c>
    </row>
    <row r="421" spans="1:60" ht="58" x14ac:dyDescent="0.35">
      <c r="A421" s="2" t="s">
        <v>59</v>
      </c>
      <c r="B421" s="2" t="s">
        <v>60</v>
      </c>
      <c r="C421" s="2" t="s">
        <v>4012</v>
      </c>
      <c r="D421" s="2" t="s">
        <v>4013</v>
      </c>
      <c r="E421" s="2" t="s">
        <v>4014</v>
      </c>
      <c r="F421" s="3" t="s">
        <v>525</v>
      </c>
      <c r="G421" s="3" t="s">
        <v>128</v>
      </c>
      <c r="I421" s="3" t="s">
        <v>128</v>
      </c>
      <c r="J421" s="3" t="s">
        <v>64</v>
      </c>
      <c r="K421" s="3" t="s">
        <v>65</v>
      </c>
      <c r="L421" s="2" t="s">
        <v>4004</v>
      </c>
      <c r="M421" s="2" t="s">
        <v>4015</v>
      </c>
      <c r="N421" s="3" t="s">
        <v>3721</v>
      </c>
      <c r="P421" s="3" t="s">
        <v>102</v>
      </c>
      <c r="R421" s="3" t="s">
        <v>70</v>
      </c>
      <c r="S421" s="4">
        <v>103</v>
      </c>
      <c r="T421" s="4">
        <v>335</v>
      </c>
      <c r="U421" s="5" t="s">
        <v>1714</v>
      </c>
      <c r="V421" s="5" t="s">
        <v>4017</v>
      </c>
      <c r="W421" s="5" t="s">
        <v>72</v>
      </c>
      <c r="X421" s="5" t="s">
        <v>72</v>
      </c>
      <c r="Y421" s="4">
        <v>1117</v>
      </c>
      <c r="Z421" s="4">
        <v>69</v>
      </c>
      <c r="AA421" s="4">
        <v>87</v>
      </c>
      <c r="AB421" s="4">
        <v>4</v>
      </c>
      <c r="AC421" s="4">
        <v>11</v>
      </c>
      <c r="AD421" s="4">
        <v>152</v>
      </c>
      <c r="AE421" s="4">
        <v>162</v>
      </c>
      <c r="AF421" s="4">
        <v>2</v>
      </c>
      <c r="AG421" s="4">
        <v>6</v>
      </c>
      <c r="AH421" s="4">
        <v>115</v>
      </c>
      <c r="AI421" s="4">
        <v>117</v>
      </c>
      <c r="AJ421" s="4">
        <v>23</v>
      </c>
      <c r="AK421" s="4">
        <v>28</v>
      </c>
      <c r="AL421" s="4">
        <v>61</v>
      </c>
      <c r="AM421" s="4">
        <v>61</v>
      </c>
      <c r="AN421" s="4">
        <v>0</v>
      </c>
      <c r="AO421" s="4">
        <v>0</v>
      </c>
      <c r="AP421" s="4">
        <v>41</v>
      </c>
      <c r="AQ421" s="4">
        <v>50</v>
      </c>
      <c r="AR421" s="3" t="s">
        <v>64</v>
      </c>
      <c r="AS421" s="3" t="s">
        <v>64</v>
      </c>
      <c r="AT421" s="3" t="s">
        <v>128</v>
      </c>
      <c r="AU421" s="6" t="str">
        <f>HYPERLINK("http://catalog.hathitrust.org/Record/000037087","HathiTrust Record")</f>
        <v>HathiTrust Record</v>
      </c>
      <c r="AV421" s="6" t="str">
        <f>HYPERLINK("http://mcgill.on.worldcat.org/oclc/3608722","Catalog Record")</f>
        <v>Catalog Record</v>
      </c>
      <c r="AW421" s="6" t="str">
        <f>HYPERLINK("http://www.worldcat.org/oclc/3608722","WorldCat Record")</f>
        <v>WorldCat Record</v>
      </c>
      <c r="AX421" s="3" t="s">
        <v>4018</v>
      </c>
      <c r="AY421" s="3" t="s">
        <v>4019</v>
      </c>
      <c r="AZ421" s="3" t="s">
        <v>4020</v>
      </c>
      <c r="BA421" s="3" t="s">
        <v>4020</v>
      </c>
      <c r="BB421" s="3" t="s">
        <v>4030</v>
      </c>
      <c r="BC421" s="3" t="s">
        <v>77</v>
      </c>
      <c r="BD421" s="3" t="s">
        <v>78</v>
      </c>
      <c r="BE421" s="3" t="s">
        <v>4022</v>
      </c>
      <c r="BF421" s="3" t="s">
        <v>4030</v>
      </c>
      <c r="BG421" s="3" t="s">
        <v>4031</v>
      </c>
      <c r="BH421">
        <f t="shared" si="16"/>
        <v>0</v>
      </c>
    </row>
    <row r="422" spans="1:60" ht="58" x14ac:dyDescent="0.35">
      <c r="A422" s="2" t="s">
        <v>59</v>
      </c>
      <c r="B422" s="2" t="s">
        <v>60</v>
      </c>
      <c r="C422" s="2" t="s">
        <v>4032</v>
      </c>
      <c r="D422" s="2" t="s">
        <v>4033</v>
      </c>
      <c r="E422" s="2" t="s">
        <v>4034</v>
      </c>
      <c r="G422" s="3" t="s">
        <v>64</v>
      </c>
      <c r="I422" s="3" t="s">
        <v>128</v>
      </c>
      <c r="J422" s="3" t="s">
        <v>128</v>
      </c>
      <c r="K422" s="3" t="s">
        <v>65</v>
      </c>
      <c r="L422" s="2" t="s">
        <v>4004</v>
      </c>
      <c r="M422" s="2" t="s">
        <v>4035</v>
      </c>
      <c r="N422" s="3" t="s">
        <v>1004</v>
      </c>
      <c r="P422" s="3" t="s">
        <v>102</v>
      </c>
      <c r="R422" s="3" t="s">
        <v>70</v>
      </c>
      <c r="S422" s="4">
        <v>93</v>
      </c>
      <c r="T422" s="4">
        <v>232</v>
      </c>
      <c r="U422" s="5" t="s">
        <v>4036</v>
      </c>
      <c r="V422" s="5" t="s">
        <v>3854</v>
      </c>
      <c r="W422" s="5" t="s">
        <v>72</v>
      </c>
      <c r="X422" s="5" t="s">
        <v>72</v>
      </c>
      <c r="Y422" s="4">
        <v>837</v>
      </c>
      <c r="Z422" s="4">
        <v>56</v>
      </c>
      <c r="AA422" s="4">
        <v>87</v>
      </c>
      <c r="AB422" s="4">
        <v>3</v>
      </c>
      <c r="AC422" s="4">
        <v>11</v>
      </c>
      <c r="AD422" s="4">
        <v>131</v>
      </c>
      <c r="AE422" s="4">
        <v>152</v>
      </c>
      <c r="AF422" s="4">
        <v>1</v>
      </c>
      <c r="AG422" s="4">
        <v>5</v>
      </c>
      <c r="AH422" s="4">
        <v>105</v>
      </c>
      <c r="AI422" s="4">
        <v>114</v>
      </c>
      <c r="AJ422" s="4">
        <v>21</v>
      </c>
      <c r="AK422" s="4">
        <v>26</v>
      </c>
      <c r="AL422" s="4">
        <v>57</v>
      </c>
      <c r="AM422" s="4">
        <v>61</v>
      </c>
      <c r="AN422" s="4">
        <v>0</v>
      </c>
      <c r="AO422" s="4">
        <v>0</v>
      </c>
      <c r="AP422" s="4">
        <v>33</v>
      </c>
      <c r="AQ422" s="4">
        <v>45</v>
      </c>
      <c r="AR422" s="3" t="s">
        <v>64</v>
      </c>
      <c r="AS422" s="3" t="s">
        <v>64</v>
      </c>
      <c r="AT422" s="3" t="s">
        <v>64</v>
      </c>
      <c r="AV422" s="6" t="str">
        <f>HYPERLINK("http://mcgill.on.worldcat.org/oclc/9576748","Catalog Record")</f>
        <v>Catalog Record</v>
      </c>
      <c r="AW422" s="6" t="str">
        <f>HYPERLINK("http://www.worldcat.org/oclc/9576748","WorldCat Record")</f>
        <v>WorldCat Record</v>
      </c>
      <c r="AX422" s="3" t="s">
        <v>4037</v>
      </c>
      <c r="AY422" s="3" t="s">
        <v>4038</v>
      </c>
      <c r="AZ422" s="3" t="s">
        <v>4039</v>
      </c>
      <c r="BA422" s="3" t="s">
        <v>4039</v>
      </c>
      <c r="BB422" s="3" t="s">
        <v>4040</v>
      </c>
      <c r="BC422" s="3" t="s">
        <v>77</v>
      </c>
      <c r="BD422" s="3" t="s">
        <v>78</v>
      </c>
      <c r="BE422" s="3" t="s">
        <v>4041</v>
      </c>
      <c r="BF422" s="3" t="s">
        <v>4040</v>
      </c>
      <c r="BG422" s="3" t="s">
        <v>4042</v>
      </c>
      <c r="BH422">
        <f t="shared" si="16"/>
        <v>0</v>
      </c>
    </row>
    <row r="423" spans="1:60" ht="58" x14ac:dyDescent="0.35">
      <c r="A423" s="2" t="s">
        <v>59</v>
      </c>
      <c r="B423" s="2" t="s">
        <v>60</v>
      </c>
      <c r="C423" s="2" t="s">
        <v>4032</v>
      </c>
      <c r="D423" s="2" t="s">
        <v>4033</v>
      </c>
      <c r="E423" s="2" t="s">
        <v>4034</v>
      </c>
      <c r="G423" s="3" t="s">
        <v>64</v>
      </c>
      <c r="I423" s="3" t="s">
        <v>128</v>
      </c>
      <c r="J423" s="3" t="s">
        <v>128</v>
      </c>
      <c r="K423" s="3" t="s">
        <v>65</v>
      </c>
      <c r="L423" s="2" t="s">
        <v>4004</v>
      </c>
      <c r="M423" s="2" t="s">
        <v>4035</v>
      </c>
      <c r="N423" s="3" t="s">
        <v>1004</v>
      </c>
      <c r="P423" s="3" t="s">
        <v>102</v>
      </c>
      <c r="R423" s="3" t="s">
        <v>70</v>
      </c>
      <c r="S423" s="4">
        <v>70</v>
      </c>
      <c r="T423" s="4">
        <v>232</v>
      </c>
      <c r="U423" s="5" t="s">
        <v>4043</v>
      </c>
      <c r="V423" s="5" t="s">
        <v>3854</v>
      </c>
      <c r="W423" s="5" t="s">
        <v>72</v>
      </c>
      <c r="X423" s="5" t="s">
        <v>72</v>
      </c>
      <c r="Y423" s="4">
        <v>837</v>
      </c>
      <c r="Z423" s="4">
        <v>56</v>
      </c>
      <c r="AA423" s="4">
        <v>87</v>
      </c>
      <c r="AB423" s="4">
        <v>3</v>
      </c>
      <c r="AC423" s="4">
        <v>11</v>
      </c>
      <c r="AD423" s="4">
        <v>131</v>
      </c>
      <c r="AE423" s="4">
        <v>152</v>
      </c>
      <c r="AF423" s="4">
        <v>1</v>
      </c>
      <c r="AG423" s="4">
        <v>5</v>
      </c>
      <c r="AH423" s="4">
        <v>105</v>
      </c>
      <c r="AI423" s="4">
        <v>114</v>
      </c>
      <c r="AJ423" s="4">
        <v>21</v>
      </c>
      <c r="AK423" s="4">
        <v>26</v>
      </c>
      <c r="AL423" s="4">
        <v>57</v>
      </c>
      <c r="AM423" s="4">
        <v>61</v>
      </c>
      <c r="AN423" s="4">
        <v>0</v>
      </c>
      <c r="AO423" s="4">
        <v>0</v>
      </c>
      <c r="AP423" s="4">
        <v>33</v>
      </c>
      <c r="AQ423" s="4">
        <v>45</v>
      </c>
      <c r="AR423" s="3" t="s">
        <v>64</v>
      </c>
      <c r="AS423" s="3" t="s">
        <v>64</v>
      </c>
      <c r="AT423" s="3" t="s">
        <v>64</v>
      </c>
      <c r="AV423" s="6" t="str">
        <f>HYPERLINK("http://mcgill.on.worldcat.org/oclc/9576748","Catalog Record")</f>
        <v>Catalog Record</v>
      </c>
      <c r="AW423" s="6" t="str">
        <f>HYPERLINK("http://www.worldcat.org/oclc/9576748","WorldCat Record")</f>
        <v>WorldCat Record</v>
      </c>
      <c r="AX423" s="3" t="s">
        <v>4037</v>
      </c>
      <c r="AY423" s="3" t="s">
        <v>4038</v>
      </c>
      <c r="AZ423" s="3" t="s">
        <v>4039</v>
      </c>
      <c r="BA423" s="3" t="s">
        <v>4039</v>
      </c>
      <c r="BB423" s="3" t="s">
        <v>4044</v>
      </c>
      <c r="BC423" s="3" t="s">
        <v>77</v>
      </c>
      <c r="BD423" s="3" t="s">
        <v>78</v>
      </c>
      <c r="BE423" s="3" t="s">
        <v>4041</v>
      </c>
      <c r="BF423" s="3" t="s">
        <v>4044</v>
      </c>
      <c r="BG423" s="3" t="s">
        <v>4045</v>
      </c>
      <c r="BH423">
        <f t="shared" si="16"/>
        <v>0</v>
      </c>
    </row>
    <row r="424" spans="1:60" ht="58" x14ac:dyDescent="0.35">
      <c r="A424" s="2" t="s">
        <v>59</v>
      </c>
      <c r="B424" s="2" t="s">
        <v>60</v>
      </c>
      <c r="C424" s="2" t="s">
        <v>4032</v>
      </c>
      <c r="D424" s="2" t="s">
        <v>4033</v>
      </c>
      <c r="E424" s="2" t="s">
        <v>4034</v>
      </c>
      <c r="G424" s="3" t="s">
        <v>64</v>
      </c>
      <c r="I424" s="3" t="s">
        <v>128</v>
      </c>
      <c r="J424" s="3" t="s">
        <v>128</v>
      </c>
      <c r="K424" s="3" t="s">
        <v>65</v>
      </c>
      <c r="L424" s="2" t="s">
        <v>4004</v>
      </c>
      <c r="M424" s="2" t="s">
        <v>4035</v>
      </c>
      <c r="N424" s="3" t="s">
        <v>1004</v>
      </c>
      <c r="P424" s="3" t="s">
        <v>102</v>
      </c>
      <c r="R424" s="3" t="s">
        <v>70</v>
      </c>
      <c r="S424" s="4">
        <v>69</v>
      </c>
      <c r="T424" s="4">
        <v>232</v>
      </c>
      <c r="U424" s="5" t="s">
        <v>3854</v>
      </c>
      <c r="V424" s="5" t="s">
        <v>3854</v>
      </c>
      <c r="W424" s="5" t="s">
        <v>72</v>
      </c>
      <c r="X424" s="5" t="s">
        <v>72</v>
      </c>
      <c r="Y424" s="4">
        <v>837</v>
      </c>
      <c r="Z424" s="4">
        <v>56</v>
      </c>
      <c r="AA424" s="4">
        <v>87</v>
      </c>
      <c r="AB424" s="4">
        <v>3</v>
      </c>
      <c r="AC424" s="4">
        <v>11</v>
      </c>
      <c r="AD424" s="4">
        <v>131</v>
      </c>
      <c r="AE424" s="4">
        <v>152</v>
      </c>
      <c r="AF424" s="4">
        <v>1</v>
      </c>
      <c r="AG424" s="4">
        <v>5</v>
      </c>
      <c r="AH424" s="4">
        <v>105</v>
      </c>
      <c r="AI424" s="4">
        <v>114</v>
      </c>
      <c r="AJ424" s="4">
        <v>21</v>
      </c>
      <c r="AK424" s="4">
        <v>26</v>
      </c>
      <c r="AL424" s="4">
        <v>57</v>
      </c>
      <c r="AM424" s="4">
        <v>61</v>
      </c>
      <c r="AN424" s="4">
        <v>0</v>
      </c>
      <c r="AO424" s="4">
        <v>0</v>
      </c>
      <c r="AP424" s="4">
        <v>33</v>
      </c>
      <c r="AQ424" s="4">
        <v>45</v>
      </c>
      <c r="AR424" s="3" t="s">
        <v>64</v>
      </c>
      <c r="AS424" s="3" t="s">
        <v>64</v>
      </c>
      <c r="AT424" s="3" t="s">
        <v>64</v>
      </c>
      <c r="AV424" s="6" t="str">
        <f>HYPERLINK("http://mcgill.on.worldcat.org/oclc/9576748","Catalog Record")</f>
        <v>Catalog Record</v>
      </c>
      <c r="AW424" s="6" t="str">
        <f>HYPERLINK("http://www.worldcat.org/oclc/9576748","WorldCat Record")</f>
        <v>WorldCat Record</v>
      </c>
      <c r="AX424" s="3" t="s">
        <v>4037</v>
      </c>
      <c r="AY424" s="3" t="s">
        <v>4038</v>
      </c>
      <c r="AZ424" s="3" t="s">
        <v>4039</v>
      </c>
      <c r="BA424" s="3" t="s">
        <v>4039</v>
      </c>
      <c r="BB424" s="3" t="s">
        <v>4046</v>
      </c>
      <c r="BC424" s="3" t="s">
        <v>77</v>
      </c>
      <c r="BD424" s="3" t="s">
        <v>78</v>
      </c>
      <c r="BE424" s="3" t="s">
        <v>4041</v>
      </c>
      <c r="BF424" s="3" t="s">
        <v>4046</v>
      </c>
      <c r="BG424" s="3" t="s">
        <v>4047</v>
      </c>
      <c r="BH424">
        <f t="shared" si="16"/>
        <v>0</v>
      </c>
    </row>
    <row r="425" spans="1:60" ht="58" x14ac:dyDescent="0.35">
      <c r="A425" s="2" t="s">
        <v>59</v>
      </c>
      <c r="B425" s="2" t="s">
        <v>60</v>
      </c>
      <c r="C425" s="2" t="s">
        <v>4048</v>
      </c>
      <c r="D425" s="2" t="s">
        <v>4049</v>
      </c>
      <c r="E425" s="2" t="s">
        <v>4034</v>
      </c>
      <c r="G425" s="3" t="s">
        <v>64</v>
      </c>
      <c r="I425" s="3" t="s">
        <v>64</v>
      </c>
      <c r="J425" s="3" t="s">
        <v>128</v>
      </c>
      <c r="K425" s="3" t="s">
        <v>65</v>
      </c>
      <c r="L425" s="2" t="s">
        <v>4004</v>
      </c>
      <c r="M425" s="2" t="s">
        <v>4050</v>
      </c>
      <c r="N425" s="3" t="s">
        <v>434</v>
      </c>
      <c r="O425" s="2" t="s">
        <v>172</v>
      </c>
      <c r="P425" s="3" t="s">
        <v>102</v>
      </c>
      <c r="R425" s="3" t="s">
        <v>70</v>
      </c>
      <c r="S425" s="4">
        <v>60</v>
      </c>
      <c r="T425" s="4">
        <v>60</v>
      </c>
      <c r="U425" s="5" t="s">
        <v>394</v>
      </c>
      <c r="V425" s="5" t="s">
        <v>394</v>
      </c>
      <c r="W425" s="5" t="s">
        <v>72</v>
      </c>
      <c r="X425" s="5" t="s">
        <v>72</v>
      </c>
      <c r="Y425" s="4">
        <v>390</v>
      </c>
      <c r="Z425" s="4">
        <v>31</v>
      </c>
      <c r="AA425" s="4">
        <v>87</v>
      </c>
      <c r="AB425" s="4">
        <v>1</v>
      </c>
      <c r="AC425" s="4">
        <v>11</v>
      </c>
      <c r="AD425" s="4">
        <v>93</v>
      </c>
      <c r="AE425" s="4">
        <v>152</v>
      </c>
      <c r="AF425" s="4">
        <v>0</v>
      </c>
      <c r="AG425" s="4">
        <v>5</v>
      </c>
      <c r="AH425" s="4">
        <v>83</v>
      </c>
      <c r="AI425" s="4">
        <v>114</v>
      </c>
      <c r="AJ425" s="4">
        <v>13</v>
      </c>
      <c r="AK425" s="4">
        <v>26</v>
      </c>
      <c r="AL425" s="4">
        <v>49</v>
      </c>
      <c r="AM425" s="4">
        <v>61</v>
      </c>
      <c r="AN425" s="4">
        <v>0</v>
      </c>
      <c r="AO425" s="4">
        <v>0</v>
      </c>
      <c r="AP425" s="4">
        <v>17</v>
      </c>
      <c r="AQ425" s="4">
        <v>45</v>
      </c>
      <c r="AR425" s="3" t="s">
        <v>64</v>
      </c>
      <c r="AS425" s="3" t="s">
        <v>64</v>
      </c>
      <c r="AT425" s="3" t="s">
        <v>64</v>
      </c>
      <c r="AV425" s="6" t="str">
        <f>HYPERLINK("http://mcgill.on.worldcat.org/oclc/57641550","Catalog Record")</f>
        <v>Catalog Record</v>
      </c>
      <c r="AW425" s="6" t="str">
        <f>HYPERLINK("http://www.worldcat.org/oclc/57641550","WorldCat Record")</f>
        <v>WorldCat Record</v>
      </c>
      <c r="AX425" s="3" t="s">
        <v>4037</v>
      </c>
      <c r="AY425" s="3" t="s">
        <v>4051</v>
      </c>
      <c r="AZ425" s="3" t="s">
        <v>4052</v>
      </c>
      <c r="BA425" s="3" t="s">
        <v>4052</v>
      </c>
      <c r="BB425" s="3" t="s">
        <v>4053</v>
      </c>
      <c r="BC425" s="3" t="s">
        <v>77</v>
      </c>
      <c r="BD425" s="3" t="s">
        <v>78</v>
      </c>
      <c r="BE425" s="3" t="s">
        <v>4054</v>
      </c>
      <c r="BF425" s="3" t="s">
        <v>4053</v>
      </c>
      <c r="BG425" s="3" t="s">
        <v>4055</v>
      </c>
      <c r="BH425">
        <f t="shared" si="16"/>
        <v>0</v>
      </c>
    </row>
    <row r="426" spans="1:60" ht="58" x14ac:dyDescent="0.35">
      <c r="A426" s="2" t="s">
        <v>59</v>
      </c>
      <c r="B426" s="2" t="s">
        <v>60</v>
      </c>
      <c r="C426" s="2" t="s">
        <v>4056</v>
      </c>
      <c r="D426" s="2" t="s">
        <v>4057</v>
      </c>
      <c r="E426" s="2" t="s">
        <v>4058</v>
      </c>
      <c r="G426" s="3" t="s">
        <v>64</v>
      </c>
      <c r="I426" s="3" t="s">
        <v>64</v>
      </c>
      <c r="J426" s="3" t="s">
        <v>64</v>
      </c>
      <c r="K426" s="3" t="s">
        <v>65</v>
      </c>
      <c r="L426" s="2" t="s">
        <v>4059</v>
      </c>
      <c r="M426" s="2" t="s">
        <v>4060</v>
      </c>
      <c r="N426" s="3" t="s">
        <v>392</v>
      </c>
      <c r="P426" s="3" t="s">
        <v>102</v>
      </c>
      <c r="R426" s="3" t="s">
        <v>70</v>
      </c>
      <c r="S426" s="4">
        <v>4</v>
      </c>
      <c r="T426" s="4">
        <v>4</v>
      </c>
      <c r="U426" s="5" t="s">
        <v>4061</v>
      </c>
      <c r="V426" s="5" t="s">
        <v>4061</v>
      </c>
      <c r="W426" s="5" t="s">
        <v>72</v>
      </c>
      <c r="X426" s="5" t="s">
        <v>72</v>
      </c>
      <c r="Y426" s="4">
        <v>200</v>
      </c>
      <c r="Z426" s="4">
        <v>11</v>
      </c>
      <c r="AA426" s="4">
        <v>11</v>
      </c>
      <c r="AB426" s="4">
        <v>1</v>
      </c>
      <c r="AC426" s="4">
        <v>1</v>
      </c>
      <c r="AD426" s="4">
        <v>73</v>
      </c>
      <c r="AE426" s="4">
        <v>73</v>
      </c>
      <c r="AF426" s="4">
        <v>0</v>
      </c>
      <c r="AG426" s="4">
        <v>0</v>
      </c>
      <c r="AH426" s="4">
        <v>68</v>
      </c>
      <c r="AI426" s="4">
        <v>68</v>
      </c>
      <c r="AJ426" s="4">
        <v>6</v>
      </c>
      <c r="AK426" s="4">
        <v>6</v>
      </c>
      <c r="AL426" s="4">
        <v>46</v>
      </c>
      <c r="AM426" s="4">
        <v>46</v>
      </c>
      <c r="AN426" s="4">
        <v>0</v>
      </c>
      <c r="AO426" s="4">
        <v>0</v>
      </c>
      <c r="AP426" s="4">
        <v>7</v>
      </c>
      <c r="AQ426" s="4">
        <v>7</v>
      </c>
      <c r="AR426" s="3" t="s">
        <v>64</v>
      </c>
      <c r="AS426" s="3" t="s">
        <v>64</v>
      </c>
      <c r="AT426" s="3" t="s">
        <v>64</v>
      </c>
      <c r="AV426" s="6" t="str">
        <f>HYPERLINK("http://mcgill.on.worldcat.org/oclc/40796769","Catalog Record")</f>
        <v>Catalog Record</v>
      </c>
      <c r="AW426" s="6" t="str">
        <f>HYPERLINK("http://www.worldcat.org/oclc/40796769","WorldCat Record")</f>
        <v>WorldCat Record</v>
      </c>
      <c r="AX426" s="3" t="s">
        <v>4062</v>
      </c>
      <c r="AY426" s="3" t="s">
        <v>4063</v>
      </c>
      <c r="AZ426" s="3" t="s">
        <v>4064</v>
      </c>
      <c r="BA426" s="3" t="s">
        <v>4064</v>
      </c>
      <c r="BB426" s="3" t="s">
        <v>4065</v>
      </c>
      <c r="BC426" s="3" t="s">
        <v>77</v>
      </c>
      <c r="BD426" s="3" t="s">
        <v>78</v>
      </c>
      <c r="BF426" s="3" t="s">
        <v>4065</v>
      </c>
      <c r="BG426" s="3" t="s">
        <v>4066</v>
      </c>
      <c r="BH426">
        <f t="shared" si="16"/>
        <v>0</v>
      </c>
    </row>
    <row r="427" spans="1:60" ht="87" x14ac:dyDescent="0.35">
      <c r="A427" s="2" t="s">
        <v>59</v>
      </c>
      <c r="B427" s="2" t="s">
        <v>60</v>
      </c>
      <c r="C427" s="2" t="s">
        <v>4067</v>
      </c>
      <c r="D427" s="2" t="s">
        <v>4068</v>
      </c>
      <c r="E427" s="2" t="s">
        <v>4069</v>
      </c>
      <c r="G427" s="3" t="s">
        <v>64</v>
      </c>
      <c r="I427" s="3" t="s">
        <v>64</v>
      </c>
      <c r="J427" s="3" t="s">
        <v>64</v>
      </c>
      <c r="K427" s="3" t="s">
        <v>65</v>
      </c>
      <c r="M427" s="2" t="s">
        <v>4070</v>
      </c>
      <c r="N427" s="3" t="s">
        <v>116</v>
      </c>
      <c r="P427" s="3" t="s">
        <v>102</v>
      </c>
      <c r="Q427" s="2" t="s">
        <v>4071</v>
      </c>
      <c r="R427" s="3" t="s">
        <v>70</v>
      </c>
      <c r="S427" s="4">
        <v>5</v>
      </c>
      <c r="T427" s="4">
        <v>5</v>
      </c>
      <c r="U427" s="5" t="s">
        <v>4072</v>
      </c>
      <c r="V427" s="5" t="s">
        <v>4072</v>
      </c>
      <c r="W427" s="5" t="s">
        <v>72</v>
      </c>
      <c r="X427" s="5" t="s">
        <v>72</v>
      </c>
      <c r="Y427" s="4">
        <v>52</v>
      </c>
      <c r="Z427" s="4">
        <v>10</v>
      </c>
      <c r="AA427" s="4">
        <v>10</v>
      </c>
      <c r="AB427" s="4">
        <v>3</v>
      </c>
      <c r="AC427" s="4">
        <v>3</v>
      </c>
      <c r="AD427" s="4">
        <v>15</v>
      </c>
      <c r="AE427" s="4">
        <v>15</v>
      </c>
      <c r="AF427" s="4">
        <v>1</v>
      </c>
      <c r="AG427" s="4">
        <v>1</v>
      </c>
      <c r="AH427" s="4">
        <v>13</v>
      </c>
      <c r="AI427" s="4">
        <v>13</v>
      </c>
      <c r="AJ427" s="4">
        <v>7</v>
      </c>
      <c r="AK427" s="4">
        <v>7</v>
      </c>
      <c r="AL427" s="4">
        <v>6</v>
      </c>
      <c r="AM427" s="4">
        <v>6</v>
      </c>
      <c r="AN427" s="4">
        <v>0</v>
      </c>
      <c r="AO427" s="4">
        <v>0</v>
      </c>
      <c r="AP427" s="4">
        <v>7</v>
      </c>
      <c r="AQ427" s="4">
        <v>7</v>
      </c>
      <c r="AR427" s="3" t="s">
        <v>64</v>
      </c>
      <c r="AS427" s="3" t="s">
        <v>64</v>
      </c>
      <c r="AT427" s="3" t="s">
        <v>128</v>
      </c>
      <c r="AU427" s="6" t="str">
        <f>HYPERLINK("http://catalog.hathitrust.org/Record/003592425","HathiTrust Record")</f>
        <v>HathiTrust Record</v>
      </c>
      <c r="AV427" s="6" t="str">
        <f>HYPERLINK("http://mcgill.on.worldcat.org/oclc/240901574","Catalog Record")</f>
        <v>Catalog Record</v>
      </c>
      <c r="AW427" s="6" t="str">
        <f>HYPERLINK("http://www.worldcat.org/oclc/240901574","WorldCat Record")</f>
        <v>WorldCat Record</v>
      </c>
      <c r="AX427" s="3" t="s">
        <v>4073</v>
      </c>
      <c r="AY427" s="3" t="s">
        <v>4074</v>
      </c>
      <c r="AZ427" s="3" t="s">
        <v>4075</v>
      </c>
      <c r="BA427" s="3" t="s">
        <v>4075</v>
      </c>
      <c r="BB427" s="3" t="s">
        <v>4076</v>
      </c>
      <c r="BC427" s="3" t="s">
        <v>77</v>
      </c>
      <c r="BD427" s="3" t="s">
        <v>78</v>
      </c>
      <c r="BE427" s="3" t="s">
        <v>4077</v>
      </c>
      <c r="BF427" s="3" t="s">
        <v>4076</v>
      </c>
      <c r="BG427" s="3" t="s">
        <v>4078</v>
      </c>
      <c r="BH427">
        <f t="shared" si="16"/>
        <v>0</v>
      </c>
    </row>
    <row r="428" spans="1:60" ht="58" x14ac:dyDescent="0.35">
      <c r="A428" s="2" t="s">
        <v>59</v>
      </c>
      <c r="B428" s="2" t="s">
        <v>60</v>
      </c>
      <c r="C428" s="2" t="s">
        <v>4079</v>
      </c>
      <c r="D428" s="2" t="s">
        <v>4080</v>
      </c>
      <c r="E428" s="2" t="s">
        <v>4081</v>
      </c>
      <c r="G428" s="3" t="s">
        <v>64</v>
      </c>
      <c r="I428" s="3" t="s">
        <v>64</v>
      </c>
      <c r="J428" s="3" t="s">
        <v>64</v>
      </c>
      <c r="K428" s="3" t="s">
        <v>65</v>
      </c>
      <c r="L428" s="2" t="s">
        <v>4082</v>
      </c>
      <c r="M428" s="2" t="s">
        <v>4083</v>
      </c>
      <c r="N428" s="3" t="s">
        <v>537</v>
      </c>
      <c r="P428" s="3" t="s">
        <v>102</v>
      </c>
      <c r="Q428" s="2" t="s">
        <v>4084</v>
      </c>
      <c r="R428" s="3" t="s">
        <v>70</v>
      </c>
      <c r="S428" s="4">
        <v>3</v>
      </c>
      <c r="T428" s="4">
        <v>3</v>
      </c>
      <c r="U428" s="5" t="s">
        <v>306</v>
      </c>
      <c r="V428" s="5" t="s">
        <v>306</v>
      </c>
      <c r="W428" s="5" t="s">
        <v>72</v>
      </c>
      <c r="X428" s="5" t="s">
        <v>72</v>
      </c>
      <c r="Y428" s="4">
        <v>133</v>
      </c>
      <c r="Z428" s="4">
        <v>12</v>
      </c>
      <c r="AA428" s="4">
        <v>21</v>
      </c>
      <c r="AB428" s="4">
        <v>2</v>
      </c>
      <c r="AC428" s="4">
        <v>6</v>
      </c>
      <c r="AD428" s="4">
        <v>47</v>
      </c>
      <c r="AE428" s="4">
        <v>61</v>
      </c>
      <c r="AF428" s="4">
        <v>1</v>
      </c>
      <c r="AG428" s="4">
        <v>3</v>
      </c>
      <c r="AH428" s="4">
        <v>43</v>
      </c>
      <c r="AI428" s="4">
        <v>52</v>
      </c>
      <c r="AJ428" s="4">
        <v>7</v>
      </c>
      <c r="AK428" s="4">
        <v>13</v>
      </c>
      <c r="AL428" s="4">
        <v>32</v>
      </c>
      <c r="AM428" s="4">
        <v>36</v>
      </c>
      <c r="AN428" s="4">
        <v>0</v>
      </c>
      <c r="AO428" s="4">
        <v>0</v>
      </c>
      <c r="AP428" s="4">
        <v>7</v>
      </c>
      <c r="AQ428" s="4">
        <v>13</v>
      </c>
      <c r="AR428" s="3" t="s">
        <v>64</v>
      </c>
      <c r="AS428" s="3" t="s">
        <v>64</v>
      </c>
      <c r="AT428" s="3" t="s">
        <v>64</v>
      </c>
      <c r="AV428" s="6" t="str">
        <f>HYPERLINK("http://mcgill.on.worldcat.org/oclc/910412685","Catalog Record")</f>
        <v>Catalog Record</v>
      </c>
      <c r="AW428" s="6" t="str">
        <f>HYPERLINK("http://www.worldcat.org/oclc/910412685","WorldCat Record")</f>
        <v>WorldCat Record</v>
      </c>
      <c r="AX428" s="3" t="s">
        <v>4085</v>
      </c>
      <c r="AY428" s="3" t="s">
        <v>4086</v>
      </c>
      <c r="AZ428" s="3" t="s">
        <v>4087</v>
      </c>
      <c r="BA428" s="3" t="s">
        <v>4087</v>
      </c>
      <c r="BB428" s="3" t="s">
        <v>4088</v>
      </c>
      <c r="BC428" s="3" t="s">
        <v>77</v>
      </c>
      <c r="BD428" s="3" t="s">
        <v>78</v>
      </c>
      <c r="BE428" s="3" t="s">
        <v>4089</v>
      </c>
      <c r="BF428" s="3" t="s">
        <v>4088</v>
      </c>
      <c r="BG428" s="3" t="s">
        <v>4090</v>
      </c>
      <c r="BH428">
        <f t="shared" si="16"/>
        <v>0</v>
      </c>
    </row>
    <row r="429" spans="1:60" ht="72.5" x14ac:dyDescent="0.35">
      <c r="A429" s="2" t="s">
        <v>59</v>
      </c>
      <c r="B429" s="2" t="s">
        <v>60</v>
      </c>
      <c r="C429" s="2" t="s">
        <v>4091</v>
      </c>
      <c r="D429" s="2" t="s">
        <v>4092</v>
      </c>
      <c r="E429" s="2" t="s">
        <v>4093</v>
      </c>
      <c r="G429" s="3" t="s">
        <v>64</v>
      </c>
      <c r="I429" s="3" t="s">
        <v>64</v>
      </c>
      <c r="J429" s="3" t="s">
        <v>64</v>
      </c>
      <c r="K429" s="3" t="s">
        <v>65</v>
      </c>
      <c r="L429" s="2" t="s">
        <v>4094</v>
      </c>
      <c r="M429" s="2" t="s">
        <v>4095</v>
      </c>
      <c r="N429" s="3" t="s">
        <v>253</v>
      </c>
      <c r="P429" s="3" t="s">
        <v>102</v>
      </c>
      <c r="Q429" s="2" t="s">
        <v>4096</v>
      </c>
      <c r="R429" s="3" t="s">
        <v>70</v>
      </c>
      <c r="S429" s="4">
        <v>0</v>
      </c>
      <c r="T429" s="4">
        <v>0</v>
      </c>
      <c r="W429" s="5" t="s">
        <v>72</v>
      </c>
      <c r="X429" s="5" t="s">
        <v>72</v>
      </c>
      <c r="Y429" s="4">
        <v>117</v>
      </c>
      <c r="Z429" s="4">
        <v>17</v>
      </c>
      <c r="AA429" s="4">
        <v>25</v>
      </c>
      <c r="AB429" s="4">
        <v>2</v>
      </c>
      <c r="AC429" s="4">
        <v>6</v>
      </c>
      <c r="AD429" s="4">
        <v>38</v>
      </c>
      <c r="AE429" s="4">
        <v>47</v>
      </c>
      <c r="AF429" s="4">
        <v>1</v>
      </c>
      <c r="AG429" s="4">
        <v>2</v>
      </c>
      <c r="AH429" s="4">
        <v>28</v>
      </c>
      <c r="AI429" s="4">
        <v>34</v>
      </c>
      <c r="AJ429" s="4">
        <v>8</v>
      </c>
      <c r="AK429" s="4">
        <v>12</v>
      </c>
      <c r="AL429" s="4">
        <v>19</v>
      </c>
      <c r="AM429" s="4">
        <v>22</v>
      </c>
      <c r="AN429" s="4">
        <v>0</v>
      </c>
      <c r="AO429" s="4">
        <v>0</v>
      </c>
      <c r="AP429" s="4">
        <v>12</v>
      </c>
      <c r="AQ429" s="4">
        <v>16</v>
      </c>
      <c r="AR429" s="3" t="s">
        <v>64</v>
      </c>
      <c r="AS429" s="3" t="s">
        <v>64</v>
      </c>
      <c r="AT429" s="3" t="s">
        <v>64</v>
      </c>
      <c r="AV429" s="6" t="str">
        <f>HYPERLINK("http://mcgill.on.worldcat.org/oclc/889184963","Catalog Record")</f>
        <v>Catalog Record</v>
      </c>
      <c r="AW429" s="6" t="str">
        <f>HYPERLINK("http://www.worldcat.org/oclc/889184963","WorldCat Record")</f>
        <v>WorldCat Record</v>
      </c>
      <c r="AX429" s="3" t="s">
        <v>4097</v>
      </c>
      <c r="AY429" s="3" t="s">
        <v>4098</v>
      </c>
      <c r="AZ429" s="3" t="s">
        <v>4099</v>
      </c>
      <c r="BA429" s="3" t="s">
        <v>4099</v>
      </c>
      <c r="BB429" s="3" t="s">
        <v>4100</v>
      </c>
      <c r="BC429" s="3" t="s">
        <v>77</v>
      </c>
      <c r="BD429" s="3" t="s">
        <v>78</v>
      </c>
      <c r="BE429" s="3" t="s">
        <v>4101</v>
      </c>
      <c r="BF429" s="3" t="s">
        <v>4100</v>
      </c>
      <c r="BG429" s="3" t="s">
        <v>4102</v>
      </c>
      <c r="BH429">
        <f t="shared" si="16"/>
        <v>0</v>
      </c>
    </row>
    <row r="430" spans="1:60" ht="58" x14ac:dyDescent="0.35">
      <c r="A430" s="2" t="s">
        <v>59</v>
      </c>
      <c r="B430" s="2" t="s">
        <v>60</v>
      </c>
      <c r="C430" s="2" t="s">
        <v>4103</v>
      </c>
      <c r="D430" s="2" t="s">
        <v>4104</v>
      </c>
      <c r="E430" s="2" t="s">
        <v>4105</v>
      </c>
      <c r="G430" s="3" t="s">
        <v>64</v>
      </c>
      <c r="I430" s="3" t="s">
        <v>64</v>
      </c>
      <c r="J430" s="3" t="s">
        <v>64</v>
      </c>
      <c r="K430" s="3" t="s">
        <v>65</v>
      </c>
      <c r="L430" s="2" t="s">
        <v>4106</v>
      </c>
      <c r="M430" s="2" t="s">
        <v>4107</v>
      </c>
      <c r="N430" s="3" t="s">
        <v>153</v>
      </c>
      <c r="P430" s="3" t="s">
        <v>102</v>
      </c>
      <c r="R430" s="3" t="s">
        <v>70</v>
      </c>
      <c r="S430" s="4">
        <v>87</v>
      </c>
      <c r="T430" s="4">
        <v>87</v>
      </c>
      <c r="U430" s="5" t="s">
        <v>306</v>
      </c>
      <c r="V430" s="5" t="s">
        <v>306</v>
      </c>
      <c r="W430" s="5" t="s">
        <v>72</v>
      </c>
      <c r="X430" s="5" t="s">
        <v>72</v>
      </c>
      <c r="Y430" s="4">
        <v>1012</v>
      </c>
      <c r="Z430" s="4">
        <v>66</v>
      </c>
      <c r="AA430" s="4">
        <v>139</v>
      </c>
      <c r="AB430" s="4">
        <v>2</v>
      </c>
      <c r="AC430" s="4">
        <v>19</v>
      </c>
      <c r="AD430" s="4">
        <v>143</v>
      </c>
      <c r="AE430" s="4">
        <v>163</v>
      </c>
      <c r="AF430" s="4">
        <v>1</v>
      </c>
      <c r="AG430" s="4">
        <v>8</v>
      </c>
      <c r="AH430" s="4">
        <v>112</v>
      </c>
      <c r="AI430" s="4">
        <v>115</v>
      </c>
      <c r="AJ430" s="4">
        <v>24</v>
      </c>
      <c r="AK430" s="4">
        <v>28</v>
      </c>
      <c r="AL430" s="4">
        <v>61</v>
      </c>
      <c r="AM430" s="4">
        <v>61</v>
      </c>
      <c r="AN430" s="4">
        <v>0</v>
      </c>
      <c r="AO430" s="4">
        <v>0</v>
      </c>
      <c r="AP430" s="4">
        <v>38</v>
      </c>
      <c r="AQ430" s="4">
        <v>55</v>
      </c>
      <c r="AR430" s="3" t="s">
        <v>64</v>
      </c>
      <c r="AS430" s="3" t="s">
        <v>64</v>
      </c>
      <c r="AT430" s="3" t="s">
        <v>64</v>
      </c>
      <c r="AV430" s="6" t="str">
        <f>HYPERLINK("http://mcgill.on.worldcat.org/oclc/38048198","Catalog Record")</f>
        <v>Catalog Record</v>
      </c>
      <c r="AW430" s="6" t="str">
        <f>HYPERLINK("http://www.worldcat.org/oclc/38048198","WorldCat Record")</f>
        <v>WorldCat Record</v>
      </c>
      <c r="AX430" s="3" t="s">
        <v>4108</v>
      </c>
      <c r="AY430" s="3" t="s">
        <v>4109</v>
      </c>
      <c r="AZ430" s="3" t="s">
        <v>4110</v>
      </c>
      <c r="BA430" s="3" t="s">
        <v>4110</v>
      </c>
      <c r="BB430" s="3" t="s">
        <v>4111</v>
      </c>
      <c r="BC430" s="3" t="s">
        <v>77</v>
      </c>
      <c r="BD430" s="3" t="s">
        <v>78</v>
      </c>
      <c r="BE430" s="3" t="s">
        <v>4112</v>
      </c>
      <c r="BF430" s="3" t="s">
        <v>4111</v>
      </c>
      <c r="BG430" s="3" t="s">
        <v>4113</v>
      </c>
      <c r="BH430">
        <f t="shared" si="16"/>
        <v>0</v>
      </c>
    </row>
    <row r="431" spans="1:60" ht="72.5" x14ac:dyDescent="0.35">
      <c r="A431" s="2" t="s">
        <v>59</v>
      </c>
      <c r="B431" s="2" t="s">
        <v>60</v>
      </c>
      <c r="C431" s="2" t="s">
        <v>4114</v>
      </c>
      <c r="D431" s="2" t="s">
        <v>4115</v>
      </c>
      <c r="E431" s="2" t="s">
        <v>4116</v>
      </c>
      <c r="G431" s="3" t="s">
        <v>64</v>
      </c>
      <c r="I431" s="3" t="s">
        <v>64</v>
      </c>
      <c r="J431" s="3" t="s">
        <v>64</v>
      </c>
      <c r="K431" s="3" t="s">
        <v>65</v>
      </c>
      <c r="L431" s="2" t="s">
        <v>4117</v>
      </c>
      <c r="M431" s="2" t="s">
        <v>4118</v>
      </c>
      <c r="N431" s="3" t="s">
        <v>171</v>
      </c>
      <c r="P431" s="3" t="s">
        <v>102</v>
      </c>
      <c r="R431" s="3" t="s">
        <v>70</v>
      </c>
      <c r="S431" s="4">
        <v>14</v>
      </c>
      <c r="T431" s="4">
        <v>14</v>
      </c>
      <c r="U431" s="5" t="s">
        <v>1925</v>
      </c>
      <c r="V431" s="5" t="s">
        <v>1925</v>
      </c>
      <c r="W431" s="5" t="s">
        <v>72</v>
      </c>
      <c r="X431" s="5" t="s">
        <v>72</v>
      </c>
      <c r="Y431" s="4">
        <v>674</v>
      </c>
      <c r="Z431" s="4">
        <v>37</v>
      </c>
      <c r="AA431" s="4">
        <v>41</v>
      </c>
      <c r="AB431" s="4">
        <v>2</v>
      </c>
      <c r="AC431" s="4">
        <v>4</v>
      </c>
      <c r="AD431" s="4">
        <v>75</v>
      </c>
      <c r="AE431" s="4">
        <v>79</v>
      </c>
      <c r="AF431" s="4">
        <v>1</v>
      </c>
      <c r="AG431" s="4">
        <v>3</v>
      </c>
      <c r="AH431" s="4">
        <v>62</v>
      </c>
      <c r="AI431" s="4">
        <v>64</v>
      </c>
      <c r="AJ431" s="4">
        <v>8</v>
      </c>
      <c r="AK431" s="4">
        <v>11</v>
      </c>
      <c r="AL431" s="4">
        <v>34</v>
      </c>
      <c r="AM431" s="4">
        <v>34</v>
      </c>
      <c r="AN431" s="4">
        <v>0</v>
      </c>
      <c r="AO431" s="4">
        <v>0</v>
      </c>
      <c r="AP431" s="4">
        <v>15</v>
      </c>
      <c r="AQ431" s="4">
        <v>19</v>
      </c>
      <c r="AR431" s="3" t="s">
        <v>64</v>
      </c>
      <c r="AS431" s="3" t="s">
        <v>64</v>
      </c>
      <c r="AT431" s="3" t="s">
        <v>128</v>
      </c>
      <c r="AU431" s="6" t="str">
        <f>HYPERLINK("http://catalog.hathitrust.org/Record/005423949","HathiTrust Record")</f>
        <v>HathiTrust Record</v>
      </c>
      <c r="AV431" s="6" t="str">
        <f>HYPERLINK("http://mcgill.on.worldcat.org/oclc/76910187","Catalog Record")</f>
        <v>Catalog Record</v>
      </c>
      <c r="AW431" s="6" t="str">
        <f>HYPERLINK("http://www.worldcat.org/oclc/76910187","WorldCat Record")</f>
        <v>WorldCat Record</v>
      </c>
      <c r="AX431" s="3" t="s">
        <v>4119</v>
      </c>
      <c r="AY431" s="3" t="s">
        <v>4120</v>
      </c>
      <c r="AZ431" s="3" t="s">
        <v>4121</v>
      </c>
      <c r="BA431" s="3" t="s">
        <v>4121</v>
      </c>
      <c r="BB431" s="3" t="s">
        <v>4122</v>
      </c>
      <c r="BC431" s="3" t="s">
        <v>77</v>
      </c>
      <c r="BD431" s="3" t="s">
        <v>78</v>
      </c>
      <c r="BE431" s="3" t="s">
        <v>4123</v>
      </c>
      <c r="BF431" s="3" t="s">
        <v>4122</v>
      </c>
      <c r="BG431" s="3" t="s">
        <v>4124</v>
      </c>
      <c r="BH431">
        <f t="shared" si="16"/>
        <v>0</v>
      </c>
    </row>
    <row r="432" spans="1:60" ht="58" x14ac:dyDescent="0.35">
      <c r="A432" s="2" t="s">
        <v>59</v>
      </c>
      <c r="B432" s="2" t="s">
        <v>60</v>
      </c>
      <c r="C432" s="2" t="s">
        <v>4125</v>
      </c>
      <c r="D432" s="2" t="s">
        <v>4126</v>
      </c>
      <c r="E432" s="2" t="s">
        <v>4127</v>
      </c>
      <c r="G432" s="3" t="s">
        <v>64</v>
      </c>
      <c r="I432" s="3" t="s">
        <v>64</v>
      </c>
      <c r="J432" s="3" t="s">
        <v>64</v>
      </c>
      <c r="K432" s="3" t="s">
        <v>65</v>
      </c>
      <c r="M432" s="2" t="s">
        <v>4128</v>
      </c>
      <c r="N432" s="3" t="s">
        <v>326</v>
      </c>
      <c r="P432" s="3" t="s">
        <v>102</v>
      </c>
      <c r="Q432" s="2" t="s">
        <v>4129</v>
      </c>
      <c r="R432" s="3" t="s">
        <v>70</v>
      </c>
      <c r="S432" s="4">
        <v>1</v>
      </c>
      <c r="T432" s="4">
        <v>1</v>
      </c>
      <c r="U432" s="5" t="s">
        <v>4130</v>
      </c>
      <c r="V432" s="5" t="s">
        <v>4130</v>
      </c>
      <c r="W432" s="5" t="s">
        <v>72</v>
      </c>
      <c r="X432" s="5" t="s">
        <v>72</v>
      </c>
      <c r="Y432" s="4">
        <v>52</v>
      </c>
      <c r="Z432" s="4">
        <v>5</v>
      </c>
      <c r="AA432" s="4">
        <v>5</v>
      </c>
      <c r="AB432" s="4">
        <v>1</v>
      </c>
      <c r="AC432" s="4">
        <v>1</v>
      </c>
      <c r="AD432" s="4">
        <v>26</v>
      </c>
      <c r="AE432" s="4">
        <v>26</v>
      </c>
      <c r="AF432" s="4">
        <v>0</v>
      </c>
      <c r="AG432" s="4">
        <v>0</v>
      </c>
      <c r="AH432" s="4">
        <v>25</v>
      </c>
      <c r="AI432" s="4">
        <v>25</v>
      </c>
      <c r="AJ432" s="4">
        <v>3</v>
      </c>
      <c r="AK432" s="4">
        <v>3</v>
      </c>
      <c r="AL432" s="4">
        <v>18</v>
      </c>
      <c r="AM432" s="4">
        <v>18</v>
      </c>
      <c r="AN432" s="4">
        <v>0</v>
      </c>
      <c r="AO432" s="4">
        <v>0</v>
      </c>
      <c r="AP432" s="4">
        <v>3</v>
      </c>
      <c r="AQ432" s="4">
        <v>3</v>
      </c>
      <c r="AR432" s="3" t="s">
        <v>64</v>
      </c>
      <c r="AS432" s="3" t="s">
        <v>64</v>
      </c>
      <c r="AT432" s="3" t="s">
        <v>64</v>
      </c>
      <c r="AV432" s="6" t="str">
        <f>HYPERLINK("http://mcgill.on.worldcat.org/oclc/747528693","Catalog Record")</f>
        <v>Catalog Record</v>
      </c>
      <c r="AW432" s="6" t="str">
        <f>HYPERLINK("http://www.worldcat.org/oclc/747528693","WorldCat Record")</f>
        <v>WorldCat Record</v>
      </c>
      <c r="AX432" s="3" t="s">
        <v>4131</v>
      </c>
      <c r="AY432" s="3" t="s">
        <v>4132</v>
      </c>
      <c r="AZ432" s="3" t="s">
        <v>4133</v>
      </c>
      <c r="BA432" s="3" t="s">
        <v>4133</v>
      </c>
      <c r="BB432" s="3" t="s">
        <v>4134</v>
      </c>
      <c r="BC432" s="3" t="s">
        <v>77</v>
      </c>
      <c r="BD432" s="3" t="s">
        <v>78</v>
      </c>
      <c r="BE432" s="3" t="s">
        <v>4135</v>
      </c>
      <c r="BF432" s="3" t="s">
        <v>4134</v>
      </c>
      <c r="BG432" s="3" t="s">
        <v>4136</v>
      </c>
      <c r="BH432">
        <f t="shared" si="16"/>
        <v>0</v>
      </c>
    </row>
    <row r="433" spans="1:60" x14ac:dyDescent="0.35">
      <c r="A433" t="s">
        <v>59</v>
      </c>
      <c r="B433" t="s">
        <v>60</v>
      </c>
      <c r="C433" t="s">
        <v>52934</v>
      </c>
      <c r="D433" t="s">
        <v>52935</v>
      </c>
      <c r="E433" t="s">
        <v>52936</v>
      </c>
      <c r="G433" t="s">
        <v>64</v>
      </c>
      <c r="I433" t="s">
        <v>64</v>
      </c>
      <c r="J433" t="s">
        <v>64</v>
      </c>
      <c r="K433" t="s">
        <v>65</v>
      </c>
      <c r="L433" t="s">
        <v>479</v>
      </c>
      <c r="M433" t="s">
        <v>52937</v>
      </c>
      <c r="N433" t="s">
        <v>3047</v>
      </c>
      <c r="P433" t="s">
        <v>68</v>
      </c>
      <c r="Q433" t="s">
        <v>52938</v>
      </c>
      <c r="R433" t="s">
        <v>70</v>
      </c>
      <c r="S433">
        <v>18</v>
      </c>
      <c r="T433">
        <v>18</v>
      </c>
      <c r="U433" t="s">
        <v>52939</v>
      </c>
      <c r="V433" t="s">
        <v>52939</v>
      </c>
      <c r="W433" t="s">
        <v>72</v>
      </c>
      <c r="X433" t="s">
        <v>72</v>
      </c>
      <c r="Y433">
        <v>45</v>
      </c>
      <c r="Z433">
        <v>5</v>
      </c>
      <c r="AA433">
        <v>6</v>
      </c>
      <c r="AB433">
        <v>1</v>
      </c>
      <c r="AC433">
        <v>1</v>
      </c>
      <c r="AD433">
        <v>23</v>
      </c>
      <c r="AE433">
        <v>24</v>
      </c>
      <c r="AF433">
        <v>0</v>
      </c>
      <c r="AG433">
        <v>0</v>
      </c>
      <c r="AH433">
        <v>20</v>
      </c>
      <c r="AI433">
        <v>21</v>
      </c>
      <c r="AJ433">
        <v>2</v>
      </c>
      <c r="AK433">
        <v>3</v>
      </c>
      <c r="AL433">
        <v>16</v>
      </c>
      <c r="AM433">
        <v>16</v>
      </c>
      <c r="AN433">
        <v>0</v>
      </c>
      <c r="AO433">
        <v>0</v>
      </c>
      <c r="AP433">
        <v>3</v>
      </c>
      <c r="AQ433">
        <v>4</v>
      </c>
      <c r="AR433" t="s">
        <v>64</v>
      </c>
      <c r="AS433" t="s">
        <v>64</v>
      </c>
      <c r="AT433" t="s">
        <v>64</v>
      </c>
      <c r="AV433" t="s">
        <v>52902</v>
      </c>
      <c r="AW433" t="s">
        <v>52903</v>
      </c>
      <c r="AX433" t="s">
        <v>52940</v>
      </c>
      <c r="AY433" t="s">
        <v>52941</v>
      </c>
      <c r="AZ433" t="s">
        <v>52942</v>
      </c>
      <c r="BA433" t="s">
        <v>52942</v>
      </c>
      <c r="BB433" t="s">
        <v>52943</v>
      </c>
      <c r="BC433" t="s">
        <v>77</v>
      </c>
      <c r="BD433" t="s">
        <v>78</v>
      </c>
      <c r="BF433" t="s">
        <v>52943</v>
      </c>
      <c r="BG433" t="s">
        <v>52944</v>
      </c>
      <c r="BH433">
        <f t="shared" si="16"/>
        <v>0</v>
      </c>
    </row>
    <row r="434" spans="1:60" ht="58" x14ac:dyDescent="0.35">
      <c r="A434" s="2" t="s">
        <v>59</v>
      </c>
      <c r="B434" s="2" t="s">
        <v>60</v>
      </c>
      <c r="C434" s="2" t="s">
        <v>4137</v>
      </c>
      <c r="D434" s="2" t="s">
        <v>4138</v>
      </c>
      <c r="E434" s="2" t="s">
        <v>4139</v>
      </c>
      <c r="G434" s="3" t="s">
        <v>64</v>
      </c>
      <c r="I434" s="3" t="s">
        <v>128</v>
      </c>
      <c r="J434" s="3" t="s">
        <v>64</v>
      </c>
      <c r="K434" s="3" t="s">
        <v>65</v>
      </c>
      <c r="L434" s="2" t="s">
        <v>4140</v>
      </c>
      <c r="M434" s="2" t="s">
        <v>4141</v>
      </c>
      <c r="N434" s="3" t="s">
        <v>101</v>
      </c>
      <c r="P434" s="3" t="s">
        <v>102</v>
      </c>
      <c r="R434" s="3" t="s">
        <v>70</v>
      </c>
      <c r="S434" s="4">
        <v>31</v>
      </c>
      <c r="T434" s="4">
        <v>57</v>
      </c>
      <c r="U434" s="5" t="s">
        <v>4142</v>
      </c>
      <c r="V434" s="5" t="s">
        <v>306</v>
      </c>
      <c r="W434" s="5" t="s">
        <v>72</v>
      </c>
      <c r="X434" s="5" t="s">
        <v>72</v>
      </c>
      <c r="Y434" s="4">
        <v>446</v>
      </c>
      <c r="Z434" s="4">
        <v>34</v>
      </c>
      <c r="AA434" s="4">
        <v>34</v>
      </c>
      <c r="AB434" s="4">
        <v>2</v>
      </c>
      <c r="AC434" s="4">
        <v>2</v>
      </c>
      <c r="AD434" s="4">
        <v>120</v>
      </c>
      <c r="AE434" s="4">
        <v>120</v>
      </c>
      <c r="AF434" s="4">
        <v>1</v>
      </c>
      <c r="AG434" s="4">
        <v>1</v>
      </c>
      <c r="AH434" s="4">
        <v>101</v>
      </c>
      <c r="AI434" s="4">
        <v>101</v>
      </c>
      <c r="AJ434" s="4">
        <v>20</v>
      </c>
      <c r="AK434" s="4">
        <v>20</v>
      </c>
      <c r="AL434" s="4">
        <v>55</v>
      </c>
      <c r="AM434" s="4">
        <v>55</v>
      </c>
      <c r="AN434" s="4">
        <v>0</v>
      </c>
      <c r="AO434" s="4">
        <v>0</v>
      </c>
      <c r="AP434" s="4">
        <v>26</v>
      </c>
      <c r="AQ434" s="4">
        <v>26</v>
      </c>
      <c r="AR434" s="3" t="s">
        <v>64</v>
      </c>
      <c r="AS434" s="3" t="s">
        <v>64</v>
      </c>
      <c r="AT434" s="3" t="s">
        <v>64</v>
      </c>
      <c r="AV434" s="6" t="str">
        <f>HYPERLINK("http://mcgill.on.worldcat.org/oclc/51020274","Catalog Record")</f>
        <v>Catalog Record</v>
      </c>
      <c r="AW434" s="6" t="str">
        <f>HYPERLINK("http://www.worldcat.org/oclc/51020274","WorldCat Record")</f>
        <v>WorldCat Record</v>
      </c>
      <c r="AX434" s="3" t="s">
        <v>4143</v>
      </c>
      <c r="AY434" s="3" t="s">
        <v>4144</v>
      </c>
      <c r="AZ434" s="3" t="s">
        <v>4145</v>
      </c>
      <c r="BA434" s="3" t="s">
        <v>4145</v>
      </c>
      <c r="BB434" s="3" t="s">
        <v>4146</v>
      </c>
      <c r="BC434" s="3" t="s">
        <v>77</v>
      </c>
      <c r="BD434" s="3" t="s">
        <v>78</v>
      </c>
      <c r="BE434" s="3" t="s">
        <v>4147</v>
      </c>
      <c r="BF434" s="3" t="s">
        <v>4146</v>
      </c>
      <c r="BG434" s="3" t="s">
        <v>4148</v>
      </c>
      <c r="BH434">
        <f t="shared" si="16"/>
        <v>0</v>
      </c>
    </row>
    <row r="435" spans="1:60" ht="58" x14ac:dyDescent="0.35">
      <c r="A435" s="2" t="s">
        <v>59</v>
      </c>
      <c r="B435" s="2" t="s">
        <v>60</v>
      </c>
      <c r="C435" s="2" t="s">
        <v>4137</v>
      </c>
      <c r="D435" s="2" t="s">
        <v>4138</v>
      </c>
      <c r="E435" s="2" t="s">
        <v>4139</v>
      </c>
      <c r="G435" s="3" t="s">
        <v>64</v>
      </c>
      <c r="I435" s="3" t="s">
        <v>128</v>
      </c>
      <c r="J435" s="3" t="s">
        <v>64</v>
      </c>
      <c r="K435" s="3" t="s">
        <v>65</v>
      </c>
      <c r="L435" s="2" t="s">
        <v>4140</v>
      </c>
      <c r="M435" s="2" t="s">
        <v>4141</v>
      </c>
      <c r="N435" s="3" t="s">
        <v>101</v>
      </c>
      <c r="P435" s="3" t="s">
        <v>102</v>
      </c>
      <c r="R435" s="3" t="s">
        <v>70</v>
      </c>
      <c r="S435" s="4">
        <v>26</v>
      </c>
      <c r="T435" s="4">
        <v>57</v>
      </c>
      <c r="U435" s="5" t="s">
        <v>306</v>
      </c>
      <c r="V435" s="5" t="s">
        <v>306</v>
      </c>
      <c r="W435" s="5" t="s">
        <v>72</v>
      </c>
      <c r="X435" s="5" t="s">
        <v>72</v>
      </c>
      <c r="Y435" s="4">
        <v>446</v>
      </c>
      <c r="Z435" s="4">
        <v>34</v>
      </c>
      <c r="AA435" s="4">
        <v>34</v>
      </c>
      <c r="AB435" s="4">
        <v>2</v>
      </c>
      <c r="AC435" s="4">
        <v>2</v>
      </c>
      <c r="AD435" s="4">
        <v>120</v>
      </c>
      <c r="AE435" s="4">
        <v>120</v>
      </c>
      <c r="AF435" s="4">
        <v>1</v>
      </c>
      <c r="AG435" s="4">
        <v>1</v>
      </c>
      <c r="AH435" s="4">
        <v>101</v>
      </c>
      <c r="AI435" s="4">
        <v>101</v>
      </c>
      <c r="AJ435" s="4">
        <v>20</v>
      </c>
      <c r="AK435" s="4">
        <v>20</v>
      </c>
      <c r="AL435" s="4">
        <v>55</v>
      </c>
      <c r="AM435" s="4">
        <v>55</v>
      </c>
      <c r="AN435" s="4">
        <v>0</v>
      </c>
      <c r="AO435" s="4">
        <v>0</v>
      </c>
      <c r="AP435" s="4">
        <v>26</v>
      </c>
      <c r="AQ435" s="4">
        <v>26</v>
      </c>
      <c r="AR435" s="3" t="s">
        <v>64</v>
      </c>
      <c r="AS435" s="3" t="s">
        <v>64</v>
      </c>
      <c r="AT435" s="3" t="s">
        <v>64</v>
      </c>
      <c r="AV435" s="6" t="str">
        <f>HYPERLINK("http://mcgill.on.worldcat.org/oclc/51020274","Catalog Record")</f>
        <v>Catalog Record</v>
      </c>
      <c r="AW435" s="6" t="str">
        <f>HYPERLINK("http://www.worldcat.org/oclc/51020274","WorldCat Record")</f>
        <v>WorldCat Record</v>
      </c>
      <c r="AX435" s="3" t="s">
        <v>4143</v>
      </c>
      <c r="AY435" s="3" t="s">
        <v>4144</v>
      </c>
      <c r="AZ435" s="3" t="s">
        <v>4145</v>
      </c>
      <c r="BA435" s="3" t="s">
        <v>4145</v>
      </c>
      <c r="BB435" s="3" t="s">
        <v>4149</v>
      </c>
      <c r="BC435" s="3" t="s">
        <v>77</v>
      </c>
      <c r="BD435" s="3" t="s">
        <v>78</v>
      </c>
      <c r="BE435" s="3" t="s">
        <v>4147</v>
      </c>
      <c r="BF435" s="3" t="s">
        <v>4149</v>
      </c>
      <c r="BG435" s="3" t="s">
        <v>4150</v>
      </c>
      <c r="BH435">
        <f t="shared" si="16"/>
        <v>0</v>
      </c>
    </row>
    <row r="436" spans="1:60" ht="58" x14ac:dyDescent="0.35">
      <c r="A436" s="2" t="s">
        <v>59</v>
      </c>
      <c r="B436" s="2" t="s">
        <v>60</v>
      </c>
      <c r="C436" s="2" t="s">
        <v>4151</v>
      </c>
      <c r="D436" s="2" t="s">
        <v>4152</v>
      </c>
      <c r="E436" s="2" t="s">
        <v>4153</v>
      </c>
      <c r="G436" s="3" t="s">
        <v>64</v>
      </c>
      <c r="I436" s="3" t="s">
        <v>64</v>
      </c>
      <c r="J436" s="3" t="s">
        <v>64</v>
      </c>
      <c r="K436" s="3" t="s">
        <v>65</v>
      </c>
      <c r="M436" s="2" t="s">
        <v>4154</v>
      </c>
      <c r="N436" s="3" t="s">
        <v>67</v>
      </c>
      <c r="P436" s="3" t="s">
        <v>68</v>
      </c>
      <c r="Q436" s="2" t="s">
        <v>4155</v>
      </c>
      <c r="R436" s="3" t="s">
        <v>70</v>
      </c>
      <c r="S436" s="4">
        <v>3</v>
      </c>
      <c r="T436" s="4">
        <v>3</v>
      </c>
      <c r="U436" s="5" t="s">
        <v>4156</v>
      </c>
      <c r="V436" s="5" t="s">
        <v>4156</v>
      </c>
      <c r="W436" s="5" t="s">
        <v>72</v>
      </c>
      <c r="X436" s="5" t="s">
        <v>72</v>
      </c>
      <c r="Y436" s="4">
        <v>58</v>
      </c>
      <c r="Z436" s="4">
        <v>9</v>
      </c>
      <c r="AA436" s="4">
        <v>10</v>
      </c>
      <c r="AB436" s="4">
        <v>3</v>
      </c>
      <c r="AC436" s="4">
        <v>3</v>
      </c>
      <c r="AD436" s="4">
        <v>31</v>
      </c>
      <c r="AE436" s="4">
        <v>32</v>
      </c>
      <c r="AF436" s="4">
        <v>1</v>
      </c>
      <c r="AG436" s="4">
        <v>1</v>
      </c>
      <c r="AH436" s="4">
        <v>29</v>
      </c>
      <c r="AI436" s="4">
        <v>30</v>
      </c>
      <c r="AJ436" s="4">
        <v>6</v>
      </c>
      <c r="AK436" s="4">
        <v>7</v>
      </c>
      <c r="AL436" s="4">
        <v>21</v>
      </c>
      <c r="AM436" s="4">
        <v>21</v>
      </c>
      <c r="AN436" s="4">
        <v>0</v>
      </c>
      <c r="AO436" s="4">
        <v>0</v>
      </c>
      <c r="AP436" s="4">
        <v>5</v>
      </c>
      <c r="AQ436" s="4">
        <v>6</v>
      </c>
      <c r="AR436" s="3" t="s">
        <v>64</v>
      </c>
      <c r="AS436" s="3" t="s">
        <v>64</v>
      </c>
      <c r="AT436" s="3" t="s">
        <v>64</v>
      </c>
      <c r="AV436" s="6" t="str">
        <f>HYPERLINK("http://mcgill.on.worldcat.org/oclc/881224264","Catalog Record")</f>
        <v>Catalog Record</v>
      </c>
      <c r="AW436" s="6" t="str">
        <f>HYPERLINK("http://www.worldcat.org/oclc/881224264","WorldCat Record")</f>
        <v>WorldCat Record</v>
      </c>
      <c r="AX436" s="3" t="s">
        <v>4157</v>
      </c>
      <c r="AY436" s="3" t="s">
        <v>4158</v>
      </c>
      <c r="AZ436" s="3" t="s">
        <v>4159</v>
      </c>
      <c r="BA436" s="3" t="s">
        <v>4159</v>
      </c>
      <c r="BB436" s="3" t="s">
        <v>4160</v>
      </c>
      <c r="BC436" s="3" t="s">
        <v>77</v>
      </c>
      <c r="BD436" s="3" t="s">
        <v>165</v>
      </c>
      <c r="BE436" s="3" t="s">
        <v>4161</v>
      </c>
      <c r="BF436" s="3" t="s">
        <v>4160</v>
      </c>
      <c r="BG436" s="3" t="s">
        <v>4162</v>
      </c>
      <c r="BH436">
        <f t="shared" si="16"/>
        <v>0</v>
      </c>
    </row>
    <row r="437" spans="1:60" ht="72.5" x14ac:dyDescent="0.35">
      <c r="A437" s="2" t="s">
        <v>59</v>
      </c>
      <c r="B437" s="2" t="s">
        <v>60</v>
      </c>
      <c r="C437" s="2" t="s">
        <v>4163</v>
      </c>
      <c r="D437" s="2" t="s">
        <v>4164</v>
      </c>
      <c r="E437" s="2" t="s">
        <v>4165</v>
      </c>
      <c r="G437" s="3" t="s">
        <v>64</v>
      </c>
      <c r="I437" s="3" t="s">
        <v>64</v>
      </c>
      <c r="J437" s="3" t="s">
        <v>64</v>
      </c>
      <c r="K437" s="3" t="s">
        <v>65</v>
      </c>
      <c r="L437" s="2" t="s">
        <v>683</v>
      </c>
      <c r="M437" s="2" t="s">
        <v>4166</v>
      </c>
      <c r="N437" s="3" t="s">
        <v>4167</v>
      </c>
      <c r="P437" s="3" t="s">
        <v>102</v>
      </c>
      <c r="R437" s="3" t="s">
        <v>70</v>
      </c>
      <c r="S437" s="4">
        <v>8</v>
      </c>
      <c r="T437" s="4">
        <v>8</v>
      </c>
      <c r="U437" s="5" t="s">
        <v>2353</v>
      </c>
      <c r="V437" s="5" t="s">
        <v>2353</v>
      </c>
      <c r="W437" s="5" t="s">
        <v>72</v>
      </c>
      <c r="X437" s="5" t="s">
        <v>72</v>
      </c>
      <c r="Y437" s="4">
        <v>322</v>
      </c>
      <c r="Z437" s="4">
        <v>10</v>
      </c>
      <c r="AA437" s="4">
        <v>23</v>
      </c>
      <c r="AB437" s="4">
        <v>1</v>
      </c>
      <c r="AC437" s="4">
        <v>2</v>
      </c>
      <c r="AD437" s="4">
        <v>84</v>
      </c>
      <c r="AE437" s="4">
        <v>101</v>
      </c>
      <c r="AF437" s="4">
        <v>0</v>
      </c>
      <c r="AG437" s="4">
        <v>0</v>
      </c>
      <c r="AH437" s="4">
        <v>77</v>
      </c>
      <c r="AI437" s="4">
        <v>92</v>
      </c>
      <c r="AJ437" s="4">
        <v>9</v>
      </c>
      <c r="AK437" s="4">
        <v>15</v>
      </c>
      <c r="AL437" s="4">
        <v>48</v>
      </c>
      <c r="AM437" s="4">
        <v>53</v>
      </c>
      <c r="AN437" s="4">
        <v>0</v>
      </c>
      <c r="AO437" s="4">
        <v>0</v>
      </c>
      <c r="AP437" s="4">
        <v>9</v>
      </c>
      <c r="AQ437" s="4">
        <v>14</v>
      </c>
      <c r="AR437" s="3" t="s">
        <v>64</v>
      </c>
      <c r="AS437" s="3" t="s">
        <v>64</v>
      </c>
      <c r="AT437" s="3" t="s">
        <v>128</v>
      </c>
      <c r="AU437" s="6" t="str">
        <f>HYPERLINK("http://catalog.hathitrust.org/Record/001159821","HathiTrust Record")</f>
        <v>HathiTrust Record</v>
      </c>
      <c r="AV437" s="6" t="str">
        <f>HYPERLINK("http://mcgill.on.worldcat.org/oclc/1247585","Catalog Record")</f>
        <v>Catalog Record</v>
      </c>
      <c r="AW437" s="6" t="str">
        <f>HYPERLINK("http://www.worldcat.org/oclc/1247585","WorldCat Record")</f>
        <v>WorldCat Record</v>
      </c>
      <c r="AX437" s="3" t="s">
        <v>4168</v>
      </c>
      <c r="AY437" s="3" t="s">
        <v>4169</v>
      </c>
      <c r="AZ437" s="3" t="s">
        <v>4170</v>
      </c>
      <c r="BA437" s="3" t="s">
        <v>4170</v>
      </c>
      <c r="BB437" s="3" t="s">
        <v>4171</v>
      </c>
      <c r="BC437" s="3" t="s">
        <v>77</v>
      </c>
      <c r="BD437" s="3" t="s">
        <v>78</v>
      </c>
      <c r="BF437" s="3" t="s">
        <v>4171</v>
      </c>
      <c r="BG437" s="3" t="s">
        <v>4172</v>
      </c>
      <c r="BH437">
        <f t="shared" si="16"/>
        <v>0</v>
      </c>
    </row>
    <row r="438" spans="1:60" ht="58" x14ac:dyDescent="0.35">
      <c r="A438" s="2" t="s">
        <v>59</v>
      </c>
      <c r="B438" s="2" t="s">
        <v>60</v>
      </c>
      <c r="C438" s="2" t="s">
        <v>4173</v>
      </c>
      <c r="D438" s="2" t="s">
        <v>4174</v>
      </c>
      <c r="E438" s="2" t="s">
        <v>4175</v>
      </c>
      <c r="G438" s="3" t="s">
        <v>64</v>
      </c>
      <c r="I438" s="3" t="s">
        <v>64</v>
      </c>
      <c r="J438" s="3" t="s">
        <v>64</v>
      </c>
      <c r="K438" s="3" t="s">
        <v>65</v>
      </c>
      <c r="L438" s="2" t="s">
        <v>4176</v>
      </c>
      <c r="M438" s="2" t="s">
        <v>4177</v>
      </c>
      <c r="N438" s="3" t="s">
        <v>1075</v>
      </c>
      <c r="P438" s="3" t="s">
        <v>68</v>
      </c>
      <c r="Q438" s="2" t="s">
        <v>4178</v>
      </c>
      <c r="R438" s="3" t="s">
        <v>70</v>
      </c>
      <c r="S438" s="4">
        <v>6</v>
      </c>
      <c r="T438" s="4">
        <v>6</v>
      </c>
      <c r="U438" s="5" t="s">
        <v>457</v>
      </c>
      <c r="V438" s="5" t="s">
        <v>457</v>
      </c>
      <c r="W438" s="5" t="s">
        <v>72</v>
      </c>
      <c r="X438" s="5" t="s">
        <v>72</v>
      </c>
      <c r="Y438" s="4">
        <v>62</v>
      </c>
      <c r="Z438" s="4">
        <v>10</v>
      </c>
      <c r="AA438" s="4">
        <v>14</v>
      </c>
      <c r="AB438" s="4">
        <v>2</v>
      </c>
      <c r="AC438" s="4">
        <v>6</v>
      </c>
      <c r="AD438" s="4">
        <v>25</v>
      </c>
      <c r="AE438" s="4">
        <v>28</v>
      </c>
      <c r="AF438" s="4">
        <v>0</v>
      </c>
      <c r="AG438" s="4">
        <v>3</v>
      </c>
      <c r="AH438" s="4">
        <v>21</v>
      </c>
      <c r="AI438" s="4">
        <v>22</v>
      </c>
      <c r="AJ438" s="4">
        <v>6</v>
      </c>
      <c r="AK438" s="4">
        <v>9</v>
      </c>
      <c r="AL438" s="4">
        <v>17</v>
      </c>
      <c r="AM438" s="4">
        <v>17</v>
      </c>
      <c r="AN438" s="4">
        <v>0</v>
      </c>
      <c r="AO438" s="4">
        <v>0</v>
      </c>
      <c r="AP438" s="4">
        <v>6</v>
      </c>
      <c r="AQ438" s="4">
        <v>8</v>
      </c>
      <c r="AR438" s="3" t="s">
        <v>64</v>
      </c>
      <c r="AS438" s="3" t="s">
        <v>64</v>
      </c>
      <c r="AT438" s="3" t="s">
        <v>64</v>
      </c>
      <c r="AV438" s="6" t="str">
        <f>HYPERLINK("http://mcgill.on.worldcat.org/oclc/882902982","Catalog Record")</f>
        <v>Catalog Record</v>
      </c>
      <c r="AW438" s="6" t="str">
        <f>HYPERLINK("http://www.worldcat.org/oclc/882902982","WorldCat Record")</f>
        <v>WorldCat Record</v>
      </c>
      <c r="AX438" s="3" t="s">
        <v>4179</v>
      </c>
      <c r="AY438" s="3" t="s">
        <v>4180</v>
      </c>
      <c r="AZ438" s="3" t="s">
        <v>4181</v>
      </c>
      <c r="BA438" s="3" t="s">
        <v>4181</v>
      </c>
      <c r="BB438" s="3" t="s">
        <v>4182</v>
      </c>
      <c r="BC438" s="3" t="s">
        <v>77</v>
      </c>
      <c r="BD438" s="3" t="s">
        <v>165</v>
      </c>
      <c r="BE438" s="3" t="s">
        <v>4183</v>
      </c>
      <c r="BF438" s="3" t="s">
        <v>4182</v>
      </c>
      <c r="BG438" s="3" t="s">
        <v>4184</v>
      </c>
      <c r="BH438">
        <f t="shared" si="16"/>
        <v>0</v>
      </c>
    </row>
    <row r="439" spans="1:60" ht="58" x14ac:dyDescent="0.35">
      <c r="A439" s="2" t="s">
        <v>59</v>
      </c>
      <c r="B439" s="2" t="s">
        <v>60</v>
      </c>
      <c r="C439" s="2" t="s">
        <v>4185</v>
      </c>
      <c r="D439" s="2" t="s">
        <v>4186</v>
      </c>
      <c r="E439" s="2" t="s">
        <v>4187</v>
      </c>
      <c r="G439" s="3" t="s">
        <v>64</v>
      </c>
      <c r="I439" s="3" t="s">
        <v>64</v>
      </c>
      <c r="J439" s="3" t="s">
        <v>64</v>
      </c>
      <c r="K439" s="3" t="s">
        <v>65</v>
      </c>
      <c r="M439" s="2" t="s">
        <v>4188</v>
      </c>
      <c r="N439" s="3" t="s">
        <v>378</v>
      </c>
      <c r="P439" s="3" t="s">
        <v>102</v>
      </c>
      <c r="R439" s="3" t="s">
        <v>70</v>
      </c>
      <c r="S439" s="4">
        <v>71</v>
      </c>
      <c r="T439" s="4">
        <v>71</v>
      </c>
      <c r="U439" s="5" t="s">
        <v>4189</v>
      </c>
      <c r="V439" s="5" t="s">
        <v>4189</v>
      </c>
      <c r="W439" s="5" t="s">
        <v>72</v>
      </c>
      <c r="X439" s="5" t="s">
        <v>72</v>
      </c>
      <c r="Y439" s="4">
        <v>414</v>
      </c>
      <c r="Z439" s="4">
        <v>20</v>
      </c>
      <c r="AA439" s="4">
        <v>22</v>
      </c>
      <c r="AB439" s="4">
        <v>1</v>
      </c>
      <c r="AC439" s="4">
        <v>3</v>
      </c>
      <c r="AD439" s="4">
        <v>111</v>
      </c>
      <c r="AE439" s="4">
        <v>113</v>
      </c>
      <c r="AF439" s="4">
        <v>0</v>
      </c>
      <c r="AG439" s="4">
        <v>2</v>
      </c>
      <c r="AH439" s="4">
        <v>100</v>
      </c>
      <c r="AI439" s="4">
        <v>101</v>
      </c>
      <c r="AJ439" s="4">
        <v>14</v>
      </c>
      <c r="AK439" s="4">
        <v>16</v>
      </c>
      <c r="AL439" s="4">
        <v>51</v>
      </c>
      <c r="AM439" s="4">
        <v>51</v>
      </c>
      <c r="AN439" s="4">
        <v>0</v>
      </c>
      <c r="AO439" s="4">
        <v>0</v>
      </c>
      <c r="AP439" s="4">
        <v>17</v>
      </c>
      <c r="AQ439" s="4">
        <v>18</v>
      </c>
      <c r="AR439" s="3" t="s">
        <v>64</v>
      </c>
      <c r="AS439" s="3" t="s">
        <v>64</v>
      </c>
      <c r="AT439" s="3" t="s">
        <v>64</v>
      </c>
      <c r="AV439" s="6" t="str">
        <f>HYPERLINK("http://mcgill.on.worldcat.org/oclc/12908617","Catalog Record")</f>
        <v>Catalog Record</v>
      </c>
      <c r="AW439" s="6" t="str">
        <f>HYPERLINK("http://www.worldcat.org/oclc/12908617","WorldCat Record")</f>
        <v>WorldCat Record</v>
      </c>
      <c r="AX439" s="3" t="s">
        <v>4190</v>
      </c>
      <c r="AY439" s="3" t="s">
        <v>4191</v>
      </c>
      <c r="AZ439" s="3" t="s">
        <v>4192</v>
      </c>
      <c r="BA439" s="3" t="s">
        <v>4192</v>
      </c>
      <c r="BB439" s="3" t="s">
        <v>4193</v>
      </c>
      <c r="BC439" s="3" t="s">
        <v>77</v>
      </c>
      <c r="BD439" s="3" t="s">
        <v>78</v>
      </c>
      <c r="BE439" s="3" t="s">
        <v>4194</v>
      </c>
      <c r="BF439" s="3" t="s">
        <v>4193</v>
      </c>
      <c r="BG439" s="3" t="s">
        <v>4195</v>
      </c>
      <c r="BH439">
        <f t="shared" si="16"/>
        <v>0</v>
      </c>
    </row>
    <row r="440" spans="1:60" ht="72.5" x14ac:dyDescent="0.35">
      <c r="A440" s="2" t="s">
        <v>59</v>
      </c>
      <c r="B440" s="2" t="s">
        <v>60</v>
      </c>
      <c r="C440" s="2" t="s">
        <v>4196</v>
      </c>
      <c r="D440" s="2" t="s">
        <v>4197</v>
      </c>
      <c r="E440" s="2" t="s">
        <v>4198</v>
      </c>
      <c r="G440" s="3" t="s">
        <v>64</v>
      </c>
      <c r="I440" s="3" t="s">
        <v>64</v>
      </c>
      <c r="J440" s="3" t="s">
        <v>64</v>
      </c>
      <c r="K440" s="3" t="s">
        <v>65</v>
      </c>
      <c r="M440" s="2" t="s">
        <v>4199</v>
      </c>
      <c r="N440" s="3" t="s">
        <v>1075</v>
      </c>
      <c r="P440" s="3" t="s">
        <v>102</v>
      </c>
      <c r="Q440" s="2" t="s">
        <v>4200</v>
      </c>
      <c r="R440" s="3" t="s">
        <v>70</v>
      </c>
      <c r="S440" s="4">
        <v>0</v>
      </c>
      <c r="T440" s="4">
        <v>0</v>
      </c>
      <c r="W440" s="5" t="s">
        <v>72</v>
      </c>
      <c r="X440" s="5" t="s">
        <v>72</v>
      </c>
      <c r="Y440" s="4">
        <v>84</v>
      </c>
      <c r="Z440" s="4">
        <v>9</v>
      </c>
      <c r="AA440" s="4">
        <v>76</v>
      </c>
      <c r="AB440" s="4">
        <v>1</v>
      </c>
      <c r="AC440" s="4">
        <v>14</v>
      </c>
      <c r="AD440" s="4">
        <v>32</v>
      </c>
      <c r="AE440" s="4">
        <v>108</v>
      </c>
      <c r="AF440" s="4">
        <v>0</v>
      </c>
      <c r="AG440" s="4">
        <v>8</v>
      </c>
      <c r="AH440" s="4">
        <v>30</v>
      </c>
      <c r="AI440" s="4">
        <v>77</v>
      </c>
      <c r="AJ440" s="4">
        <v>5</v>
      </c>
      <c r="AK440" s="4">
        <v>20</v>
      </c>
      <c r="AL440" s="4">
        <v>16</v>
      </c>
      <c r="AM440" s="4">
        <v>40</v>
      </c>
      <c r="AN440" s="4">
        <v>0</v>
      </c>
      <c r="AO440" s="4">
        <v>0</v>
      </c>
      <c r="AP440" s="4">
        <v>5</v>
      </c>
      <c r="AQ440" s="4">
        <v>37</v>
      </c>
      <c r="AR440" s="3" t="s">
        <v>64</v>
      </c>
      <c r="AS440" s="3" t="s">
        <v>64</v>
      </c>
      <c r="AT440" s="3" t="s">
        <v>64</v>
      </c>
      <c r="AV440" s="6" t="str">
        <f>HYPERLINK("http://mcgill.on.worldcat.org/oclc/805831482","Catalog Record")</f>
        <v>Catalog Record</v>
      </c>
      <c r="AW440" s="6" t="str">
        <f>HYPERLINK("http://www.worldcat.org/oclc/805831482","WorldCat Record")</f>
        <v>WorldCat Record</v>
      </c>
      <c r="AX440" s="3" t="s">
        <v>4201</v>
      </c>
      <c r="AY440" s="3" t="s">
        <v>4202</v>
      </c>
      <c r="AZ440" s="3" t="s">
        <v>4203</v>
      </c>
      <c r="BA440" s="3" t="s">
        <v>4203</v>
      </c>
      <c r="BB440" s="3" t="s">
        <v>4204</v>
      </c>
      <c r="BC440" s="3" t="s">
        <v>77</v>
      </c>
      <c r="BD440" s="3" t="s">
        <v>78</v>
      </c>
      <c r="BE440" s="3" t="s">
        <v>4205</v>
      </c>
      <c r="BF440" s="3" t="s">
        <v>4204</v>
      </c>
      <c r="BG440" s="3" t="s">
        <v>4206</v>
      </c>
      <c r="BH440">
        <f t="shared" si="16"/>
        <v>0</v>
      </c>
    </row>
    <row r="441" spans="1:60" x14ac:dyDescent="0.35">
      <c r="A441" t="s">
        <v>59</v>
      </c>
      <c r="B441" t="s">
        <v>60</v>
      </c>
      <c r="C441" t="s">
        <v>52945</v>
      </c>
      <c r="D441" t="s">
        <v>52946</v>
      </c>
      <c r="E441" t="s">
        <v>52947</v>
      </c>
      <c r="G441" t="s">
        <v>64</v>
      </c>
      <c r="I441" t="s">
        <v>64</v>
      </c>
      <c r="J441" t="s">
        <v>64</v>
      </c>
      <c r="K441" t="s">
        <v>65</v>
      </c>
      <c r="M441" t="s">
        <v>52948</v>
      </c>
      <c r="N441" t="s">
        <v>159</v>
      </c>
      <c r="P441" t="s">
        <v>102</v>
      </c>
      <c r="Q441" t="s">
        <v>52949</v>
      </c>
      <c r="R441" t="s">
        <v>70</v>
      </c>
      <c r="S441">
        <v>15</v>
      </c>
      <c r="T441">
        <v>15</v>
      </c>
      <c r="U441" t="s">
        <v>4420</v>
      </c>
      <c r="V441" t="s">
        <v>4420</v>
      </c>
      <c r="W441" t="s">
        <v>72</v>
      </c>
      <c r="X441" t="s">
        <v>72</v>
      </c>
      <c r="Y441">
        <v>170</v>
      </c>
      <c r="Z441">
        <v>14</v>
      </c>
      <c r="AA441">
        <v>21</v>
      </c>
      <c r="AB441">
        <v>1</v>
      </c>
      <c r="AC441">
        <v>4</v>
      </c>
      <c r="AD441">
        <v>69</v>
      </c>
      <c r="AE441">
        <v>75</v>
      </c>
      <c r="AF441">
        <v>0</v>
      </c>
      <c r="AG441">
        <v>0</v>
      </c>
      <c r="AH441">
        <v>63</v>
      </c>
      <c r="AI441">
        <v>68</v>
      </c>
      <c r="AJ441">
        <v>8</v>
      </c>
      <c r="AK441">
        <v>12</v>
      </c>
      <c r="AL441">
        <v>40</v>
      </c>
      <c r="AM441">
        <v>41</v>
      </c>
      <c r="AN441">
        <v>0</v>
      </c>
      <c r="AO441">
        <v>0</v>
      </c>
      <c r="AP441">
        <v>10</v>
      </c>
      <c r="AQ441">
        <v>14</v>
      </c>
      <c r="AR441" t="s">
        <v>64</v>
      </c>
      <c r="AS441" t="s">
        <v>64</v>
      </c>
      <c r="AT441" t="s">
        <v>128</v>
      </c>
      <c r="AU441" t="s">
        <v>52901</v>
      </c>
      <c r="AV441" t="s">
        <v>52902</v>
      </c>
      <c r="AW441" t="s">
        <v>52903</v>
      </c>
      <c r="AX441" t="s">
        <v>52950</v>
      </c>
      <c r="AY441" t="s">
        <v>52951</v>
      </c>
      <c r="AZ441" t="s">
        <v>52952</v>
      </c>
      <c r="BA441" t="s">
        <v>52952</v>
      </c>
      <c r="BB441" t="s">
        <v>52953</v>
      </c>
      <c r="BC441" t="s">
        <v>77</v>
      </c>
      <c r="BD441" t="s">
        <v>78</v>
      </c>
      <c r="BE441" t="s">
        <v>52954</v>
      </c>
      <c r="BF441" t="s">
        <v>52953</v>
      </c>
      <c r="BG441" t="s">
        <v>52955</v>
      </c>
      <c r="BH441">
        <f t="shared" si="16"/>
        <v>0</v>
      </c>
    </row>
    <row r="442" spans="1:60" ht="58" x14ac:dyDescent="0.35">
      <c r="A442" s="2" t="s">
        <v>59</v>
      </c>
      <c r="B442" s="2" t="s">
        <v>60</v>
      </c>
      <c r="C442" s="2" t="s">
        <v>4207</v>
      </c>
      <c r="D442" s="2" t="s">
        <v>4208</v>
      </c>
      <c r="E442" s="2" t="s">
        <v>4209</v>
      </c>
      <c r="G442" s="3" t="s">
        <v>64</v>
      </c>
      <c r="I442" s="3" t="s">
        <v>64</v>
      </c>
      <c r="J442" s="3" t="s">
        <v>64</v>
      </c>
      <c r="K442" s="3" t="s">
        <v>65</v>
      </c>
      <c r="L442" s="2" t="s">
        <v>4210</v>
      </c>
      <c r="M442" s="2" t="s">
        <v>4211</v>
      </c>
      <c r="N442" s="3" t="s">
        <v>153</v>
      </c>
      <c r="P442" s="3" t="s">
        <v>102</v>
      </c>
      <c r="Q442" s="2" t="s">
        <v>4212</v>
      </c>
      <c r="R442" s="3" t="s">
        <v>70</v>
      </c>
      <c r="S442" s="4">
        <v>25</v>
      </c>
      <c r="T442" s="4">
        <v>25</v>
      </c>
      <c r="U442" s="5" t="s">
        <v>3865</v>
      </c>
      <c r="V442" s="5" t="s">
        <v>3865</v>
      </c>
      <c r="W442" s="5" t="s">
        <v>72</v>
      </c>
      <c r="X442" s="5" t="s">
        <v>72</v>
      </c>
      <c r="Y442" s="4">
        <v>314</v>
      </c>
      <c r="Z442" s="4">
        <v>24</v>
      </c>
      <c r="AA442" s="4">
        <v>27</v>
      </c>
      <c r="AB442" s="4">
        <v>2</v>
      </c>
      <c r="AC442" s="4">
        <v>5</v>
      </c>
      <c r="AD442" s="4">
        <v>88</v>
      </c>
      <c r="AE442" s="4">
        <v>89</v>
      </c>
      <c r="AF442" s="4">
        <v>1</v>
      </c>
      <c r="AG442" s="4">
        <v>1</v>
      </c>
      <c r="AH442" s="4">
        <v>78</v>
      </c>
      <c r="AI442" s="4">
        <v>79</v>
      </c>
      <c r="AJ442" s="4">
        <v>12</v>
      </c>
      <c r="AK442" s="4">
        <v>12</v>
      </c>
      <c r="AL442" s="4">
        <v>49</v>
      </c>
      <c r="AM442" s="4">
        <v>49</v>
      </c>
      <c r="AN442" s="4">
        <v>0</v>
      </c>
      <c r="AO442" s="4">
        <v>0</v>
      </c>
      <c r="AP442" s="4">
        <v>16</v>
      </c>
      <c r="AQ442" s="4">
        <v>16</v>
      </c>
      <c r="AR442" s="3" t="s">
        <v>64</v>
      </c>
      <c r="AS442" s="3" t="s">
        <v>64</v>
      </c>
      <c r="AT442" s="3" t="s">
        <v>128</v>
      </c>
      <c r="AU442" s="6" t="str">
        <f>HYPERLINK("http://catalog.hathitrust.org/Record/004007388","HathiTrust Record")</f>
        <v>HathiTrust Record</v>
      </c>
      <c r="AV442" s="6" t="str">
        <f>HYPERLINK("http://mcgill.on.worldcat.org/oclc/37588433","Catalog Record")</f>
        <v>Catalog Record</v>
      </c>
      <c r="AW442" s="6" t="str">
        <f>HYPERLINK("http://www.worldcat.org/oclc/37588433","WorldCat Record")</f>
        <v>WorldCat Record</v>
      </c>
      <c r="AX442" s="3" t="s">
        <v>4213</v>
      </c>
      <c r="AY442" s="3" t="s">
        <v>4214</v>
      </c>
      <c r="AZ442" s="3" t="s">
        <v>4215</v>
      </c>
      <c r="BA442" s="3" t="s">
        <v>4215</v>
      </c>
      <c r="BB442" s="3" t="s">
        <v>4216</v>
      </c>
      <c r="BC442" s="3" t="s">
        <v>77</v>
      </c>
      <c r="BD442" s="3" t="s">
        <v>78</v>
      </c>
      <c r="BE442" s="3" t="s">
        <v>4217</v>
      </c>
      <c r="BF442" s="3" t="s">
        <v>4216</v>
      </c>
      <c r="BG442" s="3" t="s">
        <v>4218</v>
      </c>
      <c r="BH442">
        <f t="shared" si="16"/>
        <v>0</v>
      </c>
    </row>
    <row r="443" spans="1:60" ht="58" x14ac:dyDescent="0.35">
      <c r="A443" s="2" t="s">
        <v>59</v>
      </c>
      <c r="B443" s="2" t="s">
        <v>60</v>
      </c>
      <c r="C443" s="2" t="s">
        <v>4219</v>
      </c>
      <c r="D443" s="2" t="s">
        <v>4220</v>
      </c>
      <c r="E443" s="2" t="s">
        <v>4221</v>
      </c>
      <c r="G443" s="3" t="s">
        <v>64</v>
      </c>
      <c r="I443" s="3" t="s">
        <v>64</v>
      </c>
      <c r="J443" s="3" t="s">
        <v>64</v>
      </c>
      <c r="K443" s="3" t="s">
        <v>65</v>
      </c>
      <c r="M443" s="2" t="s">
        <v>4222</v>
      </c>
      <c r="N443" s="3" t="s">
        <v>979</v>
      </c>
      <c r="P443" s="3" t="s">
        <v>102</v>
      </c>
      <c r="R443" s="3" t="s">
        <v>70</v>
      </c>
      <c r="S443" s="4">
        <v>23</v>
      </c>
      <c r="T443" s="4">
        <v>23</v>
      </c>
      <c r="U443" s="5" t="s">
        <v>4223</v>
      </c>
      <c r="V443" s="5" t="s">
        <v>4223</v>
      </c>
      <c r="W443" s="5" t="s">
        <v>72</v>
      </c>
      <c r="X443" s="5" t="s">
        <v>72</v>
      </c>
      <c r="Y443" s="4">
        <v>402</v>
      </c>
      <c r="Z443" s="4">
        <v>33</v>
      </c>
      <c r="AA443" s="4">
        <v>116</v>
      </c>
      <c r="AB443" s="4">
        <v>3</v>
      </c>
      <c r="AC443" s="4">
        <v>20</v>
      </c>
      <c r="AD443" s="4">
        <v>118</v>
      </c>
      <c r="AE443" s="4">
        <v>148</v>
      </c>
      <c r="AF443" s="4">
        <v>1</v>
      </c>
      <c r="AG443" s="4">
        <v>8</v>
      </c>
      <c r="AH443" s="4">
        <v>101</v>
      </c>
      <c r="AI443" s="4">
        <v>108</v>
      </c>
      <c r="AJ443" s="4">
        <v>19</v>
      </c>
      <c r="AK443" s="4">
        <v>26</v>
      </c>
      <c r="AL443" s="4">
        <v>56</v>
      </c>
      <c r="AM443" s="4">
        <v>57</v>
      </c>
      <c r="AN443" s="4">
        <v>0</v>
      </c>
      <c r="AO443" s="4">
        <v>0</v>
      </c>
      <c r="AP443" s="4">
        <v>25</v>
      </c>
      <c r="AQ443" s="4">
        <v>49</v>
      </c>
      <c r="AR443" s="3" t="s">
        <v>64</v>
      </c>
      <c r="AS443" s="3" t="s">
        <v>64</v>
      </c>
      <c r="AT443" s="3" t="s">
        <v>64</v>
      </c>
      <c r="AV443" s="6" t="str">
        <f>HYPERLINK("http://mcgill.on.worldcat.org/oclc/43245929","Catalog Record")</f>
        <v>Catalog Record</v>
      </c>
      <c r="AW443" s="6" t="str">
        <f>HYPERLINK("http://www.worldcat.org/oclc/43245929","WorldCat Record")</f>
        <v>WorldCat Record</v>
      </c>
      <c r="AX443" s="3" t="s">
        <v>4224</v>
      </c>
      <c r="AY443" s="3" t="s">
        <v>4225</v>
      </c>
      <c r="AZ443" s="3" t="s">
        <v>4226</v>
      </c>
      <c r="BA443" s="3" t="s">
        <v>4226</v>
      </c>
      <c r="BB443" s="3" t="s">
        <v>4227</v>
      </c>
      <c r="BC443" s="3" t="s">
        <v>77</v>
      </c>
      <c r="BD443" s="3" t="s">
        <v>78</v>
      </c>
      <c r="BE443" s="3" t="s">
        <v>4228</v>
      </c>
      <c r="BF443" s="3" t="s">
        <v>4227</v>
      </c>
      <c r="BG443" s="3" t="s">
        <v>4229</v>
      </c>
      <c r="BH443">
        <f t="shared" si="16"/>
        <v>0</v>
      </c>
    </row>
    <row r="444" spans="1:60" ht="58" x14ac:dyDescent="0.35">
      <c r="A444" s="2" t="s">
        <v>59</v>
      </c>
      <c r="B444" s="2" t="s">
        <v>60</v>
      </c>
      <c r="C444" s="2" t="s">
        <v>4230</v>
      </c>
      <c r="D444" s="2" t="s">
        <v>4231</v>
      </c>
      <c r="E444" s="2" t="s">
        <v>4232</v>
      </c>
      <c r="G444" s="3" t="s">
        <v>64</v>
      </c>
      <c r="I444" s="3" t="s">
        <v>64</v>
      </c>
      <c r="J444" s="3" t="s">
        <v>64</v>
      </c>
      <c r="K444" s="3" t="s">
        <v>65</v>
      </c>
      <c r="L444" s="2" t="s">
        <v>4233</v>
      </c>
      <c r="M444" s="2" t="s">
        <v>4234</v>
      </c>
      <c r="N444" s="3" t="s">
        <v>67</v>
      </c>
      <c r="P444" s="3" t="s">
        <v>68</v>
      </c>
      <c r="Q444" s="2" t="s">
        <v>4235</v>
      </c>
      <c r="R444" s="3" t="s">
        <v>70</v>
      </c>
      <c r="S444" s="4">
        <v>0</v>
      </c>
      <c r="T444" s="4">
        <v>0</v>
      </c>
      <c r="W444" s="5" t="s">
        <v>72</v>
      </c>
      <c r="X444" s="5" t="s">
        <v>72</v>
      </c>
      <c r="Y444" s="4">
        <v>27</v>
      </c>
      <c r="Z444" s="4">
        <v>4</v>
      </c>
      <c r="AA444" s="4">
        <v>6</v>
      </c>
      <c r="AB444" s="4">
        <v>1</v>
      </c>
      <c r="AC444" s="4">
        <v>3</v>
      </c>
      <c r="AD444" s="4">
        <v>11</v>
      </c>
      <c r="AE444" s="4">
        <v>12</v>
      </c>
      <c r="AF444" s="4">
        <v>0</v>
      </c>
      <c r="AG444" s="4">
        <v>1</v>
      </c>
      <c r="AH444" s="4">
        <v>10</v>
      </c>
      <c r="AI444" s="4">
        <v>10</v>
      </c>
      <c r="AJ444" s="4">
        <v>2</v>
      </c>
      <c r="AK444" s="4">
        <v>3</v>
      </c>
      <c r="AL444" s="4">
        <v>8</v>
      </c>
      <c r="AM444" s="4">
        <v>8</v>
      </c>
      <c r="AN444" s="4">
        <v>0</v>
      </c>
      <c r="AO444" s="4">
        <v>0</v>
      </c>
      <c r="AP444" s="4">
        <v>2</v>
      </c>
      <c r="AQ444" s="4">
        <v>2</v>
      </c>
      <c r="AR444" s="3" t="s">
        <v>64</v>
      </c>
      <c r="AS444" s="3" t="s">
        <v>64</v>
      </c>
      <c r="AT444" s="3" t="s">
        <v>64</v>
      </c>
      <c r="AV444" s="6" t="str">
        <f>HYPERLINK("http://mcgill.on.worldcat.org/oclc/882439037","Catalog Record")</f>
        <v>Catalog Record</v>
      </c>
      <c r="AW444" s="6" t="str">
        <f>HYPERLINK("http://www.worldcat.org/oclc/882439037","WorldCat Record")</f>
        <v>WorldCat Record</v>
      </c>
      <c r="AX444" s="3" t="s">
        <v>4236</v>
      </c>
      <c r="AY444" s="3" t="s">
        <v>4237</v>
      </c>
      <c r="AZ444" s="3" t="s">
        <v>4238</v>
      </c>
      <c r="BA444" s="3" t="s">
        <v>4238</v>
      </c>
      <c r="BB444" s="3" t="s">
        <v>4239</v>
      </c>
      <c r="BC444" s="3" t="s">
        <v>77</v>
      </c>
      <c r="BD444" s="3" t="s">
        <v>78</v>
      </c>
      <c r="BE444" s="3" t="s">
        <v>4240</v>
      </c>
      <c r="BF444" s="3" t="s">
        <v>4239</v>
      </c>
      <c r="BG444" s="3" t="s">
        <v>4241</v>
      </c>
      <c r="BH444">
        <f t="shared" si="16"/>
        <v>0</v>
      </c>
    </row>
    <row r="445" spans="1:60" ht="58" x14ac:dyDescent="0.35">
      <c r="A445" s="2" t="s">
        <v>59</v>
      </c>
      <c r="B445" s="2" t="s">
        <v>60</v>
      </c>
      <c r="C445" s="2" t="s">
        <v>4242</v>
      </c>
      <c r="D445" s="2" t="s">
        <v>4243</v>
      </c>
      <c r="E445" s="2" t="s">
        <v>4244</v>
      </c>
      <c r="G445" s="3" t="s">
        <v>64</v>
      </c>
      <c r="I445" s="3" t="s">
        <v>128</v>
      </c>
      <c r="J445" s="3" t="s">
        <v>128</v>
      </c>
      <c r="K445" s="3" t="s">
        <v>65</v>
      </c>
      <c r="L445" s="2" t="s">
        <v>4245</v>
      </c>
      <c r="M445" s="2" t="s">
        <v>4246</v>
      </c>
      <c r="N445" s="3" t="s">
        <v>1615</v>
      </c>
      <c r="O445" s="2" t="s">
        <v>4247</v>
      </c>
      <c r="P445" s="3" t="s">
        <v>102</v>
      </c>
      <c r="R445" s="3" t="s">
        <v>70</v>
      </c>
      <c r="S445" s="4">
        <v>24</v>
      </c>
      <c r="T445" s="4">
        <v>48</v>
      </c>
      <c r="U445" s="5" t="s">
        <v>4248</v>
      </c>
      <c r="V445" s="5" t="s">
        <v>3344</v>
      </c>
      <c r="W445" s="5" t="s">
        <v>72</v>
      </c>
      <c r="X445" s="5" t="s">
        <v>72</v>
      </c>
      <c r="Y445" s="4">
        <v>594</v>
      </c>
      <c r="Z445" s="4">
        <v>26</v>
      </c>
      <c r="AA445" s="4">
        <v>78</v>
      </c>
      <c r="AB445" s="4">
        <v>1</v>
      </c>
      <c r="AC445" s="4">
        <v>6</v>
      </c>
      <c r="AD445" s="4">
        <v>110</v>
      </c>
      <c r="AE445" s="4">
        <v>152</v>
      </c>
      <c r="AF445" s="4">
        <v>0</v>
      </c>
      <c r="AG445" s="4">
        <v>3</v>
      </c>
      <c r="AH445" s="4">
        <v>97</v>
      </c>
      <c r="AI445" s="4">
        <v>116</v>
      </c>
      <c r="AJ445" s="4">
        <v>13</v>
      </c>
      <c r="AK445" s="4">
        <v>25</v>
      </c>
      <c r="AL445" s="4">
        <v>54</v>
      </c>
      <c r="AM445" s="4">
        <v>60</v>
      </c>
      <c r="AN445" s="4">
        <v>0</v>
      </c>
      <c r="AO445" s="4">
        <v>0</v>
      </c>
      <c r="AP445" s="4">
        <v>15</v>
      </c>
      <c r="AQ445" s="4">
        <v>42</v>
      </c>
      <c r="AR445" s="3" t="s">
        <v>64</v>
      </c>
      <c r="AS445" s="3" t="s">
        <v>64</v>
      </c>
      <c r="AT445" s="3" t="s">
        <v>128</v>
      </c>
      <c r="AU445" s="6" t="str">
        <f>HYPERLINK("http://catalog.hathitrust.org/Record/003115092","HathiTrust Record")</f>
        <v>HathiTrust Record</v>
      </c>
      <c r="AV445" s="6" t="str">
        <f>HYPERLINK("http://mcgill.on.worldcat.org/oclc/34356379","Catalog Record")</f>
        <v>Catalog Record</v>
      </c>
      <c r="AW445" s="6" t="str">
        <f>HYPERLINK("http://www.worldcat.org/oclc/34356379","WorldCat Record")</f>
        <v>WorldCat Record</v>
      </c>
      <c r="AX445" s="3" t="s">
        <v>4249</v>
      </c>
      <c r="AY445" s="3" t="s">
        <v>4250</v>
      </c>
      <c r="AZ445" s="3" t="s">
        <v>4251</v>
      </c>
      <c r="BA445" s="3" t="s">
        <v>4251</v>
      </c>
      <c r="BB445" s="3" t="s">
        <v>4252</v>
      </c>
      <c r="BC445" s="3" t="s">
        <v>77</v>
      </c>
      <c r="BD445" s="3" t="s">
        <v>78</v>
      </c>
      <c r="BE445" s="3" t="s">
        <v>4253</v>
      </c>
      <c r="BF445" s="3" t="s">
        <v>4252</v>
      </c>
      <c r="BG445" s="3" t="s">
        <v>4254</v>
      </c>
      <c r="BH445">
        <f t="shared" si="16"/>
        <v>0</v>
      </c>
    </row>
    <row r="446" spans="1:60" ht="58" x14ac:dyDescent="0.35">
      <c r="A446" s="2" t="s">
        <v>59</v>
      </c>
      <c r="B446" s="2" t="s">
        <v>60</v>
      </c>
      <c r="C446" s="2" t="s">
        <v>4242</v>
      </c>
      <c r="D446" s="2" t="s">
        <v>4243</v>
      </c>
      <c r="E446" s="2" t="s">
        <v>4244</v>
      </c>
      <c r="G446" s="3" t="s">
        <v>64</v>
      </c>
      <c r="I446" s="3" t="s">
        <v>128</v>
      </c>
      <c r="J446" s="3" t="s">
        <v>128</v>
      </c>
      <c r="K446" s="3" t="s">
        <v>65</v>
      </c>
      <c r="L446" s="2" t="s">
        <v>4245</v>
      </c>
      <c r="M446" s="2" t="s">
        <v>4246</v>
      </c>
      <c r="N446" s="3" t="s">
        <v>1615</v>
      </c>
      <c r="O446" s="2" t="s">
        <v>4247</v>
      </c>
      <c r="P446" s="3" t="s">
        <v>102</v>
      </c>
      <c r="R446" s="3" t="s">
        <v>70</v>
      </c>
      <c r="S446" s="4">
        <v>24</v>
      </c>
      <c r="T446" s="4">
        <v>48</v>
      </c>
      <c r="U446" s="5" t="s">
        <v>3344</v>
      </c>
      <c r="V446" s="5" t="s">
        <v>3344</v>
      </c>
      <c r="W446" s="5" t="s">
        <v>72</v>
      </c>
      <c r="X446" s="5" t="s">
        <v>72</v>
      </c>
      <c r="Y446" s="4">
        <v>594</v>
      </c>
      <c r="Z446" s="4">
        <v>26</v>
      </c>
      <c r="AA446" s="4">
        <v>78</v>
      </c>
      <c r="AB446" s="4">
        <v>1</v>
      </c>
      <c r="AC446" s="4">
        <v>6</v>
      </c>
      <c r="AD446" s="4">
        <v>110</v>
      </c>
      <c r="AE446" s="4">
        <v>152</v>
      </c>
      <c r="AF446" s="4">
        <v>0</v>
      </c>
      <c r="AG446" s="4">
        <v>3</v>
      </c>
      <c r="AH446" s="4">
        <v>97</v>
      </c>
      <c r="AI446" s="4">
        <v>116</v>
      </c>
      <c r="AJ446" s="4">
        <v>13</v>
      </c>
      <c r="AK446" s="4">
        <v>25</v>
      </c>
      <c r="AL446" s="4">
        <v>54</v>
      </c>
      <c r="AM446" s="4">
        <v>60</v>
      </c>
      <c r="AN446" s="4">
        <v>0</v>
      </c>
      <c r="AO446" s="4">
        <v>0</v>
      </c>
      <c r="AP446" s="4">
        <v>15</v>
      </c>
      <c r="AQ446" s="4">
        <v>42</v>
      </c>
      <c r="AR446" s="3" t="s">
        <v>64</v>
      </c>
      <c r="AS446" s="3" t="s">
        <v>64</v>
      </c>
      <c r="AT446" s="3" t="s">
        <v>128</v>
      </c>
      <c r="AU446" s="6" t="str">
        <f>HYPERLINK("http://catalog.hathitrust.org/Record/003115092","HathiTrust Record")</f>
        <v>HathiTrust Record</v>
      </c>
      <c r="AV446" s="6" t="str">
        <f>HYPERLINK("http://mcgill.on.worldcat.org/oclc/34356379","Catalog Record")</f>
        <v>Catalog Record</v>
      </c>
      <c r="AW446" s="6" t="str">
        <f>HYPERLINK("http://www.worldcat.org/oclc/34356379","WorldCat Record")</f>
        <v>WorldCat Record</v>
      </c>
      <c r="AX446" s="3" t="s">
        <v>4249</v>
      </c>
      <c r="AY446" s="3" t="s">
        <v>4250</v>
      </c>
      <c r="AZ446" s="3" t="s">
        <v>4251</v>
      </c>
      <c r="BA446" s="3" t="s">
        <v>4251</v>
      </c>
      <c r="BB446" s="3" t="s">
        <v>4255</v>
      </c>
      <c r="BC446" s="3" t="s">
        <v>77</v>
      </c>
      <c r="BD446" s="3" t="s">
        <v>78</v>
      </c>
      <c r="BE446" s="3" t="s">
        <v>4253</v>
      </c>
      <c r="BF446" s="3" t="s">
        <v>4255</v>
      </c>
      <c r="BG446" s="3" t="s">
        <v>4256</v>
      </c>
      <c r="BH446">
        <f t="shared" si="16"/>
        <v>0</v>
      </c>
    </row>
    <row r="447" spans="1:60" ht="58" x14ac:dyDescent="0.35">
      <c r="A447" s="2" t="s">
        <v>59</v>
      </c>
      <c r="B447" s="2" t="s">
        <v>60</v>
      </c>
      <c r="C447" s="2" t="s">
        <v>4257</v>
      </c>
      <c r="D447" s="2" t="s">
        <v>4258</v>
      </c>
      <c r="E447" s="2" t="s">
        <v>4259</v>
      </c>
      <c r="G447" s="3" t="s">
        <v>64</v>
      </c>
      <c r="I447" s="3" t="s">
        <v>128</v>
      </c>
      <c r="J447" s="3" t="s">
        <v>64</v>
      </c>
      <c r="K447" s="3" t="s">
        <v>65</v>
      </c>
      <c r="L447" s="2" t="s">
        <v>4260</v>
      </c>
      <c r="M447" s="2" t="s">
        <v>4261</v>
      </c>
      <c r="N447" s="3" t="s">
        <v>685</v>
      </c>
      <c r="P447" s="3" t="s">
        <v>102</v>
      </c>
      <c r="R447" s="3" t="s">
        <v>70</v>
      </c>
      <c r="S447" s="4">
        <v>7</v>
      </c>
      <c r="T447" s="4">
        <v>7</v>
      </c>
      <c r="U447" s="5" t="s">
        <v>4262</v>
      </c>
      <c r="V447" s="5" t="s">
        <v>4262</v>
      </c>
      <c r="W447" s="5" t="s">
        <v>72</v>
      </c>
      <c r="X447" s="5" t="s">
        <v>72</v>
      </c>
      <c r="Y447" s="4">
        <v>226</v>
      </c>
      <c r="Z447" s="4">
        <v>14</v>
      </c>
      <c r="AA447" s="4">
        <v>14</v>
      </c>
      <c r="AB447" s="4">
        <v>1</v>
      </c>
      <c r="AC447" s="4">
        <v>1</v>
      </c>
      <c r="AD447" s="4">
        <v>79</v>
      </c>
      <c r="AE447" s="4">
        <v>79</v>
      </c>
      <c r="AF447" s="4">
        <v>0</v>
      </c>
      <c r="AG447" s="4">
        <v>0</v>
      </c>
      <c r="AH447" s="4">
        <v>71</v>
      </c>
      <c r="AI447" s="4">
        <v>71</v>
      </c>
      <c r="AJ447" s="4">
        <v>9</v>
      </c>
      <c r="AK447" s="4">
        <v>9</v>
      </c>
      <c r="AL447" s="4">
        <v>44</v>
      </c>
      <c r="AM447" s="4">
        <v>44</v>
      </c>
      <c r="AN447" s="4">
        <v>0</v>
      </c>
      <c r="AO447" s="4">
        <v>0</v>
      </c>
      <c r="AP447" s="4">
        <v>11</v>
      </c>
      <c r="AQ447" s="4">
        <v>11</v>
      </c>
      <c r="AR447" s="3" t="s">
        <v>64</v>
      </c>
      <c r="AS447" s="3" t="s">
        <v>64</v>
      </c>
      <c r="AT447" s="3" t="s">
        <v>64</v>
      </c>
      <c r="AU447" s="6" t="str">
        <f>HYPERLINK("http://catalog.hathitrust.org/Record/001159830","HathiTrust Record")</f>
        <v>HathiTrust Record</v>
      </c>
      <c r="AV447" s="6" t="str">
        <f>HYPERLINK("http://mcgill.on.worldcat.org/oclc/1363153","Catalog Record")</f>
        <v>Catalog Record</v>
      </c>
      <c r="AW447" s="6" t="str">
        <f>HYPERLINK("http://www.worldcat.org/oclc/1363153","WorldCat Record")</f>
        <v>WorldCat Record</v>
      </c>
      <c r="AX447" s="3" t="s">
        <v>4263</v>
      </c>
      <c r="AY447" s="3" t="s">
        <v>4264</v>
      </c>
      <c r="AZ447" s="3" t="s">
        <v>4265</v>
      </c>
      <c r="BA447" s="3" t="s">
        <v>4265</v>
      </c>
      <c r="BB447" s="3" t="s">
        <v>4266</v>
      </c>
      <c r="BC447" s="3" t="s">
        <v>77</v>
      </c>
      <c r="BD447" s="3" t="s">
        <v>78</v>
      </c>
      <c r="BF447" s="3" t="s">
        <v>4266</v>
      </c>
      <c r="BG447" s="3" t="s">
        <v>4267</v>
      </c>
      <c r="BH447">
        <f t="shared" si="16"/>
        <v>0</v>
      </c>
    </row>
    <row r="448" spans="1:60" ht="58" x14ac:dyDescent="0.35">
      <c r="A448" s="2" t="s">
        <v>59</v>
      </c>
      <c r="B448" s="2" t="s">
        <v>60</v>
      </c>
      <c r="C448" s="2" t="s">
        <v>4268</v>
      </c>
      <c r="D448" s="2" t="s">
        <v>4269</v>
      </c>
      <c r="E448" s="2" t="s">
        <v>4270</v>
      </c>
      <c r="G448" s="3" t="s">
        <v>64</v>
      </c>
      <c r="I448" s="3" t="s">
        <v>64</v>
      </c>
      <c r="J448" s="3" t="s">
        <v>64</v>
      </c>
      <c r="K448" s="3" t="s">
        <v>65</v>
      </c>
      <c r="L448" s="2" t="s">
        <v>4271</v>
      </c>
      <c r="M448" s="2" t="s">
        <v>4272</v>
      </c>
      <c r="N448" s="3" t="s">
        <v>392</v>
      </c>
      <c r="P448" s="3" t="s">
        <v>102</v>
      </c>
      <c r="Q448" s="2" t="s">
        <v>4273</v>
      </c>
      <c r="R448" s="3" t="s">
        <v>70</v>
      </c>
      <c r="S448" s="4">
        <v>40</v>
      </c>
      <c r="T448" s="4">
        <v>40</v>
      </c>
      <c r="U448" s="5" t="s">
        <v>4248</v>
      </c>
      <c r="V448" s="5" t="s">
        <v>4248</v>
      </c>
      <c r="W448" s="5" t="s">
        <v>72</v>
      </c>
      <c r="X448" s="5" t="s">
        <v>72</v>
      </c>
      <c r="Y448" s="4">
        <v>275</v>
      </c>
      <c r="Z448" s="4">
        <v>40</v>
      </c>
      <c r="AA448" s="4">
        <v>55</v>
      </c>
      <c r="AB448" s="4">
        <v>2</v>
      </c>
      <c r="AC448" s="4">
        <v>5</v>
      </c>
      <c r="AD448" s="4">
        <v>82</v>
      </c>
      <c r="AE448" s="4">
        <v>116</v>
      </c>
      <c r="AF448" s="4">
        <v>0</v>
      </c>
      <c r="AG448" s="4">
        <v>2</v>
      </c>
      <c r="AH448" s="4">
        <v>68</v>
      </c>
      <c r="AI448" s="4">
        <v>91</v>
      </c>
      <c r="AJ448" s="4">
        <v>12</v>
      </c>
      <c r="AK448" s="4">
        <v>21</v>
      </c>
      <c r="AL448" s="4">
        <v>38</v>
      </c>
      <c r="AM448" s="4">
        <v>50</v>
      </c>
      <c r="AN448" s="4">
        <v>0</v>
      </c>
      <c r="AO448" s="4">
        <v>5</v>
      </c>
      <c r="AP448" s="4">
        <v>19</v>
      </c>
      <c r="AQ448" s="4">
        <v>31</v>
      </c>
      <c r="AR448" s="3" t="s">
        <v>128</v>
      </c>
      <c r="AS448" s="3" t="s">
        <v>64</v>
      </c>
      <c r="AT448" s="3" t="s">
        <v>64</v>
      </c>
      <c r="AV448" s="6" t="str">
        <f>HYPERLINK("http://mcgill.on.worldcat.org/oclc/39905617","Catalog Record")</f>
        <v>Catalog Record</v>
      </c>
      <c r="AW448" s="6" t="str">
        <f>HYPERLINK("http://www.worldcat.org/oclc/39905617","WorldCat Record")</f>
        <v>WorldCat Record</v>
      </c>
      <c r="AX448" s="3" t="s">
        <v>4274</v>
      </c>
      <c r="AY448" s="3" t="s">
        <v>4275</v>
      </c>
      <c r="AZ448" s="3" t="s">
        <v>4276</v>
      </c>
      <c r="BA448" s="3" t="s">
        <v>4276</v>
      </c>
      <c r="BB448" s="3" t="s">
        <v>4277</v>
      </c>
      <c r="BC448" s="3" t="s">
        <v>77</v>
      </c>
      <c r="BD448" s="3" t="s">
        <v>78</v>
      </c>
      <c r="BE448" s="3" t="s">
        <v>4278</v>
      </c>
      <c r="BF448" s="3" t="s">
        <v>4277</v>
      </c>
      <c r="BG448" s="3" t="s">
        <v>4279</v>
      </c>
      <c r="BH448">
        <f t="shared" si="16"/>
        <v>0</v>
      </c>
    </row>
    <row r="449" spans="1:60" ht="58" x14ac:dyDescent="0.35">
      <c r="A449" s="2" t="s">
        <v>59</v>
      </c>
      <c r="B449" s="2" t="s">
        <v>60</v>
      </c>
      <c r="C449" s="2" t="s">
        <v>4280</v>
      </c>
      <c r="D449" s="2" t="s">
        <v>4281</v>
      </c>
      <c r="E449" s="2" t="s">
        <v>4282</v>
      </c>
      <c r="G449" s="3" t="s">
        <v>64</v>
      </c>
      <c r="I449" s="3" t="s">
        <v>128</v>
      </c>
      <c r="J449" s="3" t="s">
        <v>64</v>
      </c>
      <c r="K449" s="3" t="s">
        <v>65</v>
      </c>
      <c r="L449" s="2" t="s">
        <v>4283</v>
      </c>
      <c r="M449" s="2" t="s">
        <v>4284</v>
      </c>
      <c r="N449" s="3" t="s">
        <v>2067</v>
      </c>
      <c r="P449" s="3" t="s">
        <v>102</v>
      </c>
      <c r="R449" s="3" t="s">
        <v>70</v>
      </c>
      <c r="S449" s="4">
        <v>1</v>
      </c>
      <c r="T449" s="4">
        <v>71</v>
      </c>
      <c r="U449" s="5" t="s">
        <v>4285</v>
      </c>
      <c r="V449" s="5" t="s">
        <v>4286</v>
      </c>
      <c r="W449" s="5" t="s">
        <v>72</v>
      </c>
      <c r="X449" s="5" t="s">
        <v>72</v>
      </c>
      <c r="Y449" s="4">
        <v>502</v>
      </c>
      <c r="Z449" s="4">
        <v>29</v>
      </c>
      <c r="AA449" s="4">
        <v>100</v>
      </c>
      <c r="AB449" s="4">
        <v>4</v>
      </c>
      <c r="AC449" s="4">
        <v>16</v>
      </c>
      <c r="AD449" s="4">
        <v>99</v>
      </c>
      <c r="AE449" s="4">
        <v>157</v>
      </c>
      <c r="AF449" s="4">
        <v>2</v>
      </c>
      <c r="AG449" s="4">
        <v>8</v>
      </c>
      <c r="AH449" s="4">
        <v>80</v>
      </c>
      <c r="AI449" s="4">
        <v>114</v>
      </c>
      <c r="AJ449" s="4">
        <v>14</v>
      </c>
      <c r="AK449" s="4">
        <v>27</v>
      </c>
      <c r="AL449" s="4">
        <v>47</v>
      </c>
      <c r="AM449" s="4">
        <v>61</v>
      </c>
      <c r="AN449" s="4">
        <v>0</v>
      </c>
      <c r="AO449" s="4">
        <v>0</v>
      </c>
      <c r="AP449" s="4">
        <v>20</v>
      </c>
      <c r="AQ449" s="4">
        <v>51</v>
      </c>
      <c r="AR449" s="3" t="s">
        <v>64</v>
      </c>
      <c r="AS449" s="3" t="s">
        <v>64</v>
      </c>
      <c r="AT449" s="3" t="s">
        <v>64</v>
      </c>
      <c r="AV449" s="6" t="str">
        <f>HYPERLINK("http://mcgill.on.worldcat.org/oclc/19552988","Catalog Record")</f>
        <v>Catalog Record</v>
      </c>
      <c r="AW449" s="6" t="str">
        <f>HYPERLINK("http://www.worldcat.org/oclc/19552988","WorldCat Record")</f>
        <v>WorldCat Record</v>
      </c>
      <c r="AX449" s="3" t="s">
        <v>4287</v>
      </c>
      <c r="AY449" s="3" t="s">
        <v>4288</v>
      </c>
      <c r="AZ449" s="3" t="s">
        <v>4289</v>
      </c>
      <c r="BA449" s="3" t="s">
        <v>4289</v>
      </c>
      <c r="BB449" s="3" t="s">
        <v>4290</v>
      </c>
      <c r="BC449" s="3" t="s">
        <v>77</v>
      </c>
      <c r="BD449" s="3" t="s">
        <v>78</v>
      </c>
      <c r="BE449" s="3" t="s">
        <v>4291</v>
      </c>
      <c r="BF449" s="3" t="s">
        <v>4290</v>
      </c>
      <c r="BG449" s="3" t="s">
        <v>4292</v>
      </c>
      <c r="BH449">
        <f t="shared" si="16"/>
        <v>0</v>
      </c>
    </row>
    <row r="450" spans="1:60" ht="58" x14ac:dyDescent="0.35">
      <c r="A450" s="2" t="s">
        <v>59</v>
      </c>
      <c r="B450" s="2" t="s">
        <v>60</v>
      </c>
      <c r="C450" s="2" t="s">
        <v>4280</v>
      </c>
      <c r="D450" s="2" t="s">
        <v>4281</v>
      </c>
      <c r="E450" s="2" t="s">
        <v>4282</v>
      </c>
      <c r="G450" s="3" t="s">
        <v>64</v>
      </c>
      <c r="I450" s="3" t="s">
        <v>128</v>
      </c>
      <c r="J450" s="3" t="s">
        <v>64</v>
      </c>
      <c r="K450" s="3" t="s">
        <v>65</v>
      </c>
      <c r="L450" s="2" t="s">
        <v>4283</v>
      </c>
      <c r="M450" s="2" t="s">
        <v>4284</v>
      </c>
      <c r="N450" s="3" t="s">
        <v>2067</v>
      </c>
      <c r="P450" s="3" t="s">
        <v>102</v>
      </c>
      <c r="R450" s="3" t="s">
        <v>70</v>
      </c>
      <c r="S450" s="4">
        <v>70</v>
      </c>
      <c r="T450" s="4">
        <v>71</v>
      </c>
      <c r="U450" s="5" t="s">
        <v>4286</v>
      </c>
      <c r="V450" s="5" t="s">
        <v>4286</v>
      </c>
      <c r="W450" s="5" t="s">
        <v>72</v>
      </c>
      <c r="X450" s="5" t="s">
        <v>72</v>
      </c>
      <c r="Y450" s="4">
        <v>502</v>
      </c>
      <c r="Z450" s="4">
        <v>29</v>
      </c>
      <c r="AA450" s="4">
        <v>100</v>
      </c>
      <c r="AB450" s="4">
        <v>4</v>
      </c>
      <c r="AC450" s="4">
        <v>16</v>
      </c>
      <c r="AD450" s="4">
        <v>99</v>
      </c>
      <c r="AE450" s="4">
        <v>157</v>
      </c>
      <c r="AF450" s="4">
        <v>2</v>
      </c>
      <c r="AG450" s="4">
        <v>8</v>
      </c>
      <c r="AH450" s="4">
        <v>80</v>
      </c>
      <c r="AI450" s="4">
        <v>114</v>
      </c>
      <c r="AJ450" s="4">
        <v>14</v>
      </c>
      <c r="AK450" s="4">
        <v>27</v>
      </c>
      <c r="AL450" s="4">
        <v>47</v>
      </c>
      <c r="AM450" s="4">
        <v>61</v>
      </c>
      <c r="AN450" s="4">
        <v>0</v>
      </c>
      <c r="AO450" s="4">
        <v>0</v>
      </c>
      <c r="AP450" s="4">
        <v>20</v>
      </c>
      <c r="AQ450" s="4">
        <v>51</v>
      </c>
      <c r="AR450" s="3" t="s">
        <v>64</v>
      </c>
      <c r="AS450" s="3" t="s">
        <v>64</v>
      </c>
      <c r="AT450" s="3" t="s">
        <v>64</v>
      </c>
      <c r="AV450" s="6" t="str">
        <f>HYPERLINK("http://mcgill.on.worldcat.org/oclc/19552988","Catalog Record")</f>
        <v>Catalog Record</v>
      </c>
      <c r="AW450" s="6" t="str">
        <f>HYPERLINK("http://www.worldcat.org/oclc/19552988","WorldCat Record")</f>
        <v>WorldCat Record</v>
      </c>
      <c r="AX450" s="3" t="s">
        <v>4287</v>
      </c>
      <c r="AY450" s="3" t="s">
        <v>4288</v>
      </c>
      <c r="AZ450" s="3" t="s">
        <v>4289</v>
      </c>
      <c r="BA450" s="3" t="s">
        <v>4289</v>
      </c>
      <c r="BB450" s="3" t="s">
        <v>4293</v>
      </c>
      <c r="BC450" s="3" t="s">
        <v>77</v>
      </c>
      <c r="BD450" s="3" t="s">
        <v>78</v>
      </c>
      <c r="BE450" s="3" t="s">
        <v>4291</v>
      </c>
      <c r="BF450" s="3" t="s">
        <v>4293</v>
      </c>
      <c r="BG450" s="3" t="s">
        <v>4294</v>
      </c>
      <c r="BH450">
        <f t="shared" ref="BH450:BH513" si="17">IF(COUNTIF($BF$1:$BF$5431,BF450)=1,0,1)</f>
        <v>0</v>
      </c>
    </row>
    <row r="451" spans="1:60" ht="58" x14ac:dyDescent="0.35">
      <c r="A451" s="2" t="s">
        <v>59</v>
      </c>
      <c r="B451" s="2" t="s">
        <v>60</v>
      </c>
      <c r="C451" s="2" t="s">
        <v>4295</v>
      </c>
      <c r="D451" s="2" t="s">
        <v>4296</v>
      </c>
      <c r="E451" s="2" t="s">
        <v>4297</v>
      </c>
      <c r="G451" s="3" t="s">
        <v>64</v>
      </c>
      <c r="I451" s="3" t="s">
        <v>128</v>
      </c>
      <c r="J451" s="3" t="s">
        <v>128</v>
      </c>
      <c r="K451" s="3" t="s">
        <v>65</v>
      </c>
      <c r="L451" s="2" t="s">
        <v>4298</v>
      </c>
      <c r="M451" s="2" t="s">
        <v>4299</v>
      </c>
      <c r="N451" s="3" t="s">
        <v>315</v>
      </c>
      <c r="P451" s="3" t="s">
        <v>102</v>
      </c>
      <c r="R451" s="3" t="s">
        <v>70</v>
      </c>
      <c r="S451" s="4">
        <v>3</v>
      </c>
      <c r="T451" s="4">
        <v>3</v>
      </c>
      <c r="U451" s="5" t="s">
        <v>4300</v>
      </c>
      <c r="V451" s="5" t="s">
        <v>4300</v>
      </c>
      <c r="W451" s="5" t="s">
        <v>72</v>
      </c>
      <c r="X451" s="5" t="s">
        <v>72</v>
      </c>
      <c r="Y451" s="4">
        <v>266</v>
      </c>
      <c r="Z451" s="4">
        <v>14</v>
      </c>
      <c r="AA451" s="4">
        <v>27</v>
      </c>
      <c r="AB451" s="4">
        <v>2</v>
      </c>
      <c r="AC451" s="4">
        <v>3</v>
      </c>
      <c r="AD451" s="4">
        <v>70</v>
      </c>
      <c r="AE451" s="4">
        <v>110</v>
      </c>
      <c r="AF451" s="4">
        <v>0</v>
      </c>
      <c r="AG451" s="4">
        <v>1</v>
      </c>
      <c r="AH451" s="4">
        <v>62</v>
      </c>
      <c r="AI451" s="4">
        <v>97</v>
      </c>
      <c r="AJ451" s="4">
        <v>9</v>
      </c>
      <c r="AK451" s="4">
        <v>18</v>
      </c>
      <c r="AL451" s="4">
        <v>36</v>
      </c>
      <c r="AM451" s="4">
        <v>53</v>
      </c>
      <c r="AN451" s="4">
        <v>0</v>
      </c>
      <c r="AO451" s="4">
        <v>0</v>
      </c>
      <c r="AP451" s="4">
        <v>11</v>
      </c>
      <c r="AQ451" s="4">
        <v>19</v>
      </c>
      <c r="AR451" s="3" t="s">
        <v>64</v>
      </c>
      <c r="AS451" s="3" t="s">
        <v>64</v>
      </c>
      <c r="AT451" s="3" t="s">
        <v>128</v>
      </c>
      <c r="AU451" s="6" t="str">
        <f>HYPERLINK("http://catalog.hathitrust.org/Record/000386381","HathiTrust Record")</f>
        <v>HathiTrust Record</v>
      </c>
      <c r="AV451" s="6" t="str">
        <f>HYPERLINK("http://mcgill.on.worldcat.org/oclc/449658","Catalog Record")</f>
        <v>Catalog Record</v>
      </c>
      <c r="AW451" s="6" t="str">
        <f>HYPERLINK("http://www.worldcat.org/oclc/449658","WorldCat Record")</f>
        <v>WorldCat Record</v>
      </c>
      <c r="AX451" s="3" t="s">
        <v>4301</v>
      </c>
      <c r="AY451" s="3" t="s">
        <v>4302</v>
      </c>
      <c r="AZ451" s="3" t="s">
        <v>4303</v>
      </c>
      <c r="BA451" s="3" t="s">
        <v>4303</v>
      </c>
      <c r="BB451" s="3" t="s">
        <v>4304</v>
      </c>
      <c r="BC451" s="3" t="s">
        <v>77</v>
      </c>
      <c r="BD451" s="3" t="s">
        <v>78</v>
      </c>
      <c r="BF451" s="3" t="s">
        <v>4304</v>
      </c>
      <c r="BG451" s="3" t="s">
        <v>4305</v>
      </c>
      <c r="BH451">
        <f t="shared" si="17"/>
        <v>0</v>
      </c>
    </row>
    <row r="452" spans="1:60" ht="72.5" x14ac:dyDescent="0.35">
      <c r="A452" s="2" t="s">
        <v>59</v>
      </c>
      <c r="B452" s="2" t="s">
        <v>60</v>
      </c>
      <c r="C452" s="2" t="s">
        <v>4306</v>
      </c>
      <c r="D452" s="2" t="s">
        <v>4307</v>
      </c>
      <c r="E452" s="2" t="s">
        <v>4308</v>
      </c>
      <c r="G452" s="3" t="s">
        <v>64</v>
      </c>
      <c r="I452" s="3" t="s">
        <v>64</v>
      </c>
      <c r="J452" s="3" t="s">
        <v>64</v>
      </c>
      <c r="K452" s="3" t="s">
        <v>65</v>
      </c>
      <c r="M452" s="2" t="s">
        <v>4309</v>
      </c>
      <c r="N452" s="3" t="s">
        <v>511</v>
      </c>
      <c r="P452" s="3" t="s">
        <v>102</v>
      </c>
      <c r="Q452" s="2" t="s">
        <v>4310</v>
      </c>
      <c r="R452" s="3" t="s">
        <v>70</v>
      </c>
      <c r="S452" s="4">
        <v>7</v>
      </c>
      <c r="T452" s="4">
        <v>7</v>
      </c>
      <c r="U452" s="5" t="s">
        <v>4311</v>
      </c>
      <c r="V452" s="5" t="s">
        <v>4311</v>
      </c>
      <c r="W452" s="5" t="s">
        <v>72</v>
      </c>
      <c r="X452" s="5" t="s">
        <v>72</v>
      </c>
      <c r="Y452" s="4">
        <v>180</v>
      </c>
      <c r="Z452" s="4">
        <v>17</v>
      </c>
      <c r="AA452" s="4">
        <v>101</v>
      </c>
      <c r="AB452" s="4">
        <v>2</v>
      </c>
      <c r="AC452" s="4">
        <v>19</v>
      </c>
      <c r="AD452" s="4">
        <v>52</v>
      </c>
      <c r="AE452" s="4">
        <v>121</v>
      </c>
      <c r="AF452" s="4">
        <v>0</v>
      </c>
      <c r="AG452" s="4">
        <v>8</v>
      </c>
      <c r="AH452" s="4">
        <v>47</v>
      </c>
      <c r="AI452" s="4">
        <v>83</v>
      </c>
      <c r="AJ452" s="4">
        <v>8</v>
      </c>
      <c r="AK452" s="4">
        <v>24</v>
      </c>
      <c r="AL452" s="4">
        <v>28</v>
      </c>
      <c r="AM452" s="4">
        <v>40</v>
      </c>
      <c r="AN452" s="4">
        <v>0</v>
      </c>
      <c r="AO452" s="4">
        <v>0</v>
      </c>
      <c r="AP452" s="4">
        <v>8</v>
      </c>
      <c r="AQ452" s="4">
        <v>44</v>
      </c>
      <c r="AR452" s="3" t="s">
        <v>64</v>
      </c>
      <c r="AS452" s="3" t="s">
        <v>64</v>
      </c>
      <c r="AT452" s="3" t="s">
        <v>64</v>
      </c>
      <c r="AV452" s="6" t="str">
        <f>HYPERLINK("http://mcgill.on.worldcat.org/oclc/698585332","Catalog Record")</f>
        <v>Catalog Record</v>
      </c>
      <c r="AW452" s="6" t="str">
        <f>HYPERLINK("http://www.worldcat.org/oclc/698585332","WorldCat Record")</f>
        <v>WorldCat Record</v>
      </c>
      <c r="AX452" s="3" t="s">
        <v>4312</v>
      </c>
      <c r="AY452" s="3" t="s">
        <v>4313</v>
      </c>
      <c r="AZ452" s="3" t="s">
        <v>4314</v>
      </c>
      <c r="BA452" s="3" t="s">
        <v>4314</v>
      </c>
      <c r="BB452" s="3" t="s">
        <v>4315</v>
      </c>
      <c r="BC452" s="3" t="s">
        <v>77</v>
      </c>
      <c r="BD452" s="3" t="s">
        <v>78</v>
      </c>
      <c r="BE452" s="3" t="s">
        <v>4316</v>
      </c>
      <c r="BF452" s="3" t="s">
        <v>4315</v>
      </c>
      <c r="BG452" s="3" t="s">
        <v>4317</v>
      </c>
      <c r="BH452">
        <f t="shared" si="17"/>
        <v>0</v>
      </c>
    </row>
    <row r="453" spans="1:60" ht="58" x14ac:dyDescent="0.35">
      <c r="A453" s="2" t="s">
        <v>59</v>
      </c>
      <c r="B453" s="2" t="s">
        <v>60</v>
      </c>
      <c r="C453" s="2" t="s">
        <v>4318</v>
      </c>
      <c r="D453" s="2" t="s">
        <v>4319</v>
      </c>
      <c r="E453" s="2" t="s">
        <v>4320</v>
      </c>
      <c r="G453" s="3" t="s">
        <v>64</v>
      </c>
      <c r="I453" s="3" t="s">
        <v>64</v>
      </c>
      <c r="J453" s="3" t="s">
        <v>64</v>
      </c>
      <c r="K453" s="3" t="s">
        <v>65</v>
      </c>
      <c r="L453" s="2" t="s">
        <v>4321</v>
      </c>
      <c r="M453" s="2" t="s">
        <v>4322</v>
      </c>
      <c r="N453" s="3" t="s">
        <v>67</v>
      </c>
      <c r="P453" s="3" t="s">
        <v>102</v>
      </c>
      <c r="Q453" s="2" t="s">
        <v>4323</v>
      </c>
      <c r="R453" s="3" t="s">
        <v>70</v>
      </c>
      <c r="S453" s="4">
        <v>0</v>
      </c>
      <c r="T453" s="4">
        <v>0</v>
      </c>
      <c r="W453" s="5" t="s">
        <v>72</v>
      </c>
      <c r="X453" s="5" t="s">
        <v>72</v>
      </c>
      <c r="Y453" s="4">
        <v>109</v>
      </c>
      <c r="Z453" s="4">
        <v>9</v>
      </c>
      <c r="AA453" s="4">
        <v>78</v>
      </c>
      <c r="AB453" s="4">
        <v>1</v>
      </c>
      <c r="AC453" s="4">
        <v>14</v>
      </c>
      <c r="AD453" s="4">
        <v>38</v>
      </c>
      <c r="AE453" s="4">
        <v>110</v>
      </c>
      <c r="AF453" s="4">
        <v>0</v>
      </c>
      <c r="AG453" s="4">
        <v>8</v>
      </c>
      <c r="AH453" s="4">
        <v>33</v>
      </c>
      <c r="AI453" s="4">
        <v>75</v>
      </c>
      <c r="AJ453" s="4">
        <v>5</v>
      </c>
      <c r="AK453" s="4">
        <v>20</v>
      </c>
      <c r="AL453" s="4">
        <v>25</v>
      </c>
      <c r="AM453" s="4">
        <v>40</v>
      </c>
      <c r="AN453" s="4">
        <v>0</v>
      </c>
      <c r="AO453" s="4">
        <v>0</v>
      </c>
      <c r="AP453" s="4">
        <v>7</v>
      </c>
      <c r="AQ453" s="4">
        <v>41</v>
      </c>
      <c r="AR453" s="3" t="s">
        <v>64</v>
      </c>
      <c r="AS453" s="3" t="s">
        <v>64</v>
      </c>
      <c r="AT453" s="3" t="s">
        <v>64</v>
      </c>
      <c r="AV453" s="6" t="str">
        <f>HYPERLINK("http://mcgill.on.worldcat.org/oclc/881318236","Catalog Record")</f>
        <v>Catalog Record</v>
      </c>
      <c r="AW453" s="6" t="str">
        <f>HYPERLINK("http://www.worldcat.org/oclc/881318236","WorldCat Record")</f>
        <v>WorldCat Record</v>
      </c>
      <c r="AX453" s="3" t="s">
        <v>4324</v>
      </c>
      <c r="AY453" s="3" t="s">
        <v>4325</v>
      </c>
      <c r="AZ453" s="3" t="s">
        <v>4326</v>
      </c>
      <c r="BA453" s="3" t="s">
        <v>4326</v>
      </c>
      <c r="BB453" s="3" t="s">
        <v>4327</v>
      </c>
      <c r="BC453" s="3" t="s">
        <v>77</v>
      </c>
      <c r="BD453" s="3" t="s">
        <v>78</v>
      </c>
      <c r="BE453" s="3" t="s">
        <v>4328</v>
      </c>
      <c r="BF453" s="3" t="s">
        <v>4327</v>
      </c>
      <c r="BG453" s="3" t="s">
        <v>4329</v>
      </c>
      <c r="BH453">
        <f t="shared" si="17"/>
        <v>0</v>
      </c>
    </row>
    <row r="454" spans="1:60" ht="58" x14ac:dyDescent="0.35">
      <c r="A454" s="2" t="s">
        <v>59</v>
      </c>
      <c r="B454" s="2" t="s">
        <v>60</v>
      </c>
      <c r="C454" s="2" t="s">
        <v>4330</v>
      </c>
      <c r="D454" s="2" t="s">
        <v>4331</v>
      </c>
      <c r="E454" s="2" t="s">
        <v>4332</v>
      </c>
      <c r="G454" s="3" t="s">
        <v>64</v>
      </c>
      <c r="I454" s="3" t="s">
        <v>128</v>
      </c>
      <c r="J454" s="3" t="s">
        <v>64</v>
      </c>
      <c r="K454" s="3" t="s">
        <v>65</v>
      </c>
      <c r="L454" s="2" t="s">
        <v>4333</v>
      </c>
      <c r="M454" s="2" t="s">
        <v>4334</v>
      </c>
      <c r="N454" s="3" t="s">
        <v>266</v>
      </c>
      <c r="P454" s="3" t="s">
        <v>102</v>
      </c>
      <c r="R454" s="3" t="s">
        <v>70</v>
      </c>
      <c r="S454" s="4">
        <v>42</v>
      </c>
      <c r="T454" s="4">
        <v>42</v>
      </c>
      <c r="U454" s="5" t="s">
        <v>306</v>
      </c>
      <c r="V454" s="5" t="s">
        <v>306</v>
      </c>
      <c r="W454" s="5" t="s">
        <v>72</v>
      </c>
      <c r="X454" s="5" t="s">
        <v>72</v>
      </c>
      <c r="Y454" s="4">
        <v>377</v>
      </c>
      <c r="Z454" s="4">
        <v>29</v>
      </c>
      <c r="AA454" s="4">
        <v>36</v>
      </c>
      <c r="AB454" s="4">
        <v>1</v>
      </c>
      <c r="AC454" s="4">
        <v>4</v>
      </c>
      <c r="AD454" s="4">
        <v>105</v>
      </c>
      <c r="AE454" s="4">
        <v>117</v>
      </c>
      <c r="AF454" s="4">
        <v>0</v>
      </c>
      <c r="AG454" s="4">
        <v>2</v>
      </c>
      <c r="AH454" s="4">
        <v>90</v>
      </c>
      <c r="AI454" s="4">
        <v>97</v>
      </c>
      <c r="AJ454" s="4">
        <v>20</v>
      </c>
      <c r="AK454" s="4">
        <v>23</v>
      </c>
      <c r="AL454" s="4">
        <v>53</v>
      </c>
      <c r="AM454" s="4">
        <v>57</v>
      </c>
      <c r="AN454" s="4">
        <v>0</v>
      </c>
      <c r="AO454" s="4">
        <v>0</v>
      </c>
      <c r="AP454" s="4">
        <v>22</v>
      </c>
      <c r="AQ454" s="4">
        <v>24</v>
      </c>
      <c r="AR454" s="3" t="s">
        <v>64</v>
      </c>
      <c r="AS454" s="3" t="s">
        <v>64</v>
      </c>
      <c r="AT454" s="3" t="s">
        <v>128</v>
      </c>
      <c r="AU454" s="6" t="str">
        <f>HYPERLINK("http://catalog.hathitrust.org/Record/001159861","HathiTrust Record")</f>
        <v>HathiTrust Record</v>
      </c>
      <c r="AV454" s="6" t="str">
        <f>HYPERLINK("http://mcgill.on.worldcat.org/oclc/252878","Catalog Record")</f>
        <v>Catalog Record</v>
      </c>
      <c r="AW454" s="6" t="str">
        <f>HYPERLINK("http://www.worldcat.org/oclc/252878","WorldCat Record")</f>
        <v>WorldCat Record</v>
      </c>
      <c r="AX454" s="3" t="s">
        <v>4335</v>
      </c>
      <c r="AY454" s="3" t="s">
        <v>4336</v>
      </c>
      <c r="AZ454" s="3" t="s">
        <v>4337</v>
      </c>
      <c r="BA454" s="3" t="s">
        <v>4337</v>
      </c>
      <c r="BB454" s="3" t="s">
        <v>4338</v>
      </c>
      <c r="BC454" s="3" t="s">
        <v>77</v>
      </c>
      <c r="BD454" s="3" t="s">
        <v>78</v>
      </c>
      <c r="BF454" s="3" t="s">
        <v>4338</v>
      </c>
      <c r="BG454" s="3" t="s">
        <v>4339</v>
      </c>
      <c r="BH454">
        <f t="shared" si="17"/>
        <v>0</v>
      </c>
    </row>
    <row r="455" spans="1:60" ht="58" x14ac:dyDescent="0.35">
      <c r="A455" s="2" t="s">
        <v>59</v>
      </c>
      <c r="B455" s="2" t="s">
        <v>60</v>
      </c>
      <c r="C455" s="2" t="s">
        <v>4340</v>
      </c>
      <c r="D455" s="2" t="s">
        <v>4341</v>
      </c>
      <c r="E455" s="2" t="s">
        <v>4342</v>
      </c>
      <c r="G455" s="3" t="s">
        <v>64</v>
      </c>
      <c r="I455" s="3" t="s">
        <v>128</v>
      </c>
      <c r="J455" s="3" t="s">
        <v>64</v>
      </c>
      <c r="K455" s="3" t="s">
        <v>65</v>
      </c>
      <c r="M455" s="2" t="s">
        <v>4343</v>
      </c>
      <c r="N455" s="3" t="s">
        <v>1087</v>
      </c>
      <c r="P455" s="3" t="s">
        <v>102</v>
      </c>
      <c r="Q455" s="2" t="s">
        <v>4344</v>
      </c>
      <c r="R455" s="3" t="s">
        <v>70</v>
      </c>
      <c r="S455" s="4">
        <v>47</v>
      </c>
      <c r="T455" s="4">
        <v>49</v>
      </c>
      <c r="U455" s="5" t="s">
        <v>4156</v>
      </c>
      <c r="V455" s="5" t="s">
        <v>423</v>
      </c>
      <c r="W455" s="5" t="s">
        <v>72</v>
      </c>
      <c r="X455" s="5" t="s">
        <v>72</v>
      </c>
      <c r="Y455" s="4">
        <v>483</v>
      </c>
      <c r="Z455" s="4">
        <v>37</v>
      </c>
      <c r="AA455" s="4">
        <v>38</v>
      </c>
      <c r="AB455" s="4">
        <v>3</v>
      </c>
      <c r="AC455" s="4">
        <v>3</v>
      </c>
      <c r="AD455" s="4">
        <v>123</v>
      </c>
      <c r="AE455" s="4">
        <v>123</v>
      </c>
      <c r="AF455" s="4">
        <v>1</v>
      </c>
      <c r="AG455" s="4">
        <v>1</v>
      </c>
      <c r="AH455" s="4">
        <v>103</v>
      </c>
      <c r="AI455" s="4">
        <v>103</v>
      </c>
      <c r="AJ455" s="4">
        <v>19</v>
      </c>
      <c r="AK455" s="4">
        <v>19</v>
      </c>
      <c r="AL455" s="4">
        <v>56</v>
      </c>
      <c r="AM455" s="4">
        <v>56</v>
      </c>
      <c r="AN455" s="4">
        <v>0</v>
      </c>
      <c r="AO455" s="4">
        <v>0</v>
      </c>
      <c r="AP455" s="4">
        <v>27</v>
      </c>
      <c r="AQ455" s="4">
        <v>27</v>
      </c>
      <c r="AR455" s="3" t="s">
        <v>64</v>
      </c>
      <c r="AS455" s="3" t="s">
        <v>64</v>
      </c>
      <c r="AT455" s="3" t="s">
        <v>128</v>
      </c>
      <c r="AU455" s="6" t="str">
        <f>HYPERLINK("http://catalog.hathitrust.org/Record/002528501","HathiTrust Record")</f>
        <v>HathiTrust Record</v>
      </c>
      <c r="AV455" s="6" t="str">
        <f>HYPERLINK("http://mcgill.on.worldcat.org/oclc/23732411","Catalog Record")</f>
        <v>Catalog Record</v>
      </c>
      <c r="AW455" s="6" t="str">
        <f>HYPERLINK("http://www.worldcat.org/oclc/23732411","WorldCat Record")</f>
        <v>WorldCat Record</v>
      </c>
      <c r="AX455" s="3" t="s">
        <v>4345</v>
      </c>
      <c r="AY455" s="3" t="s">
        <v>4346</v>
      </c>
      <c r="AZ455" s="3" t="s">
        <v>4347</v>
      </c>
      <c r="BA455" s="3" t="s">
        <v>4347</v>
      </c>
      <c r="BB455" s="3" t="s">
        <v>4348</v>
      </c>
      <c r="BC455" s="3" t="s">
        <v>77</v>
      </c>
      <c r="BD455" s="3" t="s">
        <v>165</v>
      </c>
      <c r="BE455" s="3" t="s">
        <v>4349</v>
      </c>
      <c r="BF455" s="3" t="s">
        <v>4348</v>
      </c>
      <c r="BG455" s="3" t="s">
        <v>4350</v>
      </c>
      <c r="BH455">
        <f t="shared" si="17"/>
        <v>0</v>
      </c>
    </row>
    <row r="456" spans="1:60" ht="58" x14ac:dyDescent="0.35">
      <c r="A456" s="2" t="s">
        <v>59</v>
      </c>
      <c r="B456" s="2" t="s">
        <v>60</v>
      </c>
      <c r="C456" s="2" t="s">
        <v>4351</v>
      </c>
      <c r="D456" s="2" t="s">
        <v>4352</v>
      </c>
      <c r="E456" s="2" t="s">
        <v>4353</v>
      </c>
      <c r="G456" s="3" t="s">
        <v>64</v>
      </c>
      <c r="I456" s="3" t="s">
        <v>64</v>
      </c>
      <c r="J456" s="3" t="s">
        <v>64</v>
      </c>
      <c r="K456" s="3" t="s">
        <v>65</v>
      </c>
      <c r="L456" s="2" t="s">
        <v>4354</v>
      </c>
      <c r="M456" s="2" t="s">
        <v>4355</v>
      </c>
      <c r="N456" s="3" t="s">
        <v>434</v>
      </c>
      <c r="O456" s="2" t="s">
        <v>4356</v>
      </c>
      <c r="P456" s="3" t="s">
        <v>102</v>
      </c>
      <c r="R456" s="3" t="s">
        <v>70</v>
      </c>
      <c r="S456" s="4">
        <v>31</v>
      </c>
      <c r="T456" s="4">
        <v>31</v>
      </c>
      <c r="U456" s="5" t="s">
        <v>306</v>
      </c>
      <c r="V456" s="5" t="s">
        <v>306</v>
      </c>
      <c r="W456" s="5" t="s">
        <v>72</v>
      </c>
      <c r="X456" s="5" t="s">
        <v>72</v>
      </c>
      <c r="Y456" s="4">
        <v>447</v>
      </c>
      <c r="Z456" s="4">
        <v>37</v>
      </c>
      <c r="AA456" s="4">
        <v>40</v>
      </c>
      <c r="AB456" s="4">
        <v>2</v>
      </c>
      <c r="AC456" s="4">
        <v>5</v>
      </c>
      <c r="AD456" s="4">
        <v>106</v>
      </c>
      <c r="AE456" s="4">
        <v>108</v>
      </c>
      <c r="AF456" s="4">
        <v>1</v>
      </c>
      <c r="AG456" s="4">
        <v>3</v>
      </c>
      <c r="AH456" s="4">
        <v>87</v>
      </c>
      <c r="AI456" s="4">
        <v>88</v>
      </c>
      <c r="AJ456" s="4">
        <v>19</v>
      </c>
      <c r="AK456" s="4">
        <v>21</v>
      </c>
      <c r="AL456" s="4">
        <v>48</v>
      </c>
      <c r="AM456" s="4">
        <v>48</v>
      </c>
      <c r="AN456" s="4">
        <v>0</v>
      </c>
      <c r="AO456" s="4">
        <v>0</v>
      </c>
      <c r="AP456" s="4">
        <v>26</v>
      </c>
      <c r="AQ456" s="4">
        <v>27</v>
      </c>
      <c r="AR456" s="3" t="s">
        <v>64</v>
      </c>
      <c r="AS456" s="3" t="s">
        <v>64</v>
      </c>
      <c r="AT456" s="3" t="s">
        <v>64</v>
      </c>
      <c r="AV456" s="6" t="str">
        <f>HYPERLINK("http://mcgill.on.worldcat.org/oclc/54356533","Catalog Record")</f>
        <v>Catalog Record</v>
      </c>
      <c r="AW456" s="6" t="str">
        <f>HYPERLINK("http://www.worldcat.org/oclc/54356533","WorldCat Record")</f>
        <v>WorldCat Record</v>
      </c>
      <c r="AX456" s="3" t="s">
        <v>4357</v>
      </c>
      <c r="AY456" s="3" t="s">
        <v>4358</v>
      </c>
      <c r="AZ456" s="3" t="s">
        <v>4359</v>
      </c>
      <c r="BA456" s="3" t="s">
        <v>4359</v>
      </c>
      <c r="BB456" s="3" t="s">
        <v>4360</v>
      </c>
      <c r="BC456" s="3" t="s">
        <v>77</v>
      </c>
      <c r="BD456" s="3" t="s">
        <v>78</v>
      </c>
      <c r="BE456" s="3" t="s">
        <v>4361</v>
      </c>
      <c r="BF456" s="3" t="s">
        <v>4360</v>
      </c>
      <c r="BG456" s="3" t="s">
        <v>4362</v>
      </c>
      <c r="BH456">
        <f t="shared" si="17"/>
        <v>0</v>
      </c>
    </row>
    <row r="457" spans="1:60" ht="58" x14ac:dyDescent="0.35">
      <c r="A457" s="2" t="s">
        <v>59</v>
      </c>
      <c r="B457" s="2" t="s">
        <v>60</v>
      </c>
      <c r="C457" s="2" t="s">
        <v>4363</v>
      </c>
      <c r="D457" s="2" t="s">
        <v>4364</v>
      </c>
      <c r="E457" s="2" t="s">
        <v>4365</v>
      </c>
      <c r="G457" s="3" t="s">
        <v>64</v>
      </c>
      <c r="I457" s="3" t="s">
        <v>64</v>
      </c>
      <c r="J457" s="3" t="s">
        <v>64</v>
      </c>
      <c r="K457" s="3" t="s">
        <v>65</v>
      </c>
      <c r="L457" s="2" t="s">
        <v>4366</v>
      </c>
      <c r="M457" s="2" t="s">
        <v>4367</v>
      </c>
      <c r="N457" s="3" t="s">
        <v>979</v>
      </c>
      <c r="P457" s="3" t="s">
        <v>102</v>
      </c>
      <c r="Q457" s="2" t="s">
        <v>4368</v>
      </c>
      <c r="R457" s="3" t="s">
        <v>70</v>
      </c>
      <c r="S457" s="4">
        <v>10</v>
      </c>
      <c r="T457" s="4">
        <v>10</v>
      </c>
      <c r="U457" s="5" t="s">
        <v>4369</v>
      </c>
      <c r="V457" s="5" t="s">
        <v>4369</v>
      </c>
      <c r="W457" s="5" t="s">
        <v>72</v>
      </c>
      <c r="X457" s="5" t="s">
        <v>72</v>
      </c>
      <c r="Y457" s="4">
        <v>243</v>
      </c>
      <c r="Z457" s="4">
        <v>15</v>
      </c>
      <c r="AA457" s="4">
        <v>16</v>
      </c>
      <c r="AB457" s="4">
        <v>2</v>
      </c>
      <c r="AC457" s="4">
        <v>3</v>
      </c>
      <c r="AD457" s="4">
        <v>94</v>
      </c>
      <c r="AE457" s="4">
        <v>95</v>
      </c>
      <c r="AF457" s="4">
        <v>0</v>
      </c>
      <c r="AG457" s="4">
        <v>1</v>
      </c>
      <c r="AH457" s="4">
        <v>89</v>
      </c>
      <c r="AI457" s="4">
        <v>89</v>
      </c>
      <c r="AJ457" s="4">
        <v>9</v>
      </c>
      <c r="AK457" s="4">
        <v>10</v>
      </c>
      <c r="AL457" s="4">
        <v>50</v>
      </c>
      <c r="AM457" s="4">
        <v>50</v>
      </c>
      <c r="AN457" s="4">
        <v>0</v>
      </c>
      <c r="AO457" s="4">
        <v>0</v>
      </c>
      <c r="AP457" s="4">
        <v>10</v>
      </c>
      <c r="AQ457" s="4">
        <v>10</v>
      </c>
      <c r="AR457" s="3" t="s">
        <v>64</v>
      </c>
      <c r="AS457" s="3" t="s">
        <v>64</v>
      </c>
      <c r="AT457" s="3" t="s">
        <v>64</v>
      </c>
      <c r="AV457" s="6" t="str">
        <f>HYPERLINK("http://mcgill.on.worldcat.org/oclc/42912153","Catalog Record")</f>
        <v>Catalog Record</v>
      </c>
      <c r="AW457" s="6" t="str">
        <f>HYPERLINK("http://www.worldcat.org/oclc/42912153","WorldCat Record")</f>
        <v>WorldCat Record</v>
      </c>
      <c r="AX457" s="3" t="s">
        <v>4370</v>
      </c>
      <c r="AY457" s="3" t="s">
        <v>4371</v>
      </c>
      <c r="AZ457" s="3" t="s">
        <v>4372</v>
      </c>
      <c r="BA457" s="3" t="s">
        <v>4372</v>
      </c>
      <c r="BB457" s="3" t="s">
        <v>4373</v>
      </c>
      <c r="BC457" s="3" t="s">
        <v>77</v>
      </c>
      <c r="BD457" s="3" t="s">
        <v>165</v>
      </c>
      <c r="BE457" s="3" t="s">
        <v>4374</v>
      </c>
      <c r="BF457" s="3" t="s">
        <v>4373</v>
      </c>
      <c r="BG457" s="3" t="s">
        <v>4375</v>
      </c>
      <c r="BH457">
        <f t="shared" si="17"/>
        <v>0</v>
      </c>
    </row>
    <row r="458" spans="1:60" ht="58" x14ac:dyDescent="0.35">
      <c r="A458" s="2" t="s">
        <v>59</v>
      </c>
      <c r="B458" s="2" t="s">
        <v>60</v>
      </c>
      <c r="C458" s="2" t="s">
        <v>4376</v>
      </c>
      <c r="D458" s="2" t="s">
        <v>4377</v>
      </c>
      <c r="E458" s="2" t="s">
        <v>4378</v>
      </c>
      <c r="G458" s="3" t="s">
        <v>64</v>
      </c>
      <c r="I458" s="3" t="s">
        <v>128</v>
      </c>
      <c r="J458" s="3" t="s">
        <v>64</v>
      </c>
      <c r="K458" s="3" t="s">
        <v>65</v>
      </c>
      <c r="L458" s="2" t="s">
        <v>4379</v>
      </c>
      <c r="M458" s="2" t="s">
        <v>4380</v>
      </c>
      <c r="N458" s="3" t="s">
        <v>159</v>
      </c>
      <c r="P458" s="3" t="s">
        <v>102</v>
      </c>
      <c r="Q458" s="2" t="s">
        <v>4381</v>
      </c>
      <c r="R458" s="3" t="s">
        <v>70</v>
      </c>
      <c r="S458" s="4">
        <v>8</v>
      </c>
      <c r="T458" s="4">
        <v>23</v>
      </c>
      <c r="U458" s="5" t="s">
        <v>4382</v>
      </c>
      <c r="V458" s="5" t="s">
        <v>4383</v>
      </c>
      <c r="W458" s="5" t="s">
        <v>72</v>
      </c>
      <c r="X458" s="5" t="s">
        <v>72</v>
      </c>
      <c r="Y458" s="4">
        <v>252</v>
      </c>
      <c r="Z458" s="4">
        <v>24</v>
      </c>
      <c r="AA458" s="4">
        <v>28</v>
      </c>
      <c r="AB458" s="4">
        <v>1</v>
      </c>
      <c r="AC458" s="4">
        <v>5</v>
      </c>
      <c r="AD458" s="4">
        <v>100</v>
      </c>
      <c r="AE458" s="4">
        <v>101</v>
      </c>
      <c r="AF458" s="4">
        <v>0</v>
      </c>
      <c r="AG458" s="4">
        <v>1</v>
      </c>
      <c r="AH458" s="4">
        <v>88</v>
      </c>
      <c r="AI458" s="4">
        <v>88</v>
      </c>
      <c r="AJ458" s="4">
        <v>17</v>
      </c>
      <c r="AK458" s="4">
        <v>18</v>
      </c>
      <c r="AL458" s="4">
        <v>47</v>
      </c>
      <c r="AM458" s="4">
        <v>47</v>
      </c>
      <c r="AN458" s="4">
        <v>0</v>
      </c>
      <c r="AO458" s="4">
        <v>0</v>
      </c>
      <c r="AP458" s="4">
        <v>20</v>
      </c>
      <c r="AQ458" s="4">
        <v>20</v>
      </c>
      <c r="AR458" s="3" t="s">
        <v>64</v>
      </c>
      <c r="AS458" s="3" t="s">
        <v>64</v>
      </c>
      <c r="AT458" s="3" t="s">
        <v>128</v>
      </c>
      <c r="AU458" s="6" t="str">
        <f>HYPERLINK("http://catalog.hathitrust.org/Record/004263142","HathiTrust Record")</f>
        <v>HathiTrust Record</v>
      </c>
      <c r="AV458" s="6" t="str">
        <f>HYPERLINK("http://mcgill.on.worldcat.org/oclc/49240019","Catalog Record")</f>
        <v>Catalog Record</v>
      </c>
      <c r="AW458" s="6" t="str">
        <f>HYPERLINK("http://www.worldcat.org/oclc/49240019","WorldCat Record")</f>
        <v>WorldCat Record</v>
      </c>
      <c r="AX458" s="3" t="s">
        <v>4384</v>
      </c>
      <c r="AY458" s="3" t="s">
        <v>4385</v>
      </c>
      <c r="AZ458" s="3" t="s">
        <v>4386</v>
      </c>
      <c r="BA458" s="3" t="s">
        <v>4386</v>
      </c>
      <c r="BB458" s="3" t="s">
        <v>4387</v>
      </c>
      <c r="BC458" s="3" t="s">
        <v>77</v>
      </c>
      <c r="BD458" s="3" t="s">
        <v>78</v>
      </c>
      <c r="BE458" s="3" t="s">
        <v>4388</v>
      </c>
      <c r="BF458" s="3" t="s">
        <v>4387</v>
      </c>
      <c r="BG458" s="3" t="s">
        <v>4389</v>
      </c>
      <c r="BH458">
        <f t="shared" si="17"/>
        <v>0</v>
      </c>
    </row>
    <row r="459" spans="1:60" ht="58" x14ac:dyDescent="0.35">
      <c r="A459" s="2" t="s">
        <v>59</v>
      </c>
      <c r="B459" s="2" t="s">
        <v>60</v>
      </c>
      <c r="C459" s="2" t="s">
        <v>4376</v>
      </c>
      <c r="D459" s="2" t="s">
        <v>4377</v>
      </c>
      <c r="E459" s="2" t="s">
        <v>4378</v>
      </c>
      <c r="G459" s="3" t="s">
        <v>64</v>
      </c>
      <c r="I459" s="3" t="s">
        <v>128</v>
      </c>
      <c r="J459" s="3" t="s">
        <v>64</v>
      </c>
      <c r="K459" s="3" t="s">
        <v>65</v>
      </c>
      <c r="L459" s="2" t="s">
        <v>4379</v>
      </c>
      <c r="M459" s="2" t="s">
        <v>4380</v>
      </c>
      <c r="N459" s="3" t="s">
        <v>159</v>
      </c>
      <c r="P459" s="3" t="s">
        <v>102</v>
      </c>
      <c r="Q459" s="2" t="s">
        <v>4381</v>
      </c>
      <c r="R459" s="3" t="s">
        <v>70</v>
      </c>
      <c r="S459" s="4">
        <v>15</v>
      </c>
      <c r="T459" s="4">
        <v>23</v>
      </c>
      <c r="U459" s="5" t="s">
        <v>4383</v>
      </c>
      <c r="V459" s="5" t="s">
        <v>4383</v>
      </c>
      <c r="W459" s="5" t="s">
        <v>72</v>
      </c>
      <c r="X459" s="5" t="s">
        <v>72</v>
      </c>
      <c r="Y459" s="4">
        <v>252</v>
      </c>
      <c r="Z459" s="4">
        <v>24</v>
      </c>
      <c r="AA459" s="4">
        <v>28</v>
      </c>
      <c r="AB459" s="4">
        <v>1</v>
      </c>
      <c r="AC459" s="4">
        <v>5</v>
      </c>
      <c r="AD459" s="4">
        <v>100</v>
      </c>
      <c r="AE459" s="4">
        <v>101</v>
      </c>
      <c r="AF459" s="4">
        <v>0</v>
      </c>
      <c r="AG459" s="4">
        <v>1</v>
      </c>
      <c r="AH459" s="4">
        <v>88</v>
      </c>
      <c r="AI459" s="4">
        <v>88</v>
      </c>
      <c r="AJ459" s="4">
        <v>17</v>
      </c>
      <c r="AK459" s="4">
        <v>18</v>
      </c>
      <c r="AL459" s="4">
        <v>47</v>
      </c>
      <c r="AM459" s="4">
        <v>47</v>
      </c>
      <c r="AN459" s="4">
        <v>0</v>
      </c>
      <c r="AO459" s="4">
        <v>0</v>
      </c>
      <c r="AP459" s="4">
        <v>20</v>
      </c>
      <c r="AQ459" s="4">
        <v>20</v>
      </c>
      <c r="AR459" s="3" t="s">
        <v>64</v>
      </c>
      <c r="AS459" s="3" t="s">
        <v>64</v>
      </c>
      <c r="AT459" s="3" t="s">
        <v>128</v>
      </c>
      <c r="AU459" s="6" t="str">
        <f>HYPERLINK("http://catalog.hathitrust.org/Record/004263142","HathiTrust Record")</f>
        <v>HathiTrust Record</v>
      </c>
      <c r="AV459" s="6" t="str">
        <f>HYPERLINK("http://mcgill.on.worldcat.org/oclc/49240019","Catalog Record")</f>
        <v>Catalog Record</v>
      </c>
      <c r="AW459" s="6" t="str">
        <f>HYPERLINK("http://www.worldcat.org/oclc/49240019","WorldCat Record")</f>
        <v>WorldCat Record</v>
      </c>
      <c r="AX459" s="3" t="s">
        <v>4384</v>
      </c>
      <c r="AY459" s="3" t="s">
        <v>4385</v>
      </c>
      <c r="AZ459" s="3" t="s">
        <v>4386</v>
      </c>
      <c r="BA459" s="3" t="s">
        <v>4386</v>
      </c>
      <c r="BB459" s="3" t="s">
        <v>4390</v>
      </c>
      <c r="BC459" s="3" t="s">
        <v>77</v>
      </c>
      <c r="BD459" s="3" t="s">
        <v>78</v>
      </c>
      <c r="BE459" s="3" t="s">
        <v>4388</v>
      </c>
      <c r="BF459" s="3" t="s">
        <v>4390</v>
      </c>
      <c r="BG459" s="3" t="s">
        <v>4391</v>
      </c>
      <c r="BH459">
        <f t="shared" si="17"/>
        <v>0</v>
      </c>
    </row>
    <row r="460" spans="1:60" ht="58" x14ac:dyDescent="0.35">
      <c r="A460" s="2" t="s">
        <v>59</v>
      </c>
      <c r="B460" s="2" t="s">
        <v>60</v>
      </c>
      <c r="C460" s="2" t="s">
        <v>4392</v>
      </c>
      <c r="D460" s="2" t="s">
        <v>4393</v>
      </c>
      <c r="E460" s="2" t="s">
        <v>4394</v>
      </c>
      <c r="G460" s="3" t="s">
        <v>64</v>
      </c>
      <c r="I460" s="3" t="s">
        <v>64</v>
      </c>
      <c r="J460" s="3" t="s">
        <v>64</v>
      </c>
      <c r="K460" s="3" t="s">
        <v>65</v>
      </c>
      <c r="L460" s="2" t="s">
        <v>4395</v>
      </c>
      <c r="M460" s="2" t="s">
        <v>4396</v>
      </c>
      <c r="N460" s="3" t="s">
        <v>481</v>
      </c>
      <c r="P460" s="3" t="s">
        <v>68</v>
      </c>
      <c r="R460" s="3" t="s">
        <v>70</v>
      </c>
      <c r="S460" s="4">
        <v>15</v>
      </c>
      <c r="T460" s="4">
        <v>15</v>
      </c>
      <c r="U460" s="5" t="s">
        <v>4397</v>
      </c>
      <c r="V460" s="5" t="s">
        <v>4397</v>
      </c>
      <c r="W460" s="5" t="s">
        <v>72</v>
      </c>
      <c r="X460" s="5" t="s">
        <v>72</v>
      </c>
      <c r="Y460" s="4">
        <v>136</v>
      </c>
      <c r="Z460" s="4">
        <v>13</v>
      </c>
      <c r="AA460" s="4">
        <v>28</v>
      </c>
      <c r="AB460" s="4">
        <v>1</v>
      </c>
      <c r="AC460" s="4">
        <v>9</v>
      </c>
      <c r="AD460" s="4">
        <v>50</v>
      </c>
      <c r="AE460" s="4">
        <v>67</v>
      </c>
      <c r="AF460" s="4">
        <v>0</v>
      </c>
      <c r="AG460" s="4">
        <v>5</v>
      </c>
      <c r="AH460" s="4">
        <v>45</v>
      </c>
      <c r="AI460" s="4">
        <v>57</v>
      </c>
      <c r="AJ460" s="4">
        <v>8</v>
      </c>
      <c r="AK460" s="4">
        <v>16</v>
      </c>
      <c r="AL460" s="4">
        <v>26</v>
      </c>
      <c r="AM460" s="4">
        <v>32</v>
      </c>
      <c r="AN460" s="4">
        <v>0</v>
      </c>
      <c r="AO460" s="4">
        <v>0</v>
      </c>
      <c r="AP460" s="4">
        <v>9</v>
      </c>
      <c r="AQ460" s="4">
        <v>17</v>
      </c>
      <c r="AR460" s="3" t="s">
        <v>64</v>
      </c>
      <c r="AS460" s="3" t="s">
        <v>64</v>
      </c>
      <c r="AT460" s="3" t="s">
        <v>64</v>
      </c>
      <c r="AV460" s="6" t="str">
        <f>HYPERLINK("http://mcgill.on.worldcat.org/oclc/2360885","Catalog Record")</f>
        <v>Catalog Record</v>
      </c>
      <c r="AW460" s="6" t="str">
        <f>HYPERLINK("http://www.worldcat.org/oclc/2360885","WorldCat Record")</f>
        <v>WorldCat Record</v>
      </c>
      <c r="AX460" s="3" t="s">
        <v>4398</v>
      </c>
      <c r="AY460" s="3" t="s">
        <v>4399</v>
      </c>
      <c r="AZ460" s="3" t="s">
        <v>4400</v>
      </c>
      <c r="BA460" s="3" t="s">
        <v>4400</v>
      </c>
      <c r="BB460" s="3" t="s">
        <v>4401</v>
      </c>
      <c r="BC460" s="3" t="s">
        <v>77</v>
      </c>
      <c r="BD460" s="3" t="s">
        <v>78</v>
      </c>
      <c r="BF460" s="3" t="s">
        <v>4401</v>
      </c>
      <c r="BG460" s="3" t="s">
        <v>4402</v>
      </c>
      <c r="BH460">
        <f t="shared" si="17"/>
        <v>0</v>
      </c>
    </row>
    <row r="461" spans="1:60" ht="58" x14ac:dyDescent="0.35">
      <c r="A461" s="2" t="s">
        <v>59</v>
      </c>
      <c r="B461" s="2" t="s">
        <v>60</v>
      </c>
      <c r="C461" s="2" t="s">
        <v>4403</v>
      </c>
      <c r="D461" s="2" t="s">
        <v>4404</v>
      </c>
      <c r="E461" s="2" t="s">
        <v>4405</v>
      </c>
      <c r="G461" s="3" t="s">
        <v>64</v>
      </c>
      <c r="I461" s="3" t="s">
        <v>64</v>
      </c>
      <c r="J461" s="3" t="s">
        <v>64</v>
      </c>
      <c r="K461" s="3" t="s">
        <v>65</v>
      </c>
      <c r="L461" s="2" t="s">
        <v>4406</v>
      </c>
      <c r="M461" s="2" t="s">
        <v>4407</v>
      </c>
      <c r="N461" s="3" t="s">
        <v>4167</v>
      </c>
      <c r="P461" s="3" t="s">
        <v>102</v>
      </c>
      <c r="Q461" s="2" t="s">
        <v>4408</v>
      </c>
      <c r="R461" s="3" t="s">
        <v>70</v>
      </c>
      <c r="S461" s="4">
        <v>11</v>
      </c>
      <c r="T461" s="4">
        <v>11</v>
      </c>
      <c r="U461" s="5" t="s">
        <v>3788</v>
      </c>
      <c r="V461" s="5" t="s">
        <v>3788</v>
      </c>
      <c r="W461" s="5" t="s">
        <v>72</v>
      </c>
      <c r="X461" s="5" t="s">
        <v>72</v>
      </c>
      <c r="Y461" s="4">
        <v>149</v>
      </c>
      <c r="Z461" s="4">
        <v>7</v>
      </c>
      <c r="AA461" s="4">
        <v>16</v>
      </c>
      <c r="AB461" s="4">
        <v>1</v>
      </c>
      <c r="AC461" s="4">
        <v>2</v>
      </c>
      <c r="AD461" s="4">
        <v>48</v>
      </c>
      <c r="AE461" s="4">
        <v>67</v>
      </c>
      <c r="AF461" s="4">
        <v>0</v>
      </c>
      <c r="AG461" s="4">
        <v>0</v>
      </c>
      <c r="AH461" s="4">
        <v>46</v>
      </c>
      <c r="AI461" s="4">
        <v>64</v>
      </c>
      <c r="AJ461" s="4">
        <v>5</v>
      </c>
      <c r="AK461" s="4">
        <v>7</v>
      </c>
      <c r="AL461" s="4">
        <v>30</v>
      </c>
      <c r="AM461" s="4">
        <v>41</v>
      </c>
      <c r="AN461" s="4">
        <v>0</v>
      </c>
      <c r="AO461" s="4">
        <v>5</v>
      </c>
      <c r="AP461" s="4">
        <v>5</v>
      </c>
      <c r="AQ461" s="4">
        <v>8</v>
      </c>
      <c r="AR461" s="3" t="s">
        <v>64</v>
      </c>
      <c r="AS461" s="3" t="s">
        <v>64</v>
      </c>
      <c r="AT461" s="3" t="s">
        <v>128</v>
      </c>
      <c r="AU461" s="6" t="str">
        <f>HYPERLINK("http://catalog.hathitrust.org/Record/001159913","HathiTrust Record")</f>
        <v>HathiTrust Record</v>
      </c>
      <c r="AV461" s="6" t="str">
        <f>HYPERLINK("http://mcgill.on.worldcat.org/oclc/2611293","Catalog Record")</f>
        <v>Catalog Record</v>
      </c>
      <c r="AW461" s="6" t="str">
        <f>HYPERLINK("http://www.worldcat.org/oclc/2611293","WorldCat Record")</f>
        <v>WorldCat Record</v>
      </c>
      <c r="AX461" s="3" t="s">
        <v>4409</v>
      </c>
      <c r="AY461" s="3" t="s">
        <v>4410</v>
      </c>
      <c r="AZ461" s="3" t="s">
        <v>4411</v>
      </c>
      <c r="BA461" s="3" t="s">
        <v>4411</v>
      </c>
      <c r="BB461" s="3" t="s">
        <v>4412</v>
      </c>
      <c r="BC461" s="3" t="s">
        <v>77</v>
      </c>
      <c r="BD461" s="3" t="s">
        <v>78</v>
      </c>
      <c r="BF461" s="3" t="s">
        <v>4412</v>
      </c>
      <c r="BG461" s="3" t="s">
        <v>4413</v>
      </c>
      <c r="BH461">
        <f t="shared" si="17"/>
        <v>0</v>
      </c>
    </row>
    <row r="462" spans="1:60" ht="58" x14ac:dyDescent="0.35">
      <c r="A462" s="2" t="s">
        <v>59</v>
      </c>
      <c r="B462" s="2" t="s">
        <v>60</v>
      </c>
      <c r="C462" s="2" t="s">
        <v>4414</v>
      </c>
      <c r="D462" s="2" t="s">
        <v>4415</v>
      </c>
      <c r="E462" s="2" t="s">
        <v>4416</v>
      </c>
      <c r="G462" s="3" t="s">
        <v>64</v>
      </c>
      <c r="I462" s="3" t="s">
        <v>64</v>
      </c>
      <c r="J462" s="3" t="s">
        <v>64</v>
      </c>
      <c r="K462" s="3" t="s">
        <v>65</v>
      </c>
      <c r="L462" s="2" t="s">
        <v>4417</v>
      </c>
      <c r="M462" s="2" t="s">
        <v>4418</v>
      </c>
      <c r="N462" s="3" t="s">
        <v>326</v>
      </c>
      <c r="P462" s="3" t="s">
        <v>102</v>
      </c>
      <c r="Q462" s="2" t="s">
        <v>4419</v>
      </c>
      <c r="R462" s="3" t="s">
        <v>70</v>
      </c>
      <c r="S462" s="4">
        <v>4</v>
      </c>
      <c r="T462" s="4">
        <v>4</v>
      </c>
      <c r="U462" s="5" t="s">
        <v>4420</v>
      </c>
      <c r="V462" s="5" t="s">
        <v>4420</v>
      </c>
      <c r="W462" s="5" t="s">
        <v>72</v>
      </c>
      <c r="X462" s="5" t="s">
        <v>72</v>
      </c>
      <c r="Y462" s="4">
        <v>166</v>
      </c>
      <c r="Z462" s="4">
        <v>14</v>
      </c>
      <c r="AA462" s="4">
        <v>82</v>
      </c>
      <c r="AB462" s="4">
        <v>1</v>
      </c>
      <c r="AC462" s="4">
        <v>16</v>
      </c>
      <c r="AD462" s="4">
        <v>77</v>
      </c>
      <c r="AE462" s="4">
        <v>123</v>
      </c>
      <c r="AF462" s="4">
        <v>0</v>
      </c>
      <c r="AG462" s="4">
        <v>8</v>
      </c>
      <c r="AH462" s="4">
        <v>73</v>
      </c>
      <c r="AI462" s="4">
        <v>90</v>
      </c>
      <c r="AJ462" s="4">
        <v>10</v>
      </c>
      <c r="AK462" s="4">
        <v>22</v>
      </c>
      <c r="AL462" s="4">
        <v>43</v>
      </c>
      <c r="AM462" s="4">
        <v>48</v>
      </c>
      <c r="AN462" s="4">
        <v>0</v>
      </c>
      <c r="AO462" s="4">
        <v>0</v>
      </c>
      <c r="AP462" s="4">
        <v>10</v>
      </c>
      <c r="AQ462" s="4">
        <v>42</v>
      </c>
      <c r="AR462" s="3" t="s">
        <v>64</v>
      </c>
      <c r="AS462" s="3" t="s">
        <v>64</v>
      </c>
      <c r="AT462" s="3" t="s">
        <v>64</v>
      </c>
      <c r="AV462" s="6" t="str">
        <f>HYPERLINK("http://mcgill.on.worldcat.org/oclc/670238154","Catalog Record")</f>
        <v>Catalog Record</v>
      </c>
      <c r="AW462" s="6" t="str">
        <f>HYPERLINK("http://www.worldcat.org/oclc/670238154","WorldCat Record")</f>
        <v>WorldCat Record</v>
      </c>
      <c r="AX462" s="3" t="s">
        <v>4421</v>
      </c>
      <c r="AY462" s="3" t="s">
        <v>4422</v>
      </c>
      <c r="AZ462" s="3" t="s">
        <v>4423</v>
      </c>
      <c r="BA462" s="3" t="s">
        <v>4423</v>
      </c>
      <c r="BB462" s="3" t="s">
        <v>4424</v>
      </c>
      <c r="BC462" s="3" t="s">
        <v>77</v>
      </c>
      <c r="BD462" s="3" t="s">
        <v>78</v>
      </c>
      <c r="BE462" s="3" t="s">
        <v>4425</v>
      </c>
      <c r="BF462" s="3" t="s">
        <v>4424</v>
      </c>
      <c r="BG462" s="3" t="s">
        <v>4426</v>
      </c>
      <c r="BH462">
        <f t="shared" si="17"/>
        <v>0</v>
      </c>
    </row>
    <row r="463" spans="1:60" ht="58" x14ac:dyDescent="0.35">
      <c r="A463" s="2" t="s">
        <v>59</v>
      </c>
      <c r="B463" s="2" t="s">
        <v>60</v>
      </c>
      <c r="C463" s="2" t="s">
        <v>4427</v>
      </c>
      <c r="D463" s="2" t="s">
        <v>4428</v>
      </c>
      <c r="E463" s="2" t="s">
        <v>4429</v>
      </c>
      <c r="G463" s="3" t="s">
        <v>64</v>
      </c>
      <c r="I463" s="3" t="s">
        <v>64</v>
      </c>
      <c r="J463" s="3" t="s">
        <v>64</v>
      </c>
      <c r="K463" s="3" t="s">
        <v>65</v>
      </c>
      <c r="L463" s="2" t="s">
        <v>4430</v>
      </c>
      <c r="M463" s="2" t="s">
        <v>4431</v>
      </c>
      <c r="N463" s="3" t="s">
        <v>171</v>
      </c>
      <c r="P463" s="3" t="s">
        <v>68</v>
      </c>
      <c r="Q463" s="2" t="s">
        <v>4432</v>
      </c>
      <c r="R463" s="3" t="s">
        <v>70</v>
      </c>
      <c r="S463" s="4">
        <v>14</v>
      </c>
      <c r="T463" s="4">
        <v>14</v>
      </c>
      <c r="U463" s="5" t="s">
        <v>4433</v>
      </c>
      <c r="V463" s="5" t="s">
        <v>4433</v>
      </c>
      <c r="W463" s="5" t="s">
        <v>72</v>
      </c>
      <c r="X463" s="5" t="s">
        <v>72</v>
      </c>
      <c r="Y463" s="4">
        <v>94</v>
      </c>
      <c r="Z463" s="4">
        <v>14</v>
      </c>
      <c r="AA463" s="4">
        <v>19</v>
      </c>
      <c r="AB463" s="4">
        <v>2</v>
      </c>
      <c r="AC463" s="4">
        <v>7</v>
      </c>
      <c r="AD463" s="4">
        <v>60</v>
      </c>
      <c r="AE463" s="4">
        <v>64</v>
      </c>
      <c r="AF463" s="4">
        <v>0</v>
      </c>
      <c r="AG463" s="4">
        <v>4</v>
      </c>
      <c r="AH463" s="4">
        <v>56</v>
      </c>
      <c r="AI463" s="4">
        <v>57</v>
      </c>
      <c r="AJ463" s="4">
        <v>8</v>
      </c>
      <c r="AK463" s="4">
        <v>12</v>
      </c>
      <c r="AL463" s="4">
        <v>37</v>
      </c>
      <c r="AM463" s="4">
        <v>37</v>
      </c>
      <c r="AN463" s="4">
        <v>0</v>
      </c>
      <c r="AO463" s="4">
        <v>0</v>
      </c>
      <c r="AP463" s="4">
        <v>10</v>
      </c>
      <c r="AQ463" s="4">
        <v>13</v>
      </c>
      <c r="AR463" s="3" t="s">
        <v>64</v>
      </c>
      <c r="AS463" s="3" t="s">
        <v>64</v>
      </c>
      <c r="AT463" s="3" t="s">
        <v>64</v>
      </c>
      <c r="AV463" s="6" t="str">
        <f>HYPERLINK("http://mcgill.on.worldcat.org/oclc/71799268","Catalog Record")</f>
        <v>Catalog Record</v>
      </c>
      <c r="AW463" s="6" t="str">
        <f>HYPERLINK("http://www.worldcat.org/oclc/71799268","WorldCat Record")</f>
        <v>WorldCat Record</v>
      </c>
      <c r="AX463" s="3" t="s">
        <v>4434</v>
      </c>
      <c r="AY463" s="3" t="s">
        <v>4435</v>
      </c>
      <c r="AZ463" s="3" t="s">
        <v>4436</v>
      </c>
      <c r="BA463" s="3" t="s">
        <v>4436</v>
      </c>
      <c r="BB463" s="3" t="s">
        <v>4437</v>
      </c>
      <c r="BC463" s="3" t="s">
        <v>77</v>
      </c>
      <c r="BD463" s="3" t="s">
        <v>78</v>
      </c>
      <c r="BE463" s="3" t="s">
        <v>4438</v>
      </c>
      <c r="BF463" s="3" t="s">
        <v>4437</v>
      </c>
      <c r="BG463" s="3" t="s">
        <v>4439</v>
      </c>
      <c r="BH463">
        <f t="shared" si="17"/>
        <v>0</v>
      </c>
    </row>
    <row r="464" spans="1:60" ht="58" x14ac:dyDescent="0.35">
      <c r="A464" s="2" t="s">
        <v>59</v>
      </c>
      <c r="B464" s="2" t="s">
        <v>60</v>
      </c>
      <c r="C464" s="2" t="s">
        <v>4440</v>
      </c>
      <c r="D464" s="2" t="s">
        <v>4441</v>
      </c>
      <c r="E464" s="2" t="s">
        <v>4442</v>
      </c>
      <c r="G464" s="3" t="s">
        <v>64</v>
      </c>
      <c r="I464" s="3" t="s">
        <v>64</v>
      </c>
      <c r="J464" s="3" t="s">
        <v>64</v>
      </c>
      <c r="K464" s="3" t="s">
        <v>65</v>
      </c>
      <c r="M464" s="2" t="s">
        <v>4443</v>
      </c>
      <c r="N464" s="3" t="s">
        <v>2067</v>
      </c>
      <c r="P464" s="3" t="s">
        <v>102</v>
      </c>
      <c r="R464" s="3" t="s">
        <v>70</v>
      </c>
      <c r="S464" s="4">
        <v>69</v>
      </c>
      <c r="T464" s="4">
        <v>69</v>
      </c>
      <c r="U464" s="5" t="s">
        <v>4444</v>
      </c>
      <c r="V464" s="5" t="s">
        <v>4444</v>
      </c>
      <c r="W464" s="5" t="s">
        <v>72</v>
      </c>
      <c r="X464" s="5" t="s">
        <v>72</v>
      </c>
      <c r="Y464" s="4">
        <v>692</v>
      </c>
      <c r="Z464" s="4">
        <v>46</v>
      </c>
      <c r="AA464" s="4">
        <v>51</v>
      </c>
      <c r="AB464" s="4">
        <v>4</v>
      </c>
      <c r="AC464" s="4">
        <v>8</v>
      </c>
      <c r="AD464" s="4">
        <v>134</v>
      </c>
      <c r="AE464" s="4">
        <v>138</v>
      </c>
      <c r="AF464" s="4">
        <v>1</v>
      </c>
      <c r="AG464" s="4">
        <v>4</v>
      </c>
      <c r="AH464" s="4">
        <v>109</v>
      </c>
      <c r="AI464" s="4">
        <v>110</v>
      </c>
      <c r="AJ464" s="4">
        <v>21</v>
      </c>
      <c r="AK464" s="4">
        <v>24</v>
      </c>
      <c r="AL464" s="4">
        <v>60</v>
      </c>
      <c r="AM464" s="4">
        <v>60</v>
      </c>
      <c r="AN464" s="4">
        <v>0</v>
      </c>
      <c r="AO464" s="4">
        <v>0</v>
      </c>
      <c r="AP464" s="4">
        <v>32</v>
      </c>
      <c r="AQ464" s="4">
        <v>35</v>
      </c>
      <c r="AR464" s="3" t="s">
        <v>64</v>
      </c>
      <c r="AS464" s="3" t="s">
        <v>64</v>
      </c>
      <c r="AT464" s="3" t="s">
        <v>64</v>
      </c>
      <c r="AV464" s="6" t="str">
        <f>HYPERLINK("http://mcgill.on.worldcat.org/oclc/18322907","Catalog Record")</f>
        <v>Catalog Record</v>
      </c>
      <c r="AW464" s="6" t="str">
        <f>HYPERLINK("http://www.worldcat.org/oclc/18322907","WorldCat Record")</f>
        <v>WorldCat Record</v>
      </c>
      <c r="AX464" s="3" t="s">
        <v>4445</v>
      </c>
      <c r="AY464" s="3" t="s">
        <v>4446</v>
      </c>
      <c r="AZ464" s="3" t="s">
        <v>4447</v>
      </c>
      <c r="BA464" s="3" t="s">
        <v>4447</v>
      </c>
      <c r="BB464" s="3" t="s">
        <v>4448</v>
      </c>
      <c r="BC464" s="3" t="s">
        <v>77</v>
      </c>
      <c r="BD464" s="3" t="s">
        <v>78</v>
      </c>
      <c r="BE464" s="3" t="s">
        <v>4449</v>
      </c>
      <c r="BF464" s="3" t="s">
        <v>4448</v>
      </c>
      <c r="BG464" s="3" t="s">
        <v>4450</v>
      </c>
      <c r="BH464">
        <f t="shared" si="17"/>
        <v>0</v>
      </c>
    </row>
    <row r="465" spans="1:60" ht="58" x14ac:dyDescent="0.35">
      <c r="A465" s="2" t="s">
        <v>59</v>
      </c>
      <c r="B465" s="2" t="s">
        <v>60</v>
      </c>
      <c r="C465" s="2" t="s">
        <v>4451</v>
      </c>
      <c r="D465" s="2" t="s">
        <v>4452</v>
      </c>
      <c r="E465" s="2" t="s">
        <v>4453</v>
      </c>
      <c r="G465" s="3" t="s">
        <v>64</v>
      </c>
      <c r="I465" s="3" t="s">
        <v>64</v>
      </c>
      <c r="J465" s="3" t="s">
        <v>64</v>
      </c>
      <c r="K465" s="3" t="s">
        <v>65</v>
      </c>
      <c r="L465" s="2" t="s">
        <v>4454</v>
      </c>
      <c r="M465" s="2" t="s">
        <v>4128</v>
      </c>
      <c r="N465" s="3" t="s">
        <v>326</v>
      </c>
      <c r="P465" s="3" t="s">
        <v>68</v>
      </c>
      <c r="Q465" s="2" t="s">
        <v>4455</v>
      </c>
      <c r="R465" s="3" t="s">
        <v>70</v>
      </c>
      <c r="S465" s="4">
        <v>2</v>
      </c>
      <c r="T465" s="4">
        <v>2</v>
      </c>
      <c r="U465" s="5" t="s">
        <v>3788</v>
      </c>
      <c r="V465" s="5" t="s">
        <v>3788</v>
      </c>
      <c r="W465" s="5" t="s">
        <v>72</v>
      </c>
      <c r="X465" s="5" t="s">
        <v>72</v>
      </c>
      <c r="Y465" s="4">
        <v>42</v>
      </c>
      <c r="Z465" s="4">
        <v>6</v>
      </c>
      <c r="AA465" s="4">
        <v>10</v>
      </c>
      <c r="AB465" s="4">
        <v>2</v>
      </c>
      <c r="AC465" s="4">
        <v>5</v>
      </c>
      <c r="AD465" s="4">
        <v>20</v>
      </c>
      <c r="AE465" s="4">
        <v>25</v>
      </c>
      <c r="AF465" s="4">
        <v>0</v>
      </c>
      <c r="AG465" s="4">
        <v>3</v>
      </c>
      <c r="AH465" s="4">
        <v>19</v>
      </c>
      <c r="AI465" s="4">
        <v>22</v>
      </c>
      <c r="AJ465" s="4">
        <v>2</v>
      </c>
      <c r="AK465" s="4">
        <v>6</v>
      </c>
      <c r="AL465" s="4">
        <v>16</v>
      </c>
      <c r="AM465" s="4">
        <v>17</v>
      </c>
      <c r="AN465" s="4">
        <v>0</v>
      </c>
      <c r="AO465" s="4">
        <v>0</v>
      </c>
      <c r="AP465" s="4">
        <v>2</v>
      </c>
      <c r="AQ465" s="4">
        <v>5</v>
      </c>
      <c r="AR465" s="3" t="s">
        <v>64</v>
      </c>
      <c r="AS465" s="3" t="s">
        <v>64</v>
      </c>
      <c r="AT465" s="3" t="s">
        <v>64</v>
      </c>
      <c r="AV465" s="6" t="str">
        <f>HYPERLINK("http://mcgill.on.worldcat.org/oclc/746303404","Catalog Record")</f>
        <v>Catalog Record</v>
      </c>
      <c r="AW465" s="6" t="str">
        <f>HYPERLINK("http://www.worldcat.org/oclc/746303404","WorldCat Record")</f>
        <v>WorldCat Record</v>
      </c>
      <c r="AX465" s="3" t="s">
        <v>4456</v>
      </c>
      <c r="AY465" s="3" t="s">
        <v>4457</v>
      </c>
      <c r="AZ465" s="3" t="s">
        <v>4458</v>
      </c>
      <c r="BA465" s="3" t="s">
        <v>4458</v>
      </c>
      <c r="BB465" s="3" t="s">
        <v>4459</v>
      </c>
      <c r="BC465" s="3" t="s">
        <v>77</v>
      </c>
      <c r="BD465" s="3" t="s">
        <v>78</v>
      </c>
      <c r="BE465" s="3" t="s">
        <v>4460</v>
      </c>
      <c r="BF465" s="3" t="s">
        <v>4459</v>
      </c>
      <c r="BG465" s="3" t="s">
        <v>4461</v>
      </c>
      <c r="BH465">
        <f t="shared" si="17"/>
        <v>0</v>
      </c>
    </row>
    <row r="466" spans="1:60" ht="58" x14ac:dyDescent="0.35">
      <c r="A466" s="2" t="s">
        <v>59</v>
      </c>
      <c r="B466" s="2" t="s">
        <v>60</v>
      </c>
      <c r="C466" s="2" t="s">
        <v>4462</v>
      </c>
      <c r="D466" s="2" t="s">
        <v>4463</v>
      </c>
      <c r="E466" s="2" t="s">
        <v>4464</v>
      </c>
      <c r="G466" s="3" t="s">
        <v>64</v>
      </c>
      <c r="I466" s="3" t="s">
        <v>64</v>
      </c>
      <c r="J466" s="3" t="s">
        <v>64</v>
      </c>
      <c r="K466" s="3" t="s">
        <v>65</v>
      </c>
      <c r="L466" s="2" t="s">
        <v>4465</v>
      </c>
      <c r="M466" s="2" t="s">
        <v>1225</v>
      </c>
      <c r="N466" s="3" t="s">
        <v>326</v>
      </c>
      <c r="P466" s="3" t="s">
        <v>102</v>
      </c>
      <c r="Q466" s="2" t="s">
        <v>4466</v>
      </c>
      <c r="R466" s="3" t="s">
        <v>70</v>
      </c>
      <c r="S466" s="4">
        <v>1</v>
      </c>
      <c r="T466" s="4">
        <v>1</v>
      </c>
      <c r="U466" s="5" t="s">
        <v>4467</v>
      </c>
      <c r="V466" s="5" t="s">
        <v>4467</v>
      </c>
      <c r="W466" s="5" t="s">
        <v>72</v>
      </c>
      <c r="X466" s="5" t="s">
        <v>72</v>
      </c>
      <c r="Y466" s="4">
        <v>81</v>
      </c>
      <c r="Z466" s="4">
        <v>9</v>
      </c>
      <c r="AA466" s="4">
        <v>88</v>
      </c>
      <c r="AB466" s="4">
        <v>1</v>
      </c>
      <c r="AC466" s="4">
        <v>17</v>
      </c>
      <c r="AD466" s="4">
        <v>34</v>
      </c>
      <c r="AE466" s="4">
        <v>111</v>
      </c>
      <c r="AF466" s="4">
        <v>0</v>
      </c>
      <c r="AG466" s="4">
        <v>8</v>
      </c>
      <c r="AH466" s="4">
        <v>32</v>
      </c>
      <c r="AI466" s="4">
        <v>77</v>
      </c>
      <c r="AJ466" s="4">
        <v>4</v>
      </c>
      <c r="AK466" s="4">
        <v>20</v>
      </c>
      <c r="AL466" s="4">
        <v>19</v>
      </c>
      <c r="AM466" s="4">
        <v>39</v>
      </c>
      <c r="AN466" s="4">
        <v>0</v>
      </c>
      <c r="AO466" s="4">
        <v>0</v>
      </c>
      <c r="AP466" s="4">
        <v>5</v>
      </c>
      <c r="AQ466" s="4">
        <v>41</v>
      </c>
      <c r="AR466" s="3" t="s">
        <v>64</v>
      </c>
      <c r="AS466" s="3" t="s">
        <v>64</v>
      </c>
      <c r="AT466" s="3" t="s">
        <v>64</v>
      </c>
      <c r="AV466" s="6" t="str">
        <f>HYPERLINK("http://mcgill.on.worldcat.org/oclc/720259166","Catalog Record")</f>
        <v>Catalog Record</v>
      </c>
      <c r="AW466" s="6" t="str">
        <f>HYPERLINK("http://www.worldcat.org/oclc/720259166","WorldCat Record")</f>
        <v>WorldCat Record</v>
      </c>
      <c r="AX466" s="3" t="s">
        <v>4468</v>
      </c>
      <c r="AY466" s="3" t="s">
        <v>4469</v>
      </c>
      <c r="AZ466" s="3" t="s">
        <v>4470</v>
      </c>
      <c r="BA466" s="3" t="s">
        <v>4470</v>
      </c>
      <c r="BB466" s="3" t="s">
        <v>4471</v>
      </c>
      <c r="BC466" s="3" t="s">
        <v>77</v>
      </c>
      <c r="BD466" s="3" t="s">
        <v>78</v>
      </c>
      <c r="BE466" s="3" t="s">
        <v>4472</v>
      </c>
      <c r="BF466" s="3" t="s">
        <v>4471</v>
      </c>
      <c r="BG466" s="3" t="s">
        <v>4473</v>
      </c>
      <c r="BH466">
        <f t="shared" si="17"/>
        <v>0</v>
      </c>
    </row>
    <row r="467" spans="1:60" ht="72.5" x14ac:dyDescent="0.35">
      <c r="A467" s="2" t="s">
        <v>59</v>
      </c>
      <c r="B467" s="2" t="s">
        <v>60</v>
      </c>
      <c r="C467" s="2" t="s">
        <v>4474</v>
      </c>
      <c r="D467" s="2" t="s">
        <v>4475</v>
      </c>
      <c r="E467" s="2" t="s">
        <v>4476</v>
      </c>
      <c r="F467" s="3" t="s">
        <v>4477</v>
      </c>
      <c r="G467" s="3" t="s">
        <v>64</v>
      </c>
      <c r="I467" s="3" t="s">
        <v>64</v>
      </c>
      <c r="J467" s="3" t="s">
        <v>64</v>
      </c>
      <c r="K467" s="3" t="s">
        <v>65</v>
      </c>
      <c r="L467" s="2" t="s">
        <v>4478</v>
      </c>
      <c r="M467" s="2" t="s">
        <v>4479</v>
      </c>
      <c r="N467" s="3" t="s">
        <v>3761</v>
      </c>
      <c r="P467" s="3" t="s">
        <v>68</v>
      </c>
      <c r="Q467" s="2" t="s">
        <v>4480</v>
      </c>
      <c r="R467" s="3" t="s">
        <v>70</v>
      </c>
      <c r="S467" s="4">
        <v>1</v>
      </c>
      <c r="T467" s="4">
        <v>1</v>
      </c>
      <c r="U467" s="5" t="s">
        <v>4481</v>
      </c>
      <c r="V467" s="5" t="s">
        <v>4481</v>
      </c>
      <c r="W467" s="5" t="s">
        <v>72</v>
      </c>
      <c r="X467" s="5" t="s">
        <v>72</v>
      </c>
      <c r="Y467" s="4">
        <v>127</v>
      </c>
      <c r="Z467" s="4">
        <v>15</v>
      </c>
      <c r="AA467" s="4">
        <v>16</v>
      </c>
      <c r="AB467" s="4">
        <v>1</v>
      </c>
      <c r="AC467" s="4">
        <v>2</v>
      </c>
      <c r="AD467" s="4">
        <v>64</v>
      </c>
      <c r="AE467" s="4">
        <v>65</v>
      </c>
      <c r="AF467" s="4">
        <v>0</v>
      </c>
      <c r="AG467" s="4">
        <v>1</v>
      </c>
      <c r="AH467" s="4">
        <v>59</v>
      </c>
      <c r="AI467" s="4">
        <v>60</v>
      </c>
      <c r="AJ467" s="4">
        <v>10</v>
      </c>
      <c r="AK467" s="4">
        <v>11</v>
      </c>
      <c r="AL467" s="4">
        <v>30</v>
      </c>
      <c r="AM467" s="4">
        <v>30</v>
      </c>
      <c r="AN467" s="4">
        <v>0</v>
      </c>
      <c r="AO467" s="4">
        <v>0</v>
      </c>
      <c r="AP467" s="4">
        <v>11</v>
      </c>
      <c r="AQ467" s="4">
        <v>12</v>
      </c>
      <c r="AR467" s="3" t="s">
        <v>64</v>
      </c>
      <c r="AS467" s="3" t="s">
        <v>64</v>
      </c>
      <c r="AT467" s="3" t="s">
        <v>128</v>
      </c>
      <c r="AU467" s="6" t="str">
        <f>HYPERLINK("http://catalog.hathitrust.org/Record/001175290","HathiTrust Record")</f>
        <v>HathiTrust Record</v>
      </c>
      <c r="AV467" s="6" t="str">
        <f>HYPERLINK("http://mcgill.on.worldcat.org/oclc/311297","Catalog Record")</f>
        <v>Catalog Record</v>
      </c>
      <c r="AW467" s="6" t="str">
        <f>HYPERLINK("http://www.worldcat.org/oclc/311297","WorldCat Record")</f>
        <v>WorldCat Record</v>
      </c>
      <c r="AX467" s="3" t="s">
        <v>4482</v>
      </c>
      <c r="AY467" s="3" t="s">
        <v>4483</v>
      </c>
      <c r="AZ467" s="3" t="s">
        <v>4484</v>
      </c>
      <c r="BA467" s="3" t="s">
        <v>4484</v>
      </c>
      <c r="BB467" s="3" t="s">
        <v>4485</v>
      </c>
      <c r="BC467" s="3" t="s">
        <v>77</v>
      </c>
      <c r="BD467" s="3" t="s">
        <v>78</v>
      </c>
      <c r="BF467" s="3" t="s">
        <v>4485</v>
      </c>
      <c r="BG467" s="3" t="s">
        <v>4486</v>
      </c>
      <c r="BH467">
        <f t="shared" si="17"/>
        <v>0</v>
      </c>
    </row>
    <row r="468" spans="1:60" ht="58" x14ac:dyDescent="0.35">
      <c r="A468" s="2" t="s">
        <v>59</v>
      </c>
      <c r="B468" s="2" t="s">
        <v>60</v>
      </c>
      <c r="C468" s="2" t="s">
        <v>4487</v>
      </c>
      <c r="D468" s="2" t="s">
        <v>4488</v>
      </c>
      <c r="E468" s="2" t="s">
        <v>4489</v>
      </c>
      <c r="G468" s="3" t="s">
        <v>64</v>
      </c>
      <c r="I468" s="3" t="s">
        <v>64</v>
      </c>
      <c r="J468" s="3" t="s">
        <v>64</v>
      </c>
      <c r="K468" s="3" t="s">
        <v>65</v>
      </c>
      <c r="M468" s="2" t="s">
        <v>4490</v>
      </c>
      <c r="N468" s="3" t="s">
        <v>578</v>
      </c>
      <c r="P468" s="3" t="s">
        <v>68</v>
      </c>
      <c r="Q468" s="2" t="s">
        <v>4491</v>
      </c>
      <c r="R468" s="3" t="s">
        <v>70</v>
      </c>
      <c r="S468" s="4">
        <v>1</v>
      </c>
      <c r="T468" s="4">
        <v>1</v>
      </c>
      <c r="W468" s="5" t="s">
        <v>72</v>
      </c>
      <c r="X468" s="5" t="s">
        <v>72</v>
      </c>
      <c r="Y468" s="4">
        <v>34</v>
      </c>
      <c r="Z468" s="4">
        <v>2</v>
      </c>
      <c r="AA468" s="4">
        <v>4</v>
      </c>
      <c r="AB468" s="4">
        <v>1</v>
      </c>
      <c r="AC468" s="4">
        <v>2</v>
      </c>
      <c r="AD468" s="4">
        <v>19</v>
      </c>
      <c r="AE468" s="4">
        <v>21</v>
      </c>
      <c r="AF468" s="4">
        <v>0</v>
      </c>
      <c r="AG468" s="4">
        <v>1</v>
      </c>
      <c r="AH468" s="4">
        <v>19</v>
      </c>
      <c r="AI468" s="4">
        <v>20</v>
      </c>
      <c r="AJ468" s="4">
        <v>1</v>
      </c>
      <c r="AK468" s="4">
        <v>3</v>
      </c>
      <c r="AL468" s="4">
        <v>12</v>
      </c>
      <c r="AM468" s="4">
        <v>12</v>
      </c>
      <c r="AN468" s="4">
        <v>0</v>
      </c>
      <c r="AO468" s="4">
        <v>0</v>
      </c>
      <c r="AP468" s="4">
        <v>1</v>
      </c>
      <c r="AQ468" s="4">
        <v>2</v>
      </c>
      <c r="AR468" s="3" t="s">
        <v>64</v>
      </c>
      <c r="AS468" s="3" t="s">
        <v>64</v>
      </c>
      <c r="AT468" s="3" t="s">
        <v>64</v>
      </c>
      <c r="AV468" s="6" t="str">
        <f>HYPERLINK("http://mcgill.on.worldcat.org/oclc/993440285","Catalog Record")</f>
        <v>Catalog Record</v>
      </c>
      <c r="AW468" s="6" t="str">
        <f>HYPERLINK("http://www.worldcat.org/oclc/993440285","WorldCat Record")</f>
        <v>WorldCat Record</v>
      </c>
      <c r="AX468" s="3" t="s">
        <v>4492</v>
      </c>
      <c r="AY468" s="3" t="s">
        <v>4493</v>
      </c>
      <c r="AZ468" s="3" t="s">
        <v>4494</v>
      </c>
      <c r="BA468" s="3" t="s">
        <v>4494</v>
      </c>
      <c r="BB468" s="3" t="s">
        <v>4495</v>
      </c>
      <c r="BC468" s="3" t="s">
        <v>77</v>
      </c>
      <c r="BD468" s="3" t="s">
        <v>165</v>
      </c>
      <c r="BE468" s="3" t="s">
        <v>4496</v>
      </c>
      <c r="BF468" s="3" t="s">
        <v>4495</v>
      </c>
      <c r="BG468" s="3" t="s">
        <v>4497</v>
      </c>
      <c r="BH468">
        <f t="shared" si="17"/>
        <v>0</v>
      </c>
    </row>
    <row r="469" spans="1:60" ht="72.5" x14ac:dyDescent="0.35">
      <c r="A469" s="2" t="s">
        <v>59</v>
      </c>
      <c r="B469" s="2" t="s">
        <v>60</v>
      </c>
      <c r="C469" s="2" t="s">
        <v>4498</v>
      </c>
      <c r="D469" s="2" t="s">
        <v>4499</v>
      </c>
      <c r="E469" s="2" t="s">
        <v>4500</v>
      </c>
      <c r="G469" s="3" t="s">
        <v>64</v>
      </c>
      <c r="I469" s="3" t="s">
        <v>64</v>
      </c>
      <c r="J469" s="3" t="s">
        <v>64</v>
      </c>
      <c r="K469" s="3" t="s">
        <v>65</v>
      </c>
      <c r="M469" s="2" t="s">
        <v>2256</v>
      </c>
      <c r="N469" s="3" t="s">
        <v>578</v>
      </c>
      <c r="P469" s="3" t="s">
        <v>68</v>
      </c>
      <c r="Q469" s="2" t="s">
        <v>4501</v>
      </c>
      <c r="R469" s="3" t="s">
        <v>70</v>
      </c>
      <c r="S469" s="4">
        <v>0</v>
      </c>
      <c r="T469" s="4">
        <v>0</v>
      </c>
      <c r="W469" s="5" t="s">
        <v>4502</v>
      </c>
      <c r="X469" s="5" t="s">
        <v>4502</v>
      </c>
      <c r="Y469" s="4">
        <v>42</v>
      </c>
      <c r="Z469" s="4">
        <v>2</v>
      </c>
      <c r="AA469" s="4">
        <v>3</v>
      </c>
      <c r="AB469" s="4">
        <v>1</v>
      </c>
      <c r="AC469" s="4">
        <v>2</v>
      </c>
      <c r="AD469" s="4">
        <v>17</v>
      </c>
      <c r="AE469" s="4">
        <v>18</v>
      </c>
      <c r="AF469" s="4">
        <v>0</v>
      </c>
      <c r="AG469" s="4">
        <v>1</v>
      </c>
      <c r="AH469" s="4">
        <v>16</v>
      </c>
      <c r="AI469" s="4">
        <v>16</v>
      </c>
      <c r="AJ469" s="4">
        <v>1</v>
      </c>
      <c r="AK469" s="4">
        <v>2</v>
      </c>
      <c r="AL469" s="4">
        <v>14</v>
      </c>
      <c r="AM469" s="4">
        <v>14</v>
      </c>
      <c r="AN469" s="4">
        <v>0</v>
      </c>
      <c r="AO469" s="4">
        <v>0</v>
      </c>
      <c r="AP469" s="4">
        <v>1</v>
      </c>
      <c r="AQ469" s="4">
        <v>1</v>
      </c>
      <c r="AR469" s="3" t="s">
        <v>64</v>
      </c>
      <c r="AS469" s="3" t="s">
        <v>64</v>
      </c>
      <c r="AT469" s="3" t="s">
        <v>64</v>
      </c>
      <c r="AV469" s="6" t="str">
        <f>HYPERLINK("http://mcgill.on.worldcat.org/oclc/967849997","Catalog Record")</f>
        <v>Catalog Record</v>
      </c>
      <c r="AW469" s="6" t="str">
        <f>HYPERLINK("http://www.worldcat.org/oclc/967849997","WorldCat Record")</f>
        <v>WorldCat Record</v>
      </c>
      <c r="AX469" s="3" t="s">
        <v>4503</v>
      </c>
      <c r="AY469" s="3" t="s">
        <v>4504</v>
      </c>
      <c r="AZ469" s="3" t="s">
        <v>4505</v>
      </c>
      <c r="BA469" s="3" t="s">
        <v>4505</v>
      </c>
      <c r="BB469" s="3" t="s">
        <v>4506</v>
      </c>
      <c r="BC469" s="3" t="s">
        <v>77</v>
      </c>
      <c r="BD469" s="3" t="s">
        <v>78</v>
      </c>
      <c r="BE469" s="3" t="s">
        <v>4507</v>
      </c>
      <c r="BF469" s="3" t="s">
        <v>4506</v>
      </c>
      <c r="BG469" s="3" t="s">
        <v>4508</v>
      </c>
      <c r="BH469">
        <f t="shared" si="17"/>
        <v>0</v>
      </c>
    </row>
    <row r="470" spans="1:60" ht="58" x14ac:dyDescent="0.35">
      <c r="A470" s="2" t="s">
        <v>59</v>
      </c>
      <c r="B470" s="2" t="s">
        <v>60</v>
      </c>
      <c r="C470" s="2" t="s">
        <v>4509</v>
      </c>
      <c r="D470" s="2" t="s">
        <v>4510</v>
      </c>
      <c r="E470" s="2" t="s">
        <v>4511</v>
      </c>
      <c r="G470" s="3" t="s">
        <v>64</v>
      </c>
      <c r="I470" s="3" t="s">
        <v>64</v>
      </c>
      <c r="J470" s="3" t="s">
        <v>64</v>
      </c>
      <c r="K470" s="3" t="s">
        <v>65</v>
      </c>
      <c r="L470" s="2" t="s">
        <v>4512</v>
      </c>
      <c r="M470" s="2" t="s">
        <v>4513</v>
      </c>
      <c r="N470" s="3" t="s">
        <v>291</v>
      </c>
      <c r="P470" s="3" t="s">
        <v>944</v>
      </c>
      <c r="Q470" s="2" t="s">
        <v>4514</v>
      </c>
      <c r="R470" s="3" t="s">
        <v>70</v>
      </c>
      <c r="S470" s="4">
        <v>2</v>
      </c>
      <c r="T470" s="4">
        <v>2</v>
      </c>
      <c r="U470" s="5" t="s">
        <v>2534</v>
      </c>
      <c r="V470" s="5" t="s">
        <v>2534</v>
      </c>
      <c r="W470" s="5" t="s">
        <v>72</v>
      </c>
      <c r="X470" s="5" t="s">
        <v>72</v>
      </c>
      <c r="Y470" s="4">
        <v>102</v>
      </c>
      <c r="Z470" s="4">
        <v>4</v>
      </c>
      <c r="AA470" s="4">
        <v>5</v>
      </c>
      <c r="AB470" s="4">
        <v>1</v>
      </c>
      <c r="AC470" s="4">
        <v>1</v>
      </c>
      <c r="AD470" s="4">
        <v>25</v>
      </c>
      <c r="AE470" s="4">
        <v>30</v>
      </c>
      <c r="AF470" s="4">
        <v>0</v>
      </c>
      <c r="AG470" s="4">
        <v>0</v>
      </c>
      <c r="AH470" s="4">
        <v>24</v>
      </c>
      <c r="AI470" s="4">
        <v>29</v>
      </c>
      <c r="AJ470" s="4">
        <v>1</v>
      </c>
      <c r="AK470" s="4">
        <v>2</v>
      </c>
      <c r="AL470" s="4">
        <v>22</v>
      </c>
      <c r="AM470" s="4">
        <v>25</v>
      </c>
      <c r="AN470" s="4">
        <v>0</v>
      </c>
      <c r="AO470" s="4">
        <v>0</v>
      </c>
      <c r="AP470" s="4">
        <v>1</v>
      </c>
      <c r="AQ470" s="4">
        <v>2</v>
      </c>
      <c r="AR470" s="3" t="s">
        <v>64</v>
      </c>
      <c r="AS470" s="3" t="s">
        <v>64</v>
      </c>
      <c r="AT470" s="3" t="s">
        <v>128</v>
      </c>
      <c r="AU470" s="6" t="str">
        <f>HYPERLINK("http://catalog.hathitrust.org/Record/005584816","HathiTrust Record")</f>
        <v>HathiTrust Record</v>
      </c>
      <c r="AV470" s="6" t="str">
        <f>HYPERLINK("http://mcgill.on.worldcat.org/oclc/133048076","Catalog Record")</f>
        <v>Catalog Record</v>
      </c>
      <c r="AW470" s="6" t="str">
        <f>HYPERLINK("http://www.worldcat.org/oclc/133048076","WorldCat Record")</f>
        <v>WorldCat Record</v>
      </c>
      <c r="AX470" s="3" t="s">
        <v>4515</v>
      </c>
      <c r="AY470" s="3" t="s">
        <v>4516</v>
      </c>
      <c r="AZ470" s="3" t="s">
        <v>4517</v>
      </c>
      <c r="BA470" s="3" t="s">
        <v>4517</v>
      </c>
      <c r="BB470" s="3" t="s">
        <v>4518</v>
      </c>
      <c r="BC470" s="3" t="s">
        <v>77</v>
      </c>
      <c r="BD470" s="3" t="s">
        <v>78</v>
      </c>
      <c r="BE470" s="3" t="s">
        <v>4519</v>
      </c>
      <c r="BF470" s="3" t="s">
        <v>4518</v>
      </c>
      <c r="BG470" s="3" t="s">
        <v>4520</v>
      </c>
      <c r="BH470">
        <f t="shared" si="17"/>
        <v>0</v>
      </c>
    </row>
    <row r="471" spans="1:60" ht="58" x14ac:dyDescent="0.35">
      <c r="A471" s="2" t="s">
        <v>59</v>
      </c>
      <c r="B471" s="2" t="s">
        <v>60</v>
      </c>
      <c r="C471" s="2" t="s">
        <v>4521</v>
      </c>
      <c r="D471" s="2" t="s">
        <v>4522</v>
      </c>
      <c r="E471" s="2" t="s">
        <v>4523</v>
      </c>
      <c r="G471" s="3" t="s">
        <v>64</v>
      </c>
      <c r="I471" s="3" t="s">
        <v>64</v>
      </c>
      <c r="J471" s="3" t="s">
        <v>128</v>
      </c>
      <c r="K471" s="3" t="s">
        <v>65</v>
      </c>
      <c r="L471" s="2" t="s">
        <v>4524</v>
      </c>
      <c r="M471" s="2" t="s">
        <v>4525</v>
      </c>
      <c r="N471" s="3" t="s">
        <v>481</v>
      </c>
      <c r="O471" s="2" t="s">
        <v>172</v>
      </c>
      <c r="P471" s="3" t="s">
        <v>102</v>
      </c>
      <c r="R471" s="3" t="s">
        <v>70</v>
      </c>
      <c r="S471" s="4">
        <v>18</v>
      </c>
      <c r="T471" s="4">
        <v>18</v>
      </c>
      <c r="U471" s="5" t="s">
        <v>4526</v>
      </c>
      <c r="V471" s="5" t="s">
        <v>4526</v>
      </c>
      <c r="W471" s="5" t="s">
        <v>72</v>
      </c>
      <c r="X471" s="5" t="s">
        <v>72</v>
      </c>
      <c r="Y471" s="4">
        <v>380</v>
      </c>
      <c r="Z471" s="4">
        <v>24</v>
      </c>
      <c r="AA471" s="4">
        <v>30</v>
      </c>
      <c r="AB471" s="4">
        <v>2</v>
      </c>
      <c r="AC471" s="4">
        <v>3</v>
      </c>
      <c r="AD471" s="4">
        <v>82</v>
      </c>
      <c r="AE471" s="4">
        <v>90</v>
      </c>
      <c r="AF471" s="4">
        <v>1</v>
      </c>
      <c r="AG471" s="4">
        <v>2</v>
      </c>
      <c r="AH471" s="4">
        <v>68</v>
      </c>
      <c r="AI471" s="4">
        <v>72</v>
      </c>
      <c r="AJ471" s="4">
        <v>13</v>
      </c>
      <c r="AK471" s="4">
        <v>15</v>
      </c>
      <c r="AL471" s="4">
        <v>41</v>
      </c>
      <c r="AM471" s="4">
        <v>43</v>
      </c>
      <c r="AN471" s="4">
        <v>0</v>
      </c>
      <c r="AO471" s="4">
        <v>0</v>
      </c>
      <c r="AP471" s="4">
        <v>19</v>
      </c>
      <c r="AQ471" s="4">
        <v>23</v>
      </c>
      <c r="AR471" s="3" t="s">
        <v>64</v>
      </c>
      <c r="AS471" s="3" t="s">
        <v>64</v>
      </c>
      <c r="AT471" s="3" t="s">
        <v>64</v>
      </c>
      <c r="AV471" s="6" t="str">
        <f>HYPERLINK("http://mcgill.on.worldcat.org/oclc/13868","Catalog Record")</f>
        <v>Catalog Record</v>
      </c>
      <c r="AW471" s="6" t="str">
        <f>HYPERLINK("http://www.worldcat.org/oclc/13868","WorldCat Record")</f>
        <v>WorldCat Record</v>
      </c>
      <c r="AX471" s="3" t="s">
        <v>4527</v>
      </c>
      <c r="AY471" s="3" t="s">
        <v>4528</v>
      </c>
      <c r="AZ471" s="3" t="s">
        <v>4529</v>
      </c>
      <c r="BA471" s="3" t="s">
        <v>4529</v>
      </c>
      <c r="BB471" s="3" t="s">
        <v>4530</v>
      </c>
      <c r="BC471" s="3" t="s">
        <v>77</v>
      </c>
      <c r="BD471" s="3" t="s">
        <v>78</v>
      </c>
      <c r="BE471" s="3" t="s">
        <v>4531</v>
      </c>
      <c r="BF471" s="3" t="s">
        <v>4530</v>
      </c>
      <c r="BG471" s="3" t="s">
        <v>4532</v>
      </c>
      <c r="BH471">
        <f t="shared" si="17"/>
        <v>0</v>
      </c>
    </row>
    <row r="472" spans="1:60" ht="58" x14ac:dyDescent="0.35">
      <c r="A472" s="2" t="s">
        <v>59</v>
      </c>
      <c r="B472" s="2" t="s">
        <v>60</v>
      </c>
      <c r="C472" s="2" t="s">
        <v>4533</v>
      </c>
      <c r="D472" s="2" t="s">
        <v>4534</v>
      </c>
      <c r="E472" s="2" t="s">
        <v>4535</v>
      </c>
      <c r="G472" s="3" t="s">
        <v>64</v>
      </c>
      <c r="I472" s="3" t="s">
        <v>64</v>
      </c>
      <c r="J472" s="3" t="s">
        <v>64</v>
      </c>
      <c r="K472" s="3" t="s">
        <v>65</v>
      </c>
      <c r="L472" s="2" t="s">
        <v>4536</v>
      </c>
      <c r="M472" s="2" t="s">
        <v>4537</v>
      </c>
      <c r="N472" s="3" t="s">
        <v>1004</v>
      </c>
      <c r="P472" s="3" t="s">
        <v>102</v>
      </c>
      <c r="R472" s="3" t="s">
        <v>70</v>
      </c>
      <c r="S472" s="4">
        <v>3</v>
      </c>
      <c r="T472" s="4">
        <v>3</v>
      </c>
      <c r="U472" s="5" t="s">
        <v>2069</v>
      </c>
      <c r="V472" s="5" t="s">
        <v>2069</v>
      </c>
      <c r="W472" s="5" t="s">
        <v>72</v>
      </c>
      <c r="X472" s="5" t="s">
        <v>72</v>
      </c>
      <c r="Y472" s="4">
        <v>230</v>
      </c>
      <c r="Z472" s="4">
        <v>10</v>
      </c>
      <c r="AA472" s="4">
        <v>10</v>
      </c>
      <c r="AB472" s="4">
        <v>1</v>
      </c>
      <c r="AC472" s="4">
        <v>1</v>
      </c>
      <c r="AD472" s="4">
        <v>90</v>
      </c>
      <c r="AE472" s="4">
        <v>90</v>
      </c>
      <c r="AF472" s="4">
        <v>0</v>
      </c>
      <c r="AG472" s="4">
        <v>0</v>
      </c>
      <c r="AH472" s="4">
        <v>83</v>
      </c>
      <c r="AI472" s="4">
        <v>83</v>
      </c>
      <c r="AJ472" s="4">
        <v>7</v>
      </c>
      <c r="AK472" s="4">
        <v>7</v>
      </c>
      <c r="AL472" s="4">
        <v>47</v>
      </c>
      <c r="AM472" s="4">
        <v>47</v>
      </c>
      <c r="AN472" s="4">
        <v>0</v>
      </c>
      <c r="AO472" s="4">
        <v>0</v>
      </c>
      <c r="AP472" s="4">
        <v>7</v>
      </c>
      <c r="AQ472" s="4">
        <v>7</v>
      </c>
      <c r="AR472" s="3" t="s">
        <v>64</v>
      </c>
      <c r="AS472" s="3" t="s">
        <v>64</v>
      </c>
      <c r="AT472" s="3" t="s">
        <v>128</v>
      </c>
      <c r="AU472" s="6" t="str">
        <f>HYPERLINK("http://catalog.hathitrust.org/Record/000118996","HathiTrust Record")</f>
        <v>HathiTrust Record</v>
      </c>
      <c r="AV472" s="6" t="str">
        <f>HYPERLINK("http://mcgill.on.worldcat.org/oclc/9685679","Catalog Record")</f>
        <v>Catalog Record</v>
      </c>
      <c r="AW472" s="6" t="str">
        <f>HYPERLINK("http://www.worldcat.org/oclc/9685679","WorldCat Record")</f>
        <v>WorldCat Record</v>
      </c>
      <c r="AX472" s="3" t="s">
        <v>4538</v>
      </c>
      <c r="AY472" s="3" t="s">
        <v>4539</v>
      </c>
      <c r="AZ472" s="3" t="s">
        <v>4540</v>
      </c>
      <c r="BA472" s="3" t="s">
        <v>4540</v>
      </c>
      <c r="BB472" s="3" t="s">
        <v>4541</v>
      </c>
      <c r="BC472" s="3" t="s">
        <v>77</v>
      </c>
      <c r="BD472" s="3" t="s">
        <v>78</v>
      </c>
      <c r="BE472" s="3" t="s">
        <v>4542</v>
      </c>
      <c r="BF472" s="3" t="s">
        <v>4541</v>
      </c>
      <c r="BG472" s="3" t="s">
        <v>4543</v>
      </c>
      <c r="BH472">
        <f t="shared" si="17"/>
        <v>0</v>
      </c>
    </row>
    <row r="473" spans="1:60" ht="58" x14ac:dyDescent="0.35">
      <c r="A473" s="2" t="s">
        <v>59</v>
      </c>
      <c r="B473" s="2" t="s">
        <v>60</v>
      </c>
      <c r="C473" s="2" t="s">
        <v>4544</v>
      </c>
      <c r="D473" s="2" t="s">
        <v>4545</v>
      </c>
      <c r="E473" s="2" t="s">
        <v>4546</v>
      </c>
      <c r="G473" s="3" t="s">
        <v>64</v>
      </c>
      <c r="I473" s="3" t="s">
        <v>128</v>
      </c>
      <c r="J473" s="3" t="s">
        <v>64</v>
      </c>
      <c r="K473" s="3" t="s">
        <v>65</v>
      </c>
      <c r="L473" s="2" t="s">
        <v>3969</v>
      </c>
      <c r="M473" s="2" t="s">
        <v>4547</v>
      </c>
      <c r="N473" s="3" t="s">
        <v>4548</v>
      </c>
      <c r="P473" s="3" t="s">
        <v>102</v>
      </c>
      <c r="R473" s="3" t="s">
        <v>70</v>
      </c>
      <c r="S473" s="4">
        <v>30</v>
      </c>
      <c r="T473" s="4">
        <v>40</v>
      </c>
      <c r="U473" s="5" t="s">
        <v>626</v>
      </c>
      <c r="V473" s="5" t="s">
        <v>626</v>
      </c>
      <c r="W473" s="5" t="s">
        <v>72</v>
      </c>
      <c r="X473" s="5" t="s">
        <v>72</v>
      </c>
      <c r="Y473" s="4">
        <v>294</v>
      </c>
      <c r="Z473" s="4">
        <v>33</v>
      </c>
      <c r="AA473" s="4">
        <v>45</v>
      </c>
      <c r="AB473" s="4">
        <v>2</v>
      </c>
      <c r="AC473" s="4">
        <v>5</v>
      </c>
      <c r="AD473" s="4">
        <v>82</v>
      </c>
      <c r="AE473" s="4">
        <v>127</v>
      </c>
      <c r="AF473" s="4">
        <v>1</v>
      </c>
      <c r="AG473" s="4">
        <v>3</v>
      </c>
      <c r="AH473" s="4">
        <v>68</v>
      </c>
      <c r="AI473" s="4">
        <v>106</v>
      </c>
      <c r="AJ473" s="4">
        <v>20</v>
      </c>
      <c r="AK473" s="4">
        <v>25</v>
      </c>
      <c r="AL473" s="4">
        <v>37</v>
      </c>
      <c r="AM473" s="4">
        <v>60</v>
      </c>
      <c r="AN473" s="4">
        <v>0</v>
      </c>
      <c r="AO473" s="4">
        <v>0</v>
      </c>
      <c r="AP473" s="4">
        <v>21</v>
      </c>
      <c r="AQ473" s="4">
        <v>25</v>
      </c>
      <c r="AR473" s="3" t="s">
        <v>64</v>
      </c>
      <c r="AS473" s="3" t="s">
        <v>64</v>
      </c>
      <c r="AT473" s="3" t="s">
        <v>128</v>
      </c>
      <c r="AU473" s="6" t="str">
        <f>HYPERLINK("http://catalog.hathitrust.org/Record/001175244","HathiTrust Record")</f>
        <v>HathiTrust Record</v>
      </c>
      <c r="AV473" s="6" t="str">
        <f>HYPERLINK("http://mcgill.on.worldcat.org/oclc/1289677","Catalog Record")</f>
        <v>Catalog Record</v>
      </c>
      <c r="AW473" s="6" t="str">
        <f>HYPERLINK("http://www.worldcat.org/oclc/1289677","WorldCat Record")</f>
        <v>WorldCat Record</v>
      </c>
      <c r="AX473" s="3" t="s">
        <v>4549</v>
      </c>
      <c r="AY473" s="3" t="s">
        <v>4550</v>
      </c>
      <c r="AZ473" s="3" t="s">
        <v>4551</v>
      </c>
      <c r="BA473" s="3" t="s">
        <v>4551</v>
      </c>
      <c r="BB473" s="3" t="s">
        <v>4552</v>
      </c>
      <c r="BC473" s="3" t="s">
        <v>77</v>
      </c>
      <c r="BD473" s="3" t="s">
        <v>78</v>
      </c>
      <c r="BF473" s="3" t="s">
        <v>4552</v>
      </c>
      <c r="BG473" s="3" t="s">
        <v>4553</v>
      </c>
      <c r="BH473">
        <f t="shared" si="17"/>
        <v>0</v>
      </c>
    </row>
    <row r="474" spans="1:60" ht="58" x14ac:dyDescent="0.35">
      <c r="A474" s="2" t="s">
        <v>59</v>
      </c>
      <c r="B474" s="2" t="s">
        <v>60</v>
      </c>
      <c r="C474" s="2" t="s">
        <v>4544</v>
      </c>
      <c r="D474" s="2" t="s">
        <v>4545</v>
      </c>
      <c r="E474" s="2" t="s">
        <v>4546</v>
      </c>
      <c r="G474" s="3" t="s">
        <v>64</v>
      </c>
      <c r="I474" s="3" t="s">
        <v>128</v>
      </c>
      <c r="J474" s="3" t="s">
        <v>64</v>
      </c>
      <c r="K474" s="3" t="s">
        <v>65</v>
      </c>
      <c r="L474" s="2" t="s">
        <v>3969</v>
      </c>
      <c r="M474" s="2" t="s">
        <v>4547</v>
      </c>
      <c r="N474" s="3" t="s">
        <v>4548</v>
      </c>
      <c r="P474" s="3" t="s">
        <v>102</v>
      </c>
      <c r="R474" s="3" t="s">
        <v>70</v>
      </c>
      <c r="S474" s="4">
        <v>10</v>
      </c>
      <c r="T474" s="4">
        <v>40</v>
      </c>
      <c r="U474" s="5" t="s">
        <v>4554</v>
      </c>
      <c r="V474" s="5" t="s">
        <v>626</v>
      </c>
      <c r="W474" s="5" t="s">
        <v>72</v>
      </c>
      <c r="X474" s="5" t="s">
        <v>72</v>
      </c>
      <c r="Y474" s="4">
        <v>294</v>
      </c>
      <c r="Z474" s="4">
        <v>33</v>
      </c>
      <c r="AA474" s="4">
        <v>45</v>
      </c>
      <c r="AB474" s="4">
        <v>2</v>
      </c>
      <c r="AC474" s="4">
        <v>5</v>
      </c>
      <c r="AD474" s="4">
        <v>82</v>
      </c>
      <c r="AE474" s="4">
        <v>127</v>
      </c>
      <c r="AF474" s="4">
        <v>1</v>
      </c>
      <c r="AG474" s="4">
        <v>3</v>
      </c>
      <c r="AH474" s="4">
        <v>68</v>
      </c>
      <c r="AI474" s="4">
        <v>106</v>
      </c>
      <c r="AJ474" s="4">
        <v>20</v>
      </c>
      <c r="AK474" s="4">
        <v>25</v>
      </c>
      <c r="AL474" s="4">
        <v>37</v>
      </c>
      <c r="AM474" s="4">
        <v>60</v>
      </c>
      <c r="AN474" s="4">
        <v>0</v>
      </c>
      <c r="AO474" s="4">
        <v>0</v>
      </c>
      <c r="AP474" s="4">
        <v>21</v>
      </c>
      <c r="AQ474" s="4">
        <v>25</v>
      </c>
      <c r="AR474" s="3" t="s">
        <v>64</v>
      </c>
      <c r="AS474" s="3" t="s">
        <v>64</v>
      </c>
      <c r="AT474" s="3" t="s">
        <v>128</v>
      </c>
      <c r="AU474" s="6" t="str">
        <f>HYPERLINK("http://catalog.hathitrust.org/Record/001175244","HathiTrust Record")</f>
        <v>HathiTrust Record</v>
      </c>
      <c r="AV474" s="6" t="str">
        <f>HYPERLINK("http://mcgill.on.worldcat.org/oclc/1289677","Catalog Record")</f>
        <v>Catalog Record</v>
      </c>
      <c r="AW474" s="6" t="str">
        <f>HYPERLINK("http://www.worldcat.org/oclc/1289677","WorldCat Record")</f>
        <v>WorldCat Record</v>
      </c>
      <c r="AX474" s="3" t="s">
        <v>4549</v>
      </c>
      <c r="AY474" s="3" t="s">
        <v>4550</v>
      </c>
      <c r="AZ474" s="3" t="s">
        <v>4551</v>
      </c>
      <c r="BA474" s="3" t="s">
        <v>4551</v>
      </c>
      <c r="BB474" s="3" t="s">
        <v>4555</v>
      </c>
      <c r="BC474" s="3" t="s">
        <v>77</v>
      </c>
      <c r="BD474" s="3" t="s">
        <v>78</v>
      </c>
      <c r="BF474" s="3" t="s">
        <v>4555</v>
      </c>
      <c r="BG474" s="3" t="s">
        <v>4556</v>
      </c>
      <c r="BH474">
        <f t="shared" si="17"/>
        <v>0</v>
      </c>
    </row>
    <row r="475" spans="1:60" ht="72.5" x14ac:dyDescent="0.35">
      <c r="A475" s="2" t="s">
        <v>59</v>
      </c>
      <c r="B475" s="2" t="s">
        <v>60</v>
      </c>
      <c r="C475" s="2" t="s">
        <v>4557</v>
      </c>
      <c r="D475" s="2" t="s">
        <v>4558</v>
      </c>
      <c r="E475" s="2" t="s">
        <v>4559</v>
      </c>
      <c r="G475" s="3" t="s">
        <v>64</v>
      </c>
      <c r="I475" s="3" t="s">
        <v>64</v>
      </c>
      <c r="J475" s="3" t="s">
        <v>128</v>
      </c>
      <c r="K475" s="3" t="s">
        <v>65</v>
      </c>
      <c r="L475" s="2" t="s">
        <v>4560</v>
      </c>
      <c r="M475" s="2" t="s">
        <v>4561</v>
      </c>
      <c r="N475" s="3" t="s">
        <v>315</v>
      </c>
      <c r="P475" s="3" t="s">
        <v>102</v>
      </c>
      <c r="R475" s="3" t="s">
        <v>70</v>
      </c>
      <c r="S475" s="4">
        <v>7</v>
      </c>
      <c r="T475" s="4">
        <v>7</v>
      </c>
      <c r="U475" s="5" t="s">
        <v>4562</v>
      </c>
      <c r="V475" s="5" t="s">
        <v>4562</v>
      </c>
      <c r="W475" s="5" t="s">
        <v>72</v>
      </c>
      <c r="X475" s="5" t="s">
        <v>72</v>
      </c>
      <c r="Y475" s="4">
        <v>152</v>
      </c>
      <c r="Z475" s="4">
        <v>18</v>
      </c>
      <c r="AA475" s="4">
        <v>27</v>
      </c>
      <c r="AB475" s="4">
        <v>1</v>
      </c>
      <c r="AC475" s="4">
        <v>3</v>
      </c>
      <c r="AD475" s="4">
        <v>47</v>
      </c>
      <c r="AE475" s="4">
        <v>110</v>
      </c>
      <c r="AF475" s="4">
        <v>0</v>
      </c>
      <c r="AG475" s="4">
        <v>0</v>
      </c>
      <c r="AH475" s="4">
        <v>42</v>
      </c>
      <c r="AI475" s="4">
        <v>96</v>
      </c>
      <c r="AJ475" s="4">
        <v>10</v>
      </c>
      <c r="AK475" s="4">
        <v>16</v>
      </c>
      <c r="AL475" s="4">
        <v>17</v>
      </c>
      <c r="AM475" s="4">
        <v>56</v>
      </c>
      <c r="AN475" s="4">
        <v>0</v>
      </c>
      <c r="AO475" s="4">
        <v>0</v>
      </c>
      <c r="AP475" s="4">
        <v>12</v>
      </c>
      <c r="AQ475" s="4">
        <v>18</v>
      </c>
      <c r="AR475" s="3" t="s">
        <v>64</v>
      </c>
      <c r="AS475" s="3" t="s">
        <v>64</v>
      </c>
      <c r="AT475" s="3" t="s">
        <v>128</v>
      </c>
      <c r="AU475" s="6" t="str">
        <f>HYPERLINK("http://catalog.hathitrust.org/Record/001159982","HathiTrust Record")</f>
        <v>HathiTrust Record</v>
      </c>
      <c r="AV475" s="6" t="str">
        <f>HYPERLINK("http://mcgill.on.worldcat.org/oclc/61243","Catalog Record")</f>
        <v>Catalog Record</v>
      </c>
      <c r="AW475" s="6" t="str">
        <f>HYPERLINK("http://www.worldcat.org/oclc/61243","WorldCat Record")</f>
        <v>WorldCat Record</v>
      </c>
      <c r="AX475" s="3" t="s">
        <v>4563</v>
      </c>
      <c r="AY475" s="3" t="s">
        <v>4564</v>
      </c>
      <c r="AZ475" s="3" t="s">
        <v>4565</v>
      </c>
      <c r="BA475" s="3" t="s">
        <v>4565</v>
      </c>
      <c r="BB475" s="3" t="s">
        <v>4566</v>
      </c>
      <c r="BC475" s="3" t="s">
        <v>77</v>
      </c>
      <c r="BD475" s="3" t="s">
        <v>78</v>
      </c>
      <c r="BE475" s="3" t="s">
        <v>4567</v>
      </c>
      <c r="BF475" s="3" t="s">
        <v>4566</v>
      </c>
      <c r="BG475" s="3" t="s">
        <v>4568</v>
      </c>
      <c r="BH475">
        <f t="shared" si="17"/>
        <v>0</v>
      </c>
    </row>
    <row r="476" spans="1:60" ht="58" x14ac:dyDescent="0.35">
      <c r="A476" s="2" t="s">
        <v>59</v>
      </c>
      <c r="B476" s="2" t="s">
        <v>60</v>
      </c>
      <c r="C476" s="2" t="s">
        <v>4569</v>
      </c>
      <c r="D476" s="2" t="s">
        <v>4570</v>
      </c>
      <c r="E476" s="2" t="s">
        <v>4571</v>
      </c>
      <c r="G476" s="3" t="s">
        <v>64</v>
      </c>
      <c r="I476" s="3" t="s">
        <v>64</v>
      </c>
      <c r="J476" s="3" t="s">
        <v>64</v>
      </c>
      <c r="K476" s="3" t="s">
        <v>65</v>
      </c>
      <c r="L476" s="2" t="s">
        <v>4572</v>
      </c>
      <c r="M476" s="2" t="s">
        <v>4573</v>
      </c>
      <c r="N476" s="3" t="s">
        <v>511</v>
      </c>
      <c r="P476" s="3" t="s">
        <v>102</v>
      </c>
      <c r="R476" s="3" t="s">
        <v>70</v>
      </c>
      <c r="S476" s="4">
        <v>12</v>
      </c>
      <c r="T476" s="4">
        <v>12</v>
      </c>
      <c r="U476" s="5" t="s">
        <v>4574</v>
      </c>
      <c r="V476" s="5" t="s">
        <v>4574</v>
      </c>
      <c r="W476" s="5" t="s">
        <v>72</v>
      </c>
      <c r="X476" s="5" t="s">
        <v>72</v>
      </c>
      <c r="Y476" s="4">
        <v>230</v>
      </c>
      <c r="Z476" s="4">
        <v>23</v>
      </c>
      <c r="AA476" s="4">
        <v>24</v>
      </c>
      <c r="AB476" s="4">
        <v>2</v>
      </c>
      <c r="AC476" s="4">
        <v>3</v>
      </c>
      <c r="AD476" s="4">
        <v>84</v>
      </c>
      <c r="AE476" s="4">
        <v>85</v>
      </c>
      <c r="AF476" s="4">
        <v>1</v>
      </c>
      <c r="AG476" s="4">
        <v>2</v>
      </c>
      <c r="AH476" s="4">
        <v>73</v>
      </c>
      <c r="AI476" s="4">
        <v>73</v>
      </c>
      <c r="AJ476" s="4">
        <v>15</v>
      </c>
      <c r="AK476" s="4">
        <v>16</v>
      </c>
      <c r="AL476" s="4">
        <v>47</v>
      </c>
      <c r="AM476" s="4">
        <v>47</v>
      </c>
      <c r="AN476" s="4">
        <v>0</v>
      </c>
      <c r="AO476" s="4">
        <v>0</v>
      </c>
      <c r="AP476" s="4">
        <v>18</v>
      </c>
      <c r="AQ476" s="4">
        <v>19</v>
      </c>
      <c r="AR476" s="3" t="s">
        <v>64</v>
      </c>
      <c r="AS476" s="3" t="s">
        <v>64</v>
      </c>
      <c r="AT476" s="3" t="s">
        <v>64</v>
      </c>
      <c r="AV476" s="6" t="str">
        <f>HYPERLINK("http://mcgill.on.worldcat.org/oclc/457149475","Catalog Record")</f>
        <v>Catalog Record</v>
      </c>
      <c r="AW476" s="6" t="str">
        <f>HYPERLINK("http://www.worldcat.org/oclc/457149475","WorldCat Record")</f>
        <v>WorldCat Record</v>
      </c>
      <c r="AX476" s="3" t="s">
        <v>4575</v>
      </c>
      <c r="AY476" s="3" t="s">
        <v>4576</v>
      </c>
      <c r="AZ476" s="3" t="s">
        <v>4577</v>
      </c>
      <c r="BA476" s="3" t="s">
        <v>4577</v>
      </c>
      <c r="BB476" s="3" t="s">
        <v>4578</v>
      </c>
      <c r="BC476" s="3" t="s">
        <v>77</v>
      </c>
      <c r="BD476" s="3" t="s">
        <v>78</v>
      </c>
      <c r="BE476" s="3" t="s">
        <v>4579</v>
      </c>
      <c r="BF476" s="3" t="s">
        <v>4578</v>
      </c>
      <c r="BG476" s="3" t="s">
        <v>4580</v>
      </c>
      <c r="BH476">
        <f t="shared" si="17"/>
        <v>0</v>
      </c>
    </row>
    <row r="477" spans="1:60" ht="58" x14ac:dyDescent="0.35">
      <c r="A477" s="2" t="s">
        <v>59</v>
      </c>
      <c r="B477" s="2" t="s">
        <v>60</v>
      </c>
      <c r="C477" s="2" t="s">
        <v>4581</v>
      </c>
      <c r="D477" s="2" t="s">
        <v>4582</v>
      </c>
      <c r="E477" s="2" t="s">
        <v>4583</v>
      </c>
      <c r="G477" s="3" t="s">
        <v>64</v>
      </c>
      <c r="I477" s="3" t="s">
        <v>128</v>
      </c>
      <c r="J477" s="3" t="s">
        <v>128</v>
      </c>
      <c r="K477" s="3" t="s">
        <v>65</v>
      </c>
      <c r="L477" s="2" t="s">
        <v>4584</v>
      </c>
      <c r="M477" s="2" t="s">
        <v>4585</v>
      </c>
      <c r="N477" s="3" t="s">
        <v>4548</v>
      </c>
      <c r="O477" s="2" t="s">
        <v>3538</v>
      </c>
      <c r="P477" s="3" t="s">
        <v>102</v>
      </c>
      <c r="R477" s="3" t="s">
        <v>70</v>
      </c>
      <c r="S477" s="4">
        <v>10</v>
      </c>
      <c r="T477" s="4">
        <v>14</v>
      </c>
      <c r="U477" s="5" t="s">
        <v>4562</v>
      </c>
      <c r="V477" s="5" t="s">
        <v>4562</v>
      </c>
      <c r="W477" s="5" t="s">
        <v>72</v>
      </c>
      <c r="X477" s="5" t="s">
        <v>72</v>
      </c>
      <c r="Y477" s="4">
        <v>311</v>
      </c>
      <c r="Z477" s="4">
        <v>20</v>
      </c>
      <c r="AA477" s="4">
        <v>37</v>
      </c>
      <c r="AB477" s="4">
        <v>2</v>
      </c>
      <c r="AC477" s="4">
        <v>4</v>
      </c>
      <c r="AD477" s="4">
        <v>88</v>
      </c>
      <c r="AE477" s="4">
        <v>125</v>
      </c>
      <c r="AF477" s="4">
        <v>1</v>
      </c>
      <c r="AG477" s="4">
        <v>3</v>
      </c>
      <c r="AH477" s="4">
        <v>79</v>
      </c>
      <c r="AI477" s="4">
        <v>105</v>
      </c>
      <c r="AJ477" s="4">
        <v>13</v>
      </c>
      <c r="AK477" s="4">
        <v>25</v>
      </c>
      <c r="AL477" s="4">
        <v>46</v>
      </c>
      <c r="AM477" s="4">
        <v>58</v>
      </c>
      <c r="AN477" s="4">
        <v>0</v>
      </c>
      <c r="AO477" s="4">
        <v>0</v>
      </c>
      <c r="AP477" s="4">
        <v>14</v>
      </c>
      <c r="AQ477" s="4">
        <v>27</v>
      </c>
      <c r="AR477" s="3" t="s">
        <v>64</v>
      </c>
      <c r="AS477" s="3" t="s">
        <v>64</v>
      </c>
      <c r="AT477" s="3" t="s">
        <v>128</v>
      </c>
      <c r="AU477" s="6" t="str">
        <f>HYPERLINK("http://catalog.hathitrust.org/Record/001159975","HathiTrust Record")</f>
        <v>HathiTrust Record</v>
      </c>
      <c r="AV477" s="6" t="str">
        <f>HYPERLINK("http://mcgill.on.worldcat.org/oclc/574061","Catalog Record")</f>
        <v>Catalog Record</v>
      </c>
      <c r="AW477" s="6" t="str">
        <f>HYPERLINK("http://www.worldcat.org/oclc/574061","WorldCat Record")</f>
        <v>WorldCat Record</v>
      </c>
      <c r="AX477" s="3" t="s">
        <v>4586</v>
      </c>
      <c r="AY477" s="3" t="s">
        <v>4587</v>
      </c>
      <c r="AZ477" s="3" t="s">
        <v>4588</v>
      </c>
      <c r="BA477" s="3" t="s">
        <v>4588</v>
      </c>
      <c r="BB477" s="3" t="s">
        <v>4589</v>
      </c>
      <c r="BC477" s="3" t="s">
        <v>77</v>
      </c>
      <c r="BD477" s="3" t="s">
        <v>78</v>
      </c>
      <c r="BF477" s="3" t="s">
        <v>4589</v>
      </c>
      <c r="BG477" s="3" t="s">
        <v>4590</v>
      </c>
      <c r="BH477">
        <f t="shared" si="17"/>
        <v>0</v>
      </c>
    </row>
    <row r="478" spans="1:60" ht="58" x14ac:dyDescent="0.35">
      <c r="A478" s="2" t="s">
        <v>59</v>
      </c>
      <c r="B478" s="2" t="s">
        <v>60</v>
      </c>
      <c r="C478" s="2" t="s">
        <v>4581</v>
      </c>
      <c r="D478" s="2" t="s">
        <v>4582</v>
      </c>
      <c r="E478" s="2" t="s">
        <v>4583</v>
      </c>
      <c r="G478" s="3" t="s">
        <v>64</v>
      </c>
      <c r="I478" s="3" t="s">
        <v>128</v>
      </c>
      <c r="J478" s="3" t="s">
        <v>128</v>
      </c>
      <c r="K478" s="3" t="s">
        <v>65</v>
      </c>
      <c r="L478" s="2" t="s">
        <v>4584</v>
      </c>
      <c r="M478" s="2" t="s">
        <v>4585</v>
      </c>
      <c r="N478" s="3" t="s">
        <v>4548</v>
      </c>
      <c r="O478" s="2" t="s">
        <v>3538</v>
      </c>
      <c r="P478" s="3" t="s">
        <v>102</v>
      </c>
      <c r="R478" s="3" t="s">
        <v>70</v>
      </c>
      <c r="S478" s="4">
        <v>4</v>
      </c>
      <c r="T478" s="4">
        <v>14</v>
      </c>
      <c r="U478" s="5" t="s">
        <v>4420</v>
      </c>
      <c r="V478" s="5" t="s">
        <v>4562</v>
      </c>
      <c r="W478" s="5" t="s">
        <v>72</v>
      </c>
      <c r="X478" s="5" t="s">
        <v>72</v>
      </c>
      <c r="Y478" s="4">
        <v>311</v>
      </c>
      <c r="Z478" s="4">
        <v>20</v>
      </c>
      <c r="AA478" s="4">
        <v>37</v>
      </c>
      <c r="AB478" s="4">
        <v>2</v>
      </c>
      <c r="AC478" s="4">
        <v>4</v>
      </c>
      <c r="AD478" s="4">
        <v>88</v>
      </c>
      <c r="AE478" s="4">
        <v>125</v>
      </c>
      <c r="AF478" s="4">
        <v>1</v>
      </c>
      <c r="AG478" s="4">
        <v>3</v>
      </c>
      <c r="AH478" s="4">
        <v>79</v>
      </c>
      <c r="AI478" s="4">
        <v>105</v>
      </c>
      <c r="AJ478" s="4">
        <v>13</v>
      </c>
      <c r="AK478" s="4">
        <v>25</v>
      </c>
      <c r="AL478" s="4">
        <v>46</v>
      </c>
      <c r="AM478" s="4">
        <v>58</v>
      </c>
      <c r="AN478" s="4">
        <v>0</v>
      </c>
      <c r="AO478" s="4">
        <v>0</v>
      </c>
      <c r="AP478" s="4">
        <v>14</v>
      </c>
      <c r="AQ478" s="4">
        <v>27</v>
      </c>
      <c r="AR478" s="3" t="s">
        <v>64</v>
      </c>
      <c r="AS478" s="3" t="s">
        <v>64</v>
      </c>
      <c r="AT478" s="3" t="s">
        <v>128</v>
      </c>
      <c r="AU478" s="6" t="str">
        <f>HYPERLINK("http://catalog.hathitrust.org/Record/001159975","HathiTrust Record")</f>
        <v>HathiTrust Record</v>
      </c>
      <c r="AV478" s="6" t="str">
        <f>HYPERLINK("http://mcgill.on.worldcat.org/oclc/574061","Catalog Record")</f>
        <v>Catalog Record</v>
      </c>
      <c r="AW478" s="6" t="str">
        <f>HYPERLINK("http://www.worldcat.org/oclc/574061","WorldCat Record")</f>
        <v>WorldCat Record</v>
      </c>
      <c r="AX478" s="3" t="s">
        <v>4586</v>
      </c>
      <c r="AY478" s="3" t="s">
        <v>4587</v>
      </c>
      <c r="AZ478" s="3" t="s">
        <v>4588</v>
      </c>
      <c r="BA478" s="3" t="s">
        <v>4588</v>
      </c>
      <c r="BB478" s="3" t="s">
        <v>4591</v>
      </c>
      <c r="BC478" s="3" t="s">
        <v>77</v>
      </c>
      <c r="BD478" s="3" t="s">
        <v>78</v>
      </c>
      <c r="BF478" s="3" t="s">
        <v>4591</v>
      </c>
      <c r="BG478" s="3" t="s">
        <v>4592</v>
      </c>
      <c r="BH478">
        <f t="shared" si="17"/>
        <v>0</v>
      </c>
    </row>
    <row r="479" spans="1:60" ht="58" x14ac:dyDescent="0.35">
      <c r="A479" s="2" t="s">
        <v>59</v>
      </c>
      <c r="B479" s="2" t="s">
        <v>60</v>
      </c>
      <c r="C479" s="2" t="s">
        <v>4593</v>
      </c>
      <c r="D479" s="2" t="s">
        <v>4594</v>
      </c>
      <c r="E479" s="2" t="s">
        <v>4595</v>
      </c>
      <c r="G479" s="3" t="s">
        <v>64</v>
      </c>
      <c r="I479" s="3" t="s">
        <v>128</v>
      </c>
      <c r="J479" s="3" t="s">
        <v>64</v>
      </c>
      <c r="K479" s="3" t="s">
        <v>65</v>
      </c>
      <c r="L479" s="2" t="s">
        <v>4271</v>
      </c>
      <c r="M479" s="2" t="s">
        <v>4596</v>
      </c>
      <c r="N479" s="3" t="s">
        <v>1017</v>
      </c>
      <c r="P479" s="3" t="s">
        <v>102</v>
      </c>
      <c r="R479" s="3" t="s">
        <v>70</v>
      </c>
      <c r="S479" s="4">
        <v>15</v>
      </c>
      <c r="T479" s="4">
        <v>16</v>
      </c>
      <c r="U479" s="5" t="s">
        <v>1925</v>
      </c>
      <c r="V479" s="5" t="s">
        <v>1925</v>
      </c>
      <c r="W479" s="5" t="s">
        <v>72</v>
      </c>
      <c r="X479" s="5" t="s">
        <v>72</v>
      </c>
      <c r="Y479" s="4">
        <v>525</v>
      </c>
      <c r="Z479" s="4">
        <v>42</v>
      </c>
      <c r="AA479" s="4">
        <v>47</v>
      </c>
      <c r="AB479" s="4">
        <v>3</v>
      </c>
      <c r="AC479" s="4">
        <v>5</v>
      </c>
      <c r="AD479" s="4">
        <v>111</v>
      </c>
      <c r="AE479" s="4">
        <v>129</v>
      </c>
      <c r="AF479" s="4">
        <v>1</v>
      </c>
      <c r="AG479" s="4">
        <v>3</v>
      </c>
      <c r="AH479" s="4">
        <v>96</v>
      </c>
      <c r="AI479" s="4">
        <v>109</v>
      </c>
      <c r="AJ479" s="4">
        <v>22</v>
      </c>
      <c r="AK479" s="4">
        <v>25</v>
      </c>
      <c r="AL479" s="4">
        <v>50</v>
      </c>
      <c r="AM479" s="4">
        <v>56</v>
      </c>
      <c r="AN479" s="4">
        <v>0</v>
      </c>
      <c r="AO479" s="4">
        <v>0</v>
      </c>
      <c r="AP479" s="4">
        <v>24</v>
      </c>
      <c r="AQ479" s="4">
        <v>26</v>
      </c>
      <c r="AR479" s="3" t="s">
        <v>64</v>
      </c>
      <c r="AS479" s="3" t="s">
        <v>64</v>
      </c>
      <c r="AT479" s="3" t="s">
        <v>128</v>
      </c>
      <c r="AU479" s="6" t="str">
        <f>HYPERLINK("http://catalog.hathitrust.org/Record/001159988","HathiTrust Record")</f>
        <v>HathiTrust Record</v>
      </c>
      <c r="AV479" s="6" t="str">
        <f>HYPERLINK("http://mcgill.on.worldcat.org/oclc/151709","Catalog Record")</f>
        <v>Catalog Record</v>
      </c>
      <c r="AW479" s="6" t="str">
        <f>HYPERLINK("http://www.worldcat.org/oclc/151709","WorldCat Record")</f>
        <v>WorldCat Record</v>
      </c>
      <c r="AX479" s="3" t="s">
        <v>4597</v>
      </c>
      <c r="AY479" s="3" t="s">
        <v>4598</v>
      </c>
      <c r="AZ479" s="3" t="s">
        <v>4599</v>
      </c>
      <c r="BA479" s="3" t="s">
        <v>4599</v>
      </c>
      <c r="BB479" s="3" t="s">
        <v>4600</v>
      </c>
      <c r="BC479" s="3" t="s">
        <v>77</v>
      </c>
      <c r="BD479" s="3" t="s">
        <v>78</v>
      </c>
      <c r="BE479" s="3" t="s">
        <v>4601</v>
      </c>
      <c r="BF479" s="3" t="s">
        <v>4600</v>
      </c>
      <c r="BG479" s="3" t="s">
        <v>4602</v>
      </c>
      <c r="BH479">
        <f t="shared" si="17"/>
        <v>0</v>
      </c>
    </row>
    <row r="480" spans="1:60" ht="58" x14ac:dyDescent="0.35">
      <c r="A480" s="2" t="s">
        <v>59</v>
      </c>
      <c r="B480" s="2" t="s">
        <v>60</v>
      </c>
      <c r="C480" s="2" t="s">
        <v>4603</v>
      </c>
      <c r="D480" s="2" t="s">
        <v>4604</v>
      </c>
      <c r="E480" s="2" t="s">
        <v>4605</v>
      </c>
      <c r="G480" s="3" t="s">
        <v>64</v>
      </c>
      <c r="I480" s="3" t="s">
        <v>64</v>
      </c>
      <c r="J480" s="3" t="s">
        <v>64</v>
      </c>
      <c r="K480" s="3" t="s">
        <v>65</v>
      </c>
      <c r="M480" s="2" t="s">
        <v>4606</v>
      </c>
      <c r="N480" s="3" t="s">
        <v>1275</v>
      </c>
      <c r="P480" s="3" t="s">
        <v>102</v>
      </c>
      <c r="R480" s="3" t="s">
        <v>70</v>
      </c>
      <c r="S480" s="4">
        <v>23</v>
      </c>
      <c r="T480" s="4">
        <v>23</v>
      </c>
      <c r="U480" s="5" t="s">
        <v>2601</v>
      </c>
      <c r="V480" s="5" t="s">
        <v>2601</v>
      </c>
      <c r="W480" s="5" t="s">
        <v>72</v>
      </c>
      <c r="X480" s="5" t="s">
        <v>72</v>
      </c>
      <c r="Y480" s="4">
        <v>341</v>
      </c>
      <c r="Z480" s="4">
        <v>30</v>
      </c>
      <c r="AA480" s="4">
        <v>32</v>
      </c>
      <c r="AB480" s="4">
        <v>2</v>
      </c>
      <c r="AC480" s="4">
        <v>3</v>
      </c>
      <c r="AD480" s="4">
        <v>101</v>
      </c>
      <c r="AE480" s="4">
        <v>104</v>
      </c>
      <c r="AF480" s="4">
        <v>1</v>
      </c>
      <c r="AG480" s="4">
        <v>2</v>
      </c>
      <c r="AH480" s="4">
        <v>88</v>
      </c>
      <c r="AI480" s="4">
        <v>89</v>
      </c>
      <c r="AJ480" s="4">
        <v>19</v>
      </c>
      <c r="AK480" s="4">
        <v>20</v>
      </c>
      <c r="AL480" s="4">
        <v>47</v>
      </c>
      <c r="AM480" s="4">
        <v>47</v>
      </c>
      <c r="AN480" s="4">
        <v>0</v>
      </c>
      <c r="AO480" s="4">
        <v>0</v>
      </c>
      <c r="AP480" s="4">
        <v>22</v>
      </c>
      <c r="AQ480" s="4">
        <v>23</v>
      </c>
      <c r="AR480" s="3" t="s">
        <v>64</v>
      </c>
      <c r="AS480" s="3" t="s">
        <v>64</v>
      </c>
      <c r="AT480" s="3" t="s">
        <v>64</v>
      </c>
      <c r="AV480" s="6" t="str">
        <f>HYPERLINK("http://mcgill.on.worldcat.org/oclc/52134661","Catalog Record")</f>
        <v>Catalog Record</v>
      </c>
      <c r="AW480" s="6" t="str">
        <f>HYPERLINK("http://www.worldcat.org/oclc/52134661","WorldCat Record")</f>
        <v>WorldCat Record</v>
      </c>
      <c r="AX480" s="3" t="s">
        <v>4607</v>
      </c>
      <c r="AY480" s="3" t="s">
        <v>4608</v>
      </c>
      <c r="AZ480" s="3" t="s">
        <v>4609</v>
      </c>
      <c r="BA480" s="3" t="s">
        <v>4609</v>
      </c>
      <c r="BB480" s="3" t="s">
        <v>4610</v>
      </c>
      <c r="BC480" s="3" t="s">
        <v>77</v>
      </c>
      <c r="BD480" s="3" t="s">
        <v>165</v>
      </c>
      <c r="BE480" s="3" t="s">
        <v>4611</v>
      </c>
      <c r="BF480" s="3" t="s">
        <v>4610</v>
      </c>
      <c r="BG480" s="3" t="s">
        <v>4612</v>
      </c>
      <c r="BH480">
        <f t="shared" si="17"/>
        <v>0</v>
      </c>
    </row>
    <row r="481" spans="1:60" ht="58" x14ac:dyDescent="0.35">
      <c r="A481" s="2" t="s">
        <v>59</v>
      </c>
      <c r="B481" s="2" t="s">
        <v>60</v>
      </c>
      <c r="C481" s="2" t="s">
        <v>4613</v>
      </c>
      <c r="D481" s="2" t="s">
        <v>4614</v>
      </c>
      <c r="E481" s="2" t="s">
        <v>4615</v>
      </c>
      <c r="G481" s="3" t="s">
        <v>64</v>
      </c>
      <c r="I481" s="3" t="s">
        <v>64</v>
      </c>
      <c r="J481" s="3" t="s">
        <v>64</v>
      </c>
      <c r="K481" s="3" t="s">
        <v>65</v>
      </c>
      <c r="L481" s="2" t="s">
        <v>4616</v>
      </c>
      <c r="M481" s="2" t="s">
        <v>4617</v>
      </c>
      <c r="N481" s="3" t="s">
        <v>171</v>
      </c>
      <c r="P481" s="3" t="s">
        <v>102</v>
      </c>
      <c r="Q481" s="2" t="s">
        <v>4618</v>
      </c>
      <c r="R481" s="3" t="s">
        <v>70</v>
      </c>
      <c r="S481" s="4">
        <v>5</v>
      </c>
      <c r="T481" s="4">
        <v>5</v>
      </c>
      <c r="U481" s="5" t="s">
        <v>911</v>
      </c>
      <c r="V481" s="5" t="s">
        <v>911</v>
      </c>
      <c r="W481" s="5" t="s">
        <v>72</v>
      </c>
      <c r="X481" s="5" t="s">
        <v>72</v>
      </c>
      <c r="Y481" s="4">
        <v>288</v>
      </c>
      <c r="Z481" s="4">
        <v>31</v>
      </c>
      <c r="AA481" s="4">
        <v>113</v>
      </c>
      <c r="AB481" s="4">
        <v>2</v>
      </c>
      <c r="AC481" s="4">
        <v>21</v>
      </c>
      <c r="AD481" s="4">
        <v>109</v>
      </c>
      <c r="AE481" s="4">
        <v>153</v>
      </c>
      <c r="AF481" s="4">
        <v>1</v>
      </c>
      <c r="AG481" s="4">
        <v>9</v>
      </c>
      <c r="AH481" s="4">
        <v>94</v>
      </c>
      <c r="AI481" s="4">
        <v>105</v>
      </c>
      <c r="AJ481" s="4">
        <v>18</v>
      </c>
      <c r="AK481" s="4">
        <v>27</v>
      </c>
      <c r="AL481" s="4">
        <v>52</v>
      </c>
      <c r="AM481" s="4">
        <v>57</v>
      </c>
      <c r="AN481" s="4">
        <v>0</v>
      </c>
      <c r="AO481" s="4">
        <v>0</v>
      </c>
      <c r="AP481" s="4">
        <v>26</v>
      </c>
      <c r="AQ481" s="4">
        <v>56</v>
      </c>
      <c r="AR481" s="3" t="s">
        <v>64</v>
      </c>
      <c r="AS481" s="3" t="s">
        <v>64</v>
      </c>
      <c r="AT481" s="3" t="s">
        <v>64</v>
      </c>
      <c r="AV481" s="6" t="str">
        <f>HYPERLINK("http://mcgill.on.worldcat.org/oclc/67869310","Catalog Record")</f>
        <v>Catalog Record</v>
      </c>
      <c r="AW481" s="6" t="str">
        <f>HYPERLINK("http://www.worldcat.org/oclc/67869310","WorldCat Record")</f>
        <v>WorldCat Record</v>
      </c>
      <c r="AX481" s="3" t="s">
        <v>4619</v>
      </c>
      <c r="AY481" s="3" t="s">
        <v>4620</v>
      </c>
      <c r="AZ481" s="3" t="s">
        <v>4621</v>
      </c>
      <c r="BA481" s="3" t="s">
        <v>4621</v>
      </c>
      <c r="BB481" s="3" t="s">
        <v>4622</v>
      </c>
      <c r="BC481" s="3" t="s">
        <v>77</v>
      </c>
      <c r="BD481" s="3" t="s">
        <v>78</v>
      </c>
      <c r="BE481" s="3" t="s">
        <v>4623</v>
      </c>
      <c r="BF481" s="3" t="s">
        <v>4622</v>
      </c>
      <c r="BG481" s="3" t="s">
        <v>4624</v>
      </c>
      <c r="BH481">
        <f t="shared" si="17"/>
        <v>0</v>
      </c>
    </row>
    <row r="482" spans="1:60" ht="58" x14ac:dyDescent="0.35">
      <c r="A482" s="2" t="s">
        <v>59</v>
      </c>
      <c r="B482" s="2" t="s">
        <v>60</v>
      </c>
      <c r="C482" s="2" t="s">
        <v>4625</v>
      </c>
      <c r="D482" s="2" t="s">
        <v>4626</v>
      </c>
      <c r="E482" s="2" t="s">
        <v>4627</v>
      </c>
      <c r="G482" s="3" t="s">
        <v>64</v>
      </c>
      <c r="I482" s="3" t="s">
        <v>128</v>
      </c>
      <c r="J482" s="3" t="s">
        <v>64</v>
      </c>
      <c r="K482" s="3" t="s">
        <v>65</v>
      </c>
      <c r="M482" s="2" t="s">
        <v>4628</v>
      </c>
      <c r="N482" s="3" t="s">
        <v>315</v>
      </c>
      <c r="P482" s="3" t="s">
        <v>102</v>
      </c>
      <c r="R482" s="3" t="s">
        <v>70</v>
      </c>
      <c r="S482" s="4">
        <v>4</v>
      </c>
      <c r="T482" s="4">
        <v>4</v>
      </c>
      <c r="U482" s="5" t="s">
        <v>4526</v>
      </c>
      <c r="V482" s="5" t="s">
        <v>4526</v>
      </c>
      <c r="W482" s="5" t="s">
        <v>72</v>
      </c>
      <c r="X482" s="5" t="s">
        <v>72</v>
      </c>
      <c r="Y482" s="4">
        <v>266</v>
      </c>
      <c r="Z482" s="4">
        <v>18</v>
      </c>
      <c r="AA482" s="4">
        <v>19</v>
      </c>
      <c r="AB482" s="4">
        <v>2</v>
      </c>
      <c r="AC482" s="4">
        <v>3</v>
      </c>
      <c r="AD482" s="4">
        <v>89</v>
      </c>
      <c r="AE482" s="4">
        <v>90</v>
      </c>
      <c r="AF482" s="4">
        <v>0</v>
      </c>
      <c r="AG482" s="4">
        <v>1</v>
      </c>
      <c r="AH482" s="4">
        <v>82</v>
      </c>
      <c r="AI482" s="4">
        <v>82</v>
      </c>
      <c r="AJ482" s="4">
        <v>12</v>
      </c>
      <c r="AK482" s="4">
        <v>13</v>
      </c>
      <c r="AL482" s="4">
        <v>49</v>
      </c>
      <c r="AM482" s="4">
        <v>49</v>
      </c>
      <c r="AN482" s="4">
        <v>5</v>
      </c>
      <c r="AO482" s="4">
        <v>5</v>
      </c>
      <c r="AP482" s="4">
        <v>12</v>
      </c>
      <c r="AQ482" s="4">
        <v>12</v>
      </c>
      <c r="AR482" s="3" t="s">
        <v>64</v>
      </c>
      <c r="AS482" s="3" t="s">
        <v>64</v>
      </c>
      <c r="AT482" s="3" t="s">
        <v>128</v>
      </c>
      <c r="AU482" s="6" t="str">
        <f>HYPERLINK("http://catalog.hathitrust.org/Record/001175407","HathiTrust Record")</f>
        <v>HathiTrust Record</v>
      </c>
      <c r="AV482" s="6" t="str">
        <f>HYPERLINK("http://mcgill.on.worldcat.org/oclc/2722495","Catalog Record")</f>
        <v>Catalog Record</v>
      </c>
      <c r="AW482" s="6" t="str">
        <f>HYPERLINK("http://www.worldcat.org/oclc/2722495","WorldCat Record")</f>
        <v>WorldCat Record</v>
      </c>
      <c r="AX482" s="3" t="s">
        <v>4629</v>
      </c>
      <c r="AY482" s="3" t="s">
        <v>4630</v>
      </c>
      <c r="AZ482" s="3" t="s">
        <v>4631</v>
      </c>
      <c r="BA482" s="3" t="s">
        <v>4631</v>
      </c>
      <c r="BB482" s="3" t="s">
        <v>4632</v>
      </c>
      <c r="BC482" s="3" t="s">
        <v>77</v>
      </c>
      <c r="BD482" s="3" t="s">
        <v>78</v>
      </c>
      <c r="BF482" s="3" t="s">
        <v>4632</v>
      </c>
      <c r="BG482" s="3" t="s">
        <v>4633</v>
      </c>
      <c r="BH482">
        <f t="shared" si="17"/>
        <v>0</v>
      </c>
    </row>
    <row r="483" spans="1:60" ht="58" x14ac:dyDescent="0.35">
      <c r="A483" s="2" t="s">
        <v>59</v>
      </c>
      <c r="B483" s="2" t="s">
        <v>60</v>
      </c>
      <c r="C483" s="2" t="s">
        <v>4634</v>
      </c>
      <c r="D483" s="2" t="s">
        <v>4635</v>
      </c>
      <c r="E483" s="2" t="s">
        <v>4636</v>
      </c>
      <c r="G483" s="3" t="s">
        <v>64</v>
      </c>
      <c r="I483" s="3" t="s">
        <v>64</v>
      </c>
      <c r="J483" s="3" t="s">
        <v>64</v>
      </c>
      <c r="K483" s="3" t="s">
        <v>65</v>
      </c>
      <c r="L483" s="2" t="s">
        <v>4637</v>
      </c>
      <c r="M483" s="2" t="s">
        <v>4638</v>
      </c>
      <c r="N483" s="3" t="s">
        <v>537</v>
      </c>
      <c r="P483" s="3" t="s">
        <v>102</v>
      </c>
      <c r="Q483" s="2" t="s">
        <v>4639</v>
      </c>
      <c r="R483" s="3" t="s">
        <v>70</v>
      </c>
      <c r="S483" s="4">
        <v>0</v>
      </c>
      <c r="T483" s="4">
        <v>0</v>
      </c>
      <c r="W483" s="5" t="s">
        <v>72</v>
      </c>
      <c r="X483" s="5" t="s">
        <v>72</v>
      </c>
      <c r="Y483" s="4">
        <v>98</v>
      </c>
      <c r="Z483" s="4">
        <v>8</v>
      </c>
      <c r="AA483" s="4">
        <v>8</v>
      </c>
      <c r="AB483" s="4">
        <v>1</v>
      </c>
      <c r="AC483" s="4">
        <v>1</v>
      </c>
      <c r="AD483" s="4">
        <v>41</v>
      </c>
      <c r="AE483" s="4">
        <v>41</v>
      </c>
      <c r="AF483" s="4">
        <v>0</v>
      </c>
      <c r="AG483" s="4">
        <v>0</v>
      </c>
      <c r="AH483" s="4">
        <v>36</v>
      </c>
      <c r="AI483" s="4">
        <v>36</v>
      </c>
      <c r="AJ483" s="4">
        <v>7</v>
      </c>
      <c r="AK483" s="4">
        <v>7</v>
      </c>
      <c r="AL483" s="4">
        <v>25</v>
      </c>
      <c r="AM483" s="4">
        <v>25</v>
      </c>
      <c r="AN483" s="4">
        <v>0</v>
      </c>
      <c r="AO483" s="4">
        <v>0</v>
      </c>
      <c r="AP483" s="4">
        <v>7</v>
      </c>
      <c r="AQ483" s="4">
        <v>7</v>
      </c>
      <c r="AR483" s="3" t="s">
        <v>64</v>
      </c>
      <c r="AS483" s="3" t="s">
        <v>64</v>
      </c>
      <c r="AT483" s="3" t="s">
        <v>64</v>
      </c>
      <c r="AV483" s="6" t="str">
        <f>HYPERLINK("http://mcgill.on.worldcat.org/oclc/934618569","Catalog Record")</f>
        <v>Catalog Record</v>
      </c>
      <c r="AW483" s="6" t="str">
        <f>HYPERLINK("http://www.worldcat.org/oclc/934618569","WorldCat Record")</f>
        <v>WorldCat Record</v>
      </c>
      <c r="AX483" s="3" t="s">
        <v>4640</v>
      </c>
      <c r="AY483" s="3" t="s">
        <v>4641</v>
      </c>
      <c r="AZ483" s="3" t="s">
        <v>4642</v>
      </c>
      <c r="BA483" s="3" t="s">
        <v>4642</v>
      </c>
      <c r="BB483" s="3" t="s">
        <v>4643</v>
      </c>
      <c r="BC483" s="3" t="s">
        <v>77</v>
      </c>
      <c r="BD483" s="3" t="s">
        <v>78</v>
      </c>
      <c r="BE483" s="3" t="s">
        <v>4644</v>
      </c>
      <c r="BF483" s="3" t="s">
        <v>4643</v>
      </c>
      <c r="BG483" s="3" t="s">
        <v>4645</v>
      </c>
      <c r="BH483">
        <f t="shared" si="17"/>
        <v>0</v>
      </c>
    </row>
    <row r="484" spans="1:60" ht="58" x14ac:dyDescent="0.35">
      <c r="A484" s="2" t="s">
        <v>59</v>
      </c>
      <c r="B484" s="2" t="s">
        <v>60</v>
      </c>
      <c r="C484" s="2" t="s">
        <v>4646</v>
      </c>
      <c r="D484" s="2" t="s">
        <v>4647</v>
      </c>
      <c r="E484" s="2" t="s">
        <v>4648</v>
      </c>
      <c r="G484" s="3" t="s">
        <v>64</v>
      </c>
      <c r="I484" s="3" t="s">
        <v>64</v>
      </c>
      <c r="J484" s="3" t="s">
        <v>64</v>
      </c>
      <c r="K484" s="3" t="s">
        <v>65</v>
      </c>
      <c r="L484" s="2" t="s">
        <v>4524</v>
      </c>
      <c r="M484" s="2" t="s">
        <v>4649</v>
      </c>
      <c r="N484" s="3" t="s">
        <v>4548</v>
      </c>
      <c r="P484" s="3" t="s">
        <v>102</v>
      </c>
      <c r="R484" s="3" t="s">
        <v>70</v>
      </c>
      <c r="S484" s="4">
        <v>6</v>
      </c>
      <c r="T484" s="4">
        <v>6</v>
      </c>
      <c r="U484" s="5" t="s">
        <v>4650</v>
      </c>
      <c r="V484" s="5" t="s">
        <v>4650</v>
      </c>
      <c r="W484" s="5" t="s">
        <v>72</v>
      </c>
      <c r="X484" s="5" t="s">
        <v>72</v>
      </c>
      <c r="Y484" s="4">
        <v>585</v>
      </c>
      <c r="Z484" s="4">
        <v>28</v>
      </c>
      <c r="AA484" s="4">
        <v>33</v>
      </c>
      <c r="AB484" s="4">
        <v>2</v>
      </c>
      <c r="AC484" s="4">
        <v>2</v>
      </c>
      <c r="AD484" s="4">
        <v>113</v>
      </c>
      <c r="AE484" s="4">
        <v>118</v>
      </c>
      <c r="AF484" s="4">
        <v>1</v>
      </c>
      <c r="AG484" s="4">
        <v>1</v>
      </c>
      <c r="AH484" s="4">
        <v>94</v>
      </c>
      <c r="AI484" s="4">
        <v>96</v>
      </c>
      <c r="AJ484" s="4">
        <v>17</v>
      </c>
      <c r="AK484" s="4">
        <v>18</v>
      </c>
      <c r="AL484" s="4">
        <v>55</v>
      </c>
      <c r="AM484" s="4">
        <v>55</v>
      </c>
      <c r="AN484" s="4">
        <v>0</v>
      </c>
      <c r="AO484" s="4">
        <v>0</v>
      </c>
      <c r="AP484" s="4">
        <v>23</v>
      </c>
      <c r="AQ484" s="4">
        <v>26</v>
      </c>
      <c r="AR484" s="3" t="s">
        <v>64</v>
      </c>
      <c r="AS484" s="3" t="s">
        <v>64</v>
      </c>
      <c r="AT484" s="3" t="s">
        <v>128</v>
      </c>
      <c r="AU484" s="6" t="str">
        <f>HYPERLINK("http://catalog.hathitrust.org/Record/004467166","HathiTrust Record")</f>
        <v>HathiTrust Record</v>
      </c>
      <c r="AV484" s="6" t="str">
        <f>HYPERLINK("http://mcgill.on.worldcat.org/oclc/188933","Catalog Record")</f>
        <v>Catalog Record</v>
      </c>
      <c r="AW484" s="6" t="str">
        <f>HYPERLINK("http://www.worldcat.org/oclc/188933","WorldCat Record")</f>
        <v>WorldCat Record</v>
      </c>
      <c r="AX484" s="3" t="s">
        <v>4651</v>
      </c>
      <c r="AY484" s="3" t="s">
        <v>4652</v>
      </c>
      <c r="AZ484" s="3" t="s">
        <v>4653</v>
      </c>
      <c r="BA484" s="3" t="s">
        <v>4653</v>
      </c>
      <c r="BB484" s="3" t="s">
        <v>4654</v>
      </c>
      <c r="BC484" s="3" t="s">
        <v>77</v>
      </c>
      <c r="BD484" s="3" t="s">
        <v>78</v>
      </c>
      <c r="BF484" s="3" t="s">
        <v>4654</v>
      </c>
      <c r="BG484" s="3" t="s">
        <v>4655</v>
      </c>
      <c r="BH484">
        <f t="shared" si="17"/>
        <v>0</v>
      </c>
    </row>
    <row r="485" spans="1:60" ht="58" x14ac:dyDescent="0.35">
      <c r="A485" s="2" t="s">
        <v>59</v>
      </c>
      <c r="B485" s="2" t="s">
        <v>60</v>
      </c>
      <c r="C485" s="2" t="s">
        <v>4656</v>
      </c>
      <c r="D485" s="2" t="s">
        <v>4657</v>
      </c>
      <c r="E485" s="2" t="s">
        <v>4658</v>
      </c>
      <c r="G485" s="3" t="s">
        <v>64</v>
      </c>
      <c r="I485" s="3" t="s">
        <v>64</v>
      </c>
      <c r="J485" s="3" t="s">
        <v>64</v>
      </c>
      <c r="K485" s="3" t="s">
        <v>65</v>
      </c>
      <c r="L485" s="2" t="s">
        <v>4659</v>
      </c>
      <c r="M485" s="2" t="s">
        <v>4660</v>
      </c>
      <c r="N485" s="3" t="s">
        <v>190</v>
      </c>
      <c r="P485" s="3" t="s">
        <v>102</v>
      </c>
      <c r="Q485" s="2" t="s">
        <v>565</v>
      </c>
      <c r="R485" s="3" t="s">
        <v>70</v>
      </c>
      <c r="S485" s="4">
        <v>1</v>
      </c>
      <c r="T485" s="4">
        <v>1</v>
      </c>
      <c r="W485" s="5" t="s">
        <v>72</v>
      </c>
      <c r="X485" s="5" t="s">
        <v>72</v>
      </c>
      <c r="Y485" s="4">
        <v>87</v>
      </c>
      <c r="Z485" s="4">
        <v>16</v>
      </c>
      <c r="AA485" s="4">
        <v>85</v>
      </c>
      <c r="AB485" s="4">
        <v>1</v>
      </c>
      <c r="AC485" s="4">
        <v>16</v>
      </c>
      <c r="AD485" s="4">
        <v>48</v>
      </c>
      <c r="AE485" s="4">
        <v>112</v>
      </c>
      <c r="AF485" s="4">
        <v>0</v>
      </c>
      <c r="AG485" s="4">
        <v>8</v>
      </c>
      <c r="AH485" s="4">
        <v>38</v>
      </c>
      <c r="AI485" s="4">
        <v>72</v>
      </c>
      <c r="AJ485" s="4">
        <v>8</v>
      </c>
      <c r="AK485" s="4">
        <v>23</v>
      </c>
      <c r="AL485" s="4">
        <v>26</v>
      </c>
      <c r="AM485" s="4">
        <v>40</v>
      </c>
      <c r="AN485" s="4">
        <v>0</v>
      </c>
      <c r="AO485" s="4">
        <v>0</v>
      </c>
      <c r="AP485" s="4">
        <v>11</v>
      </c>
      <c r="AQ485" s="4">
        <v>47</v>
      </c>
      <c r="AR485" s="3" t="s">
        <v>128</v>
      </c>
      <c r="AS485" s="3" t="s">
        <v>64</v>
      </c>
      <c r="AT485" s="3" t="s">
        <v>64</v>
      </c>
      <c r="AV485" s="6" t="str">
        <f>HYPERLINK("http://mcgill.on.worldcat.org/oclc/1005117700","Catalog Record")</f>
        <v>Catalog Record</v>
      </c>
      <c r="AW485" s="6" t="str">
        <f>HYPERLINK("http://www.worldcat.org/oclc/1005117700","WorldCat Record")</f>
        <v>WorldCat Record</v>
      </c>
      <c r="AX485" s="3" t="s">
        <v>4661</v>
      </c>
      <c r="AY485" s="3" t="s">
        <v>4662</v>
      </c>
      <c r="AZ485" s="3" t="s">
        <v>4663</v>
      </c>
      <c r="BA485" s="3" t="s">
        <v>4663</v>
      </c>
      <c r="BB485" s="3" t="s">
        <v>4664</v>
      </c>
      <c r="BC485" s="3" t="s">
        <v>77</v>
      </c>
      <c r="BD485" s="3" t="s">
        <v>165</v>
      </c>
      <c r="BE485" s="3" t="s">
        <v>4665</v>
      </c>
      <c r="BF485" s="3" t="s">
        <v>4664</v>
      </c>
      <c r="BG485" s="3" t="s">
        <v>4666</v>
      </c>
      <c r="BH485">
        <f t="shared" si="17"/>
        <v>0</v>
      </c>
    </row>
    <row r="486" spans="1:60" ht="58" x14ac:dyDescent="0.35">
      <c r="A486" s="2" t="s">
        <v>59</v>
      </c>
      <c r="B486" s="2" t="s">
        <v>60</v>
      </c>
      <c r="C486" s="2" t="s">
        <v>4667</v>
      </c>
      <c r="D486" s="2" t="s">
        <v>4668</v>
      </c>
      <c r="E486" s="2" t="s">
        <v>4669</v>
      </c>
      <c r="G486" s="3" t="s">
        <v>64</v>
      </c>
      <c r="I486" s="3" t="s">
        <v>128</v>
      </c>
      <c r="J486" s="3" t="s">
        <v>128</v>
      </c>
      <c r="K486" s="3" t="s">
        <v>65</v>
      </c>
      <c r="L486" s="2" t="s">
        <v>4524</v>
      </c>
      <c r="M486" s="2" t="s">
        <v>4670</v>
      </c>
      <c r="N486" s="3" t="s">
        <v>1017</v>
      </c>
      <c r="P486" s="3" t="s">
        <v>102</v>
      </c>
      <c r="R486" s="3" t="s">
        <v>70</v>
      </c>
      <c r="S486" s="4">
        <v>0</v>
      </c>
      <c r="T486" s="4">
        <v>15</v>
      </c>
      <c r="V486" s="5" t="s">
        <v>4650</v>
      </c>
      <c r="W486" s="5" t="s">
        <v>72</v>
      </c>
      <c r="X486" s="5" t="s">
        <v>72</v>
      </c>
      <c r="Y486" s="4">
        <v>38</v>
      </c>
      <c r="Z486" s="4">
        <v>4</v>
      </c>
      <c r="AA486" s="4">
        <v>37</v>
      </c>
      <c r="AB486" s="4">
        <v>1</v>
      </c>
      <c r="AC486" s="4">
        <v>6</v>
      </c>
      <c r="AD486" s="4">
        <v>5</v>
      </c>
      <c r="AE486" s="4">
        <v>120</v>
      </c>
      <c r="AF486" s="4">
        <v>0</v>
      </c>
      <c r="AG486" s="4">
        <v>4</v>
      </c>
      <c r="AH486" s="4">
        <v>4</v>
      </c>
      <c r="AI486" s="4">
        <v>99</v>
      </c>
      <c r="AJ486" s="4">
        <v>2</v>
      </c>
      <c r="AK486" s="4">
        <v>21</v>
      </c>
      <c r="AL486" s="4">
        <v>2</v>
      </c>
      <c r="AM486" s="4">
        <v>51</v>
      </c>
      <c r="AN486" s="4">
        <v>0</v>
      </c>
      <c r="AO486" s="4">
        <v>0</v>
      </c>
      <c r="AP486" s="4">
        <v>3</v>
      </c>
      <c r="AQ486" s="4">
        <v>28</v>
      </c>
      <c r="AR486" s="3" t="s">
        <v>64</v>
      </c>
      <c r="AS486" s="3" t="s">
        <v>64</v>
      </c>
      <c r="AT486" s="3" t="s">
        <v>64</v>
      </c>
      <c r="AV486" s="6" t="str">
        <f>HYPERLINK("http://mcgill.on.worldcat.org/oclc/192111559","Catalog Record")</f>
        <v>Catalog Record</v>
      </c>
      <c r="AW486" s="6" t="str">
        <f>HYPERLINK("http://www.worldcat.org/oclc/192111559","WorldCat Record")</f>
        <v>WorldCat Record</v>
      </c>
      <c r="AX486" s="3" t="s">
        <v>4671</v>
      </c>
      <c r="AY486" s="3" t="s">
        <v>4672</v>
      </c>
      <c r="AZ486" s="3" t="s">
        <v>4673</v>
      </c>
      <c r="BA486" s="3" t="s">
        <v>4673</v>
      </c>
      <c r="BB486" s="3" t="s">
        <v>4674</v>
      </c>
      <c r="BC486" s="3" t="s">
        <v>77</v>
      </c>
      <c r="BD486" s="3" t="s">
        <v>78</v>
      </c>
      <c r="BE486" s="3" t="s">
        <v>4675</v>
      </c>
      <c r="BF486" s="3" t="s">
        <v>4674</v>
      </c>
      <c r="BG486" s="3" t="s">
        <v>4676</v>
      </c>
      <c r="BH486">
        <f t="shared" si="17"/>
        <v>0</v>
      </c>
    </row>
    <row r="487" spans="1:60" ht="58" x14ac:dyDescent="0.35">
      <c r="A487" s="2" t="s">
        <v>59</v>
      </c>
      <c r="B487" s="2" t="s">
        <v>60</v>
      </c>
      <c r="C487" s="2" t="s">
        <v>4667</v>
      </c>
      <c r="D487" s="2" t="s">
        <v>4668</v>
      </c>
      <c r="E487" s="2" t="s">
        <v>4669</v>
      </c>
      <c r="G487" s="3" t="s">
        <v>64</v>
      </c>
      <c r="I487" s="3" t="s">
        <v>128</v>
      </c>
      <c r="J487" s="3" t="s">
        <v>128</v>
      </c>
      <c r="K487" s="3" t="s">
        <v>65</v>
      </c>
      <c r="L487" s="2" t="s">
        <v>4524</v>
      </c>
      <c r="M487" s="2" t="s">
        <v>4670</v>
      </c>
      <c r="N487" s="3" t="s">
        <v>1017</v>
      </c>
      <c r="P487" s="3" t="s">
        <v>102</v>
      </c>
      <c r="R487" s="3" t="s">
        <v>70</v>
      </c>
      <c r="S487" s="4">
        <v>6</v>
      </c>
      <c r="T487" s="4">
        <v>15</v>
      </c>
      <c r="U487" s="5" t="s">
        <v>4677</v>
      </c>
      <c r="V487" s="5" t="s">
        <v>4650</v>
      </c>
      <c r="W487" s="5" t="s">
        <v>72</v>
      </c>
      <c r="X487" s="5" t="s">
        <v>72</v>
      </c>
      <c r="Y487" s="4">
        <v>38</v>
      </c>
      <c r="Z487" s="4">
        <v>4</v>
      </c>
      <c r="AA487" s="4">
        <v>37</v>
      </c>
      <c r="AB487" s="4">
        <v>1</v>
      </c>
      <c r="AC487" s="4">
        <v>6</v>
      </c>
      <c r="AD487" s="4">
        <v>5</v>
      </c>
      <c r="AE487" s="4">
        <v>120</v>
      </c>
      <c r="AF487" s="4">
        <v>0</v>
      </c>
      <c r="AG487" s="4">
        <v>4</v>
      </c>
      <c r="AH487" s="4">
        <v>4</v>
      </c>
      <c r="AI487" s="4">
        <v>99</v>
      </c>
      <c r="AJ487" s="4">
        <v>2</v>
      </c>
      <c r="AK487" s="4">
        <v>21</v>
      </c>
      <c r="AL487" s="4">
        <v>2</v>
      </c>
      <c r="AM487" s="4">
        <v>51</v>
      </c>
      <c r="AN487" s="4">
        <v>0</v>
      </c>
      <c r="AO487" s="4">
        <v>0</v>
      </c>
      <c r="AP487" s="4">
        <v>3</v>
      </c>
      <c r="AQ487" s="4">
        <v>28</v>
      </c>
      <c r="AR487" s="3" t="s">
        <v>64</v>
      </c>
      <c r="AS487" s="3" t="s">
        <v>64</v>
      </c>
      <c r="AT487" s="3" t="s">
        <v>64</v>
      </c>
      <c r="AV487" s="6" t="str">
        <f>HYPERLINK("http://mcgill.on.worldcat.org/oclc/192111559","Catalog Record")</f>
        <v>Catalog Record</v>
      </c>
      <c r="AW487" s="6" t="str">
        <f>HYPERLINK("http://www.worldcat.org/oclc/192111559","WorldCat Record")</f>
        <v>WorldCat Record</v>
      </c>
      <c r="AX487" s="3" t="s">
        <v>4671</v>
      </c>
      <c r="AY487" s="3" t="s">
        <v>4672</v>
      </c>
      <c r="AZ487" s="3" t="s">
        <v>4673</v>
      </c>
      <c r="BA487" s="3" t="s">
        <v>4673</v>
      </c>
      <c r="BB487" s="3" t="s">
        <v>4678</v>
      </c>
      <c r="BC487" s="3" t="s">
        <v>77</v>
      </c>
      <c r="BD487" s="3" t="s">
        <v>78</v>
      </c>
      <c r="BE487" s="3" t="s">
        <v>4675</v>
      </c>
      <c r="BF487" s="3" t="s">
        <v>4678</v>
      </c>
      <c r="BG487" s="3" t="s">
        <v>4679</v>
      </c>
      <c r="BH487">
        <f t="shared" si="17"/>
        <v>0</v>
      </c>
    </row>
    <row r="488" spans="1:60" ht="58" x14ac:dyDescent="0.35">
      <c r="A488" s="2" t="s">
        <v>59</v>
      </c>
      <c r="B488" s="2" t="s">
        <v>60</v>
      </c>
      <c r="C488" s="2" t="s">
        <v>4667</v>
      </c>
      <c r="D488" s="2" t="s">
        <v>4668</v>
      </c>
      <c r="E488" s="2" t="s">
        <v>4669</v>
      </c>
      <c r="G488" s="3" t="s">
        <v>64</v>
      </c>
      <c r="I488" s="3" t="s">
        <v>128</v>
      </c>
      <c r="J488" s="3" t="s">
        <v>128</v>
      </c>
      <c r="K488" s="3" t="s">
        <v>65</v>
      </c>
      <c r="L488" s="2" t="s">
        <v>4524</v>
      </c>
      <c r="M488" s="2" t="s">
        <v>4670</v>
      </c>
      <c r="N488" s="3" t="s">
        <v>1017</v>
      </c>
      <c r="P488" s="3" t="s">
        <v>102</v>
      </c>
      <c r="R488" s="3" t="s">
        <v>70</v>
      </c>
      <c r="S488" s="4">
        <v>9</v>
      </c>
      <c r="T488" s="4">
        <v>15</v>
      </c>
      <c r="U488" s="5" t="s">
        <v>4650</v>
      </c>
      <c r="V488" s="5" t="s">
        <v>4650</v>
      </c>
      <c r="W488" s="5" t="s">
        <v>72</v>
      </c>
      <c r="X488" s="5" t="s">
        <v>72</v>
      </c>
      <c r="Y488" s="4">
        <v>38</v>
      </c>
      <c r="Z488" s="4">
        <v>4</v>
      </c>
      <c r="AA488" s="4">
        <v>37</v>
      </c>
      <c r="AB488" s="4">
        <v>1</v>
      </c>
      <c r="AC488" s="4">
        <v>6</v>
      </c>
      <c r="AD488" s="4">
        <v>5</v>
      </c>
      <c r="AE488" s="4">
        <v>120</v>
      </c>
      <c r="AF488" s="4">
        <v>0</v>
      </c>
      <c r="AG488" s="4">
        <v>4</v>
      </c>
      <c r="AH488" s="4">
        <v>4</v>
      </c>
      <c r="AI488" s="4">
        <v>99</v>
      </c>
      <c r="AJ488" s="4">
        <v>2</v>
      </c>
      <c r="AK488" s="4">
        <v>21</v>
      </c>
      <c r="AL488" s="4">
        <v>2</v>
      </c>
      <c r="AM488" s="4">
        <v>51</v>
      </c>
      <c r="AN488" s="4">
        <v>0</v>
      </c>
      <c r="AO488" s="4">
        <v>0</v>
      </c>
      <c r="AP488" s="4">
        <v>3</v>
      </c>
      <c r="AQ488" s="4">
        <v>28</v>
      </c>
      <c r="AR488" s="3" t="s">
        <v>64</v>
      </c>
      <c r="AS488" s="3" t="s">
        <v>64</v>
      </c>
      <c r="AT488" s="3" t="s">
        <v>64</v>
      </c>
      <c r="AV488" s="6" t="str">
        <f>HYPERLINK("http://mcgill.on.worldcat.org/oclc/192111559","Catalog Record")</f>
        <v>Catalog Record</v>
      </c>
      <c r="AW488" s="6" t="str">
        <f>HYPERLINK("http://www.worldcat.org/oclc/192111559","WorldCat Record")</f>
        <v>WorldCat Record</v>
      </c>
      <c r="AX488" s="3" t="s">
        <v>4671</v>
      </c>
      <c r="AY488" s="3" t="s">
        <v>4672</v>
      </c>
      <c r="AZ488" s="3" t="s">
        <v>4673</v>
      </c>
      <c r="BA488" s="3" t="s">
        <v>4673</v>
      </c>
      <c r="BB488" s="3" t="s">
        <v>4680</v>
      </c>
      <c r="BC488" s="3" t="s">
        <v>77</v>
      </c>
      <c r="BD488" s="3" t="s">
        <v>78</v>
      </c>
      <c r="BE488" s="3" t="s">
        <v>4675</v>
      </c>
      <c r="BF488" s="3" t="s">
        <v>4680</v>
      </c>
      <c r="BG488" s="3" t="s">
        <v>4681</v>
      </c>
      <c r="BH488">
        <f t="shared" si="17"/>
        <v>0</v>
      </c>
    </row>
    <row r="489" spans="1:60" ht="58" x14ac:dyDescent="0.35">
      <c r="A489" s="2" t="s">
        <v>59</v>
      </c>
      <c r="B489" s="2" t="s">
        <v>60</v>
      </c>
      <c r="C489" s="2" t="s">
        <v>4682</v>
      </c>
      <c r="D489" s="2" t="s">
        <v>4683</v>
      </c>
      <c r="E489" s="2" t="s">
        <v>4684</v>
      </c>
      <c r="G489" s="3" t="s">
        <v>64</v>
      </c>
      <c r="I489" s="3" t="s">
        <v>64</v>
      </c>
      <c r="J489" s="3" t="s">
        <v>64</v>
      </c>
      <c r="K489" s="3" t="s">
        <v>65</v>
      </c>
      <c r="M489" s="2" t="s">
        <v>4685</v>
      </c>
      <c r="N489" s="3" t="s">
        <v>578</v>
      </c>
      <c r="P489" s="3" t="s">
        <v>102</v>
      </c>
      <c r="Q489" s="2" t="s">
        <v>4686</v>
      </c>
      <c r="R489" s="3" t="s">
        <v>70</v>
      </c>
      <c r="S489" s="4">
        <v>0</v>
      </c>
      <c r="T489" s="4">
        <v>0</v>
      </c>
      <c r="W489" s="5" t="s">
        <v>72</v>
      </c>
      <c r="X489" s="5" t="s">
        <v>72</v>
      </c>
      <c r="Y489" s="4">
        <v>71</v>
      </c>
      <c r="Z489" s="4">
        <v>9</v>
      </c>
      <c r="AA489" s="4">
        <v>18</v>
      </c>
      <c r="AB489" s="4">
        <v>1</v>
      </c>
      <c r="AC489" s="4">
        <v>7</v>
      </c>
      <c r="AD489" s="4">
        <v>33</v>
      </c>
      <c r="AE489" s="4">
        <v>54</v>
      </c>
      <c r="AF489" s="4">
        <v>0</v>
      </c>
      <c r="AG489" s="4">
        <v>3</v>
      </c>
      <c r="AH489" s="4">
        <v>29</v>
      </c>
      <c r="AI489" s="4">
        <v>44</v>
      </c>
      <c r="AJ489" s="4">
        <v>6</v>
      </c>
      <c r="AK489" s="4">
        <v>9</v>
      </c>
      <c r="AL489" s="4">
        <v>20</v>
      </c>
      <c r="AM489" s="4">
        <v>30</v>
      </c>
      <c r="AN489" s="4">
        <v>0</v>
      </c>
      <c r="AO489" s="4">
        <v>0</v>
      </c>
      <c r="AP489" s="4">
        <v>7</v>
      </c>
      <c r="AQ489" s="4">
        <v>11</v>
      </c>
      <c r="AR489" s="3" t="s">
        <v>64</v>
      </c>
      <c r="AS489" s="3" t="s">
        <v>64</v>
      </c>
      <c r="AT489" s="3" t="s">
        <v>64</v>
      </c>
      <c r="AV489" s="6" t="str">
        <f>HYPERLINK("http://mcgill.on.worldcat.org/oclc/987728146","Catalog Record")</f>
        <v>Catalog Record</v>
      </c>
      <c r="AW489" s="6" t="str">
        <f>HYPERLINK("http://www.worldcat.org/oclc/987728146","WorldCat Record")</f>
        <v>WorldCat Record</v>
      </c>
      <c r="AX489" s="3" t="s">
        <v>4687</v>
      </c>
      <c r="AY489" s="3" t="s">
        <v>4688</v>
      </c>
      <c r="AZ489" s="3" t="s">
        <v>4689</v>
      </c>
      <c r="BA489" s="3" t="s">
        <v>4689</v>
      </c>
      <c r="BB489" s="3" t="s">
        <v>4690</v>
      </c>
      <c r="BC489" s="3" t="s">
        <v>77</v>
      </c>
      <c r="BD489" s="3" t="s">
        <v>78</v>
      </c>
      <c r="BE489" s="3" t="s">
        <v>4691</v>
      </c>
      <c r="BF489" s="3" t="s">
        <v>4690</v>
      </c>
      <c r="BG489" s="3" t="s">
        <v>4692</v>
      </c>
      <c r="BH489">
        <f t="shared" si="17"/>
        <v>0</v>
      </c>
    </row>
    <row r="490" spans="1:60" ht="58" x14ac:dyDescent="0.35">
      <c r="A490" s="2" t="s">
        <v>59</v>
      </c>
      <c r="B490" s="2" t="s">
        <v>60</v>
      </c>
      <c r="C490" s="2" t="s">
        <v>4693</v>
      </c>
      <c r="D490" s="2" t="s">
        <v>4694</v>
      </c>
      <c r="E490" s="2" t="s">
        <v>4695</v>
      </c>
      <c r="G490" s="3" t="s">
        <v>64</v>
      </c>
      <c r="I490" s="3" t="s">
        <v>64</v>
      </c>
      <c r="J490" s="3" t="s">
        <v>64</v>
      </c>
      <c r="K490" s="3" t="s">
        <v>65</v>
      </c>
      <c r="M490" s="2" t="s">
        <v>4696</v>
      </c>
      <c r="N490" s="3" t="s">
        <v>144</v>
      </c>
      <c r="P490" s="3" t="s">
        <v>102</v>
      </c>
      <c r="R490" s="3" t="s">
        <v>70</v>
      </c>
      <c r="S490" s="4">
        <v>2</v>
      </c>
      <c r="T490" s="4">
        <v>2</v>
      </c>
      <c r="U490" s="5" t="s">
        <v>4697</v>
      </c>
      <c r="V490" s="5" t="s">
        <v>4697</v>
      </c>
      <c r="W490" s="5" t="s">
        <v>72</v>
      </c>
      <c r="X490" s="5" t="s">
        <v>72</v>
      </c>
      <c r="Y490" s="4">
        <v>140</v>
      </c>
      <c r="Z490" s="4">
        <v>14</v>
      </c>
      <c r="AA490" s="4">
        <v>17</v>
      </c>
      <c r="AB490" s="4">
        <v>2</v>
      </c>
      <c r="AC490" s="4">
        <v>2</v>
      </c>
      <c r="AD490" s="4">
        <v>52</v>
      </c>
      <c r="AE490" s="4">
        <v>56</v>
      </c>
      <c r="AF490" s="4">
        <v>0</v>
      </c>
      <c r="AG490" s="4">
        <v>0</v>
      </c>
      <c r="AH490" s="4">
        <v>46</v>
      </c>
      <c r="AI490" s="4">
        <v>50</v>
      </c>
      <c r="AJ490" s="4">
        <v>7</v>
      </c>
      <c r="AK490" s="4">
        <v>10</v>
      </c>
      <c r="AL490" s="4">
        <v>32</v>
      </c>
      <c r="AM490" s="4">
        <v>33</v>
      </c>
      <c r="AN490" s="4">
        <v>0</v>
      </c>
      <c r="AO490" s="4">
        <v>0</v>
      </c>
      <c r="AP490" s="4">
        <v>7</v>
      </c>
      <c r="AQ490" s="4">
        <v>10</v>
      </c>
      <c r="AR490" s="3" t="s">
        <v>64</v>
      </c>
      <c r="AS490" s="3" t="s">
        <v>64</v>
      </c>
      <c r="AT490" s="3" t="s">
        <v>64</v>
      </c>
      <c r="AV490" s="6" t="str">
        <f>HYPERLINK("http://mcgill.on.worldcat.org/oclc/225876136","Catalog Record")</f>
        <v>Catalog Record</v>
      </c>
      <c r="AW490" s="6" t="str">
        <f>HYPERLINK("http://www.worldcat.org/oclc/225876136","WorldCat Record")</f>
        <v>WorldCat Record</v>
      </c>
      <c r="AX490" s="3" t="s">
        <v>4698</v>
      </c>
      <c r="AY490" s="3" t="s">
        <v>4699</v>
      </c>
      <c r="AZ490" s="3" t="s">
        <v>4700</v>
      </c>
      <c r="BA490" s="3" t="s">
        <v>4700</v>
      </c>
      <c r="BB490" s="3" t="s">
        <v>4701</v>
      </c>
      <c r="BC490" s="3" t="s">
        <v>77</v>
      </c>
      <c r="BD490" s="3" t="s">
        <v>78</v>
      </c>
      <c r="BE490" s="3" t="s">
        <v>4702</v>
      </c>
      <c r="BF490" s="3" t="s">
        <v>4701</v>
      </c>
      <c r="BG490" s="3" t="s">
        <v>4703</v>
      </c>
      <c r="BH490">
        <f t="shared" si="17"/>
        <v>0</v>
      </c>
    </row>
    <row r="491" spans="1:60" ht="58" x14ac:dyDescent="0.35">
      <c r="A491" s="2" t="s">
        <v>59</v>
      </c>
      <c r="B491" s="2" t="s">
        <v>60</v>
      </c>
      <c r="C491" s="2" t="s">
        <v>4704</v>
      </c>
      <c r="D491" s="2" t="s">
        <v>4705</v>
      </c>
      <c r="E491" s="2" t="s">
        <v>4706</v>
      </c>
      <c r="G491" s="3" t="s">
        <v>64</v>
      </c>
      <c r="I491" s="3" t="s">
        <v>64</v>
      </c>
      <c r="J491" s="3" t="s">
        <v>64</v>
      </c>
      <c r="K491" s="3" t="s">
        <v>65</v>
      </c>
      <c r="L491" s="2" t="s">
        <v>4707</v>
      </c>
      <c r="M491" s="2" t="s">
        <v>4708</v>
      </c>
      <c r="N491" s="3" t="s">
        <v>537</v>
      </c>
      <c r="P491" s="3" t="s">
        <v>102</v>
      </c>
      <c r="Q491" s="2" t="s">
        <v>4709</v>
      </c>
      <c r="R491" s="3" t="s">
        <v>70</v>
      </c>
      <c r="S491" s="4">
        <v>3</v>
      </c>
      <c r="T491" s="4">
        <v>3</v>
      </c>
      <c r="U491" s="5" t="s">
        <v>4369</v>
      </c>
      <c r="V491" s="5" t="s">
        <v>4369</v>
      </c>
      <c r="W491" s="5" t="s">
        <v>72</v>
      </c>
      <c r="X491" s="5" t="s">
        <v>72</v>
      </c>
      <c r="Y491" s="4">
        <v>94</v>
      </c>
      <c r="Z491" s="4">
        <v>8</v>
      </c>
      <c r="AA491" s="4">
        <v>74</v>
      </c>
      <c r="AB491" s="4">
        <v>1</v>
      </c>
      <c r="AC491" s="4">
        <v>15</v>
      </c>
      <c r="AD491" s="4">
        <v>48</v>
      </c>
      <c r="AE491" s="4">
        <v>105</v>
      </c>
      <c r="AF491" s="4">
        <v>0</v>
      </c>
      <c r="AG491" s="4">
        <v>8</v>
      </c>
      <c r="AH491" s="4">
        <v>44</v>
      </c>
      <c r="AI491" s="4">
        <v>73</v>
      </c>
      <c r="AJ491" s="4">
        <v>6</v>
      </c>
      <c r="AK491" s="4">
        <v>18</v>
      </c>
      <c r="AL491" s="4">
        <v>30</v>
      </c>
      <c r="AM491" s="4">
        <v>42</v>
      </c>
      <c r="AN491" s="4">
        <v>0</v>
      </c>
      <c r="AO491" s="4">
        <v>0</v>
      </c>
      <c r="AP491" s="4">
        <v>6</v>
      </c>
      <c r="AQ491" s="4">
        <v>37</v>
      </c>
      <c r="AR491" s="3" t="s">
        <v>64</v>
      </c>
      <c r="AS491" s="3" t="s">
        <v>64</v>
      </c>
      <c r="AT491" s="3" t="s">
        <v>64</v>
      </c>
      <c r="AV491" s="6" t="str">
        <f>HYPERLINK("http://mcgill.on.worldcat.org/oclc/950449788","Catalog Record")</f>
        <v>Catalog Record</v>
      </c>
      <c r="AW491" s="6" t="str">
        <f>HYPERLINK("http://www.worldcat.org/oclc/950449788","WorldCat Record")</f>
        <v>WorldCat Record</v>
      </c>
      <c r="AX491" s="3" t="s">
        <v>4710</v>
      </c>
      <c r="AY491" s="3" t="s">
        <v>4711</v>
      </c>
      <c r="AZ491" s="3" t="s">
        <v>4712</v>
      </c>
      <c r="BA491" s="3" t="s">
        <v>4712</v>
      </c>
      <c r="BB491" s="3" t="s">
        <v>4713</v>
      </c>
      <c r="BC491" s="3" t="s">
        <v>77</v>
      </c>
      <c r="BD491" s="3" t="s">
        <v>78</v>
      </c>
      <c r="BE491" s="3" t="s">
        <v>4714</v>
      </c>
      <c r="BF491" s="3" t="s">
        <v>4713</v>
      </c>
      <c r="BG491" s="3" t="s">
        <v>4715</v>
      </c>
      <c r="BH491">
        <f t="shared" si="17"/>
        <v>0</v>
      </c>
    </row>
    <row r="492" spans="1:60" ht="58" x14ac:dyDescent="0.35">
      <c r="A492" s="2" t="s">
        <v>59</v>
      </c>
      <c r="B492" s="2" t="s">
        <v>60</v>
      </c>
      <c r="C492" s="2" t="s">
        <v>4716</v>
      </c>
      <c r="D492" s="2" t="s">
        <v>4717</v>
      </c>
      <c r="E492" s="2" t="s">
        <v>4718</v>
      </c>
      <c r="G492" s="3" t="s">
        <v>64</v>
      </c>
      <c r="I492" s="3" t="s">
        <v>64</v>
      </c>
      <c r="J492" s="3" t="s">
        <v>64</v>
      </c>
      <c r="K492" s="3" t="s">
        <v>65</v>
      </c>
      <c r="L492" s="2" t="s">
        <v>4719</v>
      </c>
      <c r="M492" s="2" t="s">
        <v>4720</v>
      </c>
      <c r="N492" s="3" t="s">
        <v>578</v>
      </c>
      <c r="P492" s="3" t="s">
        <v>102</v>
      </c>
      <c r="R492" s="3" t="s">
        <v>70</v>
      </c>
      <c r="S492" s="4">
        <v>0</v>
      </c>
      <c r="T492" s="4">
        <v>0</v>
      </c>
      <c r="W492" s="5" t="s">
        <v>72</v>
      </c>
      <c r="X492" s="5" t="s">
        <v>72</v>
      </c>
      <c r="Y492" s="4">
        <v>89</v>
      </c>
      <c r="Z492" s="4">
        <v>6</v>
      </c>
      <c r="AA492" s="4">
        <v>71</v>
      </c>
      <c r="AB492" s="4">
        <v>3</v>
      </c>
      <c r="AC492" s="4">
        <v>15</v>
      </c>
      <c r="AD492" s="4">
        <v>43</v>
      </c>
      <c r="AE492" s="4">
        <v>104</v>
      </c>
      <c r="AF492" s="4">
        <v>1</v>
      </c>
      <c r="AG492" s="4">
        <v>8</v>
      </c>
      <c r="AH492" s="4">
        <v>39</v>
      </c>
      <c r="AI492" s="4">
        <v>75</v>
      </c>
      <c r="AJ492" s="4">
        <v>4</v>
      </c>
      <c r="AK492" s="4">
        <v>18</v>
      </c>
      <c r="AL492" s="4">
        <v>30</v>
      </c>
      <c r="AM492" s="4">
        <v>44</v>
      </c>
      <c r="AN492" s="4">
        <v>0</v>
      </c>
      <c r="AO492" s="4">
        <v>0</v>
      </c>
      <c r="AP492" s="4">
        <v>4</v>
      </c>
      <c r="AQ492" s="4">
        <v>34</v>
      </c>
      <c r="AR492" s="3" t="s">
        <v>64</v>
      </c>
      <c r="AS492" s="3" t="s">
        <v>64</v>
      </c>
      <c r="AT492" s="3" t="s">
        <v>64</v>
      </c>
      <c r="AV492" s="6" t="str">
        <f>HYPERLINK("http://mcgill.on.worldcat.org/oclc/968777002","Catalog Record")</f>
        <v>Catalog Record</v>
      </c>
      <c r="AW492" s="6" t="str">
        <f>HYPERLINK("http://www.worldcat.org/oclc/968777002","WorldCat Record")</f>
        <v>WorldCat Record</v>
      </c>
      <c r="AX492" s="3" t="s">
        <v>4721</v>
      </c>
      <c r="AY492" s="3" t="s">
        <v>4722</v>
      </c>
      <c r="AZ492" s="3" t="s">
        <v>4723</v>
      </c>
      <c r="BA492" s="3" t="s">
        <v>4723</v>
      </c>
      <c r="BB492" s="3" t="s">
        <v>4724</v>
      </c>
      <c r="BC492" s="3" t="s">
        <v>77</v>
      </c>
      <c r="BD492" s="3" t="s">
        <v>78</v>
      </c>
      <c r="BE492" s="3" t="s">
        <v>4725</v>
      </c>
      <c r="BF492" s="3" t="s">
        <v>4724</v>
      </c>
      <c r="BG492" s="3" t="s">
        <v>4726</v>
      </c>
      <c r="BH492">
        <f t="shared" si="17"/>
        <v>0</v>
      </c>
    </row>
    <row r="493" spans="1:60" ht="58" x14ac:dyDescent="0.35">
      <c r="A493" s="2" t="s">
        <v>59</v>
      </c>
      <c r="B493" s="2" t="s">
        <v>60</v>
      </c>
      <c r="C493" s="2" t="s">
        <v>4727</v>
      </c>
      <c r="D493" s="2" t="s">
        <v>4728</v>
      </c>
      <c r="E493" s="2" t="s">
        <v>4729</v>
      </c>
      <c r="G493" s="3" t="s">
        <v>64</v>
      </c>
      <c r="I493" s="3" t="s">
        <v>64</v>
      </c>
      <c r="J493" s="3" t="s">
        <v>64</v>
      </c>
      <c r="K493" s="3" t="s">
        <v>65</v>
      </c>
      <c r="L493" s="2" t="s">
        <v>4730</v>
      </c>
      <c r="M493" s="2" t="s">
        <v>4731</v>
      </c>
      <c r="N493" s="3" t="s">
        <v>116</v>
      </c>
      <c r="P493" s="3" t="s">
        <v>102</v>
      </c>
      <c r="Q493" s="2" t="s">
        <v>4732</v>
      </c>
      <c r="R493" s="3" t="s">
        <v>70</v>
      </c>
      <c r="S493" s="4">
        <v>16</v>
      </c>
      <c r="T493" s="4">
        <v>16</v>
      </c>
      <c r="U493" s="5" t="s">
        <v>408</v>
      </c>
      <c r="V493" s="5" t="s">
        <v>408</v>
      </c>
      <c r="W493" s="5" t="s">
        <v>72</v>
      </c>
      <c r="X493" s="5" t="s">
        <v>72</v>
      </c>
      <c r="Y493" s="4">
        <v>255</v>
      </c>
      <c r="Z493" s="4">
        <v>24</v>
      </c>
      <c r="AA493" s="4">
        <v>122</v>
      </c>
      <c r="AB493" s="4">
        <v>1</v>
      </c>
      <c r="AC493" s="4">
        <v>23</v>
      </c>
      <c r="AD493" s="4">
        <v>92</v>
      </c>
      <c r="AE493" s="4">
        <v>144</v>
      </c>
      <c r="AF493" s="4">
        <v>0</v>
      </c>
      <c r="AG493" s="4">
        <v>9</v>
      </c>
      <c r="AH493" s="4">
        <v>77</v>
      </c>
      <c r="AI493" s="4">
        <v>95</v>
      </c>
      <c r="AJ493" s="4">
        <v>14</v>
      </c>
      <c r="AK493" s="4">
        <v>28</v>
      </c>
      <c r="AL493" s="4">
        <v>50</v>
      </c>
      <c r="AM493" s="4">
        <v>55</v>
      </c>
      <c r="AN493" s="4">
        <v>0</v>
      </c>
      <c r="AO493" s="4">
        <v>0</v>
      </c>
      <c r="AP493" s="4">
        <v>17</v>
      </c>
      <c r="AQ493" s="4">
        <v>56</v>
      </c>
      <c r="AR493" s="3" t="s">
        <v>128</v>
      </c>
      <c r="AS493" s="3" t="s">
        <v>64</v>
      </c>
      <c r="AT493" s="3" t="s">
        <v>64</v>
      </c>
      <c r="AV493" s="6" t="str">
        <f>HYPERLINK("http://mcgill.on.worldcat.org/oclc/46620672","Catalog Record")</f>
        <v>Catalog Record</v>
      </c>
      <c r="AW493" s="6" t="str">
        <f>HYPERLINK("http://www.worldcat.org/oclc/46620672","WorldCat Record")</f>
        <v>WorldCat Record</v>
      </c>
      <c r="AX493" s="3" t="s">
        <v>4733</v>
      </c>
      <c r="AY493" s="3" t="s">
        <v>4734</v>
      </c>
      <c r="AZ493" s="3" t="s">
        <v>4735</v>
      </c>
      <c r="BA493" s="3" t="s">
        <v>4735</v>
      </c>
      <c r="BB493" s="3" t="s">
        <v>4736</v>
      </c>
      <c r="BC493" s="3" t="s">
        <v>77</v>
      </c>
      <c r="BD493" s="3" t="s">
        <v>78</v>
      </c>
      <c r="BE493" s="3" t="s">
        <v>4737</v>
      </c>
      <c r="BF493" s="3" t="s">
        <v>4736</v>
      </c>
      <c r="BG493" s="3" t="s">
        <v>4738</v>
      </c>
      <c r="BH493">
        <f t="shared" si="17"/>
        <v>0</v>
      </c>
    </row>
    <row r="494" spans="1:60" ht="58" x14ac:dyDescent="0.35">
      <c r="A494" s="2" t="s">
        <v>59</v>
      </c>
      <c r="B494" s="2" t="s">
        <v>60</v>
      </c>
      <c r="C494" s="2" t="s">
        <v>4739</v>
      </c>
      <c r="D494" s="2" t="s">
        <v>4740</v>
      </c>
      <c r="E494" s="2" t="s">
        <v>4741</v>
      </c>
      <c r="F494" s="3" t="s">
        <v>525</v>
      </c>
      <c r="G494" s="3" t="s">
        <v>128</v>
      </c>
      <c r="I494" s="3" t="s">
        <v>64</v>
      </c>
      <c r="J494" s="3" t="s">
        <v>64</v>
      </c>
      <c r="K494" s="3" t="s">
        <v>65</v>
      </c>
      <c r="M494" s="2" t="s">
        <v>4742</v>
      </c>
      <c r="N494" s="3" t="s">
        <v>421</v>
      </c>
      <c r="P494" s="3" t="s">
        <v>365</v>
      </c>
      <c r="Q494" s="2" t="s">
        <v>4743</v>
      </c>
      <c r="R494" s="3" t="s">
        <v>70</v>
      </c>
      <c r="S494" s="4">
        <v>3</v>
      </c>
      <c r="T494" s="4">
        <v>6</v>
      </c>
      <c r="U494" s="5" t="s">
        <v>1102</v>
      </c>
      <c r="V494" s="5" t="s">
        <v>1102</v>
      </c>
      <c r="W494" s="5" t="s">
        <v>72</v>
      </c>
      <c r="X494" s="5" t="s">
        <v>72</v>
      </c>
      <c r="Y494" s="4">
        <v>74</v>
      </c>
      <c r="Z494" s="4">
        <v>4</v>
      </c>
      <c r="AA494" s="4">
        <v>4</v>
      </c>
      <c r="AB494" s="4">
        <v>1</v>
      </c>
      <c r="AC494" s="4">
        <v>1</v>
      </c>
      <c r="AD494" s="4">
        <v>42</v>
      </c>
      <c r="AE494" s="4">
        <v>42</v>
      </c>
      <c r="AF494" s="4">
        <v>0</v>
      </c>
      <c r="AG494" s="4">
        <v>0</v>
      </c>
      <c r="AH494" s="4">
        <v>41</v>
      </c>
      <c r="AI494" s="4">
        <v>41</v>
      </c>
      <c r="AJ494" s="4">
        <v>2</v>
      </c>
      <c r="AK494" s="4">
        <v>2</v>
      </c>
      <c r="AL494" s="4">
        <v>30</v>
      </c>
      <c r="AM494" s="4">
        <v>30</v>
      </c>
      <c r="AN494" s="4">
        <v>0</v>
      </c>
      <c r="AO494" s="4">
        <v>0</v>
      </c>
      <c r="AP494" s="4">
        <v>2</v>
      </c>
      <c r="AQ494" s="4">
        <v>2</v>
      </c>
      <c r="AR494" s="3" t="s">
        <v>64</v>
      </c>
      <c r="AS494" s="3" t="s">
        <v>64</v>
      </c>
      <c r="AT494" s="3" t="s">
        <v>128</v>
      </c>
      <c r="AU494" s="6" t="str">
        <f>HYPERLINK("http://catalog.hathitrust.org/Record/003188526","HathiTrust Record")</f>
        <v>HathiTrust Record</v>
      </c>
      <c r="AV494" s="6" t="str">
        <f>HYPERLINK("http://mcgill.on.worldcat.org/oclc/37623677","Catalog Record")</f>
        <v>Catalog Record</v>
      </c>
      <c r="AW494" s="6" t="str">
        <f>HYPERLINK("http://www.worldcat.org/oclc/37623677","WorldCat Record")</f>
        <v>WorldCat Record</v>
      </c>
      <c r="AX494" s="3" t="s">
        <v>4744</v>
      </c>
      <c r="AY494" s="3" t="s">
        <v>4745</v>
      </c>
      <c r="AZ494" s="3" t="s">
        <v>4746</v>
      </c>
      <c r="BA494" s="3" t="s">
        <v>4746</v>
      </c>
      <c r="BB494" s="3" t="s">
        <v>4747</v>
      </c>
      <c r="BC494" s="3" t="s">
        <v>77</v>
      </c>
      <c r="BD494" s="3" t="s">
        <v>78</v>
      </c>
      <c r="BE494" s="3" t="s">
        <v>4748</v>
      </c>
      <c r="BF494" s="3" t="s">
        <v>4747</v>
      </c>
      <c r="BG494" s="3" t="s">
        <v>4749</v>
      </c>
      <c r="BH494">
        <f t="shared" si="17"/>
        <v>0</v>
      </c>
    </row>
    <row r="495" spans="1:60" ht="58" x14ac:dyDescent="0.35">
      <c r="A495" s="2" t="s">
        <v>59</v>
      </c>
      <c r="B495" s="2" t="s">
        <v>60</v>
      </c>
      <c r="C495" s="2" t="s">
        <v>4739</v>
      </c>
      <c r="D495" s="2" t="s">
        <v>4740</v>
      </c>
      <c r="E495" s="2" t="s">
        <v>4741</v>
      </c>
      <c r="F495" s="3" t="s">
        <v>529</v>
      </c>
      <c r="G495" s="3" t="s">
        <v>128</v>
      </c>
      <c r="I495" s="3" t="s">
        <v>64</v>
      </c>
      <c r="J495" s="3" t="s">
        <v>64</v>
      </c>
      <c r="K495" s="3" t="s">
        <v>65</v>
      </c>
      <c r="M495" s="2" t="s">
        <v>4742</v>
      </c>
      <c r="N495" s="3" t="s">
        <v>421</v>
      </c>
      <c r="P495" s="3" t="s">
        <v>365</v>
      </c>
      <c r="Q495" s="2" t="s">
        <v>4743</v>
      </c>
      <c r="R495" s="3" t="s">
        <v>70</v>
      </c>
      <c r="S495" s="4">
        <v>3</v>
      </c>
      <c r="T495" s="4">
        <v>6</v>
      </c>
      <c r="U495" s="5" t="s">
        <v>4750</v>
      </c>
      <c r="V495" s="5" t="s">
        <v>1102</v>
      </c>
      <c r="W495" s="5" t="s">
        <v>72</v>
      </c>
      <c r="X495" s="5" t="s">
        <v>72</v>
      </c>
      <c r="Y495" s="4">
        <v>74</v>
      </c>
      <c r="Z495" s="4">
        <v>4</v>
      </c>
      <c r="AA495" s="4">
        <v>4</v>
      </c>
      <c r="AB495" s="4">
        <v>1</v>
      </c>
      <c r="AC495" s="4">
        <v>1</v>
      </c>
      <c r="AD495" s="4">
        <v>42</v>
      </c>
      <c r="AE495" s="4">
        <v>42</v>
      </c>
      <c r="AF495" s="4">
        <v>0</v>
      </c>
      <c r="AG495" s="4">
        <v>0</v>
      </c>
      <c r="AH495" s="4">
        <v>41</v>
      </c>
      <c r="AI495" s="4">
        <v>41</v>
      </c>
      <c r="AJ495" s="4">
        <v>2</v>
      </c>
      <c r="AK495" s="4">
        <v>2</v>
      </c>
      <c r="AL495" s="4">
        <v>30</v>
      </c>
      <c r="AM495" s="4">
        <v>30</v>
      </c>
      <c r="AN495" s="4">
        <v>0</v>
      </c>
      <c r="AO495" s="4">
        <v>0</v>
      </c>
      <c r="AP495" s="4">
        <v>2</v>
      </c>
      <c r="AQ495" s="4">
        <v>2</v>
      </c>
      <c r="AR495" s="3" t="s">
        <v>64</v>
      </c>
      <c r="AS495" s="3" t="s">
        <v>64</v>
      </c>
      <c r="AT495" s="3" t="s">
        <v>128</v>
      </c>
      <c r="AU495" s="6" t="str">
        <f>HYPERLINK("http://catalog.hathitrust.org/Record/003188526","HathiTrust Record")</f>
        <v>HathiTrust Record</v>
      </c>
      <c r="AV495" s="6" t="str">
        <f>HYPERLINK("http://mcgill.on.worldcat.org/oclc/37623677","Catalog Record")</f>
        <v>Catalog Record</v>
      </c>
      <c r="AW495" s="6" t="str">
        <f>HYPERLINK("http://www.worldcat.org/oclc/37623677","WorldCat Record")</f>
        <v>WorldCat Record</v>
      </c>
      <c r="AX495" s="3" t="s">
        <v>4744</v>
      </c>
      <c r="AY495" s="3" t="s">
        <v>4745</v>
      </c>
      <c r="AZ495" s="3" t="s">
        <v>4746</v>
      </c>
      <c r="BA495" s="3" t="s">
        <v>4746</v>
      </c>
      <c r="BB495" s="3" t="s">
        <v>4751</v>
      </c>
      <c r="BC495" s="3" t="s">
        <v>77</v>
      </c>
      <c r="BD495" s="3" t="s">
        <v>78</v>
      </c>
      <c r="BE495" s="3" t="s">
        <v>4748</v>
      </c>
      <c r="BF495" s="3" t="s">
        <v>4751</v>
      </c>
      <c r="BG495" s="3" t="s">
        <v>4752</v>
      </c>
      <c r="BH495">
        <f t="shared" si="17"/>
        <v>0</v>
      </c>
    </row>
    <row r="496" spans="1:60" ht="58" x14ac:dyDescent="0.35">
      <c r="A496" s="2" t="s">
        <v>59</v>
      </c>
      <c r="B496" s="2" t="s">
        <v>60</v>
      </c>
      <c r="C496" s="2" t="s">
        <v>4753</v>
      </c>
      <c r="D496" s="2" t="s">
        <v>4754</v>
      </c>
      <c r="E496" s="2" t="s">
        <v>4755</v>
      </c>
      <c r="G496" s="3" t="s">
        <v>64</v>
      </c>
      <c r="I496" s="3" t="s">
        <v>64</v>
      </c>
      <c r="J496" s="3" t="s">
        <v>64</v>
      </c>
      <c r="K496" s="3" t="s">
        <v>65</v>
      </c>
      <c r="M496" s="2" t="s">
        <v>4756</v>
      </c>
      <c r="N496" s="3" t="s">
        <v>1250</v>
      </c>
      <c r="P496" s="3" t="s">
        <v>365</v>
      </c>
      <c r="Q496" s="2" t="s">
        <v>4757</v>
      </c>
      <c r="R496" s="3" t="s">
        <v>70</v>
      </c>
      <c r="S496" s="4">
        <v>3</v>
      </c>
      <c r="T496" s="4">
        <v>3</v>
      </c>
      <c r="U496" s="5" t="s">
        <v>4758</v>
      </c>
      <c r="V496" s="5" t="s">
        <v>4758</v>
      </c>
      <c r="W496" s="5" t="s">
        <v>72</v>
      </c>
      <c r="X496" s="5" t="s">
        <v>72</v>
      </c>
      <c r="Y496" s="4">
        <v>40</v>
      </c>
      <c r="Z496" s="4">
        <v>3</v>
      </c>
      <c r="AA496" s="4">
        <v>3</v>
      </c>
      <c r="AB496" s="4">
        <v>1</v>
      </c>
      <c r="AC496" s="4">
        <v>1</v>
      </c>
      <c r="AD496" s="4">
        <v>18</v>
      </c>
      <c r="AE496" s="4">
        <v>18</v>
      </c>
      <c r="AF496" s="4">
        <v>0</v>
      </c>
      <c r="AG496" s="4">
        <v>0</v>
      </c>
      <c r="AH496" s="4">
        <v>17</v>
      </c>
      <c r="AI496" s="4">
        <v>17</v>
      </c>
      <c r="AJ496" s="4">
        <v>1</v>
      </c>
      <c r="AK496" s="4">
        <v>1</v>
      </c>
      <c r="AL496" s="4">
        <v>16</v>
      </c>
      <c r="AM496" s="4">
        <v>16</v>
      </c>
      <c r="AN496" s="4">
        <v>0</v>
      </c>
      <c r="AO496" s="4">
        <v>0</v>
      </c>
      <c r="AP496" s="4">
        <v>1</v>
      </c>
      <c r="AQ496" s="4">
        <v>1</v>
      </c>
      <c r="AR496" s="3" t="s">
        <v>64</v>
      </c>
      <c r="AS496" s="3" t="s">
        <v>64</v>
      </c>
      <c r="AT496" s="3" t="s">
        <v>128</v>
      </c>
      <c r="AU496" s="6" t="str">
        <f>HYPERLINK("http://catalog.hathitrust.org/Record/002968416","HathiTrust Record")</f>
        <v>HathiTrust Record</v>
      </c>
      <c r="AV496" s="6" t="str">
        <f>HYPERLINK("http://mcgill.on.worldcat.org/oclc/31856794","Catalog Record")</f>
        <v>Catalog Record</v>
      </c>
      <c r="AW496" s="6" t="str">
        <f>HYPERLINK("http://www.worldcat.org/oclc/31856794","WorldCat Record")</f>
        <v>WorldCat Record</v>
      </c>
      <c r="AX496" s="3" t="s">
        <v>4759</v>
      </c>
      <c r="AY496" s="3" t="s">
        <v>4760</v>
      </c>
      <c r="AZ496" s="3" t="s">
        <v>4761</v>
      </c>
      <c r="BA496" s="3" t="s">
        <v>4761</v>
      </c>
      <c r="BB496" s="3" t="s">
        <v>4762</v>
      </c>
      <c r="BC496" s="3" t="s">
        <v>77</v>
      </c>
      <c r="BD496" s="3" t="s">
        <v>78</v>
      </c>
      <c r="BF496" s="3" t="s">
        <v>4762</v>
      </c>
      <c r="BG496" s="3" t="s">
        <v>4763</v>
      </c>
      <c r="BH496">
        <f t="shared" si="17"/>
        <v>0</v>
      </c>
    </row>
    <row r="497" spans="1:60" ht="58" x14ac:dyDescent="0.35">
      <c r="A497" s="2" t="s">
        <v>59</v>
      </c>
      <c r="B497" s="2" t="s">
        <v>60</v>
      </c>
      <c r="C497" s="2" t="s">
        <v>4764</v>
      </c>
      <c r="D497" s="2" t="s">
        <v>4765</v>
      </c>
      <c r="E497" s="2" t="s">
        <v>4766</v>
      </c>
      <c r="G497" s="3" t="s">
        <v>64</v>
      </c>
      <c r="I497" s="3" t="s">
        <v>64</v>
      </c>
      <c r="J497" s="3" t="s">
        <v>64</v>
      </c>
      <c r="K497" s="3" t="s">
        <v>65</v>
      </c>
      <c r="L497" s="2" t="s">
        <v>4767</v>
      </c>
      <c r="M497" s="2" t="s">
        <v>4768</v>
      </c>
      <c r="N497" s="3" t="s">
        <v>898</v>
      </c>
      <c r="P497" s="3" t="s">
        <v>365</v>
      </c>
      <c r="R497" s="3" t="s">
        <v>70</v>
      </c>
      <c r="S497" s="4">
        <v>4</v>
      </c>
      <c r="T497" s="4">
        <v>4</v>
      </c>
      <c r="U497" s="5" t="s">
        <v>4397</v>
      </c>
      <c r="V497" s="5" t="s">
        <v>4397</v>
      </c>
      <c r="W497" s="5" t="s">
        <v>72</v>
      </c>
      <c r="X497" s="5" t="s">
        <v>72</v>
      </c>
      <c r="Y497" s="4">
        <v>69</v>
      </c>
      <c r="Z497" s="4">
        <v>4</v>
      </c>
      <c r="AA497" s="4">
        <v>4</v>
      </c>
      <c r="AB497" s="4">
        <v>1</v>
      </c>
      <c r="AC497" s="4">
        <v>1</v>
      </c>
      <c r="AD497" s="4">
        <v>29</v>
      </c>
      <c r="AE497" s="4">
        <v>29</v>
      </c>
      <c r="AF497" s="4">
        <v>0</v>
      </c>
      <c r="AG497" s="4">
        <v>0</v>
      </c>
      <c r="AH497" s="4">
        <v>27</v>
      </c>
      <c r="AI497" s="4">
        <v>27</v>
      </c>
      <c r="AJ497" s="4">
        <v>2</v>
      </c>
      <c r="AK497" s="4">
        <v>2</v>
      </c>
      <c r="AL497" s="4">
        <v>23</v>
      </c>
      <c r="AM497" s="4">
        <v>23</v>
      </c>
      <c r="AN497" s="4">
        <v>0</v>
      </c>
      <c r="AO497" s="4">
        <v>0</v>
      </c>
      <c r="AP497" s="4">
        <v>2</v>
      </c>
      <c r="AQ497" s="4">
        <v>2</v>
      </c>
      <c r="AR497" s="3" t="s">
        <v>64</v>
      </c>
      <c r="AS497" s="3" t="s">
        <v>64</v>
      </c>
      <c r="AT497" s="3" t="s">
        <v>64</v>
      </c>
      <c r="AV497" s="6" t="str">
        <f>HYPERLINK("http://mcgill.on.worldcat.org/oclc/6890134","Catalog Record")</f>
        <v>Catalog Record</v>
      </c>
      <c r="AW497" s="6" t="str">
        <f>HYPERLINK("http://www.worldcat.org/oclc/6890134","WorldCat Record")</f>
        <v>WorldCat Record</v>
      </c>
      <c r="AX497" s="3" t="s">
        <v>4769</v>
      </c>
      <c r="AY497" s="3" t="s">
        <v>4770</v>
      </c>
      <c r="AZ497" s="3" t="s">
        <v>4771</v>
      </c>
      <c r="BA497" s="3" t="s">
        <v>4771</v>
      </c>
      <c r="BB497" s="3" t="s">
        <v>4772</v>
      </c>
      <c r="BC497" s="3" t="s">
        <v>77</v>
      </c>
      <c r="BD497" s="3" t="s">
        <v>78</v>
      </c>
      <c r="BF497" s="3" t="s">
        <v>4772</v>
      </c>
      <c r="BG497" s="3" t="s">
        <v>4773</v>
      </c>
      <c r="BH497">
        <f t="shared" si="17"/>
        <v>0</v>
      </c>
    </row>
    <row r="498" spans="1:60" ht="72.5" x14ac:dyDescent="0.35">
      <c r="A498" s="2" t="s">
        <v>59</v>
      </c>
      <c r="B498" s="2" t="s">
        <v>60</v>
      </c>
      <c r="C498" s="2" t="s">
        <v>4774</v>
      </c>
      <c r="D498" s="2" t="s">
        <v>4775</v>
      </c>
      <c r="E498" s="2" t="s">
        <v>4776</v>
      </c>
      <c r="G498" s="3" t="s">
        <v>64</v>
      </c>
      <c r="I498" s="3" t="s">
        <v>128</v>
      </c>
      <c r="J498" s="3" t="s">
        <v>64</v>
      </c>
      <c r="K498" s="3" t="s">
        <v>65</v>
      </c>
      <c r="L498" s="2" t="s">
        <v>4777</v>
      </c>
      <c r="M498" s="2" t="s">
        <v>4778</v>
      </c>
      <c r="N498" s="3" t="s">
        <v>3910</v>
      </c>
      <c r="P498" s="3" t="s">
        <v>102</v>
      </c>
      <c r="R498" s="3" t="s">
        <v>70</v>
      </c>
      <c r="S498" s="4">
        <v>18</v>
      </c>
      <c r="T498" s="4">
        <v>18</v>
      </c>
      <c r="U498" s="5" t="s">
        <v>4779</v>
      </c>
      <c r="V498" s="5" t="s">
        <v>4779</v>
      </c>
      <c r="W498" s="5" t="s">
        <v>72</v>
      </c>
      <c r="X498" s="5" t="s">
        <v>72</v>
      </c>
      <c r="Y498" s="4">
        <v>115</v>
      </c>
      <c r="Z498" s="4">
        <v>9</v>
      </c>
      <c r="AA498" s="4">
        <v>22</v>
      </c>
      <c r="AB498" s="4">
        <v>1</v>
      </c>
      <c r="AC498" s="4">
        <v>2</v>
      </c>
      <c r="AD498" s="4">
        <v>37</v>
      </c>
      <c r="AE498" s="4">
        <v>64</v>
      </c>
      <c r="AF498" s="4">
        <v>0</v>
      </c>
      <c r="AG498" s="4">
        <v>0</v>
      </c>
      <c r="AH498" s="4">
        <v>36</v>
      </c>
      <c r="AI498" s="4">
        <v>58</v>
      </c>
      <c r="AJ498" s="4">
        <v>2</v>
      </c>
      <c r="AK498" s="4">
        <v>4</v>
      </c>
      <c r="AL498" s="4">
        <v>24</v>
      </c>
      <c r="AM498" s="4">
        <v>40</v>
      </c>
      <c r="AN498" s="4">
        <v>0</v>
      </c>
      <c r="AO498" s="4">
        <v>0</v>
      </c>
      <c r="AP498" s="4">
        <v>2</v>
      </c>
      <c r="AQ498" s="4">
        <v>7</v>
      </c>
      <c r="AR498" s="3" t="s">
        <v>64</v>
      </c>
      <c r="AS498" s="3" t="s">
        <v>64</v>
      </c>
      <c r="AT498" s="3" t="s">
        <v>64</v>
      </c>
      <c r="AU498" s="6" t="str">
        <f>HYPERLINK("http://catalog.hathitrust.org/Record/001160037","HathiTrust Record")</f>
        <v>HathiTrust Record</v>
      </c>
      <c r="AV498" s="6" t="str">
        <f>HYPERLINK("http://mcgill.on.worldcat.org/oclc/7587965","Catalog Record")</f>
        <v>Catalog Record</v>
      </c>
      <c r="AW498" s="6" t="str">
        <f>HYPERLINK("http://www.worldcat.org/oclc/7587965","WorldCat Record")</f>
        <v>WorldCat Record</v>
      </c>
      <c r="AX498" s="3" t="s">
        <v>4780</v>
      </c>
      <c r="AY498" s="3" t="s">
        <v>4781</v>
      </c>
      <c r="AZ498" s="3" t="s">
        <v>4782</v>
      </c>
      <c r="BA498" s="3" t="s">
        <v>4782</v>
      </c>
      <c r="BB498" s="3" t="s">
        <v>4783</v>
      </c>
      <c r="BC498" s="3" t="s">
        <v>77</v>
      </c>
      <c r="BD498" s="3" t="s">
        <v>78</v>
      </c>
      <c r="BF498" s="3" t="s">
        <v>4783</v>
      </c>
      <c r="BG498" s="3" t="s">
        <v>4784</v>
      </c>
      <c r="BH498">
        <f t="shared" si="17"/>
        <v>0</v>
      </c>
    </row>
    <row r="499" spans="1:60" ht="58" x14ac:dyDescent="0.35">
      <c r="A499" s="2" t="s">
        <v>59</v>
      </c>
      <c r="B499" s="2" t="s">
        <v>60</v>
      </c>
      <c r="C499" s="2" t="s">
        <v>4785</v>
      </c>
      <c r="D499" s="2" t="s">
        <v>4786</v>
      </c>
      <c r="E499" s="2" t="s">
        <v>4787</v>
      </c>
      <c r="G499" s="3" t="s">
        <v>64</v>
      </c>
      <c r="I499" s="3" t="s">
        <v>64</v>
      </c>
      <c r="J499" s="3" t="s">
        <v>64</v>
      </c>
      <c r="K499" s="3" t="s">
        <v>65</v>
      </c>
      <c r="L499" s="2" t="s">
        <v>4788</v>
      </c>
      <c r="M499" s="2" t="s">
        <v>4789</v>
      </c>
      <c r="N499" s="3" t="s">
        <v>86</v>
      </c>
      <c r="O499" s="2" t="s">
        <v>4790</v>
      </c>
      <c r="P499" s="3" t="s">
        <v>365</v>
      </c>
      <c r="Q499" s="2" t="s">
        <v>4791</v>
      </c>
      <c r="R499" s="3" t="s">
        <v>70</v>
      </c>
      <c r="S499" s="4">
        <v>2</v>
      </c>
      <c r="T499" s="4">
        <v>2</v>
      </c>
      <c r="U499" s="5" t="s">
        <v>4792</v>
      </c>
      <c r="V499" s="5" t="s">
        <v>4792</v>
      </c>
      <c r="W499" s="5" t="s">
        <v>72</v>
      </c>
      <c r="X499" s="5" t="s">
        <v>72</v>
      </c>
      <c r="Y499" s="4">
        <v>19</v>
      </c>
      <c r="Z499" s="4">
        <v>1</v>
      </c>
      <c r="AA499" s="4">
        <v>2</v>
      </c>
      <c r="AB499" s="4">
        <v>1</v>
      </c>
      <c r="AC499" s="4">
        <v>2</v>
      </c>
      <c r="AD499" s="4">
        <v>9</v>
      </c>
      <c r="AE499" s="4">
        <v>9</v>
      </c>
      <c r="AF499" s="4">
        <v>0</v>
      </c>
      <c r="AG499" s="4">
        <v>0</v>
      </c>
      <c r="AH499" s="4">
        <v>8</v>
      </c>
      <c r="AI499" s="4">
        <v>8</v>
      </c>
      <c r="AJ499" s="4">
        <v>0</v>
      </c>
      <c r="AK499" s="4">
        <v>0</v>
      </c>
      <c r="AL499" s="4">
        <v>6</v>
      </c>
      <c r="AM499" s="4">
        <v>6</v>
      </c>
      <c r="AN499" s="4">
        <v>0</v>
      </c>
      <c r="AO499" s="4">
        <v>0</v>
      </c>
      <c r="AP499" s="4">
        <v>0</v>
      </c>
      <c r="AQ499" s="4">
        <v>0</v>
      </c>
      <c r="AR499" s="3" t="s">
        <v>64</v>
      </c>
      <c r="AS499" s="3" t="s">
        <v>64</v>
      </c>
      <c r="AT499" s="3" t="s">
        <v>64</v>
      </c>
      <c r="AV499" s="6" t="str">
        <f>HYPERLINK("http://mcgill.on.worldcat.org/oclc/776487981","Catalog Record")</f>
        <v>Catalog Record</v>
      </c>
      <c r="AW499" s="6" t="str">
        <f>HYPERLINK("http://www.worldcat.org/oclc/776487981","WorldCat Record")</f>
        <v>WorldCat Record</v>
      </c>
      <c r="AX499" s="3" t="s">
        <v>4793</v>
      </c>
      <c r="AY499" s="3" t="s">
        <v>4794</v>
      </c>
      <c r="AZ499" s="3" t="s">
        <v>4795</v>
      </c>
      <c r="BA499" s="3" t="s">
        <v>4795</v>
      </c>
      <c r="BB499" s="3" t="s">
        <v>4796</v>
      </c>
      <c r="BC499" s="3" t="s">
        <v>77</v>
      </c>
      <c r="BD499" s="3" t="s">
        <v>78</v>
      </c>
      <c r="BE499" s="3" t="s">
        <v>4797</v>
      </c>
      <c r="BF499" s="3" t="s">
        <v>4796</v>
      </c>
      <c r="BG499" s="3" t="s">
        <v>4798</v>
      </c>
      <c r="BH499">
        <f t="shared" si="17"/>
        <v>0</v>
      </c>
    </row>
    <row r="500" spans="1:60" ht="58" x14ac:dyDescent="0.35">
      <c r="A500" s="2" t="s">
        <v>59</v>
      </c>
      <c r="B500" s="2" t="s">
        <v>60</v>
      </c>
      <c r="C500" s="2" t="s">
        <v>4799</v>
      </c>
      <c r="D500" s="2" t="s">
        <v>4800</v>
      </c>
      <c r="E500" s="2" t="s">
        <v>4801</v>
      </c>
      <c r="G500" s="3" t="s">
        <v>64</v>
      </c>
      <c r="I500" s="3" t="s">
        <v>64</v>
      </c>
      <c r="J500" s="3" t="s">
        <v>64</v>
      </c>
      <c r="K500" s="3" t="s">
        <v>65</v>
      </c>
      <c r="L500" s="2" t="s">
        <v>4802</v>
      </c>
      <c r="M500" s="2" t="s">
        <v>4803</v>
      </c>
      <c r="N500" s="3" t="s">
        <v>1075</v>
      </c>
      <c r="P500" s="3" t="s">
        <v>102</v>
      </c>
      <c r="R500" s="3" t="s">
        <v>70</v>
      </c>
      <c r="S500" s="4">
        <v>6</v>
      </c>
      <c r="T500" s="4">
        <v>6</v>
      </c>
      <c r="U500" s="5" t="s">
        <v>4804</v>
      </c>
      <c r="V500" s="5" t="s">
        <v>4804</v>
      </c>
      <c r="W500" s="5" t="s">
        <v>72</v>
      </c>
      <c r="X500" s="5" t="s">
        <v>72</v>
      </c>
      <c r="Y500" s="4">
        <v>133</v>
      </c>
      <c r="Z500" s="4">
        <v>14</v>
      </c>
      <c r="AA500" s="4">
        <v>17</v>
      </c>
      <c r="AB500" s="4">
        <v>3</v>
      </c>
      <c r="AC500" s="4">
        <v>5</v>
      </c>
      <c r="AD500" s="4">
        <v>37</v>
      </c>
      <c r="AE500" s="4">
        <v>37</v>
      </c>
      <c r="AF500" s="4">
        <v>0</v>
      </c>
      <c r="AG500" s="4">
        <v>0</v>
      </c>
      <c r="AH500" s="4">
        <v>35</v>
      </c>
      <c r="AI500" s="4">
        <v>35</v>
      </c>
      <c r="AJ500" s="4">
        <v>5</v>
      </c>
      <c r="AK500" s="4">
        <v>5</v>
      </c>
      <c r="AL500" s="4">
        <v>23</v>
      </c>
      <c r="AM500" s="4">
        <v>23</v>
      </c>
      <c r="AN500" s="4">
        <v>0</v>
      </c>
      <c r="AO500" s="4">
        <v>0</v>
      </c>
      <c r="AP500" s="4">
        <v>5</v>
      </c>
      <c r="AQ500" s="4">
        <v>5</v>
      </c>
      <c r="AR500" s="3" t="s">
        <v>64</v>
      </c>
      <c r="AS500" s="3" t="s">
        <v>64</v>
      </c>
      <c r="AT500" s="3" t="s">
        <v>64</v>
      </c>
      <c r="AV500" s="6" t="str">
        <f>HYPERLINK("http://mcgill.on.worldcat.org/oclc/829451627","Catalog Record")</f>
        <v>Catalog Record</v>
      </c>
      <c r="AW500" s="6" t="str">
        <f>HYPERLINK("http://www.worldcat.org/oclc/829451627","WorldCat Record")</f>
        <v>WorldCat Record</v>
      </c>
      <c r="AX500" s="3" t="s">
        <v>4805</v>
      </c>
      <c r="AY500" s="3" t="s">
        <v>4806</v>
      </c>
      <c r="AZ500" s="3" t="s">
        <v>4807</v>
      </c>
      <c r="BA500" s="3" t="s">
        <v>4807</v>
      </c>
      <c r="BB500" s="3" t="s">
        <v>4808</v>
      </c>
      <c r="BC500" s="3" t="s">
        <v>77</v>
      </c>
      <c r="BD500" s="3" t="s">
        <v>78</v>
      </c>
      <c r="BE500" s="3" t="s">
        <v>4809</v>
      </c>
      <c r="BF500" s="3" t="s">
        <v>4808</v>
      </c>
      <c r="BG500" s="3" t="s">
        <v>4810</v>
      </c>
      <c r="BH500">
        <f t="shared" si="17"/>
        <v>0</v>
      </c>
    </row>
    <row r="501" spans="1:60" ht="58" x14ac:dyDescent="0.35">
      <c r="A501" s="2" t="s">
        <v>59</v>
      </c>
      <c r="B501" s="2" t="s">
        <v>60</v>
      </c>
      <c r="C501" s="2" t="s">
        <v>4811</v>
      </c>
      <c r="D501" s="2" t="s">
        <v>4812</v>
      </c>
      <c r="E501" s="2" t="s">
        <v>4813</v>
      </c>
      <c r="G501" s="3" t="s">
        <v>64</v>
      </c>
      <c r="I501" s="3" t="s">
        <v>64</v>
      </c>
      <c r="J501" s="3" t="s">
        <v>64</v>
      </c>
      <c r="K501" s="3" t="s">
        <v>65</v>
      </c>
      <c r="L501" s="2" t="s">
        <v>4814</v>
      </c>
      <c r="M501" s="2" t="s">
        <v>4815</v>
      </c>
      <c r="N501" s="3" t="s">
        <v>537</v>
      </c>
      <c r="P501" s="3" t="s">
        <v>68</v>
      </c>
      <c r="Q501" s="2" t="s">
        <v>4816</v>
      </c>
      <c r="R501" s="3" t="s">
        <v>70</v>
      </c>
      <c r="S501" s="4">
        <v>0</v>
      </c>
      <c r="T501" s="4">
        <v>0</v>
      </c>
      <c r="W501" s="5" t="s">
        <v>72</v>
      </c>
      <c r="X501" s="5" t="s">
        <v>72</v>
      </c>
      <c r="Y501" s="4">
        <v>26</v>
      </c>
      <c r="Z501" s="4">
        <v>3</v>
      </c>
      <c r="AA501" s="4">
        <v>5</v>
      </c>
      <c r="AB501" s="4">
        <v>1</v>
      </c>
      <c r="AC501" s="4">
        <v>2</v>
      </c>
      <c r="AD501" s="4">
        <v>9</v>
      </c>
      <c r="AE501" s="4">
        <v>10</v>
      </c>
      <c r="AF501" s="4">
        <v>0</v>
      </c>
      <c r="AG501" s="4">
        <v>0</v>
      </c>
      <c r="AH501" s="4">
        <v>8</v>
      </c>
      <c r="AI501" s="4">
        <v>9</v>
      </c>
      <c r="AJ501" s="4">
        <v>1</v>
      </c>
      <c r="AK501" s="4">
        <v>2</v>
      </c>
      <c r="AL501" s="4">
        <v>7</v>
      </c>
      <c r="AM501" s="4">
        <v>7</v>
      </c>
      <c r="AN501" s="4">
        <v>0</v>
      </c>
      <c r="AO501" s="4">
        <v>0</v>
      </c>
      <c r="AP501" s="4">
        <v>1</v>
      </c>
      <c r="AQ501" s="4">
        <v>2</v>
      </c>
      <c r="AR501" s="3" t="s">
        <v>64</v>
      </c>
      <c r="AS501" s="3" t="s">
        <v>64</v>
      </c>
      <c r="AT501" s="3" t="s">
        <v>64</v>
      </c>
      <c r="AV501" s="6" t="str">
        <f>HYPERLINK("http://mcgill.on.worldcat.org/oclc/948551051","Catalog Record")</f>
        <v>Catalog Record</v>
      </c>
      <c r="AW501" s="6" t="str">
        <f>HYPERLINK("http://www.worldcat.org/oclc/948551051","WorldCat Record")</f>
        <v>WorldCat Record</v>
      </c>
      <c r="AX501" s="3" t="s">
        <v>4817</v>
      </c>
      <c r="AY501" s="3" t="s">
        <v>4818</v>
      </c>
      <c r="AZ501" s="3" t="s">
        <v>4819</v>
      </c>
      <c r="BA501" s="3" t="s">
        <v>4819</v>
      </c>
      <c r="BB501" s="3" t="s">
        <v>4820</v>
      </c>
      <c r="BC501" s="3" t="s">
        <v>77</v>
      </c>
      <c r="BD501" s="3" t="s">
        <v>78</v>
      </c>
      <c r="BE501" s="3" t="s">
        <v>4821</v>
      </c>
      <c r="BF501" s="3" t="s">
        <v>4820</v>
      </c>
      <c r="BG501" s="3" t="s">
        <v>4822</v>
      </c>
      <c r="BH501">
        <f t="shared" si="17"/>
        <v>0</v>
      </c>
    </row>
    <row r="502" spans="1:60" ht="87" x14ac:dyDescent="0.35">
      <c r="A502" s="2" t="s">
        <v>59</v>
      </c>
      <c r="B502" s="2" t="s">
        <v>60</v>
      </c>
      <c r="C502" s="2" t="s">
        <v>4823</v>
      </c>
      <c r="D502" s="2" t="s">
        <v>4824</v>
      </c>
      <c r="E502" s="2" t="s">
        <v>4825</v>
      </c>
      <c r="G502" s="3" t="s">
        <v>64</v>
      </c>
      <c r="I502" s="3" t="s">
        <v>64</v>
      </c>
      <c r="J502" s="3" t="s">
        <v>64</v>
      </c>
      <c r="K502" s="3" t="s">
        <v>65</v>
      </c>
      <c r="M502" s="2" t="s">
        <v>4826</v>
      </c>
      <c r="N502" s="3" t="s">
        <v>511</v>
      </c>
      <c r="P502" s="3" t="s">
        <v>102</v>
      </c>
      <c r="Q502" s="2" t="s">
        <v>4827</v>
      </c>
      <c r="R502" s="3" t="s">
        <v>70</v>
      </c>
      <c r="S502" s="4">
        <v>3</v>
      </c>
      <c r="T502" s="4">
        <v>3</v>
      </c>
      <c r="U502" s="5" t="s">
        <v>408</v>
      </c>
      <c r="V502" s="5" t="s">
        <v>408</v>
      </c>
      <c r="W502" s="5" t="s">
        <v>72</v>
      </c>
      <c r="X502" s="5" t="s">
        <v>72</v>
      </c>
      <c r="Y502" s="4">
        <v>128</v>
      </c>
      <c r="Z502" s="4">
        <v>10</v>
      </c>
      <c r="AA502" s="4">
        <v>11</v>
      </c>
      <c r="AB502" s="4">
        <v>1</v>
      </c>
      <c r="AC502" s="4">
        <v>2</v>
      </c>
      <c r="AD502" s="4">
        <v>48</v>
      </c>
      <c r="AE502" s="4">
        <v>48</v>
      </c>
      <c r="AF502" s="4">
        <v>0</v>
      </c>
      <c r="AG502" s="4">
        <v>0</v>
      </c>
      <c r="AH502" s="4">
        <v>43</v>
      </c>
      <c r="AI502" s="4">
        <v>43</v>
      </c>
      <c r="AJ502" s="4">
        <v>6</v>
      </c>
      <c r="AK502" s="4">
        <v>6</v>
      </c>
      <c r="AL502" s="4">
        <v>29</v>
      </c>
      <c r="AM502" s="4">
        <v>29</v>
      </c>
      <c r="AN502" s="4">
        <v>0</v>
      </c>
      <c r="AO502" s="4">
        <v>0</v>
      </c>
      <c r="AP502" s="4">
        <v>6</v>
      </c>
      <c r="AQ502" s="4">
        <v>6</v>
      </c>
      <c r="AR502" s="3" t="s">
        <v>64</v>
      </c>
      <c r="AS502" s="3" t="s">
        <v>64</v>
      </c>
      <c r="AT502" s="3" t="s">
        <v>64</v>
      </c>
      <c r="AV502" s="6" t="str">
        <f>HYPERLINK("http://mcgill.on.worldcat.org/oclc/310395306","Catalog Record")</f>
        <v>Catalog Record</v>
      </c>
      <c r="AW502" s="6" t="str">
        <f>HYPERLINK("http://www.worldcat.org/oclc/310395306","WorldCat Record")</f>
        <v>WorldCat Record</v>
      </c>
      <c r="AX502" s="3" t="s">
        <v>4828</v>
      </c>
      <c r="AY502" s="3" t="s">
        <v>4829</v>
      </c>
      <c r="AZ502" s="3" t="s">
        <v>4830</v>
      </c>
      <c r="BA502" s="3" t="s">
        <v>4830</v>
      </c>
      <c r="BB502" s="3" t="s">
        <v>4831</v>
      </c>
      <c r="BC502" s="3" t="s">
        <v>77</v>
      </c>
      <c r="BD502" s="3" t="s">
        <v>78</v>
      </c>
      <c r="BE502" s="3" t="s">
        <v>4832</v>
      </c>
      <c r="BF502" s="3" t="s">
        <v>4831</v>
      </c>
      <c r="BG502" s="3" t="s">
        <v>4833</v>
      </c>
      <c r="BH502">
        <f t="shared" si="17"/>
        <v>0</v>
      </c>
    </row>
    <row r="503" spans="1:60" ht="58" x14ac:dyDescent="0.35">
      <c r="A503" s="2" t="s">
        <v>59</v>
      </c>
      <c r="B503" s="2" t="s">
        <v>60</v>
      </c>
      <c r="C503" s="2" t="s">
        <v>4834</v>
      </c>
      <c r="D503" s="2" t="s">
        <v>4835</v>
      </c>
      <c r="E503" s="2" t="s">
        <v>4836</v>
      </c>
      <c r="G503" s="3" t="s">
        <v>64</v>
      </c>
      <c r="H503" s="3" t="s">
        <v>183</v>
      </c>
      <c r="I503" s="3" t="s">
        <v>64</v>
      </c>
      <c r="J503" s="3" t="s">
        <v>64</v>
      </c>
      <c r="K503" s="3" t="s">
        <v>65</v>
      </c>
      <c r="L503" s="2" t="s">
        <v>4837</v>
      </c>
      <c r="M503" s="2" t="s">
        <v>4838</v>
      </c>
      <c r="N503" s="3" t="s">
        <v>1492</v>
      </c>
      <c r="P503" s="3" t="s">
        <v>102</v>
      </c>
      <c r="R503" s="3" t="s">
        <v>70</v>
      </c>
      <c r="S503" s="4">
        <v>0</v>
      </c>
      <c r="T503" s="4">
        <v>0</v>
      </c>
      <c r="W503" s="5" t="s">
        <v>826</v>
      </c>
      <c r="X503" s="5" t="s">
        <v>826</v>
      </c>
      <c r="Y503" s="4">
        <v>154</v>
      </c>
      <c r="Z503" s="4">
        <v>4</v>
      </c>
      <c r="AA503" s="4">
        <v>16</v>
      </c>
      <c r="AB503" s="4">
        <v>1</v>
      </c>
      <c r="AC503" s="4">
        <v>7</v>
      </c>
      <c r="AD503" s="4">
        <v>43</v>
      </c>
      <c r="AE503" s="4">
        <v>59</v>
      </c>
      <c r="AF503" s="4">
        <v>0</v>
      </c>
      <c r="AG503" s="4">
        <v>3</v>
      </c>
      <c r="AH503" s="4">
        <v>40</v>
      </c>
      <c r="AI503" s="4">
        <v>49</v>
      </c>
      <c r="AJ503" s="4">
        <v>2</v>
      </c>
      <c r="AK503" s="4">
        <v>6</v>
      </c>
      <c r="AL503" s="4">
        <v>28</v>
      </c>
      <c r="AM503" s="4">
        <v>33</v>
      </c>
      <c r="AN503" s="4">
        <v>0</v>
      </c>
      <c r="AO503" s="4">
        <v>0</v>
      </c>
      <c r="AP503" s="4">
        <v>3</v>
      </c>
      <c r="AQ503" s="4">
        <v>11</v>
      </c>
      <c r="AR503" s="3" t="s">
        <v>64</v>
      </c>
      <c r="AS503" s="3" t="s">
        <v>64</v>
      </c>
      <c r="AT503" s="3" t="s">
        <v>64</v>
      </c>
      <c r="AV503" s="6" t="str">
        <f>HYPERLINK("http://mcgill.on.worldcat.org/oclc/1046552747","Catalog Record")</f>
        <v>Catalog Record</v>
      </c>
      <c r="AW503" s="6" t="str">
        <f>HYPERLINK("http://www.worldcat.org/oclc/1046552747","WorldCat Record")</f>
        <v>WorldCat Record</v>
      </c>
      <c r="AX503" s="3" t="s">
        <v>4839</v>
      </c>
      <c r="AY503" s="3" t="s">
        <v>4840</v>
      </c>
      <c r="AZ503" s="3" t="s">
        <v>4841</v>
      </c>
      <c r="BA503" s="3" t="s">
        <v>4841</v>
      </c>
      <c r="BB503" s="3" t="s">
        <v>4842</v>
      </c>
      <c r="BC503" s="3" t="s">
        <v>77</v>
      </c>
      <c r="BD503" s="3" t="s">
        <v>78</v>
      </c>
      <c r="BE503" s="3" t="s">
        <v>4843</v>
      </c>
      <c r="BF503" s="3" t="s">
        <v>4842</v>
      </c>
      <c r="BG503" s="3" t="s">
        <v>4844</v>
      </c>
      <c r="BH503">
        <f t="shared" si="17"/>
        <v>0</v>
      </c>
    </row>
    <row r="504" spans="1:60" ht="87" x14ac:dyDescent="0.35">
      <c r="A504" s="2" t="s">
        <v>59</v>
      </c>
      <c r="B504" s="2" t="s">
        <v>60</v>
      </c>
      <c r="C504" s="2" t="s">
        <v>4845</v>
      </c>
      <c r="D504" s="2" t="s">
        <v>4846</v>
      </c>
      <c r="E504" s="2" t="s">
        <v>4847</v>
      </c>
      <c r="G504" s="3" t="s">
        <v>64</v>
      </c>
      <c r="I504" s="3" t="s">
        <v>128</v>
      </c>
      <c r="J504" s="3" t="s">
        <v>64</v>
      </c>
      <c r="K504" s="3" t="s">
        <v>65</v>
      </c>
      <c r="M504" s="2" t="s">
        <v>4848</v>
      </c>
      <c r="N504" s="3" t="s">
        <v>768</v>
      </c>
      <c r="P504" s="3" t="s">
        <v>102</v>
      </c>
      <c r="R504" s="3" t="s">
        <v>70</v>
      </c>
      <c r="S504" s="4">
        <v>4</v>
      </c>
      <c r="T504" s="4">
        <v>4</v>
      </c>
      <c r="U504" s="5" t="s">
        <v>4849</v>
      </c>
      <c r="V504" s="5" t="s">
        <v>4849</v>
      </c>
      <c r="W504" s="5" t="s">
        <v>72</v>
      </c>
      <c r="X504" s="5" t="s">
        <v>72</v>
      </c>
      <c r="Y504" s="4">
        <v>281</v>
      </c>
      <c r="Z504" s="4">
        <v>19</v>
      </c>
      <c r="AA504" s="4">
        <v>20</v>
      </c>
      <c r="AB504" s="4">
        <v>2</v>
      </c>
      <c r="AC504" s="4">
        <v>2</v>
      </c>
      <c r="AD504" s="4">
        <v>99</v>
      </c>
      <c r="AE504" s="4">
        <v>102</v>
      </c>
      <c r="AF504" s="4">
        <v>0</v>
      </c>
      <c r="AG504" s="4">
        <v>0</v>
      </c>
      <c r="AH504" s="4">
        <v>90</v>
      </c>
      <c r="AI504" s="4">
        <v>92</v>
      </c>
      <c r="AJ504" s="4">
        <v>15</v>
      </c>
      <c r="AK504" s="4">
        <v>15</v>
      </c>
      <c r="AL504" s="4">
        <v>47</v>
      </c>
      <c r="AM504" s="4">
        <v>49</v>
      </c>
      <c r="AN504" s="4">
        <v>0</v>
      </c>
      <c r="AO504" s="4">
        <v>0</v>
      </c>
      <c r="AP504" s="4">
        <v>15</v>
      </c>
      <c r="AQ504" s="4">
        <v>16</v>
      </c>
      <c r="AR504" s="3" t="s">
        <v>64</v>
      </c>
      <c r="AS504" s="3" t="s">
        <v>64</v>
      </c>
      <c r="AT504" s="3" t="s">
        <v>128</v>
      </c>
      <c r="AU504" s="6" t="str">
        <f>HYPERLINK("http://catalog.hathitrust.org/Record/000217895","HathiTrust Record")</f>
        <v>HathiTrust Record</v>
      </c>
      <c r="AV504" s="6" t="str">
        <f>HYPERLINK("http://mcgill.on.worldcat.org/oclc/5099784","Catalog Record")</f>
        <v>Catalog Record</v>
      </c>
      <c r="AW504" s="6" t="str">
        <f>HYPERLINK("http://www.worldcat.org/oclc/5099784","WorldCat Record")</f>
        <v>WorldCat Record</v>
      </c>
      <c r="AX504" s="3" t="s">
        <v>4850</v>
      </c>
      <c r="AY504" s="3" t="s">
        <v>4851</v>
      </c>
      <c r="AZ504" s="3" t="s">
        <v>4852</v>
      </c>
      <c r="BA504" s="3" t="s">
        <v>4852</v>
      </c>
      <c r="BB504" s="3" t="s">
        <v>4853</v>
      </c>
      <c r="BC504" s="3" t="s">
        <v>77</v>
      </c>
      <c r="BD504" s="3" t="s">
        <v>78</v>
      </c>
      <c r="BE504" s="3" t="s">
        <v>4854</v>
      </c>
      <c r="BF504" s="3" t="s">
        <v>4853</v>
      </c>
      <c r="BG504" s="3" t="s">
        <v>4855</v>
      </c>
      <c r="BH504">
        <f t="shared" si="17"/>
        <v>0</v>
      </c>
    </row>
    <row r="505" spans="1:60" ht="58" x14ac:dyDescent="0.35">
      <c r="A505" s="2" t="s">
        <v>59</v>
      </c>
      <c r="B505" s="2" t="s">
        <v>60</v>
      </c>
      <c r="C505" s="2" t="s">
        <v>4856</v>
      </c>
      <c r="D505" s="2" t="s">
        <v>4857</v>
      </c>
      <c r="E505" s="2" t="s">
        <v>4858</v>
      </c>
      <c r="G505" s="3" t="s">
        <v>64</v>
      </c>
      <c r="I505" s="3" t="s">
        <v>64</v>
      </c>
      <c r="J505" s="3" t="s">
        <v>64</v>
      </c>
      <c r="K505" s="3" t="s">
        <v>65</v>
      </c>
      <c r="L505" s="2" t="s">
        <v>4859</v>
      </c>
      <c r="M505" s="2" t="s">
        <v>4860</v>
      </c>
      <c r="N505" s="3" t="s">
        <v>1075</v>
      </c>
      <c r="P505" s="3" t="s">
        <v>102</v>
      </c>
      <c r="Q505" s="2" t="s">
        <v>4861</v>
      </c>
      <c r="R505" s="3" t="s">
        <v>70</v>
      </c>
      <c r="S505" s="4">
        <v>1</v>
      </c>
      <c r="T505" s="4">
        <v>1</v>
      </c>
      <c r="U505" s="5" t="s">
        <v>724</v>
      </c>
      <c r="V505" s="5" t="s">
        <v>724</v>
      </c>
      <c r="W505" s="5" t="s">
        <v>72</v>
      </c>
      <c r="X505" s="5" t="s">
        <v>72</v>
      </c>
      <c r="Y505" s="4">
        <v>34</v>
      </c>
      <c r="Z505" s="4">
        <v>3</v>
      </c>
      <c r="AA505" s="4">
        <v>72</v>
      </c>
      <c r="AB505" s="4">
        <v>1</v>
      </c>
      <c r="AC505" s="4">
        <v>14</v>
      </c>
      <c r="AD505" s="4">
        <v>12</v>
      </c>
      <c r="AE505" s="4">
        <v>81</v>
      </c>
      <c r="AF505" s="4">
        <v>0</v>
      </c>
      <c r="AG505" s="4">
        <v>8</v>
      </c>
      <c r="AH505" s="4">
        <v>12</v>
      </c>
      <c r="AI505" s="4">
        <v>51</v>
      </c>
      <c r="AJ505" s="4">
        <v>1</v>
      </c>
      <c r="AK505" s="4">
        <v>16</v>
      </c>
      <c r="AL505" s="4">
        <v>8</v>
      </c>
      <c r="AM505" s="4">
        <v>24</v>
      </c>
      <c r="AN505" s="4">
        <v>0</v>
      </c>
      <c r="AO505" s="4">
        <v>0</v>
      </c>
      <c r="AP505" s="4">
        <v>1</v>
      </c>
      <c r="AQ505" s="4">
        <v>36</v>
      </c>
      <c r="AR505" s="3" t="s">
        <v>64</v>
      </c>
      <c r="AS505" s="3" t="s">
        <v>64</v>
      </c>
      <c r="AT505" s="3" t="s">
        <v>64</v>
      </c>
      <c r="AV505" s="6" t="str">
        <f>HYPERLINK("http://mcgill.on.worldcat.org/oclc/852688896","Catalog Record")</f>
        <v>Catalog Record</v>
      </c>
      <c r="AW505" s="6" t="str">
        <f>HYPERLINK("http://www.worldcat.org/oclc/852688896","WorldCat Record")</f>
        <v>WorldCat Record</v>
      </c>
      <c r="AX505" s="3" t="s">
        <v>4862</v>
      </c>
      <c r="AY505" s="3" t="s">
        <v>4863</v>
      </c>
      <c r="AZ505" s="3" t="s">
        <v>4864</v>
      </c>
      <c r="BA505" s="3" t="s">
        <v>4864</v>
      </c>
      <c r="BB505" s="3" t="s">
        <v>4865</v>
      </c>
      <c r="BC505" s="3" t="s">
        <v>77</v>
      </c>
      <c r="BD505" s="3" t="s">
        <v>78</v>
      </c>
      <c r="BE505" s="3" t="s">
        <v>4866</v>
      </c>
      <c r="BF505" s="3" t="s">
        <v>4865</v>
      </c>
      <c r="BG505" s="3" t="s">
        <v>4867</v>
      </c>
      <c r="BH505">
        <f t="shared" si="17"/>
        <v>0</v>
      </c>
    </row>
    <row r="506" spans="1:60" ht="58" x14ac:dyDescent="0.35">
      <c r="A506" s="2" t="s">
        <v>59</v>
      </c>
      <c r="B506" s="2" t="s">
        <v>60</v>
      </c>
      <c r="C506" s="2" t="s">
        <v>4868</v>
      </c>
      <c r="D506" s="2" t="s">
        <v>4869</v>
      </c>
      <c r="E506" s="2" t="s">
        <v>4870</v>
      </c>
      <c r="F506" s="3" t="s">
        <v>478</v>
      </c>
      <c r="G506" s="3" t="s">
        <v>128</v>
      </c>
      <c r="I506" s="3" t="s">
        <v>64</v>
      </c>
      <c r="J506" s="3" t="s">
        <v>64</v>
      </c>
      <c r="K506" s="3" t="s">
        <v>65</v>
      </c>
      <c r="M506" s="2" t="s">
        <v>4871</v>
      </c>
      <c r="N506" s="3" t="s">
        <v>4872</v>
      </c>
      <c r="P506" s="3" t="s">
        <v>4873</v>
      </c>
      <c r="R506" s="3" t="s">
        <v>70</v>
      </c>
      <c r="S506" s="4">
        <v>3</v>
      </c>
      <c r="T506" s="4">
        <v>5</v>
      </c>
      <c r="U506" s="5" t="s">
        <v>4650</v>
      </c>
      <c r="V506" s="5" t="s">
        <v>4650</v>
      </c>
      <c r="W506" s="5" t="s">
        <v>72</v>
      </c>
      <c r="X506" s="5" t="s">
        <v>72</v>
      </c>
      <c r="Y506" s="4">
        <v>120</v>
      </c>
      <c r="Z506" s="4">
        <v>13</v>
      </c>
      <c r="AA506" s="4">
        <v>14</v>
      </c>
      <c r="AB506" s="4">
        <v>3</v>
      </c>
      <c r="AC506" s="4">
        <v>3</v>
      </c>
      <c r="AD506" s="4">
        <v>68</v>
      </c>
      <c r="AE506" s="4">
        <v>69</v>
      </c>
      <c r="AF506" s="4">
        <v>1</v>
      </c>
      <c r="AG506" s="4">
        <v>1</v>
      </c>
      <c r="AH506" s="4">
        <v>60</v>
      </c>
      <c r="AI506" s="4">
        <v>61</v>
      </c>
      <c r="AJ506" s="4">
        <v>9</v>
      </c>
      <c r="AK506" s="4">
        <v>10</v>
      </c>
      <c r="AL506" s="4">
        <v>42</v>
      </c>
      <c r="AM506" s="4">
        <v>42</v>
      </c>
      <c r="AN506" s="4">
        <v>0</v>
      </c>
      <c r="AO506" s="4">
        <v>0</v>
      </c>
      <c r="AP506" s="4">
        <v>8</v>
      </c>
      <c r="AQ506" s="4">
        <v>9</v>
      </c>
      <c r="AR506" s="3" t="s">
        <v>64</v>
      </c>
      <c r="AS506" s="3" t="s">
        <v>64</v>
      </c>
      <c r="AT506" s="3" t="s">
        <v>128</v>
      </c>
      <c r="AU506" s="6" t="str">
        <f>HYPERLINK("http://catalog.hathitrust.org/Record/001757562","HathiTrust Record")</f>
        <v>HathiTrust Record</v>
      </c>
      <c r="AV506" s="6" t="str">
        <f>HYPERLINK("http://mcgill.on.worldcat.org/oclc/1580665","Catalog Record")</f>
        <v>Catalog Record</v>
      </c>
      <c r="AW506" s="6" t="str">
        <f>HYPERLINK("http://www.worldcat.org/oclc/1580665","WorldCat Record")</f>
        <v>WorldCat Record</v>
      </c>
      <c r="AX506" s="3" t="s">
        <v>4874</v>
      </c>
      <c r="AY506" s="3" t="s">
        <v>4875</v>
      </c>
      <c r="AZ506" s="3" t="s">
        <v>4876</v>
      </c>
      <c r="BA506" s="3" t="s">
        <v>4876</v>
      </c>
      <c r="BB506" s="3" t="s">
        <v>4877</v>
      </c>
      <c r="BC506" s="3" t="s">
        <v>77</v>
      </c>
      <c r="BD506" s="3" t="s">
        <v>78</v>
      </c>
      <c r="BF506" s="3" t="s">
        <v>4877</v>
      </c>
      <c r="BG506" s="3" t="s">
        <v>4878</v>
      </c>
      <c r="BH506">
        <f t="shared" si="17"/>
        <v>0</v>
      </c>
    </row>
    <row r="507" spans="1:60" ht="58" x14ac:dyDescent="0.35">
      <c r="A507" s="2" t="s">
        <v>59</v>
      </c>
      <c r="B507" s="2" t="s">
        <v>60</v>
      </c>
      <c r="C507" s="2" t="s">
        <v>4868</v>
      </c>
      <c r="D507" s="2" t="s">
        <v>4869</v>
      </c>
      <c r="E507" s="2" t="s">
        <v>4870</v>
      </c>
      <c r="F507" s="3" t="s">
        <v>489</v>
      </c>
      <c r="G507" s="3" t="s">
        <v>128</v>
      </c>
      <c r="I507" s="3" t="s">
        <v>64</v>
      </c>
      <c r="J507" s="3" t="s">
        <v>64</v>
      </c>
      <c r="K507" s="3" t="s">
        <v>65</v>
      </c>
      <c r="M507" s="2" t="s">
        <v>4871</v>
      </c>
      <c r="N507" s="3" t="s">
        <v>4872</v>
      </c>
      <c r="P507" s="3" t="s">
        <v>4873</v>
      </c>
      <c r="R507" s="3" t="s">
        <v>70</v>
      </c>
      <c r="S507" s="4">
        <v>2</v>
      </c>
      <c r="T507" s="4">
        <v>5</v>
      </c>
      <c r="U507" s="5" t="s">
        <v>4650</v>
      </c>
      <c r="V507" s="5" t="s">
        <v>4650</v>
      </c>
      <c r="W507" s="5" t="s">
        <v>72</v>
      </c>
      <c r="X507" s="5" t="s">
        <v>72</v>
      </c>
      <c r="Y507" s="4">
        <v>120</v>
      </c>
      <c r="Z507" s="4">
        <v>13</v>
      </c>
      <c r="AA507" s="4">
        <v>14</v>
      </c>
      <c r="AB507" s="4">
        <v>3</v>
      </c>
      <c r="AC507" s="4">
        <v>3</v>
      </c>
      <c r="AD507" s="4">
        <v>68</v>
      </c>
      <c r="AE507" s="4">
        <v>69</v>
      </c>
      <c r="AF507" s="4">
        <v>1</v>
      </c>
      <c r="AG507" s="4">
        <v>1</v>
      </c>
      <c r="AH507" s="4">
        <v>60</v>
      </c>
      <c r="AI507" s="4">
        <v>61</v>
      </c>
      <c r="AJ507" s="4">
        <v>9</v>
      </c>
      <c r="AK507" s="4">
        <v>10</v>
      </c>
      <c r="AL507" s="4">
        <v>42</v>
      </c>
      <c r="AM507" s="4">
        <v>42</v>
      </c>
      <c r="AN507" s="4">
        <v>0</v>
      </c>
      <c r="AO507" s="4">
        <v>0</v>
      </c>
      <c r="AP507" s="4">
        <v>8</v>
      </c>
      <c r="AQ507" s="4">
        <v>9</v>
      </c>
      <c r="AR507" s="3" t="s">
        <v>64</v>
      </c>
      <c r="AS507" s="3" t="s">
        <v>64</v>
      </c>
      <c r="AT507" s="3" t="s">
        <v>128</v>
      </c>
      <c r="AU507" s="6" t="str">
        <f>HYPERLINK("http://catalog.hathitrust.org/Record/001757562","HathiTrust Record")</f>
        <v>HathiTrust Record</v>
      </c>
      <c r="AV507" s="6" t="str">
        <f>HYPERLINK("http://mcgill.on.worldcat.org/oclc/1580665","Catalog Record")</f>
        <v>Catalog Record</v>
      </c>
      <c r="AW507" s="6" t="str">
        <f>HYPERLINK("http://www.worldcat.org/oclc/1580665","WorldCat Record")</f>
        <v>WorldCat Record</v>
      </c>
      <c r="AX507" s="3" t="s">
        <v>4874</v>
      </c>
      <c r="AY507" s="3" t="s">
        <v>4875</v>
      </c>
      <c r="AZ507" s="3" t="s">
        <v>4876</v>
      </c>
      <c r="BA507" s="3" t="s">
        <v>4876</v>
      </c>
      <c r="BB507" s="3" t="s">
        <v>4879</v>
      </c>
      <c r="BC507" s="3" t="s">
        <v>77</v>
      </c>
      <c r="BD507" s="3" t="s">
        <v>78</v>
      </c>
      <c r="BF507" s="3" t="s">
        <v>4879</v>
      </c>
      <c r="BG507" s="3" t="s">
        <v>4880</v>
      </c>
      <c r="BH507">
        <f t="shared" si="17"/>
        <v>0</v>
      </c>
    </row>
    <row r="508" spans="1:60" ht="58" x14ac:dyDescent="0.35">
      <c r="A508" s="2" t="s">
        <v>59</v>
      </c>
      <c r="B508" s="2" t="s">
        <v>60</v>
      </c>
      <c r="C508" s="2" t="s">
        <v>4881</v>
      </c>
      <c r="D508" s="2" t="s">
        <v>4882</v>
      </c>
      <c r="E508" s="2" t="s">
        <v>4883</v>
      </c>
      <c r="G508" s="3" t="s">
        <v>64</v>
      </c>
      <c r="I508" s="3" t="s">
        <v>64</v>
      </c>
      <c r="J508" s="3" t="s">
        <v>64</v>
      </c>
      <c r="K508" s="3" t="s">
        <v>65</v>
      </c>
      <c r="L508" s="2" t="s">
        <v>4884</v>
      </c>
      <c r="M508" s="2" t="s">
        <v>4885</v>
      </c>
      <c r="N508" s="3" t="s">
        <v>578</v>
      </c>
      <c r="P508" s="3" t="s">
        <v>102</v>
      </c>
      <c r="Q508" s="2" t="s">
        <v>4886</v>
      </c>
      <c r="R508" s="3" t="s">
        <v>70</v>
      </c>
      <c r="S508" s="4">
        <v>0</v>
      </c>
      <c r="T508" s="4">
        <v>0</v>
      </c>
      <c r="W508" s="5" t="s">
        <v>72</v>
      </c>
      <c r="X508" s="5" t="s">
        <v>72</v>
      </c>
      <c r="Y508" s="4">
        <v>38</v>
      </c>
      <c r="Z508" s="4">
        <v>3</v>
      </c>
      <c r="AA508" s="4">
        <v>12</v>
      </c>
      <c r="AB508" s="4">
        <v>1</v>
      </c>
      <c r="AC508" s="4">
        <v>6</v>
      </c>
      <c r="AD508" s="4">
        <v>16</v>
      </c>
      <c r="AE508" s="4">
        <v>34</v>
      </c>
      <c r="AF508" s="4">
        <v>0</v>
      </c>
      <c r="AG508" s="4">
        <v>3</v>
      </c>
      <c r="AH508" s="4">
        <v>15</v>
      </c>
      <c r="AI508" s="4">
        <v>27</v>
      </c>
      <c r="AJ508" s="4">
        <v>2</v>
      </c>
      <c r="AK508" s="4">
        <v>8</v>
      </c>
      <c r="AL508" s="4">
        <v>12</v>
      </c>
      <c r="AM508" s="4">
        <v>19</v>
      </c>
      <c r="AN508" s="4">
        <v>0</v>
      </c>
      <c r="AO508" s="4">
        <v>0</v>
      </c>
      <c r="AP508" s="4">
        <v>2</v>
      </c>
      <c r="AQ508" s="4">
        <v>9</v>
      </c>
      <c r="AR508" s="3" t="s">
        <v>64</v>
      </c>
      <c r="AS508" s="3" t="s">
        <v>64</v>
      </c>
      <c r="AT508" s="3" t="s">
        <v>64</v>
      </c>
      <c r="AV508" s="6" t="str">
        <f>HYPERLINK("http://mcgill.on.worldcat.org/oclc/993761616","Catalog Record")</f>
        <v>Catalog Record</v>
      </c>
      <c r="AW508" s="6" t="str">
        <f>HYPERLINK("http://www.worldcat.org/oclc/993761616","WorldCat Record")</f>
        <v>WorldCat Record</v>
      </c>
      <c r="AX508" s="3" t="s">
        <v>4887</v>
      </c>
      <c r="AY508" s="3" t="s">
        <v>4888</v>
      </c>
      <c r="AZ508" s="3" t="s">
        <v>4889</v>
      </c>
      <c r="BA508" s="3" t="s">
        <v>4889</v>
      </c>
      <c r="BB508" s="3" t="s">
        <v>4890</v>
      </c>
      <c r="BC508" s="3" t="s">
        <v>77</v>
      </c>
      <c r="BD508" s="3" t="s">
        <v>78</v>
      </c>
      <c r="BE508" s="3" t="s">
        <v>4891</v>
      </c>
      <c r="BF508" s="3" t="s">
        <v>4890</v>
      </c>
      <c r="BG508" s="3" t="s">
        <v>4892</v>
      </c>
      <c r="BH508">
        <f t="shared" si="17"/>
        <v>0</v>
      </c>
    </row>
    <row r="509" spans="1:60" ht="58" x14ac:dyDescent="0.35">
      <c r="A509" s="2" t="s">
        <v>59</v>
      </c>
      <c r="B509" s="2" t="s">
        <v>60</v>
      </c>
      <c r="C509" s="2" t="s">
        <v>4893</v>
      </c>
      <c r="D509" s="2" t="s">
        <v>4894</v>
      </c>
      <c r="E509" s="2" t="s">
        <v>4895</v>
      </c>
      <c r="G509" s="3" t="s">
        <v>64</v>
      </c>
      <c r="H509" s="3" t="s">
        <v>183</v>
      </c>
      <c r="I509" s="3" t="s">
        <v>64</v>
      </c>
      <c r="J509" s="3" t="s">
        <v>64</v>
      </c>
      <c r="K509" s="3" t="s">
        <v>65</v>
      </c>
      <c r="L509" s="2" t="s">
        <v>4896</v>
      </c>
      <c r="M509" s="2" t="s">
        <v>4897</v>
      </c>
      <c r="N509" s="3" t="s">
        <v>190</v>
      </c>
      <c r="O509" s="2" t="s">
        <v>4898</v>
      </c>
      <c r="P509" s="3" t="s">
        <v>1479</v>
      </c>
      <c r="Q509" s="2" t="s">
        <v>4899</v>
      </c>
      <c r="R509" s="3" t="s">
        <v>70</v>
      </c>
      <c r="S509" s="4">
        <v>0</v>
      </c>
      <c r="T509" s="4">
        <v>0</v>
      </c>
      <c r="W509" s="5" t="s">
        <v>4900</v>
      </c>
      <c r="X509" s="5" t="s">
        <v>4900</v>
      </c>
      <c r="Y509" s="4">
        <v>28</v>
      </c>
      <c r="Z509" s="4">
        <v>1</v>
      </c>
      <c r="AA509" s="4">
        <v>1</v>
      </c>
      <c r="AB509" s="4">
        <v>1</v>
      </c>
      <c r="AC509" s="4">
        <v>1</v>
      </c>
      <c r="AD509" s="4">
        <v>21</v>
      </c>
      <c r="AE509" s="4">
        <v>21</v>
      </c>
      <c r="AF509" s="4">
        <v>0</v>
      </c>
      <c r="AG509" s="4">
        <v>0</v>
      </c>
      <c r="AH509" s="4">
        <v>20</v>
      </c>
      <c r="AI509" s="4">
        <v>20</v>
      </c>
      <c r="AJ509" s="4">
        <v>0</v>
      </c>
      <c r="AK509" s="4">
        <v>0</v>
      </c>
      <c r="AL509" s="4">
        <v>18</v>
      </c>
      <c r="AM509" s="4">
        <v>18</v>
      </c>
      <c r="AN509" s="4">
        <v>0</v>
      </c>
      <c r="AO509" s="4">
        <v>0</v>
      </c>
      <c r="AP509" s="4">
        <v>0</v>
      </c>
      <c r="AQ509" s="4">
        <v>0</v>
      </c>
      <c r="AR509" s="3" t="s">
        <v>64</v>
      </c>
      <c r="AS509" s="3" t="s">
        <v>64</v>
      </c>
      <c r="AT509" s="3" t="s">
        <v>64</v>
      </c>
      <c r="AV509" s="6" t="str">
        <f>HYPERLINK("http://mcgill.on.worldcat.org/oclc/1045014865","Catalog Record")</f>
        <v>Catalog Record</v>
      </c>
      <c r="AW509" s="6" t="str">
        <f>HYPERLINK("http://www.worldcat.org/oclc/1045014865","WorldCat Record")</f>
        <v>WorldCat Record</v>
      </c>
      <c r="AX509" s="3" t="s">
        <v>4901</v>
      </c>
      <c r="AY509" s="3" t="s">
        <v>4902</v>
      </c>
      <c r="AZ509" s="3" t="s">
        <v>4903</v>
      </c>
      <c r="BA509" s="3" t="s">
        <v>4903</v>
      </c>
      <c r="BB509" s="3" t="s">
        <v>4904</v>
      </c>
      <c r="BC509" s="3" t="s">
        <v>77</v>
      </c>
      <c r="BD509" s="3" t="s">
        <v>78</v>
      </c>
      <c r="BE509" s="3" t="s">
        <v>4905</v>
      </c>
      <c r="BF509" s="3" t="s">
        <v>4904</v>
      </c>
      <c r="BG509" s="3" t="s">
        <v>4906</v>
      </c>
      <c r="BH509">
        <f t="shared" si="17"/>
        <v>0</v>
      </c>
    </row>
    <row r="510" spans="1:60" ht="58" x14ac:dyDescent="0.35">
      <c r="A510" s="2" t="s">
        <v>59</v>
      </c>
      <c r="B510" s="2" t="s">
        <v>60</v>
      </c>
      <c r="C510" s="2" t="s">
        <v>4907</v>
      </c>
      <c r="D510" s="2" t="s">
        <v>4908</v>
      </c>
      <c r="E510" s="2" t="s">
        <v>4909</v>
      </c>
      <c r="G510" s="3" t="s">
        <v>64</v>
      </c>
      <c r="I510" s="3" t="s">
        <v>64</v>
      </c>
      <c r="J510" s="3" t="s">
        <v>64</v>
      </c>
      <c r="K510" s="3" t="s">
        <v>65</v>
      </c>
      <c r="L510" s="2" t="s">
        <v>4910</v>
      </c>
      <c r="M510" s="2" t="s">
        <v>4911</v>
      </c>
      <c r="N510" s="3" t="s">
        <v>1075</v>
      </c>
      <c r="P510" s="3" t="s">
        <v>102</v>
      </c>
      <c r="Q510" s="2" t="s">
        <v>4912</v>
      </c>
      <c r="R510" s="3" t="s">
        <v>70</v>
      </c>
      <c r="S510" s="4">
        <v>4</v>
      </c>
      <c r="T510" s="4">
        <v>4</v>
      </c>
      <c r="U510" s="5" t="s">
        <v>2399</v>
      </c>
      <c r="V510" s="5" t="s">
        <v>2399</v>
      </c>
      <c r="W510" s="5" t="s">
        <v>72</v>
      </c>
      <c r="X510" s="5" t="s">
        <v>72</v>
      </c>
      <c r="Y510" s="4">
        <v>111</v>
      </c>
      <c r="Z510" s="4">
        <v>20</v>
      </c>
      <c r="AA510" s="4">
        <v>116</v>
      </c>
      <c r="AB510" s="4">
        <v>1</v>
      </c>
      <c r="AC510" s="4">
        <v>20</v>
      </c>
      <c r="AD510" s="4">
        <v>61</v>
      </c>
      <c r="AE510" s="4">
        <v>129</v>
      </c>
      <c r="AF510" s="4">
        <v>0</v>
      </c>
      <c r="AG510" s="4">
        <v>8</v>
      </c>
      <c r="AH510" s="4">
        <v>50</v>
      </c>
      <c r="AI510" s="4">
        <v>86</v>
      </c>
      <c r="AJ510" s="4">
        <v>15</v>
      </c>
      <c r="AK510" s="4">
        <v>27</v>
      </c>
      <c r="AL510" s="4">
        <v>33</v>
      </c>
      <c r="AM510" s="4">
        <v>47</v>
      </c>
      <c r="AN510" s="4">
        <v>0</v>
      </c>
      <c r="AO510" s="4">
        <v>0</v>
      </c>
      <c r="AP510" s="4">
        <v>15</v>
      </c>
      <c r="AQ510" s="4">
        <v>52</v>
      </c>
      <c r="AR510" s="3" t="s">
        <v>128</v>
      </c>
      <c r="AS510" s="3" t="s">
        <v>64</v>
      </c>
      <c r="AT510" s="3" t="s">
        <v>64</v>
      </c>
      <c r="AV510" s="6" t="str">
        <f>HYPERLINK("http://mcgill.on.worldcat.org/oclc/830628003","Catalog Record")</f>
        <v>Catalog Record</v>
      </c>
      <c r="AW510" s="6" t="str">
        <f>HYPERLINK("http://www.worldcat.org/oclc/830628003","WorldCat Record")</f>
        <v>WorldCat Record</v>
      </c>
      <c r="AX510" s="3" t="s">
        <v>4913</v>
      </c>
      <c r="AY510" s="3" t="s">
        <v>4914</v>
      </c>
      <c r="AZ510" s="3" t="s">
        <v>4915</v>
      </c>
      <c r="BA510" s="3" t="s">
        <v>4915</v>
      </c>
      <c r="BB510" s="3" t="s">
        <v>4916</v>
      </c>
      <c r="BC510" s="3" t="s">
        <v>77</v>
      </c>
      <c r="BD510" s="3" t="s">
        <v>78</v>
      </c>
      <c r="BE510" s="3" t="s">
        <v>4917</v>
      </c>
      <c r="BF510" s="3" t="s">
        <v>4916</v>
      </c>
      <c r="BG510" s="3" t="s">
        <v>4918</v>
      </c>
      <c r="BH510">
        <f t="shared" si="17"/>
        <v>0</v>
      </c>
    </row>
    <row r="511" spans="1:60" ht="58" x14ac:dyDescent="0.35">
      <c r="A511" s="2" t="s">
        <v>59</v>
      </c>
      <c r="B511" s="2" t="s">
        <v>60</v>
      </c>
      <c r="C511" s="2" t="s">
        <v>4919</v>
      </c>
      <c r="D511" s="2" t="s">
        <v>4920</v>
      </c>
      <c r="E511" s="2" t="s">
        <v>4921</v>
      </c>
      <c r="G511" s="3" t="s">
        <v>64</v>
      </c>
      <c r="I511" s="3" t="s">
        <v>64</v>
      </c>
      <c r="J511" s="3" t="s">
        <v>64</v>
      </c>
      <c r="K511" s="3" t="s">
        <v>65</v>
      </c>
      <c r="L511" s="2" t="s">
        <v>4922</v>
      </c>
      <c r="M511" s="2" t="s">
        <v>4923</v>
      </c>
      <c r="N511" s="3" t="s">
        <v>434</v>
      </c>
      <c r="P511" s="3" t="s">
        <v>102</v>
      </c>
      <c r="R511" s="3" t="s">
        <v>70</v>
      </c>
      <c r="S511" s="4">
        <v>4</v>
      </c>
      <c r="T511" s="4">
        <v>4</v>
      </c>
      <c r="U511" s="5" t="s">
        <v>1481</v>
      </c>
      <c r="V511" s="5" t="s">
        <v>1481</v>
      </c>
      <c r="W511" s="5" t="s">
        <v>72</v>
      </c>
      <c r="X511" s="5" t="s">
        <v>72</v>
      </c>
      <c r="Y511" s="4">
        <v>209</v>
      </c>
      <c r="Z511" s="4">
        <v>16</v>
      </c>
      <c r="AA511" s="4">
        <v>25</v>
      </c>
      <c r="AB511" s="4">
        <v>1</v>
      </c>
      <c r="AC511" s="4">
        <v>5</v>
      </c>
      <c r="AD511" s="4">
        <v>77</v>
      </c>
      <c r="AE511" s="4">
        <v>90</v>
      </c>
      <c r="AF511" s="4">
        <v>0</v>
      </c>
      <c r="AG511" s="4">
        <v>1</v>
      </c>
      <c r="AH511" s="4">
        <v>70</v>
      </c>
      <c r="AI511" s="4">
        <v>79</v>
      </c>
      <c r="AJ511" s="4">
        <v>12</v>
      </c>
      <c r="AK511" s="4">
        <v>15</v>
      </c>
      <c r="AL511" s="4">
        <v>45</v>
      </c>
      <c r="AM511" s="4">
        <v>48</v>
      </c>
      <c r="AN511" s="4">
        <v>0</v>
      </c>
      <c r="AO511" s="4">
        <v>0</v>
      </c>
      <c r="AP511" s="4">
        <v>12</v>
      </c>
      <c r="AQ511" s="4">
        <v>18</v>
      </c>
      <c r="AR511" s="3" t="s">
        <v>64</v>
      </c>
      <c r="AS511" s="3" t="s">
        <v>64</v>
      </c>
      <c r="AT511" s="3" t="s">
        <v>64</v>
      </c>
      <c r="AV511" s="6" t="str">
        <f>HYPERLINK("http://mcgill.on.worldcat.org/oclc/58998807","Catalog Record")</f>
        <v>Catalog Record</v>
      </c>
      <c r="AW511" s="6" t="str">
        <f>HYPERLINK("http://www.worldcat.org/oclc/58998807","WorldCat Record")</f>
        <v>WorldCat Record</v>
      </c>
      <c r="AX511" s="3" t="s">
        <v>4924</v>
      </c>
      <c r="AY511" s="3" t="s">
        <v>4925</v>
      </c>
      <c r="AZ511" s="3" t="s">
        <v>4926</v>
      </c>
      <c r="BA511" s="3" t="s">
        <v>4926</v>
      </c>
      <c r="BB511" s="3" t="s">
        <v>4927</v>
      </c>
      <c r="BC511" s="3" t="s">
        <v>77</v>
      </c>
      <c r="BD511" s="3" t="s">
        <v>78</v>
      </c>
      <c r="BE511" s="3" t="s">
        <v>4928</v>
      </c>
      <c r="BF511" s="3" t="s">
        <v>4927</v>
      </c>
      <c r="BG511" s="3" t="s">
        <v>4929</v>
      </c>
      <c r="BH511">
        <f t="shared" si="17"/>
        <v>0</v>
      </c>
    </row>
    <row r="512" spans="1:60" ht="58" x14ac:dyDescent="0.35">
      <c r="A512" s="2" t="s">
        <v>59</v>
      </c>
      <c r="B512" s="2" t="s">
        <v>60</v>
      </c>
      <c r="C512" s="2" t="s">
        <v>4930</v>
      </c>
      <c r="D512" s="2" t="s">
        <v>4931</v>
      </c>
      <c r="E512" s="2" t="s">
        <v>4932</v>
      </c>
      <c r="G512" s="3" t="s">
        <v>64</v>
      </c>
      <c r="I512" s="3" t="s">
        <v>64</v>
      </c>
      <c r="J512" s="3" t="s">
        <v>64</v>
      </c>
      <c r="K512" s="3" t="s">
        <v>65</v>
      </c>
      <c r="L512" s="2" t="s">
        <v>4933</v>
      </c>
      <c r="M512" s="2" t="s">
        <v>4934</v>
      </c>
      <c r="N512" s="3" t="s">
        <v>101</v>
      </c>
      <c r="P512" s="3" t="s">
        <v>1479</v>
      </c>
      <c r="Q512" s="2" t="s">
        <v>4935</v>
      </c>
      <c r="R512" s="3" t="s">
        <v>70</v>
      </c>
      <c r="S512" s="4">
        <v>4</v>
      </c>
      <c r="T512" s="4">
        <v>4</v>
      </c>
      <c r="U512" s="5" t="s">
        <v>4936</v>
      </c>
      <c r="V512" s="5" t="s">
        <v>4936</v>
      </c>
      <c r="W512" s="5" t="s">
        <v>72</v>
      </c>
      <c r="X512" s="5" t="s">
        <v>72</v>
      </c>
      <c r="Y512" s="4">
        <v>51</v>
      </c>
      <c r="Z512" s="4">
        <v>6</v>
      </c>
      <c r="AA512" s="4">
        <v>6</v>
      </c>
      <c r="AB512" s="4">
        <v>1</v>
      </c>
      <c r="AC512" s="4">
        <v>1</v>
      </c>
      <c r="AD512" s="4">
        <v>28</v>
      </c>
      <c r="AE512" s="4">
        <v>28</v>
      </c>
      <c r="AF512" s="4">
        <v>0</v>
      </c>
      <c r="AG512" s="4">
        <v>0</v>
      </c>
      <c r="AH512" s="4">
        <v>27</v>
      </c>
      <c r="AI512" s="4">
        <v>27</v>
      </c>
      <c r="AJ512" s="4">
        <v>4</v>
      </c>
      <c r="AK512" s="4">
        <v>4</v>
      </c>
      <c r="AL512" s="4">
        <v>19</v>
      </c>
      <c r="AM512" s="4">
        <v>19</v>
      </c>
      <c r="AN512" s="4">
        <v>0</v>
      </c>
      <c r="AO512" s="4">
        <v>0</v>
      </c>
      <c r="AP512" s="4">
        <v>4</v>
      </c>
      <c r="AQ512" s="4">
        <v>4</v>
      </c>
      <c r="AR512" s="3" t="s">
        <v>64</v>
      </c>
      <c r="AS512" s="3" t="s">
        <v>64</v>
      </c>
      <c r="AT512" s="3" t="s">
        <v>64</v>
      </c>
      <c r="AV512" s="6" t="str">
        <f>HYPERLINK("http://mcgill.on.worldcat.org/oclc/52623674","Catalog Record")</f>
        <v>Catalog Record</v>
      </c>
      <c r="AW512" s="6" t="str">
        <f>HYPERLINK("http://www.worldcat.org/oclc/52623674","WorldCat Record")</f>
        <v>WorldCat Record</v>
      </c>
      <c r="AX512" s="3" t="s">
        <v>4937</v>
      </c>
      <c r="AY512" s="3" t="s">
        <v>4938</v>
      </c>
      <c r="AZ512" s="3" t="s">
        <v>4939</v>
      </c>
      <c r="BA512" s="3" t="s">
        <v>4939</v>
      </c>
      <c r="BB512" s="3" t="s">
        <v>4940</v>
      </c>
      <c r="BC512" s="3" t="s">
        <v>77</v>
      </c>
      <c r="BD512" s="3" t="s">
        <v>78</v>
      </c>
      <c r="BE512" s="3" t="s">
        <v>4941</v>
      </c>
      <c r="BF512" s="3" t="s">
        <v>4940</v>
      </c>
      <c r="BG512" s="3" t="s">
        <v>4942</v>
      </c>
      <c r="BH512">
        <f t="shared" si="17"/>
        <v>0</v>
      </c>
    </row>
    <row r="513" spans="1:60" ht="58" x14ac:dyDescent="0.35">
      <c r="A513" s="2" t="s">
        <v>59</v>
      </c>
      <c r="B513" s="2" t="s">
        <v>60</v>
      </c>
      <c r="C513" s="2" t="s">
        <v>4943</v>
      </c>
      <c r="D513" s="2" t="s">
        <v>4944</v>
      </c>
      <c r="E513" s="2" t="s">
        <v>4945</v>
      </c>
      <c r="G513" s="3" t="s">
        <v>64</v>
      </c>
      <c r="I513" s="3" t="s">
        <v>64</v>
      </c>
      <c r="J513" s="3" t="s">
        <v>64</v>
      </c>
      <c r="K513" s="3" t="s">
        <v>65</v>
      </c>
      <c r="L513" s="2" t="s">
        <v>4946</v>
      </c>
      <c r="M513" s="2" t="s">
        <v>4947</v>
      </c>
      <c r="N513" s="3" t="s">
        <v>86</v>
      </c>
      <c r="P513" s="3" t="s">
        <v>68</v>
      </c>
      <c r="Q513" s="2" t="s">
        <v>4948</v>
      </c>
      <c r="R513" s="3" t="s">
        <v>70</v>
      </c>
      <c r="S513" s="4">
        <v>0</v>
      </c>
      <c r="T513" s="4">
        <v>0</v>
      </c>
      <c r="W513" s="5" t="s">
        <v>72</v>
      </c>
      <c r="X513" s="5" t="s">
        <v>72</v>
      </c>
      <c r="Y513" s="4">
        <v>10</v>
      </c>
      <c r="Z513" s="4">
        <v>1</v>
      </c>
      <c r="AA513" s="4">
        <v>3</v>
      </c>
      <c r="AB513" s="4">
        <v>1</v>
      </c>
      <c r="AC513" s="4">
        <v>1</v>
      </c>
      <c r="AD513" s="4">
        <v>4</v>
      </c>
      <c r="AE513" s="4">
        <v>9</v>
      </c>
      <c r="AF513" s="4">
        <v>0</v>
      </c>
      <c r="AG513" s="4">
        <v>0</v>
      </c>
      <c r="AH513" s="4">
        <v>4</v>
      </c>
      <c r="AI513" s="4">
        <v>9</v>
      </c>
      <c r="AJ513" s="4">
        <v>0</v>
      </c>
      <c r="AK513" s="4">
        <v>1</v>
      </c>
      <c r="AL513" s="4">
        <v>4</v>
      </c>
      <c r="AM513" s="4">
        <v>9</v>
      </c>
      <c r="AN513" s="4">
        <v>0</v>
      </c>
      <c r="AO513" s="4">
        <v>0</v>
      </c>
      <c r="AP513" s="4">
        <v>0</v>
      </c>
      <c r="AQ513" s="4">
        <v>1</v>
      </c>
      <c r="AR513" s="3" t="s">
        <v>64</v>
      </c>
      <c r="AS513" s="3" t="s">
        <v>64</v>
      </c>
      <c r="AT513" s="3" t="s">
        <v>64</v>
      </c>
      <c r="AV513" s="6" t="str">
        <f>HYPERLINK("http://mcgill.on.worldcat.org/oclc/795008521","Catalog Record")</f>
        <v>Catalog Record</v>
      </c>
      <c r="AW513" s="6" t="str">
        <f>HYPERLINK("http://www.worldcat.org/oclc/795008521","WorldCat Record")</f>
        <v>WorldCat Record</v>
      </c>
      <c r="AX513" s="3" t="s">
        <v>4949</v>
      </c>
      <c r="AY513" s="3" t="s">
        <v>4950</v>
      </c>
      <c r="AZ513" s="3" t="s">
        <v>4951</v>
      </c>
      <c r="BA513" s="3" t="s">
        <v>4951</v>
      </c>
      <c r="BB513" s="3" t="s">
        <v>4952</v>
      </c>
      <c r="BC513" s="3" t="s">
        <v>77</v>
      </c>
      <c r="BD513" s="3" t="s">
        <v>78</v>
      </c>
      <c r="BE513" s="3" t="s">
        <v>4953</v>
      </c>
      <c r="BF513" s="3" t="s">
        <v>4952</v>
      </c>
      <c r="BG513" s="3" t="s">
        <v>4954</v>
      </c>
      <c r="BH513">
        <f t="shared" si="17"/>
        <v>0</v>
      </c>
    </row>
    <row r="514" spans="1:60" ht="58" x14ac:dyDescent="0.35">
      <c r="A514" s="2" t="s">
        <v>59</v>
      </c>
      <c r="B514" s="2" t="s">
        <v>60</v>
      </c>
      <c r="C514" s="2" t="s">
        <v>4955</v>
      </c>
      <c r="D514" s="2" t="s">
        <v>4956</v>
      </c>
      <c r="E514" s="2" t="s">
        <v>4957</v>
      </c>
      <c r="G514" s="3" t="s">
        <v>64</v>
      </c>
      <c r="I514" s="3" t="s">
        <v>64</v>
      </c>
      <c r="J514" s="3" t="s">
        <v>64</v>
      </c>
      <c r="K514" s="3" t="s">
        <v>65</v>
      </c>
      <c r="L514" s="2" t="s">
        <v>4958</v>
      </c>
      <c r="M514" s="2" t="s">
        <v>4959</v>
      </c>
      <c r="N514" s="3" t="s">
        <v>144</v>
      </c>
      <c r="P514" s="3" t="s">
        <v>102</v>
      </c>
      <c r="R514" s="3" t="s">
        <v>70</v>
      </c>
      <c r="S514" s="4">
        <v>11</v>
      </c>
      <c r="T514" s="4">
        <v>11</v>
      </c>
      <c r="U514" s="5" t="s">
        <v>4960</v>
      </c>
      <c r="V514" s="5" t="s">
        <v>4960</v>
      </c>
      <c r="W514" s="5" t="s">
        <v>72</v>
      </c>
      <c r="X514" s="5" t="s">
        <v>72</v>
      </c>
      <c r="Y514" s="4">
        <v>487</v>
      </c>
      <c r="Z514" s="4">
        <v>29</v>
      </c>
      <c r="AA514" s="4">
        <v>30</v>
      </c>
      <c r="AB514" s="4">
        <v>2</v>
      </c>
      <c r="AC514" s="4">
        <v>3</v>
      </c>
      <c r="AD514" s="4">
        <v>104</v>
      </c>
      <c r="AE514" s="4">
        <v>105</v>
      </c>
      <c r="AF514" s="4">
        <v>1</v>
      </c>
      <c r="AG514" s="4">
        <v>2</v>
      </c>
      <c r="AH514" s="4">
        <v>90</v>
      </c>
      <c r="AI514" s="4">
        <v>91</v>
      </c>
      <c r="AJ514" s="4">
        <v>12</v>
      </c>
      <c r="AK514" s="4">
        <v>13</v>
      </c>
      <c r="AL514" s="4">
        <v>49</v>
      </c>
      <c r="AM514" s="4">
        <v>49</v>
      </c>
      <c r="AN514" s="4">
        <v>0</v>
      </c>
      <c r="AO514" s="4">
        <v>0</v>
      </c>
      <c r="AP514" s="4">
        <v>18</v>
      </c>
      <c r="AQ514" s="4">
        <v>19</v>
      </c>
      <c r="AR514" s="3" t="s">
        <v>64</v>
      </c>
      <c r="AS514" s="3" t="s">
        <v>64</v>
      </c>
      <c r="AT514" s="3" t="s">
        <v>128</v>
      </c>
      <c r="AU514" s="6" t="str">
        <f>HYPERLINK("http://catalog.hathitrust.org/Record/005809592","HathiTrust Record")</f>
        <v>HathiTrust Record</v>
      </c>
      <c r="AV514" s="6" t="str">
        <f>HYPERLINK("http://mcgill.on.worldcat.org/oclc/155755601","Catalog Record")</f>
        <v>Catalog Record</v>
      </c>
      <c r="AW514" s="6" t="str">
        <f>HYPERLINK("http://www.worldcat.org/oclc/155755601","WorldCat Record")</f>
        <v>WorldCat Record</v>
      </c>
      <c r="AX514" s="3" t="s">
        <v>4961</v>
      </c>
      <c r="AY514" s="3" t="s">
        <v>4962</v>
      </c>
      <c r="AZ514" s="3" t="s">
        <v>4963</v>
      </c>
      <c r="BA514" s="3" t="s">
        <v>4963</v>
      </c>
      <c r="BB514" s="3" t="s">
        <v>4964</v>
      </c>
      <c r="BC514" s="3" t="s">
        <v>77</v>
      </c>
      <c r="BD514" s="3" t="s">
        <v>78</v>
      </c>
      <c r="BE514" s="3" t="s">
        <v>4965</v>
      </c>
      <c r="BF514" s="3" t="s">
        <v>4964</v>
      </c>
      <c r="BG514" s="3" t="s">
        <v>4966</v>
      </c>
      <c r="BH514">
        <f t="shared" ref="BH514:BH577" si="18">IF(COUNTIF($BF$1:$BF$5431,BF514)=1,0,1)</f>
        <v>0</v>
      </c>
    </row>
    <row r="515" spans="1:60" ht="58" x14ac:dyDescent="0.35">
      <c r="A515" s="2" t="s">
        <v>59</v>
      </c>
      <c r="B515" s="2" t="s">
        <v>60</v>
      </c>
      <c r="C515" s="2" t="s">
        <v>4967</v>
      </c>
      <c r="D515" s="2" t="s">
        <v>4968</v>
      </c>
      <c r="E515" s="2" t="s">
        <v>4969</v>
      </c>
      <c r="G515" s="3" t="s">
        <v>64</v>
      </c>
      <c r="I515" s="3" t="s">
        <v>128</v>
      </c>
      <c r="J515" s="3" t="s">
        <v>128</v>
      </c>
      <c r="K515" s="3" t="s">
        <v>65</v>
      </c>
      <c r="L515" s="2" t="s">
        <v>4970</v>
      </c>
      <c r="M515" s="2" t="s">
        <v>4971</v>
      </c>
      <c r="N515" s="3" t="s">
        <v>4972</v>
      </c>
      <c r="O515" s="2" t="s">
        <v>745</v>
      </c>
      <c r="P515" s="3" t="s">
        <v>102</v>
      </c>
      <c r="R515" s="3" t="s">
        <v>70</v>
      </c>
      <c r="S515" s="4">
        <v>0</v>
      </c>
      <c r="T515" s="4">
        <v>30</v>
      </c>
      <c r="V515" s="5" t="s">
        <v>4973</v>
      </c>
      <c r="W515" s="5" t="s">
        <v>72</v>
      </c>
      <c r="X515" s="5" t="s">
        <v>72</v>
      </c>
      <c r="Y515" s="4">
        <v>675</v>
      </c>
      <c r="Z515" s="4">
        <v>34</v>
      </c>
      <c r="AA515" s="4">
        <v>55</v>
      </c>
      <c r="AB515" s="4">
        <v>4</v>
      </c>
      <c r="AC515" s="4">
        <v>8</v>
      </c>
      <c r="AD515" s="4">
        <v>119</v>
      </c>
      <c r="AE515" s="4">
        <v>141</v>
      </c>
      <c r="AF515" s="4">
        <v>1</v>
      </c>
      <c r="AG515" s="4">
        <v>3</v>
      </c>
      <c r="AH515" s="4">
        <v>100</v>
      </c>
      <c r="AI515" s="4">
        <v>114</v>
      </c>
      <c r="AJ515" s="4">
        <v>17</v>
      </c>
      <c r="AK515" s="4">
        <v>24</v>
      </c>
      <c r="AL515" s="4">
        <v>54</v>
      </c>
      <c r="AM515" s="4">
        <v>62</v>
      </c>
      <c r="AN515" s="4">
        <v>0</v>
      </c>
      <c r="AO515" s="4">
        <v>0</v>
      </c>
      <c r="AP515" s="4">
        <v>24</v>
      </c>
      <c r="AQ515" s="4">
        <v>31</v>
      </c>
      <c r="AR515" s="3" t="s">
        <v>64</v>
      </c>
      <c r="AS515" s="3" t="s">
        <v>64</v>
      </c>
      <c r="AT515" s="3" t="s">
        <v>128</v>
      </c>
      <c r="AU515" s="6" t="str">
        <f>HYPERLINK("http://catalog.hathitrust.org/Record/001160121","HathiTrust Record")</f>
        <v>HathiTrust Record</v>
      </c>
      <c r="AV515" s="6" t="str">
        <f>HYPERLINK("http://mcgill.on.worldcat.org/oclc/485767","Catalog Record")</f>
        <v>Catalog Record</v>
      </c>
      <c r="AW515" s="6" t="str">
        <f>HYPERLINK("http://www.worldcat.org/oclc/485767","WorldCat Record")</f>
        <v>WorldCat Record</v>
      </c>
      <c r="AX515" s="3" t="s">
        <v>4974</v>
      </c>
      <c r="AY515" s="3" t="s">
        <v>4975</v>
      </c>
      <c r="AZ515" s="3" t="s">
        <v>4976</v>
      </c>
      <c r="BA515" s="3" t="s">
        <v>4976</v>
      </c>
      <c r="BB515" s="3" t="s">
        <v>4977</v>
      </c>
      <c r="BC515" s="3" t="s">
        <v>77</v>
      </c>
      <c r="BD515" s="3" t="s">
        <v>78</v>
      </c>
      <c r="BF515" s="3" t="s">
        <v>4977</v>
      </c>
      <c r="BG515" s="3" t="s">
        <v>4978</v>
      </c>
      <c r="BH515">
        <f t="shared" si="18"/>
        <v>0</v>
      </c>
    </row>
    <row r="516" spans="1:60" ht="72.5" x14ac:dyDescent="0.35">
      <c r="A516" s="2" t="s">
        <v>1040</v>
      </c>
      <c r="B516" s="2" t="s">
        <v>1041</v>
      </c>
      <c r="C516" s="2" t="s">
        <v>4967</v>
      </c>
      <c r="D516" s="2" t="s">
        <v>4968</v>
      </c>
      <c r="E516" s="2" t="s">
        <v>4969</v>
      </c>
      <c r="G516" s="3" t="s">
        <v>64</v>
      </c>
      <c r="I516" s="3" t="s">
        <v>128</v>
      </c>
      <c r="J516" s="3" t="s">
        <v>128</v>
      </c>
      <c r="K516" s="3" t="s">
        <v>65</v>
      </c>
      <c r="L516" s="2" t="s">
        <v>4970</v>
      </c>
      <c r="M516" s="2" t="s">
        <v>4971</v>
      </c>
      <c r="N516" s="3" t="s">
        <v>4972</v>
      </c>
      <c r="O516" s="2" t="s">
        <v>745</v>
      </c>
      <c r="P516" s="3" t="s">
        <v>102</v>
      </c>
      <c r="R516" s="3" t="s">
        <v>70</v>
      </c>
      <c r="S516" s="4">
        <v>1</v>
      </c>
      <c r="T516" s="4">
        <v>30</v>
      </c>
      <c r="U516" s="5" t="s">
        <v>4979</v>
      </c>
      <c r="V516" s="5" t="s">
        <v>4973</v>
      </c>
      <c r="W516" s="5" t="s">
        <v>72</v>
      </c>
      <c r="X516" s="5" t="s">
        <v>72</v>
      </c>
      <c r="Y516" s="4">
        <v>675</v>
      </c>
      <c r="Z516" s="4">
        <v>34</v>
      </c>
      <c r="AA516" s="4">
        <v>55</v>
      </c>
      <c r="AB516" s="4">
        <v>4</v>
      </c>
      <c r="AC516" s="4">
        <v>8</v>
      </c>
      <c r="AD516" s="4">
        <v>119</v>
      </c>
      <c r="AE516" s="4">
        <v>141</v>
      </c>
      <c r="AF516" s="4">
        <v>1</v>
      </c>
      <c r="AG516" s="4">
        <v>3</v>
      </c>
      <c r="AH516" s="4">
        <v>100</v>
      </c>
      <c r="AI516" s="4">
        <v>114</v>
      </c>
      <c r="AJ516" s="4">
        <v>17</v>
      </c>
      <c r="AK516" s="4">
        <v>24</v>
      </c>
      <c r="AL516" s="4">
        <v>54</v>
      </c>
      <c r="AM516" s="4">
        <v>62</v>
      </c>
      <c r="AN516" s="4">
        <v>0</v>
      </c>
      <c r="AO516" s="4">
        <v>0</v>
      </c>
      <c r="AP516" s="4">
        <v>24</v>
      </c>
      <c r="AQ516" s="4">
        <v>31</v>
      </c>
      <c r="AR516" s="3" t="s">
        <v>64</v>
      </c>
      <c r="AS516" s="3" t="s">
        <v>64</v>
      </c>
      <c r="AT516" s="3" t="s">
        <v>128</v>
      </c>
      <c r="AU516" s="6" t="str">
        <f>HYPERLINK("http://catalog.hathitrust.org/Record/001160121","HathiTrust Record")</f>
        <v>HathiTrust Record</v>
      </c>
      <c r="AV516" s="6" t="str">
        <f>HYPERLINK("http://mcgill.on.worldcat.org/oclc/485767","Catalog Record")</f>
        <v>Catalog Record</v>
      </c>
      <c r="AW516" s="6" t="str">
        <f>HYPERLINK("http://www.worldcat.org/oclc/485767","WorldCat Record")</f>
        <v>WorldCat Record</v>
      </c>
      <c r="AX516" s="3" t="s">
        <v>4974</v>
      </c>
      <c r="AY516" s="3" t="s">
        <v>4975</v>
      </c>
      <c r="AZ516" s="3" t="s">
        <v>4976</v>
      </c>
      <c r="BA516" s="3" t="s">
        <v>4976</v>
      </c>
      <c r="BB516" s="3" t="s">
        <v>4980</v>
      </c>
      <c r="BC516" s="3" t="s">
        <v>77</v>
      </c>
      <c r="BD516" s="3" t="s">
        <v>78</v>
      </c>
      <c r="BF516" s="3" t="s">
        <v>4980</v>
      </c>
      <c r="BG516" s="3" t="s">
        <v>4981</v>
      </c>
      <c r="BH516">
        <f t="shared" si="18"/>
        <v>0</v>
      </c>
    </row>
    <row r="517" spans="1:60" ht="58" x14ac:dyDescent="0.35">
      <c r="A517" s="2" t="s">
        <v>59</v>
      </c>
      <c r="B517" s="2" t="s">
        <v>60</v>
      </c>
      <c r="C517" s="2" t="s">
        <v>4967</v>
      </c>
      <c r="D517" s="2" t="s">
        <v>4968</v>
      </c>
      <c r="E517" s="2" t="s">
        <v>4969</v>
      </c>
      <c r="G517" s="3" t="s">
        <v>64</v>
      </c>
      <c r="I517" s="3" t="s">
        <v>128</v>
      </c>
      <c r="J517" s="3" t="s">
        <v>128</v>
      </c>
      <c r="K517" s="3" t="s">
        <v>65</v>
      </c>
      <c r="L517" s="2" t="s">
        <v>4970</v>
      </c>
      <c r="M517" s="2" t="s">
        <v>4971</v>
      </c>
      <c r="N517" s="3" t="s">
        <v>4972</v>
      </c>
      <c r="O517" s="2" t="s">
        <v>745</v>
      </c>
      <c r="P517" s="3" t="s">
        <v>102</v>
      </c>
      <c r="R517" s="3" t="s">
        <v>70</v>
      </c>
      <c r="S517" s="4">
        <v>29</v>
      </c>
      <c r="T517" s="4">
        <v>30</v>
      </c>
      <c r="U517" s="5" t="s">
        <v>4973</v>
      </c>
      <c r="V517" s="5" t="s">
        <v>4973</v>
      </c>
      <c r="W517" s="5" t="s">
        <v>72</v>
      </c>
      <c r="X517" s="5" t="s">
        <v>72</v>
      </c>
      <c r="Y517" s="4">
        <v>675</v>
      </c>
      <c r="Z517" s="4">
        <v>34</v>
      </c>
      <c r="AA517" s="4">
        <v>55</v>
      </c>
      <c r="AB517" s="4">
        <v>4</v>
      </c>
      <c r="AC517" s="4">
        <v>8</v>
      </c>
      <c r="AD517" s="4">
        <v>119</v>
      </c>
      <c r="AE517" s="4">
        <v>141</v>
      </c>
      <c r="AF517" s="4">
        <v>1</v>
      </c>
      <c r="AG517" s="4">
        <v>3</v>
      </c>
      <c r="AH517" s="4">
        <v>100</v>
      </c>
      <c r="AI517" s="4">
        <v>114</v>
      </c>
      <c r="AJ517" s="4">
        <v>17</v>
      </c>
      <c r="AK517" s="4">
        <v>24</v>
      </c>
      <c r="AL517" s="4">
        <v>54</v>
      </c>
      <c r="AM517" s="4">
        <v>62</v>
      </c>
      <c r="AN517" s="4">
        <v>0</v>
      </c>
      <c r="AO517" s="4">
        <v>0</v>
      </c>
      <c r="AP517" s="4">
        <v>24</v>
      </c>
      <c r="AQ517" s="4">
        <v>31</v>
      </c>
      <c r="AR517" s="3" t="s">
        <v>64</v>
      </c>
      <c r="AS517" s="3" t="s">
        <v>64</v>
      </c>
      <c r="AT517" s="3" t="s">
        <v>128</v>
      </c>
      <c r="AU517" s="6" t="str">
        <f>HYPERLINK("http://catalog.hathitrust.org/Record/001160121","HathiTrust Record")</f>
        <v>HathiTrust Record</v>
      </c>
      <c r="AV517" s="6" t="str">
        <f>HYPERLINK("http://mcgill.on.worldcat.org/oclc/485767","Catalog Record")</f>
        <v>Catalog Record</v>
      </c>
      <c r="AW517" s="6" t="str">
        <f>HYPERLINK("http://www.worldcat.org/oclc/485767","WorldCat Record")</f>
        <v>WorldCat Record</v>
      </c>
      <c r="AX517" s="3" t="s">
        <v>4974</v>
      </c>
      <c r="AY517" s="3" t="s">
        <v>4975</v>
      </c>
      <c r="AZ517" s="3" t="s">
        <v>4976</v>
      </c>
      <c r="BA517" s="3" t="s">
        <v>4976</v>
      </c>
      <c r="BB517" s="3" t="s">
        <v>4982</v>
      </c>
      <c r="BC517" s="3" t="s">
        <v>77</v>
      </c>
      <c r="BD517" s="3" t="s">
        <v>78</v>
      </c>
      <c r="BF517" s="3" t="s">
        <v>4982</v>
      </c>
      <c r="BG517" s="3" t="s">
        <v>4983</v>
      </c>
      <c r="BH517">
        <f t="shared" si="18"/>
        <v>0</v>
      </c>
    </row>
    <row r="518" spans="1:60" ht="58" x14ac:dyDescent="0.35">
      <c r="A518" s="2" t="s">
        <v>59</v>
      </c>
      <c r="B518" s="2" t="s">
        <v>60</v>
      </c>
      <c r="C518" s="2" t="s">
        <v>4984</v>
      </c>
      <c r="D518" s="2" t="s">
        <v>4985</v>
      </c>
      <c r="E518" s="2" t="s">
        <v>4986</v>
      </c>
      <c r="G518" s="3" t="s">
        <v>64</v>
      </c>
      <c r="I518" s="3" t="s">
        <v>64</v>
      </c>
      <c r="J518" s="3" t="s">
        <v>64</v>
      </c>
      <c r="K518" s="3" t="s">
        <v>65</v>
      </c>
      <c r="L518" s="2" t="s">
        <v>4987</v>
      </c>
      <c r="M518" s="2" t="s">
        <v>4988</v>
      </c>
      <c r="N518" s="3" t="s">
        <v>1275</v>
      </c>
      <c r="P518" s="3" t="s">
        <v>102</v>
      </c>
      <c r="R518" s="3" t="s">
        <v>70</v>
      </c>
      <c r="S518" s="4">
        <v>9</v>
      </c>
      <c r="T518" s="4">
        <v>9</v>
      </c>
      <c r="U518" s="5" t="s">
        <v>4989</v>
      </c>
      <c r="V518" s="5" t="s">
        <v>4989</v>
      </c>
      <c r="W518" s="5" t="s">
        <v>72</v>
      </c>
      <c r="X518" s="5" t="s">
        <v>72</v>
      </c>
      <c r="Y518" s="4">
        <v>286</v>
      </c>
      <c r="Z518" s="4">
        <v>14</v>
      </c>
      <c r="AA518" s="4">
        <v>14</v>
      </c>
      <c r="AB518" s="4">
        <v>2</v>
      </c>
      <c r="AC518" s="4">
        <v>2</v>
      </c>
      <c r="AD518" s="4">
        <v>98</v>
      </c>
      <c r="AE518" s="4">
        <v>98</v>
      </c>
      <c r="AF518" s="4">
        <v>1</v>
      </c>
      <c r="AG518" s="4">
        <v>1</v>
      </c>
      <c r="AH518" s="4">
        <v>91</v>
      </c>
      <c r="AI518" s="4">
        <v>91</v>
      </c>
      <c r="AJ518" s="4">
        <v>9</v>
      </c>
      <c r="AK518" s="4">
        <v>9</v>
      </c>
      <c r="AL518" s="4">
        <v>51</v>
      </c>
      <c r="AM518" s="4">
        <v>51</v>
      </c>
      <c r="AN518" s="4">
        <v>0</v>
      </c>
      <c r="AO518" s="4">
        <v>0</v>
      </c>
      <c r="AP518" s="4">
        <v>11</v>
      </c>
      <c r="AQ518" s="4">
        <v>11</v>
      </c>
      <c r="AR518" s="3" t="s">
        <v>64</v>
      </c>
      <c r="AS518" s="3" t="s">
        <v>64</v>
      </c>
      <c r="AT518" s="3" t="s">
        <v>64</v>
      </c>
      <c r="AV518" s="6" t="str">
        <f>HYPERLINK("http://mcgill.on.worldcat.org/oclc/52001939","Catalog Record")</f>
        <v>Catalog Record</v>
      </c>
      <c r="AW518" s="6" t="str">
        <f>HYPERLINK("http://www.worldcat.org/oclc/52001939","WorldCat Record")</f>
        <v>WorldCat Record</v>
      </c>
      <c r="AX518" s="3" t="s">
        <v>4990</v>
      </c>
      <c r="AY518" s="3" t="s">
        <v>4991</v>
      </c>
      <c r="AZ518" s="3" t="s">
        <v>4992</v>
      </c>
      <c r="BA518" s="3" t="s">
        <v>4992</v>
      </c>
      <c r="BB518" s="3" t="s">
        <v>4993</v>
      </c>
      <c r="BC518" s="3" t="s">
        <v>77</v>
      </c>
      <c r="BD518" s="3" t="s">
        <v>165</v>
      </c>
      <c r="BE518" s="3" t="s">
        <v>4994</v>
      </c>
      <c r="BF518" s="3" t="s">
        <v>4993</v>
      </c>
      <c r="BG518" s="3" t="s">
        <v>4995</v>
      </c>
      <c r="BH518">
        <f t="shared" si="18"/>
        <v>0</v>
      </c>
    </row>
    <row r="519" spans="1:60" ht="58" x14ac:dyDescent="0.35">
      <c r="A519" s="2" t="s">
        <v>59</v>
      </c>
      <c r="B519" s="2" t="s">
        <v>60</v>
      </c>
      <c r="C519" s="2" t="s">
        <v>4996</v>
      </c>
      <c r="D519" s="2" t="s">
        <v>4997</v>
      </c>
      <c r="E519" s="2" t="s">
        <v>4998</v>
      </c>
      <c r="G519" s="3" t="s">
        <v>64</v>
      </c>
      <c r="I519" s="3" t="s">
        <v>64</v>
      </c>
      <c r="J519" s="3" t="s">
        <v>64</v>
      </c>
      <c r="K519" s="3" t="s">
        <v>65</v>
      </c>
      <c r="L519" s="2" t="s">
        <v>4999</v>
      </c>
      <c r="M519" s="2" t="s">
        <v>5000</v>
      </c>
      <c r="N519" s="3" t="s">
        <v>253</v>
      </c>
      <c r="P519" s="3" t="s">
        <v>102</v>
      </c>
      <c r="Q519" s="2" t="s">
        <v>5001</v>
      </c>
      <c r="R519" s="3" t="s">
        <v>70</v>
      </c>
      <c r="S519" s="4">
        <v>6</v>
      </c>
      <c r="T519" s="4">
        <v>6</v>
      </c>
      <c r="U519" s="5" t="s">
        <v>5002</v>
      </c>
      <c r="V519" s="5" t="s">
        <v>5002</v>
      </c>
      <c r="W519" s="5" t="s">
        <v>72</v>
      </c>
      <c r="X519" s="5" t="s">
        <v>72</v>
      </c>
      <c r="Y519" s="4">
        <v>173</v>
      </c>
      <c r="Z519" s="4">
        <v>12</v>
      </c>
      <c r="AA519" s="4">
        <v>17</v>
      </c>
      <c r="AB519" s="4">
        <v>2</v>
      </c>
      <c r="AC519" s="4">
        <v>6</v>
      </c>
      <c r="AD519" s="4">
        <v>80</v>
      </c>
      <c r="AE519" s="4">
        <v>86</v>
      </c>
      <c r="AF519" s="4">
        <v>1</v>
      </c>
      <c r="AG519" s="4">
        <v>4</v>
      </c>
      <c r="AH519" s="4">
        <v>77</v>
      </c>
      <c r="AI519" s="4">
        <v>78</v>
      </c>
      <c r="AJ519" s="4">
        <v>9</v>
      </c>
      <c r="AK519" s="4">
        <v>12</v>
      </c>
      <c r="AL519" s="4">
        <v>44</v>
      </c>
      <c r="AM519" s="4">
        <v>45</v>
      </c>
      <c r="AN519" s="4">
        <v>0</v>
      </c>
      <c r="AO519" s="4">
        <v>0</v>
      </c>
      <c r="AP519" s="4">
        <v>9</v>
      </c>
      <c r="AQ519" s="4">
        <v>12</v>
      </c>
      <c r="AR519" s="3" t="s">
        <v>64</v>
      </c>
      <c r="AS519" s="3" t="s">
        <v>64</v>
      </c>
      <c r="AT519" s="3" t="s">
        <v>64</v>
      </c>
      <c r="AV519" s="6" t="str">
        <f>HYPERLINK("http://mcgill.on.worldcat.org/oclc/891001506","Catalog Record")</f>
        <v>Catalog Record</v>
      </c>
      <c r="AW519" s="6" t="str">
        <f>HYPERLINK("http://www.worldcat.org/oclc/891001506","WorldCat Record")</f>
        <v>WorldCat Record</v>
      </c>
      <c r="AX519" s="3" t="s">
        <v>5003</v>
      </c>
      <c r="AY519" s="3" t="s">
        <v>5004</v>
      </c>
      <c r="AZ519" s="3" t="s">
        <v>5005</v>
      </c>
      <c r="BA519" s="3" t="s">
        <v>5005</v>
      </c>
      <c r="BB519" s="3" t="s">
        <v>5006</v>
      </c>
      <c r="BC519" s="3" t="s">
        <v>77</v>
      </c>
      <c r="BD519" s="3" t="s">
        <v>78</v>
      </c>
      <c r="BE519" s="3" t="s">
        <v>5007</v>
      </c>
      <c r="BF519" s="3" t="s">
        <v>5006</v>
      </c>
      <c r="BG519" s="3" t="s">
        <v>5008</v>
      </c>
      <c r="BH519">
        <f t="shared" si="18"/>
        <v>0</v>
      </c>
    </row>
    <row r="520" spans="1:60" ht="58" x14ac:dyDescent="0.35">
      <c r="A520" s="2" t="s">
        <v>59</v>
      </c>
      <c r="B520" s="2" t="s">
        <v>60</v>
      </c>
      <c r="C520" s="2" t="s">
        <v>5009</v>
      </c>
      <c r="D520" s="2" t="s">
        <v>5010</v>
      </c>
      <c r="E520" s="2" t="s">
        <v>5011</v>
      </c>
      <c r="G520" s="3" t="s">
        <v>64</v>
      </c>
      <c r="I520" s="3" t="s">
        <v>64</v>
      </c>
      <c r="J520" s="3" t="s">
        <v>64</v>
      </c>
      <c r="K520" s="3" t="s">
        <v>65</v>
      </c>
      <c r="L520" s="2" t="s">
        <v>5012</v>
      </c>
      <c r="M520" s="2" t="s">
        <v>5013</v>
      </c>
      <c r="N520" s="3" t="s">
        <v>326</v>
      </c>
      <c r="P520" s="3" t="s">
        <v>102</v>
      </c>
      <c r="Q520" s="2" t="s">
        <v>5014</v>
      </c>
      <c r="R520" s="3" t="s">
        <v>70</v>
      </c>
      <c r="S520" s="4">
        <v>4</v>
      </c>
      <c r="T520" s="4">
        <v>4</v>
      </c>
      <c r="U520" s="5" t="s">
        <v>5015</v>
      </c>
      <c r="V520" s="5" t="s">
        <v>5015</v>
      </c>
      <c r="W520" s="5" t="s">
        <v>72</v>
      </c>
      <c r="X520" s="5" t="s">
        <v>72</v>
      </c>
      <c r="Y520" s="4">
        <v>125</v>
      </c>
      <c r="Z520" s="4">
        <v>7</v>
      </c>
      <c r="AA520" s="4">
        <v>90</v>
      </c>
      <c r="AB520" s="4">
        <v>1</v>
      </c>
      <c r="AC520" s="4">
        <v>17</v>
      </c>
      <c r="AD520" s="4">
        <v>57</v>
      </c>
      <c r="AE520" s="4">
        <v>126</v>
      </c>
      <c r="AF520" s="4">
        <v>0</v>
      </c>
      <c r="AG520" s="4">
        <v>8</v>
      </c>
      <c r="AH520" s="4">
        <v>54</v>
      </c>
      <c r="AI520" s="4">
        <v>90</v>
      </c>
      <c r="AJ520" s="4">
        <v>5</v>
      </c>
      <c r="AK520" s="4">
        <v>21</v>
      </c>
      <c r="AL520" s="4">
        <v>36</v>
      </c>
      <c r="AM520" s="4">
        <v>50</v>
      </c>
      <c r="AN520" s="4">
        <v>0</v>
      </c>
      <c r="AO520" s="4">
        <v>0</v>
      </c>
      <c r="AP520" s="4">
        <v>5</v>
      </c>
      <c r="AQ520" s="4">
        <v>42</v>
      </c>
      <c r="AR520" s="3" t="s">
        <v>64</v>
      </c>
      <c r="AS520" s="3" t="s">
        <v>64</v>
      </c>
      <c r="AT520" s="3" t="s">
        <v>64</v>
      </c>
      <c r="AV520" s="6" t="str">
        <f>HYPERLINK("http://mcgill.on.worldcat.org/oclc/671870272","Catalog Record")</f>
        <v>Catalog Record</v>
      </c>
      <c r="AW520" s="6" t="str">
        <f>HYPERLINK("http://www.worldcat.org/oclc/671870272","WorldCat Record")</f>
        <v>WorldCat Record</v>
      </c>
      <c r="AX520" s="3" t="s">
        <v>5016</v>
      </c>
      <c r="AY520" s="3" t="s">
        <v>5017</v>
      </c>
      <c r="AZ520" s="3" t="s">
        <v>5018</v>
      </c>
      <c r="BA520" s="3" t="s">
        <v>5018</v>
      </c>
      <c r="BB520" s="3" t="s">
        <v>5019</v>
      </c>
      <c r="BC520" s="3" t="s">
        <v>77</v>
      </c>
      <c r="BD520" s="3" t="s">
        <v>78</v>
      </c>
      <c r="BE520" s="3" t="s">
        <v>5020</v>
      </c>
      <c r="BF520" s="3" t="s">
        <v>5019</v>
      </c>
      <c r="BG520" s="3" t="s">
        <v>5021</v>
      </c>
      <c r="BH520">
        <f t="shared" si="18"/>
        <v>0</v>
      </c>
    </row>
    <row r="521" spans="1:60" ht="58" x14ac:dyDescent="0.35">
      <c r="A521" s="2" t="s">
        <v>59</v>
      </c>
      <c r="B521" s="2" t="s">
        <v>60</v>
      </c>
      <c r="C521" s="2" t="s">
        <v>5022</v>
      </c>
      <c r="D521" s="2" t="s">
        <v>5023</v>
      </c>
      <c r="E521" s="2" t="s">
        <v>5024</v>
      </c>
      <c r="G521" s="3" t="s">
        <v>64</v>
      </c>
      <c r="I521" s="3" t="s">
        <v>64</v>
      </c>
      <c r="J521" s="3" t="s">
        <v>64</v>
      </c>
      <c r="K521" s="3" t="s">
        <v>65</v>
      </c>
      <c r="M521" s="2" t="s">
        <v>5025</v>
      </c>
      <c r="N521" s="3" t="s">
        <v>511</v>
      </c>
      <c r="P521" s="3" t="s">
        <v>102</v>
      </c>
      <c r="Q521" s="2" t="s">
        <v>5026</v>
      </c>
      <c r="R521" s="3" t="s">
        <v>70</v>
      </c>
      <c r="S521" s="4">
        <v>2</v>
      </c>
      <c r="T521" s="4">
        <v>2</v>
      </c>
      <c r="U521" s="5" t="s">
        <v>5027</v>
      </c>
      <c r="V521" s="5" t="s">
        <v>5027</v>
      </c>
      <c r="W521" s="5" t="s">
        <v>72</v>
      </c>
      <c r="X521" s="5" t="s">
        <v>72</v>
      </c>
      <c r="Y521" s="4">
        <v>127</v>
      </c>
      <c r="Z521" s="4">
        <v>6</v>
      </c>
      <c r="AA521" s="4">
        <v>51</v>
      </c>
      <c r="AB521" s="4">
        <v>1</v>
      </c>
      <c r="AC521" s="4">
        <v>8</v>
      </c>
      <c r="AD521" s="4">
        <v>48</v>
      </c>
      <c r="AE521" s="4">
        <v>90</v>
      </c>
      <c r="AF521" s="4">
        <v>0</v>
      </c>
      <c r="AG521" s="4">
        <v>1</v>
      </c>
      <c r="AH521" s="4">
        <v>45</v>
      </c>
      <c r="AI521" s="4">
        <v>73</v>
      </c>
      <c r="AJ521" s="4">
        <v>3</v>
      </c>
      <c r="AK521" s="4">
        <v>12</v>
      </c>
      <c r="AL521" s="4">
        <v>29</v>
      </c>
      <c r="AM521" s="4">
        <v>41</v>
      </c>
      <c r="AN521" s="4">
        <v>0</v>
      </c>
      <c r="AO521" s="4">
        <v>0</v>
      </c>
      <c r="AP521" s="4">
        <v>4</v>
      </c>
      <c r="AQ521" s="4">
        <v>21</v>
      </c>
      <c r="AR521" s="3" t="s">
        <v>64</v>
      </c>
      <c r="AS521" s="3" t="s">
        <v>64</v>
      </c>
      <c r="AT521" s="3" t="s">
        <v>64</v>
      </c>
      <c r="AV521" s="6" t="str">
        <f>HYPERLINK("http://mcgill.on.worldcat.org/oclc/505420867","Catalog Record")</f>
        <v>Catalog Record</v>
      </c>
      <c r="AW521" s="6" t="str">
        <f>HYPERLINK("http://www.worldcat.org/oclc/505420867","WorldCat Record")</f>
        <v>WorldCat Record</v>
      </c>
      <c r="AX521" s="3" t="s">
        <v>5028</v>
      </c>
      <c r="AY521" s="3" t="s">
        <v>5029</v>
      </c>
      <c r="AZ521" s="3" t="s">
        <v>5030</v>
      </c>
      <c r="BA521" s="3" t="s">
        <v>5030</v>
      </c>
      <c r="BB521" s="3" t="s">
        <v>5031</v>
      </c>
      <c r="BC521" s="3" t="s">
        <v>77</v>
      </c>
      <c r="BD521" s="3" t="s">
        <v>78</v>
      </c>
      <c r="BE521" s="3" t="s">
        <v>5032</v>
      </c>
      <c r="BF521" s="3" t="s">
        <v>5031</v>
      </c>
      <c r="BG521" s="3" t="s">
        <v>5033</v>
      </c>
      <c r="BH521">
        <f t="shared" si="18"/>
        <v>0</v>
      </c>
    </row>
    <row r="522" spans="1:60" ht="116" x14ac:dyDescent="0.35">
      <c r="A522" s="2" t="s">
        <v>59</v>
      </c>
      <c r="B522" s="2" t="s">
        <v>1183</v>
      </c>
      <c r="C522" s="2" t="s">
        <v>5034</v>
      </c>
      <c r="D522" s="2" t="s">
        <v>5035</v>
      </c>
      <c r="E522" s="2" t="s">
        <v>5036</v>
      </c>
      <c r="G522" s="3" t="s">
        <v>64</v>
      </c>
      <c r="I522" s="3" t="s">
        <v>64</v>
      </c>
      <c r="J522" s="3" t="s">
        <v>64</v>
      </c>
      <c r="K522" s="3" t="s">
        <v>65</v>
      </c>
      <c r="L522" s="2" t="s">
        <v>5037</v>
      </c>
      <c r="M522" s="2" t="s">
        <v>1188</v>
      </c>
      <c r="N522" s="3" t="s">
        <v>159</v>
      </c>
      <c r="O522" s="2" t="s">
        <v>1189</v>
      </c>
      <c r="P522" s="3" t="s">
        <v>1190</v>
      </c>
      <c r="Q522" s="2" t="s">
        <v>1191</v>
      </c>
      <c r="R522" s="3" t="s">
        <v>70</v>
      </c>
      <c r="S522" s="4">
        <v>1</v>
      </c>
      <c r="T522" s="4">
        <v>1</v>
      </c>
      <c r="U522" s="5" t="s">
        <v>5038</v>
      </c>
      <c r="V522" s="5" t="s">
        <v>5038</v>
      </c>
      <c r="W522" s="5" t="s">
        <v>72</v>
      </c>
      <c r="X522" s="5" t="s">
        <v>72</v>
      </c>
      <c r="Y522" s="4">
        <v>42</v>
      </c>
      <c r="Z522" s="4">
        <v>4</v>
      </c>
      <c r="AA522" s="4">
        <v>4</v>
      </c>
      <c r="AB522" s="4">
        <v>1</v>
      </c>
      <c r="AC522" s="4">
        <v>1</v>
      </c>
      <c r="AD522" s="4">
        <v>27</v>
      </c>
      <c r="AE522" s="4">
        <v>27</v>
      </c>
      <c r="AF522" s="4">
        <v>0</v>
      </c>
      <c r="AG522" s="4">
        <v>0</v>
      </c>
      <c r="AH522" s="4">
        <v>25</v>
      </c>
      <c r="AI522" s="4">
        <v>25</v>
      </c>
      <c r="AJ522" s="4">
        <v>2</v>
      </c>
      <c r="AK522" s="4">
        <v>2</v>
      </c>
      <c r="AL522" s="4">
        <v>22</v>
      </c>
      <c r="AM522" s="4">
        <v>22</v>
      </c>
      <c r="AN522" s="4">
        <v>0</v>
      </c>
      <c r="AO522" s="4">
        <v>0</v>
      </c>
      <c r="AP522" s="4">
        <v>2</v>
      </c>
      <c r="AQ522" s="4">
        <v>2</v>
      </c>
      <c r="AR522" s="3" t="s">
        <v>64</v>
      </c>
      <c r="AS522" s="3" t="s">
        <v>64</v>
      </c>
      <c r="AT522" s="3" t="s">
        <v>64</v>
      </c>
      <c r="AV522" s="6" t="str">
        <f>HYPERLINK("http://mcgill.on.worldcat.org/oclc/52126402","Catalog Record")</f>
        <v>Catalog Record</v>
      </c>
      <c r="AW522" s="6" t="str">
        <f>HYPERLINK("http://www.worldcat.org/oclc/52126402","WorldCat Record")</f>
        <v>WorldCat Record</v>
      </c>
      <c r="AX522" s="3" t="s">
        <v>5039</v>
      </c>
      <c r="AY522" s="3" t="s">
        <v>5040</v>
      </c>
      <c r="AZ522" s="3" t="s">
        <v>5041</v>
      </c>
      <c r="BA522" s="3" t="s">
        <v>5041</v>
      </c>
      <c r="BB522" s="3" t="s">
        <v>5042</v>
      </c>
      <c r="BC522" s="3" t="s">
        <v>77</v>
      </c>
      <c r="BD522" s="3" t="s">
        <v>78</v>
      </c>
      <c r="BE522" s="3" t="s">
        <v>5043</v>
      </c>
      <c r="BF522" s="3" t="s">
        <v>5042</v>
      </c>
      <c r="BG522" s="3" t="s">
        <v>5044</v>
      </c>
      <c r="BH522">
        <f t="shared" si="18"/>
        <v>0</v>
      </c>
    </row>
    <row r="523" spans="1:60" ht="58" x14ac:dyDescent="0.35">
      <c r="A523" s="2" t="s">
        <v>59</v>
      </c>
      <c r="B523" s="2" t="s">
        <v>60</v>
      </c>
      <c r="C523" s="2" t="s">
        <v>5045</v>
      </c>
      <c r="D523" s="2" t="s">
        <v>5046</v>
      </c>
      <c r="E523" s="2" t="s">
        <v>5047</v>
      </c>
      <c r="G523" s="3" t="s">
        <v>64</v>
      </c>
      <c r="I523" s="3" t="s">
        <v>128</v>
      </c>
      <c r="J523" s="3" t="s">
        <v>64</v>
      </c>
      <c r="K523" s="3" t="s">
        <v>65</v>
      </c>
      <c r="L523" s="2" t="s">
        <v>5048</v>
      </c>
      <c r="M523" s="2" t="s">
        <v>5049</v>
      </c>
      <c r="N523" s="3" t="s">
        <v>5050</v>
      </c>
      <c r="P523" s="3" t="s">
        <v>68</v>
      </c>
      <c r="Q523" s="2" t="s">
        <v>5051</v>
      </c>
      <c r="R523" s="3" t="s">
        <v>70</v>
      </c>
      <c r="S523" s="4">
        <v>0</v>
      </c>
      <c r="T523" s="4">
        <v>3</v>
      </c>
      <c r="V523" s="5" t="s">
        <v>5052</v>
      </c>
      <c r="W523" s="5" t="s">
        <v>72</v>
      </c>
      <c r="X523" s="5" t="s">
        <v>72</v>
      </c>
      <c r="Y523" s="4">
        <v>96</v>
      </c>
      <c r="Z523" s="4">
        <v>10</v>
      </c>
      <c r="AA523" s="4">
        <v>10</v>
      </c>
      <c r="AB523" s="4">
        <v>2</v>
      </c>
      <c r="AC523" s="4">
        <v>2</v>
      </c>
      <c r="AD523" s="4">
        <v>43</v>
      </c>
      <c r="AE523" s="4">
        <v>43</v>
      </c>
      <c r="AF523" s="4">
        <v>0</v>
      </c>
      <c r="AG523" s="4">
        <v>0</v>
      </c>
      <c r="AH523" s="4">
        <v>39</v>
      </c>
      <c r="AI523" s="4">
        <v>39</v>
      </c>
      <c r="AJ523" s="4">
        <v>5</v>
      </c>
      <c r="AK523" s="4">
        <v>5</v>
      </c>
      <c r="AL523" s="4">
        <v>28</v>
      </c>
      <c r="AM523" s="4">
        <v>28</v>
      </c>
      <c r="AN523" s="4">
        <v>0</v>
      </c>
      <c r="AO523" s="4">
        <v>0</v>
      </c>
      <c r="AP523" s="4">
        <v>4</v>
      </c>
      <c r="AQ523" s="4">
        <v>4</v>
      </c>
      <c r="AR523" s="3" t="s">
        <v>64</v>
      </c>
      <c r="AS523" s="3" t="s">
        <v>64</v>
      </c>
      <c r="AT523" s="3" t="s">
        <v>128</v>
      </c>
      <c r="AU523" s="6" t="str">
        <f>HYPERLINK("http://catalog.hathitrust.org/Record/001670127","HathiTrust Record")</f>
        <v>HathiTrust Record</v>
      </c>
      <c r="AV523" s="6" t="str">
        <f>HYPERLINK("http://mcgill.on.worldcat.org/oclc/1747484","Catalog Record")</f>
        <v>Catalog Record</v>
      </c>
      <c r="AW523" s="6" t="str">
        <f>HYPERLINK("http://www.worldcat.org/oclc/1747484","WorldCat Record")</f>
        <v>WorldCat Record</v>
      </c>
      <c r="AX523" s="3" t="s">
        <v>5053</v>
      </c>
      <c r="AY523" s="3" t="s">
        <v>5054</v>
      </c>
      <c r="AZ523" s="3" t="s">
        <v>5055</v>
      </c>
      <c r="BA523" s="3" t="s">
        <v>5055</v>
      </c>
      <c r="BB523" s="3" t="s">
        <v>5056</v>
      </c>
      <c r="BC523" s="3" t="s">
        <v>77</v>
      </c>
      <c r="BD523" s="3" t="s">
        <v>78</v>
      </c>
      <c r="BF523" s="3" t="s">
        <v>5056</v>
      </c>
      <c r="BG523" s="3" t="s">
        <v>5057</v>
      </c>
      <c r="BH523">
        <f t="shared" si="18"/>
        <v>0</v>
      </c>
    </row>
    <row r="524" spans="1:60" ht="116" x14ac:dyDescent="0.35">
      <c r="A524" s="2" t="s">
        <v>59</v>
      </c>
      <c r="B524" s="2" t="s">
        <v>60</v>
      </c>
      <c r="C524" s="2" t="s">
        <v>5058</v>
      </c>
      <c r="D524" s="2" t="s">
        <v>5059</v>
      </c>
      <c r="E524" s="2" t="s">
        <v>5060</v>
      </c>
      <c r="G524" s="3" t="s">
        <v>64</v>
      </c>
      <c r="I524" s="3" t="s">
        <v>64</v>
      </c>
      <c r="J524" s="3" t="s">
        <v>64</v>
      </c>
      <c r="K524" s="3" t="s">
        <v>65</v>
      </c>
      <c r="L524" s="2" t="s">
        <v>5061</v>
      </c>
      <c r="M524" s="2" t="s">
        <v>5062</v>
      </c>
      <c r="N524" s="3" t="s">
        <v>511</v>
      </c>
      <c r="P524" s="3" t="s">
        <v>102</v>
      </c>
      <c r="R524" s="3" t="s">
        <v>70</v>
      </c>
      <c r="S524" s="4">
        <v>0</v>
      </c>
      <c r="T524" s="4">
        <v>0</v>
      </c>
      <c r="W524" s="5" t="s">
        <v>72</v>
      </c>
      <c r="X524" s="5" t="s">
        <v>72</v>
      </c>
      <c r="Y524" s="4">
        <v>43</v>
      </c>
      <c r="Z524" s="4">
        <v>18</v>
      </c>
      <c r="AA524" s="4">
        <v>18</v>
      </c>
      <c r="AB524" s="4">
        <v>1</v>
      </c>
      <c r="AC524" s="4">
        <v>1</v>
      </c>
      <c r="AD524" s="4">
        <v>21</v>
      </c>
      <c r="AE524" s="4">
        <v>21</v>
      </c>
      <c r="AF524" s="4">
        <v>0</v>
      </c>
      <c r="AG524" s="4">
        <v>0</v>
      </c>
      <c r="AH524" s="4">
        <v>16</v>
      </c>
      <c r="AI524" s="4">
        <v>16</v>
      </c>
      <c r="AJ524" s="4">
        <v>9</v>
      </c>
      <c r="AK524" s="4">
        <v>9</v>
      </c>
      <c r="AL524" s="4">
        <v>10</v>
      </c>
      <c r="AM524" s="4">
        <v>10</v>
      </c>
      <c r="AN524" s="4">
        <v>0</v>
      </c>
      <c r="AO524" s="4">
        <v>0</v>
      </c>
      <c r="AP524" s="4">
        <v>9</v>
      </c>
      <c r="AQ524" s="4">
        <v>9</v>
      </c>
      <c r="AR524" s="3" t="s">
        <v>128</v>
      </c>
      <c r="AS524" s="3" t="s">
        <v>64</v>
      </c>
      <c r="AT524" s="3" t="s">
        <v>64</v>
      </c>
      <c r="AV524" s="6" t="str">
        <f>HYPERLINK("http://mcgill.on.worldcat.org/oclc/608945287","Catalog Record")</f>
        <v>Catalog Record</v>
      </c>
      <c r="AW524" s="6" t="str">
        <f>HYPERLINK("http://www.worldcat.org/oclc/608945287","WorldCat Record")</f>
        <v>WorldCat Record</v>
      </c>
      <c r="AX524" s="3" t="s">
        <v>5063</v>
      </c>
      <c r="AY524" s="3" t="s">
        <v>5064</v>
      </c>
      <c r="AZ524" s="3" t="s">
        <v>5065</v>
      </c>
      <c r="BA524" s="3" t="s">
        <v>5065</v>
      </c>
      <c r="BB524" s="3" t="s">
        <v>5066</v>
      </c>
      <c r="BC524" s="3" t="s">
        <v>77</v>
      </c>
      <c r="BD524" s="3" t="s">
        <v>78</v>
      </c>
      <c r="BE524" s="3" t="s">
        <v>5067</v>
      </c>
      <c r="BF524" s="3" t="s">
        <v>5066</v>
      </c>
      <c r="BG524" s="3" t="s">
        <v>5068</v>
      </c>
      <c r="BH524">
        <f t="shared" si="18"/>
        <v>0</v>
      </c>
    </row>
    <row r="525" spans="1:60" ht="58" x14ac:dyDescent="0.35">
      <c r="A525" s="2" t="s">
        <v>59</v>
      </c>
      <c r="B525" s="2" t="s">
        <v>60</v>
      </c>
      <c r="C525" s="2" t="s">
        <v>5069</v>
      </c>
      <c r="D525" s="2" t="s">
        <v>5070</v>
      </c>
      <c r="E525" s="2" t="s">
        <v>5071</v>
      </c>
      <c r="G525" s="3" t="s">
        <v>64</v>
      </c>
      <c r="I525" s="3" t="s">
        <v>64</v>
      </c>
      <c r="J525" s="3" t="s">
        <v>64</v>
      </c>
      <c r="K525" s="3" t="s">
        <v>65</v>
      </c>
      <c r="L525" s="2" t="s">
        <v>5072</v>
      </c>
      <c r="M525" s="2" t="s">
        <v>4573</v>
      </c>
      <c r="N525" s="3" t="s">
        <v>511</v>
      </c>
      <c r="P525" s="3" t="s">
        <v>102</v>
      </c>
      <c r="R525" s="3" t="s">
        <v>70</v>
      </c>
      <c r="S525" s="4">
        <v>3</v>
      </c>
      <c r="T525" s="4">
        <v>3</v>
      </c>
      <c r="U525" s="5" t="s">
        <v>5073</v>
      </c>
      <c r="V525" s="5" t="s">
        <v>5073</v>
      </c>
      <c r="W525" s="5" t="s">
        <v>72</v>
      </c>
      <c r="X525" s="5" t="s">
        <v>72</v>
      </c>
      <c r="Y525" s="4">
        <v>249</v>
      </c>
      <c r="Z525" s="4">
        <v>18</v>
      </c>
      <c r="AA525" s="4">
        <v>18</v>
      </c>
      <c r="AB525" s="4">
        <v>1</v>
      </c>
      <c r="AC525" s="4">
        <v>1</v>
      </c>
      <c r="AD525" s="4">
        <v>69</v>
      </c>
      <c r="AE525" s="4">
        <v>69</v>
      </c>
      <c r="AF525" s="4">
        <v>0</v>
      </c>
      <c r="AG525" s="4">
        <v>0</v>
      </c>
      <c r="AH525" s="4">
        <v>61</v>
      </c>
      <c r="AI525" s="4">
        <v>61</v>
      </c>
      <c r="AJ525" s="4">
        <v>12</v>
      </c>
      <c r="AK525" s="4">
        <v>12</v>
      </c>
      <c r="AL525" s="4">
        <v>37</v>
      </c>
      <c r="AM525" s="4">
        <v>37</v>
      </c>
      <c r="AN525" s="4">
        <v>0</v>
      </c>
      <c r="AO525" s="4">
        <v>0</v>
      </c>
      <c r="AP525" s="4">
        <v>13</v>
      </c>
      <c r="AQ525" s="4">
        <v>13</v>
      </c>
      <c r="AR525" s="3" t="s">
        <v>64</v>
      </c>
      <c r="AS525" s="3" t="s">
        <v>64</v>
      </c>
      <c r="AT525" s="3" t="s">
        <v>64</v>
      </c>
      <c r="AV525" s="6" t="str">
        <f>HYPERLINK("http://mcgill.on.worldcat.org/oclc/457149465","Catalog Record")</f>
        <v>Catalog Record</v>
      </c>
      <c r="AW525" s="6" t="str">
        <f>HYPERLINK("http://www.worldcat.org/oclc/457149465","WorldCat Record")</f>
        <v>WorldCat Record</v>
      </c>
      <c r="AX525" s="3" t="s">
        <v>5074</v>
      </c>
      <c r="AY525" s="3" t="s">
        <v>5075</v>
      </c>
      <c r="AZ525" s="3" t="s">
        <v>5076</v>
      </c>
      <c r="BA525" s="3" t="s">
        <v>5076</v>
      </c>
      <c r="BB525" s="3" t="s">
        <v>5077</v>
      </c>
      <c r="BC525" s="3" t="s">
        <v>77</v>
      </c>
      <c r="BD525" s="3" t="s">
        <v>78</v>
      </c>
      <c r="BE525" s="3" t="s">
        <v>5078</v>
      </c>
      <c r="BF525" s="3" t="s">
        <v>5077</v>
      </c>
      <c r="BG525" s="3" t="s">
        <v>5079</v>
      </c>
      <c r="BH525">
        <f t="shared" si="18"/>
        <v>0</v>
      </c>
    </row>
    <row r="526" spans="1:60" ht="116" x14ac:dyDescent="0.35">
      <c r="A526" s="2" t="s">
        <v>59</v>
      </c>
      <c r="B526" s="2" t="s">
        <v>1183</v>
      </c>
      <c r="C526" s="2" t="s">
        <v>5080</v>
      </c>
      <c r="D526" s="2" t="s">
        <v>5081</v>
      </c>
      <c r="E526" s="2" t="s">
        <v>5082</v>
      </c>
      <c r="G526" s="3" t="s">
        <v>64</v>
      </c>
      <c r="I526" s="3" t="s">
        <v>64</v>
      </c>
      <c r="J526" s="3" t="s">
        <v>64</v>
      </c>
      <c r="K526" s="3" t="s">
        <v>65</v>
      </c>
      <c r="L526" s="2" t="s">
        <v>5083</v>
      </c>
      <c r="M526" s="2" t="s">
        <v>5084</v>
      </c>
      <c r="N526" s="3" t="s">
        <v>326</v>
      </c>
      <c r="O526" s="2" t="s">
        <v>1189</v>
      </c>
      <c r="P526" s="3" t="s">
        <v>1190</v>
      </c>
      <c r="Q526" s="2" t="s">
        <v>5085</v>
      </c>
      <c r="R526" s="3" t="s">
        <v>70</v>
      </c>
      <c r="S526" s="4">
        <v>0</v>
      </c>
      <c r="T526" s="4">
        <v>0</v>
      </c>
      <c r="W526" s="5" t="s">
        <v>72</v>
      </c>
      <c r="X526" s="5" t="s">
        <v>72</v>
      </c>
      <c r="Y526" s="4">
        <v>30</v>
      </c>
      <c r="Z526" s="4">
        <v>3</v>
      </c>
      <c r="AA526" s="4">
        <v>3</v>
      </c>
      <c r="AB526" s="4">
        <v>1</v>
      </c>
      <c r="AC526" s="4">
        <v>1</v>
      </c>
      <c r="AD526" s="4">
        <v>18</v>
      </c>
      <c r="AE526" s="4">
        <v>18</v>
      </c>
      <c r="AF526" s="4">
        <v>0</v>
      </c>
      <c r="AG526" s="4">
        <v>0</v>
      </c>
      <c r="AH526" s="4">
        <v>17</v>
      </c>
      <c r="AI526" s="4">
        <v>17</v>
      </c>
      <c r="AJ526" s="4">
        <v>1</v>
      </c>
      <c r="AK526" s="4">
        <v>1</v>
      </c>
      <c r="AL526" s="4">
        <v>17</v>
      </c>
      <c r="AM526" s="4">
        <v>17</v>
      </c>
      <c r="AN526" s="4">
        <v>0</v>
      </c>
      <c r="AO526" s="4">
        <v>0</v>
      </c>
      <c r="AP526" s="4">
        <v>1</v>
      </c>
      <c r="AQ526" s="4">
        <v>1</v>
      </c>
      <c r="AR526" s="3" t="s">
        <v>64</v>
      </c>
      <c r="AS526" s="3" t="s">
        <v>64</v>
      </c>
      <c r="AT526" s="3" t="s">
        <v>64</v>
      </c>
      <c r="AV526" s="6" t="str">
        <f>HYPERLINK("http://mcgill.on.worldcat.org/oclc/761367786","Catalog Record")</f>
        <v>Catalog Record</v>
      </c>
      <c r="AW526" s="6" t="str">
        <f>HYPERLINK("http://www.worldcat.org/oclc/761367786","WorldCat Record")</f>
        <v>WorldCat Record</v>
      </c>
      <c r="AX526" s="3" t="s">
        <v>5086</v>
      </c>
      <c r="AY526" s="3" t="s">
        <v>5087</v>
      </c>
      <c r="AZ526" s="3" t="s">
        <v>5088</v>
      </c>
      <c r="BA526" s="3" t="s">
        <v>5088</v>
      </c>
      <c r="BB526" s="3" t="s">
        <v>5089</v>
      </c>
      <c r="BC526" s="3" t="s">
        <v>77</v>
      </c>
      <c r="BD526" s="3" t="s">
        <v>78</v>
      </c>
      <c r="BE526" s="3" t="s">
        <v>5090</v>
      </c>
      <c r="BF526" s="3" t="s">
        <v>5089</v>
      </c>
      <c r="BG526" s="3" t="s">
        <v>5091</v>
      </c>
      <c r="BH526">
        <f t="shared" si="18"/>
        <v>0</v>
      </c>
    </row>
    <row r="527" spans="1:60" ht="116" x14ac:dyDescent="0.35">
      <c r="A527" s="2" t="s">
        <v>59</v>
      </c>
      <c r="B527" s="2" t="s">
        <v>1183</v>
      </c>
      <c r="C527" s="2" t="s">
        <v>5092</v>
      </c>
      <c r="D527" s="2" t="s">
        <v>5093</v>
      </c>
      <c r="E527" s="2" t="s">
        <v>5094</v>
      </c>
      <c r="G527" s="3" t="s">
        <v>64</v>
      </c>
      <c r="I527" s="3" t="s">
        <v>64</v>
      </c>
      <c r="J527" s="3" t="s">
        <v>64</v>
      </c>
      <c r="K527" s="3" t="s">
        <v>65</v>
      </c>
      <c r="L527" s="2" t="s">
        <v>5095</v>
      </c>
      <c r="M527" s="2" t="s">
        <v>5096</v>
      </c>
      <c r="N527" s="3" t="s">
        <v>979</v>
      </c>
      <c r="O527" s="2" t="s">
        <v>1189</v>
      </c>
      <c r="P527" s="3" t="s">
        <v>1190</v>
      </c>
      <c r="R527" s="3" t="s">
        <v>70</v>
      </c>
      <c r="S527" s="4">
        <v>1</v>
      </c>
      <c r="T527" s="4">
        <v>1</v>
      </c>
      <c r="U527" s="5" t="s">
        <v>5038</v>
      </c>
      <c r="V527" s="5" t="s">
        <v>5038</v>
      </c>
      <c r="W527" s="5" t="s">
        <v>72</v>
      </c>
      <c r="X527" s="5" t="s">
        <v>72</v>
      </c>
      <c r="Y527" s="4">
        <v>54</v>
      </c>
      <c r="Z527" s="4">
        <v>6</v>
      </c>
      <c r="AA527" s="4">
        <v>6</v>
      </c>
      <c r="AB527" s="4">
        <v>1</v>
      </c>
      <c r="AC527" s="4">
        <v>1</v>
      </c>
      <c r="AD527" s="4">
        <v>37</v>
      </c>
      <c r="AE527" s="4">
        <v>38</v>
      </c>
      <c r="AF527" s="4">
        <v>0</v>
      </c>
      <c r="AG527" s="4">
        <v>0</v>
      </c>
      <c r="AH527" s="4">
        <v>34</v>
      </c>
      <c r="AI527" s="4">
        <v>35</v>
      </c>
      <c r="AJ527" s="4">
        <v>3</v>
      </c>
      <c r="AK527" s="4">
        <v>3</v>
      </c>
      <c r="AL527" s="4">
        <v>29</v>
      </c>
      <c r="AM527" s="4">
        <v>30</v>
      </c>
      <c r="AN527" s="4">
        <v>0</v>
      </c>
      <c r="AO527" s="4">
        <v>0</v>
      </c>
      <c r="AP527" s="4">
        <v>3</v>
      </c>
      <c r="AQ527" s="4">
        <v>3</v>
      </c>
      <c r="AR527" s="3" t="s">
        <v>64</v>
      </c>
      <c r="AS527" s="3" t="s">
        <v>64</v>
      </c>
      <c r="AT527" s="3" t="s">
        <v>128</v>
      </c>
      <c r="AU527" s="6" t="str">
        <f>HYPERLINK("http://catalog.hathitrust.org/Record/003563968","HathiTrust Record")</f>
        <v>HathiTrust Record</v>
      </c>
      <c r="AV527" s="6" t="str">
        <f>HYPERLINK("http://mcgill.on.worldcat.org/oclc/46632524","Catalog Record")</f>
        <v>Catalog Record</v>
      </c>
      <c r="AW527" s="6" t="str">
        <f>HYPERLINK("http://www.worldcat.org/oclc/46632524","WorldCat Record")</f>
        <v>WorldCat Record</v>
      </c>
      <c r="AX527" s="3" t="s">
        <v>5097</v>
      </c>
      <c r="AY527" s="3" t="s">
        <v>5098</v>
      </c>
      <c r="AZ527" s="3" t="s">
        <v>5099</v>
      </c>
      <c r="BA527" s="3" t="s">
        <v>5099</v>
      </c>
      <c r="BB527" s="3" t="s">
        <v>5100</v>
      </c>
      <c r="BC527" s="3" t="s">
        <v>77</v>
      </c>
      <c r="BD527" s="3" t="s">
        <v>78</v>
      </c>
      <c r="BE527" s="3" t="s">
        <v>5101</v>
      </c>
      <c r="BF527" s="3" t="s">
        <v>5100</v>
      </c>
      <c r="BG527" s="3" t="s">
        <v>5102</v>
      </c>
      <c r="BH527">
        <f t="shared" si="18"/>
        <v>0</v>
      </c>
    </row>
    <row r="528" spans="1:60" ht="58" x14ac:dyDescent="0.35">
      <c r="A528" s="2" t="s">
        <v>59</v>
      </c>
      <c r="B528" s="2" t="s">
        <v>60</v>
      </c>
      <c r="C528" s="2" t="s">
        <v>5103</v>
      </c>
      <c r="D528" s="2" t="s">
        <v>5104</v>
      </c>
      <c r="E528" s="2" t="s">
        <v>5105</v>
      </c>
      <c r="G528" s="3" t="s">
        <v>64</v>
      </c>
      <c r="I528" s="3" t="s">
        <v>64</v>
      </c>
      <c r="J528" s="3" t="s">
        <v>128</v>
      </c>
      <c r="K528" s="3" t="s">
        <v>65</v>
      </c>
      <c r="L528" s="2" t="s">
        <v>5106</v>
      </c>
      <c r="M528" s="2" t="s">
        <v>5107</v>
      </c>
      <c r="N528" s="3" t="s">
        <v>511</v>
      </c>
      <c r="O528" s="2" t="s">
        <v>2149</v>
      </c>
      <c r="P528" s="3" t="s">
        <v>102</v>
      </c>
      <c r="Q528" s="2" t="s">
        <v>5108</v>
      </c>
      <c r="R528" s="3" t="s">
        <v>70</v>
      </c>
      <c r="S528" s="4">
        <v>0</v>
      </c>
      <c r="T528" s="4">
        <v>0</v>
      </c>
      <c r="W528" s="5" t="s">
        <v>72</v>
      </c>
      <c r="X528" s="5" t="s">
        <v>72</v>
      </c>
      <c r="Y528" s="4">
        <v>38</v>
      </c>
      <c r="Z528" s="4">
        <v>2</v>
      </c>
      <c r="AA528" s="4">
        <v>13</v>
      </c>
      <c r="AB528" s="4">
        <v>1</v>
      </c>
      <c r="AC528" s="4">
        <v>2</v>
      </c>
      <c r="AD528" s="4">
        <v>16</v>
      </c>
      <c r="AE528" s="4">
        <v>46</v>
      </c>
      <c r="AF528" s="4">
        <v>0</v>
      </c>
      <c r="AG528" s="4">
        <v>1</v>
      </c>
      <c r="AH528" s="4">
        <v>15</v>
      </c>
      <c r="AI528" s="4">
        <v>42</v>
      </c>
      <c r="AJ528" s="4">
        <v>1</v>
      </c>
      <c r="AK528" s="4">
        <v>8</v>
      </c>
      <c r="AL528" s="4">
        <v>11</v>
      </c>
      <c r="AM528" s="4">
        <v>28</v>
      </c>
      <c r="AN528" s="4">
        <v>0</v>
      </c>
      <c r="AO528" s="4">
        <v>0</v>
      </c>
      <c r="AP528" s="4">
        <v>0</v>
      </c>
      <c r="AQ528" s="4">
        <v>7</v>
      </c>
      <c r="AR528" s="3" t="s">
        <v>64</v>
      </c>
      <c r="AS528" s="3" t="s">
        <v>64</v>
      </c>
      <c r="AT528" s="3" t="s">
        <v>64</v>
      </c>
      <c r="AV528" s="6" t="str">
        <f>HYPERLINK("http://mcgill.on.worldcat.org/oclc/645588567","Catalog Record")</f>
        <v>Catalog Record</v>
      </c>
      <c r="AW528" s="6" t="str">
        <f>HYPERLINK("http://www.worldcat.org/oclc/645588567","WorldCat Record")</f>
        <v>WorldCat Record</v>
      </c>
      <c r="AX528" s="3" t="s">
        <v>5109</v>
      </c>
      <c r="AY528" s="3" t="s">
        <v>5110</v>
      </c>
      <c r="AZ528" s="3" t="s">
        <v>5111</v>
      </c>
      <c r="BA528" s="3" t="s">
        <v>5111</v>
      </c>
      <c r="BB528" s="3" t="s">
        <v>5112</v>
      </c>
      <c r="BC528" s="3" t="s">
        <v>77</v>
      </c>
      <c r="BD528" s="3" t="s">
        <v>78</v>
      </c>
      <c r="BE528" s="3" t="s">
        <v>5113</v>
      </c>
      <c r="BF528" s="3" t="s">
        <v>5112</v>
      </c>
      <c r="BG528" s="3" t="s">
        <v>5114</v>
      </c>
      <c r="BH528">
        <f t="shared" si="18"/>
        <v>0</v>
      </c>
    </row>
    <row r="529" spans="1:60" ht="58" x14ac:dyDescent="0.35">
      <c r="A529" s="2" t="s">
        <v>59</v>
      </c>
      <c r="B529" s="2" t="s">
        <v>60</v>
      </c>
      <c r="C529" s="2" t="s">
        <v>5115</v>
      </c>
      <c r="D529" s="2" t="s">
        <v>5116</v>
      </c>
      <c r="E529" s="2" t="s">
        <v>5117</v>
      </c>
      <c r="G529" s="3" t="s">
        <v>64</v>
      </c>
      <c r="I529" s="3" t="s">
        <v>64</v>
      </c>
      <c r="J529" s="3" t="s">
        <v>128</v>
      </c>
      <c r="K529" s="3" t="s">
        <v>65</v>
      </c>
      <c r="L529" s="2" t="s">
        <v>5106</v>
      </c>
      <c r="M529" s="2" t="s">
        <v>5118</v>
      </c>
      <c r="N529" s="3" t="s">
        <v>86</v>
      </c>
      <c r="O529" s="2" t="s">
        <v>2994</v>
      </c>
      <c r="P529" s="3" t="s">
        <v>102</v>
      </c>
      <c r="Q529" s="2" t="s">
        <v>5119</v>
      </c>
      <c r="R529" s="3" t="s">
        <v>70</v>
      </c>
      <c r="S529" s="4">
        <v>1</v>
      </c>
      <c r="T529" s="4">
        <v>1</v>
      </c>
      <c r="U529" s="5" t="s">
        <v>5120</v>
      </c>
      <c r="V529" s="5" t="s">
        <v>5120</v>
      </c>
      <c r="W529" s="5" t="s">
        <v>72</v>
      </c>
      <c r="X529" s="5" t="s">
        <v>72</v>
      </c>
      <c r="Y529" s="4">
        <v>56</v>
      </c>
      <c r="Z529" s="4">
        <v>6</v>
      </c>
      <c r="AA529" s="4">
        <v>13</v>
      </c>
      <c r="AB529" s="4">
        <v>1</v>
      </c>
      <c r="AC529" s="4">
        <v>2</v>
      </c>
      <c r="AD529" s="4">
        <v>25</v>
      </c>
      <c r="AE529" s="4">
        <v>46</v>
      </c>
      <c r="AF529" s="4">
        <v>0</v>
      </c>
      <c r="AG529" s="4">
        <v>1</v>
      </c>
      <c r="AH529" s="4">
        <v>23</v>
      </c>
      <c r="AI529" s="4">
        <v>42</v>
      </c>
      <c r="AJ529" s="4">
        <v>4</v>
      </c>
      <c r="AK529" s="4">
        <v>8</v>
      </c>
      <c r="AL529" s="4">
        <v>16</v>
      </c>
      <c r="AM529" s="4">
        <v>28</v>
      </c>
      <c r="AN529" s="4">
        <v>0</v>
      </c>
      <c r="AO529" s="4">
        <v>0</v>
      </c>
      <c r="AP529" s="4">
        <v>4</v>
      </c>
      <c r="AQ529" s="4">
        <v>7</v>
      </c>
      <c r="AR529" s="3" t="s">
        <v>64</v>
      </c>
      <c r="AS529" s="3" t="s">
        <v>64</v>
      </c>
      <c r="AT529" s="3" t="s">
        <v>64</v>
      </c>
      <c r="AV529" s="6" t="str">
        <f>HYPERLINK("http://mcgill.on.worldcat.org/oclc/761380355","Catalog Record")</f>
        <v>Catalog Record</v>
      </c>
      <c r="AW529" s="6" t="str">
        <f>HYPERLINK("http://www.worldcat.org/oclc/761380355","WorldCat Record")</f>
        <v>WorldCat Record</v>
      </c>
      <c r="AX529" s="3" t="s">
        <v>5109</v>
      </c>
      <c r="AY529" s="3" t="s">
        <v>5121</v>
      </c>
      <c r="AZ529" s="3" t="s">
        <v>5122</v>
      </c>
      <c r="BA529" s="3" t="s">
        <v>5122</v>
      </c>
      <c r="BB529" s="3" t="s">
        <v>5123</v>
      </c>
      <c r="BC529" s="3" t="s">
        <v>77</v>
      </c>
      <c r="BD529" s="3" t="s">
        <v>78</v>
      </c>
      <c r="BE529" s="3" t="s">
        <v>5124</v>
      </c>
      <c r="BF529" s="3" t="s">
        <v>5123</v>
      </c>
      <c r="BG529" s="3" t="s">
        <v>5125</v>
      </c>
      <c r="BH529">
        <f t="shared" si="18"/>
        <v>0</v>
      </c>
    </row>
    <row r="530" spans="1:60" ht="116" x14ac:dyDescent="0.35">
      <c r="A530" s="2" t="s">
        <v>59</v>
      </c>
      <c r="B530" s="2" t="s">
        <v>1183</v>
      </c>
      <c r="C530" s="2" t="s">
        <v>5126</v>
      </c>
      <c r="D530" s="2" t="s">
        <v>5127</v>
      </c>
      <c r="E530" s="2" t="s">
        <v>5128</v>
      </c>
      <c r="F530" s="3" t="s">
        <v>529</v>
      </c>
      <c r="G530" s="3" t="s">
        <v>128</v>
      </c>
      <c r="I530" s="3" t="s">
        <v>64</v>
      </c>
      <c r="J530" s="3" t="s">
        <v>64</v>
      </c>
      <c r="K530" s="3" t="s">
        <v>65</v>
      </c>
      <c r="L530" s="2" t="s">
        <v>5129</v>
      </c>
      <c r="M530" s="2" t="s">
        <v>5130</v>
      </c>
      <c r="N530" s="3" t="s">
        <v>171</v>
      </c>
      <c r="O530" s="2" t="s">
        <v>5131</v>
      </c>
      <c r="P530" s="3" t="s">
        <v>1190</v>
      </c>
      <c r="R530" s="3" t="s">
        <v>70</v>
      </c>
      <c r="S530" s="4">
        <v>2</v>
      </c>
      <c r="T530" s="4">
        <v>7</v>
      </c>
      <c r="U530" s="5" t="s">
        <v>5132</v>
      </c>
      <c r="V530" s="5" t="s">
        <v>1727</v>
      </c>
      <c r="W530" s="5" t="s">
        <v>72</v>
      </c>
      <c r="X530" s="5" t="s">
        <v>72</v>
      </c>
      <c r="Y530" s="4">
        <v>57</v>
      </c>
      <c r="Z530" s="4">
        <v>4</v>
      </c>
      <c r="AA530" s="4">
        <v>6</v>
      </c>
      <c r="AB530" s="4">
        <v>2</v>
      </c>
      <c r="AC530" s="4">
        <v>3</v>
      </c>
      <c r="AD530" s="4">
        <v>36</v>
      </c>
      <c r="AE530" s="4">
        <v>47</v>
      </c>
      <c r="AF530" s="4">
        <v>0</v>
      </c>
      <c r="AG530" s="4">
        <v>1</v>
      </c>
      <c r="AH530" s="4">
        <v>35</v>
      </c>
      <c r="AI530" s="4">
        <v>44</v>
      </c>
      <c r="AJ530" s="4">
        <v>2</v>
      </c>
      <c r="AK530" s="4">
        <v>4</v>
      </c>
      <c r="AL530" s="4">
        <v>25</v>
      </c>
      <c r="AM530" s="4">
        <v>33</v>
      </c>
      <c r="AN530" s="4">
        <v>0</v>
      </c>
      <c r="AO530" s="4">
        <v>0</v>
      </c>
      <c r="AP530" s="4">
        <v>2</v>
      </c>
      <c r="AQ530" s="4">
        <v>3</v>
      </c>
      <c r="AR530" s="3" t="s">
        <v>64</v>
      </c>
      <c r="AS530" s="3" t="s">
        <v>64</v>
      </c>
      <c r="AT530" s="3" t="s">
        <v>64</v>
      </c>
      <c r="AV530" s="6" t="str">
        <f>HYPERLINK("http://mcgill.on.worldcat.org/oclc/78198126","Catalog Record")</f>
        <v>Catalog Record</v>
      </c>
      <c r="AW530" s="6" t="str">
        <f>HYPERLINK("http://www.worldcat.org/oclc/78198126","WorldCat Record")</f>
        <v>WorldCat Record</v>
      </c>
      <c r="AX530" s="3" t="s">
        <v>5133</v>
      </c>
      <c r="AY530" s="3" t="s">
        <v>5134</v>
      </c>
      <c r="AZ530" s="3" t="s">
        <v>5135</v>
      </c>
      <c r="BA530" s="3" t="s">
        <v>5135</v>
      </c>
      <c r="BB530" s="3" t="s">
        <v>5136</v>
      </c>
      <c r="BC530" s="3" t="s">
        <v>77</v>
      </c>
      <c r="BD530" s="3" t="s">
        <v>78</v>
      </c>
      <c r="BE530" s="3" t="s">
        <v>5137</v>
      </c>
      <c r="BF530" s="3" t="s">
        <v>5136</v>
      </c>
      <c r="BG530" s="3" t="s">
        <v>5138</v>
      </c>
      <c r="BH530">
        <f t="shared" si="18"/>
        <v>0</v>
      </c>
    </row>
    <row r="531" spans="1:60" ht="116" x14ac:dyDescent="0.35">
      <c r="A531" s="2" t="s">
        <v>59</v>
      </c>
      <c r="B531" s="2" t="s">
        <v>1183</v>
      </c>
      <c r="C531" s="2" t="s">
        <v>5126</v>
      </c>
      <c r="D531" s="2" t="s">
        <v>5127</v>
      </c>
      <c r="E531" s="2" t="s">
        <v>5128</v>
      </c>
      <c r="F531" s="3" t="s">
        <v>525</v>
      </c>
      <c r="G531" s="3" t="s">
        <v>128</v>
      </c>
      <c r="I531" s="3" t="s">
        <v>64</v>
      </c>
      <c r="J531" s="3" t="s">
        <v>64</v>
      </c>
      <c r="K531" s="3" t="s">
        <v>65</v>
      </c>
      <c r="L531" s="2" t="s">
        <v>5129</v>
      </c>
      <c r="M531" s="2" t="s">
        <v>5130</v>
      </c>
      <c r="N531" s="3" t="s">
        <v>171</v>
      </c>
      <c r="O531" s="2" t="s">
        <v>5131</v>
      </c>
      <c r="P531" s="3" t="s">
        <v>1190</v>
      </c>
      <c r="R531" s="3" t="s">
        <v>70</v>
      </c>
      <c r="S531" s="4">
        <v>5</v>
      </c>
      <c r="T531" s="4">
        <v>7</v>
      </c>
      <c r="U531" s="5" t="s">
        <v>1727</v>
      </c>
      <c r="V531" s="5" t="s">
        <v>1727</v>
      </c>
      <c r="W531" s="5" t="s">
        <v>72</v>
      </c>
      <c r="X531" s="5" t="s">
        <v>72</v>
      </c>
      <c r="Y531" s="4">
        <v>57</v>
      </c>
      <c r="Z531" s="4">
        <v>4</v>
      </c>
      <c r="AA531" s="4">
        <v>6</v>
      </c>
      <c r="AB531" s="4">
        <v>2</v>
      </c>
      <c r="AC531" s="4">
        <v>3</v>
      </c>
      <c r="AD531" s="4">
        <v>36</v>
      </c>
      <c r="AE531" s="4">
        <v>47</v>
      </c>
      <c r="AF531" s="4">
        <v>0</v>
      </c>
      <c r="AG531" s="4">
        <v>1</v>
      </c>
      <c r="AH531" s="4">
        <v>35</v>
      </c>
      <c r="AI531" s="4">
        <v>44</v>
      </c>
      <c r="AJ531" s="4">
        <v>2</v>
      </c>
      <c r="AK531" s="4">
        <v>4</v>
      </c>
      <c r="AL531" s="4">
        <v>25</v>
      </c>
      <c r="AM531" s="4">
        <v>33</v>
      </c>
      <c r="AN531" s="4">
        <v>0</v>
      </c>
      <c r="AO531" s="4">
        <v>0</v>
      </c>
      <c r="AP531" s="4">
        <v>2</v>
      </c>
      <c r="AQ531" s="4">
        <v>3</v>
      </c>
      <c r="AR531" s="3" t="s">
        <v>64</v>
      </c>
      <c r="AS531" s="3" t="s">
        <v>64</v>
      </c>
      <c r="AT531" s="3" t="s">
        <v>64</v>
      </c>
      <c r="AV531" s="6" t="str">
        <f>HYPERLINK("http://mcgill.on.worldcat.org/oclc/78198126","Catalog Record")</f>
        <v>Catalog Record</v>
      </c>
      <c r="AW531" s="6" t="str">
        <f>HYPERLINK("http://www.worldcat.org/oclc/78198126","WorldCat Record")</f>
        <v>WorldCat Record</v>
      </c>
      <c r="AX531" s="3" t="s">
        <v>5133</v>
      </c>
      <c r="AY531" s="3" t="s">
        <v>5134</v>
      </c>
      <c r="AZ531" s="3" t="s">
        <v>5135</v>
      </c>
      <c r="BA531" s="3" t="s">
        <v>5135</v>
      </c>
      <c r="BB531" s="3" t="s">
        <v>5139</v>
      </c>
      <c r="BC531" s="3" t="s">
        <v>77</v>
      </c>
      <c r="BD531" s="3" t="s">
        <v>78</v>
      </c>
      <c r="BE531" s="3" t="s">
        <v>5137</v>
      </c>
      <c r="BF531" s="3" t="s">
        <v>5139</v>
      </c>
      <c r="BG531" s="3" t="s">
        <v>5140</v>
      </c>
      <c r="BH531">
        <f t="shared" si="18"/>
        <v>0</v>
      </c>
    </row>
    <row r="532" spans="1:60" ht="58" x14ac:dyDescent="0.35">
      <c r="A532" s="2" t="s">
        <v>59</v>
      </c>
      <c r="B532" s="2" t="s">
        <v>60</v>
      </c>
      <c r="C532" s="2" t="s">
        <v>5141</v>
      </c>
      <c r="D532" s="2" t="s">
        <v>5142</v>
      </c>
      <c r="E532" s="2" t="s">
        <v>5143</v>
      </c>
      <c r="G532" s="3" t="s">
        <v>64</v>
      </c>
      <c r="I532" s="3" t="s">
        <v>64</v>
      </c>
      <c r="J532" s="3" t="s">
        <v>64</v>
      </c>
      <c r="K532" s="3" t="s">
        <v>65</v>
      </c>
      <c r="L532" s="2" t="s">
        <v>5144</v>
      </c>
      <c r="M532" s="2" t="s">
        <v>5145</v>
      </c>
      <c r="N532" s="3" t="s">
        <v>101</v>
      </c>
      <c r="P532" s="3" t="s">
        <v>102</v>
      </c>
      <c r="R532" s="3" t="s">
        <v>70</v>
      </c>
      <c r="S532" s="4">
        <v>17</v>
      </c>
      <c r="T532" s="4">
        <v>17</v>
      </c>
      <c r="U532" s="5" t="s">
        <v>5146</v>
      </c>
      <c r="V532" s="5" t="s">
        <v>5146</v>
      </c>
      <c r="W532" s="5" t="s">
        <v>72</v>
      </c>
      <c r="X532" s="5" t="s">
        <v>72</v>
      </c>
      <c r="Y532" s="4">
        <v>72</v>
      </c>
      <c r="Z532" s="4">
        <v>9</v>
      </c>
      <c r="AA532" s="4">
        <v>9</v>
      </c>
      <c r="AB532" s="4">
        <v>2</v>
      </c>
      <c r="AC532" s="4">
        <v>2</v>
      </c>
      <c r="AD532" s="4">
        <v>37</v>
      </c>
      <c r="AE532" s="4">
        <v>38</v>
      </c>
      <c r="AF532" s="4">
        <v>0</v>
      </c>
      <c r="AG532" s="4">
        <v>0</v>
      </c>
      <c r="AH532" s="4">
        <v>34</v>
      </c>
      <c r="AI532" s="4">
        <v>35</v>
      </c>
      <c r="AJ532" s="4">
        <v>4</v>
      </c>
      <c r="AK532" s="4">
        <v>4</v>
      </c>
      <c r="AL532" s="4">
        <v>27</v>
      </c>
      <c r="AM532" s="4">
        <v>27</v>
      </c>
      <c r="AN532" s="4">
        <v>0</v>
      </c>
      <c r="AO532" s="4">
        <v>0</v>
      </c>
      <c r="AP532" s="4">
        <v>5</v>
      </c>
      <c r="AQ532" s="4">
        <v>5</v>
      </c>
      <c r="AR532" s="3" t="s">
        <v>64</v>
      </c>
      <c r="AS532" s="3" t="s">
        <v>64</v>
      </c>
      <c r="AT532" s="3" t="s">
        <v>128</v>
      </c>
      <c r="AU532" s="6" t="str">
        <f>HYPERLINK("http://catalog.hathitrust.org/Record/006807742","HathiTrust Record")</f>
        <v>HathiTrust Record</v>
      </c>
      <c r="AV532" s="6" t="str">
        <f>HYPERLINK("http://mcgill.on.worldcat.org/oclc/53951333","Catalog Record")</f>
        <v>Catalog Record</v>
      </c>
      <c r="AW532" s="6" t="str">
        <f>HYPERLINK("http://www.worldcat.org/oclc/53951333","WorldCat Record")</f>
        <v>WorldCat Record</v>
      </c>
      <c r="AX532" s="3" t="s">
        <v>5147</v>
      </c>
      <c r="AY532" s="3" t="s">
        <v>5148</v>
      </c>
      <c r="AZ532" s="3" t="s">
        <v>5149</v>
      </c>
      <c r="BA532" s="3" t="s">
        <v>5149</v>
      </c>
      <c r="BB532" s="3" t="s">
        <v>5150</v>
      </c>
      <c r="BC532" s="3" t="s">
        <v>77</v>
      </c>
      <c r="BD532" s="3" t="s">
        <v>78</v>
      </c>
      <c r="BE532" s="3" t="s">
        <v>5151</v>
      </c>
      <c r="BF532" s="3" t="s">
        <v>5150</v>
      </c>
      <c r="BG532" s="3" t="s">
        <v>5152</v>
      </c>
      <c r="BH532">
        <f t="shared" si="18"/>
        <v>0</v>
      </c>
    </row>
    <row r="533" spans="1:60" ht="58" x14ac:dyDescent="0.35">
      <c r="A533" s="2" t="s">
        <v>59</v>
      </c>
      <c r="B533" s="2" t="s">
        <v>60</v>
      </c>
      <c r="C533" s="2" t="s">
        <v>5153</v>
      </c>
      <c r="D533" s="2" t="s">
        <v>5154</v>
      </c>
      <c r="E533" s="2" t="s">
        <v>5155</v>
      </c>
      <c r="G533" s="3" t="s">
        <v>64</v>
      </c>
      <c r="I533" s="3" t="s">
        <v>64</v>
      </c>
      <c r="J533" s="3" t="s">
        <v>64</v>
      </c>
      <c r="K533" s="3" t="s">
        <v>65</v>
      </c>
      <c r="L533" s="2" t="s">
        <v>5156</v>
      </c>
      <c r="M533" s="2" t="s">
        <v>5157</v>
      </c>
      <c r="N533" s="3" t="s">
        <v>171</v>
      </c>
      <c r="P533" s="3" t="s">
        <v>102</v>
      </c>
      <c r="R533" s="3" t="s">
        <v>70</v>
      </c>
      <c r="S533" s="4">
        <v>12</v>
      </c>
      <c r="T533" s="4">
        <v>12</v>
      </c>
      <c r="U533" s="5" t="s">
        <v>5158</v>
      </c>
      <c r="V533" s="5" t="s">
        <v>5158</v>
      </c>
      <c r="W533" s="5" t="s">
        <v>72</v>
      </c>
      <c r="X533" s="5" t="s">
        <v>72</v>
      </c>
      <c r="Y533" s="4">
        <v>185</v>
      </c>
      <c r="Z533" s="4">
        <v>13</v>
      </c>
      <c r="AA533" s="4">
        <v>13</v>
      </c>
      <c r="AB533" s="4">
        <v>1</v>
      </c>
      <c r="AC533" s="4">
        <v>1</v>
      </c>
      <c r="AD533" s="4">
        <v>78</v>
      </c>
      <c r="AE533" s="4">
        <v>78</v>
      </c>
      <c r="AF533" s="4">
        <v>0</v>
      </c>
      <c r="AG533" s="4">
        <v>0</v>
      </c>
      <c r="AH533" s="4">
        <v>72</v>
      </c>
      <c r="AI533" s="4">
        <v>72</v>
      </c>
      <c r="AJ533" s="4">
        <v>10</v>
      </c>
      <c r="AK533" s="4">
        <v>10</v>
      </c>
      <c r="AL533" s="4">
        <v>44</v>
      </c>
      <c r="AM533" s="4">
        <v>44</v>
      </c>
      <c r="AN533" s="4">
        <v>0</v>
      </c>
      <c r="AO533" s="4">
        <v>0</v>
      </c>
      <c r="AP533" s="4">
        <v>10</v>
      </c>
      <c r="AQ533" s="4">
        <v>10</v>
      </c>
      <c r="AR533" s="3" t="s">
        <v>64</v>
      </c>
      <c r="AS533" s="3" t="s">
        <v>64</v>
      </c>
      <c r="AT533" s="3" t="s">
        <v>128</v>
      </c>
      <c r="AU533" s="6" t="str">
        <f>HYPERLINK("http://catalog.hathitrust.org/Record/005423127","HathiTrust Record")</f>
        <v>HathiTrust Record</v>
      </c>
      <c r="AV533" s="6" t="str">
        <f>HYPERLINK("http://mcgill.on.worldcat.org/oclc/64588834","Catalog Record")</f>
        <v>Catalog Record</v>
      </c>
      <c r="AW533" s="6" t="str">
        <f>HYPERLINK("http://www.worldcat.org/oclc/64588834","WorldCat Record")</f>
        <v>WorldCat Record</v>
      </c>
      <c r="AX533" s="3" t="s">
        <v>5159</v>
      </c>
      <c r="AY533" s="3" t="s">
        <v>5160</v>
      </c>
      <c r="AZ533" s="3" t="s">
        <v>5161</v>
      </c>
      <c r="BA533" s="3" t="s">
        <v>5161</v>
      </c>
      <c r="BB533" s="3" t="s">
        <v>5162</v>
      </c>
      <c r="BC533" s="3" t="s">
        <v>77</v>
      </c>
      <c r="BD533" s="3" t="s">
        <v>78</v>
      </c>
      <c r="BE533" s="3" t="s">
        <v>5163</v>
      </c>
      <c r="BF533" s="3" t="s">
        <v>5162</v>
      </c>
      <c r="BG533" s="3" t="s">
        <v>5164</v>
      </c>
      <c r="BH533">
        <f t="shared" si="18"/>
        <v>0</v>
      </c>
    </row>
    <row r="534" spans="1:60" ht="58" x14ac:dyDescent="0.35">
      <c r="A534" s="2" t="s">
        <v>59</v>
      </c>
      <c r="B534" s="2" t="s">
        <v>60</v>
      </c>
      <c r="C534" s="2" t="s">
        <v>5165</v>
      </c>
      <c r="D534" s="2" t="s">
        <v>5166</v>
      </c>
      <c r="E534" s="2" t="s">
        <v>5167</v>
      </c>
      <c r="G534" s="3" t="s">
        <v>128</v>
      </c>
      <c r="I534" s="3" t="s">
        <v>64</v>
      </c>
      <c r="J534" s="3" t="s">
        <v>64</v>
      </c>
      <c r="K534" s="3" t="s">
        <v>65</v>
      </c>
      <c r="L534" s="2" t="s">
        <v>5168</v>
      </c>
      <c r="M534" s="2" t="s">
        <v>5169</v>
      </c>
      <c r="N534" s="3" t="s">
        <v>1763</v>
      </c>
      <c r="O534" s="2" t="s">
        <v>2149</v>
      </c>
      <c r="P534" s="3" t="s">
        <v>102</v>
      </c>
      <c r="R534" s="3" t="s">
        <v>70</v>
      </c>
      <c r="S534" s="4">
        <v>16</v>
      </c>
      <c r="T534" s="4">
        <v>16</v>
      </c>
      <c r="U534" s="5" t="s">
        <v>317</v>
      </c>
      <c r="V534" s="5" t="s">
        <v>317</v>
      </c>
      <c r="W534" s="5" t="s">
        <v>72</v>
      </c>
      <c r="X534" s="5" t="s">
        <v>72</v>
      </c>
      <c r="Y534" s="4">
        <v>34</v>
      </c>
      <c r="Z534" s="4">
        <v>4</v>
      </c>
      <c r="AA534" s="4">
        <v>8</v>
      </c>
      <c r="AB534" s="4">
        <v>1</v>
      </c>
      <c r="AC534" s="4">
        <v>1</v>
      </c>
      <c r="AD534" s="4">
        <v>25</v>
      </c>
      <c r="AE534" s="4">
        <v>43</v>
      </c>
      <c r="AF534" s="4">
        <v>0</v>
      </c>
      <c r="AG534" s="4">
        <v>0</v>
      </c>
      <c r="AH534" s="4">
        <v>24</v>
      </c>
      <c r="AI534" s="4">
        <v>40</v>
      </c>
      <c r="AJ534" s="4">
        <v>2</v>
      </c>
      <c r="AK534" s="4">
        <v>6</v>
      </c>
      <c r="AL534" s="4">
        <v>20</v>
      </c>
      <c r="AM534" s="4">
        <v>31</v>
      </c>
      <c r="AN534" s="4">
        <v>0</v>
      </c>
      <c r="AO534" s="4">
        <v>0</v>
      </c>
      <c r="AP534" s="4">
        <v>2</v>
      </c>
      <c r="AQ534" s="4">
        <v>6</v>
      </c>
      <c r="AR534" s="3" t="s">
        <v>64</v>
      </c>
      <c r="AS534" s="3" t="s">
        <v>64</v>
      </c>
      <c r="AT534" s="3" t="s">
        <v>128</v>
      </c>
      <c r="AU534" s="6" t="str">
        <f>HYPERLINK("http://catalog.hathitrust.org/Record/006764774","HathiTrust Record")</f>
        <v>HathiTrust Record</v>
      </c>
      <c r="AV534" s="6" t="str">
        <f>HYPERLINK("http://mcgill.on.worldcat.org/oclc/12052899","Catalog Record")</f>
        <v>Catalog Record</v>
      </c>
      <c r="AW534" s="6" t="str">
        <f>HYPERLINK("http://www.worldcat.org/oclc/12052899","WorldCat Record")</f>
        <v>WorldCat Record</v>
      </c>
      <c r="AX534" s="3" t="s">
        <v>5170</v>
      </c>
      <c r="AY534" s="3" t="s">
        <v>5171</v>
      </c>
      <c r="AZ534" s="3" t="s">
        <v>5172</v>
      </c>
      <c r="BA534" s="3" t="s">
        <v>5172</v>
      </c>
      <c r="BB534" s="3" t="s">
        <v>5173</v>
      </c>
      <c r="BC534" s="3" t="s">
        <v>77</v>
      </c>
      <c r="BD534" s="3" t="s">
        <v>78</v>
      </c>
      <c r="BF534" s="3" t="s">
        <v>5173</v>
      </c>
      <c r="BG534" s="3" t="s">
        <v>5174</v>
      </c>
      <c r="BH534">
        <f t="shared" si="18"/>
        <v>0</v>
      </c>
    </row>
    <row r="535" spans="1:60" ht="58" x14ac:dyDescent="0.35">
      <c r="A535" s="2" t="s">
        <v>59</v>
      </c>
      <c r="B535" s="2" t="s">
        <v>60</v>
      </c>
      <c r="C535" s="2" t="s">
        <v>5175</v>
      </c>
      <c r="D535" s="2" t="s">
        <v>5176</v>
      </c>
      <c r="E535" s="2" t="s">
        <v>5177</v>
      </c>
      <c r="G535" s="3" t="s">
        <v>64</v>
      </c>
      <c r="I535" s="3" t="s">
        <v>64</v>
      </c>
      <c r="J535" s="3" t="s">
        <v>64</v>
      </c>
      <c r="K535" s="3" t="s">
        <v>65</v>
      </c>
      <c r="L535" s="2" t="s">
        <v>5178</v>
      </c>
      <c r="M535" s="2" t="s">
        <v>5179</v>
      </c>
      <c r="N535" s="3" t="s">
        <v>1750</v>
      </c>
      <c r="P535" s="3" t="s">
        <v>102</v>
      </c>
      <c r="R535" s="3" t="s">
        <v>70</v>
      </c>
      <c r="S535" s="4">
        <v>4</v>
      </c>
      <c r="T535" s="4">
        <v>4</v>
      </c>
      <c r="U535" s="5" t="s">
        <v>317</v>
      </c>
      <c r="V535" s="5" t="s">
        <v>317</v>
      </c>
      <c r="W535" s="5" t="s">
        <v>72</v>
      </c>
      <c r="X535" s="5" t="s">
        <v>72</v>
      </c>
      <c r="Y535" s="4">
        <v>43</v>
      </c>
      <c r="Z535" s="4">
        <v>6</v>
      </c>
      <c r="AA535" s="4">
        <v>6</v>
      </c>
      <c r="AB535" s="4">
        <v>1</v>
      </c>
      <c r="AC535" s="4">
        <v>1</v>
      </c>
      <c r="AD535" s="4">
        <v>33</v>
      </c>
      <c r="AE535" s="4">
        <v>34</v>
      </c>
      <c r="AF535" s="4">
        <v>0</v>
      </c>
      <c r="AG535" s="4">
        <v>0</v>
      </c>
      <c r="AH535" s="4">
        <v>29</v>
      </c>
      <c r="AI535" s="4">
        <v>30</v>
      </c>
      <c r="AJ535" s="4">
        <v>4</v>
      </c>
      <c r="AK535" s="4">
        <v>4</v>
      </c>
      <c r="AL535" s="4">
        <v>25</v>
      </c>
      <c r="AM535" s="4">
        <v>26</v>
      </c>
      <c r="AN535" s="4">
        <v>0</v>
      </c>
      <c r="AO535" s="4">
        <v>0</v>
      </c>
      <c r="AP535" s="4">
        <v>3</v>
      </c>
      <c r="AQ535" s="4">
        <v>3</v>
      </c>
      <c r="AR535" s="3" t="s">
        <v>64</v>
      </c>
      <c r="AS535" s="3" t="s">
        <v>64</v>
      </c>
      <c r="AT535" s="3" t="s">
        <v>64</v>
      </c>
      <c r="AV535" s="6" t="str">
        <f>HYPERLINK("http://mcgill.on.worldcat.org/oclc/2799518","Catalog Record")</f>
        <v>Catalog Record</v>
      </c>
      <c r="AW535" s="6" t="str">
        <f>HYPERLINK("http://www.worldcat.org/oclc/2799518","WorldCat Record")</f>
        <v>WorldCat Record</v>
      </c>
      <c r="AX535" s="3" t="s">
        <v>5180</v>
      </c>
      <c r="AY535" s="3" t="s">
        <v>5181</v>
      </c>
      <c r="AZ535" s="3" t="s">
        <v>5182</v>
      </c>
      <c r="BA535" s="3" t="s">
        <v>5182</v>
      </c>
      <c r="BB535" s="3" t="s">
        <v>5183</v>
      </c>
      <c r="BC535" s="3" t="s">
        <v>77</v>
      </c>
      <c r="BD535" s="3" t="s">
        <v>78</v>
      </c>
      <c r="BF535" s="3" t="s">
        <v>5183</v>
      </c>
      <c r="BG535" s="3" t="s">
        <v>5184</v>
      </c>
      <c r="BH535">
        <f t="shared" si="18"/>
        <v>0</v>
      </c>
    </row>
    <row r="536" spans="1:60" ht="58" x14ac:dyDescent="0.35">
      <c r="A536" s="2" t="s">
        <v>59</v>
      </c>
      <c r="B536" s="2" t="s">
        <v>60</v>
      </c>
      <c r="C536" s="2" t="s">
        <v>5185</v>
      </c>
      <c r="D536" s="2" t="s">
        <v>5186</v>
      </c>
      <c r="E536" s="2" t="s">
        <v>5187</v>
      </c>
      <c r="G536" s="3" t="s">
        <v>64</v>
      </c>
      <c r="I536" s="3" t="s">
        <v>64</v>
      </c>
      <c r="J536" s="3" t="s">
        <v>64</v>
      </c>
      <c r="K536" s="3" t="s">
        <v>65</v>
      </c>
      <c r="L536" s="2" t="s">
        <v>5188</v>
      </c>
      <c r="M536" s="2" t="s">
        <v>5189</v>
      </c>
      <c r="N536" s="3" t="s">
        <v>1938</v>
      </c>
      <c r="P536" s="3" t="s">
        <v>102</v>
      </c>
      <c r="R536" s="3" t="s">
        <v>70</v>
      </c>
      <c r="S536" s="4">
        <v>9</v>
      </c>
      <c r="T536" s="4">
        <v>9</v>
      </c>
      <c r="U536" s="5" t="s">
        <v>5190</v>
      </c>
      <c r="V536" s="5" t="s">
        <v>5190</v>
      </c>
      <c r="W536" s="5" t="s">
        <v>72</v>
      </c>
      <c r="X536" s="5" t="s">
        <v>72</v>
      </c>
      <c r="Y536" s="4">
        <v>28</v>
      </c>
      <c r="Z536" s="4">
        <v>3</v>
      </c>
      <c r="AA536" s="4">
        <v>3</v>
      </c>
      <c r="AB536" s="4">
        <v>1</v>
      </c>
      <c r="AC536" s="4">
        <v>1</v>
      </c>
      <c r="AD536" s="4">
        <v>20</v>
      </c>
      <c r="AE536" s="4">
        <v>20</v>
      </c>
      <c r="AF536" s="4">
        <v>0</v>
      </c>
      <c r="AG536" s="4">
        <v>0</v>
      </c>
      <c r="AH536" s="4">
        <v>20</v>
      </c>
      <c r="AI536" s="4">
        <v>20</v>
      </c>
      <c r="AJ536" s="4">
        <v>1</v>
      </c>
      <c r="AK536" s="4">
        <v>1</v>
      </c>
      <c r="AL536" s="4">
        <v>17</v>
      </c>
      <c r="AM536" s="4">
        <v>17</v>
      </c>
      <c r="AN536" s="4">
        <v>0</v>
      </c>
      <c r="AO536" s="4">
        <v>0</v>
      </c>
      <c r="AP536" s="4">
        <v>1</v>
      </c>
      <c r="AQ536" s="4">
        <v>1</v>
      </c>
      <c r="AR536" s="3" t="s">
        <v>64</v>
      </c>
      <c r="AS536" s="3" t="s">
        <v>64</v>
      </c>
      <c r="AT536" s="3" t="s">
        <v>128</v>
      </c>
      <c r="AU536" s="6" t="str">
        <f>HYPERLINK("http://catalog.hathitrust.org/Record/002728001","HathiTrust Record")</f>
        <v>HathiTrust Record</v>
      </c>
      <c r="AV536" s="6" t="str">
        <f>HYPERLINK("http://mcgill.on.worldcat.org/oclc/27011073","Catalog Record")</f>
        <v>Catalog Record</v>
      </c>
      <c r="AW536" s="6" t="str">
        <f>HYPERLINK("http://www.worldcat.org/oclc/27011073","WorldCat Record")</f>
        <v>WorldCat Record</v>
      </c>
      <c r="AX536" s="3" t="s">
        <v>5191</v>
      </c>
      <c r="AY536" s="3" t="s">
        <v>5192</v>
      </c>
      <c r="AZ536" s="3" t="s">
        <v>5193</v>
      </c>
      <c r="BA536" s="3" t="s">
        <v>5193</v>
      </c>
      <c r="BB536" s="3" t="s">
        <v>5194</v>
      </c>
      <c r="BC536" s="3" t="s">
        <v>77</v>
      </c>
      <c r="BD536" s="3" t="s">
        <v>78</v>
      </c>
      <c r="BF536" s="3" t="s">
        <v>5194</v>
      </c>
      <c r="BG536" s="3" t="s">
        <v>5195</v>
      </c>
      <c r="BH536">
        <f t="shared" si="18"/>
        <v>0</v>
      </c>
    </row>
    <row r="537" spans="1:60" ht="58" x14ac:dyDescent="0.35">
      <c r="A537" s="2" t="s">
        <v>59</v>
      </c>
      <c r="B537" s="2" t="s">
        <v>60</v>
      </c>
      <c r="C537" s="2" t="s">
        <v>5196</v>
      </c>
      <c r="D537" s="2" t="s">
        <v>5197</v>
      </c>
      <c r="E537" s="2" t="s">
        <v>5198</v>
      </c>
      <c r="G537" s="3" t="s">
        <v>64</v>
      </c>
      <c r="I537" s="3" t="s">
        <v>64</v>
      </c>
      <c r="J537" s="3" t="s">
        <v>64</v>
      </c>
      <c r="K537" s="3" t="s">
        <v>65</v>
      </c>
      <c r="L537" s="2" t="s">
        <v>5199</v>
      </c>
      <c r="M537" s="2" t="s">
        <v>5200</v>
      </c>
      <c r="N537" s="3" t="s">
        <v>874</v>
      </c>
      <c r="P537" s="3" t="s">
        <v>102</v>
      </c>
      <c r="Q537" s="2" t="s">
        <v>5201</v>
      </c>
      <c r="R537" s="3" t="s">
        <v>70</v>
      </c>
      <c r="S537" s="4">
        <v>10</v>
      </c>
      <c r="T537" s="4">
        <v>10</v>
      </c>
      <c r="U537" s="5" t="s">
        <v>2234</v>
      </c>
      <c r="V537" s="5" t="s">
        <v>2234</v>
      </c>
      <c r="W537" s="5" t="s">
        <v>72</v>
      </c>
      <c r="X537" s="5" t="s">
        <v>72</v>
      </c>
      <c r="Y537" s="4">
        <v>271</v>
      </c>
      <c r="Z537" s="4">
        <v>18</v>
      </c>
      <c r="AA537" s="4">
        <v>18</v>
      </c>
      <c r="AB537" s="4">
        <v>1</v>
      </c>
      <c r="AC537" s="4">
        <v>1</v>
      </c>
      <c r="AD537" s="4">
        <v>95</v>
      </c>
      <c r="AE537" s="4">
        <v>95</v>
      </c>
      <c r="AF537" s="4">
        <v>0</v>
      </c>
      <c r="AG537" s="4">
        <v>0</v>
      </c>
      <c r="AH537" s="4">
        <v>86</v>
      </c>
      <c r="AI537" s="4">
        <v>86</v>
      </c>
      <c r="AJ537" s="4">
        <v>12</v>
      </c>
      <c r="AK537" s="4">
        <v>12</v>
      </c>
      <c r="AL537" s="4">
        <v>52</v>
      </c>
      <c r="AM537" s="4">
        <v>52</v>
      </c>
      <c r="AN537" s="4">
        <v>0</v>
      </c>
      <c r="AO537" s="4">
        <v>0</v>
      </c>
      <c r="AP537" s="4">
        <v>13</v>
      </c>
      <c r="AQ537" s="4">
        <v>13</v>
      </c>
      <c r="AR537" s="3" t="s">
        <v>64</v>
      </c>
      <c r="AS537" s="3" t="s">
        <v>64</v>
      </c>
      <c r="AT537" s="3" t="s">
        <v>128</v>
      </c>
      <c r="AU537" s="6" t="str">
        <f>HYPERLINK("http://catalog.hathitrust.org/Record/000186528","HathiTrust Record")</f>
        <v>HathiTrust Record</v>
      </c>
      <c r="AV537" s="6" t="str">
        <f>HYPERLINK("http://mcgill.on.worldcat.org/oclc/7494845","Catalog Record")</f>
        <v>Catalog Record</v>
      </c>
      <c r="AW537" s="6" t="str">
        <f>HYPERLINK("http://www.worldcat.org/oclc/7494845","WorldCat Record")</f>
        <v>WorldCat Record</v>
      </c>
      <c r="AX537" s="3" t="s">
        <v>5202</v>
      </c>
      <c r="AY537" s="3" t="s">
        <v>5203</v>
      </c>
      <c r="AZ537" s="3" t="s">
        <v>5204</v>
      </c>
      <c r="BA537" s="3" t="s">
        <v>5204</v>
      </c>
      <c r="BB537" s="3" t="s">
        <v>5205</v>
      </c>
      <c r="BC537" s="3" t="s">
        <v>77</v>
      </c>
      <c r="BD537" s="3" t="s">
        <v>78</v>
      </c>
      <c r="BE537" s="3" t="s">
        <v>5206</v>
      </c>
      <c r="BF537" s="3" t="s">
        <v>5205</v>
      </c>
      <c r="BG537" s="3" t="s">
        <v>5207</v>
      </c>
      <c r="BH537">
        <f t="shared" si="18"/>
        <v>0</v>
      </c>
    </row>
    <row r="538" spans="1:60" ht="58" x14ac:dyDescent="0.35">
      <c r="A538" s="2" t="s">
        <v>59</v>
      </c>
      <c r="B538" s="2" t="s">
        <v>60</v>
      </c>
      <c r="C538" s="2" t="s">
        <v>5208</v>
      </c>
      <c r="D538" s="2" t="s">
        <v>5209</v>
      </c>
      <c r="E538" s="2" t="s">
        <v>5210</v>
      </c>
      <c r="G538" s="3" t="s">
        <v>64</v>
      </c>
      <c r="I538" s="3" t="s">
        <v>64</v>
      </c>
      <c r="J538" s="3" t="s">
        <v>64</v>
      </c>
      <c r="K538" s="3" t="s">
        <v>65</v>
      </c>
      <c r="L538" s="2" t="s">
        <v>5211</v>
      </c>
      <c r="M538" s="2" t="s">
        <v>5212</v>
      </c>
      <c r="N538" s="3" t="s">
        <v>171</v>
      </c>
      <c r="P538" s="3" t="s">
        <v>102</v>
      </c>
      <c r="Q538" s="2" t="s">
        <v>5213</v>
      </c>
      <c r="R538" s="3" t="s">
        <v>70</v>
      </c>
      <c r="S538" s="4">
        <v>11</v>
      </c>
      <c r="T538" s="4">
        <v>11</v>
      </c>
      <c r="U538" s="5" t="s">
        <v>5214</v>
      </c>
      <c r="V538" s="5" t="s">
        <v>5214</v>
      </c>
      <c r="W538" s="5" t="s">
        <v>72</v>
      </c>
      <c r="X538" s="5" t="s">
        <v>72</v>
      </c>
      <c r="Y538" s="4">
        <v>389</v>
      </c>
      <c r="Z538" s="4">
        <v>26</v>
      </c>
      <c r="AA538" s="4">
        <v>107</v>
      </c>
      <c r="AB538" s="4">
        <v>1</v>
      </c>
      <c r="AC538" s="4">
        <v>20</v>
      </c>
      <c r="AD538" s="4">
        <v>101</v>
      </c>
      <c r="AE538" s="4">
        <v>151</v>
      </c>
      <c r="AF538" s="4">
        <v>0</v>
      </c>
      <c r="AG538" s="4">
        <v>8</v>
      </c>
      <c r="AH538" s="4">
        <v>87</v>
      </c>
      <c r="AI538" s="4">
        <v>111</v>
      </c>
      <c r="AJ538" s="4">
        <v>10</v>
      </c>
      <c r="AK538" s="4">
        <v>24</v>
      </c>
      <c r="AL538" s="4">
        <v>50</v>
      </c>
      <c r="AM538" s="4">
        <v>57</v>
      </c>
      <c r="AN538" s="4">
        <v>0</v>
      </c>
      <c r="AO538" s="4">
        <v>0</v>
      </c>
      <c r="AP538" s="4">
        <v>18</v>
      </c>
      <c r="AQ538" s="4">
        <v>48</v>
      </c>
      <c r="AR538" s="3" t="s">
        <v>64</v>
      </c>
      <c r="AS538" s="3" t="s">
        <v>64</v>
      </c>
      <c r="AT538" s="3" t="s">
        <v>64</v>
      </c>
      <c r="AV538" s="6" t="str">
        <f>HYPERLINK("http://mcgill.on.worldcat.org/oclc/60697079","Catalog Record")</f>
        <v>Catalog Record</v>
      </c>
      <c r="AW538" s="6" t="str">
        <f>HYPERLINK("http://www.worldcat.org/oclc/60697079","WorldCat Record")</f>
        <v>WorldCat Record</v>
      </c>
      <c r="AX538" s="3" t="s">
        <v>5215</v>
      </c>
      <c r="AY538" s="3" t="s">
        <v>5216</v>
      </c>
      <c r="AZ538" s="3" t="s">
        <v>5217</v>
      </c>
      <c r="BA538" s="3" t="s">
        <v>5217</v>
      </c>
      <c r="BB538" s="3" t="s">
        <v>5218</v>
      </c>
      <c r="BC538" s="3" t="s">
        <v>77</v>
      </c>
      <c r="BD538" s="3" t="s">
        <v>165</v>
      </c>
      <c r="BE538" s="3" t="s">
        <v>5219</v>
      </c>
      <c r="BF538" s="3" t="s">
        <v>5218</v>
      </c>
      <c r="BG538" s="3" t="s">
        <v>5220</v>
      </c>
      <c r="BH538">
        <f t="shared" si="18"/>
        <v>0</v>
      </c>
    </row>
    <row r="539" spans="1:60" ht="72.5" x14ac:dyDescent="0.35">
      <c r="A539" s="2" t="s">
        <v>59</v>
      </c>
      <c r="B539" s="2" t="s">
        <v>60</v>
      </c>
      <c r="C539" s="2" t="s">
        <v>5221</v>
      </c>
      <c r="D539" s="2" t="s">
        <v>5222</v>
      </c>
      <c r="E539" s="2" t="s">
        <v>5223</v>
      </c>
      <c r="G539" s="3" t="s">
        <v>64</v>
      </c>
      <c r="I539" s="3" t="s">
        <v>64</v>
      </c>
      <c r="J539" s="3" t="s">
        <v>64</v>
      </c>
      <c r="K539" s="3" t="s">
        <v>65</v>
      </c>
      <c r="L539" s="2" t="s">
        <v>5224</v>
      </c>
      <c r="M539" s="2" t="s">
        <v>5225</v>
      </c>
      <c r="N539" s="3" t="s">
        <v>364</v>
      </c>
      <c r="P539" s="3" t="s">
        <v>102</v>
      </c>
      <c r="R539" s="3" t="s">
        <v>70</v>
      </c>
      <c r="S539" s="4">
        <v>3</v>
      </c>
      <c r="T539" s="4">
        <v>3</v>
      </c>
      <c r="U539" s="5" t="s">
        <v>5226</v>
      </c>
      <c r="V539" s="5" t="s">
        <v>5226</v>
      </c>
      <c r="W539" s="5" t="s">
        <v>72</v>
      </c>
      <c r="X539" s="5" t="s">
        <v>72</v>
      </c>
      <c r="Y539" s="4">
        <v>58</v>
      </c>
      <c r="Z539" s="4">
        <v>7</v>
      </c>
      <c r="AA539" s="4">
        <v>7</v>
      </c>
      <c r="AB539" s="4">
        <v>1</v>
      </c>
      <c r="AC539" s="4">
        <v>1</v>
      </c>
      <c r="AD539" s="4">
        <v>28</v>
      </c>
      <c r="AE539" s="4">
        <v>28</v>
      </c>
      <c r="AF539" s="4">
        <v>0</v>
      </c>
      <c r="AG539" s="4">
        <v>0</v>
      </c>
      <c r="AH539" s="4">
        <v>25</v>
      </c>
      <c r="AI539" s="4">
        <v>25</v>
      </c>
      <c r="AJ539" s="4">
        <v>4</v>
      </c>
      <c r="AK539" s="4">
        <v>4</v>
      </c>
      <c r="AL539" s="4">
        <v>17</v>
      </c>
      <c r="AM539" s="4">
        <v>17</v>
      </c>
      <c r="AN539" s="4">
        <v>0</v>
      </c>
      <c r="AO539" s="4">
        <v>0</v>
      </c>
      <c r="AP539" s="4">
        <v>4</v>
      </c>
      <c r="AQ539" s="4">
        <v>4</v>
      </c>
      <c r="AR539" s="3" t="s">
        <v>64</v>
      </c>
      <c r="AS539" s="3" t="s">
        <v>64</v>
      </c>
      <c r="AT539" s="3" t="s">
        <v>128</v>
      </c>
      <c r="AU539" s="6" t="str">
        <f>HYPERLINK("http://catalog.hathitrust.org/Record/000122660","HathiTrust Record")</f>
        <v>HathiTrust Record</v>
      </c>
      <c r="AV539" s="6" t="str">
        <f>HYPERLINK("http://mcgill.on.worldcat.org/oclc/976558","Catalog Record")</f>
        <v>Catalog Record</v>
      </c>
      <c r="AW539" s="6" t="str">
        <f>HYPERLINK("http://www.worldcat.org/oclc/976558","WorldCat Record")</f>
        <v>WorldCat Record</v>
      </c>
      <c r="AX539" s="3" t="s">
        <v>5227</v>
      </c>
      <c r="AY539" s="3" t="s">
        <v>5228</v>
      </c>
      <c r="AZ539" s="3" t="s">
        <v>5229</v>
      </c>
      <c r="BA539" s="3" t="s">
        <v>5229</v>
      </c>
      <c r="BB539" s="3" t="s">
        <v>5230</v>
      </c>
      <c r="BC539" s="3" t="s">
        <v>77</v>
      </c>
      <c r="BD539" s="3" t="s">
        <v>78</v>
      </c>
      <c r="BF539" s="3" t="s">
        <v>5230</v>
      </c>
      <c r="BG539" s="3" t="s">
        <v>5231</v>
      </c>
      <c r="BH539">
        <f t="shared" si="18"/>
        <v>0</v>
      </c>
    </row>
    <row r="540" spans="1:60" ht="116" x14ac:dyDescent="0.35">
      <c r="A540" s="2" t="s">
        <v>59</v>
      </c>
      <c r="B540" s="2" t="s">
        <v>1183</v>
      </c>
      <c r="C540" s="2" t="s">
        <v>5232</v>
      </c>
      <c r="D540" s="2" t="s">
        <v>5233</v>
      </c>
      <c r="E540" s="2" t="s">
        <v>5234</v>
      </c>
      <c r="G540" s="3" t="s">
        <v>64</v>
      </c>
      <c r="H540" s="3" t="s">
        <v>183</v>
      </c>
      <c r="I540" s="3" t="s">
        <v>64</v>
      </c>
      <c r="J540" s="3" t="s">
        <v>64</v>
      </c>
      <c r="K540" s="3" t="s">
        <v>65</v>
      </c>
      <c r="L540" s="2" t="s">
        <v>5235</v>
      </c>
      <c r="M540" s="2" t="s">
        <v>5236</v>
      </c>
      <c r="N540" s="3" t="s">
        <v>67</v>
      </c>
      <c r="O540" s="2" t="s">
        <v>5237</v>
      </c>
      <c r="P540" s="3" t="s">
        <v>5238</v>
      </c>
      <c r="R540" s="3" t="s">
        <v>70</v>
      </c>
      <c r="S540" s="4">
        <v>0</v>
      </c>
      <c r="T540" s="4">
        <v>0</v>
      </c>
      <c r="W540" s="5" t="s">
        <v>3633</v>
      </c>
      <c r="X540" s="5" t="s">
        <v>3633</v>
      </c>
      <c r="Y540" s="4">
        <v>23</v>
      </c>
      <c r="Z540" s="4">
        <v>1</v>
      </c>
      <c r="AA540" s="4">
        <v>1</v>
      </c>
      <c r="AB540" s="4">
        <v>1</v>
      </c>
      <c r="AC540" s="4">
        <v>1</v>
      </c>
      <c r="AD540" s="4">
        <v>20</v>
      </c>
      <c r="AE540" s="4">
        <v>20</v>
      </c>
      <c r="AF540" s="4">
        <v>0</v>
      </c>
      <c r="AG540" s="4">
        <v>0</v>
      </c>
      <c r="AH540" s="4">
        <v>18</v>
      </c>
      <c r="AI540" s="4">
        <v>18</v>
      </c>
      <c r="AJ540" s="4">
        <v>0</v>
      </c>
      <c r="AK540" s="4">
        <v>0</v>
      </c>
      <c r="AL540" s="4">
        <v>16</v>
      </c>
      <c r="AM540" s="4">
        <v>16</v>
      </c>
      <c r="AN540" s="4">
        <v>0</v>
      </c>
      <c r="AO540" s="4">
        <v>0</v>
      </c>
      <c r="AP540" s="4">
        <v>0</v>
      </c>
      <c r="AQ540" s="4">
        <v>0</v>
      </c>
      <c r="AR540" s="3" t="s">
        <v>64</v>
      </c>
      <c r="AS540" s="3" t="s">
        <v>64</v>
      </c>
      <c r="AT540" s="3" t="s">
        <v>64</v>
      </c>
      <c r="AV540" s="6" t="str">
        <f>HYPERLINK("http://mcgill.on.worldcat.org/oclc/892817670","Catalog Record")</f>
        <v>Catalog Record</v>
      </c>
      <c r="AW540" s="6" t="str">
        <f>HYPERLINK("http://www.worldcat.org/oclc/892817670","WorldCat Record")</f>
        <v>WorldCat Record</v>
      </c>
      <c r="AX540" s="3" t="s">
        <v>5239</v>
      </c>
      <c r="AY540" s="3" t="s">
        <v>5240</v>
      </c>
      <c r="AZ540" s="3" t="s">
        <v>5241</v>
      </c>
      <c r="BA540" s="3" t="s">
        <v>5241</v>
      </c>
      <c r="BB540" s="3" t="s">
        <v>5242</v>
      </c>
      <c r="BC540" s="3" t="s">
        <v>77</v>
      </c>
      <c r="BD540" s="3" t="s">
        <v>78</v>
      </c>
      <c r="BE540" s="3" t="s">
        <v>5243</v>
      </c>
      <c r="BF540" s="3" t="s">
        <v>5242</v>
      </c>
      <c r="BG540" s="3" t="s">
        <v>5244</v>
      </c>
      <c r="BH540">
        <f t="shared" si="18"/>
        <v>0</v>
      </c>
    </row>
    <row r="541" spans="1:60" ht="58" x14ac:dyDescent="0.35">
      <c r="A541" s="2" t="s">
        <v>59</v>
      </c>
      <c r="B541" s="2" t="s">
        <v>60</v>
      </c>
      <c r="C541" s="2" t="s">
        <v>5245</v>
      </c>
      <c r="D541" s="2" t="s">
        <v>5246</v>
      </c>
      <c r="E541" s="2" t="s">
        <v>5247</v>
      </c>
      <c r="G541" s="3" t="s">
        <v>64</v>
      </c>
      <c r="I541" s="3" t="s">
        <v>128</v>
      </c>
      <c r="J541" s="3" t="s">
        <v>64</v>
      </c>
      <c r="K541" s="3" t="s">
        <v>65</v>
      </c>
      <c r="L541" s="2" t="s">
        <v>5248</v>
      </c>
      <c r="M541" s="2" t="s">
        <v>5249</v>
      </c>
      <c r="N541" s="3" t="s">
        <v>315</v>
      </c>
      <c r="P541" s="3" t="s">
        <v>102</v>
      </c>
      <c r="Q541" s="2" t="s">
        <v>5250</v>
      </c>
      <c r="R541" s="3" t="s">
        <v>70</v>
      </c>
      <c r="S541" s="4">
        <v>20</v>
      </c>
      <c r="T541" s="4">
        <v>25</v>
      </c>
      <c r="U541" s="5" t="s">
        <v>133</v>
      </c>
      <c r="V541" s="5" t="s">
        <v>133</v>
      </c>
      <c r="W541" s="5" t="s">
        <v>72</v>
      </c>
      <c r="X541" s="5" t="s">
        <v>72</v>
      </c>
      <c r="Y541" s="4">
        <v>103</v>
      </c>
      <c r="Z541" s="4">
        <v>45</v>
      </c>
      <c r="AA541" s="4">
        <v>49</v>
      </c>
      <c r="AB541" s="4">
        <v>3</v>
      </c>
      <c r="AC541" s="4">
        <v>6</v>
      </c>
      <c r="AD541" s="4">
        <v>54</v>
      </c>
      <c r="AE541" s="4">
        <v>57</v>
      </c>
      <c r="AF541" s="4">
        <v>1</v>
      </c>
      <c r="AG541" s="4">
        <v>4</v>
      </c>
      <c r="AH541" s="4">
        <v>40</v>
      </c>
      <c r="AI541" s="4">
        <v>41</v>
      </c>
      <c r="AJ541" s="4">
        <v>19</v>
      </c>
      <c r="AK541" s="4">
        <v>22</v>
      </c>
      <c r="AL541" s="4">
        <v>25</v>
      </c>
      <c r="AM541" s="4">
        <v>25</v>
      </c>
      <c r="AN541" s="4">
        <v>0</v>
      </c>
      <c r="AO541" s="4">
        <v>0</v>
      </c>
      <c r="AP541" s="4">
        <v>21</v>
      </c>
      <c r="AQ541" s="4">
        <v>23</v>
      </c>
      <c r="AR541" s="3" t="s">
        <v>128</v>
      </c>
      <c r="AS541" s="3" t="s">
        <v>64</v>
      </c>
      <c r="AT541" s="3" t="s">
        <v>128</v>
      </c>
      <c r="AU541" s="6" t="str">
        <f>HYPERLINK("http://catalog.hathitrust.org/Record/001684110","HathiTrust Record")</f>
        <v>HathiTrust Record</v>
      </c>
      <c r="AV541" s="6" t="str">
        <f>HYPERLINK("http://mcgill.on.worldcat.org/oclc/92968","Catalog Record")</f>
        <v>Catalog Record</v>
      </c>
      <c r="AW541" s="6" t="str">
        <f>HYPERLINK("http://www.worldcat.org/oclc/92968","WorldCat Record")</f>
        <v>WorldCat Record</v>
      </c>
      <c r="AX541" s="3" t="s">
        <v>5251</v>
      </c>
      <c r="AY541" s="3" t="s">
        <v>5252</v>
      </c>
      <c r="AZ541" s="3" t="s">
        <v>5253</v>
      </c>
      <c r="BA541" s="3" t="s">
        <v>5253</v>
      </c>
      <c r="BB541" s="3" t="s">
        <v>5254</v>
      </c>
      <c r="BC541" s="3" t="s">
        <v>77</v>
      </c>
      <c r="BD541" s="3" t="s">
        <v>78</v>
      </c>
      <c r="BF541" s="3" t="s">
        <v>5254</v>
      </c>
      <c r="BG541" s="3" t="s">
        <v>5255</v>
      </c>
      <c r="BH541">
        <f t="shared" si="18"/>
        <v>0</v>
      </c>
    </row>
    <row r="542" spans="1:60" ht="58" x14ac:dyDescent="0.35">
      <c r="A542" s="2" t="s">
        <v>59</v>
      </c>
      <c r="B542" s="2" t="s">
        <v>60</v>
      </c>
      <c r="C542" s="2" t="s">
        <v>5256</v>
      </c>
      <c r="D542" s="2" t="s">
        <v>5257</v>
      </c>
      <c r="E542" s="2" t="s">
        <v>5258</v>
      </c>
      <c r="F542" s="3" t="s">
        <v>5259</v>
      </c>
      <c r="G542" s="3" t="s">
        <v>128</v>
      </c>
      <c r="I542" s="3" t="s">
        <v>64</v>
      </c>
      <c r="J542" s="3" t="s">
        <v>64</v>
      </c>
      <c r="K542" s="3" t="s">
        <v>65</v>
      </c>
      <c r="L542" s="2" t="s">
        <v>5260</v>
      </c>
      <c r="M542" s="2" t="s">
        <v>5261</v>
      </c>
      <c r="N542" s="3" t="s">
        <v>5262</v>
      </c>
      <c r="P542" s="3" t="s">
        <v>68</v>
      </c>
      <c r="R542" s="3" t="s">
        <v>70</v>
      </c>
      <c r="S542" s="4">
        <v>9</v>
      </c>
      <c r="T542" s="4">
        <v>9</v>
      </c>
      <c r="U542" s="5" t="s">
        <v>5263</v>
      </c>
      <c r="V542" s="5" t="s">
        <v>5263</v>
      </c>
      <c r="W542" s="5" t="s">
        <v>72</v>
      </c>
      <c r="X542" s="5" t="s">
        <v>72</v>
      </c>
      <c r="Y542" s="4">
        <v>5</v>
      </c>
      <c r="Z542" s="4">
        <v>5</v>
      </c>
      <c r="AA542" s="4">
        <v>17</v>
      </c>
      <c r="AB542" s="4">
        <v>2</v>
      </c>
      <c r="AC542" s="4">
        <v>10</v>
      </c>
      <c r="AD542" s="4">
        <v>1</v>
      </c>
      <c r="AE542" s="4">
        <v>11</v>
      </c>
      <c r="AF542" s="4">
        <v>0</v>
      </c>
      <c r="AG542" s="4">
        <v>4</v>
      </c>
      <c r="AH542" s="4">
        <v>1</v>
      </c>
      <c r="AI542" s="4">
        <v>6</v>
      </c>
      <c r="AJ542" s="4">
        <v>1</v>
      </c>
      <c r="AK542" s="4">
        <v>9</v>
      </c>
      <c r="AL542" s="4">
        <v>0</v>
      </c>
      <c r="AM542" s="4">
        <v>2</v>
      </c>
      <c r="AN542" s="4">
        <v>0</v>
      </c>
      <c r="AO542" s="4">
        <v>0</v>
      </c>
      <c r="AP542" s="4">
        <v>1</v>
      </c>
      <c r="AQ542" s="4">
        <v>7</v>
      </c>
      <c r="AR542" s="3" t="s">
        <v>128</v>
      </c>
      <c r="AS542" s="3" t="s">
        <v>64</v>
      </c>
      <c r="AT542" s="3" t="s">
        <v>64</v>
      </c>
      <c r="AV542" s="6" t="str">
        <f>HYPERLINK("http://mcgill.on.worldcat.org/oclc/232325601","Catalog Record")</f>
        <v>Catalog Record</v>
      </c>
      <c r="AW542" s="6" t="str">
        <f>HYPERLINK("http://www.worldcat.org/oclc/232325601","WorldCat Record")</f>
        <v>WorldCat Record</v>
      </c>
      <c r="AX542" s="3" t="s">
        <v>5264</v>
      </c>
      <c r="AY542" s="3" t="s">
        <v>5265</v>
      </c>
      <c r="AZ542" s="3" t="s">
        <v>5266</v>
      </c>
      <c r="BA542" s="3" t="s">
        <v>5266</v>
      </c>
      <c r="BB542" s="3" t="s">
        <v>5267</v>
      </c>
      <c r="BC542" s="3" t="s">
        <v>77</v>
      </c>
      <c r="BD542" s="3" t="s">
        <v>78</v>
      </c>
      <c r="BF542" s="3" t="s">
        <v>5267</v>
      </c>
      <c r="BG542" s="3" t="s">
        <v>5268</v>
      </c>
      <c r="BH542">
        <f t="shared" si="18"/>
        <v>0</v>
      </c>
    </row>
    <row r="543" spans="1:60" ht="58" x14ac:dyDescent="0.35">
      <c r="A543" s="2" t="s">
        <v>59</v>
      </c>
      <c r="B543" s="2" t="s">
        <v>60</v>
      </c>
      <c r="C543" s="2" t="s">
        <v>5269</v>
      </c>
      <c r="D543" s="2" t="s">
        <v>5270</v>
      </c>
      <c r="E543" s="2" t="s">
        <v>5271</v>
      </c>
      <c r="G543" s="3" t="s">
        <v>64</v>
      </c>
      <c r="I543" s="3" t="s">
        <v>128</v>
      </c>
      <c r="J543" s="3" t="s">
        <v>128</v>
      </c>
      <c r="K543" s="3" t="s">
        <v>65</v>
      </c>
      <c r="L543" s="2" t="s">
        <v>5260</v>
      </c>
      <c r="M543" s="2" t="s">
        <v>5272</v>
      </c>
      <c r="N543" s="3" t="s">
        <v>685</v>
      </c>
      <c r="P543" s="3" t="s">
        <v>102</v>
      </c>
      <c r="R543" s="3" t="s">
        <v>70</v>
      </c>
      <c r="S543" s="4">
        <v>20</v>
      </c>
      <c r="T543" s="4">
        <v>45</v>
      </c>
      <c r="U543" s="5" t="s">
        <v>5273</v>
      </c>
      <c r="V543" s="5" t="s">
        <v>5273</v>
      </c>
      <c r="W543" s="5" t="s">
        <v>72</v>
      </c>
      <c r="X543" s="5" t="s">
        <v>72</v>
      </c>
      <c r="Y543" s="4">
        <v>78</v>
      </c>
      <c r="Z543" s="4">
        <v>38</v>
      </c>
      <c r="AA543" s="4">
        <v>65</v>
      </c>
      <c r="AB543" s="4">
        <v>2</v>
      </c>
      <c r="AC543" s="4">
        <v>9</v>
      </c>
      <c r="AD543" s="4">
        <v>42</v>
      </c>
      <c r="AE543" s="4">
        <v>63</v>
      </c>
      <c r="AF543" s="4">
        <v>0</v>
      </c>
      <c r="AG543" s="4">
        <v>5</v>
      </c>
      <c r="AH543" s="4">
        <v>32</v>
      </c>
      <c r="AI543" s="4">
        <v>38</v>
      </c>
      <c r="AJ543" s="4">
        <v>17</v>
      </c>
      <c r="AK543" s="4">
        <v>26</v>
      </c>
      <c r="AL543" s="4">
        <v>16</v>
      </c>
      <c r="AM543" s="4">
        <v>19</v>
      </c>
      <c r="AN543" s="4">
        <v>0</v>
      </c>
      <c r="AO543" s="4">
        <v>0</v>
      </c>
      <c r="AP543" s="4">
        <v>20</v>
      </c>
      <c r="AQ543" s="4">
        <v>34</v>
      </c>
      <c r="AR543" s="3" t="s">
        <v>128</v>
      </c>
      <c r="AS543" s="3" t="s">
        <v>64</v>
      </c>
      <c r="AT543" s="3" t="s">
        <v>128</v>
      </c>
      <c r="AU543" s="6" t="str">
        <f>HYPERLINK("http://catalog.hathitrust.org/Record/001160141","HathiTrust Record")</f>
        <v>HathiTrust Record</v>
      </c>
      <c r="AV543" s="6" t="str">
        <f>HYPERLINK("http://mcgill.on.worldcat.org/oclc/11837120","Catalog Record")</f>
        <v>Catalog Record</v>
      </c>
      <c r="AW543" s="6" t="str">
        <f>HYPERLINK("http://www.worldcat.org/oclc/11837120","WorldCat Record")</f>
        <v>WorldCat Record</v>
      </c>
      <c r="AX543" s="3" t="s">
        <v>5274</v>
      </c>
      <c r="AY543" s="3" t="s">
        <v>5275</v>
      </c>
      <c r="AZ543" s="3" t="s">
        <v>5276</v>
      </c>
      <c r="BA543" s="3" t="s">
        <v>5276</v>
      </c>
      <c r="BB543" s="3" t="s">
        <v>5277</v>
      </c>
      <c r="BC543" s="3" t="s">
        <v>77</v>
      </c>
      <c r="BD543" s="3" t="s">
        <v>78</v>
      </c>
      <c r="BF543" s="3" t="s">
        <v>5277</v>
      </c>
      <c r="BG543" s="3" t="s">
        <v>5278</v>
      </c>
      <c r="BH543">
        <f t="shared" si="18"/>
        <v>0</v>
      </c>
    </row>
    <row r="544" spans="1:60" ht="58" x14ac:dyDescent="0.35">
      <c r="A544" s="2" t="s">
        <v>59</v>
      </c>
      <c r="B544" s="2" t="s">
        <v>60</v>
      </c>
      <c r="C544" s="2" t="s">
        <v>5269</v>
      </c>
      <c r="D544" s="2" t="s">
        <v>5270</v>
      </c>
      <c r="E544" s="2" t="s">
        <v>5271</v>
      </c>
      <c r="G544" s="3" t="s">
        <v>64</v>
      </c>
      <c r="I544" s="3" t="s">
        <v>128</v>
      </c>
      <c r="J544" s="3" t="s">
        <v>128</v>
      </c>
      <c r="K544" s="3" t="s">
        <v>65</v>
      </c>
      <c r="L544" s="2" t="s">
        <v>5260</v>
      </c>
      <c r="M544" s="2" t="s">
        <v>5272</v>
      </c>
      <c r="N544" s="3" t="s">
        <v>685</v>
      </c>
      <c r="P544" s="3" t="s">
        <v>102</v>
      </c>
      <c r="R544" s="3" t="s">
        <v>70</v>
      </c>
      <c r="S544" s="4">
        <v>21</v>
      </c>
      <c r="T544" s="4">
        <v>45</v>
      </c>
      <c r="U544" s="5" t="s">
        <v>5279</v>
      </c>
      <c r="V544" s="5" t="s">
        <v>5273</v>
      </c>
      <c r="W544" s="5" t="s">
        <v>72</v>
      </c>
      <c r="X544" s="5" t="s">
        <v>72</v>
      </c>
      <c r="Y544" s="4">
        <v>78</v>
      </c>
      <c r="Z544" s="4">
        <v>38</v>
      </c>
      <c r="AA544" s="4">
        <v>65</v>
      </c>
      <c r="AB544" s="4">
        <v>2</v>
      </c>
      <c r="AC544" s="4">
        <v>9</v>
      </c>
      <c r="AD544" s="4">
        <v>42</v>
      </c>
      <c r="AE544" s="4">
        <v>63</v>
      </c>
      <c r="AF544" s="4">
        <v>0</v>
      </c>
      <c r="AG544" s="4">
        <v>5</v>
      </c>
      <c r="AH544" s="4">
        <v>32</v>
      </c>
      <c r="AI544" s="4">
        <v>38</v>
      </c>
      <c r="AJ544" s="4">
        <v>17</v>
      </c>
      <c r="AK544" s="4">
        <v>26</v>
      </c>
      <c r="AL544" s="4">
        <v>16</v>
      </c>
      <c r="AM544" s="4">
        <v>19</v>
      </c>
      <c r="AN544" s="4">
        <v>0</v>
      </c>
      <c r="AO544" s="4">
        <v>0</v>
      </c>
      <c r="AP544" s="4">
        <v>20</v>
      </c>
      <c r="AQ544" s="4">
        <v>34</v>
      </c>
      <c r="AR544" s="3" t="s">
        <v>128</v>
      </c>
      <c r="AS544" s="3" t="s">
        <v>64</v>
      </c>
      <c r="AT544" s="3" t="s">
        <v>128</v>
      </c>
      <c r="AU544" s="6" t="str">
        <f>HYPERLINK("http://catalog.hathitrust.org/Record/001160141","HathiTrust Record")</f>
        <v>HathiTrust Record</v>
      </c>
      <c r="AV544" s="6" t="str">
        <f>HYPERLINK("http://mcgill.on.worldcat.org/oclc/11837120","Catalog Record")</f>
        <v>Catalog Record</v>
      </c>
      <c r="AW544" s="6" t="str">
        <f>HYPERLINK("http://www.worldcat.org/oclc/11837120","WorldCat Record")</f>
        <v>WorldCat Record</v>
      </c>
      <c r="AX544" s="3" t="s">
        <v>5274</v>
      </c>
      <c r="AY544" s="3" t="s">
        <v>5275</v>
      </c>
      <c r="AZ544" s="3" t="s">
        <v>5276</v>
      </c>
      <c r="BA544" s="3" t="s">
        <v>5276</v>
      </c>
      <c r="BB544" s="3" t="s">
        <v>5280</v>
      </c>
      <c r="BC544" s="3" t="s">
        <v>77</v>
      </c>
      <c r="BD544" s="3" t="s">
        <v>78</v>
      </c>
      <c r="BF544" s="3" t="s">
        <v>5280</v>
      </c>
      <c r="BG544" s="3" t="s">
        <v>5281</v>
      </c>
      <c r="BH544">
        <f t="shared" si="18"/>
        <v>0</v>
      </c>
    </row>
    <row r="545" spans="1:60" ht="58" x14ac:dyDescent="0.35">
      <c r="A545" s="2" t="s">
        <v>59</v>
      </c>
      <c r="B545" s="2" t="s">
        <v>60</v>
      </c>
      <c r="C545" s="2" t="s">
        <v>5282</v>
      </c>
      <c r="D545" s="2" t="s">
        <v>5283</v>
      </c>
      <c r="E545" s="2" t="s">
        <v>5284</v>
      </c>
      <c r="G545" s="3" t="s">
        <v>64</v>
      </c>
      <c r="I545" s="3" t="s">
        <v>128</v>
      </c>
      <c r="J545" s="3" t="s">
        <v>64</v>
      </c>
      <c r="K545" s="3" t="s">
        <v>65</v>
      </c>
      <c r="L545" s="2" t="s">
        <v>5285</v>
      </c>
      <c r="M545" s="2" t="s">
        <v>5286</v>
      </c>
      <c r="N545" s="3" t="s">
        <v>922</v>
      </c>
      <c r="P545" s="3" t="s">
        <v>102</v>
      </c>
      <c r="Q545" s="2" t="s">
        <v>5287</v>
      </c>
      <c r="R545" s="3" t="s">
        <v>70</v>
      </c>
      <c r="S545" s="4">
        <v>11</v>
      </c>
      <c r="T545" s="4">
        <v>34</v>
      </c>
      <c r="U545" s="5" t="s">
        <v>5263</v>
      </c>
      <c r="V545" s="5" t="s">
        <v>5273</v>
      </c>
      <c r="W545" s="5" t="s">
        <v>72</v>
      </c>
      <c r="X545" s="5" t="s">
        <v>72</v>
      </c>
      <c r="Y545" s="4">
        <v>203</v>
      </c>
      <c r="Z545" s="4">
        <v>57</v>
      </c>
      <c r="AA545" s="4">
        <v>61</v>
      </c>
      <c r="AB545" s="4">
        <v>5</v>
      </c>
      <c r="AC545" s="4">
        <v>9</v>
      </c>
      <c r="AD545" s="4">
        <v>82</v>
      </c>
      <c r="AE545" s="4">
        <v>84</v>
      </c>
      <c r="AF545" s="4">
        <v>2</v>
      </c>
      <c r="AG545" s="4">
        <v>4</v>
      </c>
      <c r="AH545" s="4">
        <v>61</v>
      </c>
      <c r="AI545" s="4">
        <v>61</v>
      </c>
      <c r="AJ545" s="4">
        <v>21</v>
      </c>
      <c r="AK545" s="4">
        <v>23</v>
      </c>
      <c r="AL545" s="4">
        <v>36</v>
      </c>
      <c r="AM545" s="4">
        <v>36</v>
      </c>
      <c r="AN545" s="4">
        <v>0</v>
      </c>
      <c r="AO545" s="4">
        <v>0</v>
      </c>
      <c r="AP545" s="4">
        <v>27</v>
      </c>
      <c r="AQ545" s="4">
        <v>28</v>
      </c>
      <c r="AR545" s="3" t="s">
        <v>64</v>
      </c>
      <c r="AS545" s="3" t="s">
        <v>64</v>
      </c>
      <c r="AT545" s="3" t="s">
        <v>64</v>
      </c>
      <c r="AV545" s="6" t="str">
        <f>HYPERLINK("http://mcgill.on.worldcat.org/oclc/516093","Catalog Record")</f>
        <v>Catalog Record</v>
      </c>
      <c r="AW545" s="6" t="str">
        <f>HYPERLINK("http://www.worldcat.org/oclc/516093","WorldCat Record")</f>
        <v>WorldCat Record</v>
      </c>
      <c r="AX545" s="3" t="s">
        <v>5288</v>
      </c>
      <c r="AY545" s="3" t="s">
        <v>5289</v>
      </c>
      <c r="AZ545" s="3" t="s">
        <v>5290</v>
      </c>
      <c r="BA545" s="3" t="s">
        <v>5290</v>
      </c>
      <c r="BB545" s="3" t="s">
        <v>5291</v>
      </c>
      <c r="BC545" s="3" t="s">
        <v>77</v>
      </c>
      <c r="BD545" s="3" t="s">
        <v>78</v>
      </c>
      <c r="BE545" s="3" t="s">
        <v>5292</v>
      </c>
      <c r="BF545" s="3" t="s">
        <v>5291</v>
      </c>
      <c r="BG545" s="3" t="s">
        <v>5293</v>
      </c>
      <c r="BH545">
        <f t="shared" si="18"/>
        <v>0</v>
      </c>
    </row>
    <row r="546" spans="1:60" ht="58" x14ac:dyDescent="0.35">
      <c r="A546" s="2" t="s">
        <v>59</v>
      </c>
      <c r="B546" s="2" t="s">
        <v>60</v>
      </c>
      <c r="C546" s="2" t="s">
        <v>5282</v>
      </c>
      <c r="D546" s="2" t="s">
        <v>5283</v>
      </c>
      <c r="E546" s="2" t="s">
        <v>5284</v>
      </c>
      <c r="G546" s="3" t="s">
        <v>64</v>
      </c>
      <c r="I546" s="3" t="s">
        <v>128</v>
      </c>
      <c r="J546" s="3" t="s">
        <v>64</v>
      </c>
      <c r="K546" s="3" t="s">
        <v>65</v>
      </c>
      <c r="L546" s="2" t="s">
        <v>5285</v>
      </c>
      <c r="M546" s="2" t="s">
        <v>5286</v>
      </c>
      <c r="N546" s="3" t="s">
        <v>922</v>
      </c>
      <c r="P546" s="3" t="s">
        <v>102</v>
      </c>
      <c r="Q546" s="2" t="s">
        <v>5287</v>
      </c>
      <c r="R546" s="3" t="s">
        <v>70</v>
      </c>
      <c r="S546" s="4">
        <v>23</v>
      </c>
      <c r="T546" s="4">
        <v>34</v>
      </c>
      <c r="U546" s="5" t="s">
        <v>5273</v>
      </c>
      <c r="V546" s="5" t="s">
        <v>5273</v>
      </c>
      <c r="W546" s="5" t="s">
        <v>72</v>
      </c>
      <c r="X546" s="5" t="s">
        <v>72</v>
      </c>
      <c r="Y546" s="4">
        <v>203</v>
      </c>
      <c r="Z546" s="4">
        <v>57</v>
      </c>
      <c r="AA546" s="4">
        <v>61</v>
      </c>
      <c r="AB546" s="4">
        <v>5</v>
      </c>
      <c r="AC546" s="4">
        <v>9</v>
      </c>
      <c r="AD546" s="4">
        <v>82</v>
      </c>
      <c r="AE546" s="4">
        <v>84</v>
      </c>
      <c r="AF546" s="4">
        <v>2</v>
      </c>
      <c r="AG546" s="4">
        <v>4</v>
      </c>
      <c r="AH546" s="4">
        <v>61</v>
      </c>
      <c r="AI546" s="4">
        <v>61</v>
      </c>
      <c r="AJ546" s="4">
        <v>21</v>
      </c>
      <c r="AK546" s="4">
        <v>23</v>
      </c>
      <c r="AL546" s="4">
        <v>36</v>
      </c>
      <c r="AM546" s="4">
        <v>36</v>
      </c>
      <c r="AN546" s="4">
        <v>0</v>
      </c>
      <c r="AO546" s="4">
        <v>0</v>
      </c>
      <c r="AP546" s="4">
        <v>27</v>
      </c>
      <c r="AQ546" s="4">
        <v>28</v>
      </c>
      <c r="AR546" s="3" t="s">
        <v>64</v>
      </c>
      <c r="AS546" s="3" t="s">
        <v>64</v>
      </c>
      <c r="AT546" s="3" t="s">
        <v>64</v>
      </c>
      <c r="AV546" s="6" t="str">
        <f>HYPERLINK("http://mcgill.on.worldcat.org/oclc/516093","Catalog Record")</f>
        <v>Catalog Record</v>
      </c>
      <c r="AW546" s="6" t="str">
        <f>HYPERLINK("http://www.worldcat.org/oclc/516093","WorldCat Record")</f>
        <v>WorldCat Record</v>
      </c>
      <c r="AX546" s="3" t="s">
        <v>5288</v>
      </c>
      <c r="AY546" s="3" t="s">
        <v>5289</v>
      </c>
      <c r="AZ546" s="3" t="s">
        <v>5290</v>
      </c>
      <c r="BA546" s="3" t="s">
        <v>5290</v>
      </c>
      <c r="BB546" s="3" t="s">
        <v>5294</v>
      </c>
      <c r="BC546" s="3" t="s">
        <v>77</v>
      </c>
      <c r="BD546" s="3" t="s">
        <v>78</v>
      </c>
      <c r="BE546" s="3" t="s">
        <v>5292</v>
      </c>
      <c r="BF546" s="3" t="s">
        <v>5294</v>
      </c>
      <c r="BG546" s="3" t="s">
        <v>5295</v>
      </c>
      <c r="BH546">
        <f t="shared" si="18"/>
        <v>0</v>
      </c>
    </row>
    <row r="547" spans="1:60" ht="58" x14ac:dyDescent="0.35">
      <c r="A547" s="2" t="s">
        <v>59</v>
      </c>
      <c r="B547" s="2" t="s">
        <v>60</v>
      </c>
      <c r="C547" s="2" t="s">
        <v>5296</v>
      </c>
      <c r="D547" s="2" t="s">
        <v>5297</v>
      </c>
      <c r="E547" s="2" t="s">
        <v>5298</v>
      </c>
      <c r="G547" s="3" t="s">
        <v>64</v>
      </c>
      <c r="I547" s="3" t="s">
        <v>128</v>
      </c>
      <c r="J547" s="3" t="s">
        <v>128</v>
      </c>
      <c r="K547" s="3" t="s">
        <v>65</v>
      </c>
      <c r="L547" s="2" t="s">
        <v>5285</v>
      </c>
      <c r="M547" s="2" t="s">
        <v>5299</v>
      </c>
      <c r="N547" s="3" t="s">
        <v>4872</v>
      </c>
      <c r="O547" s="2" t="s">
        <v>3538</v>
      </c>
      <c r="P547" s="3" t="s">
        <v>102</v>
      </c>
      <c r="Q547" s="2" t="s">
        <v>5300</v>
      </c>
      <c r="R547" s="3" t="s">
        <v>70</v>
      </c>
      <c r="S547" s="4">
        <v>16</v>
      </c>
      <c r="T547" s="4">
        <v>29</v>
      </c>
      <c r="U547" s="5" t="s">
        <v>5273</v>
      </c>
      <c r="V547" s="5" t="s">
        <v>5273</v>
      </c>
      <c r="W547" s="5" t="s">
        <v>72</v>
      </c>
      <c r="X547" s="5" t="s">
        <v>5301</v>
      </c>
      <c r="Y547" s="4">
        <v>54</v>
      </c>
      <c r="Z547" s="4">
        <v>33</v>
      </c>
      <c r="AA547" s="4">
        <v>64</v>
      </c>
      <c r="AB547" s="4">
        <v>3</v>
      </c>
      <c r="AC547" s="4">
        <v>10</v>
      </c>
      <c r="AD547" s="4">
        <v>22</v>
      </c>
      <c r="AE547" s="4">
        <v>67</v>
      </c>
      <c r="AF547" s="4">
        <v>1</v>
      </c>
      <c r="AG547" s="4">
        <v>6</v>
      </c>
      <c r="AH547" s="4">
        <v>13</v>
      </c>
      <c r="AI547" s="4">
        <v>45</v>
      </c>
      <c r="AJ547" s="4">
        <v>10</v>
      </c>
      <c r="AK547" s="4">
        <v>25</v>
      </c>
      <c r="AL547" s="4">
        <v>6</v>
      </c>
      <c r="AM547" s="4">
        <v>26</v>
      </c>
      <c r="AN547" s="4">
        <v>0</v>
      </c>
      <c r="AO547" s="4">
        <v>0</v>
      </c>
      <c r="AP547" s="4">
        <v>15</v>
      </c>
      <c r="AQ547" s="4">
        <v>31</v>
      </c>
      <c r="AR547" s="3" t="s">
        <v>128</v>
      </c>
      <c r="AS547" s="3" t="s">
        <v>64</v>
      </c>
      <c r="AT547" s="3" t="s">
        <v>64</v>
      </c>
      <c r="AV547" s="6" t="str">
        <f>HYPERLINK("http://mcgill.on.worldcat.org/oclc/4125999","Catalog Record")</f>
        <v>Catalog Record</v>
      </c>
      <c r="AW547" s="6" t="str">
        <f>HYPERLINK("http://www.worldcat.org/oclc/4125999","WorldCat Record")</f>
        <v>WorldCat Record</v>
      </c>
      <c r="AX547" s="3" t="s">
        <v>5302</v>
      </c>
      <c r="AY547" s="3" t="s">
        <v>5303</v>
      </c>
      <c r="AZ547" s="3" t="s">
        <v>5304</v>
      </c>
      <c r="BA547" s="3" t="s">
        <v>5304</v>
      </c>
      <c r="BB547" s="3" t="s">
        <v>5305</v>
      </c>
      <c r="BC547" s="3" t="s">
        <v>77</v>
      </c>
      <c r="BD547" s="3" t="s">
        <v>78</v>
      </c>
      <c r="BF547" s="3" t="s">
        <v>5305</v>
      </c>
      <c r="BG547" s="3" t="s">
        <v>5306</v>
      </c>
      <c r="BH547">
        <f t="shared" si="18"/>
        <v>0</v>
      </c>
    </row>
    <row r="548" spans="1:60" ht="58" x14ac:dyDescent="0.35">
      <c r="A548" s="2" t="s">
        <v>59</v>
      </c>
      <c r="B548" s="2" t="s">
        <v>60</v>
      </c>
      <c r="C548" s="2" t="s">
        <v>5296</v>
      </c>
      <c r="D548" s="2" t="s">
        <v>5297</v>
      </c>
      <c r="E548" s="2" t="s">
        <v>5298</v>
      </c>
      <c r="G548" s="3" t="s">
        <v>64</v>
      </c>
      <c r="I548" s="3" t="s">
        <v>128</v>
      </c>
      <c r="J548" s="3" t="s">
        <v>128</v>
      </c>
      <c r="K548" s="3" t="s">
        <v>65</v>
      </c>
      <c r="L548" s="2" t="s">
        <v>5285</v>
      </c>
      <c r="M548" s="2" t="s">
        <v>5299</v>
      </c>
      <c r="N548" s="3" t="s">
        <v>4872</v>
      </c>
      <c r="O548" s="2" t="s">
        <v>3538</v>
      </c>
      <c r="P548" s="3" t="s">
        <v>102</v>
      </c>
      <c r="Q548" s="2" t="s">
        <v>5300</v>
      </c>
      <c r="R548" s="3" t="s">
        <v>70</v>
      </c>
      <c r="S548" s="4">
        <v>13</v>
      </c>
      <c r="T548" s="4">
        <v>29</v>
      </c>
      <c r="U548" s="5" t="s">
        <v>5263</v>
      </c>
      <c r="V548" s="5" t="s">
        <v>5273</v>
      </c>
      <c r="W548" s="5" t="s">
        <v>72</v>
      </c>
      <c r="X548" s="5" t="s">
        <v>5301</v>
      </c>
      <c r="Y548" s="4">
        <v>54</v>
      </c>
      <c r="Z548" s="4">
        <v>33</v>
      </c>
      <c r="AA548" s="4">
        <v>64</v>
      </c>
      <c r="AB548" s="4">
        <v>3</v>
      </c>
      <c r="AC548" s="4">
        <v>10</v>
      </c>
      <c r="AD548" s="4">
        <v>22</v>
      </c>
      <c r="AE548" s="4">
        <v>67</v>
      </c>
      <c r="AF548" s="4">
        <v>1</v>
      </c>
      <c r="AG548" s="4">
        <v>6</v>
      </c>
      <c r="AH548" s="4">
        <v>13</v>
      </c>
      <c r="AI548" s="4">
        <v>45</v>
      </c>
      <c r="AJ548" s="4">
        <v>10</v>
      </c>
      <c r="AK548" s="4">
        <v>25</v>
      </c>
      <c r="AL548" s="4">
        <v>6</v>
      </c>
      <c r="AM548" s="4">
        <v>26</v>
      </c>
      <c r="AN548" s="4">
        <v>0</v>
      </c>
      <c r="AO548" s="4">
        <v>0</v>
      </c>
      <c r="AP548" s="4">
        <v>15</v>
      </c>
      <c r="AQ548" s="4">
        <v>31</v>
      </c>
      <c r="AR548" s="3" t="s">
        <v>128</v>
      </c>
      <c r="AS548" s="3" t="s">
        <v>64</v>
      </c>
      <c r="AT548" s="3" t="s">
        <v>64</v>
      </c>
      <c r="AV548" s="6" t="str">
        <f>HYPERLINK("http://mcgill.on.worldcat.org/oclc/4125999","Catalog Record")</f>
        <v>Catalog Record</v>
      </c>
      <c r="AW548" s="6" t="str">
        <f>HYPERLINK("http://www.worldcat.org/oclc/4125999","WorldCat Record")</f>
        <v>WorldCat Record</v>
      </c>
      <c r="AX548" s="3" t="s">
        <v>5302</v>
      </c>
      <c r="AY548" s="3" t="s">
        <v>5303</v>
      </c>
      <c r="AZ548" s="3" t="s">
        <v>5304</v>
      </c>
      <c r="BA548" s="3" t="s">
        <v>5304</v>
      </c>
      <c r="BB548" s="3" t="s">
        <v>5307</v>
      </c>
      <c r="BC548" s="3" t="s">
        <v>77</v>
      </c>
      <c r="BD548" s="3" t="s">
        <v>78</v>
      </c>
      <c r="BF548" s="3" t="s">
        <v>5307</v>
      </c>
      <c r="BG548" s="3" t="s">
        <v>5308</v>
      </c>
      <c r="BH548">
        <f t="shared" si="18"/>
        <v>0</v>
      </c>
    </row>
    <row r="549" spans="1:60" ht="58" x14ac:dyDescent="0.35">
      <c r="A549" s="2" t="s">
        <v>59</v>
      </c>
      <c r="B549" s="2" t="s">
        <v>60</v>
      </c>
      <c r="C549" s="2" t="s">
        <v>5309</v>
      </c>
      <c r="D549" s="2" t="s">
        <v>5310</v>
      </c>
      <c r="E549" s="2" t="s">
        <v>5311</v>
      </c>
      <c r="G549" s="3" t="s">
        <v>64</v>
      </c>
      <c r="I549" s="3" t="s">
        <v>64</v>
      </c>
      <c r="J549" s="3" t="s">
        <v>64</v>
      </c>
      <c r="K549" s="3" t="s">
        <v>65</v>
      </c>
      <c r="L549" s="2" t="s">
        <v>5312</v>
      </c>
      <c r="M549" s="2" t="s">
        <v>5313</v>
      </c>
      <c r="N549" s="3" t="s">
        <v>481</v>
      </c>
      <c r="P549" s="3" t="s">
        <v>102</v>
      </c>
      <c r="R549" s="3" t="s">
        <v>70</v>
      </c>
      <c r="S549" s="4">
        <v>24</v>
      </c>
      <c r="T549" s="4">
        <v>24</v>
      </c>
      <c r="U549" s="5" t="s">
        <v>5273</v>
      </c>
      <c r="V549" s="5" t="s">
        <v>5273</v>
      </c>
      <c r="W549" s="5" t="s">
        <v>72</v>
      </c>
      <c r="X549" s="5" t="s">
        <v>72</v>
      </c>
      <c r="Y549" s="4">
        <v>71</v>
      </c>
      <c r="Z549" s="4">
        <v>37</v>
      </c>
      <c r="AA549" s="4">
        <v>39</v>
      </c>
      <c r="AB549" s="4">
        <v>4</v>
      </c>
      <c r="AC549" s="4">
        <v>6</v>
      </c>
      <c r="AD549" s="4">
        <v>44</v>
      </c>
      <c r="AE549" s="4">
        <v>45</v>
      </c>
      <c r="AF549" s="4">
        <v>2</v>
      </c>
      <c r="AG549" s="4">
        <v>3</v>
      </c>
      <c r="AH549" s="4">
        <v>30</v>
      </c>
      <c r="AI549" s="4">
        <v>31</v>
      </c>
      <c r="AJ549" s="4">
        <v>15</v>
      </c>
      <c r="AK549" s="4">
        <v>16</v>
      </c>
      <c r="AL549" s="4">
        <v>17</v>
      </c>
      <c r="AM549" s="4">
        <v>17</v>
      </c>
      <c r="AN549" s="4">
        <v>0</v>
      </c>
      <c r="AO549" s="4">
        <v>0</v>
      </c>
      <c r="AP549" s="4">
        <v>21</v>
      </c>
      <c r="AQ549" s="4">
        <v>22</v>
      </c>
      <c r="AR549" s="3" t="s">
        <v>128</v>
      </c>
      <c r="AS549" s="3" t="s">
        <v>64</v>
      </c>
      <c r="AT549" s="3" t="s">
        <v>64</v>
      </c>
      <c r="AV549" s="6" t="str">
        <f>HYPERLINK("http://mcgill.on.worldcat.org/oclc/222242","Catalog Record")</f>
        <v>Catalog Record</v>
      </c>
      <c r="AW549" s="6" t="str">
        <f>HYPERLINK("http://www.worldcat.org/oclc/222242","WorldCat Record")</f>
        <v>WorldCat Record</v>
      </c>
      <c r="AX549" s="3" t="s">
        <v>5314</v>
      </c>
      <c r="AY549" s="3" t="s">
        <v>5315</v>
      </c>
      <c r="AZ549" s="3" t="s">
        <v>5316</v>
      </c>
      <c r="BA549" s="3" t="s">
        <v>5316</v>
      </c>
      <c r="BB549" s="3" t="s">
        <v>5317</v>
      </c>
      <c r="BC549" s="3" t="s">
        <v>77</v>
      </c>
      <c r="BD549" s="3" t="s">
        <v>78</v>
      </c>
      <c r="BF549" s="3" t="s">
        <v>5317</v>
      </c>
      <c r="BG549" s="3" t="s">
        <v>5318</v>
      </c>
      <c r="BH549">
        <f t="shared" si="18"/>
        <v>0</v>
      </c>
    </row>
    <row r="550" spans="1:60" ht="58" x14ac:dyDescent="0.35">
      <c r="A550" s="2" t="s">
        <v>59</v>
      </c>
      <c r="B550" s="2" t="s">
        <v>60</v>
      </c>
      <c r="C550" s="2" t="s">
        <v>5319</v>
      </c>
      <c r="D550" s="2" t="s">
        <v>5320</v>
      </c>
      <c r="E550" s="2" t="s">
        <v>5321</v>
      </c>
      <c r="F550" s="3" t="s">
        <v>529</v>
      </c>
      <c r="G550" s="3" t="s">
        <v>128</v>
      </c>
      <c r="I550" s="3" t="s">
        <v>128</v>
      </c>
      <c r="J550" s="3" t="s">
        <v>64</v>
      </c>
      <c r="K550" s="3" t="s">
        <v>65</v>
      </c>
      <c r="M550" s="2" t="s">
        <v>5322</v>
      </c>
      <c r="N550" s="3" t="s">
        <v>1275</v>
      </c>
      <c r="P550" s="3" t="s">
        <v>102</v>
      </c>
      <c r="R550" s="3" t="s">
        <v>70</v>
      </c>
      <c r="S550" s="4">
        <v>13</v>
      </c>
      <c r="T550" s="4">
        <v>207</v>
      </c>
      <c r="U550" s="5" t="s">
        <v>5323</v>
      </c>
      <c r="V550" s="5" t="s">
        <v>5324</v>
      </c>
      <c r="W550" s="5" t="s">
        <v>3035</v>
      </c>
      <c r="X550" s="5" t="s">
        <v>3035</v>
      </c>
      <c r="Y550" s="4">
        <v>303</v>
      </c>
      <c r="Z550" s="4">
        <v>118</v>
      </c>
      <c r="AA550" s="4">
        <v>121</v>
      </c>
      <c r="AB550" s="4">
        <v>7</v>
      </c>
      <c r="AC550" s="4">
        <v>9</v>
      </c>
      <c r="AD550" s="4">
        <v>124</v>
      </c>
      <c r="AE550" s="4">
        <v>126</v>
      </c>
      <c r="AF550" s="4">
        <v>2</v>
      </c>
      <c r="AG550" s="4">
        <v>3</v>
      </c>
      <c r="AH550" s="4">
        <v>85</v>
      </c>
      <c r="AI550" s="4">
        <v>86</v>
      </c>
      <c r="AJ550" s="4">
        <v>25</v>
      </c>
      <c r="AK550" s="4">
        <v>26</v>
      </c>
      <c r="AL550" s="4">
        <v>45</v>
      </c>
      <c r="AM550" s="4">
        <v>45</v>
      </c>
      <c r="AN550" s="4">
        <v>0</v>
      </c>
      <c r="AO550" s="4">
        <v>0</v>
      </c>
      <c r="AP550" s="4">
        <v>48</v>
      </c>
      <c r="AQ550" s="4">
        <v>50</v>
      </c>
      <c r="AR550" s="3" t="s">
        <v>128</v>
      </c>
      <c r="AS550" s="3" t="s">
        <v>64</v>
      </c>
      <c r="AT550" s="3" t="s">
        <v>128</v>
      </c>
      <c r="AU550" s="6" t="str">
        <f>HYPERLINK("http://catalog.hathitrust.org/Record/004913427","HathiTrust Record")</f>
        <v>HathiTrust Record</v>
      </c>
      <c r="AV550" s="6" t="str">
        <f>HYPERLINK("http://mcgill.on.worldcat.org/oclc/54692696","Catalog Record")</f>
        <v>Catalog Record</v>
      </c>
      <c r="AW550" s="6" t="str">
        <f>HYPERLINK("http://www.worldcat.org/oclc/54692696","WorldCat Record")</f>
        <v>WorldCat Record</v>
      </c>
      <c r="AX550" s="3" t="s">
        <v>5325</v>
      </c>
      <c r="AY550" s="3" t="s">
        <v>5326</v>
      </c>
      <c r="AZ550" s="3" t="s">
        <v>5327</v>
      </c>
      <c r="BA550" s="3" t="s">
        <v>5327</v>
      </c>
      <c r="BB550" s="3" t="s">
        <v>5328</v>
      </c>
      <c r="BC550" s="3" t="s">
        <v>77</v>
      </c>
      <c r="BD550" s="3" t="s">
        <v>78</v>
      </c>
      <c r="BE550" s="3" t="s">
        <v>5329</v>
      </c>
      <c r="BF550" s="3" t="s">
        <v>5328</v>
      </c>
      <c r="BG550" s="3" t="s">
        <v>5330</v>
      </c>
      <c r="BH550">
        <f t="shared" si="18"/>
        <v>0</v>
      </c>
    </row>
    <row r="551" spans="1:60" ht="58" x14ac:dyDescent="0.35">
      <c r="A551" s="2" t="s">
        <v>59</v>
      </c>
      <c r="B551" s="2" t="s">
        <v>60</v>
      </c>
      <c r="C551" s="2" t="s">
        <v>5319</v>
      </c>
      <c r="D551" s="2" t="s">
        <v>5320</v>
      </c>
      <c r="E551" s="2" t="s">
        <v>5321</v>
      </c>
      <c r="F551" s="3" t="s">
        <v>525</v>
      </c>
      <c r="G551" s="3" t="s">
        <v>128</v>
      </c>
      <c r="I551" s="3" t="s">
        <v>128</v>
      </c>
      <c r="J551" s="3" t="s">
        <v>64</v>
      </c>
      <c r="K551" s="3" t="s">
        <v>65</v>
      </c>
      <c r="M551" s="2" t="s">
        <v>5322</v>
      </c>
      <c r="N551" s="3" t="s">
        <v>1275</v>
      </c>
      <c r="P551" s="3" t="s">
        <v>102</v>
      </c>
      <c r="R551" s="3" t="s">
        <v>70</v>
      </c>
      <c r="S551" s="4">
        <v>16</v>
      </c>
      <c r="T551" s="4">
        <v>207</v>
      </c>
      <c r="U551" s="5" t="s">
        <v>5323</v>
      </c>
      <c r="V551" s="5" t="s">
        <v>5324</v>
      </c>
      <c r="W551" s="5" t="s">
        <v>3035</v>
      </c>
      <c r="X551" s="5" t="s">
        <v>3035</v>
      </c>
      <c r="Y551" s="4">
        <v>303</v>
      </c>
      <c r="Z551" s="4">
        <v>118</v>
      </c>
      <c r="AA551" s="4">
        <v>121</v>
      </c>
      <c r="AB551" s="4">
        <v>7</v>
      </c>
      <c r="AC551" s="4">
        <v>9</v>
      </c>
      <c r="AD551" s="4">
        <v>124</v>
      </c>
      <c r="AE551" s="4">
        <v>126</v>
      </c>
      <c r="AF551" s="4">
        <v>2</v>
      </c>
      <c r="AG551" s="4">
        <v>3</v>
      </c>
      <c r="AH551" s="4">
        <v>85</v>
      </c>
      <c r="AI551" s="4">
        <v>86</v>
      </c>
      <c r="AJ551" s="4">
        <v>25</v>
      </c>
      <c r="AK551" s="4">
        <v>26</v>
      </c>
      <c r="AL551" s="4">
        <v>45</v>
      </c>
      <c r="AM551" s="4">
        <v>45</v>
      </c>
      <c r="AN551" s="4">
        <v>0</v>
      </c>
      <c r="AO551" s="4">
        <v>0</v>
      </c>
      <c r="AP551" s="4">
        <v>48</v>
      </c>
      <c r="AQ551" s="4">
        <v>50</v>
      </c>
      <c r="AR551" s="3" t="s">
        <v>128</v>
      </c>
      <c r="AS551" s="3" t="s">
        <v>64</v>
      </c>
      <c r="AT551" s="3" t="s">
        <v>128</v>
      </c>
      <c r="AU551" s="6" t="str">
        <f>HYPERLINK("http://catalog.hathitrust.org/Record/004913427","HathiTrust Record")</f>
        <v>HathiTrust Record</v>
      </c>
      <c r="AV551" s="6" t="str">
        <f>HYPERLINK("http://mcgill.on.worldcat.org/oclc/54692696","Catalog Record")</f>
        <v>Catalog Record</v>
      </c>
      <c r="AW551" s="6" t="str">
        <f>HYPERLINK("http://www.worldcat.org/oclc/54692696","WorldCat Record")</f>
        <v>WorldCat Record</v>
      </c>
      <c r="AX551" s="3" t="s">
        <v>5325</v>
      </c>
      <c r="AY551" s="3" t="s">
        <v>5326</v>
      </c>
      <c r="AZ551" s="3" t="s">
        <v>5327</v>
      </c>
      <c r="BA551" s="3" t="s">
        <v>5327</v>
      </c>
      <c r="BB551" s="3" t="s">
        <v>5331</v>
      </c>
      <c r="BC551" s="3" t="s">
        <v>77</v>
      </c>
      <c r="BD551" s="3" t="s">
        <v>78</v>
      </c>
      <c r="BE551" s="3" t="s">
        <v>5329</v>
      </c>
      <c r="BF551" s="3" t="s">
        <v>5331</v>
      </c>
      <c r="BG551" s="3" t="s">
        <v>5332</v>
      </c>
      <c r="BH551">
        <f t="shared" si="18"/>
        <v>0</v>
      </c>
    </row>
    <row r="552" spans="1:60" ht="58" x14ac:dyDescent="0.35">
      <c r="A552" s="2" t="s">
        <v>59</v>
      </c>
      <c r="B552" s="2" t="s">
        <v>60</v>
      </c>
      <c r="C552" s="2" t="s">
        <v>5333</v>
      </c>
      <c r="D552" s="2" t="s">
        <v>5334</v>
      </c>
      <c r="E552" s="2" t="s">
        <v>5321</v>
      </c>
      <c r="F552" s="3" t="s">
        <v>509</v>
      </c>
      <c r="G552" s="3" t="s">
        <v>128</v>
      </c>
      <c r="I552" s="3" t="s">
        <v>128</v>
      </c>
      <c r="J552" s="3" t="s">
        <v>64</v>
      </c>
      <c r="K552" s="3" t="s">
        <v>65</v>
      </c>
      <c r="M552" s="2" t="s">
        <v>5322</v>
      </c>
      <c r="N552" s="3" t="s">
        <v>1275</v>
      </c>
      <c r="P552" s="3" t="s">
        <v>102</v>
      </c>
      <c r="R552" s="3" t="s">
        <v>70</v>
      </c>
      <c r="S552" s="4">
        <v>38</v>
      </c>
      <c r="T552" s="4">
        <v>207</v>
      </c>
      <c r="U552" s="5" t="s">
        <v>5335</v>
      </c>
      <c r="V552" s="5" t="s">
        <v>5324</v>
      </c>
      <c r="W552" s="5" t="s">
        <v>3035</v>
      </c>
      <c r="X552" s="5" t="s">
        <v>3035</v>
      </c>
      <c r="Y552" s="4">
        <v>303</v>
      </c>
      <c r="Z552" s="4">
        <v>118</v>
      </c>
      <c r="AA552" s="4">
        <v>121</v>
      </c>
      <c r="AB552" s="4">
        <v>7</v>
      </c>
      <c r="AC552" s="4">
        <v>9</v>
      </c>
      <c r="AD552" s="4">
        <v>124</v>
      </c>
      <c r="AE552" s="4">
        <v>126</v>
      </c>
      <c r="AF552" s="4">
        <v>2</v>
      </c>
      <c r="AG552" s="4">
        <v>3</v>
      </c>
      <c r="AH552" s="4">
        <v>85</v>
      </c>
      <c r="AI552" s="4">
        <v>86</v>
      </c>
      <c r="AJ552" s="4">
        <v>25</v>
      </c>
      <c r="AK552" s="4">
        <v>26</v>
      </c>
      <c r="AL552" s="4">
        <v>45</v>
      </c>
      <c r="AM552" s="4">
        <v>45</v>
      </c>
      <c r="AN552" s="4">
        <v>0</v>
      </c>
      <c r="AO552" s="4">
        <v>0</v>
      </c>
      <c r="AP552" s="4">
        <v>48</v>
      </c>
      <c r="AQ552" s="4">
        <v>50</v>
      </c>
      <c r="AR552" s="3" t="s">
        <v>128</v>
      </c>
      <c r="AS552" s="3" t="s">
        <v>64</v>
      </c>
      <c r="AT552" s="3" t="s">
        <v>128</v>
      </c>
      <c r="AU552" s="6" t="str">
        <f>HYPERLINK("http://catalog.hathitrust.org/Record/004913427","HathiTrust Record")</f>
        <v>HathiTrust Record</v>
      </c>
      <c r="AV552" s="6" t="str">
        <f>HYPERLINK("http://mcgill.on.worldcat.org/oclc/54692696","Catalog Record")</f>
        <v>Catalog Record</v>
      </c>
      <c r="AW552" s="6" t="str">
        <f>HYPERLINK("http://www.worldcat.org/oclc/54692696","WorldCat Record")</f>
        <v>WorldCat Record</v>
      </c>
      <c r="AX552" s="3" t="s">
        <v>5325</v>
      </c>
      <c r="AY552" s="3" t="s">
        <v>5326</v>
      </c>
      <c r="AZ552" s="3" t="s">
        <v>5327</v>
      </c>
      <c r="BA552" s="3" t="s">
        <v>5327</v>
      </c>
      <c r="BB552" s="3" t="s">
        <v>5336</v>
      </c>
      <c r="BC552" s="3" t="s">
        <v>77</v>
      </c>
      <c r="BD552" s="3" t="s">
        <v>165</v>
      </c>
      <c r="BE552" s="3" t="s">
        <v>5329</v>
      </c>
      <c r="BF552" s="3" t="s">
        <v>5336</v>
      </c>
      <c r="BG552" s="3" t="s">
        <v>5337</v>
      </c>
      <c r="BH552">
        <f t="shared" si="18"/>
        <v>0</v>
      </c>
    </row>
    <row r="553" spans="1:60" ht="58" x14ac:dyDescent="0.35">
      <c r="A553" s="2" t="s">
        <v>59</v>
      </c>
      <c r="B553" s="2" t="s">
        <v>60</v>
      </c>
      <c r="C553" s="2" t="s">
        <v>5333</v>
      </c>
      <c r="D553" s="2" t="s">
        <v>5334</v>
      </c>
      <c r="E553" s="2" t="s">
        <v>5321</v>
      </c>
      <c r="F553" s="3" t="s">
        <v>525</v>
      </c>
      <c r="G553" s="3" t="s">
        <v>128</v>
      </c>
      <c r="I553" s="3" t="s">
        <v>128</v>
      </c>
      <c r="J553" s="3" t="s">
        <v>64</v>
      </c>
      <c r="K553" s="3" t="s">
        <v>65</v>
      </c>
      <c r="M553" s="2" t="s">
        <v>5322</v>
      </c>
      <c r="N553" s="3" t="s">
        <v>1275</v>
      </c>
      <c r="P553" s="3" t="s">
        <v>102</v>
      </c>
      <c r="R553" s="3" t="s">
        <v>70</v>
      </c>
      <c r="S553" s="4">
        <v>39</v>
      </c>
      <c r="T553" s="4">
        <v>207</v>
      </c>
      <c r="U553" s="5" t="s">
        <v>5324</v>
      </c>
      <c r="V553" s="5" t="s">
        <v>5324</v>
      </c>
      <c r="W553" s="5" t="s">
        <v>3035</v>
      </c>
      <c r="X553" s="5" t="s">
        <v>3035</v>
      </c>
      <c r="Y553" s="4">
        <v>303</v>
      </c>
      <c r="Z553" s="4">
        <v>118</v>
      </c>
      <c r="AA553" s="4">
        <v>121</v>
      </c>
      <c r="AB553" s="4">
        <v>7</v>
      </c>
      <c r="AC553" s="4">
        <v>9</v>
      </c>
      <c r="AD553" s="4">
        <v>124</v>
      </c>
      <c r="AE553" s="4">
        <v>126</v>
      </c>
      <c r="AF553" s="4">
        <v>2</v>
      </c>
      <c r="AG553" s="4">
        <v>3</v>
      </c>
      <c r="AH553" s="4">
        <v>85</v>
      </c>
      <c r="AI553" s="4">
        <v>86</v>
      </c>
      <c r="AJ553" s="4">
        <v>25</v>
      </c>
      <c r="AK553" s="4">
        <v>26</v>
      </c>
      <c r="AL553" s="4">
        <v>45</v>
      </c>
      <c r="AM553" s="4">
        <v>45</v>
      </c>
      <c r="AN553" s="4">
        <v>0</v>
      </c>
      <c r="AO553" s="4">
        <v>0</v>
      </c>
      <c r="AP553" s="4">
        <v>48</v>
      </c>
      <c r="AQ553" s="4">
        <v>50</v>
      </c>
      <c r="AR553" s="3" t="s">
        <v>128</v>
      </c>
      <c r="AS553" s="3" t="s">
        <v>64</v>
      </c>
      <c r="AT553" s="3" t="s">
        <v>128</v>
      </c>
      <c r="AU553" s="6" t="str">
        <f>HYPERLINK("http://catalog.hathitrust.org/Record/004913427","HathiTrust Record")</f>
        <v>HathiTrust Record</v>
      </c>
      <c r="AV553" s="6" t="str">
        <f>HYPERLINK("http://mcgill.on.worldcat.org/oclc/54692696","Catalog Record")</f>
        <v>Catalog Record</v>
      </c>
      <c r="AW553" s="6" t="str">
        <f>HYPERLINK("http://www.worldcat.org/oclc/54692696","WorldCat Record")</f>
        <v>WorldCat Record</v>
      </c>
      <c r="AX553" s="3" t="s">
        <v>5325</v>
      </c>
      <c r="AY553" s="3" t="s">
        <v>5326</v>
      </c>
      <c r="AZ553" s="3" t="s">
        <v>5327</v>
      </c>
      <c r="BA553" s="3" t="s">
        <v>5327</v>
      </c>
      <c r="BB553" s="3" t="s">
        <v>5338</v>
      </c>
      <c r="BC553" s="3" t="s">
        <v>77</v>
      </c>
      <c r="BD553" s="3" t="s">
        <v>78</v>
      </c>
      <c r="BE553" s="3" t="s">
        <v>5329</v>
      </c>
      <c r="BF553" s="3" t="s">
        <v>5338</v>
      </c>
      <c r="BG553" s="3" t="s">
        <v>5339</v>
      </c>
      <c r="BH553">
        <f t="shared" si="18"/>
        <v>0</v>
      </c>
    </row>
    <row r="554" spans="1:60" ht="58" x14ac:dyDescent="0.35">
      <c r="A554" s="2" t="s">
        <v>59</v>
      </c>
      <c r="B554" s="2" t="s">
        <v>60</v>
      </c>
      <c r="C554" s="2" t="s">
        <v>5333</v>
      </c>
      <c r="D554" s="2" t="s">
        <v>5334</v>
      </c>
      <c r="E554" s="2" t="s">
        <v>5321</v>
      </c>
      <c r="F554" s="3" t="s">
        <v>529</v>
      </c>
      <c r="G554" s="3" t="s">
        <v>128</v>
      </c>
      <c r="I554" s="3" t="s">
        <v>128</v>
      </c>
      <c r="J554" s="3" t="s">
        <v>64</v>
      </c>
      <c r="K554" s="3" t="s">
        <v>65</v>
      </c>
      <c r="M554" s="2" t="s">
        <v>5322</v>
      </c>
      <c r="N554" s="3" t="s">
        <v>1275</v>
      </c>
      <c r="P554" s="3" t="s">
        <v>102</v>
      </c>
      <c r="R554" s="3" t="s">
        <v>70</v>
      </c>
      <c r="S554" s="4">
        <v>36</v>
      </c>
      <c r="T554" s="4">
        <v>207</v>
      </c>
      <c r="U554" s="5" t="s">
        <v>5340</v>
      </c>
      <c r="V554" s="5" t="s">
        <v>5324</v>
      </c>
      <c r="W554" s="5" t="s">
        <v>3035</v>
      </c>
      <c r="X554" s="5" t="s">
        <v>3035</v>
      </c>
      <c r="Y554" s="4">
        <v>303</v>
      </c>
      <c r="Z554" s="4">
        <v>118</v>
      </c>
      <c r="AA554" s="4">
        <v>121</v>
      </c>
      <c r="AB554" s="4">
        <v>7</v>
      </c>
      <c r="AC554" s="4">
        <v>9</v>
      </c>
      <c r="AD554" s="4">
        <v>124</v>
      </c>
      <c r="AE554" s="4">
        <v>126</v>
      </c>
      <c r="AF554" s="4">
        <v>2</v>
      </c>
      <c r="AG554" s="4">
        <v>3</v>
      </c>
      <c r="AH554" s="4">
        <v>85</v>
      </c>
      <c r="AI554" s="4">
        <v>86</v>
      </c>
      <c r="AJ554" s="4">
        <v>25</v>
      </c>
      <c r="AK554" s="4">
        <v>26</v>
      </c>
      <c r="AL554" s="4">
        <v>45</v>
      </c>
      <c r="AM554" s="4">
        <v>45</v>
      </c>
      <c r="AN554" s="4">
        <v>0</v>
      </c>
      <c r="AO554" s="4">
        <v>0</v>
      </c>
      <c r="AP554" s="4">
        <v>48</v>
      </c>
      <c r="AQ554" s="4">
        <v>50</v>
      </c>
      <c r="AR554" s="3" t="s">
        <v>128</v>
      </c>
      <c r="AS554" s="3" t="s">
        <v>64</v>
      </c>
      <c r="AT554" s="3" t="s">
        <v>128</v>
      </c>
      <c r="AU554" s="6" t="str">
        <f>HYPERLINK("http://catalog.hathitrust.org/Record/004913427","HathiTrust Record")</f>
        <v>HathiTrust Record</v>
      </c>
      <c r="AV554" s="6" t="str">
        <f>HYPERLINK("http://mcgill.on.worldcat.org/oclc/54692696","Catalog Record")</f>
        <v>Catalog Record</v>
      </c>
      <c r="AW554" s="6" t="str">
        <f>HYPERLINK("http://www.worldcat.org/oclc/54692696","WorldCat Record")</f>
        <v>WorldCat Record</v>
      </c>
      <c r="AX554" s="3" t="s">
        <v>5325</v>
      </c>
      <c r="AY554" s="3" t="s">
        <v>5326</v>
      </c>
      <c r="AZ554" s="3" t="s">
        <v>5327</v>
      </c>
      <c r="BA554" s="3" t="s">
        <v>5327</v>
      </c>
      <c r="BB554" s="3" t="s">
        <v>5341</v>
      </c>
      <c r="BC554" s="3" t="s">
        <v>77</v>
      </c>
      <c r="BD554" s="3" t="s">
        <v>78</v>
      </c>
      <c r="BE554" s="3" t="s">
        <v>5329</v>
      </c>
      <c r="BF554" s="3" t="s">
        <v>5341</v>
      </c>
      <c r="BG554" s="3" t="s">
        <v>5342</v>
      </c>
      <c r="BH554">
        <f t="shared" si="18"/>
        <v>0</v>
      </c>
    </row>
    <row r="555" spans="1:60" ht="58" x14ac:dyDescent="0.35">
      <c r="A555" s="2" t="s">
        <v>59</v>
      </c>
      <c r="B555" s="2" t="s">
        <v>60</v>
      </c>
      <c r="C555" s="2" t="s">
        <v>5343</v>
      </c>
      <c r="D555" s="2" t="s">
        <v>5344</v>
      </c>
      <c r="E555" s="2" t="s">
        <v>5345</v>
      </c>
      <c r="G555" s="3" t="s">
        <v>64</v>
      </c>
      <c r="I555" s="3" t="s">
        <v>128</v>
      </c>
      <c r="J555" s="3" t="s">
        <v>64</v>
      </c>
      <c r="K555" s="3" t="s">
        <v>65</v>
      </c>
      <c r="L555" s="2" t="s">
        <v>5346</v>
      </c>
      <c r="M555" s="2" t="s">
        <v>5347</v>
      </c>
      <c r="N555" s="3" t="s">
        <v>315</v>
      </c>
      <c r="P555" s="3" t="s">
        <v>102</v>
      </c>
      <c r="R555" s="3" t="s">
        <v>70</v>
      </c>
      <c r="S555" s="4">
        <v>2</v>
      </c>
      <c r="T555" s="4">
        <v>11</v>
      </c>
      <c r="U555" s="5" t="s">
        <v>5348</v>
      </c>
      <c r="V555" s="5" t="s">
        <v>5348</v>
      </c>
      <c r="W555" s="5" t="s">
        <v>72</v>
      </c>
      <c r="X555" s="5" t="s">
        <v>72</v>
      </c>
      <c r="Y555" s="4">
        <v>183</v>
      </c>
      <c r="Z555" s="4">
        <v>51</v>
      </c>
      <c r="AA555" s="4">
        <v>69</v>
      </c>
      <c r="AB555" s="4">
        <v>4</v>
      </c>
      <c r="AC555" s="4">
        <v>9</v>
      </c>
      <c r="AD555" s="4">
        <v>102</v>
      </c>
      <c r="AE555" s="4">
        <v>108</v>
      </c>
      <c r="AF555" s="4">
        <v>2</v>
      </c>
      <c r="AG555" s="4">
        <v>3</v>
      </c>
      <c r="AH555" s="4">
        <v>80</v>
      </c>
      <c r="AI555" s="4">
        <v>83</v>
      </c>
      <c r="AJ555" s="4">
        <v>23</v>
      </c>
      <c r="AK555" s="4">
        <v>24</v>
      </c>
      <c r="AL555" s="4">
        <v>39</v>
      </c>
      <c r="AM555" s="4">
        <v>40</v>
      </c>
      <c r="AN555" s="4">
        <v>0</v>
      </c>
      <c r="AO555" s="4">
        <v>0</v>
      </c>
      <c r="AP555" s="4">
        <v>31</v>
      </c>
      <c r="AQ555" s="4">
        <v>35</v>
      </c>
      <c r="AR555" s="3" t="s">
        <v>128</v>
      </c>
      <c r="AS555" s="3" t="s">
        <v>64</v>
      </c>
      <c r="AT555" s="3" t="s">
        <v>128</v>
      </c>
      <c r="AU555" s="6" t="str">
        <f>HYPERLINK("http://catalog.hathitrust.org/Record/001901488","HathiTrust Record")</f>
        <v>HathiTrust Record</v>
      </c>
      <c r="AV555" s="6" t="str">
        <f>HYPERLINK("http://mcgill.on.worldcat.org/oclc/113801","Catalog Record")</f>
        <v>Catalog Record</v>
      </c>
      <c r="AW555" s="6" t="str">
        <f>HYPERLINK("http://www.worldcat.org/oclc/113801","WorldCat Record")</f>
        <v>WorldCat Record</v>
      </c>
      <c r="AX555" s="3" t="s">
        <v>5349</v>
      </c>
      <c r="AY555" s="3" t="s">
        <v>5350</v>
      </c>
      <c r="AZ555" s="3" t="s">
        <v>5351</v>
      </c>
      <c r="BA555" s="3" t="s">
        <v>5351</v>
      </c>
      <c r="BB555" s="3" t="s">
        <v>5352</v>
      </c>
      <c r="BC555" s="3" t="s">
        <v>77</v>
      </c>
      <c r="BD555" s="3" t="s">
        <v>78</v>
      </c>
      <c r="BE555" s="3" t="s">
        <v>5353</v>
      </c>
      <c r="BF555" s="3" t="s">
        <v>5352</v>
      </c>
      <c r="BG555" s="3" t="s">
        <v>5354</v>
      </c>
      <c r="BH555">
        <f t="shared" si="18"/>
        <v>0</v>
      </c>
    </row>
    <row r="556" spans="1:60" ht="58" x14ac:dyDescent="0.35">
      <c r="A556" s="2" t="s">
        <v>59</v>
      </c>
      <c r="B556" s="2" t="s">
        <v>60</v>
      </c>
      <c r="C556" s="2" t="s">
        <v>5355</v>
      </c>
      <c r="D556" s="2" t="s">
        <v>5356</v>
      </c>
      <c r="E556" s="2" t="s">
        <v>5357</v>
      </c>
      <c r="G556" s="3" t="s">
        <v>64</v>
      </c>
      <c r="I556" s="3" t="s">
        <v>64</v>
      </c>
      <c r="J556" s="3" t="s">
        <v>128</v>
      </c>
      <c r="K556" s="3" t="s">
        <v>65</v>
      </c>
      <c r="L556" s="2" t="s">
        <v>5358</v>
      </c>
      <c r="N556" s="3" t="s">
        <v>5359</v>
      </c>
      <c r="P556" s="3" t="s">
        <v>102</v>
      </c>
      <c r="R556" s="3" t="s">
        <v>70</v>
      </c>
      <c r="S556" s="4">
        <v>14</v>
      </c>
      <c r="T556" s="4">
        <v>14</v>
      </c>
      <c r="U556" s="5" t="s">
        <v>5273</v>
      </c>
      <c r="V556" s="5" t="s">
        <v>5273</v>
      </c>
      <c r="W556" s="5" t="s">
        <v>72</v>
      </c>
      <c r="X556" s="5" t="s">
        <v>72</v>
      </c>
      <c r="Y556" s="4">
        <v>1</v>
      </c>
      <c r="Z556" s="4">
        <v>1</v>
      </c>
      <c r="AA556" s="4">
        <v>39</v>
      </c>
      <c r="AB556" s="4">
        <v>1</v>
      </c>
      <c r="AC556" s="4">
        <v>7</v>
      </c>
      <c r="AD556" s="4">
        <v>0</v>
      </c>
      <c r="AE556" s="4">
        <v>35</v>
      </c>
      <c r="AF556" s="4">
        <v>0</v>
      </c>
      <c r="AG556" s="4">
        <v>4</v>
      </c>
      <c r="AH556" s="4">
        <v>0</v>
      </c>
      <c r="AI556" s="4">
        <v>20</v>
      </c>
      <c r="AJ556" s="4">
        <v>0</v>
      </c>
      <c r="AK556" s="4">
        <v>20</v>
      </c>
      <c r="AL556" s="4">
        <v>0</v>
      </c>
      <c r="AM556" s="4">
        <v>7</v>
      </c>
      <c r="AN556" s="4">
        <v>0</v>
      </c>
      <c r="AO556" s="4">
        <v>4</v>
      </c>
      <c r="AP556" s="4">
        <v>0</v>
      </c>
      <c r="AQ556" s="4">
        <v>23</v>
      </c>
      <c r="AR556" s="3" t="s">
        <v>128</v>
      </c>
      <c r="AS556" s="3" t="s">
        <v>64</v>
      </c>
      <c r="AT556" s="3" t="s">
        <v>64</v>
      </c>
      <c r="AV556" s="6" t="str">
        <f>HYPERLINK("http://mcgill.on.worldcat.org/oclc/427324358","Catalog Record")</f>
        <v>Catalog Record</v>
      </c>
      <c r="AW556" s="6" t="str">
        <f>HYPERLINK("http://www.worldcat.org/oclc/427324358","WorldCat Record")</f>
        <v>WorldCat Record</v>
      </c>
      <c r="AX556" s="3" t="s">
        <v>5360</v>
      </c>
      <c r="AY556" s="3" t="s">
        <v>5361</v>
      </c>
      <c r="AZ556" s="3" t="s">
        <v>5362</v>
      </c>
      <c r="BA556" s="3" t="s">
        <v>5362</v>
      </c>
      <c r="BB556" s="3" t="s">
        <v>5363</v>
      </c>
      <c r="BC556" s="3" t="s">
        <v>77</v>
      </c>
      <c r="BD556" s="3" t="s">
        <v>78</v>
      </c>
      <c r="BF556" s="3" t="s">
        <v>5363</v>
      </c>
      <c r="BG556" s="3" t="s">
        <v>5364</v>
      </c>
      <c r="BH556">
        <f t="shared" si="18"/>
        <v>0</v>
      </c>
    </row>
    <row r="557" spans="1:60" ht="58" x14ac:dyDescent="0.35">
      <c r="A557" s="2" t="s">
        <v>59</v>
      </c>
      <c r="B557" s="2" t="s">
        <v>60</v>
      </c>
      <c r="C557" s="2" t="s">
        <v>5365</v>
      </c>
      <c r="D557" s="2" t="s">
        <v>5366</v>
      </c>
      <c r="E557" s="2" t="s">
        <v>5367</v>
      </c>
      <c r="G557" s="3" t="s">
        <v>64</v>
      </c>
      <c r="I557" s="3" t="s">
        <v>128</v>
      </c>
      <c r="J557" s="3" t="s">
        <v>64</v>
      </c>
      <c r="K557" s="3" t="s">
        <v>65</v>
      </c>
      <c r="L557" s="2" t="s">
        <v>5368</v>
      </c>
      <c r="M557" s="2" t="s">
        <v>5369</v>
      </c>
      <c r="N557" s="3" t="s">
        <v>2923</v>
      </c>
      <c r="P557" s="3" t="s">
        <v>102</v>
      </c>
      <c r="R557" s="3" t="s">
        <v>70</v>
      </c>
      <c r="S557" s="4">
        <v>10</v>
      </c>
      <c r="T557" s="4">
        <v>24</v>
      </c>
      <c r="U557" s="5" t="s">
        <v>5273</v>
      </c>
      <c r="V557" s="5" t="s">
        <v>5273</v>
      </c>
      <c r="W557" s="5" t="s">
        <v>72</v>
      </c>
      <c r="X557" s="5" t="s">
        <v>72</v>
      </c>
      <c r="Y557" s="4">
        <v>15</v>
      </c>
      <c r="Z557" s="4">
        <v>13</v>
      </c>
      <c r="AA557" s="4">
        <v>16</v>
      </c>
      <c r="AB557" s="4">
        <v>2</v>
      </c>
      <c r="AC557" s="4">
        <v>3</v>
      </c>
      <c r="AD557" s="4">
        <v>8</v>
      </c>
      <c r="AE557" s="4">
        <v>9</v>
      </c>
      <c r="AF557" s="4">
        <v>1</v>
      </c>
      <c r="AG557" s="4">
        <v>1</v>
      </c>
      <c r="AH557" s="4">
        <v>6</v>
      </c>
      <c r="AI557" s="4">
        <v>7</v>
      </c>
      <c r="AJ557" s="4">
        <v>6</v>
      </c>
      <c r="AK557" s="4">
        <v>7</v>
      </c>
      <c r="AL557" s="4">
        <v>1</v>
      </c>
      <c r="AM557" s="4">
        <v>1</v>
      </c>
      <c r="AN557" s="4">
        <v>0</v>
      </c>
      <c r="AO557" s="4">
        <v>0</v>
      </c>
      <c r="AP557" s="4">
        <v>7</v>
      </c>
      <c r="AQ557" s="4">
        <v>8</v>
      </c>
      <c r="AR557" s="3" t="s">
        <v>64</v>
      </c>
      <c r="AS557" s="3" t="s">
        <v>64</v>
      </c>
      <c r="AT557" s="3" t="s">
        <v>64</v>
      </c>
      <c r="AV557" s="6" t="str">
        <f>HYPERLINK("http://mcgill.on.worldcat.org/oclc/61551921","Catalog Record")</f>
        <v>Catalog Record</v>
      </c>
      <c r="AW557" s="6" t="str">
        <f>HYPERLINK("http://www.worldcat.org/oclc/61551921","WorldCat Record")</f>
        <v>WorldCat Record</v>
      </c>
      <c r="AX557" s="3" t="s">
        <v>5370</v>
      </c>
      <c r="AY557" s="3" t="s">
        <v>5371</v>
      </c>
      <c r="AZ557" s="3" t="s">
        <v>5372</v>
      </c>
      <c r="BA557" s="3" t="s">
        <v>5372</v>
      </c>
      <c r="BB557" s="3" t="s">
        <v>5373</v>
      </c>
      <c r="BC557" s="3" t="s">
        <v>77</v>
      </c>
      <c r="BD557" s="3" t="s">
        <v>78</v>
      </c>
      <c r="BF557" s="3" t="s">
        <v>5373</v>
      </c>
      <c r="BG557" s="3" t="s">
        <v>5374</v>
      </c>
      <c r="BH557">
        <f t="shared" si="18"/>
        <v>0</v>
      </c>
    </row>
    <row r="558" spans="1:60" ht="58" x14ac:dyDescent="0.35">
      <c r="A558" s="2" t="s">
        <v>59</v>
      </c>
      <c r="B558" s="2" t="s">
        <v>60</v>
      </c>
      <c r="C558" s="2" t="s">
        <v>5365</v>
      </c>
      <c r="D558" s="2" t="s">
        <v>5366</v>
      </c>
      <c r="E558" s="2" t="s">
        <v>5367</v>
      </c>
      <c r="G558" s="3" t="s">
        <v>64</v>
      </c>
      <c r="I558" s="3" t="s">
        <v>128</v>
      </c>
      <c r="J558" s="3" t="s">
        <v>64</v>
      </c>
      <c r="K558" s="3" t="s">
        <v>65</v>
      </c>
      <c r="L558" s="2" t="s">
        <v>5368</v>
      </c>
      <c r="M558" s="2" t="s">
        <v>5369</v>
      </c>
      <c r="N558" s="3" t="s">
        <v>2923</v>
      </c>
      <c r="P558" s="3" t="s">
        <v>102</v>
      </c>
      <c r="R558" s="3" t="s">
        <v>70</v>
      </c>
      <c r="S558" s="4">
        <v>14</v>
      </c>
      <c r="T558" s="4">
        <v>24</v>
      </c>
      <c r="U558" s="5" t="s">
        <v>5263</v>
      </c>
      <c r="V558" s="5" t="s">
        <v>5273</v>
      </c>
      <c r="W558" s="5" t="s">
        <v>72</v>
      </c>
      <c r="X558" s="5" t="s">
        <v>72</v>
      </c>
      <c r="Y558" s="4">
        <v>15</v>
      </c>
      <c r="Z558" s="4">
        <v>13</v>
      </c>
      <c r="AA558" s="4">
        <v>16</v>
      </c>
      <c r="AB558" s="4">
        <v>2</v>
      </c>
      <c r="AC558" s="4">
        <v>3</v>
      </c>
      <c r="AD558" s="4">
        <v>8</v>
      </c>
      <c r="AE558" s="4">
        <v>9</v>
      </c>
      <c r="AF558" s="4">
        <v>1</v>
      </c>
      <c r="AG558" s="4">
        <v>1</v>
      </c>
      <c r="AH558" s="4">
        <v>6</v>
      </c>
      <c r="AI558" s="4">
        <v>7</v>
      </c>
      <c r="AJ558" s="4">
        <v>6</v>
      </c>
      <c r="AK558" s="4">
        <v>7</v>
      </c>
      <c r="AL558" s="4">
        <v>1</v>
      </c>
      <c r="AM558" s="4">
        <v>1</v>
      </c>
      <c r="AN558" s="4">
        <v>0</v>
      </c>
      <c r="AO558" s="4">
        <v>0</v>
      </c>
      <c r="AP558" s="4">
        <v>7</v>
      </c>
      <c r="AQ558" s="4">
        <v>8</v>
      </c>
      <c r="AR558" s="3" t="s">
        <v>64</v>
      </c>
      <c r="AS558" s="3" t="s">
        <v>64</v>
      </c>
      <c r="AT558" s="3" t="s">
        <v>64</v>
      </c>
      <c r="AV558" s="6" t="str">
        <f>HYPERLINK("http://mcgill.on.worldcat.org/oclc/61551921","Catalog Record")</f>
        <v>Catalog Record</v>
      </c>
      <c r="AW558" s="6" t="str">
        <f>HYPERLINK("http://www.worldcat.org/oclc/61551921","WorldCat Record")</f>
        <v>WorldCat Record</v>
      </c>
      <c r="AX558" s="3" t="s">
        <v>5370</v>
      </c>
      <c r="AY558" s="3" t="s">
        <v>5371</v>
      </c>
      <c r="AZ558" s="3" t="s">
        <v>5372</v>
      </c>
      <c r="BA558" s="3" t="s">
        <v>5372</v>
      </c>
      <c r="BB558" s="3" t="s">
        <v>5375</v>
      </c>
      <c r="BC558" s="3" t="s">
        <v>77</v>
      </c>
      <c r="BD558" s="3" t="s">
        <v>78</v>
      </c>
      <c r="BF558" s="3" t="s">
        <v>5375</v>
      </c>
      <c r="BG558" s="3" t="s">
        <v>5376</v>
      </c>
      <c r="BH558">
        <f t="shared" si="18"/>
        <v>0</v>
      </c>
    </row>
    <row r="559" spans="1:60" ht="87" x14ac:dyDescent="0.35">
      <c r="A559" s="2" t="s">
        <v>59</v>
      </c>
      <c r="B559" s="2" t="s">
        <v>60</v>
      </c>
      <c r="C559" s="2" t="s">
        <v>5377</v>
      </c>
      <c r="D559" s="2" t="s">
        <v>5378</v>
      </c>
      <c r="E559" s="2" t="s">
        <v>5379</v>
      </c>
      <c r="G559" s="3" t="s">
        <v>64</v>
      </c>
      <c r="I559" s="3" t="s">
        <v>64</v>
      </c>
      <c r="J559" s="3" t="s">
        <v>64</v>
      </c>
      <c r="K559" s="3" t="s">
        <v>65</v>
      </c>
      <c r="M559" s="2" t="s">
        <v>5380</v>
      </c>
      <c r="N559" s="3" t="s">
        <v>144</v>
      </c>
      <c r="P559" s="3" t="s">
        <v>68</v>
      </c>
      <c r="R559" s="3" t="s">
        <v>70</v>
      </c>
      <c r="S559" s="4">
        <v>5</v>
      </c>
      <c r="T559" s="4">
        <v>5</v>
      </c>
      <c r="U559" s="5" t="s">
        <v>5263</v>
      </c>
      <c r="V559" s="5" t="s">
        <v>5263</v>
      </c>
      <c r="W559" s="5" t="s">
        <v>72</v>
      </c>
      <c r="X559" s="5" t="s">
        <v>72</v>
      </c>
      <c r="Y559" s="4">
        <v>10</v>
      </c>
      <c r="Z559" s="4">
        <v>8</v>
      </c>
      <c r="AA559" s="4">
        <v>11</v>
      </c>
      <c r="AB559" s="4">
        <v>6</v>
      </c>
      <c r="AC559" s="4">
        <v>7</v>
      </c>
      <c r="AD559" s="4">
        <v>6</v>
      </c>
      <c r="AE559" s="4">
        <v>13</v>
      </c>
      <c r="AF559" s="4">
        <v>3</v>
      </c>
      <c r="AG559" s="4">
        <v>4</v>
      </c>
      <c r="AH559" s="4">
        <v>3</v>
      </c>
      <c r="AI559" s="4">
        <v>8</v>
      </c>
      <c r="AJ559" s="4">
        <v>5</v>
      </c>
      <c r="AK559" s="4">
        <v>8</v>
      </c>
      <c r="AL559" s="4">
        <v>1</v>
      </c>
      <c r="AM559" s="4">
        <v>4</v>
      </c>
      <c r="AN559" s="4">
        <v>0</v>
      </c>
      <c r="AO559" s="4">
        <v>0</v>
      </c>
      <c r="AP559" s="4">
        <v>3</v>
      </c>
      <c r="AQ559" s="4">
        <v>6</v>
      </c>
      <c r="AR559" s="3" t="s">
        <v>128</v>
      </c>
      <c r="AS559" s="3" t="s">
        <v>64</v>
      </c>
      <c r="AT559" s="3" t="s">
        <v>64</v>
      </c>
      <c r="AV559" s="6" t="str">
        <f>HYPERLINK("http://mcgill.on.worldcat.org/oclc/282481625","Catalog Record")</f>
        <v>Catalog Record</v>
      </c>
      <c r="AW559" s="6" t="str">
        <f>HYPERLINK("http://www.worldcat.org/oclc/282481625","WorldCat Record")</f>
        <v>WorldCat Record</v>
      </c>
      <c r="AX559" s="3" t="s">
        <v>5381</v>
      </c>
      <c r="AY559" s="3" t="s">
        <v>5382</v>
      </c>
      <c r="AZ559" s="3" t="s">
        <v>5383</v>
      </c>
      <c r="BA559" s="3" t="s">
        <v>5383</v>
      </c>
      <c r="BB559" s="3" t="s">
        <v>5384</v>
      </c>
      <c r="BC559" s="3" t="s">
        <v>77</v>
      </c>
      <c r="BD559" s="3" t="s">
        <v>78</v>
      </c>
      <c r="BE559" s="3" t="s">
        <v>5385</v>
      </c>
      <c r="BF559" s="3" t="s">
        <v>5384</v>
      </c>
      <c r="BG559" s="3" t="s">
        <v>5386</v>
      </c>
      <c r="BH559">
        <f t="shared" si="18"/>
        <v>0</v>
      </c>
    </row>
    <row r="560" spans="1:60" ht="58" x14ac:dyDescent="0.35">
      <c r="A560" s="2" t="s">
        <v>59</v>
      </c>
      <c r="B560" s="2" t="s">
        <v>60</v>
      </c>
      <c r="C560" s="2" t="s">
        <v>5387</v>
      </c>
      <c r="D560" s="2" t="s">
        <v>5388</v>
      </c>
      <c r="E560" s="2" t="s">
        <v>5389</v>
      </c>
      <c r="G560" s="3" t="s">
        <v>64</v>
      </c>
      <c r="I560" s="3" t="s">
        <v>128</v>
      </c>
      <c r="J560" s="3" t="s">
        <v>64</v>
      </c>
      <c r="K560" s="3" t="s">
        <v>65</v>
      </c>
      <c r="L560" s="2" t="s">
        <v>5390</v>
      </c>
      <c r="M560" s="2" t="s">
        <v>5391</v>
      </c>
      <c r="N560" s="3" t="s">
        <v>498</v>
      </c>
      <c r="P560" s="3" t="s">
        <v>102</v>
      </c>
      <c r="R560" s="3" t="s">
        <v>70</v>
      </c>
      <c r="S560" s="4">
        <v>10</v>
      </c>
      <c r="T560" s="4">
        <v>16</v>
      </c>
      <c r="U560" s="5" t="s">
        <v>469</v>
      </c>
      <c r="V560" s="5" t="s">
        <v>469</v>
      </c>
      <c r="W560" s="5" t="s">
        <v>72</v>
      </c>
      <c r="X560" s="5" t="s">
        <v>72</v>
      </c>
      <c r="Y560" s="4">
        <v>153</v>
      </c>
      <c r="Z560" s="4">
        <v>76</v>
      </c>
      <c r="AA560" s="4">
        <v>83</v>
      </c>
      <c r="AB560" s="4">
        <v>5</v>
      </c>
      <c r="AC560" s="4">
        <v>10</v>
      </c>
      <c r="AD560" s="4">
        <v>84</v>
      </c>
      <c r="AE560" s="4">
        <v>89</v>
      </c>
      <c r="AF560" s="4">
        <v>2</v>
      </c>
      <c r="AG560" s="4">
        <v>6</v>
      </c>
      <c r="AH560" s="4">
        <v>49</v>
      </c>
      <c r="AI560" s="4">
        <v>50</v>
      </c>
      <c r="AJ560" s="4">
        <v>24</v>
      </c>
      <c r="AK560" s="4">
        <v>28</v>
      </c>
      <c r="AL560" s="4">
        <v>25</v>
      </c>
      <c r="AM560" s="4">
        <v>25</v>
      </c>
      <c r="AN560" s="4">
        <v>0</v>
      </c>
      <c r="AO560" s="4">
        <v>0</v>
      </c>
      <c r="AP560" s="4">
        <v>44</v>
      </c>
      <c r="AQ560" s="4">
        <v>48</v>
      </c>
      <c r="AR560" s="3" t="s">
        <v>128</v>
      </c>
      <c r="AS560" s="3" t="s">
        <v>64</v>
      </c>
      <c r="AT560" s="3" t="s">
        <v>64</v>
      </c>
      <c r="AV560" s="6" t="str">
        <f>HYPERLINK("http://mcgill.on.worldcat.org/oclc/1262725","Catalog Record")</f>
        <v>Catalog Record</v>
      </c>
      <c r="AW560" s="6" t="str">
        <f>HYPERLINK("http://www.worldcat.org/oclc/1262725","WorldCat Record")</f>
        <v>WorldCat Record</v>
      </c>
      <c r="AX560" s="3" t="s">
        <v>5392</v>
      </c>
      <c r="AY560" s="3" t="s">
        <v>5393</v>
      </c>
      <c r="AZ560" s="3" t="s">
        <v>5394</v>
      </c>
      <c r="BA560" s="3" t="s">
        <v>5394</v>
      </c>
      <c r="BB560" s="3" t="s">
        <v>5395</v>
      </c>
      <c r="BC560" s="3" t="s">
        <v>77</v>
      </c>
      <c r="BD560" s="3" t="s">
        <v>78</v>
      </c>
      <c r="BE560" s="3" t="s">
        <v>5396</v>
      </c>
      <c r="BF560" s="3" t="s">
        <v>5395</v>
      </c>
      <c r="BG560" s="3" t="s">
        <v>5397</v>
      </c>
      <c r="BH560">
        <f t="shared" si="18"/>
        <v>0</v>
      </c>
    </row>
    <row r="561" spans="1:60" ht="58" x14ac:dyDescent="0.35">
      <c r="A561" s="2" t="s">
        <v>59</v>
      </c>
      <c r="B561" s="2" t="s">
        <v>60</v>
      </c>
      <c r="C561" s="2" t="s">
        <v>5387</v>
      </c>
      <c r="D561" s="2" t="s">
        <v>5388</v>
      </c>
      <c r="E561" s="2" t="s">
        <v>5389</v>
      </c>
      <c r="G561" s="3" t="s">
        <v>64</v>
      </c>
      <c r="I561" s="3" t="s">
        <v>128</v>
      </c>
      <c r="J561" s="3" t="s">
        <v>64</v>
      </c>
      <c r="K561" s="3" t="s">
        <v>65</v>
      </c>
      <c r="L561" s="2" t="s">
        <v>5390</v>
      </c>
      <c r="M561" s="2" t="s">
        <v>5391</v>
      </c>
      <c r="N561" s="3" t="s">
        <v>498</v>
      </c>
      <c r="P561" s="3" t="s">
        <v>102</v>
      </c>
      <c r="R561" s="3" t="s">
        <v>70</v>
      </c>
      <c r="S561" s="4">
        <v>6</v>
      </c>
      <c r="T561" s="4">
        <v>16</v>
      </c>
      <c r="U561" s="5" t="s">
        <v>5398</v>
      </c>
      <c r="V561" s="5" t="s">
        <v>469</v>
      </c>
      <c r="W561" s="5" t="s">
        <v>72</v>
      </c>
      <c r="X561" s="5" t="s">
        <v>72</v>
      </c>
      <c r="Y561" s="4">
        <v>153</v>
      </c>
      <c r="Z561" s="4">
        <v>76</v>
      </c>
      <c r="AA561" s="4">
        <v>83</v>
      </c>
      <c r="AB561" s="4">
        <v>5</v>
      </c>
      <c r="AC561" s="4">
        <v>10</v>
      </c>
      <c r="AD561" s="4">
        <v>84</v>
      </c>
      <c r="AE561" s="4">
        <v>89</v>
      </c>
      <c r="AF561" s="4">
        <v>2</v>
      </c>
      <c r="AG561" s="4">
        <v>6</v>
      </c>
      <c r="AH561" s="4">
        <v>49</v>
      </c>
      <c r="AI561" s="4">
        <v>50</v>
      </c>
      <c r="AJ561" s="4">
        <v>24</v>
      </c>
      <c r="AK561" s="4">
        <v>28</v>
      </c>
      <c r="AL561" s="4">
        <v>25</v>
      </c>
      <c r="AM561" s="4">
        <v>25</v>
      </c>
      <c r="AN561" s="4">
        <v>0</v>
      </c>
      <c r="AO561" s="4">
        <v>0</v>
      </c>
      <c r="AP561" s="4">
        <v>44</v>
      </c>
      <c r="AQ561" s="4">
        <v>48</v>
      </c>
      <c r="AR561" s="3" t="s">
        <v>128</v>
      </c>
      <c r="AS561" s="3" t="s">
        <v>64</v>
      </c>
      <c r="AT561" s="3" t="s">
        <v>64</v>
      </c>
      <c r="AV561" s="6" t="str">
        <f>HYPERLINK("http://mcgill.on.worldcat.org/oclc/1262725","Catalog Record")</f>
        <v>Catalog Record</v>
      </c>
      <c r="AW561" s="6" t="str">
        <f>HYPERLINK("http://www.worldcat.org/oclc/1262725","WorldCat Record")</f>
        <v>WorldCat Record</v>
      </c>
      <c r="AX561" s="3" t="s">
        <v>5392</v>
      </c>
      <c r="AY561" s="3" t="s">
        <v>5393</v>
      </c>
      <c r="AZ561" s="3" t="s">
        <v>5394</v>
      </c>
      <c r="BA561" s="3" t="s">
        <v>5394</v>
      </c>
      <c r="BB561" s="3" t="s">
        <v>5399</v>
      </c>
      <c r="BC561" s="3" t="s">
        <v>77</v>
      </c>
      <c r="BD561" s="3" t="s">
        <v>78</v>
      </c>
      <c r="BE561" s="3" t="s">
        <v>5396</v>
      </c>
      <c r="BF561" s="3" t="s">
        <v>5399</v>
      </c>
      <c r="BG561" s="3" t="s">
        <v>5400</v>
      </c>
      <c r="BH561">
        <f t="shared" si="18"/>
        <v>0</v>
      </c>
    </row>
    <row r="562" spans="1:60" ht="58" x14ac:dyDescent="0.35">
      <c r="A562" s="2" t="s">
        <v>59</v>
      </c>
      <c r="B562" s="2" t="s">
        <v>60</v>
      </c>
      <c r="C562" s="2" t="s">
        <v>5401</v>
      </c>
      <c r="D562" s="2" t="s">
        <v>5402</v>
      </c>
      <c r="E562" s="2" t="s">
        <v>5403</v>
      </c>
      <c r="G562" s="3" t="s">
        <v>64</v>
      </c>
      <c r="I562" s="3" t="s">
        <v>64</v>
      </c>
      <c r="J562" s="3" t="s">
        <v>64</v>
      </c>
      <c r="K562" s="3" t="s">
        <v>65</v>
      </c>
      <c r="L562" s="2" t="s">
        <v>5404</v>
      </c>
      <c r="M562" s="2" t="s">
        <v>5405</v>
      </c>
      <c r="N562" s="3" t="s">
        <v>434</v>
      </c>
      <c r="P562" s="3" t="s">
        <v>68</v>
      </c>
      <c r="Q562" s="2" t="s">
        <v>5406</v>
      </c>
      <c r="R562" s="3" t="s">
        <v>70</v>
      </c>
      <c r="S562" s="4">
        <v>3</v>
      </c>
      <c r="T562" s="4">
        <v>3</v>
      </c>
      <c r="U562" s="5" t="s">
        <v>469</v>
      </c>
      <c r="V562" s="5" t="s">
        <v>469</v>
      </c>
      <c r="W562" s="5" t="s">
        <v>72</v>
      </c>
      <c r="X562" s="5" t="s">
        <v>72</v>
      </c>
      <c r="Y562" s="4">
        <v>13</v>
      </c>
      <c r="Z562" s="4">
        <v>10</v>
      </c>
      <c r="AA562" s="4">
        <v>14</v>
      </c>
      <c r="AB562" s="4">
        <v>6</v>
      </c>
      <c r="AC562" s="4">
        <v>6</v>
      </c>
      <c r="AD562" s="4">
        <v>10</v>
      </c>
      <c r="AE562" s="4">
        <v>12</v>
      </c>
      <c r="AF562" s="4">
        <v>4</v>
      </c>
      <c r="AG562" s="4">
        <v>4</v>
      </c>
      <c r="AH562" s="4">
        <v>5</v>
      </c>
      <c r="AI562" s="4">
        <v>7</v>
      </c>
      <c r="AJ562" s="4">
        <v>8</v>
      </c>
      <c r="AK562" s="4">
        <v>9</v>
      </c>
      <c r="AL562" s="4">
        <v>2</v>
      </c>
      <c r="AM562" s="4">
        <v>3</v>
      </c>
      <c r="AN562" s="4">
        <v>0</v>
      </c>
      <c r="AO562" s="4">
        <v>0</v>
      </c>
      <c r="AP562" s="4">
        <v>6</v>
      </c>
      <c r="AQ562" s="4">
        <v>7</v>
      </c>
      <c r="AR562" s="3" t="s">
        <v>128</v>
      </c>
      <c r="AS562" s="3" t="s">
        <v>64</v>
      </c>
      <c r="AT562" s="3" t="s">
        <v>64</v>
      </c>
      <c r="AV562" s="6" t="str">
        <f>HYPERLINK("http://mcgill.on.worldcat.org/oclc/58930586","Catalog Record")</f>
        <v>Catalog Record</v>
      </c>
      <c r="AW562" s="6" t="str">
        <f>HYPERLINK("http://www.worldcat.org/oclc/58930586","WorldCat Record")</f>
        <v>WorldCat Record</v>
      </c>
      <c r="AX562" s="3" t="s">
        <v>5407</v>
      </c>
      <c r="AY562" s="3" t="s">
        <v>5408</v>
      </c>
      <c r="AZ562" s="3" t="s">
        <v>5409</v>
      </c>
      <c r="BA562" s="3" t="s">
        <v>5409</v>
      </c>
      <c r="BB562" s="3" t="s">
        <v>5410</v>
      </c>
      <c r="BC562" s="3" t="s">
        <v>77</v>
      </c>
      <c r="BD562" s="3" t="s">
        <v>78</v>
      </c>
      <c r="BE562" s="3" t="s">
        <v>5411</v>
      </c>
      <c r="BF562" s="3" t="s">
        <v>5410</v>
      </c>
      <c r="BG562" s="3" t="s">
        <v>5412</v>
      </c>
      <c r="BH562">
        <f t="shared" si="18"/>
        <v>0</v>
      </c>
    </row>
    <row r="563" spans="1:60" ht="58" x14ac:dyDescent="0.35">
      <c r="A563" s="2" t="s">
        <v>59</v>
      </c>
      <c r="B563" s="2" t="s">
        <v>60</v>
      </c>
      <c r="C563" s="2" t="s">
        <v>5413</v>
      </c>
      <c r="D563" s="2" t="s">
        <v>5414</v>
      </c>
      <c r="E563" s="2" t="s">
        <v>5415</v>
      </c>
      <c r="G563" s="3" t="s">
        <v>64</v>
      </c>
      <c r="I563" s="3" t="s">
        <v>128</v>
      </c>
      <c r="J563" s="3" t="s">
        <v>64</v>
      </c>
      <c r="K563" s="3" t="s">
        <v>65</v>
      </c>
      <c r="L563" s="2" t="s">
        <v>5416</v>
      </c>
      <c r="M563" s="2" t="s">
        <v>5417</v>
      </c>
      <c r="N563" s="3" t="s">
        <v>3584</v>
      </c>
      <c r="P563" s="3" t="s">
        <v>102</v>
      </c>
      <c r="R563" s="3" t="s">
        <v>70</v>
      </c>
      <c r="S563" s="4">
        <v>5</v>
      </c>
      <c r="T563" s="4">
        <v>6</v>
      </c>
      <c r="U563" s="5" t="s">
        <v>5418</v>
      </c>
      <c r="V563" s="5" t="s">
        <v>5263</v>
      </c>
      <c r="W563" s="5" t="s">
        <v>72</v>
      </c>
      <c r="X563" s="5" t="s">
        <v>72</v>
      </c>
      <c r="Y563" s="4">
        <v>902</v>
      </c>
      <c r="Z563" s="4">
        <v>28</v>
      </c>
      <c r="AA563" s="4">
        <v>40</v>
      </c>
      <c r="AB563" s="4">
        <v>3</v>
      </c>
      <c r="AC563" s="4">
        <v>7</v>
      </c>
      <c r="AD563" s="4">
        <v>120</v>
      </c>
      <c r="AE563" s="4">
        <v>133</v>
      </c>
      <c r="AF563" s="4">
        <v>1</v>
      </c>
      <c r="AG563" s="4">
        <v>4</v>
      </c>
      <c r="AH563" s="4">
        <v>106</v>
      </c>
      <c r="AI563" s="4">
        <v>112</v>
      </c>
      <c r="AJ563" s="4">
        <v>11</v>
      </c>
      <c r="AK563" s="4">
        <v>20</v>
      </c>
      <c r="AL563" s="4">
        <v>58</v>
      </c>
      <c r="AM563" s="4">
        <v>60</v>
      </c>
      <c r="AN563" s="4">
        <v>0</v>
      </c>
      <c r="AO563" s="4">
        <v>0</v>
      </c>
      <c r="AP563" s="4">
        <v>16</v>
      </c>
      <c r="AQ563" s="4">
        <v>24</v>
      </c>
      <c r="AR563" s="3" t="s">
        <v>64</v>
      </c>
      <c r="AS563" s="3" t="s">
        <v>64</v>
      </c>
      <c r="AT563" s="3" t="s">
        <v>128</v>
      </c>
      <c r="AU563" s="6" t="str">
        <f>HYPERLINK("http://catalog.hathitrust.org/Record/000752092","HathiTrust Record")</f>
        <v>HathiTrust Record</v>
      </c>
      <c r="AV563" s="6" t="str">
        <f>HYPERLINK("http://mcgill.on.worldcat.org/oclc/3419368","Catalog Record")</f>
        <v>Catalog Record</v>
      </c>
      <c r="AW563" s="6" t="str">
        <f>HYPERLINK("http://www.worldcat.org/oclc/3419368","WorldCat Record")</f>
        <v>WorldCat Record</v>
      </c>
      <c r="AX563" s="3" t="s">
        <v>5419</v>
      </c>
      <c r="AY563" s="3" t="s">
        <v>5420</v>
      </c>
      <c r="AZ563" s="3" t="s">
        <v>5421</v>
      </c>
      <c r="BA563" s="3" t="s">
        <v>5421</v>
      </c>
      <c r="BB563" s="3" t="s">
        <v>5422</v>
      </c>
      <c r="BC563" s="3" t="s">
        <v>77</v>
      </c>
      <c r="BD563" s="3" t="s">
        <v>78</v>
      </c>
      <c r="BE563" s="3" t="s">
        <v>5423</v>
      </c>
      <c r="BF563" s="3" t="s">
        <v>5422</v>
      </c>
      <c r="BG563" s="3" t="s">
        <v>5424</v>
      </c>
      <c r="BH563">
        <f t="shared" si="18"/>
        <v>0</v>
      </c>
    </row>
    <row r="564" spans="1:60" ht="58" x14ac:dyDescent="0.35">
      <c r="A564" s="2" t="s">
        <v>59</v>
      </c>
      <c r="B564" s="2" t="s">
        <v>60</v>
      </c>
      <c r="C564" s="2" t="s">
        <v>5425</v>
      </c>
      <c r="D564" s="2" t="s">
        <v>5426</v>
      </c>
      <c r="E564" s="2" t="s">
        <v>5427</v>
      </c>
      <c r="G564" s="3" t="s">
        <v>64</v>
      </c>
      <c r="I564" s="3" t="s">
        <v>64</v>
      </c>
      <c r="J564" s="3" t="s">
        <v>64</v>
      </c>
      <c r="K564" s="3" t="s">
        <v>65</v>
      </c>
      <c r="L564" s="2" t="s">
        <v>5428</v>
      </c>
      <c r="M564" s="2" t="s">
        <v>5429</v>
      </c>
      <c r="N564" s="3" t="s">
        <v>266</v>
      </c>
      <c r="P564" s="3" t="s">
        <v>102</v>
      </c>
      <c r="R564" s="3" t="s">
        <v>70</v>
      </c>
      <c r="S564" s="4">
        <v>4</v>
      </c>
      <c r="T564" s="4">
        <v>4</v>
      </c>
      <c r="U564" s="5" t="s">
        <v>911</v>
      </c>
      <c r="V564" s="5" t="s">
        <v>911</v>
      </c>
      <c r="W564" s="5" t="s">
        <v>72</v>
      </c>
      <c r="X564" s="5" t="s">
        <v>72</v>
      </c>
      <c r="Y564" s="4">
        <v>546</v>
      </c>
      <c r="Z564" s="4">
        <v>29</v>
      </c>
      <c r="AA564" s="4">
        <v>31</v>
      </c>
      <c r="AB564" s="4">
        <v>2</v>
      </c>
      <c r="AC564" s="4">
        <v>4</v>
      </c>
      <c r="AD564" s="4">
        <v>119</v>
      </c>
      <c r="AE564" s="4">
        <v>121</v>
      </c>
      <c r="AF564" s="4">
        <v>1</v>
      </c>
      <c r="AG564" s="4">
        <v>3</v>
      </c>
      <c r="AH564" s="4">
        <v>102</v>
      </c>
      <c r="AI564" s="4">
        <v>103</v>
      </c>
      <c r="AJ564" s="4">
        <v>18</v>
      </c>
      <c r="AK564" s="4">
        <v>20</v>
      </c>
      <c r="AL564" s="4">
        <v>57</v>
      </c>
      <c r="AM564" s="4">
        <v>57</v>
      </c>
      <c r="AN564" s="4">
        <v>0</v>
      </c>
      <c r="AO564" s="4">
        <v>0</v>
      </c>
      <c r="AP564" s="4">
        <v>21</v>
      </c>
      <c r="AQ564" s="4">
        <v>23</v>
      </c>
      <c r="AR564" s="3" t="s">
        <v>64</v>
      </c>
      <c r="AS564" s="3" t="s">
        <v>64</v>
      </c>
      <c r="AT564" s="3" t="s">
        <v>64</v>
      </c>
      <c r="AV564" s="6" t="str">
        <f>HYPERLINK("http://mcgill.on.worldcat.org/oclc/574433","Catalog Record")</f>
        <v>Catalog Record</v>
      </c>
      <c r="AW564" s="6" t="str">
        <f>HYPERLINK("http://www.worldcat.org/oclc/574433","WorldCat Record")</f>
        <v>WorldCat Record</v>
      </c>
      <c r="AX564" s="3" t="s">
        <v>5430</v>
      </c>
      <c r="AY564" s="3" t="s">
        <v>5431</v>
      </c>
      <c r="AZ564" s="3" t="s">
        <v>5432</v>
      </c>
      <c r="BA564" s="3" t="s">
        <v>5432</v>
      </c>
      <c r="BB564" s="3" t="s">
        <v>5433</v>
      </c>
      <c r="BC564" s="3" t="s">
        <v>77</v>
      </c>
      <c r="BD564" s="3" t="s">
        <v>78</v>
      </c>
      <c r="BF564" s="3" t="s">
        <v>5433</v>
      </c>
      <c r="BG564" s="3" t="s">
        <v>5434</v>
      </c>
      <c r="BH564">
        <f t="shared" si="18"/>
        <v>0</v>
      </c>
    </row>
    <row r="565" spans="1:60" ht="72.5" x14ac:dyDescent="0.35">
      <c r="A565" s="2" t="s">
        <v>59</v>
      </c>
      <c r="B565" s="2" t="s">
        <v>60</v>
      </c>
      <c r="C565" s="2" t="s">
        <v>5435</v>
      </c>
      <c r="D565" s="2" t="s">
        <v>5436</v>
      </c>
      <c r="E565" s="2" t="s">
        <v>5437</v>
      </c>
      <c r="G565" s="3" t="s">
        <v>64</v>
      </c>
      <c r="I565" s="3" t="s">
        <v>64</v>
      </c>
      <c r="J565" s="3" t="s">
        <v>64</v>
      </c>
      <c r="K565" s="3" t="s">
        <v>65</v>
      </c>
      <c r="L565" s="2" t="s">
        <v>5438</v>
      </c>
      <c r="M565" s="2" t="s">
        <v>5439</v>
      </c>
      <c r="N565" s="3" t="s">
        <v>5440</v>
      </c>
      <c r="P565" s="3" t="s">
        <v>102</v>
      </c>
      <c r="Q565" s="2" t="s">
        <v>5441</v>
      </c>
      <c r="R565" s="3" t="s">
        <v>70</v>
      </c>
      <c r="S565" s="4">
        <v>2</v>
      </c>
      <c r="T565" s="4">
        <v>2</v>
      </c>
      <c r="U565" s="5" t="s">
        <v>5442</v>
      </c>
      <c r="V565" s="5" t="s">
        <v>5442</v>
      </c>
      <c r="W565" s="5" t="s">
        <v>72</v>
      </c>
      <c r="X565" s="5" t="s">
        <v>72</v>
      </c>
      <c r="Y565" s="4">
        <v>331</v>
      </c>
      <c r="Z565" s="4">
        <v>10</v>
      </c>
      <c r="AA565" s="4">
        <v>30</v>
      </c>
      <c r="AB565" s="4">
        <v>2</v>
      </c>
      <c r="AC565" s="4">
        <v>5</v>
      </c>
      <c r="AD565" s="4">
        <v>90</v>
      </c>
      <c r="AE565" s="4">
        <v>115</v>
      </c>
      <c r="AF565" s="4">
        <v>0</v>
      </c>
      <c r="AG565" s="4">
        <v>1</v>
      </c>
      <c r="AH565" s="4">
        <v>84</v>
      </c>
      <c r="AI565" s="4">
        <v>101</v>
      </c>
      <c r="AJ565" s="4">
        <v>7</v>
      </c>
      <c r="AK565" s="4">
        <v>19</v>
      </c>
      <c r="AL565" s="4">
        <v>49</v>
      </c>
      <c r="AM565" s="4">
        <v>55</v>
      </c>
      <c r="AN565" s="4">
        <v>0</v>
      </c>
      <c r="AO565" s="4">
        <v>0</v>
      </c>
      <c r="AP565" s="4">
        <v>6</v>
      </c>
      <c r="AQ565" s="4">
        <v>19</v>
      </c>
      <c r="AR565" s="3" t="s">
        <v>64</v>
      </c>
      <c r="AS565" s="3" t="s">
        <v>64</v>
      </c>
      <c r="AT565" s="3" t="s">
        <v>128</v>
      </c>
      <c r="AU565" s="6" t="str">
        <f>HYPERLINK("http://catalog.hathitrust.org/Record/001160182","HathiTrust Record")</f>
        <v>HathiTrust Record</v>
      </c>
      <c r="AV565" s="6" t="str">
        <f>HYPERLINK("http://mcgill.on.worldcat.org/oclc/1247628","Catalog Record")</f>
        <v>Catalog Record</v>
      </c>
      <c r="AW565" s="6" t="str">
        <f>HYPERLINK("http://www.worldcat.org/oclc/1247628","WorldCat Record")</f>
        <v>WorldCat Record</v>
      </c>
      <c r="AX565" s="3" t="s">
        <v>5443</v>
      </c>
      <c r="AY565" s="3" t="s">
        <v>5444</v>
      </c>
      <c r="AZ565" s="3" t="s">
        <v>5445</v>
      </c>
      <c r="BA565" s="3" t="s">
        <v>5445</v>
      </c>
      <c r="BB565" s="3" t="s">
        <v>5446</v>
      </c>
      <c r="BC565" s="3" t="s">
        <v>77</v>
      </c>
      <c r="BD565" s="3" t="s">
        <v>78</v>
      </c>
      <c r="BE565" s="3" t="s">
        <v>5447</v>
      </c>
      <c r="BF565" s="3" t="s">
        <v>5446</v>
      </c>
      <c r="BG565" s="3" t="s">
        <v>5448</v>
      </c>
      <c r="BH565">
        <f t="shared" si="18"/>
        <v>0</v>
      </c>
    </row>
    <row r="566" spans="1:60" ht="58" x14ac:dyDescent="0.35">
      <c r="A566" s="2" t="s">
        <v>59</v>
      </c>
      <c r="B566" s="2" t="s">
        <v>60</v>
      </c>
      <c r="C566" s="2" t="s">
        <v>5449</v>
      </c>
      <c r="D566" s="2" t="s">
        <v>5450</v>
      </c>
      <c r="E566" s="2" t="s">
        <v>5451</v>
      </c>
      <c r="G566" s="3" t="s">
        <v>64</v>
      </c>
      <c r="I566" s="3" t="s">
        <v>64</v>
      </c>
      <c r="J566" s="3" t="s">
        <v>64</v>
      </c>
      <c r="K566" s="3" t="s">
        <v>65</v>
      </c>
      <c r="L566" s="2" t="s">
        <v>5452</v>
      </c>
      <c r="M566" s="2" t="s">
        <v>5453</v>
      </c>
      <c r="N566" s="3" t="s">
        <v>1061</v>
      </c>
      <c r="P566" s="3" t="s">
        <v>102</v>
      </c>
      <c r="Q566" s="2" t="s">
        <v>5454</v>
      </c>
      <c r="R566" s="3" t="s">
        <v>70</v>
      </c>
      <c r="S566" s="4">
        <v>3</v>
      </c>
      <c r="T566" s="4">
        <v>3</v>
      </c>
      <c r="U566" s="5" t="s">
        <v>5418</v>
      </c>
      <c r="V566" s="5" t="s">
        <v>5418</v>
      </c>
      <c r="W566" s="5" t="s">
        <v>72</v>
      </c>
      <c r="X566" s="5" t="s">
        <v>72</v>
      </c>
      <c r="Y566" s="4">
        <v>172</v>
      </c>
      <c r="Z566" s="4">
        <v>5</v>
      </c>
      <c r="AA566" s="4">
        <v>5</v>
      </c>
      <c r="AB566" s="4">
        <v>2</v>
      </c>
      <c r="AC566" s="4">
        <v>2</v>
      </c>
      <c r="AD566" s="4">
        <v>63</v>
      </c>
      <c r="AE566" s="4">
        <v>63</v>
      </c>
      <c r="AF566" s="4">
        <v>1</v>
      </c>
      <c r="AG566" s="4">
        <v>1</v>
      </c>
      <c r="AH566" s="4">
        <v>57</v>
      </c>
      <c r="AI566" s="4">
        <v>57</v>
      </c>
      <c r="AJ566" s="4">
        <v>3</v>
      </c>
      <c r="AK566" s="4">
        <v>3</v>
      </c>
      <c r="AL566" s="4">
        <v>38</v>
      </c>
      <c r="AM566" s="4">
        <v>38</v>
      </c>
      <c r="AN566" s="4">
        <v>0</v>
      </c>
      <c r="AO566" s="4">
        <v>0</v>
      </c>
      <c r="AP566" s="4">
        <v>2</v>
      </c>
      <c r="AQ566" s="4">
        <v>2</v>
      </c>
      <c r="AR566" s="3" t="s">
        <v>64</v>
      </c>
      <c r="AS566" s="3" t="s">
        <v>128</v>
      </c>
      <c r="AT566" s="3" t="s">
        <v>64</v>
      </c>
      <c r="AU566" s="6" t="str">
        <f>HYPERLINK("http://catalog.hathitrust.org/Record/000830248","HathiTrust Record")</f>
        <v>HathiTrust Record</v>
      </c>
      <c r="AV566" s="6" t="str">
        <f>HYPERLINK("http://mcgill.on.worldcat.org/oclc/11043773","Catalog Record")</f>
        <v>Catalog Record</v>
      </c>
      <c r="AW566" s="6" t="str">
        <f>HYPERLINK("http://www.worldcat.org/oclc/11043773","WorldCat Record")</f>
        <v>WorldCat Record</v>
      </c>
      <c r="AX566" s="3" t="s">
        <v>5455</v>
      </c>
      <c r="AY566" s="3" t="s">
        <v>5456</v>
      </c>
      <c r="AZ566" s="3" t="s">
        <v>5457</v>
      </c>
      <c r="BA566" s="3" t="s">
        <v>5457</v>
      </c>
      <c r="BB566" s="3" t="s">
        <v>5458</v>
      </c>
      <c r="BC566" s="3" t="s">
        <v>77</v>
      </c>
      <c r="BD566" s="3" t="s">
        <v>78</v>
      </c>
      <c r="BE566" s="3" t="s">
        <v>5459</v>
      </c>
      <c r="BF566" s="3" t="s">
        <v>5458</v>
      </c>
      <c r="BG566" s="3" t="s">
        <v>5460</v>
      </c>
      <c r="BH566">
        <f t="shared" si="18"/>
        <v>0</v>
      </c>
    </row>
    <row r="567" spans="1:60" ht="58" x14ac:dyDescent="0.35">
      <c r="A567" s="2" t="s">
        <v>59</v>
      </c>
      <c r="B567" s="2" t="s">
        <v>60</v>
      </c>
      <c r="C567" s="2" t="s">
        <v>5461</v>
      </c>
      <c r="D567" s="2" t="s">
        <v>5462</v>
      </c>
      <c r="E567" s="2" t="s">
        <v>5463</v>
      </c>
      <c r="G567" s="3" t="s">
        <v>64</v>
      </c>
      <c r="I567" s="3" t="s">
        <v>64</v>
      </c>
      <c r="J567" s="3" t="s">
        <v>64</v>
      </c>
      <c r="K567" s="3" t="s">
        <v>65</v>
      </c>
      <c r="N567" s="3" t="s">
        <v>5050</v>
      </c>
      <c r="P567" s="3" t="s">
        <v>1479</v>
      </c>
      <c r="R567" s="3" t="s">
        <v>70</v>
      </c>
      <c r="S567" s="4">
        <v>1</v>
      </c>
      <c r="T567" s="4">
        <v>1</v>
      </c>
      <c r="U567" s="5" t="s">
        <v>4936</v>
      </c>
      <c r="V567" s="5" t="s">
        <v>4936</v>
      </c>
      <c r="W567" s="5" t="s">
        <v>72</v>
      </c>
      <c r="X567" s="5" t="s">
        <v>72</v>
      </c>
      <c r="Y567" s="4">
        <v>22</v>
      </c>
      <c r="Z567" s="4">
        <v>1</v>
      </c>
      <c r="AA567" s="4">
        <v>1</v>
      </c>
      <c r="AB567" s="4">
        <v>1</v>
      </c>
      <c r="AC567" s="4">
        <v>1</v>
      </c>
      <c r="AD567" s="4">
        <v>14</v>
      </c>
      <c r="AE567" s="4">
        <v>15</v>
      </c>
      <c r="AF567" s="4">
        <v>0</v>
      </c>
      <c r="AG567" s="4">
        <v>0</v>
      </c>
      <c r="AH567" s="4">
        <v>14</v>
      </c>
      <c r="AI567" s="4">
        <v>15</v>
      </c>
      <c r="AJ567" s="4">
        <v>0</v>
      </c>
      <c r="AK567" s="4">
        <v>0</v>
      </c>
      <c r="AL567" s="4">
        <v>11</v>
      </c>
      <c r="AM567" s="4">
        <v>12</v>
      </c>
      <c r="AN567" s="4">
        <v>0</v>
      </c>
      <c r="AO567" s="4">
        <v>0</v>
      </c>
      <c r="AP567" s="4">
        <v>0</v>
      </c>
      <c r="AQ567" s="4">
        <v>0</v>
      </c>
      <c r="AR567" s="3" t="s">
        <v>64</v>
      </c>
      <c r="AS567" s="3" t="s">
        <v>64</v>
      </c>
      <c r="AT567" s="3" t="s">
        <v>64</v>
      </c>
      <c r="AV567" s="6" t="str">
        <f>HYPERLINK("http://mcgill.on.worldcat.org/oclc/2490065","Catalog Record")</f>
        <v>Catalog Record</v>
      </c>
      <c r="AW567" s="6" t="str">
        <f>HYPERLINK("http://www.worldcat.org/oclc/2490065","WorldCat Record")</f>
        <v>WorldCat Record</v>
      </c>
      <c r="AX567" s="3" t="s">
        <v>5464</v>
      </c>
      <c r="AY567" s="3" t="s">
        <v>5465</v>
      </c>
      <c r="AZ567" s="3" t="s">
        <v>5466</v>
      </c>
      <c r="BA567" s="3" t="s">
        <v>5466</v>
      </c>
      <c r="BB567" s="3" t="s">
        <v>5467</v>
      </c>
      <c r="BC567" s="3" t="s">
        <v>77</v>
      </c>
      <c r="BD567" s="3" t="s">
        <v>78</v>
      </c>
      <c r="BF567" s="3" t="s">
        <v>5467</v>
      </c>
      <c r="BG567" s="3" t="s">
        <v>5468</v>
      </c>
      <c r="BH567">
        <f t="shared" si="18"/>
        <v>0</v>
      </c>
    </row>
    <row r="568" spans="1:60" ht="58" x14ac:dyDescent="0.35">
      <c r="A568" s="2" t="s">
        <v>59</v>
      </c>
      <c r="B568" s="2" t="s">
        <v>60</v>
      </c>
      <c r="C568" s="2" t="s">
        <v>5469</v>
      </c>
      <c r="D568" s="2" t="s">
        <v>5470</v>
      </c>
      <c r="E568" s="2" t="s">
        <v>5471</v>
      </c>
      <c r="G568" s="3" t="s">
        <v>64</v>
      </c>
      <c r="I568" s="3" t="s">
        <v>64</v>
      </c>
      <c r="J568" s="3" t="s">
        <v>64</v>
      </c>
      <c r="K568" s="3" t="s">
        <v>65</v>
      </c>
      <c r="L568" s="2" t="s">
        <v>5472</v>
      </c>
      <c r="M568" s="2" t="s">
        <v>5473</v>
      </c>
      <c r="N568" s="3" t="s">
        <v>1938</v>
      </c>
      <c r="O568" s="2" t="s">
        <v>4790</v>
      </c>
      <c r="P568" s="3" t="s">
        <v>1479</v>
      </c>
      <c r="R568" s="3" t="s">
        <v>70</v>
      </c>
      <c r="S568" s="4">
        <v>1</v>
      </c>
      <c r="T568" s="4">
        <v>1</v>
      </c>
      <c r="U568" s="5" t="s">
        <v>4936</v>
      </c>
      <c r="V568" s="5" t="s">
        <v>4936</v>
      </c>
      <c r="W568" s="5" t="s">
        <v>72</v>
      </c>
      <c r="X568" s="5" t="s">
        <v>72</v>
      </c>
      <c r="Y568" s="4">
        <v>28</v>
      </c>
      <c r="Z568" s="4">
        <v>2</v>
      </c>
      <c r="AA568" s="4">
        <v>2</v>
      </c>
      <c r="AB568" s="4">
        <v>1</v>
      </c>
      <c r="AC568" s="4">
        <v>1</v>
      </c>
      <c r="AD568" s="4">
        <v>16</v>
      </c>
      <c r="AE568" s="4">
        <v>16</v>
      </c>
      <c r="AF568" s="4">
        <v>0</v>
      </c>
      <c r="AG568" s="4">
        <v>0</v>
      </c>
      <c r="AH568" s="4">
        <v>16</v>
      </c>
      <c r="AI568" s="4">
        <v>16</v>
      </c>
      <c r="AJ568" s="4">
        <v>1</v>
      </c>
      <c r="AK568" s="4">
        <v>1</v>
      </c>
      <c r="AL568" s="4">
        <v>8</v>
      </c>
      <c r="AM568" s="4">
        <v>8</v>
      </c>
      <c r="AN568" s="4">
        <v>0</v>
      </c>
      <c r="AO568" s="4">
        <v>0</v>
      </c>
      <c r="AP568" s="4">
        <v>1</v>
      </c>
      <c r="AQ568" s="4">
        <v>1</v>
      </c>
      <c r="AR568" s="3" t="s">
        <v>64</v>
      </c>
      <c r="AS568" s="3" t="s">
        <v>64</v>
      </c>
      <c r="AT568" s="3" t="s">
        <v>128</v>
      </c>
      <c r="AU568" s="6" t="str">
        <f>HYPERLINK("http://catalog.hathitrust.org/Record/102444585","HathiTrust Record")</f>
        <v>HathiTrust Record</v>
      </c>
      <c r="AV568" s="6" t="str">
        <f>HYPERLINK("http://mcgill.on.worldcat.org/oclc/32134087","Catalog Record")</f>
        <v>Catalog Record</v>
      </c>
      <c r="AW568" s="6" t="str">
        <f>HYPERLINK("http://www.worldcat.org/oclc/32134087","WorldCat Record")</f>
        <v>WorldCat Record</v>
      </c>
      <c r="AX568" s="3" t="s">
        <v>5474</v>
      </c>
      <c r="AY568" s="3" t="s">
        <v>5475</v>
      </c>
      <c r="AZ568" s="3" t="s">
        <v>5476</v>
      </c>
      <c r="BA568" s="3" t="s">
        <v>5476</v>
      </c>
      <c r="BB568" s="3" t="s">
        <v>5477</v>
      </c>
      <c r="BC568" s="3" t="s">
        <v>77</v>
      </c>
      <c r="BD568" s="3" t="s">
        <v>78</v>
      </c>
      <c r="BE568" s="3" t="s">
        <v>5478</v>
      </c>
      <c r="BF568" s="3" t="s">
        <v>5477</v>
      </c>
      <c r="BG568" s="3" t="s">
        <v>5479</v>
      </c>
      <c r="BH568">
        <f t="shared" si="18"/>
        <v>0</v>
      </c>
    </row>
    <row r="569" spans="1:60" ht="58" x14ac:dyDescent="0.35">
      <c r="A569" s="2" t="s">
        <v>59</v>
      </c>
      <c r="B569" s="2" t="s">
        <v>60</v>
      </c>
      <c r="C569" s="2" t="s">
        <v>5480</v>
      </c>
      <c r="D569" s="2" t="s">
        <v>5481</v>
      </c>
      <c r="E569" s="2" t="s">
        <v>5482</v>
      </c>
      <c r="G569" s="3" t="s">
        <v>64</v>
      </c>
      <c r="I569" s="3" t="s">
        <v>64</v>
      </c>
      <c r="J569" s="3" t="s">
        <v>64</v>
      </c>
      <c r="K569" s="3" t="s">
        <v>65</v>
      </c>
      <c r="L569" s="2" t="s">
        <v>5483</v>
      </c>
      <c r="M569" s="2" t="s">
        <v>5484</v>
      </c>
      <c r="N569" s="3" t="s">
        <v>131</v>
      </c>
      <c r="P569" s="3" t="s">
        <v>102</v>
      </c>
      <c r="R569" s="3" t="s">
        <v>70</v>
      </c>
      <c r="S569" s="4">
        <v>5</v>
      </c>
      <c r="T569" s="4">
        <v>5</v>
      </c>
      <c r="U569" s="5" t="s">
        <v>4936</v>
      </c>
      <c r="V569" s="5" t="s">
        <v>4936</v>
      </c>
      <c r="W569" s="5" t="s">
        <v>72</v>
      </c>
      <c r="X569" s="5" t="s">
        <v>72</v>
      </c>
      <c r="Y569" s="4">
        <v>299</v>
      </c>
      <c r="Z569" s="4">
        <v>15</v>
      </c>
      <c r="AA569" s="4">
        <v>17</v>
      </c>
      <c r="AB569" s="4">
        <v>2</v>
      </c>
      <c r="AC569" s="4">
        <v>4</v>
      </c>
      <c r="AD569" s="4">
        <v>88</v>
      </c>
      <c r="AE569" s="4">
        <v>90</v>
      </c>
      <c r="AF569" s="4">
        <v>1</v>
      </c>
      <c r="AG569" s="4">
        <v>2</v>
      </c>
      <c r="AH569" s="4">
        <v>78</v>
      </c>
      <c r="AI569" s="4">
        <v>79</v>
      </c>
      <c r="AJ569" s="4">
        <v>12</v>
      </c>
      <c r="AK569" s="4">
        <v>13</v>
      </c>
      <c r="AL569" s="4">
        <v>47</v>
      </c>
      <c r="AM569" s="4">
        <v>47</v>
      </c>
      <c r="AN569" s="4">
        <v>0</v>
      </c>
      <c r="AO569" s="4">
        <v>0</v>
      </c>
      <c r="AP569" s="4">
        <v>11</v>
      </c>
      <c r="AQ569" s="4">
        <v>11</v>
      </c>
      <c r="AR569" s="3" t="s">
        <v>64</v>
      </c>
      <c r="AS569" s="3" t="s">
        <v>128</v>
      </c>
      <c r="AT569" s="3" t="s">
        <v>128</v>
      </c>
      <c r="AU569" s="6" t="str">
        <f>HYPERLINK("http://catalog.hathitrust.org/Record/001160246","HathiTrust Record")</f>
        <v>HathiTrust Record</v>
      </c>
      <c r="AV569" s="6" t="str">
        <f>HYPERLINK("http://mcgill.on.worldcat.org/oclc/1247649","Catalog Record")</f>
        <v>Catalog Record</v>
      </c>
      <c r="AW569" s="6" t="str">
        <f>HYPERLINK("http://www.worldcat.org/oclc/1247649","WorldCat Record")</f>
        <v>WorldCat Record</v>
      </c>
      <c r="AX569" s="3" t="s">
        <v>5485</v>
      </c>
      <c r="AY569" s="3" t="s">
        <v>5486</v>
      </c>
      <c r="AZ569" s="3" t="s">
        <v>5487</v>
      </c>
      <c r="BA569" s="3" t="s">
        <v>5487</v>
      </c>
      <c r="BB569" s="3" t="s">
        <v>5488</v>
      </c>
      <c r="BC569" s="3" t="s">
        <v>77</v>
      </c>
      <c r="BD569" s="3" t="s">
        <v>78</v>
      </c>
      <c r="BF569" s="3" t="s">
        <v>5488</v>
      </c>
      <c r="BG569" s="3" t="s">
        <v>5489</v>
      </c>
      <c r="BH569">
        <f t="shared" si="18"/>
        <v>0</v>
      </c>
    </row>
    <row r="570" spans="1:60" ht="58" x14ac:dyDescent="0.35">
      <c r="A570" s="2" t="s">
        <v>59</v>
      </c>
      <c r="B570" s="2" t="s">
        <v>60</v>
      </c>
      <c r="C570" s="2" t="s">
        <v>5490</v>
      </c>
      <c r="D570" s="2" t="s">
        <v>5491</v>
      </c>
      <c r="E570" s="2" t="s">
        <v>5492</v>
      </c>
      <c r="G570" s="3" t="s">
        <v>64</v>
      </c>
      <c r="I570" s="3" t="s">
        <v>64</v>
      </c>
      <c r="J570" s="3" t="s">
        <v>64</v>
      </c>
      <c r="K570" s="3" t="s">
        <v>65</v>
      </c>
      <c r="L570" s="2" t="s">
        <v>5493</v>
      </c>
      <c r="M570" s="2" t="s">
        <v>5494</v>
      </c>
      <c r="N570" s="3" t="s">
        <v>364</v>
      </c>
      <c r="P570" s="3" t="s">
        <v>1479</v>
      </c>
      <c r="Q570" s="2" t="s">
        <v>5495</v>
      </c>
      <c r="R570" s="3" t="s">
        <v>70</v>
      </c>
      <c r="S570" s="4">
        <v>9</v>
      </c>
      <c r="T570" s="4">
        <v>9</v>
      </c>
      <c r="U570" s="5" t="s">
        <v>4936</v>
      </c>
      <c r="V570" s="5" t="s">
        <v>4936</v>
      </c>
      <c r="W570" s="5" t="s">
        <v>72</v>
      </c>
      <c r="X570" s="5" t="s">
        <v>72</v>
      </c>
      <c r="Y570" s="4">
        <v>57</v>
      </c>
      <c r="Z570" s="4">
        <v>2</v>
      </c>
      <c r="AA570" s="4">
        <v>5</v>
      </c>
      <c r="AB570" s="4">
        <v>1</v>
      </c>
      <c r="AC570" s="4">
        <v>1</v>
      </c>
      <c r="AD570" s="4">
        <v>23</v>
      </c>
      <c r="AE570" s="4">
        <v>24</v>
      </c>
      <c r="AF570" s="4">
        <v>0</v>
      </c>
      <c r="AG570" s="4">
        <v>0</v>
      </c>
      <c r="AH570" s="4">
        <v>20</v>
      </c>
      <c r="AI570" s="4">
        <v>21</v>
      </c>
      <c r="AJ570" s="4">
        <v>1</v>
      </c>
      <c r="AK570" s="4">
        <v>2</v>
      </c>
      <c r="AL570" s="4">
        <v>16</v>
      </c>
      <c r="AM570" s="4">
        <v>17</v>
      </c>
      <c r="AN570" s="4">
        <v>0</v>
      </c>
      <c r="AO570" s="4">
        <v>0</v>
      </c>
      <c r="AP570" s="4">
        <v>1</v>
      </c>
      <c r="AQ570" s="4">
        <v>2</v>
      </c>
      <c r="AR570" s="3" t="s">
        <v>64</v>
      </c>
      <c r="AS570" s="3" t="s">
        <v>64</v>
      </c>
      <c r="AT570" s="3" t="s">
        <v>128</v>
      </c>
      <c r="AU570" s="6" t="str">
        <f>HYPERLINK("http://catalog.hathitrust.org/Record/101410792","HathiTrust Record")</f>
        <v>HathiTrust Record</v>
      </c>
      <c r="AV570" s="6" t="str">
        <f>HYPERLINK("http://mcgill.on.worldcat.org/oclc/579263","Catalog Record")</f>
        <v>Catalog Record</v>
      </c>
      <c r="AW570" s="6" t="str">
        <f>HYPERLINK("http://www.worldcat.org/oclc/579263","WorldCat Record")</f>
        <v>WorldCat Record</v>
      </c>
      <c r="AX570" s="3" t="s">
        <v>5496</v>
      </c>
      <c r="AY570" s="3" t="s">
        <v>5497</v>
      </c>
      <c r="AZ570" s="3" t="s">
        <v>5498</v>
      </c>
      <c r="BA570" s="3" t="s">
        <v>5498</v>
      </c>
      <c r="BB570" s="3" t="s">
        <v>5499</v>
      </c>
      <c r="BC570" s="3" t="s">
        <v>77</v>
      </c>
      <c r="BD570" s="3" t="s">
        <v>78</v>
      </c>
      <c r="BE570" s="3" t="s">
        <v>5500</v>
      </c>
      <c r="BF570" s="3" t="s">
        <v>5499</v>
      </c>
      <c r="BG570" s="3" t="s">
        <v>5501</v>
      </c>
      <c r="BH570">
        <f t="shared" si="18"/>
        <v>0</v>
      </c>
    </row>
    <row r="571" spans="1:60" ht="58" x14ac:dyDescent="0.35">
      <c r="A571" s="2" t="s">
        <v>59</v>
      </c>
      <c r="B571" s="2" t="s">
        <v>60</v>
      </c>
      <c r="C571" s="2" t="s">
        <v>5502</v>
      </c>
      <c r="D571" s="2" t="s">
        <v>5503</v>
      </c>
      <c r="E571" s="2" t="s">
        <v>5504</v>
      </c>
      <c r="G571" s="3" t="s">
        <v>64</v>
      </c>
      <c r="I571" s="3" t="s">
        <v>64</v>
      </c>
      <c r="J571" s="3" t="s">
        <v>64</v>
      </c>
      <c r="K571" s="3" t="s">
        <v>65</v>
      </c>
      <c r="L571" s="2" t="s">
        <v>5505</v>
      </c>
      <c r="M571" s="2" t="s">
        <v>1491</v>
      </c>
      <c r="N571" s="3" t="s">
        <v>1492</v>
      </c>
      <c r="P571" s="3" t="s">
        <v>1479</v>
      </c>
      <c r="Q571" s="2" t="s">
        <v>5506</v>
      </c>
      <c r="R571" s="3" t="s">
        <v>70</v>
      </c>
      <c r="S571" s="4">
        <v>0</v>
      </c>
      <c r="T571" s="4">
        <v>0</v>
      </c>
      <c r="W571" s="5" t="s">
        <v>5507</v>
      </c>
      <c r="X571" s="5" t="s">
        <v>5507</v>
      </c>
      <c r="Y571" s="4">
        <v>21</v>
      </c>
      <c r="Z571" s="4">
        <v>1</v>
      </c>
      <c r="AA571" s="4">
        <v>3</v>
      </c>
      <c r="AB571" s="4">
        <v>1</v>
      </c>
      <c r="AC571" s="4">
        <v>2</v>
      </c>
      <c r="AD571" s="4">
        <v>18</v>
      </c>
      <c r="AE571" s="4">
        <v>19</v>
      </c>
      <c r="AF571" s="4">
        <v>0</v>
      </c>
      <c r="AG571" s="4">
        <v>0</v>
      </c>
      <c r="AH571" s="4">
        <v>17</v>
      </c>
      <c r="AI571" s="4">
        <v>18</v>
      </c>
      <c r="AJ571" s="4">
        <v>0</v>
      </c>
      <c r="AK571" s="4">
        <v>1</v>
      </c>
      <c r="AL571" s="4">
        <v>16</v>
      </c>
      <c r="AM571" s="4">
        <v>16</v>
      </c>
      <c r="AN571" s="4">
        <v>0</v>
      </c>
      <c r="AO571" s="4">
        <v>0</v>
      </c>
      <c r="AP571" s="4">
        <v>0</v>
      </c>
      <c r="AQ571" s="4">
        <v>1</v>
      </c>
      <c r="AR571" s="3" t="s">
        <v>64</v>
      </c>
      <c r="AS571" s="3" t="s">
        <v>64</v>
      </c>
      <c r="AT571" s="3" t="s">
        <v>64</v>
      </c>
      <c r="AV571" s="6" t="str">
        <f>HYPERLINK("http://mcgill.on.worldcat.org/oclc/1128035113","Catalog Record")</f>
        <v>Catalog Record</v>
      </c>
      <c r="AW571" s="6" t="str">
        <f>HYPERLINK("http://www.worldcat.org/oclc/1128035113","WorldCat Record")</f>
        <v>WorldCat Record</v>
      </c>
      <c r="AX571" s="3" t="s">
        <v>5508</v>
      </c>
      <c r="AY571" s="3" t="s">
        <v>5509</v>
      </c>
      <c r="AZ571" s="3" t="s">
        <v>5510</v>
      </c>
      <c r="BA571" s="3" t="s">
        <v>5510</v>
      </c>
      <c r="BB571" s="3" t="s">
        <v>5511</v>
      </c>
      <c r="BC571" s="3" t="s">
        <v>77</v>
      </c>
      <c r="BD571" s="3" t="s">
        <v>78</v>
      </c>
      <c r="BE571" s="3" t="s">
        <v>5512</v>
      </c>
      <c r="BF571" s="3" t="s">
        <v>5511</v>
      </c>
      <c r="BG571" s="3" t="s">
        <v>5513</v>
      </c>
      <c r="BH571">
        <f t="shared" si="18"/>
        <v>0</v>
      </c>
    </row>
    <row r="572" spans="1:60" ht="58" x14ac:dyDescent="0.35">
      <c r="A572" s="2" t="s">
        <v>59</v>
      </c>
      <c r="B572" s="2" t="s">
        <v>60</v>
      </c>
      <c r="C572" s="2" t="s">
        <v>5514</v>
      </c>
      <c r="D572" s="2" t="s">
        <v>5515</v>
      </c>
      <c r="E572" s="2" t="s">
        <v>5516</v>
      </c>
      <c r="G572" s="3" t="s">
        <v>64</v>
      </c>
      <c r="I572" s="3" t="s">
        <v>64</v>
      </c>
      <c r="J572" s="3" t="s">
        <v>64</v>
      </c>
      <c r="K572" s="3" t="s">
        <v>65</v>
      </c>
      <c r="L572" s="2" t="s">
        <v>5517</v>
      </c>
      <c r="M572" s="2" t="s">
        <v>5518</v>
      </c>
      <c r="N572" s="3" t="s">
        <v>67</v>
      </c>
      <c r="P572" s="3" t="s">
        <v>102</v>
      </c>
      <c r="R572" s="3" t="s">
        <v>70</v>
      </c>
      <c r="S572" s="4">
        <v>1</v>
      </c>
      <c r="T572" s="4">
        <v>1</v>
      </c>
      <c r="U572" s="5" t="s">
        <v>5519</v>
      </c>
      <c r="V572" s="5" t="s">
        <v>5519</v>
      </c>
      <c r="W572" s="5" t="s">
        <v>72</v>
      </c>
      <c r="X572" s="5" t="s">
        <v>72</v>
      </c>
      <c r="Y572" s="4">
        <v>45</v>
      </c>
      <c r="Z572" s="4">
        <v>1</v>
      </c>
      <c r="AA572" s="4">
        <v>1</v>
      </c>
      <c r="AB572" s="4">
        <v>1</v>
      </c>
      <c r="AC572" s="4">
        <v>1</v>
      </c>
      <c r="AD572" s="4">
        <v>12</v>
      </c>
      <c r="AE572" s="4">
        <v>12</v>
      </c>
      <c r="AF572" s="4">
        <v>0</v>
      </c>
      <c r="AG572" s="4">
        <v>0</v>
      </c>
      <c r="AH572" s="4">
        <v>11</v>
      </c>
      <c r="AI572" s="4">
        <v>11</v>
      </c>
      <c r="AJ572" s="4">
        <v>0</v>
      </c>
      <c r="AK572" s="4">
        <v>0</v>
      </c>
      <c r="AL572" s="4">
        <v>10</v>
      </c>
      <c r="AM572" s="4">
        <v>10</v>
      </c>
      <c r="AN572" s="4">
        <v>0</v>
      </c>
      <c r="AO572" s="4">
        <v>0</v>
      </c>
      <c r="AP572" s="4">
        <v>0</v>
      </c>
      <c r="AQ572" s="4">
        <v>0</v>
      </c>
      <c r="AR572" s="3" t="s">
        <v>64</v>
      </c>
      <c r="AS572" s="3" t="s">
        <v>64</v>
      </c>
      <c r="AT572" s="3" t="s">
        <v>64</v>
      </c>
      <c r="AV572" s="6" t="str">
        <f>HYPERLINK("http://mcgill.on.worldcat.org/oclc/867549685","Catalog Record")</f>
        <v>Catalog Record</v>
      </c>
      <c r="AW572" s="6" t="str">
        <f>HYPERLINK("http://www.worldcat.org/oclc/867549685","WorldCat Record")</f>
        <v>WorldCat Record</v>
      </c>
      <c r="AX572" s="3" t="s">
        <v>5520</v>
      </c>
      <c r="AY572" s="3" t="s">
        <v>5521</v>
      </c>
      <c r="AZ572" s="3" t="s">
        <v>5522</v>
      </c>
      <c r="BA572" s="3" t="s">
        <v>5522</v>
      </c>
      <c r="BB572" s="3" t="s">
        <v>5523</v>
      </c>
      <c r="BC572" s="3" t="s">
        <v>77</v>
      </c>
      <c r="BD572" s="3" t="s">
        <v>78</v>
      </c>
      <c r="BE572" s="3" t="s">
        <v>5524</v>
      </c>
      <c r="BF572" s="3" t="s">
        <v>5523</v>
      </c>
      <c r="BG572" s="3" t="s">
        <v>5525</v>
      </c>
      <c r="BH572">
        <f t="shared" si="18"/>
        <v>0</v>
      </c>
    </row>
    <row r="573" spans="1:60" ht="58" x14ac:dyDescent="0.35">
      <c r="A573" s="2" t="s">
        <v>59</v>
      </c>
      <c r="B573" s="2" t="s">
        <v>60</v>
      </c>
      <c r="C573" s="2" t="s">
        <v>5526</v>
      </c>
      <c r="D573" s="2" t="s">
        <v>5527</v>
      </c>
      <c r="E573" s="2" t="s">
        <v>5528</v>
      </c>
      <c r="G573" s="3" t="s">
        <v>64</v>
      </c>
      <c r="I573" s="3" t="s">
        <v>64</v>
      </c>
      <c r="J573" s="3" t="s">
        <v>64</v>
      </c>
      <c r="K573" s="3" t="s">
        <v>65</v>
      </c>
      <c r="M573" s="2" t="s">
        <v>5529</v>
      </c>
      <c r="N573" s="3" t="s">
        <v>326</v>
      </c>
      <c r="P573" s="3" t="s">
        <v>102</v>
      </c>
      <c r="Q573" s="2" t="s">
        <v>5530</v>
      </c>
      <c r="R573" s="3" t="s">
        <v>70</v>
      </c>
      <c r="S573" s="4">
        <v>0</v>
      </c>
      <c r="T573" s="4">
        <v>0</v>
      </c>
      <c r="W573" s="5" t="s">
        <v>72</v>
      </c>
      <c r="X573" s="5" t="s">
        <v>72</v>
      </c>
      <c r="Y573" s="4">
        <v>164</v>
      </c>
      <c r="Z573" s="4">
        <v>10</v>
      </c>
      <c r="AA573" s="4">
        <v>28</v>
      </c>
      <c r="AB573" s="4">
        <v>1</v>
      </c>
      <c r="AC573" s="4">
        <v>5</v>
      </c>
      <c r="AD573" s="4">
        <v>67</v>
      </c>
      <c r="AE573" s="4">
        <v>98</v>
      </c>
      <c r="AF573" s="4">
        <v>0</v>
      </c>
      <c r="AG573" s="4">
        <v>1</v>
      </c>
      <c r="AH573" s="4">
        <v>64</v>
      </c>
      <c r="AI573" s="4">
        <v>86</v>
      </c>
      <c r="AJ573" s="4">
        <v>6</v>
      </c>
      <c r="AK573" s="4">
        <v>11</v>
      </c>
      <c r="AL573" s="4">
        <v>40</v>
      </c>
      <c r="AM573" s="4">
        <v>51</v>
      </c>
      <c r="AN573" s="4">
        <v>0</v>
      </c>
      <c r="AO573" s="4">
        <v>0</v>
      </c>
      <c r="AP573" s="4">
        <v>7</v>
      </c>
      <c r="AQ573" s="4">
        <v>17</v>
      </c>
      <c r="AR573" s="3" t="s">
        <v>64</v>
      </c>
      <c r="AS573" s="3" t="s">
        <v>64</v>
      </c>
      <c r="AT573" s="3" t="s">
        <v>64</v>
      </c>
      <c r="AV573" s="6" t="str">
        <f>HYPERLINK("http://mcgill.on.worldcat.org/oclc/710045161","Catalog Record")</f>
        <v>Catalog Record</v>
      </c>
      <c r="AW573" s="6" t="str">
        <f>HYPERLINK("http://www.worldcat.org/oclc/710045161","WorldCat Record")</f>
        <v>WorldCat Record</v>
      </c>
      <c r="AX573" s="3" t="s">
        <v>5531</v>
      </c>
      <c r="AY573" s="3" t="s">
        <v>5532</v>
      </c>
      <c r="AZ573" s="3" t="s">
        <v>5533</v>
      </c>
      <c r="BA573" s="3" t="s">
        <v>5533</v>
      </c>
      <c r="BB573" s="3" t="s">
        <v>5534</v>
      </c>
      <c r="BC573" s="3" t="s">
        <v>77</v>
      </c>
      <c r="BD573" s="3" t="s">
        <v>78</v>
      </c>
      <c r="BE573" s="3" t="s">
        <v>5535</v>
      </c>
      <c r="BF573" s="3" t="s">
        <v>5534</v>
      </c>
      <c r="BG573" s="3" t="s">
        <v>5536</v>
      </c>
      <c r="BH573">
        <f t="shared" si="18"/>
        <v>0</v>
      </c>
    </row>
    <row r="574" spans="1:60" ht="58" x14ac:dyDescent="0.35">
      <c r="A574" s="2" t="s">
        <v>59</v>
      </c>
      <c r="B574" s="2" t="s">
        <v>60</v>
      </c>
      <c r="C574" s="2" t="s">
        <v>5537</v>
      </c>
      <c r="D574" s="2" t="s">
        <v>5538</v>
      </c>
      <c r="E574" s="2" t="s">
        <v>5539</v>
      </c>
      <c r="G574" s="3" t="s">
        <v>64</v>
      </c>
      <c r="I574" s="3" t="s">
        <v>64</v>
      </c>
      <c r="J574" s="3" t="s">
        <v>64</v>
      </c>
      <c r="K574" s="3" t="s">
        <v>65</v>
      </c>
      <c r="L574" s="2" t="s">
        <v>5540</v>
      </c>
      <c r="M574" s="2" t="s">
        <v>4860</v>
      </c>
      <c r="N574" s="3" t="s">
        <v>1075</v>
      </c>
      <c r="P574" s="3" t="s">
        <v>102</v>
      </c>
      <c r="Q574" s="2" t="s">
        <v>5541</v>
      </c>
      <c r="R574" s="3" t="s">
        <v>70</v>
      </c>
      <c r="S574" s="4">
        <v>2</v>
      </c>
      <c r="T574" s="4">
        <v>2</v>
      </c>
      <c r="U574" s="5" t="s">
        <v>3033</v>
      </c>
      <c r="V574" s="5" t="s">
        <v>3033</v>
      </c>
      <c r="W574" s="5" t="s">
        <v>72</v>
      </c>
      <c r="X574" s="5" t="s">
        <v>72</v>
      </c>
      <c r="Y574" s="4">
        <v>63</v>
      </c>
      <c r="Z574" s="4">
        <v>3</v>
      </c>
      <c r="AA574" s="4">
        <v>77</v>
      </c>
      <c r="AB574" s="4">
        <v>1</v>
      </c>
      <c r="AC574" s="4">
        <v>14</v>
      </c>
      <c r="AD574" s="4">
        <v>25</v>
      </c>
      <c r="AE574" s="4">
        <v>107</v>
      </c>
      <c r="AF574" s="4">
        <v>0</v>
      </c>
      <c r="AG574" s="4">
        <v>8</v>
      </c>
      <c r="AH574" s="4">
        <v>24</v>
      </c>
      <c r="AI574" s="4">
        <v>74</v>
      </c>
      <c r="AJ574" s="4">
        <v>1</v>
      </c>
      <c r="AK574" s="4">
        <v>19</v>
      </c>
      <c r="AL574" s="4">
        <v>19</v>
      </c>
      <c r="AM574" s="4">
        <v>41</v>
      </c>
      <c r="AN574" s="4">
        <v>0</v>
      </c>
      <c r="AO574" s="4">
        <v>0</v>
      </c>
      <c r="AP574" s="4">
        <v>1</v>
      </c>
      <c r="AQ574" s="4">
        <v>39</v>
      </c>
      <c r="AR574" s="3" t="s">
        <v>64</v>
      </c>
      <c r="AS574" s="3" t="s">
        <v>64</v>
      </c>
      <c r="AT574" s="3" t="s">
        <v>64</v>
      </c>
      <c r="AV574" s="6" t="str">
        <f>HYPERLINK("http://mcgill.on.worldcat.org/oclc/812791758","Catalog Record")</f>
        <v>Catalog Record</v>
      </c>
      <c r="AW574" s="6" t="str">
        <f>HYPERLINK("http://www.worldcat.org/oclc/812791758","WorldCat Record")</f>
        <v>WorldCat Record</v>
      </c>
      <c r="AX574" s="3" t="s">
        <v>5542</v>
      </c>
      <c r="AY574" s="3" t="s">
        <v>5543</v>
      </c>
      <c r="AZ574" s="3" t="s">
        <v>5544</v>
      </c>
      <c r="BA574" s="3" t="s">
        <v>5544</v>
      </c>
      <c r="BB574" s="3" t="s">
        <v>5545</v>
      </c>
      <c r="BC574" s="3" t="s">
        <v>77</v>
      </c>
      <c r="BD574" s="3" t="s">
        <v>78</v>
      </c>
      <c r="BE574" s="3" t="s">
        <v>5546</v>
      </c>
      <c r="BF574" s="3" t="s">
        <v>5545</v>
      </c>
      <c r="BG574" s="3" t="s">
        <v>5547</v>
      </c>
      <c r="BH574">
        <f t="shared" si="18"/>
        <v>0</v>
      </c>
    </row>
    <row r="575" spans="1:60" ht="58" x14ac:dyDescent="0.35">
      <c r="A575" s="2" t="s">
        <v>59</v>
      </c>
      <c r="B575" s="2" t="s">
        <v>60</v>
      </c>
      <c r="C575" s="2" t="s">
        <v>5548</v>
      </c>
      <c r="D575" s="2" t="s">
        <v>5549</v>
      </c>
      <c r="E575" s="2" t="s">
        <v>5550</v>
      </c>
      <c r="F575" s="3" t="s">
        <v>529</v>
      </c>
      <c r="G575" s="3" t="s">
        <v>128</v>
      </c>
      <c r="I575" s="3" t="s">
        <v>64</v>
      </c>
      <c r="J575" s="3" t="s">
        <v>64</v>
      </c>
      <c r="K575" s="3" t="s">
        <v>65</v>
      </c>
      <c r="L575" s="2" t="s">
        <v>5540</v>
      </c>
      <c r="M575" s="2" t="s">
        <v>5551</v>
      </c>
      <c r="N575" s="3" t="s">
        <v>326</v>
      </c>
      <c r="P575" s="3" t="s">
        <v>102</v>
      </c>
      <c r="Q575" s="2" t="s">
        <v>5552</v>
      </c>
      <c r="R575" s="3" t="s">
        <v>70</v>
      </c>
      <c r="S575" s="4">
        <v>0</v>
      </c>
      <c r="T575" s="4">
        <v>0</v>
      </c>
      <c r="W575" s="5" t="s">
        <v>72</v>
      </c>
      <c r="X575" s="5" t="s">
        <v>72</v>
      </c>
      <c r="Y575" s="4">
        <v>73</v>
      </c>
      <c r="Z575" s="4">
        <v>7</v>
      </c>
      <c r="AA575" s="4">
        <v>85</v>
      </c>
      <c r="AB575" s="4">
        <v>1</v>
      </c>
      <c r="AC575" s="4">
        <v>17</v>
      </c>
      <c r="AD575" s="4">
        <v>28</v>
      </c>
      <c r="AE575" s="4">
        <v>93</v>
      </c>
      <c r="AF575" s="4">
        <v>0</v>
      </c>
      <c r="AG575" s="4">
        <v>8</v>
      </c>
      <c r="AH575" s="4">
        <v>25</v>
      </c>
      <c r="AI575" s="4">
        <v>61</v>
      </c>
      <c r="AJ575" s="4">
        <v>4</v>
      </c>
      <c r="AK575" s="4">
        <v>18</v>
      </c>
      <c r="AL575" s="4">
        <v>18</v>
      </c>
      <c r="AM575" s="4">
        <v>32</v>
      </c>
      <c r="AN575" s="4">
        <v>0</v>
      </c>
      <c r="AO575" s="4">
        <v>0</v>
      </c>
      <c r="AP575" s="4">
        <v>5</v>
      </c>
      <c r="AQ575" s="4">
        <v>39</v>
      </c>
      <c r="AR575" s="3" t="s">
        <v>64</v>
      </c>
      <c r="AS575" s="3" t="s">
        <v>64</v>
      </c>
      <c r="AT575" s="3" t="s">
        <v>64</v>
      </c>
      <c r="AV575" s="6" t="str">
        <f>HYPERLINK("http://mcgill.on.worldcat.org/oclc/607613476","Catalog Record")</f>
        <v>Catalog Record</v>
      </c>
      <c r="AW575" s="6" t="str">
        <f>HYPERLINK("http://www.worldcat.org/oclc/607613476","WorldCat Record")</f>
        <v>WorldCat Record</v>
      </c>
      <c r="AX575" s="3" t="s">
        <v>5553</v>
      </c>
      <c r="AY575" s="3" t="s">
        <v>5554</v>
      </c>
      <c r="AZ575" s="3" t="s">
        <v>5555</v>
      </c>
      <c r="BA575" s="3" t="s">
        <v>5555</v>
      </c>
      <c r="BB575" s="3" t="s">
        <v>5556</v>
      </c>
      <c r="BC575" s="3" t="s">
        <v>77</v>
      </c>
      <c r="BD575" s="3" t="s">
        <v>78</v>
      </c>
      <c r="BE575" s="3" t="s">
        <v>5557</v>
      </c>
      <c r="BF575" s="3" t="s">
        <v>5556</v>
      </c>
      <c r="BG575" s="3" t="s">
        <v>5558</v>
      </c>
      <c r="BH575">
        <f t="shared" si="18"/>
        <v>0</v>
      </c>
    </row>
    <row r="576" spans="1:60" ht="58" x14ac:dyDescent="0.35">
      <c r="A576" s="2" t="s">
        <v>59</v>
      </c>
      <c r="B576" s="2" t="s">
        <v>60</v>
      </c>
      <c r="C576" s="2" t="s">
        <v>5548</v>
      </c>
      <c r="D576" s="2" t="s">
        <v>5549</v>
      </c>
      <c r="E576" s="2" t="s">
        <v>5550</v>
      </c>
      <c r="F576" s="3" t="s">
        <v>525</v>
      </c>
      <c r="G576" s="3" t="s">
        <v>128</v>
      </c>
      <c r="I576" s="3" t="s">
        <v>64</v>
      </c>
      <c r="J576" s="3" t="s">
        <v>64</v>
      </c>
      <c r="K576" s="3" t="s">
        <v>65</v>
      </c>
      <c r="L576" s="2" t="s">
        <v>5540</v>
      </c>
      <c r="M576" s="2" t="s">
        <v>5551</v>
      </c>
      <c r="N576" s="3" t="s">
        <v>326</v>
      </c>
      <c r="P576" s="3" t="s">
        <v>102</v>
      </c>
      <c r="Q576" s="2" t="s">
        <v>5552</v>
      </c>
      <c r="R576" s="3" t="s">
        <v>70</v>
      </c>
      <c r="S576" s="4">
        <v>0</v>
      </c>
      <c r="T576" s="4">
        <v>0</v>
      </c>
      <c r="W576" s="5" t="s">
        <v>72</v>
      </c>
      <c r="X576" s="5" t="s">
        <v>72</v>
      </c>
      <c r="Y576" s="4">
        <v>73</v>
      </c>
      <c r="Z576" s="4">
        <v>7</v>
      </c>
      <c r="AA576" s="4">
        <v>85</v>
      </c>
      <c r="AB576" s="4">
        <v>1</v>
      </c>
      <c r="AC576" s="4">
        <v>17</v>
      </c>
      <c r="AD576" s="4">
        <v>28</v>
      </c>
      <c r="AE576" s="4">
        <v>93</v>
      </c>
      <c r="AF576" s="4">
        <v>0</v>
      </c>
      <c r="AG576" s="4">
        <v>8</v>
      </c>
      <c r="AH576" s="4">
        <v>25</v>
      </c>
      <c r="AI576" s="4">
        <v>61</v>
      </c>
      <c r="AJ576" s="4">
        <v>4</v>
      </c>
      <c r="AK576" s="4">
        <v>18</v>
      </c>
      <c r="AL576" s="4">
        <v>18</v>
      </c>
      <c r="AM576" s="4">
        <v>32</v>
      </c>
      <c r="AN576" s="4">
        <v>0</v>
      </c>
      <c r="AO576" s="4">
        <v>0</v>
      </c>
      <c r="AP576" s="4">
        <v>5</v>
      </c>
      <c r="AQ576" s="4">
        <v>39</v>
      </c>
      <c r="AR576" s="3" t="s">
        <v>64</v>
      </c>
      <c r="AS576" s="3" t="s">
        <v>64</v>
      </c>
      <c r="AT576" s="3" t="s">
        <v>64</v>
      </c>
      <c r="AV576" s="6" t="str">
        <f>HYPERLINK("http://mcgill.on.worldcat.org/oclc/607613476","Catalog Record")</f>
        <v>Catalog Record</v>
      </c>
      <c r="AW576" s="6" t="str">
        <f>HYPERLINK("http://www.worldcat.org/oclc/607613476","WorldCat Record")</f>
        <v>WorldCat Record</v>
      </c>
      <c r="AX576" s="3" t="s">
        <v>5553</v>
      </c>
      <c r="AY576" s="3" t="s">
        <v>5554</v>
      </c>
      <c r="AZ576" s="3" t="s">
        <v>5555</v>
      </c>
      <c r="BA576" s="3" t="s">
        <v>5555</v>
      </c>
      <c r="BB576" s="3" t="s">
        <v>5559</v>
      </c>
      <c r="BC576" s="3" t="s">
        <v>77</v>
      </c>
      <c r="BD576" s="3" t="s">
        <v>78</v>
      </c>
      <c r="BE576" s="3" t="s">
        <v>5557</v>
      </c>
      <c r="BF576" s="3" t="s">
        <v>5559</v>
      </c>
      <c r="BG576" s="3" t="s">
        <v>5560</v>
      </c>
      <c r="BH576">
        <f t="shared" si="18"/>
        <v>0</v>
      </c>
    </row>
    <row r="577" spans="1:60" ht="58" x14ac:dyDescent="0.35">
      <c r="A577" s="2" t="s">
        <v>59</v>
      </c>
      <c r="B577" s="2" t="s">
        <v>60</v>
      </c>
      <c r="C577" s="2" t="s">
        <v>5561</v>
      </c>
      <c r="D577" s="2" t="s">
        <v>5562</v>
      </c>
      <c r="E577" s="2" t="s">
        <v>5563</v>
      </c>
      <c r="G577" s="3" t="s">
        <v>64</v>
      </c>
      <c r="I577" s="3" t="s">
        <v>64</v>
      </c>
      <c r="J577" s="3" t="s">
        <v>64</v>
      </c>
      <c r="K577" s="3" t="s">
        <v>65</v>
      </c>
      <c r="M577" s="2" t="s">
        <v>5564</v>
      </c>
      <c r="N577" s="3" t="s">
        <v>86</v>
      </c>
      <c r="O577" s="2" t="s">
        <v>2149</v>
      </c>
      <c r="P577" s="3" t="s">
        <v>102</v>
      </c>
      <c r="R577" s="3" t="s">
        <v>70</v>
      </c>
      <c r="S577" s="4">
        <v>0</v>
      </c>
      <c r="T577" s="4">
        <v>0</v>
      </c>
      <c r="W577" s="5" t="s">
        <v>72</v>
      </c>
      <c r="X577" s="5" t="s">
        <v>72</v>
      </c>
      <c r="Y577" s="4">
        <v>31</v>
      </c>
      <c r="Z577" s="4">
        <v>3</v>
      </c>
      <c r="AA577" s="4">
        <v>3</v>
      </c>
      <c r="AB577" s="4">
        <v>1</v>
      </c>
      <c r="AC577" s="4">
        <v>1</v>
      </c>
      <c r="AD577" s="4">
        <v>13</v>
      </c>
      <c r="AE577" s="4">
        <v>13</v>
      </c>
      <c r="AF577" s="4">
        <v>0</v>
      </c>
      <c r="AG577" s="4">
        <v>0</v>
      </c>
      <c r="AH577" s="4">
        <v>11</v>
      </c>
      <c r="AI577" s="4">
        <v>11</v>
      </c>
      <c r="AJ577" s="4">
        <v>1</v>
      </c>
      <c r="AK577" s="4">
        <v>1</v>
      </c>
      <c r="AL577" s="4">
        <v>10</v>
      </c>
      <c r="AM577" s="4">
        <v>10</v>
      </c>
      <c r="AN577" s="4">
        <v>0</v>
      </c>
      <c r="AO577" s="4">
        <v>0</v>
      </c>
      <c r="AP577" s="4">
        <v>1</v>
      </c>
      <c r="AQ577" s="4">
        <v>1</v>
      </c>
      <c r="AR577" s="3" t="s">
        <v>64</v>
      </c>
      <c r="AS577" s="3" t="s">
        <v>64</v>
      </c>
      <c r="AT577" s="3" t="s">
        <v>64</v>
      </c>
      <c r="AV577" s="6" t="str">
        <f>HYPERLINK("http://mcgill.on.worldcat.org/oclc/772715727","Catalog Record")</f>
        <v>Catalog Record</v>
      </c>
      <c r="AW577" s="6" t="str">
        <f>HYPERLINK("http://www.worldcat.org/oclc/772715727","WorldCat Record")</f>
        <v>WorldCat Record</v>
      </c>
      <c r="AX577" s="3" t="s">
        <v>5565</v>
      </c>
      <c r="AY577" s="3" t="s">
        <v>5566</v>
      </c>
      <c r="AZ577" s="3" t="s">
        <v>5567</v>
      </c>
      <c r="BA577" s="3" t="s">
        <v>5567</v>
      </c>
      <c r="BB577" s="3" t="s">
        <v>5568</v>
      </c>
      <c r="BC577" s="3" t="s">
        <v>77</v>
      </c>
      <c r="BD577" s="3" t="s">
        <v>78</v>
      </c>
      <c r="BE577" s="3" t="s">
        <v>5569</v>
      </c>
      <c r="BF577" s="3" t="s">
        <v>5568</v>
      </c>
      <c r="BG577" s="3" t="s">
        <v>5570</v>
      </c>
      <c r="BH577">
        <f t="shared" si="18"/>
        <v>0</v>
      </c>
    </row>
    <row r="578" spans="1:60" ht="72.5" x14ac:dyDescent="0.35">
      <c r="A578" s="2" t="s">
        <v>59</v>
      </c>
      <c r="B578" s="2" t="s">
        <v>60</v>
      </c>
      <c r="C578" s="2" t="s">
        <v>5571</v>
      </c>
      <c r="D578" s="2" t="s">
        <v>5572</v>
      </c>
      <c r="E578" s="2" t="s">
        <v>5573</v>
      </c>
      <c r="G578" s="3" t="s">
        <v>64</v>
      </c>
      <c r="I578" s="3" t="s">
        <v>64</v>
      </c>
      <c r="J578" s="3" t="s">
        <v>64</v>
      </c>
      <c r="K578" s="3" t="s">
        <v>65</v>
      </c>
      <c r="M578" s="2" t="s">
        <v>5574</v>
      </c>
      <c r="N578" s="3" t="s">
        <v>326</v>
      </c>
      <c r="P578" s="3" t="s">
        <v>102</v>
      </c>
      <c r="R578" s="3" t="s">
        <v>70</v>
      </c>
      <c r="S578" s="4">
        <v>1</v>
      </c>
      <c r="T578" s="4">
        <v>1</v>
      </c>
      <c r="U578" s="5" t="s">
        <v>5575</v>
      </c>
      <c r="V578" s="5" t="s">
        <v>5575</v>
      </c>
      <c r="W578" s="5" t="s">
        <v>72</v>
      </c>
      <c r="X578" s="5" t="s">
        <v>72</v>
      </c>
      <c r="Y578" s="4">
        <v>10</v>
      </c>
      <c r="Z578" s="4">
        <v>2</v>
      </c>
      <c r="AA578" s="4">
        <v>4</v>
      </c>
      <c r="AB578" s="4">
        <v>1</v>
      </c>
      <c r="AC578" s="4">
        <v>1</v>
      </c>
      <c r="AD578" s="4">
        <v>3</v>
      </c>
      <c r="AE578" s="4">
        <v>11</v>
      </c>
      <c r="AF578" s="4">
        <v>0</v>
      </c>
      <c r="AG578" s="4">
        <v>0</v>
      </c>
      <c r="AH578" s="4">
        <v>2</v>
      </c>
      <c r="AI578" s="4">
        <v>8</v>
      </c>
      <c r="AJ578" s="4">
        <v>1</v>
      </c>
      <c r="AK578" s="4">
        <v>2</v>
      </c>
      <c r="AL578" s="4">
        <v>1</v>
      </c>
      <c r="AM578" s="4">
        <v>8</v>
      </c>
      <c r="AN578" s="4">
        <v>0</v>
      </c>
      <c r="AO578" s="4">
        <v>0</v>
      </c>
      <c r="AP578" s="4">
        <v>0</v>
      </c>
      <c r="AQ578" s="4">
        <v>1</v>
      </c>
      <c r="AR578" s="3" t="s">
        <v>64</v>
      </c>
      <c r="AS578" s="3" t="s">
        <v>64</v>
      </c>
      <c r="AT578" s="3" t="s">
        <v>64</v>
      </c>
      <c r="AV578" s="6" t="str">
        <f>HYPERLINK("http://mcgill.on.worldcat.org/oclc/720057439","Catalog Record")</f>
        <v>Catalog Record</v>
      </c>
      <c r="AW578" s="6" t="str">
        <f>HYPERLINK("http://www.worldcat.org/oclc/720057439","WorldCat Record")</f>
        <v>WorldCat Record</v>
      </c>
      <c r="AX578" s="3" t="s">
        <v>5576</v>
      </c>
      <c r="AY578" s="3" t="s">
        <v>5577</v>
      </c>
      <c r="AZ578" s="3" t="s">
        <v>5578</v>
      </c>
      <c r="BA578" s="3" t="s">
        <v>5578</v>
      </c>
      <c r="BB578" s="3" t="s">
        <v>5579</v>
      </c>
      <c r="BC578" s="3" t="s">
        <v>77</v>
      </c>
      <c r="BD578" s="3" t="s">
        <v>78</v>
      </c>
      <c r="BF578" s="3" t="s">
        <v>5579</v>
      </c>
      <c r="BG578" s="3" t="s">
        <v>5580</v>
      </c>
      <c r="BH578">
        <f t="shared" ref="BH578:BH641" si="19">IF(COUNTIF($BF$1:$BF$5431,BF578)=1,0,1)</f>
        <v>0</v>
      </c>
    </row>
    <row r="579" spans="1:60" ht="58" x14ac:dyDescent="0.35">
      <c r="A579" s="2" t="s">
        <v>59</v>
      </c>
      <c r="B579" s="2" t="s">
        <v>60</v>
      </c>
      <c r="C579" s="2" t="s">
        <v>5581</v>
      </c>
      <c r="D579" s="2" t="s">
        <v>5582</v>
      </c>
      <c r="E579" s="2" t="s">
        <v>5583</v>
      </c>
      <c r="G579" s="3" t="s">
        <v>64</v>
      </c>
      <c r="I579" s="3" t="s">
        <v>64</v>
      </c>
      <c r="J579" s="3" t="s">
        <v>64</v>
      </c>
      <c r="K579" s="3" t="s">
        <v>65</v>
      </c>
      <c r="L579" s="2" t="s">
        <v>5584</v>
      </c>
      <c r="M579" s="2" t="s">
        <v>5585</v>
      </c>
      <c r="N579" s="3" t="s">
        <v>1763</v>
      </c>
      <c r="P579" s="3" t="s">
        <v>102</v>
      </c>
      <c r="R579" s="3" t="s">
        <v>70</v>
      </c>
      <c r="S579" s="4">
        <v>5</v>
      </c>
      <c r="T579" s="4">
        <v>5</v>
      </c>
      <c r="U579" s="5" t="s">
        <v>5418</v>
      </c>
      <c r="V579" s="5" t="s">
        <v>5418</v>
      </c>
      <c r="W579" s="5" t="s">
        <v>72</v>
      </c>
      <c r="X579" s="5" t="s">
        <v>72</v>
      </c>
      <c r="Y579" s="4">
        <v>455</v>
      </c>
      <c r="Z579" s="4">
        <v>23</v>
      </c>
      <c r="AA579" s="4">
        <v>23</v>
      </c>
      <c r="AB579" s="4">
        <v>1</v>
      </c>
      <c r="AC579" s="4">
        <v>1</v>
      </c>
      <c r="AD579" s="4">
        <v>112</v>
      </c>
      <c r="AE579" s="4">
        <v>112</v>
      </c>
      <c r="AF579" s="4">
        <v>0</v>
      </c>
      <c r="AG579" s="4">
        <v>0</v>
      </c>
      <c r="AH579" s="4">
        <v>99</v>
      </c>
      <c r="AI579" s="4">
        <v>99</v>
      </c>
      <c r="AJ579" s="4">
        <v>12</v>
      </c>
      <c r="AK579" s="4">
        <v>12</v>
      </c>
      <c r="AL579" s="4">
        <v>52</v>
      </c>
      <c r="AM579" s="4">
        <v>52</v>
      </c>
      <c r="AN579" s="4">
        <v>0</v>
      </c>
      <c r="AO579" s="4">
        <v>0</v>
      </c>
      <c r="AP579" s="4">
        <v>15</v>
      </c>
      <c r="AQ579" s="4">
        <v>15</v>
      </c>
      <c r="AR579" s="3" t="s">
        <v>64</v>
      </c>
      <c r="AS579" s="3" t="s">
        <v>64</v>
      </c>
      <c r="AT579" s="3" t="s">
        <v>128</v>
      </c>
      <c r="AU579" s="6" t="str">
        <f>HYPERLINK("http://catalog.hathitrust.org/Record/000363756","HathiTrust Record")</f>
        <v>HathiTrust Record</v>
      </c>
      <c r="AV579" s="6" t="str">
        <f>HYPERLINK("http://mcgill.on.worldcat.org/oclc/10877492","Catalog Record")</f>
        <v>Catalog Record</v>
      </c>
      <c r="AW579" s="6" t="str">
        <f>HYPERLINK("http://www.worldcat.org/oclc/10877492","WorldCat Record")</f>
        <v>WorldCat Record</v>
      </c>
      <c r="AX579" s="3" t="s">
        <v>5586</v>
      </c>
      <c r="AY579" s="3" t="s">
        <v>5587</v>
      </c>
      <c r="AZ579" s="3" t="s">
        <v>5588</v>
      </c>
      <c r="BA579" s="3" t="s">
        <v>5588</v>
      </c>
      <c r="BB579" s="3" t="s">
        <v>5589</v>
      </c>
      <c r="BC579" s="3" t="s">
        <v>77</v>
      </c>
      <c r="BD579" s="3" t="s">
        <v>78</v>
      </c>
      <c r="BE579" s="3" t="s">
        <v>5590</v>
      </c>
      <c r="BF579" s="3" t="s">
        <v>5589</v>
      </c>
      <c r="BG579" s="3" t="s">
        <v>5591</v>
      </c>
      <c r="BH579">
        <f t="shared" si="19"/>
        <v>0</v>
      </c>
    </row>
    <row r="580" spans="1:60" ht="58" x14ac:dyDescent="0.35">
      <c r="A580" s="2" t="s">
        <v>59</v>
      </c>
      <c r="B580" s="2" t="s">
        <v>60</v>
      </c>
      <c r="C580" s="2" t="s">
        <v>5592</v>
      </c>
      <c r="D580" s="2" t="s">
        <v>5593</v>
      </c>
      <c r="E580" s="2" t="s">
        <v>5594</v>
      </c>
      <c r="G580" s="3" t="s">
        <v>64</v>
      </c>
      <c r="I580" s="3" t="s">
        <v>128</v>
      </c>
      <c r="J580" s="3" t="s">
        <v>128</v>
      </c>
      <c r="K580" s="3" t="s">
        <v>65</v>
      </c>
      <c r="L580" s="2" t="s">
        <v>5595</v>
      </c>
      <c r="M580" s="2" t="s">
        <v>5596</v>
      </c>
      <c r="N580" s="3" t="s">
        <v>481</v>
      </c>
      <c r="P580" s="3" t="s">
        <v>102</v>
      </c>
      <c r="R580" s="3" t="s">
        <v>70</v>
      </c>
      <c r="S580" s="4">
        <v>10</v>
      </c>
      <c r="T580" s="4">
        <v>11</v>
      </c>
      <c r="U580" s="5" t="s">
        <v>5597</v>
      </c>
      <c r="V580" s="5" t="s">
        <v>3957</v>
      </c>
      <c r="W580" s="5" t="s">
        <v>72</v>
      </c>
      <c r="X580" s="5" t="s">
        <v>72</v>
      </c>
      <c r="Y580" s="4">
        <v>263</v>
      </c>
      <c r="Z580" s="4">
        <v>24</v>
      </c>
      <c r="AA580" s="4">
        <v>44</v>
      </c>
      <c r="AB580" s="4">
        <v>2</v>
      </c>
      <c r="AC580" s="4">
        <v>5</v>
      </c>
      <c r="AD580" s="4">
        <v>70</v>
      </c>
      <c r="AE580" s="4">
        <v>133</v>
      </c>
      <c r="AF580" s="4">
        <v>1</v>
      </c>
      <c r="AG580" s="4">
        <v>3</v>
      </c>
      <c r="AH580" s="4">
        <v>58</v>
      </c>
      <c r="AI580" s="4">
        <v>109</v>
      </c>
      <c r="AJ580" s="4">
        <v>15</v>
      </c>
      <c r="AK580" s="4">
        <v>24</v>
      </c>
      <c r="AL580" s="4">
        <v>36</v>
      </c>
      <c r="AM580" s="4">
        <v>59</v>
      </c>
      <c r="AN580" s="4">
        <v>0</v>
      </c>
      <c r="AO580" s="4">
        <v>0</v>
      </c>
      <c r="AP580" s="4">
        <v>17</v>
      </c>
      <c r="AQ580" s="4">
        <v>28</v>
      </c>
      <c r="AR580" s="3" t="s">
        <v>64</v>
      </c>
      <c r="AS580" s="3" t="s">
        <v>64</v>
      </c>
      <c r="AT580" s="3" t="s">
        <v>64</v>
      </c>
      <c r="AV580" s="6" t="str">
        <f>HYPERLINK("http://mcgill.on.worldcat.org/oclc/29758","Catalog Record")</f>
        <v>Catalog Record</v>
      </c>
      <c r="AW580" s="6" t="str">
        <f>HYPERLINK("http://www.worldcat.org/oclc/29758","WorldCat Record")</f>
        <v>WorldCat Record</v>
      </c>
      <c r="AX580" s="3" t="s">
        <v>5598</v>
      </c>
      <c r="AY580" s="3" t="s">
        <v>5599</v>
      </c>
      <c r="AZ580" s="3" t="s">
        <v>5600</v>
      </c>
      <c r="BA580" s="3" t="s">
        <v>5600</v>
      </c>
      <c r="BB580" s="3" t="s">
        <v>5601</v>
      </c>
      <c r="BC580" s="3" t="s">
        <v>77</v>
      </c>
      <c r="BD580" s="3" t="s">
        <v>78</v>
      </c>
      <c r="BE580" s="3" t="s">
        <v>5602</v>
      </c>
      <c r="BF580" s="3" t="s">
        <v>5601</v>
      </c>
      <c r="BG580" s="3" t="s">
        <v>5603</v>
      </c>
      <c r="BH580">
        <f t="shared" si="19"/>
        <v>0</v>
      </c>
    </row>
    <row r="581" spans="1:60" ht="58" x14ac:dyDescent="0.35">
      <c r="A581" s="2" t="s">
        <v>59</v>
      </c>
      <c r="B581" s="2" t="s">
        <v>60</v>
      </c>
      <c r="C581" s="2" t="s">
        <v>5604</v>
      </c>
      <c r="D581" s="2" t="s">
        <v>5605</v>
      </c>
      <c r="E581" s="2" t="s">
        <v>5606</v>
      </c>
      <c r="G581" s="3" t="s">
        <v>64</v>
      </c>
      <c r="I581" s="3" t="s">
        <v>128</v>
      </c>
      <c r="J581" s="3" t="s">
        <v>64</v>
      </c>
      <c r="K581" s="3" t="s">
        <v>65</v>
      </c>
      <c r="L581" s="2" t="s">
        <v>5607</v>
      </c>
      <c r="M581" s="2" t="s">
        <v>5608</v>
      </c>
      <c r="N581" s="3" t="s">
        <v>5609</v>
      </c>
      <c r="P581" s="3" t="s">
        <v>102</v>
      </c>
      <c r="Q581" s="2" t="s">
        <v>5610</v>
      </c>
      <c r="R581" s="3" t="s">
        <v>70</v>
      </c>
      <c r="S581" s="4">
        <v>10</v>
      </c>
      <c r="T581" s="4">
        <v>11</v>
      </c>
      <c r="U581" s="5" t="s">
        <v>5611</v>
      </c>
      <c r="V581" s="5" t="s">
        <v>5612</v>
      </c>
      <c r="W581" s="5" t="s">
        <v>72</v>
      </c>
      <c r="X581" s="5" t="s">
        <v>72</v>
      </c>
      <c r="Y581" s="4">
        <v>148</v>
      </c>
      <c r="Z581" s="4">
        <v>5</v>
      </c>
      <c r="AA581" s="4">
        <v>28</v>
      </c>
      <c r="AB581" s="4">
        <v>1</v>
      </c>
      <c r="AC581" s="4">
        <v>2</v>
      </c>
      <c r="AD581" s="4">
        <v>57</v>
      </c>
      <c r="AE581" s="4">
        <v>114</v>
      </c>
      <c r="AF581" s="4">
        <v>0</v>
      </c>
      <c r="AG581" s="4">
        <v>1</v>
      </c>
      <c r="AH581" s="4">
        <v>51</v>
      </c>
      <c r="AI581" s="4">
        <v>99</v>
      </c>
      <c r="AJ581" s="4">
        <v>4</v>
      </c>
      <c r="AK581" s="4">
        <v>20</v>
      </c>
      <c r="AL581" s="4">
        <v>38</v>
      </c>
      <c r="AM581" s="4">
        <v>54</v>
      </c>
      <c r="AN581" s="4">
        <v>0</v>
      </c>
      <c r="AO581" s="4">
        <v>0</v>
      </c>
      <c r="AP581" s="4">
        <v>3</v>
      </c>
      <c r="AQ581" s="4">
        <v>19</v>
      </c>
      <c r="AR581" s="3" t="s">
        <v>64</v>
      </c>
      <c r="AS581" s="3" t="s">
        <v>64</v>
      </c>
      <c r="AT581" s="3" t="s">
        <v>64</v>
      </c>
      <c r="AV581" s="6" t="str">
        <f>HYPERLINK("http://mcgill.on.worldcat.org/oclc/1417441","Catalog Record")</f>
        <v>Catalog Record</v>
      </c>
      <c r="AW581" s="6" t="str">
        <f>HYPERLINK("http://www.worldcat.org/oclc/1417441","WorldCat Record")</f>
        <v>WorldCat Record</v>
      </c>
      <c r="AX581" s="3" t="s">
        <v>5613</v>
      </c>
      <c r="AY581" s="3" t="s">
        <v>5614</v>
      </c>
      <c r="AZ581" s="3" t="s">
        <v>5615</v>
      </c>
      <c r="BA581" s="3" t="s">
        <v>5615</v>
      </c>
      <c r="BB581" s="3" t="s">
        <v>5616</v>
      </c>
      <c r="BC581" s="3" t="s">
        <v>77</v>
      </c>
      <c r="BD581" s="3" t="s">
        <v>78</v>
      </c>
      <c r="BF581" s="3" t="s">
        <v>5616</v>
      </c>
      <c r="BG581" s="3" t="s">
        <v>5617</v>
      </c>
      <c r="BH581">
        <f t="shared" si="19"/>
        <v>0</v>
      </c>
    </row>
    <row r="582" spans="1:60" ht="58" x14ac:dyDescent="0.35">
      <c r="A582" s="2" t="s">
        <v>59</v>
      </c>
      <c r="B582" s="2" t="s">
        <v>60</v>
      </c>
      <c r="C582" s="2" t="s">
        <v>5618</v>
      </c>
      <c r="D582" s="2" t="s">
        <v>5619</v>
      </c>
      <c r="E582" s="2" t="s">
        <v>5620</v>
      </c>
      <c r="G582" s="3" t="s">
        <v>64</v>
      </c>
      <c r="I582" s="3" t="s">
        <v>128</v>
      </c>
      <c r="J582" s="3" t="s">
        <v>64</v>
      </c>
      <c r="K582" s="3" t="s">
        <v>65</v>
      </c>
      <c r="L582" s="2" t="s">
        <v>5621</v>
      </c>
      <c r="M582" s="2" t="s">
        <v>5622</v>
      </c>
      <c r="N582" s="3" t="s">
        <v>1750</v>
      </c>
      <c r="P582" s="3" t="s">
        <v>102</v>
      </c>
      <c r="Q582" s="2" t="s">
        <v>5623</v>
      </c>
      <c r="R582" s="3" t="s">
        <v>70</v>
      </c>
      <c r="S582" s="4">
        <v>6</v>
      </c>
      <c r="T582" s="4">
        <v>6</v>
      </c>
      <c r="U582" s="5" t="s">
        <v>5624</v>
      </c>
      <c r="V582" s="5" t="s">
        <v>5624</v>
      </c>
      <c r="W582" s="5" t="s">
        <v>72</v>
      </c>
      <c r="X582" s="5" t="s">
        <v>72</v>
      </c>
      <c r="Y582" s="4">
        <v>296</v>
      </c>
      <c r="Z582" s="4">
        <v>25</v>
      </c>
      <c r="AA582" s="4">
        <v>31</v>
      </c>
      <c r="AB582" s="4">
        <v>2</v>
      </c>
      <c r="AC582" s="4">
        <v>2</v>
      </c>
      <c r="AD582" s="4">
        <v>84</v>
      </c>
      <c r="AE582" s="4">
        <v>89</v>
      </c>
      <c r="AF582" s="4">
        <v>0</v>
      </c>
      <c r="AG582" s="4">
        <v>0</v>
      </c>
      <c r="AH582" s="4">
        <v>74</v>
      </c>
      <c r="AI582" s="4">
        <v>76</v>
      </c>
      <c r="AJ582" s="4">
        <v>13</v>
      </c>
      <c r="AK582" s="4">
        <v>18</v>
      </c>
      <c r="AL582" s="4">
        <v>44</v>
      </c>
      <c r="AM582" s="4">
        <v>44</v>
      </c>
      <c r="AN582" s="4">
        <v>0</v>
      </c>
      <c r="AO582" s="4">
        <v>0</v>
      </c>
      <c r="AP582" s="4">
        <v>13</v>
      </c>
      <c r="AQ582" s="4">
        <v>18</v>
      </c>
      <c r="AR582" s="3" t="s">
        <v>64</v>
      </c>
      <c r="AS582" s="3" t="s">
        <v>64</v>
      </c>
      <c r="AT582" s="3" t="s">
        <v>128</v>
      </c>
      <c r="AU582" s="6" t="str">
        <f>HYPERLINK("http://catalog.hathitrust.org/Record/000040884","HathiTrust Record")</f>
        <v>HathiTrust Record</v>
      </c>
      <c r="AV582" s="6" t="str">
        <f>HYPERLINK("http://mcgill.on.worldcat.org/oclc/1735680","Catalog Record")</f>
        <v>Catalog Record</v>
      </c>
      <c r="AW582" s="6" t="str">
        <f>HYPERLINK("http://www.worldcat.org/oclc/1735680","WorldCat Record")</f>
        <v>WorldCat Record</v>
      </c>
      <c r="AX582" s="3" t="s">
        <v>5625</v>
      </c>
      <c r="AY582" s="3" t="s">
        <v>5626</v>
      </c>
      <c r="AZ582" s="3" t="s">
        <v>5627</v>
      </c>
      <c r="BA582" s="3" t="s">
        <v>5627</v>
      </c>
      <c r="BB582" s="3" t="s">
        <v>5628</v>
      </c>
      <c r="BC582" s="3" t="s">
        <v>77</v>
      </c>
      <c r="BD582" s="3" t="s">
        <v>78</v>
      </c>
      <c r="BE582" s="3" t="s">
        <v>5629</v>
      </c>
      <c r="BF582" s="3" t="s">
        <v>5628</v>
      </c>
      <c r="BG582" s="3" t="s">
        <v>5630</v>
      </c>
      <c r="BH582">
        <f t="shared" si="19"/>
        <v>0</v>
      </c>
    </row>
    <row r="583" spans="1:60" ht="58" x14ac:dyDescent="0.35">
      <c r="A583" s="2" t="s">
        <v>59</v>
      </c>
      <c r="B583" s="2" t="s">
        <v>60</v>
      </c>
      <c r="C583" s="2" t="s">
        <v>5631</v>
      </c>
      <c r="D583" s="2" t="s">
        <v>5632</v>
      </c>
      <c r="E583" s="2" t="s">
        <v>5633</v>
      </c>
      <c r="G583" s="3" t="s">
        <v>64</v>
      </c>
      <c r="I583" s="3" t="s">
        <v>128</v>
      </c>
      <c r="J583" s="3" t="s">
        <v>64</v>
      </c>
      <c r="K583" s="3" t="s">
        <v>65</v>
      </c>
      <c r="L583" s="2" t="s">
        <v>5634</v>
      </c>
      <c r="M583" s="2" t="s">
        <v>5635</v>
      </c>
      <c r="N583" s="3" t="s">
        <v>1821</v>
      </c>
      <c r="P583" s="3" t="s">
        <v>102</v>
      </c>
      <c r="R583" s="3" t="s">
        <v>70</v>
      </c>
      <c r="S583" s="4">
        <v>6</v>
      </c>
      <c r="T583" s="4">
        <v>7</v>
      </c>
      <c r="U583" s="5" t="s">
        <v>5636</v>
      </c>
      <c r="V583" s="5" t="s">
        <v>5637</v>
      </c>
      <c r="W583" s="5" t="s">
        <v>72</v>
      </c>
      <c r="X583" s="5" t="s">
        <v>72</v>
      </c>
      <c r="Y583" s="4">
        <v>75</v>
      </c>
      <c r="Z583" s="4">
        <v>6</v>
      </c>
      <c r="AA583" s="4">
        <v>6</v>
      </c>
      <c r="AB583" s="4">
        <v>1</v>
      </c>
      <c r="AC583" s="4">
        <v>1</v>
      </c>
      <c r="AD583" s="4">
        <v>31</v>
      </c>
      <c r="AE583" s="4">
        <v>31</v>
      </c>
      <c r="AF583" s="4">
        <v>0</v>
      </c>
      <c r="AG583" s="4">
        <v>0</v>
      </c>
      <c r="AH583" s="4">
        <v>28</v>
      </c>
      <c r="AI583" s="4">
        <v>28</v>
      </c>
      <c r="AJ583" s="4">
        <v>3</v>
      </c>
      <c r="AK583" s="4">
        <v>3</v>
      </c>
      <c r="AL583" s="4">
        <v>18</v>
      </c>
      <c r="AM583" s="4">
        <v>18</v>
      </c>
      <c r="AN583" s="4">
        <v>0</v>
      </c>
      <c r="AO583" s="4">
        <v>0</v>
      </c>
      <c r="AP583" s="4">
        <v>2</v>
      </c>
      <c r="AQ583" s="4">
        <v>2</v>
      </c>
      <c r="AR583" s="3" t="s">
        <v>64</v>
      </c>
      <c r="AS583" s="3" t="s">
        <v>64</v>
      </c>
      <c r="AT583" s="3" t="s">
        <v>64</v>
      </c>
      <c r="AV583" s="6" t="str">
        <f>HYPERLINK("http://mcgill.on.worldcat.org/oclc/41503285","Catalog Record")</f>
        <v>Catalog Record</v>
      </c>
      <c r="AW583" s="6" t="str">
        <f>HYPERLINK("http://www.worldcat.org/oclc/41503285","WorldCat Record")</f>
        <v>WorldCat Record</v>
      </c>
      <c r="AX583" s="3" t="s">
        <v>5638</v>
      </c>
      <c r="AY583" s="3" t="s">
        <v>5639</v>
      </c>
      <c r="AZ583" s="3" t="s">
        <v>5640</v>
      </c>
      <c r="BA583" s="3" t="s">
        <v>5640</v>
      </c>
      <c r="BB583" s="3" t="s">
        <v>5641</v>
      </c>
      <c r="BC583" s="3" t="s">
        <v>77</v>
      </c>
      <c r="BD583" s="3" t="s">
        <v>78</v>
      </c>
      <c r="BF583" s="3" t="s">
        <v>5641</v>
      </c>
      <c r="BG583" s="3" t="s">
        <v>5642</v>
      </c>
      <c r="BH583">
        <f t="shared" si="19"/>
        <v>0</v>
      </c>
    </row>
    <row r="584" spans="1:60" ht="58" x14ac:dyDescent="0.35">
      <c r="A584" s="2" t="s">
        <v>59</v>
      </c>
      <c r="B584" s="2" t="s">
        <v>60</v>
      </c>
      <c r="C584" s="2" t="s">
        <v>5643</v>
      </c>
      <c r="D584" s="2" t="s">
        <v>5644</v>
      </c>
      <c r="E584" s="2" t="s">
        <v>5645</v>
      </c>
      <c r="G584" s="3" t="s">
        <v>64</v>
      </c>
      <c r="I584" s="3" t="s">
        <v>128</v>
      </c>
      <c r="J584" s="3" t="s">
        <v>64</v>
      </c>
      <c r="K584" s="3" t="s">
        <v>65</v>
      </c>
      <c r="L584" s="2" t="s">
        <v>5646</v>
      </c>
      <c r="M584" s="2" t="s">
        <v>5647</v>
      </c>
      <c r="N584" s="3" t="s">
        <v>253</v>
      </c>
      <c r="P584" s="3" t="s">
        <v>102</v>
      </c>
      <c r="R584" s="3" t="s">
        <v>70</v>
      </c>
      <c r="S584" s="4">
        <v>1</v>
      </c>
      <c r="T584" s="4">
        <v>2</v>
      </c>
      <c r="U584" s="5" t="s">
        <v>5636</v>
      </c>
      <c r="V584" s="5" t="s">
        <v>5637</v>
      </c>
      <c r="W584" s="5" t="s">
        <v>72</v>
      </c>
      <c r="X584" s="5" t="s">
        <v>72</v>
      </c>
      <c r="Y584" s="4">
        <v>219</v>
      </c>
      <c r="Z584" s="4">
        <v>14</v>
      </c>
      <c r="AA584" s="4">
        <v>17</v>
      </c>
      <c r="AB584" s="4">
        <v>2</v>
      </c>
      <c r="AC584" s="4">
        <v>4</v>
      </c>
      <c r="AD584" s="4">
        <v>48</v>
      </c>
      <c r="AE584" s="4">
        <v>48</v>
      </c>
      <c r="AF584" s="4">
        <v>0</v>
      </c>
      <c r="AG584" s="4">
        <v>0</v>
      </c>
      <c r="AH584" s="4">
        <v>43</v>
      </c>
      <c r="AI584" s="4">
        <v>43</v>
      </c>
      <c r="AJ584" s="4">
        <v>6</v>
      </c>
      <c r="AK584" s="4">
        <v>6</v>
      </c>
      <c r="AL584" s="4">
        <v>28</v>
      </c>
      <c r="AM584" s="4">
        <v>28</v>
      </c>
      <c r="AN584" s="4">
        <v>0</v>
      </c>
      <c r="AO584" s="4">
        <v>0</v>
      </c>
      <c r="AP584" s="4">
        <v>6</v>
      </c>
      <c r="AQ584" s="4">
        <v>6</v>
      </c>
      <c r="AR584" s="3" t="s">
        <v>64</v>
      </c>
      <c r="AS584" s="3" t="s">
        <v>64</v>
      </c>
      <c r="AT584" s="3" t="s">
        <v>64</v>
      </c>
      <c r="AV584" s="6" t="str">
        <f>HYPERLINK("http://mcgill.on.worldcat.org/oclc/898408405","Catalog Record")</f>
        <v>Catalog Record</v>
      </c>
      <c r="AW584" s="6" t="str">
        <f>HYPERLINK("http://www.worldcat.org/oclc/898408405","WorldCat Record")</f>
        <v>WorldCat Record</v>
      </c>
      <c r="AX584" s="3" t="s">
        <v>5648</v>
      </c>
      <c r="AY584" s="3" t="s">
        <v>5649</v>
      </c>
      <c r="AZ584" s="3" t="s">
        <v>5650</v>
      </c>
      <c r="BA584" s="3" t="s">
        <v>5650</v>
      </c>
      <c r="BB584" s="3" t="s">
        <v>5651</v>
      </c>
      <c r="BC584" s="3" t="s">
        <v>77</v>
      </c>
      <c r="BD584" s="3" t="s">
        <v>78</v>
      </c>
      <c r="BE584" s="3" t="s">
        <v>5652</v>
      </c>
      <c r="BF584" s="3" t="s">
        <v>5651</v>
      </c>
      <c r="BG584" s="3" t="s">
        <v>5653</v>
      </c>
      <c r="BH584">
        <f t="shared" si="19"/>
        <v>0</v>
      </c>
    </row>
    <row r="585" spans="1:60" ht="58" x14ac:dyDescent="0.35">
      <c r="A585" s="2" t="s">
        <v>59</v>
      </c>
      <c r="B585" s="2" t="s">
        <v>60</v>
      </c>
      <c r="C585" s="2" t="s">
        <v>5654</v>
      </c>
      <c r="D585" s="2" t="s">
        <v>5655</v>
      </c>
      <c r="E585" s="2" t="s">
        <v>5656</v>
      </c>
      <c r="F585" s="3" t="s">
        <v>529</v>
      </c>
      <c r="G585" s="3" t="s">
        <v>128</v>
      </c>
      <c r="I585" s="3" t="s">
        <v>128</v>
      </c>
      <c r="J585" s="3" t="s">
        <v>64</v>
      </c>
      <c r="K585" s="3" t="s">
        <v>65</v>
      </c>
      <c r="L585" s="2" t="s">
        <v>4140</v>
      </c>
      <c r="M585" s="2" t="s">
        <v>5657</v>
      </c>
      <c r="N585" s="3" t="s">
        <v>1031</v>
      </c>
      <c r="P585" s="3" t="s">
        <v>102</v>
      </c>
      <c r="R585" s="3" t="s">
        <v>70</v>
      </c>
      <c r="S585" s="4">
        <v>4</v>
      </c>
      <c r="T585" s="4">
        <v>9</v>
      </c>
      <c r="U585" s="5" t="s">
        <v>1591</v>
      </c>
      <c r="V585" s="5" t="s">
        <v>1591</v>
      </c>
      <c r="W585" s="5" t="s">
        <v>72</v>
      </c>
      <c r="X585" s="5" t="s">
        <v>72</v>
      </c>
      <c r="Y585" s="4">
        <v>290</v>
      </c>
      <c r="Z585" s="4">
        <v>25</v>
      </c>
      <c r="AA585" s="4">
        <v>108</v>
      </c>
      <c r="AB585" s="4">
        <v>2</v>
      </c>
      <c r="AC585" s="4">
        <v>18</v>
      </c>
      <c r="AD585" s="4">
        <v>103</v>
      </c>
      <c r="AE585" s="4">
        <v>141</v>
      </c>
      <c r="AF585" s="4">
        <v>0</v>
      </c>
      <c r="AG585" s="4">
        <v>8</v>
      </c>
      <c r="AH585" s="4">
        <v>91</v>
      </c>
      <c r="AI585" s="4">
        <v>100</v>
      </c>
      <c r="AJ585" s="4">
        <v>16</v>
      </c>
      <c r="AK585" s="4">
        <v>26</v>
      </c>
      <c r="AL585" s="4">
        <v>51</v>
      </c>
      <c r="AM585" s="4">
        <v>56</v>
      </c>
      <c r="AN585" s="4">
        <v>0</v>
      </c>
      <c r="AO585" s="4">
        <v>0</v>
      </c>
      <c r="AP585" s="4">
        <v>19</v>
      </c>
      <c r="AQ585" s="4">
        <v>48</v>
      </c>
      <c r="AR585" s="3" t="s">
        <v>64</v>
      </c>
      <c r="AS585" s="3" t="s">
        <v>64</v>
      </c>
      <c r="AT585" s="3" t="s">
        <v>64</v>
      </c>
      <c r="AV585" s="6" t="str">
        <f>HYPERLINK("http://mcgill.on.worldcat.org/oclc/24373376","Catalog Record")</f>
        <v>Catalog Record</v>
      </c>
      <c r="AW585" s="6" t="str">
        <f>HYPERLINK("http://www.worldcat.org/oclc/24373376","WorldCat Record")</f>
        <v>WorldCat Record</v>
      </c>
      <c r="AX585" s="3" t="s">
        <v>5658</v>
      </c>
      <c r="AY585" s="3" t="s">
        <v>5659</v>
      </c>
      <c r="AZ585" s="3" t="s">
        <v>5660</v>
      </c>
      <c r="BA585" s="3" t="s">
        <v>5660</v>
      </c>
      <c r="BB585" s="3" t="s">
        <v>5661</v>
      </c>
      <c r="BC585" s="3" t="s">
        <v>77</v>
      </c>
      <c r="BD585" s="3" t="s">
        <v>78</v>
      </c>
      <c r="BE585" s="3" t="s">
        <v>5662</v>
      </c>
      <c r="BF585" s="3" t="s">
        <v>5661</v>
      </c>
      <c r="BG585" s="3" t="s">
        <v>5663</v>
      </c>
      <c r="BH585">
        <f t="shared" si="19"/>
        <v>0</v>
      </c>
    </row>
    <row r="586" spans="1:60" ht="58" x14ac:dyDescent="0.35">
      <c r="A586" s="2" t="s">
        <v>59</v>
      </c>
      <c r="B586" s="2" t="s">
        <v>60</v>
      </c>
      <c r="C586" s="2" t="s">
        <v>5654</v>
      </c>
      <c r="D586" s="2" t="s">
        <v>5655</v>
      </c>
      <c r="E586" s="2" t="s">
        <v>5656</v>
      </c>
      <c r="F586" s="3" t="s">
        <v>1323</v>
      </c>
      <c r="G586" s="3" t="s">
        <v>128</v>
      </c>
      <c r="I586" s="3" t="s">
        <v>128</v>
      </c>
      <c r="J586" s="3" t="s">
        <v>64</v>
      </c>
      <c r="K586" s="3" t="s">
        <v>65</v>
      </c>
      <c r="L586" s="2" t="s">
        <v>4140</v>
      </c>
      <c r="M586" s="2" t="s">
        <v>5657</v>
      </c>
      <c r="N586" s="3" t="s">
        <v>1031</v>
      </c>
      <c r="P586" s="3" t="s">
        <v>102</v>
      </c>
      <c r="R586" s="3" t="s">
        <v>70</v>
      </c>
      <c r="S586" s="4">
        <v>3</v>
      </c>
      <c r="T586" s="4">
        <v>9</v>
      </c>
      <c r="U586" s="5" t="s">
        <v>1591</v>
      </c>
      <c r="V586" s="5" t="s">
        <v>1591</v>
      </c>
      <c r="W586" s="5" t="s">
        <v>72</v>
      </c>
      <c r="X586" s="5" t="s">
        <v>72</v>
      </c>
      <c r="Y586" s="4">
        <v>290</v>
      </c>
      <c r="Z586" s="4">
        <v>25</v>
      </c>
      <c r="AA586" s="4">
        <v>108</v>
      </c>
      <c r="AB586" s="4">
        <v>2</v>
      </c>
      <c r="AC586" s="4">
        <v>18</v>
      </c>
      <c r="AD586" s="4">
        <v>103</v>
      </c>
      <c r="AE586" s="4">
        <v>141</v>
      </c>
      <c r="AF586" s="4">
        <v>0</v>
      </c>
      <c r="AG586" s="4">
        <v>8</v>
      </c>
      <c r="AH586" s="4">
        <v>91</v>
      </c>
      <c r="AI586" s="4">
        <v>100</v>
      </c>
      <c r="AJ586" s="4">
        <v>16</v>
      </c>
      <c r="AK586" s="4">
        <v>26</v>
      </c>
      <c r="AL586" s="4">
        <v>51</v>
      </c>
      <c r="AM586" s="4">
        <v>56</v>
      </c>
      <c r="AN586" s="4">
        <v>0</v>
      </c>
      <c r="AO586" s="4">
        <v>0</v>
      </c>
      <c r="AP586" s="4">
        <v>19</v>
      </c>
      <c r="AQ586" s="4">
        <v>48</v>
      </c>
      <c r="AR586" s="3" t="s">
        <v>64</v>
      </c>
      <c r="AS586" s="3" t="s">
        <v>64</v>
      </c>
      <c r="AT586" s="3" t="s">
        <v>64</v>
      </c>
      <c r="AV586" s="6" t="str">
        <f>HYPERLINK("http://mcgill.on.worldcat.org/oclc/24373376","Catalog Record")</f>
        <v>Catalog Record</v>
      </c>
      <c r="AW586" s="6" t="str">
        <f>HYPERLINK("http://www.worldcat.org/oclc/24373376","WorldCat Record")</f>
        <v>WorldCat Record</v>
      </c>
      <c r="AX586" s="3" t="s">
        <v>5658</v>
      </c>
      <c r="AY586" s="3" t="s">
        <v>5659</v>
      </c>
      <c r="AZ586" s="3" t="s">
        <v>5660</v>
      </c>
      <c r="BA586" s="3" t="s">
        <v>5660</v>
      </c>
      <c r="BB586" s="3" t="s">
        <v>5664</v>
      </c>
      <c r="BC586" s="3" t="s">
        <v>77</v>
      </c>
      <c r="BD586" s="3" t="s">
        <v>78</v>
      </c>
      <c r="BE586" s="3" t="s">
        <v>5662</v>
      </c>
      <c r="BF586" s="3" t="s">
        <v>5664</v>
      </c>
      <c r="BG586" s="3" t="s">
        <v>5665</v>
      </c>
      <c r="BH586">
        <f t="shared" si="19"/>
        <v>0</v>
      </c>
    </row>
    <row r="587" spans="1:60" ht="58" x14ac:dyDescent="0.35">
      <c r="A587" s="2" t="s">
        <v>59</v>
      </c>
      <c r="B587" s="2" t="s">
        <v>60</v>
      </c>
      <c r="C587" s="2" t="s">
        <v>5654</v>
      </c>
      <c r="D587" s="2" t="s">
        <v>5655</v>
      </c>
      <c r="E587" s="2" t="s">
        <v>5656</v>
      </c>
      <c r="F587" s="3" t="s">
        <v>509</v>
      </c>
      <c r="G587" s="3" t="s">
        <v>128</v>
      </c>
      <c r="I587" s="3" t="s">
        <v>128</v>
      </c>
      <c r="J587" s="3" t="s">
        <v>64</v>
      </c>
      <c r="K587" s="3" t="s">
        <v>65</v>
      </c>
      <c r="L587" s="2" t="s">
        <v>4140</v>
      </c>
      <c r="M587" s="2" t="s">
        <v>5657</v>
      </c>
      <c r="N587" s="3" t="s">
        <v>1031</v>
      </c>
      <c r="P587" s="3" t="s">
        <v>102</v>
      </c>
      <c r="R587" s="3" t="s">
        <v>70</v>
      </c>
      <c r="S587" s="4">
        <v>2</v>
      </c>
      <c r="T587" s="4">
        <v>9</v>
      </c>
      <c r="U587" s="5" t="s">
        <v>1591</v>
      </c>
      <c r="V587" s="5" t="s">
        <v>1591</v>
      </c>
      <c r="W587" s="5" t="s">
        <v>72</v>
      </c>
      <c r="X587" s="5" t="s">
        <v>72</v>
      </c>
      <c r="Y587" s="4">
        <v>290</v>
      </c>
      <c r="Z587" s="4">
        <v>25</v>
      </c>
      <c r="AA587" s="4">
        <v>108</v>
      </c>
      <c r="AB587" s="4">
        <v>2</v>
      </c>
      <c r="AC587" s="4">
        <v>18</v>
      </c>
      <c r="AD587" s="4">
        <v>103</v>
      </c>
      <c r="AE587" s="4">
        <v>141</v>
      </c>
      <c r="AF587" s="4">
        <v>0</v>
      </c>
      <c r="AG587" s="4">
        <v>8</v>
      </c>
      <c r="AH587" s="4">
        <v>91</v>
      </c>
      <c r="AI587" s="4">
        <v>100</v>
      </c>
      <c r="AJ587" s="4">
        <v>16</v>
      </c>
      <c r="AK587" s="4">
        <v>26</v>
      </c>
      <c r="AL587" s="4">
        <v>51</v>
      </c>
      <c r="AM587" s="4">
        <v>56</v>
      </c>
      <c r="AN587" s="4">
        <v>0</v>
      </c>
      <c r="AO587" s="4">
        <v>0</v>
      </c>
      <c r="AP587" s="4">
        <v>19</v>
      </c>
      <c r="AQ587" s="4">
        <v>48</v>
      </c>
      <c r="AR587" s="3" t="s">
        <v>64</v>
      </c>
      <c r="AS587" s="3" t="s">
        <v>64</v>
      </c>
      <c r="AT587" s="3" t="s">
        <v>64</v>
      </c>
      <c r="AV587" s="6" t="str">
        <f>HYPERLINK("http://mcgill.on.worldcat.org/oclc/24373376","Catalog Record")</f>
        <v>Catalog Record</v>
      </c>
      <c r="AW587" s="6" t="str">
        <f>HYPERLINK("http://www.worldcat.org/oclc/24373376","WorldCat Record")</f>
        <v>WorldCat Record</v>
      </c>
      <c r="AX587" s="3" t="s">
        <v>5658</v>
      </c>
      <c r="AY587" s="3" t="s">
        <v>5659</v>
      </c>
      <c r="AZ587" s="3" t="s">
        <v>5660</v>
      </c>
      <c r="BA587" s="3" t="s">
        <v>5660</v>
      </c>
      <c r="BB587" s="3" t="s">
        <v>5666</v>
      </c>
      <c r="BC587" s="3" t="s">
        <v>77</v>
      </c>
      <c r="BD587" s="3" t="s">
        <v>78</v>
      </c>
      <c r="BE587" s="3" t="s">
        <v>5662</v>
      </c>
      <c r="BF587" s="3" t="s">
        <v>5666</v>
      </c>
      <c r="BG587" s="3" t="s">
        <v>5667</v>
      </c>
      <c r="BH587">
        <f t="shared" si="19"/>
        <v>0</v>
      </c>
    </row>
    <row r="588" spans="1:60" ht="58" x14ac:dyDescent="0.35">
      <c r="A588" s="2" t="s">
        <v>59</v>
      </c>
      <c r="B588" s="2" t="s">
        <v>60</v>
      </c>
      <c r="C588" s="2" t="s">
        <v>5668</v>
      </c>
      <c r="D588" s="2" t="s">
        <v>5669</v>
      </c>
      <c r="E588" s="2" t="s">
        <v>5670</v>
      </c>
      <c r="G588" s="3" t="s">
        <v>64</v>
      </c>
      <c r="I588" s="3" t="s">
        <v>128</v>
      </c>
      <c r="J588" s="3" t="s">
        <v>64</v>
      </c>
      <c r="K588" s="3" t="s">
        <v>65</v>
      </c>
      <c r="L588" s="2" t="s">
        <v>5671</v>
      </c>
      <c r="M588" s="2" t="s">
        <v>5672</v>
      </c>
      <c r="N588" s="3" t="s">
        <v>364</v>
      </c>
      <c r="O588" s="2" t="s">
        <v>5673</v>
      </c>
      <c r="P588" s="3" t="s">
        <v>102</v>
      </c>
      <c r="R588" s="3" t="s">
        <v>70</v>
      </c>
      <c r="S588" s="4">
        <v>4</v>
      </c>
      <c r="T588" s="4">
        <v>4</v>
      </c>
      <c r="U588" s="5" t="s">
        <v>3788</v>
      </c>
      <c r="V588" s="5" t="s">
        <v>3788</v>
      </c>
      <c r="W588" s="5" t="s">
        <v>72</v>
      </c>
      <c r="X588" s="5" t="s">
        <v>72</v>
      </c>
      <c r="Y588" s="4">
        <v>363</v>
      </c>
      <c r="Z588" s="4">
        <v>23</v>
      </c>
      <c r="AA588" s="4">
        <v>33</v>
      </c>
      <c r="AB588" s="4">
        <v>3</v>
      </c>
      <c r="AC588" s="4">
        <v>3</v>
      </c>
      <c r="AD588" s="4">
        <v>97</v>
      </c>
      <c r="AE588" s="4">
        <v>107</v>
      </c>
      <c r="AF588" s="4">
        <v>1</v>
      </c>
      <c r="AG588" s="4">
        <v>1</v>
      </c>
      <c r="AH588" s="4">
        <v>85</v>
      </c>
      <c r="AI588" s="4">
        <v>93</v>
      </c>
      <c r="AJ588" s="4">
        <v>10</v>
      </c>
      <c r="AK588" s="4">
        <v>15</v>
      </c>
      <c r="AL588" s="4">
        <v>49</v>
      </c>
      <c r="AM588" s="4">
        <v>52</v>
      </c>
      <c r="AN588" s="4">
        <v>0</v>
      </c>
      <c r="AO588" s="4">
        <v>0</v>
      </c>
      <c r="AP588" s="4">
        <v>12</v>
      </c>
      <c r="AQ588" s="4">
        <v>17</v>
      </c>
      <c r="AR588" s="3" t="s">
        <v>64</v>
      </c>
      <c r="AS588" s="3" t="s">
        <v>64</v>
      </c>
      <c r="AT588" s="3" t="s">
        <v>64</v>
      </c>
      <c r="AV588" s="6" t="str">
        <f>HYPERLINK("http://mcgill.on.worldcat.org/oclc/627971","Catalog Record")</f>
        <v>Catalog Record</v>
      </c>
      <c r="AW588" s="6" t="str">
        <f>HYPERLINK("http://www.worldcat.org/oclc/627971","WorldCat Record")</f>
        <v>WorldCat Record</v>
      </c>
      <c r="AX588" s="3" t="s">
        <v>5674</v>
      </c>
      <c r="AY588" s="3" t="s">
        <v>5675</v>
      </c>
      <c r="AZ588" s="3" t="s">
        <v>5676</v>
      </c>
      <c r="BA588" s="3" t="s">
        <v>5676</v>
      </c>
      <c r="BB588" s="3" t="s">
        <v>5677</v>
      </c>
      <c r="BC588" s="3" t="s">
        <v>77</v>
      </c>
      <c r="BD588" s="3" t="s">
        <v>78</v>
      </c>
      <c r="BE588" s="3" t="s">
        <v>5678</v>
      </c>
      <c r="BF588" s="3" t="s">
        <v>5677</v>
      </c>
      <c r="BG588" s="3" t="s">
        <v>5679</v>
      </c>
      <c r="BH588">
        <f t="shared" si="19"/>
        <v>0</v>
      </c>
    </row>
    <row r="589" spans="1:60" ht="58" x14ac:dyDescent="0.35">
      <c r="A589" s="2" t="s">
        <v>59</v>
      </c>
      <c r="B589" s="2" t="s">
        <v>60</v>
      </c>
      <c r="C589" s="2" t="s">
        <v>5680</v>
      </c>
      <c r="D589" s="2" t="s">
        <v>5681</v>
      </c>
      <c r="E589" s="2" t="s">
        <v>5682</v>
      </c>
      <c r="G589" s="3" t="s">
        <v>64</v>
      </c>
      <c r="I589" s="3" t="s">
        <v>64</v>
      </c>
      <c r="J589" s="3" t="s">
        <v>128</v>
      </c>
      <c r="K589" s="3" t="s">
        <v>65</v>
      </c>
      <c r="L589" s="2" t="s">
        <v>5683</v>
      </c>
      <c r="M589" s="2" t="s">
        <v>5684</v>
      </c>
      <c r="N589" s="3" t="s">
        <v>4548</v>
      </c>
      <c r="P589" s="3" t="s">
        <v>102</v>
      </c>
      <c r="R589" s="3" t="s">
        <v>70</v>
      </c>
      <c r="S589" s="4">
        <v>17</v>
      </c>
      <c r="T589" s="4">
        <v>17</v>
      </c>
      <c r="U589" s="5" t="s">
        <v>5685</v>
      </c>
      <c r="V589" s="5" t="s">
        <v>5685</v>
      </c>
      <c r="W589" s="5" t="s">
        <v>72</v>
      </c>
      <c r="X589" s="5" t="s">
        <v>72</v>
      </c>
      <c r="Y589" s="4">
        <v>348</v>
      </c>
      <c r="Z589" s="4">
        <v>28</v>
      </c>
      <c r="AA589" s="4">
        <v>37</v>
      </c>
      <c r="AB589" s="4">
        <v>3</v>
      </c>
      <c r="AC589" s="4">
        <v>4</v>
      </c>
      <c r="AD589" s="4">
        <v>66</v>
      </c>
      <c r="AE589" s="4">
        <v>123</v>
      </c>
      <c r="AF589" s="4">
        <v>1</v>
      </c>
      <c r="AG589" s="4">
        <v>2</v>
      </c>
      <c r="AH589" s="4">
        <v>51</v>
      </c>
      <c r="AI589" s="4">
        <v>103</v>
      </c>
      <c r="AJ589" s="4">
        <v>17</v>
      </c>
      <c r="AK589" s="4">
        <v>20</v>
      </c>
      <c r="AL589" s="4">
        <v>22</v>
      </c>
      <c r="AM589" s="4">
        <v>56</v>
      </c>
      <c r="AN589" s="4">
        <v>0</v>
      </c>
      <c r="AO589" s="4">
        <v>0</v>
      </c>
      <c r="AP589" s="4">
        <v>21</v>
      </c>
      <c r="AQ589" s="4">
        <v>28</v>
      </c>
      <c r="AR589" s="3" t="s">
        <v>64</v>
      </c>
      <c r="AS589" s="3" t="s">
        <v>64</v>
      </c>
      <c r="AT589" s="3" t="s">
        <v>128</v>
      </c>
      <c r="AU589" s="6" t="str">
        <f>HYPERLINK("http://catalog.hathitrust.org/Record/001160340","HathiTrust Record")</f>
        <v>HathiTrust Record</v>
      </c>
      <c r="AV589" s="6" t="str">
        <f>HYPERLINK("http://mcgill.on.worldcat.org/oclc/268284","Catalog Record")</f>
        <v>Catalog Record</v>
      </c>
      <c r="AW589" s="6" t="str">
        <f>HYPERLINK("http://www.worldcat.org/oclc/268284","WorldCat Record")</f>
        <v>WorldCat Record</v>
      </c>
      <c r="AX589" s="3" t="s">
        <v>5686</v>
      </c>
      <c r="AY589" s="3" t="s">
        <v>5687</v>
      </c>
      <c r="AZ589" s="3" t="s">
        <v>5688</v>
      </c>
      <c r="BA589" s="3" t="s">
        <v>5688</v>
      </c>
      <c r="BB589" s="3" t="s">
        <v>5689</v>
      </c>
      <c r="BC589" s="3" t="s">
        <v>77</v>
      </c>
      <c r="BD589" s="3" t="s">
        <v>78</v>
      </c>
      <c r="BF589" s="3" t="s">
        <v>5689</v>
      </c>
      <c r="BG589" s="3" t="s">
        <v>5690</v>
      </c>
      <c r="BH589">
        <f t="shared" si="19"/>
        <v>0</v>
      </c>
    </row>
    <row r="590" spans="1:60" ht="58" x14ac:dyDescent="0.35">
      <c r="A590" s="2" t="s">
        <v>59</v>
      </c>
      <c r="B590" s="2" t="s">
        <v>60</v>
      </c>
      <c r="C590" s="2" t="s">
        <v>5691</v>
      </c>
      <c r="D590" s="2" t="s">
        <v>5692</v>
      </c>
      <c r="E590" s="2" t="s">
        <v>5693</v>
      </c>
      <c r="G590" s="3" t="s">
        <v>64</v>
      </c>
      <c r="I590" s="3" t="s">
        <v>64</v>
      </c>
      <c r="J590" s="3" t="s">
        <v>128</v>
      </c>
      <c r="K590" s="3" t="s">
        <v>65</v>
      </c>
      <c r="L590" s="2" t="s">
        <v>5694</v>
      </c>
      <c r="M590" s="2" t="s">
        <v>5695</v>
      </c>
      <c r="N590" s="3" t="s">
        <v>1750</v>
      </c>
      <c r="P590" s="3" t="s">
        <v>102</v>
      </c>
      <c r="R590" s="3" t="s">
        <v>70</v>
      </c>
      <c r="S590" s="4">
        <v>29</v>
      </c>
      <c r="T590" s="4">
        <v>29</v>
      </c>
      <c r="U590" s="5" t="s">
        <v>5685</v>
      </c>
      <c r="V590" s="5" t="s">
        <v>5685</v>
      </c>
      <c r="W590" s="5" t="s">
        <v>72</v>
      </c>
      <c r="X590" s="5" t="s">
        <v>72</v>
      </c>
      <c r="Y590" s="4">
        <v>1</v>
      </c>
      <c r="Z590" s="4">
        <v>1</v>
      </c>
      <c r="AA590" s="4">
        <v>39</v>
      </c>
      <c r="AB590" s="4">
        <v>1</v>
      </c>
      <c r="AC590" s="4">
        <v>4</v>
      </c>
      <c r="AD590" s="4">
        <v>0</v>
      </c>
      <c r="AE590" s="4">
        <v>121</v>
      </c>
      <c r="AF590" s="4">
        <v>0</v>
      </c>
      <c r="AG590" s="4">
        <v>2</v>
      </c>
      <c r="AH590" s="4">
        <v>0</v>
      </c>
      <c r="AI590" s="4">
        <v>100</v>
      </c>
      <c r="AJ590" s="4">
        <v>0</v>
      </c>
      <c r="AK590" s="4">
        <v>21</v>
      </c>
      <c r="AL590" s="4">
        <v>0</v>
      </c>
      <c r="AM590" s="4">
        <v>53</v>
      </c>
      <c r="AN590" s="4">
        <v>0</v>
      </c>
      <c r="AO590" s="4">
        <v>0</v>
      </c>
      <c r="AP590" s="4">
        <v>0</v>
      </c>
      <c r="AQ590" s="4">
        <v>29</v>
      </c>
      <c r="AR590" s="3" t="s">
        <v>64</v>
      </c>
      <c r="AS590" s="3" t="s">
        <v>64</v>
      </c>
      <c r="AT590" s="3" t="s">
        <v>64</v>
      </c>
      <c r="AV590" s="6" t="str">
        <f>HYPERLINK("http://mcgill.on.worldcat.org/oclc/427325557","Catalog Record")</f>
        <v>Catalog Record</v>
      </c>
      <c r="AW590" s="6" t="str">
        <f>HYPERLINK("http://www.worldcat.org/oclc/427325557","WorldCat Record")</f>
        <v>WorldCat Record</v>
      </c>
      <c r="AX590" s="3" t="s">
        <v>5696</v>
      </c>
      <c r="AY590" s="3" t="s">
        <v>5697</v>
      </c>
      <c r="AZ590" s="3" t="s">
        <v>5698</v>
      </c>
      <c r="BA590" s="3" t="s">
        <v>5698</v>
      </c>
      <c r="BB590" s="3" t="s">
        <v>5699</v>
      </c>
      <c r="BC590" s="3" t="s">
        <v>77</v>
      </c>
      <c r="BD590" s="3" t="s">
        <v>78</v>
      </c>
      <c r="BF590" s="3" t="s">
        <v>5699</v>
      </c>
      <c r="BG590" s="3" t="s">
        <v>5700</v>
      </c>
      <c r="BH590">
        <f t="shared" si="19"/>
        <v>0</v>
      </c>
    </row>
    <row r="591" spans="1:60" ht="58" x14ac:dyDescent="0.35">
      <c r="A591" s="2" t="s">
        <v>59</v>
      </c>
      <c r="B591" s="2" t="s">
        <v>60</v>
      </c>
      <c r="C591" s="2" t="s">
        <v>5701</v>
      </c>
      <c r="D591" s="2" t="s">
        <v>5702</v>
      </c>
      <c r="E591" s="2" t="s">
        <v>5703</v>
      </c>
      <c r="G591" s="3" t="s">
        <v>64</v>
      </c>
      <c r="I591" s="3" t="s">
        <v>64</v>
      </c>
      <c r="J591" s="3" t="s">
        <v>64</v>
      </c>
      <c r="K591" s="3" t="s">
        <v>65</v>
      </c>
      <c r="L591" s="2" t="s">
        <v>5694</v>
      </c>
      <c r="M591" s="2" t="s">
        <v>5704</v>
      </c>
      <c r="N591" s="3" t="s">
        <v>481</v>
      </c>
      <c r="P591" s="3" t="s">
        <v>102</v>
      </c>
      <c r="Q591" s="2" t="s">
        <v>5705</v>
      </c>
      <c r="R591" s="3" t="s">
        <v>70</v>
      </c>
      <c r="S591" s="4">
        <v>34</v>
      </c>
      <c r="T591" s="4">
        <v>34</v>
      </c>
      <c r="U591" s="5" t="s">
        <v>5685</v>
      </c>
      <c r="V591" s="5" t="s">
        <v>5685</v>
      </c>
      <c r="W591" s="5" t="s">
        <v>72</v>
      </c>
      <c r="X591" s="5" t="s">
        <v>72</v>
      </c>
      <c r="Y591" s="4">
        <v>572</v>
      </c>
      <c r="Z591" s="4">
        <v>41</v>
      </c>
      <c r="AA591" s="4">
        <v>45</v>
      </c>
      <c r="AB591" s="4">
        <v>4</v>
      </c>
      <c r="AC591" s="4">
        <v>6</v>
      </c>
      <c r="AD591" s="4">
        <v>116</v>
      </c>
      <c r="AE591" s="4">
        <v>126</v>
      </c>
      <c r="AF591" s="4">
        <v>2</v>
      </c>
      <c r="AG591" s="4">
        <v>4</v>
      </c>
      <c r="AH591" s="4">
        <v>96</v>
      </c>
      <c r="AI591" s="4">
        <v>102</v>
      </c>
      <c r="AJ591" s="4">
        <v>21</v>
      </c>
      <c r="AK591" s="4">
        <v>24</v>
      </c>
      <c r="AL591" s="4">
        <v>53</v>
      </c>
      <c r="AM591" s="4">
        <v>55</v>
      </c>
      <c r="AN591" s="4">
        <v>0</v>
      </c>
      <c r="AO591" s="4">
        <v>0</v>
      </c>
      <c r="AP591" s="4">
        <v>29</v>
      </c>
      <c r="AQ591" s="4">
        <v>32</v>
      </c>
      <c r="AR591" s="3" t="s">
        <v>64</v>
      </c>
      <c r="AS591" s="3" t="s">
        <v>64</v>
      </c>
      <c r="AT591" s="3" t="s">
        <v>64</v>
      </c>
      <c r="AV591" s="6" t="str">
        <f>HYPERLINK("http://mcgill.on.worldcat.org/oclc/31010","Catalog Record")</f>
        <v>Catalog Record</v>
      </c>
      <c r="AW591" s="6" t="str">
        <f>HYPERLINK("http://www.worldcat.org/oclc/31010","WorldCat Record")</f>
        <v>WorldCat Record</v>
      </c>
      <c r="AX591" s="3" t="s">
        <v>5706</v>
      </c>
      <c r="AY591" s="3" t="s">
        <v>5707</v>
      </c>
      <c r="AZ591" s="3" t="s">
        <v>5708</v>
      </c>
      <c r="BA591" s="3" t="s">
        <v>5708</v>
      </c>
      <c r="BB591" s="3" t="s">
        <v>5709</v>
      </c>
      <c r="BC591" s="3" t="s">
        <v>77</v>
      </c>
      <c r="BD591" s="3" t="s">
        <v>78</v>
      </c>
      <c r="BE591" s="3" t="s">
        <v>5710</v>
      </c>
      <c r="BF591" s="3" t="s">
        <v>5709</v>
      </c>
      <c r="BG591" s="3" t="s">
        <v>5711</v>
      </c>
      <c r="BH591">
        <f t="shared" si="19"/>
        <v>0</v>
      </c>
    </row>
    <row r="592" spans="1:60" ht="58" x14ac:dyDescent="0.35">
      <c r="A592" s="2" t="s">
        <v>59</v>
      </c>
      <c r="B592" s="2" t="s">
        <v>60</v>
      </c>
      <c r="C592" s="2" t="s">
        <v>5712</v>
      </c>
      <c r="D592" s="2" t="s">
        <v>5713</v>
      </c>
      <c r="E592" s="2" t="s">
        <v>5714</v>
      </c>
      <c r="G592" s="3" t="s">
        <v>64</v>
      </c>
      <c r="I592" s="3" t="s">
        <v>64</v>
      </c>
      <c r="J592" s="3" t="s">
        <v>64</v>
      </c>
      <c r="K592" s="3" t="s">
        <v>65</v>
      </c>
      <c r="L592" s="2" t="s">
        <v>5694</v>
      </c>
      <c r="M592" s="2" t="s">
        <v>5715</v>
      </c>
      <c r="N592" s="3" t="s">
        <v>1061</v>
      </c>
      <c r="P592" s="3" t="s">
        <v>102</v>
      </c>
      <c r="Q592" s="2" t="s">
        <v>5716</v>
      </c>
      <c r="R592" s="3" t="s">
        <v>70</v>
      </c>
      <c r="S592" s="4">
        <v>2</v>
      </c>
      <c r="T592" s="4">
        <v>2</v>
      </c>
      <c r="U592" s="5" t="s">
        <v>1591</v>
      </c>
      <c r="V592" s="5" t="s">
        <v>1591</v>
      </c>
      <c r="W592" s="5" t="s">
        <v>72</v>
      </c>
      <c r="X592" s="5" t="s">
        <v>72</v>
      </c>
      <c r="Y592" s="4">
        <v>241</v>
      </c>
      <c r="Z592" s="4">
        <v>19</v>
      </c>
      <c r="AA592" s="4">
        <v>19</v>
      </c>
      <c r="AB592" s="4">
        <v>1</v>
      </c>
      <c r="AC592" s="4">
        <v>1</v>
      </c>
      <c r="AD592" s="4">
        <v>92</v>
      </c>
      <c r="AE592" s="4">
        <v>92</v>
      </c>
      <c r="AF592" s="4">
        <v>0</v>
      </c>
      <c r="AG592" s="4">
        <v>0</v>
      </c>
      <c r="AH592" s="4">
        <v>83</v>
      </c>
      <c r="AI592" s="4">
        <v>83</v>
      </c>
      <c r="AJ592" s="4">
        <v>14</v>
      </c>
      <c r="AK592" s="4">
        <v>14</v>
      </c>
      <c r="AL592" s="4">
        <v>47</v>
      </c>
      <c r="AM592" s="4">
        <v>47</v>
      </c>
      <c r="AN592" s="4">
        <v>0</v>
      </c>
      <c r="AO592" s="4">
        <v>0</v>
      </c>
      <c r="AP592" s="4">
        <v>15</v>
      </c>
      <c r="AQ592" s="4">
        <v>15</v>
      </c>
      <c r="AR592" s="3" t="s">
        <v>64</v>
      </c>
      <c r="AS592" s="3" t="s">
        <v>64</v>
      </c>
      <c r="AT592" s="3" t="s">
        <v>64</v>
      </c>
      <c r="AV592" s="6" t="str">
        <f>HYPERLINK("http://mcgill.on.worldcat.org/oclc/11814422","Catalog Record")</f>
        <v>Catalog Record</v>
      </c>
      <c r="AW592" s="6" t="str">
        <f>HYPERLINK("http://www.worldcat.org/oclc/11814422","WorldCat Record")</f>
        <v>WorldCat Record</v>
      </c>
      <c r="AX592" s="3" t="s">
        <v>5717</v>
      </c>
      <c r="AY592" s="3" t="s">
        <v>5718</v>
      </c>
      <c r="AZ592" s="3" t="s">
        <v>5719</v>
      </c>
      <c r="BA592" s="3" t="s">
        <v>5719</v>
      </c>
      <c r="BB592" s="3" t="s">
        <v>5720</v>
      </c>
      <c r="BC592" s="3" t="s">
        <v>77</v>
      </c>
      <c r="BD592" s="3" t="s">
        <v>78</v>
      </c>
      <c r="BE592" s="3" t="s">
        <v>5721</v>
      </c>
      <c r="BF592" s="3" t="s">
        <v>5720</v>
      </c>
      <c r="BG592" s="3" t="s">
        <v>5722</v>
      </c>
      <c r="BH592">
        <f t="shared" si="19"/>
        <v>0</v>
      </c>
    </row>
    <row r="593" spans="1:60" ht="58" x14ac:dyDescent="0.35">
      <c r="A593" s="2" t="s">
        <v>59</v>
      </c>
      <c r="B593" s="2" t="s">
        <v>60</v>
      </c>
      <c r="C593" s="2" t="s">
        <v>5723</v>
      </c>
      <c r="D593" s="2" t="s">
        <v>5724</v>
      </c>
      <c r="E593" s="2" t="s">
        <v>5725</v>
      </c>
      <c r="G593" s="3" t="s">
        <v>64</v>
      </c>
      <c r="I593" s="3" t="s">
        <v>64</v>
      </c>
      <c r="J593" s="3" t="s">
        <v>64</v>
      </c>
      <c r="K593" s="3" t="s">
        <v>65</v>
      </c>
      <c r="L593" s="2" t="s">
        <v>5694</v>
      </c>
      <c r="M593" s="2" t="s">
        <v>5726</v>
      </c>
      <c r="N593" s="3" t="s">
        <v>1087</v>
      </c>
      <c r="P593" s="3" t="s">
        <v>102</v>
      </c>
      <c r="R593" s="3" t="s">
        <v>70</v>
      </c>
      <c r="S593" s="4">
        <v>4</v>
      </c>
      <c r="T593" s="4">
        <v>4</v>
      </c>
      <c r="U593" s="5" t="s">
        <v>5685</v>
      </c>
      <c r="V593" s="5" t="s">
        <v>5685</v>
      </c>
      <c r="W593" s="5" t="s">
        <v>72</v>
      </c>
      <c r="X593" s="5" t="s">
        <v>72</v>
      </c>
      <c r="Y593" s="4">
        <v>228</v>
      </c>
      <c r="Z593" s="4">
        <v>18</v>
      </c>
      <c r="AA593" s="4">
        <v>39</v>
      </c>
      <c r="AB593" s="4">
        <v>1</v>
      </c>
      <c r="AC593" s="4">
        <v>6</v>
      </c>
      <c r="AD593" s="4">
        <v>89</v>
      </c>
      <c r="AE593" s="4">
        <v>93</v>
      </c>
      <c r="AF593" s="4">
        <v>0</v>
      </c>
      <c r="AG593" s="4">
        <v>0</v>
      </c>
      <c r="AH593" s="4">
        <v>82</v>
      </c>
      <c r="AI593" s="4">
        <v>83</v>
      </c>
      <c r="AJ593" s="4">
        <v>12</v>
      </c>
      <c r="AK593" s="4">
        <v>12</v>
      </c>
      <c r="AL593" s="4">
        <v>47</v>
      </c>
      <c r="AM593" s="4">
        <v>47</v>
      </c>
      <c r="AN593" s="4">
        <v>0</v>
      </c>
      <c r="AO593" s="4">
        <v>0</v>
      </c>
      <c r="AP593" s="4">
        <v>14</v>
      </c>
      <c r="AQ593" s="4">
        <v>17</v>
      </c>
      <c r="AR593" s="3" t="s">
        <v>64</v>
      </c>
      <c r="AS593" s="3" t="s">
        <v>64</v>
      </c>
      <c r="AT593" s="3" t="s">
        <v>64</v>
      </c>
      <c r="AV593" s="6" t="str">
        <f>HYPERLINK("http://mcgill.on.worldcat.org/oclc/23733610","Catalog Record")</f>
        <v>Catalog Record</v>
      </c>
      <c r="AW593" s="6" t="str">
        <f>HYPERLINK("http://www.worldcat.org/oclc/23733610","WorldCat Record")</f>
        <v>WorldCat Record</v>
      </c>
      <c r="AX593" s="3" t="s">
        <v>5727</v>
      </c>
      <c r="AY593" s="3" t="s">
        <v>5728</v>
      </c>
      <c r="AZ593" s="3" t="s">
        <v>5729</v>
      </c>
      <c r="BA593" s="3" t="s">
        <v>5729</v>
      </c>
      <c r="BB593" s="3" t="s">
        <v>5730</v>
      </c>
      <c r="BC593" s="3" t="s">
        <v>77</v>
      </c>
      <c r="BD593" s="3" t="s">
        <v>78</v>
      </c>
      <c r="BE593" s="3" t="s">
        <v>5731</v>
      </c>
      <c r="BF593" s="3" t="s">
        <v>5730</v>
      </c>
      <c r="BG593" s="3" t="s">
        <v>5732</v>
      </c>
      <c r="BH593">
        <f t="shared" si="19"/>
        <v>0</v>
      </c>
    </row>
    <row r="594" spans="1:60" ht="58" x14ac:dyDescent="0.35">
      <c r="A594" s="2" t="s">
        <v>59</v>
      </c>
      <c r="B594" s="2" t="s">
        <v>60</v>
      </c>
      <c r="C594" s="2" t="s">
        <v>5733</v>
      </c>
      <c r="D594" s="2" t="s">
        <v>5734</v>
      </c>
      <c r="E594" s="2" t="s">
        <v>5735</v>
      </c>
      <c r="G594" s="3" t="s">
        <v>64</v>
      </c>
      <c r="I594" s="3" t="s">
        <v>64</v>
      </c>
      <c r="J594" s="3" t="s">
        <v>64</v>
      </c>
      <c r="K594" s="3" t="s">
        <v>65</v>
      </c>
      <c r="M594" s="2" t="s">
        <v>5736</v>
      </c>
      <c r="N594" s="3" t="s">
        <v>5737</v>
      </c>
      <c r="P594" s="3" t="s">
        <v>102</v>
      </c>
      <c r="R594" s="3" t="s">
        <v>70</v>
      </c>
      <c r="S594" s="4">
        <v>15</v>
      </c>
      <c r="T594" s="4">
        <v>15</v>
      </c>
      <c r="U594" s="5" t="s">
        <v>5738</v>
      </c>
      <c r="V594" s="5" t="s">
        <v>5738</v>
      </c>
      <c r="W594" s="5" t="s">
        <v>72</v>
      </c>
      <c r="X594" s="5" t="s">
        <v>72</v>
      </c>
      <c r="Y594" s="4">
        <v>2</v>
      </c>
      <c r="Z594" s="4">
        <v>1</v>
      </c>
      <c r="AA594" s="4">
        <v>1</v>
      </c>
      <c r="AB594" s="4">
        <v>1</v>
      </c>
      <c r="AC594" s="4">
        <v>1</v>
      </c>
      <c r="AD594" s="4">
        <v>0</v>
      </c>
      <c r="AE594" s="4">
        <v>3</v>
      </c>
      <c r="AF594" s="4">
        <v>0</v>
      </c>
      <c r="AG594" s="4">
        <v>0</v>
      </c>
      <c r="AH594" s="4">
        <v>0</v>
      </c>
      <c r="AI594" s="4">
        <v>3</v>
      </c>
      <c r="AJ594" s="4">
        <v>0</v>
      </c>
      <c r="AK594" s="4">
        <v>0</v>
      </c>
      <c r="AL594" s="4">
        <v>0</v>
      </c>
      <c r="AM594" s="4">
        <v>2</v>
      </c>
      <c r="AN594" s="4">
        <v>0</v>
      </c>
      <c r="AO594" s="4">
        <v>0</v>
      </c>
      <c r="AP594" s="4">
        <v>0</v>
      </c>
      <c r="AQ594" s="4">
        <v>0</v>
      </c>
      <c r="AR594" s="3" t="s">
        <v>64</v>
      </c>
      <c r="AS594" s="3" t="s">
        <v>64</v>
      </c>
      <c r="AT594" s="3" t="s">
        <v>64</v>
      </c>
      <c r="AV594" s="6" t="str">
        <f>HYPERLINK("http://mcgill.on.worldcat.org/oclc/61613288","Catalog Record")</f>
        <v>Catalog Record</v>
      </c>
      <c r="AW594" s="6" t="str">
        <f>HYPERLINK("http://www.worldcat.org/oclc/61613288","WorldCat Record")</f>
        <v>WorldCat Record</v>
      </c>
      <c r="AX594" s="3" t="s">
        <v>5739</v>
      </c>
      <c r="AY594" s="3" t="s">
        <v>5740</v>
      </c>
      <c r="AZ594" s="3" t="s">
        <v>5741</v>
      </c>
      <c r="BA594" s="3" t="s">
        <v>5741</v>
      </c>
      <c r="BB594" s="3" t="s">
        <v>5742</v>
      </c>
      <c r="BC594" s="3" t="s">
        <v>77</v>
      </c>
      <c r="BD594" s="3" t="s">
        <v>78</v>
      </c>
      <c r="BF594" s="3" t="s">
        <v>5742</v>
      </c>
      <c r="BG594" s="3" t="s">
        <v>5743</v>
      </c>
      <c r="BH594">
        <f t="shared" si="19"/>
        <v>0</v>
      </c>
    </row>
    <row r="595" spans="1:60" ht="58" x14ac:dyDescent="0.35">
      <c r="A595" s="2" t="s">
        <v>59</v>
      </c>
      <c r="B595" s="2" t="s">
        <v>60</v>
      </c>
      <c r="C595" s="2" t="s">
        <v>5744</v>
      </c>
      <c r="D595" s="2" t="s">
        <v>5745</v>
      </c>
      <c r="E595" s="2" t="s">
        <v>5746</v>
      </c>
      <c r="G595" s="3" t="s">
        <v>64</v>
      </c>
      <c r="I595" s="3" t="s">
        <v>64</v>
      </c>
      <c r="J595" s="3" t="s">
        <v>64</v>
      </c>
      <c r="K595" s="3" t="s">
        <v>65</v>
      </c>
      <c r="M595" s="2" t="s">
        <v>5747</v>
      </c>
      <c r="N595" s="3" t="s">
        <v>171</v>
      </c>
      <c r="P595" s="3" t="s">
        <v>102</v>
      </c>
      <c r="R595" s="3" t="s">
        <v>70</v>
      </c>
      <c r="S595" s="4">
        <v>18</v>
      </c>
      <c r="T595" s="4">
        <v>18</v>
      </c>
      <c r="U595" s="5" t="s">
        <v>4804</v>
      </c>
      <c r="V595" s="5" t="s">
        <v>4804</v>
      </c>
      <c r="W595" s="5" t="s">
        <v>72</v>
      </c>
      <c r="X595" s="5" t="s">
        <v>72</v>
      </c>
      <c r="Y595" s="4">
        <v>226</v>
      </c>
      <c r="Z595" s="4">
        <v>21</v>
      </c>
      <c r="AA595" s="4">
        <v>21</v>
      </c>
      <c r="AB595" s="4">
        <v>2</v>
      </c>
      <c r="AC595" s="4">
        <v>2</v>
      </c>
      <c r="AD595" s="4">
        <v>87</v>
      </c>
      <c r="AE595" s="4">
        <v>87</v>
      </c>
      <c r="AF595" s="4">
        <v>1</v>
      </c>
      <c r="AG595" s="4">
        <v>1</v>
      </c>
      <c r="AH595" s="4">
        <v>75</v>
      </c>
      <c r="AI595" s="4">
        <v>75</v>
      </c>
      <c r="AJ595" s="4">
        <v>15</v>
      </c>
      <c r="AK595" s="4">
        <v>15</v>
      </c>
      <c r="AL595" s="4">
        <v>45</v>
      </c>
      <c r="AM595" s="4">
        <v>45</v>
      </c>
      <c r="AN595" s="4">
        <v>0</v>
      </c>
      <c r="AO595" s="4">
        <v>0</v>
      </c>
      <c r="AP595" s="4">
        <v>17</v>
      </c>
      <c r="AQ595" s="4">
        <v>17</v>
      </c>
      <c r="AR595" s="3" t="s">
        <v>64</v>
      </c>
      <c r="AS595" s="3" t="s">
        <v>64</v>
      </c>
      <c r="AT595" s="3" t="s">
        <v>64</v>
      </c>
      <c r="AV595" s="6" t="str">
        <f>HYPERLINK("http://mcgill.on.worldcat.org/oclc/62392998","Catalog Record")</f>
        <v>Catalog Record</v>
      </c>
      <c r="AW595" s="6" t="str">
        <f>HYPERLINK("http://www.worldcat.org/oclc/62392998","WorldCat Record")</f>
        <v>WorldCat Record</v>
      </c>
      <c r="AX595" s="3" t="s">
        <v>5748</v>
      </c>
      <c r="AY595" s="3" t="s">
        <v>5749</v>
      </c>
      <c r="AZ595" s="3" t="s">
        <v>5750</v>
      </c>
      <c r="BA595" s="3" t="s">
        <v>5750</v>
      </c>
      <c r="BB595" s="3" t="s">
        <v>5751</v>
      </c>
      <c r="BC595" s="3" t="s">
        <v>77</v>
      </c>
      <c r="BD595" s="3" t="s">
        <v>78</v>
      </c>
      <c r="BE595" s="3" t="s">
        <v>5752</v>
      </c>
      <c r="BF595" s="3" t="s">
        <v>5751</v>
      </c>
      <c r="BG595" s="3" t="s">
        <v>5753</v>
      </c>
      <c r="BH595">
        <f t="shared" si="19"/>
        <v>0</v>
      </c>
    </row>
    <row r="596" spans="1:60" ht="58" x14ac:dyDescent="0.35">
      <c r="A596" s="2" t="s">
        <v>59</v>
      </c>
      <c r="B596" s="2" t="s">
        <v>60</v>
      </c>
      <c r="C596" s="2" t="s">
        <v>5754</v>
      </c>
      <c r="D596" s="2" t="s">
        <v>5755</v>
      </c>
      <c r="E596" s="2" t="s">
        <v>5756</v>
      </c>
      <c r="G596" s="3" t="s">
        <v>64</v>
      </c>
      <c r="I596" s="3" t="s">
        <v>64</v>
      </c>
      <c r="J596" s="3" t="s">
        <v>64</v>
      </c>
      <c r="K596" s="3" t="s">
        <v>65</v>
      </c>
      <c r="L596" s="2" t="s">
        <v>5757</v>
      </c>
      <c r="M596" s="2" t="s">
        <v>5758</v>
      </c>
      <c r="N596" s="3" t="s">
        <v>405</v>
      </c>
      <c r="P596" s="3" t="s">
        <v>102</v>
      </c>
      <c r="R596" s="3" t="s">
        <v>70</v>
      </c>
      <c r="S596" s="4">
        <v>27</v>
      </c>
      <c r="T596" s="4">
        <v>27</v>
      </c>
      <c r="U596" s="5" t="s">
        <v>5738</v>
      </c>
      <c r="V596" s="5" t="s">
        <v>5738</v>
      </c>
      <c r="W596" s="5" t="s">
        <v>72</v>
      </c>
      <c r="X596" s="5" t="s">
        <v>72</v>
      </c>
      <c r="Y596" s="4">
        <v>185</v>
      </c>
      <c r="Z596" s="4">
        <v>19</v>
      </c>
      <c r="AA596" s="4">
        <v>25</v>
      </c>
      <c r="AB596" s="4">
        <v>1</v>
      </c>
      <c r="AC596" s="4">
        <v>1</v>
      </c>
      <c r="AD596" s="4">
        <v>57</v>
      </c>
      <c r="AE596" s="4">
        <v>89</v>
      </c>
      <c r="AF596" s="4">
        <v>0</v>
      </c>
      <c r="AG596" s="4">
        <v>0</v>
      </c>
      <c r="AH596" s="4">
        <v>50</v>
      </c>
      <c r="AI596" s="4">
        <v>78</v>
      </c>
      <c r="AJ596" s="4">
        <v>12</v>
      </c>
      <c r="AK596" s="4">
        <v>13</v>
      </c>
      <c r="AL596" s="4">
        <v>31</v>
      </c>
      <c r="AM596" s="4">
        <v>46</v>
      </c>
      <c r="AN596" s="4">
        <v>0</v>
      </c>
      <c r="AO596" s="4">
        <v>0</v>
      </c>
      <c r="AP596" s="4">
        <v>11</v>
      </c>
      <c r="AQ596" s="4">
        <v>14</v>
      </c>
      <c r="AR596" s="3" t="s">
        <v>64</v>
      </c>
      <c r="AS596" s="3" t="s">
        <v>64</v>
      </c>
      <c r="AT596" s="3" t="s">
        <v>64</v>
      </c>
      <c r="AV596" s="6" t="str">
        <f>HYPERLINK("http://mcgill.on.worldcat.org/oclc/2645159","Catalog Record")</f>
        <v>Catalog Record</v>
      </c>
      <c r="AW596" s="6" t="str">
        <f>HYPERLINK("http://www.worldcat.org/oclc/2645159","WorldCat Record")</f>
        <v>WorldCat Record</v>
      </c>
      <c r="AX596" s="3" t="s">
        <v>5759</v>
      </c>
      <c r="AY596" s="3" t="s">
        <v>5760</v>
      </c>
      <c r="AZ596" s="3" t="s">
        <v>5761</v>
      </c>
      <c r="BA596" s="3" t="s">
        <v>5761</v>
      </c>
      <c r="BB596" s="3" t="s">
        <v>5762</v>
      </c>
      <c r="BC596" s="3" t="s">
        <v>77</v>
      </c>
      <c r="BD596" s="3" t="s">
        <v>78</v>
      </c>
      <c r="BE596" s="3" t="s">
        <v>5763</v>
      </c>
      <c r="BF596" s="3" t="s">
        <v>5762</v>
      </c>
      <c r="BG596" s="3" t="s">
        <v>5764</v>
      </c>
      <c r="BH596">
        <f t="shared" si="19"/>
        <v>0</v>
      </c>
    </row>
    <row r="597" spans="1:60" ht="58" x14ac:dyDescent="0.35">
      <c r="A597" s="2" t="s">
        <v>59</v>
      </c>
      <c r="B597" s="2" t="s">
        <v>60</v>
      </c>
      <c r="C597" s="2" t="s">
        <v>5765</v>
      </c>
      <c r="D597" s="2" t="s">
        <v>5766</v>
      </c>
      <c r="E597" s="2" t="s">
        <v>5767</v>
      </c>
      <c r="G597" s="3" t="s">
        <v>64</v>
      </c>
      <c r="I597" s="3" t="s">
        <v>64</v>
      </c>
      <c r="J597" s="3" t="s">
        <v>64</v>
      </c>
      <c r="K597" s="3" t="s">
        <v>65</v>
      </c>
      <c r="L597" s="2" t="s">
        <v>5768</v>
      </c>
      <c r="M597" s="2" t="s">
        <v>5769</v>
      </c>
      <c r="N597" s="3" t="s">
        <v>5770</v>
      </c>
      <c r="P597" s="3" t="s">
        <v>102</v>
      </c>
      <c r="Q597" s="2" t="s">
        <v>5771</v>
      </c>
      <c r="R597" s="3" t="s">
        <v>70</v>
      </c>
      <c r="S597" s="4">
        <v>14</v>
      </c>
      <c r="T597" s="4">
        <v>14</v>
      </c>
      <c r="U597" s="5" t="s">
        <v>5738</v>
      </c>
      <c r="V597" s="5" t="s">
        <v>5738</v>
      </c>
      <c r="W597" s="5" t="s">
        <v>72</v>
      </c>
      <c r="X597" s="5" t="s">
        <v>72</v>
      </c>
      <c r="Y597" s="4">
        <v>33</v>
      </c>
      <c r="Z597" s="4">
        <v>3</v>
      </c>
      <c r="AA597" s="4">
        <v>6</v>
      </c>
      <c r="AB597" s="4">
        <v>1</v>
      </c>
      <c r="AC597" s="4">
        <v>2</v>
      </c>
      <c r="AD597" s="4">
        <v>8</v>
      </c>
      <c r="AE597" s="4">
        <v>10</v>
      </c>
      <c r="AF597" s="4">
        <v>0</v>
      </c>
      <c r="AG597" s="4">
        <v>0</v>
      </c>
      <c r="AH597" s="4">
        <v>7</v>
      </c>
      <c r="AI597" s="4">
        <v>7</v>
      </c>
      <c r="AJ597" s="4">
        <v>1</v>
      </c>
      <c r="AK597" s="4">
        <v>2</v>
      </c>
      <c r="AL597" s="4">
        <v>2</v>
      </c>
      <c r="AM597" s="4">
        <v>2</v>
      </c>
      <c r="AN597" s="4">
        <v>0</v>
      </c>
      <c r="AO597" s="4">
        <v>0</v>
      </c>
      <c r="AP597" s="4">
        <v>1</v>
      </c>
      <c r="AQ597" s="4">
        <v>3</v>
      </c>
      <c r="AR597" s="3" t="s">
        <v>64</v>
      </c>
      <c r="AS597" s="3" t="s">
        <v>64</v>
      </c>
      <c r="AT597" s="3" t="s">
        <v>64</v>
      </c>
      <c r="AV597" s="6" t="str">
        <f>HYPERLINK("http://mcgill.on.worldcat.org/oclc/9534164","Catalog Record")</f>
        <v>Catalog Record</v>
      </c>
      <c r="AW597" s="6" t="str">
        <f>HYPERLINK("http://www.worldcat.org/oclc/9534164","WorldCat Record")</f>
        <v>WorldCat Record</v>
      </c>
      <c r="AX597" s="3" t="s">
        <v>5772</v>
      </c>
      <c r="AY597" s="3" t="s">
        <v>5773</v>
      </c>
      <c r="AZ597" s="3" t="s">
        <v>5774</v>
      </c>
      <c r="BA597" s="3" t="s">
        <v>5774</v>
      </c>
      <c r="BB597" s="3" t="s">
        <v>5775</v>
      </c>
      <c r="BC597" s="3" t="s">
        <v>77</v>
      </c>
      <c r="BD597" s="3" t="s">
        <v>78</v>
      </c>
      <c r="BF597" s="3" t="s">
        <v>5775</v>
      </c>
      <c r="BG597" s="3" t="s">
        <v>5776</v>
      </c>
      <c r="BH597">
        <f t="shared" si="19"/>
        <v>0</v>
      </c>
    </row>
    <row r="598" spans="1:60" ht="58" x14ac:dyDescent="0.35">
      <c r="A598" s="2" t="s">
        <v>59</v>
      </c>
      <c r="B598" s="2" t="s">
        <v>60</v>
      </c>
      <c r="C598" s="2" t="s">
        <v>5777</v>
      </c>
      <c r="D598" s="2" t="s">
        <v>5778</v>
      </c>
      <c r="E598" s="2" t="s">
        <v>5779</v>
      </c>
      <c r="G598" s="3" t="s">
        <v>64</v>
      </c>
      <c r="I598" s="3" t="s">
        <v>64</v>
      </c>
      <c r="J598" s="3" t="s">
        <v>64</v>
      </c>
      <c r="K598" s="3" t="s">
        <v>65</v>
      </c>
      <c r="L598" s="2" t="s">
        <v>5780</v>
      </c>
      <c r="M598" s="2" t="s">
        <v>5781</v>
      </c>
      <c r="N598" s="3" t="s">
        <v>405</v>
      </c>
      <c r="P598" s="3" t="s">
        <v>102</v>
      </c>
      <c r="R598" s="3" t="s">
        <v>70</v>
      </c>
      <c r="S598" s="4">
        <v>30</v>
      </c>
      <c r="T598" s="4">
        <v>30</v>
      </c>
      <c r="U598" s="5" t="s">
        <v>5782</v>
      </c>
      <c r="V598" s="5" t="s">
        <v>5782</v>
      </c>
      <c r="W598" s="5" t="s">
        <v>72</v>
      </c>
      <c r="X598" s="5" t="s">
        <v>72</v>
      </c>
      <c r="Y598" s="4">
        <v>494</v>
      </c>
      <c r="Z598" s="4">
        <v>34</v>
      </c>
      <c r="AA598" s="4">
        <v>36</v>
      </c>
      <c r="AB598" s="4">
        <v>3</v>
      </c>
      <c r="AC598" s="4">
        <v>5</v>
      </c>
      <c r="AD598" s="4">
        <v>111</v>
      </c>
      <c r="AE598" s="4">
        <v>113</v>
      </c>
      <c r="AF598" s="4">
        <v>2</v>
      </c>
      <c r="AG598" s="4">
        <v>4</v>
      </c>
      <c r="AH598" s="4">
        <v>93</v>
      </c>
      <c r="AI598" s="4">
        <v>94</v>
      </c>
      <c r="AJ598" s="4">
        <v>21</v>
      </c>
      <c r="AK598" s="4">
        <v>23</v>
      </c>
      <c r="AL598" s="4">
        <v>50</v>
      </c>
      <c r="AM598" s="4">
        <v>50</v>
      </c>
      <c r="AN598" s="4">
        <v>0</v>
      </c>
      <c r="AO598" s="4">
        <v>0</v>
      </c>
      <c r="AP598" s="4">
        <v>26</v>
      </c>
      <c r="AQ598" s="4">
        <v>28</v>
      </c>
      <c r="AR598" s="3" t="s">
        <v>64</v>
      </c>
      <c r="AS598" s="3" t="s">
        <v>64</v>
      </c>
      <c r="AT598" s="3" t="s">
        <v>128</v>
      </c>
      <c r="AU598" s="6" t="str">
        <f>HYPERLINK("http://catalog.hathitrust.org/Record/000710743","HathiTrust Record")</f>
        <v>HathiTrust Record</v>
      </c>
      <c r="AV598" s="6" t="str">
        <f>HYPERLINK("http://mcgill.on.worldcat.org/oclc/2202686","Catalog Record")</f>
        <v>Catalog Record</v>
      </c>
      <c r="AW598" s="6" t="str">
        <f>HYPERLINK("http://www.worldcat.org/oclc/2202686","WorldCat Record")</f>
        <v>WorldCat Record</v>
      </c>
      <c r="AX598" s="3" t="s">
        <v>5783</v>
      </c>
      <c r="AY598" s="3" t="s">
        <v>5784</v>
      </c>
      <c r="AZ598" s="3" t="s">
        <v>5785</v>
      </c>
      <c r="BA598" s="3" t="s">
        <v>5785</v>
      </c>
      <c r="BB598" s="3" t="s">
        <v>5786</v>
      </c>
      <c r="BC598" s="3" t="s">
        <v>77</v>
      </c>
      <c r="BD598" s="3" t="s">
        <v>78</v>
      </c>
      <c r="BE598" s="3" t="s">
        <v>5787</v>
      </c>
      <c r="BF598" s="3" t="s">
        <v>5786</v>
      </c>
      <c r="BG598" s="3" t="s">
        <v>5788</v>
      </c>
      <c r="BH598">
        <f t="shared" si="19"/>
        <v>0</v>
      </c>
    </row>
    <row r="599" spans="1:60" ht="58" x14ac:dyDescent="0.35">
      <c r="A599" s="2" t="s">
        <v>59</v>
      </c>
      <c r="B599" s="2" t="s">
        <v>60</v>
      </c>
      <c r="C599" s="2" t="s">
        <v>5789</v>
      </c>
      <c r="D599" s="2" t="s">
        <v>5790</v>
      </c>
      <c r="E599" s="2" t="s">
        <v>5791</v>
      </c>
      <c r="G599" s="3" t="s">
        <v>64</v>
      </c>
      <c r="I599" s="3" t="s">
        <v>128</v>
      </c>
      <c r="J599" s="3" t="s">
        <v>64</v>
      </c>
      <c r="K599" s="3" t="s">
        <v>65</v>
      </c>
      <c r="L599" s="2" t="s">
        <v>5792</v>
      </c>
      <c r="M599" s="2" t="s">
        <v>5793</v>
      </c>
      <c r="N599" s="3" t="s">
        <v>405</v>
      </c>
      <c r="P599" s="3" t="s">
        <v>102</v>
      </c>
      <c r="Q599" s="2" t="s">
        <v>5794</v>
      </c>
      <c r="R599" s="3" t="s">
        <v>70</v>
      </c>
      <c r="S599" s="4">
        <v>21</v>
      </c>
      <c r="T599" s="4">
        <v>21</v>
      </c>
      <c r="U599" s="5" t="s">
        <v>5738</v>
      </c>
      <c r="V599" s="5" t="s">
        <v>5738</v>
      </c>
      <c r="W599" s="5" t="s">
        <v>72</v>
      </c>
      <c r="X599" s="5" t="s">
        <v>72</v>
      </c>
      <c r="Y599" s="4">
        <v>119</v>
      </c>
      <c r="Z599" s="4">
        <v>7</v>
      </c>
      <c r="AA599" s="4">
        <v>7</v>
      </c>
      <c r="AB599" s="4">
        <v>1</v>
      </c>
      <c r="AC599" s="4">
        <v>1</v>
      </c>
      <c r="AD599" s="4">
        <v>40</v>
      </c>
      <c r="AE599" s="4">
        <v>40</v>
      </c>
      <c r="AF599" s="4">
        <v>0</v>
      </c>
      <c r="AG599" s="4">
        <v>0</v>
      </c>
      <c r="AH599" s="4">
        <v>39</v>
      </c>
      <c r="AI599" s="4">
        <v>39</v>
      </c>
      <c r="AJ599" s="4">
        <v>3</v>
      </c>
      <c r="AK599" s="4">
        <v>3</v>
      </c>
      <c r="AL599" s="4">
        <v>23</v>
      </c>
      <c r="AM599" s="4">
        <v>23</v>
      </c>
      <c r="AN599" s="4">
        <v>0</v>
      </c>
      <c r="AO599" s="4">
        <v>0</v>
      </c>
      <c r="AP599" s="4">
        <v>3</v>
      </c>
      <c r="AQ599" s="4">
        <v>3</v>
      </c>
      <c r="AR599" s="3" t="s">
        <v>64</v>
      </c>
      <c r="AS599" s="3" t="s">
        <v>64</v>
      </c>
      <c r="AT599" s="3" t="s">
        <v>128</v>
      </c>
      <c r="AU599" s="6" t="str">
        <f>HYPERLINK("http://catalog.hathitrust.org/Record/001175302","HathiTrust Record")</f>
        <v>HathiTrust Record</v>
      </c>
      <c r="AV599" s="6" t="str">
        <f>HYPERLINK("http://mcgill.on.worldcat.org/oclc/2796886","Catalog Record")</f>
        <v>Catalog Record</v>
      </c>
      <c r="AW599" s="6" t="str">
        <f>HYPERLINK("http://www.worldcat.org/oclc/2796886","WorldCat Record")</f>
        <v>WorldCat Record</v>
      </c>
      <c r="AX599" s="3" t="s">
        <v>5795</v>
      </c>
      <c r="AY599" s="3" t="s">
        <v>5796</v>
      </c>
      <c r="AZ599" s="3" t="s">
        <v>5797</v>
      </c>
      <c r="BA599" s="3" t="s">
        <v>5797</v>
      </c>
      <c r="BB599" s="3" t="s">
        <v>5798</v>
      </c>
      <c r="BC599" s="3" t="s">
        <v>77</v>
      </c>
      <c r="BD599" s="3" t="s">
        <v>78</v>
      </c>
      <c r="BF599" s="3" t="s">
        <v>5798</v>
      </c>
      <c r="BG599" s="3" t="s">
        <v>5799</v>
      </c>
      <c r="BH599">
        <f t="shared" si="19"/>
        <v>0</v>
      </c>
    </row>
    <row r="600" spans="1:60" ht="58" x14ac:dyDescent="0.35">
      <c r="A600" s="2" t="s">
        <v>59</v>
      </c>
      <c r="B600" s="2" t="s">
        <v>60</v>
      </c>
      <c r="C600" s="2" t="s">
        <v>5800</v>
      </c>
      <c r="D600" s="2" t="s">
        <v>5801</v>
      </c>
      <c r="E600" s="2" t="s">
        <v>5802</v>
      </c>
      <c r="G600" s="3" t="s">
        <v>64</v>
      </c>
      <c r="I600" s="3" t="s">
        <v>64</v>
      </c>
      <c r="J600" s="3" t="s">
        <v>64</v>
      </c>
      <c r="K600" s="3" t="s">
        <v>65</v>
      </c>
      <c r="L600" s="2" t="s">
        <v>5803</v>
      </c>
      <c r="M600" s="2" t="s">
        <v>5804</v>
      </c>
      <c r="N600" s="3" t="s">
        <v>144</v>
      </c>
      <c r="P600" s="3" t="s">
        <v>102</v>
      </c>
      <c r="R600" s="3" t="s">
        <v>70</v>
      </c>
      <c r="S600" s="4">
        <v>12</v>
      </c>
      <c r="T600" s="4">
        <v>12</v>
      </c>
      <c r="U600" s="5" t="s">
        <v>5685</v>
      </c>
      <c r="V600" s="5" t="s">
        <v>5685</v>
      </c>
      <c r="W600" s="5" t="s">
        <v>72</v>
      </c>
      <c r="X600" s="5" t="s">
        <v>72</v>
      </c>
      <c r="Y600" s="4">
        <v>189</v>
      </c>
      <c r="Z600" s="4">
        <v>20</v>
      </c>
      <c r="AA600" s="4">
        <v>33</v>
      </c>
      <c r="AB600" s="4">
        <v>1</v>
      </c>
      <c r="AC600" s="4">
        <v>2</v>
      </c>
      <c r="AD600" s="4">
        <v>92</v>
      </c>
      <c r="AE600" s="4">
        <v>110</v>
      </c>
      <c r="AF600" s="4">
        <v>0</v>
      </c>
      <c r="AG600" s="4">
        <v>0</v>
      </c>
      <c r="AH600" s="4">
        <v>80</v>
      </c>
      <c r="AI600" s="4">
        <v>90</v>
      </c>
      <c r="AJ600" s="4">
        <v>12</v>
      </c>
      <c r="AK600" s="4">
        <v>14</v>
      </c>
      <c r="AL600" s="4">
        <v>48</v>
      </c>
      <c r="AM600" s="4">
        <v>53</v>
      </c>
      <c r="AN600" s="4">
        <v>0</v>
      </c>
      <c r="AO600" s="4">
        <v>0</v>
      </c>
      <c r="AP600" s="4">
        <v>16</v>
      </c>
      <c r="AQ600" s="4">
        <v>23</v>
      </c>
      <c r="AR600" s="3" t="s">
        <v>64</v>
      </c>
      <c r="AS600" s="3" t="s">
        <v>64</v>
      </c>
      <c r="AT600" s="3" t="s">
        <v>64</v>
      </c>
      <c r="AV600" s="6" t="str">
        <f>HYPERLINK("http://mcgill.on.worldcat.org/oclc/166290605","Catalog Record")</f>
        <v>Catalog Record</v>
      </c>
      <c r="AW600" s="6" t="str">
        <f>HYPERLINK("http://www.worldcat.org/oclc/166290605","WorldCat Record")</f>
        <v>WorldCat Record</v>
      </c>
      <c r="AX600" s="3" t="s">
        <v>5805</v>
      </c>
      <c r="AY600" s="3" t="s">
        <v>5806</v>
      </c>
      <c r="AZ600" s="3" t="s">
        <v>5807</v>
      </c>
      <c r="BA600" s="3" t="s">
        <v>5807</v>
      </c>
      <c r="BB600" s="3" t="s">
        <v>5808</v>
      </c>
      <c r="BC600" s="3" t="s">
        <v>77</v>
      </c>
      <c r="BD600" s="3" t="s">
        <v>78</v>
      </c>
      <c r="BE600" s="3" t="s">
        <v>5809</v>
      </c>
      <c r="BF600" s="3" t="s">
        <v>5808</v>
      </c>
      <c r="BG600" s="3" t="s">
        <v>5810</v>
      </c>
      <c r="BH600">
        <f t="shared" si="19"/>
        <v>0</v>
      </c>
    </row>
    <row r="601" spans="1:60" ht="58" x14ac:dyDescent="0.35">
      <c r="A601" s="2" t="s">
        <v>59</v>
      </c>
      <c r="B601" s="2" t="s">
        <v>60</v>
      </c>
      <c r="C601" s="2" t="s">
        <v>5811</v>
      </c>
      <c r="D601" s="2" t="s">
        <v>5812</v>
      </c>
      <c r="E601" s="2" t="s">
        <v>5813</v>
      </c>
      <c r="G601" s="3" t="s">
        <v>64</v>
      </c>
      <c r="I601" s="3" t="s">
        <v>64</v>
      </c>
      <c r="J601" s="3" t="s">
        <v>64</v>
      </c>
      <c r="K601" s="3" t="s">
        <v>65</v>
      </c>
      <c r="L601" s="2" t="s">
        <v>5814</v>
      </c>
      <c r="M601" s="2" t="s">
        <v>5815</v>
      </c>
      <c r="N601" s="3" t="s">
        <v>378</v>
      </c>
      <c r="P601" s="3" t="s">
        <v>102</v>
      </c>
      <c r="R601" s="3" t="s">
        <v>70</v>
      </c>
      <c r="S601" s="4">
        <v>19</v>
      </c>
      <c r="T601" s="4">
        <v>19</v>
      </c>
      <c r="U601" s="5" t="s">
        <v>5738</v>
      </c>
      <c r="V601" s="5" t="s">
        <v>5738</v>
      </c>
      <c r="W601" s="5" t="s">
        <v>72</v>
      </c>
      <c r="X601" s="5" t="s">
        <v>72</v>
      </c>
      <c r="Y601" s="4">
        <v>211</v>
      </c>
      <c r="Z601" s="4">
        <v>16</v>
      </c>
      <c r="AA601" s="4">
        <v>16</v>
      </c>
      <c r="AB601" s="4">
        <v>1</v>
      </c>
      <c r="AC601" s="4">
        <v>1</v>
      </c>
      <c r="AD601" s="4">
        <v>63</v>
      </c>
      <c r="AE601" s="4">
        <v>64</v>
      </c>
      <c r="AF601" s="4">
        <v>0</v>
      </c>
      <c r="AG601" s="4">
        <v>0</v>
      </c>
      <c r="AH601" s="4">
        <v>54</v>
      </c>
      <c r="AI601" s="4">
        <v>55</v>
      </c>
      <c r="AJ601" s="4">
        <v>5</v>
      </c>
      <c r="AK601" s="4">
        <v>5</v>
      </c>
      <c r="AL601" s="4">
        <v>40</v>
      </c>
      <c r="AM601" s="4">
        <v>40</v>
      </c>
      <c r="AN601" s="4">
        <v>0</v>
      </c>
      <c r="AO601" s="4">
        <v>0</v>
      </c>
      <c r="AP601" s="4">
        <v>8</v>
      </c>
      <c r="AQ601" s="4">
        <v>8</v>
      </c>
      <c r="AR601" s="3" t="s">
        <v>64</v>
      </c>
      <c r="AS601" s="3" t="s">
        <v>128</v>
      </c>
      <c r="AT601" s="3" t="s">
        <v>64</v>
      </c>
      <c r="AU601" s="6" t="str">
        <f>HYPERLINK("http://catalog.hathitrust.org/Record/000556529","HathiTrust Record")</f>
        <v>HathiTrust Record</v>
      </c>
      <c r="AV601" s="6" t="str">
        <f>HYPERLINK("http://mcgill.on.worldcat.org/oclc/12422369","Catalog Record")</f>
        <v>Catalog Record</v>
      </c>
      <c r="AW601" s="6" t="str">
        <f>HYPERLINK("http://www.worldcat.org/oclc/12422369","WorldCat Record")</f>
        <v>WorldCat Record</v>
      </c>
      <c r="AX601" s="3" t="s">
        <v>5816</v>
      </c>
      <c r="AY601" s="3" t="s">
        <v>5817</v>
      </c>
      <c r="AZ601" s="3" t="s">
        <v>5818</v>
      </c>
      <c r="BA601" s="3" t="s">
        <v>5818</v>
      </c>
      <c r="BB601" s="3" t="s">
        <v>5819</v>
      </c>
      <c r="BC601" s="3" t="s">
        <v>77</v>
      </c>
      <c r="BD601" s="3" t="s">
        <v>78</v>
      </c>
      <c r="BE601" s="3" t="s">
        <v>5820</v>
      </c>
      <c r="BF601" s="3" t="s">
        <v>5819</v>
      </c>
      <c r="BG601" s="3" t="s">
        <v>5821</v>
      </c>
      <c r="BH601">
        <f t="shared" si="19"/>
        <v>0</v>
      </c>
    </row>
    <row r="602" spans="1:60" ht="58" x14ac:dyDescent="0.35">
      <c r="A602" s="2" t="s">
        <v>59</v>
      </c>
      <c r="B602" s="2" t="s">
        <v>60</v>
      </c>
      <c r="C602" s="2" t="s">
        <v>5822</v>
      </c>
      <c r="D602" s="2" t="s">
        <v>5823</v>
      </c>
      <c r="E602" s="2" t="s">
        <v>5824</v>
      </c>
      <c r="G602" s="3" t="s">
        <v>64</v>
      </c>
      <c r="I602" s="3" t="s">
        <v>64</v>
      </c>
      <c r="J602" s="3" t="s">
        <v>64</v>
      </c>
      <c r="K602" s="3" t="s">
        <v>65</v>
      </c>
      <c r="L602" s="2" t="s">
        <v>5825</v>
      </c>
      <c r="M602" s="2" t="s">
        <v>5826</v>
      </c>
      <c r="N602" s="3" t="s">
        <v>3584</v>
      </c>
      <c r="O602" s="2" t="s">
        <v>1566</v>
      </c>
      <c r="P602" s="3" t="s">
        <v>102</v>
      </c>
      <c r="R602" s="3" t="s">
        <v>70</v>
      </c>
      <c r="S602" s="4">
        <v>30</v>
      </c>
      <c r="T602" s="4">
        <v>30</v>
      </c>
      <c r="U602" s="5" t="s">
        <v>5782</v>
      </c>
      <c r="V602" s="5" t="s">
        <v>5782</v>
      </c>
      <c r="W602" s="5" t="s">
        <v>72</v>
      </c>
      <c r="X602" s="5" t="s">
        <v>72</v>
      </c>
      <c r="Y602" s="4">
        <v>602</v>
      </c>
      <c r="Z602" s="4">
        <v>15</v>
      </c>
      <c r="AA602" s="4">
        <v>17</v>
      </c>
      <c r="AB602" s="4">
        <v>1</v>
      </c>
      <c r="AC602" s="4">
        <v>2</v>
      </c>
      <c r="AD602" s="4">
        <v>83</v>
      </c>
      <c r="AE602" s="4">
        <v>84</v>
      </c>
      <c r="AF602" s="4">
        <v>0</v>
      </c>
      <c r="AG602" s="4">
        <v>0</v>
      </c>
      <c r="AH602" s="4">
        <v>75</v>
      </c>
      <c r="AI602" s="4">
        <v>75</v>
      </c>
      <c r="AJ602" s="4">
        <v>8</v>
      </c>
      <c r="AK602" s="4">
        <v>8</v>
      </c>
      <c r="AL602" s="4">
        <v>37</v>
      </c>
      <c r="AM602" s="4">
        <v>37</v>
      </c>
      <c r="AN602" s="4">
        <v>0</v>
      </c>
      <c r="AO602" s="4">
        <v>0</v>
      </c>
      <c r="AP602" s="4">
        <v>10</v>
      </c>
      <c r="AQ602" s="4">
        <v>11</v>
      </c>
      <c r="AR602" s="3" t="s">
        <v>64</v>
      </c>
      <c r="AS602" s="3" t="s">
        <v>64</v>
      </c>
      <c r="AT602" s="3" t="s">
        <v>128</v>
      </c>
      <c r="AU602" s="6" t="str">
        <f>HYPERLINK("http://catalog.hathitrust.org/Record/000172851","HathiTrust Record")</f>
        <v>HathiTrust Record</v>
      </c>
      <c r="AV602" s="6" t="str">
        <f>HYPERLINK("http://mcgill.on.worldcat.org/oclc/2787098","Catalog Record")</f>
        <v>Catalog Record</v>
      </c>
      <c r="AW602" s="6" t="str">
        <f>HYPERLINK("http://www.worldcat.org/oclc/2787098","WorldCat Record")</f>
        <v>WorldCat Record</v>
      </c>
      <c r="AX602" s="3" t="s">
        <v>5827</v>
      </c>
      <c r="AY602" s="3" t="s">
        <v>5828</v>
      </c>
      <c r="AZ602" s="3" t="s">
        <v>5829</v>
      </c>
      <c r="BA602" s="3" t="s">
        <v>5829</v>
      </c>
      <c r="BB602" s="3" t="s">
        <v>5830</v>
      </c>
      <c r="BC602" s="3" t="s">
        <v>77</v>
      </c>
      <c r="BD602" s="3" t="s">
        <v>78</v>
      </c>
      <c r="BE602" s="3" t="s">
        <v>5831</v>
      </c>
      <c r="BF602" s="3" t="s">
        <v>5830</v>
      </c>
      <c r="BG602" s="3" t="s">
        <v>5832</v>
      </c>
      <c r="BH602">
        <f t="shared" si="19"/>
        <v>0</v>
      </c>
    </row>
    <row r="603" spans="1:60" ht="58" x14ac:dyDescent="0.35">
      <c r="A603" s="2" t="s">
        <v>59</v>
      </c>
      <c r="B603" s="2" t="s">
        <v>60</v>
      </c>
      <c r="C603" s="2" t="s">
        <v>5833</v>
      </c>
      <c r="D603" s="2" t="s">
        <v>5834</v>
      </c>
      <c r="E603" s="2" t="s">
        <v>5835</v>
      </c>
      <c r="G603" s="3" t="s">
        <v>64</v>
      </c>
      <c r="I603" s="3" t="s">
        <v>64</v>
      </c>
      <c r="J603" s="3" t="s">
        <v>64</v>
      </c>
      <c r="K603" s="3" t="s">
        <v>65</v>
      </c>
      <c r="L603" s="2" t="s">
        <v>5836</v>
      </c>
      <c r="M603" s="2" t="s">
        <v>5837</v>
      </c>
      <c r="N603" s="3" t="s">
        <v>1821</v>
      </c>
      <c r="P603" s="3" t="s">
        <v>102</v>
      </c>
      <c r="Q603" s="2" t="s">
        <v>5838</v>
      </c>
      <c r="R603" s="3" t="s">
        <v>70</v>
      </c>
      <c r="S603" s="4">
        <v>6</v>
      </c>
      <c r="T603" s="4">
        <v>6</v>
      </c>
      <c r="U603" s="5" t="s">
        <v>5738</v>
      </c>
      <c r="V603" s="5" t="s">
        <v>5738</v>
      </c>
      <c r="W603" s="5" t="s">
        <v>72</v>
      </c>
      <c r="X603" s="5" t="s">
        <v>72</v>
      </c>
      <c r="Y603" s="4">
        <v>303</v>
      </c>
      <c r="Z603" s="4">
        <v>15</v>
      </c>
      <c r="AA603" s="4">
        <v>29</v>
      </c>
      <c r="AB603" s="4">
        <v>2</v>
      </c>
      <c r="AC603" s="4">
        <v>3</v>
      </c>
      <c r="AD603" s="4">
        <v>83</v>
      </c>
      <c r="AE603" s="4">
        <v>110</v>
      </c>
      <c r="AF603" s="4">
        <v>0</v>
      </c>
      <c r="AG603" s="4">
        <v>1</v>
      </c>
      <c r="AH603" s="4">
        <v>76</v>
      </c>
      <c r="AI603" s="4">
        <v>95</v>
      </c>
      <c r="AJ603" s="4">
        <v>7</v>
      </c>
      <c r="AK603" s="4">
        <v>19</v>
      </c>
      <c r="AL603" s="4">
        <v>52</v>
      </c>
      <c r="AM603" s="4">
        <v>56</v>
      </c>
      <c r="AN603" s="4">
        <v>0</v>
      </c>
      <c r="AO603" s="4">
        <v>5</v>
      </c>
      <c r="AP603" s="4">
        <v>8</v>
      </c>
      <c r="AQ603" s="4">
        <v>18</v>
      </c>
      <c r="AR603" s="3" t="s">
        <v>64</v>
      </c>
      <c r="AS603" s="3" t="s">
        <v>64</v>
      </c>
      <c r="AT603" s="3" t="s">
        <v>128</v>
      </c>
      <c r="AU603" s="6" t="str">
        <f>HYPERLINK("http://catalog.hathitrust.org/Record/001160351","HathiTrust Record")</f>
        <v>HathiTrust Record</v>
      </c>
      <c r="AV603" s="6" t="str">
        <f>HYPERLINK("http://mcgill.on.worldcat.org/oclc/1969658","Catalog Record")</f>
        <v>Catalog Record</v>
      </c>
      <c r="AW603" s="6" t="str">
        <f>HYPERLINK("http://www.worldcat.org/oclc/1969658","WorldCat Record")</f>
        <v>WorldCat Record</v>
      </c>
      <c r="AX603" s="3" t="s">
        <v>5839</v>
      </c>
      <c r="AY603" s="3" t="s">
        <v>5840</v>
      </c>
      <c r="AZ603" s="3" t="s">
        <v>5841</v>
      </c>
      <c r="BA603" s="3" t="s">
        <v>5841</v>
      </c>
      <c r="BB603" s="3" t="s">
        <v>5842</v>
      </c>
      <c r="BC603" s="3" t="s">
        <v>77</v>
      </c>
      <c r="BD603" s="3" t="s">
        <v>78</v>
      </c>
      <c r="BF603" s="3" t="s">
        <v>5842</v>
      </c>
      <c r="BG603" s="3" t="s">
        <v>5843</v>
      </c>
      <c r="BH603">
        <f t="shared" si="19"/>
        <v>0</v>
      </c>
    </row>
    <row r="604" spans="1:60" ht="58" x14ac:dyDescent="0.35">
      <c r="A604" s="2" t="s">
        <v>59</v>
      </c>
      <c r="B604" s="2" t="s">
        <v>60</v>
      </c>
      <c r="C604" s="2" t="s">
        <v>5844</v>
      </c>
      <c r="D604" s="2" t="s">
        <v>5845</v>
      </c>
      <c r="E604" s="2" t="s">
        <v>5846</v>
      </c>
      <c r="G604" s="3" t="s">
        <v>64</v>
      </c>
      <c r="I604" s="3" t="s">
        <v>128</v>
      </c>
      <c r="J604" s="3" t="s">
        <v>64</v>
      </c>
      <c r="K604" s="3" t="s">
        <v>65</v>
      </c>
      <c r="M604" s="2" t="s">
        <v>5847</v>
      </c>
      <c r="N604" s="3" t="s">
        <v>405</v>
      </c>
      <c r="P604" s="3" t="s">
        <v>102</v>
      </c>
      <c r="Q604" s="2" t="s">
        <v>5848</v>
      </c>
      <c r="R604" s="3" t="s">
        <v>70</v>
      </c>
      <c r="S604" s="4">
        <v>18</v>
      </c>
      <c r="T604" s="4">
        <v>18</v>
      </c>
      <c r="U604" s="5" t="s">
        <v>5738</v>
      </c>
      <c r="V604" s="5" t="s">
        <v>5738</v>
      </c>
      <c r="W604" s="5" t="s">
        <v>72</v>
      </c>
      <c r="X604" s="5" t="s">
        <v>72</v>
      </c>
      <c r="Y604" s="4">
        <v>156</v>
      </c>
      <c r="Z604" s="4">
        <v>12</v>
      </c>
      <c r="AA604" s="4">
        <v>12</v>
      </c>
      <c r="AB604" s="4">
        <v>1</v>
      </c>
      <c r="AC604" s="4">
        <v>1</v>
      </c>
      <c r="AD604" s="4">
        <v>63</v>
      </c>
      <c r="AE604" s="4">
        <v>63</v>
      </c>
      <c r="AF604" s="4">
        <v>0</v>
      </c>
      <c r="AG604" s="4">
        <v>0</v>
      </c>
      <c r="AH604" s="4">
        <v>58</v>
      </c>
      <c r="AI604" s="4">
        <v>58</v>
      </c>
      <c r="AJ604" s="4">
        <v>9</v>
      </c>
      <c r="AK604" s="4">
        <v>9</v>
      </c>
      <c r="AL604" s="4">
        <v>34</v>
      </c>
      <c r="AM604" s="4">
        <v>34</v>
      </c>
      <c r="AN604" s="4">
        <v>0</v>
      </c>
      <c r="AO604" s="4">
        <v>0</v>
      </c>
      <c r="AP604" s="4">
        <v>8</v>
      </c>
      <c r="AQ604" s="4">
        <v>8</v>
      </c>
      <c r="AR604" s="3" t="s">
        <v>64</v>
      </c>
      <c r="AS604" s="3" t="s">
        <v>64</v>
      </c>
      <c r="AT604" s="3" t="s">
        <v>64</v>
      </c>
      <c r="AV604" s="6" t="str">
        <f>HYPERLINK("http://mcgill.on.worldcat.org/oclc/2986148","Catalog Record")</f>
        <v>Catalog Record</v>
      </c>
      <c r="AW604" s="6" t="str">
        <f>HYPERLINK("http://www.worldcat.org/oclc/2986148","WorldCat Record")</f>
        <v>WorldCat Record</v>
      </c>
      <c r="AX604" s="3" t="s">
        <v>5849</v>
      </c>
      <c r="AY604" s="3" t="s">
        <v>5850</v>
      </c>
      <c r="AZ604" s="3" t="s">
        <v>5851</v>
      </c>
      <c r="BA604" s="3" t="s">
        <v>5851</v>
      </c>
      <c r="BB604" s="3" t="s">
        <v>5852</v>
      </c>
      <c r="BC604" s="3" t="s">
        <v>77</v>
      </c>
      <c r="BD604" s="3" t="s">
        <v>78</v>
      </c>
      <c r="BF604" s="3" t="s">
        <v>5852</v>
      </c>
      <c r="BG604" s="3" t="s">
        <v>5853</v>
      </c>
      <c r="BH604">
        <f t="shared" si="19"/>
        <v>0</v>
      </c>
    </row>
    <row r="605" spans="1:60" ht="58" x14ac:dyDescent="0.35">
      <c r="A605" s="2" t="s">
        <v>59</v>
      </c>
      <c r="B605" s="2" t="s">
        <v>60</v>
      </c>
      <c r="C605" s="2" t="s">
        <v>5854</v>
      </c>
      <c r="D605" s="2" t="s">
        <v>5855</v>
      </c>
      <c r="E605" s="2" t="s">
        <v>5856</v>
      </c>
      <c r="G605" s="3" t="s">
        <v>64</v>
      </c>
      <c r="I605" s="3" t="s">
        <v>64</v>
      </c>
      <c r="J605" s="3" t="s">
        <v>64</v>
      </c>
      <c r="K605" s="3" t="s">
        <v>65</v>
      </c>
      <c r="L605" s="2" t="s">
        <v>5857</v>
      </c>
      <c r="M605" s="2" t="s">
        <v>5858</v>
      </c>
      <c r="N605" s="3" t="s">
        <v>86</v>
      </c>
      <c r="P605" s="3" t="s">
        <v>102</v>
      </c>
      <c r="R605" s="3" t="s">
        <v>70</v>
      </c>
      <c r="S605" s="4">
        <v>2</v>
      </c>
      <c r="T605" s="4">
        <v>2</v>
      </c>
      <c r="U605" s="5" t="s">
        <v>5859</v>
      </c>
      <c r="V605" s="5" t="s">
        <v>5859</v>
      </c>
      <c r="W605" s="5" t="s">
        <v>72</v>
      </c>
      <c r="X605" s="5" t="s">
        <v>72</v>
      </c>
      <c r="Y605" s="4">
        <v>87</v>
      </c>
      <c r="Z605" s="4">
        <v>12</v>
      </c>
      <c r="AA605" s="4">
        <v>13</v>
      </c>
      <c r="AB605" s="4">
        <v>2</v>
      </c>
      <c r="AC605" s="4">
        <v>3</v>
      </c>
      <c r="AD605" s="4">
        <v>43</v>
      </c>
      <c r="AE605" s="4">
        <v>48</v>
      </c>
      <c r="AF605" s="4">
        <v>1</v>
      </c>
      <c r="AG605" s="4">
        <v>1</v>
      </c>
      <c r="AH605" s="4">
        <v>37</v>
      </c>
      <c r="AI605" s="4">
        <v>42</v>
      </c>
      <c r="AJ605" s="4">
        <v>9</v>
      </c>
      <c r="AK605" s="4">
        <v>9</v>
      </c>
      <c r="AL605" s="4">
        <v>23</v>
      </c>
      <c r="AM605" s="4">
        <v>27</v>
      </c>
      <c r="AN605" s="4">
        <v>0</v>
      </c>
      <c r="AO605" s="4">
        <v>0</v>
      </c>
      <c r="AP605" s="4">
        <v>9</v>
      </c>
      <c r="AQ605" s="4">
        <v>9</v>
      </c>
      <c r="AR605" s="3" t="s">
        <v>64</v>
      </c>
      <c r="AS605" s="3" t="s">
        <v>64</v>
      </c>
      <c r="AT605" s="3" t="s">
        <v>64</v>
      </c>
      <c r="AV605" s="6" t="str">
        <f>HYPERLINK("http://mcgill.on.worldcat.org/oclc/794973717","Catalog Record")</f>
        <v>Catalog Record</v>
      </c>
      <c r="AW605" s="6" t="str">
        <f>HYPERLINK("http://www.worldcat.org/oclc/794973717","WorldCat Record")</f>
        <v>WorldCat Record</v>
      </c>
      <c r="AX605" s="3" t="s">
        <v>5860</v>
      </c>
      <c r="AY605" s="3" t="s">
        <v>5861</v>
      </c>
      <c r="AZ605" s="3" t="s">
        <v>5862</v>
      </c>
      <c r="BA605" s="3" t="s">
        <v>5862</v>
      </c>
      <c r="BB605" s="3" t="s">
        <v>5863</v>
      </c>
      <c r="BC605" s="3" t="s">
        <v>77</v>
      </c>
      <c r="BD605" s="3" t="s">
        <v>78</v>
      </c>
      <c r="BE605" s="3" t="s">
        <v>5864</v>
      </c>
      <c r="BF605" s="3" t="s">
        <v>5863</v>
      </c>
      <c r="BG605" s="3" t="s">
        <v>5865</v>
      </c>
      <c r="BH605">
        <f t="shared" si="19"/>
        <v>0</v>
      </c>
    </row>
    <row r="606" spans="1:60" ht="58" x14ac:dyDescent="0.35">
      <c r="A606" s="2" t="s">
        <v>59</v>
      </c>
      <c r="B606" s="2" t="s">
        <v>60</v>
      </c>
      <c r="C606" s="2" t="s">
        <v>5866</v>
      </c>
      <c r="D606" s="2" t="s">
        <v>5867</v>
      </c>
      <c r="E606" s="2" t="s">
        <v>5868</v>
      </c>
      <c r="G606" s="3" t="s">
        <v>64</v>
      </c>
      <c r="I606" s="3" t="s">
        <v>64</v>
      </c>
      <c r="J606" s="3" t="s">
        <v>64</v>
      </c>
      <c r="K606" s="3" t="s">
        <v>65</v>
      </c>
      <c r="L606" s="2" t="s">
        <v>5869</v>
      </c>
      <c r="M606" s="2" t="s">
        <v>5870</v>
      </c>
      <c r="N606" s="3" t="s">
        <v>874</v>
      </c>
      <c r="P606" s="3" t="s">
        <v>68</v>
      </c>
      <c r="Q606" s="2" t="s">
        <v>5871</v>
      </c>
      <c r="R606" s="3" t="s">
        <v>70</v>
      </c>
      <c r="S606" s="4">
        <v>2</v>
      </c>
      <c r="T606" s="4">
        <v>2</v>
      </c>
      <c r="U606" s="5" t="s">
        <v>5872</v>
      </c>
      <c r="V606" s="5" t="s">
        <v>5872</v>
      </c>
      <c r="W606" s="5" t="s">
        <v>72</v>
      </c>
      <c r="X606" s="5" t="s">
        <v>72</v>
      </c>
      <c r="Y606" s="4">
        <v>182</v>
      </c>
      <c r="Z606" s="4">
        <v>19</v>
      </c>
      <c r="AA606" s="4">
        <v>23</v>
      </c>
      <c r="AB606" s="4">
        <v>1</v>
      </c>
      <c r="AC606" s="4">
        <v>4</v>
      </c>
      <c r="AD606" s="4">
        <v>91</v>
      </c>
      <c r="AE606" s="4">
        <v>94</v>
      </c>
      <c r="AF606" s="4">
        <v>0</v>
      </c>
      <c r="AG606" s="4">
        <v>3</v>
      </c>
      <c r="AH606" s="4">
        <v>81</v>
      </c>
      <c r="AI606" s="4">
        <v>82</v>
      </c>
      <c r="AJ606" s="4">
        <v>14</v>
      </c>
      <c r="AK606" s="4">
        <v>17</v>
      </c>
      <c r="AL606" s="4">
        <v>48</v>
      </c>
      <c r="AM606" s="4">
        <v>48</v>
      </c>
      <c r="AN606" s="4">
        <v>0</v>
      </c>
      <c r="AO606" s="4">
        <v>0</v>
      </c>
      <c r="AP606" s="4">
        <v>15</v>
      </c>
      <c r="AQ606" s="4">
        <v>17</v>
      </c>
      <c r="AR606" s="3" t="s">
        <v>64</v>
      </c>
      <c r="AS606" s="3" t="s">
        <v>64</v>
      </c>
      <c r="AT606" s="3" t="s">
        <v>64</v>
      </c>
      <c r="AV606" s="6" t="str">
        <f>HYPERLINK("http://mcgill.on.worldcat.org/oclc/9732251","Catalog Record")</f>
        <v>Catalog Record</v>
      </c>
      <c r="AW606" s="6" t="str">
        <f>HYPERLINK("http://www.worldcat.org/oclc/9732251","WorldCat Record")</f>
        <v>WorldCat Record</v>
      </c>
      <c r="AX606" s="3" t="s">
        <v>5873</v>
      </c>
      <c r="AY606" s="3" t="s">
        <v>5874</v>
      </c>
      <c r="AZ606" s="3" t="s">
        <v>5875</v>
      </c>
      <c r="BA606" s="3" t="s">
        <v>5875</v>
      </c>
      <c r="BB606" s="3" t="s">
        <v>5876</v>
      </c>
      <c r="BC606" s="3" t="s">
        <v>77</v>
      </c>
      <c r="BD606" s="3" t="s">
        <v>78</v>
      </c>
      <c r="BF606" s="3" t="s">
        <v>5876</v>
      </c>
      <c r="BG606" s="3" t="s">
        <v>5877</v>
      </c>
      <c r="BH606">
        <f t="shared" si="19"/>
        <v>0</v>
      </c>
    </row>
    <row r="607" spans="1:60" ht="58" x14ac:dyDescent="0.35">
      <c r="A607" s="2" t="s">
        <v>59</v>
      </c>
      <c r="B607" s="2" t="s">
        <v>60</v>
      </c>
      <c r="C607" s="2" t="s">
        <v>5878</v>
      </c>
      <c r="D607" s="2" t="s">
        <v>5879</v>
      </c>
      <c r="E607" s="2" t="s">
        <v>5880</v>
      </c>
      <c r="F607" s="3" t="s">
        <v>5881</v>
      </c>
      <c r="G607" s="3" t="s">
        <v>128</v>
      </c>
      <c r="I607" s="3" t="s">
        <v>64</v>
      </c>
      <c r="J607" s="3" t="s">
        <v>64</v>
      </c>
      <c r="K607" s="3" t="s">
        <v>65</v>
      </c>
      <c r="L607" s="2" t="s">
        <v>5882</v>
      </c>
      <c r="M607" s="2" t="s">
        <v>5883</v>
      </c>
      <c r="N607" s="3" t="s">
        <v>253</v>
      </c>
      <c r="P607" s="3" t="s">
        <v>102</v>
      </c>
      <c r="R607" s="3" t="s">
        <v>70</v>
      </c>
      <c r="S607" s="4">
        <v>1</v>
      </c>
      <c r="T607" s="4">
        <v>1</v>
      </c>
      <c r="U607" s="5" t="s">
        <v>5884</v>
      </c>
      <c r="V607" s="5" t="s">
        <v>5884</v>
      </c>
      <c r="W607" s="5" t="s">
        <v>72</v>
      </c>
      <c r="X607" s="5" t="s">
        <v>72</v>
      </c>
      <c r="Y607" s="4">
        <v>36</v>
      </c>
      <c r="Z607" s="4">
        <v>11</v>
      </c>
      <c r="AA607" s="4">
        <v>11</v>
      </c>
      <c r="AB607" s="4">
        <v>1</v>
      </c>
      <c r="AC607" s="4">
        <v>1</v>
      </c>
      <c r="AD607" s="4">
        <v>19</v>
      </c>
      <c r="AE607" s="4">
        <v>19</v>
      </c>
      <c r="AF607" s="4">
        <v>0</v>
      </c>
      <c r="AG607" s="4">
        <v>0</v>
      </c>
      <c r="AH607" s="4">
        <v>16</v>
      </c>
      <c r="AI607" s="4">
        <v>16</v>
      </c>
      <c r="AJ607" s="4">
        <v>6</v>
      </c>
      <c r="AK607" s="4">
        <v>6</v>
      </c>
      <c r="AL607" s="4">
        <v>10</v>
      </c>
      <c r="AM607" s="4">
        <v>10</v>
      </c>
      <c r="AN607" s="4">
        <v>0</v>
      </c>
      <c r="AO607" s="4">
        <v>0</v>
      </c>
      <c r="AP607" s="4">
        <v>6</v>
      </c>
      <c r="AQ607" s="4">
        <v>6</v>
      </c>
      <c r="AR607" s="3" t="s">
        <v>128</v>
      </c>
      <c r="AS607" s="3" t="s">
        <v>64</v>
      </c>
      <c r="AT607" s="3" t="s">
        <v>64</v>
      </c>
      <c r="AV607" s="6" t="str">
        <f>HYPERLINK("http://mcgill.on.worldcat.org/oclc/930633562","Catalog Record")</f>
        <v>Catalog Record</v>
      </c>
      <c r="AW607" s="6" t="str">
        <f>HYPERLINK("http://www.worldcat.org/oclc/930633562","WorldCat Record")</f>
        <v>WorldCat Record</v>
      </c>
      <c r="AX607" s="3" t="s">
        <v>5885</v>
      </c>
      <c r="AY607" s="3" t="s">
        <v>5886</v>
      </c>
      <c r="AZ607" s="3" t="s">
        <v>5887</v>
      </c>
      <c r="BA607" s="3" t="s">
        <v>5887</v>
      </c>
      <c r="BB607" s="3" t="s">
        <v>5888</v>
      </c>
      <c r="BC607" s="3" t="s">
        <v>77</v>
      </c>
      <c r="BD607" s="3" t="s">
        <v>78</v>
      </c>
      <c r="BE607" s="3" t="s">
        <v>5889</v>
      </c>
      <c r="BF607" s="3" t="s">
        <v>5888</v>
      </c>
      <c r="BG607" s="3" t="s">
        <v>5890</v>
      </c>
      <c r="BH607">
        <f t="shared" si="19"/>
        <v>0</v>
      </c>
    </row>
    <row r="608" spans="1:60" ht="58" x14ac:dyDescent="0.35">
      <c r="A608" s="2" t="s">
        <v>59</v>
      </c>
      <c r="B608" s="2" t="s">
        <v>60</v>
      </c>
      <c r="C608" s="2" t="s">
        <v>5891</v>
      </c>
      <c r="D608" s="2" t="s">
        <v>5892</v>
      </c>
      <c r="E608" s="2" t="s">
        <v>5893</v>
      </c>
      <c r="G608" s="3" t="s">
        <v>64</v>
      </c>
      <c r="I608" s="3" t="s">
        <v>64</v>
      </c>
      <c r="J608" s="3" t="s">
        <v>64</v>
      </c>
      <c r="K608" s="3" t="s">
        <v>65</v>
      </c>
      <c r="L608" s="2" t="s">
        <v>5894</v>
      </c>
      <c r="M608" s="2" t="s">
        <v>3786</v>
      </c>
      <c r="N608" s="3" t="s">
        <v>537</v>
      </c>
      <c r="O608" s="2" t="s">
        <v>117</v>
      </c>
      <c r="P608" s="3" t="s">
        <v>102</v>
      </c>
      <c r="R608" s="3" t="s">
        <v>70</v>
      </c>
      <c r="S608" s="4">
        <v>0</v>
      </c>
      <c r="T608" s="4">
        <v>0</v>
      </c>
      <c r="W608" s="5" t="s">
        <v>72</v>
      </c>
      <c r="X608" s="5" t="s">
        <v>72</v>
      </c>
      <c r="Y608" s="4">
        <v>70</v>
      </c>
      <c r="Z608" s="4">
        <v>6</v>
      </c>
      <c r="AA608" s="4">
        <v>6</v>
      </c>
      <c r="AB608" s="4">
        <v>1</v>
      </c>
      <c r="AC608" s="4">
        <v>1</v>
      </c>
      <c r="AD608" s="4">
        <v>39</v>
      </c>
      <c r="AE608" s="4">
        <v>39</v>
      </c>
      <c r="AF608" s="4">
        <v>0</v>
      </c>
      <c r="AG608" s="4">
        <v>0</v>
      </c>
      <c r="AH608" s="4">
        <v>38</v>
      </c>
      <c r="AI608" s="4">
        <v>38</v>
      </c>
      <c r="AJ608" s="4">
        <v>4</v>
      </c>
      <c r="AK608" s="4">
        <v>4</v>
      </c>
      <c r="AL608" s="4">
        <v>24</v>
      </c>
      <c r="AM608" s="4">
        <v>24</v>
      </c>
      <c r="AN608" s="4">
        <v>0</v>
      </c>
      <c r="AO608" s="4">
        <v>0</v>
      </c>
      <c r="AP608" s="4">
        <v>4</v>
      </c>
      <c r="AQ608" s="4">
        <v>4</v>
      </c>
      <c r="AR608" s="3" t="s">
        <v>64</v>
      </c>
      <c r="AS608" s="3" t="s">
        <v>64</v>
      </c>
      <c r="AT608" s="3" t="s">
        <v>64</v>
      </c>
      <c r="AV608" s="6" t="str">
        <f>HYPERLINK("http://mcgill.on.worldcat.org/oclc/943710043","Catalog Record")</f>
        <v>Catalog Record</v>
      </c>
      <c r="AW608" s="6" t="str">
        <f>HYPERLINK("http://www.worldcat.org/oclc/943710043","WorldCat Record")</f>
        <v>WorldCat Record</v>
      </c>
      <c r="AX608" s="3" t="s">
        <v>5895</v>
      </c>
      <c r="AY608" s="3" t="s">
        <v>5896</v>
      </c>
      <c r="AZ608" s="3" t="s">
        <v>5897</v>
      </c>
      <c r="BA608" s="3" t="s">
        <v>5897</v>
      </c>
      <c r="BB608" s="3" t="s">
        <v>5898</v>
      </c>
      <c r="BC608" s="3" t="s">
        <v>77</v>
      </c>
      <c r="BD608" s="3" t="s">
        <v>78</v>
      </c>
      <c r="BE608" s="3" t="s">
        <v>5899</v>
      </c>
      <c r="BF608" s="3" t="s">
        <v>5898</v>
      </c>
      <c r="BG608" s="3" t="s">
        <v>5900</v>
      </c>
      <c r="BH608">
        <f t="shared" si="19"/>
        <v>0</v>
      </c>
    </row>
    <row r="609" spans="1:60" ht="58" x14ac:dyDescent="0.35">
      <c r="A609" s="2" t="s">
        <v>59</v>
      </c>
      <c r="B609" s="2" t="s">
        <v>60</v>
      </c>
      <c r="C609" s="2" t="s">
        <v>5901</v>
      </c>
      <c r="D609" s="2" t="s">
        <v>5902</v>
      </c>
      <c r="E609" s="2" t="s">
        <v>5903</v>
      </c>
      <c r="G609" s="3" t="s">
        <v>64</v>
      </c>
      <c r="I609" s="3" t="s">
        <v>64</v>
      </c>
      <c r="J609" s="3" t="s">
        <v>64</v>
      </c>
      <c r="K609" s="3" t="s">
        <v>65</v>
      </c>
      <c r="L609" s="2" t="s">
        <v>5904</v>
      </c>
      <c r="M609" s="2" t="s">
        <v>5905</v>
      </c>
      <c r="N609" s="3" t="s">
        <v>144</v>
      </c>
      <c r="P609" s="3" t="s">
        <v>102</v>
      </c>
      <c r="Q609" s="2" t="s">
        <v>4212</v>
      </c>
      <c r="R609" s="3" t="s">
        <v>70</v>
      </c>
      <c r="S609" s="4">
        <v>7</v>
      </c>
      <c r="T609" s="4">
        <v>7</v>
      </c>
      <c r="U609" s="5" t="s">
        <v>5906</v>
      </c>
      <c r="V609" s="5" t="s">
        <v>5906</v>
      </c>
      <c r="W609" s="5" t="s">
        <v>72</v>
      </c>
      <c r="X609" s="5" t="s">
        <v>72</v>
      </c>
      <c r="Y609" s="4">
        <v>158</v>
      </c>
      <c r="Z609" s="4">
        <v>17</v>
      </c>
      <c r="AA609" s="4">
        <v>20</v>
      </c>
      <c r="AB609" s="4">
        <v>1</v>
      </c>
      <c r="AC609" s="4">
        <v>4</v>
      </c>
      <c r="AD609" s="4">
        <v>59</v>
      </c>
      <c r="AE609" s="4">
        <v>61</v>
      </c>
      <c r="AF609" s="4">
        <v>0</v>
      </c>
      <c r="AG609" s="4">
        <v>0</v>
      </c>
      <c r="AH609" s="4">
        <v>54</v>
      </c>
      <c r="AI609" s="4">
        <v>56</v>
      </c>
      <c r="AJ609" s="4">
        <v>9</v>
      </c>
      <c r="AK609" s="4">
        <v>9</v>
      </c>
      <c r="AL609" s="4">
        <v>36</v>
      </c>
      <c r="AM609" s="4">
        <v>37</v>
      </c>
      <c r="AN609" s="4">
        <v>0</v>
      </c>
      <c r="AO609" s="4">
        <v>0</v>
      </c>
      <c r="AP609" s="4">
        <v>10</v>
      </c>
      <c r="AQ609" s="4">
        <v>10</v>
      </c>
      <c r="AR609" s="3" t="s">
        <v>64</v>
      </c>
      <c r="AS609" s="3" t="s">
        <v>64</v>
      </c>
      <c r="AT609" s="3" t="s">
        <v>64</v>
      </c>
      <c r="AV609" s="6" t="str">
        <f>HYPERLINK("http://mcgill.on.worldcat.org/oclc/181516865","Catalog Record")</f>
        <v>Catalog Record</v>
      </c>
      <c r="AW609" s="6" t="str">
        <f>HYPERLINK("http://www.worldcat.org/oclc/181516865","WorldCat Record")</f>
        <v>WorldCat Record</v>
      </c>
      <c r="AX609" s="3" t="s">
        <v>5907</v>
      </c>
      <c r="AY609" s="3" t="s">
        <v>5908</v>
      </c>
      <c r="AZ609" s="3" t="s">
        <v>5909</v>
      </c>
      <c r="BA609" s="3" t="s">
        <v>5909</v>
      </c>
      <c r="BB609" s="3" t="s">
        <v>5910</v>
      </c>
      <c r="BC609" s="3" t="s">
        <v>77</v>
      </c>
      <c r="BD609" s="3" t="s">
        <v>78</v>
      </c>
      <c r="BE609" s="3" t="s">
        <v>5911</v>
      </c>
      <c r="BF609" s="3" t="s">
        <v>5910</v>
      </c>
      <c r="BG609" s="3" t="s">
        <v>5912</v>
      </c>
      <c r="BH609">
        <f t="shared" si="19"/>
        <v>0</v>
      </c>
    </row>
    <row r="610" spans="1:60" ht="58" x14ac:dyDescent="0.35">
      <c r="A610" s="2" t="s">
        <v>59</v>
      </c>
      <c r="B610" s="2" t="s">
        <v>60</v>
      </c>
      <c r="C610" s="2" t="s">
        <v>5913</v>
      </c>
      <c r="D610" s="2" t="s">
        <v>5914</v>
      </c>
      <c r="E610" s="2" t="s">
        <v>5915</v>
      </c>
      <c r="G610" s="3" t="s">
        <v>64</v>
      </c>
      <c r="I610" s="3" t="s">
        <v>128</v>
      </c>
      <c r="J610" s="3" t="s">
        <v>64</v>
      </c>
      <c r="K610" s="3" t="s">
        <v>65</v>
      </c>
      <c r="L610" s="2" t="s">
        <v>5916</v>
      </c>
      <c r="M610" s="2" t="s">
        <v>5917</v>
      </c>
      <c r="N610" s="3" t="s">
        <v>3549</v>
      </c>
      <c r="P610" s="3" t="s">
        <v>102</v>
      </c>
      <c r="R610" s="3" t="s">
        <v>70</v>
      </c>
      <c r="S610" s="4">
        <v>16</v>
      </c>
      <c r="T610" s="4">
        <v>18</v>
      </c>
      <c r="U610" s="5" t="s">
        <v>1430</v>
      </c>
      <c r="V610" s="5" t="s">
        <v>1430</v>
      </c>
      <c r="W610" s="5" t="s">
        <v>72</v>
      </c>
      <c r="X610" s="5" t="s">
        <v>72</v>
      </c>
      <c r="Y610" s="4">
        <v>308</v>
      </c>
      <c r="Z610" s="4">
        <v>22</v>
      </c>
      <c r="AA610" s="4">
        <v>35</v>
      </c>
      <c r="AB610" s="4">
        <v>1</v>
      </c>
      <c r="AC610" s="4">
        <v>6</v>
      </c>
      <c r="AD610" s="4">
        <v>93</v>
      </c>
      <c r="AE610" s="4">
        <v>116</v>
      </c>
      <c r="AF610" s="4">
        <v>0</v>
      </c>
      <c r="AG610" s="4">
        <v>3</v>
      </c>
      <c r="AH610" s="4">
        <v>84</v>
      </c>
      <c r="AI610" s="4">
        <v>99</v>
      </c>
      <c r="AJ610" s="4">
        <v>14</v>
      </c>
      <c r="AK610" s="4">
        <v>22</v>
      </c>
      <c r="AL610" s="4">
        <v>48</v>
      </c>
      <c r="AM610" s="4">
        <v>54</v>
      </c>
      <c r="AN610" s="4">
        <v>0</v>
      </c>
      <c r="AO610" s="4">
        <v>0</v>
      </c>
      <c r="AP610" s="4">
        <v>13</v>
      </c>
      <c r="AQ610" s="4">
        <v>23</v>
      </c>
      <c r="AR610" s="3" t="s">
        <v>64</v>
      </c>
      <c r="AS610" s="3" t="s">
        <v>64</v>
      </c>
      <c r="AT610" s="3" t="s">
        <v>128</v>
      </c>
      <c r="AU610" s="6" t="str">
        <f>HYPERLINK("http://catalog.hathitrust.org/Record/001160411","HathiTrust Record")</f>
        <v>HathiTrust Record</v>
      </c>
      <c r="AV610" s="6" t="str">
        <f>HYPERLINK("http://mcgill.on.worldcat.org/oclc/574524","Catalog Record")</f>
        <v>Catalog Record</v>
      </c>
      <c r="AW610" s="6" t="str">
        <f>HYPERLINK("http://www.worldcat.org/oclc/574524","WorldCat Record")</f>
        <v>WorldCat Record</v>
      </c>
      <c r="AX610" s="3" t="s">
        <v>5918</v>
      </c>
      <c r="AY610" s="3" t="s">
        <v>5919</v>
      </c>
      <c r="AZ610" s="3" t="s">
        <v>5920</v>
      </c>
      <c r="BA610" s="3" t="s">
        <v>5920</v>
      </c>
      <c r="BB610" s="3" t="s">
        <v>5921</v>
      </c>
      <c r="BC610" s="3" t="s">
        <v>77</v>
      </c>
      <c r="BD610" s="3" t="s">
        <v>78</v>
      </c>
      <c r="BF610" s="3" t="s">
        <v>5921</v>
      </c>
      <c r="BG610" s="3" t="s">
        <v>5922</v>
      </c>
      <c r="BH610">
        <f t="shared" si="19"/>
        <v>0</v>
      </c>
    </row>
    <row r="611" spans="1:60" ht="58" x14ac:dyDescent="0.35">
      <c r="A611" s="2" t="s">
        <v>59</v>
      </c>
      <c r="B611" s="2" t="s">
        <v>60</v>
      </c>
      <c r="C611" s="2" t="s">
        <v>5923</v>
      </c>
      <c r="D611" s="2" t="s">
        <v>5924</v>
      </c>
      <c r="E611" s="2" t="s">
        <v>5925</v>
      </c>
      <c r="G611" s="3" t="s">
        <v>64</v>
      </c>
      <c r="I611" s="3" t="s">
        <v>128</v>
      </c>
      <c r="J611" s="3" t="s">
        <v>64</v>
      </c>
      <c r="K611" s="3" t="s">
        <v>65</v>
      </c>
      <c r="L611" s="2" t="s">
        <v>5926</v>
      </c>
      <c r="M611" s="2" t="s">
        <v>5927</v>
      </c>
      <c r="N611" s="3" t="s">
        <v>3549</v>
      </c>
      <c r="P611" s="3" t="s">
        <v>102</v>
      </c>
      <c r="R611" s="3" t="s">
        <v>70</v>
      </c>
      <c r="S611" s="4">
        <v>10</v>
      </c>
      <c r="T611" s="4">
        <v>11</v>
      </c>
      <c r="U611" s="5" t="s">
        <v>5928</v>
      </c>
      <c r="V611" s="5" t="s">
        <v>5928</v>
      </c>
      <c r="W611" s="5" t="s">
        <v>72</v>
      </c>
      <c r="X611" s="5" t="s">
        <v>72</v>
      </c>
      <c r="Y611" s="4">
        <v>476</v>
      </c>
      <c r="Z611" s="4">
        <v>29</v>
      </c>
      <c r="AA611" s="4">
        <v>34</v>
      </c>
      <c r="AB611" s="4">
        <v>2</v>
      </c>
      <c r="AC611" s="4">
        <v>4</v>
      </c>
      <c r="AD611" s="4">
        <v>110</v>
      </c>
      <c r="AE611" s="4">
        <v>112</v>
      </c>
      <c r="AF611" s="4">
        <v>1</v>
      </c>
      <c r="AG611" s="4">
        <v>2</v>
      </c>
      <c r="AH611" s="4">
        <v>94</v>
      </c>
      <c r="AI611" s="4">
        <v>95</v>
      </c>
      <c r="AJ611" s="4">
        <v>16</v>
      </c>
      <c r="AK611" s="4">
        <v>18</v>
      </c>
      <c r="AL611" s="4">
        <v>56</v>
      </c>
      <c r="AM611" s="4">
        <v>56</v>
      </c>
      <c r="AN611" s="4">
        <v>0</v>
      </c>
      <c r="AO611" s="4">
        <v>0</v>
      </c>
      <c r="AP611" s="4">
        <v>19</v>
      </c>
      <c r="AQ611" s="4">
        <v>20</v>
      </c>
      <c r="AR611" s="3" t="s">
        <v>64</v>
      </c>
      <c r="AS611" s="3" t="s">
        <v>64</v>
      </c>
      <c r="AT611" s="3" t="s">
        <v>128</v>
      </c>
      <c r="AU611" s="6" t="str">
        <f>HYPERLINK("http://catalog.hathitrust.org/Record/001160425","HathiTrust Record")</f>
        <v>HathiTrust Record</v>
      </c>
      <c r="AV611" s="6" t="str">
        <f>HYPERLINK("http://mcgill.on.worldcat.org/oclc/14667591","Catalog Record")</f>
        <v>Catalog Record</v>
      </c>
      <c r="AW611" s="6" t="str">
        <f>HYPERLINK("http://www.worldcat.org/oclc/14667591","WorldCat Record")</f>
        <v>WorldCat Record</v>
      </c>
      <c r="AX611" s="3" t="s">
        <v>5929</v>
      </c>
      <c r="AY611" s="3" t="s">
        <v>5930</v>
      </c>
      <c r="AZ611" s="3" t="s">
        <v>5931</v>
      </c>
      <c r="BA611" s="3" t="s">
        <v>5931</v>
      </c>
      <c r="BB611" s="3" t="s">
        <v>5932</v>
      </c>
      <c r="BC611" s="3" t="s">
        <v>77</v>
      </c>
      <c r="BD611" s="3" t="s">
        <v>78</v>
      </c>
      <c r="BF611" s="3" t="s">
        <v>5932</v>
      </c>
      <c r="BG611" s="3" t="s">
        <v>5933</v>
      </c>
      <c r="BH611">
        <f t="shared" si="19"/>
        <v>0</v>
      </c>
    </row>
    <row r="612" spans="1:60" ht="58" x14ac:dyDescent="0.35">
      <c r="A612" s="2" t="s">
        <v>59</v>
      </c>
      <c r="B612" s="2" t="s">
        <v>60</v>
      </c>
      <c r="C612" s="2" t="s">
        <v>5934</v>
      </c>
      <c r="D612" s="2" t="s">
        <v>5935</v>
      </c>
      <c r="E612" s="2" t="s">
        <v>5936</v>
      </c>
      <c r="G612" s="3" t="s">
        <v>64</v>
      </c>
      <c r="I612" s="3" t="s">
        <v>64</v>
      </c>
      <c r="J612" s="3" t="s">
        <v>64</v>
      </c>
      <c r="K612" s="3" t="s">
        <v>65</v>
      </c>
      <c r="L612" s="2" t="s">
        <v>5937</v>
      </c>
      <c r="M612" s="2" t="s">
        <v>5938</v>
      </c>
      <c r="N612" s="3" t="s">
        <v>190</v>
      </c>
      <c r="P612" s="3" t="s">
        <v>365</v>
      </c>
      <c r="Q612" s="2" t="s">
        <v>5939</v>
      </c>
      <c r="R612" s="3" t="s">
        <v>70</v>
      </c>
      <c r="S612" s="4">
        <v>0</v>
      </c>
      <c r="T612" s="4">
        <v>0</v>
      </c>
      <c r="W612" s="5" t="s">
        <v>72</v>
      </c>
      <c r="X612" s="5" t="s">
        <v>72</v>
      </c>
      <c r="Y612" s="4">
        <v>38</v>
      </c>
      <c r="Z612" s="4">
        <v>1</v>
      </c>
      <c r="AA612" s="4">
        <v>1</v>
      </c>
      <c r="AB612" s="4">
        <v>1</v>
      </c>
      <c r="AC612" s="4">
        <v>1</v>
      </c>
      <c r="AD612" s="4">
        <v>21</v>
      </c>
      <c r="AE612" s="4">
        <v>21</v>
      </c>
      <c r="AF612" s="4">
        <v>0</v>
      </c>
      <c r="AG612" s="4">
        <v>0</v>
      </c>
      <c r="AH612" s="4">
        <v>20</v>
      </c>
      <c r="AI612" s="4">
        <v>20</v>
      </c>
      <c r="AJ612" s="4">
        <v>0</v>
      </c>
      <c r="AK612" s="4">
        <v>0</v>
      </c>
      <c r="AL612" s="4">
        <v>17</v>
      </c>
      <c r="AM612" s="4">
        <v>17</v>
      </c>
      <c r="AN612" s="4">
        <v>0</v>
      </c>
      <c r="AO612" s="4">
        <v>0</v>
      </c>
      <c r="AP612" s="4">
        <v>0</v>
      </c>
      <c r="AQ612" s="4">
        <v>0</v>
      </c>
      <c r="AR612" s="3" t="s">
        <v>64</v>
      </c>
      <c r="AS612" s="3" t="s">
        <v>64</v>
      </c>
      <c r="AT612" s="3" t="s">
        <v>64</v>
      </c>
      <c r="AV612" s="6" t="str">
        <f>HYPERLINK("http://mcgill.on.worldcat.org/oclc/1079401422","Catalog Record")</f>
        <v>Catalog Record</v>
      </c>
      <c r="AW612" s="6" t="str">
        <f>HYPERLINK("http://www.worldcat.org/oclc/1079401422","WorldCat Record")</f>
        <v>WorldCat Record</v>
      </c>
      <c r="AX612" s="3" t="s">
        <v>5940</v>
      </c>
      <c r="AY612" s="3" t="s">
        <v>5941</v>
      </c>
      <c r="AZ612" s="3" t="s">
        <v>5942</v>
      </c>
      <c r="BA612" s="3" t="s">
        <v>5942</v>
      </c>
      <c r="BB612" s="3" t="s">
        <v>5943</v>
      </c>
      <c r="BC612" s="3" t="s">
        <v>77</v>
      </c>
      <c r="BD612" s="3" t="s">
        <v>78</v>
      </c>
      <c r="BE612" s="3" t="s">
        <v>5944</v>
      </c>
      <c r="BF612" s="3" t="s">
        <v>5943</v>
      </c>
      <c r="BG612" s="3" t="s">
        <v>5945</v>
      </c>
      <c r="BH612">
        <f t="shared" si="19"/>
        <v>0</v>
      </c>
    </row>
    <row r="613" spans="1:60" ht="58" x14ac:dyDescent="0.35">
      <c r="A613" s="2" t="s">
        <v>59</v>
      </c>
      <c r="B613" s="2" t="s">
        <v>60</v>
      </c>
      <c r="C613" s="2" t="s">
        <v>5946</v>
      </c>
      <c r="D613" s="2" t="s">
        <v>5947</v>
      </c>
      <c r="E613" s="2" t="s">
        <v>5948</v>
      </c>
      <c r="G613" s="3" t="s">
        <v>64</v>
      </c>
      <c r="I613" s="3" t="s">
        <v>64</v>
      </c>
      <c r="J613" s="3" t="s">
        <v>64</v>
      </c>
      <c r="K613" s="3" t="s">
        <v>65</v>
      </c>
      <c r="L613" s="2" t="s">
        <v>5949</v>
      </c>
      <c r="M613" s="2" t="s">
        <v>5950</v>
      </c>
      <c r="N613" s="3" t="s">
        <v>922</v>
      </c>
      <c r="P613" s="3" t="s">
        <v>102</v>
      </c>
      <c r="R613" s="3" t="s">
        <v>70</v>
      </c>
      <c r="S613" s="4">
        <v>1</v>
      </c>
      <c r="T613" s="4">
        <v>1</v>
      </c>
      <c r="U613" s="5" t="s">
        <v>566</v>
      </c>
      <c r="V613" s="5" t="s">
        <v>566</v>
      </c>
      <c r="W613" s="5" t="s">
        <v>72</v>
      </c>
      <c r="X613" s="5" t="s">
        <v>72</v>
      </c>
      <c r="Y613" s="4">
        <v>291</v>
      </c>
      <c r="Z613" s="4">
        <v>22</v>
      </c>
      <c r="AA613" s="4">
        <v>77</v>
      </c>
      <c r="AB613" s="4">
        <v>1</v>
      </c>
      <c r="AC613" s="4">
        <v>15</v>
      </c>
      <c r="AD613" s="4">
        <v>103</v>
      </c>
      <c r="AE613" s="4">
        <v>138</v>
      </c>
      <c r="AF613" s="4">
        <v>0</v>
      </c>
      <c r="AG613" s="4">
        <v>8</v>
      </c>
      <c r="AH613" s="4">
        <v>91</v>
      </c>
      <c r="AI613" s="4">
        <v>102</v>
      </c>
      <c r="AJ613" s="4">
        <v>15</v>
      </c>
      <c r="AK613" s="4">
        <v>23</v>
      </c>
      <c r="AL613" s="4">
        <v>51</v>
      </c>
      <c r="AM613" s="4">
        <v>56</v>
      </c>
      <c r="AN613" s="4">
        <v>0</v>
      </c>
      <c r="AO613" s="4">
        <v>0</v>
      </c>
      <c r="AP613" s="4">
        <v>18</v>
      </c>
      <c r="AQ613" s="4">
        <v>41</v>
      </c>
      <c r="AR613" s="3" t="s">
        <v>64</v>
      </c>
      <c r="AS613" s="3" t="s">
        <v>64</v>
      </c>
      <c r="AT613" s="3" t="s">
        <v>128</v>
      </c>
      <c r="AU613" s="6" t="str">
        <f>HYPERLINK("http://catalog.hathitrust.org/Record/001160431","HathiTrust Record")</f>
        <v>HathiTrust Record</v>
      </c>
      <c r="AV613" s="6" t="str">
        <f>HYPERLINK("http://mcgill.on.worldcat.org/oclc/524009","Catalog Record")</f>
        <v>Catalog Record</v>
      </c>
      <c r="AW613" s="6" t="str">
        <f>HYPERLINK("http://www.worldcat.org/oclc/524009","WorldCat Record")</f>
        <v>WorldCat Record</v>
      </c>
      <c r="AX613" s="3" t="s">
        <v>5951</v>
      </c>
      <c r="AY613" s="3" t="s">
        <v>5952</v>
      </c>
      <c r="AZ613" s="3" t="s">
        <v>5953</v>
      </c>
      <c r="BA613" s="3" t="s">
        <v>5953</v>
      </c>
      <c r="BB613" s="3" t="s">
        <v>5954</v>
      </c>
      <c r="BC613" s="3" t="s">
        <v>77</v>
      </c>
      <c r="BD613" s="3" t="s">
        <v>78</v>
      </c>
      <c r="BE613" s="3" t="s">
        <v>5955</v>
      </c>
      <c r="BF613" s="3" t="s">
        <v>5954</v>
      </c>
      <c r="BG613" s="3" t="s">
        <v>5956</v>
      </c>
      <c r="BH613">
        <f t="shared" si="19"/>
        <v>0</v>
      </c>
    </row>
    <row r="614" spans="1:60" ht="72.5" x14ac:dyDescent="0.35">
      <c r="A614" s="2" t="s">
        <v>59</v>
      </c>
      <c r="B614" s="2" t="s">
        <v>60</v>
      </c>
      <c r="C614" s="2" t="s">
        <v>5957</v>
      </c>
      <c r="D614" s="2" t="s">
        <v>5958</v>
      </c>
      <c r="E614" s="2" t="s">
        <v>5959</v>
      </c>
      <c r="G614" s="3" t="s">
        <v>64</v>
      </c>
      <c r="I614" s="3" t="s">
        <v>128</v>
      </c>
      <c r="J614" s="3" t="s">
        <v>64</v>
      </c>
      <c r="K614" s="3" t="s">
        <v>65</v>
      </c>
      <c r="L614" s="2" t="s">
        <v>5960</v>
      </c>
      <c r="M614" s="2" t="s">
        <v>5961</v>
      </c>
      <c r="N614" s="3" t="s">
        <v>1004</v>
      </c>
      <c r="P614" s="3" t="s">
        <v>102</v>
      </c>
      <c r="Q614" s="2" t="s">
        <v>5962</v>
      </c>
      <c r="R614" s="3" t="s">
        <v>70</v>
      </c>
      <c r="S614" s="4">
        <v>1</v>
      </c>
      <c r="T614" s="4">
        <v>1</v>
      </c>
      <c r="U614" s="5" t="s">
        <v>5963</v>
      </c>
      <c r="V614" s="5" t="s">
        <v>5963</v>
      </c>
      <c r="W614" s="5" t="s">
        <v>72</v>
      </c>
      <c r="X614" s="5" t="s">
        <v>72</v>
      </c>
      <c r="Y614" s="4">
        <v>173</v>
      </c>
      <c r="Z614" s="4">
        <v>10</v>
      </c>
      <c r="AA614" s="4">
        <v>10</v>
      </c>
      <c r="AB614" s="4">
        <v>1</v>
      </c>
      <c r="AC614" s="4">
        <v>1</v>
      </c>
      <c r="AD614" s="4">
        <v>81</v>
      </c>
      <c r="AE614" s="4">
        <v>81</v>
      </c>
      <c r="AF614" s="4">
        <v>0</v>
      </c>
      <c r="AG614" s="4">
        <v>0</v>
      </c>
      <c r="AH614" s="4">
        <v>73</v>
      </c>
      <c r="AI614" s="4">
        <v>73</v>
      </c>
      <c r="AJ614" s="4">
        <v>6</v>
      </c>
      <c r="AK614" s="4">
        <v>6</v>
      </c>
      <c r="AL614" s="4">
        <v>41</v>
      </c>
      <c r="AM614" s="4">
        <v>41</v>
      </c>
      <c r="AN614" s="4">
        <v>0</v>
      </c>
      <c r="AO614" s="4">
        <v>0</v>
      </c>
      <c r="AP614" s="4">
        <v>9</v>
      </c>
      <c r="AQ614" s="4">
        <v>9</v>
      </c>
      <c r="AR614" s="3" t="s">
        <v>64</v>
      </c>
      <c r="AS614" s="3" t="s">
        <v>64</v>
      </c>
      <c r="AT614" s="3" t="s">
        <v>128</v>
      </c>
      <c r="AU614" s="6" t="str">
        <f>HYPERLINK("http://catalog.hathitrust.org/Record/000327948","HathiTrust Record")</f>
        <v>HathiTrust Record</v>
      </c>
      <c r="AV614" s="6" t="str">
        <f>HYPERLINK("http://mcgill.on.worldcat.org/oclc/9678370","Catalog Record")</f>
        <v>Catalog Record</v>
      </c>
      <c r="AW614" s="6" t="str">
        <f>HYPERLINK("http://www.worldcat.org/oclc/9678370","WorldCat Record")</f>
        <v>WorldCat Record</v>
      </c>
      <c r="AX614" s="3" t="s">
        <v>5964</v>
      </c>
      <c r="AY614" s="3" t="s">
        <v>5965</v>
      </c>
      <c r="AZ614" s="3" t="s">
        <v>5966</v>
      </c>
      <c r="BA614" s="3" t="s">
        <v>5966</v>
      </c>
      <c r="BB614" s="3" t="s">
        <v>5967</v>
      </c>
      <c r="BC614" s="3" t="s">
        <v>77</v>
      </c>
      <c r="BD614" s="3" t="s">
        <v>78</v>
      </c>
      <c r="BE614" s="3" t="s">
        <v>5968</v>
      </c>
      <c r="BF614" s="3" t="s">
        <v>5967</v>
      </c>
      <c r="BG614" s="3" t="s">
        <v>5969</v>
      </c>
      <c r="BH614">
        <f t="shared" si="19"/>
        <v>0</v>
      </c>
    </row>
    <row r="615" spans="1:60" ht="58" x14ac:dyDescent="0.35">
      <c r="A615" s="2" t="s">
        <v>59</v>
      </c>
      <c r="B615" s="2" t="s">
        <v>60</v>
      </c>
      <c r="C615" s="2" t="s">
        <v>5970</v>
      </c>
      <c r="D615" s="2" t="s">
        <v>5971</v>
      </c>
      <c r="E615" s="2" t="s">
        <v>5972</v>
      </c>
      <c r="G615" s="3" t="s">
        <v>64</v>
      </c>
      <c r="I615" s="3" t="s">
        <v>64</v>
      </c>
      <c r="J615" s="3" t="s">
        <v>64</v>
      </c>
      <c r="K615" s="3" t="s">
        <v>65</v>
      </c>
      <c r="L615" s="2" t="s">
        <v>5973</v>
      </c>
      <c r="M615" s="2" t="s">
        <v>5974</v>
      </c>
      <c r="N615" s="3" t="s">
        <v>578</v>
      </c>
      <c r="P615" s="3" t="s">
        <v>102</v>
      </c>
      <c r="R615" s="3" t="s">
        <v>70</v>
      </c>
      <c r="S615" s="4">
        <v>0</v>
      </c>
      <c r="T615" s="4">
        <v>0</v>
      </c>
      <c r="W615" s="5" t="s">
        <v>72</v>
      </c>
      <c r="X615" s="5" t="s">
        <v>72</v>
      </c>
      <c r="Y615" s="4">
        <v>35</v>
      </c>
      <c r="Z615" s="4">
        <v>19</v>
      </c>
      <c r="AA615" s="4">
        <v>19</v>
      </c>
      <c r="AB615" s="4">
        <v>3</v>
      </c>
      <c r="AC615" s="4">
        <v>3</v>
      </c>
      <c r="AD615" s="4">
        <v>25</v>
      </c>
      <c r="AE615" s="4">
        <v>25</v>
      </c>
      <c r="AF615" s="4">
        <v>1</v>
      </c>
      <c r="AG615" s="4">
        <v>1</v>
      </c>
      <c r="AH615" s="4">
        <v>16</v>
      </c>
      <c r="AI615" s="4">
        <v>16</v>
      </c>
      <c r="AJ615" s="4">
        <v>10</v>
      </c>
      <c r="AK615" s="4">
        <v>10</v>
      </c>
      <c r="AL615" s="4">
        <v>8</v>
      </c>
      <c r="AM615" s="4">
        <v>8</v>
      </c>
      <c r="AN615" s="4">
        <v>0</v>
      </c>
      <c r="AO615" s="4">
        <v>0</v>
      </c>
      <c r="AP615" s="4">
        <v>13</v>
      </c>
      <c r="AQ615" s="4">
        <v>13</v>
      </c>
      <c r="AR615" s="3" t="s">
        <v>128</v>
      </c>
      <c r="AS615" s="3" t="s">
        <v>64</v>
      </c>
      <c r="AT615" s="3" t="s">
        <v>64</v>
      </c>
      <c r="AV615" s="6" t="str">
        <f>HYPERLINK("http://mcgill.on.worldcat.org/oclc/1010403183","Catalog Record")</f>
        <v>Catalog Record</v>
      </c>
      <c r="AW615" s="6" t="str">
        <f>HYPERLINK("http://www.worldcat.org/oclc/1010403183","WorldCat Record")</f>
        <v>WorldCat Record</v>
      </c>
      <c r="AX615" s="3" t="s">
        <v>5975</v>
      </c>
      <c r="AY615" s="3" t="s">
        <v>5976</v>
      </c>
      <c r="AZ615" s="3" t="s">
        <v>5977</v>
      </c>
      <c r="BA615" s="3" t="s">
        <v>5977</v>
      </c>
      <c r="BB615" s="3" t="s">
        <v>5978</v>
      </c>
      <c r="BC615" s="3" t="s">
        <v>77</v>
      </c>
      <c r="BD615" s="3" t="s">
        <v>78</v>
      </c>
      <c r="BE615" s="3" t="s">
        <v>5979</v>
      </c>
      <c r="BF615" s="3" t="s">
        <v>5978</v>
      </c>
      <c r="BG615" s="3" t="s">
        <v>5980</v>
      </c>
      <c r="BH615">
        <f t="shared" si="19"/>
        <v>0</v>
      </c>
    </row>
    <row r="616" spans="1:60" ht="58" x14ac:dyDescent="0.35">
      <c r="A616" s="2" t="s">
        <v>59</v>
      </c>
      <c r="B616" s="2" t="s">
        <v>60</v>
      </c>
      <c r="C616" s="2" t="s">
        <v>5981</v>
      </c>
      <c r="D616" s="2" t="s">
        <v>5982</v>
      </c>
      <c r="E616" s="2" t="s">
        <v>5983</v>
      </c>
      <c r="G616" s="3" t="s">
        <v>64</v>
      </c>
      <c r="I616" s="3" t="s">
        <v>64</v>
      </c>
      <c r="J616" s="3" t="s">
        <v>64</v>
      </c>
      <c r="K616" s="3" t="s">
        <v>65</v>
      </c>
      <c r="L616" s="2" t="s">
        <v>5984</v>
      </c>
      <c r="M616" s="2" t="s">
        <v>5985</v>
      </c>
      <c r="N616" s="3" t="s">
        <v>5986</v>
      </c>
      <c r="P616" s="3" t="s">
        <v>68</v>
      </c>
      <c r="Q616" s="2" t="s">
        <v>5987</v>
      </c>
      <c r="R616" s="3" t="s">
        <v>70</v>
      </c>
      <c r="S616" s="4">
        <v>3</v>
      </c>
      <c r="T616" s="4">
        <v>3</v>
      </c>
      <c r="U616" s="5" t="s">
        <v>4481</v>
      </c>
      <c r="V616" s="5" t="s">
        <v>4481</v>
      </c>
      <c r="W616" s="5" t="s">
        <v>72</v>
      </c>
      <c r="X616" s="5" t="s">
        <v>72</v>
      </c>
      <c r="Y616" s="4">
        <v>158</v>
      </c>
      <c r="Z616" s="4">
        <v>15</v>
      </c>
      <c r="AA616" s="4">
        <v>20</v>
      </c>
      <c r="AB616" s="4">
        <v>1</v>
      </c>
      <c r="AC616" s="4">
        <v>5</v>
      </c>
      <c r="AD616" s="4">
        <v>81</v>
      </c>
      <c r="AE616" s="4">
        <v>85</v>
      </c>
      <c r="AF616" s="4">
        <v>0</v>
      </c>
      <c r="AG616" s="4">
        <v>3</v>
      </c>
      <c r="AH616" s="4">
        <v>75</v>
      </c>
      <c r="AI616" s="4">
        <v>77</v>
      </c>
      <c r="AJ616" s="4">
        <v>10</v>
      </c>
      <c r="AK616" s="4">
        <v>14</v>
      </c>
      <c r="AL616" s="4">
        <v>47</v>
      </c>
      <c r="AM616" s="4">
        <v>47</v>
      </c>
      <c r="AN616" s="4">
        <v>0</v>
      </c>
      <c r="AO616" s="4">
        <v>0</v>
      </c>
      <c r="AP616" s="4">
        <v>11</v>
      </c>
      <c r="AQ616" s="4">
        <v>15</v>
      </c>
      <c r="AR616" s="3" t="s">
        <v>64</v>
      </c>
      <c r="AS616" s="3" t="s">
        <v>64</v>
      </c>
      <c r="AT616" s="3" t="s">
        <v>128</v>
      </c>
      <c r="AU616" s="6" t="str">
        <f>HYPERLINK("http://catalog.hathitrust.org/Record/001160443","HathiTrust Record")</f>
        <v>HathiTrust Record</v>
      </c>
      <c r="AV616" s="6" t="str">
        <f>HYPERLINK("http://mcgill.on.worldcat.org/oclc/3668232","Catalog Record")</f>
        <v>Catalog Record</v>
      </c>
      <c r="AW616" s="6" t="str">
        <f>HYPERLINK("http://www.worldcat.org/oclc/3668232","WorldCat Record")</f>
        <v>WorldCat Record</v>
      </c>
      <c r="AX616" s="3" t="s">
        <v>5988</v>
      </c>
      <c r="AY616" s="3" t="s">
        <v>5989</v>
      </c>
      <c r="AZ616" s="3" t="s">
        <v>5990</v>
      </c>
      <c r="BA616" s="3" t="s">
        <v>5990</v>
      </c>
      <c r="BB616" s="3" t="s">
        <v>5991</v>
      </c>
      <c r="BC616" s="3" t="s">
        <v>77</v>
      </c>
      <c r="BD616" s="3" t="s">
        <v>78</v>
      </c>
      <c r="BF616" s="3" t="s">
        <v>5991</v>
      </c>
      <c r="BG616" s="3" t="s">
        <v>5992</v>
      </c>
      <c r="BH616">
        <f t="shared" si="19"/>
        <v>0</v>
      </c>
    </row>
    <row r="617" spans="1:60" ht="58" x14ac:dyDescent="0.35">
      <c r="A617" s="2" t="s">
        <v>59</v>
      </c>
      <c r="B617" s="2" t="s">
        <v>60</v>
      </c>
      <c r="C617" s="2" t="s">
        <v>5993</v>
      </c>
      <c r="D617" s="2" t="s">
        <v>5994</v>
      </c>
      <c r="E617" s="2" t="s">
        <v>5995</v>
      </c>
      <c r="G617" s="3" t="s">
        <v>64</v>
      </c>
      <c r="H617" s="3" t="s">
        <v>183</v>
      </c>
      <c r="I617" s="3" t="s">
        <v>64</v>
      </c>
      <c r="J617" s="3" t="s">
        <v>64</v>
      </c>
      <c r="K617" s="3" t="s">
        <v>65</v>
      </c>
      <c r="L617" s="2" t="s">
        <v>5996</v>
      </c>
      <c r="M617" s="2" t="s">
        <v>5997</v>
      </c>
      <c r="N617" s="3" t="s">
        <v>190</v>
      </c>
      <c r="P617" s="3" t="s">
        <v>102</v>
      </c>
      <c r="Q617" s="2" t="s">
        <v>5998</v>
      </c>
      <c r="R617" s="3" t="s">
        <v>70</v>
      </c>
      <c r="S617" s="4">
        <v>0</v>
      </c>
      <c r="T617" s="4">
        <v>0</v>
      </c>
      <c r="W617" s="5" t="s">
        <v>826</v>
      </c>
      <c r="X617" s="5" t="s">
        <v>826</v>
      </c>
      <c r="Y617" s="4">
        <v>43</v>
      </c>
      <c r="Z617" s="4">
        <v>6</v>
      </c>
      <c r="AA617" s="4">
        <v>12</v>
      </c>
      <c r="AB617" s="4">
        <v>1</v>
      </c>
      <c r="AC617" s="4">
        <v>4</v>
      </c>
      <c r="AD617" s="4">
        <v>24</v>
      </c>
      <c r="AE617" s="4">
        <v>33</v>
      </c>
      <c r="AF617" s="4">
        <v>0</v>
      </c>
      <c r="AG617" s="4">
        <v>1</v>
      </c>
      <c r="AH617" s="4">
        <v>21</v>
      </c>
      <c r="AI617" s="4">
        <v>27</v>
      </c>
      <c r="AJ617" s="4">
        <v>5</v>
      </c>
      <c r="AK617" s="4">
        <v>8</v>
      </c>
      <c r="AL617" s="4">
        <v>15</v>
      </c>
      <c r="AM617" s="4">
        <v>17</v>
      </c>
      <c r="AN617" s="4">
        <v>0</v>
      </c>
      <c r="AO617" s="4">
        <v>0</v>
      </c>
      <c r="AP617" s="4">
        <v>5</v>
      </c>
      <c r="AQ617" s="4">
        <v>9</v>
      </c>
      <c r="AR617" s="3" t="s">
        <v>64</v>
      </c>
      <c r="AS617" s="3" t="s">
        <v>64</v>
      </c>
      <c r="AT617" s="3" t="s">
        <v>64</v>
      </c>
      <c r="AV617" s="6" t="str">
        <f>HYPERLINK("http://mcgill.on.worldcat.org/oclc/1002114118","Catalog Record")</f>
        <v>Catalog Record</v>
      </c>
      <c r="AW617" s="6" t="str">
        <f>HYPERLINK("http://www.worldcat.org/oclc/1002114118","WorldCat Record")</f>
        <v>WorldCat Record</v>
      </c>
      <c r="AX617" s="3" t="s">
        <v>5999</v>
      </c>
      <c r="AY617" s="3" t="s">
        <v>6000</v>
      </c>
      <c r="AZ617" s="3" t="s">
        <v>6001</v>
      </c>
      <c r="BA617" s="3" t="s">
        <v>6001</v>
      </c>
      <c r="BB617" s="3" t="s">
        <v>6002</v>
      </c>
      <c r="BC617" s="3" t="s">
        <v>77</v>
      </c>
      <c r="BD617" s="3" t="s">
        <v>78</v>
      </c>
      <c r="BE617" s="3" t="s">
        <v>6003</v>
      </c>
      <c r="BF617" s="3" t="s">
        <v>6002</v>
      </c>
      <c r="BG617" s="3" t="s">
        <v>6004</v>
      </c>
      <c r="BH617">
        <f t="shared" si="19"/>
        <v>0</v>
      </c>
    </row>
    <row r="618" spans="1:60" ht="58" x14ac:dyDescent="0.35">
      <c r="A618" s="2" t="s">
        <v>59</v>
      </c>
      <c r="B618" s="2" t="s">
        <v>60</v>
      </c>
      <c r="C618" s="2" t="s">
        <v>6005</v>
      </c>
      <c r="D618" s="2" t="s">
        <v>6006</v>
      </c>
      <c r="E618" s="2" t="s">
        <v>6007</v>
      </c>
      <c r="G618" s="3" t="s">
        <v>64</v>
      </c>
      <c r="I618" s="3" t="s">
        <v>64</v>
      </c>
      <c r="J618" s="3" t="s">
        <v>64</v>
      </c>
      <c r="K618" s="3" t="s">
        <v>65</v>
      </c>
      <c r="L618" s="2" t="s">
        <v>6008</v>
      </c>
      <c r="M618" s="2" t="s">
        <v>6009</v>
      </c>
      <c r="N618" s="3" t="s">
        <v>551</v>
      </c>
      <c r="P618" s="3" t="s">
        <v>102</v>
      </c>
      <c r="R618" s="3" t="s">
        <v>70</v>
      </c>
      <c r="S618" s="4">
        <v>2</v>
      </c>
      <c r="T618" s="4">
        <v>2</v>
      </c>
      <c r="U618" s="5" t="s">
        <v>6010</v>
      </c>
      <c r="V618" s="5" t="s">
        <v>6010</v>
      </c>
      <c r="W618" s="5" t="s">
        <v>72</v>
      </c>
      <c r="X618" s="5" t="s">
        <v>72</v>
      </c>
      <c r="Y618" s="4">
        <v>82</v>
      </c>
      <c r="Z618" s="4">
        <v>28</v>
      </c>
      <c r="AA618" s="4">
        <v>29</v>
      </c>
      <c r="AB618" s="4">
        <v>2</v>
      </c>
      <c r="AC618" s="4">
        <v>3</v>
      </c>
      <c r="AD618" s="4">
        <v>64</v>
      </c>
      <c r="AE618" s="4">
        <v>66</v>
      </c>
      <c r="AF618" s="4">
        <v>0</v>
      </c>
      <c r="AG618" s="4">
        <v>1</v>
      </c>
      <c r="AH618" s="4">
        <v>55</v>
      </c>
      <c r="AI618" s="4">
        <v>57</v>
      </c>
      <c r="AJ618" s="4">
        <v>18</v>
      </c>
      <c r="AK618" s="4">
        <v>19</v>
      </c>
      <c r="AL618" s="4">
        <v>30</v>
      </c>
      <c r="AM618" s="4">
        <v>31</v>
      </c>
      <c r="AN618" s="4">
        <v>0</v>
      </c>
      <c r="AO618" s="4">
        <v>0</v>
      </c>
      <c r="AP618" s="4">
        <v>18</v>
      </c>
      <c r="AQ618" s="4">
        <v>19</v>
      </c>
      <c r="AR618" s="3" t="s">
        <v>128</v>
      </c>
      <c r="AS618" s="3" t="s">
        <v>64</v>
      </c>
      <c r="AT618" s="3" t="s">
        <v>64</v>
      </c>
      <c r="AV618" s="6" t="str">
        <f>HYPERLINK("http://mcgill.on.worldcat.org/oclc/299228500","Catalog Record")</f>
        <v>Catalog Record</v>
      </c>
      <c r="AW618" s="6" t="str">
        <f>HYPERLINK("http://www.worldcat.org/oclc/299228500","WorldCat Record")</f>
        <v>WorldCat Record</v>
      </c>
      <c r="AX618" s="3" t="s">
        <v>6011</v>
      </c>
      <c r="AY618" s="3" t="s">
        <v>6012</v>
      </c>
      <c r="AZ618" s="3" t="s">
        <v>6013</v>
      </c>
      <c r="BA618" s="3" t="s">
        <v>6013</v>
      </c>
      <c r="BB618" s="3" t="s">
        <v>6014</v>
      </c>
      <c r="BC618" s="3" t="s">
        <v>77</v>
      </c>
      <c r="BD618" s="3" t="s">
        <v>78</v>
      </c>
      <c r="BE618" s="3" t="s">
        <v>6015</v>
      </c>
      <c r="BF618" s="3" t="s">
        <v>6014</v>
      </c>
      <c r="BG618" s="3" t="s">
        <v>6016</v>
      </c>
      <c r="BH618">
        <f t="shared" si="19"/>
        <v>0</v>
      </c>
    </row>
    <row r="619" spans="1:60" ht="58" x14ac:dyDescent="0.35">
      <c r="A619" s="2" t="s">
        <v>59</v>
      </c>
      <c r="B619" s="2" t="s">
        <v>60</v>
      </c>
      <c r="C619" s="2" t="s">
        <v>6017</v>
      </c>
      <c r="D619" s="2" t="s">
        <v>6018</v>
      </c>
      <c r="E619" s="2" t="s">
        <v>6019</v>
      </c>
      <c r="G619" s="3" t="s">
        <v>64</v>
      </c>
      <c r="I619" s="3" t="s">
        <v>64</v>
      </c>
      <c r="J619" s="3" t="s">
        <v>64</v>
      </c>
      <c r="K619" s="3" t="s">
        <v>65</v>
      </c>
      <c r="M619" s="2" t="s">
        <v>6020</v>
      </c>
      <c r="N619" s="3" t="s">
        <v>511</v>
      </c>
      <c r="P619" s="3" t="s">
        <v>102</v>
      </c>
      <c r="R619" s="3" t="s">
        <v>70</v>
      </c>
      <c r="S619" s="4">
        <v>3</v>
      </c>
      <c r="T619" s="4">
        <v>3</v>
      </c>
      <c r="U619" s="5" t="s">
        <v>6021</v>
      </c>
      <c r="V619" s="5" t="s">
        <v>6021</v>
      </c>
      <c r="W619" s="5" t="s">
        <v>72</v>
      </c>
      <c r="X619" s="5" t="s">
        <v>72</v>
      </c>
      <c r="Y619" s="4">
        <v>173</v>
      </c>
      <c r="Z619" s="4">
        <v>21</v>
      </c>
      <c r="AA619" s="4">
        <v>102</v>
      </c>
      <c r="AB619" s="4">
        <v>1</v>
      </c>
      <c r="AC619" s="4">
        <v>18</v>
      </c>
      <c r="AD619" s="4">
        <v>63</v>
      </c>
      <c r="AE619" s="4">
        <v>126</v>
      </c>
      <c r="AF619" s="4">
        <v>0</v>
      </c>
      <c r="AG619" s="4">
        <v>8</v>
      </c>
      <c r="AH619" s="4">
        <v>56</v>
      </c>
      <c r="AI619" s="4">
        <v>88</v>
      </c>
      <c r="AJ619" s="4">
        <v>14</v>
      </c>
      <c r="AK619" s="4">
        <v>26</v>
      </c>
      <c r="AL619" s="4">
        <v>32</v>
      </c>
      <c r="AM619" s="4">
        <v>46</v>
      </c>
      <c r="AN619" s="4">
        <v>0</v>
      </c>
      <c r="AO619" s="4">
        <v>0</v>
      </c>
      <c r="AP619" s="4">
        <v>15</v>
      </c>
      <c r="AQ619" s="4">
        <v>49</v>
      </c>
      <c r="AR619" s="3" t="s">
        <v>64</v>
      </c>
      <c r="AS619" s="3" t="s">
        <v>64</v>
      </c>
      <c r="AT619" s="3" t="s">
        <v>64</v>
      </c>
      <c r="AV619" s="6" t="str">
        <f>HYPERLINK("http://mcgill.on.worldcat.org/oclc/646397154","Catalog Record")</f>
        <v>Catalog Record</v>
      </c>
      <c r="AW619" s="6" t="str">
        <f>HYPERLINK("http://www.worldcat.org/oclc/646397154","WorldCat Record")</f>
        <v>WorldCat Record</v>
      </c>
      <c r="AX619" s="3" t="s">
        <v>6022</v>
      </c>
      <c r="AY619" s="3" t="s">
        <v>6023</v>
      </c>
      <c r="AZ619" s="3" t="s">
        <v>6024</v>
      </c>
      <c r="BA619" s="3" t="s">
        <v>6024</v>
      </c>
      <c r="BB619" s="3" t="s">
        <v>6025</v>
      </c>
      <c r="BC619" s="3" t="s">
        <v>77</v>
      </c>
      <c r="BD619" s="3" t="s">
        <v>78</v>
      </c>
      <c r="BE619" s="3" t="s">
        <v>6026</v>
      </c>
      <c r="BF619" s="3" t="s">
        <v>6025</v>
      </c>
      <c r="BG619" s="3" t="s">
        <v>6027</v>
      </c>
      <c r="BH619">
        <f t="shared" si="19"/>
        <v>0</v>
      </c>
    </row>
    <row r="620" spans="1:60" ht="58" x14ac:dyDescent="0.35">
      <c r="A620" s="2" t="s">
        <v>59</v>
      </c>
      <c r="B620" s="2" t="s">
        <v>60</v>
      </c>
      <c r="C620" s="2" t="s">
        <v>6028</v>
      </c>
      <c r="D620" s="2" t="s">
        <v>6029</v>
      </c>
      <c r="E620" s="2" t="s">
        <v>6030</v>
      </c>
      <c r="G620" s="3" t="s">
        <v>64</v>
      </c>
      <c r="I620" s="3" t="s">
        <v>64</v>
      </c>
      <c r="J620" s="3" t="s">
        <v>64</v>
      </c>
      <c r="K620" s="3" t="s">
        <v>65</v>
      </c>
      <c r="L620" s="2" t="s">
        <v>6031</v>
      </c>
      <c r="M620" s="2" t="s">
        <v>6032</v>
      </c>
      <c r="N620" s="3" t="s">
        <v>1061</v>
      </c>
      <c r="P620" s="3" t="s">
        <v>102</v>
      </c>
      <c r="Q620" s="2" t="s">
        <v>6033</v>
      </c>
      <c r="R620" s="3" t="s">
        <v>70</v>
      </c>
      <c r="S620" s="4">
        <v>6</v>
      </c>
      <c r="T620" s="4">
        <v>6</v>
      </c>
      <c r="U620" s="5" t="s">
        <v>6021</v>
      </c>
      <c r="V620" s="5" t="s">
        <v>6021</v>
      </c>
      <c r="W620" s="5" t="s">
        <v>72</v>
      </c>
      <c r="X620" s="5" t="s">
        <v>72</v>
      </c>
      <c r="Y620" s="4">
        <v>219</v>
      </c>
      <c r="Z620" s="4">
        <v>19</v>
      </c>
      <c r="AA620" s="4">
        <v>19</v>
      </c>
      <c r="AB620" s="4">
        <v>3</v>
      </c>
      <c r="AC620" s="4">
        <v>3</v>
      </c>
      <c r="AD620" s="4">
        <v>88</v>
      </c>
      <c r="AE620" s="4">
        <v>88</v>
      </c>
      <c r="AF620" s="4">
        <v>1</v>
      </c>
      <c r="AG620" s="4">
        <v>1</v>
      </c>
      <c r="AH620" s="4">
        <v>79</v>
      </c>
      <c r="AI620" s="4">
        <v>79</v>
      </c>
      <c r="AJ620" s="4">
        <v>14</v>
      </c>
      <c r="AK620" s="4">
        <v>14</v>
      </c>
      <c r="AL620" s="4">
        <v>46</v>
      </c>
      <c r="AM620" s="4">
        <v>46</v>
      </c>
      <c r="AN620" s="4">
        <v>0</v>
      </c>
      <c r="AO620" s="4">
        <v>0</v>
      </c>
      <c r="AP620" s="4">
        <v>13</v>
      </c>
      <c r="AQ620" s="4">
        <v>13</v>
      </c>
      <c r="AR620" s="3" t="s">
        <v>64</v>
      </c>
      <c r="AS620" s="3" t="s">
        <v>64</v>
      </c>
      <c r="AT620" s="3" t="s">
        <v>128</v>
      </c>
      <c r="AU620" s="6" t="str">
        <f>HYPERLINK("http://catalog.hathitrust.org/Record/000540491","HathiTrust Record")</f>
        <v>HathiTrust Record</v>
      </c>
      <c r="AV620" s="6" t="str">
        <f>HYPERLINK("http://mcgill.on.worldcat.org/oclc/12238379","Catalog Record")</f>
        <v>Catalog Record</v>
      </c>
      <c r="AW620" s="6" t="str">
        <f>HYPERLINK("http://www.worldcat.org/oclc/12238379","WorldCat Record")</f>
        <v>WorldCat Record</v>
      </c>
      <c r="AX620" s="3" t="s">
        <v>6034</v>
      </c>
      <c r="AY620" s="3" t="s">
        <v>6035</v>
      </c>
      <c r="AZ620" s="3" t="s">
        <v>6036</v>
      </c>
      <c r="BA620" s="3" t="s">
        <v>6036</v>
      </c>
      <c r="BB620" s="3" t="s">
        <v>6037</v>
      </c>
      <c r="BC620" s="3" t="s">
        <v>77</v>
      </c>
      <c r="BD620" s="3" t="s">
        <v>78</v>
      </c>
      <c r="BE620" s="3" t="s">
        <v>6038</v>
      </c>
      <c r="BF620" s="3" t="s">
        <v>6037</v>
      </c>
      <c r="BG620" s="3" t="s">
        <v>6039</v>
      </c>
      <c r="BH620">
        <f t="shared" si="19"/>
        <v>0</v>
      </c>
    </row>
    <row r="621" spans="1:60" ht="58" x14ac:dyDescent="0.35">
      <c r="A621" s="2" t="s">
        <v>59</v>
      </c>
      <c r="B621" s="2" t="s">
        <v>60</v>
      </c>
      <c r="C621" s="2" t="s">
        <v>6040</v>
      </c>
      <c r="D621" s="2" t="s">
        <v>6041</v>
      </c>
      <c r="E621" s="2" t="s">
        <v>6042</v>
      </c>
      <c r="G621" s="3" t="s">
        <v>64</v>
      </c>
      <c r="I621" s="3" t="s">
        <v>128</v>
      </c>
      <c r="J621" s="3" t="s">
        <v>64</v>
      </c>
      <c r="K621" s="3" t="s">
        <v>65</v>
      </c>
      <c r="L621" s="2" t="s">
        <v>6043</v>
      </c>
      <c r="M621" s="2" t="s">
        <v>6044</v>
      </c>
      <c r="N621" s="3" t="s">
        <v>481</v>
      </c>
      <c r="P621" s="3" t="s">
        <v>102</v>
      </c>
      <c r="R621" s="3" t="s">
        <v>70</v>
      </c>
      <c r="S621" s="4">
        <v>4</v>
      </c>
      <c r="T621" s="4">
        <v>4</v>
      </c>
      <c r="U621" s="5" t="s">
        <v>6045</v>
      </c>
      <c r="V621" s="5" t="s">
        <v>6045</v>
      </c>
      <c r="W621" s="5" t="s">
        <v>72</v>
      </c>
      <c r="X621" s="5" t="s">
        <v>72</v>
      </c>
      <c r="Y621" s="4">
        <v>366</v>
      </c>
      <c r="Z621" s="4">
        <v>23</v>
      </c>
      <c r="AA621" s="4">
        <v>30</v>
      </c>
      <c r="AB621" s="4">
        <v>1</v>
      </c>
      <c r="AC621" s="4">
        <v>2</v>
      </c>
      <c r="AD621" s="4">
        <v>100</v>
      </c>
      <c r="AE621" s="4">
        <v>109</v>
      </c>
      <c r="AF621" s="4">
        <v>0</v>
      </c>
      <c r="AG621" s="4">
        <v>1</v>
      </c>
      <c r="AH621" s="4">
        <v>88</v>
      </c>
      <c r="AI621" s="4">
        <v>93</v>
      </c>
      <c r="AJ621" s="4">
        <v>13</v>
      </c>
      <c r="AK621" s="4">
        <v>20</v>
      </c>
      <c r="AL621" s="4">
        <v>51</v>
      </c>
      <c r="AM621" s="4">
        <v>51</v>
      </c>
      <c r="AN621" s="4">
        <v>0</v>
      </c>
      <c r="AO621" s="4">
        <v>0</v>
      </c>
      <c r="AP621" s="4">
        <v>16</v>
      </c>
      <c r="AQ621" s="4">
        <v>23</v>
      </c>
      <c r="AR621" s="3" t="s">
        <v>64</v>
      </c>
      <c r="AS621" s="3" t="s">
        <v>64</v>
      </c>
      <c r="AT621" s="3" t="s">
        <v>128</v>
      </c>
      <c r="AU621" s="6" t="str">
        <f>HYPERLINK("http://catalog.hathitrust.org/Record/001160457","HathiTrust Record")</f>
        <v>HathiTrust Record</v>
      </c>
      <c r="AV621" s="6" t="str">
        <f>HYPERLINK("http://mcgill.on.worldcat.org/oclc/11734","Catalog Record")</f>
        <v>Catalog Record</v>
      </c>
      <c r="AW621" s="6" t="str">
        <f>HYPERLINK("http://www.worldcat.org/oclc/11734","WorldCat Record")</f>
        <v>WorldCat Record</v>
      </c>
      <c r="AX621" s="3" t="s">
        <v>6046</v>
      </c>
      <c r="AY621" s="3" t="s">
        <v>6047</v>
      </c>
      <c r="AZ621" s="3" t="s">
        <v>6048</v>
      </c>
      <c r="BA621" s="3" t="s">
        <v>6048</v>
      </c>
      <c r="BB621" s="3" t="s">
        <v>6049</v>
      </c>
      <c r="BC621" s="3" t="s">
        <v>77</v>
      </c>
      <c r="BD621" s="3" t="s">
        <v>78</v>
      </c>
      <c r="BE621" s="3" t="s">
        <v>6050</v>
      </c>
      <c r="BF621" s="3" t="s">
        <v>6049</v>
      </c>
      <c r="BG621" s="3" t="s">
        <v>6051</v>
      </c>
      <c r="BH621">
        <f t="shared" si="19"/>
        <v>0</v>
      </c>
    </row>
    <row r="622" spans="1:60" ht="58" x14ac:dyDescent="0.35">
      <c r="A622" s="2" t="s">
        <v>59</v>
      </c>
      <c r="B622" s="2" t="s">
        <v>60</v>
      </c>
      <c r="C622" s="2" t="s">
        <v>6052</v>
      </c>
      <c r="D622" s="2" t="s">
        <v>6053</v>
      </c>
      <c r="E622" s="2" t="s">
        <v>6054</v>
      </c>
      <c r="G622" s="3" t="s">
        <v>64</v>
      </c>
      <c r="I622" s="3" t="s">
        <v>128</v>
      </c>
      <c r="J622" s="3" t="s">
        <v>64</v>
      </c>
      <c r="K622" s="3" t="s">
        <v>65</v>
      </c>
      <c r="L622" s="2" t="s">
        <v>6055</v>
      </c>
      <c r="M622" s="2" t="s">
        <v>6056</v>
      </c>
      <c r="N622" s="3" t="s">
        <v>1087</v>
      </c>
      <c r="P622" s="3" t="s">
        <v>102</v>
      </c>
      <c r="R622" s="3" t="s">
        <v>70</v>
      </c>
      <c r="S622" s="4">
        <v>3</v>
      </c>
      <c r="T622" s="4">
        <v>4</v>
      </c>
      <c r="U622" s="5" t="s">
        <v>6057</v>
      </c>
      <c r="V622" s="5" t="s">
        <v>6057</v>
      </c>
      <c r="W622" s="5" t="s">
        <v>72</v>
      </c>
      <c r="X622" s="5" t="s">
        <v>72</v>
      </c>
      <c r="Y622" s="4">
        <v>244</v>
      </c>
      <c r="Z622" s="4">
        <v>18</v>
      </c>
      <c r="AA622" s="4">
        <v>18</v>
      </c>
      <c r="AB622" s="4">
        <v>2</v>
      </c>
      <c r="AC622" s="4">
        <v>2</v>
      </c>
      <c r="AD622" s="4">
        <v>89</v>
      </c>
      <c r="AE622" s="4">
        <v>89</v>
      </c>
      <c r="AF622" s="4">
        <v>0</v>
      </c>
      <c r="AG622" s="4">
        <v>0</v>
      </c>
      <c r="AH622" s="4">
        <v>78</v>
      </c>
      <c r="AI622" s="4">
        <v>78</v>
      </c>
      <c r="AJ622" s="4">
        <v>11</v>
      </c>
      <c r="AK622" s="4">
        <v>11</v>
      </c>
      <c r="AL622" s="4">
        <v>52</v>
      </c>
      <c r="AM622" s="4">
        <v>52</v>
      </c>
      <c r="AN622" s="4">
        <v>0</v>
      </c>
      <c r="AO622" s="4">
        <v>0</v>
      </c>
      <c r="AP622" s="4">
        <v>13</v>
      </c>
      <c r="AQ622" s="4">
        <v>13</v>
      </c>
      <c r="AR622" s="3" t="s">
        <v>64</v>
      </c>
      <c r="AS622" s="3" t="s">
        <v>64</v>
      </c>
      <c r="AT622" s="3" t="s">
        <v>64</v>
      </c>
      <c r="AV622" s="6" t="str">
        <f>HYPERLINK("http://mcgill.on.worldcat.org/oclc/21406285","Catalog Record")</f>
        <v>Catalog Record</v>
      </c>
      <c r="AW622" s="6" t="str">
        <f>HYPERLINK("http://www.worldcat.org/oclc/21406285","WorldCat Record")</f>
        <v>WorldCat Record</v>
      </c>
      <c r="AX622" s="3" t="s">
        <v>6058</v>
      </c>
      <c r="AY622" s="3" t="s">
        <v>6059</v>
      </c>
      <c r="AZ622" s="3" t="s">
        <v>6060</v>
      </c>
      <c r="BA622" s="3" t="s">
        <v>6060</v>
      </c>
      <c r="BB622" s="3" t="s">
        <v>6061</v>
      </c>
      <c r="BC622" s="3" t="s">
        <v>77</v>
      </c>
      <c r="BD622" s="3" t="s">
        <v>78</v>
      </c>
      <c r="BE622" s="3" t="s">
        <v>6062</v>
      </c>
      <c r="BF622" s="3" t="s">
        <v>6061</v>
      </c>
      <c r="BG622" s="3" t="s">
        <v>6063</v>
      </c>
      <c r="BH622">
        <f t="shared" si="19"/>
        <v>0</v>
      </c>
    </row>
    <row r="623" spans="1:60" ht="58" x14ac:dyDescent="0.35">
      <c r="A623" s="2" t="s">
        <v>59</v>
      </c>
      <c r="B623" s="2" t="s">
        <v>60</v>
      </c>
      <c r="C623" s="2" t="s">
        <v>6064</v>
      </c>
      <c r="D623" s="2" t="s">
        <v>6065</v>
      </c>
      <c r="E623" s="2" t="s">
        <v>6066</v>
      </c>
      <c r="G623" s="3" t="s">
        <v>64</v>
      </c>
      <c r="I623" s="3" t="s">
        <v>64</v>
      </c>
      <c r="J623" s="3" t="s">
        <v>64</v>
      </c>
      <c r="K623" s="3" t="s">
        <v>65</v>
      </c>
      <c r="M623" s="2" t="s">
        <v>6067</v>
      </c>
      <c r="N623" s="3" t="s">
        <v>190</v>
      </c>
      <c r="P623" s="3" t="s">
        <v>102</v>
      </c>
      <c r="Q623" s="2" t="s">
        <v>6068</v>
      </c>
      <c r="R623" s="3" t="s">
        <v>70</v>
      </c>
      <c r="S623" s="4">
        <v>0</v>
      </c>
      <c r="T623" s="4">
        <v>0</v>
      </c>
      <c r="W623" s="5" t="s">
        <v>72</v>
      </c>
      <c r="X623" s="5" t="s">
        <v>72</v>
      </c>
      <c r="Y623" s="4">
        <v>71</v>
      </c>
      <c r="Z623" s="4">
        <v>3</v>
      </c>
      <c r="AA623" s="4">
        <v>4</v>
      </c>
      <c r="AB623" s="4">
        <v>1</v>
      </c>
      <c r="AC623" s="4">
        <v>2</v>
      </c>
      <c r="AD623" s="4">
        <v>27</v>
      </c>
      <c r="AE623" s="4">
        <v>28</v>
      </c>
      <c r="AF623" s="4">
        <v>0</v>
      </c>
      <c r="AG623" s="4">
        <v>1</v>
      </c>
      <c r="AH623" s="4">
        <v>26</v>
      </c>
      <c r="AI623" s="4">
        <v>26</v>
      </c>
      <c r="AJ623" s="4">
        <v>1</v>
      </c>
      <c r="AK623" s="4">
        <v>2</v>
      </c>
      <c r="AL623" s="4">
        <v>24</v>
      </c>
      <c r="AM623" s="4">
        <v>24</v>
      </c>
      <c r="AN623" s="4">
        <v>0</v>
      </c>
      <c r="AO623" s="4">
        <v>0</v>
      </c>
      <c r="AP623" s="4">
        <v>1</v>
      </c>
      <c r="AQ623" s="4">
        <v>1</v>
      </c>
      <c r="AR623" s="3" t="s">
        <v>64</v>
      </c>
      <c r="AS623" s="3" t="s">
        <v>64</v>
      </c>
      <c r="AT623" s="3" t="s">
        <v>64</v>
      </c>
      <c r="AV623" s="6" t="str">
        <f>HYPERLINK("http://mcgill.on.worldcat.org/oclc/1023389170","Catalog Record")</f>
        <v>Catalog Record</v>
      </c>
      <c r="AW623" s="6" t="str">
        <f>HYPERLINK("http://www.worldcat.org/oclc/1023389170","WorldCat Record")</f>
        <v>WorldCat Record</v>
      </c>
      <c r="AX623" s="3" t="s">
        <v>6069</v>
      </c>
      <c r="AY623" s="3" t="s">
        <v>6070</v>
      </c>
      <c r="AZ623" s="3" t="s">
        <v>6071</v>
      </c>
      <c r="BA623" s="3" t="s">
        <v>6071</v>
      </c>
      <c r="BB623" s="3" t="s">
        <v>6072</v>
      </c>
      <c r="BC623" s="3" t="s">
        <v>77</v>
      </c>
      <c r="BD623" s="3" t="s">
        <v>78</v>
      </c>
      <c r="BE623" s="3" t="s">
        <v>6073</v>
      </c>
      <c r="BF623" s="3" t="s">
        <v>6072</v>
      </c>
      <c r="BG623" s="3" t="s">
        <v>6074</v>
      </c>
      <c r="BH623">
        <f t="shared" si="19"/>
        <v>0</v>
      </c>
    </row>
    <row r="624" spans="1:60" ht="87" x14ac:dyDescent="0.35">
      <c r="A624" s="2" t="s">
        <v>59</v>
      </c>
      <c r="B624" s="2" t="s">
        <v>60</v>
      </c>
      <c r="C624" s="2" t="s">
        <v>6075</v>
      </c>
      <c r="D624" s="2" t="s">
        <v>6076</v>
      </c>
      <c r="E624" s="2" t="s">
        <v>6077</v>
      </c>
      <c r="G624" s="3" t="s">
        <v>64</v>
      </c>
      <c r="I624" s="3" t="s">
        <v>64</v>
      </c>
      <c r="J624" s="3" t="s">
        <v>64</v>
      </c>
      <c r="K624" s="3" t="s">
        <v>65</v>
      </c>
      <c r="M624" s="2" t="s">
        <v>6078</v>
      </c>
      <c r="N624" s="3" t="s">
        <v>537</v>
      </c>
      <c r="O624" s="2" t="s">
        <v>117</v>
      </c>
      <c r="P624" s="3" t="s">
        <v>102</v>
      </c>
      <c r="R624" s="3" t="s">
        <v>70</v>
      </c>
      <c r="S624" s="4">
        <v>1</v>
      </c>
      <c r="T624" s="4">
        <v>1</v>
      </c>
      <c r="U624" s="5" t="s">
        <v>6057</v>
      </c>
      <c r="V624" s="5" t="s">
        <v>6057</v>
      </c>
      <c r="W624" s="5" t="s">
        <v>72</v>
      </c>
      <c r="X624" s="5" t="s">
        <v>72</v>
      </c>
      <c r="Y624" s="4">
        <v>115</v>
      </c>
      <c r="Z624" s="4">
        <v>10</v>
      </c>
      <c r="AA624" s="4">
        <v>11</v>
      </c>
      <c r="AB624" s="4">
        <v>1</v>
      </c>
      <c r="AC624" s="4">
        <v>2</v>
      </c>
      <c r="AD624" s="4">
        <v>45</v>
      </c>
      <c r="AE624" s="4">
        <v>46</v>
      </c>
      <c r="AF624" s="4">
        <v>0</v>
      </c>
      <c r="AG624" s="4">
        <v>1</v>
      </c>
      <c r="AH624" s="4">
        <v>42</v>
      </c>
      <c r="AI624" s="4">
        <v>42</v>
      </c>
      <c r="AJ624" s="4">
        <v>6</v>
      </c>
      <c r="AK624" s="4">
        <v>7</v>
      </c>
      <c r="AL624" s="4">
        <v>23</v>
      </c>
      <c r="AM624" s="4">
        <v>23</v>
      </c>
      <c r="AN624" s="4">
        <v>0</v>
      </c>
      <c r="AO624" s="4">
        <v>0</v>
      </c>
      <c r="AP624" s="4">
        <v>6</v>
      </c>
      <c r="AQ624" s="4">
        <v>7</v>
      </c>
      <c r="AR624" s="3" t="s">
        <v>64</v>
      </c>
      <c r="AS624" s="3" t="s">
        <v>64</v>
      </c>
      <c r="AT624" s="3" t="s">
        <v>64</v>
      </c>
      <c r="AV624" s="6" t="str">
        <f>HYPERLINK("http://mcgill.on.worldcat.org/oclc/947856533","Catalog Record")</f>
        <v>Catalog Record</v>
      </c>
      <c r="AW624" s="6" t="str">
        <f>HYPERLINK("http://www.worldcat.org/oclc/947856533","WorldCat Record")</f>
        <v>WorldCat Record</v>
      </c>
      <c r="AX624" s="3" t="s">
        <v>6079</v>
      </c>
      <c r="AY624" s="3" t="s">
        <v>6080</v>
      </c>
      <c r="AZ624" s="3" t="s">
        <v>6081</v>
      </c>
      <c r="BA624" s="3" t="s">
        <v>6081</v>
      </c>
      <c r="BB624" s="3" t="s">
        <v>6082</v>
      </c>
      <c r="BC624" s="3" t="s">
        <v>77</v>
      </c>
      <c r="BD624" s="3" t="s">
        <v>78</v>
      </c>
      <c r="BE624" s="3" t="s">
        <v>6083</v>
      </c>
      <c r="BF624" s="3" t="s">
        <v>6082</v>
      </c>
      <c r="BG624" s="3" t="s">
        <v>6084</v>
      </c>
      <c r="BH624">
        <f t="shared" si="19"/>
        <v>0</v>
      </c>
    </row>
    <row r="625" spans="1:60" ht="87" x14ac:dyDescent="0.35">
      <c r="A625" s="2" t="s">
        <v>59</v>
      </c>
      <c r="B625" s="2" t="s">
        <v>60</v>
      </c>
      <c r="C625" s="2" t="s">
        <v>6085</v>
      </c>
      <c r="D625" s="2" t="s">
        <v>6086</v>
      </c>
      <c r="E625" s="2" t="s">
        <v>6087</v>
      </c>
      <c r="G625" s="3" t="s">
        <v>64</v>
      </c>
      <c r="I625" s="3" t="s">
        <v>128</v>
      </c>
      <c r="J625" s="3" t="s">
        <v>64</v>
      </c>
      <c r="K625" s="3" t="s">
        <v>65</v>
      </c>
      <c r="M625" s="2" t="s">
        <v>6088</v>
      </c>
      <c r="N625" s="3" t="s">
        <v>153</v>
      </c>
      <c r="P625" s="3" t="s">
        <v>102</v>
      </c>
      <c r="Q625" s="2" t="s">
        <v>6089</v>
      </c>
      <c r="R625" s="3" t="s">
        <v>70</v>
      </c>
      <c r="S625" s="4">
        <v>4</v>
      </c>
      <c r="T625" s="4">
        <v>6</v>
      </c>
      <c r="U625" s="5" t="s">
        <v>6090</v>
      </c>
      <c r="V625" s="5" t="s">
        <v>6090</v>
      </c>
      <c r="W625" s="5" t="s">
        <v>72</v>
      </c>
      <c r="X625" s="5" t="s">
        <v>72</v>
      </c>
      <c r="Y625" s="4">
        <v>146</v>
      </c>
      <c r="Z625" s="4">
        <v>9</v>
      </c>
      <c r="AA625" s="4">
        <v>9</v>
      </c>
      <c r="AB625" s="4">
        <v>2</v>
      </c>
      <c r="AC625" s="4">
        <v>2</v>
      </c>
      <c r="AD625" s="4">
        <v>48</v>
      </c>
      <c r="AE625" s="4">
        <v>48</v>
      </c>
      <c r="AF625" s="4">
        <v>0</v>
      </c>
      <c r="AG625" s="4">
        <v>0</v>
      </c>
      <c r="AH625" s="4">
        <v>47</v>
      </c>
      <c r="AI625" s="4">
        <v>47</v>
      </c>
      <c r="AJ625" s="4">
        <v>5</v>
      </c>
      <c r="AK625" s="4">
        <v>5</v>
      </c>
      <c r="AL625" s="4">
        <v>33</v>
      </c>
      <c r="AM625" s="4">
        <v>33</v>
      </c>
      <c r="AN625" s="4">
        <v>0</v>
      </c>
      <c r="AO625" s="4">
        <v>0</v>
      </c>
      <c r="AP625" s="4">
        <v>5</v>
      </c>
      <c r="AQ625" s="4">
        <v>5</v>
      </c>
      <c r="AR625" s="3" t="s">
        <v>64</v>
      </c>
      <c r="AS625" s="3" t="s">
        <v>64</v>
      </c>
      <c r="AT625" s="3" t="s">
        <v>64</v>
      </c>
      <c r="AV625" s="6" t="str">
        <f>HYPERLINK("http://mcgill.on.worldcat.org/oclc/39098121","Catalog Record")</f>
        <v>Catalog Record</v>
      </c>
      <c r="AW625" s="6" t="str">
        <f>HYPERLINK("http://www.worldcat.org/oclc/39098121","WorldCat Record")</f>
        <v>WorldCat Record</v>
      </c>
      <c r="AX625" s="3" t="s">
        <v>6091</v>
      </c>
      <c r="AY625" s="3" t="s">
        <v>6092</v>
      </c>
      <c r="AZ625" s="3" t="s">
        <v>6093</v>
      </c>
      <c r="BA625" s="3" t="s">
        <v>6093</v>
      </c>
      <c r="BB625" s="3" t="s">
        <v>6094</v>
      </c>
      <c r="BC625" s="3" t="s">
        <v>77</v>
      </c>
      <c r="BD625" s="3" t="s">
        <v>165</v>
      </c>
      <c r="BE625" s="3" t="s">
        <v>6095</v>
      </c>
      <c r="BF625" s="3" t="s">
        <v>6094</v>
      </c>
      <c r="BG625" s="3" t="s">
        <v>6096</v>
      </c>
      <c r="BH625">
        <f t="shared" si="19"/>
        <v>0</v>
      </c>
    </row>
    <row r="626" spans="1:60" ht="58" x14ac:dyDescent="0.35">
      <c r="A626" s="2" t="s">
        <v>59</v>
      </c>
      <c r="B626" s="2" t="s">
        <v>60</v>
      </c>
      <c r="C626" s="2" t="s">
        <v>6097</v>
      </c>
      <c r="D626" s="2" t="s">
        <v>6098</v>
      </c>
      <c r="E626" s="2" t="s">
        <v>6099</v>
      </c>
      <c r="G626" s="3" t="s">
        <v>64</v>
      </c>
      <c r="I626" s="3" t="s">
        <v>64</v>
      </c>
      <c r="J626" s="3" t="s">
        <v>64</v>
      </c>
      <c r="K626" s="3" t="s">
        <v>65</v>
      </c>
      <c r="L626" s="2" t="s">
        <v>6100</v>
      </c>
      <c r="M626" s="2" t="s">
        <v>6101</v>
      </c>
      <c r="N626" s="3" t="s">
        <v>6102</v>
      </c>
      <c r="P626" s="3" t="s">
        <v>365</v>
      </c>
      <c r="R626" s="3" t="s">
        <v>70</v>
      </c>
      <c r="S626" s="4">
        <v>2</v>
      </c>
      <c r="T626" s="4">
        <v>2</v>
      </c>
      <c r="U626" s="5" t="s">
        <v>3129</v>
      </c>
      <c r="V626" s="5" t="s">
        <v>3129</v>
      </c>
      <c r="W626" s="5" t="s">
        <v>72</v>
      </c>
      <c r="X626" s="5" t="s">
        <v>72</v>
      </c>
      <c r="Y626" s="4">
        <v>1</v>
      </c>
      <c r="Z626" s="4">
        <v>1</v>
      </c>
      <c r="AA626" s="4">
        <v>1</v>
      </c>
      <c r="AB626" s="4">
        <v>1</v>
      </c>
      <c r="AC626" s="4">
        <v>1</v>
      </c>
      <c r="AD626" s="4">
        <v>0</v>
      </c>
      <c r="AE626" s="4">
        <v>1</v>
      </c>
      <c r="AF626" s="4">
        <v>0</v>
      </c>
      <c r="AG626" s="4">
        <v>0</v>
      </c>
      <c r="AH626" s="4">
        <v>0</v>
      </c>
      <c r="AI626" s="4">
        <v>1</v>
      </c>
      <c r="AJ626" s="4">
        <v>0</v>
      </c>
      <c r="AK626" s="4">
        <v>0</v>
      </c>
      <c r="AL626" s="4">
        <v>0</v>
      </c>
      <c r="AM626" s="4">
        <v>1</v>
      </c>
      <c r="AN626" s="4">
        <v>0</v>
      </c>
      <c r="AO626" s="4">
        <v>0</v>
      </c>
      <c r="AP626" s="4">
        <v>0</v>
      </c>
      <c r="AQ626" s="4">
        <v>0</v>
      </c>
      <c r="AR626" s="3" t="s">
        <v>64</v>
      </c>
      <c r="AS626" s="3" t="s">
        <v>64</v>
      </c>
      <c r="AT626" s="3" t="s">
        <v>64</v>
      </c>
      <c r="AV626" s="6" t="str">
        <f>HYPERLINK("http://mcgill.on.worldcat.org/oclc/427540605","Catalog Record")</f>
        <v>Catalog Record</v>
      </c>
      <c r="AW626" s="6" t="str">
        <f>HYPERLINK("http://www.worldcat.org/oclc/427540605","WorldCat Record")</f>
        <v>WorldCat Record</v>
      </c>
      <c r="AX626" s="3" t="s">
        <v>6103</v>
      </c>
      <c r="AY626" s="3" t="s">
        <v>6104</v>
      </c>
      <c r="AZ626" s="3" t="s">
        <v>6105</v>
      </c>
      <c r="BA626" s="3" t="s">
        <v>6105</v>
      </c>
      <c r="BB626" s="3" t="s">
        <v>6106</v>
      </c>
      <c r="BC626" s="3" t="s">
        <v>77</v>
      </c>
      <c r="BD626" s="3" t="s">
        <v>78</v>
      </c>
      <c r="BF626" s="3" t="s">
        <v>6106</v>
      </c>
      <c r="BG626" s="3" t="s">
        <v>6107</v>
      </c>
      <c r="BH626">
        <f t="shared" si="19"/>
        <v>0</v>
      </c>
    </row>
    <row r="627" spans="1:60" ht="58" x14ac:dyDescent="0.35">
      <c r="A627" s="2" t="s">
        <v>59</v>
      </c>
      <c r="B627" s="2" t="s">
        <v>60</v>
      </c>
      <c r="C627" s="2" t="s">
        <v>6108</v>
      </c>
      <c r="D627" s="2" t="s">
        <v>6109</v>
      </c>
      <c r="E627" s="2" t="s">
        <v>6110</v>
      </c>
      <c r="G627" s="3" t="s">
        <v>64</v>
      </c>
      <c r="I627" s="3" t="s">
        <v>64</v>
      </c>
      <c r="J627" s="3" t="s">
        <v>64</v>
      </c>
      <c r="K627" s="3" t="s">
        <v>65</v>
      </c>
      <c r="L627" s="2" t="s">
        <v>6111</v>
      </c>
      <c r="M627" s="2" t="s">
        <v>6112</v>
      </c>
      <c r="N627" s="3" t="s">
        <v>1275</v>
      </c>
      <c r="P627" s="3" t="s">
        <v>68</v>
      </c>
      <c r="Q627" s="2" t="s">
        <v>6113</v>
      </c>
      <c r="R627" s="3" t="s">
        <v>70</v>
      </c>
      <c r="S627" s="4">
        <v>6</v>
      </c>
      <c r="T627" s="4">
        <v>6</v>
      </c>
      <c r="U627" s="5" t="s">
        <v>6114</v>
      </c>
      <c r="V627" s="5" t="s">
        <v>6114</v>
      </c>
      <c r="W627" s="5" t="s">
        <v>72</v>
      </c>
      <c r="X627" s="5" t="s">
        <v>72</v>
      </c>
      <c r="Y627" s="4">
        <v>24</v>
      </c>
      <c r="Z627" s="4">
        <v>5</v>
      </c>
      <c r="AA627" s="4">
        <v>9</v>
      </c>
      <c r="AB627" s="4">
        <v>1</v>
      </c>
      <c r="AC627" s="4">
        <v>4</v>
      </c>
      <c r="AD627" s="4">
        <v>10</v>
      </c>
      <c r="AE627" s="4">
        <v>13</v>
      </c>
      <c r="AF627" s="4">
        <v>0</v>
      </c>
      <c r="AG627" s="4">
        <v>2</v>
      </c>
      <c r="AH627" s="4">
        <v>9</v>
      </c>
      <c r="AI627" s="4">
        <v>11</v>
      </c>
      <c r="AJ627" s="4">
        <v>3</v>
      </c>
      <c r="AK627" s="4">
        <v>6</v>
      </c>
      <c r="AL627" s="4">
        <v>8</v>
      </c>
      <c r="AM627" s="4">
        <v>8</v>
      </c>
      <c r="AN627" s="4">
        <v>0</v>
      </c>
      <c r="AO627" s="4">
        <v>0</v>
      </c>
      <c r="AP627" s="4">
        <v>3</v>
      </c>
      <c r="AQ627" s="4">
        <v>6</v>
      </c>
      <c r="AR627" s="3" t="s">
        <v>64</v>
      </c>
      <c r="AS627" s="3" t="s">
        <v>64</v>
      </c>
      <c r="AT627" s="3" t="s">
        <v>64</v>
      </c>
      <c r="AV627" s="6" t="str">
        <f>HYPERLINK("http://mcgill.on.worldcat.org/oclc/57526454","Catalog Record")</f>
        <v>Catalog Record</v>
      </c>
      <c r="AW627" s="6" t="str">
        <f>HYPERLINK("http://www.worldcat.org/oclc/57526454","WorldCat Record")</f>
        <v>WorldCat Record</v>
      </c>
      <c r="AX627" s="3" t="s">
        <v>6115</v>
      </c>
      <c r="AY627" s="3" t="s">
        <v>6116</v>
      </c>
      <c r="AZ627" s="3" t="s">
        <v>6117</v>
      </c>
      <c r="BA627" s="3" t="s">
        <v>6117</v>
      </c>
      <c r="BB627" s="3" t="s">
        <v>6118</v>
      </c>
      <c r="BC627" s="3" t="s">
        <v>77</v>
      </c>
      <c r="BD627" s="3" t="s">
        <v>78</v>
      </c>
      <c r="BE627" s="3" t="s">
        <v>6119</v>
      </c>
      <c r="BF627" s="3" t="s">
        <v>6118</v>
      </c>
      <c r="BG627" s="3" t="s">
        <v>6120</v>
      </c>
      <c r="BH627">
        <f t="shared" si="19"/>
        <v>0</v>
      </c>
    </row>
    <row r="628" spans="1:60" ht="58" x14ac:dyDescent="0.35">
      <c r="A628" s="2" t="s">
        <v>59</v>
      </c>
      <c r="B628" s="2" t="s">
        <v>60</v>
      </c>
      <c r="C628" s="2" t="s">
        <v>6121</v>
      </c>
      <c r="D628" s="2" t="s">
        <v>6122</v>
      </c>
      <c r="E628" s="2" t="s">
        <v>6123</v>
      </c>
      <c r="G628" s="3" t="s">
        <v>64</v>
      </c>
      <c r="I628" s="3" t="s">
        <v>128</v>
      </c>
      <c r="J628" s="3" t="s">
        <v>64</v>
      </c>
      <c r="K628" s="3" t="s">
        <v>65</v>
      </c>
      <c r="L628" s="2" t="s">
        <v>6124</v>
      </c>
      <c r="M628" s="2" t="s">
        <v>6125</v>
      </c>
      <c r="N628" s="3" t="s">
        <v>253</v>
      </c>
      <c r="P628" s="3" t="s">
        <v>102</v>
      </c>
      <c r="R628" s="3" t="s">
        <v>70</v>
      </c>
      <c r="S628" s="4">
        <v>2</v>
      </c>
      <c r="T628" s="4">
        <v>3</v>
      </c>
      <c r="U628" s="5" t="s">
        <v>6126</v>
      </c>
      <c r="V628" s="5" t="s">
        <v>280</v>
      </c>
      <c r="W628" s="5" t="s">
        <v>72</v>
      </c>
      <c r="X628" s="5" t="s">
        <v>72</v>
      </c>
      <c r="Y628" s="4">
        <v>109</v>
      </c>
      <c r="Z628" s="4">
        <v>6</v>
      </c>
      <c r="AA628" s="4">
        <v>6</v>
      </c>
      <c r="AB628" s="4">
        <v>1</v>
      </c>
      <c r="AC628" s="4">
        <v>1</v>
      </c>
      <c r="AD628" s="4">
        <v>32</v>
      </c>
      <c r="AE628" s="4">
        <v>32</v>
      </c>
      <c r="AF628" s="4">
        <v>0</v>
      </c>
      <c r="AG628" s="4">
        <v>0</v>
      </c>
      <c r="AH628" s="4">
        <v>28</v>
      </c>
      <c r="AI628" s="4">
        <v>28</v>
      </c>
      <c r="AJ628" s="4">
        <v>3</v>
      </c>
      <c r="AK628" s="4">
        <v>3</v>
      </c>
      <c r="AL628" s="4">
        <v>25</v>
      </c>
      <c r="AM628" s="4">
        <v>25</v>
      </c>
      <c r="AN628" s="4">
        <v>0</v>
      </c>
      <c r="AO628" s="4">
        <v>0</v>
      </c>
      <c r="AP628" s="4">
        <v>4</v>
      </c>
      <c r="AQ628" s="4">
        <v>4</v>
      </c>
      <c r="AR628" s="3" t="s">
        <v>64</v>
      </c>
      <c r="AS628" s="3" t="s">
        <v>64</v>
      </c>
      <c r="AT628" s="3" t="s">
        <v>64</v>
      </c>
      <c r="AV628" s="6" t="str">
        <f>HYPERLINK("http://mcgill.on.worldcat.org/oclc/928032965","Catalog Record")</f>
        <v>Catalog Record</v>
      </c>
      <c r="AW628" s="6" t="str">
        <f>HYPERLINK("http://www.worldcat.org/oclc/928032965","WorldCat Record")</f>
        <v>WorldCat Record</v>
      </c>
      <c r="AX628" s="3" t="s">
        <v>6127</v>
      </c>
      <c r="AY628" s="3" t="s">
        <v>6128</v>
      </c>
      <c r="AZ628" s="3" t="s">
        <v>6129</v>
      </c>
      <c r="BA628" s="3" t="s">
        <v>6129</v>
      </c>
      <c r="BB628" s="3" t="s">
        <v>6130</v>
      </c>
      <c r="BC628" s="3" t="s">
        <v>77</v>
      </c>
      <c r="BD628" s="3" t="s">
        <v>78</v>
      </c>
      <c r="BE628" s="3" t="s">
        <v>6131</v>
      </c>
      <c r="BF628" s="3" t="s">
        <v>6130</v>
      </c>
      <c r="BG628" s="3" t="s">
        <v>6132</v>
      </c>
      <c r="BH628">
        <f t="shared" si="19"/>
        <v>0</v>
      </c>
    </row>
    <row r="629" spans="1:60" ht="58" x14ac:dyDescent="0.35">
      <c r="A629" s="2" t="s">
        <v>59</v>
      </c>
      <c r="B629" s="2" t="s">
        <v>60</v>
      </c>
      <c r="C629" s="2" t="s">
        <v>6133</v>
      </c>
      <c r="D629" s="2" t="s">
        <v>6134</v>
      </c>
      <c r="E629" s="2" t="s">
        <v>6135</v>
      </c>
      <c r="G629" s="3" t="s">
        <v>64</v>
      </c>
      <c r="I629" s="3" t="s">
        <v>128</v>
      </c>
      <c r="J629" s="3" t="s">
        <v>128</v>
      </c>
      <c r="K629" s="3" t="s">
        <v>65</v>
      </c>
      <c r="L629" s="2" t="s">
        <v>6136</v>
      </c>
      <c r="M629" s="2" t="s">
        <v>6137</v>
      </c>
      <c r="N629" s="3" t="s">
        <v>392</v>
      </c>
      <c r="P629" s="3" t="s">
        <v>102</v>
      </c>
      <c r="Q629" s="2" t="s">
        <v>6138</v>
      </c>
      <c r="R629" s="3" t="s">
        <v>70</v>
      </c>
      <c r="S629" s="4">
        <v>22</v>
      </c>
      <c r="T629" s="4">
        <v>25</v>
      </c>
      <c r="U629" s="5" t="s">
        <v>6057</v>
      </c>
      <c r="V629" s="5" t="s">
        <v>6057</v>
      </c>
      <c r="W629" s="5" t="s">
        <v>72</v>
      </c>
      <c r="X629" s="5" t="s">
        <v>72</v>
      </c>
      <c r="Y629" s="4">
        <v>114</v>
      </c>
      <c r="Z629" s="4">
        <v>13</v>
      </c>
      <c r="AA629" s="4">
        <v>39</v>
      </c>
      <c r="AB629" s="4">
        <v>1</v>
      </c>
      <c r="AC629" s="4">
        <v>2</v>
      </c>
      <c r="AD629" s="4">
        <v>57</v>
      </c>
      <c r="AE629" s="4">
        <v>115</v>
      </c>
      <c r="AF629" s="4">
        <v>0</v>
      </c>
      <c r="AG629" s="4">
        <v>0</v>
      </c>
      <c r="AH629" s="4">
        <v>54</v>
      </c>
      <c r="AI629" s="4">
        <v>99</v>
      </c>
      <c r="AJ629" s="4">
        <v>6</v>
      </c>
      <c r="AK629" s="4">
        <v>15</v>
      </c>
      <c r="AL629" s="4">
        <v>32</v>
      </c>
      <c r="AM629" s="4">
        <v>54</v>
      </c>
      <c r="AN629" s="4">
        <v>0</v>
      </c>
      <c r="AO629" s="4">
        <v>0</v>
      </c>
      <c r="AP629" s="4">
        <v>8</v>
      </c>
      <c r="AQ629" s="4">
        <v>22</v>
      </c>
      <c r="AR629" s="3" t="s">
        <v>64</v>
      </c>
      <c r="AS629" s="3" t="s">
        <v>64</v>
      </c>
      <c r="AT629" s="3" t="s">
        <v>64</v>
      </c>
      <c r="AV629" s="6" t="str">
        <f>HYPERLINK("http://mcgill.on.worldcat.org/oclc/43477218","Catalog Record")</f>
        <v>Catalog Record</v>
      </c>
      <c r="AW629" s="6" t="str">
        <f>HYPERLINK("http://www.worldcat.org/oclc/43477218","WorldCat Record")</f>
        <v>WorldCat Record</v>
      </c>
      <c r="AX629" s="3" t="s">
        <v>6139</v>
      </c>
      <c r="AY629" s="3" t="s">
        <v>6140</v>
      </c>
      <c r="AZ629" s="3" t="s">
        <v>6141</v>
      </c>
      <c r="BA629" s="3" t="s">
        <v>6141</v>
      </c>
      <c r="BB629" s="3" t="s">
        <v>6142</v>
      </c>
      <c r="BC629" s="3" t="s">
        <v>77</v>
      </c>
      <c r="BD629" s="3" t="s">
        <v>78</v>
      </c>
      <c r="BE629" s="3" t="s">
        <v>6143</v>
      </c>
      <c r="BF629" s="3" t="s">
        <v>6142</v>
      </c>
      <c r="BG629" s="3" t="s">
        <v>6144</v>
      </c>
      <c r="BH629">
        <f t="shared" si="19"/>
        <v>0</v>
      </c>
    </row>
    <row r="630" spans="1:60" ht="58" x14ac:dyDescent="0.35">
      <c r="A630" s="2" t="s">
        <v>59</v>
      </c>
      <c r="B630" s="2" t="s">
        <v>60</v>
      </c>
      <c r="C630" s="2" t="s">
        <v>6133</v>
      </c>
      <c r="D630" s="2" t="s">
        <v>6134</v>
      </c>
      <c r="E630" s="2" t="s">
        <v>6135</v>
      </c>
      <c r="G630" s="3" t="s">
        <v>64</v>
      </c>
      <c r="I630" s="3" t="s">
        <v>128</v>
      </c>
      <c r="J630" s="3" t="s">
        <v>128</v>
      </c>
      <c r="K630" s="3" t="s">
        <v>65</v>
      </c>
      <c r="L630" s="2" t="s">
        <v>6136</v>
      </c>
      <c r="M630" s="2" t="s">
        <v>6137</v>
      </c>
      <c r="N630" s="3" t="s">
        <v>392</v>
      </c>
      <c r="P630" s="3" t="s">
        <v>102</v>
      </c>
      <c r="Q630" s="2" t="s">
        <v>6138</v>
      </c>
      <c r="R630" s="3" t="s">
        <v>70</v>
      </c>
      <c r="S630" s="4">
        <v>3</v>
      </c>
      <c r="T630" s="4">
        <v>25</v>
      </c>
      <c r="U630" s="5" t="s">
        <v>5685</v>
      </c>
      <c r="V630" s="5" t="s">
        <v>6057</v>
      </c>
      <c r="W630" s="5" t="s">
        <v>72</v>
      </c>
      <c r="X630" s="5" t="s">
        <v>72</v>
      </c>
      <c r="Y630" s="4">
        <v>114</v>
      </c>
      <c r="Z630" s="4">
        <v>13</v>
      </c>
      <c r="AA630" s="4">
        <v>39</v>
      </c>
      <c r="AB630" s="4">
        <v>1</v>
      </c>
      <c r="AC630" s="4">
        <v>2</v>
      </c>
      <c r="AD630" s="4">
        <v>57</v>
      </c>
      <c r="AE630" s="4">
        <v>115</v>
      </c>
      <c r="AF630" s="4">
        <v>0</v>
      </c>
      <c r="AG630" s="4">
        <v>0</v>
      </c>
      <c r="AH630" s="4">
        <v>54</v>
      </c>
      <c r="AI630" s="4">
        <v>99</v>
      </c>
      <c r="AJ630" s="4">
        <v>6</v>
      </c>
      <c r="AK630" s="4">
        <v>15</v>
      </c>
      <c r="AL630" s="4">
        <v>32</v>
      </c>
      <c r="AM630" s="4">
        <v>54</v>
      </c>
      <c r="AN630" s="4">
        <v>0</v>
      </c>
      <c r="AO630" s="4">
        <v>0</v>
      </c>
      <c r="AP630" s="4">
        <v>8</v>
      </c>
      <c r="AQ630" s="4">
        <v>22</v>
      </c>
      <c r="AR630" s="3" t="s">
        <v>64</v>
      </c>
      <c r="AS630" s="3" t="s">
        <v>64</v>
      </c>
      <c r="AT630" s="3" t="s">
        <v>64</v>
      </c>
      <c r="AV630" s="6" t="str">
        <f>HYPERLINK("http://mcgill.on.worldcat.org/oclc/43477218","Catalog Record")</f>
        <v>Catalog Record</v>
      </c>
      <c r="AW630" s="6" t="str">
        <f>HYPERLINK("http://www.worldcat.org/oclc/43477218","WorldCat Record")</f>
        <v>WorldCat Record</v>
      </c>
      <c r="AX630" s="3" t="s">
        <v>6139</v>
      </c>
      <c r="AY630" s="3" t="s">
        <v>6140</v>
      </c>
      <c r="AZ630" s="3" t="s">
        <v>6141</v>
      </c>
      <c r="BA630" s="3" t="s">
        <v>6141</v>
      </c>
      <c r="BB630" s="3" t="s">
        <v>6145</v>
      </c>
      <c r="BC630" s="3" t="s">
        <v>77</v>
      </c>
      <c r="BD630" s="3" t="s">
        <v>78</v>
      </c>
      <c r="BE630" s="3" t="s">
        <v>6143</v>
      </c>
      <c r="BF630" s="3" t="s">
        <v>6145</v>
      </c>
      <c r="BG630" s="3" t="s">
        <v>6146</v>
      </c>
      <c r="BH630">
        <f t="shared" si="19"/>
        <v>0</v>
      </c>
    </row>
    <row r="631" spans="1:60" ht="58" x14ac:dyDescent="0.35">
      <c r="A631" s="2" t="s">
        <v>59</v>
      </c>
      <c r="B631" s="2" t="s">
        <v>60</v>
      </c>
      <c r="C631" s="2" t="s">
        <v>6147</v>
      </c>
      <c r="D631" s="2" t="s">
        <v>6148</v>
      </c>
      <c r="E631" s="2" t="s">
        <v>6149</v>
      </c>
      <c r="G631" s="3" t="s">
        <v>64</v>
      </c>
      <c r="I631" s="3" t="s">
        <v>128</v>
      </c>
      <c r="J631" s="3" t="s">
        <v>64</v>
      </c>
      <c r="K631" s="3" t="s">
        <v>65</v>
      </c>
      <c r="M631" s="2" t="s">
        <v>6150</v>
      </c>
      <c r="N631" s="3" t="s">
        <v>1615</v>
      </c>
      <c r="P631" s="3" t="s">
        <v>102</v>
      </c>
      <c r="R631" s="3" t="s">
        <v>70</v>
      </c>
      <c r="S631" s="4">
        <v>5</v>
      </c>
      <c r="T631" s="4">
        <v>5</v>
      </c>
      <c r="U631" s="5" t="s">
        <v>3129</v>
      </c>
      <c r="V631" s="5" t="s">
        <v>3129</v>
      </c>
      <c r="W631" s="5" t="s">
        <v>72</v>
      </c>
      <c r="X631" s="5" t="s">
        <v>72</v>
      </c>
      <c r="Y631" s="4">
        <v>23</v>
      </c>
      <c r="Z631" s="4">
        <v>12</v>
      </c>
      <c r="AA631" s="4">
        <v>12</v>
      </c>
      <c r="AB631" s="4">
        <v>1</v>
      </c>
      <c r="AC631" s="4">
        <v>1</v>
      </c>
      <c r="AD631" s="4">
        <v>12</v>
      </c>
      <c r="AE631" s="4">
        <v>12</v>
      </c>
      <c r="AF631" s="4">
        <v>0</v>
      </c>
      <c r="AG631" s="4">
        <v>0</v>
      </c>
      <c r="AH631" s="4">
        <v>9</v>
      </c>
      <c r="AI631" s="4">
        <v>9</v>
      </c>
      <c r="AJ631" s="4">
        <v>7</v>
      </c>
      <c r="AK631" s="4">
        <v>7</v>
      </c>
      <c r="AL631" s="4">
        <v>4</v>
      </c>
      <c r="AM631" s="4">
        <v>4</v>
      </c>
      <c r="AN631" s="4">
        <v>0</v>
      </c>
      <c r="AO631" s="4">
        <v>0</v>
      </c>
      <c r="AP631" s="4">
        <v>6</v>
      </c>
      <c r="AQ631" s="4">
        <v>6</v>
      </c>
      <c r="AR631" s="3" t="s">
        <v>128</v>
      </c>
      <c r="AS631" s="3" t="s">
        <v>64</v>
      </c>
      <c r="AT631" s="3" t="s">
        <v>64</v>
      </c>
      <c r="AV631" s="6" t="str">
        <f>HYPERLINK("http://mcgill.on.worldcat.org/oclc/35972854","Catalog Record")</f>
        <v>Catalog Record</v>
      </c>
      <c r="AW631" s="6" t="str">
        <f>HYPERLINK("http://www.worldcat.org/oclc/35972854","WorldCat Record")</f>
        <v>WorldCat Record</v>
      </c>
      <c r="AX631" s="3" t="s">
        <v>6151</v>
      </c>
      <c r="AY631" s="3" t="s">
        <v>6152</v>
      </c>
      <c r="AZ631" s="3" t="s">
        <v>6153</v>
      </c>
      <c r="BA631" s="3" t="s">
        <v>6153</v>
      </c>
      <c r="BB631" s="3" t="s">
        <v>6154</v>
      </c>
      <c r="BC631" s="3" t="s">
        <v>77</v>
      </c>
      <c r="BD631" s="3" t="s">
        <v>78</v>
      </c>
      <c r="BE631" s="3" t="s">
        <v>6155</v>
      </c>
      <c r="BF631" s="3" t="s">
        <v>6154</v>
      </c>
      <c r="BG631" s="3" t="s">
        <v>6156</v>
      </c>
      <c r="BH631">
        <f t="shared" si="19"/>
        <v>0</v>
      </c>
    </row>
    <row r="632" spans="1:60" ht="58" x14ac:dyDescent="0.35">
      <c r="A632" s="2" t="s">
        <v>59</v>
      </c>
      <c r="B632" s="2" t="s">
        <v>60</v>
      </c>
      <c r="C632" s="2" t="s">
        <v>6157</v>
      </c>
      <c r="D632" s="2" t="s">
        <v>6158</v>
      </c>
      <c r="E632" s="2" t="s">
        <v>6159</v>
      </c>
      <c r="G632" s="3" t="s">
        <v>64</v>
      </c>
      <c r="I632" s="3" t="s">
        <v>64</v>
      </c>
      <c r="J632" s="3" t="s">
        <v>64</v>
      </c>
      <c r="K632" s="3" t="s">
        <v>65</v>
      </c>
      <c r="L632" s="2" t="s">
        <v>6160</v>
      </c>
      <c r="M632" s="2" t="s">
        <v>6161</v>
      </c>
      <c r="N632" s="3" t="s">
        <v>190</v>
      </c>
      <c r="P632" s="3" t="s">
        <v>365</v>
      </c>
      <c r="Q632" s="2" t="s">
        <v>6162</v>
      </c>
      <c r="R632" s="3" t="s">
        <v>70</v>
      </c>
      <c r="S632" s="4">
        <v>1</v>
      </c>
      <c r="T632" s="4">
        <v>1</v>
      </c>
      <c r="U632" s="5" t="s">
        <v>6163</v>
      </c>
      <c r="V632" s="5" t="s">
        <v>6163</v>
      </c>
      <c r="W632" s="5" t="s">
        <v>72</v>
      </c>
      <c r="X632" s="5" t="s">
        <v>72</v>
      </c>
      <c r="Y632" s="4">
        <v>57</v>
      </c>
      <c r="Z632" s="4">
        <v>5</v>
      </c>
      <c r="AA632" s="4">
        <v>5</v>
      </c>
      <c r="AB632" s="4">
        <v>1</v>
      </c>
      <c r="AC632" s="4">
        <v>1</v>
      </c>
      <c r="AD632" s="4">
        <v>31</v>
      </c>
      <c r="AE632" s="4">
        <v>31</v>
      </c>
      <c r="AF632" s="4">
        <v>0</v>
      </c>
      <c r="AG632" s="4">
        <v>0</v>
      </c>
      <c r="AH632" s="4">
        <v>29</v>
      </c>
      <c r="AI632" s="4">
        <v>29</v>
      </c>
      <c r="AJ632" s="4">
        <v>4</v>
      </c>
      <c r="AK632" s="4">
        <v>4</v>
      </c>
      <c r="AL632" s="4">
        <v>22</v>
      </c>
      <c r="AM632" s="4">
        <v>22</v>
      </c>
      <c r="AN632" s="4">
        <v>0</v>
      </c>
      <c r="AO632" s="4">
        <v>0</v>
      </c>
      <c r="AP632" s="4">
        <v>4</v>
      </c>
      <c r="AQ632" s="4">
        <v>4</v>
      </c>
      <c r="AR632" s="3" t="s">
        <v>64</v>
      </c>
      <c r="AS632" s="3" t="s">
        <v>64</v>
      </c>
      <c r="AT632" s="3" t="s">
        <v>64</v>
      </c>
      <c r="AV632" s="6" t="str">
        <f>HYPERLINK("http://mcgill.on.worldcat.org/oclc/1079040183","Catalog Record")</f>
        <v>Catalog Record</v>
      </c>
      <c r="AW632" s="6" t="str">
        <f>HYPERLINK("http://www.worldcat.org/oclc/1079040183","WorldCat Record")</f>
        <v>WorldCat Record</v>
      </c>
      <c r="AX632" s="3" t="s">
        <v>6164</v>
      </c>
      <c r="AY632" s="3" t="s">
        <v>6165</v>
      </c>
      <c r="AZ632" s="3" t="s">
        <v>6166</v>
      </c>
      <c r="BA632" s="3" t="s">
        <v>6166</v>
      </c>
      <c r="BB632" s="3" t="s">
        <v>6167</v>
      </c>
      <c r="BC632" s="3" t="s">
        <v>77</v>
      </c>
      <c r="BD632" s="3" t="s">
        <v>78</v>
      </c>
      <c r="BE632" s="3" t="s">
        <v>6168</v>
      </c>
      <c r="BF632" s="3" t="s">
        <v>6167</v>
      </c>
      <c r="BG632" s="3" t="s">
        <v>6169</v>
      </c>
      <c r="BH632">
        <f t="shared" si="19"/>
        <v>0</v>
      </c>
    </row>
    <row r="633" spans="1:60" ht="101.5" x14ac:dyDescent="0.35">
      <c r="A633" s="2" t="s">
        <v>59</v>
      </c>
      <c r="B633" s="2" t="s">
        <v>60</v>
      </c>
      <c r="C633" s="2" t="s">
        <v>6170</v>
      </c>
      <c r="D633" s="2" t="s">
        <v>6171</v>
      </c>
      <c r="E633" s="2" t="s">
        <v>6172</v>
      </c>
      <c r="G633" s="3" t="s">
        <v>64</v>
      </c>
      <c r="I633" s="3" t="s">
        <v>128</v>
      </c>
      <c r="J633" s="3" t="s">
        <v>64</v>
      </c>
      <c r="K633" s="3" t="s">
        <v>65</v>
      </c>
      <c r="L633" s="2" t="s">
        <v>6173</v>
      </c>
      <c r="N633" s="3" t="s">
        <v>685</v>
      </c>
      <c r="P633" s="3" t="s">
        <v>944</v>
      </c>
      <c r="R633" s="3" t="s">
        <v>70</v>
      </c>
      <c r="S633" s="4">
        <v>11</v>
      </c>
      <c r="T633" s="4">
        <v>11</v>
      </c>
      <c r="U633" s="5" t="s">
        <v>6174</v>
      </c>
      <c r="V633" s="5" t="s">
        <v>6174</v>
      </c>
      <c r="W633" s="5" t="s">
        <v>72</v>
      </c>
      <c r="X633" s="5" t="s">
        <v>72</v>
      </c>
      <c r="Y633" s="4">
        <v>57</v>
      </c>
      <c r="Z633" s="4">
        <v>3</v>
      </c>
      <c r="AA633" s="4">
        <v>5</v>
      </c>
      <c r="AB633" s="4">
        <v>1</v>
      </c>
      <c r="AC633" s="4">
        <v>1</v>
      </c>
      <c r="AD633" s="4">
        <v>36</v>
      </c>
      <c r="AE633" s="4">
        <v>38</v>
      </c>
      <c r="AF633" s="4">
        <v>0</v>
      </c>
      <c r="AG633" s="4">
        <v>0</v>
      </c>
      <c r="AH633" s="4">
        <v>35</v>
      </c>
      <c r="AI633" s="4">
        <v>37</v>
      </c>
      <c r="AJ633" s="4">
        <v>2</v>
      </c>
      <c r="AK633" s="4">
        <v>3</v>
      </c>
      <c r="AL633" s="4">
        <v>25</v>
      </c>
      <c r="AM633" s="4">
        <v>27</v>
      </c>
      <c r="AN633" s="4">
        <v>0</v>
      </c>
      <c r="AO633" s="4">
        <v>0</v>
      </c>
      <c r="AP633" s="4">
        <v>2</v>
      </c>
      <c r="AQ633" s="4">
        <v>3</v>
      </c>
      <c r="AR633" s="3" t="s">
        <v>64</v>
      </c>
      <c r="AS633" s="3" t="s">
        <v>64</v>
      </c>
      <c r="AT633" s="3" t="s">
        <v>128</v>
      </c>
      <c r="AU633" s="6" t="str">
        <f>HYPERLINK("http://catalog.hathitrust.org/Record/001160485","HathiTrust Record")</f>
        <v>HathiTrust Record</v>
      </c>
      <c r="AV633" s="6" t="str">
        <f>HYPERLINK("http://mcgill.on.worldcat.org/oclc/22013079","Catalog Record")</f>
        <v>Catalog Record</v>
      </c>
      <c r="AW633" s="6" t="str">
        <f>HYPERLINK("http://www.worldcat.org/oclc/22013079","WorldCat Record")</f>
        <v>WorldCat Record</v>
      </c>
      <c r="AX633" s="3" t="s">
        <v>6175</v>
      </c>
      <c r="AY633" s="3" t="s">
        <v>6176</v>
      </c>
      <c r="AZ633" s="3" t="s">
        <v>6177</v>
      </c>
      <c r="BA633" s="3" t="s">
        <v>6177</v>
      </c>
      <c r="BB633" s="3" t="s">
        <v>6178</v>
      </c>
      <c r="BC633" s="3" t="s">
        <v>77</v>
      </c>
      <c r="BD633" s="3" t="s">
        <v>78</v>
      </c>
      <c r="BF633" s="3" t="s">
        <v>6178</v>
      </c>
      <c r="BG633" s="3" t="s">
        <v>6179</v>
      </c>
      <c r="BH633">
        <f t="shared" si="19"/>
        <v>0</v>
      </c>
    </row>
    <row r="634" spans="1:60" ht="116" x14ac:dyDescent="0.35">
      <c r="A634" s="2" t="s">
        <v>59</v>
      </c>
      <c r="B634" s="2" t="s">
        <v>60</v>
      </c>
      <c r="C634" s="2" t="s">
        <v>6180</v>
      </c>
      <c r="D634" s="2" t="s">
        <v>6181</v>
      </c>
      <c r="E634" s="2" t="s">
        <v>6182</v>
      </c>
      <c r="G634" s="3" t="s">
        <v>128</v>
      </c>
      <c r="I634" s="3" t="s">
        <v>128</v>
      </c>
      <c r="J634" s="3" t="s">
        <v>64</v>
      </c>
      <c r="K634" s="3" t="s">
        <v>65</v>
      </c>
      <c r="L634" s="2" t="s">
        <v>6183</v>
      </c>
      <c r="M634" s="2" t="s">
        <v>6184</v>
      </c>
      <c r="N634" s="3" t="s">
        <v>6185</v>
      </c>
      <c r="P634" s="3" t="s">
        <v>102</v>
      </c>
      <c r="Q634" s="2" t="s">
        <v>6186</v>
      </c>
      <c r="R634" s="3" t="s">
        <v>70</v>
      </c>
      <c r="S634" s="4">
        <v>12</v>
      </c>
      <c r="T634" s="4">
        <v>13</v>
      </c>
      <c r="U634" s="5" t="s">
        <v>3129</v>
      </c>
      <c r="V634" s="5" t="s">
        <v>3129</v>
      </c>
      <c r="W634" s="5" t="s">
        <v>72</v>
      </c>
      <c r="X634" s="5" t="s">
        <v>72</v>
      </c>
      <c r="Y634" s="4">
        <v>16</v>
      </c>
      <c r="Z634" s="4">
        <v>3</v>
      </c>
      <c r="AA634" s="4">
        <v>9</v>
      </c>
      <c r="AB634" s="4">
        <v>1</v>
      </c>
      <c r="AC634" s="4">
        <v>1</v>
      </c>
      <c r="AD634" s="4">
        <v>6</v>
      </c>
      <c r="AE634" s="4">
        <v>49</v>
      </c>
      <c r="AF634" s="4">
        <v>0</v>
      </c>
      <c r="AG634" s="4">
        <v>0</v>
      </c>
      <c r="AH634" s="4">
        <v>5</v>
      </c>
      <c r="AI634" s="4">
        <v>45</v>
      </c>
      <c r="AJ634" s="4">
        <v>2</v>
      </c>
      <c r="AK634" s="4">
        <v>7</v>
      </c>
      <c r="AL634" s="4">
        <v>2</v>
      </c>
      <c r="AM634" s="4">
        <v>28</v>
      </c>
      <c r="AN634" s="4">
        <v>0</v>
      </c>
      <c r="AO634" s="4">
        <v>0</v>
      </c>
      <c r="AP634" s="4">
        <v>2</v>
      </c>
      <c r="AQ634" s="4">
        <v>6</v>
      </c>
      <c r="AR634" s="3" t="s">
        <v>64</v>
      </c>
      <c r="AS634" s="3" t="s">
        <v>64</v>
      </c>
      <c r="AT634" s="3" t="s">
        <v>64</v>
      </c>
      <c r="AU634" s="6" t="str">
        <f>HYPERLINK("http://catalog.hathitrust.org/Record/100322443","HathiTrust Record")</f>
        <v>HathiTrust Record</v>
      </c>
      <c r="AV634" s="6" t="str">
        <f>HYPERLINK("http://mcgill.on.worldcat.org/oclc/51471514","Catalog Record")</f>
        <v>Catalog Record</v>
      </c>
      <c r="AW634" s="6" t="str">
        <f>HYPERLINK("http://www.worldcat.org/oclc/51471514","WorldCat Record")</f>
        <v>WorldCat Record</v>
      </c>
      <c r="AX634" s="3" t="s">
        <v>6187</v>
      </c>
      <c r="AY634" s="3" t="s">
        <v>6188</v>
      </c>
      <c r="AZ634" s="3" t="s">
        <v>6189</v>
      </c>
      <c r="BA634" s="3" t="s">
        <v>6189</v>
      </c>
      <c r="BB634" s="3" t="s">
        <v>6190</v>
      </c>
      <c r="BC634" s="3" t="s">
        <v>77</v>
      </c>
      <c r="BD634" s="3" t="s">
        <v>78</v>
      </c>
      <c r="BF634" s="3" t="s">
        <v>6190</v>
      </c>
      <c r="BG634" s="3" t="s">
        <v>6191</v>
      </c>
      <c r="BH634">
        <f t="shared" si="19"/>
        <v>0</v>
      </c>
    </row>
    <row r="635" spans="1:60" ht="58" x14ac:dyDescent="0.35">
      <c r="A635" s="2" t="s">
        <v>59</v>
      </c>
      <c r="B635" s="2" t="s">
        <v>60</v>
      </c>
      <c r="C635" s="2" t="s">
        <v>6192</v>
      </c>
      <c r="D635" s="2" t="s">
        <v>6193</v>
      </c>
      <c r="E635" s="2" t="s">
        <v>6194</v>
      </c>
      <c r="G635" s="3" t="s">
        <v>64</v>
      </c>
      <c r="I635" s="3" t="s">
        <v>64</v>
      </c>
      <c r="J635" s="3" t="s">
        <v>128</v>
      </c>
      <c r="K635" s="3" t="s">
        <v>65</v>
      </c>
      <c r="L635" s="2" t="s">
        <v>6055</v>
      </c>
      <c r="M635" s="2" t="s">
        <v>6195</v>
      </c>
      <c r="N635" s="3" t="s">
        <v>3721</v>
      </c>
      <c r="P635" s="3" t="s">
        <v>102</v>
      </c>
      <c r="R635" s="3" t="s">
        <v>70</v>
      </c>
      <c r="S635" s="4">
        <v>15</v>
      </c>
      <c r="T635" s="4">
        <v>15</v>
      </c>
      <c r="U635" s="5" t="s">
        <v>6057</v>
      </c>
      <c r="V635" s="5" t="s">
        <v>6057</v>
      </c>
      <c r="W635" s="5" t="s">
        <v>72</v>
      </c>
      <c r="X635" s="5" t="s">
        <v>72</v>
      </c>
      <c r="Y635" s="4">
        <v>467</v>
      </c>
      <c r="Z635" s="4">
        <v>21</v>
      </c>
      <c r="AA635" s="4">
        <v>35</v>
      </c>
      <c r="AB635" s="4">
        <v>4</v>
      </c>
      <c r="AC635" s="4">
        <v>4</v>
      </c>
      <c r="AD635" s="4">
        <v>111</v>
      </c>
      <c r="AE635" s="4">
        <v>126</v>
      </c>
      <c r="AF635" s="4">
        <v>2</v>
      </c>
      <c r="AG635" s="4">
        <v>2</v>
      </c>
      <c r="AH635" s="4">
        <v>96</v>
      </c>
      <c r="AI635" s="4">
        <v>107</v>
      </c>
      <c r="AJ635" s="4">
        <v>13</v>
      </c>
      <c r="AK635" s="4">
        <v>21</v>
      </c>
      <c r="AL635" s="4">
        <v>54</v>
      </c>
      <c r="AM635" s="4">
        <v>58</v>
      </c>
      <c r="AN635" s="4">
        <v>0</v>
      </c>
      <c r="AO635" s="4">
        <v>0</v>
      </c>
      <c r="AP635" s="4">
        <v>18</v>
      </c>
      <c r="AQ635" s="4">
        <v>26</v>
      </c>
      <c r="AR635" s="3" t="s">
        <v>64</v>
      </c>
      <c r="AS635" s="3" t="s">
        <v>64</v>
      </c>
      <c r="AT635" s="3" t="s">
        <v>64</v>
      </c>
      <c r="AV635" s="6" t="str">
        <f>HYPERLINK("http://mcgill.on.worldcat.org/oclc/5367689","Catalog Record")</f>
        <v>Catalog Record</v>
      </c>
      <c r="AW635" s="6" t="str">
        <f>HYPERLINK("http://www.worldcat.org/oclc/5367689","WorldCat Record")</f>
        <v>WorldCat Record</v>
      </c>
      <c r="AX635" s="3" t="s">
        <v>6196</v>
      </c>
      <c r="AY635" s="3" t="s">
        <v>6197</v>
      </c>
      <c r="AZ635" s="3" t="s">
        <v>6198</v>
      </c>
      <c r="BA635" s="3" t="s">
        <v>6198</v>
      </c>
      <c r="BB635" s="3" t="s">
        <v>6199</v>
      </c>
      <c r="BC635" s="3" t="s">
        <v>77</v>
      </c>
      <c r="BD635" s="3" t="s">
        <v>78</v>
      </c>
      <c r="BE635" s="3" t="s">
        <v>6200</v>
      </c>
      <c r="BF635" s="3" t="s">
        <v>6199</v>
      </c>
      <c r="BG635" s="3" t="s">
        <v>6201</v>
      </c>
      <c r="BH635">
        <f t="shared" si="19"/>
        <v>0</v>
      </c>
    </row>
    <row r="636" spans="1:60" ht="72.5" x14ac:dyDescent="0.35">
      <c r="A636" s="2" t="s">
        <v>6202</v>
      </c>
      <c r="B636" s="2" t="s">
        <v>6203</v>
      </c>
      <c r="C636" s="2" t="s">
        <v>6204</v>
      </c>
      <c r="D636" s="2" t="s">
        <v>6205</v>
      </c>
      <c r="E636" s="2" t="s">
        <v>6206</v>
      </c>
      <c r="G636" s="3" t="s">
        <v>64</v>
      </c>
      <c r="I636" s="3" t="s">
        <v>128</v>
      </c>
      <c r="J636" s="3" t="s">
        <v>64</v>
      </c>
      <c r="K636" s="3" t="s">
        <v>65</v>
      </c>
      <c r="L636" s="2" t="s">
        <v>6207</v>
      </c>
      <c r="M636" s="2" t="s">
        <v>6208</v>
      </c>
      <c r="N636" s="3" t="s">
        <v>979</v>
      </c>
      <c r="P636" s="3" t="s">
        <v>102</v>
      </c>
      <c r="Q636" s="2" t="s">
        <v>6209</v>
      </c>
      <c r="R636" s="3" t="s">
        <v>70</v>
      </c>
      <c r="S636" s="4">
        <v>3</v>
      </c>
      <c r="T636" s="4">
        <v>11</v>
      </c>
      <c r="U636" s="5" t="s">
        <v>6210</v>
      </c>
      <c r="V636" s="5" t="s">
        <v>394</v>
      </c>
      <c r="W636" s="5" t="s">
        <v>72</v>
      </c>
      <c r="X636" s="5" t="s">
        <v>72</v>
      </c>
      <c r="Y636" s="4">
        <v>6</v>
      </c>
      <c r="Z636" s="4">
        <v>5</v>
      </c>
      <c r="AA636" s="4">
        <v>7</v>
      </c>
      <c r="AB636" s="4">
        <v>2</v>
      </c>
      <c r="AC636" s="4">
        <v>4</v>
      </c>
      <c r="AD636" s="4">
        <v>2</v>
      </c>
      <c r="AE636" s="4">
        <v>3</v>
      </c>
      <c r="AF636" s="4">
        <v>0</v>
      </c>
      <c r="AG636" s="4">
        <v>1</v>
      </c>
      <c r="AH636" s="4">
        <v>2</v>
      </c>
      <c r="AI636" s="4">
        <v>2</v>
      </c>
      <c r="AJ636" s="4">
        <v>2</v>
      </c>
      <c r="AK636" s="4">
        <v>3</v>
      </c>
      <c r="AL636" s="4">
        <v>1</v>
      </c>
      <c r="AM636" s="4">
        <v>1</v>
      </c>
      <c r="AN636" s="4">
        <v>0</v>
      </c>
      <c r="AO636" s="4">
        <v>0</v>
      </c>
      <c r="AP636" s="4">
        <v>2</v>
      </c>
      <c r="AQ636" s="4">
        <v>2</v>
      </c>
      <c r="AR636" s="3" t="s">
        <v>128</v>
      </c>
      <c r="AS636" s="3" t="s">
        <v>64</v>
      </c>
      <c r="AT636" s="3" t="s">
        <v>64</v>
      </c>
      <c r="AV636" s="6" t="str">
        <f>HYPERLINK("http://mcgill.on.worldcat.org/oclc/79062798","Catalog Record")</f>
        <v>Catalog Record</v>
      </c>
      <c r="AW636" s="6" t="str">
        <f>HYPERLINK("http://www.worldcat.org/oclc/79062798","WorldCat Record")</f>
        <v>WorldCat Record</v>
      </c>
      <c r="AX636" s="3" t="s">
        <v>6211</v>
      </c>
      <c r="AY636" s="3" t="s">
        <v>6212</v>
      </c>
      <c r="AZ636" s="3" t="s">
        <v>6213</v>
      </c>
      <c r="BA636" s="3" t="s">
        <v>6213</v>
      </c>
      <c r="BB636" s="3" t="s">
        <v>6214</v>
      </c>
      <c r="BC636" s="3" t="s">
        <v>77</v>
      </c>
      <c r="BD636" s="3" t="s">
        <v>78</v>
      </c>
      <c r="BF636" s="3" t="s">
        <v>6214</v>
      </c>
      <c r="BG636" s="3" t="s">
        <v>6215</v>
      </c>
      <c r="BH636">
        <f t="shared" si="19"/>
        <v>0</v>
      </c>
    </row>
    <row r="637" spans="1:60" ht="72.5" x14ac:dyDescent="0.35">
      <c r="A637" s="2" t="s">
        <v>59</v>
      </c>
      <c r="B637" s="2" t="s">
        <v>60</v>
      </c>
      <c r="C637" s="2" t="s">
        <v>6216</v>
      </c>
      <c r="D637" s="2" t="s">
        <v>6217</v>
      </c>
      <c r="E637" s="2" t="s">
        <v>6218</v>
      </c>
      <c r="G637" s="3" t="s">
        <v>64</v>
      </c>
      <c r="I637" s="3" t="s">
        <v>64</v>
      </c>
      <c r="J637" s="3" t="s">
        <v>64</v>
      </c>
      <c r="K637" s="3" t="s">
        <v>65</v>
      </c>
      <c r="L637" s="2" t="s">
        <v>6219</v>
      </c>
      <c r="M637" s="2" t="s">
        <v>6220</v>
      </c>
      <c r="N637" s="3" t="s">
        <v>116</v>
      </c>
      <c r="P637" s="3" t="s">
        <v>365</v>
      </c>
      <c r="Q637" s="2" t="s">
        <v>6221</v>
      </c>
      <c r="R637" s="3" t="s">
        <v>70</v>
      </c>
      <c r="S637" s="4">
        <v>2</v>
      </c>
      <c r="T637" s="4">
        <v>2</v>
      </c>
      <c r="U637" s="5" t="s">
        <v>6222</v>
      </c>
      <c r="V637" s="5" t="s">
        <v>6222</v>
      </c>
      <c r="W637" s="5" t="s">
        <v>72</v>
      </c>
      <c r="X637" s="5" t="s">
        <v>72</v>
      </c>
      <c r="Y637" s="4">
        <v>64</v>
      </c>
      <c r="Z637" s="4">
        <v>4</v>
      </c>
      <c r="AA637" s="4">
        <v>4</v>
      </c>
      <c r="AB637" s="4">
        <v>2</v>
      </c>
      <c r="AC637" s="4">
        <v>2</v>
      </c>
      <c r="AD637" s="4">
        <v>33</v>
      </c>
      <c r="AE637" s="4">
        <v>33</v>
      </c>
      <c r="AF637" s="4">
        <v>0</v>
      </c>
      <c r="AG637" s="4">
        <v>0</v>
      </c>
      <c r="AH637" s="4">
        <v>32</v>
      </c>
      <c r="AI637" s="4">
        <v>32</v>
      </c>
      <c r="AJ637" s="4">
        <v>1</v>
      </c>
      <c r="AK637" s="4">
        <v>1</v>
      </c>
      <c r="AL637" s="4">
        <v>27</v>
      </c>
      <c r="AM637" s="4">
        <v>27</v>
      </c>
      <c r="AN637" s="4">
        <v>0</v>
      </c>
      <c r="AO637" s="4">
        <v>0</v>
      </c>
      <c r="AP637" s="4">
        <v>1</v>
      </c>
      <c r="AQ637" s="4">
        <v>1</v>
      </c>
      <c r="AR637" s="3" t="s">
        <v>64</v>
      </c>
      <c r="AS637" s="3" t="s">
        <v>64</v>
      </c>
      <c r="AT637" s="3" t="s">
        <v>64</v>
      </c>
      <c r="AV637" s="6" t="str">
        <f>HYPERLINK("http://mcgill.on.worldcat.org/oclc/47677997","Catalog Record")</f>
        <v>Catalog Record</v>
      </c>
      <c r="AW637" s="6" t="str">
        <f>HYPERLINK("http://www.worldcat.org/oclc/47677997","WorldCat Record")</f>
        <v>WorldCat Record</v>
      </c>
      <c r="AX637" s="3" t="s">
        <v>6223</v>
      </c>
      <c r="AY637" s="3" t="s">
        <v>6224</v>
      </c>
      <c r="AZ637" s="3" t="s">
        <v>6225</v>
      </c>
      <c r="BA637" s="3" t="s">
        <v>6225</v>
      </c>
      <c r="BB637" s="3" t="s">
        <v>6226</v>
      </c>
      <c r="BC637" s="3" t="s">
        <v>77</v>
      </c>
      <c r="BD637" s="3" t="s">
        <v>78</v>
      </c>
      <c r="BE637" s="3" t="s">
        <v>6227</v>
      </c>
      <c r="BF637" s="3" t="s">
        <v>6226</v>
      </c>
      <c r="BG637" s="3" t="s">
        <v>6228</v>
      </c>
      <c r="BH637">
        <f t="shared" si="19"/>
        <v>0</v>
      </c>
    </row>
    <row r="638" spans="1:60" ht="58" x14ac:dyDescent="0.35">
      <c r="A638" s="2" t="s">
        <v>59</v>
      </c>
      <c r="B638" s="2" t="s">
        <v>60</v>
      </c>
      <c r="C638" s="2" t="s">
        <v>6229</v>
      </c>
      <c r="D638" s="2" t="s">
        <v>6230</v>
      </c>
      <c r="E638" s="2" t="s">
        <v>6231</v>
      </c>
      <c r="G638" s="3" t="s">
        <v>64</v>
      </c>
      <c r="I638" s="3" t="s">
        <v>128</v>
      </c>
      <c r="J638" s="3" t="s">
        <v>64</v>
      </c>
      <c r="K638" s="3" t="s">
        <v>65</v>
      </c>
      <c r="L638" s="2" t="s">
        <v>6232</v>
      </c>
      <c r="M638" s="2" t="s">
        <v>6233</v>
      </c>
      <c r="N638" s="3" t="s">
        <v>421</v>
      </c>
      <c r="P638" s="3" t="s">
        <v>102</v>
      </c>
      <c r="R638" s="3" t="s">
        <v>70</v>
      </c>
      <c r="S638" s="4">
        <v>5</v>
      </c>
      <c r="T638" s="4">
        <v>10</v>
      </c>
      <c r="U638" s="5" t="s">
        <v>5279</v>
      </c>
      <c r="V638" s="5" t="s">
        <v>6234</v>
      </c>
      <c r="W638" s="5" t="s">
        <v>72</v>
      </c>
      <c r="X638" s="5" t="s">
        <v>72</v>
      </c>
      <c r="Y638" s="4">
        <v>62</v>
      </c>
      <c r="Z638" s="4">
        <v>24</v>
      </c>
      <c r="AA638" s="4">
        <v>25</v>
      </c>
      <c r="AB638" s="4">
        <v>1</v>
      </c>
      <c r="AC638" s="4">
        <v>2</v>
      </c>
      <c r="AD638" s="4">
        <v>38</v>
      </c>
      <c r="AE638" s="4">
        <v>38</v>
      </c>
      <c r="AF638" s="4">
        <v>0</v>
      </c>
      <c r="AG638" s="4">
        <v>0</v>
      </c>
      <c r="AH638" s="4">
        <v>27</v>
      </c>
      <c r="AI638" s="4">
        <v>27</v>
      </c>
      <c r="AJ638" s="4">
        <v>12</v>
      </c>
      <c r="AK638" s="4">
        <v>12</v>
      </c>
      <c r="AL638" s="4">
        <v>17</v>
      </c>
      <c r="AM638" s="4">
        <v>17</v>
      </c>
      <c r="AN638" s="4">
        <v>0</v>
      </c>
      <c r="AO638" s="4">
        <v>0</v>
      </c>
      <c r="AP638" s="4">
        <v>17</v>
      </c>
      <c r="AQ638" s="4">
        <v>17</v>
      </c>
      <c r="AR638" s="3" t="s">
        <v>128</v>
      </c>
      <c r="AS638" s="3" t="s">
        <v>64</v>
      </c>
      <c r="AT638" s="3" t="s">
        <v>128</v>
      </c>
      <c r="AU638" s="6" t="str">
        <f>HYPERLINK("http://catalog.hathitrust.org/Record/004058931","HathiTrust Record")</f>
        <v>HathiTrust Record</v>
      </c>
      <c r="AV638" s="6" t="str">
        <f>HYPERLINK("http://mcgill.on.worldcat.org/oclc/39106009","Catalog Record")</f>
        <v>Catalog Record</v>
      </c>
      <c r="AW638" s="6" t="str">
        <f>HYPERLINK("http://www.worldcat.org/oclc/39106009","WorldCat Record")</f>
        <v>WorldCat Record</v>
      </c>
      <c r="AX638" s="3" t="s">
        <v>6235</v>
      </c>
      <c r="AY638" s="3" t="s">
        <v>6236</v>
      </c>
      <c r="AZ638" s="3" t="s">
        <v>6237</v>
      </c>
      <c r="BA638" s="3" t="s">
        <v>6237</v>
      </c>
      <c r="BB638" s="3" t="s">
        <v>6238</v>
      </c>
      <c r="BC638" s="3" t="s">
        <v>77</v>
      </c>
      <c r="BD638" s="3" t="s">
        <v>78</v>
      </c>
      <c r="BE638" s="3" t="s">
        <v>6239</v>
      </c>
      <c r="BF638" s="3" t="s">
        <v>6238</v>
      </c>
      <c r="BG638" s="3" t="s">
        <v>6240</v>
      </c>
      <c r="BH638">
        <f t="shared" si="19"/>
        <v>0</v>
      </c>
    </row>
    <row r="639" spans="1:60" ht="58" x14ac:dyDescent="0.35">
      <c r="A639" s="2" t="s">
        <v>59</v>
      </c>
      <c r="B639" s="2" t="s">
        <v>60</v>
      </c>
      <c r="C639" s="2" t="s">
        <v>6229</v>
      </c>
      <c r="D639" s="2" t="s">
        <v>6230</v>
      </c>
      <c r="E639" s="2" t="s">
        <v>6231</v>
      </c>
      <c r="G639" s="3" t="s">
        <v>64</v>
      </c>
      <c r="I639" s="3" t="s">
        <v>128</v>
      </c>
      <c r="J639" s="3" t="s">
        <v>64</v>
      </c>
      <c r="K639" s="3" t="s">
        <v>65</v>
      </c>
      <c r="L639" s="2" t="s">
        <v>6232</v>
      </c>
      <c r="M639" s="2" t="s">
        <v>6233</v>
      </c>
      <c r="N639" s="3" t="s">
        <v>421</v>
      </c>
      <c r="P639" s="3" t="s">
        <v>102</v>
      </c>
      <c r="R639" s="3" t="s">
        <v>70</v>
      </c>
      <c r="S639" s="4">
        <v>5</v>
      </c>
      <c r="T639" s="4">
        <v>10</v>
      </c>
      <c r="U639" s="5" t="s">
        <v>6234</v>
      </c>
      <c r="V639" s="5" t="s">
        <v>6234</v>
      </c>
      <c r="W639" s="5" t="s">
        <v>72</v>
      </c>
      <c r="X639" s="5" t="s">
        <v>72</v>
      </c>
      <c r="Y639" s="4">
        <v>62</v>
      </c>
      <c r="Z639" s="4">
        <v>24</v>
      </c>
      <c r="AA639" s="4">
        <v>25</v>
      </c>
      <c r="AB639" s="4">
        <v>1</v>
      </c>
      <c r="AC639" s="4">
        <v>2</v>
      </c>
      <c r="AD639" s="4">
        <v>38</v>
      </c>
      <c r="AE639" s="4">
        <v>38</v>
      </c>
      <c r="AF639" s="4">
        <v>0</v>
      </c>
      <c r="AG639" s="4">
        <v>0</v>
      </c>
      <c r="AH639" s="4">
        <v>27</v>
      </c>
      <c r="AI639" s="4">
        <v>27</v>
      </c>
      <c r="AJ639" s="4">
        <v>12</v>
      </c>
      <c r="AK639" s="4">
        <v>12</v>
      </c>
      <c r="AL639" s="4">
        <v>17</v>
      </c>
      <c r="AM639" s="4">
        <v>17</v>
      </c>
      <c r="AN639" s="4">
        <v>0</v>
      </c>
      <c r="AO639" s="4">
        <v>0</v>
      </c>
      <c r="AP639" s="4">
        <v>17</v>
      </c>
      <c r="AQ639" s="4">
        <v>17</v>
      </c>
      <c r="AR639" s="3" t="s">
        <v>128</v>
      </c>
      <c r="AS639" s="3" t="s">
        <v>64</v>
      </c>
      <c r="AT639" s="3" t="s">
        <v>128</v>
      </c>
      <c r="AU639" s="6" t="str">
        <f>HYPERLINK("http://catalog.hathitrust.org/Record/004058931","HathiTrust Record")</f>
        <v>HathiTrust Record</v>
      </c>
      <c r="AV639" s="6" t="str">
        <f>HYPERLINK("http://mcgill.on.worldcat.org/oclc/39106009","Catalog Record")</f>
        <v>Catalog Record</v>
      </c>
      <c r="AW639" s="6" t="str">
        <f>HYPERLINK("http://www.worldcat.org/oclc/39106009","WorldCat Record")</f>
        <v>WorldCat Record</v>
      </c>
      <c r="AX639" s="3" t="s">
        <v>6235</v>
      </c>
      <c r="AY639" s="3" t="s">
        <v>6236</v>
      </c>
      <c r="AZ639" s="3" t="s">
        <v>6237</v>
      </c>
      <c r="BA639" s="3" t="s">
        <v>6237</v>
      </c>
      <c r="BB639" s="3" t="s">
        <v>6241</v>
      </c>
      <c r="BC639" s="3" t="s">
        <v>77</v>
      </c>
      <c r="BD639" s="3" t="s">
        <v>78</v>
      </c>
      <c r="BE639" s="3" t="s">
        <v>6239</v>
      </c>
      <c r="BF639" s="3" t="s">
        <v>6241</v>
      </c>
      <c r="BG639" s="3" t="s">
        <v>6242</v>
      </c>
      <c r="BH639">
        <f t="shared" si="19"/>
        <v>0</v>
      </c>
    </row>
    <row r="640" spans="1:60" ht="58" x14ac:dyDescent="0.35">
      <c r="A640" s="2" t="s">
        <v>59</v>
      </c>
      <c r="B640" s="2" t="s">
        <v>60</v>
      </c>
      <c r="C640" s="2" t="s">
        <v>6243</v>
      </c>
      <c r="D640" s="2" t="s">
        <v>6244</v>
      </c>
      <c r="E640" s="2" t="s">
        <v>6245</v>
      </c>
      <c r="G640" s="3" t="s">
        <v>64</v>
      </c>
      <c r="I640" s="3" t="s">
        <v>128</v>
      </c>
      <c r="J640" s="3" t="s">
        <v>64</v>
      </c>
      <c r="K640" s="3" t="s">
        <v>65</v>
      </c>
      <c r="L640" s="2" t="s">
        <v>6246</v>
      </c>
      <c r="M640" s="2" t="s">
        <v>6247</v>
      </c>
      <c r="N640" s="3" t="s">
        <v>3584</v>
      </c>
      <c r="O640" s="2" t="s">
        <v>6248</v>
      </c>
      <c r="P640" s="3" t="s">
        <v>102</v>
      </c>
      <c r="R640" s="3" t="s">
        <v>70</v>
      </c>
      <c r="S640" s="4">
        <v>6</v>
      </c>
      <c r="T640" s="4">
        <v>36</v>
      </c>
      <c r="U640" s="5" t="s">
        <v>6249</v>
      </c>
      <c r="V640" s="5" t="s">
        <v>4758</v>
      </c>
      <c r="W640" s="5" t="s">
        <v>72</v>
      </c>
      <c r="X640" s="5" t="s">
        <v>72</v>
      </c>
      <c r="Y640" s="4">
        <v>874</v>
      </c>
      <c r="Z640" s="4">
        <v>48</v>
      </c>
      <c r="AA640" s="4">
        <v>88</v>
      </c>
      <c r="AB640" s="4">
        <v>2</v>
      </c>
      <c r="AC640" s="4">
        <v>11</v>
      </c>
      <c r="AD640" s="4">
        <v>122</v>
      </c>
      <c r="AE640" s="4">
        <v>153</v>
      </c>
      <c r="AF640" s="4">
        <v>0</v>
      </c>
      <c r="AG640" s="4">
        <v>5</v>
      </c>
      <c r="AH640" s="4">
        <v>98</v>
      </c>
      <c r="AI640" s="4">
        <v>113</v>
      </c>
      <c r="AJ640" s="4">
        <v>17</v>
      </c>
      <c r="AK640" s="4">
        <v>28</v>
      </c>
      <c r="AL640" s="4">
        <v>52</v>
      </c>
      <c r="AM640" s="4">
        <v>58</v>
      </c>
      <c r="AN640" s="4">
        <v>0</v>
      </c>
      <c r="AO640" s="4">
        <v>0</v>
      </c>
      <c r="AP640" s="4">
        <v>29</v>
      </c>
      <c r="AQ640" s="4">
        <v>47</v>
      </c>
      <c r="AR640" s="3" t="s">
        <v>64</v>
      </c>
      <c r="AS640" s="3" t="s">
        <v>64</v>
      </c>
      <c r="AT640" s="3" t="s">
        <v>128</v>
      </c>
      <c r="AU640" s="6" t="str">
        <f>HYPERLINK("http://catalog.hathitrust.org/Record/000214047","HathiTrust Record")</f>
        <v>HathiTrust Record</v>
      </c>
      <c r="AV640" s="6" t="str">
        <f>HYPERLINK("http://mcgill.on.worldcat.org/oclc/2967708","Catalog Record")</f>
        <v>Catalog Record</v>
      </c>
      <c r="AW640" s="6" t="str">
        <f>HYPERLINK("http://www.worldcat.org/oclc/2967708","WorldCat Record")</f>
        <v>WorldCat Record</v>
      </c>
      <c r="AX640" s="3" t="s">
        <v>6250</v>
      </c>
      <c r="AY640" s="3" t="s">
        <v>6251</v>
      </c>
      <c r="AZ640" s="3" t="s">
        <v>6252</v>
      </c>
      <c r="BA640" s="3" t="s">
        <v>6252</v>
      </c>
      <c r="BB640" s="3" t="s">
        <v>6253</v>
      </c>
      <c r="BC640" s="3" t="s">
        <v>77</v>
      </c>
      <c r="BD640" s="3" t="s">
        <v>78</v>
      </c>
      <c r="BE640" s="3" t="s">
        <v>6254</v>
      </c>
      <c r="BF640" s="3" t="s">
        <v>6253</v>
      </c>
      <c r="BG640" s="3" t="s">
        <v>6255</v>
      </c>
      <c r="BH640">
        <f t="shared" si="19"/>
        <v>0</v>
      </c>
    </row>
    <row r="641" spans="1:60" ht="58" x14ac:dyDescent="0.35">
      <c r="A641" s="2" t="s">
        <v>59</v>
      </c>
      <c r="B641" s="2" t="s">
        <v>60</v>
      </c>
      <c r="C641" s="2" t="s">
        <v>6256</v>
      </c>
      <c r="D641" s="2" t="s">
        <v>6257</v>
      </c>
      <c r="E641" s="2" t="s">
        <v>6258</v>
      </c>
      <c r="G641" s="3" t="s">
        <v>64</v>
      </c>
      <c r="I641" s="3" t="s">
        <v>128</v>
      </c>
      <c r="J641" s="3" t="s">
        <v>64</v>
      </c>
      <c r="K641" s="3" t="s">
        <v>65</v>
      </c>
      <c r="M641" s="2" t="s">
        <v>6259</v>
      </c>
      <c r="N641" s="3" t="s">
        <v>768</v>
      </c>
      <c r="P641" s="3" t="s">
        <v>102</v>
      </c>
      <c r="R641" s="3" t="s">
        <v>70</v>
      </c>
      <c r="S641" s="4">
        <v>2</v>
      </c>
      <c r="T641" s="4">
        <v>2</v>
      </c>
      <c r="U641" s="5" t="s">
        <v>6260</v>
      </c>
      <c r="V641" s="5" t="s">
        <v>6260</v>
      </c>
      <c r="W641" s="5" t="s">
        <v>72</v>
      </c>
      <c r="X641" s="5" t="s">
        <v>72</v>
      </c>
      <c r="Y641" s="4">
        <v>66</v>
      </c>
      <c r="Z641" s="4">
        <v>6</v>
      </c>
      <c r="AA641" s="4">
        <v>6</v>
      </c>
      <c r="AB641" s="4">
        <v>1</v>
      </c>
      <c r="AC641" s="4">
        <v>1</v>
      </c>
      <c r="AD641" s="4">
        <v>30</v>
      </c>
      <c r="AE641" s="4">
        <v>30</v>
      </c>
      <c r="AF641" s="4">
        <v>0</v>
      </c>
      <c r="AG641" s="4">
        <v>0</v>
      </c>
      <c r="AH641" s="4">
        <v>28</v>
      </c>
      <c r="AI641" s="4">
        <v>28</v>
      </c>
      <c r="AJ641" s="4">
        <v>3</v>
      </c>
      <c r="AK641" s="4">
        <v>3</v>
      </c>
      <c r="AL641" s="4">
        <v>17</v>
      </c>
      <c r="AM641" s="4">
        <v>17</v>
      </c>
      <c r="AN641" s="4">
        <v>0</v>
      </c>
      <c r="AO641" s="4">
        <v>0</v>
      </c>
      <c r="AP641" s="4">
        <v>3</v>
      </c>
      <c r="AQ641" s="4">
        <v>3</v>
      </c>
      <c r="AR641" s="3" t="s">
        <v>64</v>
      </c>
      <c r="AS641" s="3" t="s">
        <v>64</v>
      </c>
      <c r="AT641" s="3" t="s">
        <v>128</v>
      </c>
      <c r="AU641" s="6" t="str">
        <f>HYPERLINK("http://catalog.hathitrust.org/Record/000180239","HathiTrust Record")</f>
        <v>HathiTrust Record</v>
      </c>
      <c r="AV641" s="6" t="str">
        <f>HYPERLINK("http://mcgill.on.worldcat.org/oclc/4135198","Catalog Record")</f>
        <v>Catalog Record</v>
      </c>
      <c r="AW641" s="6" t="str">
        <f>HYPERLINK("http://www.worldcat.org/oclc/4135198","WorldCat Record")</f>
        <v>WorldCat Record</v>
      </c>
      <c r="AX641" s="3" t="s">
        <v>6261</v>
      </c>
      <c r="AY641" s="3" t="s">
        <v>6262</v>
      </c>
      <c r="AZ641" s="3" t="s">
        <v>6263</v>
      </c>
      <c r="BA641" s="3" t="s">
        <v>6263</v>
      </c>
      <c r="BB641" s="3" t="s">
        <v>6264</v>
      </c>
      <c r="BC641" s="3" t="s">
        <v>77</v>
      </c>
      <c r="BD641" s="3" t="s">
        <v>78</v>
      </c>
      <c r="BE641" s="3" t="s">
        <v>6265</v>
      </c>
      <c r="BF641" s="3" t="s">
        <v>6264</v>
      </c>
      <c r="BG641" s="3" t="s">
        <v>6266</v>
      </c>
      <c r="BH641">
        <f t="shared" si="19"/>
        <v>0</v>
      </c>
    </row>
    <row r="642" spans="1:60" ht="58" x14ac:dyDescent="0.35">
      <c r="A642" s="2" t="s">
        <v>59</v>
      </c>
      <c r="B642" s="2" t="s">
        <v>60</v>
      </c>
      <c r="C642" s="2" t="s">
        <v>6267</v>
      </c>
      <c r="D642" s="2" t="s">
        <v>6268</v>
      </c>
      <c r="E642" s="2" t="s">
        <v>6269</v>
      </c>
      <c r="F642" s="3" t="s">
        <v>529</v>
      </c>
      <c r="G642" s="3" t="s">
        <v>128</v>
      </c>
      <c r="I642" s="3" t="s">
        <v>64</v>
      </c>
      <c r="J642" s="3" t="s">
        <v>64</v>
      </c>
      <c r="K642" s="3" t="s">
        <v>65</v>
      </c>
      <c r="M642" s="2" t="s">
        <v>6270</v>
      </c>
      <c r="N642" s="3" t="s">
        <v>1075</v>
      </c>
      <c r="O642" s="2" t="s">
        <v>117</v>
      </c>
      <c r="P642" s="3" t="s">
        <v>102</v>
      </c>
      <c r="R642" s="3" t="s">
        <v>70</v>
      </c>
      <c r="S642" s="4">
        <v>1</v>
      </c>
      <c r="T642" s="4">
        <v>4</v>
      </c>
      <c r="U642" s="5" t="s">
        <v>6271</v>
      </c>
      <c r="V642" s="5" t="s">
        <v>6272</v>
      </c>
      <c r="W642" s="5" t="s">
        <v>72</v>
      </c>
      <c r="X642" s="5" t="s">
        <v>72</v>
      </c>
      <c r="Y642" s="4">
        <v>120</v>
      </c>
      <c r="Z642" s="4">
        <v>9</v>
      </c>
      <c r="AA642" s="4">
        <v>19</v>
      </c>
      <c r="AB642" s="4">
        <v>1</v>
      </c>
      <c r="AC642" s="4">
        <v>2</v>
      </c>
      <c r="AD642" s="4">
        <v>47</v>
      </c>
      <c r="AE642" s="4">
        <v>61</v>
      </c>
      <c r="AF642" s="4">
        <v>0</v>
      </c>
      <c r="AG642" s="4">
        <v>0</v>
      </c>
      <c r="AH642" s="4">
        <v>44</v>
      </c>
      <c r="AI642" s="4">
        <v>52</v>
      </c>
      <c r="AJ642" s="4">
        <v>6</v>
      </c>
      <c r="AK642" s="4">
        <v>11</v>
      </c>
      <c r="AL642" s="4">
        <v>31</v>
      </c>
      <c r="AM642" s="4">
        <v>33</v>
      </c>
      <c r="AN642" s="4">
        <v>0</v>
      </c>
      <c r="AO642" s="4">
        <v>0</v>
      </c>
      <c r="AP642" s="4">
        <v>6</v>
      </c>
      <c r="AQ642" s="4">
        <v>15</v>
      </c>
      <c r="AR642" s="3" t="s">
        <v>64</v>
      </c>
      <c r="AS642" s="3" t="s">
        <v>64</v>
      </c>
      <c r="AT642" s="3" t="s">
        <v>64</v>
      </c>
      <c r="AV642" s="6" t="str">
        <f>HYPERLINK("http://mcgill.on.worldcat.org/oclc/865160947","Catalog Record")</f>
        <v>Catalog Record</v>
      </c>
      <c r="AW642" s="6" t="str">
        <f>HYPERLINK("http://www.worldcat.org/oclc/865160947","WorldCat Record")</f>
        <v>WorldCat Record</v>
      </c>
      <c r="AX642" s="3" t="s">
        <v>6273</v>
      </c>
      <c r="AY642" s="3" t="s">
        <v>6274</v>
      </c>
      <c r="AZ642" s="3" t="s">
        <v>6275</v>
      </c>
      <c r="BA642" s="3" t="s">
        <v>6275</v>
      </c>
      <c r="BB642" s="3" t="s">
        <v>6276</v>
      </c>
      <c r="BC642" s="3" t="s">
        <v>77</v>
      </c>
      <c r="BD642" s="3" t="s">
        <v>78</v>
      </c>
      <c r="BE642" s="3" t="s">
        <v>6277</v>
      </c>
      <c r="BF642" s="3" t="s">
        <v>6276</v>
      </c>
      <c r="BG642" s="3" t="s">
        <v>6278</v>
      </c>
      <c r="BH642">
        <f t="shared" ref="BH642:BH705" si="20">IF(COUNTIF($BF$1:$BF$5431,BF642)=1,0,1)</f>
        <v>0</v>
      </c>
    </row>
    <row r="643" spans="1:60" ht="58" x14ac:dyDescent="0.35">
      <c r="A643" s="2" t="s">
        <v>59</v>
      </c>
      <c r="B643" s="2" t="s">
        <v>60</v>
      </c>
      <c r="C643" s="2" t="s">
        <v>6267</v>
      </c>
      <c r="D643" s="2" t="s">
        <v>6268</v>
      </c>
      <c r="E643" s="2" t="s">
        <v>6269</v>
      </c>
      <c r="F643" s="3" t="s">
        <v>509</v>
      </c>
      <c r="G643" s="3" t="s">
        <v>128</v>
      </c>
      <c r="I643" s="3" t="s">
        <v>64</v>
      </c>
      <c r="J643" s="3" t="s">
        <v>64</v>
      </c>
      <c r="K643" s="3" t="s">
        <v>65</v>
      </c>
      <c r="M643" s="2" t="s">
        <v>6270</v>
      </c>
      <c r="N643" s="3" t="s">
        <v>1075</v>
      </c>
      <c r="O643" s="2" t="s">
        <v>117</v>
      </c>
      <c r="P643" s="3" t="s">
        <v>102</v>
      </c>
      <c r="R643" s="3" t="s">
        <v>70</v>
      </c>
      <c r="S643" s="4">
        <v>2</v>
      </c>
      <c r="T643" s="4">
        <v>4</v>
      </c>
      <c r="U643" s="5" t="s">
        <v>6272</v>
      </c>
      <c r="V643" s="5" t="s">
        <v>6272</v>
      </c>
      <c r="W643" s="5" t="s">
        <v>72</v>
      </c>
      <c r="X643" s="5" t="s">
        <v>72</v>
      </c>
      <c r="Y643" s="4">
        <v>120</v>
      </c>
      <c r="Z643" s="4">
        <v>9</v>
      </c>
      <c r="AA643" s="4">
        <v>19</v>
      </c>
      <c r="AB643" s="4">
        <v>1</v>
      </c>
      <c r="AC643" s="4">
        <v>2</v>
      </c>
      <c r="AD643" s="4">
        <v>47</v>
      </c>
      <c r="AE643" s="4">
        <v>61</v>
      </c>
      <c r="AF643" s="4">
        <v>0</v>
      </c>
      <c r="AG643" s="4">
        <v>0</v>
      </c>
      <c r="AH643" s="4">
        <v>44</v>
      </c>
      <c r="AI643" s="4">
        <v>52</v>
      </c>
      <c r="AJ643" s="4">
        <v>6</v>
      </c>
      <c r="AK643" s="4">
        <v>11</v>
      </c>
      <c r="AL643" s="4">
        <v>31</v>
      </c>
      <c r="AM643" s="4">
        <v>33</v>
      </c>
      <c r="AN643" s="4">
        <v>0</v>
      </c>
      <c r="AO643" s="4">
        <v>0</v>
      </c>
      <c r="AP643" s="4">
        <v>6</v>
      </c>
      <c r="AQ643" s="4">
        <v>15</v>
      </c>
      <c r="AR643" s="3" t="s">
        <v>64</v>
      </c>
      <c r="AS643" s="3" t="s">
        <v>64</v>
      </c>
      <c r="AT643" s="3" t="s">
        <v>64</v>
      </c>
      <c r="AV643" s="6" t="str">
        <f>HYPERLINK("http://mcgill.on.worldcat.org/oclc/865160947","Catalog Record")</f>
        <v>Catalog Record</v>
      </c>
      <c r="AW643" s="6" t="str">
        <f>HYPERLINK("http://www.worldcat.org/oclc/865160947","WorldCat Record")</f>
        <v>WorldCat Record</v>
      </c>
      <c r="AX643" s="3" t="s">
        <v>6273</v>
      </c>
      <c r="AY643" s="3" t="s">
        <v>6274</v>
      </c>
      <c r="AZ643" s="3" t="s">
        <v>6275</v>
      </c>
      <c r="BA643" s="3" t="s">
        <v>6275</v>
      </c>
      <c r="BB643" s="3" t="s">
        <v>6279</v>
      </c>
      <c r="BC643" s="3" t="s">
        <v>77</v>
      </c>
      <c r="BD643" s="3" t="s">
        <v>78</v>
      </c>
      <c r="BE643" s="3" t="s">
        <v>6277</v>
      </c>
      <c r="BF643" s="3" t="s">
        <v>6279</v>
      </c>
      <c r="BG643" s="3" t="s">
        <v>6280</v>
      </c>
      <c r="BH643">
        <f t="shared" si="20"/>
        <v>0</v>
      </c>
    </row>
    <row r="644" spans="1:60" ht="58" x14ac:dyDescent="0.35">
      <c r="A644" s="2" t="s">
        <v>59</v>
      </c>
      <c r="B644" s="2" t="s">
        <v>60</v>
      </c>
      <c r="C644" s="2" t="s">
        <v>6267</v>
      </c>
      <c r="D644" s="2" t="s">
        <v>6268</v>
      </c>
      <c r="E644" s="2" t="s">
        <v>6269</v>
      </c>
      <c r="F644" s="3" t="s">
        <v>525</v>
      </c>
      <c r="G644" s="3" t="s">
        <v>128</v>
      </c>
      <c r="I644" s="3" t="s">
        <v>64</v>
      </c>
      <c r="J644" s="3" t="s">
        <v>64</v>
      </c>
      <c r="K644" s="3" t="s">
        <v>65</v>
      </c>
      <c r="M644" s="2" t="s">
        <v>6270</v>
      </c>
      <c r="N644" s="3" t="s">
        <v>1075</v>
      </c>
      <c r="O644" s="2" t="s">
        <v>117</v>
      </c>
      <c r="P644" s="3" t="s">
        <v>102</v>
      </c>
      <c r="R644" s="3" t="s">
        <v>70</v>
      </c>
      <c r="S644" s="4">
        <v>1</v>
      </c>
      <c r="T644" s="4">
        <v>4</v>
      </c>
      <c r="U644" s="5" t="s">
        <v>6271</v>
      </c>
      <c r="V644" s="5" t="s">
        <v>6272</v>
      </c>
      <c r="W644" s="5" t="s">
        <v>72</v>
      </c>
      <c r="X644" s="5" t="s">
        <v>72</v>
      </c>
      <c r="Y644" s="4">
        <v>120</v>
      </c>
      <c r="Z644" s="4">
        <v>9</v>
      </c>
      <c r="AA644" s="4">
        <v>19</v>
      </c>
      <c r="AB644" s="4">
        <v>1</v>
      </c>
      <c r="AC644" s="4">
        <v>2</v>
      </c>
      <c r="AD644" s="4">
        <v>47</v>
      </c>
      <c r="AE644" s="4">
        <v>61</v>
      </c>
      <c r="AF644" s="4">
        <v>0</v>
      </c>
      <c r="AG644" s="4">
        <v>0</v>
      </c>
      <c r="AH644" s="4">
        <v>44</v>
      </c>
      <c r="AI644" s="4">
        <v>52</v>
      </c>
      <c r="AJ644" s="4">
        <v>6</v>
      </c>
      <c r="AK644" s="4">
        <v>11</v>
      </c>
      <c r="AL644" s="4">
        <v>31</v>
      </c>
      <c r="AM644" s="4">
        <v>33</v>
      </c>
      <c r="AN644" s="4">
        <v>0</v>
      </c>
      <c r="AO644" s="4">
        <v>0</v>
      </c>
      <c r="AP644" s="4">
        <v>6</v>
      </c>
      <c r="AQ644" s="4">
        <v>15</v>
      </c>
      <c r="AR644" s="3" t="s">
        <v>64</v>
      </c>
      <c r="AS644" s="3" t="s">
        <v>64</v>
      </c>
      <c r="AT644" s="3" t="s">
        <v>64</v>
      </c>
      <c r="AV644" s="6" t="str">
        <f>HYPERLINK("http://mcgill.on.worldcat.org/oclc/865160947","Catalog Record")</f>
        <v>Catalog Record</v>
      </c>
      <c r="AW644" s="6" t="str">
        <f>HYPERLINK("http://www.worldcat.org/oclc/865160947","WorldCat Record")</f>
        <v>WorldCat Record</v>
      </c>
      <c r="AX644" s="3" t="s">
        <v>6273</v>
      </c>
      <c r="AY644" s="3" t="s">
        <v>6274</v>
      </c>
      <c r="AZ644" s="3" t="s">
        <v>6275</v>
      </c>
      <c r="BA644" s="3" t="s">
        <v>6275</v>
      </c>
      <c r="BB644" s="3" t="s">
        <v>6281</v>
      </c>
      <c r="BC644" s="3" t="s">
        <v>77</v>
      </c>
      <c r="BD644" s="3" t="s">
        <v>78</v>
      </c>
      <c r="BE644" s="3" t="s">
        <v>6277</v>
      </c>
      <c r="BF644" s="3" t="s">
        <v>6281</v>
      </c>
      <c r="BG644" s="3" t="s">
        <v>6282</v>
      </c>
      <c r="BH644">
        <f t="shared" si="20"/>
        <v>0</v>
      </c>
    </row>
    <row r="645" spans="1:60" ht="58" x14ac:dyDescent="0.35">
      <c r="A645" s="2" t="s">
        <v>59</v>
      </c>
      <c r="B645" s="2" t="s">
        <v>60</v>
      </c>
      <c r="C645" s="2" t="s">
        <v>6283</v>
      </c>
      <c r="D645" s="2" t="s">
        <v>6284</v>
      </c>
      <c r="E645" s="2" t="s">
        <v>6285</v>
      </c>
      <c r="G645" s="3" t="s">
        <v>64</v>
      </c>
      <c r="I645" s="3" t="s">
        <v>64</v>
      </c>
      <c r="J645" s="3" t="s">
        <v>64</v>
      </c>
      <c r="K645" s="3" t="s">
        <v>65</v>
      </c>
      <c r="L645" s="2" t="s">
        <v>6286</v>
      </c>
      <c r="M645" s="2" t="s">
        <v>6287</v>
      </c>
      <c r="N645" s="3" t="s">
        <v>86</v>
      </c>
      <c r="P645" s="3" t="s">
        <v>102</v>
      </c>
      <c r="Q645" s="2" t="s">
        <v>4419</v>
      </c>
      <c r="R645" s="3" t="s">
        <v>70</v>
      </c>
      <c r="S645" s="4">
        <v>0</v>
      </c>
      <c r="T645" s="4">
        <v>0</v>
      </c>
      <c r="W645" s="5" t="s">
        <v>72</v>
      </c>
      <c r="X645" s="5" t="s">
        <v>72</v>
      </c>
      <c r="Y645" s="4">
        <v>146</v>
      </c>
      <c r="Z645" s="4">
        <v>11</v>
      </c>
      <c r="AA645" s="4">
        <v>11</v>
      </c>
      <c r="AB645" s="4">
        <v>2</v>
      </c>
      <c r="AC645" s="4">
        <v>2</v>
      </c>
      <c r="AD645" s="4">
        <v>62</v>
      </c>
      <c r="AE645" s="4">
        <v>62</v>
      </c>
      <c r="AF645" s="4">
        <v>1</v>
      </c>
      <c r="AG645" s="4">
        <v>1</v>
      </c>
      <c r="AH645" s="4">
        <v>58</v>
      </c>
      <c r="AI645" s="4">
        <v>58</v>
      </c>
      <c r="AJ645" s="4">
        <v>8</v>
      </c>
      <c r="AK645" s="4">
        <v>8</v>
      </c>
      <c r="AL645" s="4">
        <v>35</v>
      </c>
      <c r="AM645" s="4">
        <v>35</v>
      </c>
      <c r="AN645" s="4">
        <v>0</v>
      </c>
      <c r="AO645" s="4">
        <v>0</v>
      </c>
      <c r="AP645" s="4">
        <v>8</v>
      </c>
      <c r="AQ645" s="4">
        <v>8</v>
      </c>
      <c r="AR645" s="3" t="s">
        <v>64</v>
      </c>
      <c r="AS645" s="3" t="s">
        <v>64</v>
      </c>
      <c r="AT645" s="3" t="s">
        <v>128</v>
      </c>
      <c r="AU645" s="6" t="str">
        <f>HYPERLINK("http://catalog.hathitrust.org/Record/012332628","HathiTrust Record")</f>
        <v>HathiTrust Record</v>
      </c>
      <c r="AV645" s="6" t="str">
        <f>HYPERLINK("http://mcgill.on.worldcat.org/oclc/754518522","Catalog Record")</f>
        <v>Catalog Record</v>
      </c>
      <c r="AW645" s="6" t="str">
        <f>HYPERLINK("http://www.worldcat.org/oclc/754518522","WorldCat Record")</f>
        <v>WorldCat Record</v>
      </c>
      <c r="AX645" s="3" t="s">
        <v>6288</v>
      </c>
      <c r="AY645" s="3" t="s">
        <v>6289</v>
      </c>
      <c r="AZ645" s="3" t="s">
        <v>6290</v>
      </c>
      <c r="BA645" s="3" t="s">
        <v>6290</v>
      </c>
      <c r="BB645" s="3" t="s">
        <v>6291</v>
      </c>
      <c r="BC645" s="3" t="s">
        <v>77</v>
      </c>
      <c r="BD645" s="3" t="s">
        <v>78</v>
      </c>
      <c r="BE645" s="3" t="s">
        <v>6292</v>
      </c>
      <c r="BF645" s="3" t="s">
        <v>6291</v>
      </c>
      <c r="BG645" s="3" t="s">
        <v>6293</v>
      </c>
      <c r="BH645">
        <f t="shared" si="20"/>
        <v>0</v>
      </c>
    </row>
    <row r="646" spans="1:60" ht="72.5" x14ac:dyDescent="0.35">
      <c r="A646" s="2" t="s">
        <v>59</v>
      </c>
      <c r="B646" s="2" t="s">
        <v>60</v>
      </c>
      <c r="C646" s="2" t="s">
        <v>6294</v>
      </c>
      <c r="D646" s="2" t="s">
        <v>6295</v>
      </c>
      <c r="E646" s="2" t="s">
        <v>6296</v>
      </c>
      <c r="G646" s="3" t="s">
        <v>64</v>
      </c>
      <c r="I646" s="3" t="s">
        <v>64</v>
      </c>
      <c r="J646" s="3" t="s">
        <v>64</v>
      </c>
      <c r="K646" s="3" t="s">
        <v>65</v>
      </c>
      <c r="L646" s="2" t="s">
        <v>6297</v>
      </c>
      <c r="M646" s="2" t="s">
        <v>6298</v>
      </c>
      <c r="N646" s="3" t="s">
        <v>86</v>
      </c>
      <c r="P646" s="3" t="s">
        <v>102</v>
      </c>
      <c r="R646" s="3" t="s">
        <v>70</v>
      </c>
      <c r="S646" s="4">
        <v>0</v>
      </c>
      <c r="T646" s="4">
        <v>0</v>
      </c>
      <c r="W646" s="5" t="s">
        <v>72</v>
      </c>
      <c r="X646" s="5" t="s">
        <v>72</v>
      </c>
      <c r="Y646" s="4">
        <v>29</v>
      </c>
      <c r="Z646" s="4">
        <v>1</v>
      </c>
      <c r="AA646" s="4">
        <v>4</v>
      </c>
      <c r="AB646" s="4">
        <v>1</v>
      </c>
      <c r="AC646" s="4">
        <v>1</v>
      </c>
      <c r="AD646" s="4">
        <v>16</v>
      </c>
      <c r="AE646" s="4">
        <v>25</v>
      </c>
      <c r="AF646" s="4">
        <v>0</v>
      </c>
      <c r="AG646" s="4">
        <v>0</v>
      </c>
      <c r="AH646" s="4">
        <v>15</v>
      </c>
      <c r="AI646" s="4">
        <v>23</v>
      </c>
      <c r="AJ646" s="4">
        <v>0</v>
      </c>
      <c r="AK646" s="4">
        <v>2</v>
      </c>
      <c r="AL646" s="4">
        <v>13</v>
      </c>
      <c r="AM646" s="4">
        <v>18</v>
      </c>
      <c r="AN646" s="4">
        <v>0</v>
      </c>
      <c r="AO646" s="4">
        <v>0</v>
      </c>
      <c r="AP646" s="4">
        <v>0</v>
      </c>
      <c r="AQ646" s="4">
        <v>2</v>
      </c>
      <c r="AR646" s="3" t="s">
        <v>64</v>
      </c>
      <c r="AS646" s="3" t="s">
        <v>64</v>
      </c>
      <c r="AT646" s="3" t="s">
        <v>64</v>
      </c>
      <c r="AV646" s="6" t="str">
        <f>HYPERLINK("http://mcgill.on.worldcat.org/oclc/851283362","Catalog Record")</f>
        <v>Catalog Record</v>
      </c>
      <c r="AW646" s="6" t="str">
        <f>HYPERLINK("http://www.worldcat.org/oclc/851283362","WorldCat Record")</f>
        <v>WorldCat Record</v>
      </c>
      <c r="AX646" s="3" t="s">
        <v>6299</v>
      </c>
      <c r="AY646" s="3" t="s">
        <v>6300</v>
      </c>
      <c r="AZ646" s="3" t="s">
        <v>6301</v>
      </c>
      <c r="BA646" s="3" t="s">
        <v>6301</v>
      </c>
      <c r="BB646" s="3" t="s">
        <v>6302</v>
      </c>
      <c r="BC646" s="3" t="s">
        <v>77</v>
      </c>
      <c r="BD646" s="3" t="s">
        <v>78</v>
      </c>
      <c r="BE646" s="3" t="s">
        <v>6303</v>
      </c>
      <c r="BF646" s="3" t="s">
        <v>6302</v>
      </c>
      <c r="BG646" s="3" t="s">
        <v>6304</v>
      </c>
      <c r="BH646">
        <f t="shared" si="20"/>
        <v>0</v>
      </c>
    </row>
    <row r="647" spans="1:60" ht="72.5" x14ac:dyDescent="0.35">
      <c r="A647" s="2" t="s">
        <v>59</v>
      </c>
      <c r="B647" s="2" t="s">
        <v>6305</v>
      </c>
      <c r="C647" s="2" t="s">
        <v>6306</v>
      </c>
      <c r="D647" s="2" t="s">
        <v>6307</v>
      </c>
      <c r="E647" s="2" t="s">
        <v>6308</v>
      </c>
      <c r="G647" s="3" t="s">
        <v>64</v>
      </c>
      <c r="I647" s="3" t="s">
        <v>128</v>
      </c>
      <c r="J647" s="3" t="s">
        <v>64</v>
      </c>
      <c r="K647" s="3" t="s">
        <v>65</v>
      </c>
      <c r="L647" s="2" t="s">
        <v>6309</v>
      </c>
      <c r="M647" s="2" t="s">
        <v>6310</v>
      </c>
      <c r="N647" s="3" t="s">
        <v>116</v>
      </c>
      <c r="P647" s="3" t="s">
        <v>102</v>
      </c>
      <c r="Q647" s="2" t="s">
        <v>6311</v>
      </c>
      <c r="R647" s="3" t="s">
        <v>70</v>
      </c>
      <c r="S647" s="4">
        <v>3</v>
      </c>
      <c r="T647" s="4">
        <v>3</v>
      </c>
      <c r="U647" s="5" t="s">
        <v>6312</v>
      </c>
      <c r="V647" s="5" t="s">
        <v>6312</v>
      </c>
      <c r="W647" s="5" t="s">
        <v>72</v>
      </c>
      <c r="X647" s="5" t="s">
        <v>72</v>
      </c>
      <c r="Y647" s="4">
        <v>65</v>
      </c>
      <c r="Z647" s="4">
        <v>5</v>
      </c>
      <c r="AA647" s="4">
        <v>5</v>
      </c>
      <c r="AB647" s="4">
        <v>2</v>
      </c>
      <c r="AC647" s="4">
        <v>2</v>
      </c>
      <c r="AD647" s="4">
        <v>23</v>
      </c>
      <c r="AE647" s="4">
        <v>23</v>
      </c>
      <c r="AF647" s="4">
        <v>0</v>
      </c>
      <c r="AG647" s="4">
        <v>0</v>
      </c>
      <c r="AH647" s="4">
        <v>23</v>
      </c>
      <c r="AI647" s="4">
        <v>23</v>
      </c>
      <c r="AJ647" s="4">
        <v>2</v>
      </c>
      <c r="AK647" s="4">
        <v>2</v>
      </c>
      <c r="AL647" s="4">
        <v>16</v>
      </c>
      <c r="AM647" s="4">
        <v>16</v>
      </c>
      <c r="AN647" s="4">
        <v>0</v>
      </c>
      <c r="AO647" s="4">
        <v>0</v>
      </c>
      <c r="AP647" s="4">
        <v>2</v>
      </c>
      <c r="AQ647" s="4">
        <v>2</v>
      </c>
      <c r="AR647" s="3" t="s">
        <v>64</v>
      </c>
      <c r="AS647" s="3" t="s">
        <v>64</v>
      </c>
      <c r="AT647" s="3" t="s">
        <v>64</v>
      </c>
      <c r="AV647" s="6" t="str">
        <f>HYPERLINK("http://mcgill.on.worldcat.org/oclc/56731385","Catalog Record")</f>
        <v>Catalog Record</v>
      </c>
      <c r="AW647" s="6" t="str">
        <f>HYPERLINK("http://www.worldcat.org/oclc/56731385","WorldCat Record")</f>
        <v>WorldCat Record</v>
      </c>
      <c r="AX647" s="3" t="s">
        <v>6313</v>
      </c>
      <c r="AY647" s="3" t="s">
        <v>6314</v>
      </c>
      <c r="AZ647" s="3" t="s">
        <v>6315</v>
      </c>
      <c r="BA647" s="3" t="s">
        <v>6315</v>
      </c>
      <c r="BB647" s="3" t="s">
        <v>6316</v>
      </c>
      <c r="BC647" s="3" t="s">
        <v>77</v>
      </c>
      <c r="BD647" s="3" t="s">
        <v>78</v>
      </c>
      <c r="BE647" s="3" t="s">
        <v>6317</v>
      </c>
      <c r="BF647" s="3" t="s">
        <v>6316</v>
      </c>
      <c r="BG647" s="3" t="s">
        <v>6318</v>
      </c>
      <c r="BH647">
        <f t="shared" si="20"/>
        <v>0</v>
      </c>
    </row>
    <row r="648" spans="1:60" ht="58" x14ac:dyDescent="0.35">
      <c r="A648" s="2" t="s">
        <v>59</v>
      </c>
      <c r="B648" s="2" t="s">
        <v>6305</v>
      </c>
      <c r="C648" s="2" t="s">
        <v>6319</v>
      </c>
      <c r="D648" s="2" t="s">
        <v>6320</v>
      </c>
      <c r="E648" s="2" t="s">
        <v>6321</v>
      </c>
      <c r="G648" s="3" t="s">
        <v>64</v>
      </c>
      <c r="I648" s="3" t="s">
        <v>64</v>
      </c>
      <c r="J648" s="3" t="s">
        <v>64</v>
      </c>
      <c r="K648" s="3" t="s">
        <v>65</v>
      </c>
      <c r="L648" s="2" t="s">
        <v>6322</v>
      </c>
      <c r="M648" s="2" t="s">
        <v>6323</v>
      </c>
      <c r="N648" s="3" t="s">
        <v>6324</v>
      </c>
      <c r="P648" s="3" t="s">
        <v>102</v>
      </c>
      <c r="Q648" s="2" t="s">
        <v>6325</v>
      </c>
      <c r="R648" s="3" t="s">
        <v>70</v>
      </c>
      <c r="S648" s="4">
        <v>5</v>
      </c>
      <c r="T648" s="4">
        <v>5</v>
      </c>
      <c r="U648" s="5" t="s">
        <v>6312</v>
      </c>
      <c r="V648" s="5" t="s">
        <v>6312</v>
      </c>
      <c r="W648" s="5" t="s">
        <v>72</v>
      </c>
      <c r="X648" s="5" t="s">
        <v>72</v>
      </c>
      <c r="Y648" s="4">
        <v>536</v>
      </c>
      <c r="Z648" s="4">
        <v>30</v>
      </c>
      <c r="AA648" s="4">
        <v>34</v>
      </c>
      <c r="AB648" s="4">
        <v>2</v>
      </c>
      <c r="AC648" s="4">
        <v>4</v>
      </c>
      <c r="AD648" s="4">
        <v>119</v>
      </c>
      <c r="AE648" s="4">
        <v>123</v>
      </c>
      <c r="AF648" s="4">
        <v>1</v>
      </c>
      <c r="AG648" s="4">
        <v>3</v>
      </c>
      <c r="AH648" s="4">
        <v>104</v>
      </c>
      <c r="AI648" s="4">
        <v>105</v>
      </c>
      <c r="AJ648" s="4">
        <v>17</v>
      </c>
      <c r="AK648" s="4">
        <v>21</v>
      </c>
      <c r="AL648" s="4">
        <v>55</v>
      </c>
      <c r="AM648" s="4">
        <v>55</v>
      </c>
      <c r="AN648" s="4">
        <v>0</v>
      </c>
      <c r="AO648" s="4">
        <v>3</v>
      </c>
      <c r="AP648" s="4">
        <v>23</v>
      </c>
      <c r="AQ648" s="4">
        <v>25</v>
      </c>
      <c r="AR648" s="3" t="s">
        <v>64</v>
      </c>
      <c r="AS648" s="3" t="s">
        <v>64</v>
      </c>
      <c r="AT648" s="3" t="s">
        <v>128</v>
      </c>
      <c r="AU648" s="6" t="str">
        <f>HYPERLINK("http://catalog.hathitrust.org/Record/001160543","HathiTrust Record")</f>
        <v>HathiTrust Record</v>
      </c>
      <c r="AV648" s="6" t="str">
        <f>HYPERLINK("http://mcgill.on.worldcat.org/oclc/575888","Catalog Record")</f>
        <v>Catalog Record</v>
      </c>
      <c r="AW648" s="6" t="str">
        <f>HYPERLINK("http://www.worldcat.org/oclc/575888","WorldCat Record")</f>
        <v>WorldCat Record</v>
      </c>
      <c r="AX648" s="3" t="s">
        <v>6326</v>
      </c>
      <c r="AY648" s="3" t="s">
        <v>6327</v>
      </c>
      <c r="AZ648" s="3" t="s">
        <v>6328</v>
      </c>
      <c r="BA648" s="3" t="s">
        <v>6328</v>
      </c>
      <c r="BB648" s="3" t="s">
        <v>6329</v>
      </c>
      <c r="BC648" s="3" t="s">
        <v>77</v>
      </c>
      <c r="BD648" s="3" t="s">
        <v>78</v>
      </c>
      <c r="BF648" s="3" t="s">
        <v>6329</v>
      </c>
      <c r="BG648" s="3" t="s">
        <v>6330</v>
      </c>
      <c r="BH648">
        <f t="shared" si="20"/>
        <v>0</v>
      </c>
    </row>
    <row r="649" spans="1:60" ht="72.5" x14ac:dyDescent="0.35">
      <c r="A649" s="2" t="s">
        <v>59</v>
      </c>
      <c r="B649" s="2" t="s">
        <v>60</v>
      </c>
      <c r="C649" s="2" t="s">
        <v>6331</v>
      </c>
      <c r="D649" s="2" t="s">
        <v>6332</v>
      </c>
      <c r="E649" s="2" t="s">
        <v>6333</v>
      </c>
      <c r="G649" s="3" t="s">
        <v>64</v>
      </c>
      <c r="I649" s="3" t="s">
        <v>64</v>
      </c>
      <c r="J649" s="3" t="s">
        <v>64</v>
      </c>
      <c r="K649" s="3" t="s">
        <v>65</v>
      </c>
      <c r="L649" s="2" t="s">
        <v>6334</v>
      </c>
      <c r="M649" s="2" t="s">
        <v>6335</v>
      </c>
      <c r="N649" s="3" t="s">
        <v>67</v>
      </c>
      <c r="P649" s="3" t="s">
        <v>102</v>
      </c>
      <c r="Q649" s="2" t="s">
        <v>6336</v>
      </c>
      <c r="R649" s="3" t="s">
        <v>70</v>
      </c>
      <c r="S649" s="4">
        <v>0</v>
      </c>
      <c r="T649" s="4">
        <v>0</v>
      </c>
      <c r="W649" s="5" t="s">
        <v>72</v>
      </c>
      <c r="X649" s="5" t="s">
        <v>72</v>
      </c>
      <c r="Y649" s="4">
        <v>128</v>
      </c>
      <c r="Z649" s="4">
        <v>9</v>
      </c>
      <c r="AA649" s="4">
        <v>9</v>
      </c>
      <c r="AB649" s="4">
        <v>1</v>
      </c>
      <c r="AC649" s="4">
        <v>1</v>
      </c>
      <c r="AD649" s="4">
        <v>65</v>
      </c>
      <c r="AE649" s="4">
        <v>65</v>
      </c>
      <c r="AF649" s="4">
        <v>0</v>
      </c>
      <c r="AG649" s="4">
        <v>0</v>
      </c>
      <c r="AH649" s="4">
        <v>60</v>
      </c>
      <c r="AI649" s="4">
        <v>60</v>
      </c>
      <c r="AJ649" s="4">
        <v>8</v>
      </c>
      <c r="AK649" s="4">
        <v>8</v>
      </c>
      <c r="AL649" s="4">
        <v>38</v>
      </c>
      <c r="AM649" s="4">
        <v>38</v>
      </c>
      <c r="AN649" s="4">
        <v>0</v>
      </c>
      <c r="AO649" s="4">
        <v>0</v>
      </c>
      <c r="AP649" s="4">
        <v>8</v>
      </c>
      <c r="AQ649" s="4">
        <v>8</v>
      </c>
      <c r="AR649" s="3" t="s">
        <v>64</v>
      </c>
      <c r="AS649" s="3" t="s">
        <v>64</v>
      </c>
      <c r="AT649" s="3" t="s">
        <v>64</v>
      </c>
      <c r="AV649" s="6" t="str">
        <f>HYPERLINK("http://mcgill.on.worldcat.org/oclc/893721597","Catalog Record")</f>
        <v>Catalog Record</v>
      </c>
      <c r="AW649" s="6" t="str">
        <f>HYPERLINK("http://www.worldcat.org/oclc/893721597","WorldCat Record")</f>
        <v>WorldCat Record</v>
      </c>
      <c r="AX649" s="3" t="s">
        <v>6337</v>
      </c>
      <c r="AY649" s="3" t="s">
        <v>6338</v>
      </c>
      <c r="AZ649" s="3" t="s">
        <v>6339</v>
      </c>
      <c r="BA649" s="3" t="s">
        <v>6339</v>
      </c>
      <c r="BB649" s="3" t="s">
        <v>6340</v>
      </c>
      <c r="BC649" s="3" t="s">
        <v>77</v>
      </c>
      <c r="BD649" s="3" t="s">
        <v>78</v>
      </c>
      <c r="BE649" s="3" t="s">
        <v>6341</v>
      </c>
      <c r="BF649" s="3" t="s">
        <v>6340</v>
      </c>
      <c r="BG649" s="3" t="s">
        <v>6342</v>
      </c>
      <c r="BH649">
        <f t="shared" si="20"/>
        <v>0</v>
      </c>
    </row>
    <row r="650" spans="1:60" ht="58" x14ac:dyDescent="0.35">
      <c r="A650" s="2" t="s">
        <v>59</v>
      </c>
      <c r="B650" s="2" t="s">
        <v>60</v>
      </c>
      <c r="C650" s="2" t="s">
        <v>6343</v>
      </c>
      <c r="D650" s="2" t="s">
        <v>6344</v>
      </c>
      <c r="E650" s="2" t="s">
        <v>6345</v>
      </c>
      <c r="G650" s="3" t="s">
        <v>64</v>
      </c>
      <c r="I650" s="3" t="s">
        <v>64</v>
      </c>
      <c r="J650" s="3" t="s">
        <v>64</v>
      </c>
      <c r="K650" s="3" t="s">
        <v>65</v>
      </c>
      <c r="L650" s="2" t="s">
        <v>6346</v>
      </c>
      <c r="M650" s="2" t="s">
        <v>6347</v>
      </c>
      <c r="N650" s="3" t="s">
        <v>291</v>
      </c>
      <c r="P650" s="3" t="s">
        <v>102</v>
      </c>
      <c r="R650" s="3" t="s">
        <v>70</v>
      </c>
      <c r="S650" s="4">
        <v>5</v>
      </c>
      <c r="T650" s="4">
        <v>5</v>
      </c>
      <c r="U650" s="5" t="s">
        <v>500</v>
      </c>
      <c r="V650" s="5" t="s">
        <v>500</v>
      </c>
      <c r="W650" s="5" t="s">
        <v>72</v>
      </c>
      <c r="X650" s="5" t="s">
        <v>72</v>
      </c>
      <c r="Y650" s="4">
        <v>287</v>
      </c>
      <c r="Z650" s="4">
        <v>18</v>
      </c>
      <c r="AA650" s="4">
        <v>20</v>
      </c>
      <c r="AB650" s="4">
        <v>4</v>
      </c>
      <c r="AC650" s="4">
        <v>5</v>
      </c>
      <c r="AD650" s="4">
        <v>66</v>
      </c>
      <c r="AE650" s="4">
        <v>68</v>
      </c>
      <c r="AF650" s="4">
        <v>1</v>
      </c>
      <c r="AG650" s="4">
        <v>2</v>
      </c>
      <c r="AH650" s="4">
        <v>59</v>
      </c>
      <c r="AI650" s="4">
        <v>59</v>
      </c>
      <c r="AJ650" s="4">
        <v>6</v>
      </c>
      <c r="AK650" s="4">
        <v>8</v>
      </c>
      <c r="AL650" s="4">
        <v>37</v>
      </c>
      <c r="AM650" s="4">
        <v>37</v>
      </c>
      <c r="AN650" s="4">
        <v>0</v>
      </c>
      <c r="AO650" s="4">
        <v>0</v>
      </c>
      <c r="AP650" s="4">
        <v>8</v>
      </c>
      <c r="AQ650" s="4">
        <v>10</v>
      </c>
      <c r="AR650" s="3" t="s">
        <v>64</v>
      </c>
      <c r="AS650" s="3" t="s">
        <v>64</v>
      </c>
      <c r="AT650" s="3" t="s">
        <v>64</v>
      </c>
      <c r="AV650" s="6" t="str">
        <f>HYPERLINK("http://mcgill.on.worldcat.org/oclc/75713727","Catalog Record")</f>
        <v>Catalog Record</v>
      </c>
      <c r="AW650" s="6" t="str">
        <f>HYPERLINK("http://www.worldcat.org/oclc/75713727","WorldCat Record")</f>
        <v>WorldCat Record</v>
      </c>
      <c r="AX650" s="3" t="s">
        <v>6348</v>
      </c>
      <c r="AY650" s="3" t="s">
        <v>6349</v>
      </c>
      <c r="AZ650" s="3" t="s">
        <v>6350</v>
      </c>
      <c r="BA650" s="3" t="s">
        <v>6350</v>
      </c>
      <c r="BB650" s="3" t="s">
        <v>6351</v>
      </c>
      <c r="BC650" s="3" t="s">
        <v>77</v>
      </c>
      <c r="BD650" s="3" t="s">
        <v>78</v>
      </c>
      <c r="BE650" s="3" t="s">
        <v>6352</v>
      </c>
      <c r="BF650" s="3" t="s">
        <v>6351</v>
      </c>
      <c r="BG650" s="3" t="s">
        <v>6353</v>
      </c>
      <c r="BH650">
        <f t="shared" si="20"/>
        <v>0</v>
      </c>
    </row>
    <row r="651" spans="1:60" ht="58" x14ac:dyDescent="0.35">
      <c r="A651" s="2" t="s">
        <v>59</v>
      </c>
      <c r="B651" s="2" t="s">
        <v>60</v>
      </c>
      <c r="C651" s="2" t="s">
        <v>6354</v>
      </c>
      <c r="D651" s="2" t="s">
        <v>6355</v>
      </c>
      <c r="E651" s="2" t="s">
        <v>6356</v>
      </c>
      <c r="G651" s="3" t="s">
        <v>64</v>
      </c>
      <c r="I651" s="3" t="s">
        <v>64</v>
      </c>
      <c r="J651" s="3" t="s">
        <v>64</v>
      </c>
      <c r="K651" s="3" t="s">
        <v>65</v>
      </c>
      <c r="M651" s="2" t="s">
        <v>6357</v>
      </c>
      <c r="N651" s="3" t="s">
        <v>578</v>
      </c>
      <c r="P651" s="3" t="s">
        <v>365</v>
      </c>
      <c r="Q651" s="2" t="s">
        <v>6358</v>
      </c>
      <c r="R651" s="3" t="s">
        <v>70</v>
      </c>
      <c r="S651" s="4">
        <v>0</v>
      </c>
      <c r="T651" s="4">
        <v>0</v>
      </c>
      <c r="W651" s="5" t="s">
        <v>72</v>
      </c>
      <c r="X651" s="5" t="s">
        <v>72</v>
      </c>
      <c r="Y651" s="4">
        <v>39</v>
      </c>
      <c r="Z651" s="4">
        <v>1</v>
      </c>
      <c r="AA651" s="4">
        <v>1</v>
      </c>
      <c r="AB651" s="4">
        <v>1</v>
      </c>
      <c r="AC651" s="4">
        <v>1</v>
      </c>
      <c r="AD651" s="4">
        <v>19</v>
      </c>
      <c r="AE651" s="4">
        <v>19</v>
      </c>
      <c r="AF651" s="4">
        <v>0</v>
      </c>
      <c r="AG651" s="4">
        <v>0</v>
      </c>
      <c r="AH651" s="4">
        <v>18</v>
      </c>
      <c r="AI651" s="4">
        <v>18</v>
      </c>
      <c r="AJ651" s="4">
        <v>0</v>
      </c>
      <c r="AK651" s="4">
        <v>0</v>
      </c>
      <c r="AL651" s="4">
        <v>16</v>
      </c>
      <c r="AM651" s="4">
        <v>16</v>
      </c>
      <c r="AN651" s="4">
        <v>0</v>
      </c>
      <c r="AO651" s="4">
        <v>0</v>
      </c>
      <c r="AP651" s="4">
        <v>0</v>
      </c>
      <c r="AQ651" s="4">
        <v>0</v>
      </c>
      <c r="AR651" s="3" t="s">
        <v>64</v>
      </c>
      <c r="AS651" s="3" t="s">
        <v>64</v>
      </c>
      <c r="AT651" s="3" t="s">
        <v>64</v>
      </c>
      <c r="AV651" s="6" t="str">
        <f>HYPERLINK("http://mcgill.on.worldcat.org/oclc/986400556","Catalog Record")</f>
        <v>Catalog Record</v>
      </c>
      <c r="AW651" s="6" t="str">
        <f>HYPERLINK("http://www.worldcat.org/oclc/986400556","WorldCat Record")</f>
        <v>WorldCat Record</v>
      </c>
      <c r="AX651" s="3" t="s">
        <v>6359</v>
      </c>
      <c r="AY651" s="3" t="s">
        <v>6360</v>
      </c>
      <c r="AZ651" s="3" t="s">
        <v>6361</v>
      </c>
      <c r="BA651" s="3" t="s">
        <v>6361</v>
      </c>
      <c r="BB651" s="3" t="s">
        <v>6362</v>
      </c>
      <c r="BC651" s="3" t="s">
        <v>77</v>
      </c>
      <c r="BD651" s="3" t="s">
        <v>78</v>
      </c>
      <c r="BE651" s="3" t="s">
        <v>6363</v>
      </c>
      <c r="BF651" s="3" t="s">
        <v>6362</v>
      </c>
      <c r="BG651" s="3" t="s">
        <v>6364</v>
      </c>
      <c r="BH651">
        <f t="shared" si="20"/>
        <v>0</v>
      </c>
    </row>
    <row r="652" spans="1:60" ht="58" x14ac:dyDescent="0.35">
      <c r="A652" s="2" t="s">
        <v>59</v>
      </c>
      <c r="B652" s="2" t="s">
        <v>60</v>
      </c>
      <c r="C652" s="2" t="s">
        <v>6365</v>
      </c>
      <c r="D652" s="2" t="s">
        <v>6366</v>
      </c>
      <c r="E652" s="2" t="s">
        <v>6367</v>
      </c>
      <c r="G652" s="3" t="s">
        <v>64</v>
      </c>
      <c r="I652" s="3" t="s">
        <v>64</v>
      </c>
      <c r="J652" s="3" t="s">
        <v>64</v>
      </c>
      <c r="K652" s="3" t="s">
        <v>65</v>
      </c>
      <c r="L652" s="2" t="s">
        <v>6368</v>
      </c>
      <c r="M652" s="2" t="s">
        <v>6369</v>
      </c>
      <c r="N652" s="3" t="s">
        <v>326</v>
      </c>
      <c r="P652" s="3" t="s">
        <v>365</v>
      </c>
      <c r="Q652" s="2" t="s">
        <v>6370</v>
      </c>
      <c r="R652" s="3" t="s">
        <v>70</v>
      </c>
      <c r="S652" s="4">
        <v>0</v>
      </c>
      <c r="T652" s="4">
        <v>0</v>
      </c>
      <c r="W652" s="5" t="s">
        <v>72</v>
      </c>
      <c r="X652" s="5" t="s">
        <v>72</v>
      </c>
      <c r="Y652" s="4">
        <v>44</v>
      </c>
      <c r="Z652" s="4">
        <v>3</v>
      </c>
      <c r="AA652" s="4">
        <v>3</v>
      </c>
      <c r="AB652" s="4">
        <v>1</v>
      </c>
      <c r="AC652" s="4">
        <v>1</v>
      </c>
      <c r="AD652" s="4">
        <v>22</v>
      </c>
      <c r="AE652" s="4">
        <v>22</v>
      </c>
      <c r="AF652" s="4">
        <v>0</v>
      </c>
      <c r="AG652" s="4">
        <v>0</v>
      </c>
      <c r="AH652" s="4">
        <v>21</v>
      </c>
      <c r="AI652" s="4">
        <v>21</v>
      </c>
      <c r="AJ652" s="4">
        <v>1</v>
      </c>
      <c r="AK652" s="4">
        <v>1</v>
      </c>
      <c r="AL652" s="4">
        <v>19</v>
      </c>
      <c r="AM652" s="4">
        <v>19</v>
      </c>
      <c r="AN652" s="4">
        <v>0</v>
      </c>
      <c r="AO652" s="4">
        <v>0</v>
      </c>
      <c r="AP652" s="4">
        <v>1</v>
      </c>
      <c r="AQ652" s="4">
        <v>1</v>
      </c>
      <c r="AR652" s="3" t="s">
        <v>64</v>
      </c>
      <c r="AS652" s="3" t="s">
        <v>64</v>
      </c>
      <c r="AT652" s="3" t="s">
        <v>64</v>
      </c>
      <c r="AV652" s="6" t="str">
        <f>HYPERLINK("http://mcgill.on.worldcat.org/oclc/711513984","Catalog Record")</f>
        <v>Catalog Record</v>
      </c>
      <c r="AW652" s="6" t="str">
        <f>HYPERLINK("http://www.worldcat.org/oclc/711513984","WorldCat Record")</f>
        <v>WorldCat Record</v>
      </c>
      <c r="AX652" s="3" t="s">
        <v>6371</v>
      </c>
      <c r="AY652" s="3" t="s">
        <v>6372</v>
      </c>
      <c r="AZ652" s="3" t="s">
        <v>6373</v>
      </c>
      <c r="BA652" s="3" t="s">
        <v>6373</v>
      </c>
      <c r="BB652" s="3" t="s">
        <v>6374</v>
      </c>
      <c r="BC652" s="3" t="s">
        <v>77</v>
      </c>
      <c r="BD652" s="3" t="s">
        <v>78</v>
      </c>
      <c r="BE652" s="3" t="s">
        <v>6375</v>
      </c>
      <c r="BF652" s="3" t="s">
        <v>6374</v>
      </c>
      <c r="BG652" s="3" t="s">
        <v>6376</v>
      </c>
      <c r="BH652">
        <f t="shared" si="20"/>
        <v>0</v>
      </c>
    </row>
    <row r="653" spans="1:60" ht="58" x14ac:dyDescent="0.35">
      <c r="A653" s="2" t="s">
        <v>59</v>
      </c>
      <c r="B653" s="2" t="s">
        <v>60</v>
      </c>
      <c r="C653" s="2" t="s">
        <v>6377</v>
      </c>
      <c r="D653" s="2" t="s">
        <v>6378</v>
      </c>
      <c r="E653" s="2" t="s">
        <v>6379</v>
      </c>
      <c r="G653" s="3" t="s">
        <v>64</v>
      </c>
      <c r="I653" s="3" t="s">
        <v>64</v>
      </c>
      <c r="J653" s="3" t="s">
        <v>64</v>
      </c>
      <c r="K653" s="3" t="s">
        <v>65</v>
      </c>
      <c r="L653" s="2" t="s">
        <v>6380</v>
      </c>
      <c r="M653" s="2" t="s">
        <v>6381</v>
      </c>
      <c r="N653" s="3" t="s">
        <v>3330</v>
      </c>
      <c r="P653" s="3" t="s">
        <v>102</v>
      </c>
      <c r="Q653" s="2" t="s">
        <v>6382</v>
      </c>
      <c r="R653" s="3" t="s">
        <v>70</v>
      </c>
      <c r="S653" s="4">
        <v>4</v>
      </c>
      <c r="T653" s="4">
        <v>4</v>
      </c>
      <c r="U653" s="5" t="s">
        <v>6383</v>
      </c>
      <c r="V653" s="5" t="s">
        <v>6383</v>
      </c>
      <c r="W653" s="5" t="s">
        <v>72</v>
      </c>
      <c r="X653" s="5" t="s">
        <v>72</v>
      </c>
      <c r="Y653" s="4">
        <v>179</v>
      </c>
      <c r="Z653" s="4">
        <v>14</v>
      </c>
      <c r="AA653" s="4">
        <v>14</v>
      </c>
      <c r="AB653" s="4">
        <v>2</v>
      </c>
      <c r="AC653" s="4">
        <v>2</v>
      </c>
      <c r="AD653" s="4">
        <v>84</v>
      </c>
      <c r="AE653" s="4">
        <v>84</v>
      </c>
      <c r="AF653" s="4">
        <v>0</v>
      </c>
      <c r="AG653" s="4">
        <v>0</v>
      </c>
      <c r="AH653" s="4">
        <v>75</v>
      </c>
      <c r="AI653" s="4">
        <v>75</v>
      </c>
      <c r="AJ653" s="4">
        <v>11</v>
      </c>
      <c r="AK653" s="4">
        <v>11</v>
      </c>
      <c r="AL653" s="4">
        <v>47</v>
      </c>
      <c r="AM653" s="4">
        <v>47</v>
      </c>
      <c r="AN653" s="4">
        <v>0</v>
      </c>
      <c r="AO653" s="4">
        <v>0</v>
      </c>
      <c r="AP653" s="4">
        <v>11</v>
      </c>
      <c r="AQ653" s="4">
        <v>11</v>
      </c>
      <c r="AR653" s="3" t="s">
        <v>64</v>
      </c>
      <c r="AS653" s="3" t="s">
        <v>64</v>
      </c>
      <c r="AT653" s="3" t="s">
        <v>128</v>
      </c>
      <c r="AU653" s="6" t="str">
        <f>HYPERLINK("http://catalog.hathitrust.org/Record/000950632","HathiTrust Record")</f>
        <v>HathiTrust Record</v>
      </c>
      <c r="AV653" s="6" t="str">
        <f>HYPERLINK("http://mcgill.on.worldcat.org/oclc/16079678","Catalog Record")</f>
        <v>Catalog Record</v>
      </c>
      <c r="AW653" s="6" t="str">
        <f>HYPERLINK("http://www.worldcat.org/oclc/16079678","WorldCat Record")</f>
        <v>WorldCat Record</v>
      </c>
      <c r="AX653" s="3" t="s">
        <v>6384</v>
      </c>
      <c r="AY653" s="3" t="s">
        <v>6385</v>
      </c>
      <c r="AZ653" s="3" t="s">
        <v>6386</v>
      </c>
      <c r="BA653" s="3" t="s">
        <v>6386</v>
      </c>
      <c r="BB653" s="3" t="s">
        <v>6387</v>
      </c>
      <c r="BC653" s="3" t="s">
        <v>77</v>
      </c>
      <c r="BD653" s="3" t="s">
        <v>78</v>
      </c>
      <c r="BE653" s="3" t="s">
        <v>6388</v>
      </c>
      <c r="BF653" s="3" t="s">
        <v>6387</v>
      </c>
      <c r="BG653" s="3" t="s">
        <v>6389</v>
      </c>
      <c r="BH653">
        <f t="shared" si="20"/>
        <v>0</v>
      </c>
    </row>
    <row r="654" spans="1:60" ht="58" x14ac:dyDescent="0.35">
      <c r="A654" s="2" t="s">
        <v>59</v>
      </c>
      <c r="B654" s="2" t="s">
        <v>60</v>
      </c>
      <c r="C654" s="2" t="s">
        <v>6390</v>
      </c>
      <c r="D654" s="2" t="s">
        <v>6391</v>
      </c>
      <c r="E654" s="2" t="s">
        <v>6392</v>
      </c>
      <c r="G654" s="3" t="s">
        <v>64</v>
      </c>
      <c r="I654" s="3" t="s">
        <v>64</v>
      </c>
      <c r="J654" s="3" t="s">
        <v>64</v>
      </c>
      <c r="K654" s="3" t="s">
        <v>65</v>
      </c>
      <c r="L654" s="2" t="s">
        <v>6393</v>
      </c>
      <c r="M654" s="2" t="s">
        <v>6394</v>
      </c>
      <c r="N654" s="3" t="s">
        <v>1615</v>
      </c>
      <c r="P654" s="3" t="s">
        <v>102</v>
      </c>
      <c r="R654" s="3" t="s">
        <v>70</v>
      </c>
      <c r="S654" s="4">
        <v>14</v>
      </c>
      <c r="T654" s="4">
        <v>14</v>
      </c>
      <c r="U654" s="5" t="s">
        <v>6395</v>
      </c>
      <c r="V654" s="5" t="s">
        <v>6395</v>
      </c>
      <c r="W654" s="5" t="s">
        <v>72</v>
      </c>
      <c r="X654" s="5" t="s">
        <v>72</v>
      </c>
      <c r="Y654" s="4">
        <v>213</v>
      </c>
      <c r="Z654" s="4">
        <v>15</v>
      </c>
      <c r="AA654" s="4">
        <v>15</v>
      </c>
      <c r="AB654" s="4">
        <v>1</v>
      </c>
      <c r="AC654" s="4">
        <v>1</v>
      </c>
      <c r="AD654" s="4">
        <v>87</v>
      </c>
      <c r="AE654" s="4">
        <v>87</v>
      </c>
      <c r="AF654" s="4">
        <v>0</v>
      </c>
      <c r="AG654" s="4">
        <v>0</v>
      </c>
      <c r="AH654" s="4">
        <v>81</v>
      </c>
      <c r="AI654" s="4">
        <v>81</v>
      </c>
      <c r="AJ654" s="4">
        <v>11</v>
      </c>
      <c r="AK654" s="4">
        <v>11</v>
      </c>
      <c r="AL654" s="4">
        <v>45</v>
      </c>
      <c r="AM654" s="4">
        <v>45</v>
      </c>
      <c r="AN654" s="4">
        <v>0</v>
      </c>
      <c r="AO654" s="4">
        <v>0</v>
      </c>
      <c r="AP654" s="4">
        <v>12</v>
      </c>
      <c r="AQ654" s="4">
        <v>12</v>
      </c>
      <c r="AR654" s="3" t="s">
        <v>64</v>
      </c>
      <c r="AS654" s="3" t="s">
        <v>64</v>
      </c>
      <c r="AT654" s="3" t="s">
        <v>64</v>
      </c>
      <c r="AV654" s="6" t="str">
        <f>HYPERLINK("http://mcgill.on.worldcat.org/oclc/34174111","Catalog Record")</f>
        <v>Catalog Record</v>
      </c>
      <c r="AW654" s="6" t="str">
        <f>HYPERLINK("http://www.worldcat.org/oclc/34174111","WorldCat Record")</f>
        <v>WorldCat Record</v>
      </c>
      <c r="AX654" s="3" t="s">
        <v>6396</v>
      </c>
      <c r="AY654" s="3" t="s">
        <v>6397</v>
      </c>
      <c r="AZ654" s="3" t="s">
        <v>6398</v>
      </c>
      <c r="BA654" s="3" t="s">
        <v>6398</v>
      </c>
      <c r="BB654" s="3" t="s">
        <v>6399</v>
      </c>
      <c r="BC654" s="3" t="s">
        <v>77</v>
      </c>
      <c r="BD654" s="3" t="s">
        <v>78</v>
      </c>
      <c r="BE654" s="3" t="s">
        <v>6400</v>
      </c>
      <c r="BF654" s="3" t="s">
        <v>6399</v>
      </c>
      <c r="BG654" s="3" t="s">
        <v>6401</v>
      </c>
      <c r="BH654">
        <f t="shared" si="20"/>
        <v>0</v>
      </c>
    </row>
    <row r="655" spans="1:60" ht="58" x14ac:dyDescent="0.35">
      <c r="A655" s="2" t="s">
        <v>59</v>
      </c>
      <c r="B655" s="2" t="s">
        <v>60</v>
      </c>
      <c r="C655" s="2" t="s">
        <v>6402</v>
      </c>
      <c r="D655" s="2" t="s">
        <v>6403</v>
      </c>
      <c r="E655" s="2" t="s">
        <v>6404</v>
      </c>
      <c r="G655" s="3" t="s">
        <v>64</v>
      </c>
      <c r="I655" s="3" t="s">
        <v>128</v>
      </c>
      <c r="J655" s="3" t="s">
        <v>64</v>
      </c>
      <c r="K655" s="3" t="s">
        <v>65</v>
      </c>
      <c r="L655" s="2" t="s">
        <v>6405</v>
      </c>
      <c r="M655" s="2" t="s">
        <v>6406</v>
      </c>
      <c r="N655" s="3" t="s">
        <v>537</v>
      </c>
      <c r="P655" s="3" t="s">
        <v>102</v>
      </c>
      <c r="Q655" s="2" t="s">
        <v>6407</v>
      </c>
      <c r="R655" s="3" t="s">
        <v>70</v>
      </c>
      <c r="S655" s="4">
        <v>1</v>
      </c>
      <c r="T655" s="4">
        <v>1</v>
      </c>
      <c r="U655" s="5" t="s">
        <v>6408</v>
      </c>
      <c r="V655" s="5" t="s">
        <v>6408</v>
      </c>
      <c r="W655" s="5" t="s">
        <v>72</v>
      </c>
      <c r="X655" s="5" t="s">
        <v>6409</v>
      </c>
      <c r="Y655" s="4">
        <v>140</v>
      </c>
      <c r="Z655" s="4">
        <v>11</v>
      </c>
      <c r="AA655" s="4">
        <v>11</v>
      </c>
      <c r="AB655" s="4">
        <v>1</v>
      </c>
      <c r="AC655" s="4">
        <v>1</v>
      </c>
      <c r="AD655" s="4">
        <v>58</v>
      </c>
      <c r="AE655" s="4">
        <v>58</v>
      </c>
      <c r="AF655" s="4">
        <v>0</v>
      </c>
      <c r="AG655" s="4">
        <v>0</v>
      </c>
      <c r="AH655" s="4">
        <v>53</v>
      </c>
      <c r="AI655" s="4">
        <v>53</v>
      </c>
      <c r="AJ655" s="4">
        <v>7</v>
      </c>
      <c r="AK655" s="4">
        <v>7</v>
      </c>
      <c r="AL655" s="4">
        <v>38</v>
      </c>
      <c r="AM655" s="4">
        <v>38</v>
      </c>
      <c r="AN655" s="4">
        <v>0</v>
      </c>
      <c r="AO655" s="4">
        <v>0</v>
      </c>
      <c r="AP655" s="4">
        <v>7</v>
      </c>
      <c r="AQ655" s="4">
        <v>7</v>
      </c>
      <c r="AR655" s="3" t="s">
        <v>64</v>
      </c>
      <c r="AS655" s="3" t="s">
        <v>64</v>
      </c>
      <c r="AT655" s="3" t="s">
        <v>64</v>
      </c>
      <c r="AV655" s="6" t="str">
        <f>HYPERLINK("http://mcgill.on.worldcat.org/oclc/957222023","Catalog Record")</f>
        <v>Catalog Record</v>
      </c>
      <c r="AW655" s="6" t="str">
        <f>HYPERLINK("http://www.worldcat.org/oclc/957222023","WorldCat Record")</f>
        <v>WorldCat Record</v>
      </c>
      <c r="AX655" s="3" t="s">
        <v>6410</v>
      </c>
      <c r="AY655" s="3" t="s">
        <v>6411</v>
      </c>
      <c r="AZ655" s="3" t="s">
        <v>6412</v>
      </c>
      <c r="BA655" s="3" t="s">
        <v>6412</v>
      </c>
      <c r="BB655" s="3" t="s">
        <v>6413</v>
      </c>
      <c r="BC655" s="3" t="s">
        <v>77</v>
      </c>
      <c r="BD655" s="3" t="s">
        <v>78</v>
      </c>
      <c r="BE655" s="3" t="s">
        <v>6414</v>
      </c>
      <c r="BF655" s="3" t="s">
        <v>6413</v>
      </c>
      <c r="BG655" s="3" t="s">
        <v>6415</v>
      </c>
      <c r="BH655">
        <f t="shared" si="20"/>
        <v>0</v>
      </c>
    </row>
    <row r="656" spans="1:60" ht="58" x14ac:dyDescent="0.35">
      <c r="A656" s="2" t="s">
        <v>59</v>
      </c>
      <c r="B656" s="2" t="s">
        <v>60</v>
      </c>
      <c r="C656" s="2" t="s">
        <v>6402</v>
      </c>
      <c r="D656" s="2" t="s">
        <v>6403</v>
      </c>
      <c r="E656" s="2" t="s">
        <v>6404</v>
      </c>
      <c r="G656" s="3" t="s">
        <v>64</v>
      </c>
      <c r="I656" s="3" t="s">
        <v>128</v>
      </c>
      <c r="J656" s="3" t="s">
        <v>64</v>
      </c>
      <c r="K656" s="3" t="s">
        <v>65</v>
      </c>
      <c r="L656" s="2" t="s">
        <v>6405</v>
      </c>
      <c r="M656" s="2" t="s">
        <v>6406</v>
      </c>
      <c r="N656" s="3" t="s">
        <v>537</v>
      </c>
      <c r="P656" s="3" t="s">
        <v>102</v>
      </c>
      <c r="Q656" s="2" t="s">
        <v>6407</v>
      </c>
      <c r="R656" s="3" t="s">
        <v>70</v>
      </c>
      <c r="S656" s="4">
        <v>0</v>
      </c>
      <c r="T656" s="4">
        <v>1</v>
      </c>
      <c r="V656" s="5" t="s">
        <v>6408</v>
      </c>
      <c r="W656" s="5" t="s">
        <v>6409</v>
      </c>
      <c r="X656" s="5" t="s">
        <v>6409</v>
      </c>
      <c r="Y656" s="4">
        <v>140</v>
      </c>
      <c r="Z656" s="4">
        <v>11</v>
      </c>
      <c r="AA656" s="4">
        <v>11</v>
      </c>
      <c r="AB656" s="4">
        <v>1</v>
      </c>
      <c r="AC656" s="4">
        <v>1</v>
      </c>
      <c r="AD656" s="4">
        <v>58</v>
      </c>
      <c r="AE656" s="4">
        <v>58</v>
      </c>
      <c r="AF656" s="4">
        <v>0</v>
      </c>
      <c r="AG656" s="4">
        <v>0</v>
      </c>
      <c r="AH656" s="4">
        <v>53</v>
      </c>
      <c r="AI656" s="4">
        <v>53</v>
      </c>
      <c r="AJ656" s="4">
        <v>7</v>
      </c>
      <c r="AK656" s="4">
        <v>7</v>
      </c>
      <c r="AL656" s="4">
        <v>38</v>
      </c>
      <c r="AM656" s="4">
        <v>38</v>
      </c>
      <c r="AN656" s="4">
        <v>0</v>
      </c>
      <c r="AO656" s="4">
        <v>0</v>
      </c>
      <c r="AP656" s="4">
        <v>7</v>
      </c>
      <c r="AQ656" s="4">
        <v>7</v>
      </c>
      <c r="AR656" s="3" t="s">
        <v>64</v>
      </c>
      <c r="AS656" s="3" t="s">
        <v>64</v>
      </c>
      <c r="AT656" s="3" t="s">
        <v>64</v>
      </c>
      <c r="AV656" s="6" t="str">
        <f>HYPERLINK("http://mcgill.on.worldcat.org/oclc/957222023","Catalog Record")</f>
        <v>Catalog Record</v>
      </c>
      <c r="AW656" s="6" t="str">
        <f>HYPERLINK("http://www.worldcat.org/oclc/957222023","WorldCat Record")</f>
        <v>WorldCat Record</v>
      </c>
      <c r="AX656" s="3" t="s">
        <v>6410</v>
      </c>
      <c r="AY656" s="3" t="s">
        <v>6411</v>
      </c>
      <c r="AZ656" s="3" t="s">
        <v>6412</v>
      </c>
      <c r="BA656" s="3" t="s">
        <v>6412</v>
      </c>
      <c r="BB656" s="3" t="s">
        <v>6416</v>
      </c>
      <c r="BC656" s="3" t="s">
        <v>77</v>
      </c>
      <c r="BD656" s="3" t="s">
        <v>78</v>
      </c>
      <c r="BE656" s="3" t="s">
        <v>6414</v>
      </c>
      <c r="BF656" s="3" t="s">
        <v>6416</v>
      </c>
      <c r="BG656" s="3" t="s">
        <v>6417</v>
      </c>
      <c r="BH656">
        <f t="shared" si="20"/>
        <v>0</v>
      </c>
    </row>
    <row r="657" spans="1:60" ht="58" x14ac:dyDescent="0.35">
      <c r="A657" s="2" t="s">
        <v>59</v>
      </c>
      <c r="B657" s="2" t="s">
        <v>60</v>
      </c>
      <c r="C657" s="2" t="s">
        <v>6418</v>
      </c>
      <c r="D657" s="2" t="s">
        <v>6419</v>
      </c>
      <c r="E657" s="2" t="s">
        <v>6420</v>
      </c>
      <c r="G657" s="3" t="s">
        <v>64</v>
      </c>
      <c r="I657" s="3" t="s">
        <v>64</v>
      </c>
      <c r="J657" s="3" t="s">
        <v>64</v>
      </c>
      <c r="K657" s="3" t="s">
        <v>65</v>
      </c>
      <c r="L657" s="2" t="s">
        <v>6421</v>
      </c>
      <c r="M657" s="2" t="s">
        <v>6422</v>
      </c>
      <c r="N657" s="3" t="s">
        <v>326</v>
      </c>
      <c r="P657" s="3" t="s">
        <v>365</v>
      </c>
      <c r="Q657" s="2" t="s">
        <v>6423</v>
      </c>
      <c r="R657" s="3" t="s">
        <v>70</v>
      </c>
      <c r="S657" s="4">
        <v>1</v>
      </c>
      <c r="T657" s="4">
        <v>1</v>
      </c>
      <c r="U657" s="5" t="s">
        <v>6424</v>
      </c>
      <c r="V657" s="5" t="s">
        <v>6424</v>
      </c>
      <c r="W657" s="5" t="s">
        <v>72</v>
      </c>
      <c r="X657" s="5" t="s">
        <v>72</v>
      </c>
      <c r="Y657" s="4">
        <v>27</v>
      </c>
      <c r="Z657" s="4">
        <v>3</v>
      </c>
      <c r="AA657" s="4">
        <v>3</v>
      </c>
      <c r="AB657" s="4">
        <v>1</v>
      </c>
      <c r="AC657" s="4">
        <v>1</v>
      </c>
      <c r="AD657" s="4">
        <v>10</v>
      </c>
      <c r="AE657" s="4">
        <v>10</v>
      </c>
      <c r="AF657" s="4">
        <v>0</v>
      </c>
      <c r="AG657" s="4">
        <v>0</v>
      </c>
      <c r="AH657" s="4">
        <v>9</v>
      </c>
      <c r="AI657" s="4">
        <v>9</v>
      </c>
      <c r="AJ657" s="4">
        <v>1</v>
      </c>
      <c r="AK657" s="4">
        <v>1</v>
      </c>
      <c r="AL657" s="4">
        <v>8</v>
      </c>
      <c r="AM657" s="4">
        <v>8</v>
      </c>
      <c r="AN657" s="4">
        <v>0</v>
      </c>
      <c r="AO657" s="4">
        <v>0</v>
      </c>
      <c r="AP657" s="4">
        <v>1</v>
      </c>
      <c r="AQ657" s="4">
        <v>1</v>
      </c>
      <c r="AR657" s="3" t="s">
        <v>64</v>
      </c>
      <c r="AS657" s="3" t="s">
        <v>64</v>
      </c>
      <c r="AT657" s="3" t="s">
        <v>64</v>
      </c>
      <c r="AV657" s="6" t="str">
        <f>HYPERLINK("http://mcgill.on.worldcat.org/oclc/774489188","Catalog Record")</f>
        <v>Catalog Record</v>
      </c>
      <c r="AW657" s="6" t="str">
        <f>HYPERLINK("http://www.worldcat.org/oclc/774489188","WorldCat Record")</f>
        <v>WorldCat Record</v>
      </c>
      <c r="AX657" s="3" t="s">
        <v>6425</v>
      </c>
      <c r="AY657" s="3" t="s">
        <v>6426</v>
      </c>
      <c r="AZ657" s="3" t="s">
        <v>6427</v>
      </c>
      <c r="BA657" s="3" t="s">
        <v>6427</v>
      </c>
      <c r="BB657" s="3" t="s">
        <v>6428</v>
      </c>
      <c r="BC657" s="3" t="s">
        <v>77</v>
      </c>
      <c r="BD657" s="3" t="s">
        <v>78</v>
      </c>
      <c r="BE657" s="3" t="s">
        <v>6429</v>
      </c>
      <c r="BF657" s="3" t="s">
        <v>6428</v>
      </c>
      <c r="BG657" s="3" t="s">
        <v>6430</v>
      </c>
      <c r="BH657">
        <f t="shared" si="20"/>
        <v>0</v>
      </c>
    </row>
    <row r="658" spans="1:60" ht="58" x14ac:dyDescent="0.35">
      <c r="A658" s="2" t="s">
        <v>59</v>
      </c>
      <c r="B658" s="2" t="s">
        <v>60</v>
      </c>
      <c r="C658" s="2" t="s">
        <v>6431</v>
      </c>
      <c r="D658" s="2" t="s">
        <v>6432</v>
      </c>
      <c r="E658" s="2" t="s">
        <v>6433</v>
      </c>
      <c r="G658" s="3" t="s">
        <v>64</v>
      </c>
      <c r="I658" s="3" t="s">
        <v>64</v>
      </c>
      <c r="J658" s="3" t="s">
        <v>64</v>
      </c>
      <c r="K658" s="3" t="s">
        <v>65</v>
      </c>
      <c r="M658" s="2" t="s">
        <v>6434</v>
      </c>
      <c r="N658" s="3" t="s">
        <v>190</v>
      </c>
      <c r="P658" s="3" t="s">
        <v>102</v>
      </c>
      <c r="Q658" s="2" t="s">
        <v>6435</v>
      </c>
      <c r="R658" s="3" t="s">
        <v>70</v>
      </c>
      <c r="S658" s="4">
        <v>0</v>
      </c>
      <c r="T658" s="4">
        <v>0</v>
      </c>
      <c r="W658" s="5" t="s">
        <v>72</v>
      </c>
      <c r="X658" s="5" t="s">
        <v>72</v>
      </c>
      <c r="Y658" s="4">
        <v>31</v>
      </c>
      <c r="Z658" s="4">
        <v>3</v>
      </c>
      <c r="AA658" s="4">
        <v>76</v>
      </c>
      <c r="AB658" s="4">
        <v>1</v>
      </c>
      <c r="AC658" s="4">
        <v>14</v>
      </c>
      <c r="AD658" s="4">
        <v>16</v>
      </c>
      <c r="AE658" s="4">
        <v>93</v>
      </c>
      <c r="AF658" s="4">
        <v>0</v>
      </c>
      <c r="AG658" s="4">
        <v>8</v>
      </c>
      <c r="AH658" s="4">
        <v>14</v>
      </c>
      <c r="AI658" s="4">
        <v>61</v>
      </c>
      <c r="AJ658" s="4">
        <v>2</v>
      </c>
      <c r="AK658" s="4">
        <v>18</v>
      </c>
      <c r="AL658" s="4">
        <v>10</v>
      </c>
      <c r="AM658" s="4">
        <v>30</v>
      </c>
      <c r="AN658" s="4">
        <v>0</v>
      </c>
      <c r="AO658" s="4">
        <v>0</v>
      </c>
      <c r="AP658" s="4">
        <v>2</v>
      </c>
      <c r="AQ658" s="4">
        <v>37</v>
      </c>
      <c r="AR658" s="3" t="s">
        <v>64</v>
      </c>
      <c r="AS658" s="3" t="s">
        <v>64</v>
      </c>
      <c r="AT658" s="3" t="s">
        <v>64</v>
      </c>
      <c r="AV658" s="6" t="str">
        <f>HYPERLINK("http://mcgill.on.worldcat.org/oclc/1023604341","Catalog Record")</f>
        <v>Catalog Record</v>
      </c>
      <c r="AW658" s="6" t="str">
        <f>HYPERLINK("http://www.worldcat.org/oclc/1023604341","WorldCat Record")</f>
        <v>WorldCat Record</v>
      </c>
      <c r="AX658" s="3" t="s">
        <v>6436</v>
      </c>
      <c r="AY658" s="3" t="s">
        <v>6437</v>
      </c>
      <c r="AZ658" s="3" t="s">
        <v>6438</v>
      </c>
      <c r="BA658" s="3" t="s">
        <v>6438</v>
      </c>
      <c r="BB658" s="3" t="s">
        <v>6439</v>
      </c>
      <c r="BC658" s="3" t="s">
        <v>77</v>
      </c>
      <c r="BD658" s="3" t="s">
        <v>78</v>
      </c>
      <c r="BE658" s="3" t="s">
        <v>6440</v>
      </c>
      <c r="BF658" s="3" t="s">
        <v>6439</v>
      </c>
      <c r="BG658" s="3" t="s">
        <v>6441</v>
      </c>
      <c r="BH658">
        <f t="shared" si="20"/>
        <v>0</v>
      </c>
    </row>
    <row r="659" spans="1:60" ht="72.5" x14ac:dyDescent="0.35">
      <c r="A659" s="2" t="s">
        <v>59</v>
      </c>
      <c r="B659" s="2" t="s">
        <v>1025</v>
      </c>
      <c r="C659" s="2" t="s">
        <v>6442</v>
      </c>
      <c r="D659" s="2" t="s">
        <v>6443</v>
      </c>
      <c r="E659" s="2" t="s">
        <v>6444</v>
      </c>
      <c r="G659" s="3" t="s">
        <v>64</v>
      </c>
      <c r="I659" s="3" t="s">
        <v>64</v>
      </c>
      <c r="J659" s="3" t="s">
        <v>64</v>
      </c>
      <c r="K659" s="3" t="s">
        <v>65</v>
      </c>
      <c r="L659" s="2" t="s">
        <v>6445</v>
      </c>
      <c r="M659" s="2" t="s">
        <v>6446</v>
      </c>
      <c r="N659" s="3" t="s">
        <v>979</v>
      </c>
      <c r="O659" s="2" t="s">
        <v>2149</v>
      </c>
      <c r="P659" s="3" t="s">
        <v>102</v>
      </c>
      <c r="R659" s="3" t="s">
        <v>70</v>
      </c>
      <c r="S659" s="4">
        <v>2</v>
      </c>
      <c r="T659" s="4">
        <v>2</v>
      </c>
      <c r="U659" s="5" t="s">
        <v>6447</v>
      </c>
      <c r="V659" s="5" t="s">
        <v>6447</v>
      </c>
      <c r="W659" s="5" t="s">
        <v>72</v>
      </c>
      <c r="X659" s="5" t="s">
        <v>72</v>
      </c>
      <c r="Y659" s="4">
        <v>4</v>
      </c>
      <c r="Z659" s="4">
        <v>1</v>
      </c>
      <c r="AA659" s="4">
        <v>19</v>
      </c>
      <c r="AB659" s="4">
        <v>1</v>
      </c>
      <c r="AC659" s="4">
        <v>3</v>
      </c>
      <c r="AD659" s="4">
        <v>2</v>
      </c>
      <c r="AE659" s="4">
        <v>68</v>
      </c>
      <c r="AF659" s="4">
        <v>0</v>
      </c>
      <c r="AG659" s="4">
        <v>1</v>
      </c>
      <c r="AH659" s="4">
        <v>2</v>
      </c>
      <c r="AI659" s="4">
        <v>61</v>
      </c>
      <c r="AJ659" s="4">
        <v>0</v>
      </c>
      <c r="AK659" s="4">
        <v>9</v>
      </c>
      <c r="AL659" s="4">
        <v>1</v>
      </c>
      <c r="AM659" s="4">
        <v>40</v>
      </c>
      <c r="AN659" s="4">
        <v>0</v>
      </c>
      <c r="AO659" s="4">
        <v>0</v>
      </c>
      <c r="AP659" s="4">
        <v>0</v>
      </c>
      <c r="AQ659" s="4">
        <v>9</v>
      </c>
      <c r="AR659" s="3" t="s">
        <v>64</v>
      </c>
      <c r="AS659" s="3" t="s">
        <v>64</v>
      </c>
      <c r="AT659" s="3" t="s">
        <v>64</v>
      </c>
      <c r="AV659" s="6" t="str">
        <f>HYPERLINK("http://mcgill.on.worldcat.org/oclc/270747249","Catalog Record")</f>
        <v>Catalog Record</v>
      </c>
      <c r="AW659" s="6" t="str">
        <f>HYPERLINK("http://www.worldcat.org/oclc/270747249","WorldCat Record")</f>
        <v>WorldCat Record</v>
      </c>
      <c r="AX659" s="3" t="s">
        <v>6448</v>
      </c>
      <c r="AY659" s="3" t="s">
        <v>6449</v>
      </c>
      <c r="AZ659" s="3" t="s">
        <v>6450</v>
      </c>
      <c r="BA659" s="3" t="s">
        <v>6450</v>
      </c>
      <c r="BB659" s="3" t="s">
        <v>6451</v>
      </c>
      <c r="BC659" s="3" t="s">
        <v>77</v>
      </c>
      <c r="BD659" s="3" t="s">
        <v>78</v>
      </c>
      <c r="BE659" s="3" t="s">
        <v>6452</v>
      </c>
      <c r="BF659" s="3" t="s">
        <v>6451</v>
      </c>
      <c r="BG659" s="3" t="s">
        <v>6453</v>
      </c>
      <c r="BH659">
        <f t="shared" si="20"/>
        <v>0</v>
      </c>
    </row>
    <row r="660" spans="1:60" ht="58" x14ac:dyDescent="0.35">
      <c r="A660" s="2" t="s">
        <v>59</v>
      </c>
      <c r="B660" s="2" t="s">
        <v>60</v>
      </c>
      <c r="C660" s="2" t="s">
        <v>6454</v>
      </c>
      <c r="D660" s="2" t="s">
        <v>6455</v>
      </c>
      <c r="E660" s="2" t="s">
        <v>6456</v>
      </c>
      <c r="G660" s="3" t="s">
        <v>64</v>
      </c>
      <c r="I660" s="3" t="s">
        <v>64</v>
      </c>
      <c r="J660" s="3" t="s">
        <v>64</v>
      </c>
      <c r="K660" s="3" t="s">
        <v>65</v>
      </c>
      <c r="L660" s="2" t="s">
        <v>6457</v>
      </c>
      <c r="M660" s="2" t="s">
        <v>1527</v>
      </c>
      <c r="N660" s="3" t="s">
        <v>537</v>
      </c>
      <c r="P660" s="3" t="s">
        <v>102</v>
      </c>
      <c r="Q660" s="2" t="s">
        <v>6458</v>
      </c>
      <c r="R660" s="3" t="s">
        <v>70</v>
      </c>
      <c r="S660" s="4">
        <v>0</v>
      </c>
      <c r="T660" s="4">
        <v>0</v>
      </c>
      <c r="W660" s="5" t="s">
        <v>72</v>
      </c>
      <c r="X660" s="5" t="s">
        <v>72</v>
      </c>
      <c r="Y660" s="4">
        <v>59</v>
      </c>
      <c r="Z660" s="4">
        <v>3</v>
      </c>
      <c r="AA660" s="4">
        <v>69</v>
      </c>
      <c r="AB660" s="4">
        <v>1</v>
      </c>
      <c r="AC660" s="4">
        <v>14</v>
      </c>
      <c r="AD660" s="4">
        <v>16</v>
      </c>
      <c r="AE660" s="4">
        <v>77</v>
      </c>
      <c r="AF660" s="4">
        <v>0</v>
      </c>
      <c r="AG660" s="4">
        <v>8</v>
      </c>
      <c r="AH660" s="4">
        <v>14</v>
      </c>
      <c r="AI660" s="4">
        <v>50</v>
      </c>
      <c r="AJ660" s="4">
        <v>1</v>
      </c>
      <c r="AK660" s="4">
        <v>16</v>
      </c>
      <c r="AL660" s="4">
        <v>11</v>
      </c>
      <c r="AM660" s="4">
        <v>25</v>
      </c>
      <c r="AN660" s="4">
        <v>0</v>
      </c>
      <c r="AO660" s="4">
        <v>0</v>
      </c>
      <c r="AP660" s="4">
        <v>1</v>
      </c>
      <c r="AQ660" s="4">
        <v>32</v>
      </c>
      <c r="AR660" s="3" t="s">
        <v>64</v>
      </c>
      <c r="AS660" s="3" t="s">
        <v>64</v>
      </c>
      <c r="AT660" s="3" t="s">
        <v>64</v>
      </c>
      <c r="AV660" s="6" t="str">
        <f>HYPERLINK("http://mcgill.on.worldcat.org/oclc/945029534","Catalog Record")</f>
        <v>Catalog Record</v>
      </c>
      <c r="AW660" s="6" t="str">
        <f>HYPERLINK("http://www.worldcat.org/oclc/945029534","WorldCat Record")</f>
        <v>WorldCat Record</v>
      </c>
      <c r="AX660" s="3" t="s">
        <v>6459</v>
      </c>
      <c r="AY660" s="3" t="s">
        <v>6460</v>
      </c>
      <c r="AZ660" s="3" t="s">
        <v>6461</v>
      </c>
      <c r="BA660" s="3" t="s">
        <v>6461</v>
      </c>
      <c r="BB660" s="3" t="s">
        <v>6462</v>
      </c>
      <c r="BC660" s="3" t="s">
        <v>77</v>
      </c>
      <c r="BD660" s="3" t="s">
        <v>78</v>
      </c>
      <c r="BE660" s="3" t="s">
        <v>6463</v>
      </c>
      <c r="BF660" s="3" t="s">
        <v>6462</v>
      </c>
      <c r="BG660" s="3" t="s">
        <v>6464</v>
      </c>
      <c r="BH660">
        <f t="shared" si="20"/>
        <v>0</v>
      </c>
    </row>
    <row r="661" spans="1:60" ht="58" x14ac:dyDescent="0.35">
      <c r="A661" s="2" t="s">
        <v>59</v>
      </c>
      <c r="B661" s="2" t="s">
        <v>60</v>
      </c>
      <c r="C661" s="2" t="s">
        <v>6465</v>
      </c>
      <c r="D661" s="2" t="s">
        <v>6466</v>
      </c>
      <c r="E661" s="2" t="s">
        <v>6467</v>
      </c>
      <c r="F661" s="3" t="s">
        <v>529</v>
      </c>
      <c r="G661" s="3" t="s">
        <v>128</v>
      </c>
      <c r="I661" s="3" t="s">
        <v>64</v>
      </c>
      <c r="J661" s="3" t="s">
        <v>64</v>
      </c>
      <c r="K661" s="3" t="s">
        <v>65</v>
      </c>
      <c r="L661" s="2" t="s">
        <v>6468</v>
      </c>
      <c r="M661" s="2" t="s">
        <v>2280</v>
      </c>
      <c r="N661" s="3" t="s">
        <v>190</v>
      </c>
      <c r="P661" s="3" t="s">
        <v>102</v>
      </c>
      <c r="Q661" s="2" t="s">
        <v>6469</v>
      </c>
      <c r="R661" s="3" t="s">
        <v>70</v>
      </c>
      <c r="S661" s="4">
        <v>0</v>
      </c>
      <c r="T661" s="4">
        <v>0</v>
      </c>
      <c r="W661" s="5" t="s">
        <v>72</v>
      </c>
      <c r="X661" s="5" t="s">
        <v>72</v>
      </c>
      <c r="Y661" s="4">
        <v>43</v>
      </c>
      <c r="Z661" s="4">
        <v>2</v>
      </c>
      <c r="AA661" s="4">
        <v>3</v>
      </c>
      <c r="AB661" s="4">
        <v>1</v>
      </c>
      <c r="AC661" s="4">
        <v>2</v>
      </c>
      <c r="AD661" s="4">
        <v>18</v>
      </c>
      <c r="AE661" s="4">
        <v>19</v>
      </c>
      <c r="AF661" s="4">
        <v>0</v>
      </c>
      <c r="AG661" s="4">
        <v>1</v>
      </c>
      <c r="AH661" s="4">
        <v>17</v>
      </c>
      <c r="AI661" s="4">
        <v>17</v>
      </c>
      <c r="AJ661" s="4">
        <v>1</v>
      </c>
      <c r="AK661" s="4">
        <v>2</v>
      </c>
      <c r="AL661" s="4">
        <v>13</v>
      </c>
      <c r="AM661" s="4">
        <v>13</v>
      </c>
      <c r="AN661" s="4">
        <v>0</v>
      </c>
      <c r="AO661" s="4">
        <v>0</v>
      </c>
      <c r="AP661" s="4">
        <v>1</v>
      </c>
      <c r="AQ661" s="4">
        <v>1</v>
      </c>
      <c r="AR661" s="3" t="s">
        <v>64</v>
      </c>
      <c r="AS661" s="3" t="s">
        <v>64</v>
      </c>
      <c r="AT661" s="3" t="s">
        <v>64</v>
      </c>
      <c r="AV661" s="6" t="str">
        <f>HYPERLINK("http://mcgill.on.worldcat.org/oclc/1030907248","Catalog Record")</f>
        <v>Catalog Record</v>
      </c>
      <c r="AW661" s="6" t="str">
        <f>HYPERLINK("http://www.worldcat.org/oclc/1030907248","WorldCat Record")</f>
        <v>WorldCat Record</v>
      </c>
      <c r="AX661" s="3" t="s">
        <v>6470</v>
      </c>
      <c r="AY661" s="3" t="s">
        <v>6471</v>
      </c>
      <c r="AZ661" s="3" t="s">
        <v>6472</v>
      </c>
      <c r="BA661" s="3" t="s">
        <v>6472</v>
      </c>
      <c r="BB661" s="3" t="s">
        <v>6473</v>
      </c>
      <c r="BC661" s="3" t="s">
        <v>77</v>
      </c>
      <c r="BD661" s="3" t="s">
        <v>78</v>
      </c>
      <c r="BE661" s="3" t="s">
        <v>6474</v>
      </c>
      <c r="BF661" s="3" t="s">
        <v>6473</v>
      </c>
      <c r="BG661" s="3" t="s">
        <v>6475</v>
      </c>
      <c r="BH661">
        <f t="shared" si="20"/>
        <v>0</v>
      </c>
    </row>
    <row r="662" spans="1:60" ht="58" x14ac:dyDescent="0.35">
      <c r="A662" s="2" t="s">
        <v>59</v>
      </c>
      <c r="B662" s="2" t="s">
        <v>60</v>
      </c>
      <c r="C662" s="2" t="s">
        <v>6465</v>
      </c>
      <c r="D662" s="2" t="s">
        <v>6466</v>
      </c>
      <c r="E662" s="2" t="s">
        <v>6467</v>
      </c>
      <c r="F662" s="3" t="s">
        <v>525</v>
      </c>
      <c r="G662" s="3" t="s">
        <v>128</v>
      </c>
      <c r="I662" s="3" t="s">
        <v>64</v>
      </c>
      <c r="J662" s="3" t="s">
        <v>64</v>
      </c>
      <c r="K662" s="3" t="s">
        <v>65</v>
      </c>
      <c r="L662" s="2" t="s">
        <v>6468</v>
      </c>
      <c r="M662" s="2" t="s">
        <v>2280</v>
      </c>
      <c r="N662" s="3" t="s">
        <v>190</v>
      </c>
      <c r="P662" s="3" t="s">
        <v>102</v>
      </c>
      <c r="Q662" s="2" t="s">
        <v>6469</v>
      </c>
      <c r="R662" s="3" t="s">
        <v>70</v>
      </c>
      <c r="S662" s="4">
        <v>0</v>
      </c>
      <c r="T662" s="4">
        <v>0</v>
      </c>
      <c r="W662" s="5" t="s">
        <v>72</v>
      </c>
      <c r="X662" s="5" t="s">
        <v>72</v>
      </c>
      <c r="Y662" s="4">
        <v>43</v>
      </c>
      <c r="Z662" s="4">
        <v>2</v>
      </c>
      <c r="AA662" s="4">
        <v>3</v>
      </c>
      <c r="AB662" s="4">
        <v>1</v>
      </c>
      <c r="AC662" s="4">
        <v>2</v>
      </c>
      <c r="AD662" s="4">
        <v>18</v>
      </c>
      <c r="AE662" s="4">
        <v>19</v>
      </c>
      <c r="AF662" s="4">
        <v>0</v>
      </c>
      <c r="AG662" s="4">
        <v>1</v>
      </c>
      <c r="AH662" s="4">
        <v>17</v>
      </c>
      <c r="AI662" s="4">
        <v>17</v>
      </c>
      <c r="AJ662" s="4">
        <v>1</v>
      </c>
      <c r="AK662" s="4">
        <v>2</v>
      </c>
      <c r="AL662" s="4">
        <v>13</v>
      </c>
      <c r="AM662" s="4">
        <v>13</v>
      </c>
      <c r="AN662" s="4">
        <v>0</v>
      </c>
      <c r="AO662" s="4">
        <v>0</v>
      </c>
      <c r="AP662" s="4">
        <v>1</v>
      </c>
      <c r="AQ662" s="4">
        <v>1</v>
      </c>
      <c r="AR662" s="3" t="s">
        <v>64</v>
      </c>
      <c r="AS662" s="3" t="s">
        <v>64</v>
      </c>
      <c r="AT662" s="3" t="s">
        <v>64</v>
      </c>
      <c r="AV662" s="6" t="str">
        <f>HYPERLINK("http://mcgill.on.worldcat.org/oclc/1030907248","Catalog Record")</f>
        <v>Catalog Record</v>
      </c>
      <c r="AW662" s="6" t="str">
        <f>HYPERLINK("http://www.worldcat.org/oclc/1030907248","WorldCat Record")</f>
        <v>WorldCat Record</v>
      </c>
      <c r="AX662" s="3" t="s">
        <v>6470</v>
      </c>
      <c r="AY662" s="3" t="s">
        <v>6471</v>
      </c>
      <c r="AZ662" s="3" t="s">
        <v>6472</v>
      </c>
      <c r="BA662" s="3" t="s">
        <v>6472</v>
      </c>
      <c r="BB662" s="3" t="s">
        <v>6476</v>
      </c>
      <c r="BC662" s="3" t="s">
        <v>77</v>
      </c>
      <c r="BD662" s="3" t="s">
        <v>78</v>
      </c>
      <c r="BE662" s="3" t="s">
        <v>6474</v>
      </c>
      <c r="BF662" s="3" t="s">
        <v>6476</v>
      </c>
      <c r="BG662" s="3" t="s">
        <v>6477</v>
      </c>
      <c r="BH662">
        <f t="shared" si="20"/>
        <v>0</v>
      </c>
    </row>
    <row r="663" spans="1:60" ht="58" x14ac:dyDescent="0.35">
      <c r="A663" s="2" t="s">
        <v>59</v>
      </c>
      <c r="B663" s="2" t="s">
        <v>60</v>
      </c>
      <c r="C663" s="2" t="s">
        <v>6478</v>
      </c>
      <c r="D663" s="2" t="s">
        <v>6479</v>
      </c>
      <c r="E663" s="2" t="s">
        <v>6480</v>
      </c>
      <c r="G663" s="3" t="s">
        <v>64</v>
      </c>
      <c r="I663" s="3" t="s">
        <v>64</v>
      </c>
      <c r="J663" s="3" t="s">
        <v>64</v>
      </c>
      <c r="K663" s="3" t="s">
        <v>65</v>
      </c>
      <c r="L663" s="2" t="s">
        <v>6481</v>
      </c>
      <c r="M663" s="2" t="s">
        <v>6482</v>
      </c>
      <c r="N663" s="3" t="s">
        <v>456</v>
      </c>
      <c r="P663" s="3" t="s">
        <v>102</v>
      </c>
      <c r="Q663" s="2" t="s">
        <v>6483</v>
      </c>
      <c r="R663" s="3" t="s">
        <v>70</v>
      </c>
      <c r="S663" s="4">
        <v>8</v>
      </c>
      <c r="T663" s="4">
        <v>8</v>
      </c>
      <c r="U663" s="5" t="s">
        <v>1325</v>
      </c>
      <c r="V663" s="5" t="s">
        <v>1325</v>
      </c>
      <c r="W663" s="5" t="s">
        <v>72</v>
      </c>
      <c r="X663" s="5" t="s">
        <v>72</v>
      </c>
      <c r="Y663" s="4">
        <v>207</v>
      </c>
      <c r="Z663" s="4">
        <v>10</v>
      </c>
      <c r="AA663" s="4">
        <v>10</v>
      </c>
      <c r="AB663" s="4">
        <v>1</v>
      </c>
      <c r="AC663" s="4">
        <v>1</v>
      </c>
      <c r="AD663" s="4">
        <v>86</v>
      </c>
      <c r="AE663" s="4">
        <v>86</v>
      </c>
      <c r="AF663" s="4">
        <v>0</v>
      </c>
      <c r="AG663" s="4">
        <v>0</v>
      </c>
      <c r="AH663" s="4">
        <v>82</v>
      </c>
      <c r="AI663" s="4">
        <v>82</v>
      </c>
      <c r="AJ663" s="4">
        <v>7</v>
      </c>
      <c r="AK663" s="4">
        <v>7</v>
      </c>
      <c r="AL663" s="4">
        <v>48</v>
      </c>
      <c r="AM663" s="4">
        <v>48</v>
      </c>
      <c r="AN663" s="4">
        <v>0</v>
      </c>
      <c r="AO663" s="4">
        <v>0</v>
      </c>
      <c r="AP663" s="4">
        <v>6</v>
      </c>
      <c r="AQ663" s="4">
        <v>6</v>
      </c>
      <c r="AR663" s="3" t="s">
        <v>64</v>
      </c>
      <c r="AS663" s="3" t="s">
        <v>64</v>
      </c>
      <c r="AT663" s="3" t="s">
        <v>64</v>
      </c>
      <c r="AV663" s="6" t="str">
        <f>HYPERLINK("http://mcgill.on.worldcat.org/oclc/259797","Catalog Record")</f>
        <v>Catalog Record</v>
      </c>
      <c r="AW663" s="6" t="str">
        <f>HYPERLINK("http://www.worldcat.org/oclc/259797","WorldCat Record")</f>
        <v>WorldCat Record</v>
      </c>
      <c r="AX663" s="3" t="s">
        <v>6484</v>
      </c>
      <c r="AY663" s="3" t="s">
        <v>6485</v>
      </c>
      <c r="AZ663" s="3" t="s">
        <v>6486</v>
      </c>
      <c r="BA663" s="3" t="s">
        <v>6486</v>
      </c>
      <c r="BB663" s="3" t="s">
        <v>6487</v>
      </c>
      <c r="BC663" s="3" t="s">
        <v>77</v>
      </c>
      <c r="BD663" s="3" t="s">
        <v>78</v>
      </c>
      <c r="BF663" s="3" t="s">
        <v>6487</v>
      </c>
      <c r="BG663" s="3" t="s">
        <v>6488</v>
      </c>
      <c r="BH663">
        <f t="shared" si="20"/>
        <v>0</v>
      </c>
    </row>
    <row r="664" spans="1:60" ht="58" x14ac:dyDescent="0.35">
      <c r="A664" s="2" t="s">
        <v>59</v>
      </c>
      <c r="B664" s="2" t="s">
        <v>60</v>
      </c>
      <c r="C664" s="2" t="s">
        <v>6489</v>
      </c>
      <c r="D664" s="2" t="s">
        <v>6490</v>
      </c>
      <c r="E664" s="2" t="s">
        <v>6491</v>
      </c>
      <c r="G664" s="3" t="s">
        <v>64</v>
      </c>
      <c r="I664" s="3" t="s">
        <v>128</v>
      </c>
      <c r="J664" s="3" t="s">
        <v>64</v>
      </c>
      <c r="K664" s="3" t="s">
        <v>65</v>
      </c>
      <c r="L664" s="2" t="s">
        <v>6492</v>
      </c>
      <c r="M664" s="2" t="s">
        <v>6493</v>
      </c>
      <c r="N664" s="3" t="s">
        <v>1075</v>
      </c>
      <c r="P664" s="3" t="s">
        <v>102</v>
      </c>
      <c r="Q664" s="2" t="s">
        <v>6494</v>
      </c>
      <c r="R664" s="3" t="s">
        <v>70</v>
      </c>
      <c r="S664" s="4">
        <v>0</v>
      </c>
      <c r="T664" s="4">
        <v>0</v>
      </c>
      <c r="W664" s="5" t="s">
        <v>72</v>
      </c>
      <c r="X664" s="5" t="s">
        <v>72</v>
      </c>
      <c r="Y664" s="4">
        <v>98</v>
      </c>
      <c r="Z664" s="4">
        <v>10</v>
      </c>
      <c r="AA664" s="4">
        <v>10</v>
      </c>
      <c r="AB664" s="4">
        <v>1</v>
      </c>
      <c r="AC664" s="4">
        <v>1</v>
      </c>
      <c r="AD664" s="4">
        <v>35</v>
      </c>
      <c r="AE664" s="4">
        <v>35</v>
      </c>
      <c r="AF664" s="4">
        <v>0</v>
      </c>
      <c r="AG664" s="4">
        <v>0</v>
      </c>
      <c r="AH664" s="4">
        <v>31</v>
      </c>
      <c r="AI664" s="4">
        <v>31</v>
      </c>
      <c r="AJ664" s="4">
        <v>4</v>
      </c>
      <c r="AK664" s="4">
        <v>4</v>
      </c>
      <c r="AL664" s="4">
        <v>23</v>
      </c>
      <c r="AM664" s="4">
        <v>23</v>
      </c>
      <c r="AN664" s="4">
        <v>0</v>
      </c>
      <c r="AO664" s="4">
        <v>0</v>
      </c>
      <c r="AP664" s="4">
        <v>5</v>
      </c>
      <c r="AQ664" s="4">
        <v>5</v>
      </c>
      <c r="AR664" s="3" t="s">
        <v>64</v>
      </c>
      <c r="AS664" s="3" t="s">
        <v>64</v>
      </c>
      <c r="AT664" s="3" t="s">
        <v>64</v>
      </c>
      <c r="AV664" s="6" t="str">
        <f>HYPERLINK("http://mcgill.on.worldcat.org/oclc/830737280","Catalog Record")</f>
        <v>Catalog Record</v>
      </c>
      <c r="AW664" s="6" t="str">
        <f>HYPERLINK("http://www.worldcat.org/oclc/830737280","WorldCat Record")</f>
        <v>WorldCat Record</v>
      </c>
      <c r="AX664" s="3" t="s">
        <v>6495</v>
      </c>
      <c r="AY664" s="3" t="s">
        <v>6496</v>
      </c>
      <c r="AZ664" s="3" t="s">
        <v>6497</v>
      </c>
      <c r="BA664" s="3" t="s">
        <v>6497</v>
      </c>
      <c r="BB664" s="3" t="s">
        <v>6498</v>
      </c>
      <c r="BC664" s="3" t="s">
        <v>77</v>
      </c>
      <c r="BD664" s="3" t="s">
        <v>78</v>
      </c>
      <c r="BE664" s="3" t="s">
        <v>6499</v>
      </c>
      <c r="BF664" s="3" t="s">
        <v>6498</v>
      </c>
      <c r="BG664" s="3" t="s">
        <v>6500</v>
      </c>
      <c r="BH664">
        <f t="shared" si="20"/>
        <v>0</v>
      </c>
    </row>
    <row r="665" spans="1:60" ht="58" x14ac:dyDescent="0.35">
      <c r="A665" s="2" t="s">
        <v>59</v>
      </c>
      <c r="B665" s="2" t="s">
        <v>60</v>
      </c>
      <c r="C665" s="2" t="s">
        <v>6489</v>
      </c>
      <c r="D665" s="2" t="s">
        <v>6490</v>
      </c>
      <c r="E665" s="2" t="s">
        <v>6491</v>
      </c>
      <c r="G665" s="3" t="s">
        <v>64</v>
      </c>
      <c r="I665" s="3" t="s">
        <v>128</v>
      </c>
      <c r="J665" s="3" t="s">
        <v>64</v>
      </c>
      <c r="K665" s="3" t="s">
        <v>65</v>
      </c>
      <c r="L665" s="2" t="s">
        <v>6492</v>
      </c>
      <c r="M665" s="2" t="s">
        <v>6493</v>
      </c>
      <c r="N665" s="3" t="s">
        <v>1075</v>
      </c>
      <c r="P665" s="3" t="s">
        <v>102</v>
      </c>
      <c r="Q665" s="2" t="s">
        <v>6494</v>
      </c>
      <c r="R665" s="3" t="s">
        <v>70</v>
      </c>
      <c r="S665" s="4">
        <v>0</v>
      </c>
      <c r="T665" s="4">
        <v>0</v>
      </c>
      <c r="W665" s="5" t="s">
        <v>72</v>
      </c>
      <c r="X665" s="5" t="s">
        <v>72</v>
      </c>
      <c r="Y665" s="4">
        <v>98</v>
      </c>
      <c r="Z665" s="4">
        <v>10</v>
      </c>
      <c r="AA665" s="4">
        <v>10</v>
      </c>
      <c r="AB665" s="4">
        <v>1</v>
      </c>
      <c r="AC665" s="4">
        <v>1</v>
      </c>
      <c r="AD665" s="4">
        <v>35</v>
      </c>
      <c r="AE665" s="4">
        <v>35</v>
      </c>
      <c r="AF665" s="4">
        <v>0</v>
      </c>
      <c r="AG665" s="4">
        <v>0</v>
      </c>
      <c r="AH665" s="4">
        <v>31</v>
      </c>
      <c r="AI665" s="4">
        <v>31</v>
      </c>
      <c r="AJ665" s="4">
        <v>4</v>
      </c>
      <c r="AK665" s="4">
        <v>4</v>
      </c>
      <c r="AL665" s="4">
        <v>23</v>
      </c>
      <c r="AM665" s="4">
        <v>23</v>
      </c>
      <c r="AN665" s="4">
        <v>0</v>
      </c>
      <c r="AO665" s="4">
        <v>0</v>
      </c>
      <c r="AP665" s="4">
        <v>5</v>
      </c>
      <c r="AQ665" s="4">
        <v>5</v>
      </c>
      <c r="AR665" s="3" t="s">
        <v>64</v>
      </c>
      <c r="AS665" s="3" t="s">
        <v>64</v>
      </c>
      <c r="AT665" s="3" t="s">
        <v>64</v>
      </c>
      <c r="AV665" s="6" t="str">
        <f>HYPERLINK("http://mcgill.on.worldcat.org/oclc/830737280","Catalog Record")</f>
        <v>Catalog Record</v>
      </c>
      <c r="AW665" s="6" t="str">
        <f>HYPERLINK("http://www.worldcat.org/oclc/830737280","WorldCat Record")</f>
        <v>WorldCat Record</v>
      </c>
      <c r="AX665" s="3" t="s">
        <v>6495</v>
      </c>
      <c r="AY665" s="3" t="s">
        <v>6496</v>
      </c>
      <c r="AZ665" s="3" t="s">
        <v>6497</v>
      </c>
      <c r="BA665" s="3" t="s">
        <v>6497</v>
      </c>
      <c r="BB665" s="3" t="s">
        <v>6501</v>
      </c>
      <c r="BC665" s="3" t="s">
        <v>77</v>
      </c>
      <c r="BD665" s="3" t="s">
        <v>78</v>
      </c>
      <c r="BE665" s="3" t="s">
        <v>6499</v>
      </c>
      <c r="BF665" s="3" t="s">
        <v>6501</v>
      </c>
      <c r="BG665" s="3" t="s">
        <v>6502</v>
      </c>
      <c r="BH665">
        <f t="shared" si="20"/>
        <v>0</v>
      </c>
    </row>
    <row r="666" spans="1:60" ht="58" x14ac:dyDescent="0.35">
      <c r="A666" s="2" t="s">
        <v>59</v>
      </c>
      <c r="B666" s="2" t="s">
        <v>60</v>
      </c>
      <c r="C666" s="2" t="s">
        <v>6503</v>
      </c>
      <c r="D666" s="2" t="s">
        <v>6504</v>
      </c>
      <c r="E666" s="2" t="s">
        <v>6505</v>
      </c>
      <c r="G666" s="3" t="s">
        <v>64</v>
      </c>
      <c r="I666" s="3" t="s">
        <v>64</v>
      </c>
      <c r="J666" s="3" t="s">
        <v>64</v>
      </c>
      <c r="K666" s="3" t="s">
        <v>65</v>
      </c>
      <c r="L666" s="2" t="s">
        <v>6506</v>
      </c>
      <c r="M666" s="2" t="s">
        <v>6507</v>
      </c>
      <c r="N666" s="3" t="s">
        <v>86</v>
      </c>
      <c r="P666" s="3" t="s">
        <v>365</v>
      </c>
      <c r="Q666" s="2" t="s">
        <v>6508</v>
      </c>
      <c r="R666" s="3" t="s">
        <v>70</v>
      </c>
      <c r="S666" s="4">
        <v>0</v>
      </c>
      <c r="T666" s="4">
        <v>0</v>
      </c>
      <c r="W666" s="5" t="s">
        <v>72</v>
      </c>
      <c r="X666" s="5" t="s">
        <v>72</v>
      </c>
      <c r="Y666" s="4">
        <v>45</v>
      </c>
      <c r="Z666" s="4">
        <v>4</v>
      </c>
      <c r="AA666" s="4">
        <v>4</v>
      </c>
      <c r="AB666" s="4">
        <v>1</v>
      </c>
      <c r="AC666" s="4">
        <v>1</v>
      </c>
      <c r="AD666" s="4">
        <v>20</v>
      </c>
      <c r="AE666" s="4">
        <v>20</v>
      </c>
      <c r="AF666" s="4">
        <v>0</v>
      </c>
      <c r="AG666" s="4">
        <v>0</v>
      </c>
      <c r="AH666" s="4">
        <v>19</v>
      </c>
      <c r="AI666" s="4">
        <v>19</v>
      </c>
      <c r="AJ666" s="4">
        <v>1</v>
      </c>
      <c r="AK666" s="4">
        <v>1</v>
      </c>
      <c r="AL666" s="4">
        <v>16</v>
      </c>
      <c r="AM666" s="4">
        <v>16</v>
      </c>
      <c r="AN666" s="4">
        <v>0</v>
      </c>
      <c r="AO666" s="4">
        <v>0</v>
      </c>
      <c r="AP666" s="4">
        <v>1</v>
      </c>
      <c r="AQ666" s="4">
        <v>1</v>
      </c>
      <c r="AR666" s="3" t="s">
        <v>64</v>
      </c>
      <c r="AS666" s="3" t="s">
        <v>64</v>
      </c>
      <c r="AT666" s="3" t="s">
        <v>128</v>
      </c>
      <c r="AU666" s="6" t="str">
        <f>HYPERLINK("http://catalog.hathitrust.org/Record/100896348","HathiTrust Record")</f>
        <v>HathiTrust Record</v>
      </c>
      <c r="AV666" s="6" t="str">
        <f>HYPERLINK("http://mcgill.on.worldcat.org/oclc/827934900","Catalog Record")</f>
        <v>Catalog Record</v>
      </c>
      <c r="AW666" s="6" t="str">
        <f>HYPERLINK("http://www.worldcat.org/oclc/827934900","WorldCat Record")</f>
        <v>WorldCat Record</v>
      </c>
      <c r="AX666" s="3" t="s">
        <v>6509</v>
      </c>
      <c r="AY666" s="3" t="s">
        <v>6510</v>
      </c>
      <c r="AZ666" s="3" t="s">
        <v>6511</v>
      </c>
      <c r="BA666" s="3" t="s">
        <v>6511</v>
      </c>
      <c r="BB666" s="3" t="s">
        <v>6512</v>
      </c>
      <c r="BC666" s="3" t="s">
        <v>77</v>
      </c>
      <c r="BD666" s="3" t="s">
        <v>78</v>
      </c>
      <c r="BE666" s="3" t="s">
        <v>6513</v>
      </c>
      <c r="BF666" s="3" t="s">
        <v>6512</v>
      </c>
      <c r="BG666" s="3" t="s">
        <v>6514</v>
      </c>
      <c r="BH666">
        <f t="shared" si="20"/>
        <v>0</v>
      </c>
    </row>
    <row r="667" spans="1:60" ht="87" x14ac:dyDescent="0.35">
      <c r="A667" s="2" t="s">
        <v>59</v>
      </c>
      <c r="B667" s="2" t="s">
        <v>60</v>
      </c>
      <c r="C667" s="2" t="s">
        <v>6515</v>
      </c>
      <c r="D667" s="2" t="s">
        <v>6516</v>
      </c>
      <c r="E667" s="2" t="s">
        <v>6517</v>
      </c>
      <c r="G667" s="3" t="s">
        <v>64</v>
      </c>
      <c r="I667" s="3" t="s">
        <v>64</v>
      </c>
      <c r="J667" s="3" t="s">
        <v>64</v>
      </c>
      <c r="K667" s="3" t="s">
        <v>65</v>
      </c>
      <c r="M667" s="2" t="s">
        <v>6518</v>
      </c>
      <c r="N667" s="3" t="s">
        <v>511</v>
      </c>
      <c r="P667" s="3" t="s">
        <v>68</v>
      </c>
      <c r="Q667" s="2" t="s">
        <v>6519</v>
      </c>
      <c r="R667" s="3" t="s">
        <v>70</v>
      </c>
      <c r="S667" s="4">
        <v>1</v>
      </c>
      <c r="T667" s="4">
        <v>1</v>
      </c>
      <c r="U667" s="5" t="s">
        <v>6520</v>
      </c>
      <c r="V667" s="5" t="s">
        <v>6520</v>
      </c>
      <c r="W667" s="5" t="s">
        <v>72</v>
      </c>
      <c r="X667" s="5" t="s">
        <v>72</v>
      </c>
      <c r="Y667" s="4">
        <v>48</v>
      </c>
      <c r="Z667" s="4">
        <v>3</v>
      </c>
      <c r="AA667" s="4">
        <v>8</v>
      </c>
      <c r="AB667" s="4">
        <v>2</v>
      </c>
      <c r="AC667" s="4">
        <v>3</v>
      </c>
      <c r="AD667" s="4">
        <v>19</v>
      </c>
      <c r="AE667" s="4">
        <v>22</v>
      </c>
      <c r="AF667" s="4">
        <v>0</v>
      </c>
      <c r="AG667" s="4">
        <v>1</v>
      </c>
      <c r="AH667" s="4">
        <v>18</v>
      </c>
      <c r="AI667" s="4">
        <v>21</v>
      </c>
      <c r="AJ667" s="4">
        <v>1</v>
      </c>
      <c r="AK667" s="4">
        <v>4</v>
      </c>
      <c r="AL667" s="4">
        <v>13</v>
      </c>
      <c r="AM667" s="4">
        <v>14</v>
      </c>
      <c r="AN667" s="4">
        <v>0</v>
      </c>
      <c r="AO667" s="4">
        <v>0</v>
      </c>
      <c r="AP667" s="4">
        <v>1</v>
      </c>
      <c r="AQ667" s="4">
        <v>4</v>
      </c>
      <c r="AR667" s="3" t="s">
        <v>64</v>
      </c>
      <c r="AS667" s="3" t="s">
        <v>64</v>
      </c>
      <c r="AT667" s="3" t="s">
        <v>64</v>
      </c>
      <c r="AV667" s="6" t="str">
        <f>HYPERLINK("http://mcgill.on.worldcat.org/oclc/228443538","Catalog Record")</f>
        <v>Catalog Record</v>
      </c>
      <c r="AW667" s="6" t="str">
        <f>HYPERLINK("http://www.worldcat.org/oclc/228443538","WorldCat Record")</f>
        <v>WorldCat Record</v>
      </c>
      <c r="AX667" s="3" t="s">
        <v>6521</v>
      </c>
      <c r="AY667" s="3" t="s">
        <v>6522</v>
      </c>
      <c r="AZ667" s="3" t="s">
        <v>6523</v>
      </c>
      <c r="BA667" s="3" t="s">
        <v>6523</v>
      </c>
      <c r="BB667" s="3" t="s">
        <v>6524</v>
      </c>
      <c r="BC667" s="3" t="s">
        <v>77</v>
      </c>
      <c r="BD667" s="3" t="s">
        <v>78</v>
      </c>
      <c r="BE667" s="3" t="s">
        <v>6525</v>
      </c>
      <c r="BF667" s="3" t="s">
        <v>6524</v>
      </c>
      <c r="BG667" s="3" t="s">
        <v>6526</v>
      </c>
      <c r="BH667">
        <f t="shared" si="20"/>
        <v>0</v>
      </c>
    </row>
    <row r="668" spans="1:60" ht="87" x14ac:dyDescent="0.35">
      <c r="A668" s="2" t="s">
        <v>59</v>
      </c>
      <c r="B668" s="2" t="s">
        <v>60</v>
      </c>
      <c r="C668" s="2" t="s">
        <v>6527</v>
      </c>
      <c r="D668" s="2" t="s">
        <v>6528</v>
      </c>
      <c r="E668" s="2" t="s">
        <v>6529</v>
      </c>
      <c r="G668" s="3" t="s">
        <v>64</v>
      </c>
      <c r="I668" s="3" t="s">
        <v>64</v>
      </c>
      <c r="J668" s="3" t="s">
        <v>64</v>
      </c>
      <c r="K668" s="3" t="s">
        <v>65</v>
      </c>
      <c r="M668" s="2" t="s">
        <v>6530</v>
      </c>
      <c r="N668" s="3" t="s">
        <v>3047</v>
      </c>
      <c r="P668" s="3" t="s">
        <v>102</v>
      </c>
      <c r="Q668" s="2" t="s">
        <v>6531</v>
      </c>
      <c r="R668" s="3" t="s">
        <v>70</v>
      </c>
      <c r="S668" s="4">
        <v>10</v>
      </c>
      <c r="T668" s="4">
        <v>10</v>
      </c>
      <c r="U668" s="5" t="s">
        <v>367</v>
      </c>
      <c r="V668" s="5" t="s">
        <v>367</v>
      </c>
      <c r="W668" s="5" t="s">
        <v>72</v>
      </c>
      <c r="X668" s="5" t="s">
        <v>72</v>
      </c>
      <c r="Y668" s="4">
        <v>168</v>
      </c>
      <c r="Z668" s="4">
        <v>22</v>
      </c>
      <c r="AA668" s="4">
        <v>23</v>
      </c>
      <c r="AB668" s="4">
        <v>2</v>
      </c>
      <c r="AC668" s="4">
        <v>3</v>
      </c>
      <c r="AD668" s="4">
        <v>71</v>
      </c>
      <c r="AE668" s="4">
        <v>74</v>
      </c>
      <c r="AF668" s="4">
        <v>0</v>
      </c>
      <c r="AG668" s="4">
        <v>1</v>
      </c>
      <c r="AH668" s="4">
        <v>60</v>
      </c>
      <c r="AI668" s="4">
        <v>61</v>
      </c>
      <c r="AJ668" s="4">
        <v>16</v>
      </c>
      <c r="AK668" s="4">
        <v>17</v>
      </c>
      <c r="AL668" s="4">
        <v>38</v>
      </c>
      <c r="AM668" s="4">
        <v>40</v>
      </c>
      <c r="AN668" s="4">
        <v>0</v>
      </c>
      <c r="AO668" s="4">
        <v>0</v>
      </c>
      <c r="AP668" s="4">
        <v>15</v>
      </c>
      <c r="AQ668" s="4">
        <v>15</v>
      </c>
      <c r="AR668" s="3" t="s">
        <v>64</v>
      </c>
      <c r="AS668" s="3" t="s">
        <v>64</v>
      </c>
      <c r="AT668" s="3" t="s">
        <v>128</v>
      </c>
      <c r="AU668" s="6" t="str">
        <f>HYPERLINK("http://catalog.hathitrust.org/Record/002204099","HathiTrust Record")</f>
        <v>HathiTrust Record</v>
      </c>
      <c r="AV668" s="6" t="str">
        <f>HYPERLINK("http://mcgill.on.worldcat.org/oclc/17676890","Catalog Record")</f>
        <v>Catalog Record</v>
      </c>
      <c r="AW668" s="6" t="str">
        <f>HYPERLINK("http://www.worldcat.org/oclc/17676890","WorldCat Record")</f>
        <v>WorldCat Record</v>
      </c>
      <c r="AX668" s="3" t="s">
        <v>6532</v>
      </c>
      <c r="AY668" s="3" t="s">
        <v>6533</v>
      </c>
      <c r="AZ668" s="3" t="s">
        <v>6534</v>
      </c>
      <c r="BA668" s="3" t="s">
        <v>6534</v>
      </c>
      <c r="BB668" s="3" t="s">
        <v>6535</v>
      </c>
      <c r="BC668" s="3" t="s">
        <v>77</v>
      </c>
      <c r="BD668" s="3" t="s">
        <v>78</v>
      </c>
      <c r="BE668" s="3" t="s">
        <v>6536</v>
      </c>
      <c r="BF668" s="3" t="s">
        <v>6535</v>
      </c>
      <c r="BG668" s="3" t="s">
        <v>6537</v>
      </c>
      <c r="BH668">
        <f t="shared" si="20"/>
        <v>0</v>
      </c>
    </row>
    <row r="669" spans="1:60" ht="58" x14ac:dyDescent="0.35">
      <c r="A669" s="2" t="s">
        <v>59</v>
      </c>
      <c r="B669" s="2" t="s">
        <v>60</v>
      </c>
      <c r="C669" s="2" t="s">
        <v>6538</v>
      </c>
      <c r="D669" s="2" t="s">
        <v>6539</v>
      </c>
      <c r="E669" s="2" t="s">
        <v>6540</v>
      </c>
      <c r="G669" s="3" t="s">
        <v>64</v>
      </c>
      <c r="I669" s="3" t="s">
        <v>64</v>
      </c>
      <c r="J669" s="3" t="s">
        <v>64</v>
      </c>
      <c r="K669" s="3" t="s">
        <v>65</v>
      </c>
      <c r="L669" s="2" t="s">
        <v>2433</v>
      </c>
      <c r="M669" s="2" t="s">
        <v>3187</v>
      </c>
      <c r="N669" s="3" t="s">
        <v>326</v>
      </c>
      <c r="P669" s="3" t="s">
        <v>102</v>
      </c>
      <c r="Q669" s="2" t="s">
        <v>6541</v>
      </c>
      <c r="R669" s="3" t="s">
        <v>70</v>
      </c>
      <c r="S669" s="4">
        <v>2</v>
      </c>
      <c r="T669" s="4">
        <v>2</v>
      </c>
      <c r="U669" s="5" t="s">
        <v>6542</v>
      </c>
      <c r="V669" s="5" t="s">
        <v>6542</v>
      </c>
      <c r="W669" s="5" t="s">
        <v>72</v>
      </c>
      <c r="X669" s="5" t="s">
        <v>72</v>
      </c>
      <c r="Y669" s="4">
        <v>174</v>
      </c>
      <c r="Z669" s="4">
        <v>25</v>
      </c>
      <c r="AA669" s="4">
        <v>25</v>
      </c>
      <c r="AB669" s="4">
        <v>2</v>
      </c>
      <c r="AC669" s="4">
        <v>2</v>
      </c>
      <c r="AD669" s="4">
        <v>73</v>
      </c>
      <c r="AE669" s="4">
        <v>73</v>
      </c>
      <c r="AF669" s="4">
        <v>1</v>
      </c>
      <c r="AG669" s="4">
        <v>1</v>
      </c>
      <c r="AH669" s="4">
        <v>61</v>
      </c>
      <c r="AI669" s="4">
        <v>61</v>
      </c>
      <c r="AJ669" s="4">
        <v>18</v>
      </c>
      <c r="AK669" s="4">
        <v>18</v>
      </c>
      <c r="AL669" s="4">
        <v>40</v>
      </c>
      <c r="AM669" s="4">
        <v>40</v>
      </c>
      <c r="AN669" s="4">
        <v>0</v>
      </c>
      <c r="AO669" s="4">
        <v>0</v>
      </c>
      <c r="AP669" s="4">
        <v>20</v>
      </c>
      <c r="AQ669" s="4">
        <v>20</v>
      </c>
      <c r="AR669" s="3" t="s">
        <v>64</v>
      </c>
      <c r="AS669" s="3" t="s">
        <v>64</v>
      </c>
      <c r="AT669" s="3" t="s">
        <v>64</v>
      </c>
      <c r="AV669" s="6" t="str">
        <f>HYPERLINK("http://mcgill.on.worldcat.org/oclc/670282516","Catalog Record")</f>
        <v>Catalog Record</v>
      </c>
      <c r="AW669" s="6" t="str">
        <f>HYPERLINK("http://www.worldcat.org/oclc/670282516","WorldCat Record")</f>
        <v>WorldCat Record</v>
      </c>
      <c r="AX669" s="3" t="s">
        <v>6543</v>
      </c>
      <c r="AY669" s="3" t="s">
        <v>6544</v>
      </c>
      <c r="AZ669" s="3" t="s">
        <v>6545</v>
      </c>
      <c r="BA669" s="3" t="s">
        <v>6545</v>
      </c>
      <c r="BB669" s="3" t="s">
        <v>6546</v>
      </c>
      <c r="BC669" s="3" t="s">
        <v>77</v>
      </c>
      <c r="BD669" s="3" t="s">
        <v>78</v>
      </c>
      <c r="BE669" s="3" t="s">
        <v>6547</v>
      </c>
      <c r="BF669" s="3" t="s">
        <v>6546</v>
      </c>
      <c r="BG669" s="3" t="s">
        <v>6548</v>
      </c>
      <c r="BH669">
        <f t="shared" si="20"/>
        <v>0</v>
      </c>
    </row>
    <row r="670" spans="1:60" ht="72.5" x14ac:dyDescent="0.35">
      <c r="A670" s="2" t="s">
        <v>59</v>
      </c>
      <c r="B670" s="2" t="s">
        <v>1025</v>
      </c>
      <c r="C670" s="2" t="s">
        <v>6549</v>
      </c>
      <c r="D670" s="2" t="s">
        <v>6550</v>
      </c>
      <c r="E670" s="2" t="s">
        <v>6551</v>
      </c>
      <c r="G670" s="3" t="s">
        <v>64</v>
      </c>
      <c r="I670" s="3" t="s">
        <v>64</v>
      </c>
      <c r="J670" s="3" t="s">
        <v>64</v>
      </c>
      <c r="K670" s="3" t="s">
        <v>65</v>
      </c>
      <c r="L670" s="2" t="s">
        <v>6552</v>
      </c>
      <c r="M670" s="2" t="s">
        <v>6553</v>
      </c>
      <c r="N670" s="3" t="s">
        <v>1075</v>
      </c>
      <c r="P670" s="3" t="s">
        <v>102</v>
      </c>
      <c r="Q670" s="2" t="s">
        <v>6554</v>
      </c>
      <c r="R670" s="3" t="s">
        <v>70</v>
      </c>
      <c r="S670" s="4">
        <v>7</v>
      </c>
      <c r="T670" s="4">
        <v>7</v>
      </c>
      <c r="U670" s="5" t="s">
        <v>6555</v>
      </c>
      <c r="V670" s="5" t="s">
        <v>6555</v>
      </c>
      <c r="W670" s="5" t="s">
        <v>72</v>
      </c>
      <c r="X670" s="5" t="s">
        <v>72</v>
      </c>
      <c r="Y670" s="4">
        <v>178</v>
      </c>
      <c r="Z670" s="4">
        <v>10</v>
      </c>
      <c r="AA670" s="4">
        <v>14</v>
      </c>
      <c r="AB670" s="4">
        <v>1</v>
      </c>
      <c r="AC670" s="4">
        <v>3</v>
      </c>
      <c r="AD670" s="4">
        <v>71</v>
      </c>
      <c r="AE670" s="4">
        <v>76</v>
      </c>
      <c r="AF670" s="4">
        <v>0</v>
      </c>
      <c r="AG670" s="4">
        <v>1</v>
      </c>
      <c r="AH670" s="4">
        <v>67</v>
      </c>
      <c r="AI670" s="4">
        <v>70</v>
      </c>
      <c r="AJ670" s="4">
        <v>8</v>
      </c>
      <c r="AK670" s="4">
        <v>9</v>
      </c>
      <c r="AL670" s="4">
        <v>40</v>
      </c>
      <c r="AM670" s="4">
        <v>41</v>
      </c>
      <c r="AN670" s="4">
        <v>0</v>
      </c>
      <c r="AO670" s="4">
        <v>0</v>
      </c>
      <c r="AP670" s="4">
        <v>8</v>
      </c>
      <c r="AQ670" s="4">
        <v>10</v>
      </c>
      <c r="AR670" s="3" t="s">
        <v>64</v>
      </c>
      <c r="AS670" s="3" t="s">
        <v>64</v>
      </c>
      <c r="AT670" s="3" t="s">
        <v>64</v>
      </c>
      <c r="AV670" s="6" t="str">
        <f>HYPERLINK("http://mcgill.on.worldcat.org/oclc/792886786","Catalog Record")</f>
        <v>Catalog Record</v>
      </c>
      <c r="AW670" s="6" t="str">
        <f>HYPERLINK("http://www.worldcat.org/oclc/792886786","WorldCat Record")</f>
        <v>WorldCat Record</v>
      </c>
      <c r="AX670" s="3" t="s">
        <v>6556</v>
      </c>
      <c r="AY670" s="3" t="s">
        <v>6557</v>
      </c>
      <c r="AZ670" s="3" t="s">
        <v>6558</v>
      </c>
      <c r="BA670" s="3" t="s">
        <v>6558</v>
      </c>
      <c r="BB670" s="3" t="s">
        <v>6559</v>
      </c>
      <c r="BC670" s="3" t="s">
        <v>77</v>
      </c>
      <c r="BD670" s="3" t="s">
        <v>165</v>
      </c>
      <c r="BE670" s="3" t="s">
        <v>6560</v>
      </c>
      <c r="BF670" s="3" t="s">
        <v>6559</v>
      </c>
      <c r="BG670" s="3" t="s">
        <v>6561</v>
      </c>
      <c r="BH670">
        <f t="shared" si="20"/>
        <v>0</v>
      </c>
    </row>
    <row r="671" spans="1:60" ht="72.5" x14ac:dyDescent="0.35">
      <c r="A671" s="2" t="s">
        <v>59</v>
      </c>
      <c r="B671" s="2" t="s">
        <v>60</v>
      </c>
      <c r="C671" s="2" t="s">
        <v>6562</v>
      </c>
      <c r="D671" s="2" t="s">
        <v>6563</v>
      </c>
      <c r="E671" s="2" t="s">
        <v>6564</v>
      </c>
      <c r="F671" s="3" t="s">
        <v>6565</v>
      </c>
      <c r="G671" s="3" t="s">
        <v>64</v>
      </c>
      <c r="I671" s="3" t="s">
        <v>64</v>
      </c>
      <c r="J671" s="3" t="s">
        <v>64</v>
      </c>
      <c r="K671" s="3" t="s">
        <v>65</v>
      </c>
      <c r="L671" s="2" t="s">
        <v>6566</v>
      </c>
      <c r="M671" s="2" t="s">
        <v>6567</v>
      </c>
      <c r="N671" s="3" t="s">
        <v>67</v>
      </c>
      <c r="P671" s="3" t="s">
        <v>365</v>
      </c>
      <c r="Q671" s="2" t="s">
        <v>6568</v>
      </c>
      <c r="R671" s="3" t="s">
        <v>70</v>
      </c>
      <c r="S671" s="4">
        <v>0</v>
      </c>
      <c r="T671" s="4">
        <v>0</v>
      </c>
      <c r="W671" s="5" t="s">
        <v>72</v>
      </c>
      <c r="X671" s="5" t="s">
        <v>72</v>
      </c>
      <c r="Y671" s="4">
        <v>41</v>
      </c>
      <c r="Z671" s="4">
        <v>3</v>
      </c>
      <c r="AA671" s="4">
        <v>3</v>
      </c>
      <c r="AB671" s="4">
        <v>1</v>
      </c>
      <c r="AC671" s="4">
        <v>1</v>
      </c>
      <c r="AD671" s="4">
        <v>22</v>
      </c>
      <c r="AE671" s="4">
        <v>22</v>
      </c>
      <c r="AF671" s="4">
        <v>0</v>
      </c>
      <c r="AG671" s="4">
        <v>0</v>
      </c>
      <c r="AH671" s="4">
        <v>21</v>
      </c>
      <c r="AI671" s="4">
        <v>21</v>
      </c>
      <c r="AJ671" s="4">
        <v>1</v>
      </c>
      <c r="AK671" s="4">
        <v>1</v>
      </c>
      <c r="AL671" s="4">
        <v>19</v>
      </c>
      <c r="AM671" s="4">
        <v>19</v>
      </c>
      <c r="AN671" s="4">
        <v>0</v>
      </c>
      <c r="AO671" s="4">
        <v>0</v>
      </c>
      <c r="AP671" s="4">
        <v>1</v>
      </c>
      <c r="AQ671" s="4">
        <v>1</v>
      </c>
      <c r="AR671" s="3" t="s">
        <v>64</v>
      </c>
      <c r="AS671" s="3" t="s">
        <v>64</v>
      </c>
      <c r="AT671" s="3" t="s">
        <v>64</v>
      </c>
      <c r="AV671" s="6" t="str">
        <f>HYPERLINK("http://mcgill.on.worldcat.org/oclc/876685850","Catalog Record")</f>
        <v>Catalog Record</v>
      </c>
      <c r="AW671" s="6" t="str">
        <f>HYPERLINK("http://www.worldcat.org/oclc/876685850","WorldCat Record")</f>
        <v>WorldCat Record</v>
      </c>
      <c r="AX671" s="3" t="s">
        <v>6569</v>
      </c>
      <c r="AY671" s="3" t="s">
        <v>6570</v>
      </c>
      <c r="AZ671" s="3" t="s">
        <v>6571</v>
      </c>
      <c r="BA671" s="3" t="s">
        <v>6571</v>
      </c>
      <c r="BB671" s="3" t="s">
        <v>6572</v>
      </c>
      <c r="BC671" s="3" t="s">
        <v>77</v>
      </c>
      <c r="BD671" s="3" t="s">
        <v>78</v>
      </c>
      <c r="BE671" s="3" t="s">
        <v>6573</v>
      </c>
      <c r="BF671" s="3" t="s">
        <v>6572</v>
      </c>
      <c r="BG671" s="3" t="s">
        <v>6574</v>
      </c>
      <c r="BH671">
        <f t="shared" si="20"/>
        <v>0</v>
      </c>
    </row>
    <row r="672" spans="1:60" ht="58" x14ac:dyDescent="0.35">
      <c r="A672" s="2" t="s">
        <v>59</v>
      </c>
      <c r="B672" s="2" t="s">
        <v>60</v>
      </c>
      <c r="C672" s="2" t="s">
        <v>6575</v>
      </c>
      <c r="D672" s="2" t="s">
        <v>6576</v>
      </c>
      <c r="E672" s="2" t="s">
        <v>6577</v>
      </c>
      <c r="G672" s="3" t="s">
        <v>64</v>
      </c>
      <c r="H672" s="3" t="s">
        <v>183</v>
      </c>
      <c r="I672" s="3" t="s">
        <v>64</v>
      </c>
      <c r="J672" s="3" t="s">
        <v>64</v>
      </c>
      <c r="K672" s="3" t="s">
        <v>65</v>
      </c>
      <c r="L672" s="2" t="s">
        <v>6578</v>
      </c>
      <c r="M672" s="2" t="s">
        <v>6579</v>
      </c>
      <c r="N672" s="3" t="s">
        <v>1492</v>
      </c>
      <c r="P672" s="3" t="s">
        <v>102</v>
      </c>
      <c r="R672" s="3" t="s">
        <v>70</v>
      </c>
      <c r="S672" s="4">
        <v>0</v>
      </c>
      <c r="T672" s="4">
        <v>0</v>
      </c>
      <c r="W672" s="5" t="s">
        <v>826</v>
      </c>
      <c r="X672" s="5" t="s">
        <v>826</v>
      </c>
      <c r="Y672" s="4">
        <v>70</v>
      </c>
      <c r="Z672" s="4">
        <v>2</v>
      </c>
      <c r="AA672" s="4">
        <v>16</v>
      </c>
      <c r="AB672" s="4">
        <v>1</v>
      </c>
      <c r="AC672" s="4">
        <v>4</v>
      </c>
      <c r="AD672" s="4">
        <v>4</v>
      </c>
      <c r="AE672" s="4">
        <v>52</v>
      </c>
      <c r="AF672" s="4">
        <v>0</v>
      </c>
      <c r="AG672" s="4">
        <v>0</v>
      </c>
      <c r="AH672" s="4">
        <v>4</v>
      </c>
      <c r="AI672" s="4">
        <v>48</v>
      </c>
      <c r="AJ672" s="4">
        <v>1</v>
      </c>
      <c r="AK672" s="4">
        <v>5</v>
      </c>
      <c r="AL672" s="4">
        <v>2</v>
      </c>
      <c r="AM672" s="4">
        <v>28</v>
      </c>
      <c r="AN672" s="4">
        <v>0</v>
      </c>
      <c r="AO672" s="4">
        <v>0</v>
      </c>
      <c r="AP672" s="4">
        <v>1</v>
      </c>
      <c r="AQ672" s="4">
        <v>6</v>
      </c>
      <c r="AR672" s="3" t="s">
        <v>64</v>
      </c>
      <c r="AS672" s="3" t="s">
        <v>64</v>
      </c>
      <c r="AT672" s="3" t="s">
        <v>64</v>
      </c>
      <c r="AV672" s="6" t="str">
        <f>HYPERLINK("http://mcgill.on.worldcat.org/oclc/1089801553","Catalog Record")</f>
        <v>Catalog Record</v>
      </c>
      <c r="AW672" s="6" t="str">
        <f>HYPERLINK("http://www.worldcat.org/oclc/1089801553","WorldCat Record")</f>
        <v>WorldCat Record</v>
      </c>
      <c r="AX672" s="3" t="s">
        <v>6580</v>
      </c>
      <c r="AY672" s="3" t="s">
        <v>6581</v>
      </c>
      <c r="AZ672" s="3" t="s">
        <v>6582</v>
      </c>
      <c r="BA672" s="3" t="s">
        <v>6582</v>
      </c>
      <c r="BB672" s="3" t="s">
        <v>6583</v>
      </c>
      <c r="BC672" s="3" t="s">
        <v>77</v>
      </c>
      <c r="BD672" s="3" t="s">
        <v>78</v>
      </c>
      <c r="BE672" s="3" t="s">
        <v>6584</v>
      </c>
      <c r="BF672" s="3" t="s">
        <v>6583</v>
      </c>
      <c r="BG672" s="3" t="s">
        <v>6585</v>
      </c>
      <c r="BH672">
        <f t="shared" si="20"/>
        <v>0</v>
      </c>
    </row>
    <row r="673" spans="1:60" ht="72.5" x14ac:dyDescent="0.35">
      <c r="A673" s="2" t="s">
        <v>59</v>
      </c>
      <c r="B673" s="2" t="s">
        <v>60</v>
      </c>
      <c r="C673" s="2" t="s">
        <v>6586</v>
      </c>
      <c r="D673" s="2" t="s">
        <v>6587</v>
      </c>
      <c r="E673" s="2" t="s">
        <v>6588</v>
      </c>
      <c r="F673" s="3" t="s">
        <v>6589</v>
      </c>
      <c r="G673" s="3" t="s">
        <v>64</v>
      </c>
      <c r="I673" s="3" t="s">
        <v>64</v>
      </c>
      <c r="J673" s="3" t="s">
        <v>64</v>
      </c>
      <c r="K673" s="3" t="s">
        <v>65</v>
      </c>
      <c r="L673" s="2" t="s">
        <v>6590</v>
      </c>
      <c r="M673" s="2" t="s">
        <v>6591</v>
      </c>
      <c r="N673" s="3" t="s">
        <v>5609</v>
      </c>
      <c r="P673" s="3" t="s">
        <v>1479</v>
      </c>
      <c r="Q673" s="2" t="s">
        <v>6592</v>
      </c>
      <c r="R673" s="3" t="s">
        <v>70</v>
      </c>
      <c r="S673" s="4">
        <v>2</v>
      </c>
      <c r="T673" s="4">
        <v>2</v>
      </c>
      <c r="U673" s="5" t="s">
        <v>2187</v>
      </c>
      <c r="V673" s="5" t="s">
        <v>2187</v>
      </c>
      <c r="W673" s="5" t="s">
        <v>72</v>
      </c>
      <c r="X673" s="5" t="s">
        <v>72</v>
      </c>
      <c r="Y673" s="4">
        <v>150</v>
      </c>
      <c r="Z673" s="4">
        <v>8</v>
      </c>
      <c r="AA673" s="4">
        <v>11</v>
      </c>
      <c r="AB673" s="4">
        <v>2</v>
      </c>
      <c r="AC673" s="4">
        <v>2</v>
      </c>
      <c r="AD673" s="4">
        <v>67</v>
      </c>
      <c r="AE673" s="4">
        <v>69</v>
      </c>
      <c r="AF673" s="4">
        <v>0</v>
      </c>
      <c r="AG673" s="4">
        <v>0</v>
      </c>
      <c r="AH673" s="4">
        <v>61</v>
      </c>
      <c r="AI673" s="4">
        <v>62</v>
      </c>
      <c r="AJ673" s="4">
        <v>6</v>
      </c>
      <c r="AK673" s="4">
        <v>8</v>
      </c>
      <c r="AL673" s="4">
        <v>42</v>
      </c>
      <c r="AM673" s="4">
        <v>43</v>
      </c>
      <c r="AN673" s="4">
        <v>5</v>
      </c>
      <c r="AO673" s="4">
        <v>5</v>
      </c>
      <c r="AP673" s="4">
        <v>6</v>
      </c>
      <c r="AQ673" s="4">
        <v>8</v>
      </c>
      <c r="AR673" s="3" t="s">
        <v>64</v>
      </c>
      <c r="AS673" s="3" t="s">
        <v>64</v>
      </c>
      <c r="AT673" s="3" t="s">
        <v>128</v>
      </c>
      <c r="AU673" s="6" t="str">
        <f>HYPERLINK("http://catalog.hathitrust.org/Record/001641210","HathiTrust Record")</f>
        <v>HathiTrust Record</v>
      </c>
      <c r="AV673" s="6" t="str">
        <f>HYPERLINK("http://mcgill.on.worldcat.org/oclc/27795864","Catalog Record")</f>
        <v>Catalog Record</v>
      </c>
      <c r="AW673" s="6" t="str">
        <f>HYPERLINK("http://www.worldcat.org/oclc/27795864","WorldCat Record")</f>
        <v>WorldCat Record</v>
      </c>
      <c r="AX673" s="3" t="s">
        <v>6593</v>
      </c>
      <c r="AY673" s="3" t="s">
        <v>6594</v>
      </c>
      <c r="AZ673" s="3" t="s">
        <v>6595</v>
      </c>
      <c r="BA673" s="3" t="s">
        <v>6595</v>
      </c>
      <c r="BB673" s="3" t="s">
        <v>6596</v>
      </c>
      <c r="BC673" s="3" t="s">
        <v>77</v>
      </c>
      <c r="BD673" s="3" t="s">
        <v>78</v>
      </c>
      <c r="BF673" s="3" t="s">
        <v>6596</v>
      </c>
      <c r="BG673" s="3" t="s">
        <v>6597</v>
      </c>
      <c r="BH673">
        <f t="shared" si="20"/>
        <v>0</v>
      </c>
    </row>
    <row r="674" spans="1:60" ht="58" x14ac:dyDescent="0.35">
      <c r="A674" s="2" t="s">
        <v>59</v>
      </c>
      <c r="B674" s="2" t="s">
        <v>60</v>
      </c>
      <c r="C674" s="2" t="s">
        <v>6598</v>
      </c>
      <c r="D674" s="2" t="s">
        <v>6599</v>
      </c>
      <c r="E674" s="2" t="s">
        <v>6600</v>
      </c>
      <c r="G674" s="3" t="s">
        <v>64</v>
      </c>
      <c r="I674" s="3" t="s">
        <v>64</v>
      </c>
      <c r="J674" s="3" t="s">
        <v>64</v>
      </c>
      <c r="K674" s="3" t="s">
        <v>65</v>
      </c>
      <c r="M674" s="2" t="s">
        <v>6601</v>
      </c>
      <c r="N674" s="3" t="s">
        <v>537</v>
      </c>
      <c r="P674" s="3" t="s">
        <v>102</v>
      </c>
      <c r="Q674" s="2" t="s">
        <v>6602</v>
      </c>
      <c r="R674" s="3" t="s">
        <v>70</v>
      </c>
      <c r="S674" s="4">
        <v>0</v>
      </c>
      <c r="T674" s="4">
        <v>0</v>
      </c>
      <c r="W674" s="5" t="s">
        <v>72</v>
      </c>
      <c r="X674" s="5" t="s">
        <v>72</v>
      </c>
      <c r="Y674" s="4">
        <v>36</v>
      </c>
      <c r="Z674" s="4">
        <v>4</v>
      </c>
      <c r="AA674" s="4">
        <v>22</v>
      </c>
      <c r="AB674" s="4">
        <v>1</v>
      </c>
      <c r="AC674" s="4">
        <v>4</v>
      </c>
      <c r="AD674" s="4">
        <v>25</v>
      </c>
      <c r="AE674" s="4">
        <v>63</v>
      </c>
      <c r="AF674" s="4">
        <v>0</v>
      </c>
      <c r="AG674" s="4">
        <v>1</v>
      </c>
      <c r="AH674" s="4">
        <v>24</v>
      </c>
      <c r="AI674" s="4">
        <v>53</v>
      </c>
      <c r="AJ674" s="4">
        <v>3</v>
      </c>
      <c r="AK674" s="4">
        <v>8</v>
      </c>
      <c r="AL674" s="4">
        <v>12</v>
      </c>
      <c r="AM674" s="4">
        <v>29</v>
      </c>
      <c r="AN674" s="4">
        <v>0</v>
      </c>
      <c r="AO674" s="4">
        <v>0</v>
      </c>
      <c r="AP674" s="4">
        <v>3</v>
      </c>
      <c r="AQ674" s="4">
        <v>14</v>
      </c>
      <c r="AR674" s="3" t="s">
        <v>64</v>
      </c>
      <c r="AS674" s="3" t="s">
        <v>64</v>
      </c>
      <c r="AT674" s="3" t="s">
        <v>64</v>
      </c>
      <c r="AV674" s="6" t="str">
        <f>HYPERLINK("http://mcgill.on.worldcat.org/oclc/956637771","Catalog Record")</f>
        <v>Catalog Record</v>
      </c>
      <c r="AW674" s="6" t="str">
        <f>HYPERLINK("http://www.worldcat.org/oclc/956637771","WorldCat Record")</f>
        <v>WorldCat Record</v>
      </c>
      <c r="AX674" s="3" t="s">
        <v>6603</v>
      </c>
      <c r="AY674" s="3" t="s">
        <v>6604</v>
      </c>
      <c r="AZ674" s="3" t="s">
        <v>6605</v>
      </c>
      <c r="BA674" s="3" t="s">
        <v>6605</v>
      </c>
      <c r="BB674" s="3" t="s">
        <v>6606</v>
      </c>
      <c r="BC674" s="3" t="s">
        <v>77</v>
      </c>
      <c r="BD674" s="3" t="s">
        <v>78</v>
      </c>
      <c r="BE674" s="3" t="s">
        <v>6607</v>
      </c>
      <c r="BF674" s="3" t="s">
        <v>6606</v>
      </c>
      <c r="BG674" s="3" t="s">
        <v>6608</v>
      </c>
      <c r="BH674">
        <f t="shared" si="20"/>
        <v>0</v>
      </c>
    </row>
    <row r="675" spans="1:60" ht="58" x14ac:dyDescent="0.35">
      <c r="A675" s="2" t="s">
        <v>59</v>
      </c>
      <c r="B675" s="2" t="s">
        <v>60</v>
      </c>
      <c r="C675" s="2" t="s">
        <v>6609</v>
      </c>
      <c r="D675" s="2" t="s">
        <v>6610</v>
      </c>
      <c r="E675" s="2" t="s">
        <v>6611</v>
      </c>
      <c r="G675" s="3" t="s">
        <v>64</v>
      </c>
      <c r="I675" s="3" t="s">
        <v>64</v>
      </c>
      <c r="J675" s="3" t="s">
        <v>64</v>
      </c>
      <c r="K675" s="3" t="s">
        <v>65</v>
      </c>
      <c r="L675" s="2" t="s">
        <v>6612</v>
      </c>
      <c r="M675" s="2" t="s">
        <v>6613</v>
      </c>
      <c r="N675" s="3" t="s">
        <v>578</v>
      </c>
      <c r="O675" s="2" t="s">
        <v>117</v>
      </c>
      <c r="P675" s="3" t="s">
        <v>102</v>
      </c>
      <c r="R675" s="3" t="s">
        <v>70</v>
      </c>
      <c r="S675" s="4">
        <v>4</v>
      </c>
      <c r="T675" s="4">
        <v>4</v>
      </c>
      <c r="U675" s="5" t="s">
        <v>6614</v>
      </c>
      <c r="V675" s="5" t="s">
        <v>6614</v>
      </c>
      <c r="W675" s="5" t="s">
        <v>72</v>
      </c>
      <c r="X675" s="5" t="s">
        <v>72</v>
      </c>
      <c r="Y675" s="4">
        <v>138</v>
      </c>
      <c r="Z675" s="4">
        <v>6</v>
      </c>
      <c r="AA675" s="4">
        <v>13</v>
      </c>
      <c r="AB675" s="4">
        <v>1</v>
      </c>
      <c r="AC675" s="4">
        <v>5</v>
      </c>
      <c r="AD675" s="4">
        <v>47</v>
      </c>
      <c r="AE675" s="4">
        <v>60</v>
      </c>
      <c r="AF675" s="4">
        <v>0</v>
      </c>
      <c r="AG675" s="4">
        <v>2</v>
      </c>
      <c r="AH675" s="4">
        <v>44</v>
      </c>
      <c r="AI675" s="4">
        <v>54</v>
      </c>
      <c r="AJ675" s="4">
        <v>5</v>
      </c>
      <c r="AK675" s="4">
        <v>10</v>
      </c>
      <c r="AL675" s="4">
        <v>32</v>
      </c>
      <c r="AM675" s="4">
        <v>37</v>
      </c>
      <c r="AN675" s="4">
        <v>0</v>
      </c>
      <c r="AO675" s="4">
        <v>0</v>
      </c>
      <c r="AP675" s="4">
        <v>5</v>
      </c>
      <c r="AQ675" s="4">
        <v>10</v>
      </c>
      <c r="AR675" s="3" t="s">
        <v>64</v>
      </c>
      <c r="AS675" s="3" t="s">
        <v>64</v>
      </c>
      <c r="AT675" s="3" t="s">
        <v>64</v>
      </c>
      <c r="AV675" s="6" t="str">
        <f>HYPERLINK("http://mcgill.on.worldcat.org/oclc/951759839","Catalog Record")</f>
        <v>Catalog Record</v>
      </c>
      <c r="AW675" s="6" t="str">
        <f>HYPERLINK("http://www.worldcat.org/oclc/951759839","WorldCat Record")</f>
        <v>WorldCat Record</v>
      </c>
      <c r="AX675" s="3" t="s">
        <v>6615</v>
      </c>
      <c r="AY675" s="3" t="s">
        <v>6616</v>
      </c>
      <c r="AZ675" s="3" t="s">
        <v>6617</v>
      </c>
      <c r="BA675" s="3" t="s">
        <v>6617</v>
      </c>
      <c r="BB675" s="3" t="s">
        <v>6618</v>
      </c>
      <c r="BC675" s="3" t="s">
        <v>77</v>
      </c>
      <c r="BD675" s="3" t="s">
        <v>78</v>
      </c>
      <c r="BE675" s="3" t="s">
        <v>6619</v>
      </c>
      <c r="BF675" s="3" t="s">
        <v>6618</v>
      </c>
      <c r="BG675" s="3" t="s">
        <v>6620</v>
      </c>
      <c r="BH675">
        <f t="shared" si="20"/>
        <v>0</v>
      </c>
    </row>
    <row r="676" spans="1:60" ht="58" x14ac:dyDescent="0.35">
      <c r="A676" s="2" t="s">
        <v>59</v>
      </c>
      <c r="B676" s="2" t="s">
        <v>60</v>
      </c>
      <c r="C676" s="2" t="s">
        <v>6621</v>
      </c>
      <c r="D676" s="2" t="s">
        <v>6622</v>
      </c>
      <c r="E676" s="2" t="s">
        <v>6623</v>
      </c>
      <c r="G676" s="3" t="s">
        <v>64</v>
      </c>
      <c r="I676" s="3" t="s">
        <v>64</v>
      </c>
      <c r="J676" s="3" t="s">
        <v>64</v>
      </c>
      <c r="K676" s="3" t="s">
        <v>65</v>
      </c>
      <c r="L676" s="2" t="s">
        <v>6624</v>
      </c>
      <c r="M676" s="2" t="s">
        <v>6625</v>
      </c>
      <c r="N676" s="3" t="s">
        <v>1004</v>
      </c>
      <c r="P676" s="3" t="s">
        <v>102</v>
      </c>
      <c r="R676" s="3" t="s">
        <v>70</v>
      </c>
      <c r="S676" s="4">
        <v>16</v>
      </c>
      <c r="T676" s="4">
        <v>16</v>
      </c>
      <c r="U676" s="5" t="s">
        <v>6626</v>
      </c>
      <c r="V676" s="5" t="s">
        <v>6626</v>
      </c>
      <c r="W676" s="5" t="s">
        <v>72</v>
      </c>
      <c r="X676" s="5" t="s">
        <v>72</v>
      </c>
      <c r="Y676" s="4">
        <v>269</v>
      </c>
      <c r="Z676" s="4">
        <v>39</v>
      </c>
      <c r="AA676" s="4">
        <v>45</v>
      </c>
      <c r="AB676" s="4">
        <v>4</v>
      </c>
      <c r="AC676" s="4">
        <v>6</v>
      </c>
      <c r="AD676" s="4">
        <v>86</v>
      </c>
      <c r="AE676" s="4">
        <v>96</v>
      </c>
      <c r="AF676" s="4">
        <v>2</v>
      </c>
      <c r="AG676" s="4">
        <v>3</v>
      </c>
      <c r="AH676" s="4">
        <v>64</v>
      </c>
      <c r="AI676" s="4">
        <v>72</v>
      </c>
      <c r="AJ676" s="4">
        <v>19</v>
      </c>
      <c r="AK676" s="4">
        <v>21</v>
      </c>
      <c r="AL676" s="4">
        <v>39</v>
      </c>
      <c r="AM676" s="4">
        <v>45</v>
      </c>
      <c r="AN676" s="4">
        <v>0</v>
      </c>
      <c r="AO676" s="4">
        <v>0</v>
      </c>
      <c r="AP676" s="4">
        <v>29</v>
      </c>
      <c r="AQ676" s="4">
        <v>32</v>
      </c>
      <c r="AR676" s="3" t="s">
        <v>64</v>
      </c>
      <c r="AS676" s="3" t="s">
        <v>64</v>
      </c>
      <c r="AT676" s="3" t="s">
        <v>128</v>
      </c>
      <c r="AU676" s="6" t="str">
        <f>HYPERLINK("http://catalog.hathitrust.org/Record/000832105","HathiTrust Record")</f>
        <v>HathiTrust Record</v>
      </c>
      <c r="AV676" s="6" t="str">
        <f>HYPERLINK("http://mcgill.on.worldcat.org/oclc/9419752","Catalog Record")</f>
        <v>Catalog Record</v>
      </c>
      <c r="AW676" s="6" t="str">
        <f>HYPERLINK("http://www.worldcat.org/oclc/9419752","WorldCat Record")</f>
        <v>WorldCat Record</v>
      </c>
      <c r="AX676" s="3" t="s">
        <v>6627</v>
      </c>
      <c r="AY676" s="3" t="s">
        <v>6628</v>
      </c>
      <c r="AZ676" s="3" t="s">
        <v>6629</v>
      </c>
      <c r="BA676" s="3" t="s">
        <v>6629</v>
      </c>
      <c r="BB676" s="3" t="s">
        <v>6630</v>
      </c>
      <c r="BC676" s="3" t="s">
        <v>77</v>
      </c>
      <c r="BD676" s="3" t="s">
        <v>78</v>
      </c>
      <c r="BE676" s="3" t="s">
        <v>6631</v>
      </c>
      <c r="BF676" s="3" t="s">
        <v>6630</v>
      </c>
      <c r="BG676" s="3" t="s">
        <v>6632</v>
      </c>
      <c r="BH676">
        <f t="shared" si="20"/>
        <v>0</v>
      </c>
    </row>
    <row r="677" spans="1:60" ht="58" x14ac:dyDescent="0.35">
      <c r="A677" s="2" t="s">
        <v>59</v>
      </c>
      <c r="B677" s="2" t="s">
        <v>60</v>
      </c>
      <c r="C677" s="2" t="s">
        <v>6633</v>
      </c>
      <c r="D677" s="2" t="s">
        <v>6634</v>
      </c>
      <c r="E677" s="2" t="s">
        <v>6635</v>
      </c>
      <c r="G677" s="3" t="s">
        <v>64</v>
      </c>
      <c r="I677" s="3" t="s">
        <v>64</v>
      </c>
      <c r="J677" s="3" t="s">
        <v>64</v>
      </c>
      <c r="K677" s="3" t="s">
        <v>65</v>
      </c>
      <c r="L677" s="2" t="s">
        <v>6636</v>
      </c>
      <c r="M677" s="2" t="s">
        <v>6637</v>
      </c>
      <c r="N677" s="3" t="s">
        <v>3804</v>
      </c>
      <c r="P677" s="3" t="s">
        <v>68</v>
      </c>
      <c r="R677" s="3" t="s">
        <v>70</v>
      </c>
      <c r="S677" s="4">
        <v>1</v>
      </c>
      <c r="T677" s="4">
        <v>1</v>
      </c>
      <c r="U677" s="5" t="s">
        <v>6638</v>
      </c>
      <c r="V677" s="5" t="s">
        <v>6638</v>
      </c>
      <c r="W677" s="5" t="s">
        <v>72</v>
      </c>
      <c r="X677" s="5" t="s">
        <v>72</v>
      </c>
      <c r="Y677" s="4">
        <v>26</v>
      </c>
      <c r="Z677" s="4">
        <v>3</v>
      </c>
      <c r="AA677" s="4">
        <v>17</v>
      </c>
      <c r="AB677" s="4">
        <v>2</v>
      </c>
      <c r="AC677" s="4">
        <v>8</v>
      </c>
      <c r="AD677" s="4">
        <v>12</v>
      </c>
      <c r="AE677" s="4">
        <v>28</v>
      </c>
      <c r="AF677" s="4">
        <v>0</v>
      </c>
      <c r="AG677" s="4">
        <v>3</v>
      </c>
      <c r="AH677" s="4">
        <v>10</v>
      </c>
      <c r="AI677" s="4">
        <v>22</v>
      </c>
      <c r="AJ677" s="4">
        <v>1</v>
      </c>
      <c r="AK677" s="4">
        <v>8</v>
      </c>
      <c r="AL677" s="4">
        <v>8</v>
      </c>
      <c r="AM677" s="4">
        <v>16</v>
      </c>
      <c r="AN677" s="4">
        <v>0</v>
      </c>
      <c r="AO677" s="4">
        <v>0</v>
      </c>
      <c r="AP677" s="4">
        <v>1</v>
      </c>
      <c r="AQ677" s="4">
        <v>7</v>
      </c>
      <c r="AR677" s="3" t="s">
        <v>64</v>
      </c>
      <c r="AS677" s="3" t="s">
        <v>64</v>
      </c>
      <c r="AT677" s="3" t="s">
        <v>128</v>
      </c>
      <c r="AU677" s="6" t="str">
        <f>HYPERLINK("http://catalog.hathitrust.org/Record/006277670","HathiTrust Record")</f>
        <v>HathiTrust Record</v>
      </c>
      <c r="AV677" s="6" t="str">
        <f>HYPERLINK("http://mcgill.on.worldcat.org/oclc/4609587","Catalog Record")</f>
        <v>Catalog Record</v>
      </c>
      <c r="AW677" s="6" t="str">
        <f>HYPERLINK("http://www.worldcat.org/oclc/4609587","WorldCat Record")</f>
        <v>WorldCat Record</v>
      </c>
      <c r="AX677" s="3" t="s">
        <v>6639</v>
      </c>
      <c r="AY677" s="3" t="s">
        <v>6640</v>
      </c>
      <c r="AZ677" s="3" t="s">
        <v>6641</v>
      </c>
      <c r="BA677" s="3" t="s">
        <v>6641</v>
      </c>
      <c r="BB677" s="3" t="s">
        <v>6642</v>
      </c>
      <c r="BC677" s="3" t="s">
        <v>77</v>
      </c>
      <c r="BD677" s="3" t="s">
        <v>78</v>
      </c>
      <c r="BF677" s="3" t="s">
        <v>6642</v>
      </c>
      <c r="BG677" s="3" t="s">
        <v>6643</v>
      </c>
      <c r="BH677">
        <f t="shared" si="20"/>
        <v>0</v>
      </c>
    </row>
    <row r="678" spans="1:60" ht="58" x14ac:dyDescent="0.35">
      <c r="A678" s="2" t="s">
        <v>59</v>
      </c>
      <c r="B678" s="2" t="s">
        <v>60</v>
      </c>
      <c r="C678" s="2" t="s">
        <v>6644</v>
      </c>
      <c r="D678" s="2" t="s">
        <v>6645</v>
      </c>
      <c r="E678" s="2" t="s">
        <v>6646</v>
      </c>
      <c r="G678" s="3" t="s">
        <v>64</v>
      </c>
      <c r="I678" s="3" t="s">
        <v>64</v>
      </c>
      <c r="J678" s="3" t="s">
        <v>64</v>
      </c>
      <c r="K678" s="3" t="s">
        <v>65</v>
      </c>
      <c r="L678" s="2" t="s">
        <v>6647</v>
      </c>
      <c r="M678" s="2" t="s">
        <v>6648</v>
      </c>
      <c r="N678" s="3" t="s">
        <v>2067</v>
      </c>
      <c r="P678" s="3" t="s">
        <v>68</v>
      </c>
      <c r="R678" s="3" t="s">
        <v>70</v>
      </c>
      <c r="S678" s="4">
        <v>5</v>
      </c>
      <c r="T678" s="4">
        <v>5</v>
      </c>
      <c r="U678" s="5" t="s">
        <v>6638</v>
      </c>
      <c r="V678" s="5" t="s">
        <v>6638</v>
      </c>
      <c r="W678" s="5" t="s">
        <v>72</v>
      </c>
      <c r="X678" s="5" t="s">
        <v>72</v>
      </c>
      <c r="Y678" s="4">
        <v>19</v>
      </c>
      <c r="Z678" s="4">
        <v>3</v>
      </c>
      <c r="AA678" s="4">
        <v>13</v>
      </c>
      <c r="AB678" s="4">
        <v>1</v>
      </c>
      <c r="AC678" s="4">
        <v>6</v>
      </c>
      <c r="AD678" s="4">
        <v>4</v>
      </c>
      <c r="AE678" s="4">
        <v>10</v>
      </c>
      <c r="AF678" s="4">
        <v>0</v>
      </c>
      <c r="AG678" s="4">
        <v>4</v>
      </c>
      <c r="AH678" s="4">
        <v>4</v>
      </c>
      <c r="AI678" s="4">
        <v>6</v>
      </c>
      <c r="AJ678" s="4">
        <v>2</v>
      </c>
      <c r="AK678" s="4">
        <v>7</v>
      </c>
      <c r="AL678" s="4">
        <v>1</v>
      </c>
      <c r="AM678" s="4">
        <v>1</v>
      </c>
      <c r="AN678" s="4">
        <v>0</v>
      </c>
      <c r="AO678" s="4">
        <v>0</v>
      </c>
      <c r="AP678" s="4">
        <v>2</v>
      </c>
      <c r="AQ678" s="4">
        <v>7</v>
      </c>
      <c r="AR678" s="3" t="s">
        <v>64</v>
      </c>
      <c r="AS678" s="3" t="s">
        <v>64</v>
      </c>
      <c r="AT678" s="3" t="s">
        <v>64</v>
      </c>
      <c r="AV678" s="6" t="str">
        <f>HYPERLINK("http://mcgill.on.worldcat.org/oclc/22117323","Catalog Record")</f>
        <v>Catalog Record</v>
      </c>
      <c r="AW678" s="6" t="str">
        <f>HYPERLINK("http://www.worldcat.org/oclc/22117323","WorldCat Record")</f>
        <v>WorldCat Record</v>
      </c>
      <c r="AX678" s="3" t="s">
        <v>6649</v>
      </c>
      <c r="AY678" s="3" t="s">
        <v>6650</v>
      </c>
      <c r="AZ678" s="3" t="s">
        <v>6651</v>
      </c>
      <c r="BA678" s="3" t="s">
        <v>6651</v>
      </c>
      <c r="BB678" s="3" t="s">
        <v>6652</v>
      </c>
      <c r="BC678" s="3" t="s">
        <v>77</v>
      </c>
      <c r="BD678" s="3" t="s">
        <v>78</v>
      </c>
      <c r="BE678" s="3" t="s">
        <v>6653</v>
      </c>
      <c r="BF678" s="3" t="s">
        <v>6652</v>
      </c>
      <c r="BG678" s="3" t="s">
        <v>6654</v>
      </c>
      <c r="BH678">
        <f t="shared" si="20"/>
        <v>0</v>
      </c>
    </row>
    <row r="679" spans="1:60" ht="58" x14ac:dyDescent="0.35">
      <c r="A679" s="2" t="s">
        <v>59</v>
      </c>
      <c r="B679" s="2" t="s">
        <v>60</v>
      </c>
      <c r="C679" s="2" t="s">
        <v>6655</v>
      </c>
      <c r="D679" s="2" t="s">
        <v>6656</v>
      </c>
      <c r="E679" s="2" t="s">
        <v>6657</v>
      </c>
      <c r="G679" s="3" t="s">
        <v>64</v>
      </c>
      <c r="I679" s="3" t="s">
        <v>64</v>
      </c>
      <c r="J679" s="3" t="s">
        <v>64</v>
      </c>
      <c r="K679" s="3" t="s">
        <v>65</v>
      </c>
      <c r="L679" s="2" t="s">
        <v>6658</v>
      </c>
      <c r="M679" s="2" t="s">
        <v>6659</v>
      </c>
      <c r="N679" s="3" t="s">
        <v>421</v>
      </c>
      <c r="O679" s="2" t="s">
        <v>6660</v>
      </c>
      <c r="P679" s="3" t="s">
        <v>102</v>
      </c>
      <c r="R679" s="3" t="s">
        <v>70</v>
      </c>
      <c r="S679" s="4">
        <v>3</v>
      </c>
      <c r="T679" s="4">
        <v>3</v>
      </c>
      <c r="U679" s="5" t="s">
        <v>6638</v>
      </c>
      <c r="V679" s="5" t="s">
        <v>6638</v>
      </c>
      <c r="W679" s="5" t="s">
        <v>72</v>
      </c>
      <c r="X679" s="5" t="s">
        <v>72</v>
      </c>
      <c r="Y679" s="4">
        <v>35</v>
      </c>
      <c r="Z679" s="4">
        <v>1</v>
      </c>
      <c r="AA679" s="4">
        <v>1</v>
      </c>
      <c r="AB679" s="4">
        <v>1</v>
      </c>
      <c r="AC679" s="4">
        <v>1</v>
      </c>
      <c r="AD679" s="4">
        <v>6</v>
      </c>
      <c r="AE679" s="4">
        <v>6</v>
      </c>
      <c r="AF679" s="4">
        <v>0</v>
      </c>
      <c r="AG679" s="4">
        <v>0</v>
      </c>
      <c r="AH679" s="4">
        <v>6</v>
      </c>
      <c r="AI679" s="4">
        <v>6</v>
      </c>
      <c r="AJ679" s="4">
        <v>0</v>
      </c>
      <c r="AK679" s="4">
        <v>0</v>
      </c>
      <c r="AL679" s="4">
        <v>4</v>
      </c>
      <c r="AM679" s="4">
        <v>4</v>
      </c>
      <c r="AN679" s="4">
        <v>0</v>
      </c>
      <c r="AO679" s="4">
        <v>0</v>
      </c>
      <c r="AP679" s="4">
        <v>0</v>
      </c>
      <c r="AQ679" s="4">
        <v>0</v>
      </c>
      <c r="AR679" s="3" t="s">
        <v>64</v>
      </c>
      <c r="AS679" s="3" t="s">
        <v>64</v>
      </c>
      <c r="AT679" s="3" t="s">
        <v>64</v>
      </c>
      <c r="AV679" s="6" t="str">
        <f>HYPERLINK("http://mcgill.on.worldcat.org/oclc/59585831","Catalog Record")</f>
        <v>Catalog Record</v>
      </c>
      <c r="AW679" s="6" t="str">
        <f>HYPERLINK("http://www.worldcat.org/oclc/59585831","WorldCat Record")</f>
        <v>WorldCat Record</v>
      </c>
      <c r="AX679" s="3" t="s">
        <v>6661</v>
      </c>
      <c r="AY679" s="3" t="s">
        <v>6662</v>
      </c>
      <c r="AZ679" s="3" t="s">
        <v>6663</v>
      </c>
      <c r="BA679" s="3" t="s">
        <v>6663</v>
      </c>
      <c r="BB679" s="3" t="s">
        <v>6664</v>
      </c>
      <c r="BC679" s="3" t="s">
        <v>77</v>
      </c>
      <c r="BD679" s="3" t="s">
        <v>78</v>
      </c>
      <c r="BE679" s="3" t="s">
        <v>6665</v>
      </c>
      <c r="BF679" s="3" t="s">
        <v>6664</v>
      </c>
      <c r="BG679" s="3" t="s">
        <v>6666</v>
      </c>
      <c r="BH679">
        <f t="shared" si="20"/>
        <v>0</v>
      </c>
    </row>
    <row r="680" spans="1:60" ht="58" x14ac:dyDescent="0.35">
      <c r="A680" s="2" t="s">
        <v>59</v>
      </c>
      <c r="B680" s="2" t="s">
        <v>60</v>
      </c>
      <c r="C680" s="2" t="s">
        <v>6667</v>
      </c>
      <c r="D680" s="2" t="s">
        <v>6668</v>
      </c>
      <c r="E680" s="2" t="s">
        <v>6669</v>
      </c>
      <c r="G680" s="3" t="s">
        <v>64</v>
      </c>
      <c r="I680" s="3" t="s">
        <v>64</v>
      </c>
      <c r="J680" s="3" t="s">
        <v>64</v>
      </c>
      <c r="K680" s="3" t="s">
        <v>65</v>
      </c>
      <c r="L680" s="2" t="s">
        <v>3525</v>
      </c>
      <c r="M680" s="2" t="s">
        <v>6670</v>
      </c>
      <c r="N680" s="3" t="s">
        <v>898</v>
      </c>
      <c r="P680" s="3" t="s">
        <v>102</v>
      </c>
      <c r="Q680" s="2" t="s">
        <v>6671</v>
      </c>
      <c r="R680" s="3" t="s">
        <v>70</v>
      </c>
      <c r="S680" s="4">
        <v>16</v>
      </c>
      <c r="T680" s="4">
        <v>16</v>
      </c>
      <c r="U680" s="5" t="s">
        <v>6672</v>
      </c>
      <c r="V680" s="5" t="s">
        <v>6672</v>
      </c>
      <c r="W680" s="5" t="s">
        <v>72</v>
      </c>
      <c r="X680" s="5" t="s">
        <v>72</v>
      </c>
      <c r="Y680" s="4">
        <v>186</v>
      </c>
      <c r="Z680" s="4">
        <v>15</v>
      </c>
      <c r="AA680" s="4">
        <v>34</v>
      </c>
      <c r="AB680" s="4">
        <v>1</v>
      </c>
      <c r="AC680" s="4">
        <v>3</v>
      </c>
      <c r="AD680" s="4">
        <v>41</v>
      </c>
      <c r="AE680" s="4">
        <v>95</v>
      </c>
      <c r="AF680" s="4">
        <v>0</v>
      </c>
      <c r="AG680" s="4">
        <v>2</v>
      </c>
      <c r="AH680" s="4">
        <v>34</v>
      </c>
      <c r="AI680" s="4">
        <v>83</v>
      </c>
      <c r="AJ680" s="4">
        <v>8</v>
      </c>
      <c r="AK680" s="4">
        <v>16</v>
      </c>
      <c r="AL680" s="4">
        <v>19</v>
      </c>
      <c r="AM680" s="4">
        <v>44</v>
      </c>
      <c r="AN680" s="4">
        <v>0</v>
      </c>
      <c r="AO680" s="4">
        <v>0</v>
      </c>
      <c r="AP680" s="4">
        <v>10</v>
      </c>
      <c r="AQ680" s="4">
        <v>19</v>
      </c>
      <c r="AR680" s="3" t="s">
        <v>64</v>
      </c>
      <c r="AS680" s="3" t="s">
        <v>64</v>
      </c>
      <c r="AT680" s="3" t="s">
        <v>64</v>
      </c>
      <c r="AV680" s="6" t="str">
        <f>HYPERLINK("http://mcgill.on.worldcat.org/oclc/7614463","Catalog Record")</f>
        <v>Catalog Record</v>
      </c>
      <c r="AW680" s="6" t="str">
        <f>HYPERLINK("http://www.worldcat.org/oclc/7614463","WorldCat Record")</f>
        <v>WorldCat Record</v>
      </c>
      <c r="AX680" s="3" t="s">
        <v>6673</v>
      </c>
      <c r="AY680" s="3" t="s">
        <v>6674</v>
      </c>
      <c r="AZ680" s="3" t="s">
        <v>6675</v>
      </c>
      <c r="BA680" s="3" t="s">
        <v>6675</v>
      </c>
      <c r="BB680" s="3" t="s">
        <v>6676</v>
      </c>
      <c r="BC680" s="3" t="s">
        <v>77</v>
      </c>
      <c r="BD680" s="3" t="s">
        <v>78</v>
      </c>
      <c r="BE680" s="3" t="s">
        <v>6677</v>
      </c>
      <c r="BF680" s="3" t="s">
        <v>6676</v>
      </c>
      <c r="BG680" s="3" t="s">
        <v>6678</v>
      </c>
      <c r="BH680">
        <f t="shared" si="20"/>
        <v>0</v>
      </c>
    </row>
    <row r="681" spans="1:60" ht="72.5" x14ac:dyDescent="0.35">
      <c r="A681" s="2" t="s">
        <v>59</v>
      </c>
      <c r="B681" s="2" t="s">
        <v>1025</v>
      </c>
      <c r="C681" s="2" t="s">
        <v>6679</v>
      </c>
      <c r="D681" s="2" t="s">
        <v>6680</v>
      </c>
      <c r="E681" s="2" t="s">
        <v>6681</v>
      </c>
      <c r="G681" s="3" t="s">
        <v>64</v>
      </c>
      <c r="I681" s="3" t="s">
        <v>128</v>
      </c>
      <c r="J681" s="3" t="s">
        <v>64</v>
      </c>
      <c r="K681" s="3" t="s">
        <v>65</v>
      </c>
      <c r="L681" s="2" t="s">
        <v>6682</v>
      </c>
      <c r="M681" s="2" t="s">
        <v>6683</v>
      </c>
      <c r="N681" s="3" t="s">
        <v>481</v>
      </c>
      <c r="P681" s="3" t="s">
        <v>102</v>
      </c>
      <c r="R681" s="3" t="s">
        <v>70</v>
      </c>
      <c r="S681" s="4">
        <v>6</v>
      </c>
      <c r="T681" s="4">
        <v>6</v>
      </c>
      <c r="U681" s="5" t="s">
        <v>6684</v>
      </c>
      <c r="V681" s="5" t="s">
        <v>6684</v>
      </c>
      <c r="W681" s="5" t="s">
        <v>72</v>
      </c>
      <c r="X681" s="5" t="s">
        <v>72</v>
      </c>
      <c r="Y681" s="4">
        <v>208</v>
      </c>
      <c r="Z681" s="4">
        <v>5</v>
      </c>
      <c r="AA681" s="4">
        <v>27</v>
      </c>
      <c r="AB681" s="4">
        <v>1</v>
      </c>
      <c r="AC681" s="4">
        <v>3</v>
      </c>
      <c r="AD681" s="4">
        <v>47</v>
      </c>
      <c r="AE681" s="4">
        <v>85</v>
      </c>
      <c r="AF681" s="4">
        <v>0</v>
      </c>
      <c r="AG681" s="4">
        <v>1</v>
      </c>
      <c r="AH681" s="4">
        <v>47</v>
      </c>
      <c r="AI681" s="4">
        <v>76</v>
      </c>
      <c r="AJ681" s="4">
        <v>3</v>
      </c>
      <c r="AK681" s="4">
        <v>12</v>
      </c>
      <c r="AL681" s="4">
        <v>27</v>
      </c>
      <c r="AM681" s="4">
        <v>42</v>
      </c>
      <c r="AN681" s="4">
        <v>0</v>
      </c>
      <c r="AO681" s="4">
        <v>0</v>
      </c>
      <c r="AP681" s="4">
        <v>3</v>
      </c>
      <c r="AQ681" s="4">
        <v>14</v>
      </c>
      <c r="AR681" s="3" t="s">
        <v>64</v>
      </c>
      <c r="AS681" s="3" t="s">
        <v>64</v>
      </c>
      <c r="AT681" s="3" t="s">
        <v>64</v>
      </c>
      <c r="AV681" s="6" t="str">
        <f>HYPERLINK("http://mcgill.on.worldcat.org/oclc/96090","Catalog Record")</f>
        <v>Catalog Record</v>
      </c>
      <c r="AW681" s="6" t="str">
        <f>HYPERLINK("http://www.worldcat.org/oclc/96090","WorldCat Record")</f>
        <v>WorldCat Record</v>
      </c>
      <c r="AX681" s="3" t="s">
        <v>6685</v>
      </c>
      <c r="AY681" s="3" t="s">
        <v>6686</v>
      </c>
      <c r="AZ681" s="3" t="s">
        <v>6687</v>
      </c>
      <c r="BA681" s="3" t="s">
        <v>6687</v>
      </c>
      <c r="BB681" s="3" t="s">
        <v>6688</v>
      </c>
      <c r="BC681" s="3" t="s">
        <v>77</v>
      </c>
      <c r="BD681" s="3" t="s">
        <v>78</v>
      </c>
      <c r="BF681" s="3" t="s">
        <v>6688</v>
      </c>
      <c r="BG681" s="3" t="s">
        <v>6689</v>
      </c>
      <c r="BH681">
        <f t="shared" si="20"/>
        <v>0</v>
      </c>
    </row>
    <row r="682" spans="1:60" ht="58" x14ac:dyDescent="0.35">
      <c r="A682" s="2" t="s">
        <v>1040</v>
      </c>
      <c r="B682" s="2" t="s">
        <v>60</v>
      </c>
      <c r="C682" s="2" t="s">
        <v>6690</v>
      </c>
      <c r="D682" s="2" t="s">
        <v>6691</v>
      </c>
      <c r="E682" s="2" t="s">
        <v>6692</v>
      </c>
      <c r="G682" s="3" t="s">
        <v>64</v>
      </c>
      <c r="I682" s="3" t="s">
        <v>64</v>
      </c>
      <c r="J682" s="3" t="s">
        <v>64</v>
      </c>
      <c r="K682" s="3" t="s">
        <v>65</v>
      </c>
      <c r="L682" s="2" t="s">
        <v>6693</v>
      </c>
      <c r="M682" s="2" t="s">
        <v>6694</v>
      </c>
      <c r="N682" s="3" t="s">
        <v>1075</v>
      </c>
      <c r="P682" s="3" t="s">
        <v>102</v>
      </c>
      <c r="R682" s="3" t="s">
        <v>70</v>
      </c>
      <c r="S682" s="4">
        <v>0</v>
      </c>
      <c r="T682" s="4">
        <v>0</v>
      </c>
      <c r="W682" s="5" t="s">
        <v>72</v>
      </c>
      <c r="X682" s="5" t="s">
        <v>72</v>
      </c>
      <c r="Y682" s="4">
        <v>55</v>
      </c>
      <c r="Z682" s="4">
        <v>5</v>
      </c>
      <c r="AA682" s="4">
        <v>6</v>
      </c>
      <c r="AB682" s="4">
        <v>1</v>
      </c>
      <c r="AC682" s="4">
        <v>2</v>
      </c>
      <c r="AD682" s="4">
        <v>12</v>
      </c>
      <c r="AE682" s="4">
        <v>14</v>
      </c>
      <c r="AF682" s="4">
        <v>0</v>
      </c>
      <c r="AG682" s="4">
        <v>1</v>
      </c>
      <c r="AH682" s="4">
        <v>10</v>
      </c>
      <c r="AI682" s="4">
        <v>12</v>
      </c>
      <c r="AJ682" s="4">
        <v>2</v>
      </c>
      <c r="AK682" s="4">
        <v>3</v>
      </c>
      <c r="AL682" s="4">
        <v>6</v>
      </c>
      <c r="AM682" s="4">
        <v>7</v>
      </c>
      <c r="AN682" s="4">
        <v>0</v>
      </c>
      <c r="AO682" s="4">
        <v>0</v>
      </c>
      <c r="AP682" s="4">
        <v>2</v>
      </c>
      <c r="AQ682" s="4">
        <v>3</v>
      </c>
      <c r="AR682" s="3" t="s">
        <v>64</v>
      </c>
      <c r="AS682" s="3" t="s">
        <v>64</v>
      </c>
      <c r="AT682" s="3" t="s">
        <v>64</v>
      </c>
      <c r="AV682" s="6" t="str">
        <f>HYPERLINK("http://mcgill.on.worldcat.org/oclc/846736853","Catalog Record")</f>
        <v>Catalog Record</v>
      </c>
      <c r="AW682" s="6" t="str">
        <f>HYPERLINK("http://www.worldcat.org/oclc/846736853","WorldCat Record")</f>
        <v>WorldCat Record</v>
      </c>
      <c r="AX682" s="3" t="s">
        <v>6695</v>
      </c>
      <c r="AY682" s="3" t="s">
        <v>6696</v>
      </c>
      <c r="AZ682" s="3" t="s">
        <v>6697</v>
      </c>
      <c r="BA682" s="3" t="s">
        <v>6697</v>
      </c>
      <c r="BB682" s="3" t="s">
        <v>6698</v>
      </c>
      <c r="BC682" s="3" t="s">
        <v>77</v>
      </c>
      <c r="BD682" s="3" t="s">
        <v>78</v>
      </c>
      <c r="BE682" s="3" t="s">
        <v>6699</v>
      </c>
      <c r="BF682" s="3" t="s">
        <v>6698</v>
      </c>
      <c r="BG682" s="3" t="s">
        <v>6700</v>
      </c>
      <c r="BH682">
        <f t="shared" si="20"/>
        <v>0</v>
      </c>
    </row>
    <row r="683" spans="1:60" ht="58" x14ac:dyDescent="0.35">
      <c r="A683" s="2" t="s">
        <v>59</v>
      </c>
      <c r="B683" s="2" t="s">
        <v>60</v>
      </c>
      <c r="C683" s="2" t="s">
        <v>6701</v>
      </c>
      <c r="D683" s="2" t="s">
        <v>6702</v>
      </c>
      <c r="E683" s="2" t="s">
        <v>6703</v>
      </c>
      <c r="G683" s="3" t="s">
        <v>64</v>
      </c>
      <c r="I683" s="3" t="s">
        <v>64</v>
      </c>
      <c r="J683" s="3" t="s">
        <v>64</v>
      </c>
      <c r="K683" s="3" t="s">
        <v>65</v>
      </c>
      <c r="L683" s="2" t="s">
        <v>6704</v>
      </c>
      <c r="M683" s="2" t="s">
        <v>6705</v>
      </c>
      <c r="N683" s="3" t="s">
        <v>159</v>
      </c>
      <c r="P683" s="3" t="s">
        <v>102</v>
      </c>
      <c r="Q683" s="2" t="s">
        <v>6706</v>
      </c>
      <c r="R683" s="3" t="s">
        <v>70</v>
      </c>
      <c r="S683" s="4">
        <v>13</v>
      </c>
      <c r="T683" s="4">
        <v>13</v>
      </c>
      <c r="U683" s="5" t="s">
        <v>3048</v>
      </c>
      <c r="V683" s="5" t="s">
        <v>3048</v>
      </c>
      <c r="W683" s="5" t="s">
        <v>72</v>
      </c>
      <c r="X683" s="5" t="s">
        <v>72</v>
      </c>
      <c r="Y683" s="4">
        <v>217</v>
      </c>
      <c r="Z683" s="4">
        <v>11</v>
      </c>
      <c r="AA683" s="4">
        <v>14</v>
      </c>
      <c r="AB683" s="4">
        <v>1</v>
      </c>
      <c r="AC683" s="4">
        <v>2</v>
      </c>
      <c r="AD683" s="4">
        <v>90</v>
      </c>
      <c r="AE683" s="4">
        <v>94</v>
      </c>
      <c r="AF683" s="4">
        <v>0</v>
      </c>
      <c r="AG683" s="4">
        <v>0</v>
      </c>
      <c r="AH683" s="4">
        <v>85</v>
      </c>
      <c r="AI683" s="4">
        <v>87</v>
      </c>
      <c r="AJ683" s="4">
        <v>9</v>
      </c>
      <c r="AK683" s="4">
        <v>9</v>
      </c>
      <c r="AL683" s="4">
        <v>51</v>
      </c>
      <c r="AM683" s="4">
        <v>53</v>
      </c>
      <c r="AN683" s="4">
        <v>0</v>
      </c>
      <c r="AO683" s="4">
        <v>0</v>
      </c>
      <c r="AP683" s="4">
        <v>9</v>
      </c>
      <c r="AQ683" s="4">
        <v>10</v>
      </c>
      <c r="AR683" s="3" t="s">
        <v>64</v>
      </c>
      <c r="AS683" s="3" t="s">
        <v>64</v>
      </c>
      <c r="AT683" s="3" t="s">
        <v>64</v>
      </c>
      <c r="AV683" s="6" t="str">
        <f>HYPERLINK("http://mcgill.on.worldcat.org/oclc/50192128","Catalog Record")</f>
        <v>Catalog Record</v>
      </c>
      <c r="AW683" s="6" t="str">
        <f>HYPERLINK("http://www.worldcat.org/oclc/50192128","WorldCat Record")</f>
        <v>WorldCat Record</v>
      </c>
      <c r="AX683" s="3" t="s">
        <v>6707</v>
      </c>
      <c r="AY683" s="3" t="s">
        <v>6708</v>
      </c>
      <c r="AZ683" s="3" t="s">
        <v>6709</v>
      </c>
      <c r="BA683" s="3" t="s">
        <v>6709</v>
      </c>
      <c r="BB683" s="3" t="s">
        <v>6710</v>
      </c>
      <c r="BC683" s="3" t="s">
        <v>77</v>
      </c>
      <c r="BD683" s="3" t="s">
        <v>78</v>
      </c>
      <c r="BE683" s="3" t="s">
        <v>6711</v>
      </c>
      <c r="BF683" s="3" t="s">
        <v>6710</v>
      </c>
      <c r="BG683" s="3" t="s">
        <v>6712</v>
      </c>
      <c r="BH683">
        <f t="shared" si="20"/>
        <v>0</v>
      </c>
    </row>
    <row r="684" spans="1:60" ht="101.5" x14ac:dyDescent="0.35">
      <c r="A684" s="2" t="s">
        <v>59</v>
      </c>
      <c r="B684" s="2" t="s">
        <v>60</v>
      </c>
      <c r="C684" s="2" t="s">
        <v>6713</v>
      </c>
      <c r="D684" s="2" t="s">
        <v>6714</v>
      </c>
      <c r="E684" s="2" t="s">
        <v>6715</v>
      </c>
      <c r="G684" s="3" t="s">
        <v>64</v>
      </c>
      <c r="I684" s="3" t="s">
        <v>64</v>
      </c>
      <c r="J684" s="3" t="s">
        <v>64</v>
      </c>
      <c r="K684" s="3" t="s">
        <v>65</v>
      </c>
      <c r="M684" s="2" t="s">
        <v>6716</v>
      </c>
      <c r="N684" s="3" t="s">
        <v>253</v>
      </c>
      <c r="P684" s="3" t="s">
        <v>944</v>
      </c>
      <c r="R684" s="3" t="s">
        <v>70</v>
      </c>
      <c r="S684" s="4">
        <v>0</v>
      </c>
      <c r="T684" s="4">
        <v>0</v>
      </c>
      <c r="W684" s="5" t="s">
        <v>72</v>
      </c>
      <c r="X684" s="5" t="s">
        <v>72</v>
      </c>
      <c r="Y684" s="4">
        <v>17</v>
      </c>
      <c r="Z684" s="4">
        <v>2</v>
      </c>
      <c r="AA684" s="4">
        <v>2</v>
      </c>
      <c r="AB684" s="4">
        <v>1</v>
      </c>
      <c r="AC684" s="4">
        <v>1</v>
      </c>
      <c r="AD684" s="4">
        <v>9</v>
      </c>
      <c r="AE684" s="4">
        <v>9</v>
      </c>
      <c r="AF684" s="4">
        <v>0</v>
      </c>
      <c r="AG684" s="4">
        <v>0</v>
      </c>
      <c r="AH684" s="4">
        <v>8</v>
      </c>
      <c r="AI684" s="4">
        <v>8</v>
      </c>
      <c r="AJ684" s="4">
        <v>1</v>
      </c>
      <c r="AK684" s="4">
        <v>1</v>
      </c>
      <c r="AL684" s="4">
        <v>8</v>
      </c>
      <c r="AM684" s="4">
        <v>8</v>
      </c>
      <c r="AN684" s="4">
        <v>0</v>
      </c>
      <c r="AO684" s="4">
        <v>0</v>
      </c>
      <c r="AP684" s="4">
        <v>1</v>
      </c>
      <c r="AQ684" s="4">
        <v>1</v>
      </c>
      <c r="AR684" s="3" t="s">
        <v>64</v>
      </c>
      <c r="AS684" s="3" t="s">
        <v>64</v>
      </c>
      <c r="AT684" s="3" t="s">
        <v>64</v>
      </c>
      <c r="AV684" s="6" t="str">
        <f>HYPERLINK("http://mcgill.on.worldcat.org/oclc/927149231","Catalog Record")</f>
        <v>Catalog Record</v>
      </c>
      <c r="AW684" s="6" t="str">
        <f>HYPERLINK("http://www.worldcat.org/oclc/927149231","WorldCat Record")</f>
        <v>WorldCat Record</v>
      </c>
      <c r="AX684" s="3" t="s">
        <v>6717</v>
      </c>
      <c r="AY684" s="3" t="s">
        <v>6718</v>
      </c>
      <c r="AZ684" s="3" t="s">
        <v>6719</v>
      </c>
      <c r="BA684" s="3" t="s">
        <v>6719</v>
      </c>
      <c r="BB684" s="3" t="s">
        <v>6720</v>
      </c>
      <c r="BC684" s="3" t="s">
        <v>77</v>
      </c>
      <c r="BD684" s="3" t="s">
        <v>78</v>
      </c>
      <c r="BE684" s="3" t="s">
        <v>6721</v>
      </c>
      <c r="BF684" s="3" t="s">
        <v>6720</v>
      </c>
      <c r="BG684" s="3" t="s">
        <v>6722</v>
      </c>
      <c r="BH684">
        <f t="shared" si="20"/>
        <v>0</v>
      </c>
    </row>
    <row r="685" spans="1:60" ht="58" x14ac:dyDescent="0.35">
      <c r="A685" s="2" t="s">
        <v>59</v>
      </c>
      <c r="B685" s="2" t="s">
        <v>60</v>
      </c>
      <c r="C685" s="2" t="s">
        <v>6723</v>
      </c>
      <c r="D685" s="2" t="s">
        <v>6724</v>
      </c>
      <c r="E685" s="2" t="s">
        <v>6725</v>
      </c>
      <c r="G685" s="3" t="s">
        <v>64</v>
      </c>
      <c r="I685" s="3" t="s">
        <v>64</v>
      </c>
      <c r="J685" s="3" t="s">
        <v>64</v>
      </c>
      <c r="K685" s="3" t="s">
        <v>65</v>
      </c>
      <c r="M685" s="2" t="s">
        <v>6726</v>
      </c>
      <c r="N685" s="3" t="s">
        <v>1075</v>
      </c>
      <c r="P685" s="3" t="s">
        <v>102</v>
      </c>
      <c r="R685" s="3" t="s">
        <v>70</v>
      </c>
      <c r="S685" s="4">
        <v>3</v>
      </c>
      <c r="T685" s="4">
        <v>3</v>
      </c>
      <c r="U685" s="5" t="s">
        <v>6727</v>
      </c>
      <c r="V685" s="5" t="s">
        <v>6727</v>
      </c>
      <c r="W685" s="5" t="s">
        <v>72</v>
      </c>
      <c r="X685" s="5" t="s">
        <v>72</v>
      </c>
      <c r="Y685" s="4">
        <v>163</v>
      </c>
      <c r="Z685" s="4">
        <v>14</v>
      </c>
      <c r="AA685" s="4">
        <v>17</v>
      </c>
      <c r="AB685" s="4">
        <v>2</v>
      </c>
      <c r="AC685" s="4">
        <v>5</v>
      </c>
      <c r="AD685" s="4">
        <v>57</v>
      </c>
      <c r="AE685" s="4">
        <v>59</v>
      </c>
      <c r="AF685" s="4">
        <v>1</v>
      </c>
      <c r="AG685" s="4">
        <v>3</v>
      </c>
      <c r="AH685" s="4">
        <v>51</v>
      </c>
      <c r="AI685" s="4">
        <v>52</v>
      </c>
      <c r="AJ685" s="4">
        <v>5</v>
      </c>
      <c r="AK685" s="4">
        <v>7</v>
      </c>
      <c r="AL685" s="4">
        <v>28</v>
      </c>
      <c r="AM685" s="4">
        <v>28</v>
      </c>
      <c r="AN685" s="4">
        <v>0</v>
      </c>
      <c r="AO685" s="4">
        <v>0</v>
      </c>
      <c r="AP685" s="4">
        <v>8</v>
      </c>
      <c r="AQ685" s="4">
        <v>9</v>
      </c>
      <c r="AR685" s="3" t="s">
        <v>64</v>
      </c>
      <c r="AS685" s="3" t="s">
        <v>64</v>
      </c>
      <c r="AT685" s="3" t="s">
        <v>64</v>
      </c>
      <c r="AV685" s="6" t="str">
        <f>HYPERLINK("http://mcgill.on.worldcat.org/oclc/816564667","Catalog Record")</f>
        <v>Catalog Record</v>
      </c>
      <c r="AW685" s="6" t="str">
        <f>HYPERLINK("http://www.worldcat.org/oclc/816564667","WorldCat Record")</f>
        <v>WorldCat Record</v>
      </c>
      <c r="AX685" s="3" t="s">
        <v>6728</v>
      </c>
      <c r="AY685" s="3" t="s">
        <v>6729</v>
      </c>
      <c r="AZ685" s="3" t="s">
        <v>6730</v>
      </c>
      <c r="BA685" s="3" t="s">
        <v>6730</v>
      </c>
      <c r="BB685" s="3" t="s">
        <v>6731</v>
      </c>
      <c r="BC685" s="3" t="s">
        <v>77</v>
      </c>
      <c r="BD685" s="3" t="s">
        <v>78</v>
      </c>
      <c r="BE685" s="3" t="s">
        <v>6732</v>
      </c>
      <c r="BF685" s="3" t="s">
        <v>6731</v>
      </c>
      <c r="BG685" s="3" t="s">
        <v>6733</v>
      </c>
      <c r="BH685">
        <f t="shared" si="20"/>
        <v>0</v>
      </c>
    </row>
    <row r="686" spans="1:60" ht="58" x14ac:dyDescent="0.35">
      <c r="A686" s="2" t="s">
        <v>59</v>
      </c>
      <c r="B686" s="2" t="s">
        <v>60</v>
      </c>
      <c r="C686" s="2" t="s">
        <v>6734</v>
      </c>
      <c r="D686" s="2" t="s">
        <v>6735</v>
      </c>
      <c r="E686" s="2" t="s">
        <v>6736</v>
      </c>
      <c r="G686" s="3" t="s">
        <v>64</v>
      </c>
      <c r="I686" s="3" t="s">
        <v>64</v>
      </c>
      <c r="J686" s="3" t="s">
        <v>64</v>
      </c>
      <c r="K686" s="3" t="s">
        <v>65</v>
      </c>
      <c r="M686" s="2" t="s">
        <v>2434</v>
      </c>
      <c r="N686" s="3" t="s">
        <v>291</v>
      </c>
      <c r="P686" s="3" t="s">
        <v>102</v>
      </c>
      <c r="R686" s="3" t="s">
        <v>70</v>
      </c>
      <c r="S686" s="4">
        <v>7</v>
      </c>
      <c r="T686" s="4">
        <v>7</v>
      </c>
      <c r="U686" s="5" t="s">
        <v>6737</v>
      </c>
      <c r="V686" s="5" t="s">
        <v>6737</v>
      </c>
      <c r="W686" s="5" t="s">
        <v>72</v>
      </c>
      <c r="X686" s="5" t="s">
        <v>72</v>
      </c>
      <c r="Y686" s="4">
        <v>335</v>
      </c>
      <c r="Z686" s="4">
        <v>31</v>
      </c>
      <c r="AA686" s="4">
        <v>32</v>
      </c>
      <c r="AB686" s="4">
        <v>2</v>
      </c>
      <c r="AC686" s="4">
        <v>2</v>
      </c>
      <c r="AD686" s="4">
        <v>85</v>
      </c>
      <c r="AE686" s="4">
        <v>86</v>
      </c>
      <c r="AF686" s="4">
        <v>0</v>
      </c>
      <c r="AG686" s="4">
        <v>0</v>
      </c>
      <c r="AH686" s="4">
        <v>71</v>
      </c>
      <c r="AI686" s="4">
        <v>71</v>
      </c>
      <c r="AJ686" s="4">
        <v>15</v>
      </c>
      <c r="AK686" s="4">
        <v>15</v>
      </c>
      <c r="AL686" s="4">
        <v>43</v>
      </c>
      <c r="AM686" s="4">
        <v>43</v>
      </c>
      <c r="AN686" s="4">
        <v>0</v>
      </c>
      <c r="AO686" s="4">
        <v>0</v>
      </c>
      <c r="AP686" s="4">
        <v>18</v>
      </c>
      <c r="AQ686" s="4">
        <v>19</v>
      </c>
      <c r="AR686" s="3" t="s">
        <v>64</v>
      </c>
      <c r="AS686" s="3" t="s">
        <v>64</v>
      </c>
      <c r="AT686" s="3" t="s">
        <v>128</v>
      </c>
      <c r="AU686" s="6" t="str">
        <f>HYPERLINK("http://catalog.hathitrust.org/Record/005882530","HathiTrust Record")</f>
        <v>HathiTrust Record</v>
      </c>
      <c r="AV686" s="6" t="str">
        <f>HYPERLINK("http://mcgill.on.worldcat.org/oclc/179835973","Catalog Record")</f>
        <v>Catalog Record</v>
      </c>
      <c r="AW686" s="6" t="str">
        <f>HYPERLINK("http://www.worldcat.org/oclc/179835973","WorldCat Record")</f>
        <v>WorldCat Record</v>
      </c>
      <c r="AX686" s="3" t="s">
        <v>6738</v>
      </c>
      <c r="AY686" s="3" t="s">
        <v>6739</v>
      </c>
      <c r="AZ686" s="3" t="s">
        <v>6740</v>
      </c>
      <c r="BA686" s="3" t="s">
        <v>6740</v>
      </c>
      <c r="BB686" s="3" t="s">
        <v>6741</v>
      </c>
      <c r="BC686" s="3" t="s">
        <v>77</v>
      </c>
      <c r="BD686" s="3" t="s">
        <v>78</v>
      </c>
      <c r="BE686" s="3" t="s">
        <v>6742</v>
      </c>
      <c r="BF686" s="3" t="s">
        <v>6741</v>
      </c>
      <c r="BG686" s="3" t="s">
        <v>6743</v>
      </c>
      <c r="BH686">
        <f t="shared" si="20"/>
        <v>0</v>
      </c>
    </row>
    <row r="687" spans="1:60" ht="58" x14ac:dyDescent="0.35">
      <c r="A687" s="2" t="s">
        <v>59</v>
      </c>
      <c r="B687" s="2" t="s">
        <v>6744</v>
      </c>
      <c r="C687" s="2" t="s">
        <v>6745</v>
      </c>
      <c r="D687" s="2" t="s">
        <v>6746</v>
      </c>
      <c r="E687" s="2" t="s">
        <v>6747</v>
      </c>
      <c r="G687" s="3" t="s">
        <v>64</v>
      </c>
      <c r="I687" s="3" t="s">
        <v>128</v>
      </c>
      <c r="J687" s="3" t="s">
        <v>128</v>
      </c>
      <c r="K687" s="3" t="s">
        <v>65</v>
      </c>
      <c r="L687" s="2" t="s">
        <v>6748</v>
      </c>
      <c r="M687" s="2" t="s">
        <v>6749</v>
      </c>
      <c r="N687" s="3" t="s">
        <v>86</v>
      </c>
      <c r="O687" s="2" t="s">
        <v>6750</v>
      </c>
      <c r="P687" s="3" t="s">
        <v>102</v>
      </c>
      <c r="R687" s="3" t="s">
        <v>70</v>
      </c>
      <c r="S687" s="4">
        <v>36</v>
      </c>
      <c r="T687" s="4">
        <v>37</v>
      </c>
      <c r="U687" s="5" t="s">
        <v>6751</v>
      </c>
      <c r="V687" s="5" t="s">
        <v>6751</v>
      </c>
      <c r="W687" s="5" t="s">
        <v>72</v>
      </c>
      <c r="X687" s="5" t="s">
        <v>72</v>
      </c>
      <c r="Y687" s="4">
        <v>297</v>
      </c>
      <c r="Z687" s="4">
        <v>16</v>
      </c>
      <c r="AA687" s="4">
        <v>96</v>
      </c>
      <c r="AB687" s="4">
        <v>2</v>
      </c>
      <c r="AC687" s="4">
        <v>8</v>
      </c>
      <c r="AD687" s="4">
        <v>44</v>
      </c>
      <c r="AE687" s="4">
        <v>138</v>
      </c>
      <c r="AF687" s="4">
        <v>1</v>
      </c>
      <c r="AG687" s="4">
        <v>5</v>
      </c>
      <c r="AH687" s="4">
        <v>33</v>
      </c>
      <c r="AI687" s="4">
        <v>103</v>
      </c>
      <c r="AJ687" s="4">
        <v>6</v>
      </c>
      <c r="AK687" s="4">
        <v>24</v>
      </c>
      <c r="AL687" s="4">
        <v>25</v>
      </c>
      <c r="AM687" s="4">
        <v>56</v>
      </c>
      <c r="AN687" s="4">
        <v>0</v>
      </c>
      <c r="AO687" s="4">
        <v>1</v>
      </c>
      <c r="AP687" s="4">
        <v>8</v>
      </c>
      <c r="AQ687" s="4">
        <v>38</v>
      </c>
      <c r="AR687" s="3" t="s">
        <v>64</v>
      </c>
      <c r="AS687" s="3" t="s">
        <v>64</v>
      </c>
      <c r="AT687" s="3" t="s">
        <v>64</v>
      </c>
      <c r="AV687" s="6" t="str">
        <f>HYPERLINK("http://mcgill.on.worldcat.org/oclc/808199932","Catalog Record")</f>
        <v>Catalog Record</v>
      </c>
      <c r="AW687" s="6" t="str">
        <f>HYPERLINK("http://www.worldcat.org/oclc/808199932","WorldCat Record")</f>
        <v>WorldCat Record</v>
      </c>
      <c r="AX687" s="3" t="s">
        <v>6752</v>
      </c>
      <c r="AY687" s="3" t="s">
        <v>6753</v>
      </c>
      <c r="AZ687" s="3" t="s">
        <v>6754</v>
      </c>
      <c r="BA687" s="3" t="s">
        <v>6754</v>
      </c>
      <c r="BB687" s="3" t="s">
        <v>6755</v>
      </c>
      <c r="BC687" s="3" t="s">
        <v>77</v>
      </c>
      <c r="BD687" s="3" t="s">
        <v>78</v>
      </c>
      <c r="BE687" s="3" t="s">
        <v>6756</v>
      </c>
      <c r="BF687" s="3" t="s">
        <v>6755</v>
      </c>
      <c r="BG687" s="3" t="s">
        <v>6757</v>
      </c>
      <c r="BH687">
        <f t="shared" si="20"/>
        <v>0</v>
      </c>
    </row>
    <row r="688" spans="1:60" ht="58" x14ac:dyDescent="0.35">
      <c r="A688" s="2" t="s">
        <v>59</v>
      </c>
      <c r="B688" s="2" t="s">
        <v>60</v>
      </c>
      <c r="C688" s="2" t="s">
        <v>6758</v>
      </c>
      <c r="D688" s="2" t="s">
        <v>6759</v>
      </c>
      <c r="E688" s="2" t="s">
        <v>6747</v>
      </c>
      <c r="G688" s="3" t="s">
        <v>64</v>
      </c>
      <c r="I688" s="3" t="s">
        <v>64</v>
      </c>
      <c r="J688" s="3" t="s">
        <v>128</v>
      </c>
      <c r="K688" s="3" t="s">
        <v>65</v>
      </c>
      <c r="L688" s="2" t="s">
        <v>6760</v>
      </c>
      <c r="M688" s="2" t="s">
        <v>6761</v>
      </c>
      <c r="N688" s="3" t="s">
        <v>253</v>
      </c>
      <c r="O688" s="2" t="s">
        <v>6762</v>
      </c>
      <c r="P688" s="3" t="s">
        <v>102</v>
      </c>
      <c r="R688" s="3" t="s">
        <v>70</v>
      </c>
      <c r="S688" s="4">
        <v>22</v>
      </c>
      <c r="T688" s="4">
        <v>22</v>
      </c>
      <c r="U688" s="5" t="s">
        <v>1163</v>
      </c>
      <c r="V688" s="5" t="s">
        <v>1163</v>
      </c>
      <c r="W688" s="5" t="s">
        <v>72</v>
      </c>
      <c r="X688" s="5" t="s">
        <v>72</v>
      </c>
      <c r="Y688" s="4">
        <v>41</v>
      </c>
      <c r="Z688" s="4">
        <v>5</v>
      </c>
      <c r="AA688" s="4">
        <v>96</v>
      </c>
      <c r="AB688" s="4">
        <v>1</v>
      </c>
      <c r="AC688" s="4">
        <v>8</v>
      </c>
      <c r="AD688" s="4">
        <v>5</v>
      </c>
      <c r="AE688" s="4">
        <v>138</v>
      </c>
      <c r="AF688" s="4">
        <v>0</v>
      </c>
      <c r="AG688" s="4">
        <v>5</v>
      </c>
      <c r="AH688" s="4">
        <v>4</v>
      </c>
      <c r="AI688" s="4">
        <v>103</v>
      </c>
      <c r="AJ688" s="4">
        <v>1</v>
      </c>
      <c r="AK688" s="4">
        <v>24</v>
      </c>
      <c r="AL688" s="4">
        <v>3</v>
      </c>
      <c r="AM688" s="4">
        <v>56</v>
      </c>
      <c r="AN688" s="4">
        <v>0</v>
      </c>
      <c r="AO688" s="4">
        <v>1</v>
      </c>
      <c r="AP688" s="4">
        <v>2</v>
      </c>
      <c r="AQ688" s="4">
        <v>38</v>
      </c>
      <c r="AR688" s="3" t="s">
        <v>64</v>
      </c>
      <c r="AS688" s="3" t="s">
        <v>64</v>
      </c>
      <c r="AT688" s="3" t="s">
        <v>64</v>
      </c>
      <c r="AV688" s="6" t="str">
        <f>HYPERLINK("http://mcgill.on.worldcat.org/oclc/928629408","Catalog Record")</f>
        <v>Catalog Record</v>
      </c>
      <c r="AW688" s="6" t="str">
        <f>HYPERLINK("http://www.worldcat.org/oclc/928629408","WorldCat Record")</f>
        <v>WorldCat Record</v>
      </c>
      <c r="AX688" s="3" t="s">
        <v>6752</v>
      </c>
      <c r="AY688" s="3" t="s">
        <v>6763</v>
      </c>
      <c r="AZ688" s="3" t="s">
        <v>6764</v>
      </c>
      <c r="BA688" s="3" t="s">
        <v>6764</v>
      </c>
      <c r="BB688" s="3" t="s">
        <v>6765</v>
      </c>
      <c r="BC688" s="3" t="s">
        <v>77</v>
      </c>
      <c r="BD688" s="3" t="s">
        <v>78</v>
      </c>
      <c r="BE688" s="3" t="s">
        <v>6766</v>
      </c>
      <c r="BF688" s="3" t="s">
        <v>6765</v>
      </c>
      <c r="BG688" s="3" t="s">
        <v>6767</v>
      </c>
      <c r="BH688">
        <f t="shared" si="20"/>
        <v>0</v>
      </c>
    </row>
    <row r="689" spans="1:60" ht="72.5" x14ac:dyDescent="0.35">
      <c r="A689" s="2" t="s">
        <v>59</v>
      </c>
      <c r="B689" s="2" t="s">
        <v>1025</v>
      </c>
      <c r="C689" s="2" t="s">
        <v>6768</v>
      </c>
      <c r="D689" s="2" t="s">
        <v>6769</v>
      </c>
      <c r="E689" s="2" t="s">
        <v>6770</v>
      </c>
      <c r="G689" s="3" t="s">
        <v>64</v>
      </c>
      <c r="I689" s="3" t="s">
        <v>64</v>
      </c>
      <c r="J689" s="3" t="s">
        <v>64</v>
      </c>
      <c r="K689" s="3" t="s">
        <v>65</v>
      </c>
      <c r="L689" s="2" t="s">
        <v>6771</v>
      </c>
      <c r="M689" s="2" t="s">
        <v>6772</v>
      </c>
      <c r="N689" s="3" t="s">
        <v>86</v>
      </c>
      <c r="O689" s="2" t="s">
        <v>117</v>
      </c>
      <c r="P689" s="3" t="s">
        <v>102</v>
      </c>
      <c r="R689" s="3" t="s">
        <v>70</v>
      </c>
      <c r="S689" s="4">
        <v>4</v>
      </c>
      <c r="T689" s="4">
        <v>4</v>
      </c>
      <c r="U689" s="5" t="s">
        <v>6773</v>
      </c>
      <c r="V689" s="5" t="s">
        <v>6773</v>
      </c>
      <c r="W689" s="5" t="s">
        <v>72</v>
      </c>
      <c r="X689" s="5" t="s">
        <v>72</v>
      </c>
      <c r="Y689" s="4">
        <v>93</v>
      </c>
      <c r="Z689" s="4">
        <v>7</v>
      </c>
      <c r="AA689" s="4">
        <v>7</v>
      </c>
      <c r="AB689" s="4">
        <v>1</v>
      </c>
      <c r="AC689" s="4">
        <v>1</v>
      </c>
      <c r="AD689" s="4">
        <v>25</v>
      </c>
      <c r="AE689" s="4">
        <v>25</v>
      </c>
      <c r="AF689" s="4">
        <v>0</v>
      </c>
      <c r="AG689" s="4">
        <v>0</v>
      </c>
      <c r="AH689" s="4">
        <v>23</v>
      </c>
      <c r="AI689" s="4">
        <v>23</v>
      </c>
      <c r="AJ689" s="4">
        <v>4</v>
      </c>
      <c r="AK689" s="4">
        <v>4</v>
      </c>
      <c r="AL689" s="4">
        <v>10</v>
      </c>
      <c r="AM689" s="4">
        <v>10</v>
      </c>
      <c r="AN689" s="4">
        <v>0</v>
      </c>
      <c r="AO689" s="4">
        <v>0</v>
      </c>
      <c r="AP689" s="4">
        <v>5</v>
      </c>
      <c r="AQ689" s="4">
        <v>5</v>
      </c>
      <c r="AR689" s="3" t="s">
        <v>64</v>
      </c>
      <c r="AS689" s="3" t="s">
        <v>64</v>
      </c>
      <c r="AT689" s="3" t="s">
        <v>64</v>
      </c>
      <c r="AV689" s="6" t="str">
        <f>HYPERLINK("http://mcgill.on.worldcat.org/oclc/794707654","Catalog Record")</f>
        <v>Catalog Record</v>
      </c>
      <c r="AW689" s="6" t="str">
        <f>HYPERLINK("http://www.worldcat.org/oclc/794707654","WorldCat Record")</f>
        <v>WorldCat Record</v>
      </c>
      <c r="AX689" s="3" t="s">
        <v>6774</v>
      </c>
      <c r="AY689" s="3" t="s">
        <v>6775</v>
      </c>
      <c r="AZ689" s="3" t="s">
        <v>6776</v>
      </c>
      <c r="BA689" s="3" t="s">
        <v>6776</v>
      </c>
      <c r="BB689" s="3" t="s">
        <v>6777</v>
      </c>
      <c r="BC689" s="3" t="s">
        <v>77</v>
      </c>
      <c r="BD689" s="3" t="s">
        <v>78</v>
      </c>
      <c r="BE689" s="3" t="s">
        <v>6778</v>
      </c>
      <c r="BF689" s="3" t="s">
        <v>6777</v>
      </c>
      <c r="BG689" s="3" t="s">
        <v>6779</v>
      </c>
      <c r="BH689">
        <f t="shared" si="20"/>
        <v>0</v>
      </c>
    </row>
    <row r="690" spans="1:60" ht="72.5" x14ac:dyDescent="0.35">
      <c r="A690" s="2" t="s">
        <v>59</v>
      </c>
      <c r="B690" s="2" t="s">
        <v>1025</v>
      </c>
      <c r="C690" s="2" t="s">
        <v>6780</v>
      </c>
      <c r="D690" s="2" t="s">
        <v>6781</v>
      </c>
      <c r="E690" s="2" t="s">
        <v>6782</v>
      </c>
      <c r="G690" s="3" t="s">
        <v>64</v>
      </c>
      <c r="I690" s="3" t="s">
        <v>64</v>
      </c>
      <c r="J690" s="3" t="s">
        <v>64</v>
      </c>
      <c r="K690" s="3" t="s">
        <v>65</v>
      </c>
      <c r="M690" s="2" t="s">
        <v>6783</v>
      </c>
      <c r="N690" s="3" t="s">
        <v>291</v>
      </c>
      <c r="P690" s="3" t="s">
        <v>102</v>
      </c>
      <c r="Q690" s="2" t="s">
        <v>6784</v>
      </c>
      <c r="R690" s="3" t="s">
        <v>70</v>
      </c>
      <c r="S690" s="4">
        <v>3</v>
      </c>
      <c r="T690" s="4">
        <v>3</v>
      </c>
      <c r="U690" s="5" t="s">
        <v>6785</v>
      </c>
      <c r="V690" s="5" t="s">
        <v>6785</v>
      </c>
      <c r="W690" s="5" t="s">
        <v>72</v>
      </c>
      <c r="X690" s="5" t="s">
        <v>72</v>
      </c>
      <c r="Y690" s="4">
        <v>188</v>
      </c>
      <c r="Z690" s="4">
        <v>19</v>
      </c>
      <c r="AA690" s="4">
        <v>19</v>
      </c>
      <c r="AB690" s="4">
        <v>2</v>
      </c>
      <c r="AC690" s="4">
        <v>2</v>
      </c>
      <c r="AD690" s="4">
        <v>66</v>
      </c>
      <c r="AE690" s="4">
        <v>66</v>
      </c>
      <c r="AF690" s="4">
        <v>1</v>
      </c>
      <c r="AG690" s="4">
        <v>1</v>
      </c>
      <c r="AH690" s="4">
        <v>59</v>
      </c>
      <c r="AI690" s="4">
        <v>59</v>
      </c>
      <c r="AJ690" s="4">
        <v>11</v>
      </c>
      <c r="AK690" s="4">
        <v>11</v>
      </c>
      <c r="AL690" s="4">
        <v>31</v>
      </c>
      <c r="AM690" s="4">
        <v>31</v>
      </c>
      <c r="AN690" s="4">
        <v>0</v>
      </c>
      <c r="AO690" s="4">
        <v>0</v>
      </c>
      <c r="AP690" s="4">
        <v>13</v>
      </c>
      <c r="AQ690" s="4">
        <v>13</v>
      </c>
      <c r="AR690" s="3" t="s">
        <v>64</v>
      </c>
      <c r="AS690" s="3" t="s">
        <v>64</v>
      </c>
      <c r="AT690" s="3" t="s">
        <v>64</v>
      </c>
      <c r="AV690" s="6" t="str">
        <f>HYPERLINK("http://mcgill.on.worldcat.org/oclc/72868360","Catalog Record")</f>
        <v>Catalog Record</v>
      </c>
      <c r="AW690" s="6" t="str">
        <f>HYPERLINK("http://www.worldcat.org/oclc/72868360","WorldCat Record")</f>
        <v>WorldCat Record</v>
      </c>
      <c r="AX690" s="3" t="s">
        <v>6786</v>
      </c>
      <c r="AY690" s="3" t="s">
        <v>6787</v>
      </c>
      <c r="AZ690" s="3" t="s">
        <v>6788</v>
      </c>
      <c r="BA690" s="3" t="s">
        <v>6788</v>
      </c>
      <c r="BB690" s="3" t="s">
        <v>6789</v>
      </c>
      <c r="BC690" s="3" t="s">
        <v>77</v>
      </c>
      <c r="BD690" s="3" t="s">
        <v>78</v>
      </c>
      <c r="BE690" s="3" t="s">
        <v>6790</v>
      </c>
      <c r="BF690" s="3" t="s">
        <v>6789</v>
      </c>
      <c r="BG690" s="3" t="s">
        <v>6791</v>
      </c>
      <c r="BH690">
        <f t="shared" si="20"/>
        <v>0</v>
      </c>
    </row>
    <row r="691" spans="1:60" ht="58" x14ac:dyDescent="0.35">
      <c r="A691" s="2" t="s">
        <v>59</v>
      </c>
      <c r="B691" s="2" t="s">
        <v>60</v>
      </c>
      <c r="C691" s="2" t="s">
        <v>6792</v>
      </c>
      <c r="D691" s="2" t="s">
        <v>6793</v>
      </c>
      <c r="E691" s="2" t="s">
        <v>6794</v>
      </c>
      <c r="G691" s="3" t="s">
        <v>64</v>
      </c>
      <c r="I691" s="3" t="s">
        <v>64</v>
      </c>
      <c r="J691" s="3" t="s">
        <v>64</v>
      </c>
      <c r="K691" s="3" t="s">
        <v>65</v>
      </c>
      <c r="L691" s="2" t="s">
        <v>3993</v>
      </c>
      <c r="M691" s="2" t="s">
        <v>6795</v>
      </c>
      <c r="N691" s="3" t="s">
        <v>1075</v>
      </c>
      <c r="P691" s="3" t="s">
        <v>102</v>
      </c>
      <c r="R691" s="3" t="s">
        <v>70</v>
      </c>
      <c r="S691" s="4">
        <v>4</v>
      </c>
      <c r="T691" s="4">
        <v>4</v>
      </c>
      <c r="U691" s="5" t="s">
        <v>4286</v>
      </c>
      <c r="V691" s="5" t="s">
        <v>4286</v>
      </c>
      <c r="W691" s="5" t="s">
        <v>72</v>
      </c>
      <c r="X691" s="5" t="s">
        <v>72</v>
      </c>
      <c r="Y691" s="4">
        <v>105</v>
      </c>
      <c r="Z691" s="4">
        <v>8</v>
      </c>
      <c r="AA691" s="4">
        <v>8</v>
      </c>
      <c r="AB691" s="4">
        <v>1</v>
      </c>
      <c r="AC691" s="4">
        <v>1</v>
      </c>
      <c r="AD691" s="4">
        <v>54</v>
      </c>
      <c r="AE691" s="4">
        <v>54</v>
      </c>
      <c r="AF691" s="4">
        <v>0</v>
      </c>
      <c r="AG691" s="4">
        <v>0</v>
      </c>
      <c r="AH691" s="4">
        <v>50</v>
      </c>
      <c r="AI691" s="4">
        <v>50</v>
      </c>
      <c r="AJ691" s="4">
        <v>5</v>
      </c>
      <c r="AK691" s="4">
        <v>5</v>
      </c>
      <c r="AL691" s="4">
        <v>37</v>
      </c>
      <c r="AM691" s="4">
        <v>37</v>
      </c>
      <c r="AN691" s="4">
        <v>0</v>
      </c>
      <c r="AO691" s="4">
        <v>0</v>
      </c>
      <c r="AP691" s="4">
        <v>5</v>
      </c>
      <c r="AQ691" s="4">
        <v>5</v>
      </c>
      <c r="AR691" s="3" t="s">
        <v>64</v>
      </c>
      <c r="AS691" s="3" t="s">
        <v>64</v>
      </c>
      <c r="AT691" s="3" t="s">
        <v>64</v>
      </c>
      <c r="AV691" s="6" t="str">
        <f>HYPERLINK("http://mcgill.on.worldcat.org/oclc/861774726","Catalog Record")</f>
        <v>Catalog Record</v>
      </c>
      <c r="AW691" s="6" t="str">
        <f>HYPERLINK("http://www.worldcat.org/oclc/861774726","WorldCat Record")</f>
        <v>WorldCat Record</v>
      </c>
      <c r="AX691" s="3" t="s">
        <v>6796</v>
      </c>
      <c r="AY691" s="3" t="s">
        <v>6797</v>
      </c>
      <c r="AZ691" s="3" t="s">
        <v>6798</v>
      </c>
      <c r="BA691" s="3" t="s">
        <v>6798</v>
      </c>
      <c r="BB691" s="3" t="s">
        <v>6799</v>
      </c>
      <c r="BC691" s="3" t="s">
        <v>77</v>
      </c>
      <c r="BD691" s="3" t="s">
        <v>78</v>
      </c>
      <c r="BE691" s="3" t="s">
        <v>6800</v>
      </c>
      <c r="BF691" s="3" t="s">
        <v>6799</v>
      </c>
      <c r="BG691" s="3" t="s">
        <v>6801</v>
      </c>
      <c r="BH691">
        <f t="shared" si="20"/>
        <v>0</v>
      </c>
    </row>
    <row r="692" spans="1:60" ht="58" x14ac:dyDescent="0.35">
      <c r="A692" s="2" t="s">
        <v>59</v>
      </c>
      <c r="B692" s="2" t="s">
        <v>60</v>
      </c>
      <c r="C692" s="2" t="s">
        <v>6802</v>
      </c>
      <c r="D692" s="2" t="s">
        <v>6803</v>
      </c>
      <c r="E692" s="2" t="s">
        <v>6804</v>
      </c>
      <c r="G692" s="3" t="s">
        <v>64</v>
      </c>
      <c r="I692" s="3" t="s">
        <v>64</v>
      </c>
      <c r="J692" s="3" t="s">
        <v>64</v>
      </c>
      <c r="K692" s="3" t="s">
        <v>65</v>
      </c>
      <c r="M692" s="2" t="s">
        <v>6805</v>
      </c>
      <c r="N692" s="3" t="s">
        <v>511</v>
      </c>
      <c r="P692" s="3" t="s">
        <v>68</v>
      </c>
      <c r="R692" s="3" t="s">
        <v>70</v>
      </c>
      <c r="S692" s="4">
        <v>6</v>
      </c>
      <c r="T692" s="4">
        <v>6</v>
      </c>
      <c r="U692" s="5" t="s">
        <v>6806</v>
      </c>
      <c r="V692" s="5" t="s">
        <v>6806</v>
      </c>
      <c r="W692" s="5" t="s">
        <v>72</v>
      </c>
      <c r="X692" s="5" t="s">
        <v>72</v>
      </c>
      <c r="Y692" s="4">
        <v>30</v>
      </c>
      <c r="Z692" s="4">
        <v>3</v>
      </c>
      <c r="AA692" s="4">
        <v>13</v>
      </c>
      <c r="AB692" s="4">
        <v>1</v>
      </c>
      <c r="AC692" s="4">
        <v>5</v>
      </c>
      <c r="AD692" s="4">
        <v>11</v>
      </c>
      <c r="AE692" s="4">
        <v>23</v>
      </c>
      <c r="AF692" s="4">
        <v>0</v>
      </c>
      <c r="AG692" s="4">
        <v>2</v>
      </c>
      <c r="AH692" s="4">
        <v>10</v>
      </c>
      <c r="AI692" s="4">
        <v>17</v>
      </c>
      <c r="AJ692" s="4">
        <v>1</v>
      </c>
      <c r="AK692" s="4">
        <v>7</v>
      </c>
      <c r="AL692" s="4">
        <v>9</v>
      </c>
      <c r="AM692" s="4">
        <v>12</v>
      </c>
      <c r="AN692" s="4">
        <v>0</v>
      </c>
      <c r="AO692" s="4">
        <v>0</v>
      </c>
      <c r="AP692" s="4">
        <v>1</v>
      </c>
      <c r="AQ692" s="4">
        <v>8</v>
      </c>
      <c r="AR692" s="3" t="s">
        <v>64</v>
      </c>
      <c r="AS692" s="3" t="s">
        <v>64</v>
      </c>
      <c r="AT692" s="3" t="s">
        <v>64</v>
      </c>
      <c r="AV692" s="6" t="str">
        <f>HYPERLINK("http://mcgill.on.worldcat.org/oclc/636955792","Catalog Record")</f>
        <v>Catalog Record</v>
      </c>
      <c r="AW692" s="6" t="str">
        <f>HYPERLINK("http://www.worldcat.org/oclc/636955792","WorldCat Record")</f>
        <v>WorldCat Record</v>
      </c>
      <c r="AX692" s="3" t="s">
        <v>6807</v>
      </c>
      <c r="AY692" s="3" t="s">
        <v>6808</v>
      </c>
      <c r="AZ692" s="3" t="s">
        <v>6809</v>
      </c>
      <c r="BA692" s="3" t="s">
        <v>6809</v>
      </c>
      <c r="BB692" s="3" t="s">
        <v>6810</v>
      </c>
      <c r="BC692" s="3" t="s">
        <v>77</v>
      </c>
      <c r="BD692" s="3" t="s">
        <v>78</v>
      </c>
      <c r="BE692" s="3" t="s">
        <v>6811</v>
      </c>
      <c r="BF692" s="3" t="s">
        <v>6810</v>
      </c>
      <c r="BG692" s="3" t="s">
        <v>6812</v>
      </c>
      <c r="BH692">
        <f t="shared" si="20"/>
        <v>0</v>
      </c>
    </row>
    <row r="693" spans="1:60" ht="58" x14ac:dyDescent="0.35">
      <c r="A693" s="2" t="s">
        <v>59</v>
      </c>
      <c r="B693" s="2" t="s">
        <v>60</v>
      </c>
      <c r="C693" s="2" t="s">
        <v>6813</v>
      </c>
      <c r="D693" s="2" t="s">
        <v>6814</v>
      </c>
      <c r="E693" s="2" t="s">
        <v>6815</v>
      </c>
      <c r="G693" s="3" t="s">
        <v>64</v>
      </c>
      <c r="I693" s="3" t="s">
        <v>64</v>
      </c>
      <c r="J693" s="3" t="s">
        <v>64</v>
      </c>
      <c r="K693" s="3" t="s">
        <v>65</v>
      </c>
      <c r="M693" s="2" t="s">
        <v>6816</v>
      </c>
      <c r="N693" s="3" t="s">
        <v>116</v>
      </c>
      <c r="P693" s="3" t="s">
        <v>102</v>
      </c>
      <c r="Q693" s="2" t="s">
        <v>3876</v>
      </c>
      <c r="R693" s="3" t="s">
        <v>70</v>
      </c>
      <c r="S693" s="4">
        <v>6</v>
      </c>
      <c r="T693" s="4">
        <v>6</v>
      </c>
      <c r="U693" s="5" t="s">
        <v>6817</v>
      </c>
      <c r="V693" s="5" t="s">
        <v>6817</v>
      </c>
      <c r="W693" s="5" t="s">
        <v>72</v>
      </c>
      <c r="X693" s="5" t="s">
        <v>72</v>
      </c>
      <c r="Y693" s="4">
        <v>313</v>
      </c>
      <c r="Z693" s="4">
        <v>16</v>
      </c>
      <c r="AA693" s="4">
        <v>20</v>
      </c>
      <c r="AB693" s="4">
        <v>2</v>
      </c>
      <c r="AC693" s="4">
        <v>5</v>
      </c>
      <c r="AD693" s="4">
        <v>94</v>
      </c>
      <c r="AE693" s="4">
        <v>97</v>
      </c>
      <c r="AF693" s="4">
        <v>1</v>
      </c>
      <c r="AG693" s="4">
        <v>3</v>
      </c>
      <c r="AH693" s="4">
        <v>85</v>
      </c>
      <c r="AI693" s="4">
        <v>87</v>
      </c>
      <c r="AJ693" s="4">
        <v>11</v>
      </c>
      <c r="AK693" s="4">
        <v>13</v>
      </c>
      <c r="AL693" s="4">
        <v>51</v>
      </c>
      <c r="AM693" s="4">
        <v>51</v>
      </c>
      <c r="AN693" s="4">
        <v>0</v>
      </c>
      <c r="AO693" s="4">
        <v>0</v>
      </c>
      <c r="AP693" s="4">
        <v>12</v>
      </c>
      <c r="AQ693" s="4">
        <v>15</v>
      </c>
      <c r="AR693" s="3" t="s">
        <v>64</v>
      </c>
      <c r="AS693" s="3" t="s">
        <v>64</v>
      </c>
      <c r="AT693" s="3" t="s">
        <v>64</v>
      </c>
      <c r="AV693" s="6" t="str">
        <f>HYPERLINK("http://mcgill.on.worldcat.org/oclc/44627147","Catalog Record")</f>
        <v>Catalog Record</v>
      </c>
      <c r="AW693" s="6" t="str">
        <f>HYPERLINK("http://www.worldcat.org/oclc/44627147","WorldCat Record")</f>
        <v>WorldCat Record</v>
      </c>
      <c r="AX693" s="3" t="s">
        <v>6818</v>
      </c>
      <c r="AY693" s="3" t="s">
        <v>6819</v>
      </c>
      <c r="AZ693" s="3" t="s">
        <v>6820</v>
      </c>
      <c r="BA693" s="3" t="s">
        <v>6820</v>
      </c>
      <c r="BB693" s="3" t="s">
        <v>6821</v>
      </c>
      <c r="BC693" s="3" t="s">
        <v>77</v>
      </c>
      <c r="BD693" s="3" t="s">
        <v>78</v>
      </c>
      <c r="BE693" s="3" t="s">
        <v>6822</v>
      </c>
      <c r="BF693" s="3" t="s">
        <v>6821</v>
      </c>
      <c r="BG693" s="3" t="s">
        <v>6823</v>
      </c>
      <c r="BH693">
        <f t="shared" si="20"/>
        <v>0</v>
      </c>
    </row>
    <row r="694" spans="1:60" ht="58" x14ac:dyDescent="0.35">
      <c r="A694" s="2" t="s">
        <v>59</v>
      </c>
      <c r="B694" s="2" t="s">
        <v>60</v>
      </c>
      <c r="C694" s="2" t="s">
        <v>6824</v>
      </c>
      <c r="D694" s="2" t="s">
        <v>6825</v>
      </c>
      <c r="E694" s="2" t="s">
        <v>6826</v>
      </c>
      <c r="G694" s="3" t="s">
        <v>64</v>
      </c>
      <c r="I694" s="3" t="s">
        <v>64</v>
      </c>
      <c r="J694" s="3" t="s">
        <v>64</v>
      </c>
      <c r="K694" s="3" t="s">
        <v>65</v>
      </c>
      <c r="L694" s="2" t="s">
        <v>6827</v>
      </c>
      <c r="M694" s="2" t="s">
        <v>6828</v>
      </c>
      <c r="N694" s="3" t="s">
        <v>326</v>
      </c>
      <c r="P694" s="3" t="s">
        <v>102</v>
      </c>
      <c r="R694" s="3" t="s">
        <v>70</v>
      </c>
      <c r="S694" s="4">
        <v>1</v>
      </c>
      <c r="T694" s="4">
        <v>1</v>
      </c>
      <c r="U694" s="5" t="s">
        <v>6829</v>
      </c>
      <c r="V694" s="5" t="s">
        <v>6829</v>
      </c>
      <c r="W694" s="5" t="s">
        <v>72</v>
      </c>
      <c r="X694" s="5" t="s">
        <v>72</v>
      </c>
      <c r="Y694" s="4">
        <v>145</v>
      </c>
      <c r="Z694" s="4">
        <v>15</v>
      </c>
      <c r="AA694" s="4">
        <v>16</v>
      </c>
      <c r="AB694" s="4">
        <v>2</v>
      </c>
      <c r="AC694" s="4">
        <v>3</v>
      </c>
      <c r="AD694" s="4">
        <v>54</v>
      </c>
      <c r="AE694" s="4">
        <v>55</v>
      </c>
      <c r="AF694" s="4">
        <v>1</v>
      </c>
      <c r="AG694" s="4">
        <v>2</v>
      </c>
      <c r="AH694" s="4">
        <v>47</v>
      </c>
      <c r="AI694" s="4">
        <v>48</v>
      </c>
      <c r="AJ694" s="4">
        <v>11</v>
      </c>
      <c r="AK694" s="4">
        <v>12</v>
      </c>
      <c r="AL694" s="4">
        <v>27</v>
      </c>
      <c r="AM694" s="4">
        <v>27</v>
      </c>
      <c r="AN694" s="4">
        <v>0</v>
      </c>
      <c r="AO694" s="4">
        <v>0</v>
      </c>
      <c r="AP694" s="4">
        <v>11</v>
      </c>
      <c r="AQ694" s="4">
        <v>12</v>
      </c>
      <c r="AR694" s="3" t="s">
        <v>64</v>
      </c>
      <c r="AS694" s="3" t="s">
        <v>64</v>
      </c>
      <c r="AT694" s="3" t="s">
        <v>64</v>
      </c>
      <c r="AV694" s="6" t="str">
        <f>HYPERLINK("http://mcgill.on.worldcat.org/oclc/624041907","Catalog Record")</f>
        <v>Catalog Record</v>
      </c>
      <c r="AW694" s="6" t="str">
        <f>HYPERLINK("http://www.worldcat.org/oclc/624041907","WorldCat Record")</f>
        <v>WorldCat Record</v>
      </c>
      <c r="AX694" s="3" t="s">
        <v>6830</v>
      </c>
      <c r="AY694" s="3" t="s">
        <v>6831</v>
      </c>
      <c r="AZ694" s="3" t="s">
        <v>6832</v>
      </c>
      <c r="BA694" s="3" t="s">
        <v>6832</v>
      </c>
      <c r="BB694" s="3" t="s">
        <v>6833</v>
      </c>
      <c r="BC694" s="3" t="s">
        <v>77</v>
      </c>
      <c r="BD694" s="3" t="s">
        <v>78</v>
      </c>
      <c r="BE694" s="3" t="s">
        <v>6834</v>
      </c>
      <c r="BF694" s="3" t="s">
        <v>6833</v>
      </c>
      <c r="BG694" s="3" t="s">
        <v>6835</v>
      </c>
      <c r="BH694">
        <f t="shared" si="20"/>
        <v>0</v>
      </c>
    </row>
    <row r="695" spans="1:60" ht="58" x14ac:dyDescent="0.35">
      <c r="A695" s="2" t="s">
        <v>59</v>
      </c>
      <c r="B695" s="2" t="s">
        <v>60</v>
      </c>
      <c r="C695" s="2" t="s">
        <v>6836</v>
      </c>
      <c r="D695" s="2" t="s">
        <v>6837</v>
      </c>
      <c r="E695" s="2" t="s">
        <v>6838</v>
      </c>
      <c r="G695" s="3" t="s">
        <v>64</v>
      </c>
      <c r="I695" s="3" t="s">
        <v>64</v>
      </c>
      <c r="J695" s="3" t="s">
        <v>64</v>
      </c>
      <c r="K695" s="3" t="s">
        <v>65</v>
      </c>
      <c r="L695" s="2" t="s">
        <v>6839</v>
      </c>
      <c r="M695" s="2" t="s">
        <v>6840</v>
      </c>
      <c r="N695" s="3" t="s">
        <v>326</v>
      </c>
      <c r="P695" s="3" t="s">
        <v>102</v>
      </c>
      <c r="Q695" s="2" t="s">
        <v>6841</v>
      </c>
      <c r="R695" s="3" t="s">
        <v>70</v>
      </c>
      <c r="S695" s="4">
        <v>10</v>
      </c>
      <c r="T695" s="4">
        <v>10</v>
      </c>
      <c r="U695" s="5" t="s">
        <v>1163</v>
      </c>
      <c r="V695" s="5" t="s">
        <v>1163</v>
      </c>
      <c r="W695" s="5" t="s">
        <v>72</v>
      </c>
      <c r="X695" s="5" t="s">
        <v>72</v>
      </c>
      <c r="Y695" s="4">
        <v>253</v>
      </c>
      <c r="Z695" s="4">
        <v>40</v>
      </c>
      <c r="AA695" s="4">
        <v>111</v>
      </c>
      <c r="AB695" s="4">
        <v>2</v>
      </c>
      <c r="AC695" s="4">
        <v>18</v>
      </c>
      <c r="AD695" s="4">
        <v>98</v>
      </c>
      <c r="AE695" s="4">
        <v>139</v>
      </c>
      <c r="AF695" s="4">
        <v>1</v>
      </c>
      <c r="AG695" s="4">
        <v>8</v>
      </c>
      <c r="AH695" s="4">
        <v>78</v>
      </c>
      <c r="AI695" s="4">
        <v>96</v>
      </c>
      <c r="AJ695" s="4">
        <v>19</v>
      </c>
      <c r="AK695" s="4">
        <v>26</v>
      </c>
      <c r="AL695" s="4">
        <v>43</v>
      </c>
      <c r="AM695" s="4">
        <v>50</v>
      </c>
      <c r="AN695" s="4">
        <v>0</v>
      </c>
      <c r="AO695" s="4">
        <v>0</v>
      </c>
      <c r="AP695" s="4">
        <v>27</v>
      </c>
      <c r="AQ695" s="4">
        <v>51</v>
      </c>
      <c r="AR695" s="3" t="s">
        <v>128</v>
      </c>
      <c r="AS695" s="3" t="s">
        <v>64</v>
      </c>
      <c r="AT695" s="3" t="s">
        <v>64</v>
      </c>
      <c r="AV695" s="6" t="str">
        <f>HYPERLINK("http://mcgill.on.worldcat.org/oclc/693814340","Catalog Record")</f>
        <v>Catalog Record</v>
      </c>
      <c r="AW695" s="6" t="str">
        <f>HYPERLINK("http://www.worldcat.org/oclc/693814340","WorldCat Record")</f>
        <v>WorldCat Record</v>
      </c>
      <c r="AX695" s="3" t="s">
        <v>6842</v>
      </c>
      <c r="AY695" s="3" t="s">
        <v>6843</v>
      </c>
      <c r="AZ695" s="3" t="s">
        <v>6844</v>
      </c>
      <c r="BA695" s="3" t="s">
        <v>6844</v>
      </c>
      <c r="BB695" s="3" t="s">
        <v>6845</v>
      </c>
      <c r="BC695" s="3" t="s">
        <v>77</v>
      </c>
      <c r="BD695" s="3" t="s">
        <v>78</v>
      </c>
      <c r="BE695" s="3" t="s">
        <v>6846</v>
      </c>
      <c r="BF695" s="3" t="s">
        <v>6845</v>
      </c>
      <c r="BG695" s="3" t="s">
        <v>6847</v>
      </c>
      <c r="BH695">
        <f t="shared" si="20"/>
        <v>0</v>
      </c>
    </row>
    <row r="696" spans="1:60" ht="72.5" x14ac:dyDescent="0.35">
      <c r="A696" s="2" t="s">
        <v>59</v>
      </c>
      <c r="B696" s="2" t="s">
        <v>1025</v>
      </c>
      <c r="C696" s="2" t="s">
        <v>6848</v>
      </c>
      <c r="D696" s="2" t="s">
        <v>6849</v>
      </c>
      <c r="E696" s="2" t="s">
        <v>6850</v>
      </c>
      <c r="G696" s="3" t="s">
        <v>64</v>
      </c>
      <c r="I696" s="3" t="s">
        <v>64</v>
      </c>
      <c r="J696" s="3" t="s">
        <v>128</v>
      </c>
      <c r="K696" s="3" t="s">
        <v>65</v>
      </c>
      <c r="L696" s="2" t="s">
        <v>6851</v>
      </c>
      <c r="M696" s="2" t="s">
        <v>6852</v>
      </c>
      <c r="N696" s="3" t="s">
        <v>153</v>
      </c>
      <c r="O696" s="2" t="s">
        <v>2994</v>
      </c>
      <c r="P696" s="3" t="s">
        <v>102</v>
      </c>
      <c r="R696" s="3" t="s">
        <v>70</v>
      </c>
      <c r="S696" s="4">
        <v>23</v>
      </c>
      <c r="T696" s="4">
        <v>23</v>
      </c>
      <c r="U696" s="5" t="s">
        <v>6853</v>
      </c>
      <c r="V696" s="5" t="s">
        <v>6853</v>
      </c>
      <c r="W696" s="5" t="s">
        <v>72</v>
      </c>
      <c r="X696" s="5" t="s">
        <v>72</v>
      </c>
      <c r="Y696" s="4">
        <v>910</v>
      </c>
      <c r="Z696" s="4">
        <v>43</v>
      </c>
      <c r="AA696" s="4">
        <v>75</v>
      </c>
      <c r="AB696" s="4">
        <v>4</v>
      </c>
      <c r="AC696" s="4">
        <v>10</v>
      </c>
      <c r="AD696" s="4">
        <v>92</v>
      </c>
      <c r="AE696" s="4">
        <v>143</v>
      </c>
      <c r="AF696" s="4">
        <v>2</v>
      </c>
      <c r="AG696" s="4">
        <v>6</v>
      </c>
      <c r="AH696" s="4">
        <v>77</v>
      </c>
      <c r="AI696" s="4">
        <v>113</v>
      </c>
      <c r="AJ696" s="4">
        <v>10</v>
      </c>
      <c r="AK696" s="4">
        <v>23</v>
      </c>
      <c r="AL696" s="4">
        <v>39</v>
      </c>
      <c r="AM696" s="4">
        <v>60</v>
      </c>
      <c r="AN696" s="4">
        <v>0</v>
      </c>
      <c r="AO696" s="4">
        <v>0</v>
      </c>
      <c r="AP696" s="4">
        <v>18</v>
      </c>
      <c r="AQ696" s="4">
        <v>35</v>
      </c>
      <c r="AR696" s="3" t="s">
        <v>64</v>
      </c>
      <c r="AS696" s="3" t="s">
        <v>64</v>
      </c>
      <c r="AT696" s="3" t="s">
        <v>128</v>
      </c>
      <c r="AU696" s="6" t="str">
        <f>HYPERLINK("http://catalog.hathitrust.org/Record/003998653","HathiTrust Record")</f>
        <v>HathiTrust Record</v>
      </c>
      <c r="AV696" s="6" t="str">
        <f>HYPERLINK("http://mcgill.on.worldcat.org/oclc/37594815","Catalog Record")</f>
        <v>Catalog Record</v>
      </c>
      <c r="AW696" s="6" t="str">
        <f>HYPERLINK("http://www.worldcat.org/oclc/37594815","WorldCat Record")</f>
        <v>WorldCat Record</v>
      </c>
      <c r="AX696" s="3" t="s">
        <v>6854</v>
      </c>
      <c r="AY696" s="3" t="s">
        <v>6855</v>
      </c>
      <c r="AZ696" s="3" t="s">
        <v>6856</v>
      </c>
      <c r="BA696" s="3" t="s">
        <v>6856</v>
      </c>
      <c r="BB696" s="3" t="s">
        <v>6857</v>
      </c>
      <c r="BC696" s="3" t="s">
        <v>77</v>
      </c>
      <c r="BD696" s="3" t="s">
        <v>78</v>
      </c>
      <c r="BE696" s="3" t="s">
        <v>6858</v>
      </c>
      <c r="BF696" s="3" t="s">
        <v>6857</v>
      </c>
      <c r="BG696" s="3" t="s">
        <v>6859</v>
      </c>
      <c r="BH696">
        <f t="shared" si="20"/>
        <v>0</v>
      </c>
    </row>
    <row r="697" spans="1:60" ht="58" x14ac:dyDescent="0.35">
      <c r="A697" s="2" t="s">
        <v>59</v>
      </c>
      <c r="B697" s="2" t="s">
        <v>60</v>
      </c>
      <c r="C697" s="2" t="s">
        <v>6860</v>
      </c>
      <c r="D697" s="2" t="s">
        <v>6861</v>
      </c>
      <c r="E697" s="2" t="s">
        <v>6862</v>
      </c>
      <c r="G697" s="3" t="s">
        <v>64</v>
      </c>
      <c r="I697" s="3" t="s">
        <v>64</v>
      </c>
      <c r="J697" s="3" t="s">
        <v>64</v>
      </c>
      <c r="K697" s="3" t="s">
        <v>65</v>
      </c>
      <c r="L697" s="2" t="s">
        <v>6863</v>
      </c>
      <c r="M697" s="2" t="s">
        <v>6864</v>
      </c>
      <c r="N697" s="3" t="s">
        <v>578</v>
      </c>
      <c r="P697" s="3" t="s">
        <v>102</v>
      </c>
      <c r="R697" s="3" t="s">
        <v>70</v>
      </c>
      <c r="S697" s="4">
        <v>0</v>
      </c>
      <c r="T697" s="4">
        <v>0</v>
      </c>
      <c r="W697" s="5" t="s">
        <v>72</v>
      </c>
      <c r="X697" s="5" t="s">
        <v>72</v>
      </c>
      <c r="Y697" s="4">
        <v>48</v>
      </c>
      <c r="Z697" s="4">
        <v>5</v>
      </c>
      <c r="AA697" s="4">
        <v>5</v>
      </c>
      <c r="AB697" s="4">
        <v>1</v>
      </c>
      <c r="AC697" s="4">
        <v>1</v>
      </c>
      <c r="AD697" s="4">
        <v>10</v>
      </c>
      <c r="AE697" s="4">
        <v>10</v>
      </c>
      <c r="AF697" s="4">
        <v>0</v>
      </c>
      <c r="AG697" s="4">
        <v>0</v>
      </c>
      <c r="AH697" s="4">
        <v>10</v>
      </c>
      <c r="AI697" s="4">
        <v>10</v>
      </c>
      <c r="AJ697" s="4">
        <v>2</v>
      </c>
      <c r="AK697" s="4">
        <v>2</v>
      </c>
      <c r="AL697" s="4">
        <v>5</v>
      </c>
      <c r="AM697" s="4">
        <v>5</v>
      </c>
      <c r="AN697" s="4">
        <v>0</v>
      </c>
      <c r="AO697" s="4">
        <v>0</v>
      </c>
      <c r="AP697" s="4">
        <v>2</v>
      </c>
      <c r="AQ697" s="4">
        <v>2</v>
      </c>
      <c r="AR697" s="3" t="s">
        <v>64</v>
      </c>
      <c r="AS697" s="3" t="s">
        <v>64</v>
      </c>
      <c r="AT697" s="3" t="s">
        <v>64</v>
      </c>
      <c r="AV697" s="6" t="str">
        <f>HYPERLINK("http://mcgill.on.worldcat.org/oclc/986618272","Catalog Record")</f>
        <v>Catalog Record</v>
      </c>
      <c r="AW697" s="6" t="str">
        <f>HYPERLINK("http://www.worldcat.org/oclc/986618272","WorldCat Record")</f>
        <v>WorldCat Record</v>
      </c>
      <c r="AX697" s="3" t="s">
        <v>6865</v>
      </c>
      <c r="AY697" s="3" t="s">
        <v>6866</v>
      </c>
      <c r="AZ697" s="3" t="s">
        <v>6867</v>
      </c>
      <c r="BA697" s="3" t="s">
        <v>6867</v>
      </c>
      <c r="BB697" s="3" t="s">
        <v>6868</v>
      </c>
      <c r="BC697" s="3" t="s">
        <v>77</v>
      </c>
      <c r="BD697" s="3" t="s">
        <v>78</v>
      </c>
      <c r="BE697" s="3" t="s">
        <v>6869</v>
      </c>
      <c r="BF697" s="3" t="s">
        <v>6868</v>
      </c>
      <c r="BG697" s="3" t="s">
        <v>6870</v>
      </c>
      <c r="BH697">
        <f t="shared" si="20"/>
        <v>0</v>
      </c>
    </row>
    <row r="698" spans="1:60" x14ac:dyDescent="0.35">
      <c r="A698" t="s">
        <v>59</v>
      </c>
      <c r="B698" t="s">
        <v>60</v>
      </c>
      <c r="C698" t="s">
        <v>52956</v>
      </c>
      <c r="D698" t="s">
        <v>52957</v>
      </c>
      <c r="E698" t="s">
        <v>52958</v>
      </c>
      <c r="F698" t="s">
        <v>3558</v>
      </c>
      <c r="G698" t="s">
        <v>52959</v>
      </c>
      <c r="H698" t="s">
        <v>291</v>
      </c>
      <c r="I698" t="s">
        <v>2149</v>
      </c>
      <c r="J698" t="s">
        <v>102</v>
      </c>
      <c r="R698" t="s">
        <v>70</v>
      </c>
      <c r="S698">
        <v>36</v>
      </c>
      <c r="T698">
        <v>5</v>
      </c>
      <c r="U698">
        <v>5</v>
      </c>
      <c r="V698">
        <v>1</v>
      </c>
      <c r="W698">
        <v>1</v>
      </c>
      <c r="X698">
        <v>20</v>
      </c>
      <c r="Y698">
        <v>20</v>
      </c>
      <c r="Z698">
        <v>0</v>
      </c>
      <c r="AA698">
        <v>0</v>
      </c>
      <c r="AB698">
        <v>17</v>
      </c>
      <c r="AC698">
        <v>17</v>
      </c>
      <c r="AD698">
        <v>4</v>
      </c>
      <c r="AE698">
        <v>4</v>
      </c>
      <c r="AF698">
        <v>11</v>
      </c>
      <c r="AG698">
        <v>11</v>
      </c>
      <c r="AH698">
        <v>0</v>
      </c>
      <c r="AI698">
        <v>0</v>
      </c>
      <c r="AJ698">
        <v>4</v>
      </c>
      <c r="AK698">
        <v>4</v>
      </c>
      <c r="AL698" t="s">
        <v>64</v>
      </c>
      <c r="AM698" t="s">
        <v>64</v>
      </c>
      <c r="AN698" t="s">
        <v>64</v>
      </c>
      <c r="AP698" t="s">
        <v>52902</v>
      </c>
      <c r="AQ698" t="s">
        <v>52903</v>
      </c>
      <c r="AR698" t="s">
        <v>52960</v>
      </c>
      <c r="AS698" t="s">
        <v>52961</v>
      </c>
      <c r="AT698" t="s">
        <v>52962</v>
      </c>
      <c r="AU698" t="s">
        <v>52962</v>
      </c>
      <c r="AW698" t="s">
        <v>77</v>
      </c>
      <c r="AX698" t="s">
        <v>78</v>
      </c>
      <c r="AY698" t="s">
        <v>52964</v>
      </c>
      <c r="AZ698" t="s">
        <v>52963</v>
      </c>
      <c r="BA698" t="s">
        <v>52965</v>
      </c>
      <c r="BF698" t="s">
        <v>52963</v>
      </c>
      <c r="BH698">
        <f t="shared" si="20"/>
        <v>0</v>
      </c>
    </row>
    <row r="699" spans="1:60" ht="58" x14ac:dyDescent="0.35">
      <c r="A699" s="2" t="s">
        <v>59</v>
      </c>
      <c r="B699" s="2" t="s">
        <v>60</v>
      </c>
      <c r="C699" s="2" t="s">
        <v>6871</v>
      </c>
      <c r="D699" s="2" t="s">
        <v>6872</v>
      </c>
      <c r="E699" s="2" t="s">
        <v>6873</v>
      </c>
      <c r="G699" s="3" t="s">
        <v>64</v>
      </c>
      <c r="I699" s="3" t="s">
        <v>64</v>
      </c>
      <c r="J699" s="3" t="s">
        <v>64</v>
      </c>
      <c r="K699" s="3" t="s">
        <v>65</v>
      </c>
      <c r="L699" s="2" t="s">
        <v>6874</v>
      </c>
      <c r="M699" s="2" t="s">
        <v>6875</v>
      </c>
      <c r="N699" s="3" t="s">
        <v>86</v>
      </c>
      <c r="O699" s="2" t="s">
        <v>2149</v>
      </c>
      <c r="P699" s="3" t="s">
        <v>102</v>
      </c>
      <c r="Q699" s="2" t="s">
        <v>6876</v>
      </c>
      <c r="R699" s="3" t="s">
        <v>70</v>
      </c>
      <c r="S699" s="4">
        <v>2</v>
      </c>
      <c r="T699" s="4">
        <v>2</v>
      </c>
      <c r="U699" s="5" t="s">
        <v>6877</v>
      </c>
      <c r="V699" s="5" t="s">
        <v>6877</v>
      </c>
      <c r="W699" s="5" t="s">
        <v>72</v>
      </c>
      <c r="X699" s="5" t="s">
        <v>72</v>
      </c>
      <c r="Y699" s="4">
        <v>150</v>
      </c>
      <c r="Z699" s="4">
        <v>18</v>
      </c>
      <c r="AA699" s="4">
        <v>18</v>
      </c>
      <c r="AB699" s="4">
        <v>3</v>
      </c>
      <c r="AC699" s="4">
        <v>3</v>
      </c>
      <c r="AD699" s="4">
        <v>52</v>
      </c>
      <c r="AE699" s="4">
        <v>52</v>
      </c>
      <c r="AF699" s="4">
        <v>1</v>
      </c>
      <c r="AG699" s="4">
        <v>1</v>
      </c>
      <c r="AH699" s="4">
        <v>49</v>
      </c>
      <c r="AI699" s="4">
        <v>49</v>
      </c>
      <c r="AJ699" s="4">
        <v>8</v>
      </c>
      <c r="AK699" s="4">
        <v>8</v>
      </c>
      <c r="AL699" s="4">
        <v>27</v>
      </c>
      <c r="AM699" s="4">
        <v>27</v>
      </c>
      <c r="AN699" s="4">
        <v>0</v>
      </c>
      <c r="AO699" s="4">
        <v>0</v>
      </c>
      <c r="AP699" s="4">
        <v>9</v>
      </c>
      <c r="AQ699" s="4">
        <v>9</v>
      </c>
      <c r="AR699" s="3" t="s">
        <v>64</v>
      </c>
      <c r="AS699" s="3" t="s">
        <v>64</v>
      </c>
      <c r="AT699" s="3" t="s">
        <v>64</v>
      </c>
      <c r="AV699" s="6" t="str">
        <f>HYPERLINK("http://mcgill.on.worldcat.org/oclc/719428971","Catalog Record")</f>
        <v>Catalog Record</v>
      </c>
      <c r="AW699" s="6" t="str">
        <f>HYPERLINK("http://www.worldcat.org/oclc/719428971","WorldCat Record")</f>
        <v>WorldCat Record</v>
      </c>
      <c r="AX699" s="3" t="s">
        <v>6878</v>
      </c>
      <c r="AY699" s="3" t="s">
        <v>6879</v>
      </c>
      <c r="AZ699" s="3" t="s">
        <v>6880</v>
      </c>
      <c r="BA699" s="3" t="s">
        <v>6880</v>
      </c>
      <c r="BB699" s="3" t="s">
        <v>6881</v>
      </c>
      <c r="BC699" s="3" t="s">
        <v>77</v>
      </c>
      <c r="BD699" s="3" t="s">
        <v>78</v>
      </c>
      <c r="BE699" s="3" t="s">
        <v>6882</v>
      </c>
      <c r="BF699" s="3" t="s">
        <v>6881</v>
      </c>
      <c r="BG699" s="3" t="s">
        <v>6883</v>
      </c>
      <c r="BH699">
        <f t="shared" si="20"/>
        <v>0</v>
      </c>
    </row>
    <row r="700" spans="1:60" ht="58" x14ac:dyDescent="0.35">
      <c r="A700" s="2" t="s">
        <v>59</v>
      </c>
      <c r="B700" s="2" t="s">
        <v>60</v>
      </c>
      <c r="C700" s="2" t="s">
        <v>6884</v>
      </c>
      <c r="D700" s="2" t="s">
        <v>6885</v>
      </c>
      <c r="E700" s="2" t="s">
        <v>6886</v>
      </c>
      <c r="G700" s="3" t="s">
        <v>64</v>
      </c>
      <c r="I700" s="3" t="s">
        <v>64</v>
      </c>
      <c r="J700" s="3" t="s">
        <v>64</v>
      </c>
      <c r="K700" s="3" t="s">
        <v>65</v>
      </c>
      <c r="L700" s="2" t="s">
        <v>6887</v>
      </c>
      <c r="M700" s="2" t="s">
        <v>6888</v>
      </c>
      <c r="N700" s="3" t="s">
        <v>86</v>
      </c>
      <c r="P700" s="3" t="s">
        <v>68</v>
      </c>
      <c r="Q700" s="2" t="s">
        <v>6889</v>
      </c>
      <c r="R700" s="3" t="s">
        <v>70</v>
      </c>
      <c r="S700" s="4">
        <v>6</v>
      </c>
      <c r="T700" s="4">
        <v>6</v>
      </c>
      <c r="U700" s="5" t="s">
        <v>6890</v>
      </c>
      <c r="V700" s="5" t="s">
        <v>6890</v>
      </c>
      <c r="W700" s="5" t="s">
        <v>72</v>
      </c>
      <c r="X700" s="5" t="s">
        <v>72</v>
      </c>
      <c r="Y700" s="4">
        <v>24</v>
      </c>
      <c r="Z700" s="4">
        <v>6</v>
      </c>
      <c r="AA700" s="4">
        <v>14</v>
      </c>
      <c r="AB700" s="4">
        <v>1</v>
      </c>
      <c r="AC700" s="4">
        <v>7</v>
      </c>
      <c r="AD700" s="4">
        <v>16</v>
      </c>
      <c r="AE700" s="4">
        <v>21</v>
      </c>
      <c r="AF700" s="4">
        <v>0</v>
      </c>
      <c r="AG700" s="4">
        <v>3</v>
      </c>
      <c r="AH700" s="4">
        <v>14</v>
      </c>
      <c r="AI700" s="4">
        <v>16</v>
      </c>
      <c r="AJ700" s="4">
        <v>4</v>
      </c>
      <c r="AK700" s="4">
        <v>8</v>
      </c>
      <c r="AL700" s="4">
        <v>11</v>
      </c>
      <c r="AM700" s="4">
        <v>11</v>
      </c>
      <c r="AN700" s="4">
        <v>5</v>
      </c>
      <c r="AO700" s="4">
        <v>5</v>
      </c>
      <c r="AP700" s="4">
        <v>4</v>
      </c>
      <c r="AQ700" s="4">
        <v>8</v>
      </c>
      <c r="AR700" s="3" t="s">
        <v>64</v>
      </c>
      <c r="AS700" s="3" t="s">
        <v>64</v>
      </c>
      <c r="AT700" s="3" t="s">
        <v>128</v>
      </c>
      <c r="AU700" s="6" t="str">
        <f>HYPERLINK("http://catalog.hathitrust.org/Record/102166965","HathiTrust Record")</f>
        <v>HathiTrust Record</v>
      </c>
      <c r="AV700" s="6" t="str">
        <f>HYPERLINK("http://mcgill.on.worldcat.org/oclc/824353968","Catalog Record")</f>
        <v>Catalog Record</v>
      </c>
      <c r="AW700" s="6" t="str">
        <f>HYPERLINK("http://www.worldcat.org/oclc/824353968","WorldCat Record")</f>
        <v>WorldCat Record</v>
      </c>
      <c r="AX700" s="3" t="s">
        <v>6891</v>
      </c>
      <c r="AY700" s="3" t="s">
        <v>6892</v>
      </c>
      <c r="AZ700" s="3" t="s">
        <v>6893</v>
      </c>
      <c r="BA700" s="3" t="s">
        <v>6893</v>
      </c>
      <c r="BB700" s="3" t="s">
        <v>6894</v>
      </c>
      <c r="BC700" s="3" t="s">
        <v>77</v>
      </c>
      <c r="BD700" s="3" t="s">
        <v>78</v>
      </c>
      <c r="BE700" s="3" t="s">
        <v>6895</v>
      </c>
      <c r="BF700" s="3" t="s">
        <v>6894</v>
      </c>
      <c r="BG700" s="3" t="s">
        <v>6896</v>
      </c>
      <c r="BH700">
        <f t="shared" si="20"/>
        <v>0</v>
      </c>
    </row>
    <row r="701" spans="1:60" ht="58" x14ac:dyDescent="0.35">
      <c r="A701" s="2" t="s">
        <v>59</v>
      </c>
      <c r="B701" s="2" t="s">
        <v>60</v>
      </c>
      <c r="C701" s="2" t="s">
        <v>6897</v>
      </c>
      <c r="D701" s="2" t="s">
        <v>6898</v>
      </c>
      <c r="E701" s="2" t="s">
        <v>6899</v>
      </c>
      <c r="G701" s="3" t="s">
        <v>64</v>
      </c>
      <c r="I701" s="3" t="s">
        <v>64</v>
      </c>
      <c r="J701" s="3" t="s">
        <v>64</v>
      </c>
      <c r="K701" s="3" t="s">
        <v>65</v>
      </c>
      <c r="L701" s="2" t="s">
        <v>6900</v>
      </c>
      <c r="M701" s="2" t="s">
        <v>6901</v>
      </c>
      <c r="N701" s="3" t="s">
        <v>253</v>
      </c>
      <c r="O701" s="2" t="s">
        <v>117</v>
      </c>
      <c r="P701" s="3" t="s">
        <v>102</v>
      </c>
      <c r="R701" s="3" t="s">
        <v>70</v>
      </c>
      <c r="S701" s="4">
        <v>2</v>
      </c>
      <c r="T701" s="4">
        <v>2</v>
      </c>
      <c r="U701" s="5" t="s">
        <v>6902</v>
      </c>
      <c r="V701" s="5" t="s">
        <v>6902</v>
      </c>
      <c r="W701" s="5" t="s">
        <v>72</v>
      </c>
      <c r="X701" s="5" t="s">
        <v>72</v>
      </c>
      <c r="Y701" s="4">
        <v>131</v>
      </c>
      <c r="Z701" s="4">
        <v>11</v>
      </c>
      <c r="AA701" s="4">
        <v>11</v>
      </c>
      <c r="AB701" s="4">
        <v>1</v>
      </c>
      <c r="AC701" s="4">
        <v>1</v>
      </c>
      <c r="AD701" s="4">
        <v>47</v>
      </c>
      <c r="AE701" s="4">
        <v>47</v>
      </c>
      <c r="AF701" s="4">
        <v>0</v>
      </c>
      <c r="AG701" s="4">
        <v>0</v>
      </c>
      <c r="AH701" s="4">
        <v>41</v>
      </c>
      <c r="AI701" s="4">
        <v>41</v>
      </c>
      <c r="AJ701" s="4">
        <v>6</v>
      </c>
      <c r="AK701" s="4">
        <v>6</v>
      </c>
      <c r="AL701" s="4">
        <v>31</v>
      </c>
      <c r="AM701" s="4">
        <v>31</v>
      </c>
      <c r="AN701" s="4">
        <v>0</v>
      </c>
      <c r="AO701" s="4">
        <v>0</v>
      </c>
      <c r="AP701" s="4">
        <v>6</v>
      </c>
      <c r="AQ701" s="4">
        <v>6</v>
      </c>
      <c r="AR701" s="3" t="s">
        <v>64</v>
      </c>
      <c r="AS701" s="3" t="s">
        <v>64</v>
      </c>
      <c r="AT701" s="3" t="s">
        <v>64</v>
      </c>
      <c r="AV701" s="6" t="str">
        <f>HYPERLINK("http://mcgill.on.worldcat.org/oclc/920469618","Catalog Record")</f>
        <v>Catalog Record</v>
      </c>
      <c r="AW701" s="6" t="str">
        <f>HYPERLINK("http://www.worldcat.org/oclc/920469618","WorldCat Record")</f>
        <v>WorldCat Record</v>
      </c>
      <c r="AX701" s="3" t="s">
        <v>6903</v>
      </c>
      <c r="AY701" s="3" t="s">
        <v>6904</v>
      </c>
      <c r="AZ701" s="3" t="s">
        <v>6905</v>
      </c>
      <c r="BA701" s="3" t="s">
        <v>6905</v>
      </c>
      <c r="BB701" s="3" t="s">
        <v>6906</v>
      </c>
      <c r="BC701" s="3" t="s">
        <v>77</v>
      </c>
      <c r="BD701" s="3" t="s">
        <v>165</v>
      </c>
      <c r="BE701" s="3" t="s">
        <v>6907</v>
      </c>
      <c r="BF701" s="3" t="s">
        <v>6906</v>
      </c>
      <c r="BG701" s="3" t="s">
        <v>6908</v>
      </c>
      <c r="BH701">
        <f t="shared" si="20"/>
        <v>0</v>
      </c>
    </row>
    <row r="702" spans="1:60" ht="72.5" x14ac:dyDescent="0.35">
      <c r="A702" s="2" t="s">
        <v>59</v>
      </c>
      <c r="B702" s="2" t="s">
        <v>1025</v>
      </c>
      <c r="C702" s="2" t="s">
        <v>6909</v>
      </c>
      <c r="D702" s="2" t="s">
        <v>6910</v>
      </c>
      <c r="E702" s="2" t="s">
        <v>6911</v>
      </c>
      <c r="G702" s="3" t="s">
        <v>64</v>
      </c>
      <c r="I702" s="3" t="s">
        <v>64</v>
      </c>
      <c r="J702" s="3" t="s">
        <v>64</v>
      </c>
      <c r="K702" s="3" t="s">
        <v>65</v>
      </c>
      <c r="L702" s="2" t="s">
        <v>6912</v>
      </c>
      <c r="M702" s="2" t="s">
        <v>6913</v>
      </c>
      <c r="N702" s="3" t="s">
        <v>511</v>
      </c>
      <c r="P702" s="3" t="s">
        <v>102</v>
      </c>
      <c r="R702" s="3" t="s">
        <v>70</v>
      </c>
      <c r="S702" s="4">
        <v>4</v>
      </c>
      <c r="T702" s="4">
        <v>4</v>
      </c>
      <c r="U702" s="5" t="s">
        <v>4574</v>
      </c>
      <c r="V702" s="5" t="s">
        <v>4574</v>
      </c>
      <c r="W702" s="5" t="s">
        <v>72</v>
      </c>
      <c r="X702" s="5" t="s">
        <v>72</v>
      </c>
      <c r="Y702" s="4">
        <v>104</v>
      </c>
      <c r="Z702" s="4">
        <v>6</v>
      </c>
      <c r="AA702" s="4">
        <v>7</v>
      </c>
      <c r="AB702" s="4">
        <v>2</v>
      </c>
      <c r="AC702" s="4">
        <v>3</v>
      </c>
      <c r="AD702" s="4">
        <v>34</v>
      </c>
      <c r="AE702" s="4">
        <v>35</v>
      </c>
      <c r="AF702" s="4">
        <v>1</v>
      </c>
      <c r="AG702" s="4">
        <v>2</v>
      </c>
      <c r="AH702" s="4">
        <v>31</v>
      </c>
      <c r="AI702" s="4">
        <v>31</v>
      </c>
      <c r="AJ702" s="4">
        <v>5</v>
      </c>
      <c r="AK702" s="4">
        <v>6</v>
      </c>
      <c r="AL702" s="4">
        <v>13</v>
      </c>
      <c r="AM702" s="4">
        <v>13</v>
      </c>
      <c r="AN702" s="4">
        <v>0</v>
      </c>
      <c r="AO702" s="4">
        <v>0</v>
      </c>
      <c r="AP702" s="4">
        <v>5</v>
      </c>
      <c r="AQ702" s="4">
        <v>6</v>
      </c>
      <c r="AR702" s="3" t="s">
        <v>64</v>
      </c>
      <c r="AS702" s="3" t="s">
        <v>64</v>
      </c>
      <c r="AT702" s="3" t="s">
        <v>64</v>
      </c>
      <c r="AV702" s="6" t="str">
        <f>HYPERLINK("http://mcgill.on.worldcat.org/oclc/495778893","Catalog Record")</f>
        <v>Catalog Record</v>
      </c>
      <c r="AW702" s="6" t="str">
        <f>HYPERLINK("http://www.worldcat.org/oclc/495778893","WorldCat Record")</f>
        <v>WorldCat Record</v>
      </c>
      <c r="AX702" s="3" t="s">
        <v>6914</v>
      </c>
      <c r="AY702" s="3" t="s">
        <v>6915</v>
      </c>
      <c r="AZ702" s="3" t="s">
        <v>6916</v>
      </c>
      <c r="BA702" s="3" t="s">
        <v>6916</v>
      </c>
      <c r="BB702" s="3" t="s">
        <v>6917</v>
      </c>
      <c r="BC702" s="3" t="s">
        <v>77</v>
      </c>
      <c r="BD702" s="3" t="s">
        <v>78</v>
      </c>
      <c r="BE702" s="3" t="s">
        <v>6918</v>
      </c>
      <c r="BF702" s="3" t="s">
        <v>6917</v>
      </c>
      <c r="BG702" s="3" t="s">
        <v>6919</v>
      </c>
      <c r="BH702">
        <f t="shared" si="20"/>
        <v>0</v>
      </c>
    </row>
    <row r="703" spans="1:60" ht="58" x14ac:dyDescent="0.35">
      <c r="A703" s="2" t="s">
        <v>59</v>
      </c>
      <c r="B703" s="2" t="s">
        <v>60</v>
      </c>
      <c r="C703" s="2" t="s">
        <v>6920</v>
      </c>
      <c r="D703" s="2" t="s">
        <v>6921</v>
      </c>
      <c r="E703" s="2" t="s">
        <v>6922</v>
      </c>
      <c r="G703" s="3" t="s">
        <v>64</v>
      </c>
      <c r="I703" s="3" t="s">
        <v>64</v>
      </c>
      <c r="J703" s="3" t="s">
        <v>64</v>
      </c>
      <c r="K703" s="3" t="s">
        <v>65</v>
      </c>
      <c r="L703" s="2" t="s">
        <v>6923</v>
      </c>
      <c r="M703" s="2" t="s">
        <v>6924</v>
      </c>
      <c r="N703" s="3" t="s">
        <v>1075</v>
      </c>
      <c r="P703" s="3" t="s">
        <v>102</v>
      </c>
      <c r="R703" s="3" t="s">
        <v>70</v>
      </c>
      <c r="S703" s="4">
        <v>1</v>
      </c>
      <c r="T703" s="4">
        <v>1</v>
      </c>
      <c r="U703" s="5" t="s">
        <v>6925</v>
      </c>
      <c r="V703" s="5" t="s">
        <v>6925</v>
      </c>
      <c r="W703" s="5" t="s">
        <v>72</v>
      </c>
      <c r="X703" s="5" t="s">
        <v>72</v>
      </c>
      <c r="Y703" s="4">
        <v>144</v>
      </c>
      <c r="Z703" s="4">
        <v>10</v>
      </c>
      <c r="AA703" s="4">
        <v>20</v>
      </c>
      <c r="AB703" s="4">
        <v>2</v>
      </c>
      <c r="AC703" s="4">
        <v>4</v>
      </c>
      <c r="AD703" s="4">
        <v>32</v>
      </c>
      <c r="AE703" s="4">
        <v>43</v>
      </c>
      <c r="AF703" s="4">
        <v>1</v>
      </c>
      <c r="AG703" s="4">
        <v>3</v>
      </c>
      <c r="AH703" s="4">
        <v>28</v>
      </c>
      <c r="AI703" s="4">
        <v>36</v>
      </c>
      <c r="AJ703" s="4">
        <v>3</v>
      </c>
      <c r="AK703" s="4">
        <v>10</v>
      </c>
      <c r="AL703" s="4">
        <v>15</v>
      </c>
      <c r="AM703" s="4">
        <v>19</v>
      </c>
      <c r="AN703" s="4">
        <v>0</v>
      </c>
      <c r="AO703" s="4">
        <v>0</v>
      </c>
      <c r="AP703" s="4">
        <v>5</v>
      </c>
      <c r="AQ703" s="4">
        <v>12</v>
      </c>
      <c r="AR703" s="3" t="s">
        <v>64</v>
      </c>
      <c r="AS703" s="3" t="s">
        <v>64</v>
      </c>
      <c r="AT703" s="3" t="s">
        <v>64</v>
      </c>
      <c r="AV703" s="6" t="str">
        <f>HYPERLINK("http://mcgill.on.worldcat.org/oclc/827974124","Catalog Record")</f>
        <v>Catalog Record</v>
      </c>
      <c r="AW703" s="6" t="str">
        <f>HYPERLINK("http://www.worldcat.org/oclc/827974124","WorldCat Record")</f>
        <v>WorldCat Record</v>
      </c>
      <c r="AX703" s="3" t="s">
        <v>6926</v>
      </c>
      <c r="AY703" s="3" t="s">
        <v>6927</v>
      </c>
      <c r="AZ703" s="3" t="s">
        <v>6928</v>
      </c>
      <c r="BA703" s="3" t="s">
        <v>6928</v>
      </c>
      <c r="BB703" s="3" t="s">
        <v>6929</v>
      </c>
      <c r="BC703" s="3" t="s">
        <v>77</v>
      </c>
      <c r="BD703" s="3" t="s">
        <v>78</v>
      </c>
      <c r="BE703" s="3" t="s">
        <v>6930</v>
      </c>
      <c r="BF703" s="3" t="s">
        <v>6929</v>
      </c>
      <c r="BG703" s="3" t="s">
        <v>6931</v>
      </c>
      <c r="BH703">
        <f t="shared" si="20"/>
        <v>0</v>
      </c>
    </row>
    <row r="704" spans="1:60" ht="58" x14ac:dyDescent="0.35">
      <c r="A704" s="2" t="s">
        <v>59</v>
      </c>
      <c r="B704" s="2" t="s">
        <v>60</v>
      </c>
      <c r="C704" s="2" t="s">
        <v>6932</v>
      </c>
      <c r="D704" s="2" t="s">
        <v>6933</v>
      </c>
      <c r="E704" s="2" t="s">
        <v>6934</v>
      </c>
      <c r="G704" s="3" t="s">
        <v>64</v>
      </c>
      <c r="I704" s="3" t="s">
        <v>64</v>
      </c>
      <c r="J704" s="3" t="s">
        <v>64</v>
      </c>
      <c r="K704" s="3" t="s">
        <v>65</v>
      </c>
      <c r="L704" s="2" t="s">
        <v>6935</v>
      </c>
      <c r="M704" s="2" t="s">
        <v>6936</v>
      </c>
      <c r="N704" s="3" t="s">
        <v>1075</v>
      </c>
      <c r="O704" s="2" t="s">
        <v>117</v>
      </c>
      <c r="P704" s="3" t="s">
        <v>102</v>
      </c>
      <c r="R704" s="3" t="s">
        <v>70</v>
      </c>
      <c r="S704" s="4">
        <v>4</v>
      </c>
      <c r="T704" s="4">
        <v>4</v>
      </c>
      <c r="U704" s="5" t="s">
        <v>133</v>
      </c>
      <c r="V704" s="5" t="s">
        <v>133</v>
      </c>
      <c r="W704" s="5" t="s">
        <v>72</v>
      </c>
      <c r="X704" s="5" t="s">
        <v>72</v>
      </c>
      <c r="Y704" s="4">
        <v>1199</v>
      </c>
      <c r="Z704" s="4">
        <v>44</v>
      </c>
      <c r="AA704" s="4">
        <v>50</v>
      </c>
      <c r="AB704" s="4">
        <v>4</v>
      </c>
      <c r="AC704" s="4">
        <v>7</v>
      </c>
      <c r="AD704" s="4">
        <v>98</v>
      </c>
      <c r="AE704" s="4">
        <v>104</v>
      </c>
      <c r="AF704" s="4">
        <v>0</v>
      </c>
      <c r="AG704" s="4">
        <v>1</v>
      </c>
      <c r="AH704" s="4">
        <v>86</v>
      </c>
      <c r="AI704" s="4">
        <v>90</v>
      </c>
      <c r="AJ704" s="4">
        <v>10</v>
      </c>
      <c r="AK704" s="4">
        <v>11</v>
      </c>
      <c r="AL704" s="4">
        <v>54</v>
      </c>
      <c r="AM704" s="4">
        <v>56</v>
      </c>
      <c r="AN704" s="4">
        <v>0</v>
      </c>
      <c r="AO704" s="4">
        <v>0</v>
      </c>
      <c r="AP704" s="4">
        <v>13</v>
      </c>
      <c r="AQ704" s="4">
        <v>15</v>
      </c>
      <c r="AR704" s="3" t="s">
        <v>64</v>
      </c>
      <c r="AS704" s="3" t="s">
        <v>64</v>
      </c>
      <c r="AT704" s="3" t="s">
        <v>64</v>
      </c>
      <c r="AV704" s="6" t="str">
        <f>HYPERLINK("http://mcgill.on.worldcat.org/oclc/824119601","Catalog Record")</f>
        <v>Catalog Record</v>
      </c>
      <c r="AW704" s="6" t="str">
        <f>HYPERLINK("http://www.worldcat.org/oclc/824119601","WorldCat Record")</f>
        <v>WorldCat Record</v>
      </c>
      <c r="AX704" s="3" t="s">
        <v>6937</v>
      </c>
      <c r="AY704" s="3" t="s">
        <v>6938</v>
      </c>
      <c r="AZ704" s="3" t="s">
        <v>6939</v>
      </c>
      <c r="BA704" s="3" t="s">
        <v>6939</v>
      </c>
      <c r="BB704" s="3" t="s">
        <v>6940</v>
      </c>
      <c r="BC704" s="3" t="s">
        <v>77</v>
      </c>
      <c r="BD704" s="3" t="s">
        <v>78</v>
      </c>
      <c r="BE704" s="3" t="s">
        <v>6941</v>
      </c>
      <c r="BF704" s="3" t="s">
        <v>6940</v>
      </c>
      <c r="BG704" s="3" t="s">
        <v>6942</v>
      </c>
      <c r="BH704">
        <f t="shared" si="20"/>
        <v>0</v>
      </c>
    </row>
    <row r="705" spans="1:60" ht="58" x14ac:dyDescent="0.35">
      <c r="A705" s="2" t="s">
        <v>59</v>
      </c>
      <c r="B705" s="2" t="s">
        <v>60</v>
      </c>
      <c r="C705" s="2" t="s">
        <v>6943</v>
      </c>
      <c r="D705" s="2" t="s">
        <v>6944</v>
      </c>
      <c r="E705" s="2" t="s">
        <v>6945</v>
      </c>
      <c r="G705" s="3" t="s">
        <v>64</v>
      </c>
      <c r="I705" s="3" t="s">
        <v>128</v>
      </c>
      <c r="J705" s="3" t="s">
        <v>64</v>
      </c>
      <c r="K705" s="3" t="s">
        <v>65</v>
      </c>
      <c r="L705" s="2" t="s">
        <v>6946</v>
      </c>
      <c r="M705" s="2" t="s">
        <v>6947</v>
      </c>
      <c r="N705" s="3" t="s">
        <v>6948</v>
      </c>
      <c r="P705" s="3" t="s">
        <v>102</v>
      </c>
      <c r="R705" s="3" t="s">
        <v>70</v>
      </c>
      <c r="S705" s="4">
        <v>6</v>
      </c>
      <c r="T705" s="4">
        <v>6</v>
      </c>
      <c r="U705" s="5" t="s">
        <v>306</v>
      </c>
      <c r="V705" s="5" t="s">
        <v>306</v>
      </c>
      <c r="W705" s="5" t="s">
        <v>72</v>
      </c>
      <c r="X705" s="5" t="s">
        <v>72</v>
      </c>
      <c r="Y705" s="4">
        <v>119</v>
      </c>
      <c r="Z705" s="4">
        <v>11</v>
      </c>
      <c r="AA705" s="4">
        <v>13</v>
      </c>
      <c r="AB705" s="4">
        <v>2</v>
      </c>
      <c r="AC705" s="4">
        <v>2</v>
      </c>
      <c r="AD705" s="4">
        <v>39</v>
      </c>
      <c r="AE705" s="4">
        <v>52</v>
      </c>
      <c r="AF705" s="4">
        <v>0</v>
      </c>
      <c r="AG705" s="4">
        <v>0</v>
      </c>
      <c r="AH705" s="4">
        <v>35</v>
      </c>
      <c r="AI705" s="4">
        <v>48</v>
      </c>
      <c r="AJ705" s="4">
        <v>3</v>
      </c>
      <c r="AK705" s="4">
        <v>5</v>
      </c>
      <c r="AL705" s="4">
        <v>23</v>
      </c>
      <c r="AM705" s="4">
        <v>31</v>
      </c>
      <c r="AN705" s="4">
        <v>0</v>
      </c>
      <c r="AO705" s="4">
        <v>0</v>
      </c>
      <c r="AP705" s="4">
        <v>4</v>
      </c>
      <c r="AQ705" s="4">
        <v>6</v>
      </c>
      <c r="AR705" s="3" t="s">
        <v>64</v>
      </c>
      <c r="AS705" s="3" t="s">
        <v>64</v>
      </c>
      <c r="AT705" s="3" t="s">
        <v>128</v>
      </c>
      <c r="AU705" s="6" t="str">
        <f>HYPERLINK("http://catalog.hathitrust.org/Record/003080458","HathiTrust Record")</f>
        <v>HathiTrust Record</v>
      </c>
      <c r="AV705" s="6" t="str">
        <f>HYPERLINK("http://mcgill.on.worldcat.org/oclc/1068420","Catalog Record")</f>
        <v>Catalog Record</v>
      </c>
      <c r="AW705" s="6" t="str">
        <f>HYPERLINK("http://www.worldcat.org/oclc/1068420","WorldCat Record")</f>
        <v>WorldCat Record</v>
      </c>
      <c r="AX705" s="3" t="s">
        <v>6949</v>
      </c>
      <c r="AY705" s="3" t="s">
        <v>6950</v>
      </c>
      <c r="AZ705" s="3" t="s">
        <v>6951</v>
      </c>
      <c r="BA705" s="3" t="s">
        <v>6951</v>
      </c>
      <c r="BB705" s="3" t="s">
        <v>6952</v>
      </c>
      <c r="BC705" s="3" t="s">
        <v>77</v>
      </c>
      <c r="BD705" s="3" t="s">
        <v>78</v>
      </c>
      <c r="BF705" s="3" t="s">
        <v>6952</v>
      </c>
      <c r="BG705" s="3" t="s">
        <v>6953</v>
      </c>
      <c r="BH705">
        <f t="shared" si="20"/>
        <v>0</v>
      </c>
    </row>
    <row r="706" spans="1:60" ht="58" x14ac:dyDescent="0.35">
      <c r="A706" s="2" t="s">
        <v>59</v>
      </c>
      <c r="B706" s="2" t="s">
        <v>60</v>
      </c>
      <c r="C706" s="2" t="s">
        <v>6954</v>
      </c>
      <c r="D706" s="2" t="s">
        <v>6955</v>
      </c>
      <c r="E706" s="2" t="s">
        <v>6956</v>
      </c>
      <c r="G706" s="3" t="s">
        <v>64</v>
      </c>
      <c r="I706" s="3" t="s">
        <v>64</v>
      </c>
      <c r="J706" s="3" t="s">
        <v>64</v>
      </c>
      <c r="K706" s="3" t="s">
        <v>65</v>
      </c>
      <c r="L706" s="2" t="s">
        <v>6957</v>
      </c>
      <c r="M706" s="2" t="s">
        <v>6958</v>
      </c>
      <c r="N706" s="3" t="s">
        <v>392</v>
      </c>
      <c r="P706" s="3" t="s">
        <v>102</v>
      </c>
      <c r="Q706" s="2" t="s">
        <v>6959</v>
      </c>
      <c r="R706" s="3" t="s">
        <v>70</v>
      </c>
      <c r="S706" s="4">
        <v>8</v>
      </c>
      <c r="T706" s="4">
        <v>8</v>
      </c>
      <c r="U706" s="5" t="s">
        <v>6163</v>
      </c>
      <c r="V706" s="5" t="s">
        <v>6163</v>
      </c>
      <c r="W706" s="5" t="s">
        <v>72</v>
      </c>
      <c r="X706" s="5" t="s">
        <v>72</v>
      </c>
      <c r="Y706" s="4">
        <v>268</v>
      </c>
      <c r="Z706" s="4">
        <v>18</v>
      </c>
      <c r="AA706" s="4">
        <v>18</v>
      </c>
      <c r="AB706" s="4">
        <v>2</v>
      </c>
      <c r="AC706" s="4">
        <v>2</v>
      </c>
      <c r="AD706" s="4">
        <v>72</v>
      </c>
      <c r="AE706" s="4">
        <v>72</v>
      </c>
      <c r="AF706" s="4">
        <v>1</v>
      </c>
      <c r="AG706" s="4">
        <v>1</v>
      </c>
      <c r="AH706" s="4">
        <v>62</v>
      </c>
      <c r="AI706" s="4">
        <v>62</v>
      </c>
      <c r="AJ706" s="4">
        <v>8</v>
      </c>
      <c r="AK706" s="4">
        <v>8</v>
      </c>
      <c r="AL706" s="4">
        <v>36</v>
      </c>
      <c r="AM706" s="4">
        <v>36</v>
      </c>
      <c r="AN706" s="4">
        <v>0</v>
      </c>
      <c r="AO706" s="4">
        <v>0</v>
      </c>
      <c r="AP706" s="4">
        <v>11</v>
      </c>
      <c r="AQ706" s="4">
        <v>11</v>
      </c>
      <c r="AR706" s="3" t="s">
        <v>64</v>
      </c>
      <c r="AS706" s="3" t="s">
        <v>64</v>
      </c>
      <c r="AT706" s="3" t="s">
        <v>64</v>
      </c>
      <c r="AV706" s="6" t="str">
        <f>HYPERLINK("http://mcgill.on.worldcat.org/oclc/39281946","Catalog Record")</f>
        <v>Catalog Record</v>
      </c>
      <c r="AW706" s="6" t="str">
        <f>HYPERLINK("http://www.worldcat.org/oclc/39281946","WorldCat Record")</f>
        <v>WorldCat Record</v>
      </c>
      <c r="AX706" s="3" t="s">
        <v>6960</v>
      </c>
      <c r="AY706" s="3" t="s">
        <v>6961</v>
      </c>
      <c r="AZ706" s="3" t="s">
        <v>6962</v>
      </c>
      <c r="BA706" s="3" t="s">
        <v>6962</v>
      </c>
      <c r="BB706" s="3" t="s">
        <v>6963</v>
      </c>
      <c r="BC706" s="3" t="s">
        <v>77</v>
      </c>
      <c r="BD706" s="3" t="s">
        <v>78</v>
      </c>
      <c r="BE706" s="3" t="s">
        <v>6964</v>
      </c>
      <c r="BF706" s="3" t="s">
        <v>6963</v>
      </c>
      <c r="BG706" s="3" t="s">
        <v>6965</v>
      </c>
      <c r="BH706">
        <f t="shared" ref="BH706:BH769" si="21">IF(COUNTIF($BF$1:$BF$5431,BF706)=1,0,1)</f>
        <v>0</v>
      </c>
    </row>
    <row r="707" spans="1:60" x14ac:dyDescent="0.35">
      <c r="A707" t="s">
        <v>59</v>
      </c>
      <c r="B707" t="s">
        <v>60</v>
      </c>
      <c r="C707" t="s">
        <v>52897</v>
      </c>
      <c r="D707" t="s">
        <v>52898</v>
      </c>
      <c r="E707" t="s">
        <v>52899</v>
      </c>
      <c r="G707" t="s">
        <v>64</v>
      </c>
      <c r="I707" t="s">
        <v>64</v>
      </c>
      <c r="J707" t="s">
        <v>128</v>
      </c>
      <c r="K707" t="s">
        <v>65</v>
      </c>
      <c r="L707" t="s">
        <v>99</v>
      </c>
      <c r="M707" t="s">
        <v>52900</v>
      </c>
      <c r="N707" t="s">
        <v>922</v>
      </c>
      <c r="P707" t="s">
        <v>102</v>
      </c>
      <c r="R707" t="s">
        <v>70</v>
      </c>
      <c r="S707">
        <v>0</v>
      </c>
      <c r="T707">
        <v>0</v>
      </c>
      <c r="W707" t="s">
        <v>72</v>
      </c>
      <c r="X707" t="s">
        <v>72</v>
      </c>
      <c r="Y707">
        <v>173</v>
      </c>
      <c r="Z707">
        <v>14</v>
      </c>
      <c r="AA707">
        <v>30</v>
      </c>
      <c r="AB707">
        <v>1</v>
      </c>
      <c r="AC707">
        <v>1</v>
      </c>
      <c r="AD707">
        <v>61</v>
      </c>
      <c r="AE707">
        <v>118</v>
      </c>
      <c r="AF707">
        <v>0</v>
      </c>
      <c r="AG707">
        <v>0</v>
      </c>
      <c r="AH707">
        <v>55</v>
      </c>
      <c r="AI707">
        <v>99</v>
      </c>
      <c r="AJ707">
        <v>11</v>
      </c>
      <c r="AK707">
        <v>17</v>
      </c>
      <c r="AL707">
        <v>31</v>
      </c>
      <c r="AM707">
        <v>56</v>
      </c>
      <c r="AN707">
        <v>0</v>
      </c>
      <c r="AO707">
        <v>0</v>
      </c>
      <c r="AP707">
        <v>11</v>
      </c>
      <c r="AQ707">
        <v>24</v>
      </c>
      <c r="AR707" t="s">
        <v>64</v>
      </c>
      <c r="AS707" t="s">
        <v>64</v>
      </c>
      <c r="AT707" t="s">
        <v>128</v>
      </c>
      <c r="AU707" t="s">
        <v>52901</v>
      </c>
      <c r="AV707" t="s">
        <v>52902</v>
      </c>
      <c r="AW707" t="s">
        <v>52903</v>
      </c>
      <c r="AX707" t="s">
        <v>52904</v>
      </c>
      <c r="AY707" t="s">
        <v>52905</v>
      </c>
      <c r="AZ707" t="s">
        <v>52906</v>
      </c>
      <c r="BA707" t="s">
        <v>52906</v>
      </c>
      <c r="BB707" t="s">
        <v>52907</v>
      </c>
      <c r="BC707" t="s">
        <v>77</v>
      </c>
      <c r="BD707" t="s">
        <v>78</v>
      </c>
      <c r="BE707" t="s">
        <v>52908</v>
      </c>
      <c r="BF707" t="s">
        <v>52907</v>
      </c>
      <c r="BG707" t="s">
        <v>52909</v>
      </c>
      <c r="BH707">
        <f t="shared" si="21"/>
        <v>0</v>
      </c>
    </row>
    <row r="708" spans="1:60" ht="58" x14ac:dyDescent="0.35">
      <c r="A708" s="2" t="s">
        <v>59</v>
      </c>
      <c r="B708" s="2" t="s">
        <v>60</v>
      </c>
      <c r="C708" s="2" t="s">
        <v>6966</v>
      </c>
      <c r="D708" s="2" t="s">
        <v>6967</v>
      </c>
      <c r="E708" s="2" t="s">
        <v>6968</v>
      </c>
      <c r="G708" s="3" t="s">
        <v>64</v>
      </c>
      <c r="I708" s="3" t="s">
        <v>64</v>
      </c>
      <c r="J708" s="3" t="s">
        <v>128</v>
      </c>
      <c r="K708" s="3" t="s">
        <v>65</v>
      </c>
      <c r="L708" s="2" t="s">
        <v>6969</v>
      </c>
      <c r="M708" s="2" t="s">
        <v>6970</v>
      </c>
      <c r="N708" s="3" t="s">
        <v>1275</v>
      </c>
      <c r="O708" s="2" t="s">
        <v>6971</v>
      </c>
      <c r="P708" s="3" t="s">
        <v>102</v>
      </c>
      <c r="R708" s="3" t="s">
        <v>70</v>
      </c>
      <c r="S708" s="4">
        <v>9</v>
      </c>
      <c r="T708" s="4">
        <v>9</v>
      </c>
      <c r="U708" s="5" t="s">
        <v>6972</v>
      </c>
      <c r="V708" s="5" t="s">
        <v>6972</v>
      </c>
      <c r="W708" s="5" t="s">
        <v>72</v>
      </c>
      <c r="X708" s="5" t="s">
        <v>72</v>
      </c>
      <c r="Y708" s="4">
        <v>584</v>
      </c>
      <c r="Z708" s="4">
        <v>23</v>
      </c>
      <c r="AA708" s="4">
        <v>47</v>
      </c>
      <c r="AB708" s="4">
        <v>2</v>
      </c>
      <c r="AC708" s="4">
        <v>7</v>
      </c>
      <c r="AD708" s="4">
        <v>72</v>
      </c>
      <c r="AE708" s="4">
        <v>111</v>
      </c>
      <c r="AF708" s="4">
        <v>1</v>
      </c>
      <c r="AG708" s="4">
        <v>4</v>
      </c>
      <c r="AH708" s="4">
        <v>63</v>
      </c>
      <c r="AI708" s="4">
        <v>96</v>
      </c>
      <c r="AJ708" s="4">
        <v>7</v>
      </c>
      <c r="AK708" s="4">
        <v>16</v>
      </c>
      <c r="AL708" s="4">
        <v>30</v>
      </c>
      <c r="AM708" s="4">
        <v>52</v>
      </c>
      <c r="AN708" s="4">
        <v>0</v>
      </c>
      <c r="AO708" s="4">
        <v>0</v>
      </c>
      <c r="AP708" s="4">
        <v>12</v>
      </c>
      <c r="AQ708" s="4">
        <v>23</v>
      </c>
      <c r="AR708" s="3" t="s">
        <v>64</v>
      </c>
      <c r="AS708" s="3" t="s">
        <v>64</v>
      </c>
      <c r="AT708" s="3" t="s">
        <v>64</v>
      </c>
      <c r="AV708" s="6" t="str">
        <f>HYPERLINK("http://mcgill.on.worldcat.org/oclc/55129340","Catalog Record")</f>
        <v>Catalog Record</v>
      </c>
      <c r="AW708" s="6" t="str">
        <f>HYPERLINK("http://www.worldcat.org/oclc/55129340","WorldCat Record")</f>
        <v>WorldCat Record</v>
      </c>
      <c r="AX708" s="3" t="s">
        <v>6973</v>
      </c>
      <c r="AY708" s="3" t="s">
        <v>6974</v>
      </c>
      <c r="AZ708" s="3" t="s">
        <v>6975</v>
      </c>
      <c r="BA708" s="3" t="s">
        <v>6975</v>
      </c>
      <c r="BB708" s="3" t="s">
        <v>6976</v>
      </c>
      <c r="BC708" s="3" t="s">
        <v>77</v>
      </c>
      <c r="BD708" s="3" t="s">
        <v>78</v>
      </c>
      <c r="BE708" s="3" t="s">
        <v>6977</v>
      </c>
      <c r="BF708" s="3" t="s">
        <v>6976</v>
      </c>
      <c r="BG708" s="3" t="s">
        <v>6978</v>
      </c>
      <c r="BH708">
        <f t="shared" si="21"/>
        <v>0</v>
      </c>
    </row>
    <row r="709" spans="1:60" ht="58" x14ac:dyDescent="0.35">
      <c r="A709" s="2" t="s">
        <v>59</v>
      </c>
      <c r="B709" s="2" t="s">
        <v>60</v>
      </c>
      <c r="C709" s="2" t="s">
        <v>6979</v>
      </c>
      <c r="D709" s="2" t="s">
        <v>6980</v>
      </c>
      <c r="E709" s="2" t="s">
        <v>6981</v>
      </c>
      <c r="G709" s="3" t="s">
        <v>64</v>
      </c>
      <c r="I709" s="3" t="s">
        <v>64</v>
      </c>
      <c r="J709" s="3" t="s">
        <v>64</v>
      </c>
      <c r="K709" s="3" t="s">
        <v>65</v>
      </c>
      <c r="L709" s="2" t="s">
        <v>6982</v>
      </c>
      <c r="M709" s="2" t="s">
        <v>6983</v>
      </c>
      <c r="N709" s="3" t="s">
        <v>364</v>
      </c>
      <c r="P709" s="3" t="s">
        <v>102</v>
      </c>
      <c r="Q709" s="2" t="s">
        <v>6984</v>
      </c>
      <c r="R709" s="3" t="s">
        <v>70</v>
      </c>
      <c r="S709" s="4">
        <v>4</v>
      </c>
      <c r="T709" s="4">
        <v>4</v>
      </c>
      <c r="U709" s="5" t="s">
        <v>5611</v>
      </c>
      <c r="V709" s="5" t="s">
        <v>5611</v>
      </c>
      <c r="W709" s="5" t="s">
        <v>72</v>
      </c>
      <c r="X709" s="5" t="s">
        <v>72</v>
      </c>
      <c r="Y709" s="4">
        <v>191</v>
      </c>
      <c r="Z709" s="4">
        <v>20</v>
      </c>
      <c r="AA709" s="4">
        <v>37</v>
      </c>
      <c r="AB709" s="4">
        <v>1</v>
      </c>
      <c r="AC709" s="4">
        <v>2</v>
      </c>
      <c r="AD709" s="4">
        <v>39</v>
      </c>
      <c r="AE709" s="4">
        <v>99</v>
      </c>
      <c r="AF709" s="4">
        <v>0</v>
      </c>
      <c r="AG709" s="4">
        <v>1</v>
      </c>
      <c r="AH709" s="4">
        <v>33</v>
      </c>
      <c r="AI709" s="4">
        <v>83</v>
      </c>
      <c r="AJ709" s="4">
        <v>10</v>
      </c>
      <c r="AK709" s="4">
        <v>18</v>
      </c>
      <c r="AL709" s="4">
        <v>17</v>
      </c>
      <c r="AM709" s="4">
        <v>40</v>
      </c>
      <c r="AN709" s="4">
        <v>0</v>
      </c>
      <c r="AO709" s="4">
        <v>0</v>
      </c>
      <c r="AP709" s="4">
        <v>11</v>
      </c>
      <c r="AQ709" s="4">
        <v>24</v>
      </c>
      <c r="AR709" s="3" t="s">
        <v>64</v>
      </c>
      <c r="AS709" s="3" t="s">
        <v>64</v>
      </c>
      <c r="AT709" s="3" t="s">
        <v>64</v>
      </c>
      <c r="AV709" s="6" t="str">
        <f>HYPERLINK("http://mcgill.on.worldcat.org/oclc/875009","Catalog Record")</f>
        <v>Catalog Record</v>
      </c>
      <c r="AW709" s="6" t="str">
        <f>HYPERLINK("http://www.worldcat.org/oclc/875009","WorldCat Record")</f>
        <v>WorldCat Record</v>
      </c>
      <c r="AX709" s="3" t="s">
        <v>6985</v>
      </c>
      <c r="AY709" s="3" t="s">
        <v>6986</v>
      </c>
      <c r="AZ709" s="3" t="s">
        <v>6987</v>
      </c>
      <c r="BA709" s="3" t="s">
        <v>6987</v>
      </c>
      <c r="BB709" s="3" t="s">
        <v>6988</v>
      </c>
      <c r="BC709" s="3" t="s">
        <v>77</v>
      </c>
      <c r="BD709" s="3" t="s">
        <v>78</v>
      </c>
      <c r="BE709" s="3" t="s">
        <v>6989</v>
      </c>
      <c r="BF709" s="3" t="s">
        <v>6988</v>
      </c>
      <c r="BG709" s="3" t="s">
        <v>6990</v>
      </c>
      <c r="BH709">
        <f t="shared" si="21"/>
        <v>0</v>
      </c>
    </row>
    <row r="710" spans="1:60" ht="72.5" x14ac:dyDescent="0.35">
      <c r="A710" s="2" t="s">
        <v>59</v>
      </c>
      <c r="B710" s="2" t="s">
        <v>1025</v>
      </c>
      <c r="C710" s="2" t="s">
        <v>6991</v>
      </c>
      <c r="D710" s="2" t="s">
        <v>6992</v>
      </c>
      <c r="E710" s="2" t="s">
        <v>6993</v>
      </c>
      <c r="G710" s="3" t="s">
        <v>64</v>
      </c>
      <c r="I710" s="3" t="s">
        <v>64</v>
      </c>
      <c r="J710" s="3" t="s">
        <v>128</v>
      </c>
      <c r="K710" s="3" t="s">
        <v>65</v>
      </c>
      <c r="L710" s="2" t="s">
        <v>6994</v>
      </c>
      <c r="M710" s="2" t="s">
        <v>6995</v>
      </c>
      <c r="N710" s="3" t="s">
        <v>159</v>
      </c>
      <c r="P710" s="3" t="s">
        <v>102</v>
      </c>
      <c r="R710" s="3" t="s">
        <v>70</v>
      </c>
      <c r="S710" s="4">
        <v>7</v>
      </c>
      <c r="T710" s="4">
        <v>7</v>
      </c>
      <c r="U710" s="5" t="s">
        <v>6996</v>
      </c>
      <c r="V710" s="5" t="s">
        <v>6996</v>
      </c>
      <c r="W710" s="5" t="s">
        <v>72</v>
      </c>
      <c r="X710" s="5" t="s">
        <v>72</v>
      </c>
      <c r="Y710" s="4">
        <v>142</v>
      </c>
      <c r="Z710" s="4">
        <v>13</v>
      </c>
      <c r="AA710" s="4">
        <v>41</v>
      </c>
      <c r="AB710" s="4">
        <v>3</v>
      </c>
      <c r="AC710" s="4">
        <v>7</v>
      </c>
      <c r="AD710" s="4">
        <v>29</v>
      </c>
      <c r="AE710" s="4">
        <v>121</v>
      </c>
      <c r="AF710" s="4">
        <v>0</v>
      </c>
      <c r="AG710" s="4">
        <v>3</v>
      </c>
      <c r="AH710" s="4">
        <v>25</v>
      </c>
      <c r="AI710" s="4">
        <v>103</v>
      </c>
      <c r="AJ710" s="4">
        <v>2</v>
      </c>
      <c r="AK710" s="4">
        <v>20</v>
      </c>
      <c r="AL710" s="4">
        <v>16</v>
      </c>
      <c r="AM710" s="4">
        <v>56</v>
      </c>
      <c r="AN710" s="4">
        <v>0</v>
      </c>
      <c r="AO710" s="4">
        <v>5</v>
      </c>
      <c r="AP710" s="4">
        <v>3</v>
      </c>
      <c r="AQ710" s="4">
        <v>23</v>
      </c>
      <c r="AR710" s="3" t="s">
        <v>64</v>
      </c>
      <c r="AS710" s="3" t="s">
        <v>64</v>
      </c>
      <c r="AT710" s="3" t="s">
        <v>128</v>
      </c>
      <c r="AU710" s="6" t="str">
        <f>HYPERLINK("http://catalog.hathitrust.org/Record/008704887","HathiTrust Record")</f>
        <v>HathiTrust Record</v>
      </c>
      <c r="AV710" s="6" t="str">
        <f>HYPERLINK("http://mcgill.on.worldcat.org/oclc/49691067","Catalog Record")</f>
        <v>Catalog Record</v>
      </c>
      <c r="AW710" s="6" t="str">
        <f>HYPERLINK("http://www.worldcat.org/oclc/49691067","WorldCat Record")</f>
        <v>WorldCat Record</v>
      </c>
      <c r="AX710" s="3" t="s">
        <v>6997</v>
      </c>
      <c r="AY710" s="3" t="s">
        <v>6998</v>
      </c>
      <c r="AZ710" s="3" t="s">
        <v>6999</v>
      </c>
      <c r="BA710" s="3" t="s">
        <v>6999</v>
      </c>
      <c r="BB710" s="3" t="s">
        <v>7000</v>
      </c>
      <c r="BC710" s="3" t="s">
        <v>77</v>
      </c>
      <c r="BD710" s="3" t="s">
        <v>78</v>
      </c>
      <c r="BE710" s="3" t="s">
        <v>7001</v>
      </c>
      <c r="BF710" s="3" t="s">
        <v>7000</v>
      </c>
      <c r="BG710" s="3" t="s">
        <v>7002</v>
      </c>
      <c r="BH710">
        <f t="shared" si="21"/>
        <v>0</v>
      </c>
    </row>
    <row r="711" spans="1:60" ht="58" x14ac:dyDescent="0.35">
      <c r="A711" s="2" t="s">
        <v>59</v>
      </c>
      <c r="B711" s="2" t="s">
        <v>60</v>
      </c>
      <c r="C711" s="2" t="s">
        <v>7003</v>
      </c>
      <c r="D711" s="2" t="s">
        <v>7004</v>
      </c>
      <c r="E711" s="2" t="s">
        <v>7005</v>
      </c>
      <c r="G711" s="3" t="s">
        <v>64</v>
      </c>
      <c r="I711" s="3" t="s">
        <v>64</v>
      </c>
      <c r="J711" s="3" t="s">
        <v>64</v>
      </c>
      <c r="K711" s="3" t="s">
        <v>65</v>
      </c>
      <c r="L711" s="2" t="s">
        <v>7006</v>
      </c>
      <c r="M711" s="2" t="s">
        <v>7007</v>
      </c>
      <c r="N711" s="3" t="s">
        <v>326</v>
      </c>
      <c r="P711" s="3" t="s">
        <v>102</v>
      </c>
      <c r="R711" s="3" t="s">
        <v>70</v>
      </c>
      <c r="S711" s="4">
        <v>3</v>
      </c>
      <c r="T711" s="4">
        <v>3</v>
      </c>
      <c r="U711" s="5" t="s">
        <v>6672</v>
      </c>
      <c r="V711" s="5" t="s">
        <v>6672</v>
      </c>
      <c r="W711" s="5" t="s">
        <v>72</v>
      </c>
      <c r="X711" s="5" t="s">
        <v>72</v>
      </c>
      <c r="Y711" s="4">
        <v>124</v>
      </c>
      <c r="Z711" s="4">
        <v>7</v>
      </c>
      <c r="AA711" s="4">
        <v>15</v>
      </c>
      <c r="AB711" s="4">
        <v>2</v>
      </c>
      <c r="AC711" s="4">
        <v>4</v>
      </c>
      <c r="AD711" s="4">
        <v>24</v>
      </c>
      <c r="AE711" s="4">
        <v>25</v>
      </c>
      <c r="AF711" s="4">
        <v>1</v>
      </c>
      <c r="AG711" s="4">
        <v>1</v>
      </c>
      <c r="AH711" s="4">
        <v>22</v>
      </c>
      <c r="AI711" s="4">
        <v>23</v>
      </c>
      <c r="AJ711" s="4">
        <v>3</v>
      </c>
      <c r="AK711" s="4">
        <v>3</v>
      </c>
      <c r="AL711" s="4">
        <v>10</v>
      </c>
      <c r="AM711" s="4">
        <v>10</v>
      </c>
      <c r="AN711" s="4">
        <v>0</v>
      </c>
      <c r="AO711" s="4">
        <v>0</v>
      </c>
      <c r="AP711" s="4">
        <v>3</v>
      </c>
      <c r="AQ711" s="4">
        <v>3</v>
      </c>
      <c r="AR711" s="3" t="s">
        <v>64</v>
      </c>
      <c r="AS711" s="3" t="s">
        <v>64</v>
      </c>
      <c r="AT711" s="3" t="s">
        <v>64</v>
      </c>
      <c r="AV711" s="6" t="str">
        <f>HYPERLINK("http://mcgill.on.worldcat.org/oclc/711052382","Catalog Record")</f>
        <v>Catalog Record</v>
      </c>
      <c r="AW711" s="6" t="str">
        <f>HYPERLINK("http://www.worldcat.org/oclc/711052382","WorldCat Record")</f>
        <v>WorldCat Record</v>
      </c>
      <c r="AX711" s="3" t="s">
        <v>7008</v>
      </c>
      <c r="AY711" s="3" t="s">
        <v>7009</v>
      </c>
      <c r="AZ711" s="3" t="s">
        <v>7010</v>
      </c>
      <c r="BA711" s="3" t="s">
        <v>7010</v>
      </c>
      <c r="BB711" s="3" t="s">
        <v>7011</v>
      </c>
      <c r="BC711" s="3" t="s">
        <v>77</v>
      </c>
      <c r="BD711" s="3" t="s">
        <v>78</v>
      </c>
      <c r="BE711" s="3" t="s">
        <v>7012</v>
      </c>
      <c r="BF711" s="3" t="s">
        <v>7011</v>
      </c>
      <c r="BG711" s="3" t="s">
        <v>7013</v>
      </c>
      <c r="BH711">
        <f t="shared" si="21"/>
        <v>0</v>
      </c>
    </row>
    <row r="712" spans="1:60" ht="58" x14ac:dyDescent="0.35">
      <c r="A712" s="2" t="s">
        <v>59</v>
      </c>
      <c r="B712" s="2" t="s">
        <v>60</v>
      </c>
      <c r="C712" s="2" t="s">
        <v>7014</v>
      </c>
      <c r="D712" s="2" t="s">
        <v>7015</v>
      </c>
      <c r="E712" s="2" t="s">
        <v>7016</v>
      </c>
      <c r="G712" s="3" t="s">
        <v>64</v>
      </c>
      <c r="I712" s="3" t="s">
        <v>64</v>
      </c>
      <c r="J712" s="3" t="s">
        <v>64</v>
      </c>
      <c r="K712" s="3" t="s">
        <v>65</v>
      </c>
      <c r="L712" s="2" t="s">
        <v>5882</v>
      </c>
      <c r="M712" s="2" t="s">
        <v>7017</v>
      </c>
      <c r="N712" s="3" t="s">
        <v>578</v>
      </c>
      <c r="P712" s="3" t="s">
        <v>102</v>
      </c>
      <c r="R712" s="3" t="s">
        <v>70</v>
      </c>
      <c r="S712" s="4">
        <v>1</v>
      </c>
      <c r="T712" s="4">
        <v>1</v>
      </c>
      <c r="U712" s="5" t="s">
        <v>5884</v>
      </c>
      <c r="V712" s="5" t="s">
        <v>5884</v>
      </c>
      <c r="W712" s="5" t="s">
        <v>72</v>
      </c>
      <c r="X712" s="5" t="s">
        <v>72</v>
      </c>
      <c r="Y712" s="4">
        <v>33</v>
      </c>
      <c r="Z712" s="4">
        <v>16</v>
      </c>
      <c r="AA712" s="4">
        <v>16</v>
      </c>
      <c r="AB712" s="4">
        <v>2</v>
      </c>
      <c r="AC712" s="4">
        <v>2</v>
      </c>
      <c r="AD712" s="4">
        <v>24</v>
      </c>
      <c r="AE712" s="4">
        <v>24</v>
      </c>
      <c r="AF712" s="4">
        <v>1</v>
      </c>
      <c r="AG712" s="4">
        <v>1</v>
      </c>
      <c r="AH712" s="4">
        <v>18</v>
      </c>
      <c r="AI712" s="4">
        <v>18</v>
      </c>
      <c r="AJ712" s="4">
        <v>11</v>
      </c>
      <c r="AK712" s="4">
        <v>11</v>
      </c>
      <c r="AL712" s="4">
        <v>5</v>
      </c>
      <c r="AM712" s="4">
        <v>5</v>
      </c>
      <c r="AN712" s="4">
        <v>0</v>
      </c>
      <c r="AO712" s="4">
        <v>0</v>
      </c>
      <c r="AP712" s="4">
        <v>12</v>
      </c>
      <c r="AQ712" s="4">
        <v>12</v>
      </c>
      <c r="AR712" s="3" t="s">
        <v>128</v>
      </c>
      <c r="AS712" s="3" t="s">
        <v>64</v>
      </c>
      <c r="AT712" s="3" t="s">
        <v>64</v>
      </c>
      <c r="AV712" s="6" t="str">
        <f>HYPERLINK("http://mcgill.on.worldcat.org/oclc/1016436456","Catalog Record")</f>
        <v>Catalog Record</v>
      </c>
      <c r="AW712" s="6" t="str">
        <f>HYPERLINK("http://www.worldcat.org/oclc/1016436456","WorldCat Record")</f>
        <v>WorldCat Record</v>
      </c>
      <c r="AX712" s="3" t="s">
        <v>7018</v>
      </c>
      <c r="AY712" s="3" t="s">
        <v>7019</v>
      </c>
      <c r="AZ712" s="3" t="s">
        <v>7020</v>
      </c>
      <c r="BA712" s="3" t="s">
        <v>7020</v>
      </c>
      <c r="BB712" s="3" t="s">
        <v>7021</v>
      </c>
      <c r="BC712" s="3" t="s">
        <v>77</v>
      </c>
      <c r="BD712" s="3" t="s">
        <v>78</v>
      </c>
      <c r="BE712" s="3" t="s">
        <v>7022</v>
      </c>
      <c r="BF712" s="3" t="s">
        <v>7021</v>
      </c>
      <c r="BG712" s="3" t="s">
        <v>7023</v>
      </c>
      <c r="BH712">
        <f t="shared" si="21"/>
        <v>0</v>
      </c>
    </row>
    <row r="713" spans="1:60" ht="58" x14ac:dyDescent="0.35">
      <c r="A713" s="2" t="s">
        <v>59</v>
      </c>
      <c r="B713" s="2" t="s">
        <v>60</v>
      </c>
      <c r="C713" s="2" t="s">
        <v>7024</v>
      </c>
      <c r="D713" s="2" t="s">
        <v>7025</v>
      </c>
      <c r="E713" s="2" t="s">
        <v>7026</v>
      </c>
      <c r="G713" s="3" t="s">
        <v>64</v>
      </c>
      <c r="I713" s="3" t="s">
        <v>64</v>
      </c>
      <c r="J713" s="3" t="s">
        <v>64</v>
      </c>
      <c r="K713" s="3" t="s">
        <v>65</v>
      </c>
      <c r="L713" s="2" t="s">
        <v>7027</v>
      </c>
      <c r="M713" s="2" t="s">
        <v>7028</v>
      </c>
      <c r="N713" s="3" t="s">
        <v>171</v>
      </c>
      <c r="P713" s="3" t="s">
        <v>102</v>
      </c>
      <c r="R713" s="3" t="s">
        <v>70</v>
      </c>
      <c r="S713" s="4">
        <v>13</v>
      </c>
      <c r="T713" s="4">
        <v>13</v>
      </c>
      <c r="U713" s="5" t="s">
        <v>4286</v>
      </c>
      <c r="V713" s="5" t="s">
        <v>4286</v>
      </c>
      <c r="W713" s="5" t="s">
        <v>72</v>
      </c>
      <c r="X713" s="5" t="s">
        <v>72</v>
      </c>
      <c r="Y713" s="4">
        <v>92</v>
      </c>
      <c r="Z713" s="4">
        <v>7</v>
      </c>
      <c r="AA713" s="4">
        <v>27</v>
      </c>
      <c r="AB713" s="4">
        <v>1</v>
      </c>
      <c r="AC713" s="4">
        <v>5</v>
      </c>
      <c r="AD713" s="4">
        <v>16</v>
      </c>
      <c r="AE713" s="4">
        <v>58</v>
      </c>
      <c r="AF713" s="4">
        <v>0</v>
      </c>
      <c r="AG713" s="4">
        <v>4</v>
      </c>
      <c r="AH713" s="4">
        <v>12</v>
      </c>
      <c r="AI713" s="4">
        <v>45</v>
      </c>
      <c r="AJ713" s="4">
        <v>2</v>
      </c>
      <c r="AK713" s="4">
        <v>9</v>
      </c>
      <c r="AL713" s="4">
        <v>9</v>
      </c>
      <c r="AM713" s="4">
        <v>24</v>
      </c>
      <c r="AN713" s="4">
        <v>0</v>
      </c>
      <c r="AO713" s="4">
        <v>0</v>
      </c>
      <c r="AP713" s="4">
        <v>4</v>
      </c>
      <c r="AQ713" s="4">
        <v>13</v>
      </c>
      <c r="AR713" s="3" t="s">
        <v>64</v>
      </c>
      <c r="AS713" s="3" t="s">
        <v>64</v>
      </c>
      <c r="AT713" s="3" t="s">
        <v>64</v>
      </c>
      <c r="AV713" s="6" t="str">
        <f>HYPERLINK("http://mcgill.on.worldcat.org/oclc/64748181","Catalog Record")</f>
        <v>Catalog Record</v>
      </c>
      <c r="AW713" s="6" t="str">
        <f>HYPERLINK("http://www.worldcat.org/oclc/64748181","WorldCat Record")</f>
        <v>WorldCat Record</v>
      </c>
      <c r="AX713" s="3" t="s">
        <v>7029</v>
      </c>
      <c r="AY713" s="3" t="s">
        <v>7030</v>
      </c>
      <c r="AZ713" s="3" t="s">
        <v>7031</v>
      </c>
      <c r="BA713" s="3" t="s">
        <v>7031</v>
      </c>
      <c r="BB713" s="3" t="s">
        <v>7032</v>
      </c>
      <c r="BC713" s="3" t="s">
        <v>77</v>
      </c>
      <c r="BD713" s="3" t="s">
        <v>78</v>
      </c>
      <c r="BE713" s="3" t="s">
        <v>7033</v>
      </c>
      <c r="BF713" s="3" t="s">
        <v>7032</v>
      </c>
      <c r="BG713" s="3" t="s">
        <v>7034</v>
      </c>
      <c r="BH713">
        <f t="shared" si="21"/>
        <v>0</v>
      </c>
    </row>
    <row r="714" spans="1:60" ht="72.5" x14ac:dyDescent="0.35">
      <c r="A714" s="2" t="s">
        <v>59</v>
      </c>
      <c r="B714" s="2" t="s">
        <v>1025</v>
      </c>
      <c r="C714" s="2" t="s">
        <v>7035</v>
      </c>
      <c r="D714" s="2" t="s">
        <v>7036</v>
      </c>
      <c r="E714" s="2" t="s">
        <v>7037</v>
      </c>
      <c r="G714" s="3" t="s">
        <v>64</v>
      </c>
      <c r="I714" s="3" t="s">
        <v>128</v>
      </c>
      <c r="J714" s="3" t="s">
        <v>64</v>
      </c>
      <c r="K714" s="3" t="s">
        <v>65</v>
      </c>
      <c r="L714" s="2" t="s">
        <v>7038</v>
      </c>
      <c r="M714" s="2" t="s">
        <v>7039</v>
      </c>
      <c r="N714" s="3" t="s">
        <v>922</v>
      </c>
      <c r="P714" s="3" t="s">
        <v>102</v>
      </c>
      <c r="R714" s="3" t="s">
        <v>70</v>
      </c>
      <c r="S714" s="4">
        <v>2</v>
      </c>
      <c r="T714" s="4">
        <v>2</v>
      </c>
      <c r="U714" s="5" t="s">
        <v>5637</v>
      </c>
      <c r="V714" s="5" t="s">
        <v>5637</v>
      </c>
      <c r="W714" s="5" t="s">
        <v>72</v>
      </c>
      <c r="X714" s="5" t="s">
        <v>72</v>
      </c>
      <c r="Y714" s="4">
        <v>715</v>
      </c>
      <c r="Z714" s="4">
        <v>40</v>
      </c>
      <c r="AA714" s="4">
        <v>42</v>
      </c>
      <c r="AB714" s="4">
        <v>3</v>
      </c>
      <c r="AC714" s="4">
        <v>5</v>
      </c>
      <c r="AD714" s="4">
        <v>111</v>
      </c>
      <c r="AE714" s="4">
        <v>113</v>
      </c>
      <c r="AF714" s="4">
        <v>1</v>
      </c>
      <c r="AG714" s="4">
        <v>3</v>
      </c>
      <c r="AH714" s="4">
        <v>92</v>
      </c>
      <c r="AI714" s="4">
        <v>92</v>
      </c>
      <c r="AJ714" s="4">
        <v>19</v>
      </c>
      <c r="AK714" s="4">
        <v>21</v>
      </c>
      <c r="AL714" s="4">
        <v>51</v>
      </c>
      <c r="AM714" s="4">
        <v>51</v>
      </c>
      <c r="AN714" s="4">
        <v>0</v>
      </c>
      <c r="AO714" s="4">
        <v>0</v>
      </c>
      <c r="AP714" s="4">
        <v>24</v>
      </c>
      <c r="AQ714" s="4">
        <v>25</v>
      </c>
      <c r="AR714" s="3" t="s">
        <v>64</v>
      </c>
      <c r="AS714" s="3" t="s">
        <v>64</v>
      </c>
      <c r="AT714" s="3" t="s">
        <v>128</v>
      </c>
      <c r="AU714" s="6" t="str">
        <f>HYPERLINK("http://catalog.hathitrust.org/Record/000137764","HathiTrust Record")</f>
        <v>HathiTrust Record</v>
      </c>
      <c r="AV714" s="6" t="str">
        <f>HYPERLINK("http://mcgill.on.worldcat.org/oclc/297520","Catalog Record")</f>
        <v>Catalog Record</v>
      </c>
      <c r="AW714" s="6" t="str">
        <f>HYPERLINK("http://www.worldcat.org/oclc/297520","WorldCat Record")</f>
        <v>WorldCat Record</v>
      </c>
      <c r="AX714" s="3" t="s">
        <v>7040</v>
      </c>
      <c r="AY714" s="3" t="s">
        <v>7041</v>
      </c>
      <c r="AZ714" s="3" t="s">
        <v>7042</v>
      </c>
      <c r="BA714" s="3" t="s">
        <v>7042</v>
      </c>
      <c r="BB714" s="3" t="s">
        <v>7043</v>
      </c>
      <c r="BC714" s="3" t="s">
        <v>77</v>
      </c>
      <c r="BD714" s="3" t="s">
        <v>78</v>
      </c>
      <c r="BE714" s="3" t="s">
        <v>7044</v>
      </c>
      <c r="BF714" s="3" t="s">
        <v>7043</v>
      </c>
      <c r="BG714" s="3" t="s">
        <v>7045</v>
      </c>
      <c r="BH714">
        <f t="shared" si="21"/>
        <v>0</v>
      </c>
    </row>
    <row r="715" spans="1:60" ht="145" x14ac:dyDescent="0.35">
      <c r="A715" s="2" t="s">
        <v>59</v>
      </c>
      <c r="B715" s="2" t="s">
        <v>1025</v>
      </c>
      <c r="C715" s="2" t="s">
        <v>7046</v>
      </c>
      <c r="D715" s="2" t="s">
        <v>7047</v>
      </c>
      <c r="E715" s="2" t="s">
        <v>7048</v>
      </c>
      <c r="G715" s="3" t="s">
        <v>64</v>
      </c>
      <c r="I715" s="3" t="s">
        <v>64</v>
      </c>
      <c r="J715" s="3" t="s">
        <v>64</v>
      </c>
      <c r="K715" s="3" t="s">
        <v>65</v>
      </c>
      <c r="L715" s="2" t="s">
        <v>7049</v>
      </c>
      <c r="M715" s="2" t="s">
        <v>7050</v>
      </c>
      <c r="N715" s="3" t="s">
        <v>405</v>
      </c>
      <c r="O715" s="2" t="s">
        <v>7051</v>
      </c>
      <c r="P715" s="3" t="s">
        <v>102</v>
      </c>
      <c r="R715" s="3" t="s">
        <v>70</v>
      </c>
      <c r="S715" s="4">
        <v>12</v>
      </c>
      <c r="T715" s="4">
        <v>12</v>
      </c>
      <c r="U715" s="5" t="s">
        <v>7052</v>
      </c>
      <c r="V715" s="5" t="s">
        <v>7052</v>
      </c>
      <c r="W715" s="5" t="s">
        <v>72</v>
      </c>
      <c r="X715" s="5" t="s">
        <v>72</v>
      </c>
      <c r="Y715" s="4">
        <v>113</v>
      </c>
      <c r="Z715" s="4">
        <v>18</v>
      </c>
      <c r="AA715" s="4">
        <v>34</v>
      </c>
      <c r="AB715" s="4">
        <v>3</v>
      </c>
      <c r="AC715" s="4">
        <v>4</v>
      </c>
      <c r="AD715" s="4">
        <v>28</v>
      </c>
      <c r="AE715" s="4">
        <v>105</v>
      </c>
      <c r="AF715" s="4">
        <v>1</v>
      </c>
      <c r="AG715" s="4">
        <v>2</v>
      </c>
      <c r="AH715" s="4">
        <v>22</v>
      </c>
      <c r="AI715" s="4">
        <v>88</v>
      </c>
      <c r="AJ715" s="4">
        <v>10</v>
      </c>
      <c r="AK715" s="4">
        <v>19</v>
      </c>
      <c r="AL715" s="4">
        <v>8</v>
      </c>
      <c r="AM715" s="4">
        <v>46</v>
      </c>
      <c r="AN715" s="4">
        <v>0</v>
      </c>
      <c r="AO715" s="4">
        <v>0</v>
      </c>
      <c r="AP715" s="4">
        <v>12</v>
      </c>
      <c r="AQ715" s="4">
        <v>23</v>
      </c>
      <c r="AR715" s="3" t="s">
        <v>64</v>
      </c>
      <c r="AS715" s="3" t="s">
        <v>64</v>
      </c>
      <c r="AT715" s="3" t="s">
        <v>64</v>
      </c>
      <c r="AV715" s="6" t="str">
        <f>HYPERLINK("http://mcgill.on.worldcat.org/oclc/2801231","Catalog Record")</f>
        <v>Catalog Record</v>
      </c>
      <c r="AW715" s="6" t="str">
        <f>HYPERLINK("http://www.worldcat.org/oclc/2801231","WorldCat Record")</f>
        <v>WorldCat Record</v>
      </c>
      <c r="AX715" s="3" t="s">
        <v>7053</v>
      </c>
      <c r="AY715" s="3" t="s">
        <v>7054</v>
      </c>
      <c r="AZ715" s="3" t="s">
        <v>7055</v>
      </c>
      <c r="BA715" s="3" t="s">
        <v>7055</v>
      </c>
      <c r="BB715" s="3" t="s">
        <v>7056</v>
      </c>
      <c r="BC715" s="3" t="s">
        <v>77</v>
      </c>
      <c r="BD715" s="3" t="s">
        <v>78</v>
      </c>
      <c r="BE715" s="3" t="s">
        <v>7057</v>
      </c>
      <c r="BF715" s="3" t="s">
        <v>7056</v>
      </c>
      <c r="BG715" s="3" t="s">
        <v>7058</v>
      </c>
      <c r="BH715">
        <f t="shared" si="21"/>
        <v>0</v>
      </c>
    </row>
    <row r="716" spans="1:60" ht="58" x14ac:dyDescent="0.35">
      <c r="A716" s="2" t="s">
        <v>59</v>
      </c>
      <c r="B716" s="2" t="s">
        <v>60</v>
      </c>
      <c r="C716" s="2" t="s">
        <v>7059</v>
      </c>
      <c r="D716" s="2" t="s">
        <v>7060</v>
      </c>
      <c r="E716" s="2" t="s">
        <v>7061</v>
      </c>
      <c r="F716" s="3" t="s">
        <v>7062</v>
      </c>
      <c r="G716" s="3" t="s">
        <v>64</v>
      </c>
      <c r="I716" s="3" t="s">
        <v>64</v>
      </c>
      <c r="J716" s="3" t="s">
        <v>64</v>
      </c>
      <c r="K716" s="3" t="s">
        <v>65</v>
      </c>
      <c r="L716" s="2" t="s">
        <v>7063</v>
      </c>
      <c r="M716" s="2" t="s">
        <v>7064</v>
      </c>
      <c r="N716" s="3" t="s">
        <v>326</v>
      </c>
      <c r="P716" s="3" t="s">
        <v>102</v>
      </c>
      <c r="R716" s="3" t="s">
        <v>70</v>
      </c>
      <c r="S716" s="4">
        <v>3</v>
      </c>
      <c r="T716" s="4">
        <v>3</v>
      </c>
      <c r="U716" s="5" t="s">
        <v>7065</v>
      </c>
      <c r="V716" s="5" t="s">
        <v>7065</v>
      </c>
      <c r="W716" s="5" t="s">
        <v>72</v>
      </c>
      <c r="X716" s="5" t="s">
        <v>72</v>
      </c>
      <c r="Y716" s="4">
        <v>202</v>
      </c>
      <c r="Z716" s="4">
        <v>9</v>
      </c>
      <c r="AA716" s="4">
        <v>10</v>
      </c>
      <c r="AB716" s="4">
        <v>2</v>
      </c>
      <c r="AC716" s="4">
        <v>2</v>
      </c>
      <c r="AD716" s="4">
        <v>27</v>
      </c>
      <c r="AE716" s="4">
        <v>27</v>
      </c>
      <c r="AF716" s="4">
        <v>1</v>
      </c>
      <c r="AG716" s="4">
        <v>1</v>
      </c>
      <c r="AH716" s="4">
        <v>25</v>
      </c>
      <c r="AI716" s="4">
        <v>25</v>
      </c>
      <c r="AJ716" s="4">
        <v>2</v>
      </c>
      <c r="AK716" s="4">
        <v>2</v>
      </c>
      <c r="AL716" s="4">
        <v>14</v>
      </c>
      <c r="AM716" s="4">
        <v>14</v>
      </c>
      <c r="AN716" s="4">
        <v>0</v>
      </c>
      <c r="AO716" s="4">
        <v>0</v>
      </c>
      <c r="AP716" s="4">
        <v>2</v>
      </c>
      <c r="AQ716" s="4">
        <v>2</v>
      </c>
      <c r="AR716" s="3" t="s">
        <v>64</v>
      </c>
      <c r="AS716" s="3" t="s">
        <v>64</v>
      </c>
      <c r="AT716" s="3" t="s">
        <v>64</v>
      </c>
      <c r="AV716" s="6" t="str">
        <f>HYPERLINK("http://mcgill.on.worldcat.org/oclc/711052383","Catalog Record")</f>
        <v>Catalog Record</v>
      </c>
      <c r="AW716" s="6" t="str">
        <f>HYPERLINK("http://www.worldcat.org/oclc/711052383","WorldCat Record")</f>
        <v>WorldCat Record</v>
      </c>
      <c r="AX716" s="3" t="s">
        <v>7066</v>
      </c>
      <c r="AY716" s="3" t="s">
        <v>7067</v>
      </c>
      <c r="AZ716" s="3" t="s">
        <v>7068</v>
      </c>
      <c r="BA716" s="3" t="s">
        <v>7068</v>
      </c>
      <c r="BB716" s="3" t="s">
        <v>7069</v>
      </c>
      <c r="BC716" s="3" t="s">
        <v>77</v>
      </c>
      <c r="BD716" s="3" t="s">
        <v>78</v>
      </c>
      <c r="BE716" s="3" t="s">
        <v>7070</v>
      </c>
      <c r="BF716" s="3" t="s">
        <v>7069</v>
      </c>
      <c r="BG716" s="3" t="s">
        <v>7071</v>
      </c>
      <c r="BH716">
        <f t="shared" si="21"/>
        <v>0</v>
      </c>
    </row>
    <row r="717" spans="1:60" ht="58" x14ac:dyDescent="0.35">
      <c r="A717" s="2" t="s">
        <v>59</v>
      </c>
      <c r="B717" s="2" t="s">
        <v>60</v>
      </c>
      <c r="C717" s="2" t="s">
        <v>7072</v>
      </c>
      <c r="D717" s="2" t="s">
        <v>7073</v>
      </c>
      <c r="E717" s="2" t="s">
        <v>7074</v>
      </c>
      <c r="G717" s="3" t="s">
        <v>64</v>
      </c>
      <c r="I717" s="3" t="s">
        <v>64</v>
      </c>
      <c r="J717" s="3" t="s">
        <v>128</v>
      </c>
      <c r="K717" s="3" t="s">
        <v>65</v>
      </c>
      <c r="L717" s="2" t="s">
        <v>4406</v>
      </c>
      <c r="M717" s="2" t="s">
        <v>7075</v>
      </c>
      <c r="N717" s="3" t="s">
        <v>266</v>
      </c>
      <c r="O717" s="2" t="s">
        <v>2994</v>
      </c>
      <c r="P717" s="3" t="s">
        <v>102</v>
      </c>
      <c r="Q717" s="2" t="s">
        <v>7076</v>
      </c>
      <c r="R717" s="3" t="s">
        <v>70</v>
      </c>
      <c r="S717" s="4">
        <v>10</v>
      </c>
      <c r="T717" s="4">
        <v>10</v>
      </c>
      <c r="U717" s="5" t="s">
        <v>2282</v>
      </c>
      <c r="V717" s="5" t="s">
        <v>2282</v>
      </c>
      <c r="W717" s="5" t="s">
        <v>72</v>
      </c>
      <c r="X717" s="5" t="s">
        <v>72</v>
      </c>
      <c r="Y717" s="4">
        <v>140</v>
      </c>
      <c r="Z717" s="4">
        <v>12</v>
      </c>
      <c r="AA717" s="4">
        <v>36</v>
      </c>
      <c r="AB717" s="4">
        <v>1</v>
      </c>
      <c r="AC717" s="4">
        <v>3</v>
      </c>
      <c r="AD717" s="4">
        <v>37</v>
      </c>
      <c r="AE717" s="4">
        <v>111</v>
      </c>
      <c r="AF717" s="4">
        <v>0</v>
      </c>
      <c r="AG717" s="4">
        <v>2</v>
      </c>
      <c r="AH717" s="4">
        <v>31</v>
      </c>
      <c r="AI717" s="4">
        <v>94</v>
      </c>
      <c r="AJ717" s="4">
        <v>8</v>
      </c>
      <c r="AK717" s="4">
        <v>23</v>
      </c>
      <c r="AL717" s="4">
        <v>15</v>
      </c>
      <c r="AM717" s="4">
        <v>53</v>
      </c>
      <c r="AN717" s="4">
        <v>0</v>
      </c>
      <c r="AO717" s="4">
        <v>0</v>
      </c>
      <c r="AP717" s="4">
        <v>10</v>
      </c>
      <c r="AQ717" s="4">
        <v>24</v>
      </c>
      <c r="AR717" s="3" t="s">
        <v>64</v>
      </c>
      <c r="AS717" s="3" t="s">
        <v>64</v>
      </c>
      <c r="AT717" s="3" t="s">
        <v>64</v>
      </c>
      <c r="AV717" s="6" t="str">
        <f>HYPERLINK("http://mcgill.on.worldcat.org/oclc/574446","Catalog Record")</f>
        <v>Catalog Record</v>
      </c>
      <c r="AW717" s="6" t="str">
        <f>HYPERLINK("http://www.worldcat.org/oclc/574446","WorldCat Record")</f>
        <v>WorldCat Record</v>
      </c>
      <c r="AX717" s="3" t="s">
        <v>7077</v>
      </c>
      <c r="AY717" s="3" t="s">
        <v>7078</v>
      </c>
      <c r="AZ717" s="3" t="s">
        <v>7079</v>
      </c>
      <c r="BA717" s="3" t="s">
        <v>7079</v>
      </c>
      <c r="BB717" s="3" t="s">
        <v>7080</v>
      </c>
      <c r="BC717" s="3" t="s">
        <v>77</v>
      </c>
      <c r="BD717" s="3" t="s">
        <v>78</v>
      </c>
      <c r="BF717" s="3" t="s">
        <v>7080</v>
      </c>
      <c r="BG717" s="3" t="s">
        <v>7081</v>
      </c>
      <c r="BH717">
        <f t="shared" si="21"/>
        <v>0</v>
      </c>
    </row>
    <row r="718" spans="1:60" ht="58" x14ac:dyDescent="0.35">
      <c r="A718" s="2" t="s">
        <v>59</v>
      </c>
      <c r="B718" s="2" t="s">
        <v>60</v>
      </c>
      <c r="C718" s="2" t="s">
        <v>7082</v>
      </c>
      <c r="D718" s="2" t="s">
        <v>7083</v>
      </c>
      <c r="E718" s="2" t="s">
        <v>7084</v>
      </c>
      <c r="G718" s="3" t="s">
        <v>64</v>
      </c>
      <c r="I718" s="3" t="s">
        <v>64</v>
      </c>
      <c r="J718" s="3" t="s">
        <v>64</v>
      </c>
      <c r="K718" s="3" t="s">
        <v>65</v>
      </c>
      <c r="L718" s="2" t="s">
        <v>7085</v>
      </c>
      <c r="M718" s="2" t="s">
        <v>7086</v>
      </c>
      <c r="N718" s="3" t="s">
        <v>537</v>
      </c>
      <c r="P718" s="3" t="s">
        <v>102</v>
      </c>
      <c r="R718" s="3" t="s">
        <v>70</v>
      </c>
      <c r="S718" s="4">
        <v>4</v>
      </c>
      <c r="T718" s="4">
        <v>4</v>
      </c>
      <c r="U718" s="5" t="s">
        <v>2282</v>
      </c>
      <c r="V718" s="5" t="s">
        <v>2282</v>
      </c>
      <c r="W718" s="5" t="s">
        <v>72</v>
      </c>
      <c r="X718" s="5" t="s">
        <v>72</v>
      </c>
      <c r="Y718" s="4">
        <v>175</v>
      </c>
      <c r="Z718" s="4">
        <v>14</v>
      </c>
      <c r="AA718" s="4">
        <v>14</v>
      </c>
      <c r="AB718" s="4">
        <v>1</v>
      </c>
      <c r="AC718" s="4">
        <v>1</v>
      </c>
      <c r="AD718" s="4">
        <v>48</v>
      </c>
      <c r="AE718" s="4">
        <v>48</v>
      </c>
      <c r="AF718" s="4">
        <v>0</v>
      </c>
      <c r="AG718" s="4">
        <v>0</v>
      </c>
      <c r="AH718" s="4">
        <v>43</v>
      </c>
      <c r="AI718" s="4">
        <v>43</v>
      </c>
      <c r="AJ718" s="4">
        <v>5</v>
      </c>
      <c r="AK718" s="4">
        <v>5</v>
      </c>
      <c r="AL718" s="4">
        <v>29</v>
      </c>
      <c r="AM718" s="4">
        <v>29</v>
      </c>
      <c r="AN718" s="4">
        <v>0</v>
      </c>
      <c r="AO718" s="4">
        <v>0</v>
      </c>
      <c r="AP718" s="4">
        <v>6</v>
      </c>
      <c r="AQ718" s="4">
        <v>6</v>
      </c>
      <c r="AR718" s="3" t="s">
        <v>64</v>
      </c>
      <c r="AS718" s="3" t="s">
        <v>64</v>
      </c>
      <c r="AT718" s="3" t="s">
        <v>64</v>
      </c>
      <c r="AV718" s="6" t="str">
        <f>HYPERLINK("http://mcgill.on.worldcat.org/oclc/921866075","Catalog Record")</f>
        <v>Catalog Record</v>
      </c>
      <c r="AW718" s="6" t="str">
        <f>HYPERLINK("http://www.worldcat.org/oclc/921866075","WorldCat Record")</f>
        <v>WorldCat Record</v>
      </c>
      <c r="AX718" s="3" t="s">
        <v>7087</v>
      </c>
      <c r="AY718" s="3" t="s">
        <v>7088</v>
      </c>
      <c r="AZ718" s="3" t="s">
        <v>7089</v>
      </c>
      <c r="BA718" s="3" t="s">
        <v>7089</v>
      </c>
      <c r="BB718" s="3" t="s">
        <v>7090</v>
      </c>
      <c r="BC718" s="3" t="s">
        <v>77</v>
      </c>
      <c r="BD718" s="3" t="s">
        <v>78</v>
      </c>
      <c r="BE718" s="3" t="s">
        <v>7091</v>
      </c>
      <c r="BF718" s="3" t="s">
        <v>7090</v>
      </c>
      <c r="BG718" s="3" t="s">
        <v>7092</v>
      </c>
      <c r="BH718">
        <f t="shared" si="21"/>
        <v>0</v>
      </c>
    </row>
    <row r="719" spans="1:60" ht="72.5" x14ac:dyDescent="0.35">
      <c r="A719" s="2" t="s">
        <v>59</v>
      </c>
      <c r="B719" s="2" t="s">
        <v>60</v>
      </c>
      <c r="C719" s="2" t="s">
        <v>7093</v>
      </c>
      <c r="D719" s="2" t="s">
        <v>7094</v>
      </c>
      <c r="E719" s="2" t="s">
        <v>7095</v>
      </c>
      <c r="G719" s="3" t="s">
        <v>64</v>
      </c>
      <c r="I719" s="3" t="s">
        <v>64</v>
      </c>
      <c r="J719" s="3" t="s">
        <v>64</v>
      </c>
      <c r="K719" s="3" t="s">
        <v>65</v>
      </c>
      <c r="L719" s="2" t="s">
        <v>7096</v>
      </c>
      <c r="M719" s="2" t="s">
        <v>7097</v>
      </c>
      <c r="N719" s="3" t="s">
        <v>171</v>
      </c>
      <c r="P719" s="3" t="s">
        <v>102</v>
      </c>
      <c r="R719" s="3" t="s">
        <v>70</v>
      </c>
      <c r="S719" s="4">
        <v>5</v>
      </c>
      <c r="T719" s="4">
        <v>5</v>
      </c>
      <c r="U719" s="5" t="s">
        <v>6672</v>
      </c>
      <c r="V719" s="5" t="s">
        <v>6672</v>
      </c>
      <c r="W719" s="5" t="s">
        <v>72</v>
      </c>
      <c r="X719" s="5" t="s">
        <v>72</v>
      </c>
      <c r="Y719" s="4">
        <v>268</v>
      </c>
      <c r="Z719" s="4">
        <v>23</v>
      </c>
      <c r="AA719" s="4">
        <v>31</v>
      </c>
      <c r="AB719" s="4">
        <v>2</v>
      </c>
      <c r="AC719" s="4">
        <v>4</v>
      </c>
      <c r="AD719" s="4">
        <v>54</v>
      </c>
      <c r="AE719" s="4">
        <v>73</v>
      </c>
      <c r="AF719" s="4">
        <v>0</v>
      </c>
      <c r="AG719" s="4">
        <v>2</v>
      </c>
      <c r="AH719" s="4">
        <v>46</v>
      </c>
      <c r="AI719" s="4">
        <v>62</v>
      </c>
      <c r="AJ719" s="4">
        <v>6</v>
      </c>
      <c r="AK719" s="4">
        <v>11</v>
      </c>
      <c r="AL719" s="4">
        <v>25</v>
      </c>
      <c r="AM719" s="4">
        <v>33</v>
      </c>
      <c r="AN719" s="4">
        <v>0</v>
      </c>
      <c r="AO719" s="4">
        <v>0</v>
      </c>
      <c r="AP719" s="4">
        <v>9</v>
      </c>
      <c r="AQ719" s="4">
        <v>15</v>
      </c>
      <c r="AR719" s="3" t="s">
        <v>64</v>
      </c>
      <c r="AS719" s="3" t="s">
        <v>64</v>
      </c>
      <c r="AT719" s="3" t="s">
        <v>64</v>
      </c>
      <c r="AV719" s="6" t="str">
        <f>HYPERLINK("http://mcgill.on.worldcat.org/oclc/71231333","Catalog Record")</f>
        <v>Catalog Record</v>
      </c>
      <c r="AW719" s="6" t="str">
        <f>HYPERLINK("http://www.worldcat.org/oclc/71231333","WorldCat Record")</f>
        <v>WorldCat Record</v>
      </c>
      <c r="AX719" s="3" t="s">
        <v>7098</v>
      </c>
      <c r="AY719" s="3" t="s">
        <v>7099</v>
      </c>
      <c r="AZ719" s="3" t="s">
        <v>7100</v>
      </c>
      <c r="BA719" s="3" t="s">
        <v>7100</v>
      </c>
      <c r="BB719" s="3" t="s">
        <v>7101</v>
      </c>
      <c r="BC719" s="3" t="s">
        <v>77</v>
      </c>
      <c r="BD719" s="3" t="s">
        <v>78</v>
      </c>
      <c r="BE719" s="3" t="s">
        <v>7102</v>
      </c>
      <c r="BF719" s="3" t="s">
        <v>7101</v>
      </c>
      <c r="BG719" s="3" t="s">
        <v>7103</v>
      </c>
      <c r="BH719">
        <f t="shared" si="21"/>
        <v>0</v>
      </c>
    </row>
    <row r="720" spans="1:60" ht="58" x14ac:dyDescent="0.35">
      <c r="A720" s="2" t="s">
        <v>59</v>
      </c>
      <c r="B720" s="2" t="s">
        <v>60</v>
      </c>
      <c r="C720" s="2" t="s">
        <v>7104</v>
      </c>
      <c r="D720" s="2" t="s">
        <v>7105</v>
      </c>
      <c r="E720" s="2" t="s">
        <v>7106</v>
      </c>
      <c r="G720" s="3" t="s">
        <v>64</v>
      </c>
      <c r="I720" s="3" t="s">
        <v>64</v>
      </c>
      <c r="J720" s="3" t="s">
        <v>64</v>
      </c>
      <c r="K720" s="3" t="s">
        <v>65</v>
      </c>
      <c r="L720" s="2" t="s">
        <v>7107</v>
      </c>
      <c r="M720" s="2" t="s">
        <v>7108</v>
      </c>
      <c r="N720" s="3" t="s">
        <v>578</v>
      </c>
      <c r="P720" s="3" t="s">
        <v>102</v>
      </c>
      <c r="R720" s="3" t="s">
        <v>70</v>
      </c>
      <c r="S720" s="4">
        <v>1</v>
      </c>
      <c r="T720" s="4">
        <v>1</v>
      </c>
      <c r="U720" s="5" t="s">
        <v>6126</v>
      </c>
      <c r="V720" s="5" t="s">
        <v>6126</v>
      </c>
      <c r="W720" s="5" t="s">
        <v>72</v>
      </c>
      <c r="X720" s="5" t="s">
        <v>72</v>
      </c>
      <c r="Y720" s="4">
        <v>307</v>
      </c>
      <c r="Z720" s="4">
        <v>16</v>
      </c>
      <c r="AA720" s="4">
        <v>16</v>
      </c>
      <c r="AB720" s="4">
        <v>2</v>
      </c>
      <c r="AC720" s="4">
        <v>2</v>
      </c>
      <c r="AD720" s="4">
        <v>58</v>
      </c>
      <c r="AE720" s="4">
        <v>58</v>
      </c>
      <c r="AF720" s="4">
        <v>0</v>
      </c>
      <c r="AG720" s="4">
        <v>0</v>
      </c>
      <c r="AH720" s="4">
        <v>50</v>
      </c>
      <c r="AI720" s="4">
        <v>50</v>
      </c>
      <c r="AJ720" s="4">
        <v>4</v>
      </c>
      <c r="AK720" s="4">
        <v>4</v>
      </c>
      <c r="AL720" s="4">
        <v>34</v>
      </c>
      <c r="AM720" s="4">
        <v>34</v>
      </c>
      <c r="AN720" s="4">
        <v>0</v>
      </c>
      <c r="AO720" s="4">
        <v>0</v>
      </c>
      <c r="AP720" s="4">
        <v>7</v>
      </c>
      <c r="AQ720" s="4">
        <v>7</v>
      </c>
      <c r="AR720" s="3" t="s">
        <v>64</v>
      </c>
      <c r="AS720" s="3" t="s">
        <v>64</v>
      </c>
      <c r="AT720" s="3" t="s">
        <v>64</v>
      </c>
      <c r="AV720" s="6" t="str">
        <f>HYPERLINK("http://mcgill.on.worldcat.org/oclc/968290428","Catalog Record")</f>
        <v>Catalog Record</v>
      </c>
      <c r="AW720" s="6" t="str">
        <f>HYPERLINK("http://www.worldcat.org/oclc/968290428","WorldCat Record")</f>
        <v>WorldCat Record</v>
      </c>
      <c r="AX720" s="3" t="s">
        <v>7109</v>
      </c>
      <c r="AY720" s="3" t="s">
        <v>7110</v>
      </c>
      <c r="AZ720" s="3" t="s">
        <v>7111</v>
      </c>
      <c r="BA720" s="3" t="s">
        <v>7111</v>
      </c>
      <c r="BB720" s="3" t="s">
        <v>7112</v>
      </c>
      <c r="BC720" s="3" t="s">
        <v>77</v>
      </c>
      <c r="BD720" s="3" t="s">
        <v>78</v>
      </c>
      <c r="BE720" s="3" t="s">
        <v>7113</v>
      </c>
      <c r="BF720" s="3" t="s">
        <v>7112</v>
      </c>
      <c r="BG720" s="3" t="s">
        <v>7114</v>
      </c>
      <c r="BH720">
        <f t="shared" si="21"/>
        <v>0</v>
      </c>
    </row>
    <row r="721" spans="1:60" ht="58" x14ac:dyDescent="0.35">
      <c r="A721" s="2" t="s">
        <v>59</v>
      </c>
      <c r="B721" s="2" t="s">
        <v>60</v>
      </c>
      <c r="C721" s="2" t="s">
        <v>7115</v>
      </c>
      <c r="D721" s="2" t="s">
        <v>7116</v>
      </c>
      <c r="E721" s="2" t="s">
        <v>7117</v>
      </c>
      <c r="G721" s="3" t="s">
        <v>64</v>
      </c>
      <c r="I721" s="3" t="s">
        <v>64</v>
      </c>
      <c r="J721" s="3" t="s">
        <v>64</v>
      </c>
      <c r="K721" s="3" t="s">
        <v>65</v>
      </c>
      <c r="L721" s="2" t="s">
        <v>7118</v>
      </c>
      <c r="M721" s="2" t="s">
        <v>7119</v>
      </c>
      <c r="N721" s="3" t="s">
        <v>253</v>
      </c>
      <c r="P721" s="3" t="s">
        <v>102</v>
      </c>
      <c r="R721" s="3" t="s">
        <v>70</v>
      </c>
      <c r="S721" s="4">
        <v>2</v>
      </c>
      <c r="T721" s="4">
        <v>2</v>
      </c>
      <c r="U721" s="5" t="s">
        <v>6829</v>
      </c>
      <c r="V721" s="5" t="s">
        <v>6829</v>
      </c>
      <c r="W721" s="5" t="s">
        <v>72</v>
      </c>
      <c r="X721" s="5" t="s">
        <v>72</v>
      </c>
      <c r="Y721" s="4">
        <v>63</v>
      </c>
      <c r="Z721" s="4">
        <v>6</v>
      </c>
      <c r="AA721" s="4">
        <v>20</v>
      </c>
      <c r="AB721" s="4">
        <v>1</v>
      </c>
      <c r="AC721" s="4">
        <v>1</v>
      </c>
      <c r="AD721" s="4">
        <v>7</v>
      </c>
      <c r="AE721" s="4">
        <v>32</v>
      </c>
      <c r="AF721" s="4">
        <v>0</v>
      </c>
      <c r="AG721" s="4">
        <v>0</v>
      </c>
      <c r="AH721" s="4">
        <v>7</v>
      </c>
      <c r="AI721" s="4">
        <v>29</v>
      </c>
      <c r="AJ721" s="4">
        <v>1</v>
      </c>
      <c r="AK721" s="4">
        <v>4</v>
      </c>
      <c r="AL721" s="4">
        <v>6</v>
      </c>
      <c r="AM721" s="4">
        <v>16</v>
      </c>
      <c r="AN721" s="4">
        <v>0</v>
      </c>
      <c r="AO721" s="4">
        <v>0</v>
      </c>
      <c r="AP721" s="4">
        <v>1</v>
      </c>
      <c r="AQ721" s="4">
        <v>3</v>
      </c>
      <c r="AR721" s="3" t="s">
        <v>64</v>
      </c>
      <c r="AS721" s="3" t="s">
        <v>64</v>
      </c>
      <c r="AT721" s="3" t="s">
        <v>64</v>
      </c>
      <c r="AV721" s="6" t="str">
        <f>HYPERLINK("http://mcgill.on.worldcat.org/oclc/917375914","Catalog Record")</f>
        <v>Catalog Record</v>
      </c>
      <c r="AW721" s="6" t="str">
        <f>HYPERLINK("http://www.worldcat.org/oclc/917375914","WorldCat Record")</f>
        <v>WorldCat Record</v>
      </c>
      <c r="AX721" s="3" t="s">
        <v>7120</v>
      </c>
      <c r="AY721" s="3" t="s">
        <v>7121</v>
      </c>
      <c r="AZ721" s="3" t="s">
        <v>7122</v>
      </c>
      <c r="BA721" s="3" t="s">
        <v>7122</v>
      </c>
      <c r="BB721" s="3" t="s">
        <v>7123</v>
      </c>
      <c r="BC721" s="3" t="s">
        <v>77</v>
      </c>
      <c r="BD721" s="3" t="s">
        <v>78</v>
      </c>
      <c r="BE721" s="3" t="s">
        <v>7124</v>
      </c>
      <c r="BF721" s="3" t="s">
        <v>7123</v>
      </c>
      <c r="BG721" s="3" t="s">
        <v>7125</v>
      </c>
      <c r="BH721">
        <f t="shared" si="21"/>
        <v>0</v>
      </c>
    </row>
    <row r="722" spans="1:60" ht="58" x14ac:dyDescent="0.35">
      <c r="A722" s="2" t="s">
        <v>59</v>
      </c>
      <c r="B722" s="2" t="s">
        <v>60</v>
      </c>
      <c r="C722" s="2" t="s">
        <v>7126</v>
      </c>
      <c r="D722" s="2" t="s">
        <v>7127</v>
      </c>
      <c r="E722" s="2" t="s">
        <v>7128</v>
      </c>
      <c r="G722" s="3" t="s">
        <v>64</v>
      </c>
      <c r="I722" s="3" t="s">
        <v>64</v>
      </c>
      <c r="J722" s="3" t="s">
        <v>128</v>
      </c>
      <c r="K722" s="3" t="s">
        <v>65</v>
      </c>
      <c r="L722" s="2" t="s">
        <v>7129</v>
      </c>
      <c r="M722" s="2" t="s">
        <v>7130</v>
      </c>
      <c r="N722" s="3" t="s">
        <v>326</v>
      </c>
      <c r="O722" s="2" t="s">
        <v>7131</v>
      </c>
      <c r="P722" s="3" t="s">
        <v>102</v>
      </c>
      <c r="R722" s="3" t="s">
        <v>70</v>
      </c>
      <c r="S722" s="4">
        <v>3</v>
      </c>
      <c r="T722" s="4">
        <v>3</v>
      </c>
      <c r="U722" s="5" t="s">
        <v>6126</v>
      </c>
      <c r="V722" s="5" t="s">
        <v>6126</v>
      </c>
      <c r="W722" s="5" t="s">
        <v>72</v>
      </c>
      <c r="X722" s="5" t="s">
        <v>72</v>
      </c>
      <c r="Y722" s="4">
        <v>79</v>
      </c>
      <c r="Z722" s="4">
        <v>15</v>
      </c>
      <c r="AA722" s="4">
        <v>23</v>
      </c>
      <c r="AB722" s="4">
        <v>2</v>
      </c>
      <c r="AC722" s="4">
        <v>5</v>
      </c>
      <c r="AD722" s="4">
        <v>36</v>
      </c>
      <c r="AE722" s="4">
        <v>85</v>
      </c>
      <c r="AF722" s="4">
        <v>1</v>
      </c>
      <c r="AG722" s="4">
        <v>3</v>
      </c>
      <c r="AH722" s="4">
        <v>28</v>
      </c>
      <c r="AI722" s="4">
        <v>73</v>
      </c>
      <c r="AJ722" s="4">
        <v>7</v>
      </c>
      <c r="AK722" s="4">
        <v>10</v>
      </c>
      <c r="AL722" s="4">
        <v>15</v>
      </c>
      <c r="AM722" s="4">
        <v>42</v>
      </c>
      <c r="AN722" s="4">
        <v>0</v>
      </c>
      <c r="AO722" s="4">
        <v>0</v>
      </c>
      <c r="AP722" s="4">
        <v>10</v>
      </c>
      <c r="AQ722" s="4">
        <v>15</v>
      </c>
      <c r="AR722" s="3" t="s">
        <v>64</v>
      </c>
      <c r="AS722" s="3" t="s">
        <v>64</v>
      </c>
      <c r="AT722" s="3" t="s">
        <v>64</v>
      </c>
      <c r="AV722" s="6" t="str">
        <f>HYPERLINK("http://mcgill.on.worldcat.org/oclc/762673127","Catalog Record")</f>
        <v>Catalog Record</v>
      </c>
      <c r="AW722" s="6" t="str">
        <f>HYPERLINK("http://www.worldcat.org/oclc/762673127","WorldCat Record")</f>
        <v>WorldCat Record</v>
      </c>
      <c r="AX722" s="3" t="s">
        <v>7132</v>
      </c>
      <c r="AY722" s="3" t="s">
        <v>7133</v>
      </c>
      <c r="AZ722" s="3" t="s">
        <v>7134</v>
      </c>
      <c r="BA722" s="3" t="s">
        <v>7134</v>
      </c>
      <c r="BB722" s="3" t="s">
        <v>7135</v>
      </c>
      <c r="BC722" s="3" t="s">
        <v>77</v>
      </c>
      <c r="BD722" s="3" t="s">
        <v>78</v>
      </c>
      <c r="BE722" s="3" t="s">
        <v>7136</v>
      </c>
      <c r="BF722" s="3" t="s">
        <v>7135</v>
      </c>
      <c r="BG722" s="3" t="s">
        <v>7137</v>
      </c>
      <c r="BH722">
        <f t="shared" si="21"/>
        <v>0</v>
      </c>
    </row>
    <row r="723" spans="1:60" ht="58" x14ac:dyDescent="0.35">
      <c r="A723" s="2" t="s">
        <v>59</v>
      </c>
      <c r="B723" s="2" t="s">
        <v>60</v>
      </c>
      <c r="C723" s="2" t="s">
        <v>7138</v>
      </c>
      <c r="D723" s="2" t="s">
        <v>7139</v>
      </c>
      <c r="E723" s="2" t="s">
        <v>7140</v>
      </c>
      <c r="G723" s="3" t="s">
        <v>64</v>
      </c>
      <c r="I723" s="3" t="s">
        <v>128</v>
      </c>
      <c r="J723" s="3" t="s">
        <v>64</v>
      </c>
      <c r="K723" s="3" t="s">
        <v>65</v>
      </c>
      <c r="L723" s="2" t="s">
        <v>7141</v>
      </c>
      <c r="M723" s="2" t="s">
        <v>7142</v>
      </c>
      <c r="N723" s="3" t="s">
        <v>67</v>
      </c>
      <c r="P723" s="3" t="s">
        <v>102</v>
      </c>
      <c r="R723" s="3" t="s">
        <v>70</v>
      </c>
      <c r="S723" s="4">
        <v>1</v>
      </c>
      <c r="T723" s="4">
        <v>1</v>
      </c>
      <c r="U723" s="5" t="s">
        <v>7143</v>
      </c>
      <c r="V723" s="5" t="s">
        <v>7143</v>
      </c>
      <c r="W723" s="5" t="s">
        <v>72</v>
      </c>
      <c r="X723" s="5" t="s">
        <v>72</v>
      </c>
      <c r="Y723" s="4">
        <v>91</v>
      </c>
      <c r="Z723" s="4">
        <v>9</v>
      </c>
      <c r="AA723" s="4">
        <v>9</v>
      </c>
      <c r="AB723" s="4">
        <v>1</v>
      </c>
      <c r="AC723" s="4">
        <v>1</v>
      </c>
      <c r="AD723" s="4">
        <v>34</v>
      </c>
      <c r="AE723" s="4">
        <v>34</v>
      </c>
      <c r="AF723" s="4">
        <v>0</v>
      </c>
      <c r="AG723" s="4">
        <v>0</v>
      </c>
      <c r="AH723" s="4">
        <v>32</v>
      </c>
      <c r="AI723" s="4">
        <v>32</v>
      </c>
      <c r="AJ723" s="4">
        <v>5</v>
      </c>
      <c r="AK723" s="4">
        <v>5</v>
      </c>
      <c r="AL723" s="4">
        <v>21</v>
      </c>
      <c r="AM723" s="4">
        <v>21</v>
      </c>
      <c r="AN723" s="4">
        <v>0</v>
      </c>
      <c r="AO723" s="4">
        <v>0</v>
      </c>
      <c r="AP723" s="4">
        <v>5</v>
      </c>
      <c r="AQ723" s="4">
        <v>5</v>
      </c>
      <c r="AR723" s="3" t="s">
        <v>64</v>
      </c>
      <c r="AS723" s="3" t="s">
        <v>64</v>
      </c>
      <c r="AT723" s="3" t="s">
        <v>64</v>
      </c>
      <c r="AV723" s="6" t="str">
        <f>HYPERLINK("http://mcgill.on.worldcat.org/oclc/897835820","Catalog Record")</f>
        <v>Catalog Record</v>
      </c>
      <c r="AW723" s="6" t="str">
        <f>HYPERLINK("http://www.worldcat.org/oclc/897835820","WorldCat Record")</f>
        <v>WorldCat Record</v>
      </c>
      <c r="AX723" s="3" t="s">
        <v>7144</v>
      </c>
      <c r="AY723" s="3" t="s">
        <v>7145</v>
      </c>
      <c r="AZ723" s="3" t="s">
        <v>7146</v>
      </c>
      <c r="BA723" s="3" t="s">
        <v>7146</v>
      </c>
      <c r="BB723" s="3" t="s">
        <v>7147</v>
      </c>
      <c r="BC723" s="3" t="s">
        <v>77</v>
      </c>
      <c r="BD723" s="3" t="s">
        <v>78</v>
      </c>
      <c r="BE723" s="3" t="s">
        <v>7148</v>
      </c>
      <c r="BF723" s="3" t="s">
        <v>7147</v>
      </c>
      <c r="BG723" s="3" t="s">
        <v>7149</v>
      </c>
      <c r="BH723">
        <f t="shared" si="21"/>
        <v>0</v>
      </c>
    </row>
    <row r="724" spans="1:60" ht="58" x14ac:dyDescent="0.35">
      <c r="A724" s="2" t="s">
        <v>59</v>
      </c>
      <c r="B724" s="2" t="s">
        <v>60</v>
      </c>
      <c r="C724" s="2" t="s">
        <v>7150</v>
      </c>
      <c r="D724" s="2" t="s">
        <v>7151</v>
      </c>
      <c r="E724" s="2" t="s">
        <v>7152</v>
      </c>
      <c r="G724" s="3" t="s">
        <v>64</v>
      </c>
      <c r="I724" s="3" t="s">
        <v>64</v>
      </c>
      <c r="J724" s="3" t="s">
        <v>64</v>
      </c>
      <c r="K724" s="3" t="s">
        <v>65</v>
      </c>
      <c r="L724" s="2" t="s">
        <v>7153</v>
      </c>
      <c r="M724" s="2" t="s">
        <v>7154</v>
      </c>
      <c r="N724" s="3" t="s">
        <v>434</v>
      </c>
      <c r="P724" s="3" t="s">
        <v>102</v>
      </c>
      <c r="R724" s="3" t="s">
        <v>70</v>
      </c>
      <c r="S724" s="4">
        <v>4</v>
      </c>
      <c r="T724" s="4">
        <v>4</v>
      </c>
      <c r="U724" s="5" t="s">
        <v>7143</v>
      </c>
      <c r="V724" s="5" t="s">
        <v>7143</v>
      </c>
      <c r="W724" s="5" t="s">
        <v>72</v>
      </c>
      <c r="X724" s="5" t="s">
        <v>72</v>
      </c>
      <c r="Y724" s="4">
        <v>305</v>
      </c>
      <c r="Z724" s="4">
        <v>25</v>
      </c>
      <c r="AA724" s="4">
        <v>31</v>
      </c>
      <c r="AB724" s="4">
        <v>3</v>
      </c>
      <c r="AC724" s="4">
        <v>4</v>
      </c>
      <c r="AD724" s="4">
        <v>79</v>
      </c>
      <c r="AE724" s="4">
        <v>81</v>
      </c>
      <c r="AF724" s="4">
        <v>1</v>
      </c>
      <c r="AG724" s="4">
        <v>2</v>
      </c>
      <c r="AH724" s="4">
        <v>70</v>
      </c>
      <c r="AI724" s="4">
        <v>72</v>
      </c>
      <c r="AJ724" s="4">
        <v>12</v>
      </c>
      <c r="AK724" s="4">
        <v>14</v>
      </c>
      <c r="AL724" s="4">
        <v>37</v>
      </c>
      <c r="AM724" s="4">
        <v>38</v>
      </c>
      <c r="AN724" s="4">
        <v>0</v>
      </c>
      <c r="AO724" s="4">
        <v>0</v>
      </c>
      <c r="AP724" s="4">
        <v>14</v>
      </c>
      <c r="AQ724" s="4">
        <v>16</v>
      </c>
      <c r="AR724" s="3" t="s">
        <v>64</v>
      </c>
      <c r="AS724" s="3" t="s">
        <v>64</v>
      </c>
      <c r="AT724" s="3" t="s">
        <v>128</v>
      </c>
      <c r="AU724" s="6" t="str">
        <f>HYPERLINK("http://catalog.hathitrust.org/Record/005023153","HathiTrust Record")</f>
        <v>HathiTrust Record</v>
      </c>
      <c r="AV724" s="6" t="str">
        <f>HYPERLINK("http://mcgill.on.worldcat.org/oclc/56752380","Catalog Record")</f>
        <v>Catalog Record</v>
      </c>
      <c r="AW724" s="6" t="str">
        <f>HYPERLINK("http://www.worldcat.org/oclc/56752380","WorldCat Record")</f>
        <v>WorldCat Record</v>
      </c>
      <c r="AX724" s="3" t="s">
        <v>7155</v>
      </c>
      <c r="AY724" s="3" t="s">
        <v>7156</v>
      </c>
      <c r="AZ724" s="3" t="s">
        <v>7157</v>
      </c>
      <c r="BA724" s="3" t="s">
        <v>7157</v>
      </c>
      <c r="BB724" s="3" t="s">
        <v>7158</v>
      </c>
      <c r="BC724" s="3" t="s">
        <v>77</v>
      </c>
      <c r="BD724" s="3" t="s">
        <v>78</v>
      </c>
      <c r="BE724" s="3" t="s">
        <v>7159</v>
      </c>
      <c r="BF724" s="3" t="s">
        <v>7158</v>
      </c>
      <c r="BG724" s="3" t="s">
        <v>7160</v>
      </c>
      <c r="BH724">
        <f t="shared" si="21"/>
        <v>0</v>
      </c>
    </row>
    <row r="725" spans="1:60" ht="58" x14ac:dyDescent="0.35">
      <c r="A725" s="2" t="s">
        <v>59</v>
      </c>
      <c r="B725" s="2" t="s">
        <v>60</v>
      </c>
      <c r="C725" s="2" t="s">
        <v>7150</v>
      </c>
      <c r="D725" s="2" t="s">
        <v>7151</v>
      </c>
      <c r="E725" s="2" t="s">
        <v>7161</v>
      </c>
      <c r="G725" s="3" t="s">
        <v>64</v>
      </c>
      <c r="I725" s="3" t="s">
        <v>64</v>
      </c>
      <c r="J725" s="3" t="s">
        <v>64</v>
      </c>
      <c r="K725" s="3" t="s">
        <v>65</v>
      </c>
      <c r="L725" s="2" t="s">
        <v>7162</v>
      </c>
      <c r="M725" s="2" t="s">
        <v>7163</v>
      </c>
      <c r="N725" s="3" t="s">
        <v>171</v>
      </c>
      <c r="P725" s="3" t="s">
        <v>102</v>
      </c>
      <c r="R725" s="3" t="s">
        <v>70</v>
      </c>
      <c r="S725" s="4">
        <v>6</v>
      </c>
      <c r="T725" s="4">
        <v>6</v>
      </c>
      <c r="U725" s="5" t="s">
        <v>7164</v>
      </c>
      <c r="V725" s="5" t="s">
        <v>7164</v>
      </c>
      <c r="W725" s="5" t="s">
        <v>72</v>
      </c>
      <c r="X725" s="5" t="s">
        <v>72</v>
      </c>
      <c r="Y725" s="4">
        <v>247</v>
      </c>
      <c r="Z725" s="4">
        <v>18</v>
      </c>
      <c r="AA725" s="4">
        <v>67</v>
      </c>
      <c r="AB725" s="4">
        <v>2</v>
      </c>
      <c r="AC725" s="4">
        <v>16</v>
      </c>
      <c r="AD725" s="4">
        <v>84</v>
      </c>
      <c r="AE725" s="4">
        <v>132</v>
      </c>
      <c r="AF725" s="4">
        <v>1</v>
      </c>
      <c r="AG725" s="4">
        <v>7</v>
      </c>
      <c r="AH725" s="4">
        <v>78</v>
      </c>
      <c r="AI725" s="4">
        <v>93</v>
      </c>
      <c r="AJ725" s="4">
        <v>13</v>
      </c>
      <c r="AK725" s="4">
        <v>25</v>
      </c>
      <c r="AL725" s="4">
        <v>42</v>
      </c>
      <c r="AM725" s="4">
        <v>49</v>
      </c>
      <c r="AN725" s="4">
        <v>0</v>
      </c>
      <c r="AO725" s="4">
        <v>0</v>
      </c>
      <c r="AP725" s="4">
        <v>14</v>
      </c>
      <c r="AQ725" s="4">
        <v>48</v>
      </c>
      <c r="AR725" s="3" t="s">
        <v>64</v>
      </c>
      <c r="AS725" s="3" t="s">
        <v>64</v>
      </c>
      <c r="AT725" s="3" t="s">
        <v>128</v>
      </c>
      <c r="AU725" s="6" t="str">
        <f>HYPERLINK("http://catalog.hathitrust.org/Record/005546974","HathiTrust Record")</f>
        <v>HathiTrust Record</v>
      </c>
      <c r="AV725" s="6" t="str">
        <f>HYPERLINK("http://mcgill.on.worldcat.org/oclc/70292043","Catalog Record")</f>
        <v>Catalog Record</v>
      </c>
      <c r="AW725" s="6" t="str">
        <f>HYPERLINK("http://www.worldcat.org/oclc/70292043","WorldCat Record")</f>
        <v>WorldCat Record</v>
      </c>
      <c r="AX725" s="3" t="s">
        <v>7165</v>
      </c>
      <c r="AY725" s="3" t="s">
        <v>7166</v>
      </c>
      <c r="AZ725" s="3" t="s">
        <v>7167</v>
      </c>
      <c r="BA725" s="3" t="s">
        <v>7167</v>
      </c>
      <c r="BB725" s="3" t="s">
        <v>7168</v>
      </c>
      <c r="BC725" s="3" t="s">
        <v>77</v>
      </c>
      <c r="BD725" s="3" t="s">
        <v>78</v>
      </c>
      <c r="BE725" s="3" t="s">
        <v>7169</v>
      </c>
      <c r="BF725" s="3" t="s">
        <v>7168</v>
      </c>
      <c r="BG725" s="3" t="s">
        <v>7170</v>
      </c>
      <c r="BH725">
        <f t="shared" si="21"/>
        <v>0</v>
      </c>
    </row>
    <row r="726" spans="1:60" ht="58" x14ac:dyDescent="0.35">
      <c r="A726" s="2" t="s">
        <v>59</v>
      </c>
      <c r="B726" s="2" t="s">
        <v>60</v>
      </c>
      <c r="C726" s="2" t="s">
        <v>7171</v>
      </c>
      <c r="D726" s="2" t="s">
        <v>7172</v>
      </c>
      <c r="E726" s="2" t="s">
        <v>7173</v>
      </c>
      <c r="F726" s="3" t="s">
        <v>529</v>
      </c>
      <c r="G726" s="3" t="s">
        <v>128</v>
      </c>
      <c r="I726" s="3" t="s">
        <v>128</v>
      </c>
      <c r="J726" s="3" t="s">
        <v>128</v>
      </c>
      <c r="K726" s="3" t="s">
        <v>183</v>
      </c>
      <c r="L726" s="2" t="s">
        <v>7174</v>
      </c>
      <c r="M726" s="2" t="s">
        <v>7175</v>
      </c>
      <c r="N726" s="3" t="s">
        <v>131</v>
      </c>
      <c r="O726" s="2" t="s">
        <v>7176</v>
      </c>
      <c r="P726" s="3" t="s">
        <v>102</v>
      </c>
      <c r="R726" s="3" t="s">
        <v>70</v>
      </c>
      <c r="S726" s="4">
        <v>15</v>
      </c>
      <c r="T726" s="4">
        <v>34</v>
      </c>
      <c r="U726" s="5" t="s">
        <v>7177</v>
      </c>
      <c r="V726" s="5" t="s">
        <v>7178</v>
      </c>
      <c r="W726" s="5" t="s">
        <v>72</v>
      </c>
      <c r="X726" s="5" t="s">
        <v>72</v>
      </c>
      <c r="Y726" s="4">
        <v>429</v>
      </c>
      <c r="Z726" s="4">
        <v>31</v>
      </c>
      <c r="AA726" s="4">
        <v>70</v>
      </c>
      <c r="AB726" s="4">
        <v>2</v>
      </c>
      <c r="AC726" s="4">
        <v>8</v>
      </c>
      <c r="AD726" s="4">
        <v>91</v>
      </c>
      <c r="AE726" s="4">
        <v>146</v>
      </c>
      <c r="AF726" s="4">
        <v>1</v>
      </c>
      <c r="AG726" s="4">
        <v>4</v>
      </c>
      <c r="AH726" s="4">
        <v>78</v>
      </c>
      <c r="AI726" s="4">
        <v>116</v>
      </c>
      <c r="AJ726" s="4">
        <v>16</v>
      </c>
      <c r="AK726" s="4">
        <v>25</v>
      </c>
      <c r="AL726" s="4">
        <v>46</v>
      </c>
      <c r="AM726" s="4">
        <v>60</v>
      </c>
      <c r="AN726" s="4">
        <v>0</v>
      </c>
      <c r="AO726" s="4">
        <v>0</v>
      </c>
      <c r="AP726" s="4">
        <v>19</v>
      </c>
      <c r="AQ726" s="4">
        <v>37</v>
      </c>
      <c r="AR726" s="3" t="s">
        <v>64</v>
      </c>
      <c r="AS726" s="3" t="s">
        <v>128</v>
      </c>
      <c r="AT726" s="3" t="s">
        <v>128</v>
      </c>
      <c r="AU726" s="6" t="str">
        <f>HYPERLINK("http://catalog.hathitrust.org/Record/001161221","HathiTrust Record")</f>
        <v>HathiTrust Record</v>
      </c>
      <c r="AV726" s="6" t="str">
        <f>HYPERLINK("http://mcgill.on.worldcat.org/oclc/2909773","Catalog Record")</f>
        <v>Catalog Record</v>
      </c>
      <c r="AW726" s="6" t="str">
        <f>HYPERLINK("http://www.worldcat.org/oclc/2909773","WorldCat Record")</f>
        <v>WorldCat Record</v>
      </c>
      <c r="AX726" s="3" t="s">
        <v>7179</v>
      </c>
      <c r="AY726" s="3" t="s">
        <v>7180</v>
      </c>
      <c r="AZ726" s="3" t="s">
        <v>7181</v>
      </c>
      <c r="BA726" s="3" t="s">
        <v>7181</v>
      </c>
      <c r="BB726" s="3" t="s">
        <v>7182</v>
      </c>
      <c r="BC726" s="3" t="s">
        <v>77</v>
      </c>
      <c r="BD726" s="3" t="s">
        <v>78</v>
      </c>
      <c r="BF726" s="3" t="s">
        <v>7182</v>
      </c>
      <c r="BG726" s="3" t="s">
        <v>7183</v>
      </c>
      <c r="BH726">
        <f t="shared" si="21"/>
        <v>0</v>
      </c>
    </row>
    <row r="727" spans="1:60" ht="58" x14ac:dyDescent="0.35">
      <c r="A727" s="2" t="s">
        <v>59</v>
      </c>
      <c r="B727" s="2" t="s">
        <v>60</v>
      </c>
      <c r="C727" s="2" t="s">
        <v>7171</v>
      </c>
      <c r="D727" s="2" t="s">
        <v>7172</v>
      </c>
      <c r="E727" s="2" t="s">
        <v>7173</v>
      </c>
      <c r="F727" s="3" t="s">
        <v>525</v>
      </c>
      <c r="G727" s="3" t="s">
        <v>128</v>
      </c>
      <c r="I727" s="3" t="s">
        <v>128</v>
      </c>
      <c r="J727" s="3" t="s">
        <v>128</v>
      </c>
      <c r="K727" s="3" t="s">
        <v>183</v>
      </c>
      <c r="L727" s="2" t="s">
        <v>7174</v>
      </c>
      <c r="M727" s="2" t="s">
        <v>7175</v>
      </c>
      <c r="N727" s="3" t="s">
        <v>131</v>
      </c>
      <c r="O727" s="2" t="s">
        <v>7176</v>
      </c>
      <c r="P727" s="3" t="s">
        <v>102</v>
      </c>
      <c r="R727" s="3" t="s">
        <v>70</v>
      </c>
      <c r="S727" s="4">
        <v>19</v>
      </c>
      <c r="T727" s="4">
        <v>34</v>
      </c>
      <c r="U727" s="5" t="s">
        <v>7178</v>
      </c>
      <c r="V727" s="5" t="s">
        <v>7178</v>
      </c>
      <c r="W727" s="5" t="s">
        <v>72</v>
      </c>
      <c r="X727" s="5" t="s">
        <v>72</v>
      </c>
      <c r="Y727" s="4">
        <v>429</v>
      </c>
      <c r="Z727" s="4">
        <v>31</v>
      </c>
      <c r="AA727" s="4">
        <v>70</v>
      </c>
      <c r="AB727" s="4">
        <v>2</v>
      </c>
      <c r="AC727" s="4">
        <v>8</v>
      </c>
      <c r="AD727" s="4">
        <v>91</v>
      </c>
      <c r="AE727" s="4">
        <v>146</v>
      </c>
      <c r="AF727" s="4">
        <v>1</v>
      </c>
      <c r="AG727" s="4">
        <v>4</v>
      </c>
      <c r="AH727" s="4">
        <v>78</v>
      </c>
      <c r="AI727" s="4">
        <v>116</v>
      </c>
      <c r="AJ727" s="4">
        <v>16</v>
      </c>
      <c r="AK727" s="4">
        <v>25</v>
      </c>
      <c r="AL727" s="4">
        <v>46</v>
      </c>
      <c r="AM727" s="4">
        <v>60</v>
      </c>
      <c r="AN727" s="4">
        <v>0</v>
      </c>
      <c r="AO727" s="4">
        <v>0</v>
      </c>
      <c r="AP727" s="4">
        <v>19</v>
      </c>
      <c r="AQ727" s="4">
        <v>37</v>
      </c>
      <c r="AR727" s="3" t="s">
        <v>64</v>
      </c>
      <c r="AS727" s="3" t="s">
        <v>128</v>
      </c>
      <c r="AT727" s="3" t="s">
        <v>128</v>
      </c>
      <c r="AU727" s="6" t="str">
        <f>HYPERLINK("http://catalog.hathitrust.org/Record/001161221","HathiTrust Record")</f>
        <v>HathiTrust Record</v>
      </c>
      <c r="AV727" s="6" t="str">
        <f>HYPERLINK("http://mcgill.on.worldcat.org/oclc/2909773","Catalog Record")</f>
        <v>Catalog Record</v>
      </c>
      <c r="AW727" s="6" t="str">
        <f>HYPERLINK("http://www.worldcat.org/oclc/2909773","WorldCat Record")</f>
        <v>WorldCat Record</v>
      </c>
      <c r="AX727" s="3" t="s">
        <v>7179</v>
      </c>
      <c r="AY727" s="3" t="s">
        <v>7180</v>
      </c>
      <c r="AZ727" s="3" t="s">
        <v>7181</v>
      </c>
      <c r="BA727" s="3" t="s">
        <v>7181</v>
      </c>
      <c r="BB727" s="3" t="s">
        <v>7184</v>
      </c>
      <c r="BC727" s="3" t="s">
        <v>77</v>
      </c>
      <c r="BD727" s="3" t="s">
        <v>78</v>
      </c>
      <c r="BF727" s="3" t="s">
        <v>7184</v>
      </c>
      <c r="BG727" s="3" t="s">
        <v>7185</v>
      </c>
      <c r="BH727">
        <f t="shared" si="21"/>
        <v>0</v>
      </c>
    </row>
    <row r="728" spans="1:60" ht="58" x14ac:dyDescent="0.35">
      <c r="A728" s="2" t="s">
        <v>59</v>
      </c>
      <c r="B728" s="2" t="s">
        <v>60</v>
      </c>
      <c r="C728" s="2" t="s">
        <v>7186</v>
      </c>
      <c r="D728" s="2" t="s">
        <v>7187</v>
      </c>
      <c r="E728" s="2" t="s">
        <v>7188</v>
      </c>
      <c r="G728" s="3" t="s">
        <v>64</v>
      </c>
      <c r="I728" s="3" t="s">
        <v>128</v>
      </c>
      <c r="J728" s="3" t="s">
        <v>64</v>
      </c>
      <c r="K728" s="3" t="s">
        <v>65</v>
      </c>
      <c r="L728" s="2" t="s">
        <v>7189</v>
      </c>
      <c r="M728" s="2" t="s">
        <v>7190</v>
      </c>
      <c r="N728" s="3" t="s">
        <v>7191</v>
      </c>
      <c r="P728" s="3" t="s">
        <v>102</v>
      </c>
      <c r="Q728" s="2" t="s">
        <v>7192</v>
      </c>
      <c r="R728" s="3" t="s">
        <v>70</v>
      </c>
      <c r="S728" s="4">
        <v>6</v>
      </c>
      <c r="T728" s="4">
        <v>6</v>
      </c>
      <c r="U728" s="5" t="s">
        <v>7193</v>
      </c>
      <c r="V728" s="5" t="s">
        <v>7193</v>
      </c>
      <c r="W728" s="5" t="s">
        <v>72</v>
      </c>
      <c r="X728" s="5" t="s">
        <v>72</v>
      </c>
      <c r="Y728" s="4">
        <v>65</v>
      </c>
      <c r="Z728" s="4">
        <v>6</v>
      </c>
      <c r="AA728" s="4">
        <v>6</v>
      </c>
      <c r="AB728" s="4">
        <v>2</v>
      </c>
      <c r="AC728" s="4">
        <v>2</v>
      </c>
      <c r="AD728" s="4">
        <v>25</v>
      </c>
      <c r="AE728" s="4">
        <v>25</v>
      </c>
      <c r="AF728" s="4">
        <v>0</v>
      </c>
      <c r="AG728" s="4">
        <v>0</v>
      </c>
      <c r="AH728" s="4">
        <v>23</v>
      </c>
      <c r="AI728" s="4">
        <v>23</v>
      </c>
      <c r="AJ728" s="4">
        <v>2</v>
      </c>
      <c r="AK728" s="4">
        <v>2</v>
      </c>
      <c r="AL728" s="4">
        <v>19</v>
      </c>
      <c r="AM728" s="4">
        <v>19</v>
      </c>
      <c r="AN728" s="4">
        <v>0</v>
      </c>
      <c r="AO728" s="4">
        <v>0</v>
      </c>
      <c r="AP728" s="4">
        <v>2</v>
      </c>
      <c r="AQ728" s="4">
        <v>2</v>
      </c>
      <c r="AR728" s="3" t="s">
        <v>64</v>
      </c>
      <c r="AS728" s="3" t="s">
        <v>64</v>
      </c>
      <c r="AT728" s="3" t="s">
        <v>64</v>
      </c>
      <c r="AV728" s="6" t="str">
        <f>HYPERLINK("http://mcgill.on.worldcat.org/oclc/3907082","Catalog Record")</f>
        <v>Catalog Record</v>
      </c>
      <c r="AW728" s="6" t="str">
        <f>HYPERLINK("http://www.worldcat.org/oclc/3907082","WorldCat Record")</f>
        <v>WorldCat Record</v>
      </c>
      <c r="AX728" s="3" t="s">
        <v>7194</v>
      </c>
      <c r="AY728" s="3" t="s">
        <v>7195</v>
      </c>
      <c r="AZ728" s="3" t="s">
        <v>7196</v>
      </c>
      <c r="BA728" s="3" t="s">
        <v>7196</v>
      </c>
      <c r="BB728" s="3" t="s">
        <v>7197</v>
      </c>
      <c r="BC728" s="3" t="s">
        <v>77</v>
      </c>
      <c r="BD728" s="3" t="s">
        <v>78</v>
      </c>
      <c r="BF728" s="3" t="s">
        <v>7197</v>
      </c>
      <c r="BG728" s="3" t="s">
        <v>7198</v>
      </c>
      <c r="BH728">
        <f t="shared" si="21"/>
        <v>0</v>
      </c>
    </row>
    <row r="729" spans="1:60" ht="58" x14ac:dyDescent="0.35">
      <c r="A729" s="2" t="s">
        <v>59</v>
      </c>
      <c r="B729" s="2" t="s">
        <v>60</v>
      </c>
      <c r="C729" s="2" t="s">
        <v>7199</v>
      </c>
      <c r="D729" s="2" t="s">
        <v>7200</v>
      </c>
      <c r="E729" s="2" t="s">
        <v>7201</v>
      </c>
      <c r="G729" s="3" t="s">
        <v>64</v>
      </c>
      <c r="I729" s="3" t="s">
        <v>128</v>
      </c>
      <c r="J729" s="3" t="s">
        <v>64</v>
      </c>
      <c r="K729" s="3" t="s">
        <v>65</v>
      </c>
      <c r="L729" s="2" t="s">
        <v>7202</v>
      </c>
      <c r="M729" s="2" t="s">
        <v>7203</v>
      </c>
      <c r="N729" s="3" t="s">
        <v>7204</v>
      </c>
      <c r="P729" s="3" t="s">
        <v>102</v>
      </c>
      <c r="Q729" s="2" t="s">
        <v>7205</v>
      </c>
      <c r="R729" s="3" t="s">
        <v>70</v>
      </c>
      <c r="S729" s="4">
        <v>8</v>
      </c>
      <c r="T729" s="4">
        <v>8</v>
      </c>
      <c r="U729" s="5" t="s">
        <v>7206</v>
      </c>
      <c r="V729" s="5" t="s">
        <v>7206</v>
      </c>
      <c r="W729" s="5" t="s">
        <v>72</v>
      </c>
      <c r="X729" s="5" t="s">
        <v>72</v>
      </c>
      <c r="Y729" s="4">
        <v>61</v>
      </c>
      <c r="Z729" s="4">
        <v>4</v>
      </c>
      <c r="AA729" s="4">
        <v>4</v>
      </c>
      <c r="AB729" s="4">
        <v>1</v>
      </c>
      <c r="AC729" s="4">
        <v>1</v>
      </c>
      <c r="AD729" s="4">
        <v>28</v>
      </c>
      <c r="AE729" s="4">
        <v>28</v>
      </c>
      <c r="AF729" s="4">
        <v>0</v>
      </c>
      <c r="AG729" s="4">
        <v>0</v>
      </c>
      <c r="AH729" s="4">
        <v>26</v>
      </c>
      <c r="AI729" s="4">
        <v>26</v>
      </c>
      <c r="AJ729" s="4">
        <v>2</v>
      </c>
      <c r="AK729" s="4">
        <v>2</v>
      </c>
      <c r="AL729" s="4">
        <v>20</v>
      </c>
      <c r="AM729" s="4">
        <v>20</v>
      </c>
      <c r="AN729" s="4">
        <v>0</v>
      </c>
      <c r="AO729" s="4">
        <v>0</v>
      </c>
      <c r="AP729" s="4">
        <v>1</v>
      </c>
      <c r="AQ729" s="4">
        <v>1</v>
      </c>
      <c r="AR729" s="3" t="s">
        <v>64</v>
      </c>
      <c r="AS729" s="3" t="s">
        <v>64</v>
      </c>
      <c r="AT729" s="3" t="s">
        <v>128</v>
      </c>
      <c r="AU729" s="6" t="str">
        <f>HYPERLINK("http://catalog.hathitrust.org/Record/001161019","HathiTrust Record")</f>
        <v>HathiTrust Record</v>
      </c>
      <c r="AV729" s="6" t="str">
        <f>HYPERLINK("http://mcgill.on.worldcat.org/oclc/843117","Catalog Record")</f>
        <v>Catalog Record</v>
      </c>
      <c r="AW729" s="6" t="str">
        <f>HYPERLINK("http://www.worldcat.org/oclc/843117","WorldCat Record")</f>
        <v>WorldCat Record</v>
      </c>
      <c r="AX729" s="3" t="s">
        <v>7207</v>
      </c>
      <c r="AY729" s="3" t="s">
        <v>7208</v>
      </c>
      <c r="AZ729" s="3" t="s">
        <v>7209</v>
      </c>
      <c r="BA729" s="3" t="s">
        <v>7209</v>
      </c>
      <c r="BB729" s="3" t="s">
        <v>7210</v>
      </c>
      <c r="BC729" s="3" t="s">
        <v>77</v>
      </c>
      <c r="BD729" s="3" t="s">
        <v>78</v>
      </c>
      <c r="BF729" s="3" t="s">
        <v>7210</v>
      </c>
      <c r="BG729" s="3" t="s">
        <v>7211</v>
      </c>
      <c r="BH729">
        <f t="shared" si="21"/>
        <v>0</v>
      </c>
    </row>
    <row r="730" spans="1:60" ht="58" x14ac:dyDescent="0.35">
      <c r="A730" s="2" t="s">
        <v>59</v>
      </c>
      <c r="B730" s="2" t="s">
        <v>60</v>
      </c>
      <c r="C730" s="2" t="s">
        <v>7212</v>
      </c>
      <c r="D730" s="2" t="s">
        <v>7213</v>
      </c>
      <c r="E730" s="2" t="s">
        <v>7214</v>
      </c>
      <c r="G730" s="3" t="s">
        <v>64</v>
      </c>
      <c r="I730" s="3" t="s">
        <v>64</v>
      </c>
      <c r="J730" s="3" t="s">
        <v>64</v>
      </c>
      <c r="K730" s="3" t="s">
        <v>65</v>
      </c>
      <c r="L730" s="2" t="s">
        <v>7215</v>
      </c>
      <c r="M730" s="2" t="s">
        <v>7216</v>
      </c>
      <c r="N730" s="3" t="s">
        <v>434</v>
      </c>
      <c r="O730" s="2" t="s">
        <v>3787</v>
      </c>
      <c r="P730" s="3" t="s">
        <v>102</v>
      </c>
      <c r="R730" s="3" t="s">
        <v>70</v>
      </c>
      <c r="S730" s="4">
        <v>20</v>
      </c>
      <c r="T730" s="4">
        <v>20</v>
      </c>
      <c r="U730" s="5" t="s">
        <v>1375</v>
      </c>
      <c r="V730" s="5" t="s">
        <v>1375</v>
      </c>
      <c r="W730" s="5" t="s">
        <v>72</v>
      </c>
      <c r="X730" s="5" t="s">
        <v>72</v>
      </c>
      <c r="Y730" s="4">
        <v>387</v>
      </c>
      <c r="Z730" s="4">
        <v>26</v>
      </c>
      <c r="AA730" s="4">
        <v>46</v>
      </c>
      <c r="AB730" s="4">
        <v>1</v>
      </c>
      <c r="AC730" s="4">
        <v>6</v>
      </c>
      <c r="AD730" s="4">
        <v>50</v>
      </c>
      <c r="AE730" s="4">
        <v>83</v>
      </c>
      <c r="AF730" s="4">
        <v>0</v>
      </c>
      <c r="AG730" s="4">
        <v>4</v>
      </c>
      <c r="AH730" s="4">
        <v>42</v>
      </c>
      <c r="AI730" s="4">
        <v>70</v>
      </c>
      <c r="AJ730" s="4">
        <v>7</v>
      </c>
      <c r="AK730" s="4">
        <v>11</v>
      </c>
      <c r="AL730" s="4">
        <v>20</v>
      </c>
      <c r="AM730" s="4">
        <v>35</v>
      </c>
      <c r="AN730" s="4">
        <v>0</v>
      </c>
      <c r="AO730" s="4">
        <v>0</v>
      </c>
      <c r="AP730" s="4">
        <v>10</v>
      </c>
      <c r="AQ730" s="4">
        <v>17</v>
      </c>
      <c r="AR730" s="3" t="s">
        <v>64</v>
      </c>
      <c r="AS730" s="3" t="s">
        <v>64</v>
      </c>
      <c r="AT730" s="3" t="s">
        <v>64</v>
      </c>
      <c r="AV730" s="6" t="str">
        <f>HYPERLINK("http://mcgill.on.worldcat.org/oclc/62253460","Catalog Record")</f>
        <v>Catalog Record</v>
      </c>
      <c r="AW730" s="6" t="str">
        <f>HYPERLINK("http://www.worldcat.org/oclc/62253460","WorldCat Record")</f>
        <v>WorldCat Record</v>
      </c>
      <c r="AX730" s="3" t="s">
        <v>7217</v>
      </c>
      <c r="AY730" s="3" t="s">
        <v>7218</v>
      </c>
      <c r="AZ730" s="3" t="s">
        <v>7219</v>
      </c>
      <c r="BA730" s="3" t="s">
        <v>7219</v>
      </c>
      <c r="BB730" s="3" t="s">
        <v>7220</v>
      </c>
      <c r="BC730" s="3" t="s">
        <v>77</v>
      </c>
      <c r="BD730" s="3" t="s">
        <v>78</v>
      </c>
      <c r="BE730" s="3" t="s">
        <v>7221</v>
      </c>
      <c r="BF730" s="3" t="s">
        <v>7220</v>
      </c>
      <c r="BG730" s="3" t="s">
        <v>7222</v>
      </c>
      <c r="BH730">
        <f t="shared" si="21"/>
        <v>0</v>
      </c>
    </row>
    <row r="731" spans="1:60" ht="58" x14ac:dyDescent="0.35">
      <c r="A731" s="2" t="s">
        <v>59</v>
      </c>
      <c r="B731" s="2" t="s">
        <v>60</v>
      </c>
      <c r="C731" s="2" t="s">
        <v>7223</v>
      </c>
      <c r="D731" s="2" t="s">
        <v>7224</v>
      </c>
      <c r="E731" s="2" t="s">
        <v>7225</v>
      </c>
      <c r="G731" s="3" t="s">
        <v>64</v>
      </c>
      <c r="I731" s="3" t="s">
        <v>64</v>
      </c>
      <c r="J731" s="3" t="s">
        <v>64</v>
      </c>
      <c r="K731" s="3" t="s">
        <v>65</v>
      </c>
      <c r="L731" s="2" t="s">
        <v>7226</v>
      </c>
      <c r="M731" s="2" t="s">
        <v>7227</v>
      </c>
      <c r="N731" s="3" t="s">
        <v>4548</v>
      </c>
      <c r="P731" s="3" t="s">
        <v>102</v>
      </c>
      <c r="R731" s="3" t="s">
        <v>70</v>
      </c>
      <c r="S731" s="4">
        <v>4</v>
      </c>
      <c r="T731" s="4">
        <v>4</v>
      </c>
      <c r="U731" s="5" t="s">
        <v>7065</v>
      </c>
      <c r="V731" s="5" t="s">
        <v>7065</v>
      </c>
      <c r="W731" s="5" t="s">
        <v>72</v>
      </c>
      <c r="X731" s="5" t="s">
        <v>72</v>
      </c>
      <c r="Y731" s="4">
        <v>78</v>
      </c>
      <c r="Z731" s="4">
        <v>5</v>
      </c>
      <c r="AA731" s="4">
        <v>5</v>
      </c>
      <c r="AB731" s="4">
        <v>2</v>
      </c>
      <c r="AC731" s="4">
        <v>2</v>
      </c>
      <c r="AD731" s="4">
        <v>17</v>
      </c>
      <c r="AE731" s="4">
        <v>17</v>
      </c>
      <c r="AF731" s="4">
        <v>0</v>
      </c>
      <c r="AG731" s="4">
        <v>0</v>
      </c>
      <c r="AH731" s="4">
        <v>15</v>
      </c>
      <c r="AI731" s="4">
        <v>15</v>
      </c>
      <c r="AJ731" s="4">
        <v>2</v>
      </c>
      <c r="AK731" s="4">
        <v>2</v>
      </c>
      <c r="AL731" s="4">
        <v>9</v>
      </c>
      <c r="AM731" s="4">
        <v>9</v>
      </c>
      <c r="AN731" s="4">
        <v>0</v>
      </c>
      <c r="AO731" s="4">
        <v>0</v>
      </c>
      <c r="AP731" s="4">
        <v>2</v>
      </c>
      <c r="AQ731" s="4">
        <v>2</v>
      </c>
      <c r="AR731" s="3" t="s">
        <v>64</v>
      </c>
      <c r="AS731" s="3" t="s">
        <v>64</v>
      </c>
      <c r="AT731" s="3" t="s">
        <v>128</v>
      </c>
      <c r="AU731" s="6" t="str">
        <f>HYPERLINK("http://catalog.hathitrust.org/Record/003352702","HathiTrust Record")</f>
        <v>HathiTrust Record</v>
      </c>
      <c r="AV731" s="6" t="str">
        <f>HYPERLINK("http://mcgill.on.worldcat.org/oclc/1214498","Catalog Record")</f>
        <v>Catalog Record</v>
      </c>
      <c r="AW731" s="6" t="str">
        <f>HYPERLINK("http://www.worldcat.org/oclc/1214498","WorldCat Record")</f>
        <v>WorldCat Record</v>
      </c>
      <c r="AX731" s="3" t="s">
        <v>7228</v>
      </c>
      <c r="AY731" s="3" t="s">
        <v>7229</v>
      </c>
      <c r="AZ731" s="3" t="s">
        <v>7230</v>
      </c>
      <c r="BA731" s="3" t="s">
        <v>7230</v>
      </c>
      <c r="BB731" s="3" t="s">
        <v>7231</v>
      </c>
      <c r="BC731" s="3" t="s">
        <v>77</v>
      </c>
      <c r="BD731" s="3" t="s">
        <v>78</v>
      </c>
      <c r="BF731" s="3" t="s">
        <v>7231</v>
      </c>
      <c r="BG731" s="3" t="s">
        <v>7232</v>
      </c>
      <c r="BH731">
        <f t="shared" si="21"/>
        <v>0</v>
      </c>
    </row>
    <row r="732" spans="1:60" ht="58" x14ac:dyDescent="0.35">
      <c r="A732" s="2" t="s">
        <v>59</v>
      </c>
      <c r="B732" s="2" t="s">
        <v>60</v>
      </c>
      <c r="C732" s="2" t="s">
        <v>7233</v>
      </c>
      <c r="D732" s="2" t="s">
        <v>7234</v>
      </c>
      <c r="E732" s="2" t="s">
        <v>7235</v>
      </c>
      <c r="G732" s="3" t="s">
        <v>64</v>
      </c>
      <c r="I732" s="3" t="s">
        <v>64</v>
      </c>
      <c r="J732" s="3" t="s">
        <v>64</v>
      </c>
      <c r="K732" s="3" t="s">
        <v>65</v>
      </c>
      <c r="L732" s="2" t="s">
        <v>7236</v>
      </c>
      <c r="M732" s="2" t="s">
        <v>7237</v>
      </c>
      <c r="N732" s="3" t="s">
        <v>537</v>
      </c>
      <c r="O732" s="2" t="s">
        <v>7238</v>
      </c>
      <c r="P732" s="3" t="s">
        <v>102</v>
      </c>
      <c r="R732" s="3" t="s">
        <v>70</v>
      </c>
      <c r="S732" s="4">
        <v>5</v>
      </c>
      <c r="T732" s="4">
        <v>5</v>
      </c>
      <c r="U732" s="5" t="s">
        <v>7239</v>
      </c>
      <c r="V732" s="5" t="s">
        <v>7239</v>
      </c>
      <c r="W732" s="5" t="s">
        <v>72</v>
      </c>
      <c r="X732" s="5" t="s">
        <v>72</v>
      </c>
      <c r="Y732" s="4">
        <v>102</v>
      </c>
      <c r="Z732" s="4">
        <v>7</v>
      </c>
      <c r="AA732" s="4">
        <v>10</v>
      </c>
      <c r="AB732" s="4">
        <v>1</v>
      </c>
      <c r="AC732" s="4">
        <v>1</v>
      </c>
      <c r="AD732" s="4">
        <v>31</v>
      </c>
      <c r="AE732" s="4">
        <v>55</v>
      </c>
      <c r="AF732" s="4">
        <v>0</v>
      </c>
      <c r="AG732" s="4">
        <v>0</v>
      </c>
      <c r="AH732" s="4">
        <v>26</v>
      </c>
      <c r="AI732" s="4">
        <v>49</v>
      </c>
      <c r="AJ732" s="4">
        <v>5</v>
      </c>
      <c r="AK732" s="4">
        <v>8</v>
      </c>
      <c r="AL732" s="4">
        <v>19</v>
      </c>
      <c r="AM732" s="4">
        <v>34</v>
      </c>
      <c r="AN732" s="4">
        <v>0</v>
      </c>
      <c r="AO732" s="4">
        <v>0</v>
      </c>
      <c r="AP732" s="4">
        <v>5</v>
      </c>
      <c r="AQ732" s="4">
        <v>8</v>
      </c>
      <c r="AR732" s="3" t="s">
        <v>64</v>
      </c>
      <c r="AS732" s="3" t="s">
        <v>64</v>
      </c>
      <c r="AT732" s="3" t="s">
        <v>64</v>
      </c>
      <c r="AV732" s="6" t="str">
        <f>HYPERLINK("http://mcgill.on.worldcat.org/oclc/961937513","Catalog Record")</f>
        <v>Catalog Record</v>
      </c>
      <c r="AW732" s="6" t="str">
        <f>HYPERLINK("http://www.worldcat.org/oclc/961937513","WorldCat Record")</f>
        <v>WorldCat Record</v>
      </c>
      <c r="AX732" s="3" t="s">
        <v>7240</v>
      </c>
      <c r="AY732" s="3" t="s">
        <v>7241</v>
      </c>
      <c r="AZ732" s="3" t="s">
        <v>7242</v>
      </c>
      <c r="BA732" s="3" t="s">
        <v>7242</v>
      </c>
      <c r="BB732" s="3" t="s">
        <v>7243</v>
      </c>
      <c r="BC732" s="3" t="s">
        <v>77</v>
      </c>
      <c r="BD732" s="3" t="s">
        <v>165</v>
      </c>
      <c r="BE732" s="3" t="s">
        <v>7244</v>
      </c>
      <c r="BF732" s="3" t="s">
        <v>7243</v>
      </c>
      <c r="BG732" s="3" t="s">
        <v>7245</v>
      </c>
      <c r="BH732">
        <f t="shared" si="21"/>
        <v>0</v>
      </c>
    </row>
    <row r="733" spans="1:60" ht="58" x14ac:dyDescent="0.35">
      <c r="A733" s="2" t="s">
        <v>59</v>
      </c>
      <c r="B733" s="2" t="s">
        <v>60</v>
      </c>
      <c r="C733" s="2" t="s">
        <v>7246</v>
      </c>
      <c r="D733" s="2" t="s">
        <v>7247</v>
      </c>
      <c r="E733" s="2" t="s">
        <v>7248</v>
      </c>
      <c r="G733" s="3" t="s">
        <v>64</v>
      </c>
      <c r="I733" s="3" t="s">
        <v>64</v>
      </c>
      <c r="J733" s="3" t="s">
        <v>64</v>
      </c>
      <c r="K733" s="3" t="s">
        <v>65</v>
      </c>
      <c r="L733" s="2" t="s">
        <v>7249</v>
      </c>
      <c r="M733" s="2" t="s">
        <v>7250</v>
      </c>
      <c r="N733" s="3" t="s">
        <v>86</v>
      </c>
      <c r="P733" s="3" t="s">
        <v>102</v>
      </c>
      <c r="Q733" s="2" t="s">
        <v>7251</v>
      </c>
      <c r="R733" s="3" t="s">
        <v>70</v>
      </c>
      <c r="S733" s="4">
        <v>0</v>
      </c>
      <c r="T733" s="4">
        <v>0</v>
      </c>
      <c r="W733" s="5" t="s">
        <v>72</v>
      </c>
      <c r="X733" s="5" t="s">
        <v>72</v>
      </c>
      <c r="Y733" s="4">
        <v>122</v>
      </c>
      <c r="Z733" s="4">
        <v>12</v>
      </c>
      <c r="AA733" s="4">
        <v>85</v>
      </c>
      <c r="AB733" s="4">
        <v>2</v>
      </c>
      <c r="AC733" s="4">
        <v>14</v>
      </c>
      <c r="AD733" s="4">
        <v>33</v>
      </c>
      <c r="AE733" s="4">
        <v>118</v>
      </c>
      <c r="AF733" s="4">
        <v>1</v>
      </c>
      <c r="AG733" s="4">
        <v>8</v>
      </c>
      <c r="AH733" s="4">
        <v>28</v>
      </c>
      <c r="AI733" s="4">
        <v>81</v>
      </c>
      <c r="AJ733" s="4">
        <v>6</v>
      </c>
      <c r="AK733" s="4">
        <v>21</v>
      </c>
      <c r="AL733" s="4">
        <v>16</v>
      </c>
      <c r="AM733" s="4">
        <v>42</v>
      </c>
      <c r="AN733" s="4">
        <v>0</v>
      </c>
      <c r="AO733" s="4">
        <v>0</v>
      </c>
      <c r="AP733" s="4">
        <v>7</v>
      </c>
      <c r="AQ733" s="4">
        <v>42</v>
      </c>
      <c r="AR733" s="3" t="s">
        <v>64</v>
      </c>
      <c r="AS733" s="3" t="s">
        <v>64</v>
      </c>
      <c r="AT733" s="3" t="s">
        <v>64</v>
      </c>
      <c r="AV733" s="6" t="str">
        <f>HYPERLINK("http://mcgill.on.worldcat.org/oclc/781679563","Catalog Record")</f>
        <v>Catalog Record</v>
      </c>
      <c r="AW733" s="6" t="str">
        <f>HYPERLINK("http://www.worldcat.org/oclc/781679563","WorldCat Record")</f>
        <v>WorldCat Record</v>
      </c>
      <c r="AX733" s="3" t="s">
        <v>7252</v>
      </c>
      <c r="AY733" s="3" t="s">
        <v>7253</v>
      </c>
      <c r="AZ733" s="3" t="s">
        <v>7254</v>
      </c>
      <c r="BA733" s="3" t="s">
        <v>7254</v>
      </c>
      <c r="BB733" s="3" t="s">
        <v>7255</v>
      </c>
      <c r="BC733" s="3" t="s">
        <v>77</v>
      </c>
      <c r="BD733" s="3" t="s">
        <v>78</v>
      </c>
      <c r="BE733" s="3" t="s">
        <v>7256</v>
      </c>
      <c r="BF733" s="3" t="s">
        <v>7255</v>
      </c>
      <c r="BG733" s="3" t="s">
        <v>7257</v>
      </c>
      <c r="BH733">
        <f t="shared" si="21"/>
        <v>0</v>
      </c>
    </row>
    <row r="734" spans="1:60" ht="58" x14ac:dyDescent="0.35">
      <c r="A734" s="2" t="s">
        <v>59</v>
      </c>
      <c r="B734" s="2" t="s">
        <v>60</v>
      </c>
      <c r="C734" s="2" t="s">
        <v>7258</v>
      </c>
      <c r="D734" s="2" t="s">
        <v>7259</v>
      </c>
      <c r="E734" s="2" t="s">
        <v>7260</v>
      </c>
      <c r="G734" s="3" t="s">
        <v>64</v>
      </c>
      <c r="I734" s="3" t="s">
        <v>64</v>
      </c>
      <c r="J734" s="3" t="s">
        <v>64</v>
      </c>
      <c r="K734" s="3" t="s">
        <v>65</v>
      </c>
      <c r="L734" s="2" t="s">
        <v>7261</v>
      </c>
      <c r="M734" s="2" t="s">
        <v>7262</v>
      </c>
      <c r="N734" s="3" t="s">
        <v>86</v>
      </c>
      <c r="O734" s="2" t="s">
        <v>3787</v>
      </c>
      <c r="P734" s="3" t="s">
        <v>102</v>
      </c>
      <c r="R734" s="3" t="s">
        <v>70</v>
      </c>
      <c r="S734" s="4">
        <v>3</v>
      </c>
      <c r="T734" s="4">
        <v>3</v>
      </c>
      <c r="U734" s="5" t="s">
        <v>6163</v>
      </c>
      <c r="V734" s="5" t="s">
        <v>6163</v>
      </c>
      <c r="W734" s="5" t="s">
        <v>72</v>
      </c>
      <c r="X734" s="5" t="s">
        <v>72</v>
      </c>
      <c r="Y734" s="4">
        <v>328</v>
      </c>
      <c r="Z734" s="4">
        <v>20</v>
      </c>
      <c r="AA734" s="4">
        <v>47</v>
      </c>
      <c r="AB734" s="4">
        <v>2</v>
      </c>
      <c r="AC734" s="4">
        <v>6</v>
      </c>
      <c r="AD734" s="4">
        <v>29</v>
      </c>
      <c r="AE734" s="4">
        <v>67</v>
      </c>
      <c r="AF734" s="4">
        <v>1</v>
      </c>
      <c r="AG734" s="4">
        <v>2</v>
      </c>
      <c r="AH734" s="4">
        <v>23</v>
      </c>
      <c r="AI734" s="4">
        <v>55</v>
      </c>
      <c r="AJ734" s="4">
        <v>4</v>
      </c>
      <c r="AK734" s="4">
        <v>9</v>
      </c>
      <c r="AL734" s="4">
        <v>12</v>
      </c>
      <c r="AM734" s="4">
        <v>28</v>
      </c>
      <c r="AN734" s="4">
        <v>0</v>
      </c>
      <c r="AO734" s="4">
        <v>0</v>
      </c>
      <c r="AP734" s="4">
        <v>7</v>
      </c>
      <c r="AQ734" s="4">
        <v>15</v>
      </c>
      <c r="AR734" s="3" t="s">
        <v>64</v>
      </c>
      <c r="AS734" s="3" t="s">
        <v>64</v>
      </c>
      <c r="AT734" s="3" t="s">
        <v>64</v>
      </c>
      <c r="AV734" s="6" t="str">
        <f>HYPERLINK("http://mcgill.on.worldcat.org/oclc/698331824","Catalog Record")</f>
        <v>Catalog Record</v>
      </c>
      <c r="AW734" s="6" t="str">
        <f>HYPERLINK("http://www.worldcat.org/oclc/698331824","WorldCat Record")</f>
        <v>WorldCat Record</v>
      </c>
      <c r="AX734" s="3" t="s">
        <v>7263</v>
      </c>
      <c r="AY734" s="3" t="s">
        <v>7264</v>
      </c>
      <c r="AZ734" s="3" t="s">
        <v>7265</v>
      </c>
      <c r="BA734" s="3" t="s">
        <v>7265</v>
      </c>
      <c r="BB734" s="3" t="s">
        <v>7266</v>
      </c>
      <c r="BC734" s="3" t="s">
        <v>77</v>
      </c>
      <c r="BD734" s="3" t="s">
        <v>78</v>
      </c>
      <c r="BE734" s="3" t="s">
        <v>7267</v>
      </c>
      <c r="BF734" s="3" t="s">
        <v>7266</v>
      </c>
      <c r="BG734" s="3" t="s">
        <v>7268</v>
      </c>
      <c r="BH734">
        <f t="shared" si="21"/>
        <v>0</v>
      </c>
    </row>
    <row r="735" spans="1:60" ht="72.5" x14ac:dyDescent="0.35">
      <c r="A735" s="2" t="s">
        <v>59</v>
      </c>
      <c r="B735" s="2" t="s">
        <v>1025</v>
      </c>
      <c r="C735" s="2" t="s">
        <v>7269</v>
      </c>
      <c r="D735" s="2" t="s">
        <v>7270</v>
      </c>
      <c r="E735" s="2" t="s">
        <v>7271</v>
      </c>
      <c r="G735" s="3" t="s">
        <v>64</v>
      </c>
      <c r="I735" s="3" t="s">
        <v>64</v>
      </c>
      <c r="J735" s="3" t="s">
        <v>64</v>
      </c>
      <c r="K735" s="3" t="s">
        <v>65</v>
      </c>
      <c r="L735" s="2" t="s">
        <v>7272</v>
      </c>
      <c r="M735" s="2" t="s">
        <v>7273</v>
      </c>
      <c r="N735" s="3" t="s">
        <v>4872</v>
      </c>
      <c r="P735" s="3" t="s">
        <v>102</v>
      </c>
      <c r="R735" s="3" t="s">
        <v>70</v>
      </c>
      <c r="S735" s="4">
        <v>2</v>
      </c>
      <c r="T735" s="4">
        <v>2</v>
      </c>
      <c r="U735" s="5" t="s">
        <v>7274</v>
      </c>
      <c r="V735" s="5" t="s">
        <v>7274</v>
      </c>
      <c r="W735" s="5" t="s">
        <v>72</v>
      </c>
      <c r="X735" s="5" t="s">
        <v>72</v>
      </c>
      <c r="Y735" s="4">
        <v>44</v>
      </c>
      <c r="Z735" s="4">
        <v>2</v>
      </c>
      <c r="AA735" s="4">
        <v>14</v>
      </c>
      <c r="AB735" s="4">
        <v>1</v>
      </c>
      <c r="AC735" s="4">
        <v>1</v>
      </c>
      <c r="AD735" s="4">
        <v>14</v>
      </c>
      <c r="AE735" s="4">
        <v>65</v>
      </c>
      <c r="AF735" s="4">
        <v>0</v>
      </c>
      <c r="AG735" s="4">
        <v>0</v>
      </c>
      <c r="AH735" s="4">
        <v>13</v>
      </c>
      <c r="AI735" s="4">
        <v>59</v>
      </c>
      <c r="AJ735" s="4">
        <v>1</v>
      </c>
      <c r="AK735" s="4">
        <v>11</v>
      </c>
      <c r="AL735" s="4">
        <v>6</v>
      </c>
      <c r="AM735" s="4">
        <v>29</v>
      </c>
      <c r="AN735" s="4">
        <v>0</v>
      </c>
      <c r="AO735" s="4">
        <v>5</v>
      </c>
      <c r="AP735" s="4">
        <v>1</v>
      </c>
      <c r="AQ735" s="4">
        <v>12</v>
      </c>
      <c r="AR735" s="3" t="s">
        <v>64</v>
      </c>
      <c r="AS735" s="3" t="s">
        <v>64</v>
      </c>
      <c r="AT735" s="3" t="s">
        <v>128</v>
      </c>
      <c r="AU735" s="6" t="str">
        <f>HYPERLINK("http://catalog.hathitrust.org/Record/101873290","HathiTrust Record")</f>
        <v>HathiTrust Record</v>
      </c>
      <c r="AV735" s="6" t="str">
        <f>HYPERLINK("http://mcgill.on.worldcat.org/oclc/8137118","Catalog Record")</f>
        <v>Catalog Record</v>
      </c>
      <c r="AW735" s="6" t="str">
        <f>HYPERLINK("http://www.worldcat.org/oclc/8137118","WorldCat Record")</f>
        <v>WorldCat Record</v>
      </c>
      <c r="AX735" s="3" t="s">
        <v>7275</v>
      </c>
      <c r="AY735" s="3" t="s">
        <v>7276</v>
      </c>
      <c r="AZ735" s="3" t="s">
        <v>7277</v>
      </c>
      <c r="BA735" s="3" t="s">
        <v>7277</v>
      </c>
      <c r="BB735" s="3" t="s">
        <v>7278</v>
      </c>
      <c r="BC735" s="3" t="s">
        <v>77</v>
      </c>
      <c r="BD735" s="3" t="s">
        <v>78</v>
      </c>
      <c r="BF735" s="3" t="s">
        <v>7278</v>
      </c>
      <c r="BG735" s="3" t="s">
        <v>7279</v>
      </c>
      <c r="BH735">
        <f t="shared" si="21"/>
        <v>0</v>
      </c>
    </row>
    <row r="736" spans="1:60" ht="58" x14ac:dyDescent="0.35">
      <c r="A736" s="2" t="s">
        <v>59</v>
      </c>
      <c r="B736" s="2" t="s">
        <v>60</v>
      </c>
      <c r="C736" s="2" t="s">
        <v>7280</v>
      </c>
      <c r="D736" s="2" t="s">
        <v>7281</v>
      </c>
      <c r="E736" s="2" t="s">
        <v>7282</v>
      </c>
      <c r="G736" s="3" t="s">
        <v>64</v>
      </c>
      <c r="I736" s="3" t="s">
        <v>128</v>
      </c>
      <c r="J736" s="3" t="s">
        <v>128</v>
      </c>
      <c r="K736" s="3" t="s">
        <v>65</v>
      </c>
      <c r="L736" s="2" t="s">
        <v>7283</v>
      </c>
      <c r="M736" s="2" t="s">
        <v>7284</v>
      </c>
      <c r="N736" s="3" t="s">
        <v>7285</v>
      </c>
      <c r="P736" s="3" t="s">
        <v>102</v>
      </c>
      <c r="R736" s="3" t="s">
        <v>70</v>
      </c>
      <c r="S736" s="4">
        <v>2</v>
      </c>
      <c r="T736" s="4">
        <v>3</v>
      </c>
      <c r="U736" s="5" t="s">
        <v>6672</v>
      </c>
      <c r="V736" s="5" t="s">
        <v>6672</v>
      </c>
      <c r="W736" s="5" t="s">
        <v>72</v>
      </c>
      <c r="X736" s="5" t="s">
        <v>72</v>
      </c>
      <c r="Y736" s="4">
        <v>419</v>
      </c>
      <c r="Z736" s="4">
        <v>22</v>
      </c>
      <c r="AA736" s="4">
        <v>32</v>
      </c>
      <c r="AB736" s="4">
        <v>1</v>
      </c>
      <c r="AC736" s="4">
        <v>4</v>
      </c>
      <c r="AD736" s="4">
        <v>88</v>
      </c>
      <c r="AE736" s="4">
        <v>106</v>
      </c>
      <c r="AF736" s="4">
        <v>0</v>
      </c>
      <c r="AG736" s="4">
        <v>2</v>
      </c>
      <c r="AH736" s="4">
        <v>82</v>
      </c>
      <c r="AI736" s="4">
        <v>95</v>
      </c>
      <c r="AJ736" s="4">
        <v>13</v>
      </c>
      <c r="AK736" s="4">
        <v>17</v>
      </c>
      <c r="AL736" s="4">
        <v>51</v>
      </c>
      <c r="AM736" s="4">
        <v>55</v>
      </c>
      <c r="AN736" s="4">
        <v>0</v>
      </c>
      <c r="AO736" s="4">
        <v>0</v>
      </c>
      <c r="AP736" s="4">
        <v>13</v>
      </c>
      <c r="AQ736" s="4">
        <v>18</v>
      </c>
      <c r="AR736" s="3" t="s">
        <v>64</v>
      </c>
      <c r="AS736" s="3" t="s">
        <v>64</v>
      </c>
      <c r="AT736" s="3" t="s">
        <v>64</v>
      </c>
      <c r="AV736" s="6" t="str">
        <f>HYPERLINK("http://mcgill.on.worldcat.org/oclc/128498","Catalog Record")</f>
        <v>Catalog Record</v>
      </c>
      <c r="AW736" s="6" t="str">
        <f>HYPERLINK("http://www.worldcat.org/oclc/128498","WorldCat Record")</f>
        <v>WorldCat Record</v>
      </c>
      <c r="AX736" s="3" t="s">
        <v>7286</v>
      </c>
      <c r="AY736" s="3" t="s">
        <v>7287</v>
      </c>
      <c r="AZ736" s="3" t="s">
        <v>7288</v>
      </c>
      <c r="BA736" s="3" t="s">
        <v>7288</v>
      </c>
      <c r="BB736" s="3" t="s">
        <v>7289</v>
      </c>
      <c r="BC736" s="3" t="s">
        <v>77</v>
      </c>
      <c r="BD736" s="3" t="s">
        <v>78</v>
      </c>
      <c r="BE736" s="3" t="s">
        <v>7290</v>
      </c>
      <c r="BF736" s="3" t="s">
        <v>7289</v>
      </c>
      <c r="BG736" s="3" t="s">
        <v>7291</v>
      </c>
      <c r="BH736">
        <f t="shared" si="21"/>
        <v>0</v>
      </c>
    </row>
    <row r="737" spans="1:60" ht="58" x14ac:dyDescent="0.35">
      <c r="A737" s="2" t="s">
        <v>59</v>
      </c>
      <c r="B737" s="2" t="s">
        <v>60</v>
      </c>
      <c r="C737" s="2" t="s">
        <v>7292</v>
      </c>
      <c r="D737" s="2" t="s">
        <v>7293</v>
      </c>
      <c r="E737" s="2" t="s">
        <v>7294</v>
      </c>
      <c r="G737" s="3" t="s">
        <v>64</v>
      </c>
      <c r="I737" s="3" t="s">
        <v>64</v>
      </c>
      <c r="J737" s="3" t="s">
        <v>64</v>
      </c>
      <c r="K737" s="3" t="s">
        <v>65</v>
      </c>
      <c r="L737" s="2" t="s">
        <v>7295</v>
      </c>
      <c r="M737" s="2" t="s">
        <v>7296</v>
      </c>
      <c r="N737" s="3" t="s">
        <v>266</v>
      </c>
      <c r="P737" s="3" t="s">
        <v>102</v>
      </c>
      <c r="R737" s="3" t="s">
        <v>70</v>
      </c>
      <c r="S737" s="4">
        <v>11</v>
      </c>
      <c r="T737" s="4">
        <v>11</v>
      </c>
      <c r="U737" s="5" t="s">
        <v>7297</v>
      </c>
      <c r="V737" s="5" t="s">
        <v>7297</v>
      </c>
      <c r="W737" s="5" t="s">
        <v>72</v>
      </c>
      <c r="X737" s="5" t="s">
        <v>72</v>
      </c>
      <c r="Y737" s="4">
        <v>258</v>
      </c>
      <c r="Z737" s="4">
        <v>16</v>
      </c>
      <c r="AA737" s="4">
        <v>17</v>
      </c>
      <c r="AB737" s="4">
        <v>1</v>
      </c>
      <c r="AC737" s="4">
        <v>2</v>
      </c>
      <c r="AD737" s="4">
        <v>63</v>
      </c>
      <c r="AE737" s="4">
        <v>67</v>
      </c>
      <c r="AF737" s="4">
        <v>0</v>
      </c>
      <c r="AG737" s="4">
        <v>0</v>
      </c>
      <c r="AH737" s="4">
        <v>58</v>
      </c>
      <c r="AI737" s="4">
        <v>62</v>
      </c>
      <c r="AJ737" s="4">
        <v>11</v>
      </c>
      <c r="AK737" s="4">
        <v>11</v>
      </c>
      <c r="AL737" s="4">
        <v>32</v>
      </c>
      <c r="AM737" s="4">
        <v>35</v>
      </c>
      <c r="AN737" s="4">
        <v>0</v>
      </c>
      <c r="AO737" s="4">
        <v>0</v>
      </c>
      <c r="AP737" s="4">
        <v>10</v>
      </c>
      <c r="AQ737" s="4">
        <v>10</v>
      </c>
      <c r="AR737" s="3" t="s">
        <v>64</v>
      </c>
      <c r="AS737" s="3" t="s">
        <v>64</v>
      </c>
      <c r="AT737" s="3" t="s">
        <v>128</v>
      </c>
      <c r="AU737" s="6" t="str">
        <f>HYPERLINK("http://catalog.hathitrust.org/Record/001161179","HathiTrust Record")</f>
        <v>HathiTrust Record</v>
      </c>
      <c r="AV737" s="6" t="str">
        <f>HYPERLINK("http://mcgill.on.worldcat.org/oclc/852052","Catalog Record")</f>
        <v>Catalog Record</v>
      </c>
      <c r="AW737" s="6" t="str">
        <f>HYPERLINK("http://www.worldcat.org/oclc/852052","WorldCat Record")</f>
        <v>WorldCat Record</v>
      </c>
      <c r="AX737" s="3" t="s">
        <v>7298</v>
      </c>
      <c r="AY737" s="3" t="s">
        <v>7299</v>
      </c>
      <c r="AZ737" s="3" t="s">
        <v>7300</v>
      </c>
      <c r="BA737" s="3" t="s">
        <v>7300</v>
      </c>
      <c r="BB737" s="3" t="s">
        <v>7301</v>
      </c>
      <c r="BC737" s="3" t="s">
        <v>77</v>
      </c>
      <c r="BD737" s="3" t="s">
        <v>78</v>
      </c>
      <c r="BF737" s="3" t="s">
        <v>7301</v>
      </c>
      <c r="BG737" s="3" t="s">
        <v>7302</v>
      </c>
      <c r="BH737">
        <f t="shared" si="21"/>
        <v>0</v>
      </c>
    </row>
    <row r="738" spans="1:60" ht="87" x14ac:dyDescent="0.35">
      <c r="A738" s="2" t="s">
        <v>59</v>
      </c>
      <c r="B738" s="2" t="s">
        <v>60</v>
      </c>
      <c r="C738" s="2" t="s">
        <v>7303</v>
      </c>
      <c r="D738" s="2" t="s">
        <v>7304</v>
      </c>
      <c r="E738" s="2" t="s">
        <v>7305</v>
      </c>
      <c r="G738" s="3" t="s">
        <v>64</v>
      </c>
      <c r="I738" s="3" t="s">
        <v>128</v>
      </c>
      <c r="J738" s="3" t="s">
        <v>64</v>
      </c>
      <c r="K738" s="3" t="s">
        <v>65</v>
      </c>
      <c r="L738" s="2" t="s">
        <v>7306</v>
      </c>
      <c r="M738" s="2" t="s">
        <v>7307</v>
      </c>
      <c r="N738" s="3" t="s">
        <v>456</v>
      </c>
      <c r="P738" s="3" t="s">
        <v>102</v>
      </c>
      <c r="Q738" s="2" t="s">
        <v>7308</v>
      </c>
      <c r="R738" s="3" t="s">
        <v>70</v>
      </c>
      <c r="S738" s="4">
        <v>2</v>
      </c>
      <c r="T738" s="4">
        <v>2</v>
      </c>
      <c r="U738" s="5" t="s">
        <v>7309</v>
      </c>
      <c r="V738" s="5" t="s">
        <v>7309</v>
      </c>
      <c r="W738" s="5" t="s">
        <v>72</v>
      </c>
      <c r="X738" s="5" t="s">
        <v>72</v>
      </c>
      <c r="Y738" s="4">
        <v>115</v>
      </c>
      <c r="Z738" s="4">
        <v>6</v>
      </c>
      <c r="AA738" s="4">
        <v>14</v>
      </c>
      <c r="AB738" s="4">
        <v>1</v>
      </c>
      <c r="AC738" s="4">
        <v>2</v>
      </c>
      <c r="AD738" s="4">
        <v>54</v>
      </c>
      <c r="AE738" s="4">
        <v>61</v>
      </c>
      <c r="AF738" s="4">
        <v>0</v>
      </c>
      <c r="AG738" s="4">
        <v>1</v>
      </c>
      <c r="AH738" s="4">
        <v>49</v>
      </c>
      <c r="AI738" s="4">
        <v>55</v>
      </c>
      <c r="AJ738" s="4">
        <v>4</v>
      </c>
      <c r="AK738" s="4">
        <v>9</v>
      </c>
      <c r="AL738" s="4">
        <v>36</v>
      </c>
      <c r="AM738" s="4">
        <v>37</v>
      </c>
      <c r="AN738" s="4">
        <v>0</v>
      </c>
      <c r="AO738" s="4">
        <v>0</v>
      </c>
      <c r="AP738" s="4">
        <v>5</v>
      </c>
      <c r="AQ738" s="4">
        <v>10</v>
      </c>
      <c r="AR738" s="3" t="s">
        <v>64</v>
      </c>
      <c r="AS738" s="3" t="s">
        <v>64</v>
      </c>
      <c r="AT738" s="3" t="s">
        <v>128</v>
      </c>
      <c r="AU738" s="6" t="str">
        <f>HYPERLINK("http://catalog.hathitrust.org/Record/101955506","HathiTrust Record")</f>
        <v>HathiTrust Record</v>
      </c>
      <c r="AV738" s="6" t="str">
        <f>HYPERLINK("http://mcgill.on.worldcat.org/oclc/1952802","Catalog Record")</f>
        <v>Catalog Record</v>
      </c>
      <c r="AW738" s="6" t="str">
        <f>HYPERLINK("http://www.worldcat.org/oclc/1952802","WorldCat Record")</f>
        <v>WorldCat Record</v>
      </c>
      <c r="AX738" s="3" t="s">
        <v>7310</v>
      </c>
      <c r="AY738" s="3" t="s">
        <v>7311</v>
      </c>
      <c r="AZ738" s="3" t="s">
        <v>7312</v>
      </c>
      <c r="BA738" s="3" t="s">
        <v>7312</v>
      </c>
      <c r="BB738" s="3" t="s">
        <v>7313</v>
      </c>
      <c r="BC738" s="3" t="s">
        <v>77</v>
      </c>
      <c r="BD738" s="3" t="s">
        <v>78</v>
      </c>
      <c r="BF738" s="3" t="s">
        <v>7313</v>
      </c>
      <c r="BG738" s="3" t="s">
        <v>7314</v>
      </c>
      <c r="BH738">
        <f t="shared" si="21"/>
        <v>0</v>
      </c>
    </row>
    <row r="739" spans="1:60" ht="58" x14ac:dyDescent="0.35">
      <c r="A739" s="2" t="s">
        <v>59</v>
      </c>
      <c r="B739" s="2" t="s">
        <v>60</v>
      </c>
      <c r="C739" s="2" t="s">
        <v>7315</v>
      </c>
      <c r="D739" s="2" t="s">
        <v>7316</v>
      </c>
      <c r="E739" s="2" t="s">
        <v>7317</v>
      </c>
      <c r="G739" s="3" t="s">
        <v>64</v>
      </c>
      <c r="I739" s="3" t="s">
        <v>128</v>
      </c>
      <c r="J739" s="3" t="s">
        <v>64</v>
      </c>
      <c r="K739" s="3" t="s">
        <v>65</v>
      </c>
      <c r="L739" s="2" t="s">
        <v>7318</v>
      </c>
      <c r="M739" s="2" t="s">
        <v>7319</v>
      </c>
      <c r="N739" s="3" t="s">
        <v>1821</v>
      </c>
      <c r="P739" s="3" t="s">
        <v>102</v>
      </c>
      <c r="R739" s="3" t="s">
        <v>70</v>
      </c>
      <c r="S739" s="4">
        <v>5</v>
      </c>
      <c r="T739" s="4">
        <v>5</v>
      </c>
      <c r="U739" s="5" t="s">
        <v>980</v>
      </c>
      <c r="V739" s="5" t="s">
        <v>980</v>
      </c>
      <c r="W739" s="5" t="s">
        <v>72</v>
      </c>
      <c r="X739" s="5" t="s">
        <v>72</v>
      </c>
      <c r="Y739" s="4">
        <v>195</v>
      </c>
      <c r="Z739" s="4">
        <v>11</v>
      </c>
      <c r="AA739" s="4">
        <v>17</v>
      </c>
      <c r="AB739" s="4">
        <v>1</v>
      </c>
      <c r="AC739" s="4">
        <v>2</v>
      </c>
      <c r="AD739" s="4">
        <v>63</v>
      </c>
      <c r="AE739" s="4">
        <v>79</v>
      </c>
      <c r="AF739" s="4">
        <v>0</v>
      </c>
      <c r="AG739" s="4">
        <v>1</v>
      </c>
      <c r="AH739" s="4">
        <v>59</v>
      </c>
      <c r="AI739" s="4">
        <v>72</v>
      </c>
      <c r="AJ739" s="4">
        <v>6</v>
      </c>
      <c r="AK739" s="4">
        <v>10</v>
      </c>
      <c r="AL739" s="4">
        <v>41</v>
      </c>
      <c r="AM739" s="4">
        <v>48</v>
      </c>
      <c r="AN739" s="4">
        <v>0</v>
      </c>
      <c r="AO739" s="4">
        <v>0</v>
      </c>
      <c r="AP739" s="4">
        <v>6</v>
      </c>
      <c r="AQ739" s="4">
        <v>10</v>
      </c>
      <c r="AR739" s="3" t="s">
        <v>64</v>
      </c>
      <c r="AS739" s="3" t="s">
        <v>64</v>
      </c>
      <c r="AT739" s="3" t="s">
        <v>64</v>
      </c>
      <c r="AV739" s="6" t="str">
        <f>HYPERLINK("http://mcgill.on.worldcat.org/oclc/2275289","Catalog Record")</f>
        <v>Catalog Record</v>
      </c>
      <c r="AW739" s="6" t="str">
        <f>HYPERLINK("http://www.worldcat.org/oclc/2275289","WorldCat Record")</f>
        <v>WorldCat Record</v>
      </c>
      <c r="AX739" s="3" t="s">
        <v>7320</v>
      </c>
      <c r="AY739" s="3" t="s">
        <v>7321</v>
      </c>
      <c r="AZ739" s="3" t="s">
        <v>7322</v>
      </c>
      <c r="BA739" s="3" t="s">
        <v>7322</v>
      </c>
      <c r="BB739" s="3" t="s">
        <v>7323</v>
      </c>
      <c r="BC739" s="3" t="s">
        <v>77</v>
      </c>
      <c r="BD739" s="3" t="s">
        <v>78</v>
      </c>
      <c r="BF739" s="3" t="s">
        <v>7323</v>
      </c>
      <c r="BG739" s="3" t="s">
        <v>7324</v>
      </c>
      <c r="BH739">
        <f t="shared" si="21"/>
        <v>0</v>
      </c>
    </row>
    <row r="740" spans="1:60" ht="72.5" x14ac:dyDescent="0.35">
      <c r="A740" s="2" t="s">
        <v>59</v>
      </c>
      <c r="B740" s="2" t="s">
        <v>60</v>
      </c>
      <c r="C740" s="2" t="s">
        <v>7325</v>
      </c>
      <c r="D740" s="2" t="s">
        <v>7326</v>
      </c>
      <c r="E740" s="2" t="s">
        <v>7327</v>
      </c>
      <c r="G740" s="3" t="s">
        <v>64</v>
      </c>
      <c r="I740" s="3" t="s">
        <v>64</v>
      </c>
      <c r="J740" s="3" t="s">
        <v>64</v>
      </c>
      <c r="K740" s="3" t="s">
        <v>65</v>
      </c>
      <c r="L740" s="2" t="s">
        <v>7318</v>
      </c>
      <c r="M740" s="2" t="s">
        <v>7328</v>
      </c>
      <c r="N740" s="3" t="s">
        <v>3761</v>
      </c>
      <c r="O740" s="2" t="s">
        <v>7329</v>
      </c>
      <c r="P740" s="3" t="s">
        <v>102</v>
      </c>
      <c r="R740" s="3" t="s">
        <v>70</v>
      </c>
      <c r="S740" s="4">
        <v>8</v>
      </c>
      <c r="T740" s="4">
        <v>8</v>
      </c>
      <c r="U740" s="5" t="s">
        <v>7330</v>
      </c>
      <c r="V740" s="5" t="s">
        <v>7330</v>
      </c>
      <c r="W740" s="5" t="s">
        <v>72</v>
      </c>
      <c r="X740" s="5" t="s">
        <v>72</v>
      </c>
      <c r="Y740" s="4">
        <v>179</v>
      </c>
      <c r="Z740" s="4">
        <v>14</v>
      </c>
      <c r="AA740" s="4">
        <v>23</v>
      </c>
      <c r="AB740" s="4">
        <v>1</v>
      </c>
      <c r="AC740" s="4">
        <v>1</v>
      </c>
      <c r="AD740" s="4">
        <v>45</v>
      </c>
      <c r="AE740" s="4">
        <v>94</v>
      </c>
      <c r="AF740" s="4">
        <v>0</v>
      </c>
      <c r="AG740" s="4">
        <v>0</v>
      </c>
      <c r="AH740" s="4">
        <v>41</v>
      </c>
      <c r="AI740" s="4">
        <v>87</v>
      </c>
      <c r="AJ740" s="4">
        <v>10</v>
      </c>
      <c r="AK740" s="4">
        <v>14</v>
      </c>
      <c r="AL740" s="4">
        <v>22</v>
      </c>
      <c r="AM740" s="4">
        <v>45</v>
      </c>
      <c r="AN740" s="4">
        <v>0</v>
      </c>
      <c r="AO740" s="4">
        <v>2</v>
      </c>
      <c r="AP740" s="4">
        <v>10</v>
      </c>
      <c r="AQ740" s="4">
        <v>16</v>
      </c>
      <c r="AR740" s="3" t="s">
        <v>64</v>
      </c>
      <c r="AS740" s="3" t="s">
        <v>64</v>
      </c>
      <c r="AT740" s="3" t="s">
        <v>128</v>
      </c>
      <c r="AU740" s="6" t="str">
        <f>HYPERLINK("http://catalog.hathitrust.org/Record/006054876","HathiTrust Record")</f>
        <v>HathiTrust Record</v>
      </c>
      <c r="AV740" s="6" t="str">
        <f>HYPERLINK("http://mcgill.on.worldcat.org/oclc/1351838","Catalog Record")</f>
        <v>Catalog Record</v>
      </c>
      <c r="AW740" s="6" t="str">
        <f>HYPERLINK("http://www.worldcat.org/oclc/1351838","WorldCat Record")</f>
        <v>WorldCat Record</v>
      </c>
      <c r="AX740" s="3" t="s">
        <v>7331</v>
      </c>
      <c r="AY740" s="3" t="s">
        <v>7332</v>
      </c>
      <c r="AZ740" s="3" t="s">
        <v>7333</v>
      </c>
      <c r="BA740" s="3" t="s">
        <v>7333</v>
      </c>
      <c r="BB740" s="3" t="s">
        <v>7334</v>
      </c>
      <c r="BC740" s="3" t="s">
        <v>77</v>
      </c>
      <c r="BD740" s="3" t="s">
        <v>78</v>
      </c>
      <c r="BF740" s="3" t="s">
        <v>7334</v>
      </c>
      <c r="BG740" s="3" t="s">
        <v>7335</v>
      </c>
      <c r="BH740">
        <f t="shared" si="21"/>
        <v>0</v>
      </c>
    </row>
    <row r="741" spans="1:60" ht="58" x14ac:dyDescent="0.35">
      <c r="A741" s="2" t="s">
        <v>59</v>
      </c>
      <c r="B741" s="2" t="s">
        <v>60</v>
      </c>
      <c r="C741" s="2" t="s">
        <v>7336</v>
      </c>
      <c r="D741" s="2" t="s">
        <v>7337</v>
      </c>
      <c r="E741" s="2" t="s">
        <v>7338</v>
      </c>
      <c r="G741" s="3" t="s">
        <v>64</v>
      </c>
      <c r="I741" s="3" t="s">
        <v>64</v>
      </c>
      <c r="J741" s="3" t="s">
        <v>64</v>
      </c>
      <c r="K741" s="3" t="s">
        <v>65</v>
      </c>
      <c r="L741" s="2" t="s">
        <v>7339</v>
      </c>
      <c r="M741" s="2" t="s">
        <v>7340</v>
      </c>
      <c r="N741" s="3" t="s">
        <v>253</v>
      </c>
      <c r="P741" s="3" t="s">
        <v>102</v>
      </c>
      <c r="R741" s="3" t="s">
        <v>70</v>
      </c>
      <c r="S741" s="4">
        <v>3</v>
      </c>
      <c r="T741" s="4">
        <v>3</v>
      </c>
      <c r="U741" s="5" t="s">
        <v>5928</v>
      </c>
      <c r="V741" s="5" t="s">
        <v>5928</v>
      </c>
      <c r="W741" s="5" t="s">
        <v>72</v>
      </c>
      <c r="X741" s="5" t="s">
        <v>72</v>
      </c>
      <c r="Y741" s="4">
        <v>19</v>
      </c>
      <c r="Z741" s="4">
        <v>1</v>
      </c>
      <c r="AA741" s="4">
        <v>1</v>
      </c>
      <c r="AB741" s="4">
        <v>1</v>
      </c>
      <c r="AC741" s="4">
        <v>1</v>
      </c>
      <c r="AD741" s="4">
        <v>3</v>
      </c>
      <c r="AE741" s="4">
        <v>3</v>
      </c>
      <c r="AF741" s="4">
        <v>0</v>
      </c>
      <c r="AG741" s="4">
        <v>0</v>
      </c>
      <c r="AH741" s="4">
        <v>3</v>
      </c>
      <c r="AI741" s="4">
        <v>3</v>
      </c>
      <c r="AJ741" s="4">
        <v>0</v>
      </c>
      <c r="AK741" s="4">
        <v>0</v>
      </c>
      <c r="AL741" s="4">
        <v>1</v>
      </c>
      <c r="AM741" s="4">
        <v>1</v>
      </c>
      <c r="AN741" s="4">
        <v>0</v>
      </c>
      <c r="AO741" s="4">
        <v>0</v>
      </c>
      <c r="AP741" s="4">
        <v>0</v>
      </c>
      <c r="AQ741" s="4">
        <v>0</v>
      </c>
      <c r="AR741" s="3" t="s">
        <v>64</v>
      </c>
      <c r="AS741" s="3" t="s">
        <v>64</v>
      </c>
      <c r="AT741" s="3" t="s">
        <v>64</v>
      </c>
      <c r="AV741" s="6" t="str">
        <f>HYPERLINK("http://mcgill.on.worldcat.org/oclc/883650555","Catalog Record")</f>
        <v>Catalog Record</v>
      </c>
      <c r="AW741" s="6" t="str">
        <f>HYPERLINK("http://www.worldcat.org/oclc/883650555","WorldCat Record")</f>
        <v>WorldCat Record</v>
      </c>
      <c r="AX741" s="3" t="s">
        <v>7341</v>
      </c>
      <c r="AY741" s="3" t="s">
        <v>7342</v>
      </c>
      <c r="AZ741" s="3" t="s">
        <v>7343</v>
      </c>
      <c r="BA741" s="3" t="s">
        <v>7343</v>
      </c>
      <c r="BB741" s="3" t="s">
        <v>7344</v>
      </c>
      <c r="BC741" s="3" t="s">
        <v>77</v>
      </c>
      <c r="BD741" s="3" t="s">
        <v>78</v>
      </c>
      <c r="BE741" s="3" t="s">
        <v>7345</v>
      </c>
      <c r="BF741" s="3" t="s">
        <v>7344</v>
      </c>
      <c r="BG741" s="3" t="s">
        <v>7346</v>
      </c>
      <c r="BH741">
        <f t="shared" si="21"/>
        <v>0</v>
      </c>
    </row>
    <row r="742" spans="1:60" ht="58" x14ac:dyDescent="0.35">
      <c r="A742" s="2" t="s">
        <v>59</v>
      </c>
      <c r="B742" s="2" t="s">
        <v>60</v>
      </c>
      <c r="C742" s="2" t="s">
        <v>7347</v>
      </c>
      <c r="D742" s="2" t="s">
        <v>7348</v>
      </c>
      <c r="E742" s="2" t="s">
        <v>7349</v>
      </c>
      <c r="G742" s="3" t="s">
        <v>64</v>
      </c>
      <c r="I742" s="3" t="s">
        <v>64</v>
      </c>
      <c r="J742" s="3" t="s">
        <v>64</v>
      </c>
      <c r="K742" s="3" t="s">
        <v>65</v>
      </c>
      <c r="L742" s="2" t="s">
        <v>7350</v>
      </c>
      <c r="M742" s="2" t="s">
        <v>7351</v>
      </c>
      <c r="N742" s="3" t="s">
        <v>86</v>
      </c>
      <c r="O742" s="2" t="s">
        <v>117</v>
      </c>
      <c r="P742" s="3" t="s">
        <v>102</v>
      </c>
      <c r="R742" s="3" t="s">
        <v>70</v>
      </c>
      <c r="S742" s="4">
        <v>1</v>
      </c>
      <c r="T742" s="4">
        <v>1</v>
      </c>
      <c r="U742" s="5" t="s">
        <v>7352</v>
      </c>
      <c r="V742" s="5" t="s">
        <v>7352</v>
      </c>
      <c r="W742" s="5" t="s">
        <v>72</v>
      </c>
      <c r="X742" s="5" t="s">
        <v>72</v>
      </c>
      <c r="Y742" s="4">
        <v>91</v>
      </c>
      <c r="Z742" s="4">
        <v>7</v>
      </c>
      <c r="AA742" s="4">
        <v>7</v>
      </c>
      <c r="AB742" s="4">
        <v>1</v>
      </c>
      <c r="AC742" s="4">
        <v>1</v>
      </c>
      <c r="AD742" s="4">
        <v>36</v>
      </c>
      <c r="AE742" s="4">
        <v>36</v>
      </c>
      <c r="AF742" s="4">
        <v>0</v>
      </c>
      <c r="AG742" s="4">
        <v>0</v>
      </c>
      <c r="AH742" s="4">
        <v>33</v>
      </c>
      <c r="AI742" s="4">
        <v>33</v>
      </c>
      <c r="AJ742" s="4">
        <v>3</v>
      </c>
      <c r="AK742" s="4">
        <v>3</v>
      </c>
      <c r="AL742" s="4">
        <v>26</v>
      </c>
      <c r="AM742" s="4">
        <v>26</v>
      </c>
      <c r="AN742" s="4">
        <v>0</v>
      </c>
      <c r="AO742" s="4">
        <v>0</v>
      </c>
      <c r="AP742" s="4">
        <v>3</v>
      </c>
      <c r="AQ742" s="4">
        <v>3</v>
      </c>
      <c r="AR742" s="3" t="s">
        <v>64</v>
      </c>
      <c r="AS742" s="3" t="s">
        <v>64</v>
      </c>
      <c r="AT742" s="3" t="s">
        <v>64</v>
      </c>
      <c r="AV742" s="6" t="str">
        <f>HYPERLINK("http://mcgill.on.worldcat.org/oclc/801051395","Catalog Record")</f>
        <v>Catalog Record</v>
      </c>
      <c r="AW742" s="6" t="str">
        <f>HYPERLINK("http://www.worldcat.org/oclc/801051395","WorldCat Record")</f>
        <v>WorldCat Record</v>
      </c>
      <c r="AX742" s="3" t="s">
        <v>7353</v>
      </c>
      <c r="AY742" s="3" t="s">
        <v>7354</v>
      </c>
      <c r="AZ742" s="3" t="s">
        <v>7355</v>
      </c>
      <c r="BA742" s="3" t="s">
        <v>7355</v>
      </c>
      <c r="BB742" s="3" t="s">
        <v>7356</v>
      </c>
      <c r="BC742" s="3" t="s">
        <v>77</v>
      </c>
      <c r="BD742" s="3" t="s">
        <v>78</v>
      </c>
      <c r="BE742" s="3" t="s">
        <v>7357</v>
      </c>
      <c r="BF742" s="3" t="s">
        <v>7356</v>
      </c>
      <c r="BG742" s="3" t="s">
        <v>7358</v>
      </c>
      <c r="BH742">
        <f t="shared" si="21"/>
        <v>0</v>
      </c>
    </row>
    <row r="743" spans="1:60" ht="58" x14ac:dyDescent="0.35">
      <c r="A743" s="2" t="s">
        <v>59</v>
      </c>
      <c r="B743" s="2" t="s">
        <v>60</v>
      </c>
      <c r="C743" s="2" t="s">
        <v>7359</v>
      </c>
      <c r="D743" s="2" t="s">
        <v>7360</v>
      </c>
      <c r="E743" s="2" t="s">
        <v>7361</v>
      </c>
      <c r="G743" s="3" t="s">
        <v>64</v>
      </c>
      <c r="I743" s="3" t="s">
        <v>64</v>
      </c>
      <c r="J743" s="3" t="s">
        <v>64</v>
      </c>
      <c r="K743" s="3" t="s">
        <v>65</v>
      </c>
      <c r="M743" s="2" t="s">
        <v>7362</v>
      </c>
      <c r="N743" s="3" t="s">
        <v>86</v>
      </c>
      <c r="P743" s="3" t="s">
        <v>102</v>
      </c>
      <c r="R743" s="3" t="s">
        <v>70</v>
      </c>
      <c r="S743" s="4">
        <v>8</v>
      </c>
      <c r="T743" s="4">
        <v>8</v>
      </c>
      <c r="U743" s="5" t="s">
        <v>7177</v>
      </c>
      <c r="V743" s="5" t="s">
        <v>7177</v>
      </c>
      <c r="W743" s="5" t="s">
        <v>72</v>
      </c>
      <c r="X743" s="5" t="s">
        <v>72</v>
      </c>
      <c r="Y743" s="4">
        <v>508</v>
      </c>
      <c r="Z743" s="4">
        <v>35</v>
      </c>
      <c r="AA743" s="4">
        <v>120</v>
      </c>
      <c r="AB743" s="4">
        <v>2</v>
      </c>
      <c r="AC743" s="4">
        <v>17</v>
      </c>
      <c r="AD743" s="4">
        <v>64</v>
      </c>
      <c r="AE743" s="4">
        <v>128</v>
      </c>
      <c r="AF743" s="4">
        <v>1</v>
      </c>
      <c r="AG743" s="4">
        <v>8</v>
      </c>
      <c r="AH743" s="4">
        <v>51</v>
      </c>
      <c r="AI743" s="4">
        <v>87</v>
      </c>
      <c r="AJ743" s="4">
        <v>11</v>
      </c>
      <c r="AK743" s="4">
        <v>23</v>
      </c>
      <c r="AL743" s="4">
        <v>29</v>
      </c>
      <c r="AM743" s="4">
        <v>46</v>
      </c>
      <c r="AN743" s="4">
        <v>0</v>
      </c>
      <c r="AO743" s="4">
        <v>0</v>
      </c>
      <c r="AP743" s="4">
        <v>16</v>
      </c>
      <c r="AQ743" s="4">
        <v>48</v>
      </c>
      <c r="AR743" s="3" t="s">
        <v>64</v>
      </c>
      <c r="AS743" s="3" t="s">
        <v>64</v>
      </c>
      <c r="AT743" s="3" t="s">
        <v>64</v>
      </c>
      <c r="AV743" s="6" t="str">
        <f>HYPERLINK("http://mcgill.on.worldcat.org/oclc/757931752","Catalog Record")</f>
        <v>Catalog Record</v>
      </c>
      <c r="AW743" s="6" t="str">
        <f>HYPERLINK("http://www.worldcat.org/oclc/757931752","WorldCat Record")</f>
        <v>WorldCat Record</v>
      </c>
      <c r="AX743" s="3" t="s">
        <v>7363</v>
      </c>
      <c r="AY743" s="3" t="s">
        <v>7364</v>
      </c>
      <c r="AZ743" s="3" t="s">
        <v>7365</v>
      </c>
      <c r="BA743" s="3" t="s">
        <v>7365</v>
      </c>
      <c r="BB743" s="3" t="s">
        <v>7366</v>
      </c>
      <c r="BC743" s="3" t="s">
        <v>77</v>
      </c>
      <c r="BD743" s="3" t="s">
        <v>78</v>
      </c>
      <c r="BE743" s="3" t="s">
        <v>7367</v>
      </c>
      <c r="BF743" s="3" t="s">
        <v>7366</v>
      </c>
      <c r="BG743" s="3" t="s">
        <v>7368</v>
      </c>
      <c r="BH743">
        <f t="shared" si="21"/>
        <v>0</v>
      </c>
    </row>
    <row r="744" spans="1:60" ht="58" x14ac:dyDescent="0.35">
      <c r="A744" s="2" t="s">
        <v>59</v>
      </c>
      <c r="B744" s="2" t="s">
        <v>60</v>
      </c>
      <c r="C744" s="2" t="s">
        <v>7369</v>
      </c>
      <c r="D744" s="2" t="s">
        <v>7370</v>
      </c>
      <c r="E744" s="2" t="s">
        <v>7371</v>
      </c>
      <c r="G744" s="3" t="s">
        <v>64</v>
      </c>
      <c r="I744" s="3" t="s">
        <v>64</v>
      </c>
      <c r="J744" s="3" t="s">
        <v>64</v>
      </c>
      <c r="K744" s="3" t="s">
        <v>65</v>
      </c>
      <c r="M744" s="2" t="s">
        <v>7372</v>
      </c>
      <c r="N744" s="3" t="s">
        <v>898</v>
      </c>
      <c r="P744" s="3" t="s">
        <v>102</v>
      </c>
      <c r="Q744" s="2" t="s">
        <v>7373</v>
      </c>
      <c r="R744" s="3" t="s">
        <v>70</v>
      </c>
      <c r="S744" s="4">
        <v>7</v>
      </c>
      <c r="T744" s="4">
        <v>7</v>
      </c>
      <c r="U744" s="5" t="s">
        <v>7374</v>
      </c>
      <c r="V744" s="5" t="s">
        <v>7374</v>
      </c>
      <c r="W744" s="5" t="s">
        <v>72</v>
      </c>
      <c r="X744" s="5" t="s">
        <v>72</v>
      </c>
      <c r="Y744" s="4">
        <v>333</v>
      </c>
      <c r="Z744" s="4">
        <v>8</v>
      </c>
      <c r="AA744" s="4">
        <v>10</v>
      </c>
      <c r="AB744" s="4">
        <v>2</v>
      </c>
      <c r="AC744" s="4">
        <v>3</v>
      </c>
      <c r="AD744" s="4">
        <v>47</v>
      </c>
      <c r="AE744" s="4">
        <v>49</v>
      </c>
      <c r="AF744" s="4">
        <v>0</v>
      </c>
      <c r="AG744" s="4">
        <v>1</v>
      </c>
      <c r="AH744" s="4">
        <v>45</v>
      </c>
      <c r="AI744" s="4">
        <v>45</v>
      </c>
      <c r="AJ744" s="4">
        <v>3</v>
      </c>
      <c r="AK744" s="4">
        <v>5</v>
      </c>
      <c r="AL744" s="4">
        <v>27</v>
      </c>
      <c r="AM744" s="4">
        <v>27</v>
      </c>
      <c r="AN744" s="4">
        <v>5</v>
      </c>
      <c r="AO744" s="4">
        <v>5</v>
      </c>
      <c r="AP744" s="4">
        <v>3</v>
      </c>
      <c r="AQ744" s="4">
        <v>5</v>
      </c>
      <c r="AR744" s="3" t="s">
        <v>64</v>
      </c>
      <c r="AS744" s="3" t="s">
        <v>64</v>
      </c>
      <c r="AT744" s="3" t="s">
        <v>128</v>
      </c>
      <c r="AU744" s="6" t="str">
        <f>HYPERLINK("http://catalog.hathitrust.org/Record/000185654","HathiTrust Record")</f>
        <v>HathiTrust Record</v>
      </c>
      <c r="AV744" s="6" t="str">
        <f>HYPERLINK("http://mcgill.on.worldcat.org/oclc/6531185","Catalog Record")</f>
        <v>Catalog Record</v>
      </c>
      <c r="AW744" s="6" t="str">
        <f>HYPERLINK("http://www.worldcat.org/oclc/6531185","WorldCat Record")</f>
        <v>WorldCat Record</v>
      </c>
      <c r="AX744" s="3" t="s">
        <v>7375</v>
      </c>
      <c r="AY744" s="3" t="s">
        <v>7376</v>
      </c>
      <c r="AZ744" s="3" t="s">
        <v>7377</v>
      </c>
      <c r="BA744" s="3" t="s">
        <v>7377</v>
      </c>
      <c r="BB744" s="3" t="s">
        <v>7378</v>
      </c>
      <c r="BC744" s="3" t="s">
        <v>77</v>
      </c>
      <c r="BD744" s="3" t="s">
        <v>78</v>
      </c>
      <c r="BE744" s="3" t="s">
        <v>7379</v>
      </c>
      <c r="BF744" s="3" t="s">
        <v>7378</v>
      </c>
      <c r="BG744" s="3" t="s">
        <v>7380</v>
      </c>
      <c r="BH744">
        <f t="shared" si="21"/>
        <v>0</v>
      </c>
    </row>
    <row r="745" spans="1:60" ht="58" x14ac:dyDescent="0.35">
      <c r="A745" s="2" t="s">
        <v>59</v>
      </c>
      <c r="B745" s="2" t="s">
        <v>60</v>
      </c>
      <c r="C745" s="2" t="s">
        <v>7381</v>
      </c>
      <c r="D745" s="2" t="s">
        <v>7382</v>
      </c>
      <c r="E745" s="2" t="s">
        <v>7383</v>
      </c>
      <c r="G745" s="3" t="s">
        <v>64</v>
      </c>
      <c r="I745" s="3" t="s">
        <v>64</v>
      </c>
      <c r="J745" s="3" t="s">
        <v>64</v>
      </c>
      <c r="K745" s="3" t="s">
        <v>65</v>
      </c>
      <c r="L745" s="2" t="s">
        <v>7384</v>
      </c>
      <c r="M745" s="2" t="s">
        <v>7108</v>
      </c>
      <c r="N745" s="3" t="s">
        <v>578</v>
      </c>
      <c r="P745" s="3" t="s">
        <v>102</v>
      </c>
      <c r="R745" s="3" t="s">
        <v>70</v>
      </c>
      <c r="S745" s="4">
        <v>0</v>
      </c>
      <c r="T745" s="4">
        <v>0</v>
      </c>
      <c r="W745" s="5" t="s">
        <v>72</v>
      </c>
      <c r="X745" s="5" t="s">
        <v>72</v>
      </c>
      <c r="Y745" s="4">
        <v>114</v>
      </c>
      <c r="Z745" s="4">
        <v>8</v>
      </c>
      <c r="AA745" s="4">
        <v>9</v>
      </c>
      <c r="AB745" s="4">
        <v>1</v>
      </c>
      <c r="AC745" s="4">
        <v>2</v>
      </c>
      <c r="AD745" s="4">
        <v>31</v>
      </c>
      <c r="AE745" s="4">
        <v>32</v>
      </c>
      <c r="AF745" s="4">
        <v>0</v>
      </c>
      <c r="AG745" s="4">
        <v>1</v>
      </c>
      <c r="AH745" s="4">
        <v>26</v>
      </c>
      <c r="AI745" s="4">
        <v>26</v>
      </c>
      <c r="AJ745" s="4">
        <v>3</v>
      </c>
      <c r="AK745" s="4">
        <v>4</v>
      </c>
      <c r="AL745" s="4">
        <v>19</v>
      </c>
      <c r="AM745" s="4">
        <v>19</v>
      </c>
      <c r="AN745" s="4">
        <v>0</v>
      </c>
      <c r="AO745" s="4">
        <v>0</v>
      </c>
      <c r="AP745" s="4">
        <v>4</v>
      </c>
      <c r="AQ745" s="4">
        <v>5</v>
      </c>
      <c r="AR745" s="3" t="s">
        <v>64</v>
      </c>
      <c r="AS745" s="3" t="s">
        <v>64</v>
      </c>
      <c r="AT745" s="3" t="s">
        <v>64</v>
      </c>
      <c r="AV745" s="6" t="str">
        <f>HYPERLINK("http://mcgill.on.worldcat.org/oclc/994231781","Catalog Record")</f>
        <v>Catalog Record</v>
      </c>
      <c r="AW745" s="6" t="str">
        <f>HYPERLINK("http://www.worldcat.org/oclc/994231781","WorldCat Record")</f>
        <v>WorldCat Record</v>
      </c>
      <c r="AX745" s="3" t="s">
        <v>7385</v>
      </c>
      <c r="AY745" s="3" t="s">
        <v>7386</v>
      </c>
      <c r="AZ745" s="3" t="s">
        <v>7387</v>
      </c>
      <c r="BA745" s="3" t="s">
        <v>7387</v>
      </c>
      <c r="BB745" s="3" t="s">
        <v>7388</v>
      </c>
      <c r="BC745" s="3" t="s">
        <v>77</v>
      </c>
      <c r="BD745" s="3" t="s">
        <v>78</v>
      </c>
      <c r="BE745" s="3" t="s">
        <v>7389</v>
      </c>
      <c r="BF745" s="3" t="s">
        <v>7388</v>
      </c>
      <c r="BG745" s="3" t="s">
        <v>7390</v>
      </c>
      <c r="BH745">
        <f t="shared" si="21"/>
        <v>0</v>
      </c>
    </row>
    <row r="746" spans="1:60" ht="58" x14ac:dyDescent="0.35">
      <c r="A746" s="2" t="s">
        <v>59</v>
      </c>
      <c r="B746" s="2" t="s">
        <v>60</v>
      </c>
      <c r="C746" s="2" t="s">
        <v>7391</v>
      </c>
      <c r="D746" s="2" t="s">
        <v>7392</v>
      </c>
      <c r="E746" s="2" t="s">
        <v>7393</v>
      </c>
      <c r="G746" s="3" t="s">
        <v>64</v>
      </c>
      <c r="I746" s="3" t="s">
        <v>64</v>
      </c>
      <c r="J746" s="3" t="s">
        <v>64</v>
      </c>
      <c r="K746" s="3" t="s">
        <v>65</v>
      </c>
      <c r="L746" s="2" t="s">
        <v>7394</v>
      </c>
      <c r="M746" s="2" t="s">
        <v>7395</v>
      </c>
      <c r="N746" s="3" t="s">
        <v>253</v>
      </c>
      <c r="P746" s="3" t="s">
        <v>102</v>
      </c>
      <c r="R746" s="3" t="s">
        <v>70</v>
      </c>
      <c r="S746" s="4">
        <v>0</v>
      </c>
      <c r="T746" s="4">
        <v>0</v>
      </c>
      <c r="W746" s="5" t="s">
        <v>72</v>
      </c>
      <c r="X746" s="5" t="s">
        <v>72</v>
      </c>
      <c r="Y746" s="4">
        <v>117</v>
      </c>
      <c r="Z746" s="4">
        <v>6</v>
      </c>
      <c r="AA746" s="4">
        <v>57</v>
      </c>
      <c r="AB746" s="4">
        <v>1</v>
      </c>
      <c r="AC746" s="4">
        <v>4</v>
      </c>
      <c r="AD746" s="4">
        <v>23</v>
      </c>
      <c r="AE746" s="4">
        <v>54</v>
      </c>
      <c r="AF746" s="4">
        <v>0</v>
      </c>
      <c r="AG746" s="4">
        <v>1</v>
      </c>
      <c r="AH746" s="4">
        <v>21</v>
      </c>
      <c r="AI746" s="4">
        <v>40</v>
      </c>
      <c r="AJ746" s="4">
        <v>3</v>
      </c>
      <c r="AK746" s="4">
        <v>7</v>
      </c>
      <c r="AL746" s="4">
        <v>12</v>
      </c>
      <c r="AM746" s="4">
        <v>22</v>
      </c>
      <c r="AN746" s="4">
        <v>0</v>
      </c>
      <c r="AO746" s="4">
        <v>0</v>
      </c>
      <c r="AP746" s="4">
        <v>3</v>
      </c>
      <c r="AQ746" s="4">
        <v>14</v>
      </c>
      <c r="AR746" s="3" t="s">
        <v>64</v>
      </c>
      <c r="AS746" s="3" t="s">
        <v>64</v>
      </c>
      <c r="AT746" s="3" t="s">
        <v>64</v>
      </c>
      <c r="AV746" s="6" t="str">
        <f>HYPERLINK("http://mcgill.on.worldcat.org/oclc/907360183","Catalog Record")</f>
        <v>Catalog Record</v>
      </c>
      <c r="AW746" s="6" t="str">
        <f>HYPERLINK("http://www.worldcat.org/oclc/907360183","WorldCat Record")</f>
        <v>WorldCat Record</v>
      </c>
      <c r="AX746" s="3" t="s">
        <v>7396</v>
      </c>
      <c r="AY746" s="3" t="s">
        <v>7397</v>
      </c>
      <c r="AZ746" s="3" t="s">
        <v>7398</v>
      </c>
      <c r="BA746" s="3" t="s">
        <v>7398</v>
      </c>
      <c r="BB746" s="3" t="s">
        <v>7399</v>
      </c>
      <c r="BC746" s="3" t="s">
        <v>77</v>
      </c>
      <c r="BD746" s="3" t="s">
        <v>78</v>
      </c>
      <c r="BE746" s="3" t="s">
        <v>7400</v>
      </c>
      <c r="BF746" s="3" t="s">
        <v>7399</v>
      </c>
      <c r="BG746" s="3" t="s">
        <v>7401</v>
      </c>
      <c r="BH746">
        <f t="shared" si="21"/>
        <v>0</v>
      </c>
    </row>
    <row r="747" spans="1:60" ht="58" x14ac:dyDescent="0.35">
      <c r="A747" s="2" t="s">
        <v>1040</v>
      </c>
      <c r="B747" s="2" t="s">
        <v>60</v>
      </c>
      <c r="C747" s="2" t="s">
        <v>7402</v>
      </c>
      <c r="D747" s="2" t="s">
        <v>7403</v>
      </c>
      <c r="E747" s="2" t="s">
        <v>7404</v>
      </c>
      <c r="G747" s="3" t="s">
        <v>64</v>
      </c>
      <c r="I747" s="3" t="s">
        <v>128</v>
      </c>
      <c r="J747" s="3" t="s">
        <v>64</v>
      </c>
      <c r="K747" s="3" t="s">
        <v>65</v>
      </c>
      <c r="M747" s="2" t="s">
        <v>7405</v>
      </c>
      <c r="N747" s="3" t="s">
        <v>1250</v>
      </c>
      <c r="O747" s="2" t="s">
        <v>7406</v>
      </c>
      <c r="P747" s="3" t="s">
        <v>102</v>
      </c>
      <c r="R747" s="3" t="s">
        <v>70</v>
      </c>
      <c r="S747" s="4">
        <v>22</v>
      </c>
      <c r="T747" s="4">
        <v>22</v>
      </c>
      <c r="U747" s="5" t="s">
        <v>7407</v>
      </c>
      <c r="V747" s="5" t="s">
        <v>7407</v>
      </c>
      <c r="W747" s="5" t="s">
        <v>72</v>
      </c>
      <c r="X747" s="5" t="s">
        <v>72</v>
      </c>
      <c r="Y747" s="4">
        <v>1062</v>
      </c>
      <c r="Z747" s="4">
        <v>52</v>
      </c>
      <c r="AA747" s="4">
        <v>59</v>
      </c>
      <c r="AB747" s="4">
        <v>4</v>
      </c>
      <c r="AC747" s="4">
        <v>7</v>
      </c>
      <c r="AD747" s="4">
        <v>122</v>
      </c>
      <c r="AE747" s="4">
        <v>127</v>
      </c>
      <c r="AF747" s="4">
        <v>1</v>
      </c>
      <c r="AG747" s="4">
        <v>4</v>
      </c>
      <c r="AH747" s="4">
        <v>101</v>
      </c>
      <c r="AI747" s="4">
        <v>103</v>
      </c>
      <c r="AJ747" s="4">
        <v>20</v>
      </c>
      <c r="AK747" s="4">
        <v>24</v>
      </c>
      <c r="AL747" s="4">
        <v>55</v>
      </c>
      <c r="AM747" s="4">
        <v>55</v>
      </c>
      <c r="AN747" s="4">
        <v>0</v>
      </c>
      <c r="AO747" s="4">
        <v>0</v>
      </c>
      <c r="AP747" s="4">
        <v>24</v>
      </c>
      <c r="AQ747" s="4">
        <v>28</v>
      </c>
      <c r="AR747" s="3" t="s">
        <v>64</v>
      </c>
      <c r="AS747" s="3" t="s">
        <v>64</v>
      </c>
      <c r="AT747" s="3" t="s">
        <v>64</v>
      </c>
      <c r="AV747" s="6" t="str">
        <f>HYPERLINK("http://mcgill.on.worldcat.org/oclc/30624179","Catalog Record")</f>
        <v>Catalog Record</v>
      </c>
      <c r="AW747" s="6" t="str">
        <f>HYPERLINK("http://www.worldcat.org/oclc/30624179","WorldCat Record")</f>
        <v>WorldCat Record</v>
      </c>
      <c r="AX747" s="3" t="s">
        <v>7408</v>
      </c>
      <c r="AY747" s="3" t="s">
        <v>7409</v>
      </c>
      <c r="AZ747" s="3" t="s">
        <v>7410</v>
      </c>
      <c r="BA747" s="3" t="s">
        <v>7410</v>
      </c>
      <c r="BB747" s="3" t="s">
        <v>7411</v>
      </c>
      <c r="BC747" s="3" t="s">
        <v>77</v>
      </c>
      <c r="BD747" s="3" t="s">
        <v>78</v>
      </c>
      <c r="BE747" s="3" t="s">
        <v>7412</v>
      </c>
      <c r="BF747" s="3" t="s">
        <v>7411</v>
      </c>
      <c r="BG747" s="3" t="s">
        <v>7413</v>
      </c>
      <c r="BH747">
        <f t="shared" si="21"/>
        <v>0</v>
      </c>
    </row>
    <row r="748" spans="1:60" ht="58" x14ac:dyDescent="0.35">
      <c r="A748" s="2" t="s">
        <v>59</v>
      </c>
      <c r="B748" s="2" t="s">
        <v>60</v>
      </c>
      <c r="C748" s="2" t="s">
        <v>7414</v>
      </c>
      <c r="D748" s="2" t="s">
        <v>7415</v>
      </c>
      <c r="E748" s="2" t="s">
        <v>7416</v>
      </c>
      <c r="G748" s="3" t="s">
        <v>64</v>
      </c>
      <c r="I748" s="3" t="s">
        <v>64</v>
      </c>
      <c r="J748" s="3" t="s">
        <v>64</v>
      </c>
      <c r="K748" s="3" t="s">
        <v>65</v>
      </c>
      <c r="L748" s="2" t="s">
        <v>7417</v>
      </c>
      <c r="M748" s="2" t="s">
        <v>7418</v>
      </c>
      <c r="N748" s="3" t="s">
        <v>86</v>
      </c>
      <c r="P748" s="3" t="s">
        <v>102</v>
      </c>
      <c r="R748" s="3" t="s">
        <v>70</v>
      </c>
      <c r="S748" s="4">
        <v>2</v>
      </c>
      <c r="T748" s="4">
        <v>2</v>
      </c>
      <c r="U748" s="5" t="s">
        <v>7419</v>
      </c>
      <c r="V748" s="5" t="s">
        <v>7419</v>
      </c>
      <c r="W748" s="5" t="s">
        <v>72</v>
      </c>
      <c r="X748" s="5" t="s">
        <v>72</v>
      </c>
      <c r="Y748" s="4">
        <v>65</v>
      </c>
      <c r="Z748" s="4">
        <v>6</v>
      </c>
      <c r="AA748" s="4">
        <v>7</v>
      </c>
      <c r="AB748" s="4">
        <v>2</v>
      </c>
      <c r="AC748" s="4">
        <v>3</v>
      </c>
      <c r="AD748" s="4">
        <v>6</v>
      </c>
      <c r="AE748" s="4">
        <v>7</v>
      </c>
      <c r="AF748" s="4">
        <v>1</v>
      </c>
      <c r="AG748" s="4">
        <v>2</v>
      </c>
      <c r="AH748" s="4">
        <v>4</v>
      </c>
      <c r="AI748" s="4">
        <v>5</v>
      </c>
      <c r="AJ748" s="4">
        <v>4</v>
      </c>
      <c r="AK748" s="4">
        <v>5</v>
      </c>
      <c r="AL748" s="4">
        <v>1</v>
      </c>
      <c r="AM748" s="4">
        <v>1</v>
      </c>
      <c r="AN748" s="4">
        <v>0</v>
      </c>
      <c r="AO748" s="4">
        <v>0</v>
      </c>
      <c r="AP748" s="4">
        <v>4</v>
      </c>
      <c r="AQ748" s="4">
        <v>5</v>
      </c>
      <c r="AR748" s="3" t="s">
        <v>64</v>
      </c>
      <c r="AS748" s="3" t="s">
        <v>64</v>
      </c>
      <c r="AT748" s="3" t="s">
        <v>64</v>
      </c>
      <c r="AV748" s="6" t="str">
        <f>HYPERLINK("http://mcgill.on.worldcat.org/oclc/800642252","Catalog Record")</f>
        <v>Catalog Record</v>
      </c>
      <c r="AW748" s="6" t="str">
        <f>HYPERLINK("http://www.worldcat.org/oclc/800642252","WorldCat Record")</f>
        <v>WorldCat Record</v>
      </c>
      <c r="AX748" s="3" t="s">
        <v>7420</v>
      </c>
      <c r="AY748" s="3" t="s">
        <v>7421</v>
      </c>
      <c r="AZ748" s="3" t="s">
        <v>7422</v>
      </c>
      <c r="BA748" s="3" t="s">
        <v>7422</v>
      </c>
      <c r="BB748" s="3" t="s">
        <v>7423</v>
      </c>
      <c r="BC748" s="3" t="s">
        <v>77</v>
      </c>
      <c r="BD748" s="3" t="s">
        <v>78</v>
      </c>
      <c r="BE748" s="3" t="s">
        <v>7424</v>
      </c>
      <c r="BF748" s="3" t="s">
        <v>7423</v>
      </c>
      <c r="BG748" s="3" t="s">
        <v>7425</v>
      </c>
      <c r="BH748">
        <f t="shared" si="21"/>
        <v>0</v>
      </c>
    </row>
    <row r="749" spans="1:60" ht="58" x14ac:dyDescent="0.35">
      <c r="A749" s="2" t="s">
        <v>1040</v>
      </c>
      <c r="B749" s="2" t="s">
        <v>60</v>
      </c>
      <c r="C749" s="2" t="s">
        <v>7426</v>
      </c>
      <c r="D749" s="2" t="s">
        <v>7427</v>
      </c>
      <c r="E749" s="2" t="s">
        <v>7428</v>
      </c>
      <c r="G749" s="3" t="s">
        <v>64</v>
      </c>
      <c r="I749" s="3" t="s">
        <v>64</v>
      </c>
      <c r="J749" s="3" t="s">
        <v>64</v>
      </c>
      <c r="K749" s="3" t="s">
        <v>65</v>
      </c>
      <c r="L749" s="2" t="s">
        <v>6957</v>
      </c>
      <c r="M749" s="2" t="s">
        <v>7429</v>
      </c>
      <c r="N749" s="3" t="s">
        <v>378</v>
      </c>
      <c r="P749" s="3" t="s">
        <v>102</v>
      </c>
      <c r="Q749" s="2" t="s">
        <v>7430</v>
      </c>
      <c r="R749" s="3" t="s">
        <v>70</v>
      </c>
      <c r="S749" s="4">
        <v>17</v>
      </c>
      <c r="T749" s="4">
        <v>17</v>
      </c>
      <c r="U749" s="5" t="s">
        <v>3034</v>
      </c>
      <c r="V749" s="5" t="s">
        <v>3034</v>
      </c>
      <c r="W749" s="5" t="s">
        <v>72</v>
      </c>
      <c r="X749" s="5" t="s">
        <v>72</v>
      </c>
      <c r="Y749" s="4">
        <v>432</v>
      </c>
      <c r="Z749" s="4">
        <v>22</v>
      </c>
      <c r="AA749" s="4">
        <v>32</v>
      </c>
      <c r="AB749" s="4">
        <v>1</v>
      </c>
      <c r="AC749" s="4">
        <v>6</v>
      </c>
      <c r="AD749" s="4">
        <v>91</v>
      </c>
      <c r="AE749" s="4">
        <v>100</v>
      </c>
      <c r="AF749" s="4">
        <v>0</v>
      </c>
      <c r="AG749" s="4">
        <v>5</v>
      </c>
      <c r="AH749" s="4">
        <v>76</v>
      </c>
      <c r="AI749" s="4">
        <v>80</v>
      </c>
      <c r="AJ749" s="4">
        <v>14</v>
      </c>
      <c r="AK749" s="4">
        <v>19</v>
      </c>
      <c r="AL749" s="4">
        <v>45</v>
      </c>
      <c r="AM749" s="4">
        <v>47</v>
      </c>
      <c r="AN749" s="4">
        <v>0</v>
      </c>
      <c r="AO749" s="4">
        <v>0</v>
      </c>
      <c r="AP749" s="4">
        <v>17</v>
      </c>
      <c r="AQ749" s="4">
        <v>23</v>
      </c>
      <c r="AR749" s="3" t="s">
        <v>64</v>
      </c>
      <c r="AS749" s="3" t="s">
        <v>64</v>
      </c>
      <c r="AT749" s="3" t="s">
        <v>128</v>
      </c>
      <c r="AU749" s="6" t="str">
        <f>HYPERLINK("http://catalog.hathitrust.org/Record/000447220","HathiTrust Record")</f>
        <v>HathiTrust Record</v>
      </c>
      <c r="AV749" s="6" t="str">
        <f>HYPERLINK("http://mcgill.on.worldcat.org/oclc/12973675","Catalog Record")</f>
        <v>Catalog Record</v>
      </c>
      <c r="AW749" s="6" t="str">
        <f>HYPERLINK("http://www.worldcat.org/oclc/12973675","WorldCat Record")</f>
        <v>WorldCat Record</v>
      </c>
      <c r="AX749" s="3" t="s">
        <v>7431</v>
      </c>
      <c r="AY749" s="3" t="s">
        <v>7432</v>
      </c>
      <c r="AZ749" s="3" t="s">
        <v>7433</v>
      </c>
      <c r="BA749" s="3" t="s">
        <v>7433</v>
      </c>
      <c r="BB749" s="3" t="s">
        <v>7434</v>
      </c>
      <c r="BC749" s="3" t="s">
        <v>77</v>
      </c>
      <c r="BD749" s="3" t="s">
        <v>78</v>
      </c>
      <c r="BE749" s="3" t="s">
        <v>7435</v>
      </c>
      <c r="BF749" s="3" t="s">
        <v>7434</v>
      </c>
      <c r="BG749" s="3" t="s">
        <v>7436</v>
      </c>
      <c r="BH749">
        <f t="shared" si="21"/>
        <v>0</v>
      </c>
    </row>
    <row r="750" spans="1:60" ht="58" x14ac:dyDescent="0.35">
      <c r="A750" s="2" t="s">
        <v>59</v>
      </c>
      <c r="B750" s="2" t="s">
        <v>60</v>
      </c>
      <c r="C750" s="2" t="s">
        <v>7437</v>
      </c>
      <c r="D750" s="2" t="s">
        <v>7438</v>
      </c>
      <c r="E750" s="2" t="s">
        <v>7439</v>
      </c>
      <c r="G750" s="3" t="s">
        <v>64</v>
      </c>
      <c r="I750" s="3" t="s">
        <v>128</v>
      </c>
      <c r="J750" s="3" t="s">
        <v>64</v>
      </c>
      <c r="K750" s="3" t="s">
        <v>65</v>
      </c>
      <c r="L750" s="2" t="s">
        <v>7440</v>
      </c>
      <c r="M750" s="2" t="s">
        <v>7441</v>
      </c>
      <c r="N750" s="3" t="s">
        <v>131</v>
      </c>
      <c r="P750" s="3" t="s">
        <v>102</v>
      </c>
      <c r="R750" s="3" t="s">
        <v>70</v>
      </c>
      <c r="S750" s="4">
        <v>4</v>
      </c>
      <c r="T750" s="4">
        <v>4</v>
      </c>
      <c r="U750" s="5" t="s">
        <v>6902</v>
      </c>
      <c r="V750" s="5" t="s">
        <v>6902</v>
      </c>
      <c r="W750" s="5" t="s">
        <v>72</v>
      </c>
      <c r="X750" s="5" t="s">
        <v>72</v>
      </c>
      <c r="Y750" s="4">
        <v>411</v>
      </c>
      <c r="Z750" s="4">
        <v>20</v>
      </c>
      <c r="AA750" s="4">
        <v>34</v>
      </c>
      <c r="AB750" s="4">
        <v>2</v>
      </c>
      <c r="AC750" s="4">
        <v>3</v>
      </c>
      <c r="AD750" s="4">
        <v>85</v>
      </c>
      <c r="AE750" s="4">
        <v>111</v>
      </c>
      <c r="AF750" s="4">
        <v>0</v>
      </c>
      <c r="AG750" s="4">
        <v>0</v>
      </c>
      <c r="AH750" s="4">
        <v>76</v>
      </c>
      <c r="AI750" s="4">
        <v>95</v>
      </c>
      <c r="AJ750" s="4">
        <v>10</v>
      </c>
      <c r="AK750" s="4">
        <v>16</v>
      </c>
      <c r="AL750" s="4">
        <v>47</v>
      </c>
      <c r="AM750" s="4">
        <v>55</v>
      </c>
      <c r="AN750" s="4">
        <v>0</v>
      </c>
      <c r="AO750" s="4">
        <v>0</v>
      </c>
      <c r="AP750" s="4">
        <v>11</v>
      </c>
      <c r="AQ750" s="4">
        <v>21</v>
      </c>
      <c r="AR750" s="3" t="s">
        <v>64</v>
      </c>
      <c r="AS750" s="3" t="s">
        <v>64</v>
      </c>
      <c r="AT750" s="3" t="s">
        <v>128</v>
      </c>
      <c r="AU750" s="6" t="str">
        <f>HYPERLINK("http://catalog.hathitrust.org/Record/001175453","HathiTrust Record")</f>
        <v>HathiTrust Record</v>
      </c>
      <c r="AV750" s="6" t="str">
        <f>HYPERLINK("http://mcgill.on.worldcat.org/oclc/322709","Catalog Record")</f>
        <v>Catalog Record</v>
      </c>
      <c r="AW750" s="6" t="str">
        <f>HYPERLINK("http://www.worldcat.org/oclc/322709","WorldCat Record")</f>
        <v>WorldCat Record</v>
      </c>
      <c r="AX750" s="3" t="s">
        <v>7442</v>
      </c>
      <c r="AY750" s="3" t="s">
        <v>7443</v>
      </c>
      <c r="AZ750" s="3" t="s">
        <v>7444</v>
      </c>
      <c r="BA750" s="3" t="s">
        <v>7444</v>
      </c>
      <c r="BB750" s="3" t="s">
        <v>7445</v>
      </c>
      <c r="BC750" s="3" t="s">
        <v>77</v>
      </c>
      <c r="BD750" s="3" t="s">
        <v>78</v>
      </c>
      <c r="BF750" s="3" t="s">
        <v>7445</v>
      </c>
      <c r="BG750" s="3" t="s">
        <v>7446</v>
      </c>
      <c r="BH750">
        <f t="shared" si="21"/>
        <v>0</v>
      </c>
    </row>
    <row r="751" spans="1:60" ht="101.5" x14ac:dyDescent="0.35">
      <c r="A751" s="2" t="s">
        <v>59</v>
      </c>
      <c r="B751" s="2" t="s">
        <v>7447</v>
      </c>
      <c r="C751" s="2" t="s">
        <v>7448</v>
      </c>
      <c r="D751" s="2" t="s">
        <v>7449</v>
      </c>
      <c r="E751" s="2" t="s">
        <v>7450</v>
      </c>
      <c r="G751" s="3" t="s">
        <v>64</v>
      </c>
      <c r="I751" s="3" t="s">
        <v>128</v>
      </c>
      <c r="J751" s="3" t="s">
        <v>64</v>
      </c>
      <c r="K751" s="3" t="s">
        <v>65</v>
      </c>
      <c r="L751" s="2" t="s">
        <v>7451</v>
      </c>
      <c r="M751" s="2" t="s">
        <v>7452</v>
      </c>
      <c r="N751" s="3" t="s">
        <v>1263</v>
      </c>
      <c r="O751" s="2" t="s">
        <v>7453</v>
      </c>
      <c r="P751" s="3" t="s">
        <v>102</v>
      </c>
      <c r="R751" s="3" t="s">
        <v>70</v>
      </c>
      <c r="S751" s="4">
        <v>0</v>
      </c>
      <c r="T751" s="4">
        <v>41</v>
      </c>
      <c r="V751" s="5" t="s">
        <v>7454</v>
      </c>
      <c r="W751" s="5" t="s">
        <v>72</v>
      </c>
      <c r="X751" s="5" t="s">
        <v>72</v>
      </c>
      <c r="Y751" s="4">
        <v>2442</v>
      </c>
      <c r="Z751" s="4">
        <v>102</v>
      </c>
      <c r="AA751" s="4">
        <v>110</v>
      </c>
      <c r="AB751" s="4">
        <v>5</v>
      </c>
      <c r="AC751" s="4">
        <v>13</v>
      </c>
      <c r="AD751" s="4">
        <v>133</v>
      </c>
      <c r="AE751" s="4">
        <v>138</v>
      </c>
      <c r="AF751" s="4">
        <v>0</v>
      </c>
      <c r="AG751" s="4">
        <v>5</v>
      </c>
      <c r="AH751" s="4">
        <v>107</v>
      </c>
      <c r="AI751" s="4">
        <v>108</v>
      </c>
      <c r="AJ751" s="4">
        <v>23</v>
      </c>
      <c r="AK751" s="4">
        <v>26</v>
      </c>
      <c r="AL751" s="4">
        <v>60</v>
      </c>
      <c r="AM751" s="4">
        <v>60</v>
      </c>
      <c r="AN751" s="4">
        <v>0</v>
      </c>
      <c r="AO751" s="4">
        <v>0</v>
      </c>
      <c r="AP751" s="4">
        <v>29</v>
      </c>
      <c r="AQ751" s="4">
        <v>33</v>
      </c>
      <c r="AR751" s="3" t="s">
        <v>64</v>
      </c>
      <c r="AS751" s="3" t="s">
        <v>64</v>
      </c>
      <c r="AT751" s="3" t="s">
        <v>64</v>
      </c>
      <c r="AV751" s="6" t="str">
        <f>HYPERLINK("http://mcgill.on.worldcat.org/oclc/26929668","Catalog Record")</f>
        <v>Catalog Record</v>
      </c>
      <c r="AW751" s="6" t="str">
        <f>HYPERLINK("http://www.worldcat.org/oclc/26929668","WorldCat Record")</f>
        <v>WorldCat Record</v>
      </c>
      <c r="AX751" s="3" t="s">
        <v>7455</v>
      </c>
      <c r="AY751" s="3" t="s">
        <v>7456</v>
      </c>
      <c r="AZ751" s="3" t="s">
        <v>7457</v>
      </c>
      <c r="BA751" s="3" t="s">
        <v>7457</v>
      </c>
      <c r="BB751" s="3" t="s">
        <v>7458</v>
      </c>
      <c r="BC751" s="3" t="s">
        <v>77</v>
      </c>
      <c r="BD751" s="3" t="s">
        <v>78</v>
      </c>
      <c r="BE751" s="3" t="s">
        <v>7459</v>
      </c>
      <c r="BF751" s="3" t="s">
        <v>7458</v>
      </c>
      <c r="BG751" s="3" t="s">
        <v>7460</v>
      </c>
      <c r="BH751">
        <f t="shared" si="21"/>
        <v>0</v>
      </c>
    </row>
    <row r="752" spans="1:60" ht="72.5" x14ac:dyDescent="0.35">
      <c r="A752" s="2" t="s">
        <v>1932</v>
      </c>
      <c r="B752" s="2" t="s">
        <v>7461</v>
      </c>
      <c r="C752" s="2" t="s">
        <v>7462</v>
      </c>
      <c r="D752" s="2" t="s">
        <v>7463</v>
      </c>
      <c r="E752" s="2" t="s">
        <v>7464</v>
      </c>
      <c r="G752" s="3" t="s">
        <v>64</v>
      </c>
      <c r="I752" s="3" t="s">
        <v>64</v>
      </c>
      <c r="J752" s="3" t="s">
        <v>64</v>
      </c>
      <c r="K752" s="3" t="s">
        <v>65</v>
      </c>
      <c r="L752" s="2" t="s">
        <v>7465</v>
      </c>
      <c r="N752" s="3" t="s">
        <v>5986</v>
      </c>
      <c r="O752" s="2" t="s">
        <v>7466</v>
      </c>
      <c r="P752" s="3" t="s">
        <v>102</v>
      </c>
      <c r="R752" s="3" t="s">
        <v>70</v>
      </c>
      <c r="S752" s="4">
        <v>3</v>
      </c>
      <c r="T752" s="4">
        <v>3</v>
      </c>
      <c r="U752" s="5" t="s">
        <v>1033</v>
      </c>
      <c r="V752" s="5" t="s">
        <v>1033</v>
      </c>
      <c r="W752" s="5" t="s">
        <v>72</v>
      </c>
      <c r="X752" s="5" t="s">
        <v>72</v>
      </c>
      <c r="Y752" s="4">
        <v>24</v>
      </c>
      <c r="Z752" s="4">
        <v>5</v>
      </c>
      <c r="AA752" s="4">
        <v>11</v>
      </c>
      <c r="AB752" s="4">
        <v>2</v>
      </c>
      <c r="AC752" s="4">
        <v>3</v>
      </c>
      <c r="AD752" s="4">
        <v>15</v>
      </c>
      <c r="AE752" s="4">
        <v>41</v>
      </c>
      <c r="AF752" s="4">
        <v>0</v>
      </c>
      <c r="AG752" s="4">
        <v>0</v>
      </c>
      <c r="AH752" s="4">
        <v>13</v>
      </c>
      <c r="AI752" s="4">
        <v>39</v>
      </c>
      <c r="AJ752" s="4">
        <v>2</v>
      </c>
      <c r="AK752" s="4">
        <v>6</v>
      </c>
      <c r="AL752" s="4">
        <v>10</v>
      </c>
      <c r="AM752" s="4">
        <v>27</v>
      </c>
      <c r="AN752" s="4">
        <v>0</v>
      </c>
      <c r="AO752" s="4">
        <v>0</v>
      </c>
      <c r="AP752" s="4">
        <v>2</v>
      </c>
      <c r="AQ752" s="4">
        <v>6</v>
      </c>
      <c r="AR752" s="3" t="s">
        <v>64</v>
      </c>
      <c r="AS752" s="3" t="s">
        <v>64</v>
      </c>
      <c r="AT752" s="3" t="s">
        <v>128</v>
      </c>
      <c r="AU752" s="6" t="str">
        <f>HYPERLINK("http://catalog.hathitrust.org/Record/002077611","HathiTrust Record")</f>
        <v>HathiTrust Record</v>
      </c>
      <c r="AV752" s="6" t="str">
        <f>HYPERLINK("http://mcgill.on.worldcat.org/oclc/14491574","Catalog Record")</f>
        <v>Catalog Record</v>
      </c>
      <c r="AW752" s="6" t="str">
        <f>HYPERLINK("http://www.worldcat.org/oclc/14491574","WorldCat Record")</f>
        <v>WorldCat Record</v>
      </c>
      <c r="AX752" s="3" t="s">
        <v>7467</v>
      </c>
      <c r="AY752" s="3" t="s">
        <v>7468</v>
      </c>
      <c r="AZ752" s="3" t="s">
        <v>7469</v>
      </c>
      <c r="BA752" s="3" t="s">
        <v>7469</v>
      </c>
      <c r="BB752" s="3" t="s">
        <v>7470</v>
      </c>
      <c r="BC752" s="3" t="s">
        <v>77</v>
      </c>
      <c r="BD752" s="3" t="s">
        <v>78</v>
      </c>
      <c r="BF752" s="3" t="s">
        <v>7470</v>
      </c>
      <c r="BG752" s="3" t="s">
        <v>7471</v>
      </c>
      <c r="BH752">
        <f t="shared" si="21"/>
        <v>0</v>
      </c>
    </row>
    <row r="753" spans="1:60" ht="58" x14ac:dyDescent="0.35">
      <c r="A753" s="2" t="s">
        <v>1040</v>
      </c>
      <c r="B753" s="2" t="s">
        <v>60</v>
      </c>
      <c r="C753" s="2" t="s">
        <v>7472</v>
      </c>
      <c r="D753" s="2" t="s">
        <v>7473</v>
      </c>
      <c r="E753" s="2" t="s">
        <v>7474</v>
      </c>
      <c r="G753" s="3" t="s">
        <v>64</v>
      </c>
      <c r="I753" s="3" t="s">
        <v>128</v>
      </c>
      <c r="J753" s="3" t="s">
        <v>64</v>
      </c>
      <c r="K753" s="3" t="s">
        <v>65</v>
      </c>
      <c r="M753" s="2" t="s">
        <v>7475</v>
      </c>
      <c r="N753" s="3" t="s">
        <v>101</v>
      </c>
      <c r="O753" s="2" t="s">
        <v>7476</v>
      </c>
      <c r="P753" s="3" t="s">
        <v>102</v>
      </c>
      <c r="R753" s="3" t="s">
        <v>70</v>
      </c>
      <c r="S753" s="4">
        <v>0</v>
      </c>
      <c r="T753" s="4">
        <v>230</v>
      </c>
      <c r="V753" s="5" t="s">
        <v>538</v>
      </c>
      <c r="W753" s="5" t="s">
        <v>72</v>
      </c>
      <c r="X753" s="5" t="s">
        <v>72</v>
      </c>
      <c r="Y753" s="4">
        <v>2798</v>
      </c>
      <c r="Z753" s="4">
        <v>109</v>
      </c>
      <c r="AA753" s="4">
        <v>109</v>
      </c>
      <c r="AB753" s="4">
        <v>5</v>
      </c>
      <c r="AC753" s="4">
        <v>5</v>
      </c>
      <c r="AD753" s="4">
        <v>145</v>
      </c>
      <c r="AE753" s="4">
        <v>145</v>
      </c>
      <c r="AF753" s="4">
        <v>1</v>
      </c>
      <c r="AG753" s="4">
        <v>1</v>
      </c>
      <c r="AH753" s="4">
        <v>108</v>
      </c>
      <c r="AI753" s="4">
        <v>108</v>
      </c>
      <c r="AJ753" s="4">
        <v>18</v>
      </c>
      <c r="AK753" s="4">
        <v>18</v>
      </c>
      <c r="AL753" s="4">
        <v>62</v>
      </c>
      <c r="AM753" s="4">
        <v>62</v>
      </c>
      <c r="AN753" s="4">
        <v>0</v>
      </c>
      <c r="AO753" s="4">
        <v>0</v>
      </c>
      <c r="AP753" s="4">
        <v>38</v>
      </c>
      <c r="AQ753" s="4">
        <v>38</v>
      </c>
      <c r="AR753" s="3" t="s">
        <v>64</v>
      </c>
      <c r="AS753" s="3" t="s">
        <v>64</v>
      </c>
      <c r="AT753" s="3" t="s">
        <v>128</v>
      </c>
      <c r="AU753" s="6" t="str">
        <f>HYPERLINK("http://catalog.hathitrust.org/Record/004711525","HathiTrust Record")</f>
        <v>HathiTrust Record</v>
      </c>
      <c r="AV753" s="6" t="str">
        <f>HYPERLINK("http://mcgill.on.worldcat.org/oclc/51553085","Catalog Record")</f>
        <v>Catalog Record</v>
      </c>
      <c r="AW753" s="6" t="str">
        <f>HYPERLINK("http://www.worldcat.org/oclc/51553085","WorldCat Record")</f>
        <v>WorldCat Record</v>
      </c>
      <c r="AX753" s="3" t="s">
        <v>7477</v>
      </c>
      <c r="AY753" s="3" t="s">
        <v>7478</v>
      </c>
      <c r="AZ753" s="3" t="s">
        <v>7479</v>
      </c>
      <c r="BA753" s="3" t="s">
        <v>7479</v>
      </c>
      <c r="BB753" s="3" t="s">
        <v>7480</v>
      </c>
      <c r="BC753" s="3" t="s">
        <v>77</v>
      </c>
      <c r="BD753" s="3" t="s">
        <v>78</v>
      </c>
      <c r="BE753" s="3" t="s">
        <v>7481</v>
      </c>
      <c r="BF753" s="3" t="s">
        <v>7480</v>
      </c>
      <c r="BG753" s="3" t="s">
        <v>7482</v>
      </c>
      <c r="BH753">
        <f t="shared" si="21"/>
        <v>0</v>
      </c>
    </row>
    <row r="754" spans="1:60" ht="58" x14ac:dyDescent="0.35">
      <c r="A754" s="2" t="s">
        <v>59</v>
      </c>
      <c r="B754" s="2" t="s">
        <v>60</v>
      </c>
      <c r="C754" s="2" t="s">
        <v>7483</v>
      </c>
      <c r="D754" s="2" t="s">
        <v>7484</v>
      </c>
      <c r="E754" s="2" t="s">
        <v>7485</v>
      </c>
      <c r="G754" s="3" t="s">
        <v>64</v>
      </c>
      <c r="I754" s="3" t="s">
        <v>128</v>
      </c>
      <c r="J754" s="3" t="s">
        <v>64</v>
      </c>
      <c r="K754" s="3" t="s">
        <v>65</v>
      </c>
      <c r="L754" s="2" t="s">
        <v>7451</v>
      </c>
      <c r="M754" s="2" t="s">
        <v>7486</v>
      </c>
      <c r="N754" s="3" t="s">
        <v>1047</v>
      </c>
      <c r="O754" s="2" t="s">
        <v>7487</v>
      </c>
      <c r="P754" s="3" t="s">
        <v>102</v>
      </c>
      <c r="R754" s="3" t="s">
        <v>70</v>
      </c>
      <c r="S754" s="4">
        <v>2</v>
      </c>
      <c r="T754" s="4">
        <v>44</v>
      </c>
      <c r="U754" s="5" t="s">
        <v>7488</v>
      </c>
      <c r="V754" s="5" t="s">
        <v>7488</v>
      </c>
      <c r="W754" s="5" t="s">
        <v>72</v>
      </c>
      <c r="X754" s="5" t="s">
        <v>72</v>
      </c>
      <c r="Y754" s="4">
        <v>1824</v>
      </c>
      <c r="Z754" s="4">
        <v>55</v>
      </c>
      <c r="AA754" s="4">
        <v>63</v>
      </c>
      <c r="AB754" s="4">
        <v>2</v>
      </c>
      <c r="AC754" s="4">
        <v>5</v>
      </c>
      <c r="AD754" s="4">
        <v>123</v>
      </c>
      <c r="AE754" s="4">
        <v>131</v>
      </c>
      <c r="AF754" s="4">
        <v>0</v>
      </c>
      <c r="AG754" s="4">
        <v>3</v>
      </c>
      <c r="AH754" s="4">
        <v>100</v>
      </c>
      <c r="AI754" s="4">
        <v>102</v>
      </c>
      <c r="AJ754" s="4">
        <v>17</v>
      </c>
      <c r="AK754" s="4">
        <v>21</v>
      </c>
      <c r="AL754" s="4">
        <v>58</v>
      </c>
      <c r="AM754" s="4">
        <v>59</v>
      </c>
      <c r="AN754" s="4">
        <v>0</v>
      </c>
      <c r="AO754" s="4">
        <v>0</v>
      </c>
      <c r="AP754" s="4">
        <v>24</v>
      </c>
      <c r="AQ754" s="4">
        <v>30</v>
      </c>
      <c r="AR754" s="3" t="s">
        <v>64</v>
      </c>
      <c r="AS754" s="3" t="s">
        <v>64</v>
      </c>
      <c r="AT754" s="3" t="s">
        <v>128</v>
      </c>
      <c r="AU754" s="6" t="str">
        <f>HYPERLINK("http://catalog.hathitrust.org/Record/005762556","HathiTrust Record")</f>
        <v>HathiTrust Record</v>
      </c>
      <c r="AV754" s="6" t="str">
        <f>HYPERLINK("http://mcgill.on.worldcat.org/oclc/8283180","Catalog Record")</f>
        <v>Catalog Record</v>
      </c>
      <c r="AW754" s="6" t="str">
        <f>HYPERLINK("http://www.worldcat.org/oclc/8283180","WorldCat Record")</f>
        <v>WorldCat Record</v>
      </c>
      <c r="AX754" s="3" t="s">
        <v>7489</v>
      </c>
      <c r="AY754" s="3" t="s">
        <v>7490</v>
      </c>
      <c r="AZ754" s="3" t="s">
        <v>7491</v>
      </c>
      <c r="BA754" s="3" t="s">
        <v>7491</v>
      </c>
      <c r="BB754" s="3" t="s">
        <v>7492</v>
      </c>
      <c r="BC754" s="3" t="s">
        <v>77</v>
      </c>
      <c r="BD754" s="3" t="s">
        <v>78</v>
      </c>
      <c r="BE754" s="3" t="s">
        <v>7493</v>
      </c>
      <c r="BF754" s="3" t="s">
        <v>7492</v>
      </c>
      <c r="BG754" s="3" t="s">
        <v>7494</v>
      </c>
      <c r="BH754">
        <f t="shared" si="21"/>
        <v>0</v>
      </c>
    </row>
    <row r="755" spans="1:60" ht="58" x14ac:dyDescent="0.35">
      <c r="A755" s="2" t="s">
        <v>59</v>
      </c>
      <c r="B755" s="2" t="s">
        <v>60</v>
      </c>
      <c r="C755" s="2" t="s">
        <v>7483</v>
      </c>
      <c r="D755" s="2" t="s">
        <v>7484</v>
      </c>
      <c r="E755" s="2" t="s">
        <v>7485</v>
      </c>
      <c r="G755" s="3" t="s">
        <v>64</v>
      </c>
      <c r="I755" s="3" t="s">
        <v>128</v>
      </c>
      <c r="J755" s="3" t="s">
        <v>64</v>
      </c>
      <c r="K755" s="3" t="s">
        <v>65</v>
      </c>
      <c r="L755" s="2" t="s">
        <v>7451</v>
      </c>
      <c r="M755" s="2" t="s">
        <v>7486</v>
      </c>
      <c r="N755" s="3" t="s">
        <v>1047</v>
      </c>
      <c r="O755" s="2" t="s">
        <v>7487</v>
      </c>
      <c r="P755" s="3" t="s">
        <v>102</v>
      </c>
      <c r="R755" s="3" t="s">
        <v>70</v>
      </c>
      <c r="S755" s="4">
        <v>34</v>
      </c>
      <c r="T755" s="4">
        <v>44</v>
      </c>
      <c r="U755" s="5" t="s">
        <v>6210</v>
      </c>
      <c r="V755" s="5" t="s">
        <v>7488</v>
      </c>
      <c r="W755" s="5" t="s">
        <v>72</v>
      </c>
      <c r="X755" s="5" t="s">
        <v>72</v>
      </c>
      <c r="Y755" s="4">
        <v>1824</v>
      </c>
      <c r="Z755" s="4">
        <v>55</v>
      </c>
      <c r="AA755" s="4">
        <v>63</v>
      </c>
      <c r="AB755" s="4">
        <v>2</v>
      </c>
      <c r="AC755" s="4">
        <v>5</v>
      </c>
      <c r="AD755" s="4">
        <v>123</v>
      </c>
      <c r="AE755" s="4">
        <v>131</v>
      </c>
      <c r="AF755" s="4">
        <v>0</v>
      </c>
      <c r="AG755" s="4">
        <v>3</v>
      </c>
      <c r="AH755" s="4">
        <v>100</v>
      </c>
      <c r="AI755" s="4">
        <v>102</v>
      </c>
      <c r="AJ755" s="4">
        <v>17</v>
      </c>
      <c r="AK755" s="4">
        <v>21</v>
      </c>
      <c r="AL755" s="4">
        <v>58</v>
      </c>
      <c r="AM755" s="4">
        <v>59</v>
      </c>
      <c r="AN755" s="4">
        <v>0</v>
      </c>
      <c r="AO755" s="4">
        <v>0</v>
      </c>
      <c r="AP755" s="4">
        <v>24</v>
      </c>
      <c r="AQ755" s="4">
        <v>30</v>
      </c>
      <c r="AR755" s="3" t="s">
        <v>64</v>
      </c>
      <c r="AS755" s="3" t="s">
        <v>64</v>
      </c>
      <c r="AT755" s="3" t="s">
        <v>128</v>
      </c>
      <c r="AU755" s="6" t="str">
        <f>HYPERLINK("http://catalog.hathitrust.org/Record/005762556","HathiTrust Record")</f>
        <v>HathiTrust Record</v>
      </c>
      <c r="AV755" s="6" t="str">
        <f>HYPERLINK("http://mcgill.on.worldcat.org/oclc/8283180","Catalog Record")</f>
        <v>Catalog Record</v>
      </c>
      <c r="AW755" s="6" t="str">
        <f>HYPERLINK("http://www.worldcat.org/oclc/8283180","WorldCat Record")</f>
        <v>WorldCat Record</v>
      </c>
      <c r="AX755" s="3" t="s">
        <v>7489</v>
      </c>
      <c r="AY755" s="3" t="s">
        <v>7490</v>
      </c>
      <c r="AZ755" s="3" t="s">
        <v>7491</v>
      </c>
      <c r="BA755" s="3" t="s">
        <v>7491</v>
      </c>
      <c r="BB755" s="3" t="s">
        <v>7495</v>
      </c>
      <c r="BC755" s="3" t="s">
        <v>77</v>
      </c>
      <c r="BD755" s="3" t="s">
        <v>78</v>
      </c>
      <c r="BE755" s="3" t="s">
        <v>7493</v>
      </c>
      <c r="BF755" s="3" t="s">
        <v>7495</v>
      </c>
      <c r="BG755" s="3" t="s">
        <v>7496</v>
      </c>
      <c r="BH755">
        <f t="shared" si="21"/>
        <v>0</v>
      </c>
    </row>
    <row r="756" spans="1:60" ht="58" x14ac:dyDescent="0.35">
      <c r="A756" s="2" t="s">
        <v>1040</v>
      </c>
      <c r="B756" s="2" t="s">
        <v>60</v>
      </c>
      <c r="C756" s="2" t="s">
        <v>7483</v>
      </c>
      <c r="D756" s="2" t="s">
        <v>7484</v>
      </c>
      <c r="E756" s="2" t="s">
        <v>7485</v>
      </c>
      <c r="G756" s="3" t="s">
        <v>64</v>
      </c>
      <c r="I756" s="3" t="s">
        <v>128</v>
      </c>
      <c r="J756" s="3" t="s">
        <v>64</v>
      </c>
      <c r="K756" s="3" t="s">
        <v>65</v>
      </c>
      <c r="L756" s="2" t="s">
        <v>7451</v>
      </c>
      <c r="M756" s="2" t="s">
        <v>7486</v>
      </c>
      <c r="N756" s="3" t="s">
        <v>1047</v>
      </c>
      <c r="O756" s="2" t="s">
        <v>7487</v>
      </c>
      <c r="P756" s="3" t="s">
        <v>102</v>
      </c>
      <c r="R756" s="3" t="s">
        <v>70</v>
      </c>
      <c r="S756" s="4">
        <v>3</v>
      </c>
      <c r="T756" s="4">
        <v>44</v>
      </c>
      <c r="U756" s="5" t="s">
        <v>7497</v>
      </c>
      <c r="V756" s="5" t="s">
        <v>7488</v>
      </c>
      <c r="W756" s="5" t="s">
        <v>72</v>
      </c>
      <c r="X756" s="5" t="s">
        <v>72</v>
      </c>
      <c r="Y756" s="4">
        <v>1824</v>
      </c>
      <c r="Z756" s="4">
        <v>55</v>
      </c>
      <c r="AA756" s="4">
        <v>63</v>
      </c>
      <c r="AB756" s="4">
        <v>2</v>
      </c>
      <c r="AC756" s="4">
        <v>5</v>
      </c>
      <c r="AD756" s="4">
        <v>123</v>
      </c>
      <c r="AE756" s="4">
        <v>131</v>
      </c>
      <c r="AF756" s="4">
        <v>0</v>
      </c>
      <c r="AG756" s="4">
        <v>3</v>
      </c>
      <c r="AH756" s="4">
        <v>100</v>
      </c>
      <c r="AI756" s="4">
        <v>102</v>
      </c>
      <c r="AJ756" s="4">
        <v>17</v>
      </c>
      <c r="AK756" s="4">
        <v>21</v>
      </c>
      <c r="AL756" s="4">
        <v>58</v>
      </c>
      <c r="AM756" s="4">
        <v>59</v>
      </c>
      <c r="AN756" s="4">
        <v>0</v>
      </c>
      <c r="AO756" s="4">
        <v>0</v>
      </c>
      <c r="AP756" s="4">
        <v>24</v>
      </c>
      <c r="AQ756" s="4">
        <v>30</v>
      </c>
      <c r="AR756" s="3" t="s">
        <v>64</v>
      </c>
      <c r="AS756" s="3" t="s">
        <v>64</v>
      </c>
      <c r="AT756" s="3" t="s">
        <v>128</v>
      </c>
      <c r="AU756" s="6" t="str">
        <f>HYPERLINK("http://catalog.hathitrust.org/Record/005762556","HathiTrust Record")</f>
        <v>HathiTrust Record</v>
      </c>
      <c r="AV756" s="6" t="str">
        <f>HYPERLINK("http://mcgill.on.worldcat.org/oclc/8283180","Catalog Record")</f>
        <v>Catalog Record</v>
      </c>
      <c r="AW756" s="6" t="str">
        <f>HYPERLINK("http://www.worldcat.org/oclc/8283180","WorldCat Record")</f>
        <v>WorldCat Record</v>
      </c>
      <c r="AX756" s="3" t="s">
        <v>7489</v>
      </c>
      <c r="AY756" s="3" t="s">
        <v>7490</v>
      </c>
      <c r="AZ756" s="3" t="s">
        <v>7491</v>
      </c>
      <c r="BA756" s="3" t="s">
        <v>7491</v>
      </c>
      <c r="BB756" s="3" t="s">
        <v>7498</v>
      </c>
      <c r="BC756" s="3" t="s">
        <v>77</v>
      </c>
      <c r="BD756" s="3" t="s">
        <v>78</v>
      </c>
      <c r="BE756" s="3" t="s">
        <v>7493</v>
      </c>
      <c r="BF756" s="3" t="s">
        <v>7498</v>
      </c>
      <c r="BG756" s="3" t="s">
        <v>7499</v>
      </c>
      <c r="BH756">
        <f t="shared" si="21"/>
        <v>0</v>
      </c>
    </row>
    <row r="757" spans="1:60" ht="58" x14ac:dyDescent="0.35">
      <c r="A757" s="2" t="s">
        <v>59</v>
      </c>
      <c r="B757" s="2" t="s">
        <v>60</v>
      </c>
      <c r="C757" s="2" t="s">
        <v>7500</v>
      </c>
      <c r="D757" s="2" t="s">
        <v>7501</v>
      </c>
      <c r="E757" s="2" t="s">
        <v>7502</v>
      </c>
      <c r="G757" s="3" t="s">
        <v>64</v>
      </c>
      <c r="I757" s="3" t="s">
        <v>64</v>
      </c>
      <c r="J757" s="3" t="s">
        <v>64</v>
      </c>
      <c r="K757" s="3" t="s">
        <v>65</v>
      </c>
      <c r="M757" s="2" t="s">
        <v>7503</v>
      </c>
      <c r="N757" s="3" t="s">
        <v>101</v>
      </c>
      <c r="O757" s="2" t="s">
        <v>7504</v>
      </c>
      <c r="P757" s="3" t="s">
        <v>102</v>
      </c>
      <c r="R757" s="3" t="s">
        <v>70</v>
      </c>
      <c r="S757" s="4">
        <v>3</v>
      </c>
      <c r="T757" s="4">
        <v>3</v>
      </c>
      <c r="U757" s="5" t="s">
        <v>6383</v>
      </c>
      <c r="V757" s="5" t="s">
        <v>6383</v>
      </c>
      <c r="W757" s="5" t="s">
        <v>72</v>
      </c>
      <c r="X757" s="5" t="s">
        <v>72</v>
      </c>
      <c r="Y757" s="4">
        <v>67</v>
      </c>
      <c r="Z757" s="4">
        <v>55</v>
      </c>
      <c r="AA757" s="4">
        <v>128</v>
      </c>
      <c r="AB757" s="4">
        <v>5</v>
      </c>
      <c r="AC757" s="4">
        <v>9</v>
      </c>
      <c r="AD757" s="4">
        <v>19</v>
      </c>
      <c r="AE757" s="4">
        <v>46</v>
      </c>
      <c r="AF757" s="4">
        <v>2</v>
      </c>
      <c r="AG757" s="4">
        <v>3</v>
      </c>
      <c r="AH757" s="4">
        <v>9</v>
      </c>
      <c r="AI757" s="4">
        <v>22</v>
      </c>
      <c r="AJ757" s="4">
        <v>10</v>
      </c>
      <c r="AK757" s="4">
        <v>25</v>
      </c>
      <c r="AL757" s="4">
        <v>3</v>
      </c>
      <c r="AM757" s="4">
        <v>5</v>
      </c>
      <c r="AN757" s="4">
        <v>0</v>
      </c>
      <c r="AO757" s="4">
        <v>0</v>
      </c>
      <c r="AP757" s="4">
        <v>14</v>
      </c>
      <c r="AQ757" s="4">
        <v>35</v>
      </c>
      <c r="AR757" s="3" t="s">
        <v>128</v>
      </c>
      <c r="AS757" s="3" t="s">
        <v>64</v>
      </c>
      <c r="AT757" s="3" t="s">
        <v>64</v>
      </c>
      <c r="AV757" s="6" t="str">
        <f>HYPERLINK("http://mcgill.on.worldcat.org/oclc/57894157","Catalog Record")</f>
        <v>Catalog Record</v>
      </c>
      <c r="AW757" s="6" t="str">
        <f>HYPERLINK("http://www.worldcat.org/oclc/57894157","WorldCat Record")</f>
        <v>WorldCat Record</v>
      </c>
      <c r="AX757" s="3" t="s">
        <v>7505</v>
      </c>
      <c r="AY757" s="3" t="s">
        <v>7506</v>
      </c>
      <c r="AZ757" s="3" t="s">
        <v>7507</v>
      </c>
      <c r="BA757" s="3" t="s">
        <v>7507</v>
      </c>
      <c r="BB757" s="3" t="s">
        <v>7508</v>
      </c>
      <c r="BC757" s="3" t="s">
        <v>77</v>
      </c>
      <c r="BD757" s="3" t="s">
        <v>78</v>
      </c>
      <c r="BE757" s="3" t="s">
        <v>7509</v>
      </c>
      <c r="BF757" s="3" t="s">
        <v>7508</v>
      </c>
      <c r="BG757" s="3" t="s">
        <v>7510</v>
      </c>
      <c r="BH757">
        <f t="shared" si="21"/>
        <v>0</v>
      </c>
    </row>
    <row r="758" spans="1:60" ht="58" x14ac:dyDescent="0.35">
      <c r="A758" s="2" t="s">
        <v>59</v>
      </c>
      <c r="B758" s="2" t="s">
        <v>60</v>
      </c>
      <c r="C758" s="2" t="s">
        <v>7511</v>
      </c>
      <c r="D758" s="2" t="s">
        <v>7512</v>
      </c>
      <c r="E758" s="2" t="s">
        <v>7513</v>
      </c>
      <c r="G758" s="3" t="s">
        <v>64</v>
      </c>
      <c r="I758" s="3" t="s">
        <v>128</v>
      </c>
      <c r="J758" s="3" t="s">
        <v>128</v>
      </c>
      <c r="K758" s="3" t="s">
        <v>65</v>
      </c>
      <c r="L758" s="2" t="s">
        <v>7318</v>
      </c>
      <c r="M758" s="2" t="s">
        <v>7514</v>
      </c>
      <c r="N758" s="3" t="s">
        <v>2923</v>
      </c>
      <c r="P758" s="3" t="s">
        <v>102</v>
      </c>
      <c r="Q758" s="2" t="s">
        <v>7515</v>
      </c>
      <c r="R758" s="3" t="s">
        <v>70</v>
      </c>
      <c r="S758" s="4">
        <v>3</v>
      </c>
      <c r="T758" s="4">
        <v>3</v>
      </c>
      <c r="U758" s="5" t="s">
        <v>980</v>
      </c>
      <c r="V758" s="5" t="s">
        <v>980</v>
      </c>
      <c r="W758" s="5" t="s">
        <v>72</v>
      </c>
      <c r="X758" s="5" t="s">
        <v>72</v>
      </c>
      <c r="Y758" s="4">
        <v>145</v>
      </c>
      <c r="Z758" s="4">
        <v>9</v>
      </c>
      <c r="AA758" s="4">
        <v>37</v>
      </c>
      <c r="AB758" s="4">
        <v>1</v>
      </c>
      <c r="AC758" s="4">
        <v>5</v>
      </c>
      <c r="AD758" s="4">
        <v>41</v>
      </c>
      <c r="AE758" s="4">
        <v>117</v>
      </c>
      <c r="AF758" s="4">
        <v>0</v>
      </c>
      <c r="AG758" s="4">
        <v>3</v>
      </c>
      <c r="AH758" s="4">
        <v>35</v>
      </c>
      <c r="AI758" s="4">
        <v>99</v>
      </c>
      <c r="AJ758" s="4">
        <v>3</v>
      </c>
      <c r="AK758" s="4">
        <v>21</v>
      </c>
      <c r="AL758" s="4">
        <v>29</v>
      </c>
      <c r="AM758" s="4">
        <v>58</v>
      </c>
      <c r="AN758" s="4">
        <v>0</v>
      </c>
      <c r="AO758" s="4">
        <v>0</v>
      </c>
      <c r="AP758" s="4">
        <v>4</v>
      </c>
      <c r="AQ758" s="4">
        <v>22</v>
      </c>
      <c r="AR758" s="3" t="s">
        <v>64</v>
      </c>
      <c r="AS758" s="3" t="s">
        <v>64</v>
      </c>
      <c r="AT758" s="3" t="s">
        <v>64</v>
      </c>
      <c r="AV758" s="6" t="str">
        <f>HYPERLINK("http://mcgill.on.worldcat.org/oclc/42217765","Catalog Record")</f>
        <v>Catalog Record</v>
      </c>
      <c r="AW758" s="6" t="str">
        <f>HYPERLINK("http://www.worldcat.org/oclc/42217765","WorldCat Record")</f>
        <v>WorldCat Record</v>
      </c>
      <c r="AX758" s="3" t="s">
        <v>7516</v>
      </c>
      <c r="AY758" s="3" t="s">
        <v>7517</v>
      </c>
      <c r="AZ758" s="3" t="s">
        <v>7518</v>
      </c>
      <c r="BA758" s="3" t="s">
        <v>7518</v>
      </c>
      <c r="BB758" s="3" t="s">
        <v>7519</v>
      </c>
      <c r="BC758" s="3" t="s">
        <v>77</v>
      </c>
      <c r="BD758" s="3" t="s">
        <v>78</v>
      </c>
      <c r="BF758" s="3" t="s">
        <v>7519</v>
      </c>
      <c r="BG758" s="3" t="s">
        <v>7520</v>
      </c>
      <c r="BH758">
        <f t="shared" si="21"/>
        <v>0</v>
      </c>
    </row>
    <row r="759" spans="1:60" ht="58" x14ac:dyDescent="0.35">
      <c r="A759" s="2" t="s">
        <v>59</v>
      </c>
      <c r="B759" s="2" t="s">
        <v>60</v>
      </c>
      <c r="C759" s="2" t="s">
        <v>7521</v>
      </c>
      <c r="D759" s="2" t="s">
        <v>7522</v>
      </c>
      <c r="E759" s="2" t="s">
        <v>7523</v>
      </c>
      <c r="G759" s="3" t="s">
        <v>64</v>
      </c>
      <c r="I759" s="3" t="s">
        <v>64</v>
      </c>
      <c r="J759" s="3" t="s">
        <v>128</v>
      </c>
      <c r="K759" s="3" t="s">
        <v>65</v>
      </c>
      <c r="L759" s="2" t="s">
        <v>7524</v>
      </c>
      <c r="M759" s="2" t="s">
        <v>7525</v>
      </c>
      <c r="N759" s="3" t="s">
        <v>144</v>
      </c>
      <c r="O759" s="2" t="s">
        <v>7526</v>
      </c>
      <c r="P759" s="3" t="s">
        <v>68</v>
      </c>
      <c r="R759" s="3" t="s">
        <v>70</v>
      </c>
      <c r="S759" s="4">
        <v>10</v>
      </c>
      <c r="T759" s="4">
        <v>10</v>
      </c>
      <c r="U759" s="5" t="s">
        <v>7527</v>
      </c>
      <c r="V759" s="5" t="s">
        <v>7527</v>
      </c>
      <c r="W759" s="5" t="s">
        <v>72</v>
      </c>
      <c r="X759" s="5" t="s">
        <v>72</v>
      </c>
      <c r="Y759" s="4">
        <v>24</v>
      </c>
      <c r="Z759" s="4">
        <v>23</v>
      </c>
      <c r="AA759" s="4">
        <v>76</v>
      </c>
      <c r="AB759" s="4">
        <v>19</v>
      </c>
      <c r="AC759" s="4">
        <v>45</v>
      </c>
      <c r="AD759" s="4">
        <v>12</v>
      </c>
      <c r="AE759" s="4">
        <v>25</v>
      </c>
      <c r="AF759" s="4">
        <v>9</v>
      </c>
      <c r="AG759" s="4">
        <v>11</v>
      </c>
      <c r="AH759" s="4">
        <v>3</v>
      </c>
      <c r="AI759" s="4">
        <v>9</v>
      </c>
      <c r="AJ759" s="4">
        <v>8</v>
      </c>
      <c r="AK759" s="4">
        <v>15</v>
      </c>
      <c r="AL759" s="4">
        <v>0</v>
      </c>
      <c r="AM759" s="4">
        <v>1</v>
      </c>
      <c r="AN759" s="4">
        <v>0</v>
      </c>
      <c r="AO759" s="4">
        <v>0</v>
      </c>
      <c r="AP759" s="4">
        <v>10</v>
      </c>
      <c r="AQ759" s="4">
        <v>21</v>
      </c>
      <c r="AR759" s="3" t="s">
        <v>128</v>
      </c>
      <c r="AS759" s="3" t="s">
        <v>64</v>
      </c>
      <c r="AT759" s="3" t="s">
        <v>64</v>
      </c>
      <c r="AV759" s="6" t="str">
        <f>HYPERLINK("http://mcgill.on.worldcat.org/oclc/319481939","Catalog Record")</f>
        <v>Catalog Record</v>
      </c>
      <c r="AW759" s="6" t="str">
        <f>HYPERLINK("http://www.worldcat.org/oclc/319481939","WorldCat Record")</f>
        <v>WorldCat Record</v>
      </c>
      <c r="AX759" s="3" t="s">
        <v>7528</v>
      </c>
      <c r="AY759" s="3" t="s">
        <v>7529</v>
      </c>
      <c r="AZ759" s="3" t="s">
        <v>7530</v>
      </c>
      <c r="BA759" s="3" t="s">
        <v>7530</v>
      </c>
      <c r="BB759" s="3" t="s">
        <v>7531</v>
      </c>
      <c r="BC759" s="3" t="s">
        <v>77</v>
      </c>
      <c r="BD759" s="3" t="s">
        <v>78</v>
      </c>
      <c r="BE759" s="3" t="s">
        <v>7532</v>
      </c>
      <c r="BF759" s="3" t="s">
        <v>7531</v>
      </c>
      <c r="BG759" s="3" t="s">
        <v>7533</v>
      </c>
      <c r="BH759">
        <f t="shared" si="21"/>
        <v>0</v>
      </c>
    </row>
    <row r="760" spans="1:60" ht="58" x14ac:dyDescent="0.35">
      <c r="A760" s="2" t="s">
        <v>59</v>
      </c>
      <c r="B760" s="2" t="s">
        <v>60</v>
      </c>
      <c r="C760" s="2" t="s">
        <v>7534</v>
      </c>
      <c r="D760" s="2" t="s">
        <v>7535</v>
      </c>
      <c r="E760" s="2" t="s">
        <v>7536</v>
      </c>
      <c r="G760" s="3" t="s">
        <v>64</v>
      </c>
      <c r="I760" s="3" t="s">
        <v>64</v>
      </c>
      <c r="J760" s="3" t="s">
        <v>128</v>
      </c>
      <c r="K760" s="3" t="s">
        <v>65</v>
      </c>
      <c r="L760" s="2" t="s">
        <v>7537</v>
      </c>
      <c r="M760" s="2" t="s">
        <v>7538</v>
      </c>
      <c r="N760" s="3" t="s">
        <v>578</v>
      </c>
      <c r="O760" s="2" t="s">
        <v>7539</v>
      </c>
      <c r="P760" s="3" t="s">
        <v>68</v>
      </c>
      <c r="R760" s="3" t="s">
        <v>70</v>
      </c>
      <c r="S760" s="4">
        <v>0</v>
      </c>
      <c r="T760" s="4">
        <v>0</v>
      </c>
      <c r="W760" s="5" t="s">
        <v>72</v>
      </c>
      <c r="X760" s="5" t="s">
        <v>72</v>
      </c>
      <c r="Y760" s="4">
        <v>2</v>
      </c>
      <c r="Z760" s="4">
        <v>1</v>
      </c>
      <c r="AA760" s="4">
        <v>76</v>
      </c>
      <c r="AB760" s="4">
        <v>1</v>
      </c>
      <c r="AC760" s="4">
        <v>45</v>
      </c>
      <c r="AD760" s="4">
        <v>1</v>
      </c>
      <c r="AE760" s="4">
        <v>25</v>
      </c>
      <c r="AF760" s="4">
        <v>0</v>
      </c>
      <c r="AG760" s="4">
        <v>11</v>
      </c>
      <c r="AH760" s="4">
        <v>1</v>
      </c>
      <c r="AI760" s="4">
        <v>9</v>
      </c>
      <c r="AJ760" s="4">
        <v>0</v>
      </c>
      <c r="AK760" s="4">
        <v>15</v>
      </c>
      <c r="AL760" s="4">
        <v>0</v>
      </c>
      <c r="AM760" s="4">
        <v>1</v>
      </c>
      <c r="AN760" s="4">
        <v>0</v>
      </c>
      <c r="AO760" s="4">
        <v>0</v>
      </c>
      <c r="AP760" s="4">
        <v>0</v>
      </c>
      <c r="AQ760" s="4">
        <v>21</v>
      </c>
      <c r="AR760" s="3" t="s">
        <v>128</v>
      </c>
      <c r="AS760" s="3" t="s">
        <v>64</v>
      </c>
      <c r="AT760" s="3" t="s">
        <v>64</v>
      </c>
      <c r="AV760" s="6" t="str">
        <f>HYPERLINK("http://mcgill.on.worldcat.org/oclc/1031407820","Catalog Record")</f>
        <v>Catalog Record</v>
      </c>
      <c r="AW760" s="6" t="str">
        <f>HYPERLINK("http://www.worldcat.org/oclc/1031407820","WorldCat Record")</f>
        <v>WorldCat Record</v>
      </c>
      <c r="AX760" s="3" t="s">
        <v>7528</v>
      </c>
      <c r="AY760" s="3" t="s">
        <v>7540</v>
      </c>
      <c r="AZ760" s="3" t="s">
        <v>7541</v>
      </c>
      <c r="BA760" s="3" t="s">
        <v>7541</v>
      </c>
      <c r="BB760" s="3" t="s">
        <v>7542</v>
      </c>
      <c r="BC760" s="3" t="s">
        <v>77</v>
      </c>
      <c r="BD760" s="3" t="s">
        <v>78</v>
      </c>
      <c r="BE760" s="3" t="s">
        <v>7543</v>
      </c>
      <c r="BF760" s="3" t="s">
        <v>7542</v>
      </c>
      <c r="BG760" s="3" t="s">
        <v>7544</v>
      </c>
      <c r="BH760">
        <f t="shared" si="21"/>
        <v>0</v>
      </c>
    </row>
    <row r="761" spans="1:60" ht="58" x14ac:dyDescent="0.35">
      <c r="A761" s="2" t="s">
        <v>59</v>
      </c>
      <c r="B761" s="2" t="s">
        <v>60</v>
      </c>
      <c r="C761" s="2" t="s">
        <v>7545</v>
      </c>
      <c r="D761" s="2" t="s">
        <v>7546</v>
      </c>
      <c r="E761" s="2" t="s">
        <v>7450</v>
      </c>
      <c r="G761" s="3" t="s">
        <v>64</v>
      </c>
      <c r="I761" s="3" t="s">
        <v>128</v>
      </c>
      <c r="J761" s="3" t="s">
        <v>64</v>
      </c>
      <c r="K761" s="3" t="s">
        <v>65</v>
      </c>
      <c r="L761" s="2" t="s">
        <v>7451</v>
      </c>
      <c r="M761" s="2" t="s">
        <v>7452</v>
      </c>
      <c r="N761" s="3" t="s">
        <v>1263</v>
      </c>
      <c r="O761" s="2" t="s">
        <v>7453</v>
      </c>
      <c r="P761" s="3" t="s">
        <v>102</v>
      </c>
      <c r="R761" s="3" t="s">
        <v>70</v>
      </c>
      <c r="S761" s="4">
        <v>32</v>
      </c>
      <c r="T761" s="4">
        <v>41</v>
      </c>
      <c r="U761" s="5" t="s">
        <v>7547</v>
      </c>
      <c r="V761" s="5" t="s">
        <v>7454</v>
      </c>
      <c r="W761" s="5" t="s">
        <v>72</v>
      </c>
      <c r="X761" s="5" t="s">
        <v>72</v>
      </c>
      <c r="Y761" s="4">
        <v>2442</v>
      </c>
      <c r="Z761" s="4">
        <v>102</v>
      </c>
      <c r="AA761" s="4">
        <v>110</v>
      </c>
      <c r="AB761" s="4">
        <v>5</v>
      </c>
      <c r="AC761" s="4">
        <v>13</v>
      </c>
      <c r="AD761" s="4">
        <v>133</v>
      </c>
      <c r="AE761" s="4">
        <v>138</v>
      </c>
      <c r="AF761" s="4">
        <v>0</v>
      </c>
      <c r="AG761" s="4">
        <v>5</v>
      </c>
      <c r="AH761" s="4">
        <v>107</v>
      </c>
      <c r="AI761" s="4">
        <v>108</v>
      </c>
      <c r="AJ761" s="4">
        <v>23</v>
      </c>
      <c r="AK761" s="4">
        <v>26</v>
      </c>
      <c r="AL761" s="4">
        <v>60</v>
      </c>
      <c r="AM761" s="4">
        <v>60</v>
      </c>
      <c r="AN761" s="4">
        <v>0</v>
      </c>
      <c r="AO761" s="4">
        <v>0</v>
      </c>
      <c r="AP761" s="4">
        <v>29</v>
      </c>
      <c r="AQ761" s="4">
        <v>33</v>
      </c>
      <c r="AR761" s="3" t="s">
        <v>64</v>
      </c>
      <c r="AS761" s="3" t="s">
        <v>64</v>
      </c>
      <c r="AT761" s="3" t="s">
        <v>64</v>
      </c>
      <c r="AV761" s="6" t="str">
        <f>HYPERLINK("http://mcgill.on.worldcat.org/oclc/26929668","Catalog Record")</f>
        <v>Catalog Record</v>
      </c>
      <c r="AW761" s="6" t="str">
        <f>HYPERLINK("http://www.worldcat.org/oclc/26929668","WorldCat Record")</f>
        <v>WorldCat Record</v>
      </c>
      <c r="AX761" s="3" t="s">
        <v>7455</v>
      </c>
      <c r="AY761" s="3" t="s">
        <v>7456</v>
      </c>
      <c r="AZ761" s="3" t="s">
        <v>7457</v>
      </c>
      <c r="BA761" s="3" t="s">
        <v>7457</v>
      </c>
      <c r="BB761" s="3" t="s">
        <v>7548</v>
      </c>
      <c r="BC761" s="3" t="s">
        <v>77</v>
      </c>
      <c r="BD761" s="3" t="s">
        <v>78</v>
      </c>
      <c r="BE761" s="3" t="s">
        <v>7459</v>
      </c>
      <c r="BF761" s="3" t="s">
        <v>7548</v>
      </c>
      <c r="BG761" s="3" t="s">
        <v>7549</v>
      </c>
      <c r="BH761">
        <f t="shared" si="21"/>
        <v>0</v>
      </c>
    </row>
    <row r="762" spans="1:60" ht="58" x14ac:dyDescent="0.35">
      <c r="A762" s="2" t="s">
        <v>59</v>
      </c>
      <c r="B762" s="2" t="s">
        <v>60</v>
      </c>
      <c r="C762" s="2" t="s">
        <v>7545</v>
      </c>
      <c r="D762" s="2" t="s">
        <v>7546</v>
      </c>
      <c r="E762" s="2" t="s">
        <v>7450</v>
      </c>
      <c r="G762" s="3" t="s">
        <v>64</v>
      </c>
      <c r="I762" s="3" t="s">
        <v>128</v>
      </c>
      <c r="J762" s="3" t="s">
        <v>64</v>
      </c>
      <c r="K762" s="3" t="s">
        <v>65</v>
      </c>
      <c r="L762" s="2" t="s">
        <v>7451</v>
      </c>
      <c r="M762" s="2" t="s">
        <v>7452</v>
      </c>
      <c r="N762" s="3" t="s">
        <v>1263</v>
      </c>
      <c r="O762" s="2" t="s">
        <v>7453</v>
      </c>
      <c r="P762" s="3" t="s">
        <v>102</v>
      </c>
      <c r="R762" s="3" t="s">
        <v>70</v>
      </c>
      <c r="S762" s="4">
        <v>1</v>
      </c>
      <c r="T762" s="4">
        <v>41</v>
      </c>
      <c r="U762" s="5" t="s">
        <v>7454</v>
      </c>
      <c r="V762" s="5" t="s">
        <v>7454</v>
      </c>
      <c r="W762" s="5" t="s">
        <v>72</v>
      </c>
      <c r="X762" s="5" t="s">
        <v>72</v>
      </c>
      <c r="Y762" s="4">
        <v>2442</v>
      </c>
      <c r="Z762" s="4">
        <v>102</v>
      </c>
      <c r="AA762" s="4">
        <v>110</v>
      </c>
      <c r="AB762" s="4">
        <v>5</v>
      </c>
      <c r="AC762" s="4">
        <v>13</v>
      </c>
      <c r="AD762" s="4">
        <v>133</v>
      </c>
      <c r="AE762" s="4">
        <v>138</v>
      </c>
      <c r="AF762" s="4">
        <v>0</v>
      </c>
      <c r="AG762" s="4">
        <v>5</v>
      </c>
      <c r="AH762" s="4">
        <v>107</v>
      </c>
      <c r="AI762" s="4">
        <v>108</v>
      </c>
      <c r="AJ762" s="4">
        <v>23</v>
      </c>
      <c r="AK762" s="4">
        <v>26</v>
      </c>
      <c r="AL762" s="4">
        <v>60</v>
      </c>
      <c r="AM762" s="4">
        <v>60</v>
      </c>
      <c r="AN762" s="4">
        <v>0</v>
      </c>
      <c r="AO762" s="4">
        <v>0</v>
      </c>
      <c r="AP762" s="4">
        <v>29</v>
      </c>
      <c r="AQ762" s="4">
        <v>33</v>
      </c>
      <c r="AR762" s="3" t="s">
        <v>64</v>
      </c>
      <c r="AS762" s="3" t="s">
        <v>64</v>
      </c>
      <c r="AT762" s="3" t="s">
        <v>64</v>
      </c>
      <c r="AV762" s="6" t="str">
        <f>HYPERLINK("http://mcgill.on.worldcat.org/oclc/26929668","Catalog Record")</f>
        <v>Catalog Record</v>
      </c>
      <c r="AW762" s="6" t="str">
        <f>HYPERLINK("http://www.worldcat.org/oclc/26929668","WorldCat Record")</f>
        <v>WorldCat Record</v>
      </c>
      <c r="AX762" s="3" t="s">
        <v>7455</v>
      </c>
      <c r="AY762" s="3" t="s">
        <v>7456</v>
      </c>
      <c r="AZ762" s="3" t="s">
        <v>7457</v>
      </c>
      <c r="BA762" s="3" t="s">
        <v>7457</v>
      </c>
      <c r="BB762" s="3" t="s">
        <v>7550</v>
      </c>
      <c r="BC762" s="3" t="s">
        <v>77</v>
      </c>
      <c r="BD762" s="3" t="s">
        <v>78</v>
      </c>
      <c r="BE762" s="3" t="s">
        <v>7459</v>
      </c>
      <c r="BF762" s="3" t="s">
        <v>7550</v>
      </c>
      <c r="BG762" s="3" t="s">
        <v>7551</v>
      </c>
      <c r="BH762">
        <f t="shared" si="21"/>
        <v>0</v>
      </c>
    </row>
    <row r="763" spans="1:60" ht="58" x14ac:dyDescent="0.35">
      <c r="A763" s="2" t="s">
        <v>1040</v>
      </c>
      <c r="B763" s="2" t="s">
        <v>60</v>
      </c>
      <c r="C763" s="2" t="s">
        <v>7545</v>
      </c>
      <c r="D763" s="2" t="s">
        <v>7546</v>
      </c>
      <c r="E763" s="2" t="s">
        <v>7450</v>
      </c>
      <c r="G763" s="3" t="s">
        <v>64</v>
      </c>
      <c r="I763" s="3" t="s">
        <v>128</v>
      </c>
      <c r="J763" s="3" t="s">
        <v>64</v>
      </c>
      <c r="K763" s="3" t="s">
        <v>65</v>
      </c>
      <c r="L763" s="2" t="s">
        <v>7451</v>
      </c>
      <c r="M763" s="2" t="s">
        <v>7452</v>
      </c>
      <c r="N763" s="3" t="s">
        <v>1263</v>
      </c>
      <c r="O763" s="2" t="s">
        <v>7453</v>
      </c>
      <c r="P763" s="3" t="s">
        <v>102</v>
      </c>
      <c r="R763" s="3" t="s">
        <v>70</v>
      </c>
      <c r="S763" s="4">
        <v>6</v>
      </c>
      <c r="T763" s="4">
        <v>41</v>
      </c>
      <c r="U763" s="5" t="s">
        <v>7552</v>
      </c>
      <c r="V763" s="5" t="s">
        <v>7454</v>
      </c>
      <c r="W763" s="5" t="s">
        <v>72</v>
      </c>
      <c r="X763" s="5" t="s">
        <v>72</v>
      </c>
      <c r="Y763" s="4">
        <v>2442</v>
      </c>
      <c r="Z763" s="4">
        <v>102</v>
      </c>
      <c r="AA763" s="4">
        <v>110</v>
      </c>
      <c r="AB763" s="4">
        <v>5</v>
      </c>
      <c r="AC763" s="4">
        <v>13</v>
      </c>
      <c r="AD763" s="4">
        <v>133</v>
      </c>
      <c r="AE763" s="4">
        <v>138</v>
      </c>
      <c r="AF763" s="4">
        <v>0</v>
      </c>
      <c r="AG763" s="4">
        <v>5</v>
      </c>
      <c r="AH763" s="4">
        <v>107</v>
      </c>
      <c r="AI763" s="4">
        <v>108</v>
      </c>
      <c r="AJ763" s="4">
        <v>23</v>
      </c>
      <c r="AK763" s="4">
        <v>26</v>
      </c>
      <c r="AL763" s="4">
        <v>60</v>
      </c>
      <c r="AM763" s="4">
        <v>60</v>
      </c>
      <c r="AN763" s="4">
        <v>0</v>
      </c>
      <c r="AO763" s="4">
        <v>0</v>
      </c>
      <c r="AP763" s="4">
        <v>29</v>
      </c>
      <c r="AQ763" s="4">
        <v>33</v>
      </c>
      <c r="AR763" s="3" t="s">
        <v>64</v>
      </c>
      <c r="AS763" s="3" t="s">
        <v>64</v>
      </c>
      <c r="AT763" s="3" t="s">
        <v>64</v>
      </c>
      <c r="AV763" s="6" t="str">
        <f>HYPERLINK("http://mcgill.on.worldcat.org/oclc/26929668","Catalog Record")</f>
        <v>Catalog Record</v>
      </c>
      <c r="AW763" s="6" t="str">
        <f>HYPERLINK("http://www.worldcat.org/oclc/26929668","WorldCat Record")</f>
        <v>WorldCat Record</v>
      </c>
      <c r="AX763" s="3" t="s">
        <v>7455</v>
      </c>
      <c r="AY763" s="3" t="s">
        <v>7456</v>
      </c>
      <c r="AZ763" s="3" t="s">
        <v>7457</v>
      </c>
      <c r="BA763" s="3" t="s">
        <v>7457</v>
      </c>
      <c r="BB763" s="3" t="s">
        <v>7553</v>
      </c>
      <c r="BC763" s="3" t="s">
        <v>77</v>
      </c>
      <c r="BD763" s="3" t="s">
        <v>78</v>
      </c>
      <c r="BE763" s="3" t="s">
        <v>7459</v>
      </c>
      <c r="BF763" s="3" t="s">
        <v>7553</v>
      </c>
      <c r="BG763" s="3" t="s">
        <v>7554</v>
      </c>
      <c r="BH763">
        <f t="shared" si="21"/>
        <v>0</v>
      </c>
    </row>
    <row r="764" spans="1:60" ht="58" x14ac:dyDescent="0.35">
      <c r="A764" s="2" t="s">
        <v>59</v>
      </c>
      <c r="B764" s="2" t="s">
        <v>60</v>
      </c>
      <c r="C764" s="2" t="s">
        <v>7555</v>
      </c>
      <c r="D764" s="2" t="s">
        <v>7556</v>
      </c>
      <c r="E764" s="2" t="s">
        <v>7474</v>
      </c>
      <c r="G764" s="3" t="s">
        <v>64</v>
      </c>
      <c r="I764" s="3" t="s">
        <v>128</v>
      </c>
      <c r="J764" s="3" t="s">
        <v>64</v>
      </c>
      <c r="K764" s="3" t="s">
        <v>65</v>
      </c>
      <c r="M764" s="2" t="s">
        <v>7475</v>
      </c>
      <c r="N764" s="3" t="s">
        <v>101</v>
      </c>
      <c r="O764" s="2" t="s">
        <v>7476</v>
      </c>
      <c r="P764" s="3" t="s">
        <v>102</v>
      </c>
      <c r="R764" s="3" t="s">
        <v>70</v>
      </c>
      <c r="S764" s="4">
        <v>68</v>
      </c>
      <c r="T764" s="4">
        <v>230</v>
      </c>
      <c r="U764" s="5" t="s">
        <v>538</v>
      </c>
      <c r="V764" s="5" t="s">
        <v>538</v>
      </c>
      <c r="W764" s="5" t="s">
        <v>72</v>
      </c>
      <c r="X764" s="5" t="s">
        <v>72</v>
      </c>
      <c r="Y764" s="4">
        <v>2798</v>
      </c>
      <c r="Z764" s="4">
        <v>109</v>
      </c>
      <c r="AA764" s="4">
        <v>109</v>
      </c>
      <c r="AB764" s="4">
        <v>5</v>
      </c>
      <c r="AC764" s="4">
        <v>5</v>
      </c>
      <c r="AD764" s="4">
        <v>145</v>
      </c>
      <c r="AE764" s="4">
        <v>145</v>
      </c>
      <c r="AF764" s="4">
        <v>1</v>
      </c>
      <c r="AG764" s="4">
        <v>1</v>
      </c>
      <c r="AH764" s="4">
        <v>108</v>
      </c>
      <c r="AI764" s="4">
        <v>108</v>
      </c>
      <c r="AJ764" s="4">
        <v>18</v>
      </c>
      <c r="AK764" s="4">
        <v>18</v>
      </c>
      <c r="AL764" s="4">
        <v>62</v>
      </c>
      <c r="AM764" s="4">
        <v>62</v>
      </c>
      <c r="AN764" s="4">
        <v>0</v>
      </c>
      <c r="AO764" s="4">
        <v>0</v>
      </c>
      <c r="AP764" s="4">
        <v>38</v>
      </c>
      <c r="AQ764" s="4">
        <v>38</v>
      </c>
      <c r="AR764" s="3" t="s">
        <v>64</v>
      </c>
      <c r="AS764" s="3" t="s">
        <v>64</v>
      </c>
      <c r="AT764" s="3" t="s">
        <v>128</v>
      </c>
      <c r="AU764" s="6" t="str">
        <f>HYPERLINK("http://catalog.hathitrust.org/Record/004711525","HathiTrust Record")</f>
        <v>HathiTrust Record</v>
      </c>
      <c r="AV764" s="6" t="str">
        <f>HYPERLINK("http://mcgill.on.worldcat.org/oclc/51553085","Catalog Record")</f>
        <v>Catalog Record</v>
      </c>
      <c r="AW764" s="6" t="str">
        <f>HYPERLINK("http://www.worldcat.org/oclc/51553085","WorldCat Record")</f>
        <v>WorldCat Record</v>
      </c>
      <c r="AX764" s="3" t="s">
        <v>7477</v>
      </c>
      <c r="AY764" s="3" t="s">
        <v>7478</v>
      </c>
      <c r="AZ764" s="3" t="s">
        <v>7479</v>
      </c>
      <c r="BA764" s="3" t="s">
        <v>7479</v>
      </c>
      <c r="BB764" s="3" t="s">
        <v>7557</v>
      </c>
      <c r="BC764" s="3" t="s">
        <v>77</v>
      </c>
      <c r="BD764" s="3" t="s">
        <v>7558</v>
      </c>
      <c r="BE764" s="3" t="s">
        <v>7481</v>
      </c>
      <c r="BF764" s="3" t="s">
        <v>7557</v>
      </c>
      <c r="BG764" s="3" t="s">
        <v>7559</v>
      </c>
      <c r="BH764">
        <f t="shared" si="21"/>
        <v>0</v>
      </c>
    </row>
    <row r="765" spans="1:60" ht="58" x14ac:dyDescent="0.35">
      <c r="A765" s="2" t="s">
        <v>59</v>
      </c>
      <c r="B765" s="2" t="s">
        <v>60</v>
      </c>
      <c r="C765" s="2" t="s">
        <v>7555</v>
      </c>
      <c r="D765" s="2" t="s">
        <v>7556</v>
      </c>
      <c r="E765" s="2" t="s">
        <v>7474</v>
      </c>
      <c r="G765" s="3" t="s">
        <v>64</v>
      </c>
      <c r="I765" s="3" t="s">
        <v>128</v>
      </c>
      <c r="J765" s="3" t="s">
        <v>64</v>
      </c>
      <c r="K765" s="3" t="s">
        <v>65</v>
      </c>
      <c r="M765" s="2" t="s">
        <v>7475</v>
      </c>
      <c r="N765" s="3" t="s">
        <v>101</v>
      </c>
      <c r="O765" s="2" t="s">
        <v>7476</v>
      </c>
      <c r="P765" s="3" t="s">
        <v>102</v>
      </c>
      <c r="R765" s="3" t="s">
        <v>70</v>
      </c>
      <c r="S765" s="4">
        <v>9</v>
      </c>
      <c r="T765" s="4">
        <v>230</v>
      </c>
      <c r="U765" s="5" t="s">
        <v>7407</v>
      </c>
      <c r="V765" s="5" t="s">
        <v>538</v>
      </c>
      <c r="W765" s="5" t="s">
        <v>72</v>
      </c>
      <c r="X765" s="5" t="s">
        <v>72</v>
      </c>
      <c r="Y765" s="4">
        <v>2798</v>
      </c>
      <c r="Z765" s="4">
        <v>109</v>
      </c>
      <c r="AA765" s="4">
        <v>109</v>
      </c>
      <c r="AB765" s="4">
        <v>5</v>
      </c>
      <c r="AC765" s="4">
        <v>5</v>
      </c>
      <c r="AD765" s="4">
        <v>145</v>
      </c>
      <c r="AE765" s="4">
        <v>145</v>
      </c>
      <c r="AF765" s="4">
        <v>1</v>
      </c>
      <c r="AG765" s="4">
        <v>1</v>
      </c>
      <c r="AH765" s="4">
        <v>108</v>
      </c>
      <c r="AI765" s="4">
        <v>108</v>
      </c>
      <c r="AJ765" s="4">
        <v>18</v>
      </c>
      <c r="AK765" s="4">
        <v>18</v>
      </c>
      <c r="AL765" s="4">
        <v>62</v>
      </c>
      <c r="AM765" s="4">
        <v>62</v>
      </c>
      <c r="AN765" s="4">
        <v>0</v>
      </c>
      <c r="AO765" s="4">
        <v>0</v>
      </c>
      <c r="AP765" s="4">
        <v>38</v>
      </c>
      <c r="AQ765" s="4">
        <v>38</v>
      </c>
      <c r="AR765" s="3" t="s">
        <v>64</v>
      </c>
      <c r="AS765" s="3" t="s">
        <v>64</v>
      </c>
      <c r="AT765" s="3" t="s">
        <v>128</v>
      </c>
      <c r="AU765" s="6" t="str">
        <f>HYPERLINK("http://catalog.hathitrust.org/Record/004711525","HathiTrust Record")</f>
        <v>HathiTrust Record</v>
      </c>
      <c r="AV765" s="6" t="str">
        <f>HYPERLINK("http://mcgill.on.worldcat.org/oclc/51553085","Catalog Record")</f>
        <v>Catalog Record</v>
      </c>
      <c r="AW765" s="6" t="str">
        <f>HYPERLINK("http://www.worldcat.org/oclc/51553085","WorldCat Record")</f>
        <v>WorldCat Record</v>
      </c>
      <c r="AX765" s="3" t="s">
        <v>7477</v>
      </c>
      <c r="AY765" s="3" t="s">
        <v>7478</v>
      </c>
      <c r="AZ765" s="3" t="s">
        <v>7479</v>
      </c>
      <c r="BA765" s="3" t="s">
        <v>7479</v>
      </c>
      <c r="BB765" s="3" t="s">
        <v>7560</v>
      </c>
      <c r="BC765" s="3" t="s">
        <v>77</v>
      </c>
      <c r="BD765" s="3" t="s">
        <v>78</v>
      </c>
      <c r="BE765" s="3" t="s">
        <v>7481</v>
      </c>
      <c r="BF765" s="3" t="s">
        <v>7560</v>
      </c>
      <c r="BG765" s="3" t="s">
        <v>7561</v>
      </c>
      <c r="BH765">
        <f t="shared" si="21"/>
        <v>0</v>
      </c>
    </row>
    <row r="766" spans="1:60" ht="58" x14ac:dyDescent="0.35">
      <c r="A766" s="2" t="s">
        <v>59</v>
      </c>
      <c r="B766" s="2" t="s">
        <v>60</v>
      </c>
      <c r="C766" s="2" t="s">
        <v>7562</v>
      </c>
      <c r="D766" s="2" t="s">
        <v>7563</v>
      </c>
      <c r="E766" s="2" t="s">
        <v>7450</v>
      </c>
      <c r="G766" s="3" t="s">
        <v>64</v>
      </c>
      <c r="I766" s="3" t="s">
        <v>128</v>
      </c>
      <c r="J766" s="3" t="s">
        <v>64</v>
      </c>
      <c r="K766" s="3" t="s">
        <v>65</v>
      </c>
      <c r="M766" s="2" t="s">
        <v>7564</v>
      </c>
      <c r="N766" s="3" t="s">
        <v>511</v>
      </c>
      <c r="O766" s="2" t="s">
        <v>7565</v>
      </c>
      <c r="P766" s="3" t="s">
        <v>102</v>
      </c>
      <c r="R766" s="3" t="s">
        <v>70</v>
      </c>
      <c r="S766" s="4">
        <v>25</v>
      </c>
      <c r="T766" s="4">
        <v>126</v>
      </c>
      <c r="U766" s="5" t="s">
        <v>7566</v>
      </c>
      <c r="V766" s="5" t="s">
        <v>3344</v>
      </c>
      <c r="W766" s="5" t="s">
        <v>72</v>
      </c>
      <c r="X766" s="5" t="s">
        <v>72</v>
      </c>
      <c r="Y766" s="4">
        <v>2842</v>
      </c>
      <c r="Z766" s="4">
        <v>92</v>
      </c>
      <c r="AA766" s="4">
        <v>92</v>
      </c>
      <c r="AB766" s="4">
        <v>6</v>
      </c>
      <c r="AC766" s="4">
        <v>6</v>
      </c>
      <c r="AD766" s="4">
        <v>139</v>
      </c>
      <c r="AE766" s="4">
        <v>139</v>
      </c>
      <c r="AF766" s="4">
        <v>2</v>
      </c>
      <c r="AG766" s="4">
        <v>2</v>
      </c>
      <c r="AH766" s="4">
        <v>105</v>
      </c>
      <c r="AI766" s="4">
        <v>105</v>
      </c>
      <c r="AJ766" s="4">
        <v>16</v>
      </c>
      <c r="AK766" s="4">
        <v>16</v>
      </c>
      <c r="AL766" s="4">
        <v>61</v>
      </c>
      <c r="AM766" s="4">
        <v>61</v>
      </c>
      <c r="AN766" s="4">
        <v>0</v>
      </c>
      <c r="AO766" s="4">
        <v>0</v>
      </c>
      <c r="AP766" s="4">
        <v>33</v>
      </c>
      <c r="AQ766" s="4">
        <v>33</v>
      </c>
      <c r="AR766" s="3" t="s">
        <v>64</v>
      </c>
      <c r="AS766" s="3" t="s">
        <v>64</v>
      </c>
      <c r="AT766" s="3" t="s">
        <v>64</v>
      </c>
      <c r="AV766" s="6" t="str">
        <f t="shared" ref="AV766:AV771" si="22">HYPERLINK("http://mcgill.on.worldcat.org/oclc/495102182","Catalog Record")</f>
        <v>Catalog Record</v>
      </c>
      <c r="AW766" s="6" t="str">
        <f t="shared" ref="AW766:AW771" si="23">HYPERLINK("http://www.worldcat.org/oclc/495102182","WorldCat Record")</f>
        <v>WorldCat Record</v>
      </c>
      <c r="AX766" s="3" t="s">
        <v>7567</v>
      </c>
      <c r="AY766" s="3" t="s">
        <v>7568</v>
      </c>
      <c r="AZ766" s="3" t="s">
        <v>7569</v>
      </c>
      <c r="BA766" s="3" t="s">
        <v>7569</v>
      </c>
      <c r="BB766" s="3" t="s">
        <v>7570</v>
      </c>
      <c r="BC766" s="3" t="s">
        <v>77</v>
      </c>
      <c r="BD766" s="3" t="s">
        <v>78</v>
      </c>
      <c r="BE766" s="3" t="s">
        <v>7571</v>
      </c>
      <c r="BF766" s="3" t="s">
        <v>7570</v>
      </c>
      <c r="BG766" s="3" t="s">
        <v>7572</v>
      </c>
      <c r="BH766">
        <f t="shared" si="21"/>
        <v>0</v>
      </c>
    </row>
    <row r="767" spans="1:60" ht="58" x14ac:dyDescent="0.35">
      <c r="A767" s="2" t="s">
        <v>59</v>
      </c>
      <c r="B767" s="2" t="s">
        <v>60</v>
      </c>
      <c r="C767" s="2" t="s">
        <v>7562</v>
      </c>
      <c r="D767" s="2" t="s">
        <v>7563</v>
      </c>
      <c r="E767" s="2" t="s">
        <v>7450</v>
      </c>
      <c r="G767" s="3" t="s">
        <v>64</v>
      </c>
      <c r="I767" s="3" t="s">
        <v>128</v>
      </c>
      <c r="J767" s="3" t="s">
        <v>64</v>
      </c>
      <c r="K767" s="3" t="s">
        <v>65</v>
      </c>
      <c r="M767" s="2" t="s">
        <v>7564</v>
      </c>
      <c r="N767" s="3" t="s">
        <v>511</v>
      </c>
      <c r="O767" s="2" t="s">
        <v>7565</v>
      </c>
      <c r="P767" s="3" t="s">
        <v>102</v>
      </c>
      <c r="R767" s="3" t="s">
        <v>70</v>
      </c>
      <c r="S767" s="4">
        <v>23</v>
      </c>
      <c r="T767" s="4">
        <v>126</v>
      </c>
      <c r="U767" s="5" t="s">
        <v>7573</v>
      </c>
      <c r="V767" s="5" t="s">
        <v>3344</v>
      </c>
      <c r="W767" s="5" t="s">
        <v>72</v>
      </c>
      <c r="X767" s="5" t="s">
        <v>72</v>
      </c>
      <c r="Y767" s="4">
        <v>2842</v>
      </c>
      <c r="Z767" s="4">
        <v>92</v>
      </c>
      <c r="AA767" s="4">
        <v>92</v>
      </c>
      <c r="AB767" s="4">
        <v>6</v>
      </c>
      <c r="AC767" s="4">
        <v>6</v>
      </c>
      <c r="AD767" s="4">
        <v>139</v>
      </c>
      <c r="AE767" s="4">
        <v>139</v>
      </c>
      <c r="AF767" s="4">
        <v>2</v>
      </c>
      <c r="AG767" s="4">
        <v>2</v>
      </c>
      <c r="AH767" s="4">
        <v>105</v>
      </c>
      <c r="AI767" s="4">
        <v>105</v>
      </c>
      <c r="AJ767" s="4">
        <v>16</v>
      </c>
      <c r="AK767" s="4">
        <v>16</v>
      </c>
      <c r="AL767" s="4">
        <v>61</v>
      </c>
      <c r="AM767" s="4">
        <v>61</v>
      </c>
      <c r="AN767" s="4">
        <v>0</v>
      </c>
      <c r="AO767" s="4">
        <v>0</v>
      </c>
      <c r="AP767" s="4">
        <v>33</v>
      </c>
      <c r="AQ767" s="4">
        <v>33</v>
      </c>
      <c r="AR767" s="3" t="s">
        <v>64</v>
      </c>
      <c r="AS767" s="3" t="s">
        <v>64</v>
      </c>
      <c r="AT767" s="3" t="s">
        <v>64</v>
      </c>
      <c r="AV767" s="6" t="str">
        <f t="shared" si="22"/>
        <v>Catalog Record</v>
      </c>
      <c r="AW767" s="6" t="str">
        <f t="shared" si="23"/>
        <v>WorldCat Record</v>
      </c>
      <c r="AX767" s="3" t="s">
        <v>7567</v>
      </c>
      <c r="AY767" s="3" t="s">
        <v>7568</v>
      </c>
      <c r="AZ767" s="3" t="s">
        <v>7569</v>
      </c>
      <c r="BA767" s="3" t="s">
        <v>7569</v>
      </c>
      <c r="BB767" s="3" t="s">
        <v>7574</v>
      </c>
      <c r="BC767" s="3" t="s">
        <v>77</v>
      </c>
      <c r="BD767" s="3" t="s">
        <v>78</v>
      </c>
      <c r="BE767" s="3" t="s">
        <v>7571</v>
      </c>
      <c r="BF767" s="3" t="s">
        <v>7574</v>
      </c>
      <c r="BG767" s="3" t="s">
        <v>7575</v>
      </c>
      <c r="BH767">
        <f t="shared" si="21"/>
        <v>0</v>
      </c>
    </row>
    <row r="768" spans="1:60" ht="58" x14ac:dyDescent="0.35">
      <c r="A768" s="2" t="s">
        <v>59</v>
      </c>
      <c r="B768" s="2" t="s">
        <v>60</v>
      </c>
      <c r="C768" s="2" t="s">
        <v>7562</v>
      </c>
      <c r="D768" s="2" t="s">
        <v>7563</v>
      </c>
      <c r="E768" s="2" t="s">
        <v>7450</v>
      </c>
      <c r="G768" s="3" t="s">
        <v>64</v>
      </c>
      <c r="I768" s="3" t="s">
        <v>128</v>
      </c>
      <c r="J768" s="3" t="s">
        <v>64</v>
      </c>
      <c r="K768" s="3" t="s">
        <v>65</v>
      </c>
      <c r="M768" s="2" t="s">
        <v>7564</v>
      </c>
      <c r="N768" s="3" t="s">
        <v>511</v>
      </c>
      <c r="O768" s="2" t="s">
        <v>7565</v>
      </c>
      <c r="P768" s="3" t="s">
        <v>102</v>
      </c>
      <c r="R768" s="3" t="s">
        <v>70</v>
      </c>
      <c r="S768" s="4">
        <v>17</v>
      </c>
      <c r="T768" s="4">
        <v>126</v>
      </c>
      <c r="U768" s="5" t="s">
        <v>7576</v>
      </c>
      <c r="V768" s="5" t="s">
        <v>3344</v>
      </c>
      <c r="W768" s="5" t="s">
        <v>72</v>
      </c>
      <c r="X768" s="5" t="s">
        <v>72</v>
      </c>
      <c r="Y768" s="4">
        <v>2842</v>
      </c>
      <c r="Z768" s="4">
        <v>92</v>
      </c>
      <c r="AA768" s="4">
        <v>92</v>
      </c>
      <c r="AB768" s="4">
        <v>6</v>
      </c>
      <c r="AC768" s="4">
        <v>6</v>
      </c>
      <c r="AD768" s="4">
        <v>139</v>
      </c>
      <c r="AE768" s="4">
        <v>139</v>
      </c>
      <c r="AF768" s="4">
        <v>2</v>
      </c>
      <c r="AG768" s="4">
        <v>2</v>
      </c>
      <c r="AH768" s="4">
        <v>105</v>
      </c>
      <c r="AI768" s="4">
        <v>105</v>
      </c>
      <c r="AJ768" s="4">
        <v>16</v>
      </c>
      <c r="AK768" s="4">
        <v>16</v>
      </c>
      <c r="AL768" s="4">
        <v>61</v>
      </c>
      <c r="AM768" s="4">
        <v>61</v>
      </c>
      <c r="AN768" s="4">
        <v>0</v>
      </c>
      <c r="AO768" s="4">
        <v>0</v>
      </c>
      <c r="AP768" s="4">
        <v>33</v>
      </c>
      <c r="AQ768" s="4">
        <v>33</v>
      </c>
      <c r="AR768" s="3" t="s">
        <v>64</v>
      </c>
      <c r="AS768" s="3" t="s">
        <v>64</v>
      </c>
      <c r="AT768" s="3" t="s">
        <v>64</v>
      </c>
      <c r="AV768" s="6" t="str">
        <f t="shared" si="22"/>
        <v>Catalog Record</v>
      </c>
      <c r="AW768" s="6" t="str">
        <f t="shared" si="23"/>
        <v>WorldCat Record</v>
      </c>
      <c r="AX768" s="3" t="s">
        <v>7567</v>
      </c>
      <c r="AY768" s="3" t="s">
        <v>7568</v>
      </c>
      <c r="AZ768" s="3" t="s">
        <v>7569</v>
      </c>
      <c r="BA768" s="3" t="s">
        <v>7569</v>
      </c>
      <c r="BB768" s="3" t="s">
        <v>7577</v>
      </c>
      <c r="BC768" s="3" t="s">
        <v>77</v>
      </c>
      <c r="BD768" s="3" t="s">
        <v>165</v>
      </c>
      <c r="BE768" s="3" t="s">
        <v>7571</v>
      </c>
      <c r="BF768" s="3" t="s">
        <v>7577</v>
      </c>
      <c r="BG768" s="3" t="s">
        <v>7578</v>
      </c>
      <c r="BH768">
        <f t="shared" si="21"/>
        <v>0</v>
      </c>
    </row>
    <row r="769" spans="1:60" ht="58" x14ac:dyDescent="0.35">
      <c r="A769" s="2" t="s">
        <v>59</v>
      </c>
      <c r="B769" s="2" t="s">
        <v>60</v>
      </c>
      <c r="C769" s="2" t="s">
        <v>7562</v>
      </c>
      <c r="D769" s="2" t="s">
        <v>7563</v>
      </c>
      <c r="E769" s="2" t="s">
        <v>7450</v>
      </c>
      <c r="G769" s="3" t="s">
        <v>64</v>
      </c>
      <c r="I769" s="3" t="s">
        <v>128</v>
      </c>
      <c r="J769" s="3" t="s">
        <v>64</v>
      </c>
      <c r="K769" s="3" t="s">
        <v>65</v>
      </c>
      <c r="M769" s="2" t="s">
        <v>7564</v>
      </c>
      <c r="N769" s="3" t="s">
        <v>511</v>
      </c>
      <c r="O769" s="2" t="s">
        <v>7565</v>
      </c>
      <c r="P769" s="3" t="s">
        <v>102</v>
      </c>
      <c r="R769" s="3" t="s">
        <v>70</v>
      </c>
      <c r="S769" s="4">
        <v>10</v>
      </c>
      <c r="T769" s="4">
        <v>126</v>
      </c>
      <c r="U769" s="5" t="s">
        <v>7579</v>
      </c>
      <c r="V769" s="5" t="s">
        <v>3344</v>
      </c>
      <c r="W769" s="5" t="s">
        <v>72</v>
      </c>
      <c r="X769" s="5" t="s">
        <v>72</v>
      </c>
      <c r="Y769" s="4">
        <v>2842</v>
      </c>
      <c r="Z769" s="4">
        <v>92</v>
      </c>
      <c r="AA769" s="4">
        <v>92</v>
      </c>
      <c r="AB769" s="4">
        <v>6</v>
      </c>
      <c r="AC769" s="4">
        <v>6</v>
      </c>
      <c r="AD769" s="4">
        <v>139</v>
      </c>
      <c r="AE769" s="4">
        <v>139</v>
      </c>
      <c r="AF769" s="4">
        <v>2</v>
      </c>
      <c r="AG769" s="4">
        <v>2</v>
      </c>
      <c r="AH769" s="4">
        <v>105</v>
      </c>
      <c r="AI769" s="4">
        <v>105</v>
      </c>
      <c r="AJ769" s="4">
        <v>16</v>
      </c>
      <c r="AK769" s="4">
        <v>16</v>
      </c>
      <c r="AL769" s="4">
        <v>61</v>
      </c>
      <c r="AM769" s="4">
        <v>61</v>
      </c>
      <c r="AN769" s="4">
        <v>0</v>
      </c>
      <c r="AO769" s="4">
        <v>0</v>
      </c>
      <c r="AP769" s="4">
        <v>33</v>
      </c>
      <c r="AQ769" s="4">
        <v>33</v>
      </c>
      <c r="AR769" s="3" t="s">
        <v>64</v>
      </c>
      <c r="AS769" s="3" t="s">
        <v>64</v>
      </c>
      <c r="AT769" s="3" t="s">
        <v>64</v>
      </c>
      <c r="AV769" s="6" t="str">
        <f t="shared" si="22"/>
        <v>Catalog Record</v>
      </c>
      <c r="AW769" s="6" t="str">
        <f t="shared" si="23"/>
        <v>WorldCat Record</v>
      </c>
      <c r="AX769" s="3" t="s">
        <v>7567</v>
      </c>
      <c r="AY769" s="3" t="s">
        <v>7568</v>
      </c>
      <c r="AZ769" s="3" t="s">
        <v>7569</v>
      </c>
      <c r="BA769" s="3" t="s">
        <v>7569</v>
      </c>
      <c r="BB769" s="3" t="s">
        <v>7580</v>
      </c>
      <c r="BC769" s="3" t="s">
        <v>77</v>
      </c>
      <c r="BD769" s="3" t="s">
        <v>165</v>
      </c>
      <c r="BE769" s="3" t="s">
        <v>7571</v>
      </c>
      <c r="BF769" s="3" t="s">
        <v>7580</v>
      </c>
      <c r="BG769" s="3" t="s">
        <v>7581</v>
      </c>
      <c r="BH769">
        <f t="shared" si="21"/>
        <v>0</v>
      </c>
    </row>
    <row r="770" spans="1:60" ht="58" x14ac:dyDescent="0.35">
      <c r="A770" s="2" t="s">
        <v>59</v>
      </c>
      <c r="B770" s="2" t="s">
        <v>60</v>
      </c>
      <c r="C770" s="2" t="s">
        <v>7562</v>
      </c>
      <c r="D770" s="2" t="s">
        <v>7563</v>
      </c>
      <c r="E770" s="2" t="s">
        <v>7450</v>
      </c>
      <c r="G770" s="3" t="s">
        <v>64</v>
      </c>
      <c r="I770" s="3" t="s">
        <v>128</v>
      </c>
      <c r="J770" s="3" t="s">
        <v>64</v>
      </c>
      <c r="K770" s="3" t="s">
        <v>65</v>
      </c>
      <c r="M770" s="2" t="s">
        <v>7564</v>
      </c>
      <c r="N770" s="3" t="s">
        <v>511</v>
      </c>
      <c r="O770" s="2" t="s">
        <v>7565</v>
      </c>
      <c r="P770" s="3" t="s">
        <v>102</v>
      </c>
      <c r="R770" s="3" t="s">
        <v>70</v>
      </c>
      <c r="S770" s="4">
        <v>8</v>
      </c>
      <c r="T770" s="4">
        <v>126</v>
      </c>
      <c r="U770" s="5" t="s">
        <v>3344</v>
      </c>
      <c r="V770" s="5" t="s">
        <v>3344</v>
      </c>
      <c r="W770" s="5" t="s">
        <v>72</v>
      </c>
      <c r="X770" s="5" t="s">
        <v>72</v>
      </c>
      <c r="Y770" s="4">
        <v>2842</v>
      </c>
      <c r="Z770" s="4">
        <v>92</v>
      </c>
      <c r="AA770" s="4">
        <v>92</v>
      </c>
      <c r="AB770" s="4">
        <v>6</v>
      </c>
      <c r="AC770" s="4">
        <v>6</v>
      </c>
      <c r="AD770" s="4">
        <v>139</v>
      </c>
      <c r="AE770" s="4">
        <v>139</v>
      </c>
      <c r="AF770" s="4">
        <v>2</v>
      </c>
      <c r="AG770" s="4">
        <v>2</v>
      </c>
      <c r="AH770" s="4">
        <v>105</v>
      </c>
      <c r="AI770" s="4">
        <v>105</v>
      </c>
      <c r="AJ770" s="4">
        <v>16</v>
      </c>
      <c r="AK770" s="4">
        <v>16</v>
      </c>
      <c r="AL770" s="4">
        <v>61</v>
      </c>
      <c r="AM770" s="4">
        <v>61</v>
      </c>
      <c r="AN770" s="4">
        <v>0</v>
      </c>
      <c r="AO770" s="4">
        <v>0</v>
      </c>
      <c r="AP770" s="4">
        <v>33</v>
      </c>
      <c r="AQ770" s="4">
        <v>33</v>
      </c>
      <c r="AR770" s="3" t="s">
        <v>64</v>
      </c>
      <c r="AS770" s="3" t="s">
        <v>64</v>
      </c>
      <c r="AT770" s="3" t="s">
        <v>64</v>
      </c>
      <c r="AV770" s="6" t="str">
        <f t="shared" si="22"/>
        <v>Catalog Record</v>
      </c>
      <c r="AW770" s="6" t="str">
        <f t="shared" si="23"/>
        <v>WorldCat Record</v>
      </c>
      <c r="AX770" s="3" t="s">
        <v>7567</v>
      </c>
      <c r="AY770" s="3" t="s">
        <v>7568</v>
      </c>
      <c r="AZ770" s="3" t="s">
        <v>7569</v>
      </c>
      <c r="BA770" s="3" t="s">
        <v>7569</v>
      </c>
      <c r="BB770" s="3" t="s">
        <v>7582</v>
      </c>
      <c r="BC770" s="3" t="s">
        <v>77</v>
      </c>
      <c r="BD770" s="3" t="s">
        <v>78</v>
      </c>
      <c r="BE770" s="3" t="s">
        <v>7571</v>
      </c>
      <c r="BF770" s="3" t="s">
        <v>7582</v>
      </c>
      <c r="BG770" s="3" t="s">
        <v>7583</v>
      </c>
      <c r="BH770">
        <f t="shared" ref="BH770:BH833" si="24">IF(COUNTIF($BF$1:$BF$5431,BF770)=1,0,1)</f>
        <v>0</v>
      </c>
    </row>
    <row r="771" spans="1:60" ht="58" x14ac:dyDescent="0.35">
      <c r="A771" s="2" t="s">
        <v>1040</v>
      </c>
      <c r="B771" s="2" t="s">
        <v>60</v>
      </c>
      <c r="C771" s="2" t="s">
        <v>7562</v>
      </c>
      <c r="D771" s="2" t="s">
        <v>7563</v>
      </c>
      <c r="E771" s="2" t="s">
        <v>7450</v>
      </c>
      <c r="G771" s="3" t="s">
        <v>64</v>
      </c>
      <c r="I771" s="3" t="s">
        <v>128</v>
      </c>
      <c r="J771" s="3" t="s">
        <v>64</v>
      </c>
      <c r="K771" s="3" t="s">
        <v>65</v>
      </c>
      <c r="M771" s="2" t="s">
        <v>7564</v>
      </c>
      <c r="N771" s="3" t="s">
        <v>511</v>
      </c>
      <c r="O771" s="2" t="s">
        <v>7565</v>
      </c>
      <c r="P771" s="3" t="s">
        <v>102</v>
      </c>
      <c r="R771" s="3" t="s">
        <v>70</v>
      </c>
      <c r="S771" s="4">
        <v>1</v>
      </c>
      <c r="T771" s="4">
        <v>126</v>
      </c>
      <c r="U771" s="5" t="s">
        <v>7584</v>
      </c>
      <c r="V771" s="5" t="s">
        <v>3344</v>
      </c>
      <c r="W771" s="5" t="s">
        <v>72</v>
      </c>
      <c r="X771" s="5" t="s">
        <v>72</v>
      </c>
      <c r="Y771" s="4">
        <v>2842</v>
      </c>
      <c r="Z771" s="4">
        <v>92</v>
      </c>
      <c r="AA771" s="4">
        <v>92</v>
      </c>
      <c r="AB771" s="4">
        <v>6</v>
      </c>
      <c r="AC771" s="4">
        <v>6</v>
      </c>
      <c r="AD771" s="4">
        <v>139</v>
      </c>
      <c r="AE771" s="4">
        <v>139</v>
      </c>
      <c r="AF771" s="4">
        <v>2</v>
      </c>
      <c r="AG771" s="4">
        <v>2</v>
      </c>
      <c r="AH771" s="4">
        <v>105</v>
      </c>
      <c r="AI771" s="4">
        <v>105</v>
      </c>
      <c r="AJ771" s="4">
        <v>16</v>
      </c>
      <c r="AK771" s="4">
        <v>16</v>
      </c>
      <c r="AL771" s="4">
        <v>61</v>
      </c>
      <c r="AM771" s="4">
        <v>61</v>
      </c>
      <c r="AN771" s="4">
        <v>0</v>
      </c>
      <c r="AO771" s="4">
        <v>0</v>
      </c>
      <c r="AP771" s="4">
        <v>33</v>
      </c>
      <c r="AQ771" s="4">
        <v>33</v>
      </c>
      <c r="AR771" s="3" t="s">
        <v>64</v>
      </c>
      <c r="AS771" s="3" t="s">
        <v>64</v>
      </c>
      <c r="AT771" s="3" t="s">
        <v>64</v>
      </c>
      <c r="AV771" s="6" t="str">
        <f t="shared" si="22"/>
        <v>Catalog Record</v>
      </c>
      <c r="AW771" s="6" t="str">
        <f t="shared" si="23"/>
        <v>WorldCat Record</v>
      </c>
      <c r="AX771" s="3" t="s">
        <v>7567</v>
      </c>
      <c r="AY771" s="3" t="s">
        <v>7568</v>
      </c>
      <c r="AZ771" s="3" t="s">
        <v>7569</v>
      </c>
      <c r="BA771" s="3" t="s">
        <v>7569</v>
      </c>
      <c r="BB771" s="3" t="s">
        <v>7585</v>
      </c>
      <c r="BC771" s="3" t="s">
        <v>77</v>
      </c>
      <c r="BD771" s="3" t="s">
        <v>78</v>
      </c>
      <c r="BE771" s="3" t="s">
        <v>7571</v>
      </c>
      <c r="BF771" s="3" t="s">
        <v>7585</v>
      </c>
      <c r="BG771" s="3" t="s">
        <v>7586</v>
      </c>
      <c r="BH771">
        <f t="shared" si="24"/>
        <v>0</v>
      </c>
    </row>
    <row r="772" spans="1:60" ht="58" x14ac:dyDescent="0.35">
      <c r="A772" s="2" t="s">
        <v>59</v>
      </c>
      <c r="B772" s="2" t="s">
        <v>60</v>
      </c>
      <c r="C772" s="2" t="s">
        <v>7587</v>
      </c>
      <c r="D772" s="2" t="s">
        <v>7588</v>
      </c>
      <c r="E772" s="2" t="s">
        <v>7450</v>
      </c>
      <c r="G772" s="3" t="s">
        <v>64</v>
      </c>
      <c r="I772" s="3" t="s">
        <v>128</v>
      </c>
      <c r="J772" s="3" t="s">
        <v>64</v>
      </c>
      <c r="K772" s="3" t="s">
        <v>65</v>
      </c>
      <c r="M772" s="2" t="s">
        <v>7589</v>
      </c>
      <c r="N772" s="3" t="s">
        <v>578</v>
      </c>
      <c r="O772" s="2" t="s">
        <v>7590</v>
      </c>
      <c r="P772" s="3" t="s">
        <v>102</v>
      </c>
      <c r="R772" s="3" t="s">
        <v>70</v>
      </c>
      <c r="S772" s="4">
        <v>5</v>
      </c>
      <c r="T772" s="4">
        <v>41</v>
      </c>
      <c r="U772" s="5" t="s">
        <v>7591</v>
      </c>
      <c r="V772" s="5" t="s">
        <v>7592</v>
      </c>
      <c r="W772" s="5" t="s">
        <v>72</v>
      </c>
      <c r="X772" s="5" t="s">
        <v>72</v>
      </c>
      <c r="Y772" s="4">
        <v>1966</v>
      </c>
      <c r="Z772" s="4">
        <v>73</v>
      </c>
      <c r="AA772" s="4">
        <v>83</v>
      </c>
      <c r="AB772" s="4">
        <v>6</v>
      </c>
      <c r="AC772" s="4">
        <v>10</v>
      </c>
      <c r="AD772" s="4">
        <v>123</v>
      </c>
      <c r="AE772" s="4">
        <v>137</v>
      </c>
      <c r="AF772" s="4">
        <v>2</v>
      </c>
      <c r="AG772" s="4">
        <v>6</v>
      </c>
      <c r="AH772" s="4">
        <v>96</v>
      </c>
      <c r="AI772" s="4">
        <v>102</v>
      </c>
      <c r="AJ772" s="4">
        <v>16</v>
      </c>
      <c r="AK772" s="4">
        <v>21</v>
      </c>
      <c r="AL772" s="4">
        <v>53</v>
      </c>
      <c r="AM772" s="4">
        <v>55</v>
      </c>
      <c r="AN772" s="4">
        <v>0</v>
      </c>
      <c r="AO772" s="4">
        <v>0</v>
      </c>
      <c r="AP772" s="4">
        <v>32</v>
      </c>
      <c r="AQ772" s="4">
        <v>40</v>
      </c>
      <c r="AR772" s="3" t="s">
        <v>64</v>
      </c>
      <c r="AS772" s="3" t="s">
        <v>64</v>
      </c>
      <c r="AT772" s="3" t="s">
        <v>64</v>
      </c>
      <c r="AV772" s="6" t="str">
        <f t="shared" ref="AV772:AV779" si="25">HYPERLINK("http://mcgill.on.worldcat.org/oclc/988171830","Catalog Record")</f>
        <v>Catalog Record</v>
      </c>
      <c r="AW772" s="6" t="str">
        <f t="shared" ref="AW772:AW779" si="26">HYPERLINK("http://www.worldcat.org/oclc/988171830","WorldCat Record")</f>
        <v>WorldCat Record</v>
      </c>
      <c r="AX772" s="3" t="s">
        <v>7593</v>
      </c>
      <c r="AY772" s="3" t="s">
        <v>7594</v>
      </c>
      <c r="AZ772" s="3" t="s">
        <v>7595</v>
      </c>
      <c r="BA772" s="3" t="s">
        <v>7595</v>
      </c>
      <c r="BB772" s="3" t="s">
        <v>7596</v>
      </c>
      <c r="BC772" s="3" t="s">
        <v>77</v>
      </c>
      <c r="BD772" s="3" t="s">
        <v>78</v>
      </c>
      <c r="BE772" s="3" t="s">
        <v>7597</v>
      </c>
      <c r="BF772" s="3" t="s">
        <v>7596</v>
      </c>
      <c r="BG772" s="3" t="s">
        <v>7598</v>
      </c>
      <c r="BH772">
        <f t="shared" si="24"/>
        <v>0</v>
      </c>
    </row>
    <row r="773" spans="1:60" ht="58" x14ac:dyDescent="0.35">
      <c r="A773" s="2" t="s">
        <v>59</v>
      </c>
      <c r="B773" s="2" t="s">
        <v>60</v>
      </c>
      <c r="C773" s="2" t="s">
        <v>7587</v>
      </c>
      <c r="D773" s="2" t="s">
        <v>7588</v>
      </c>
      <c r="E773" s="2" t="s">
        <v>7450</v>
      </c>
      <c r="G773" s="3" t="s">
        <v>64</v>
      </c>
      <c r="I773" s="3" t="s">
        <v>128</v>
      </c>
      <c r="J773" s="3" t="s">
        <v>64</v>
      </c>
      <c r="K773" s="3" t="s">
        <v>65</v>
      </c>
      <c r="M773" s="2" t="s">
        <v>7589</v>
      </c>
      <c r="N773" s="3" t="s">
        <v>578</v>
      </c>
      <c r="O773" s="2" t="s">
        <v>7590</v>
      </c>
      <c r="P773" s="3" t="s">
        <v>102</v>
      </c>
      <c r="R773" s="3" t="s">
        <v>70</v>
      </c>
      <c r="S773" s="4">
        <v>6</v>
      </c>
      <c r="T773" s="4">
        <v>41</v>
      </c>
      <c r="U773" s="5" t="s">
        <v>7592</v>
      </c>
      <c r="V773" s="5" t="s">
        <v>7592</v>
      </c>
      <c r="W773" s="5" t="s">
        <v>72</v>
      </c>
      <c r="X773" s="5" t="s">
        <v>72</v>
      </c>
      <c r="Y773" s="4">
        <v>1966</v>
      </c>
      <c r="Z773" s="4">
        <v>73</v>
      </c>
      <c r="AA773" s="4">
        <v>83</v>
      </c>
      <c r="AB773" s="4">
        <v>6</v>
      </c>
      <c r="AC773" s="4">
        <v>10</v>
      </c>
      <c r="AD773" s="4">
        <v>123</v>
      </c>
      <c r="AE773" s="4">
        <v>137</v>
      </c>
      <c r="AF773" s="4">
        <v>2</v>
      </c>
      <c r="AG773" s="4">
        <v>6</v>
      </c>
      <c r="AH773" s="4">
        <v>96</v>
      </c>
      <c r="AI773" s="4">
        <v>102</v>
      </c>
      <c r="AJ773" s="4">
        <v>16</v>
      </c>
      <c r="AK773" s="4">
        <v>21</v>
      </c>
      <c r="AL773" s="4">
        <v>53</v>
      </c>
      <c r="AM773" s="4">
        <v>55</v>
      </c>
      <c r="AN773" s="4">
        <v>0</v>
      </c>
      <c r="AO773" s="4">
        <v>0</v>
      </c>
      <c r="AP773" s="4">
        <v>32</v>
      </c>
      <c r="AQ773" s="4">
        <v>40</v>
      </c>
      <c r="AR773" s="3" t="s">
        <v>64</v>
      </c>
      <c r="AS773" s="3" t="s">
        <v>64</v>
      </c>
      <c r="AT773" s="3" t="s">
        <v>64</v>
      </c>
      <c r="AV773" s="6" t="str">
        <f t="shared" si="25"/>
        <v>Catalog Record</v>
      </c>
      <c r="AW773" s="6" t="str">
        <f t="shared" si="26"/>
        <v>WorldCat Record</v>
      </c>
      <c r="AX773" s="3" t="s">
        <v>7593</v>
      </c>
      <c r="AY773" s="3" t="s">
        <v>7594</v>
      </c>
      <c r="AZ773" s="3" t="s">
        <v>7595</v>
      </c>
      <c r="BA773" s="3" t="s">
        <v>7595</v>
      </c>
      <c r="BB773" s="3" t="s">
        <v>7599</v>
      </c>
      <c r="BC773" s="3" t="s">
        <v>77</v>
      </c>
      <c r="BD773" s="3" t="s">
        <v>78</v>
      </c>
      <c r="BE773" s="3" t="s">
        <v>7597</v>
      </c>
      <c r="BF773" s="3" t="s">
        <v>7599</v>
      </c>
      <c r="BG773" s="3" t="s">
        <v>7600</v>
      </c>
      <c r="BH773">
        <f t="shared" si="24"/>
        <v>0</v>
      </c>
    </row>
    <row r="774" spans="1:60" ht="58" x14ac:dyDescent="0.35">
      <c r="A774" s="2" t="s">
        <v>59</v>
      </c>
      <c r="B774" s="2" t="s">
        <v>60</v>
      </c>
      <c r="C774" s="2" t="s">
        <v>7587</v>
      </c>
      <c r="D774" s="2" t="s">
        <v>7588</v>
      </c>
      <c r="E774" s="2" t="s">
        <v>7450</v>
      </c>
      <c r="G774" s="3" t="s">
        <v>64</v>
      </c>
      <c r="I774" s="3" t="s">
        <v>128</v>
      </c>
      <c r="J774" s="3" t="s">
        <v>64</v>
      </c>
      <c r="K774" s="3" t="s">
        <v>65</v>
      </c>
      <c r="M774" s="2" t="s">
        <v>7589</v>
      </c>
      <c r="N774" s="3" t="s">
        <v>578</v>
      </c>
      <c r="O774" s="2" t="s">
        <v>7590</v>
      </c>
      <c r="P774" s="3" t="s">
        <v>102</v>
      </c>
      <c r="R774" s="3" t="s">
        <v>70</v>
      </c>
      <c r="S774" s="4">
        <v>3</v>
      </c>
      <c r="T774" s="4">
        <v>41</v>
      </c>
      <c r="U774" s="5" t="s">
        <v>2282</v>
      </c>
      <c r="V774" s="5" t="s">
        <v>7592</v>
      </c>
      <c r="W774" s="5" t="s">
        <v>72</v>
      </c>
      <c r="X774" s="5" t="s">
        <v>72</v>
      </c>
      <c r="Y774" s="4">
        <v>1966</v>
      </c>
      <c r="Z774" s="4">
        <v>73</v>
      </c>
      <c r="AA774" s="4">
        <v>83</v>
      </c>
      <c r="AB774" s="4">
        <v>6</v>
      </c>
      <c r="AC774" s="4">
        <v>10</v>
      </c>
      <c r="AD774" s="4">
        <v>123</v>
      </c>
      <c r="AE774" s="4">
        <v>137</v>
      </c>
      <c r="AF774" s="4">
        <v>2</v>
      </c>
      <c r="AG774" s="4">
        <v>6</v>
      </c>
      <c r="AH774" s="4">
        <v>96</v>
      </c>
      <c r="AI774" s="4">
        <v>102</v>
      </c>
      <c r="AJ774" s="4">
        <v>16</v>
      </c>
      <c r="AK774" s="4">
        <v>21</v>
      </c>
      <c r="AL774" s="4">
        <v>53</v>
      </c>
      <c r="AM774" s="4">
        <v>55</v>
      </c>
      <c r="AN774" s="4">
        <v>0</v>
      </c>
      <c r="AO774" s="4">
        <v>0</v>
      </c>
      <c r="AP774" s="4">
        <v>32</v>
      </c>
      <c r="AQ774" s="4">
        <v>40</v>
      </c>
      <c r="AR774" s="3" t="s">
        <v>64</v>
      </c>
      <c r="AS774" s="3" t="s">
        <v>64</v>
      </c>
      <c r="AT774" s="3" t="s">
        <v>64</v>
      </c>
      <c r="AV774" s="6" t="str">
        <f t="shared" si="25"/>
        <v>Catalog Record</v>
      </c>
      <c r="AW774" s="6" t="str">
        <f t="shared" si="26"/>
        <v>WorldCat Record</v>
      </c>
      <c r="AX774" s="3" t="s">
        <v>7593</v>
      </c>
      <c r="AY774" s="3" t="s">
        <v>7594</v>
      </c>
      <c r="AZ774" s="3" t="s">
        <v>7595</v>
      </c>
      <c r="BA774" s="3" t="s">
        <v>7595</v>
      </c>
      <c r="BB774" s="3" t="s">
        <v>7601</v>
      </c>
      <c r="BC774" s="3" t="s">
        <v>77</v>
      </c>
      <c r="BD774" s="3" t="s">
        <v>78</v>
      </c>
      <c r="BE774" s="3" t="s">
        <v>7597</v>
      </c>
      <c r="BF774" s="3" t="s">
        <v>7601</v>
      </c>
      <c r="BG774" s="3" t="s">
        <v>7602</v>
      </c>
      <c r="BH774">
        <f t="shared" si="24"/>
        <v>0</v>
      </c>
    </row>
    <row r="775" spans="1:60" ht="58" x14ac:dyDescent="0.35">
      <c r="A775" s="2" t="s">
        <v>59</v>
      </c>
      <c r="B775" s="2" t="s">
        <v>60</v>
      </c>
      <c r="C775" s="2" t="s">
        <v>7587</v>
      </c>
      <c r="D775" s="2" t="s">
        <v>7588</v>
      </c>
      <c r="E775" s="2" t="s">
        <v>7450</v>
      </c>
      <c r="G775" s="3" t="s">
        <v>64</v>
      </c>
      <c r="I775" s="3" t="s">
        <v>128</v>
      </c>
      <c r="J775" s="3" t="s">
        <v>64</v>
      </c>
      <c r="K775" s="3" t="s">
        <v>65</v>
      </c>
      <c r="M775" s="2" t="s">
        <v>7589</v>
      </c>
      <c r="N775" s="3" t="s">
        <v>578</v>
      </c>
      <c r="O775" s="2" t="s">
        <v>7590</v>
      </c>
      <c r="P775" s="3" t="s">
        <v>102</v>
      </c>
      <c r="R775" s="3" t="s">
        <v>70</v>
      </c>
      <c r="S775" s="4">
        <v>3</v>
      </c>
      <c r="T775" s="4">
        <v>41</v>
      </c>
      <c r="V775" s="5" t="s">
        <v>7592</v>
      </c>
      <c r="W775" s="5" t="s">
        <v>72</v>
      </c>
      <c r="X775" s="5" t="s">
        <v>72</v>
      </c>
      <c r="Y775" s="4">
        <v>1966</v>
      </c>
      <c r="Z775" s="4">
        <v>73</v>
      </c>
      <c r="AA775" s="4">
        <v>83</v>
      </c>
      <c r="AB775" s="4">
        <v>6</v>
      </c>
      <c r="AC775" s="4">
        <v>10</v>
      </c>
      <c r="AD775" s="4">
        <v>123</v>
      </c>
      <c r="AE775" s="4">
        <v>137</v>
      </c>
      <c r="AF775" s="4">
        <v>2</v>
      </c>
      <c r="AG775" s="4">
        <v>6</v>
      </c>
      <c r="AH775" s="4">
        <v>96</v>
      </c>
      <c r="AI775" s="4">
        <v>102</v>
      </c>
      <c r="AJ775" s="4">
        <v>16</v>
      </c>
      <c r="AK775" s="4">
        <v>21</v>
      </c>
      <c r="AL775" s="4">
        <v>53</v>
      </c>
      <c r="AM775" s="4">
        <v>55</v>
      </c>
      <c r="AN775" s="4">
        <v>0</v>
      </c>
      <c r="AO775" s="4">
        <v>0</v>
      </c>
      <c r="AP775" s="4">
        <v>32</v>
      </c>
      <c r="AQ775" s="4">
        <v>40</v>
      </c>
      <c r="AR775" s="3" t="s">
        <v>64</v>
      </c>
      <c r="AS775" s="3" t="s">
        <v>64</v>
      </c>
      <c r="AT775" s="3" t="s">
        <v>64</v>
      </c>
      <c r="AV775" s="6" t="str">
        <f t="shared" si="25"/>
        <v>Catalog Record</v>
      </c>
      <c r="AW775" s="6" t="str">
        <f t="shared" si="26"/>
        <v>WorldCat Record</v>
      </c>
      <c r="AX775" s="3" t="s">
        <v>7593</v>
      </c>
      <c r="AY775" s="3" t="s">
        <v>7594</v>
      </c>
      <c r="AZ775" s="3" t="s">
        <v>7595</v>
      </c>
      <c r="BA775" s="3" t="s">
        <v>7595</v>
      </c>
      <c r="BB775" s="3" t="s">
        <v>7603</v>
      </c>
      <c r="BC775" s="3" t="s">
        <v>77</v>
      </c>
      <c r="BD775" s="3" t="s">
        <v>165</v>
      </c>
      <c r="BE775" s="3" t="s">
        <v>7597</v>
      </c>
      <c r="BF775" s="3" t="s">
        <v>7603</v>
      </c>
      <c r="BG775" s="3" t="s">
        <v>7604</v>
      </c>
      <c r="BH775">
        <f t="shared" si="24"/>
        <v>0</v>
      </c>
    </row>
    <row r="776" spans="1:60" ht="58" x14ac:dyDescent="0.35">
      <c r="A776" s="2" t="s">
        <v>59</v>
      </c>
      <c r="B776" s="2" t="s">
        <v>60</v>
      </c>
      <c r="C776" s="2" t="s">
        <v>7587</v>
      </c>
      <c r="D776" s="2" t="s">
        <v>7588</v>
      </c>
      <c r="E776" s="2" t="s">
        <v>7450</v>
      </c>
      <c r="G776" s="3" t="s">
        <v>64</v>
      </c>
      <c r="I776" s="3" t="s">
        <v>128</v>
      </c>
      <c r="J776" s="3" t="s">
        <v>64</v>
      </c>
      <c r="K776" s="3" t="s">
        <v>65</v>
      </c>
      <c r="M776" s="2" t="s">
        <v>7589</v>
      </c>
      <c r="N776" s="3" t="s">
        <v>578</v>
      </c>
      <c r="O776" s="2" t="s">
        <v>7590</v>
      </c>
      <c r="P776" s="3" t="s">
        <v>102</v>
      </c>
      <c r="R776" s="3" t="s">
        <v>70</v>
      </c>
      <c r="S776" s="4">
        <v>19</v>
      </c>
      <c r="T776" s="4">
        <v>41</v>
      </c>
      <c r="U776" s="5" t="s">
        <v>2317</v>
      </c>
      <c r="V776" s="5" t="s">
        <v>7592</v>
      </c>
      <c r="W776" s="5" t="s">
        <v>72</v>
      </c>
      <c r="X776" s="5" t="s">
        <v>72</v>
      </c>
      <c r="Y776" s="4">
        <v>1966</v>
      </c>
      <c r="Z776" s="4">
        <v>73</v>
      </c>
      <c r="AA776" s="4">
        <v>83</v>
      </c>
      <c r="AB776" s="4">
        <v>6</v>
      </c>
      <c r="AC776" s="4">
        <v>10</v>
      </c>
      <c r="AD776" s="4">
        <v>123</v>
      </c>
      <c r="AE776" s="4">
        <v>137</v>
      </c>
      <c r="AF776" s="4">
        <v>2</v>
      </c>
      <c r="AG776" s="4">
        <v>6</v>
      </c>
      <c r="AH776" s="4">
        <v>96</v>
      </c>
      <c r="AI776" s="4">
        <v>102</v>
      </c>
      <c r="AJ776" s="4">
        <v>16</v>
      </c>
      <c r="AK776" s="4">
        <v>21</v>
      </c>
      <c r="AL776" s="4">
        <v>53</v>
      </c>
      <c r="AM776" s="4">
        <v>55</v>
      </c>
      <c r="AN776" s="4">
        <v>0</v>
      </c>
      <c r="AO776" s="4">
        <v>0</v>
      </c>
      <c r="AP776" s="4">
        <v>32</v>
      </c>
      <c r="AQ776" s="4">
        <v>40</v>
      </c>
      <c r="AR776" s="3" t="s">
        <v>64</v>
      </c>
      <c r="AS776" s="3" t="s">
        <v>64</v>
      </c>
      <c r="AT776" s="3" t="s">
        <v>64</v>
      </c>
      <c r="AV776" s="6" t="str">
        <f t="shared" si="25"/>
        <v>Catalog Record</v>
      </c>
      <c r="AW776" s="6" t="str">
        <f t="shared" si="26"/>
        <v>WorldCat Record</v>
      </c>
      <c r="AX776" s="3" t="s">
        <v>7593</v>
      </c>
      <c r="AY776" s="3" t="s">
        <v>7594</v>
      </c>
      <c r="AZ776" s="3" t="s">
        <v>7595</v>
      </c>
      <c r="BA776" s="3" t="s">
        <v>7595</v>
      </c>
      <c r="BB776" s="3" t="s">
        <v>7605</v>
      </c>
      <c r="BC776" s="3" t="s">
        <v>77</v>
      </c>
      <c r="BD776" s="3" t="s">
        <v>165</v>
      </c>
      <c r="BE776" s="3" t="s">
        <v>7597</v>
      </c>
      <c r="BF776" s="3" t="s">
        <v>7605</v>
      </c>
      <c r="BG776" s="3" t="s">
        <v>7606</v>
      </c>
      <c r="BH776">
        <f t="shared" si="24"/>
        <v>0</v>
      </c>
    </row>
    <row r="777" spans="1:60" ht="58" x14ac:dyDescent="0.35">
      <c r="A777" s="2" t="s">
        <v>59</v>
      </c>
      <c r="B777" s="2" t="s">
        <v>7607</v>
      </c>
      <c r="C777" s="2" t="s">
        <v>7587</v>
      </c>
      <c r="D777" s="2" t="s">
        <v>7588</v>
      </c>
      <c r="E777" s="2" t="s">
        <v>7450</v>
      </c>
      <c r="G777" s="3" t="s">
        <v>64</v>
      </c>
      <c r="I777" s="3" t="s">
        <v>128</v>
      </c>
      <c r="J777" s="3" t="s">
        <v>64</v>
      </c>
      <c r="K777" s="3" t="s">
        <v>65</v>
      </c>
      <c r="M777" s="2" t="s">
        <v>7589</v>
      </c>
      <c r="N777" s="3" t="s">
        <v>578</v>
      </c>
      <c r="O777" s="2" t="s">
        <v>7590</v>
      </c>
      <c r="P777" s="3" t="s">
        <v>102</v>
      </c>
      <c r="R777" s="3" t="s">
        <v>70</v>
      </c>
      <c r="S777" s="4">
        <v>1</v>
      </c>
      <c r="T777" s="4">
        <v>41</v>
      </c>
      <c r="U777" s="5" t="s">
        <v>7608</v>
      </c>
      <c r="V777" s="5" t="s">
        <v>7592</v>
      </c>
      <c r="W777" s="5" t="s">
        <v>72</v>
      </c>
      <c r="X777" s="5" t="s">
        <v>72</v>
      </c>
      <c r="Y777" s="4">
        <v>1966</v>
      </c>
      <c r="Z777" s="4">
        <v>73</v>
      </c>
      <c r="AA777" s="4">
        <v>83</v>
      </c>
      <c r="AB777" s="4">
        <v>6</v>
      </c>
      <c r="AC777" s="4">
        <v>10</v>
      </c>
      <c r="AD777" s="4">
        <v>123</v>
      </c>
      <c r="AE777" s="4">
        <v>137</v>
      </c>
      <c r="AF777" s="4">
        <v>2</v>
      </c>
      <c r="AG777" s="4">
        <v>6</v>
      </c>
      <c r="AH777" s="4">
        <v>96</v>
      </c>
      <c r="AI777" s="4">
        <v>102</v>
      </c>
      <c r="AJ777" s="4">
        <v>16</v>
      </c>
      <c r="AK777" s="4">
        <v>21</v>
      </c>
      <c r="AL777" s="4">
        <v>53</v>
      </c>
      <c r="AM777" s="4">
        <v>55</v>
      </c>
      <c r="AN777" s="4">
        <v>0</v>
      </c>
      <c r="AO777" s="4">
        <v>0</v>
      </c>
      <c r="AP777" s="4">
        <v>32</v>
      </c>
      <c r="AQ777" s="4">
        <v>40</v>
      </c>
      <c r="AR777" s="3" t="s">
        <v>64</v>
      </c>
      <c r="AS777" s="3" t="s">
        <v>64</v>
      </c>
      <c r="AT777" s="3" t="s">
        <v>64</v>
      </c>
      <c r="AV777" s="6" t="str">
        <f t="shared" si="25"/>
        <v>Catalog Record</v>
      </c>
      <c r="AW777" s="6" t="str">
        <f t="shared" si="26"/>
        <v>WorldCat Record</v>
      </c>
      <c r="AX777" s="3" t="s">
        <v>7593</v>
      </c>
      <c r="AY777" s="3" t="s">
        <v>7594</v>
      </c>
      <c r="AZ777" s="3" t="s">
        <v>7595</v>
      </c>
      <c r="BA777" s="3" t="s">
        <v>7595</v>
      </c>
      <c r="BB777" s="3" t="s">
        <v>7609</v>
      </c>
      <c r="BC777" s="3" t="s">
        <v>77</v>
      </c>
      <c r="BD777" s="3" t="s">
        <v>78</v>
      </c>
      <c r="BE777" s="3" t="s">
        <v>7597</v>
      </c>
      <c r="BF777" s="3" t="s">
        <v>7609</v>
      </c>
      <c r="BG777" s="3" t="s">
        <v>7610</v>
      </c>
      <c r="BH777">
        <f t="shared" si="24"/>
        <v>0</v>
      </c>
    </row>
    <row r="778" spans="1:60" ht="58" x14ac:dyDescent="0.35">
      <c r="A778" s="2" t="s">
        <v>59</v>
      </c>
      <c r="B778" s="2" t="s">
        <v>60</v>
      </c>
      <c r="C778" s="2" t="s">
        <v>7587</v>
      </c>
      <c r="D778" s="2" t="s">
        <v>7588</v>
      </c>
      <c r="E778" s="2" t="s">
        <v>7450</v>
      </c>
      <c r="G778" s="3" t="s">
        <v>64</v>
      </c>
      <c r="I778" s="3" t="s">
        <v>128</v>
      </c>
      <c r="J778" s="3" t="s">
        <v>64</v>
      </c>
      <c r="K778" s="3" t="s">
        <v>65</v>
      </c>
      <c r="M778" s="2" t="s">
        <v>7589</v>
      </c>
      <c r="N778" s="3" t="s">
        <v>578</v>
      </c>
      <c r="O778" s="2" t="s">
        <v>7590</v>
      </c>
      <c r="P778" s="3" t="s">
        <v>102</v>
      </c>
      <c r="R778" s="3" t="s">
        <v>70</v>
      </c>
      <c r="S778" s="4">
        <v>2</v>
      </c>
      <c r="T778" s="4">
        <v>41</v>
      </c>
      <c r="U778" s="5" t="s">
        <v>7611</v>
      </c>
      <c r="V778" s="5" t="s">
        <v>7592</v>
      </c>
      <c r="W778" s="5" t="s">
        <v>72</v>
      </c>
      <c r="X778" s="5" t="s">
        <v>72</v>
      </c>
      <c r="Y778" s="4">
        <v>1966</v>
      </c>
      <c r="Z778" s="4">
        <v>73</v>
      </c>
      <c r="AA778" s="4">
        <v>83</v>
      </c>
      <c r="AB778" s="4">
        <v>6</v>
      </c>
      <c r="AC778" s="4">
        <v>10</v>
      </c>
      <c r="AD778" s="4">
        <v>123</v>
      </c>
      <c r="AE778" s="4">
        <v>137</v>
      </c>
      <c r="AF778" s="4">
        <v>2</v>
      </c>
      <c r="AG778" s="4">
        <v>6</v>
      </c>
      <c r="AH778" s="4">
        <v>96</v>
      </c>
      <c r="AI778" s="4">
        <v>102</v>
      </c>
      <c r="AJ778" s="4">
        <v>16</v>
      </c>
      <c r="AK778" s="4">
        <v>21</v>
      </c>
      <c r="AL778" s="4">
        <v>53</v>
      </c>
      <c r="AM778" s="4">
        <v>55</v>
      </c>
      <c r="AN778" s="4">
        <v>0</v>
      </c>
      <c r="AO778" s="4">
        <v>0</v>
      </c>
      <c r="AP778" s="4">
        <v>32</v>
      </c>
      <c r="AQ778" s="4">
        <v>40</v>
      </c>
      <c r="AR778" s="3" t="s">
        <v>64</v>
      </c>
      <c r="AS778" s="3" t="s">
        <v>64</v>
      </c>
      <c r="AT778" s="3" t="s">
        <v>64</v>
      </c>
      <c r="AV778" s="6" t="str">
        <f t="shared" si="25"/>
        <v>Catalog Record</v>
      </c>
      <c r="AW778" s="6" t="str">
        <f t="shared" si="26"/>
        <v>WorldCat Record</v>
      </c>
      <c r="AX778" s="3" t="s">
        <v>7593</v>
      </c>
      <c r="AY778" s="3" t="s">
        <v>7594</v>
      </c>
      <c r="AZ778" s="3" t="s">
        <v>7595</v>
      </c>
      <c r="BA778" s="3" t="s">
        <v>7595</v>
      </c>
      <c r="BB778" s="3" t="s">
        <v>7612</v>
      </c>
      <c r="BC778" s="3" t="s">
        <v>77</v>
      </c>
      <c r="BD778" s="3" t="s">
        <v>78</v>
      </c>
      <c r="BE778" s="3" t="s">
        <v>7597</v>
      </c>
      <c r="BF778" s="3" t="s">
        <v>7612</v>
      </c>
      <c r="BG778" s="3" t="s">
        <v>7613</v>
      </c>
      <c r="BH778">
        <f t="shared" si="24"/>
        <v>0</v>
      </c>
    </row>
    <row r="779" spans="1:60" ht="58" x14ac:dyDescent="0.35">
      <c r="A779" s="2" t="s">
        <v>59</v>
      </c>
      <c r="B779" s="2" t="s">
        <v>60</v>
      </c>
      <c r="C779" s="2" t="s">
        <v>7587</v>
      </c>
      <c r="D779" s="2" t="s">
        <v>7588</v>
      </c>
      <c r="E779" s="2" t="s">
        <v>7450</v>
      </c>
      <c r="G779" s="3" t="s">
        <v>64</v>
      </c>
      <c r="I779" s="3" t="s">
        <v>128</v>
      </c>
      <c r="J779" s="3" t="s">
        <v>64</v>
      </c>
      <c r="K779" s="3" t="s">
        <v>65</v>
      </c>
      <c r="M779" s="2" t="s">
        <v>7589</v>
      </c>
      <c r="N779" s="3" t="s">
        <v>578</v>
      </c>
      <c r="O779" s="2" t="s">
        <v>7590</v>
      </c>
      <c r="P779" s="3" t="s">
        <v>102</v>
      </c>
      <c r="R779" s="3" t="s">
        <v>70</v>
      </c>
      <c r="S779" s="4">
        <v>2</v>
      </c>
      <c r="T779" s="4">
        <v>41</v>
      </c>
      <c r="U779" s="5" t="s">
        <v>7614</v>
      </c>
      <c r="V779" s="5" t="s">
        <v>7592</v>
      </c>
      <c r="W779" s="5" t="s">
        <v>72</v>
      </c>
      <c r="X779" s="5" t="s">
        <v>72</v>
      </c>
      <c r="Y779" s="4">
        <v>1966</v>
      </c>
      <c r="Z779" s="4">
        <v>73</v>
      </c>
      <c r="AA779" s="4">
        <v>83</v>
      </c>
      <c r="AB779" s="4">
        <v>6</v>
      </c>
      <c r="AC779" s="4">
        <v>10</v>
      </c>
      <c r="AD779" s="4">
        <v>123</v>
      </c>
      <c r="AE779" s="4">
        <v>137</v>
      </c>
      <c r="AF779" s="4">
        <v>2</v>
      </c>
      <c r="AG779" s="4">
        <v>6</v>
      </c>
      <c r="AH779" s="4">
        <v>96</v>
      </c>
      <c r="AI779" s="4">
        <v>102</v>
      </c>
      <c r="AJ779" s="4">
        <v>16</v>
      </c>
      <c r="AK779" s="4">
        <v>21</v>
      </c>
      <c r="AL779" s="4">
        <v>53</v>
      </c>
      <c r="AM779" s="4">
        <v>55</v>
      </c>
      <c r="AN779" s="4">
        <v>0</v>
      </c>
      <c r="AO779" s="4">
        <v>0</v>
      </c>
      <c r="AP779" s="4">
        <v>32</v>
      </c>
      <c r="AQ779" s="4">
        <v>40</v>
      </c>
      <c r="AR779" s="3" t="s">
        <v>64</v>
      </c>
      <c r="AS779" s="3" t="s">
        <v>64</v>
      </c>
      <c r="AT779" s="3" t="s">
        <v>64</v>
      </c>
      <c r="AV779" s="6" t="str">
        <f t="shared" si="25"/>
        <v>Catalog Record</v>
      </c>
      <c r="AW779" s="6" t="str">
        <f t="shared" si="26"/>
        <v>WorldCat Record</v>
      </c>
      <c r="AX779" s="3" t="s">
        <v>7593</v>
      </c>
      <c r="AY779" s="3" t="s">
        <v>7594</v>
      </c>
      <c r="AZ779" s="3" t="s">
        <v>7595</v>
      </c>
      <c r="BA779" s="3" t="s">
        <v>7595</v>
      </c>
      <c r="BB779" s="3" t="s">
        <v>7615</v>
      </c>
      <c r="BC779" s="3" t="s">
        <v>77</v>
      </c>
      <c r="BD779" s="3" t="s">
        <v>165</v>
      </c>
      <c r="BE779" s="3" t="s">
        <v>7597</v>
      </c>
      <c r="BF779" s="3" t="s">
        <v>7615</v>
      </c>
      <c r="BG779" s="3" t="s">
        <v>7616</v>
      </c>
      <c r="BH779">
        <f t="shared" si="24"/>
        <v>0</v>
      </c>
    </row>
    <row r="780" spans="1:60" ht="174" x14ac:dyDescent="0.35">
      <c r="A780" s="2" t="s">
        <v>1040</v>
      </c>
      <c r="B780" s="2" t="s">
        <v>60</v>
      </c>
      <c r="C780" s="2" t="s">
        <v>7617</v>
      </c>
      <c r="D780" s="2" t="s">
        <v>7618</v>
      </c>
      <c r="E780" s="2" t="s">
        <v>7619</v>
      </c>
      <c r="F780" s="3" t="s">
        <v>7620</v>
      </c>
      <c r="G780" s="3" t="s">
        <v>128</v>
      </c>
      <c r="I780" s="3" t="s">
        <v>64</v>
      </c>
      <c r="J780" s="3" t="s">
        <v>64</v>
      </c>
      <c r="K780" s="3" t="s">
        <v>65</v>
      </c>
      <c r="L780" s="2" t="s">
        <v>7621</v>
      </c>
      <c r="M780" s="2" t="s">
        <v>7622</v>
      </c>
      <c r="N780" s="3" t="s">
        <v>1275</v>
      </c>
      <c r="O780" s="2" t="s">
        <v>7623</v>
      </c>
      <c r="P780" s="3" t="s">
        <v>102</v>
      </c>
      <c r="Q780" s="2" t="s">
        <v>7624</v>
      </c>
      <c r="R780" s="3" t="s">
        <v>70</v>
      </c>
      <c r="S780" s="4">
        <v>59</v>
      </c>
      <c r="T780" s="4">
        <v>77</v>
      </c>
      <c r="U780" s="5" t="s">
        <v>7566</v>
      </c>
      <c r="V780" s="5" t="s">
        <v>7566</v>
      </c>
      <c r="W780" s="5" t="s">
        <v>72</v>
      </c>
      <c r="X780" s="5" t="s">
        <v>72</v>
      </c>
      <c r="Y780" s="4">
        <v>405</v>
      </c>
      <c r="Z780" s="4">
        <v>27</v>
      </c>
      <c r="AA780" s="4">
        <v>69</v>
      </c>
      <c r="AB780" s="4">
        <v>3</v>
      </c>
      <c r="AC780" s="4">
        <v>22</v>
      </c>
      <c r="AD780" s="4">
        <v>82</v>
      </c>
      <c r="AE780" s="4">
        <v>125</v>
      </c>
      <c r="AF780" s="4">
        <v>0</v>
      </c>
      <c r="AG780" s="4">
        <v>9</v>
      </c>
      <c r="AH780" s="4">
        <v>68</v>
      </c>
      <c r="AI780" s="4">
        <v>93</v>
      </c>
      <c r="AJ780" s="4">
        <v>10</v>
      </c>
      <c r="AK780" s="4">
        <v>26</v>
      </c>
      <c r="AL780" s="4">
        <v>45</v>
      </c>
      <c r="AM780" s="4">
        <v>53</v>
      </c>
      <c r="AN780" s="4">
        <v>0</v>
      </c>
      <c r="AO780" s="4">
        <v>0</v>
      </c>
      <c r="AP780" s="4">
        <v>17</v>
      </c>
      <c r="AQ780" s="4">
        <v>39</v>
      </c>
      <c r="AR780" s="3" t="s">
        <v>64</v>
      </c>
      <c r="AS780" s="3" t="s">
        <v>64</v>
      </c>
      <c r="AT780" s="3" t="s">
        <v>64</v>
      </c>
      <c r="AV780" s="6" t="str">
        <f>HYPERLINK("http://mcgill.on.worldcat.org/oclc/53972111","Catalog Record")</f>
        <v>Catalog Record</v>
      </c>
      <c r="AW780" s="6" t="str">
        <f>HYPERLINK("http://www.worldcat.org/oclc/53972111","WorldCat Record")</f>
        <v>WorldCat Record</v>
      </c>
      <c r="AX780" s="3" t="s">
        <v>7625</v>
      </c>
      <c r="AY780" s="3" t="s">
        <v>7626</v>
      </c>
      <c r="AZ780" s="3" t="s">
        <v>7627</v>
      </c>
      <c r="BA780" s="3" t="s">
        <v>7627</v>
      </c>
      <c r="BB780" s="3" t="s">
        <v>7628</v>
      </c>
      <c r="BC780" s="3" t="s">
        <v>77</v>
      </c>
      <c r="BD780" s="3" t="s">
        <v>78</v>
      </c>
      <c r="BE780" s="3" t="s">
        <v>7629</v>
      </c>
      <c r="BF780" s="3" t="s">
        <v>7628</v>
      </c>
      <c r="BG780" s="3" t="s">
        <v>7630</v>
      </c>
      <c r="BH780">
        <f t="shared" si="24"/>
        <v>0</v>
      </c>
    </row>
    <row r="781" spans="1:60" ht="174" x14ac:dyDescent="0.35">
      <c r="A781" s="2" t="s">
        <v>1040</v>
      </c>
      <c r="B781" s="2" t="s">
        <v>60</v>
      </c>
      <c r="C781" s="2" t="s">
        <v>7617</v>
      </c>
      <c r="D781" s="2" t="s">
        <v>7618</v>
      </c>
      <c r="E781" s="2" t="s">
        <v>7619</v>
      </c>
      <c r="F781" s="3" t="s">
        <v>7631</v>
      </c>
      <c r="G781" s="3" t="s">
        <v>128</v>
      </c>
      <c r="I781" s="3" t="s">
        <v>64</v>
      </c>
      <c r="J781" s="3" t="s">
        <v>64</v>
      </c>
      <c r="K781" s="3" t="s">
        <v>65</v>
      </c>
      <c r="L781" s="2" t="s">
        <v>7621</v>
      </c>
      <c r="M781" s="2" t="s">
        <v>7622</v>
      </c>
      <c r="N781" s="3" t="s">
        <v>1275</v>
      </c>
      <c r="O781" s="2" t="s">
        <v>7623</v>
      </c>
      <c r="P781" s="3" t="s">
        <v>102</v>
      </c>
      <c r="Q781" s="2" t="s">
        <v>7624</v>
      </c>
      <c r="R781" s="3" t="s">
        <v>70</v>
      </c>
      <c r="S781" s="4">
        <v>18</v>
      </c>
      <c r="T781" s="4">
        <v>77</v>
      </c>
      <c r="U781" s="5" t="s">
        <v>1049</v>
      </c>
      <c r="V781" s="5" t="s">
        <v>7566</v>
      </c>
      <c r="W781" s="5" t="s">
        <v>72</v>
      </c>
      <c r="X781" s="5" t="s">
        <v>72</v>
      </c>
      <c r="Y781" s="4">
        <v>405</v>
      </c>
      <c r="Z781" s="4">
        <v>27</v>
      </c>
      <c r="AA781" s="4">
        <v>69</v>
      </c>
      <c r="AB781" s="4">
        <v>3</v>
      </c>
      <c r="AC781" s="4">
        <v>22</v>
      </c>
      <c r="AD781" s="4">
        <v>82</v>
      </c>
      <c r="AE781" s="4">
        <v>125</v>
      </c>
      <c r="AF781" s="4">
        <v>0</v>
      </c>
      <c r="AG781" s="4">
        <v>9</v>
      </c>
      <c r="AH781" s="4">
        <v>68</v>
      </c>
      <c r="AI781" s="4">
        <v>93</v>
      </c>
      <c r="AJ781" s="4">
        <v>10</v>
      </c>
      <c r="AK781" s="4">
        <v>26</v>
      </c>
      <c r="AL781" s="4">
        <v>45</v>
      </c>
      <c r="AM781" s="4">
        <v>53</v>
      </c>
      <c r="AN781" s="4">
        <v>0</v>
      </c>
      <c r="AO781" s="4">
        <v>0</v>
      </c>
      <c r="AP781" s="4">
        <v>17</v>
      </c>
      <c r="AQ781" s="4">
        <v>39</v>
      </c>
      <c r="AR781" s="3" t="s">
        <v>64</v>
      </c>
      <c r="AS781" s="3" t="s">
        <v>64</v>
      </c>
      <c r="AT781" s="3" t="s">
        <v>64</v>
      </c>
      <c r="AV781" s="6" t="str">
        <f>HYPERLINK("http://mcgill.on.worldcat.org/oclc/53972111","Catalog Record")</f>
        <v>Catalog Record</v>
      </c>
      <c r="AW781" s="6" t="str">
        <f>HYPERLINK("http://www.worldcat.org/oclc/53972111","WorldCat Record")</f>
        <v>WorldCat Record</v>
      </c>
      <c r="AX781" s="3" t="s">
        <v>7625</v>
      </c>
      <c r="AY781" s="3" t="s">
        <v>7626</v>
      </c>
      <c r="AZ781" s="3" t="s">
        <v>7627</v>
      </c>
      <c r="BA781" s="3" t="s">
        <v>7627</v>
      </c>
      <c r="BB781" s="3" t="s">
        <v>7632</v>
      </c>
      <c r="BC781" s="3" t="s">
        <v>77</v>
      </c>
      <c r="BD781" s="3" t="s">
        <v>78</v>
      </c>
      <c r="BE781" s="3" t="s">
        <v>7629</v>
      </c>
      <c r="BF781" s="3" t="s">
        <v>7632</v>
      </c>
      <c r="BG781" s="3" t="s">
        <v>7633</v>
      </c>
      <c r="BH781">
        <f t="shared" si="24"/>
        <v>0</v>
      </c>
    </row>
    <row r="782" spans="1:60" ht="58" x14ac:dyDescent="0.35">
      <c r="A782" s="2" t="s">
        <v>1040</v>
      </c>
      <c r="B782" s="2" t="s">
        <v>60</v>
      </c>
      <c r="C782" s="2" t="s">
        <v>7634</v>
      </c>
      <c r="D782" s="2" t="s">
        <v>7635</v>
      </c>
      <c r="E782" s="2" t="s">
        <v>7636</v>
      </c>
      <c r="G782" s="3" t="s">
        <v>64</v>
      </c>
      <c r="I782" s="3" t="s">
        <v>64</v>
      </c>
      <c r="J782" s="3" t="s">
        <v>64</v>
      </c>
      <c r="K782" s="3" t="s">
        <v>65</v>
      </c>
      <c r="L782" s="2" t="s">
        <v>7637</v>
      </c>
      <c r="M782" s="2" t="s">
        <v>7638</v>
      </c>
      <c r="N782" s="3" t="s">
        <v>421</v>
      </c>
      <c r="P782" s="3" t="s">
        <v>102</v>
      </c>
      <c r="R782" s="3" t="s">
        <v>70</v>
      </c>
      <c r="S782" s="4">
        <v>3</v>
      </c>
      <c r="T782" s="4">
        <v>3</v>
      </c>
      <c r="U782" s="5" t="s">
        <v>7239</v>
      </c>
      <c r="V782" s="5" t="s">
        <v>7239</v>
      </c>
      <c r="W782" s="5" t="s">
        <v>72</v>
      </c>
      <c r="X782" s="5" t="s">
        <v>72</v>
      </c>
      <c r="Y782" s="4">
        <v>264</v>
      </c>
      <c r="Z782" s="4">
        <v>14</v>
      </c>
      <c r="AA782" s="4">
        <v>32</v>
      </c>
      <c r="AB782" s="4">
        <v>2</v>
      </c>
      <c r="AC782" s="4">
        <v>10</v>
      </c>
      <c r="AD782" s="4">
        <v>52</v>
      </c>
      <c r="AE782" s="4">
        <v>80</v>
      </c>
      <c r="AF782" s="4">
        <v>1</v>
      </c>
      <c r="AG782" s="4">
        <v>8</v>
      </c>
      <c r="AH782" s="4">
        <v>41</v>
      </c>
      <c r="AI782" s="4">
        <v>60</v>
      </c>
      <c r="AJ782" s="4">
        <v>7</v>
      </c>
      <c r="AK782" s="4">
        <v>16</v>
      </c>
      <c r="AL782" s="4">
        <v>26</v>
      </c>
      <c r="AM782" s="4">
        <v>37</v>
      </c>
      <c r="AN782" s="4">
        <v>0</v>
      </c>
      <c r="AO782" s="4">
        <v>0</v>
      </c>
      <c r="AP782" s="4">
        <v>13</v>
      </c>
      <c r="AQ782" s="4">
        <v>25</v>
      </c>
      <c r="AR782" s="3" t="s">
        <v>64</v>
      </c>
      <c r="AS782" s="3" t="s">
        <v>64</v>
      </c>
      <c r="AT782" s="3" t="s">
        <v>64</v>
      </c>
      <c r="AV782" s="6" t="str">
        <f>HYPERLINK("http://mcgill.on.worldcat.org/oclc/35559196","Catalog Record")</f>
        <v>Catalog Record</v>
      </c>
      <c r="AW782" s="6" t="str">
        <f>HYPERLINK("http://www.worldcat.org/oclc/35559196","WorldCat Record")</f>
        <v>WorldCat Record</v>
      </c>
      <c r="AX782" s="3" t="s">
        <v>7639</v>
      </c>
      <c r="AY782" s="3" t="s">
        <v>7640</v>
      </c>
      <c r="AZ782" s="3" t="s">
        <v>7641</v>
      </c>
      <c r="BA782" s="3" t="s">
        <v>7641</v>
      </c>
      <c r="BB782" s="3" t="s">
        <v>7642</v>
      </c>
      <c r="BC782" s="3" t="s">
        <v>77</v>
      </c>
      <c r="BD782" s="3" t="s">
        <v>78</v>
      </c>
      <c r="BE782" s="3" t="s">
        <v>7643</v>
      </c>
      <c r="BF782" s="3" t="s">
        <v>7642</v>
      </c>
      <c r="BG782" s="3" t="s">
        <v>7644</v>
      </c>
      <c r="BH782">
        <f t="shared" si="24"/>
        <v>0</v>
      </c>
    </row>
    <row r="783" spans="1:60" ht="58" x14ac:dyDescent="0.35">
      <c r="A783" s="2" t="s">
        <v>1040</v>
      </c>
      <c r="B783" s="2" t="s">
        <v>60</v>
      </c>
      <c r="C783" s="2" t="s">
        <v>7645</v>
      </c>
      <c r="D783" s="2" t="s">
        <v>7646</v>
      </c>
      <c r="E783" s="2" t="s">
        <v>7647</v>
      </c>
      <c r="G783" s="3" t="s">
        <v>64</v>
      </c>
      <c r="I783" s="3" t="s">
        <v>64</v>
      </c>
      <c r="J783" s="3" t="s">
        <v>64</v>
      </c>
      <c r="K783" s="3" t="s">
        <v>65</v>
      </c>
      <c r="L783" s="2" t="s">
        <v>7648</v>
      </c>
      <c r="M783" s="2" t="s">
        <v>7649</v>
      </c>
      <c r="N783" s="3" t="s">
        <v>3428</v>
      </c>
      <c r="O783" s="2" t="s">
        <v>172</v>
      </c>
      <c r="P783" s="3" t="s">
        <v>102</v>
      </c>
      <c r="R783" s="3" t="s">
        <v>70</v>
      </c>
      <c r="S783" s="4">
        <v>92</v>
      </c>
      <c r="T783" s="4">
        <v>92</v>
      </c>
      <c r="U783" s="5" t="s">
        <v>7650</v>
      </c>
      <c r="V783" s="5" t="s">
        <v>7650</v>
      </c>
      <c r="W783" s="5" t="s">
        <v>72</v>
      </c>
      <c r="X783" s="5" t="s">
        <v>72</v>
      </c>
      <c r="Y783" s="4">
        <v>211</v>
      </c>
      <c r="Z783" s="4">
        <v>6</v>
      </c>
      <c r="AA783" s="4">
        <v>6</v>
      </c>
      <c r="AB783" s="4">
        <v>2</v>
      </c>
      <c r="AC783" s="4">
        <v>2</v>
      </c>
      <c r="AD783" s="4">
        <v>49</v>
      </c>
      <c r="AE783" s="4">
        <v>49</v>
      </c>
      <c r="AF783" s="4">
        <v>1</v>
      </c>
      <c r="AG783" s="4">
        <v>1</v>
      </c>
      <c r="AH783" s="4">
        <v>44</v>
      </c>
      <c r="AI783" s="4">
        <v>44</v>
      </c>
      <c r="AJ783" s="4">
        <v>4</v>
      </c>
      <c r="AK783" s="4">
        <v>4</v>
      </c>
      <c r="AL783" s="4">
        <v>27</v>
      </c>
      <c r="AM783" s="4">
        <v>27</v>
      </c>
      <c r="AN783" s="4">
        <v>0</v>
      </c>
      <c r="AO783" s="4">
        <v>0</v>
      </c>
      <c r="AP783" s="4">
        <v>4</v>
      </c>
      <c r="AQ783" s="4">
        <v>4</v>
      </c>
      <c r="AR783" s="3" t="s">
        <v>64</v>
      </c>
      <c r="AS783" s="3" t="s">
        <v>64</v>
      </c>
      <c r="AT783" s="3" t="s">
        <v>128</v>
      </c>
      <c r="AU783" s="6" t="str">
        <f>HYPERLINK("http://catalog.hathitrust.org/Record/003007631","HathiTrust Record")</f>
        <v>HathiTrust Record</v>
      </c>
      <c r="AV783" s="6" t="str">
        <f>HYPERLINK("http://mcgill.on.worldcat.org/oclc/31971409","Catalog Record")</f>
        <v>Catalog Record</v>
      </c>
      <c r="AW783" s="6" t="str">
        <f>HYPERLINK("http://www.worldcat.org/oclc/31971409","WorldCat Record")</f>
        <v>WorldCat Record</v>
      </c>
      <c r="AX783" s="3" t="s">
        <v>7651</v>
      </c>
      <c r="AY783" s="3" t="s">
        <v>7652</v>
      </c>
      <c r="AZ783" s="3" t="s">
        <v>7653</v>
      </c>
      <c r="BA783" s="3" t="s">
        <v>7653</v>
      </c>
      <c r="BB783" s="3" t="s">
        <v>7654</v>
      </c>
      <c r="BC783" s="3" t="s">
        <v>77</v>
      </c>
      <c r="BD783" s="3" t="s">
        <v>78</v>
      </c>
      <c r="BE783" s="3" t="s">
        <v>7655</v>
      </c>
      <c r="BF783" s="3" t="s">
        <v>7654</v>
      </c>
      <c r="BG783" s="3" t="s">
        <v>7656</v>
      </c>
      <c r="BH783">
        <f t="shared" si="24"/>
        <v>0</v>
      </c>
    </row>
    <row r="784" spans="1:60" ht="58" x14ac:dyDescent="0.35">
      <c r="A784" s="2" t="s">
        <v>1040</v>
      </c>
      <c r="B784" s="2" t="s">
        <v>60</v>
      </c>
      <c r="C784" s="2" t="s">
        <v>7657</v>
      </c>
      <c r="D784" s="2" t="s">
        <v>7658</v>
      </c>
      <c r="E784" s="2" t="s">
        <v>7659</v>
      </c>
      <c r="F784" s="3" t="s">
        <v>7631</v>
      </c>
      <c r="G784" s="3" t="s">
        <v>128</v>
      </c>
      <c r="I784" s="3" t="s">
        <v>64</v>
      </c>
      <c r="J784" s="3" t="s">
        <v>64</v>
      </c>
      <c r="K784" s="3" t="s">
        <v>65</v>
      </c>
      <c r="L784" s="2" t="s">
        <v>7648</v>
      </c>
      <c r="M784" s="2" t="s">
        <v>7622</v>
      </c>
      <c r="N784" s="3" t="s">
        <v>1275</v>
      </c>
      <c r="O784" s="2" t="s">
        <v>7660</v>
      </c>
      <c r="P784" s="3" t="s">
        <v>102</v>
      </c>
      <c r="Q784" s="2" t="s">
        <v>7624</v>
      </c>
      <c r="R784" s="3" t="s">
        <v>70</v>
      </c>
      <c r="S784" s="4">
        <v>45</v>
      </c>
      <c r="T784" s="4">
        <v>115</v>
      </c>
      <c r="U784" s="5" t="s">
        <v>7661</v>
      </c>
      <c r="V784" s="5" t="s">
        <v>7662</v>
      </c>
      <c r="W784" s="5" t="s">
        <v>72</v>
      </c>
      <c r="X784" s="5" t="s">
        <v>72</v>
      </c>
      <c r="Y784" s="4">
        <v>378</v>
      </c>
      <c r="Z784" s="4">
        <v>27</v>
      </c>
      <c r="AA784" s="4">
        <v>48</v>
      </c>
      <c r="AB784" s="4">
        <v>2</v>
      </c>
      <c r="AC784" s="4">
        <v>13</v>
      </c>
      <c r="AD784" s="4">
        <v>78</v>
      </c>
      <c r="AE784" s="4">
        <v>99</v>
      </c>
      <c r="AF784" s="4">
        <v>1</v>
      </c>
      <c r="AG784" s="4">
        <v>7</v>
      </c>
      <c r="AH784" s="4">
        <v>63</v>
      </c>
      <c r="AI784" s="4">
        <v>73</v>
      </c>
      <c r="AJ784" s="4">
        <v>13</v>
      </c>
      <c r="AK784" s="4">
        <v>22</v>
      </c>
      <c r="AL784" s="4">
        <v>42</v>
      </c>
      <c r="AM784" s="4">
        <v>46</v>
      </c>
      <c r="AN784" s="4">
        <v>0</v>
      </c>
      <c r="AO784" s="4">
        <v>0</v>
      </c>
      <c r="AP784" s="4">
        <v>18</v>
      </c>
      <c r="AQ784" s="4">
        <v>29</v>
      </c>
      <c r="AR784" s="3" t="s">
        <v>64</v>
      </c>
      <c r="AS784" s="3" t="s">
        <v>64</v>
      </c>
      <c r="AT784" s="3" t="s">
        <v>64</v>
      </c>
      <c r="AV784" s="6" t="str">
        <f>HYPERLINK("http://mcgill.on.worldcat.org/oclc/52948906","Catalog Record")</f>
        <v>Catalog Record</v>
      </c>
      <c r="AW784" s="6" t="str">
        <f>HYPERLINK("http://www.worldcat.org/oclc/52948906","WorldCat Record")</f>
        <v>WorldCat Record</v>
      </c>
      <c r="AX784" s="3" t="s">
        <v>7663</v>
      </c>
      <c r="AY784" s="3" t="s">
        <v>7664</v>
      </c>
      <c r="AZ784" s="3" t="s">
        <v>7665</v>
      </c>
      <c r="BA784" s="3" t="s">
        <v>7665</v>
      </c>
      <c r="BB784" s="3" t="s">
        <v>7666</v>
      </c>
      <c r="BC784" s="3" t="s">
        <v>77</v>
      </c>
      <c r="BD784" s="3" t="s">
        <v>78</v>
      </c>
      <c r="BE784" s="3" t="s">
        <v>7667</v>
      </c>
      <c r="BF784" s="3" t="s">
        <v>7666</v>
      </c>
      <c r="BG784" s="3" t="s">
        <v>7668</v>
      </c>
      <c r="BH784">
        <f t="shared" si="24"/>
        <v>0</v>
      </c>
    </row>
    <row r="785" spans="1:60" ht="58" x14ac:dyDescent="0.35">
      <c r="A785" s="2" t="s">
        <v>1040</v>
      </c>
      <c r="B785" s="2" t="s">
        <v>60</v>
      </c>
      <c r="C785" s="2" t="s">
        <v>7657</v>
      </c>
      <c r="D785" s="2" t="s">
        <v>7658</v>
      </c>
      <c r="E785" s="2" t="s">
        <v>7659</v>
      </c>
      <c r="F785" s="3" t="s">
        <v>7669</v>
      </c>
      <c r="G785" s="3" t="s">
        <v>128</v>
      </c>
      <c r="I785" s="3" t="s">
        <v>64</v>
      </c>
      <c r="J785" s="3" t="s">
        <v>64</v>
      </c>
      <c r="K785" s="3" t="s">
        <v>65</v>
      </c>
      <c r="L785" s="2" t="s">
        <v>7648</v>
      </c>
      <c r="M785" s="2" t="s">
        <v>7622</v>
      </c>
      <c r="N785" s="3" t="s">
        <v>1275</v>
      </c>
      <c r="O785" s="2" t="s">
        <v>7660</v>
      </c>
      <c r="P785" s="3" t="s">
        <v>102</v>
      </c>
      <c r="Q785" s="2" t="s">
        <v>7624</v>
      </c>
      <c r="R785" s="3" t="s">
        <v>70</v>
      </c>
      <c r="S785" s="4">
        <v>8</v>
      </c>
      <c r="T785" s="4">
        <v>115</v>
      </c>
      <c r="U785" s="5" t="s">
        <v>7670</v>
      </c>
      <c r="V785" s="5" t="s">
        <v>7662</v>
      </c>
      <c r="W785" s="5" t="s">
        <v>72</v>
      </c>
      <c r="X785" s="5" t="s">
        <v>72</v>
      </c>
      <c r="Y785" s="4">
        <v>378</v>
      </c>
      <c r="Z785" s="4">
        <v>27</v>
      </c>
      <c r="AA785" s="4">
        <v>48</v>
      </c>
      <c r="AB785" s="4">
        <v>2</v>
      </c>
      <c r="AC785" s="4">
        <v>13</v>
      </c>
      <c r="AD785" s="4">
        <v>78</v>
      </c>
      <c r="AE785" s="4">
        <v>99</v>
      </c>
      <c r="AF785" s="4">
        <v>1</v>
      </c>
      <c r="AG785" s="4">
        <v>7</v>
      </c>
      <c r="AH785" s="4">
        <v>63</v>
      </c>
      <c r="AI785" s="4">
        <v>73</v>
      </c>
      <c r="AJ785" s="4">
        <v>13</v>
      </c>
      <c r="AK785" s="4">
        <v>22</v>
      </c>
      <c r="AL785" s="4">
        <v>42</v>
      </c>
      <c r="AM785" s="4">
        <v>46</v>
      </c>
      <c r="AN785" s="4">
        <v>0</v>
      </c>
      <c r="AO785" s="4">
        <v>0</v>
      </c>
      <c r="AP785" s="4">
        <v>18</v>
      </c>
      <c r="AQ785" s="4">
        <v>29</v>
      </c>
      <c r="AR785" s="3" t="s">
        <v>64</v>
      </c>
      <c r="AS785" s="3" t="s">
        <v>64</v>
      </c>
      <c r="AT785" s="3" t="s">
        <v>64</v>
      </c>
      <c r="AV785" s="6" t="str">
        <f>HYPERLINK("http://mcgill.on.worldcat.org/oclc/52948906","Catalog Record")</f>
        <v>Catalog Record</v>
      </c>
      <c r="AW785" s="6" t="str">
        <f>HYPERLINK("http://www.worldcat.org/oclc/52948906","WorldCat Record")</f>
        <v>WorldCat Record</v>
      </c>
      <c r="AX785" s="3" t="s">
        <v>7663</v>
      </c>
      <c r="AY785" s="3" t="s">
        <v>7664</v>
      </c>
      <c r="AZ785" s="3" t="s">
        <v>7665</v>
      </c>
      <c r="BA785" s="3" t="s">
        <v>7665</v>
      </c>
      <c r="BB785" s="3" t="s">
        <v>7671</v>
      </c>
      <c r="BC785" s="3" t="s">
        <v>77</v>
      </c>
      <c r="BD785" s="3" t="s">
        <v>78</v>
      </c>
      <c r="BE785" s="3" t="s">
        <v>7667</v>
      </c>
      <c r="BF785" s="3" t="s">
        <v>7671</v>
      </c>
      <c r="BG785" s="3" t="s">
        <v>7672</v>
      </c>
      <c r="BH785">
        <f t="shared" si="24"/>
        <v>0</v>
      </c>
    </row>
    <row r="786" spans="1:60" ht="58" x14ac:dyDescent="0.35">
      <c r="A786" s="2" t="s">
        <v>1040</v>
      </c>
      <c r="B786" s="2" t="s">
        <v>60</v>
      </c>
      <c r="C786" s="2" t="s">
        <v>7657</v>
      </c>
      <c r="D786" s="2" t="s">
        <v>7658</v>
      </c>
      <c r="E786" s="2" t="s">
        <v>7659</v>
      </c>
      <c r="F786" s="3" t="s">
        <v>7620</v>
      </c>
      <c r="G786" s="3" t="s">
        <v>128</v>
      </c>
      <c r="I786" s="3" t="s">
        <v>64</v>
      </c>
      <c r="J786" s="3" t="s">
        <v>64</v>
      </c>
      <c r="K786" s="3" t="s">
        <v>65</v>
      </c>
      <c r="L786" s="2" t="s">
        <v>7648</v>
      </c>
      <c r="M786" s="2" t="s">
        <v>7622</v>
      </c>
      <c r="N786" s="3" t="s">
        <v>1275</v>
      </c>
      <c r="O786" s="2" t="s">
        <v>7660</v>
      </c>
      <c r="P786" s="3" t="s">
        <v>102</v>
      </c>
      <c r="Q786" s="2" t="s">
        <v>7624</v>
      </c>
      <c r="R786" s="3" t="s">
        <v>70</v>
      </c>
      <c r="S786" s="4">
        <v>62</v>
      </c>
      <c r="T786" s="4">
        <v>115</v>
      </c>
      <c r="U786" s="5" t="s">
        <v>7662</v>
      </c>
      <c r="V786" s="5" t="s">
        <v>7662</v>
      </c>
      <c r="W786" s="5" t="s">
        <v>72</v>
      </c>
      <c r="X786" s="5" t="s">
        <v>72</v>
      </c>
      <c r="Y786" s="4">
        <v>378</v>
      </c>
      <c r="Z786" s="4">
        <v>27</v>
      </c>
      <c r="AA786" s="4">
        <v>48</v>
      </c>
      <c r="AB786" s="4">
        <v>2</v>
      </c>
      <c r="AC786" s="4">
        <v>13</v>
      </c>
      <c r="AD786" s="4">
        <v>78</v>
      </c>
      <c r="AE786" s="4">
        <v>99</v>
      </c>
      <c r="AF786" s="4">
        <v>1</v>
      </c>
      <c r="AG786" s="4">
        <v>7</v>
      </c>
      <c r="AH786" s="4">
        <v>63</v>
      </c>
      <c r="AI786" s="4">
        <v>73</v>
      </c>
      <c r="AJ786" s="4">
        <v>13</v>
      </c>
      <c r="AK786" s="4">
        <v>22</v>
      </c>
      <c r="AL786" s="4">
        <v>42</v>
      </c>
      <c r="AM786" s="4">
        <v>46</v>
      </c>
      <c r="AN786" s="4">
        <v>0</v>
      </c>
      <c r="AO786" s="4">
        <v>0</v>
      </c>
      <c r="AP786" s="4">
        <v>18</v>
      </c>
      <c r="AQ786" s="4">
        <v>29</v>
      </c>
      <c r="AR786" s="3" t="s">
        <v>64</v>
      </c>
      <c r="AS786" s="3" t="s">
        <v>64</v>
      </c>
      <c r="AT786" s="3" t="s">
        <v>64</v>
      </c>
      <c r="AV786" s="6" t="str">
        <f>HYPERLINK("http://mcgill.on.worldcat.org/oclc/52948906","Catalog Record")</f>
        <v>Catalog Record</v>
      </c>
      <c r="AW786" s="6" t="str">
        <f>HYPERLINK("http://www.worldcat.org/oclc/52948906","WorldCat Record")</f>
        <v>WorldCat Record</v>
      </c>
      <c r="AX786" s="3" t="s">
        <v>7663</v>
      </c>
      <c r="AY786" s="3" t="s">
        <v>7664</v>
      </c>
      <c r="AZ786" s="3" t="s">
        <v>7665</v>
      </c>
      <c r="BA786" s="3" t="s">
        <v>7665</v>
      </c>
      <c r="BB786" s="3" t="s">
        <v>7673</v>
      </c>
      <c r="BC786" s="3" t="s">
        <v>77</v>
      </c>
      <c r="BD786" s="3" t="s">
        <v>78</v>
      </c>
      <c r="BE786" s="3" t="s">
        <v>7667</v>
      </c>
      <c r="BF786" s="3" t="s">
        <v>7673</v>
      </c>
      <c r="BG786" s="3" t="s">
        <v>7674</v>
      </c>
      <c r="BH786">
        <f t="shared" si="24"/>
        <v>0</v>
      </c>
    </row>
    <row r="787" spans="1:60" ht="58" x14ac:dyDescent="0.35">
      <c r="A787" s="2" t="s">
        <v>1040</v>
      </c>
      <c r="B787" s="2" t="s">
        <v>60</v>
      </c>
      <c r="C787" s="2" t="s">
        <v>7675</v>
      </c>
      <c r="D787" s="2" t="s">
        <v>7676</v>
      </c>
      <c r="E787" s="2" t="s">
        <v>7677</v>
      </c>
      <c r="G787" s="3" t="s">
        <v>64</v>
      </c>
      <c r="I787" s="3" t="s">
        <v>128</v>
      </c>
      <c r="J787" s="3" t="s">
        <v>64</v>
      </c>
      <c r="K787" s="3" t="s">
        <v>65</v>
      </c>
      <c r="L787" s="2" t="s">
        <v>7678</v>
      </c>
      <c r="M787" s="2" t="s">
        <v>7679</v>
      </c>
      <c r="N787" s="3" t="s">
        <v>1250</v>
      </c>
      <c r="O787" s="2" t="s">
        <v>172</v>
      </c>
      <c r="P787" s="3" t="s">
        <v>102</v>
      </c>
      <c r="R787" s="3" t="s">
        <v>70</v>
      </c>
      <c r="S787" s="4">
        <v>203</v>
      </c>
      <c r="T787" s="4">
        <v>317</v>
      </c>
      <c r="U787" s="5" t="s">
        <v>7680</v>
      </c>
      <c r="V787" s="5" t="s">
        <v>3034</v>
      </c>
      <c r="W787" s="5" t="s">
        <v>72</v>
      </c>
      <c r="X787" s="5" t="s">
        <v>72</v>
      </c>
      <c r="Y787" s="4">
        <v>542</v>
      </c>
      <c r="Z787" s="4">
        <v>32</v>
      </c>
      <c r="AA787" s="4">
        <v>37</v>
      </c>
      <c r="AB787" s="4">
        <v>4</v>
      </c>
      <c r="AC787" s="4">
        <v>9</v>
      </c>
      <c r="AD787" s="4">
        <v>97</v>
      </c>
      <c r="AE787" s="4">
        <v>101</v>
      </c>
      <c r="AF787" s="4">
        <v>1</v>
      </c>
      <c r="AG787" s="4">
        <v>5</v>
      </c>
      <c r="AH787" s="4">
        <v>78</v>
      </c>
      <c r="AI787" s="4">
        <v>78</v>
      </c>
      <c r="AJ787" s="4">
        <v>15</v>
      </c>
      <c r="AK787" s="4">
        <v>17</v>
      </c>
      <c r="AL787" s="4">
        <v>48</v>
      </c>
      <c r="AM787" s="4">
        <v>48</v>
      </c>
      <c r="AN787" s="4">
        <v>0</v>
      </c>
      <c r="AO787" s="4">
        <v>0</v>
      </c>
      <c r="AP787" s="4">
        <v>23</v>
      </c>
      <c r="AQ787" s="4">
        <v>27</v>
      </c>
      <c r="AR787" s="3" t="s">
        <v>64</v>
      </c>
      <c r="AS787" s="3" t="s">
        <v>64</v>
      </c>
      <c r="AT787" s="3" t="s">
        <v>128</v>
      </c>
      <c r="AU787" s="6" t="str">
        <f>HYPERLINK("http://catalog.hathitrust.org/Record/002936348","HathiTrust Record")</f>
        <v>HathiTrust Record</v>
      </c>
      <c r="AV787" s="6" t="str">
        <f>HYPERLINK("http://mcgill.on.worldcat.org/oclc/29225162","Catalog Record")</f>
        <v>Catalog Record</v>
      </c>
      <c r="AW787" s="6" t="str">
        <f>HYPERLINK("http://www.worldcat.org/oclc/29225162","WorldCat Record")</f>
        <v>WorldCat Record</v>
      </c>
      <c r="AX787" s="3" t="s">
        <v>7681</v>
      </c>
      <c r="AY787" s="3" t="s">
        <v>7682</v>
      </c>
      <c r="AZ787" s="3" t="s">
        <v>7683</v>
      </c>
      <c r="BA787" s="3" t="s">
        <v>7683</v>
      </c>
      <c r="BB787" s="3" t="s">
        <v>7684</v>
      </c>
      <c r="BC787" s="3" t="s">
        <v>77</v>
      </c>
      <c r="BD787" s="3" t="s">
        <v>78</v>
      </c>
      <c r="BE787" s="3" t="s">
        <v>7685</v>
      </c>
      <c r="BF787" s="3" t="s">
        <v>7684</v>
      </c>
      <c r="BG787" s="3" t="s">
        <v>7686</v>
      </c>
      <c r="BH787">
        <f t="shared" si="24"/>
        <v>0</v>
      </c>
    </row>
    <row r="788" spans="1:60" ht="58" x14ac:dyDescent="0.35">
      <c r="A788" s="2" t="s">
        <v>1040</v>
      </c>
      <c r="B788" s="2" t="s">
        <v>60</v>
      </c>
      <c r="C788" s="2" t="s">
        <v>7675</v>
      </c>
      <c r="D788" s="2" t="s">
        <v>7676</v>
      </c>
      <c r="E788" s="2" t="s">
        <v>7677</v>
      </c>
      <c r="G788" s="3" t="s">
        <v>64</v>
      </c>
      <c r="I788" s="3" t="s">
        <v>128</v>
      </c>
      <c r="J788" s="3" t="s">
        <v>64</v>
      </c>
      <c r="K788" s="3" t="s">
        <v>65</v>
      </c>
      <c r="L788" s="2" t="s">
        <v>7678</v>
      </c>
      <c r="M788" s="2" t="s">
        <v>7679</v>
      </c>
      <c r="N788" s="3" t="s">
        <v>1250</v>
      </c>
      <c r="O788" s="2" t="s">
        <v>172</v>
      </c>
      <c r="P788" s="3" t="s">
        <v>102</v>
      </c>
      <c r="R788" s="3" t="s">
        <v>70</v>
      </c>
      <c r="S788" s="4">
        <v>114</v>
      </c>
      <c r="T788" s="4">
        <v>317</v>
      </c>
      <c r="U788" s="5" t="s">
        <v>3034</v>
      </c>
      <c r="V788" s="5" t="s">
        <v>3034</v>
      </c>
      <c r="W788" s="5" t="s">
        <v>72</v>
      </c>
      <c r="X788" s="5" t="s">
        <v>72</v>
      </c>
      <c r="Y788" s="4">
        <v>542</v>
      </c>
      <c r="Z788" s="4">
        <v>32</v>
      </c>
      <c r="AA788" s="4">
        <v>37</v>
      </c>
      <c r="AB788" s="4">
        <v>4</v>
      </c>
      <c r="AC788" s="4">
        <v>9</v>
      </c>
      <c r="AD788" s="4">
        <v>97</v>
      </c>
      <c r="AE788" s="4">
        <v>101</v>
      </c>
      <c r="AF788" s="4">
        <v>1</v>
      </c>
      <c r="AG788" s="4">
        <v>5</v>
      </c>
      <c r="AH788" s="4">
        <v>78</v>
      </c>
      <c r="AI788" s="4">
        <v>78</v>
      </c>
      <c r="AJ788" s="4">
        <v>15</v>
      </c>
      <c r="AK788" s="4">
        <v>17</v>
      </c>
      <c r="AL788" s="4">
        <v>48</v>
      </c>
      <c r="AM788" s="4">
        <v>48</v>
      </c>
      <c r="AN788" s="4">
        <v>0</v>
      </c>
      <c r="AO788" s="4">
        <v>0</v>
      </c>
      <c r="AP788" s="4">
        <v>23</v>
      </c>
      <c r="AQ788" s="4">
        <v>27</v>
      </c>
      <c r="AR788" s="3" t="s">
        <v>64</v>
      </c>
      <c r="AS788" s="3" t="s">
        <v>64</v>
      </c>
      <c r="AT788" s="3" t="s">
        <v>128</v>
      </c>
      <c r="AU788" s="6" t="str">
        <f>HYPERLINK("http://catalog.hathitrust.org/Record/002936348","HathiTrust Record")</f>
        <v>HathiTrust Record</v>
      </c>
      <c r="AV788" s="6" t="str">
        <f>HYPERLINK("http://mcgill.on.worldcat.org/oclc/29225162","Catalog Record")</f>
        <v>Catalog Record</v>
      </c>
      <c r="AW788" s="6" t="str">
        <f>HYPERLINK("http://www.worldcat.org/oclc/29225162","WorldCat Record")</f>
        <v>WorldCat Record</v>
      </c>
      <c r="AX788" s="3" t="s">
        <v>7681</v>
      </c>
      <c r="AY788" s="3" t="s">
        <v>7682</v>
      </c>
      <c r="AZ788" s="3" t="s">
        <v>7683</v>
      </c>
      <c r="BA788" s="3" t="s">
        <v>7683</v>
      </c>
      <c r="BB788" s="3" t="s">
        <v>7687</v>
      </c>
      <c r="BC788" s="3" t="s">
        <v>77</v>
      </c>
      <c r="BD788" s="3" t="s">
        <v>78</v>
      </c>
      <c r="BE788" s="3" t="s">
        <v>7685</v>
      </c>
      <c r="BF788" s="3" t="s">
        <v>7687</v>
      </c>
      <c r="BG788" s="3" t="s">
        <v>7688</v>
      </c>
      <c r="BH788">
        <f t="shared" si="24"/>
        <v>0</v>
      </c>
    </row>
    <row r="789" spans="1:60" ht="58" x14ac:dyDescent="0.35">
      <c r="A789" s="2" t="s">
        <v>1040</v>
      </c>
      <c r="B789" s="2" t="s">
        <v>60</v>
      </c>
      <c r="C789" s="2" t="s">
        <v>7675</v>
      </c>
      <c r="D789" s="2" t="s">
        <v>7676</v>
      </c>
      <c r="E789" s="2" t="s">
        <v>7677</v>
      </c>
      <c r="G789" s="3" t="s">
        <v>64</v>
      </c>
      <c r="I789" s="3" t="s">
        <v>128</v>
      </c>
      <c r="J789" s="3" t="s">
        <v>64</v>
      </c>
      <c r="K789" s="3" t="s">
        <v>65</v>
      </c>
      <c r="L789" s="2" t="s">
        <v>7678</v>
      </c>
      <c r="M789" s="2" t="s">
        <v>7679</v>
      </c>
      <c r="N789" s="3" t="s">
        <v>1250</v>
      </c>
      <c r="O789" s="2" t="s">
        <v>172</v>
      </c>
      <c r="P789" s="3" t="s">
        <v>102</v>
      </c>
      <c r="R789" s="3" t="s">
        <v>70</v>
      </c>
      <c r="S789" s="4">
        <v>0</v>
      </c>
      <c r="T789" s="4">
        <v>317</v>
      </c>
      <c r="V789" s="5" t="s">
        <v>3034</v>
      </c>
      <c r="W789" s="5" t="s">
        <v>72</v>
      </c>
      <c r="X789" s="5" t="s">
        <v>72</v>
      </c>
      <c r="Y789" s="4">
        <v>542</v>
      </c>
      <c r="Z789" s="4">
        <v>32</v>
      </c>
      <c r="AA789" s="4">
        <v>37</v>
      </c>
      <c r="AB789" s="4">
        <v>4</v>
      </c>
      <c r="AC789" s="4">
        <v>9</v>
      </c>
      <c r="AD789" s="4">
        <v>97</v>
      </c>
      <c r="AE789" s="4">
        <v>101</v>
      </c>
      <c r="AF789" s="4">
        <v>1</v>
      </c>
      <c r="AG789" s="4">
        <v>5</v>
      </c>
      <c r="AH789" s="4">
        <v>78</v>
      </c>
      <c r="AI789" s="4">
        <v>78</v>
      </c>
      <c r="AJ789" s="4">
        <v>15</v>
      </c>
      <c r="AK789" s="4">
        <v>17</v>
      </c>
      <c r="AL789" s="4">
        <v>48</v>
      </c>
      <c r="AM789" s="4">
        <v>48</v>
      </c>
      <c r="AN789" s="4">
        <v>0</v>
      </c>
      <c r="AO789" s="4">
        <v>0</v>
      </c>
      <c r="AP789" s="4">
        <v>23</v>
      </c>
      <c r="AQ789" s="4">
        <v>27</v>
      </c>
      <c r="AR789" s="3" t="s">
        <v>64</v>
      </c>
      <c r="AS789" s="3" t="s">
        <v>64</v>
      </c>
      <c r="AT789" s="3" t="s">
        <v>128</v>
      </c>
      <c r="AU789" s="6" t="str">
        <f>HYPERLINK("http://catalog.hathitrust.org/Record/002936348","HathiTrust Record")</f>
        <v>HathiTrust Record</v>
      </c>
      <c r="AV789" s="6" t="str">
        <f>HYPERLINK("http://mcgill.on.worldcat.org/oclc/29225162","Catalog Record")</f>
        <v>Catalog Record</v>
      </c>
      <c r="AW789" s="6" t="str">
        <f>HYPERLINK("http://www.worldcat.org/oclc/29225162","WorldCat Record")</f>
        <v>WorldCat Record</v>
      </c>
      <c r="AX789" s="3" t="s">
        <v>7681</v>
      </c>
      <c r="AY789" s="3" t="s">
        <v>7682</v>
      </c>
      <c r="AZ789" s="3" t="s">
        <v>7683</v>
      </c>
      <c r="BA789" s="3" t="s">
        <v>7683</v>
      </c>
      <c r="BB789" s="3" t="s">
        <v>7689</v>
      </c>
      <c r="BC789" s="3" t="s">
        <v>77</v>
      </c>
      <c r="BD789" s="3" t="s">
        <v>78</v>
      </c>
      <c r="BE789" s="3" t="s">
        <v>7685</v>
      </c>
      <c r="BF789" s="3" t="s">
        <v>7689</v>
      </c>
      <c r="BG789" s="3" t="s">
        <v>7690</v>
      </c>
      <c r="BH789">
        <f t="shared" si="24"/>
        <v>0</v>
      </c>
    </row>
    <row r="790" spans="1:60" ht="58" x14ac:dyDescent="0.35">
      <c r="A790" s="2" t="s">
        <v>1040</v>
      </c>
      <c r="B790" s="2" t="s">
        <v>60</v>
      </c>
      <c r="C790" s="2" t="s">
        <v>7691</v>
      </c>
      <c r="D790" s="2" t="s">
        <v>7692</v>
      </c>
      <c r="E790" s="2" t="s">
        <v>7693</v>
      </c>
      <c r="F790" s="3" t="s">
        <v>7620</v>
      </c>
      <c r="G790" s="3" t="s">
        <v>128</v>
      </c>
      <c r="I790" s="3" t="s">
        <v>64</v>
      </c>
      <c r="J790" s="3" t="s">
        <v>64</v>
      </c>
      <c r="K790" s="3" t="s">
        <v>65</v>
      </c>
      <c r="L790" s="2" t="s">
        <v>7694</v>
      </c>
      <c r="M790" s="2" t="s">
        <v>7695</v>
      </c>
      <c r="N790" s="3" t="s">
        <v>101</v>
      </c>
      <c r="P790" s="3" t="s">
        <v>102</v>
      </c>
      <c r="Q790" s="2" t="s">
        <v>7696</v>
      </c>
      <c r="R790" s="3" t="s">
        <v>70</v>
      </c>
      <c r="S790" s="4">
        <v>26</v>
      </c>
      <c r="T790" s="4">
        <v>35</v>
      </c>
      <c r="U790" s="5" t="s">
        <v>7662</v>
      </c>
      <c r="V790" s="5" t="s">
        <v>7662</v>
      </c>
      <c r="W790" s="5" t="s">
        <v>72</v>
      </c>
      <c r="X790" s="5" t="s">
        <v>72</v>
      </c>
      <c r="Y790" s="4">
        <v>99</v>
      </c>
      <c r="Z790" s="4">
        <v>7</v>
      </c>
      <c r="AA790" s="4">
        <v>48</v>
      </c>
      <c r="AB790" s="4">
        <v>1</v>
      </c>
      <c r="AC790" s="4">
        <v>13</v>
      </c>
      <c r="AD790" s="4">
        <v>35</v>
      </c>
      <c r="AE790" s="4">
        <v>86</v>
      </c>
      <c r="AF790" s="4">
        <v>0</v>
      </c>
      <c r="AG790" s="4">
        <v>7</v>
      </c>
      <c r="AH790" s="4">
        <v>29</v>
      </c>
      <c r="AI790" s="4">
        <v>59</v>
      </c>
      <c r="AJ790" s="4">
        <v>5</v>
      </c>
      <c r="AK790" s="4">
        <v>17</v>
      </c>
      <c r="AL790" s="4">
        <v>16</v>
      </c>
      <c r="AM790" s="4">
        <v>30</v>
      </c>
      <c r="AN790" s="4">
        <v>0</v>
      </c>
      <c r="AO790" s="4">
        <v>0</v>
      </c>
      <c r="AP790" s="4">
        <v>6</v>
      </c>
      <c r="AQ790" s="4">
        <v>33</v>
      </c>
      <c r="AR790" s="3" t="s">
        <v>64</v>
      </c>
      <c r="AS790" s="3" t="s">
        <v>64</v>
      </c>
      <c r="AT790" s="3" t="s">
        <v>64</v>
      </c>
      <c r="AV790" s="6" t="str">
        <f>HYPERLINK("http://mcgill.on.worldcat.org/oclc/49959273","Catalog Record")</f>
        <v>Catalog Record</v>
      </c>
      <c r="AW790" s="6" t="str">
        <f>HYPERLINK("http://www.worldcat.org/oclc/49959273","WorldCat Record")</f>
        <v>WorldCat Record</v>
      </c>
      <c r="AX790" s="3" t="s">
        <v>7697</v>
      </c>
      <c r="AY790" s="3" t="s">
        <v>7698</v>
      </c>
      <c r="AZ790" s="3" t="s">
        <v>7699</v>
      </c>
      <c r="BA790" s="3" t="s">
        <v>7699</v>
      </c>
      <c r="BB790" s="3" t="s">
        <v>7700</v>
      </c>
      <c r="BC790" s="3" t="s">
        <v>77</v>
      </c>
      <c r="BD790" s="3" t="s">
        <v>78</v>
      </c>
      <c r="BE790" s="3" t="s">
        <v>7701</v>
      </c>
      <c r="BF790" s="3" t="s">
        <v>7700</v>
      </c>
      <c r="BG790" s="3" t="s">
        <v>7702</v>
      </c>
      <c r="BH790">
        <f t="shared" si="24"/>
        <v>0</v>
      </c>
    </row>
    <row r="791" spans="1:60" ht="58" x14ac:dyDescent="0.35">
      <c r="A791" s="2" t="s">
        <v>1040</v>
      </c>
      <c r="B791" s="2" t="s">
        <v>60</v>
      </c>
      <c r="C791" s="2" t="s">
        <v>7691</v>
      </c>
      <c r="D791" s="2" t="s">
        <v>7692</v>
      </c>
      <c r="E791" s="2" t="s">
        <v>7693</v>
      </c>
      <c r="F791" s="3" t="s">
        <v>7631</v>
      </c>
      <c r="G791" s="3" t="s">
        <v>128</v>
      </c>
      <c r="I791" s="3" t="s">
        <v>64</v>
      </c>
      <c r="J791" s="3" t="s">
        <v>64</v>
      </c>
      <c r="K791" s="3" t="s">
        <v>65</v>
      </c>
      <c r="L791" s="2" t="s">
        <v>7694</v>
      </c>
      <c r="M791" s="2" t="s">
        <v>7695</v>
      </c>
      <c r="N791" s="3" t="s">
        <v>101</v>
      </c>
      <c r="P791" s="3" t="s">
        <v>102</v>
      </c>
      <c r="Q791" s="2" t="s">
        <v>7696</v>
      </c>
      <c r="R791" s="3" t="s">
        <v>70</v>
      </c>
      <c r="S791" s="4">
        <v>9</v>
      </c>
      <c r="T791" s="4">
        <v>35</v>
      </c>
      <c r="U791" s="5" t="s">
        <v>7703</v>
      </c>
      <c r="V791" s="5" t="s">
        <v>7662</v>
      </c>
      <c r="W791" s="5" t="s">
        <v>72</v>
      </c>
      <c r="X791" s="5" t="s">
        <v>72</v>
      </c>
      <c r="Y791" s="4">
        <v>99</v>
      </c>
      <c r="Z791" s="4">
        <v>7</v>
      </c>
      <c r="AA791" s="4">
        <v>48</v>
      </c>
      <c r="AB791" s="4">
        <v>1</v>
      </c>
      <c r="AC791" s="4">
        <v>13</v>
      </c>
      <c r="AD791" s="4">
        <v>35</v>
      </c>
      <c r="AE791" s="4">
        <v>86</v>
      </c>
      <c r="AF791" s="4">
        <v>0</v>
      </c>
      <c r="AG791" s="4">
        <v>7</v>
      </c>
      <c r="AH791" s="4">
        <v>29</v>
      </c>
      <c r="AI791" s="4">
        <v>59</v>
      </c>
      <c r="AJ791" s="4">
        <v>5</v>
      </c>
      <c r="AK791" s="4">
        <v>17</v>
      </c>
      <c r="AL791" s="4">
        <v>16</v>
      </c>
      <c r="AM791" s="4">
        <v>30</v>
      </c>
      <c r="AN791" s="4">
        <v>0</v>
      </c>
      <c r="AO791" s="4">
        <v>0</v>
      </c>
      <c r="AP791" s="4">
        <v>6</v>
      </c>
      <c r="AQ791" s="4">
        <v>33</v>
      </c>
      <c r="AR791" s="3" t="s">
        <v>64</v>
      </c>
      <c r="AS791" s="3" t="s">
        <v>64</v>
      </c>
      <c r="AT791" s="3" t="s">
        <v>64</v>
      </c>
      <c r="AV791" s="6" t="str">
        <f>HYPERLINK("http://mcgill.on.worldcat.org/oclc/49959273","Catalog Record")</f>
        <v>Catalog Record</v>
      </c>
      <c r="AW791" s="6" t="str">
        <f>HYPERLINK("http://www.worldcat.org/oclc/49959273","WorldCat Record")</f>
        <v>WorldCat Record</v>
      </c>
      <c r="AX791" s="3" t="s">
        <v>7697</v>
      </c>
      <c r="AY791" s="3" t="s">
        <v>7698</v>
      </c>
      <c r="AZ791" s="3" t="s">
        <v>7699</v>
      </c>
      <c r="BA791" s="3" t="s">
        <v>7699</v>
      </c>
      <c r="BB791" s="3" t="s">
        <v>7704</v>
      </c>
      <c r="BC791" s="3" t="s">
        <v>77</v>
      </c>
      <c r="BD791" s="3" t="s">
        <v>78</v>
      </c>
      <c r="BE791" s="3" t="s">
        <v>7701</v>
      </c>
      <c r="BF791" s="3" t="s">
        <v>7704</v>
      </c>
      <c r="BG791" s="3" t="s">
        <v>7705</v>
      </c>
      <c r="BH791">
        <f t="shared" si="24"/>
        <v>0</v>
      </c>
    </row>
    <row r="792" spans="1:60" ht="58" x14ac:dyDescent="0.35">
      <c r="A792" s="2" t="s">
        <v>1040</v>
      </c>
      <c r="B792" s="2" t="s">
        <v>60</v>
      </c>
      <c r="C792" s="2" t="s">
        <v>7706</v>
      </c>
      <c r="D792" s="2" t="s">
        <v>7707</v>
      </c>
      <c r="E792" s="2" t="s">
        <v>7708</v>
      </c>
      <c r="G792" s="3" t="s">
        <v>64</v>
      </c>
      <c r="I792" s="3" t="s">
        <v>64</v>
      </c>
      <c r="J792" s="3" t="s">
        <v>64</v>
      </c>
      <c r="K792" s="3" t="s">
        <v>65</v>
      </c>
      <c r="L792" s="2" t="s">
        <v>6957</v>
      </c>
      <c r="M792" s="2" t="s">
        <v>7709</v>
      </c>
      <c r="N792" s="3" t="s">
        <v>378</v>
      </c>
      <c r="P792" s="3" t="s">
        <v>102</v>
      </c>
      <c r="Q792" s="2" t="s">
        <v>7710</v>
      </c>
      <c r="R792" s="3" t="s">
        <v>70</v>
      </c>
      <c r="S792" s="4">
        <v>17</v>
      </c>
      <c r="T792" s="4">
        <v>17</v>
      </c>
      <c r="U792" s="5" t="s">
        <v>5226</v>
      </c>
      <c r="V792" s="5" t="s">
        <v>5226</v>
      </c>
      <c r="W792" s="5" t="s">
        <v>72</v>
      </c>
      <c r="X792" s="5" t="s">
        <v>72</v>
      </c>
      <c r="Y792" s="4">
        <v>359</v>
      </c>
      <c r="Z792" s="4">
        <v>18</v>
      </c>
      <c r="AA792" s="4">
        <v>25</v>
      </c>
      <c r="AB792" s="4">
        <v>1</v>
      </c>
      <c r="AC792" s="4">
        <v>5</v>
      </c>
      <c r="AD792" s="4">
        <v>73</v>
      </c>
      <c r="AE792" s="4">
        <v>86</v>
      </c>
      <c r="AF792" s="4">
        <v>0</v>
      </c>
      <c r="AG792" s="4">
        <v>4</v>
      </c>
      <c r="AH792" s="4">
        <v>62</v>
      </c>
      <c r="AI792" s="4">
        <v>71</v>
      </c>
      <c r="AJ792" s="4">
        <v>11</v>
      </c>
      <c r="AK792" s="4">
        <v>14</v>
      </c>
      <c r="AL792" s="4">
        <v>34</v>
      </c>
      <c r="AM792" s="4">
        <v>41</v>
      </c>
      <c r="AN792" s="4">
        <v>0</v>
      </c>
      <c r="AO792" s="4">
        <v>3</v>
      </c>
      <c r="AP792" s="4">
        <v>14</v>
      </c>
      <c r="AQ792" s="4">
        <v>17</v>
      </c>
      <c r="AR792" s="3" t="s">
        <v>64</v>
      </c>
      <c r="AS792" s="3" t="s">
        <v>64</v>
      </c>
      <c r="AT792" s="3" t="s">
        <v>128</v>
      </c>
      <c r="AU792" s="6" t="str">
        <f>HYPERLINK("http://catalog.hathitrust.org/Record/000447203","HathiTrust Record")</f>
        <v>HathiTrust Record</v>
      </c>
      <c r="AV792" s="6" t="str">
        <f>HYPERLINK("http://mcgill.on.worldcat.org/oclc/13157593","Catalog Record")</f>
        <v>Catalog Record</v>
      </c>
      <c r="AW792" s="6" t="str">
        <f>HYPERLINK("http://www.worldcat.org/oclc/13157593","WorldCat Record")</f>
        <v>WorldCat Record</v>
      </c>
      <c r="AX792" s="3" t="s">
        <v>7711</v>
      </c>
      <c r="AY792" s="3" t="s">
        <v>7712</v>
      </c>
      <c r="AZ792" s="3" t="s">
        <v>7713</v>
      </c>
      <c r="BA792" s="3" t="s">
        <v>7713</v>
      </c>
      <c r="BB792" s="3" t="s">
        <v>7714</v>
      </c>
      <c r="BC792" s="3" t="s">
        <v>77</v>
      </c>
      <c r="BD792" s="3" t="s">
        <v>78</v>
      </c>
      <c r="BE792" s="3" t="s">
        <v>7715</v>
      </c>
      <c r="BF792" s="3" t="s">
        <v>7714</v>
      </c>
      <c r="BG792" s="3" t="s">
        <v>7716</v>
      </c>
      <c r="BH792">
        <f t="shared" si="24"/>
        <v>0</v>
      </c>
    </row>
    <row r="793" spans="1:60" ht="58" x14ac:dyDescent="0.35">
      <c r="A793" s="2" t="s">
        <v>1040</v>
      </c>
      <c r="B793" s="2" t="s">
        <v>60</v>
      </c>
      <c r="C793" s="2" t="s">
        <v>7717</v>
      </c>
      <c r="D793" s="2" t="s">
        <v>7718</v>
      </c>
      <c r="E793" s="2" t="s">
        <v>7719</v>
      </c>
      <c r="G793" s="3" t="s">
        <v>64</v>
      </c>
      <c r="I793" s="3" t="s">
        <v>64</v>
      </c>
      <c r="J793" s="3" t="s">
        <v>64</v>
      </c>
      <c r="K793" s="3" t="s">
        <v>65</v>
      </c>
      <c r="L793" s="2" t="s">
        <v>7720</v>
      </c>
      <c r="M793" s="2" t="s">
        <v>7721</v>
      </c>
      <c r="N793" s="3" t="s">
        <v>378</v>
      </c>
      <c r="P793" s="3" t="s">
        <v>102</v>
      </c>
      <c r="Q793" s="2" t="s">
        <v>7722</v>
      </c>
      <c r="R793" s="3" t="s">
        <v>70</v>
      </c>
      <c r="S793" s="4">
        <v>73</v>
      </c>
      <c r="T793" s="4">
        <v>73</v>
      </c>
      <c r="U793" s="5" t="s">
        <v>1940</v>
      </c>
      <c r="V793" s="5" t="s">
        <v>1940</v>
      </c>
      <c r="W793" s="5" t="s">
        <v>72</v>
      </c>
      <c r="X793" s="5" t="s">
        <v>72</v>
      </c>
      <c r="Y793" s="4">
        <v>481</v>
      </c>
      <c r="Z793" s="4">
        <v>19</v>
      </c>
      <c r="AA793" s="4">
        <v>46</v>
      </c>
      <c r="AB793" s="4">
        <v>2</v>
      </c>
      <c r="AC793" s="4">
        <v>11</v>
      </c>
      <c r="AD793" s="4">
        <v>82</v>
      </c>
      <c r="AE793" s="4">
        <v>133</v>
      </c>
      <c r="AF793" s="4">
        <v>0</v>
      </c>
      <c r="AG793" s="4">
        <v>6</v>
      </c>
      <c r="AH793" s="4">
        <v>73</v>
      </c>
      <c r="AI793" s="4">
        <v>106</v>
      </c>
      <c r="AJ793" s="4">
        <v>9</v>
      </c>
      <c r="AK793" s="4">
        <v>23</v>
      </c>
      <c r="AL793" s="4">
        <v>40</v>
      </c>
      <c r="AM793" s="4">
        <v>59</v>
      </c>
      <c r="AN793" s="4">
        <v>0</v>
      </c>
      <c r="AO793" s="4">
        <v>0</v>
      </c>
      <c r="AP793" s="4">
        <v>12</v>
      </c>
      <c r="AQ793" s="4">
        <v>30</v>
      </c>
      <c r="AR793" s="3" t="s">
        <v>64</v>
      </c>
      <c r="AS793" s="3" t="s">
        <v>64</v>
      </c>
      <c r="AT793" s="3" t="s">
        <v>128</v>
      </c>
      <c r="AU793" s="6" t="str">
        <f>HYPERLINK("http://catalog.hathitrust.org/Record/004467245","HathiTrust Record")</f>
        <v>HathiTrust Record</v>
      </c>
      <c r="AV793" s="6" t="str">
        <f>HYPERLINK("http://mcgill.on.worldcat.org/oclc/12973034","Catalog Record")</f>
        <v>Catalog Record</v>
      </c>
      <c r="AW793" s="6" t="str">
        <f>HYPERLINK("http://www.worldcat.org/oclc/12973034","WorldCat Record")</f>
        <v>WorldCat Record</v>
      </c>
      <c r="AX793" s="3" t="s">
        <v>7723</v>
      </c>
      <c r="AY793" s="3" t="s">
        <v>7724</v>
      </c>
      <c r="AZ793" s="3" t="s">
        <v>7725</v>
      </c>
      <c r="BA793" s="3" t="s">
        <v>7725</v>
      </c>
      <c r="BB793" s="3" t="s">
        <v>7726</v>
      </c>
      <c r="BC793" s="3" t="s">
        <v>77</v>
      </c>
      <c r="BD793" s="3" t="s">
        <v>78</v>
      </c>
      <c r="BE793" s="3" t="s">
        <v>7727</v>
      </c>
      <c r="BF793" s="3" t="s">
        <v>7726</v>
      </c>
      <c r="BG793" s="3" t="s">
        <v>7728</v>
      </c>
      <c r="BH793">
        <f t="shared" si="24"/>
        <v>0</v>
      </c>
    </row>
    <row r="794" spans="1:60" ht="58" x14ac:dyDescent="0.35">
      <c r="A794" s="2" t="s">
        <v>1040</v>
      </c>
      <c r="B794" s="2" t="s">
        <v>60</v>
      </c>
      <c r="C794" s="2" t="s">
        <v>7729</v>
      </c>
      <c r="D794" s="2" t="s">
        <v>7730</v>
      </c>
      <c r="E794" s="2" t="s">
        <v>7731</v>
      </c>
      <c r="F794" s="3" t="s">
        <v>7620</v>
      </c>
      <c r="G794" s="3" t="s">
        <v>128</v>
      </c>
      <c r="I794" s="3" t="s">
        <v>64</v>
      </c>
      <c r="J794" s="3" t="s">
        <v>64</v>
      </c>
      <c r="K794" s="3" t="s">
        <v>65</v>
      </c>
      <c r="L794" s="2" t="s">
        <v>7732</v>
      </c>
      <c r="M794" s="2" t="s">
        <v>7733</v>
      </c>
      <c r="N794" s="3" t="s">
        <v>1275</v>
      </c>
      <c r="P794" s="3" t="s">
        <v>102</v>
      </c>
      <c r="R794" s="3" t="s">
        <v>70</v>
      </c>
      <c r="S794" s="4">
        <v>26</v>
      </c>
      <c r="T794" s="4">
        <v>49</v>
      </c>
      <c r="U794" s="5" t="s">
        <v>7734</v>
      </c>
      <c r="V794" s="5" t="s">
        <v>7734</v>
      </c>
      <c r="W794" s="5" t="s">
        <v>72</v>
      </c>
      <c r="X794" s="5" t="s">
        <v>72</v>
      </c>
      <c r="Y794" s="4">
        <v>37</v>
      </c>
      <c r="Z794" s="4">
        <v>1</v>
      </c>
      <c r="AA794" s="4">
        <v>4</v>
      </c>
      <c r="AB794" s="4">
        <v>1</v>
      </c>
      <c r="AC794" s="4">
        <v>2</v>
      </c>
      <c r="AD794" s="4">
        <v>3</v>
      </c>
      <c r="AE794" s="4">
        <v>7</v>
      </c>
      <c r="AF794" s="4">
        <v>0</v>
      </c>
      <c r="AG794" s="4">
        <v>1</v>
      </c>
      <c r="AH794" s="4">
        <v>3</v>
      </c>
      <c r="AI794" s="4">
        <v>5</v>
      </c>
      <c r="AJ794" s="4">
        <v>0</v>
      </c>
      <c r="AK794" s="4">
        <v>1</v>
      </c>
      <c r="AL794" s="4">
        <v>3</v>
      </c>
      <c r="AM794" s="4">
        <v>5</v>
      </c>
      <c r="AN794" s="4">
        <v>0</v>
      </c>
      <c r="AO794" s="4">
        <v>0</v>
      </c>
      <c r="AP794" s="4">
        <v>0</v>
      </c>
      <c r="AQ794" s="4">
        <v>1</v>
      </c>
      <c r="AR794" s="3" t="s">
        <v>64</v>
      </c>
      <c r="AS794" s="3" t="s">
        <v>64</v>
      </c>
      <c r="AT794" s="3" t="s">
        <v>128</v>
      </c>
      <c r="AU794" s="6" t="str">
        <f>HYPERLINK("http://catalog.hathitrust.org/Record/004766927","HathiTrust Record")</f>
        <v>HathiTrust Record</v>
      </c>
      <c r="AV794" s="6" t="str">
        <f>HYPERLINK("http://mcgill.on.worldcat.org/oclc/56656002","Catalog Record")</f>
        <v>Catalog Record</v>
      </c>
      <c r="AW794" s="6" t="str">
        <f>HYPERLINK("http://www.worldcat.org/oclc/56656002","WorldCat Record")</f>
        <v>WorldCat Record</v>
      </c>
      <c r="AX794" s="3" t="s">
        <v>7735</v>
      </c>
      <c r="AY794" s="3" t="s">
        <v>7736</v>
      </c>
      <c r="AZ794" s="3" t="s">
        <v>7737</v>
      </c>
      <c r="BA794" s="3" t="s">
        <v>7737</v>
      </c>
      <c r="BB794" s="3" t="s">
        <v>7738</v>
      </c>
      <c r="BC794" s="3" t="s">
        <v>77</v>
      </c>
      <c r="BD794" s="3" t="s">
        <v>78</v>
      </c>
      <c r="BE794" s="3" t="s">
        <v>7739</v>
      </c>
      <c r="BF794" s="3" t="s">
        <v>7738</v>
      </c>
      <c r="BG794" s="3" t="s">
        <v>7740</v>
      </c>
      <c r="BH794">
        <f t="shared" si="24"/>
        <v>0</v>
      </c>
    </row>
    <row r="795" spans="1:60" ht="58" x14ac:dyDescent="0.35">
      <c r="A795" s="2" t="s">
        <v>1040</v>
      </c>
      <c r="B795" s="2" t="s">
        <v>60</v>
      </c>
      <c r="C795" s="2" t="s">
        <v>7729</v>
      </c>
      <c r="D795" s="2" t="s">
        <v>7730</v>
      </c>
      <c r="E795" s="2" t="s">
        <v>7731</v>
      </c>
      <c r="F795" s="3" t="s">
        <v>7631</v>
      </c>
      <c r="G795" s="3" t="s">
        <v>128</v>
      </c>
      <c r="I795" s="3" t="s">
        <v>64</v>
      </c>
      <c r="J795" s="3" t="s">
        <v>64</v>
      </c>
      <c r="K795" s="3" t="s">
        <v>65</v>
      </c>
      <c r="L795" s="2" t="s">
        <v>7732</v>
      </c>
      <c r="M795" s="2" t="s">
        <v>7733</v>
      </c>
      <c r="N795" s="3" t="s">
        <v>1275</v>
      </c>
      <c r="P795" s="3" t="s">
        <v>102</v>
      </c>
      <c r="R795" s="3" t="s">
        <v>70</v>
      </c>
      <c r="S795" s="4">
        <v>23</v>
      </c>
      <c r="T795" s="4">
        <v>49</v>
      </c>
      <c r="U795" s="5" t="s">
        <v>7734</v>
      </c>
      <c r="V795" s="5" t="s">
        <v>7734</v>
      </c>
      <c r="W795" s="5" t="s">
        <v>72</v>
      </c>
      <c r="X795" s="5" t="s">
        <v>72</v>
      </c>
      <c r="Y795" s="4">
        <v>37</v>
      </c>
      <c r="Z795" s="4">
        <v>1</v>
      </c>
      <c r="AA795" s="4">
        <v>4</v>
      </c>
      <c r="AB795" s="4">
        <v>1</v>
      </c>
      <c r="AC795" s="4">
        <v>2</v>
      </c>
      <c r="AD795" s="4">
        <v>3</v>
      </c>
      <c r="AE795" s="4">
        <v>7</v>
      </c>
      <c r="AF795" s="4">
        <v>0</v>
      </c>
      <c r="AG795" s="4">
        <v>1</v>
      </c>
      <c r="AH795" s="4">
        <v>3</v>
      </c>
      <c r="AI795" s="4">
        <v>5</v>
      </c>
      <c r="AJ795" s="4">
        <v>0</v>
      </c>
      <c r="AK795" s="4">
        <v>1</v>
      </c>
      <c r="AL795" s="4">
        <v>3</v>
      </c>
      <c r="AM795" s="4">
        <v>5</v>
      </c>
      <c r="AN795" s="4">
        <v>0</v>
      </c>
      <c r="AO795" s="4">
        <v>0</v>
      </c>
      <c r="AP795" s="4">
        <v>0</v>
      </c>
      <c r="AQ795" s="4">
        <v>1</v>
      </c>
      <c r="AR795" s="3" t="s">
        <v>64</v>
      </c>
      <c r="AS795" s="3" t="s">
        <v>64</v>
      </c>
      <c r="AT795" s="3" t="s">
        <v>128</v>
      </c>
      <c r="AU795" s="6" t="str">
        <f>HYPERLINK("http://catalog.hathitrust.org/Record/004766927","HathiTrust Record")</f>
        <v>HathiTrust Record</v>
      </c>
      <c r="AV795" s="6" t="str">
        <f>HYPERLINK("http://mcgill.on.worldcat.org/oclc/56656002","Catalog Record")</f>
        <v>Catalog Record</v>
      </c>
      <c r="AW795" s="6" t="str">
        <f>HYPERLINK("http://www.worldcat.org/oclc/56656002","WorldCat Record")</f>
        <v>WorldCat Record</v>
      </c>
      <c r="AX795" s="3" t="s">
        <v>7735</v>
      </c>
      <c r="AY795" s="3" t="s">
        <v>7736</v>
      </c>
      <c r="AZ795" s="3" t="s">
        <v>7737</v>
      </c>
      <c r="BA795" s="3" t="s">
        <v>7737</v>
      </c>
      <c r="BB795" s="3" t="s">
        <v>7741</v>
      </c>
      <c r="BC795" s="3" t="s">
        <v>77</v>
      </c>
      <c r="BD795" s="3" t="s">
        <v>78</v>
      </c>
      <c r="BE795" s="3" t="s">
        <v>7739</v>
      </c>
      <c r="BF795" s="3" t="s">
        <v>7741</v>
      </c>
      <c r="BG795" s="3" t="s">
        <v>7742</v>
      </c>
      <c r="BH795">
        <f t="shared" si="24"/>
        <v>0</v>
      </c>
    </row>
    <row r="796" spans="1:60" ht="58" x14ac:dyDescent="0.35">
      <c r="A796" s="2" t="s">
        <v>59</v>
      </c>
      <c r="B796" s="2" t="s">
        <v>60</v>
      </c>
      <c r="C796" s="2" t="s">
        <v>7743</v>
      </c>
      <c r="D796" s="2" t="s">
        <v>7744</v>
      </c>
      <c r="E796" s="2" t="s">
        <v>7745</v>
      </c>
      <c r="G796" s="3" t="s">
        <v>64</v>
      </c>
      <c r="I796" s="3" t="s">
        <v>64</v>
      </c>
      <c r="J796" s="3" t="s">
        <v>64</v>
      </c>
      <c r="K796" s="3" t="s">
        <v>65</v>
      </c>
      <c r="L796" s="2" t="s">
        <v>7746</v>
      </c>
      <c r="M796" s="2" t="s">
        <v>6369</v>
      </c>
      <c r="N796" s="3" t="s">
        <v>326</v>
      </c>
      <c r="P796" s="3" t="s">
        <v>102</v>
      </c>
      <c r="Q796" s="2" t="s">
        <v>7747</v>
      </c>
      <c r="R796" s="3" t="s">
        <v>70</v>
      </c>
      <c r="S796" s="4">
        <v>4</v>
      </c>
      <c r="T796" s="4">
        <v>4</v>
      </c>
      <c r="U796" s="5" t="s">
        <v>7748</v>
      </c>
      <c r="V796" s="5" t="s">
        <v>7748</v>
      </c>
      <c r="W796" s="5" t="s">
        <v>72</v>
      </c>
      <c r="X796" s="5" t="s">
        <v>72</v>
      </c>
      <c r="Y796" s="4">
        <v>69</v>
      </c>
      <c r="Z796" s="4">
        <v>6</v>
      </c>
      <c r="AA796" s="4">
        <v>8</v>
      </c>
      <c r="AB796" s="4">
        <v>1</v>
      </c>
      <c r="AC796" s="4">
        <v>3</v>
      </c>
      <c r="AD796" s="4">
        <v>23</v>
      </c>
      <c r="AE796" s="4">
        <v>24</v>
      </c>
      <c r="AF796" s="4">
        <v>0</v>
      </c>
      <c r="AG796" s="4">
        <v>1</v>
      </c>
      <c r="AH796" s="4">
        <v>21</v>
      </c>
      <c r="AI796" s="4">
        <v>21</v>
      </c>
      <c r="AJ796" s="4">
        <v>4</v>
      </c>
      <c r="AK796" s="4">
        <v>5</v>
      </c>
      <c r="AL796" s="4">
        <v>16</v>
      </c>
      <c r="AM796" s="4">
        <v>16</v>
      </c>
      <c r="AN796" s="4">
        <v>0</v>
      </c>
      <c r="AO796" s="4">
        <v>0</v>
      </c>
      <c r="AP796" s="4">
        <v>4</v>
      </c>
      <c r="AQ796" s="4">
        <v>4</v>
      </c>
      <c r="AR796" s="3" t="s">
        <v>64</v>
      </c>
      <c r="AS796" s="3" t="s">
        <v>64</v>
      </c>
      <c r="AT796" s="3" t="s">
        <v>64</v>
      </c>
      <c r="AV796" s="6" t="str">
        <f>HYPERLINK("http://mcgill.on.worldcat.org/oclc/773025276","Catalog Record")</f>
        <v>Catalog Record</v>
      </c>
      <c r="AW796" s="6" t="str">
        <f>HYPERLINK("http://www.worldcat.org/oclc/773025276","WorldCat Record")</f>
        <v>WorldCat Record</v>
      </c>
      <c r="AX796" s="3" t="s">
        <v>7749</v>
      </c>
      <c r="AY796" s="3" t="s">
        <v>7750</v>
      </c>
      <c r="AZ796" s="3" t="s">
        <v>7751</v>
      </c>
      <c r="BA796" s="3" t="s">
        <v>7751</v>
      </c>
      <c r="BB796" s="3" t="s">
        <v>7752</v>
      </c>
      <c r="BC796" s="3" t="s">
        <v>77</v>
      </c>
      <c r="BD796" s="3" t="s">
        <v>78</v>
      </c>
      <c r="BE796" s="3" t="s">
        <v>7753</v>
      </c>
      <c r="BF796" s="3" t="s">
        <v>7752</v>
      </c>
      <c r="BG796" s="3" t="s">
        <v>7754</v>
      </c>
      <c r="BH796">
        <f t="shared" si="24"/>
        <v>0</v>
      </c>
    </row>
    <row r="797" spans="1:60" ht="72.5" x14ac:dyDescent="0.35">
      <c r="A797" s="2" t="s">
        <v>59</v>
      </c>
      <c r="B797" s="2" t="s">
        <v>1025</v>
      </c>
      <c r="C797" s="2" t="s">
        <v>7755</v>
      </c>
      <c r="D797" s="2" t="s">
        <v>7756</v>
      </c>
      <c r="E797" s="2" t="s">
        <v>7757</v>
      </c>
      <c r="G797" s="3" t="s">
        <v>64</v>
      </c>
      <c r="I797" s="3" t="s">
        <v>64</v>
      </c>
      <c r="J797" s="3" t="s">
        <v>64</v>
      </c>
      <c r="K797" s="3" t="s">
        <v>65</v>
      </c>
      <c r="L797" s="2" t="s">
        <v>7758</v>
      </c>
      <c r="M797" s="2" t="s">
        <v>7759</v>
      </c>
      <c r="N797" s="3" t="s">
        <v>144</v>
      </c>
      <c r="P797" s="3" t="s">
        <v>102</v>
      </c>
      <c r="R797" s="3" t="s">
        <v>70</v>
      </c>
      <c r="S797" s="4">
        <v>10</v>
      </c>
      <c r="T797" s="4">
        <v>10</v>
      </c>
      <c r="U797" s="5" t="s">
        <v>3048</v>
      </c>
      <c r="V797" s="5" t="s">
        <v>3048</v>
      </c>
      <c r="W797" s="5" t="s">
        <v>72</v>
      </c>
      <c r="X797" s="5" t="s">
        <v>72</v>
      </c>
      <c r="Y797" s="4">
        <v>807</v>
      </c>
      <c r="Z797" s="4">
        <v>38</v>
      </c>
      <c r="AA797" s="4">
        <v>41</v>
      </c>
      <c r="AB797" s="4">
        <v>5</v>
      </c>
      <c r="AC797" s="4">
        <v>8</v>
      </c>
      <c r="AD797" s="4">
        <v>97</v>
      </c>
      <c r="AE797" s="4">
        <v>100</v>
      </c>
      <c r="AF797" s="4">
        <v>1</v>
      </c>
      <c r="AG797" s="4">
        <v>4</v>
      </c>
      <c r="AH797" s="4">
        <v>82</v>
      </c>
      <c r="AI797" s="4">
        <v>83</v>
      </c>
      <c r="AJ797" s="4">
        <v>13</v>
      </c>
      <c r="AK797" s="4">
        <v>16</v>
      </c>
      <c r="AL797" s="4">
        <v>47</v>
      </c>
      <c r="AM797" s="4">
        <v>47</v>
      </c>
      <c r="AN797" s="4">
        <v>0</v>
      </c>
      <c r="AO797" s="4">
        <v>0</v>
      </c>
      <c r="AP797" s="4">
        <v>19</v>
      </c>
      <c r="AQ797" s="4">
        <v>21</v>
      </c>
      <c r="AR797" s="3" t="s">
        <v>64</v>
      </c>
      <c r="AS797" s="3" t="s">
        <v>64</v>
      </c>
      <c r="AT797" s="3" t="s">
        <v>64</v>
      </c>
      <c r="AV797" s="6" t="str">
        <f>HYPERLINK("http://mcgill.on.worldcat.org/oclc/216939337","Catalog Record")</f>
        <v>Catalog Record</v>
      </c>
      <c r="AW797" s="6" t="str">
        <f>HYPERLINK("http://www.worldcat.org/oclc/216939337","WorldCat Record")</f>
        <v>WorldCat Record</v>
      </c>
      <c r="AX797" s="3" t="s">
        <v>7760</v>
      </c>
      <c r="AY797" s="3" t="s">
        <v>7761</v>
      </c>
      <c r="AZ797" s="3" t="s">
        <v>7762</v>
      </c>
      <c r="BA797" s="3" t="s">
        <v>7762</v>
      </c>
      <c r="BB797" s="3" t="s">
        <v>7763</v>
      </c>
      <c r="BC797" s="3" t="s">
        <v>77</v>
      </c>
      <c r="BD797" s="3" t="s">
        <v>78</v>
      </c>
      <c r="BE797" s="3" t="s">
        <v>7764</v>
      </c>
      <c r="BF797" s="3" t="s">
        <v>7763</v>
      </c>
      <c r="BG797" s="3" t="s">
        <v>7765</v>
      </c>
      <c r="BH797">
        <f t="shared" si="24"/>
        <v>0</v>
      </c>
    </row>
    <row r="798" spans="1:60" ht="58" x14ac:dyDescent="0.35">
      <c r="A798" s="2" t="s">
        <v>59</v>
      </c>
      <c r="B798" s="2" t="s">
        <v>60</v>
      </c>
      <c r="C798" s="2" t="s">
        <v>7766</v>
      </c>
      <c r="D798" s="2" t="s">
        <v>7767</v>
      </c>
      <c r="E798" s="2" t="s">
        <v>7768</v>
      </c>
      <c r="G798" s="3" t="s">
        <v>64</v>
      </c>
      <c r="I798" s="3" t="s">
        <v>128</v>
      </c>
      <c r="J798" s="3" t="s">
        <v>128</v>
      </c>
      <c r="K798" s="3" t="s">
        <v>65</v>
      </c>
      <c r="L798" s="2" t="s">
        <v>7769</v>
      </c>
      <c r="M798" s="2" t="s">
        <v>7770</v>
      </c>
      <c r="N798" s="3" t="s">
        <v>364</v>
      </c>
      <c r="P798" s="3" t="s">
        <v>102</v>
      </c>
      <c r="R798" s="3" t="s">
        <v>70</v>
      </c>
      <c r="S798" s="4">
        <v>8</v>
      </c>
      <c r="T798" s="4">
        <v>13</v>
      </c>
      <c r="U798" s="5" t="s">
        <v>7771</v>
      </c>
      <c r="V798" s="5" t="s">
        <v>7771</v>
      </c>
      <c r="W798" s="5" t="s">
        <v>72</v>
      </c>
      <c r="X798" s="5" t="s">
        <v>72</v>
      </c>
      <c r="Y798" s="4">
        <v>320</v>
      </c>
      <c r="Z798" s="4">
        <v>27</v>
      </c>
      <c r="AA798" s="4">
        <v>46</v>
      </c>
      <c r="AB798" s="4">
        <v>3</v>
      </c>
      <c r="AC798" s="4">
        <v>6</v>
      </c>
      <c r="AD798" s="4">
        <v>82</v>
      </c>
      <c r="AE798" s="4">
        <v>126</v>
      </c>
      <c r="AF798" s="4">
        <v>1</v>
      </c>
      <c r="AG798" s="4">
        <v>3</v>
      </c>
      <c r="AH798" s="4">
        <v>74</v>
      </c>
      <c r="AI798" s="4">
        <v>105</v>
      </c>
      <c r="AJ798" s="4">
        <v>17</v>
      </c>
      <c r="AK798" s="4">
        <v>23</v>
      </c>
      <c r="AL798" s="4">
        <v>38</v>
      </c>
      <c r="AM798" s="4">
        <v>58</v>
      </c>
      <c r="AN798" s="4">
        <v>0</v>
      </c>
      <c r="AO798" s="4">
        <v>0</v>
      </c>
      <c r="AP798" s="4">
        <v>18</v>
      </c>
      <c r="AQ798" s="4">
        <v>27</v>
      </c>
      <c r="AR798" s="3" t="s">
        <v>64</v>
      </c>
      <c r="AS798" s="3" t="s">
        <v>64</v>
      </c>
      <c r="AT798" s="3" t="s">
        <v>128</v>
      </c>
      <c r="AU798" s="6" t="str">
        <f>HYPERLINK("http://catalog.hathitrust.org/Record/001470441","HathiTrust Record")</f>
        <v>HathiTrust Record</v>
      </c>
      <c r="AV798" s="6" t="str">
        <f>HYPERLINK("http://mcgill.on.worldcat.org/oclc/741551","Catalog Record")</f>
        <v>Catalog Record</v>
      </c>
      <c r="AW798" s="6" t="str">
        <f>HYPERLINK("http://www.worldcat.org/oclc/741551","WorldCat Record")</f>
        <v>WorldCat Record</v>
      </c>
      <c r="AX798" s="3" t="s">
        <v>7772</v>
      </c>
      <c r="AY798" s="3" t="s">
        <v>7773</v>
      </c>
      <c r="AZ798" s="3" t="s">
        <v>7774</v>
      </c>
      <c r="BA798" s="3" t="s">
        <v>7774</v>
      </c>
      <c r="BB798" s="3" t="s">
        <v>7775</v>
      </c>
      <c r="BC798" s="3" t="s">
        <v>77</v>
      </c>
      <c r="BD798" s="3" t="s">
        <v>78</v>
      </c>
      <c r="BE798" s="3" t="s">
        <v>7776</v>
      </c>
      <c r="BF798" s="3" t="s">
        <v>7775</v>
      </c>
      <c r="BG798" s="3" t="s">
        <v>7777</v>
      </c>
      <c r="BH798">
        <f t="shared" si="24"/>
        <v>0</v>
      </c>
    </row>
    <row r="799" spans="1:60" ht="72.5" x14ac:dyDescent="0.35">
      <c r="A799" s="2" t="s">
        <v>59</v>
      </c>
      <c r="B799" s="2" t="s">
        <v>1025</v>
      </c>
      <c r="C799" s="2" t="s">
        <v>7766</v>
      </c>
      <c r="D799" s="2" t="s">
        <v>7767</v>
      </c>
      <c r="E799" s="2" t="s">
        <v>7768</v>
      </c>
      <c r="G799" s="3" t="s">
        <v>64</v>
      </c>
      <c r="I799" s="3" t="s">
        <v>128</v>
      </c>
      <c r="J799" s="3" t="s">
        <v>128</v>
      </c>
      <c r="K799" s="3" t="s">
        <v>65</v>
      </c>
      <c r="L799" s="2" t="s">
        <v>7769</v>
      </c>
      <c r="M799" s="2" t="s">
        <v>7770</v>
      </c>
      <c r="N799" s="3" t="s">
        <v>364</v>
      </c>
      <c r="P799" s="3" t="s">
        <v>102</v>
      </c>
      <c r="R799" s="3" t="s">
        <v>70</v>
      </c>
      <c r="S799" s="4">
        <v>5</v>
      </c>
      <c r="T799" s="4">
        <v>13</v>
      </c>
      <c r="U799" s="5" t="s">
        <v>7778</v>
      </c>
      <c r="V799" s="5" t="s">
        <v>7771</v>
      </c>
      <c r="W799" s="5" t="s">
        <v>72</v>
      </c>
      <c r="X799" s="5" t="s">
        <v>72</v>
      </c>
      <c r="Y799" s="4">
        <v>320</v>
      </c>
      <c r="Z799" s="4">
        <v>27</v>
      </c>
      <c r="AA799" s="4">
        <v>46</v>
      </c>
      <c r="AB799" s="4">
        <v>3</v>
      </c>
      <c r="AC799" s="4">
        <v>6</v>
      </c>
      <c r="AD799" s="4">
        <v>82</v>
      </c>
      <c r="AE799" s="4">
        <v>126</v>
      </c>
      <c r="AF799" s="4">
        <v>1</v>
      </c>
      <c r="AG799" s="4">
        <v>3</v>
      </c>
      <c r="AH799" s="4">
        <v>74</v>
      </c>
      <c r="AI799" s="4">
        <v>105</v>
      </c>
      <c r="AJ799" s="4">
        <v>17</v>
      </c>
      <c r="AK799" s="4">
        <v>23</v>
      </c>
      <c r="AL799" s="4">
        <v>38</v>
      </c>
      <c r="AM799" s="4">
        <v>58</v>
      </c>
      <c r="AN799" s="4">
        <v>0</v>
      </c>
      <c r="AO799" s="4">
        <v>0</v>
      </c>
      <c r="AP799" s="4">
        <v>18</v>
      </c>
      <c r="AQ799" s="4">
        <v>27</v>
      </c>
      <c r="AR799" s="3" t="s">
        <v>64</v>
      </c>
      <c r="AS799" s="3" t="s">
        <v>64</v>
      </c>
      <c r="AT799" s="3" t="s">
        <v>128</v>
      </c>
      <c r="AU799" s="6" t="str">
        <f>HYPERLINK("http://catalog.hathitrust.org/Record/001470441","HathiTrust Record")</f>
        <v>HathiTrust Record</v>
      </c>
      <c r="AV799" s="6" t="str">
        <f>HYPERLINK("http://mcgill.on.worldcat.org/oclc/741551","Catalog Record")</f>
        <v>Catalog Record</v>
      </c>
      <c r="AW799" s="6" t="str">
        <f>HYPERLINK("http://www.worldcat.org/oclc/741551","WorldCat Record")</f>
        <v>WorldCat Record</v>
      </c>
      <c r="AX799" s="3" t="s">
        <v>7772</v>
      </c>
      <c r="AY799" s="3" t="s">
        <v>7773</v>
      </c>
      <c r="AZ799" s="3" t="s">
        <v>7774</v>
      </c>
      <c r="BA799" s="3" t="s">
        <v>7774</v>
      </c>
      <c r="BB799" s="3" t="s">
        <v>7779</v>
      </c>
      <c r="BC799" s="3" t="s">
        <v>77</v>
      </c>
      <c r="BD799" s="3" t="s">
        <v>165</v>
      </c>
      <c r="BE799" s="3" t="s">
        <v>7776</v>
      </c>
      <c r="BF799" s="3" t="s">
        <v>7779</v>
      </c>
      <c r="BG799" s="3" t="s">
        <v>7780</v>
      </c>
      <c r="BH799">
        <f t="shared" si="24"/>
        <v>0</v>
      </c>
    </row>
    <row r="800" spans="1:60" ht="58" x14ac:dyDescent="0.35">
      <c r="A800" s="2" t="s">
        <v>59</v>
      </c>
      <c r="B800" s="2" t="s">
        <v>60</v>
      </c>
      <c r="C800" s="2" t="s">
        <v>7783</v>
      </c>
      <c r="D800" s="2" t="s">
        <v>7784</v>
      </c>
      <c r="E800" s="2" t="s">
        <v>7785</v>
      </c>
      <c r="G800" s="3" t="s">
        <v>64</v>
      </c>
      <c r="I800" s="3" t="s">
        <v>64</v>
      </c>
      <c r="J800" s="3" t="s">
        <v>64</v>
      </c>
      <c r="K800" s="3" t="s">
        <v>183</v>
      </c>
      <c r="L800" s="2" t="s">
        <v>7786</v>
      </c>
      <c r="M800" s="2" t="s">
        <v>7787</v>
      </c>
      <c r="N800" s="3" t="s">
        <v>3761</v>
      </c>
      <c r="P800" s="3" t="s">
        <v>102</v>
      </c>
      <c r="Q800" s="2" t="s">
        <v>7788</v>
      </c>
      <c r="R800" s="3" t="s">
        <v>70</v>
      </c>
      <c r="S800" s="4">
        <v>1</v>
      </c>
      <c r="T800" s="4">
        <v>1</v>
      </c>
      <c r="U800" s="5" t="s">
        <v>7789</v>
      </c>
      <c r="V800" s="5" t="s">
        <v>7789</v>
      </c>
      <c r="W800" s="5" t="s">
        <v>72</v>
      </c>
      <c r="X800" s="5" t="s">
        <v>72</v>
      </c>
      <c r="Y800" s="4">
        <v>243</v>
      </c>
      <c r="Z800" s="4">
        <v>16</v>
      </c>
      <c r="AA800" s="4">
        <v>18</v>
      </c>
      <c r="AB800" s="4">
        <v>1</v>
      </c>
      <c r="AC800" s="4">
        <v>3</v>
      </c>
      <c r="AD800" s="4">
        <v>87</v>
      </c>
      <c r="AE800" s="4">
        <v>89</v>
      </c>
      <c r="AF800" s="4">
        <v>0</v>
      </c>
      <c r="AG800" s="4">
        <v>1</v>
      </c>
      <c r="AH800" s="4">
        <v>76</v>
      </c>
      <c r="AI800" s="4">
        <v>77</v>
      </c>
      <c r="AJ800" s="4">
        <v>12</v>
      </c>
      <c r="AK800" s="4">
        <v>13</v>
      </c>
      <c r="AL800" s="4">
        <v>49</v>
      </c>
      <c r="AM800" s="4">
        <v>50</v>
      </c>
      <c r="AN800" s="4">
        <v>0</v>
      </c>
      <c r="AO800" s="4">
        <v>0</v>
      </c>
      <c r="AP800" s="4">
        <v>12</v>
      </c>
      <c r="AQ800" s="4">
        <v>13</v>
      </c>
      <c r="AR800" s="3" t="s">
        <v>64</v>
      </c>
      <c r="AS800" s="3" t="s">
        <v>128</v>
      </c>
      <c r="AT800" s="3" t="s">
        <v>64</v>
      </c>
      <c r="AU800" s="6" t="str">
        <f>HYPERLINK("http://catalog.hathitrust.org/Record/001161358","HathiTrust Record")</f>
        <v>HathiTrust Record</v>
      </c>
      <c r="AV800" s="6" t="str">
        <f>HYPERLINK("http://mcgill.on.worldcat.org/oclc/576188","Catalog Record")</f>
        <v>Catalog Record</v>
      </c>
      <c r="AW800" s="6" t="str">
        <f>HYPERLINK("http://www.worldcat.org/oclc/576188","WorldCat Record")</f>
        <v>WorldCat Record</v>
      </c>
      <c r="AX800" s="3" t="s">
        <v>7790</v>
      </c>
      <c r="AY800" s="3" t="s">
        <v>7791</v>
      </c>
      <c r="AZ800" s="3" t="s">
        <v>7792</v>
      </c>
      <c r="BA800" s="3" t="s">
        <v>7792</v>
      </c>
      <c r="BB800" s="3" t="s">
        <v>7793</v>
      </c>
      <c r="BC800" s="3" t="s">
        <v>77</v>
      </c>
      <c r="BD800" s="3" t="s">
        <v>78</v>
      </c>
      <c r="BF800" s="3" t="s">
        <v>7793</v>
      </c>
      <c r="BG800" s="3" t="s">
        <v>7794</v>
      </c>
      <c r="BH800">
        <f t="shared" si="24"/>
        <v>0</v>
      </c>
    </row>
    <row r="801" spans="1:60" ht="58" x14ac:dyDescent="0.35">
      <c r="A801" s="2" t="s">
        <v>59</v>
      </c>
      <c r="B801" s="2" t="s">
        <v>60</v>
      </c>
      <c r="C801" s="2" t="s">
        <v>7795</v>
      </c>
      <c r="D801" s="2" t="s">
        <v>7796</v>
      </c>
      <c r="E801" s="2" t="s">
        <v>7797</v>
      </c>
      <c r="F801" s="3" t="s">
        <v>489</v>
      </c>
      <c r="G801" s="3" t="s">
        <v>128</v>
      </c>
      <c r="I801" s="3" t="s">
        <v>64</v>
      </c>
      <c r="J801" s="3" t="s">
        <v>64</v>
      </c>
      <c r="K801" s="3" t="s">
        <v>65</v>
      </c>
      <c r="L801" s="2" t="s">
        <v>7798</v>
      </c>
      <c r="M801" s="2" t="s">
        <v>7799</v>
      </c>
      <c r="N801" s="3" t="s">
        <v>7800</v>
      </c>
      <c r="P801" s="3" t="s">
        <v>102</v>
      </c>
      <c r="R801" s="3" t="s">
        <v>70</v>
      </c>
      <c r="S801" s="4">
        <v>8</v>
      </c>
      <c r="T801" s="4">
        <v>19</v>
      </c>
      <c r="U801" s="5" t="s">
        <v>7801</v>
      </c>
      <c r="V801" s="5" t="s">
        <v>7801</v>
      </c>
      <c r="W801" s="5" t="s">
        <v>72</v>
      </c>
      <c r="X801" s="5" t="s">
        <v>72</v>
      </c>
      <c r="Y801" s="4">
        <v>423</v>
      </c>
      <c r="Z801" s="4">
        <v>20</v>
      </c>
      <c r="AA801" s="4">
        <v>63</v>
      </c>
      <c r="AB801" s="4">
        <v>1</v>
      </c>
      <c r="AC801" s="4">
        <v>8</v>
      </c>
      <c r="AD801" s="4">
        <v>96</v>
      </c>
      <c r="AE801" s="4">
        <v>129</v>
      </c>
      <c r="AF801" s="4">
        <v>0</v>
      </c>
      <c r="AG801" s="4">
        <v>3</v>
      </c>
      <c r="AH801" s="4">
        <v>82</v>
      </c>
      <c r="AI801" s="4">
        <v>106</v>
      </c>
      <c r="AJ801" s="4">
        <v>10</v>
      </c>
      <c r="AK801" s="4">
        <v>19</v>
      </c>
      <c r="AL801" s="4">
        <v>50</v>
      </c>
      <c r="AM801" s="4">
        <v>59</v>
      </c>
      <c r="AN801" s="4">
        <v>0</v>
      </c>
      <c r="AO801" s="4">
        <v>0</v>
      </c>
      <c r="AP801" s="4">
        <v>16</v>
      </c>
      <c r="AQ801" s="4">
        <v>27</v>
      </c>
      <c r="AR801" s="3" t="s">
        <v>64</v>
      </c>
      <c r="AS801" s="3" t="s">
        <v>128</v>
      </c>
      <c r="AT801" s="3" t="s">
        <v>128</v>
      </c>
      <c r="AU801" s="6" t="str">
        <f>HYPERLINK("http://catalog.hathitrust.org/Record/001161392","HathiTrust Record")</f>
        <v>HathiTrust Record</v>
      </c>
      <c r="AV801" s="6" t="str">
        <f>HYPERLINK("http://mcgill.on.worldcat.org/oclc/903412450","Catalog Record")</f>
        <v>Catalog Record</v>
      </c>
      <c r="AW801" s="6" t="str">
        <f>HYPERLINK("http://www.worldcat.org/oclc/903412450","WorldCat Record")</f>
        <v>WorldCat Record</v>
      </c>
      <c r="AX801" s="3" t="s">
        <v>7802</v>
      </c>
      <c r="AY801" s="3" t="s">
        <v>7803</v>
      </c>
      <c r="AZ801" s="3" t="s">
        <v>7804</v>
      </c>
      <c r="BA801" s="3" t="s">
        <v>7804</v>
      </c>
      <c r="BB801" s="3" t="s">
        <v>7805</v>
      </c>
      <c r="BC801" s="3" t="s">
        <v>77</v>
      </c>
      <c r="BD801" s="3" t="s">
        <v>165</v>
      </c>
      <c r="BF801" s="3" t="s">
        <v>7805</v>
      </c>
      <c r="BG801" s="3" t="s">
        <v>7806</v>
      </c>
      <c r="BH801">
        <f t="shared" si="24"/>
        <v>0</v>
      </c>
    </row>
    <row r="802" spans="1:60" ht="58" x14ac:dyDescent="0.35">
      <c r="A802" s="2" t="s">
        <v>59</v>
      </c>
      <c r="B802" s="2" t="s">
        <v>60</v>
      </c>
      <c r="C802" s="2" t="s">
        <v>7795</v>
      </c>
      <c r="D802" s="2" t="s">
        <v>7796</v>
      </c>
      <c r="E802" s="2" t="s">
        <v>7797</v>
      </c>
      <c r="F802" s="3" t="s">
        <v>478</v>
      </c>
      <c r="G802" s="3" t="s">
        <v>128</v>
      </c>
      <c r="I802" s="3" t="s">
        <v>64</v>
      </c>
      <c r="J802" s="3" t="s">
        <v>64</v>
      </c>
      <c r="K802" s="3" t="s">
        <v>65</v>
      </c>
      <c r="L802" s="2" t="s">
        <v>7798</v>
      </c>
      <c r="M802" s="2" t="s">
        <v>7799</v>
      </c>
      <c r="N802" s="3" t="s">
        <v>7800</v>
      </c>
      <c r="P802" s="3" t="s">
        <v>102</v>
      </c>
      <c r="R802" s="3" t="s">
        <v>70</v>
      </c>
      <c r="S802" s="4">
        <v>11</v>
      </c>
      <c r="T802" s="4">
        <v>19</v>
      </c>
      <c r="U802" s="5" t="s">
        <v>7801</v>
      </c>
      <c r="V802" s="5" t="s">
        <v>7801</v>
      </c>
      <c r="W802" s="5" t="s">
        <v>72</v>
      </c>
      <c r="X802" s="5" t="s">
        <v>72</v>
      </c>
      <c r="Y802" s="4">
        <v>423</v>
      </c>
      <c r="Z802" s="4">
        <v>20</v>
      </c>
      <c r="AA802" s="4">
        <v>63</v>
      </c>
      <c r="AB802" s="4">
        <v>1</v>
      </c>
      <c r="AC802" s="4">
        <v>8</v>
      </c>
      <c r="AD802" s="4">
        <v>96</v>
      </c>
      <c r="AE802" s="4">
        <v>129</v>
      </c>
      <c r="AF802" s="4">
        <v>0</v>
      </c>
      <c r="AG802" s="4">
        <v>3</v>
      </c>
      <c r="AH802" s="4">
        <v>82</v>
      </c>
      <c r="AI802" s="4">
        <v>106</v>
      </c>
      <c r="AJ802" s="4">
        <v>10</v>
      </c>
      <c r="AK802" s="4">
        <v>19</v>
      </c>
      <c r="AL802" s="4">
        <v>50</v>
      </c>
      <c r="AM802" s="4">
        <v>59</v>
      </c>
      <c r="AN802" s="4">
        <v>0</v>
      </c>
      <c r="AO802" s="4">
        <v>0</v>
      </c>
      <c r="AP802" s="4">
        <v>16</v>
      </c>
      <c r="AQ802" s="4">
        <v>27</v>
      </c>
      <c r="AR802" s="3" t="s">
        <v>64</v>
      </c>
      <c r="AS802" s="3" t="s">
        <v>128</v>
      </c>
      <c r="AT802" s="3" t="s">
        <v>128</v>
      </c>
      <c r="AU802" s="6" t="str">
        <f>HYPERLINK("http://catalog.hathitrust.org/Record/001161392","HathiTrust Record")</f>
        <v>HathiTrust Record</v>
      </c>
      <c r="AV802" s="6" t="str">
        <f>HYPERLINK("http://mcgill.on.worldcat.org/oclc/903412450","Catalog Record")</f>
        <v>Catalog Record</v>
      </c>
      <c r="AW802" s="6" t="str">
        <f>HYPERLINK("http://www.worldcat.org/oclc/903412450","WorldCat Record")</f>
        <v>WorldCat Record</v>
      </c>
      <c r="AX802" s="3" t="s">
        <v>7802</v>
      </c>
      <c r="AY802" s="3" t="s">
        <v>7803</v>
      </c>
      <c r="AZ802" s="3" t="s">
        <v>7804</v>
      </c>
      <c r="BA802" s="3" t="s">
        <v>7804</v>
      </c>
      <c r="BB802" s="3" t="s">
        <v>7807</v>
      </c>
      <c r="BC802" s="3" t="s">
        <v>77</v>
      </c>
      <c r="BD802" s="3" t="s">
        <v>165</v>
      </c>
      <c r="BF802" s="3" t="s">
        <v>7807</v>
      </c>
      <c r="BG802" s="3" t="s">
        <v>7808</v>
      </c>
      <c r="BH802">
        <f t="shared" si="24"/>
        <v>0</v>
      </c>
    </row>
    <row r="803" spans="1:60" ht="72.5" x14ac:dyDescent="0.35">
      <c r="A803" s="2" t="s">
        <v>59</v>
      </c>
      <c r="B803" s="2" t="s">
        <v>1025</v>
      </c>
      <c r="C803" s="2" t="s">
        <v>7809</v>
      </c>
      <c r="D803" s="2" t="s">
        <v>7810</v>
      </c>
      <c r="E803" s="2" t="s">
        <v>7811</v>
      </c>
      <c r="G803" s="3" t="s">
        <v>64</v>
      </c>
      <c r="I803" s="3" t="s">
        <v>64</v>
      </c>
      <c r="J803" s="3" t="s">
        <v>64</v>
      </c>
      <c r="K803" s="3" t="s">
        <v>65</v>
      </c>
      <c r="L803" s="2" t="s">
        <v>7812</v>
      </c>
      <c r="M803" s="2" t="s">
        <v>7813</v>
      </c>
      <c r="N803" s="3" t="s">
        <v>768</v>
      </c>
      <c r="P803" s="3" t="s">
        <v>102</v>
      </c>
      <c r="R803" s="3" t="s">
        <v>70</v>
      </c>
      <c r="S803" s="4">
        <v>8</v>
      </c>
      <c r="T803" s="4">
        <v>8</v>
      </c>
      <c r="U803" s="5" t="s">
        <v>7814</v>
      </c>
      <c r="V803" s="5" t="s">
        <v>7814</v>
      </c>
      <c r="W803" s="5" t="s">
        <v>72</v>
      </c>
      <c r="X803" s="5" t="s">
        <v>72</v>
      </c>
      <c r="Y803" s="4">
        <v>456</v>
      </c>
      <c r="Z803" s="4">
        <v>19</v>
      </c>
      <c r="AA803" s="4">
        <v>21</v>
      </c>
      <c r="AB803" s="4">
        <v>3</v>
      </c>
      <c r="AC803" s="4">
        <v>3</v>
      </c>
      <c r="AD803" s="4">
        <v>59</v>
      </c>
      <c r="AE803" s="4">
        <v>65</v>
      </c>
      <c r="AF803" s="4">
        <v>1</v>
      </c>
      <c r="AG803" s="4">
        <v>1</v>
      </c>
      <c r="AH803" s="4">
        <v>53</v>
      </c>
      <c r="AI803" s="4">
        <v>58</v>
      </c>
      <c r="AJ803" s="4">
        <v>6</v>
      </c>
      <c r="AK803" s="4">
        <v>8</v>
      </c>
      <c r="AL803" s="4">
        <v>29</v>
      </c>
      <c r="AM803" s="4">
        <v>30</v>
      </c>
      <c r="AN803" s="4">
        <v>0</v>
      </c>
      <c r="AO803" s="4">
        <v>0</v>
      </c>
      <c r="AP803" s="4">
        <v>7</v>
      </c>
      <c r="AQ803" s="4">
        <v>9</v>
      </c>
      <c r="AR803" s="3" t="s">
        <v>64</v>
      </c>
      <c r="AS803" s="3" t="s">
        <v>64</v>
      </c>
      <c r="AT803" s="3" t="s">
        <v>128</v>
      </c>
      <c r="AU803" s="6" t="str">
        <f>HYPERLINK("http://catalog.hathitrust.org/Record/000692726","HathiTrust Record")</f>
        <v>HathiTrust Record</v>
      </c>
      <c r="AV803" s="6" t="str">
        <f>HYPERLINK("http://mcgill.on.worldcat.org/oclc/3481694","Catalog Record")</f>
        <v>Catalog Record</v>
      </c>
      <c r="AW803" s="6" t="str">
        <f>HYPERLINK("http://www.worldcat.org/oclc/3481694","WorldCat Record")</f>
        <v>WorldCat Record</v>
      </c>
      <c r="AX803" s="3" t="s">
        <v>7815</v>
      </c>
      <c r="AY803" s="3" t="s">
        <v>7816</v>
      </c>
      <c r="AZ803" s="3" t="s">
        <v>7817</v>
      </c>
      <c r="BA803" s="3" t="s">
        <v>7817</v>
      </c>
      <c r="BB803" s="3" t="s">
        <v>7818</v>
      </c>
      <c r="BC803" s="3" t="s">
        <v>77</v>
      </c>
      <c r="BD803" s="3" t="s">
        <v>165</v>
      </c>
      <c r="BE803" s="3" t="s">
        <v>7819</v>
      </c>
      <c r="BF803" s="3" t="s">
        <v>7818</v>
      </c>
      <c r="BG803" s="3" t="s">
        <v>7820</v>
      </c>
      <c r="BH803">
        <f t="shared" si="24"/>
        <v>0</v>
      </c>
    </row>
    <row r="804" spans="1:60" ht="72.5" x14ac:dyDescent="0.35">
      <c r="A804" s="2" t="s">
        <v>59</v>
      </c>
      <c r="B804" s="2" t="s">
        <v>1025</v>
      </c>
      <c r="C804" s="2" t="s">
        <v>7821</v>
      </c>
      <c r="D804" s="2" t="s">
        <v>7822</v>
      </c>
      <c r="E804" s="2" t="s">
        <v>7823</v>
      </c>
      <c r="F804" s="3" t="s">
        <v>478</v>
      </c>
      <c r="G804" s="3" t="s">
        <v>128</v>
      </c>
      <c r="I804" s="3" t="s">
        <v>64</v>
      </c>
      <c r="J804" s="3" t="s">
        <v>128</v>
      </c>
      <c r="K804" s="3" t="s">
        <v>65</v>
      </c>
      <c r="L804" s="2" t="s">
        <v>7824</v>
      </c>
      <c r="M804" s="2" t="s">
        <v>7825</v>
      </c>
      <c r="N804" s="3" t="s">
        <v>266</v>
      </c>
      <c r="O804" s="2" t="s">
        <v>7826</v>
      </c>
      <c r="P804" s="3" t="s">
        <v>102</v>
      </c>
      <c r="R804" s="3" t="s">
        <v>70</v>
      </c>
      <c r="S804" s="4">
        <v>2</v>
      </c>
      <c r="T804" s="4">
        <v>3</v>
      </c>
      <c r="U804" s="5" t="s">
        <v>7827</v>
      </c>
      <c r="V804" s="5" t="s">
        <v>7827</v>
      </c>
      <c r="W804" s="5" t="s">
        <v>72</v>
      </c>
      <c r="X804" s="5" t="s">
        <v>72</v>
      </c>
      <c r="Y804" s="4">
        <v>140</v>
      </c>
      <c r="Z804" s="4">
        <v>13</v>
      </c>
      <c r="AA804" s="4">
        <v>24</v>
      </c>
      <c r="AB804" s="4">
        <v>1</v>
      </c>
      <c r="AC804" s="4">
        <v>5</v>
      </c>
      <c r="AD804" s="4">
        <v>45</v>
      </c>
      <c r="AE804" s="4">
        <v>94</v>
      </c>
      <c r="AF804" s="4">
        <v>0</v>
      </c>
      <c r="AG804" s="4">
        <v>2</v>
      </c>
      <c r="AH804" s="4">
        <v>41</v>
      </c>
      <c r="AI804" s="4">
        <v>84</v>
      </c>
      <c r="AJ804" s="4">
        <v>7</v>
      </c>
      <c r="AK804" s="4">
        <v>13</v>
      </c>
      <c r="AL804" s="4">
        <v>21</v>
      </c>
      <c r="AM804" s="4">
        <v>47</v>
      </c>
      <c r="AN804" s="4">
        <v>0</v>
      </c>
      <c r="AO804" s="4">
        <v>0</v>
      </c>
      <c r="AP804" s="4">
        <v>6</v>
      </c>
      <c r="AQ804" s="4">
        <v>11</v>
      </c>
      <c r="AR804" s="3" t="s">
        <v>64</v>
      </c>
      <c r="AS804" s="3" t="s">
        <v>64</v>
      </c>
      <c r="AT804" s="3" t="s">
        <v>128</v>
      </c>
      <c r="AU804" s="6" t="str">
        <f>HYPERLINK("http://catalog.hathitrust.org/Record/102418620","HathiTrust Record")</f>
        <v>HathiTrust Record</v>
      </c>
      <c r="AV804" s="6" t="str">
        <f>HYPERLINK("http://mcgill.on.worldcat.org/oclc/2223273","Catalog Record")</f>
        <v>Catalog Record</v>
      </c>
      <c r="AW804" s="6" t="str">
        <f>HYPERLINK("http://www.worldcat.org/oclc/2223273","WorldCat Record")</f>
        <v>WorldCat Record</v>
      </c>
      <c r="AX804" s="3" t="s">
        <v>7828</v>
      </c>
      <c r="AY804" s="3" t="s">
        <v>7829</v>
      </c>
      <c r="AZ804" s="3" t="s">
        <v>7830</v>
      </c>
      <c r="BA804" s="3" t="s">
        <v>7830</v>
      </c>
      <c r="BB804" s="3" t="s">
        <v>7831</v>
      </c>
      <c r="BC804" s="3" t="s">
        <v>77</v>
      </c>
      <c r="BD804" s="3" t="s">
        <v>78</v>
      </c>
      <c r="BF804" s="3" t="s">
        <v>7831</v>
      </c>
      <c r="BG804" s="3" t="s">
        <v>7832</v>
      </c>
      <c r="BH804">
        <f t="shared" si="24"/>
        <v>0</v>
      </c>
    </row>
    <row r="805" spans="1:60" ht="72.5" x14ac:dyDescent="0.35">
      <c r="A805" s="2" t="s">
        <v>59</v>
      </c>
      <c r="B805" s="2" t="s">
        <v>1025</v>
      </c>
      <c r="C805" s="2" t="s">
        <v>7821</v>
      </c>
      <c r="D805" s="2" t="s">
        <v>7822</v>
      </c>
      <c r="E805" s="2" t="s">
        <v>7823</v>
      </c>
      <c r="F805" s="3" t="s">
        <v>489</v>
      </c>
      <c r="G805" s="3" t="s">
        <v>128</v>
      </c>
      <c r="I805" s="3" t="s">
        <v>64</v>
      </c>
      <c r="J805" s="3" t="s">
        <v>128</v>
      </c>
      <c r="K805" s="3" t="s">
        <v>65</v>
      </c>
      <c r="L805" s="2" t="s">
        <v>7824</v>
      </c>
      <c r="M805" s="2" t="s">
        <v>7825</v>
      </c>
      <c r="N805" s="3" t="s">
        <v>266</v>
      </c>
      <c r="O805" s="2" t="s">
        <v>7826</v>
      </c>
      <c r="P805" s="3" t="s">
        <v>102</v>
      </c>
      <c r="R805" s="3" t="s">
        <v>70</v>
      </c>
      <c r="S805" s="4">
        <v>1</v>
      </c>
      <c r="T805" s="4">
        <v>3</v>
      </c>
      <c r="U805" s="5" t="s">
        <v>7827</v>
      </c>
      <c r="V805" s="5" t="s">
        <v>7827</v>
      </c>
      <c r="W805" s="5" t="s">
        <v>72</v>
      </c>
      <c r="X805" s="5" t="s">
        <v>72</v>
      </c>
      <c r="Y805" s="4">
        <v>140</v>
      </c>
      <c r="Z805" s="4">
        <v>13</v>
      </c>
      <c r="AA805" s="4">
        <v>24</v>
      </c>
      <c r="AB805" s="4">
        <v>1</v>
      </c>
      <c r="AC805" s="4">
        <v>5</v>
      </c>
      <c r="AD805" s="4">
        <v>45</v>
      </c>
      <c r="AE805" s="4">
        <v>94</v>
      </c>
      <c r="AF805" s="4">
        <v>0</v>
      </c>
      <c r="AG805" s="4">
        <v>2</v>
      </c>
      <c r="AH805" s="4">
        <v>41</v>
      </c>
      <c r="AI805" s="4">
        <v>84</v>
      </c>
      <c r="AJ805" s="4">
        <v>7</v>
      </c>
      <c r="AK805" s="4">
        <v>13</v>
      </c>
      <c r="AL805" s="4">
        <v>21</v>
      </c>
      <c r="AM805" s="4">
        <v>47</v>
      </c>
      <c r="AN805" s="4">
        <v>0</v>
      </c>
      <c r="AO805" s="4">
        <v>0</v>
      </c>
      <c r="AP805" s="4">
        <v>6</v>
      </c>
      <c r="AQ805" s="4">
        <v>11</v>
      </c>
      <c r="AR805" s="3" t="s">
        <v>64</v>
      </c>
      <c r="AS805" s="3" t="s">
        <v>64</v>
      </c>
      <c r="AT805" s="3" t="s">
        <v>128</v>
      </c>
      <c r="AU805" s="6" t="str">
        <f>HYPERLINK("http://catalog.hathitrust.org/Record/102418620","HathiTrust Record")</f>
        <v>HathiTrust Record</v>
      </c>
      <c r="AV805" s="6" t="str">
        <f>HYPERLINK("http://mcgill.on.worldcat.org/oclc/2223273","Catalog Record")</f>
        <v>Catalog Record</v>
      </c>
      <c r="AW805" s="6" t="str">
        <f>HYPERLINK("http://www.worldcat.org/oclc/2223273","WorldCat Record")</f>
        <v>WorldCat Record</v>
      </c>
      <c r="AX805" s="3" t="s">
        <v>7828</v>
      </c>
      <c r="AY805" s="3" t="s">
        <v>7829</v>
      </c>
      <c r="AZ805" s="3" t="s">
        <v>7830</v>
      </c>
      <c r="BA805" s="3" t="s">
        <v>7830</v>
      </c>
      <c r="BB805" s="3" t="s">
        <v>7833</v>
      </c>
      <c r="BC805" s="3" t="s">
        <v>77</v>
      </c>
      <c r="BD805" s="3" t="s">
        <v>78</v>
      </c>
      <c r="BF805" s="3" t="s">
        <v>7833</v>
      </c>
      <c r="BG805" s="3" t="s">
        <v>7834</v>
      </c>
      <c r="BH805">
        <f t="shared" si="24"/>
        <v>0</v>
      </c>
    </row>
    <row r="806" spans="1:60" ht="58" x14ac:dyDescent="0.35">
      <c r="A806" s="2" t="s">
        <v>59</v>
      </c>
      <c r="B806" s="2" t="s">
        <v>60</v>
      </c>
      <c r="C806" s="2" t="s">
        <v>7835</v>
      </c>
      <c r="D806" s="2" t="s">
        <v>7836</v>
      </c>
      <c r="E806" s="2" t="s">
        <v>7837</v>
      </c>
      <c r="G806" s="3" t="s">
        <v>64</v>
      </c>
      <c r="I806" s="3" t="s">
        <v>128</v>
      </c>
      <c r="J806" s="3" t="s">
        <v>128</v>
      </c>
      <c r="K806" s="3" t="s">
        <v>65</v>
      </c>
      <c r="L806" s="2" t="s">
        <v>7838</v>
      </c>
      <c r="M806" s="2" t="s">
        <v>7839</v>
      </c>
      <c r="N806" s="3" t="s">
        <v>7840</v>
      </c>
      <c r="P806" s="3" t="s">
        <v>102</v>
      </c>
      <c r="Q806" s="2" t="s">
        <v>7841</v>
      </c>
      <c r="R806" s="3" t="s">
        <v>70</v>
      </c>
      <c r="S806" s="4">
        <v>4</v>
      </c>
      <c r="T806" s="4">
        <v>4</v>
      </c>
      <c r="U806" s="5" t="s">
        <v>7842</v>
      </c>
      <c r="V806" s="5" t="s">
        <v>7842</v>
      </c>
      <c r="W806" s="5" t="s">
        <v>72</v>
      </c>
      <c r="X806" s="5" t="s">
        <v>72</v>
      </c>
      <c r="Y806" s="4">
        <v>268</v>
      </c>
      <c r="Z806" s="4">
        <v>17</v>
      </c>
      <c r="AA806" s="4">
        <v>30</v>
      </c>
      <c r="AB806" s="4">
        <v>2</v>
      </c>
      <c r="AC806" s="4">
        <v>5</v>
      </c>
      <c r="AD806" s="4">
        <v>77</v>
      </c>
      <c r="AE806" s="4">
        <v>115</v>
      </c>
      <c r="AF806" s="4">
        <v>0</v>
      </c>
      <c r="AG806" s="4">
        <v>1</v>
      </c>
      <c r="AH806" s="4">
        <v>69</v>
      </c>
      <c r="AI806" s="4">
        <v>101</v>
      </c>
      <c r="AJ806" s="4">
        <v>9</v>
      </c>
      <c r="AK806" s="4">
        <v>15</v>
      </c>
      <c r="AL806" s="4">
        <v>42</v>
      </c>
      <c r="AM806" s="4">
        <v>58</v>
      </c>
      <c r="AN806" s="4">
        <v>5</v>
      </c>
      <c r="AO806" s="4">
        <v>12</v>
      </c>
      <c r="AP806" s="4">
        <v>11</v>
      </c>
      <c r="AQ806" s="4">
        <v>16</v>
      </c>
      <c r="AR806" s="3" t="s">
        <v>64</v>
      </c>
      <c r="AS806" s="3" t="s">
        <v>128</v>
      </c>
      <c r="AT806" s="3" t="s">
        <v>64</v>
      </c>
      <c r="AU806" s="6" t="str">
        <f>HYPERLINK("http://catalog.hathitrust.org/Record/001161414","HathiTrust Record")</f>
        <v>HathiTrust Record</v>
      </c>
      <c r="AV806" s="6" t="str">
        <f>HYPERLINK("http://mcgill.on.worldcat.org/oclc/9359539","Catalog Record")</f>
        <v>Catalog Record</v>
      </c>
      <c r="AW806" s="6" t="str">
        <f>HYPERLINK("http://www.worldcat.org/oclc/9359539","WorldCat Record")</f>
        <v>WorldCat Record</v>
      </c>
      <c r="AX806" s="3" t="s">
        <v>7843</v>
      </c>
      <c r="AY806" s="3" t="s">
        <v>7844</v>
      </c>
      <c r="AZ806" s="3" t="s">
        <v>7845</v>
      </c>
      <c r="BA806" s="3" t="s">
        <v>7845</v>
      </c>
      <c r="BB806" s="3" t="s">
        <v>7846</v>
      </c>
      <c r="BC806" s="3" t="s">
        <v>77</v>
      </c>
      <c r="BD806" s="3" t="s">
        <v>78</v>
      </c>
      <c r="BF806" s="3" t="s">
        <v>7846</v>
      </c>
      <c r="BG806" s="3" t="s">
        <v>7847</v>
      </c>
      <c r="BH806">
        <f t="shared" si="24"/>
        <v>0</v>
      </c>
    </row>
    <row r="807" spans="1:60" ht="72.5" x14ac:dyDescent="0.35">
      <c r="A807" s="2" t="s">
        <v>59</v>
      </c>
      <c r="B807" s="2" t="s">
        <v>1025</v>
      </c>
      <c r="C807" s="2" t="s">
        <v>7835</v>
      </c>
      <c r="D807" s="2" t="s">
        <v>7836</v>
      </c>
      <c r="E807" s="2" t="s">
        <v>7837</v>
      </c>
      <c r="G807" s="3" t="s">
        <v>64</v>
      </c>
      <c r="I807" s="3" t="s">
        <v>128</v>
      </c>
      <c r="J807" s="3" t="s">
        <v>128</v>
      </c>
      <c r="K807" s="3" t="s">
        <v>65</v>
      </c>
      <c r="L807" s="2" t="s">
        <v>7838</v>
      </c>
      <c r="M807" s="2" t="s">
        <v>7839</v>
      </c>
      <c r="N807" s="3" t="s">
        <v>7840</v>
      </c>
      <c r="P807" s="3" t="s">
        <v>102</v>
      </c>
      <c r="Q807" s="2" t="s">
        <v>7841</v>
      </c>
      <c r="R807" s="3" t="s">
        <v>70</v>
      </c>
      <c r="S807" s="4">
        <v>0</v>
      </c>
      <c r="T807" s="4">
        <v>4</v>
      </c>
      <c r="V807" s="5" t="s">
        <v>7842</v>
      </c>
      <c r="W807" s="5" t="s">
        <v>72</v>
      </c>
      <c r="X807" s="5" t="s">
        <v>72</v>
      </c>
      <c r="Y807" s="4">
        <v>268</v>
      </c>
      <c r="Z807" s="4">
        <v>17</v>
      </c>
      <c r="AA807" s="4">
        <v>30</v>
      </c>
      <c r="AB807" s="4">
        <v>2</v>
      </c>
      <c r="AC807" s="4">
        <v>5</v>
      </c>
      <c r="AD807" s="4">
        <v>77</v>
      </c>
      <c r="AE807" s="4">
        <v>115</v>
      </c>
      <c r="AF807" s="4">
        <v>0</v>
      </c>
      <c r="AG807" s="4">
        <v>1</v>
      </c>
      <c r="AH807" s="4">
        <v>69</v>
      </c>
      <c r="AI807" s="4">
        <v>101</v>
      </c>
      <c r="AJ807" s="4">
        <v>9</v>
      </c>
      <c r="AK807" s="4">
        <v>15</v>
      </c>
      <c r="AL807" s="4">
        <v>42</v>
      </c>
      <c r="AM807" s="4">
        <v>58</v>
      </c>
      <c r="AN807" s="4">
        <v>5</v>
      </c>
      <c r="AO807" s="4">
        <v>12</v>
      </c>
      <c r="AP807" s="4">
        <v>11</v>
      </c>
      <c r="AQ807" s="4">
        <v>16</v>
      </c>
      <c r="AR807" s="3" t="s">
        <v>64</v>
      </c>
      <c r="AS807" s="3" t="s">
        <v>128</v>
      </c>
      <c r="AT807" s="3" t="s">
        <v>64</v>
      </c>
      <c r="AU807" s="6" t="str">
        <f>HYPERLINK("http://catalog.hathitrust.org/Record/001161414","HathiTrust Record")</f>
        <v>HathiTrust Record</v>
      </c>
      <c r="AV807" s="6" t="str">
        <f>HYPERLINK("http://mcgill.on.worldcat.org/oclc/9359539","Catalog Record")</f>
        <v>Catalog Record</v>
      </c>
      <c r="AW807" s="6" t="str">
        <f>HYPERLINK("http://www.worldcat.org/oclc/9359539","WorldCat Record")</f>
        <v>WorldCat Record</v>
      </c>
      <c r="AX807" s="3" t="s">
        <v>7843</v>
      </c>
      <c r="AY807" s="3" t="s">
        <v>7844</v>
      </c>
      <c r="AZ807" s="3" t="s">
        <v>7845</v>
      </c>
      <c r="BA807" s="3" t="s">
        <v>7845</v>
      </c>
      <c r="BB807" s="3" t="s">
        <v>7848</v>
      </c>
      <c r="BC807" s="3" t="s">
        <v>77</v>
      </c>
      <c r="BD807" s="3" t="s">
        <v>78</v>
      </c>
      <c r="BF807" s="3" t="s">
        <v>7848</v>
      </c>
      <c r="BG807" s="3" t="s">
        <v>7849</v>
      </c>
      <c r="BH807">
        <f t="shared" si="24"/>
        <v>0</v>
      </c>
    </row>
    <row r="808" spans="1:60" ht="58" x14ac:dyDescent="0.35">
      <c r="A808" s="2" t="s">
        <v>59</v>
      </c>
      <c r="B808" s="2" t="s">
        <v>60</v>
      </c>
      <c r="C808" s="2" t="s">
        <v>7850</v>
      </c>
      <c r="D808" s="2" t="s">
        <v>7851</v>
      </c>
      <c r="E808" s="2" t="s">
        <v>7852</v>
      </c>
      <c r="G808" s="3" t="s">
        <v>64</v>
      </c>
      <c r="I808" s="3" t="s">
        <v>64</v>
      </c>
      <c r="J808" s="3" t="s">
        <v>64</v>
      </c>
      <c r="K808" s="3" t="s">
        <v>65</v>
      </c>
      <c r="L808" s="2" t="s">
        <v>7853</v>
      </c>
      <c r="M808" s="2" t="s">
        <v>733</v>
      </c>
      <c r="N808" s="3" t="s">
        <v>326</v>
      </c>
      <c r="P808" s="3" t="s">
        <v>102</v>
      </c>
      <c r="R808" s="3" t="s">
        <v>70</v>
      </c>
      <c r="S808" s="4">
        <v>3</v>
      </c>
      <c r="T808" s="4">
        <v>3</v>
      </c>
      <c r="U808" s="5" t="s">
        <v>7854</v>
      </c>
      <c r="V808" s="5" t="s">
        <v>7854</v>
      </c>
      <c r="W808" s="5" t="s">
        <v>72</v>
      </c>
      <c r="X808" s="5" t="s">
        <v>72</v>
      </c>
      <c r="Y808" s="4">
        <v>261</v>
      </c>
      <c r="Z808" s="4">
        <v>25</v>
      </c>
      <c r="AA808" s="4">
        <v>26</v>
      </c>
      <c r="AB808" s="4">
        <v>1</v>
      </c>
      <c r="AC808" s="4">
        <v>2</v>
      </c>
      <c r="AD808" s="4">
        <v>81</v>
      </c>
      <c r="AE808" s="4">
        <v>82</v>
      </c>
      <c r="AF808" s="4">
        <v>0</v>
      </c>
      <c r="AG808" s="4">
        <v>1</v>
      </c>
      <c r="AH808" s="4">
        <v>70</v>
      </c>
      <c r="AI808" s="4">
        <v>70</v>
      </c>
      <c r="AJ808" s="4">
        <v>14</v>
      </c>
      <c r="AK808" s="4">
        <v>15</v>
      </c>
      <c r="AL808" s="4">
        <v>37</v>
      </c>
      <c r="AM808" s="4">
        <v>37</v>
      </c>
      <c r="AN808" s="4">
        <v>0</v>
      </c>
      <c r="AO808" s="4">
        <v>0</v>
      </c>
      <c r="AP808" s="4">
        <v>17</v>
      </c>
      <c r="AQ808" s="4">
        <v>18</v>
      </c>
      <c r="AR808" s="3" t="s">
        <v>64</v>
      </c>
      <c r="AS808" s="3" t="s">
        <v>64</v>
      </c>
      <c r="AT808" s="3" t="s">
        <v>64</v>
      </c>
      <c r="AV808" s="6" t="str">
        <f>HYPERLINK("http://mcgill.on.worldcat.org/oclc/670282510","Catalog Record")</f>
        <v>Catalog Record</v>
      </c>
      <c r="AW808" s="6" t="str">
        <f>HYPERLINK("http://www.worldcat.org/oclc/670282510","WorldCat Record")</f>
        <v>WorldCat Record</v>
      </c>
      <c r="AX808" s="3" t="s">
        <v>7855</v>
      </c>
      <c r="AY808" s="3" t="s">
        <v>7856</v>
      </c>
      <c r="AZ808" s="3" t="s">
        <v>7857</v>
      </c>
      <c r="BA808" s="3" t="s">
        <v>7857</v>
      </c>
      <c r="BB808" s="3" t="s">
        <v>7858</v>
      </c>
      <c r="BC808" s="3" t="s">
        <v>77</v>
      </c>
      <c r="BD808" s="3" t="s">
        <v>78</v>
      </c>
      <c r="BE808" s="3" t="s">
        <v>7859</v>
      </c>
      <c r="BF808" s="3" t="s">
        <v>7858</v>
      </c>
      <c r="BG808" s="3" t="s">
        <v>7860</v>
      </c>
      <c r="BH808">
        <f t="shared" si="24"/>
        <v>0</v>
      </c>
    </row>
    <row r="809" spans="1:60" ht="58" x14ac:dyDescent="0.35">
      <c r="A809" s="2" t="s">
        <v>59</v>
      </c>
      <c r="B809" s="2" t="s">
        <v>60</v>
      </c>
      <c r="C809" s="2" t="s">
        <v>7861</v>
      </c>
      <c r="D809" s="2" t="s">
        <v>7862</v>
      </c>
      <c r="E809" s="2" t="s">
        <v>7863</v>
      </c>
      <c r="F809" s="3" t="s">
        <v>7864</v>
      </c>
      <c r="G809" s="3" t="s">
        <v>64</v>
      </c>
      <c r="I809" s="3" t="s">
        <v>128</v>
      </c>
      <c r="J809" s="3" t="s">
        <v>64</v>
      </c>
      <c r="K809" s="3" t="s">
        <v>65</v>
      </c>
      <c r="L809" s="2" t="s">
        <v>7865</v>
      </c>
      <c r="M809" s="2" t="s">
        <v>7866</v>
      </c>
      <c r="N809" s="3" t="s">
        <v>511</v>
      </c>
      <c r="P809" s="3" t="s">
        <v>102</v>
      </c>
      <c r="R809" s="3" t="s">
        <v>70</v>
      </c>
      <c r="S809" s="4">
        <v>10</v>
      </c>
      <c r="T809" s="4">
        <v>14</v>
      </c>
      <c r="U809" s="5" t="s">
        <v>7867</v>
      </c>
      <c r="V809" s="5" t="s">
        <v>7867</v>
      </c>
      <c r="W809" s="5" t="s">
        <v>72</v>
      </c>
      <c r="X809" s="5" t="s">
        <v>72</v>
      </c>
      <c r="Y809" s="4">
        <v>265</v>
      </c>
      <c r="Z809" s="4">
        <v>10</v>
      </c>
      <c r="AA809" s="4">
        <v>16</v>
      </c>
      <c r="AB809" s="4">
        <v>1</v>
      </c>
      <c r="AC809" s="4">
        <v>1</v>
      </c>
      <c r="AD809" s="4">
        <v>72</v>
      </c>
      <c r="AE809" s="4">
        <v>74</v>
      </c>
      <c r="AF809" s="4">
        <v>0</v>
      </c>
      <c r="AG809" s="4">
        <v>0</v>
      </c>
      <c r="AH809" s="4">
        <v>65</v>
      </c>
      <c r="AI809" s="4">
        <v>66</v>
      </c>
      <c r="AJ809" s="4">
        <v>9</v>
      </c>
      <c r="AK809" s="4">
        <v>11</v>
      </c>
      <c r="AL809" s="4">
        <v>41</v>
      </c>
      <c r="AM809" s="4">
        <v>42</v>
      </c>
      <c r="AN809" s="4">
        <v>0</v>
      </c>
      <c r="AO809" s="4">
        <v>0</v>
      </c>
      <c r="AP809" s="4">
        <v>8</v>
      </c>
      <c r="AQ809" s="4">
        <v>10</v>
      </c>
      <c r="AR809" s="3" t="s">
        <v>64</v>
      </c>
      <c r="AS809" s="3" t="s">
        <v>64</v>
      </c>
      <c r="AT809" s="3" t="s">
        <v>64</v>
      </c>
      <c r="AV809" s="6" t="str">
        <f>HYPERLINK("http://mcgill.on.worldcat.org/oclc/693705002","Catalog Record")</f>
        <v>Catalog Record</v>
      </c>
      <c r="AW809" s="6" t="str">
        <f>HYPERLINK("http://www.worldcat.org/oclc/693705002","WorldCat Record")</f>
        <v>WorldCat Record</v>
      </c>
      <c r="AX809" s="3" t="s">
        <v>7868</v>
      </c>
      <c r="AY809" s="3" t="s">
        <v>7869</v>
      </c>
      <c r="AZ809" s="3" t="s">
        <v>7870</v>
      </c>
      <c r="BA809" s="3" t="s">
        <v>7870</v>
      </c>
      <c r="BB809" s="3" t="s">
        <v>7871</v>
      </c>
      <c r="BC809" s="3" t="s">
        <v>77</v>
      </c>
      <c r="BD809" s="3" t="s">
        <v>78</v>
      </c>
      <c r="BE809" s="3" t="s">
        <v>7872</v>
      </c>
      <c r="BF809" s="3" t="s">
        <v>7871</v>
      </c>
      <c r="BG809" s="3" t="s">
        <v>7873</v>
      </c>
      <c r="BH809">
        <f t="shared" si="24"/>
        <v>0</v>
      </c>
    </row>
    <row r="810" spans="1:60" ht="58" x14ac:dyDescent="0.35">
      <c r="A810" s="2" t="s">
        <v>59</v>
      </c>
      <c r="B810" s="2" t="s">
        <v>60</v>
      </c>
      <c r="C810" s="2" t="s">
        <v>7874</v>
      </c>
      <c r="D810" s="2" t="s">
        <v>7875</v>
      </c>
      <c r="E810" s="2" t="s">
        <v>7876</v>
      </c>
      <c r="G810" s="3" t="s">
        <v>64</v>
      </c>
      <c r="I810" s="3" t="s">
        <v>128</v>
      </c>
      <c r="J810" s="3" t="s">
        <v>64</v>
      </c>
      <c r="K810" s="3" t="s">
        <v>65</v>
      </c>
      <c r="L810" s="2" t="s">
        <v>7877</v>
      </c>
      <c r="M810" s="2" t="s">
        <v>7878</v>
      </c>
      <c r="N810" s="3" t="s">
        <v>768</v>
      </c>
      <c r="P810" s="3" t="s">
        <v>102</v>
      </c>
      <c r="R810" s="3" t="s">
        <v>70</v>
      </c>
      <c r="S810" s="4">
        <v>9</v>
      </c>
      <c r="T810" s="4">
        <v>9</v>
      </c>
      <c r="U810" s="5" t="s">
        <v>7867</v>
      </c>
      <c r="V810" s="5" t="s">
        <v>7867</v>
      </c>
      <c r="W810" s="5" t="s">
        <v>72</v>
      </c>
      <c r="X810" s="5" t="s">
        <v>72</v>
      </c>
      <c r="Y810" s="4">
        <v>87</v>
      </c>
      <c r="Z810" s="4">
        <v>14</v>
      </c>
      <c r="AA810" s="4">
        <v>34</v>
      </c>
      <c r="AB810" s="4">
        <v>2</v>
      </c>
      <c r="AC810" s="4">
        <v>6</v>
      </c>
      <c r="AD810" s="4">
        <v>26</v>
      </c>
      <c r="AE810" s="4">
        <v>107</v>
      </c>
      <c r="AF810" s="4">
        <v>1</v>
      </c>
      <c r="AG810" s="4">
        <v>4</v>
      </c>
      <c r="AH810" s="4">
        <v>19</v>
      </c>
      <c r="AI810" s="4">
        <v>86</v>
      </c>
      <c r="AJ810" s="4">
        <v>6</v>
      </c>
      <c r="AK810" s="4">
        <v>22</v>
      </c>
      <c r="AL810" s="4">
        <v>15</v>
      </c>
      <c r="AM810" s="4">
        <v>54</v>
      </c>
      <c r="AN810" s="4">
        <v>0</v>
      </c>
      <c r="AO810" s="4">
        <v>0</v>
      </c>
      <c r="AP810" s="4">
        <v>8</v>
      </c>
      <c r="AQ810" s="4">
        <v>24</v>
      </c>
      <c r="AR810" s="3" t="s">
        <v>64</v>
      </c>
      <c r="AS810" s="3" t="s">
        <v>64</v>
      </c>
      <c r="AT810" s="3" t="s">
        <v>128</v>
      </c>
      <c r="AU810" s="6" t="str">
        <f>HYPERLINK("http://catalog.hathitrust.org/Record/000260491","HathiTrust Record")</f>
        <v>HathiTrust Record</v>
      </c>
      <c r="AV810" s="6" t="str">
        <f>HYPERLINK("http://mcgill.on.worldcat.org/oclc/4225836","Catalog Record")</f>
        <v>Catalog Record</v>
      </c>
      <c r="AW810" s="6" t="str">
        <f>HYPERLINK("http://www.worldcat.org/oclc/4225836","WorldCat Record")</f>
        <v>WorldCat Record</v>
      </c>
      <c r="AX810" s="3" t="s">
        <v>7879</v>
      </c>
      <c r="AY810" s="3" t="s">
        <v>7880</v>
      </c>
      <c r="AZ810" s="3" t="s">
        <v>7881</v>
      </c>
      <c r="BA810" s="3" t="s">
        <v>7881</v>
      </c>
      <c r="BB810" s="3" t="s">
        <v>7882</v>
      </c>
      <c r="BC810" s="3" t="s">
        <v>77</v>
      </c>
      <c r="BD810" s="3" t="s">
        <v>78</v>
      </c>
      <c r="BE810" s="3" t="s">
        <v>7883</v>
      </c>
      <c r="BF810" s="3" t="s">
        <v>7882</v>
      </c>
      <c r="BG810" s="3" t="s">
        <v>7884</v>
      </c>
      <c r="BH810">
        <f t="shared" si="24"/>
        <v>0</v>
      </c>
    </row>
    <row r="811" spans="1:60" ht="87" x14ac:dyDescent="0.35">
      <c r="A811" s="2" t="s">
        <v>59</v>
      </c>
      <c r="B811" s="2" t="s">
        <v>60</v>
      </c>
      <c r="C811" s="2" t="s">
        <v>7885</v>
      </c>
      <c r="D811" s="2" t="s">
        <v>7886</v>
      </c>
      <c r="E811" s="2" t="s">
        <v>7887</v>
      </c>
      <c r="G811" s="3" t="s">
        <v>64</v>
      </c>
      <c r="I811" s="3" t="s">
        <v>64</v>
      </c>
      <c r="J811" s="3" t="s">
        <v>64</v>
      </c>
      <c r="K811" s="3" t="s">
        <v>65</v>
      </c>
      <c r="L811" s="2" t="s">
        <v>7888</v>
      </c>
      <c r="M811" s="2" t="s">
        <v>7889</v>
      </c>
      <c r="N811" s="3" t="s">
        <v>253</v>
      </c>
      <c r="P811" s="3" t="s">
        <v>102</v>
      </c>
      <c r="R811" s="3" t="s">
        <v>70</v>
      </c>
      <c r="S811" s="4">
        <v>1</v>
      </c>
      <c r="T811" s="4">
        <v>1</v>
      </c>
      <c r="U811" s="5" t="s">
        <v>7890</v>
      </c>
      <c r="V811" s="5" t="s">
        <v>7890</v>
      </c>
      <c r="W811" s="5" t="s">
        <v>72</v>
      </c>
      <c r="X811" s="5" t="s">
        <v>72</v>
      </c>
      <c r="Y811" s="4">
        <v>99</v>
      </c>
      <c r="Z811" s="4">
        <v>9</v>
      </c>
      <c r="AA811" s="4">
        <v>9</v>
      </c>
      <c r="AB811" s="4">
        <v>1</v>
      </c>
      <c r="AC811" s="4">
        <v>1</v>
      </c>
      <c r="AD811" s="4">
        <v>47</v>
      </c>
      <c r="AE811" s="4">
        <v>48</v>
      </c>
      <c r="AF811" s="4">
        <v>0</v>
      </c>
      <c r="AG811" s="4">
        <v>0</v>
      </c>
      <c r="AH811" s="4">
        <v>42</v>
      </c>
      <c r="AI811" s="4">
        <v>43</v>
      </c>
      <c r="AJ811" s="4">
        <v>7</v>
      </c>
      <c r="AK811" s="4">
        <v>7</v>
      </c>
      <c r="AL811" s="4">
        <v>29</v>
      </c>
      <c r="AM811" s="4">
        <v>30</v>
      </c>
      <c r="AN811" s="4">
        <v>0</v>
      </c>
      <c r="AO811" s="4">
        <v>0</v>
      </c>
      <c r="AP811" s="4">
        <v>7</v>
      </c>
      <c r="AQ811" s="4">
        <v>7</v>
      </c>
      <c r="AR811" s="3" t="s">
        <v>64</v>
      </c>
      <c r="AS811" s="3" t="s">
        <v>64</v>
      </c>
      <c r="AT811" s="3" t="s">
        <v>64</v>
      </c>
      <c r="AV811" s="6" t="str">
        <f>HYPERLINK("http://mcgill.on.worldcat.org/oclc/923665819","Catalog Record")</f>
        <v>Catalog Record</v>
      </c>
      <c r="AW811" s="6" t="str">
        <f>HYPERLINK("http://www.worldcat.org/oclc/923665819","WorldCat Record")</f>
        <v>WorldCat Record</v>
      </c>
      <c r="AX811" s="3" t="s">
        <v>7891</v>
      </c>
      <c r="AY811" s="3" t="s">
        <v>7892</v>
      </c>
      <c r="AZ811" s="3" t="s">
        <v>7893</v>
      </c>
      <c r="BA811" s="3" t="s">
        <v>7893</v>
      </c>
      <c r="BB811" s="3" t="s">
        <v>7894</v>
      </c>
      <c r="BC811" s="3" t="s">
        <v>77</v>
      </c>
      <c r="BD811" s="3" t="s">
        <v>78</v>
      </c>
      <c r="BE811" s="3" t="s">
        <v>7895</v>
      </c>
      <c r="BF811" s="3" t="s">
        <v>7894</v>
      </c>
      <c r="BG811" s="3" t="s">
        <v>7896</v>
      </c>
      <c r="BH811">
        <f t="shared" si="24"/>
        <v>0</v>
      </c>
    </row>
    <row r="812" spans="1:60" ht="58" x14ac:dyDescent="0.35">
      <c r="A812" s="2" t="s">
        <v>59</v>
      </c>
      <c r="B812" s="2" t="s">
        <v>60</v>
      </c>
      <c r="C812" s="2" t="s">
        <v>7897</v>
      </c>
      <c r="D812" s="2" t="s">
        <v>7898</v>
      </c>
      <c r="E812" s="2" t="s">
        <v>7899</v>
      </c>
      <c r="G812" s="3" t="s">
        <v>64</v>
      </c>
      <c r="I812" s="3" t="s">
        <v>64</v>
      </c>
      <c r="J812" s="3" t="s">
        <v>64</v>
      </c>
      <c r="K812" s="3" t="s">
        <v>65</v>
      </c>
      <c r="M812" s="2" t="s">
        <v>7900</v>
      </c>
      <c r="N812" s="3" t="s">
        <v>537</v>
      </c>
      <c r="P812" s="3" t="s">
        <v>102</v>
      </c>
      <c r="R812" s="3" t="s">
        <v>70</v>
      </c>
      <c r="S812" s="4">
        <v>1</v>
      </c>
      <c r="T812" s="4">
        <v>1</v>
      </c>
      <c r="U812" s="5" t="s">
        <v>7890</v>
      </c>
      <c r="V812" s="5" t="s">
        <v>7890</v>
      </c>
      <c r="W812" s="5" t="s">
        <v>72</v>
      </c>
      <c r="X812" s="5" t="s">
        <v>72</v>
      </c>
      <c r="Y812" s="4">
        <v>98</v>
      </c>
      <c r="Z812" s="4">
        <v>6</v>
      </c>
      <c r="AA812" s="4">
        <v>6</v>
      </c>
      <c r="AB812" s="4">
        <v>1</v>
      </c>
      <c r="AC812" s="4">
        <v>1</v>
      </c>
      <c r="AD812" s="4">
        <v>34</v>
      </c>
      <c r="AE812" s="4">
        <v>34</v>
      </c>
      <c r="AF812" s="4">
        <v>0</v>
      </c>
      <c r="AG812" s="4">
        <v>0</v>
      </c>
      <c r="AH812" s="4">
        <v>31</v>
      </c>
      <c r="AI812" s="4">
        <v>31</v>
      </c>
      <c r="AJ812" s="4">
        <v>3</v>
      </c>
      <c r="AK812" s="4">
        <v>3</v>
      </c>
      <c r="AL812" s="4">
        <v>21</v>
      </c>
      <c r="AM812" s="4">
        <v>21</v>
      </c>
      <c r="AN812" s="4">
        <v>0</v>
      </c>
      <c r="AO812" s="4">
        <v>0</v>
      </c>
      <c r="AP812" s="4">
        <v>3</v>
      </c>
      <c r="AQ812" s="4">
        <v>3</v>
      </c>
      <c r="AR812" s="3" t="s">
        <v>64</v>
      </c>
      <c r="AS812" s="3" t="s">
        <v>64</v>
      </c>
      <c r="AT812" s="3" t="s">
        <v>64</v>
      </c>
      <c r="AV812" s="6" t="str">
        <f>HYPERLINK("http://mcgill.on.worldcat.org/oclc/928112802","Catalog Record")</f>
        <v>Catalog Record</v>
      </c>
      <c r="AW812" s="6" t="str">
        <f>HYPERLINK("http://www.worldcat.org/oclc/928112802","WorldCat Record")</f>
        <v>WorldCat Record</v>
      </c>
      <c r="AX812" s="3" t="s">
        <v>7901</v>
      </c>
      <c r="AY812" s="3" t="s">
        <v>7902</v>
      </c>
      <c r="AZ812" s="3" t="s">
        <v>7903</v>
      </c>
      <c r="BA812" s="3" t="s">
        <v>7903</v>
      </c>
      <c r="BB812" s="3" t="s">
        <v>7904</v>
      </c>
      <c r="BC812" s="3" t="s">
        <v>77</v>
      </c>
      <c r="BD812" s="3" t="s">
        <v>78</v>
      </c>
      <c r="BE812" s="3" t="s">
        <v>7905</v>
      </c>
      <c r="BF812" s="3" t="s">
        <v>7904</v>
      </c>
      <c r="BG812" s="3" t="s">
        <v>7906</v>
      </c>
      <c r="BH812">
        <f t="shared" si="24"/>
        <v>0</v>
      </c>
    </row>
    <row r="813" spans="1:60" ht="58" x14ac:dyDescent="0.35">
      <c r="A813" s="2" t="s">
        <v>59</v>
      </c>
      <c r="B813" s="2" t="s">
        <v>60</v>
      </c>
      <c r="C813" s="2" t="s">
        <v>7907</v>
      </c>
      <c r="D813" s="2" t="s">
        <v>7908</v>
      </c>
      <c r="E813" s="2" t="s">
        <v>7909</v>
      </c>
      <c r="G813" s="3" t="s">
        <v>64</v>
      </c>
      <c r="I813" s="3" t="s">
        <v>64</v>
      </c>
      <c r="J813" s="3" t="s">
        <v>64</v>
      </c>
      <c r="K813" s="3" t="s">
        <v>65</v>
      </c>
      <c r="L813" s="2" t="s">
        <v>7910</v>
      </c>
      <c r="M813" s="2" t="s">
        <v>7911</v>
      </c>
      <c r="N813" s="3" t="s">
        <v>578</v>
      </c>
      <c r="P813" s="3" t="s">
        <v>102</v>
      </c>
      <c r="R813" s="3" t="s">
        <v>70</v>
      </c>
      <c r="S813" s="4">
        <v>0</v>
      </c>
      <c r="T813" s="4">
        <v>0</v>
      </c>
      <c r="W813" s="5" t="s">
        <v>72</v>
      </c>
      <c r="X813" s="5" t="s">
        <v>72</v>
      </c>
      <c r="Y813" s="4">
        <v>104</v>
      </c>
      <c r="Z813" s="4">
        <v>5</v>
      </c>
      <c r="AA813" s="4">
        <v>5</v>
      </c>
      <c r="AB813" s="4">
        <v>1</v>
      </c>
      <c r="AC813" s="4">
        <v>1</v>
      </c>
      <c r="AD813" s="4">
        <v>41</v>
      </c>
      <c r="AE813" s="4">
        <v>41</v>
      </c>
      <c r="AF813" s="4">
        <v>0</v>
      </c>
      <c r="AG813" s="4">
        <v>0</v>
      </c>
      <c r="AH813" s="4">
        <v>37</v>
      </c>
      <c r="AI813" s="4">
        <v>37</v>
      </c>
      <c r="AJ813" s="4">
        <v>4</v>
      </c>
      <c r="AK813" s="4">
        <v>4</v>
      </c>
      <c r="AL813" s="4">
        <v>23</v>
      </c>
      <c r="AM813" s="4">
        <v>23</v>
      </c>
      <c r="AN813" s="4">
        <v>0</v>
      </c>
      <c r="AO813" s="4">
        <v>0</v>
      </c>
      <c r="AP813" s="4">
        <v>4</v>
      </c>
      <c r="AQ813" s="4">
        <v>4</v>
      </c>
      <c r="AR813" s="3" t="s">
        <v>64</v>
      </c>
      <c r="AS813" s="3" t="s">
        <v>64</v>
      </c>
      <c r="AT813" s="3" t="s">
        <v>64</v>
      </c>
      <c r="AV813" s="6" t="str">
        <f>HYPERLINK("http://mcgill.on.worldcat.org/oclc/999669306","Catalog Record")</f>
        <v>Catalog Record</v>
      </c>
      <c r="AW813" s="6" t="str">
        <f>HYPERLINK("http://www.worldcat.org/oclc/999669306","WorldCat Record")</f>
        <v>WorldCat Record</v>
      </c>
      <c r="AX813" s="3" t="s">
        <v>7912</v>
      </c>
      <c r="AY813" s="3" t="s">
        <v>7913</v>
      </c>
      <c r="AZ813" s="3" t="s">
        <v>7914</v>
      </c>
      <c r="BA813" s="3" t="s">
        <v>7914</v>
      </c>
      <c r="BB813" s="3" t="s">
        <v>7915</v>
      </c>
      <c r="BC813" s="3" t="s">
        <v>77</v>
      </c>
      <c r="BD813" s="3" t="s">
        <v>78</v>
      </c>
      <c r="BE813" s="3" t="s">
        <v>7916</v>
      </c>
      <c r="BF813" s="3" t="s">
        <v>7915</v>
      </c>
      <c r="BG813" s="3" t="s">
        <v>7917</v>
      </c>
      <c r="BH813">
        <f t="shared" si="24"/>
        <v>0</v>
      </c>
    </row>
    <row r="814" spans="1:60" ht="58" x14ac:dyDescent="0.35">
      <c r="A814" s="2" t="s">
        <v>59</v>
      </c>
      <c r="B814" s="2" t="s">
        <v>60</v>
      </c>
      <c r="C814" s="2" t="s">
        <v>7918</v>
      </c>
      <c r="D814" s="2" t="s">
        <v>7919</v>
      </c>
      <c r="E814" s="2" t="s">
        <v>7920</v>
      </c>
      <c r="G814" s="3" t="s">
        <v>64</v>
      </c>
      <c r="I814" s="3" t="s">
        <v>64</v>
      </c>
      <c r="J814" s="3" t="s">
        <v>128</v>
      </c>
      <c r="K814" s="3" t="s">
        <v>65</v>
      </c>
      <c r="L814" s="2" t="s">
        <v>7921</v>
      </c>
      <c r="M814" s="2" t="s">
        <v>7922</v>
      </c>
      <c r="N814" s="3" t="s">
        <v>1087</v>
      </c>
      <c r="P814" s="3" t="s">
        <v>102</v>
      </c>
      <c r="R814" s="3" t="s">
        <v>70</v>
      </c>
      <c r="S814" s="4">
        <v>12</v>
      </c>
      <c r="T814" s="4">
        <v>12</v>
      </c>
      <c r="U814" s="5" t="s">
        <v>7923</v>
      </c>
      <c r="V814" s="5" t="s">
        <v>7923</v>
      </c>
      <c r="W814" s="5" t="s">
        <v>72</v>
      </c>
      <c r="X814" s="5" t="s">
        <v>72</v>
      </c>
      <c r="Y814" s="4">
        <v>152</v>
      </c>
      <c r="Z814" s="4">
        <v>9</v>
      </c>
      <c r="AA814" s="4">
        <v>15</v>
      </c>
      <c r="AB814" s="4">
        <v>1</v>
      </c>
      <c r="AC814" s="4">
        <v>3</v>
      </c>
      <c r="AD814" s="4">
        <v>53</v>
      </c>
      <c r="AE814" s="4">
        <v>78</v>
      </c>
      <c r="AF814" s="4">
        <v>0</v>
      </c>
      <c r="AG814" s="4">
        <v>1</v>
      </c>
      <c r="AH814" s="4">
        <v>49</v>
      </c>
      <c r="AI814" s="4">
        <v>73</v>
      </c>
      <c r="AJ814" s="4">
        <v>4</v>
      </c>
      <c r="AK814" s="4">
        <v>7</v>
      </c>
      <c r="AL814" s="4">
        <v>28</v>
      </c>
      <c r="AM814" s="4">
        <v>45</v>
      </c>
      <c r="AN814" s="4">
        <v>0</v>
      </c>
      <c r="AO814" s="4">
        <v>0</v>
      </c>
      <c r="AP814" s="4">
        <v>4</v>
      </c>
      <c r="AQ814" s="4">
        <v>7</v>
      </c>
      <c r="AR814" s="3" t="s">
        <v>64</v>
      </c>
      <c r="AS814" s="3" t="s">
        <v>64</v>
      </c>
      <c r="AT814" s="3" t="s">
        <v>64</v>
      </c>
      <c r="AV814" s="6" t="str">
        <f>HYPERLINK("http://mcgill.on.worldcat.org/oclc/22892385","Catalog Record")</f>
        <v>Catalog Record</v>
      </c>
      <c r="AW814" s="6" t="str">
        <f>HYPERLINK("http://www.worldcat.org/oclc/22892385","WorldCat Record")</f>
        <v>WorldCat Record</v>
      </c>
      <c r="AX814" s="3" t="s">
        <v>7924</v>
      </c>
      <c r="AY814" s="3" t="s">
        <v>7925</v>
      </c>
      <c r="AZ814" s="3" t="s">
        <v>7926</v>
      </c>
      <c r="BA814" s="3" t="s">
        <v>7926</v>
      </c>
      <c r="BB814" s="3" t="s">
        <v>7927</v>
      </c>
      <c r="BC814" s="3" t="s">
        <v>77</v>
      </c>
      <c r="BD814" s="3" t="s">
        <v>78</v>
      </c>
      <c r="BE814" s="3" t="s">
        <v>7928</v>
      </c>
      <c r="BF814" s="3" t="s">
        <v>7927</v>
      </c>
      <c r="BG814" s="3" t="s">
        <v>7929</v>
      </c>
      <c r="BH814">
        <f t="shared" si="24"/>
        <v>0</v>
      </c>
    </row>
    <row r="815" spans="1:60" ht="58" x14ac:dyDescent="0.35">
      <c r="A815" s="2" t="s">
        <v>59</v>
      </c>
      <c r="B815" s="2" t="s">
        <v>60</v>
      </c>
      <c r="C815" s="2" t="s">
        <v>7930</v>
      </c>
      <c r="D815" s="2" t="s">
        <v>7931</v>
      </c>
      <c r="E815" s="2" t="s">
        <v>7932</v>
      </c>
      <c r="G815" s="3" t="s">
        <v>64</v>
      </c>
      <c r="I815" s="3" t="s">
        <v>64</v>
      </c>
      <c r="J815" s="3" t="s">
        <v>64</v>
      </c>
      <c r="K815" s="3" t="s">
        <v>183</v>
      </c>
      <c r="L815" s="2" t="s">
        <v>7933</v>
      </c>
      <c r="M815" s="2" t="s">
        <v>7934</v>
      </c>
      <c r="N815" s="3" t="s">
        <v>7935</v>
      </c>
      <c r="O815" s="2" t="s">
        <v>7660</v>
      </c>
      <c r="P815" s="3" t="s">
        <v>102</v>
      </c>
      <c r="R815" s="3" t="s">
        <v>70</v>
      </c>
      <c r="S815" s="4">
        <v>3</v>
      </c>
      <c r="T815" s="4">
        <v>3</v>
      </c>
      <c r="U815" s="5" t="s">
        <v>7801</v>
      </c>
      <c r="V815" s="5" t="s">
        <v>7801</v>
      </c>
      <c r="W815" s="5" t="s">
        <v>72</v>
      </c>
      <c r="X815" s="5" t="s">
        <v>72</v>
      </c>
      <c r="Y815" s="4">
        <v>60</v>
      </c>
      <c r="Z815" s="4">
        <v>2</v>
      </c>
      <c r="AA815" s="4">
        <v>6</v>
      </c>
      <c r="AB815" s="4">
        <v>1</v>
      </c>
      <c r="AC815" s="4">
        <v>2</v>
      </c>
      <c r="AD815" s="4">
        <v>14</v>
      </c>
      <c r="AE815" s="4">
        <v>49</v>
      </c>
      <c r="AF815" s="4">
        <v>0</v>
      </c>
      <c r="AG815" s="4">
        <v>0</v>
      </c>
      <c r="AH815" s="4">
        <v>14</v>
      </c>
      <c r="AI815" s="4">
        <v>47</v>
      </c>
      <c r="AJ815" s="4">
        <v>1</v>
      </c>
      <c r="AK815" s="4">
        <v>2</v>
      </c>
      <c r="AL815" s="4">
        <v>6</v>
      </c>
      <c r="AM815" s="4">
        <v>25</v>
      </c>
      <c r="AN815" s="4">
        <v>0</v>
      </c>
      <c r="AO815" s="4">
        <v>0</v>
      </c>
      <c r="AP815" s="4">
        <v>1</v>
      </c>
      <c r="AQ815" s="4">
        <v>3</v>
      </c>
      <c r="AR815" s="3" t="s">
        <v>64</v>
      </c>
      <c r="AS815" s="3" t="s">
        <v>64</v>
      </c>
      <c r="AT815" s="3" t="s">
        <v>128</v>
      </c>
      <c r="AU815" s="6" t="str">
        <f>HYPERLINK("http://catalog.hathitrust.org/Record/006054874","HathiTrust Record")</f>
        <v>HathiTrust Record</v>
      </c>
      <c r="AV815" s="6" t="str">
        <f>HYPERLINK("http://mcgill.on.worldcat.org/oclc/3254725","Catalog Record")</f>
        <v>Catalog Record</v>
      </c>
      <c r="AW815" s="6" t="str">
        <f>HYPERLINK("http://www.worldcat.org/oclc/3254725","WorldCat Record")</f>
        <v>WorldCat Record</v>
      </c>
      <c r="AX815" s="3" t="s">
        <v>7936</v>
      </c>
      <c r="AY815" s="3" t="s">
        <v>7937</v>
      </c>
      <c r="AZ815" s="3" t="s">
        <v>7938</v>
      </c>
      <c r="BA815" s="3" t="s">
        <v>7938</v>
      </c>
      <c r="BB815" s="3" t="s">
        <v>7939</v>
      </c>
      <c r="BC815" s="3" t="s">
        <v>77</v>
      </c>
      <c r="BD815" s="3" t="s">
        <v>165</v>
      </c>
      <c r="BF815" s="3" t="s">
        <v>7939</v>
      </c>
      <c r="BG815" s="3" t="s">
        <v>7940</v>
      </c>
      <c r="BH815">
        <f t="shared" si="24"/>
        <v>0</v>
      </c>
    </row>
    <row r="816" spans="1:60" ht="58" x14ac:dyDescent="0.35">
      <c r="A816" s="2" t="s">
        <v>59</v>
      </c>
      <c r="B816" s="2" t="s">
        <v>60</v>
      </c>
      <c r="C816" s="2" t="s">
        <v>7941</v>
      </c>
      <c r="D816" s="2" t="s">
        <v>7942</v>
      </c>
      <c r="E816" s="2" t="s">
        <v>7943</v>
      </c>
      <c r="G816" s="3" t="s">
        <v>64</v>
      </c>
      <c r="I816" s="3" t="s">
        <v>64</v>
      </c>
      <c r="J816" s="3" t="s">
        <v>64</v>
      </c>
      <c r="K816" s="3" t="s">
        <v>65</v>
      </c>
      <c r="L816" s="2" t="s">
        <v>7944</v>
      </c>
      <c r="M816" s="2" t="s">
        <v>7945</v>
      </c>
      <c r="N816" s="3" t="s">
        <v>7946</v>
      </c>
      <c r="O816" s="2" t="s">
        <v>2994</v>
      </c>
      <c r="P816" s="3" t="s">
        <v>102</v>
      </c>
      <c r="R816" s="3" t="s">
        <v>70</v>
      </c>
      <c r="S816" s="4">
        <v>3</v>
      </c>
      <c r="T816" s="4">
        <v>3</v>
      </c>
      <c r="U816" s="5" t="s">
        <v>7842</v>
      </c>
      <c r="V816" s="5" t="s">
        <v>7842</v>
      </c>
      <c r="W816" s="5" t="s">
        <v>72</v>
      </c>
      <c r="X816" s="5" t="s">
        <v>72</v>
      </c>
      <c r="Y816" s="4">
        <v>23</v>
      </c>
      <c r="Z816" s="4">
        <v>1</v>
      </c>
      <c r="AA816" s="4">
        <v>1</v>
      </c>
      <c r="AB816" s="4">
        <v>1</v>
      </c>
      <c r="AC816" s="4">
        <v>1</v>
      </c>
      <c r="AD816" s="4">
        <v>4</v>
      </c>
      <c r="AE816" s="4">
        <v>19</v>
      </c>
      <c r="AF816" s="4">
        <v>0</v>
      </c>
      <c r="AG816" s="4">
        <v>0</v>
      </c>
      <c r="AH816" s="4">
        <v>4</v>
      </c>
      <c r="AI816" s="4">
        <v>17</v>
      </c>
      <c r="AJ816" s="4">
        <v>0</v>
      </c>
      <c r="AK816" s="4">
        <v>0</v>
      </c>
      <c r="AL816" s="4">
        <v>4</v>
      </c>
      <c r="AM816" s="4">
        <v>10</v>
      </c>
      <c r="AN816" s="4">
        <v>0</v>
      </c>
      <c r="AO816" s="4">
        <v>0</v>
      </c>
      <c r="AP816" s="4">
        <v>0</v>
      </c>
      <c r="AQ816" s="4">
        <v>0</v>
      </c>
      <c r="AR816" s="3" t="s">
        <v>64</v>
      </c>
      <c r="AS816" s="3" t="s">
        <v>64</v>
      </c>
      <c r="AT816" s="3" t="s">
        <v>64</v>
      </c>
      <c r="AV816" s="6" t="str">
        <f>HYPERLINK("http://mcgill.on.worldcat.org/oclc/6055362","Catalog Record")</f>
        <v>Catalog Record</v>
      </c>
      <c r="AW816" s="6" t="str">
        <f>HYPERLINK("http://www.worldcat.org/oclc/6055362","WorldCat Record")</f>
        <v>WorldCat Record</v>
      </c>
      <c r="AX816" s="3" t="s">
        <v>7947</v>
      </c>
      <c r="AY816" s="3" t="s">
        <v>7948</v>
      </c>
      <c r="AZ816" s="3" t="s">
        <v>7949</v>
      </c>
      <c r="BA816" s="3" t="s">
        <v>7949</v>
      </c>
      <c r="BB816" s="3" t="s">
        <v>7950</v>
      </c>
      <c r="BC816" s="3" t="s">
        <v>77</v>
      </c>
      <c r="BD816" s="3" t="s">
        <v>78</v>
      </c>
      <c r="BF816" s="3" t="s">
        <v>7950</v>
      </c>
      <c r="BG816" s="3" t="s">
        <v>7951</v>
      </c>
      <c r="BH816">
        <f t="shared" si="24"/>
        <v>0</v>
      </c>
    </row>
    <row r="817" spans="1:60" ht="101.5" x14ac:dyDescent="0.35">
      <c r="A817" s="2" t="s">
        <v>59</v>
      </c>
      <c r="B817" s="2" t="s">
        <v>60</v>
      </c>
      <c r="C817" s="2" t="s">
        <v>7952</v>
      </c>
      <c r="D817" s="2" t="s">
        <v>7953</v>
      </c>
      <c r="E817" s="2" t="s">
        <v>7954</v>
      </c>
      <c r="G817" s="3" t="s">
        <v>64</v>
      </c>
      <c r="I817" s="3" t="s">
        <v>64</v>
      </c>
      <c r="J817" s="3" t="s">
        <v>64</v>
      </c>
      <c r="K817" s="3" t="s">
        <v>7955</v>
      </c>
      <c r="M817" s="2" t="s">
        <v>7956</v>
      </c>
      <c r="O817" s="2" t="s">
        <v>7957</v>
      </c>
      <c r="P817" s="3" t="s">
        <v>102</v>
      </c>
      <c r="R817" s="3" t="s">
        <v>70</v>
      </c>
      <c r="S817" s="4">
        <v>4</v>
      </c>
      <c r="T817" s="4">
        <v>4</v>
      </c>
      <c r="U817" s="5" t="s">
        <v>7801</v>
      </c>
      <c r="V817" s="5" t="s">
        <v>7801</v>
      </c>
      <c r="W817" s="5" t="s">
        <v>72</v>
      </c>
      <c r="X817" s="5" t="s">
        <v>72</v>
      </c>
      <c r="Y817" s="4">
        <v>6</v>
      </c>
      <c r="Z817" s="4">
        <v>1</v>
      </c>
      <c r="AA817" s="4">
        <v>2</v>
      </c>
      <c r="AB817" s="4">
        <v>1</v>
      </c>
      <c r="AC817" s="4">
        <v>2</v>
      </c>
      <c r="AD817" s="4">
        <v>4</v>
      </c>
      <c r="AE817" s="4">
        <v>9</v>
      </c>
      <c r="AF817" s="4">
        <v>0</v>
      </c>
      <c r="AG817" s="4">
        <v>0</v>
      </c>
      <c r="AH817" s="4">
        <v>4</v>
      </c>
      <c r="AI817" s="4">
        <v>8</v>
      </c>
      <c r="AJ817" s="4">
        <v>0</v>
      </c>
      <c r="AK817" s="4">
        <v>0</v>
      </c>
      <c r="AL817" s="4">
        <v>2</v>
      </c>
      <c r="AM817" s="4">
        <v>4</v>
      </c>
      <c r="AN817" s="4">
        <v>0</v>
      </c>
      <c r="AO817" s="4">
        <v>0</v>
      </c>
      <c r="AP817" s="4">
        <v>0</v>
      </c>
      <c r="AQ817" s="4">
        <v>0</v>
      </c>
      <c r="AR817" s="3" t="s">
        <v>64</v>
      </c>
      <c r="AS817" s="3" t="s">
        <v>128</v>
      </c>
      <c r="AT817" s="3" t="s">
        <v>64</v>
      </c>
      <c r="AU817" s="6" t="str">
        <f>HYPERLINK("http://catalog.hathitrust.org/Record/100239221","HathiTrust Record")</f>
        <v>HathiTrust Record</v>
      </c>
      <c r="AV817" s="6" t="str">
        <f>HYPERLINK("http://mcgill.on.worldcat.org/oclc/9619027","Catalog Record")</f>
        <v>Catalog Record</v>
      </c>
      <c r="AW817" s="6" t="str">
        <f>HYPERLINK("http://www.worldcat.org/oclc/9619027","WorldCat Record")</f>
        <v>WorldCat Record</v>
      </c>
      <c r="AX817" s="3" t="s">
        <v>7958</v>
      </c>
      <c r="AY817" s="3" t="s">
        <v>7959</v>
      </c>
      <c r="AZ817" s="3" t="s">
        <v>7960</v>
      </c>
      <c r="BA817" s="3" t="s">
        <v>7960</v>
      </c>
      <c r="BB817" s="3" t="s">
        <v>7961</v>
      </c>
      <c r="BC817" s="3" t="s">
        <v>77</v>
      </c>
      <c r="BD817" s="3" t="s">
        <v>165</v>
      </c>
      <c r="BF817" s="3" t="s">
        <v>7961</v>
      </c>
      <c r="BG817" s="3" t="s">
        <v>7962</v>
      </c>
      <c r="BH817">
        <f t="shared" si="24"/>
        <v>0</v>
      </c>
    </row>
    <row r="818" spans="1:60" ht="58" x14ac:dyDescent="0.35">
      <c r="A818" s="2" t="s">
        <v>59</v>
      </c>
      <c r="B818" s="2" t="s">
        <v>60</v>
      </c>
      <c r="C818" s="2" t="s">
        <v>7963</v>
      </c>
      <c r="D818" s="2" t="s">
        <v>7964</v>
      </c>
      <c r="E818" s="2" t="s">
        <v>7965</v>
      </c>
      <c r="G818" s="3" t="s">
        <v>64</v>
      </c>
      <c r="I818" s="3" t="s">
        <v>64</v>
      </c>
      <c r="J818" s="3" t="s">
        <v>64</v>
      </c>
      <c r="K818" s="3" t="s">
        <v>65</v>
      </c>
      <c r="L818" s="2" t="s">
        <v>7966</v>
      </c>
      <c r="M818" s="2" t="s">
        <v>7967</v>
      </c>
      <c r="N818" s="3" t="s">
        <v>405</v>
      </c>
      <c r="P818" s="3" t="s">
        <v>102</v>
      </c>
      <c r="Q818" s="2" t="s">
        <v>7968</v>
      </c>
      <c r="R818" s="3" t="s">
        <v>70</v>
      </c>
      <c r="S818" s="4">
        <v>13</v>
      </c>
      <c r="T818" s="4">
        <v>13</v>
      </c>
      <c r="U818" s="5" t="s">
        <v>7801</v>
      </c>
      <c r="V818" s="5" t="s">
        <v>7801</v>
      </c>
      <c r="W818" s="5" t="s">
        <v>72</v>
      </c>
      <c r="X818" s="5" t="s">
        <v>72</v>
      </c>
      <c r="Y818" s="4">
        <v>133</v>
      </c>
      <c r="Z818" s="4">
        <v>10</v>
      </c>
      <c r="AA818" s="4">
        <v>20</v>
      </c>
      <c r="AB818" s="4">
        <v>1</v>
      </c>
      <c r="AC818" s="4">
        <v>1</v>
      </c>
      <c r="AD818" s="4">
        <v>22</v>
      </c>
      <c r="AE818" s="4">
        <v>61</v>
      </c>
      <c r="AF818" s="4">
        <v>0</v>
      </c>
      <c r="AG818" s="4">
        <v>0</v>
      </c>
      <c r="AH818" s="4">
        <v>17</v>
      </c>
      <c r="AI818" s="4">
        <v>51</v>
      </c>
      <c r="AJ818" s="4">
        <v>6</v>
      </c>
      <c r="AK818" s="4">
        <v>10</v>
      </c>
      <c r="AL818" s="4">
        <v>10</v>
      </c>
      <c r="AM818" s="4">
        <v>32</v>
      </c>
      <c r="AN818" s="4">
        <v>0</v>
      </c>
      <c r="AO818" s="4">
        <v>0</v>
      </c>
      <c r="AP818" s="4">
        <v>7</v>
      </c>
      <c r="AQ818" s="4">
        <v>13</v>
      </c>
      <c r="AR818" s="3" t="s">
        <v>64</v>
      </c>
      <c r="AS818" s="3" t="s">
        <v>64</v>
      </c>
      <c r="AT818" s="3" t="s">
        <v>64</v>
      </c>
      <c r="AV818" s="6" t="str">
        <f>HYPERLINK("http://mcgill.on.worldcat.org/oclc/16730968","Catalog Record")</f>
        <v>Catalog Record</v>
      </c>
      <c r="AW818" s="6" t="str">
        <f>HYPERLINK("http://www.worldcat.org/oclc/16730968","WorldCat Record")</f>
        <v>WorldCat Record</v>
      </c>
      <c r="AX818" s="3" t="s">
        <v>7969</v>
      </c>
      <c r="AY818" s="3" t="s">
        <v>7970</v>
      </c>
      <c r="AZ818" s="3" t="s">
        <v>7971</v>
      </c>
      <c r="BA818" s="3" t="s">
        <v>7971</v>
      </c>
      <c r="BB818" s="3" t="s">
        <v>7972</v>
      </c>
      <c r="BC818" s="3" t="s">
        <v>77</v>
      </c>
      <c r="BD818" s="3" t="s">
        <v>165</v>
      </c>
      <c r="BE818" s="3" t="s">
        <v>7973</v>
      </c>
      <c r="BF818" s="3" t="s">
        <v>7972</v>
      </c>
      <c r="BG818" s="3" t="s">
        <v>7974</v>
      </c>
      <c r="BH818">
        <f t="shared" si="24"/>
        <v>0</v>
      </c>
    </row>
    <row r="819" spans="1:60" ht="58" x14ac:dyDescent="0.35">
      <c r="A819" s="2" t="s">
        <v>59</v>
      </c>
      <c r="B819" s="2" t="s">
        <v>60</v>
      </c>
      <c r="C819" s="2" t="s">
        <v>7975</v>
      </c>
      <c r="D819" s="2" t="s">
        <v>7976</v>
      </c>
      <c r="E819" s="2" t="s">
        <v>7977</v>
      </c>
      <c r="G819" s="3" t="s">
        <v>64</v>
      </c>
      <c r="I819" s="3" t="s">
        <v>64</v>
      </c>
      <c r="J819" s="3" t="s">
        <v>64</v>
      </c>
      <c r="K819" s="3" t="s">
        <v>65</v>
      </c>
      <c r="L819" s="2" t="s">
        <v>7978</v>
      </c>
      <c r="M819" s="2" t="s">
        <v>7979</v>
      </c>
      <c r="N819" s="3" t="s">
        <v>1047</v>
      </c>
      <c r="P819" s="3" t="s">
        <v>102</v>
      </c>
      <c r="Q819" s="2" t="s">
        <v>7980</v>
      </c>
      <c r="R819" s="3" t="s">
        <v>70</v>
      </c>
      <c r="S819" s="4">
        <v>3</v>
      </c>
      <c r="T819" s="4">
        <v>3</v>
      </c>
      <c r="U819" s="5" t="s">
        <v>7981</v>
      </c>
      <c r="V819" s="5" t="s">
        <v>7981</v>
      </c>
      <c r="W819" s="5" t="s">
        <v>72</v>
      </c>
      <c r="X819" s="5" t="s">
        <v>72</v>
      </c>
      <c r="Y819" s="4">
        <v>79</v>
      </c>
      <c r="Z819" s="4">
        <v>4</v>
      </c>
      <c r="AA819" s="4">
        <v>4</v>
      </c>
      <c r="AB819" s="4">
        <v>1</v>
      </c>
      <c r="AC819" s="4">
        <v>1</v>
      </c>
      <c r="AD819" s="4">
        <v>29</v>
      </c>
      <c r="AE819" s="4">
        <v>29</v>
      </c>
      <c r="AF819" s="4">
        <v>0</v>
      </c>
      <c r="AG819" s="4">
        <v>0</v>
      </c>
      <c r="AH819" s="4">
        <v>28</v>
      </c>
      <c r="AI819" s="4">
        <v>28</v>
      </c>
      <c r="AJ819" s="4">
        <v>2</v>
      </c>
      <c r="AK819" s="4">
        <v>2</v>
      </c>
      <c r="AL819" s="4">
        <v>18</v>
      </c>
      <c r="AM819" s="4">
        <v>18</v>
      </c>
      <c r="AN819" s="4">
        <v>0</v>
      </c>
      <c r="AO819" s="4">
        <v>0</v>
      </c>
      <c r="AP819" s="4">
        <v>2</v>
      </c>
      <c r="AQ819" s="4">
        <v>2</v>
      </c>
      <c r="AR819" s="3" t="s">
        <v>64</v>
      </c>
      <c r="AS819" s="3" t="s">
        <v>64</v>
      </c>
      <c r="AT819" s="3" t="s">
        <v>64</v>
      </c>
      <c r="AV819" s="6" t="str">
        <f>HYPERLINK("http://mcgill.on.worldcat.org/oclc/8623918","Catalog Record")</f>
        <v>Catalog Record</v>
      </c>
      <c r="AW819" s="6" t="str">
        <f>HYPERLINK("http://www.worldcat.org/oclc/8623918","WorldCat Record")</f>
        <v>WorldCat Record</v>
      </c>
      <c r="AX819" s="3" t="s">
        <v>7982</v>
      </c>
      <c r="AY819" s="3" t="s">
        <v>7983</v>
      </c>
      <c r="AZ819" s="3" t="s">
        <v>7984</v>
      </c>
      <c r="BA819" s="3" t="s">
        <v>7984</v>
      </c>
      <c r="BB819" s="3" t="s">
        <v>7985</v>
      </c>
      <c r="BC819" s="3" t="s">
        <v>77</v>
      </c>
      <c r="BD819" s="3" t="s">
        <v>165</v>
      </c>
      <c r="BF819" s="3" t="s">
        <v>7985</v>
      </c>
      <c r="BG819" s="3" t="s">
        <v>7986</v>
      </c>
      <c r="BH819">
        <f t="shared" si="24"/>
        <v>0</v>
      </c>
    </row>
    <row r="820" spans="1:60" ht="72.5" x14ac:dyDescent="0.35">
      <c r="A820" s="2" t="s">
        <v>59</v>
      </c>
      <c r="B820" s="2" t="s">
        <v>60</v>
      </c>
      <c r="C820" s="2" t="s">
        <v>7987</v>
      </c>
      <c r="D820" s="2" t="s">
        <v>7988</v>
      </c>
      <c r="E820" s="2" t="s">
        <v>7989</v>
      </c>
      <c r="G820" s="3" t="s">
        <v>64</v>
      </c>
      <c r="I820" s="3" t="s">
        <v>64</v>
      </c>
      <c r="J820" s="3" t="s">
        <v>64</v>
      </c>
      <c r="K820" s="3" t="s">
        <v>65</v>
      </c>
      <c r="L820" s="2" t="s">
        <v>7990</v>
      </c>
      <c r="M820" s="2" t="s">
        <v>7991</v>
      </c>
      <c r="N820" s="3" t="s">
        <v>7992</v>
      </c>
      <c r="P820" s="3" t="s">
        <v>102</v>
      </c>
      <c r="Q820" s="2" t="s">
        <v>7993</v>
      </c>
      <c r="R820" s="3" t="s">
        <v>70</v>
      </c>
      <c r="S820" s="4">
        <v>3</v>
      </c>
      <c r="T820" s="4">
        <v>3</v>
      </c>
      <c r="U820" s="5" t="s">
        <v>7994</v>
      </c>
      <c r="V820" s="5" t="s">
        <v>7994</v>
      </c>
      <c r="W820" s="5" t="s">
        <v>72</v>
      </c>
      <c r="X820" s="5" t="s">
        <v>72</v>
      </c>
      <c r="Y820" s="4">
        <v>1</v>
      </c>
      <c r="Z820" s="4">
        <v>1</v>
      </c>
      <c r="AA820" s="4">
        <v>4</v>
      </c>
      <c r="AB820" s="4">
        <v>1</v>
      </c>
      <c r="AC820" s="4">
        <v>1</v>
      </c>
      <c r="AD820" s="4">
        <v>0</v>
      </c>
      <c r="AE820" s="4">
        <v>20</v>
      </c>
      <c r="AF820" s="4">
        <v>0</v>
      </c>
      <c r="AG820" s="4">
        <v>0</v>
      </c>
      <c r="AH820" s="4">
        <v>0</v>
      </c>
      <c r="AI820" s="4">
        <v>18</v>
      </c>
      <c r="AJ820" s="4">
        <v>0</v>
      </c>
      <c r="AK820" s="4">
        <v>1</v>
      </c>
      <c r="AL820" s="4">
        <v>0</v>
      </c>
      <c r="AM820" s="4">
        <v>11</v>
      </c>
      <c r="AN820" s="4">
        <v>0</v>
      </c>
      <c r="AO820" s="4">
        <v>0</v>
      </c>
      <c r="AP820" s="4">
        <v>0</v>
      </c>
      <c r="AQ820" s="4">
        <v>2</v>
      </c>
      <c r="AR820" s="3" t="s">
        <v>64</v>
      </c>
      <c r="AS820" s="3" t="s">
        <v>64</v>
      </c>
      <c r="AT820" s="3" t="s">
        <v>64</v>
      </c>
      <c r="AV820" s="6" t="str">
        <f>HYPERLINK("http://mcgill.on.worldcat.org/oclc/427202337","Catalog Record")</f>
        <v>Catalog Record</v>
      </c>
      <c r="AW820" s="6" t="str">
        <f>HYPERLINK("http://www.worldcat.org/oclc/427202337","WorldCat Record")</f>
        <v>WorldCat Record</v>
      </c>
      <c r="AX820" s="3" t="s">
        <v>7995</v>
      </c>
      <c r="AY820" s="3" t="s">
        <v>7996</v>
      </c>
      <c r="AZ820" s="3" t="s">
        <v>7997</v>
      </c>
      <c r="BA820" s="3" t="s">
        <v>7997</v>
      </c>
      <c r="BB820" s="3" t="s">
        <v>7998</v>
      </c>
      <c r="BC820" s="3" t="s">
        <v>77</v>
      </c>
      <c r="BD820" s="3" t="s">
        <v>78</v>
      </c>
      <c r="BF820" s="3" t="s">
        <v>7998</v>
      </c>
      <c r="BG820" s="3" t="s">
        <v>7999</v>
      </c>
      <c r="BH820">
        <f t="shared" si="24"/>
        <v>0</v>
      </c>
    </row>
    <row r="821" spans="1:60" ht="58" x14ac:dyDescent="0.35">
      <c r="A821" s="2" t="s">
        <v>59</v>
      </c>
      <c r="B821" s="2" t="s">
        <v>60</v>
      </c>
      <c r="C821" s="2" t="s">
        <v>8000</v>
      </c>
      <c r="D821" s="2" t="s">
        <v>8001</v>
      </c>
      <c r="E821" s="2" t="s">
        <v>8002</v>
      </c>
      <c r="G821" s="3" t="s">
        <v>64</v>
      </c>
      <c r="I821" s="3" t="s">
        <v>64</v>
      </c>
      <c r="J821" s="3" t="s">
        <v>64</v>
      </c>
      <c r="K821" s="3" t="s">
        <v>65</v>
      </c>
      <c r="L821" s="2" t="s">
        <v>8003</v>
      </c>
      <c r="M821" s="2" t="s">
        <v>8004</v>
      </c>
      <c r="N821" s="3" t="s">
        <v>511</v>
      </c>
      <c r="P821" s="3" t="s">
        <v>102</v>
      </c>
      <c r="Q821" s="2" t="s">
        <v>8005</v>
      </c>
      <c r="R821" s="3" t="s">
        <v>70</v>
      </c>
      <c r="S821" s="4">
        <v>1</v>
      </c>
      <c r="T821" s="4">
        <v>1</v>
      </c>
      <c r="U821" s="5" t="s">
        <v>1846</v>
      </c>
      <c r="V821" s="5" t="s">
        <v>1846</v>
      </c>
      <c r="W821" s="5" t="s">
        <v>72</v>
      </c>
      <c r="X821" s="5" t="s">
        <v>72</v>
      </c>
      <c r="Y821" s="4">
        <v>10</v>
      </c>
      <c r="Z821" s="4">
        <v>1</v>
      </c>
      <c r="AA821" s="4">
        <v>17</v>
      </c>
      <c r="AB821" s="4">
        <v>1</v>
      </c>
      <c r="AC821" s="4">
        <v>5</v>
      </c>
      <c r="AD821" s="4">
        <v>0</v>
      </c>
      <c r="AE821" s="4">
        <v>51</v>
      </c>
      <c r="AF821" s="4">
        <v>0</v>
      </c>
      <c r="AG821" s="4">
        <v>1</v>
      </c>
      <c r="AH821" s="4">
        <v>0</v>
      </c>
      <c r="AI821" s="4">
        <v>45</v>
      </c>
      <c r="AJ821" s="4">
        <v>0</v>
      </c>
      <c r="AK821" s="4">
        <v>8</v>
      </c>
      <c r="AL821" s="4">
        <v>0</v>
      </c>
      <c r="AM821" s="4">
        <v>25</v>
      </c>
      <c r="AN821" s="4">
        <v>0</v>
      </c>
      <c r="AO821" s="4">
        <v>5</v>
      </c>
      <c r="AP821" s="4">
        <v>0</v>
      </c>
      <c r="AQ821" s="4">
        <v>6</v>
      </c>
      <c r="AR821" s="3" t="s">
        <v>64</v>
      </c>
      <c r="AS821" s="3" t="s">
        <v>64</v>
      </c>
      <c r="AT821" s="3" t="s">
        <v>64</v>
      </c>
      <c r="AV821" s="6" t="str">
        <f>HYPERLINK("http://mcgill.on.worldcat.org/oclc/862149553","Catalog Record")</f>
        <v>Catalog Record</v>
      </c>
      <c r="AW821" s="6" t="str">
        <f>HYPERLINK("http://www.worldcat.org/oclc/862149553","WorldCat Record")</f>
        <v>WorldCat Record</v>
      </c>
      <c r="AX821" s="3" t="s">
        <v>8006</v>
      </c>
      <c r="AY821" s="3" t="s">
        <v>8007</v>
      </c>
      <c r="AZ821" s="3" t="s">
        <v>8008</v>
      </c>
      <c r="BA821" s="3" t="s">
        <v>8008</v>
      </c>
      <c r="BB821" s="3" t="s">
        <v>8009</v>
      </c>
      <c r="BC821" s="3" t="s">
        <v>77</v>
      </c>
      <c r="BD821" s="3" t="s">
        <v>78</v>
      </c>
      <c r="BE821" s="3" t="s">
        <v>8010</v>
      </c>
      <c r="BF821" s="3" t="s">
        <v>8009</v>
      </c>
      <c r="BG821" s="3" t="s">
        <v>8011</v>
      </c>
      <c r="BH821">
        <f t="shared" si="24"/>
        <v>0</v>
      </c>
    </row>
    <row r="822" spans="1:60" ht="58" x14ac:dyDescent="0.35">
      <c r="A822" s="2" t="s">
        <v>59</v>
      </c>
      <c r="B822" s="2" t="s">
        <v>60</v>
      </c>
      <c r="C822" s="2" t="s">
        <v>8012</v>
      </c>
      <c r="D822" s="2" t="s">
        <v>8013</v>
      </c>
      <c r="E822" s="2" t="s">
        <v>8014</v>
      </c>
      <c r="G822" s="3" t="s">
        <v>64</v>
      </c>
      <c r="I822" s="3" t="s">
        <v>64</v>
      </c>
      <c r="J822" s="3" t="s">
        <v>128</v>
      </c>
      <c r="K822" s="3" t="s">
        <v>7955</v>
      </c>
      <c r="L822" s="2" t="s">
        <v>8015</v>
      </c>
      <c r="M822" s="2" t="s">
        <v>8016</v>
      </c>
      <c r="N822" s="3" t="s">
        <v>3795</v>
      </c>
      <c r="O822" s="2" t="s">
        <v>8017</v>
      </c>
      <c r="P822" s="3" t="s">
        <v>102</v>
      </c>
      <c r="Q822" s="2" t="s">
        <v>8018</v>
      </c>
      <c r="R822" s="3" t="s">
        <v>70</v>
      </c>
      <c r="S822" s="4">
        <v>4</v>
      </c>
      <c r="T822" s="4">
        <v>4</v>
      </c>
      <c r="U822" s="5" t="s">
        <v>7801</v>
      </c>
      <c r="V822" s="5" t="s">
        <v>7801</v>
      </c>
      <c r="W822" s="5" t="s">
        <v>72</v>
      </c>
      <c r="X822" s="5" t="s">
        <v>72</v>
      </c>
      <c r="Y822" s="4">
        <v>5</v>
      </c>
      <c r="Z822" s="4">
        <v>2</v>
      </c>
      <c r="AA822" s="4">
        <v>33</v>
      </c>
      <c r="AB822" s="4">
        <v>1</v>
      </c>
      <c r="AC822" s="4">
        <v>11</v>
      </c>
      <c r="AD822" s="4">
        <v>2</v>
      </c>
      <c r="AE822" s="4">
        <v>34</v>
      </c>
      <c r="AF822" s="4">
        <v>0</v>
      </c>
      <c r="AG822" s="4">
        <v>6</v>
      </c>
      <c r="AH822" s="4">
        <v>1</v>
      </c>
      <c r="AI822" s="4">
        <v>18</v>
      </c>
      <c r="AJ822" s="4">
        <v>1</v>
      </c>
      <c r="AK822" s="4">
        <v>16</v>
      </c>
      <c r="AL822" s="4">
        <v>1</v>
      </c>
      <c r="AM822" s="4">
        <v>7</v>
      </c>
      <c r="AN822" s="4">
        <v>0</v>
      </c>
      <c r="AO822" s="4">
        <v>0</v>
      </c>
      <c r="AP822" s="4">
        <v>1</v>
      </c>
      <c r="AQ822" s="4">
        <v>20</v>
      </c>
      <c r="AR822" s="3" t="s">
        <v>64</v>
      </c>
      <c r="AS822" s="3" t="s">
        <v>64</v>
      </c>
      <c r="AT822" s="3" t="s">
        <v>64</v>
      </c>
      <c r="AV822" s="6" t="str">
        <f>HYPERLINK("http://mcgill.on.worldcat.org/oclc/271691030","Catalog Record")</f>
        <v>Catalog Record</v>
      </c>
      <c r="AW822" s="6" t="str">
        <f>HYPERLINK("http://www.worldcat.org/oclc/271691030","WorldCat Record")</f>
        <v>WorldCat Record</v>
      </c>
      <c r="AX822" s="3" t="s">
        <v>8019</v>
      </c>
      <c r="AY822" s="3" t="s">
        <v>8020</v>
      </c>
      <c r="AZ822" s="3" t="s">
        <v>8021</v>
      </c>
      <c r="BA822" s="3" t="s">
        <v>8021</v>
      </c>
      <c r="BB822" s="3" t="s">
        <v>8022</v>
      </c>
      <c r="BC822" s="3" t="s">
        <v>77</v>
      </c>
      <c r="BD822" s="3" t="s">
        <v>165</v>
      </c>
      <c r="BF822" s="3" t="s">
        <v>8022</v>
      </c>
      <c r="BG822" s="3" t="s">
        <v>8023</v>
      </c>
      <c r="BH822">
        <f t="shared" si="24"/>
        <v>0</v>
      </c>
    </row>
    <row r="823" spans="1:60" ht="58" x14ac:dyDescent="0.35">
      <c r="A823" s="2" t="s">
        <v>59</v>
      </c>
      <c r="B823" s="2" t="s">
        <v>60</v>
      </c>
      <c r="C823" s="2" t="s">
        <v>8024</v>
      </c>
      <c r="D823" s="2" t="s">
        <v>8025</v>
      </c>
      <c r="E823" s="2" t="s">
        <v>8026</v>
      </c>
      <c r="G823" s="3" t="s">
        <v>64</v>
      </c>
      <c r="I823" s="3" t="s">
        <v>64</v>
      </c>
      <c r="J823" s="3" t="s">
        <v>64</v>
      </c>
      <c r="K823" s="3" t="s">
        <v>65</v>
      </c>
      <c r="L823" s="2" t="s">
        <v>8027</v>
      </c>
      <c r="M823" s="2" t="s">
        <v>8028</v>
      </c>
      <c r="N823" s="3" t="s">
        <v>768</v>
      </c>
      <c r="P823" s="3" t="s">
        <v>102</v>
      </c>
      <c r="Q823" s="2" t="s">
        <v>8029</v>
      </c>
      <c r="R823" s="3" t="s">
        <v>70</v>
      </c>
      <c r="S823" s="4">
        <v>17</v>
      </c>
      <c r="T823" s="4">
        <v>17</v>
      </c>
      <c r="U823" s="5" t="s">
        <v>8030</v>
      </c>
      <c r="V823" s="5" t="s">
        <v>8030</v>
      </c>
      <c r="W823" s="5" t="s">
        <v>72</v>
      </c>
      <c r="X823" s="5" t="s">
        <v>72</v>
      </c>
      <c r="Y823" s="4">
        <v>244</v>
      </c>
      <c r="Z823" s="4">
        <v>25</v>
      </c>
      <c r="AA823" s="4">
        <v>45</v>
      </c>
      <c r="AB823" s="4">
        <v>4</v>
      </c>
      <c r="AC823" s="4">
        <v>6</v>
      </c>
      <c r="AD823" s="4">
        <v>50</v>
      </c>
      <c r="AE823" s="4">
        <v>92</v>
      </c>
      <c r="AF823" s="4">
        <v>1</v>
      </c>
      <c r="AG823" s="4">
        <v>1</v>
      </c>
      <c r="AH823" s="4">
        <v>39</v>
      </c>
      <c r="AI823" s="4">
        <v>78</v>
      </c>
      <c r="AJ823" s="4">
        <v>15</v>
      </c>
      <c r="AK823" s="4">
        <v>17</v>
      </c>
      <c r="AL823" s="4">
        <v>20</v>
      </c>
      <c r="AM823" s="4">
        <v>38</v>
      </c>
      <c r="AN823" s="4">
        <v>0</v>
      </c>
      <c r="AO823" s="4">
        <v>0</v>
      </c>
      <c r="AP823" s="4">
        <v>16</v>
      </c>
      <c r="AQ823" s="4">
        <v>20</v>
      </c>
      <c r="AR823" s="3" t="s">
        <v>64</v>
      </c>
      <c r="AS823" s="3" t="s">
        <v>64</v>
      </c>
      <c r="AT823" s="3" t="s">
        <v>64</v>
      </c>
      <c r="AV823" s="6" t="str">
        <f>HYPERLINK("http://mcgill.on.worldcat.org/oclc/4230376","Catalog Record")</f>
        <v>Catalog Record</v>
      </c>
      <c r="AW823" s="6" t="str">
        <f>HYPERLINK("http://www.worldcat.org/oclc/4230376","WorldCat Record")</f>
        <v>WorldCat Record</v>
      </c>
      <c r="AX823" s="3" t="s">
        <v>8031</v>
      </c>
      <c r="AY823" s="3" t="s">
        <v>8032</v>
      </c>
      <c r="AZ823" s="3" t="s">
        <v>8033</v>
      </c>
      <c r="BA823" s="3" t="s">
        <v>8033</v>
      </c>
      <c r="BB823" s="3" t="s">
        <v>8034</v>
      </c>
      <c r="BC823" s="3" t="s">
        <v>77</v>
      </c>
      <c r="BD823" s="3" t="s">
        <v>165</v>
      </c>
      <c r="BE823" s="3" t="s">
        <v>8035</v>
      </c>
      <c r="BF823" s="3" t="s">
        <v>8034</v>
      </c>
      <c r="BG823" s="3" t="s">
        <v>8036</v>
      </c>
      <c r="BH823">
        <f t="shared" si="24"/>
        <v>0</v>
      </c>
    </row>
    <row r="824" spans="1:60" ht="58" x14ac:dyDescent="0.35">
      <c r="A824" s="2" t="s">
        <v>59</v>
      </c>
      <c r="B824" s="2" t="s">
        <v>60</v>
      </c>
      <c r="C824" s="2" t="s">
        <v>8037</v>
      </c>
      <c r="D824" s="2" t="s">
        <v>8038</v>
      </c>
      <c r="E824" s="2" t="s">
        <v>8039</v>
      </c>
      <c r="G824" s="3" t="s">
        <v>64</v>
      </c>
      <c r="I824" s="3" t="s">
        <v>64</v>
      </c>
      <c r="J824" s="3" t="s">
        <v>64</v>
      </c>
      <c r="K824" s="3" t="s">
        <v>65</v>
      </c>
      <c r="L824" s="2" t="s">
        <v>8040</v>
      </c>
      <c r="M824" s="2" t="s">
        <v>7372</v>
      </c>
      <c r="N824" s="3" t="s">
        <v>898</v>
      </c>
      <c r="P824" s="3" t="s">
        <v>102</v>
      </c>
      <c r="R824" s="3" t="s">
        <v>70</v>
      </c>
      <c r="S824" s="4">
        <v>3</v>
      </c>
      <c r="T824" s="4">
        <v>3</v>
      </c>
      <c r="U824" s="5" t="s">
        <v>8030</v>
      </c>
      <c r="V824" s="5" t="s">
        <v>8030</v>
      </c>
      <c r="W824" s="5" t="s">
        <v>72</v>
      </c>
      <c r="X824" s="5" t="s">
        <v>72</v>
      </c>
      <c r="Y824" s="4">
        <v>258</v>
      </c>
      <c r="Z824" s="4">
        <v>11</v>
      </c>
      <c r="AA824" s="4">
        <v>11</v>
      </c>
      <c r="AB824" s="4">
        <v>2</v>
      </c>
      <c r="AC824" s="4">
        <v>2</v>
      </c>
      <c r="AD824" s="4">
        <v>40</v>
      </c>
      <c r="AE824" s="4">
        <v>40</v>
      </c>
      <c r="AF824" s="4">
        <v>0</v>
      </c>
      <c r="AG824" s="4">
        <v>0</v>
      </c>
      <c r="AH824" s="4">
        <v>34</v>
      </c>
      <c r="AI824" s="4">
        <v>34</v>
      </c>
      <c r="AJ824" s="4">
        <v>5</v>
      </c>
      <c r="AK824" s="4">
        <v>5</v>
      </c>
      <c r="AL824" s="4">
        <v>18</v>
      </c>
      <c r="AM824" s="4">
        <v>18</v>
      </c>
      <c r="AN824" s="4">
        <v>0</v>
      </c>
      <c r="AO824" s="4">
        <v>0</v>
      </c>
      <c r="AP824" s="4">
        <v>7</v>
      </c>
      <c r="AQ824" s="4">
        <v>7</v>
      </c>
      <c r="AR824" s="3" t="s">
        <v>64</v>
      </c>
      <c r="AS824" s="3" t="s">
        <v>64</v>
      </c>
      <c r="AT824" s="3" t="s">
        <v>64</v>
      </c>
      <c r="AV824" s="6" t="str">
        <f>HYPERLINK("http://mcgill.on.worldcat.org/oclc/6303569","Catalog Record")</f>
        <v>Catalog Record</v>
      </c>
      <c r="AW824" s="6" t="str">
        <f>HYPERLINK("http://www.worldcat.org/oclc/6303569","WorldCat Record")</f>
        <v>WorldCat Record</v>
      </c>
      <c r="AX824" s="3" t="s">
        <v>8041</v>
      </c>
      <c r="AY824" s="3" t="s">
        <v>8042</v>
      </c>
      <c r="AZ824" s="3" t="s">
        <v>8043</v>
      </c>
      <c r="BA824" s="3" t="s">
        <v>8043</v>
      </c>
      <c r="BB824" s="3" t="s">
        <v>8044</v>
      </c>
      <c r="BC824" s="3" t="s">
        <v>77</v>
      </c>
      <c r="BD824" s="3" t="s">
        <v>165</v>
      </c>
      <c r="BE824" s="3" t="s">
        <v>8045</v>
      </c>
      <c r="BF824" s="3" t="s">
        <v>8044</v>
      </c>
      <c r="BG824" s="3" t="s">
        <v>8046</v>
      </c>
      <c r="BH824">
        <f t="shared" si="24"/>
        <v>0</v>
      </c>
    </row>
    <row r="825" spans="1:60" ht="58" x14ac:dyDescent="0.35">
      <c r="A825" s="2" t="s">
        <v>59</v>
      </c>
      <c r="B825" s="2" t="s">
        <v>60</v>
      </c>
      <c r="C825" s="2" t="s">
        <v>8047</v>
      </c>
      <c r="D825" s="2" t="s">
        <v>8048</v>
      </c>
      <c r="E825" s="2" t="s">
        <v>8049</v>
      </c>
      <c r="G825" s="3" t="s">
        <v>64</v>
      </c>
      <c r="I825" s="3" t="s">
        <v>64</v>
      </c>
      <c r="J825" s="3" t="s">
        <v>64</v>
      </c>
      <c r="K825" s="3" t="s">
        <v>65</v>
      </c>
      <c r="L825" s="2" t="s">
        <v>8050</v>
      </c>
      <c r="M825" s="2" t="s">
        <v>8051</v>
      </c>
      <c r="N825" s="3" t="s">
        <v>190</v>
      </c>
      <c r="P825" s="3" t="s">
        <v>102</v>
      </c>
      <c r="R825" s="3" t="s">
        <v>70</v>
      </c>
      <c r="S825" s="4">
        <v>2</v>
      </c>
      <c r="T825" s="4">
        <v>2</v>
      </c>
      <c r="U825" s="5" t="s">
        <v>8052</v>
      </c>
      <c r="V825" s="5" t="s">
        <v>8052</v>
      </c>
      <c r="W825" s="5" t="s">
        <v>72</v>
      </c>
      <c r="X825" s="5" t="s">
        <v>72</v>
      </c>
      <c r="Y825" s="4">
        <v>1</v>
      </c>
      <c r="Z825" s="4">
        <v>1</v>
      </c>
      <c r="AA825" s="4">
        <v>7</v>
      </c>
      <c r="AB825" s="4">
        <v>1</v>
      </c>
      <c r="AC825" s="4">
        <v>2</v>
      </c>
      <c r="AD825" s="4">
        <v>0</v>
      </c>
      <c r="AE825" s="4">
        <v>19</v>
      </c>
      <c r="AF825" s="4">
        <v>0</v>
      </c>
      <c r="AG825" s="4">
        <v>0</v>
      </c>
      <c r="AH825" s="4">
        <v>0</v>
      </c>
      <c r="AI825" s="4">
        <v>16</v>
      </c>
      <c r="AJ825" s="4">
        <v>0</v>
      </c>
      <c r="AK825" s="4">
        <v>3</v>
      </c>
      <c r="AL825" s="4">
        <v>0</v>
      </c>
      <c r="AM825" s="4">
        <v>10</v>
      </c>
      <c r="AN825" s="4">
        <v>0</v>
      </c>
      <c r="AO825" s="4">
        <v>0</v>
      </c>
      <c r="AP825" s="4">
        <v>0</v>
      </c>
      <c r="AQ825" s="4">
        <v>2</v>
      </c>
      <c r="AR825" s="3" t="s">
        <v>64</v>
      </c>
      <c r="AS825" s="3" t="s">
        <v>64</v>
      </c>
      <c r="AT825" s="3" t="s">
        <v>64</v>
      </c>
      <c r="AV825" s="6" t="str">
        <f>HYPERLINK("http://mcgill.on.worldcat.org/oclc/1031482617","Catalog Record")</f>
        <v>Catalog Record</v>
      </c>
      <c r="AW825" s="6" t="str">
        <f>HYPERLINK("http://www.worldcat.org/oclc/1031482617","WorldCat Record")</f>
        <v>WorldCat Record</v>
      </c>
      <c r="AX825" s="3" t="s">
        <v>8053</v>
      </c>
      <c r="AY825" s="3" t="s">
        <v>8054</v>
      </c>
      <c r="AZ825" s="3" t="s">
        <v>8055</v>
      </c>
      <c r="BA825" s="3" t="s">
        <v>8055</v>
      </c>
      <c r="BB825" s="3" t="s">
        <v>8056</v>
      </c>
      <c r="BC825" s="3" t="s">
        <v>77</v>
      </c>
      <c r="BD825" s="3" t="s">
        <v>78</v>
      </c>
      <c r="BE825" s="3" t="s">
        <v>8057</v>
      </c>
      <c r="BF825" s="3" t="s">
        <v>8056</v>
      </c>
      <c r="BG825" s="3" t="s">
        <v>8058</v>
      </c>
      <c r="BH825">
        <f t="shared" si="24"/>
        <v>0</v>
      </c>
    </row>
    <row r="826" spans="1:60" ht="58" x14ac:dyDescent="0.35">
      <c r="A826" s="2" t="s">
        <v>59</v>
      </c>
      <c r="B826" s="2" t="s">
        <v>60</v>
      </c>
      <c r="C826" s="2" t="s">
        <v>8059</v>
      </c>
      <c r="D826" s="2" t="s">
        <v>8060</v>
      </c>
      <c r="E826" s="2" t="s">
        <v>8061</v>
      </c>
      <c r="G826" s="3" t="s">
        <v>64</v>
      </c>
      <c r="I826" s="3" t="s">
        <v>64</v>
      </c>
      <c r="J826" s="3" t="s">
        <v>128</v>
      </c>
      <c r="K826" s="3" t="s">
        <v>65</v>
      </c>
      <c r="L826" s="2" t="s">
        <v>8062</v>
      </c>
      <c r="M826" s="2" t="s">
        <v>8063</v>
      </c>
      <c r="N826" s="3" t="s">
        <v>922</v>
      </c>
      <c r="P826" s="3" t="s">
        <v>102</v>
      </c>
      <c r="Q826" s="2" t="s">
        <v>8064</v>
      </c>
      <c r="R826" s="3" t="s">
        <v>70</v>
      </c>
      <c r="S826" s="4">
        <v>3</v>
      </c>
      <c r="T826" s="4">
        <v>3</v>
      </c>
      <c r="U826" s="5" t="s">
        <v>8065</v>
      </c>
      <c r="V826" s="5" t="s">
        <v>8065</v>
      </c>
      <c r="W826" s="5" t="s">
        <v>72</v>
      </c>
      <c r="X826" s="5" t="s">
        <v>72</v>
      </c>
      <c r="Y826" s="4">
        <v>862</v>
      </c>
      <c r="Z826" s="4">
        <v>43</v>
      </c>
      <c r="AA826" s="4">
        <v>62</v>
      </c>
      <c r="AB826" s="4">
        <v>4</v>
      </c>
      <c r="AC826" s="4">
        <v>10</v>
      </c>
      <c r="AD826" s="4">
        <v>121</v>
      </c>
      <c r="AE826" s="4">
        <v>140</v>
      </c>
      <c r="AF826" s="4">
        <v>2</v>
      </c>
      <c r="AG826" s="4">
        <v>6</v>
      </c>
      <c r="AH826" s="4">
        <v>102</v>
      </c>
      <c r="AI826" s="4">
        <v>113</v>
      </c>
      <c r="AJ826" s="4">
        <v>20</v>
      </c>
      <c r="AK826" s="4">
        <v>26</v>
      </c>
      <c r="AL826" s="4">
        <v>56</v>
      </c>
      <c r="AM826" s="4">
        <v>62</v>
      </c>
      <c r="AN826" s="4">
        <v>0</v>
      </c>
      <c r="AO826" s="4">
        <v>5</v>
      </c>
      <c r="AP826" s="4">
        <v>24</v>
      </c>
      <c r="AQ826" s="4">
        <v>31</v>
      </c>
      <c r="AR826" s="3" t="s">
        <v>64</v>
      </c>
      <c r="AS826" s="3" t="s">
        <v>64</v>
      </c>
      <c r="AT826" s="3" t="s">
        <v>128</v>
      </c>
      <c r="AU826" s="6" t="str">
        <f>HYPERLINK("http://catalog.hathitrust.org/Record/001175521","HathiTrust Record")</f>
        <v>HathiTrust Record</v>
      </c>
      <c r="AV826" s="6" t="str">
        <f>HYPERLINK("http://mcgill.on.worldcat.org/oclc/348076","Catalog Record")</f>
        <v>Catalog Record</v>
      </c>
      <c r="AW826" s="6" t="str">
        <f>HYPERLINK("http://www.worldcat.org/oclc/348076","WorldCat Record")</f>
        <v>WorldCat Record</v>
      </c>
      <c r="AX826" s="3" t="s">
        <v>8066</v>
      </c>
      <c r="AY826" s="3" t="s">
        <v>8067</v>
      </c>
      <c r="AZ826" s="3" t="s">
        <v>8068</v>
      </c>
      <c r="BA826" s="3" t="s">
        <v>8068</v>
      </c>
      <c r="BB826" s="3" t="s">
        <v>8069</v>
      </c>
      <c r="BC826" s="3" t="s">
        <v>77</v>
      </c>
      <c r="BD826" s="3" t="s">
        <v>78</v>
      </c>
      <c r="BE826" s="3" t="s">
        <v>8070</v>
      </c>
      <c r="BF826" s="3" t="s">
        <v>8069</v>
      </c>
      <c r="BG826" s="3" t="s">
        <v>8071</v>
      </c>
      <c r="BH826">
        <f t="shared" si="24"/>
        <v>0</v>
      </c>
    </row>
    <row r="827" spans="1:60" ht="58" x14ac:dyDescent="0.35">
      <c r="A827" s="2" t="s">
        <v>59</v>
      </c>
      <c r="B827" s="2" t="s">
        <v>60</v>
      </c>
      <c r="C827" s="2" t="s">
        <v>8072</v>
      </c>
      <c r="D827" s="2" t="s">
        <v>8073</v>
      </c>
      <c r="E827" s="2" t="s">
        <v>8074</v>
      </c>
      <c r="G827" s="3" t="s">
        <v>64</v>
      </c>
      <c r="I827" s="3" t="s">
        <v>64</v>
      </c>
      <c r="J827" s="3" t="s">
        <v>128</v>
      </c>
      <c r="K827" s="3" t="s">
        <v>65</v>
      </c>
      <c r="L827" s="2" t="s">
        <v>8075</v>
      </c>
      <c r="M827" s="2" t="s">
        <v>8076</v>
      </c>
      <c r="N827" s="3" t="s">
        <v>266</v>
      </c>
      <c r="O827" s="2" t="s">
        <v>8077</v>
      </c>
      <c r="P827" s="3" t="s">
        <v>102</v>
      </c>
      <c r="R827" s="3" t="s">
        <v>70</v>
      </c>
      <c r="S827" s="4">
        <v>9</v>
      </c>
      <c r="T827" s="4">
        <v>9</v>
      </c>
      <c r="U827" s="5" t="s">
        <v>2055</v>
      </c>
      <c r="V827" s="5" t="s">
        <v>2055</v>
      </c>
      <c r="W827" s="5" t="s">
        <v>72</v>
      </c>
      <c r="X827" s="5" t="s">
        <v>72</v>
      </c>
      <c r="Y827" s="4">
        <v>248</v>
      </c>
      <c r="Z827" s="4">
        <v>18</v>
      </c>
      <c r="AA827" s="4">
        <v>22</v>
      </c>
      <c r="AB827" s="4">
        <v>1</v>
      </c>
      <c r="AC827" s="4">
        <v>3</v>
      </c>
      <c r="AD827" s="4">
        <v>47</v>
      </c>
      <c r="AE827" s="4">
        <v>84</v>
      </c>
      <c r="AF827" s="4">
        <v>0</v>
      </c>
      <c r="AG827" s="4">
        <v>1</v>
      </c>
      <c r="AH827" s="4">
        <v>44</v>
      </c>
      <c r="AI827" s="4">
        <v>77</v>
      </c>
      <c r="AJ827" s="4">
        <v>6</v>
      </c>
      <c r="AK827" s="4">
        <v>8</v>
      </c>
      <c r="AL827" s="4">
        <v>20</v>
      </c>
      <c r="AM827" s="4">
        <v>43</v>
      </c>
      <c r="AN827" s="4">
        <v>0</v>
      </c>
      <c r="AO827" s="4">
        <v>0</v>
      </c>
      <c r="AP827" s="4">
        <v>8</v>
      </c>
      <c r="AQ827" s="4">
        <v>9</v>
      </c>
      <c r="AR827" s="3" t="s">
        <v>64</v>
      </c>
      <c r="AS827" s="3" t="s">
        <v>64</v>
      </c>
      <c r="AT827" s="3" t="s">
        <v>128</v>
      </c>
      <c r="AU827" s="6" t="str">
        <f>HYPERLINK("http://catalog.hathitrust.org/Record/001161556","HathiTrust Record")</f>
        <v>HathiTrust Record</v>
      </c>
      <c r="AV827" s="6" t="str">
        <f>HYPERLINK("http://mcgill.on.worldcat.org/oclc/728701","Catalog Record")</f>
        <v>Catalog Record</v>
      </c>
      <c r="AW827" s="6" t="str">
        <f>HYPERLINK("http://www.worldcat.org/oclc/728701","WorldCat Record")</f>
        <v>WorldCat Record</v>
      </c>
      <c r="AX827" s="3" t="s">
        <v>8078</v>
      </c>
      <c r="AY827" s="3" t="s">
        <v>8079</v>
      </c>
      <c r="AZ827" s="3" t="s">
        <v>8080</v>
      </c>
      <c r="BA827" s="3" t="s">
        <v>8080</v>
      </c>
      <c r="BB827" s="3" t="s">
        <v>8081</v>
      </c>
      <c r="BC827" s="3" t="s">
        <v>77</v>
      </c>
      <c r="BD827" s="3" t="s">
        <v>78</v>
      </c>
      <c r="BF827" s="3" t="s">
        <v>8081</v>
      </c>
      <c r="BG827" s="3" t="s">
        <v>8082</v>
      </c>
      <c r="BH827">
        <f t="shared" si="24"/>
        <v>0</v>
      </c>
    </row>
    <row r="828" spans="1:60" ht="58" x14ac:dyDescent="0.35">
      <c r="A828" s="2" t="s">
        <v>59</v>
      </c>
      <c r="B828" s="2" t="s">
        <v>60</v>
      </c>
      <c r="C828" s="2" t="s">
        <v>8083</v>
      </c>
      <c r="D828" s="2" t="s">
        <v>8084</v>
      </c>
      <c r="E828" s="2" t="s">
        <v>8085</v>
      </c>
      <c r="G828" s="3" t="s">
        <v>64</v>
      </c>
      <c r="I828" s="3" t="s">
        <v>64</v>
      </c>
      <c r="J828" s="3" t="s">
        <v>64</v>
      </c>
      <c r="K828" s="3" t="s">
        <v>65</v>
      </c>
      <c r="L828" s="2" t="s">
        <v>8086</v>
      </c>
      <c r="M828" s="2" t="s">
        <v>8087</v>
      </c>
      <c r="N828" s="3" t="s">
        <v>315</v>
      </c>
      <c r="P828" s="3" t="s">
        <v>102</v>
      </c>
      <c r="R828" s="3" t="s">
        <v>70</v>
      </c>
      <c r="S828" s="4">
        <v>5</v>
      </c>
      <c r="T828" s="4">
        <v>5</v>
      </c>
      <c r="U828" s="5" t="s">
        <v>8030</v>
      </c>
      <c r="V828" s="5" t="s">
        <v>8030</v>
      </c>
      <c r="W828" s="5" t="s">
        <v>72</v>
      </c>
      <c r="X828" s="5" t="s">
        <v>72</v>
      </c>
      <c r="Y828" s="4">
        <v>328</v>
      </c>
      <c r="Z828" s="4">
        <v>18</v>
      </c>
      <c r="AA828" s="4">
        <v>24</v>
      </c>
      <c r="AB828" s="4">
        <v>1</v>
      </c>
      <c r="AC828" s="4">
        <v>2</v>
      </c>
      <c r="AD828" s="4">
        <v>63</v>
      </c>
      <c r="AE828" s="4">
        <v>69</v>
      </c>
      <c r="AF828" s="4">
        <v>0</v>
      </c>
      <c r="AG828" s="4">
        <v>1</v>
      </c>
      <c r="AH828" s="4">
        <v>58</v>
      </c>
      <c r="AI828" s="4">
        <v>60</v>
      </c>
      <c r="AJ828" s="4">
        <v>8</v>
      </c>
      <c r="AK828" s="4">
        <v>12</v>
      </c>
      <c r="AL828" s="4">
        <v>35</v>
      </c>
      <c r="AM828" s="4">
        <v>37</v>
      </c>
      <c r="AN828" s="4">
        <v>0</v>
      </c>
      <c r="AO828" s="4">
        <v>0</v>
      </c>
      <c r="AP828" s="4">
        <v>8</v>
      </c>
      <c r="AQ828" s="4">
        <v>10</v>
      </c>
      <c r="AR828" s="3" t="s">
        <v>64</v>
      </c>
      <c r="AS828" s="3" t="s">
        <v>64</v>
      </c>
      <c r="AT828" s="3" t="s">
        <v>128</v>
      </c>
      <c r="AU828" s="6" t="str">
        <f>HYPERLINK("http://catalog.hathitrust.org/Record/001161560","HathiTrust Record")</f>
        <v>HathiTrust Record</v>
      </c>
      <c r="AV828" s="6" t="str">
        <f>HYPERLINK("http://mcgill.on.worldcat.org/oclc/440584","Catalog Record")</f>
        <v>Catalog Record</v>
      </c>
      <c r="AW828" s="6" t="str">
        <f>HYPERLINK("http://www.worldcat.org/oclc/440584","WorldCat Record")</f>
        <v>WorldCat Record</v>
      </c>
      <c r="AX828" s="3" t="s">
        <v>8088</v>
      </c>
      <c r="AY828" s="3" t="s">
        <v>8089</v>
      </c>
      <c r="AZ828" s="3" t="s">
        <v>8090</v>
      </c>
      <c r="BA828" s="3" t="s">
        <v>8090</v>
      </c>
      <c r="BB828" s="3" t="s">
        <v>8091</v>
      </c>
      <c r="BC828" s="3" t="s">
        <v>77</v>
      </c>
      <c r="BD828" s="3" t="s">
        <v>165</v>
      </c>
      <c r="BF828" s="3" t="s">
        <v>8091</v>
      </c>
      <c r="BG828" s="3" t="s">
        <v>8092</v>
      </c>
      <c r="BH828">
        <f t="shared" si="24"/>
        <v>0</v>
      </c>
    </row>
    <row r="829" spans="1:60" ht="58" x14ac:dyDescent="0.35">
      <c r="A829" s="2" t="s">
        <v>59</v>
      </c>
      <c r="B829" s="2" t="s">
        <v>60</v>
      </c>
      <c r="C829" s="2" t="s">
        <v>8093</v>
      </c>
      <c r="D829" s="2" t="s">
        <v>8094</v>
      </c>
      <c r="E829" s="2" t="s">
        <v>8095</v>
      </c>
      <c r="G829" s="3" t="s">
        <v>64</v>
      </c>
      <c r="I829" s="3" t="s">
        <v>64</v>
      </c>
      <c r="J829" s="3" t="s">
        <v>64</v>
      </c>
      <c r="K829" s="3" t="s">
        <v>65</v>
      </c>
      <c r="L829" s="2" t="s">
        <v>8096</v>
      </c>
      <c r="M829" s="2" t="s">
        <v>8097</v>
      </c>
      <c r="N829" s="3" t="s">
        <v>131</v>
      </c>
      <c r="O829" s="2" t="s">
        <v>8098</v>
      </c>
      <c r="P829" s="3" t="s">
        <v>102</v>
      </c>
      <c r="Q829" s="2" t="s">
        <v>8099</v>
      </c>
      <c r="R829" s="3" t="s">
        <v>70</v>
      </c>
      <c r="S829" s="4">
        <v>6</v>
      </c>
      <c r="T829" s="4">
        <v>6</v>
      </c>
      <c r="U829" s="5" t="s">
        <v>306</v>
      </c>
      <c r="V829" s="5" t="s">
        <v>306</v>
      </c>
      <c r="W829" s="5" t="s">
        <v>72</v>
      </c>
      <c r="X829" s="5" t="s">
        <v>72</v>
      </c>
      <c r="Y829" s="4">
        <v>10</v>
      </c>
      <c r="Z829" s="4">
        <v>2</v>
      </c>
      <c r="AA829" s="4">
        <v>6</v>
      </c>
      <c r="AB829" s="4">
        <v>1</v>
      </c>
      <c r="AC829" s="4">
        <v>1</v>
      </c>
      <c r="AD829" s="4">
        <v>4</v>
      </c>
      <c r="AE829" s="4">
        <v>64</v>
      </c>
      <c r="AF829" s="4">
        <v>0</v>
      </c>
      <c r="AG829" s="4">
        <v>0</v>
      </c>
      <c r="AH829" s="4">
        <v>3</v>
      </c>
      <c r="AI829" s="4">
        <v>62</v>
      </c>
      <c r="AJ829" s="4">
        <v>1</v>
      </c>
      <c r="AK829" s="4">
        <v>4</v>
      </c>
      <c r="AL829" s="4">
        <v>2</v>
      </c>
      <c r="AM829" s="4">
        <v>38</v>
      </c>
      <c r="AN829" s="4">
        <v>0</v>
      </c>
      <c r="AO829" s="4">
        <v>0</v>
      </c>
      <c r="AP829" s="4">
        <v>1</v>
      </c>
      <c r="AQ829" s="4">
        <v>4</v>
      </c>
      <c r="AR829" s="3" t="s">
        <v>64</v>
      </c>
      <c r="AS829" s="3" t="s">
        <v>128</v>
      </c>
      <c r="AT829" s="3" t="s">
        <v>64</v>
      </c>
      <c r="AU829" s="6" t="str">
        <f>HYPERLINK("http://catalog.hathitrust.org/Record/001175525","HathiTrust Record")</f>
        <v>HathiTrust Record</v>
      </c>
      <c r="AV829" s="6" t="str">
        <f>HYPERLINK("http://mcgill.on.worldcat.org/oclc/187489506","Catalog Record")</f>
        <v>Catalog Record</v>
      </c>
      <c r="AW829" s="6" t="str">
        <f>HYPERLINK("http://www.worldcat.org/oclc/187489506","WorldCat Record")</f>
        <v>WorldCat Record</v>
      </c>
      <c r="AX829" s="3" t="s">
        <v>8100</v>
      </c>
      <c r="AY829" s="3" t="s">
        <v>8101</v>
      </c>
      <c r="AZ829" s="3" t="s">
        <v>8102</v>
      </c>
      <c r="BA829" s="3" t="s">
        <v>8102</v>
      </c>
      <c r="BB829" s="3" t="s">
        <v>8103</v>
      </c>
      <c r="BC829" s="3" t="s">
        <v>77</v>
      </c>
      <c r="BD829" s="3" t="s">
        <v>78</v>
      </c>
      <c r="BF829" s="3" t="s">
        <v>8103</v>
      </c>
      <c r="BG829" s="3" t="s">
        <v>8104</v>
      </c>
      <c r="BH829">
        <f t="shared" si="24"/>
        <v>0</v>
      </c>
    </row>
    <row r="830" spans="1:60" ht="58" x14ac:dyDescent="0.35">
      <c r="A830" s="2" t="s">
        <v>59</v>
      </c>
      <c r="B830" s="2" t="s">
        <v>60</v>
      </c>
      <c r="C830" s="2" t="s">
        <v>8105</v>
      </c>
      <c r="D830" s="2" t="s">
        <v>8106</v>
      </c>
      <c r="E830" s="2" t="s">
        <v>8107</v>
      </c>
      <c r="G830" s="3" t="s">
        <v>64</v>
      </c>
      <c r="I830" s="3" t="s">
        <v>64</v>
      </c>
      <c r="J830" s="3" t="s">
        <v>64</v>
      </c>
      <c r="K830" s="3" t="s">
        <v>65</v>
      </c>
      <c r="L830" s="2" t="s">
        <v>7215</v>
      </c>
      <c r="M830" s="2" t="s">
        <v>8108</v>
      </c>
      <c r="N830" s="3" t="s">
        <v>434</v>
      </c>
      <c r="P830" s="3" t="s">
        <v>102</v>
      </c>
      <c r="R830" s="3" t="s">
        <v>70</v>
      </c>
      <c r="S830" s="4">
        <v>14</v>
      </c>
      <c r="T830" s="4">
        <v>14</v>
      </c>
      <c r="U830" s="5" t="s">
        <v>3865</v>
      </c>
      <c r="V830" s="5" t="s">
        <v>3865</v>
      </c>
      <c r="W830" s="5" t="s">
        <v>72</v>
      </c>
      <c r="X830" s="5" t="s">
        <v>72</v>
      </c>
      <c r="Y830" s="4">
        <v>232</v>
      </c>
      <c r="Z830" s="4">
        <v>24</v>
      </c>
      <c r="AA830" s="4">
        <v>33</v>
      </c>
      <c r="AB830" s="4">
        <v>1</v>
      </c>
      <c r="AC830" s="4">
        <v>3</v>
      </c>
      <c r="AD830" s="4">
        <v>43</v>
      </c>
      <c r="AE830" s="4">
        <v>83</v>
      </c>
      <c r="AF830" s="4">
        <v>0</v>
      </c>
      <c r="AG830" s="4">
        <v>2</v>
      </c>
      <c r="AH830" s="4">
        <v>38</v>
      </c>
      <c r="AI830" s="4">
        <v>71</v>
      </c>
      <c r="AJ830" s="4">
        <v>6</v>
      </c>
      <c r="AK830" s="4">
        <v>12</v>
      </c>
      <c r="AL830" s="4">
        <v>25</v>
      </c>
      <c r="AM830" s="4">
        <v>43</v>
      </c>
      <c r="AN830" s="4">
        <v>0</v>
      </c>
      <c r="AO830" s="4">
        <v>0</v>
      </c>
      <c r="AP830" s="4">
        <v>8</v>
      </c>
      <c r="AQ830" s="4">
        <v>17</v>
      </c>
      <c r="AR830" s="3" t="s">
        <v>64</v>
      </c>
      <c r="AS830" s="3" t="s">
        <v>64</v>
      </c>
      <c r="AT830" s="3" t="s">
        <v>128</v>
      </c>
      <c r="AU830" s="6" t="str">
        <f>HYPERLINK("http://catalog.hathitrust.org/Record/005029707","HathiTrust Record")</f>
        <v>HathiTrust Record</v>
      </c>
      <c r="AV830" s="6" t="str">
        <f>HYPERLINK("http://mcgill.on.worldcat.org/oclc/57692203","Catalog Record")</f>
        <v>Catalog Record</v>
      </c>
      <c r="AW830" s="6" t="str">
        <f>HYPERLINK("http://www.worldcat.org/oclc/57692203","WorldCat Record")</f>
        <v>WorldCat Record</v>
      </c>
      <c r="AX830" s="3" t="s">
        <v>8109</v>
      </c>
      <c r="AY830" s="3" t="s">
        <v>8110</v>
      </c>
      <c r="AZ830" s="3" t="s">
        <v>8111</v>
      </c>
      <c r="BA830" s="3" t="s">
        <v>8111</v>
      </c>
      <c r="BB830" s="3" t="s">
        <v>8112</v>
      </c>
      <c r="BC830" s="3" t="s">
        <v>77</v>
      </c>
      <c r="BD830" s="3" t="s">
        <v>78</v>
      </c>
      <c r="BE830" s="3" t="s">
        <v>8113</v>
      </c>
      <c r="BF830" s="3" t="s">
        <v>8112</v>
      </c>
      <c r="BG830" s="3" t="s">
        <v>8114</v>
      </c>
      <c r="BH830">
        <f t="shared" si="24"/>
        <v>0</v>
      </c>
    </row>
    <row r="831" spans="1:60" ht="58" x14ac:dyDescent="0.35">
      <c r="A831" s="2" t="s">
        <v>59</v>
      </c>
      <c r="B831" s="2" t="s">
        <v>60</v>
      </c>
      <c r="C831" s="2" t="s">
        <v>8115</v>
      </c>
      <c r="D831" s="2" t="s">
        <v>8116</v>
      </c>
      <c r="E831" s="2" t="s">
        <v>8117</v>
      </c>
      <c r="G831" s="3" t="s">
        <v>64</v>
      </c>
      <c r="I831" s="3" t="s">
        <v>64</v>
      </c>
      <c r="J831" s="3" t="s">
        <v>64</v>
      </c>
      <c r="K831" s="3" t="s">
        <v>65</v>
      </c>
      <c r="M831" s="2" t="s">
        <v>8118</v>
      </c>
      <c r="N831" s="3" t="s">
        <v>511</v>
      </c>
      <c r="P831" s="3" t="s">
        <v>102</v>
      </c>
      <c r="R831" s="3" t="s">
        <v>70</v>
      </c>
      <c r="S831" s="4">
        <v>4</v>
      </c>
      <c r="T831" s="4">
        <v>4</v>
      </c>
      <c r="U831" s="5" t="s">
        <v>8119</v>
      </c>
      <c r="V831" s="5" t="s">
        <v>8119</v>
      </c>
      <c r="W831" s="5" t="s">
        <v>72</v>
      </c>
      <c r="X831" s="5" t="s">
        <v>72</v>
      </c>
      <c r="Y831" s="4">
        <v>222</v>
      </c>
      <c r="Z831" s="4">
        <v>13</v>
      </c>
      <c r="AA831" s="4">
        <v>13</v>
      </c>
      <c r="AB831" s="4">
        <v>1</v>
      </c>
      <c r="AC831" s="4">
        <v>1</v>
      </c>
      <c r="AD831" s="4">
        <v>52</v>
      </c>
      <c r="AE831" s="4">
        <v>52</v>
      </c>
      <c r="AF831" s="4">
        <v>0</v>
      </c>
      <c r="AG831" s="4">
        <v>0</v>
      </c>
      <c r="AH831" s="4">
        <v>48</v>
      </c>
      <c r="AI831" s="4">
        <v>48</v>
      </c>
      <c r="AJ831" s="4">
        <v>6</v>
      </c>
      <c r="AK831" s="4">
        <v>6</v>
      </c>
      <c r="AL831" s="4">
        <v>31</v>
      </c>
      <c r="AM831" s="4">
        <v>31</v>
      </c>
      <c r="AN831" s="4">
        <v>0</v>
      </c>
      <c r="AO831" s="4">
        <v>0</v>
      </c>
      <c r="AP831" s="4">
        <v>7</v>
      </c>
      <c r="AQ831" s="4">
        <v>7</v>
      </c>
      <c r="AR831" s="3" t="s">
        <v>64</v>
      </c>
      <c r="AS831" s="3" t="s">
        <v>64</v>
      </c>
      <c r="AT831" s="3" t="s">
        <v>64</v>
      </c>
      <c r="AV831" s="6" t="str">
        <f>HYPERLINK("http://mcgill.on.worldcat.org/oclc/468974939","Catalog Record")</f>
        <v>Catalog Record</v>
      </c>
      <c r="AW831" s="6" t="str">
        <f>HYPERLINK("http://www.worldcat.org/oclc/468974939","WorldCat Record")</f>
        <v>WorldCat Record</v>
      </c>
      <c r="AX831" s="3" t="s">
        <v>8120</v>
      </c>
      <c r="AY831" s="3" t="s">
        <v>8121</v>
      </c>
      <c r="AZ831" s="3" t="s">
        <v>8122</v>
      </c>
      <c r="BA831" s="3" t="s">
        <v>8122</v>
      </c>
      <c r="BB831" s="3" t="s">
        <v>8123</v>
      </c>
      <c r="BC831" s="3" t="s">
        <v>77</v>
      </c>
      <c r="BD831" s="3" t="s">
        <v>78</v>
      </c>
      <c r="BE831" s="3" t="s">
        <v>8124</v>
      </c>
      <c r="BF831" s="3" t="s">
        <v>8123</v>
      </c>
      <c r="BG831" s="3" t="s">
        <v>8125</v>
      </c>
      <c r="BH831">
        <f t="shared" si="24"/>
        <v>0</v>
      </c>
    </row>
    <row r="832" spans="1:60" ht="58" x14ac:dyDescent="0.35">
      <c r="A832" s="2" t="s">
        <v>59</v>
      </c>
      <c r="B832" s="2" t="s">
        <v>60</v>
      </c>
      <c r="C832" s="2" t="s">
        <v>8126</v>
      </c>
      <c r="D832" s="2" t="s">
        <v>8127</v>
      </c>
      <c r="E832" s="2" t="s">
        <v>8128</v>
      </c>
      <c r="G832" s="3" t="s">
        <v>64</v>
      </c>
      <c r="I832" s="3" t="s">
        <v>64</v>
      </c>
      <c r="J832" s="3" t="s">
        <v>64</v>
      </c>
      <c r="K832" s="3" t="s">
        <v>65</v>
      </c>
      <c r="L832" s="2" t="s">
        <v>8129</v>
      </c>
      <c r="M832" s="2" t="s">
        <v>8130</v>
      </c>
      <c r="N832" s="3" t="s">
        <v>378</v>
      </c>
      <c r="P832" s="3" t="s">
        <v>102</v>
      </c>
      <c r="R832" s="3" t="s">
        <v>70</v>
      </c>
      <c r="S832" s="4">
        <v>7</v>
      </c>
      <c r="T832" s="4">
        <v>7</v>
      </c>
      <c r="U832" s="5" t="s">
        <v>8131</v>
      </c>
      <c r="V832" s="5" t="s">
        <v>8131</v>
      </c>
      <c r="W832" s="5" t="s">
        <v>72</v>
      </c>
      <c r="X832" s="5" t="s">
        <v>72</v>
      </c>
      <c r="Y832" s="4">
        <v>411</v>
      </c>
      <c r="Z832" s="4">
        <v>25</v>
      </c>
      <c r="AA832" s="4">
        <v>31</v>
      </c>
      <c r="AB832" s="4">
        <v>2</v>
      </c>
      <c r="AC832" s="4">
        <v>3</v>
      </c>
      <c r="AD832" s="4">
        <v>60</v>
      </c>
      <c r="AE832" s="4">
        <v>63</v>
      </c>
      <c r="AF832" s="4">
        <v>0</v>
      </c>
      <c r="AG832" s="4">
        <v>0</v>
      </c>
      <c r="AH832" s="4">
        <v>55</v>
      </c>
      <c r="AI832" s="4">
        <v>57</v>
      </c>
      <c r="AJ832" s="4">
        <v>10</v>
      </c>
      <c r="AK832" s="4">
        <v>11</v>
      </c>
      <c r="AL832" s="4">
        <v>29</v>
      </c>
      <c r="AM832" s="4">
        <v>29</v>
      </c>
      <c r="AN832" s="4">
        <v>0</v>
      </c>
      <c r="AO832" s="4">
        <v>0</v>
      </c>
      <c r="AP832" s="4">
        <v>10</v>
      </c>
      <c r="AQ832" s="4">
        <v>12</v>
      </c>
      <c r="AR832" s="3" t="s">
        <v>64</v>
      </c>
      <c r="AS832" s="3" t="s">
        <v>64</v>
      </c>
      <c r="AT832" s="3" t="s">
        <v>64</v>
      </c>
      <c r="AV832" s="6" t="str">
        <f>HYPERLINK("http://mcgill.on.worldcat.org/oclc/14643457","Catalog Record")</f>
        <v>Catalog Record</v>
      </c>
      <c r="AW832" s="6" t="str">
        <f>HYPERLINK("http://www.worldcat.org/oclc/14643457","WorldCat Record")</f>
        <v>WorldCat Record</v>
      </c>
      <c r="AX832" s="3" t="s">
        <v>8132</v>
      </c>
      <c r="AY832" s="3" t="s">
        <v>8133</v>
      </c>
      <c r="AZ832" s="3" t="s">
        <v>8134</v>
      </c>
      <c r="BA832" s="3" t="s">
        <v>8134</v>
      </c>
      <c r="BB832" s="3" t="s">
        <v>8135</v>
      </c>
      <c r="BC832" s="3" t="s">
        <v>77</v>
      </c>
      <c r="BD832" s="3" t="s">
        <v>78</v>
      </c>
      <c r="BE832" s="3" t="s">
        <v>8136</v>
      </c>
      <c r="BF832" s="3" t="s">
        <v>8135</v>
      </c>
      <c r="BG832" s="3" t="s">
        <v>8137</v>
      </c>
      <c r="BH832">
        <f t="shared" si="24"/>
        <v>0</v>
      </c>
    </row>
    <row r="833" spans="1:60" ht="58" x14ac:dyDescent="0.35">
      <c r="A833" s="2" t="s">
        <v>59</v>
      </c>
      <c r="B833" s="2" t="s">
        <v>60</v>
      </c>
      <c r="C833" s="2" t="s">
        <v>8138</v>
      </c>
      <c r="D833" s="2" t="s">
        <v>8139</v>
      </c>
      <c r="E833" s="2" t="s">
        <v>8140</v>
      </c>
      <c r="G833" s="3" t="s">
        <v>64</v>
      </c>
      <c r="I833" s="3" t="s">
        <v>64</v>
      </c>
      <c r="J833" s="3" t="s">
        <v>64</v>
      </c>
      <c r="K833" s="3" t="s">
        <v>65</v>
      </c>
      <c r="L833" s="2" t="s">
        <v>7978</v>
      </c>
      <c r="M833" s="2" t="s">
        <v>8141</v>
      </c>
      <c r="N833" s="3" t="s">
        <v>898</v>
      </c>
      <c r="P833" s="3" t="s">
        <v>102</v>
      </c>
      <c r="Q833" s="2" t="s">
        <v>8142</v>
      </c>
      <c r="R833" s="3" t="s">
        <v>70</v>
      </c>
      <c r="S833" s="4">
        <v>3</v>
      </c>
      <c r="T833" s="4">
        <v>3</v>
      </c>
      <c r="U833" s="5" t="s">
        <v>7981</v>
      </c>
      <c r="V833" s="5" t="s">
        <v>7981</v>
      </c>
      <c r="W833" s="5" t="s">
        <v>72</v>
      </c>
      <c r="X833" s="5" t="s">
        <v>72</v>
      </c>
      <c r="Y833" s="4">
        <v>83</v>
      </c>
      <c r="Z833" s="4">
        <v>7</v>
      </c>
      <c r="AA833" s="4">
        <v>7</v>
      </c>
      <c r="AB833" s="4">
        <v>1</v>
      </c>
      <c r="AC833" s="4">
        <v>1</v>
      </c>
      <c r="AD833" s="4">
        <v>31</v>
      </c>
      <c r="AE833" s="4">
        <v>32</v>
      </c>
      <c r="AF833" s="4">
        <v>0</v>
      </c>
      <c r="AG833" s="4">
        <v>0</v>
      </c>
      <c r="AH833" s="4">
        <v>28</v>
      </c>
      <c r="AI833" s="4">
        <v>29</v>
      </c>
      <c r="AJ833" s="4">
        <v>5</v>
      </c>
      <c r="AK833" s="4">
        <v>5</v>
      </c>
      <c r="AL833" s="4">
        <v>17</v>
      </c>
      <c r="AM833" s="4">
        <v>17</v>
      </c>
      <c r="AN833" s="4">
        <v>0</v>
      </c>
      <c r="AO833" s="4">
        <v>0</v>
      </c>
      <c r="AP833" s="4">
        <v>4</v>
      </c>
      <c r="AQ833" s="4">
        <v>4</v>
      </c>
      <c r="AR833" s="3" t="s">
        <v>64</v>
      </c>
      <c r="AS833" s="3" t="s">
        <v>64</v>
      </c>
      <c r="AT833" s="3" t="s">
        <v>128</v>
      </c>
      <c r="AU833" s="6" t="str">
        <f>HYPERLINK("http://catalog.hathitrust.org/Record/000346959","HathiTrust Record")</f>
        <v>HathiTrust Record</v>
      </c>
      <c r="AV833" s="6" t="str">
        <f>HYPERLINK("http://mcgill.on.worldcat.org/oclc/7738013","Catalog Record")</f>
        <v>Catalog Record</v>
      </c>
      <c r="AW833" s="6" t="str">
        <f>HYPERLINK("http://www.worldcat.org/oclc/7738013","WorldCat Record")</f>
        <v>WorldCat Record</v>
      </c>
      <c r="AX833" s="3" t="s">
        <v>8143</v>
      </c>
      <c r="AY833" s="3" t="s">
        <v>8144</v>
      </c>
      <c r="AZ833" s="3" t="s">
        <v>8145</v>
      </c>
      <c r="BA833" s="3" t="s">
        <v>8145</v>
      </c>
      <c r="BB833" s="3" t="s">
        <v>8146</v>
      </c>
      <c r="BC833" s="3" t="s">
        <v>77</v>
      </c>
      <c r="BD833" s="3" t="s">
        <v>165</v>
      </c>
      <c r="BF833" s="3" t="s">
        <v>8146</v>
      </c>
      <c r="BG833" s="3" t="s">
        <v>8147</v>
      </c>
      <c r="BH833">
        <f t="shared" si="24"/>
        <v>0</v>
      </c>
    </row>
    <row r="834" spans="1:60" ht="58" x14ac:dyDescent="0.35">
      <c r="A834" s="2" t="s">
        <v>59</v>
      </c>
      <c r="B834" s="2" t="s">
        <v>60</v>
      </c>
      <c r="C834" s="2" t="s">
        <v>8148</v>
      </c>
      <c r="D834" s="2" t="s">
        <v>8149</v>
      </c>
      <c r="E834" s="2" t="s">
        <v>8150</v>
      </c>
      <c r="G834" s="3" t="s">
        <v>64</v>
      </c>
      <c r="I834" s="3" t="s">
        <v>64</v>
      </c>
      <c r="J834" s="3" t="s">
        <v>64</v>
      </c>
      <c r="K834" s="3" t="s">
        <v>65</v>
      </c>
      <c r="L834" s="2" t="s">
        <v>8151</v>
      </c>
      <c r="M834" s="2" t="s">
        <v>8152</v>
      </c>
      <c r="N834" s="3" t="s">
        <v>922</v>
      </c>
      <c r="O834" s="2" t="s">
        <v>8153</v>
      </c>
      <c r="P834" s="3" t="s">
        <v>102</v>
      </c>
      <c r="R834" s="3" t="s">
        <v>70</v>
      </c>
      <c r="S834" s="4">
        <v>6</v>
      </c>
      <c r="T834" s="4">
        <v>6</v>
      </c>
      <c r="U834" s="5" t="s">
        <v>445</v>
      </c>
      <c r="V834" s="5" t="s">
        <v>445</v>
      </c>
      <c r="W834" s="5" t="s">
        <v>72</v>
      </c>
      <c r="X834" s="5" t="s">
        <v>72</v>
      </c>
      <c r="Y834" s="4">
        <v>281</v>
      </c>
      <c r="Z834" s="4">
        <v>19</v>
      </c>
      <c r="AA834" s="4">
        <v>21</v>
      </c>
      <c r="AB834" s="4">
        <v>1</v>
      </c>
      <c r="AC834" s="4">
        <v>3</v>
      </c>
      <c r="AD834" s="4">
        <v>75</v>
      </c>
      <c r="AE834" s="4">
        <v>76</v>
      </c>
      <c r="AF834" s="4">
        <v>0</v>
      </c>
      <c r="AG834" s="4">
        <v>1</v>
      </c>
      <c r="AH834" s="4">
        <v>67</v>
      </c>
      <c r="AI834" s="4">
        <v>67</v>
      </c>
      <c r="AJ834" s="4">
        <v>14</v>
      </c>
      <c r="AK834" s="4">
        <v>15</v>
      </c>
      <c r="AL834" s="4">
        <v>37</v>
      </c>
      <c r="AM834" s="4">
        <v>37</v>
      </c>
      <c r="AN834" s="4">
        <v>0</v>
      </c>
      <c r="AO834" s="4">
        <v>0</v>
      </c>
      <c r="AP834" s="4">
        <v>14</v>
      </c>
      <c r="AQ834" s="4">
        <v>14</v>
      </c>
      <c r="AR834" s="3" t="s">
        <v>64</v>
      </c>
      <c r="AS834" s="3" t="s">
        <v>64</v>
      </c>
      <c r="AT834" s="3" t="s">
        <v>128</v>
      </c>
      <c r="AU834" s="6" t="str">
        <f>HYPERLINK("http://catalog.hathitrust.org/Record/001161612","HathiTrust Record")</f>
        <v>HathiTrust Record</v>
      </c>
      <c r="AV834" s="6" t="str">
        <f>HYPERLINK("http://mcgill.on.worldcat.org/oclc/323774","Catalog Record")</f>
        <v>Catalog Record</v>
      </c>
      <c r="AW834" s="6" t="str">
        <f>HYPERLINK("http://www.worldcat.org/oclc/323774","WorldCat Record")</f>
        <v>WorldCat Record</v>
      </c>
      <c r="AX834" s="3" t="s">
        <v>8154</v>
      </c>
      <c r="AY834" s="3" t="s">
        <v>8155</v>
      </c>
      <c r="AZ834" s="3" t="s">
        <v>8156</v>
      </c>
      <c r="BA834" s="3" t="s">
        <v>8156</v>
      </c>
      <c r="BB834" s="3" t="s">
        <v>8157</v>
      </c>
      <c r="BC834" s="3" t="s">
        <v>77</v>
      </c>
      <c r="BD834" s="3" t="s">
        <v>78</v>
      </c>
      <c r="BE834" s="3" t="s">
        <v>8158</v>
      </c>
      <c r="BF834" s="3" t="s">
        <v>8157</v>
      </c>
      <c r="BG834" s="3" t="s">
        <v>8159</v>
      </c>
      <c r="BH834">
        <f t="shared" ref="BH834:BH897" si="27">IF(COUNTIF($BF$1:$BF$5431,BF834)=1,0,1)</f>
        <v>0</v>
      </c>
    </row>
    <row r="835" spans="1:60" ht="58" x14ac:dyDescent="0.35">
      <c r="A835" s="2" t="s">
        <v>59</v>
      </c>
      <c r="B835" s="2" t="s">
        <v>60</v>
      </c>
      <c r="C835" s="2" t="s">
        <v>8160</v>
      </c>
      <c r="D835" s="2" t="s">
        <v>8161</v>
      </c>
      <c r="E835" s="2" t="s">
        <v>8162</v>
      </c>
      <c r="G835" s="3" t="s">
        <v>64</v>
      </c>
      <c r="I835" s="3" t="s">
        <v>64</v>
      </c>
      <c r="J835" s="3" t="s">
        <v>64</v>
      </c>
      <c r="K835" s="3" t="s">
        <v>65</v>
      </c>
      <c r="M835" s="2" t="s">
        <v>8163</v>
      </c>
      <c r="N835" s="3" t="s">
        <v>537</v>
      </c>
      <c r="P835" s="3" t="s">
        <v>102</v>
      </c>
      <c r="R835" s="3" t="s">
        <v>70</v>
      </c>
      <c r="S835" s="4">
        <v>1</v>
      </c>
      <c r="T835" s="4">
        <v>1</v>
      </c>
      <c r="U835" s="5" t="s">
        <v>7239</v>
      </c>
      <c r="V835" s="5" t="s">
        <v>7239</v>
      </c>
      <c r="W835" s="5" t="s">
        <v>72</v>
      </c>
      <c r="X835" s="5" t="s">
        <v>72</v>
      </c>
      <c r="Y835" s="4">
        <v>152</v>
      </c>
      <c r="Z835" s="4">
        <v>13</v>
      </c>
      <c r="AA835" s="4">
        <v>18</v>
      </c>
      <c r="AB835" s="4">
        <v>2</v>
      </c>
      <c r="AC835" s="4">
        <v>6</v>
      </c>
      <c r="AD835" s="4">
        <v>28</v>
      </c>
      <c r="AE835" s="4">
        <v>28</v>
      </c>
      <c r="AF835" s="4">
        <v>0</v>
      </c>
      <c r="AG835" s="4">
        <v>0</v>
      </c>
      <c r="AH835" s="4">
        <v>23</v>
      </c>
      <c r="AI835" s="4">
        <v>23</v>
      </c>
      <c r="AJ835" s="4">
        <v>5</v>
      </c>
      <c r="AK835" s="4">
        <v>5</v>
      </c>
      <c r="AL835" s="4">
        <v>15</v>
      </c>
      <c r="AM835" s="4">
        <v>15</v>
      </c>
      <c r="AN835" s="4">
        <v>0</v>
      </c>
      <c r="AO835" s="4">
        <v>0</v>
      </c>
      <c r="AP835" s="4">
        <v>6</v>
      </c>
      <c r="AQ835" s="4">
        <v>6</v>
      </c>
      <c r="AR835" s="3" t="s">
        <v>64</v>
      </c>
      <c r="AS835" s="3" t="s">
        <v>64</v>
      </c>
      <c r="AT835" s="3" t="s">
        <v>64</v>
      </c>
      <c r="AV835" s="6" t="str">
        <f>HYPERLINK("http://mcgill.on.worldcat.org/oclc/948549214","Catalog Record")</f>
        <v>Catalog Record</v>
      </c>
      <c r="AW835" s="6" t="str">
        <f>HYPERLINK("http://www.worldcat.org/oclc/948549214","WorldCat Record")</f>
        <v>WorldCat Record</v>
      </c>
      <c r="AX835" s="3" t="s">
        <v>8164</v>
      </c>
      <c r="AY835" s="3" t="s">
        <v>8165</v>
      </c>
      <c r="AZ835" s="3" t="s">
        <v>8166</v>
      </c>
      <c r="BA835" s="3" t="s">
        <v>8166</v>
      </c>
      <c r="BB835" s="3" t="s">
        <v>8167</v>
      </c>
      <c r="BC835" s="3" t="s">
        <v>77</v>
      </c>
      <c r="BD835" s="3" t="s">
        <v>78</v>
      </c>
      <c r="BE835" s="3" t="s">
        <v>8168</v>
      </c>
      <c r="BF835" s="3" t="s">
        <v>8167</v>
      </c>
      <c r="BG835" s="3" t="s">
        <v>8169</v>
      </c>
      <c r="BH835">
        <f t="shared" si="27"/>
        <v>0</v>
      </c>
    </row>
    <row r="836" spans="1:60" ht="58" x14ac:dyDescent="0.35">
      <c r="A836" s="2" t="s">
        <v>59</v>
      </c>
      <c r="B836" s="2" t="s">
        <v>60</v>
      </c>
      <c r="C836" s="2" t="s">
        <v>8170</v>
      </c>
      <c r="D836" s="2" t="s">
        <v>8171</v>
      </c>
      <c r="E836" s="2" t="s">
        <v>8172</v>
      </c>
      <c r="G836" s="3" t="s">
        <v>64</v>
      </c>
      <c r="I836" s="3" t="s">
        <v>64</v>
      </c>
      <c r="J836" s="3" t="s">
        <v>64</v>
      </c>
      <c r="K836" s="3" t="s">
        <v>65</v>
      </c>
      <c r="L836" s="2" t="s">
        <v>8173</v>
      </c>
      <c r="M836" s="2" t="s">
        <v>8174</v>
      </c>
      <c r="N836" s="3" t="s">
        <v>339</v>
      </c>
      <c r="P836" s="3" t="s">
        <v>102</v>
      </c>
      <c r="R836" s="3" t="s">
        <v>70</v>
      </c>
      <c r="S836" s="4">
        <v>2</v>
      </c>
      <c r="T836" s="4">
        <v>2</v>
      </c>
      <c r="U836" s="5" t="s">
        <v>8175</v>
      </c>
      <c r="V836" s="5" t="s">
        <v>8175</v>
      </c>
      <c r="W836" s="5" t="s">
        <v>72</v>
      </c>
      <c r="X836" s="5" t="s">
        <v>72</v>
      </c>
      <c r="Y836" s="4">
        <v>63</v>
      </c>
      <c r="Z836" s="4">
        <v>12</v>
      </c>
      <c r="AA836" s="4">
        <v>19</v>
      </c>
      <c r="AB836" s="4">
        <v>1</v>
      </c>
      <c r="AC836" s="4">
        <v>2</v>
      </c>
      <c r="AD836" s="4">
        <v>22</v>
      </c>
      <c r="AE836" s="4">
        <v>76</v>
      </c>
      <c r="AF836" s="4">
        <v>0</v>
      </c>
      <c r="AG836" s="4">
        <v>0</v>
      </c>
      <c r="AH836" s="4">
        <v>17</v>
      </c>
      <c r="AI836" s="4">
        <v>67</v>
      </c>
      <c r="AJ836" s="4">
        <v>7</v>
      </c>
      <c r="AK836" s="4">
        <v>10</v>
      </c>
      <c r="AL836" s="4">
        <v>13</v>
      </c>
      <c r="AM836" s="4">
        <v>45</v>
      </c>
      <c r="AN836" s="4">
        <v>0</v>
      </c>
      <c r="AO836" s="4">
        <v>0</v>
      </c>
      <c r="AP836" s="4">
        <v>7</v>
      </c>
      <c r="AQ836" s="4">
        <v>11</v>
      </c>
      <c r="AR836" s="3" t="s">
        <v>64</v>
      </c>
      <c r="AS836" s="3" t="s">
        <v>64</v>
      </c>
      <c r="AT836" s="3" t="s">
        <v>64</v>
      </c>
      <c r="AV836" s="6" t="str">
        <f>HYPERLINK("http://mcgill.on.worldcat.org/oclc/1332695","Catalog Record")</f>
        <v>Catalog Record</v>
      </c>
      <c r="AW836" s="6" t="str">
        <f>HYPERLINK("http://www.worldcat.org/oclc/1332695","WorldCat Record")</f>
        <v>WorldCat Record</v>
      </c>
      <c r="AX836" s="3" t="s">
        <v>8176</v>
      </c>
      <c r="AY836" s="3" t="s">
        <v>8177</v>
      </c>
      <c r="AZ836" s="3" t="s">
        <v>8178</v>
      </c>
      <c r="BA836" s="3" t="s">
        <v>8178</v>
      </c>
      <c r="BB836" s="3" t="s">
        <v>8179</v>
      </c>
      <c r="BC836" s="3" t="s">
        <v>77</v>
      </c>
      <c r="BD836" s="3" t="s">
        <v>78</v>
      </c>
      <c r="BF836" s="3" t="s">
        <v>8179</v>
      </c>
      <c r="BG836" s="3" t="s">
        <v>8180</v>
      </c>
      <c r="BH836">
        <f t="shared" si="27"/>
        <v>0</v>
      </c>
    </row>
    <row r="837" spans="1:60" ht="58" x14ac:dyDescent="0.35">
      <c r="A837" s="2" t="s">
        <v>59</v>
      </c>
      <c r="B837" s="2" t="s">
        <v>60</v>
      </c>
      <c r="C837" s="2" t="s">
        <v>8181</v>
      </c>
      <c r="D837" s="2" t="s">
        <v>8182</v>
      </c>
      <c r="E837" s="2" t="s">
        <v>8183</v>
      </c>
      <c r="G837" s="3" t="s">
        <v>64</v>
      </c>
      <c r="I837" s="3" t="s">
        <v>64</v>
      </c>
      <c r="J837" s="3" t="s">
        <v>64</v>
      </c>
      <c r="K837" s="3" t="s">
        <v>65</v>
      </c>
      <c r="L837" s="2" t="s">
        <v>6693</v>
      </c>
      <c r="M837" s="2" t="s">
        <v>8184</v>
      </c>
      <c r="N837" s="3" t="s">
        <v>86</v>
      </c>
      <c r="P837" s="3" t="s">
        <v>102</v>
      </c>
      <c r="R837" s="3" t="s">
        <v>70</v>
      </c>
      <c r="S837" s="4">
        <v>1</v>
      </c>
      <c r="T837" s="4">
        <v>1</v>
      </c>
      <c r="U837" s="5" t="s">
        <v>8185</v>
      </c>
      <c r="V837" s="5" t="s">
        <v>8185</v>
      </c>
      <c r="W837" s="5" t="s">
        <v>72</v>
      </c>
      <c r="X837" s="5" t="s">
        <v>72</v>
      </c>
      <c r="Y837" s="4">
        <v>122</v>
      </c>
      <c r="Z837" s="4">
        <v>12</v>
      </c>
      <c r="AA837" s="4">
        <v>101</v>
      </c>
      <c r="AB837" s="4">
        <v>1</v>
      </c>
      <c r="AC837" s="4">
        <v>15</v>
      </c>
      <c r="AD837" s="4">
        <v>30</v>
      </c>
      <c r="AE837" s="4">
        <v>110</v>
      </c>
      <c r="AF837" s="4">
        <v>0</v>
      </c>
      <c r="AG837" s="4">
        <v>8</v>
      </c>
      <c r="AH837" s="4">
        <v>26</v>
      </c>
      <c r="AI837" s="4">
        <v>73</v>
      </c>
      <c r="AJ837" s="4">
        <v>5</v>
      </c>
      <c r="AK837" s="4">
        <v>20</v>
      </c>
      <c r="AL837" s="4">
        <v>20</v>
      </c>
      <c r="AM837" s="4">
        <v>39</v>
      </c>
      <c r="AN837" s="4">
        <v>0</v>
      </c>
      <c r="AO837" s="4">
        <v>0</v>
      </c>
      <c r="AP837" s="4">
        <v>6</v>
      </c>
      <c r="AQ837" s="4">
        <v>42</v>
      </c>
      <c r="AR837" s="3" t="s">
        <v>64</v>
      </c>
      <c r="AS837" s="3" t="s">
        <v>64</v>
      </c>
      <c r="AT837" s="3" t="s">
        <v>64</v>
      </c>
      <c r="AV837" s="6" t="str">
        <f>HYPERLINK("http://mcgill.on.worldcat.org/oclc/712124044","Catalog Record")</f>
        <v>Catalog Record</v>
      </c>
      <c r="AW837" s="6" t="str">
        <f>HYPERLINK("http://www.worldcat.org/oclc/712124044","WorldCat Record")</f>
        <v>WorldCat Record</v>
      </c>
      <c r="AX837" s="3" t="s">
        <v>8186</v>
      </c>
      <c r="AY837" s="3" t="s">
        <v>8187</v>
      </c>
      <c r="AZ837" s="3" t="s">
        <v>8188</v>
      </c>
      <c r="BA837" s="3" t="s">
        <v>8188</v>
      </c>
      <c r="BB837" s="3" t="s">
        <v>8189</v>
      </c>
      <c r="BC837" s="3" t="s">
        <v>77</v>
      </c>
      <c r="BD837" s="3" t="s">
        <v>78</v>
      </c>
      <c r="BE837" s="3" t="s">
        <v>8190</v>
      </c>
      <c r="BF837" s="3" t="s">
        <v>8189</v>
      </c>
      <c r="BG837" s="3" t="s">
        <v>8191</v>
      </c>
      <c r="BH837">
        <f t="shared" si="27"/>
        <v>0</v>
      </c>
    </row>
    <row r="838" spans="1:60" ht="58" x14ac:dyDescent="0.35">
      <c r="A838" s="2" t="s">
        <v>59</v>
      </c>
      <c r="B838" s="2" t="s">
        <v>60</v>
      </c>
      <c r="C838" s="2" t="s">
        <v>8192</v>
      </c>
      <c r="D838" s="2" t="s">
        <v>8193</v>
      </c>
      <c r="E838" s="2" t="s">
        <v>8194</v>
      </c>
      <c r="G838" s="3" t="s">
        <v>64</v>
      </c>
      <c r="I838" s="3" t="s">
        <v>64</v>
      </c>
      <c r="J838" s="3" t="s">
        <v>64</v>
      </c>
      <c r="K838" s="3" t="s">
        <v>65</v>
      </c>
      <c r="L838" s="2" t="s">
        <v>8195</v>
      </c>
      <c r="M838" s="2" t="s">
        <v>8196</v>
      </c>
      <c r="N838" s="3" t="s">
        <v>1075</v>
      </c>
      <c r="P838" s="3" t="s">
        <v>365</v>
      </c>
      <c r="Q838" s="2" t="s">
        <v>8197</v>
      </c>
      <c r="R838" s="3" t="s">
        <v>70</v>
      </c>
      <c r="S838" s="4">
        <v>0</v>
      </c>
      <c r="T838" s="4">
        <v>0</v>
      </c>
      <c r="W838" s="5" t="s">
        <v>72</v>
      </c>
      <c r="X838" s="5" t="s">
        <v>72</v>
      </c>
      <c r="Y838" s="4">
        <v>13</v>
      </c>
      <c r="Z838" s="4">
        <v>1</v>
      </c>
      <c r="AA838" s="4">
        <v>3</v>
      </c>
      <c r="AB838" s="4">
        <v>1</v>
      </c>
      <c r="AC838" s="4">
        <v>3</v>
      </c>
      <c r="AD838" s="4">
        <v>3</v>
      </c>
      <c r="AE838" s="4">
        <v>4</v>
      </c>
      <c r="AF838" s="4">
        <v>0</v>
      </c>
      <c r="AG838" s="4">
        <v>1</v>
      </c>
      <c r="AH838" s="4">
        <v>3</v>
      </c>
      <c r="AI838" s="4">
        <v>3</v>
      </c>
      <c r="AJ838" s="4">
        <v>0</v>
      </c>
      <c r="AK838" s="4">
        <v>1</v>
      </c>
      <c r="AL838" s="4">
        <v>2</v>
      </c>
      <c r="AM838" s="4">
        <v>2</v>
      </c>
      <c r="AN838" s="4">
        <v>0</v>
      </c>
      <c r="AO838" s="4">
        <v>0</v>
      </c>
      <c r="AP838" s="4">
        <v>0</v>
      </c>
      <c r="AQ838" s="4">
        <v>0</v>
      </c>
      <c r="AR838" s="3" t="s">
        <v>64</v>
      </c>
      <c r="AS838" s="3" t="s">
        <v>64</v>
      </c>
      <c r="AT838" s="3" t="s">
        <v>64</v>
      </c>
      <c r="AV838" s="6" t="str">
        <f>HYPERLINK("http://mcgill.on.worldcat.org/oclc/840403878","Catalog Record")</f>
        <v>Catalog Record</v>
      </c>
      <c r="AW838" s="6" t="str">
        <f>HYPERLINK("http://www.worldcat.org/oclc/840403878","WorldCat Record")</f>
        <v>WorldCat Record</v>
      </c>
      <c r="AX838" s="3" t="s">
        <v>8198</v>
      </c>
      <c r="AY838" s="3" t="s">
        <v>8199</v>
      </c>
      <c r="AZ838" s="3" t="s">
        <v>8200</v>
      </c>
      <c r="BA838" s="3" t="s">
        <v>8200</v>
      </c>
      <c r="BB838" s="3" t="s">
        <v>8201</v>
      </c>
      <c r="BC838" s="3" t="s">
        <v>77</v>
      </c>
      <c r="BD838" s="3" t="s">
        <v>78</v>
      </c>
      <c r="BE838" s="3" t="s">
        <v>8202</v>
      </c>
      <c r="BF838" s="3" t="s">
        <v>8201</v>
      </c>
      <c r="BG838" s="3" t="s">
        <v>8203</v>
      </c>
      <c r="BH838">
        <f t="shared" si="27"/>
        <v>0</v>
      </c>
    </row>
    <row r="839" spans="1:60" ht="58" x14ac:dyDescent="0.35">
      <c r="A839" s="2" t="s">
        <v>59</v>
      </c>
      <c r="B839" s="2" t="s">
        <v>60</v>
      </c>
      <c r="C839" s="2" t="s">
        <v>8204</v>
      </c>
      <c r="D839" s="2" t="s">
        <v>8205</v>
      </c>
      <c r="E839" s="2" t="s">
        <v>8206</v>
      </c>
      <c r="G839" s="3" t="s">
        <v>64</v>
      </c>
      <c r="I839" s="3" t="s">
        <v>64</v>
      </c>
      <c r="J839" s="3" t="s">
        <v>64</v>
      </c>
      <c r="K839" s="3" t="s">
        <v>65</v>
      </c>
      <c r="L839" s="2" t="s">
        <v>8207</v>
      </c>
      <c r="M839" s="2" t="s">
        <v>8208</v>
      </c>
      <c r="N839" s="3" t="s">
        <v>253</v>
      </c>
      <c r="O839" s="2" t="s">
        <v>6248</v>
      </c>
      <c r="P839" s="3" t="s">
        <v>102</v>
      </c>
      <c r="R839" s="3" t="s">
        <v>70</v>
      </c>
      <c r="S839" s="4">
        <v>3</v>
      </c>
      <c r="T839" s="4">
        <v>3</v>
      </c>
      <c r="U839" s="5" t="s">
        <v>8209</v>
      </c>
      <c r="V839" s="5" t="s">
        <v>8209</v>
      </c>
      <c r="W839" s="5" t="s">
        <v>72</v>
      </c>
      <c r="X839" s="5" t="s">
        <v>72</v>
      </c>
      <c r="Y839" s="4">
        <v>268</v>
      </c>
      <c r="Z839" s="4">
        <v>14</v>
      </c>
      <c r="AA839" s="4">
        <v>16</v>
      </c>
      <c r="AB839" s="4">
        <v>1</v>
      </c>
      <c r="AC839" s="4">
        <v>2</v>
      </c>
      <c r="AD839" s="4">
        <v>50</v>
      </c>
      <c r="AE839" s="4">
        <v>51</v>
      </c>
      <c r="AF839" s="4">
        <v>0</v>
      </c>
      <c r="AG839" s="4">
        <v>0</v>
      </c>
      <c r="AH839" s="4">
        <v>48</v>
      </c>
      <c r="AI839" s="4">
        <v>48</v>
      </c>
      <c r="AJ839" s="4">
        <v>5</v>
      </c>
      <c r="AK839" s="4">
        <v>6</v>
      </c>
      <c r="AL839" s="4">
        <v>31</v>
      </c>
      <c r="AM839" s="4">
        <v>31</v>
      </c>
      <c r="AN839" s="4">
        <v>0</v>
      </c>
      <c r="AO839" s="4">
        <v>0</v>
      </c>
      <c r="AP839" s="4">
        <v>5</v>
      </c>
      <c r="AQ839" s="4">
        <v>6</v>
      </c>
      <c r="AR839" s="3" t="s">
        <v>64</v>
      </c>
      <c r="AS839" s="3" t="s">
        <v>64</v>
      </c>
      <c r="AT839" s="3" t="s">
        <v>64</v>
      </c>
      <c r="AV839" s="6" t="str">
        <f>HYPERLINK("http://mcgill.on.worldcat.org/oclc/898419525","Catalog Record")</f>
        <v>Catalog Record</v>
      </c>
      <c r="AW839" s="6" t="str">
        <f>HYPERLINK("http://www.worldcat.org/oclc/898419525","WorldCat Record")</f>
        <v>WorldCat Record</v>
      </c>
      <c r="AX839" s="3" t="s">
        <v>8210</v>
      </c>
      <c r="AY839" s="3" t="s">
        <v>8211</v>
      </c>
      <c r="AZ839" s="3" t="s">
        <v>8212</v>
      </c>
      <c r="BA839" s="3" t="s">
        <v>8212</v>
      </c>
      <c r="BB839" s="3" t="s">
        <v>8213</v>
      </c>
      <c r="BC839" s="3" t="s">
        <v>77</v>
      </c>
      <c r="BD839" s="3" t="s">
        <v>78</v>
      </c>
      <c r="BE839" s="3" t="s">
        <v>8214</v>
      </c>
      <c r="BF839" s="3" t="s">
        <v>8213</v>
      </c>
      <c r="BG839" s="3" t="s">
        <v>8215</v>
      </c>
      <c r="BH839">
        <f t="shared" si="27"/>
        <v>0</v>
      </c>
    </row>
    <row r="840" spans="1:60" ht="58" x14ac:dyDescent="0.35">
      <c r="A840" s="2" t="s">
        <v>59</v>
      </c>
      <c r="B840" s="2" t="s">
        <v>60</v>
      </c>
      <c r="C840" s="2" t="s">
        <v>8216</v>
      </c>
      <c r="D840" s="2" t="s">
        <v>8217</v>
      </c>
      <c r="E840" s="2" t="s">
        <v>8218</v>
      </c>
      <c r="G840" s="3" t="s">
        <v>64</v>
      </c>
      <c r="I840" s="3" t="s">
        <v>64</v>
      </c>
      <c r="J840" s="3" t="s">
        <v>64</v>
      </c>
      <c r="K840" s="3" t="s">
        <v>65</v>
      </c>
      <c r="L840" s="2" t="s">
        <v>8219</v>
      </c>
      <c r="M840" s="2" t="s">
        <v>8220</v>
      </c>
      <c r="N840" s="3" t="s">
        <v>578</v>
      </c>
      <c r="P840" s="3" t="s">
        <v>102</v>
      </c>
      <c r="Q840" s="2" t="s">
        <v>8221</v>
      </c>
      <c r="R840" s="3" t="s">
        <v>70</v>
      </c>
      <c r="S840" s="4">
        <v>1</v>
      </c>
      <c r="T840" s="4">
        <v>1</v>
      </c>
      <c r="U840" s="5" t="s">
        <v>7239</v>
      </c>
      <c r="V840" s="5" t="s">
        <v>7239</v>
      </c>
      <c r="W840" s="5" t="s">
        <v>72</v>
      </c>
      <c r="X840" s="5" t="s">
        <v>72</v>
      </c>
      <c r="Y840" s="4">
        <v>304</v>
      </c>
      <c r="Z840" s="4">
        <v>12</v>
      </c>
      <c r="AA840" s="4">
        <v>20</v>
      </c>
      <c r="AB840" s="4">
        <v>2</v>
      </c>
      <c r="AC840" s="4">
        <v>6</v>
      </c>
      <c r="AD840" s="4">
        <v>35</v>
      </c>
      <c r="AE840" s="4">
        <v>48</v>
      </c>
      <c r="AF840" s="4">
        <v>0</v>
      </c>
      <c r="AG840" s="4">
        <v>0</v>
      </c>
      <c r="AH840" s="4">
        <v>31</v>
      </c>
      <c r="AI840" s="4">
        <v>42</v>
      </c>
      <c r="AJ840" s="4">
        <v>5</v>
      </c>
      <c r="AK840" s="4">
        <v>7</v>
      </c>
      <c r="AL840" s="4">
        <v>23</v>
      </c>
      <c r="AM840" s="4">
        <v>31</v>
      </c>
      <c r="AN840" s="4">
        <v>0</v>
      </c>
      <c r="AO840" s="4">
        <v>0</v>
      </c>
      <c r="AP840" s="4">
        <v>4</v>
      </c>
      <c r="AQ840" s="4">
        <v>6</v>
      </c>
      <c r="AR840" s="3" t="s">
        <v>128</v>
      </c>
      <c r="AS840" s="3" t="s">
        <v>64</v>
      </c>
      <c r="AT840" s="3" t="s">
        <v>64</v>
      </c>
      <c r="AV840" s="6" t="str">
        <f>HYPERLINK("http://mcgill.on.worldcat.org/oclc/974677335","Catalog Record")</f>
        <v>Catalog Record</v>
      </c>
      <c r="AW840" s="6" t="str">
        <f>HYPERLINK("http://www.worldcat.org/oclc/974677335","WorldCat Record")</f>
        <v>WorldCat Record</v>
      </c>
      <c r="AX840" s="3" t="s">
        <v>8222</v>
      </c>
      <c r="AY840" s="3" t="s">
        <v>8223</v>
      </c>
      <c r="AZ840" s="3" t="s">
        <v>8224</v>
      </c>
      <c r="BA840" s="3" t="s">
        <v>8224</v>
      </c>
      <c r="BB840" s="3" t="s">
        <v>8225</v>
      </c>
      <c r="BC840" s="3" t="s">
        <v>77</v>
      </c>
      <c r="BD840" s="3" t="s">
        <v>78</v>
      </c>
      <c r="BE840" s="3" t="s">
        <v>8226</v>
      </c>
      <c r="BF840" s="3" t="s">
        <v>8225</v>
      </c>
      <c r="BG840" s="3" t="s">
        <v>8227</v>
      </c>
      <c r="BH840">
        <f t="shared" si="27"/>
        <v>0</v>
      </c>
    </row>
    <row r="841" spans="1:60" ht="58" x14ac:dyDescent="0.35">
      <c r="A841" s="2" t="s">
        <v>59</v>
      </c>
      <c r="B841" s="2" t="s">
        <v>60</v>
      </c>
      <c r="C841" s="2" t="s">
        <v>8228</v>
      </c>
      <c r="D841" s="2" t="s">
        <v>8229</v>
      </c>
      <c r="E841" s="2" t="s">
        <v>8230</v>
      </c>
      <c r="G841" s="3" t="s">
        <v>64</v>
      </c>
      <c r="I841" s="3" t="s">
        <v>64</v>
      </c>
      <c r="J841" s="3" t="s">
        <v>64</v>
      </c>
      <c r="K841" s="3" t="s">
        <v>65</v>
      </c>
      <c r="M841" s="2" t="s">
        <v>8231</v>
      </c>
      <c r="N841" s="3" t="s">
        <v>171</v>
      </c>
      <c r="P841" s="3" t="s">
        <v>102</v>
      </c>
      <c r="Q841" s="2" t="s">
        <v>8232</v>
      </c>
      <c r="R841" s="3" t="s">
        <v>70</v>
      </c>
      <c r="S841" s="4">
        <v>16</v>
      </c>
      <c r="T841" s="4">
        <v>16</v>
      </c>
      <c r="U841" s="5" t="s">
        <v>8233</v>
      </c>
      <c r="V841" s="5" t="s">
        <v>8233</v>
      </c>
      <c r="W841" s="5" t="s">
        <v>72</v>
      </c>
      <c r="X841" s="5" t="s">
        <v>72</v>
      </c>
      <c r="Y841" s="4">
        <v>157</v>
      </c>
      <c r="Z841" s="4">
        <v>19</v>
      </c>
      <c r="AA841" s="4">
        <v>27</v>
      </c>
      <c r="AB841" s="4">
        <v>3</v>
      </c>
      <c r="AC841" s="4">
        <v>9</v>
      </c>
      <c r="AD841" s="4">
        <v>61</v>
      </c>
      <c r="AE841" s="4">
        <v>72</v>
      </c>
      <c r="AF841" s="4">
        <v>1</v>
      </c>
      <c r="AG841" s="4">
        <v>4</v>
      </c>
      <c r="AH841" s="4">
        <v>53</v>
      </c>
      <c r="AI841" s="4">
        <v>61</v>
      </c>
      <c r="AJ841" s="4">
        <v>12</v>
      </c>
      <c r="AK841" s="4">
        <v>15</v>
      </c>
      <c r="AL841" s="4">
        <v>25</v>
      </c>
      <c r="AM841" s="4">
        <v>27</v>
      </c>
      <c r="AN841" s="4">
        <v>0</v>
      </c>
      <c r="AO841" s="4">
        <v>0</v>
      </c>
      <c r="AP841" s="4">
        <v>15</v>
      </c>
      <c r="AQ841" s="4">
        <v>18</v>
      </c>
      <c r="AR841" s="3" t="s">
        <v>64</v>
      </c>
      <c r="AS841" s="3" t="s">
        <v>64</v>
      </c>
      <c r="AT841" s="3" t="s">
        <v>64</v>
      </c>
      <c r="AV841" s="6" t="str">
        <f>HYPERLINK("http://mcgill.on.worldcat.org/oclc/61295865","Catalog Record")</f>
        <v>Catalog Record</v>
      </c>
      <c r="AW841" s="6" t="str">
        <f>HYPERLINK("http://www.worldcat.org/oclc/61295865","WorldCat Record")</f>
        <v>WorldCat Record</v>
      </c>
      <c r="AX841" s="3" t="s">
        <v>8234</v>
      </c>
      <c r="AY841" s="3" t="s">
        <v>8235</v>
      </c>
      <c r="AZ841" s="3" t="s">
        <v>8236</v>
      </c>
      <c r="BA841" s="3" t="s">
        <v>8236</v>
      </c>
      <c r="BB841" s="3" t="s">
        <v>8237</v>
      </c>
      <c r="BC841" s="3" t="s">
        <v>77</v>
      </c>
      <c r="BD841" s="3" t="s">
        <v>78</v>
      </c>
      <c r="BE841" s="3" t="s">
        <v>8238</v>
      </c>
      <c r="BF841" s="3" t="s">
        <v>8237</v>
      </c>
      <c r="BG841" s="3" t="s">
        <v>8239</v>
      </c>
      <c r="BH841">
        <f t="shared" si="27"/>
        <v>0</v>
      </c>
    </row>
    <row r="842" spans="1:60" ht="58" x14ac:dyDescent="0.35">
      <c r="A842" s="2" t="s">
        <v>59</v>
      </c>
      <c r="B842" s="2" t="s">
        <v>60</v>
      </c>
      <c r="C842" s="2" t="s">
        <v>8240</v>
      </c>
      <c r="D842" s="2" t="s">
        <v>8241</v>
      </c>
      <c r="E842" s="2" t="s">
        <v>8242</v>
      </c>
      <c r="G842" s="3" t="s">
        <v>64</v>
      </c>
      <c r="I842" s="3" t="s">
        <v>64</v>
      </c>
      <c r="J842" s="3" t="s">
        <v>64</v>
      </c>
      <c r="K842" s="3" t="s">
        <v>65</v>
      </c>
      <c r="M842" s="2" t="s">
        <v>8243</v>
      </c>
      <c r="N842" s="3" t="s">
        <v>551</v>
      </c>
      <c r="P842" s="3" t="s">
        <v>68</v>
      </c>
      <c r="Q842" s="2" t="s">
        <v>8244</v>
      </c>
      <c r="R842" s="3" t="s">
        <v>70</v>
      </c>
      <c r="S842" s="4">
        <v>4</v>
      </c>
      <c r="T842" s="4">
        <v>4</v>
      </c>
      <c r="U842" s="5" t="s">
        <v>8245</v>
      </c>
      <c r="V842" s="5" t="s">
        <v>8245</v>
      </c>
      <c r="W842" s="5" t="s">
        <v>72</v>
      </c>
      <c r="X842" s="5" t="s">
        <v>72</v>
      </c>
      <c r="Y842" s="4">
        <v>26</v>
      </c>
      <c r="Z842" s="4">
        <v>4</v>
      </c>
      <c r="AA842" s="4">
        <v>10</v>
      </c>
      <c r="AB842" s="4">
        <v>2</v>
      </c>
      <c r="AC842" s="4">
        <v>7</v>
      </c>
      <c r="AD842" s="4">
        <v>14</v>
      </c>
      <c r="AE842" s="4">
        <v>19</v>
      </c>
      <c r="AF842" s="4">
        <v>0</v>
      </c>
      <c r="AG842" s="4">
        <v>4</v>
      </c>
      <c r="AH842" s="4">
        <v>13</v>
      </c>
      <c r="AI842" s="4">
        <v>15</v>
      </c>
      <c r="AJ842" s="4">
        <v>1</v>
      </c>
      <c r="AK842" s="4">
        <v>6</v>
      </c>
      <c r="AL842" s="4">
        <v>11</v>
      </c>
      <c r="AM842" s="4">
        <v>11</v>
      </c>
      <c r="AN842" s="4">
        <v>0</v>
      </c>
      <c r="AO842" s="4">
        <v>0</v>
      </c>
      <c r="AP842" s="4">
        <v>1</v>
      </c>
      <c r="AQ842" s="4">
        <v>5</v>
      </c>
      <c r="AR842" s="3" t="s">
        <v>64</v>
      </c>
      <c r="AS842" s="3" t="s">
        <v>64</v>
      </c>
      <c r="AT842" s="3" t="s">
        <v>64</v>
      </c>
      <c r="AV842" s="6" t="str">
        <f>HYPERLINK("http://mcgill.on.worldcat.org/oclc/300413121","Catalog Record")</f>
        <v>Catalog Record</v>
      </c>
      <c r="AW842" s="6" t="str">
        <f>HYPERLINK("http://www.worldcat.org/oclc/300413121","WorldCat Record")</f>
        <v>WorldCat Record</v>
      </c>
      <c r="AX842" s="3" t="s">
        <v>8246</v>
      </c>
      <c r="AY842" s="3" t="s">
        <v>8247</v>
      </c>
      <c r="AZ842" s="3" t="s">
        <v>8248</v>
      </c>
      <c r="BA842" s="3" t="s">
        <v>8248</v>
      </c>
      <c r="BB842" s="3" t="s">
        <v>8249</v>
      </c>
      <c r="BC842" s="3" t="s">
        <v>77</v>
      </c>
      <c r="BD842" s="3" t="s">
        <v>78</v>
      </c>
      <c r="BE842" s="3" t="s">
        <v>8250</v>
      </c>
      <c r="BF842" s="3" t="s">
        <v>8249</v>
      </c>
      <c r="BG842" s="3" t="s">
        <v>8251</v>
      </c>
      <c r="BH842">
        <f t="shared" si="27"/>
        <v>0</v>
      </c>
    </row>
    <row r="843" spans="1:60" x14ac:dyDescent="0.35">
      <c r="A843" t="s">
        <v>59</v>
      </c>
      <c r="B843" t="s">
        <v>60</v>
      </c>
      <c r="C843" t="s">
        <v>52966</v>
      </c>
      <c r="D843" t="s">
        <v>52967</v>
      </c>
      <c r="E843" t="s">
        <v>52968</v>
      </c>
      <c r="F843" t="s">
        <v>50932</v>
      </c>
      <c r="G843" t="s">
        <v>21414</v>
      </c>
      <c r="H843" t="s">
        <v>551</v>
      </c>
      <c r="J843" t="s">
        <v>102</v>
      </c>
      <c r="R843" t="s">
        <v>70</v>
      </c>
      <c r="S843">
        <v>218</v>
      </c>
      <c r="T843">
        <v>21</v>
      </c>
      <c r="U843">
        <v>61</v>
      </c>
      <c r="V843">
        <v>3</v>
      </c>
      <c r="W843">
        <v>9</v>
      </c>
      <c r="X843">
        <v>73</v>
      </c>
      <c r="Y843">
        <v>88</v>
      </c>
      <c r="Z843">
        <v>1</v>
      </c>
      <c r="AA843">
        <v>1</v>
      </c>
      <c r="AB843">
        <v>65</v>
      </c>
      <c r="AC843">
        <v>74</v>
      </c>
      <c r="AD843">
        <v>12</v>
      </c>
      <c r="AE843">
        <v>15</v>
      </c>
      <c r="AF843">
        <v>34</v>
      </c>
      <c r="AG843">
        <v>38</v>
      </c>
      <c r="AH843">
        <v>0</v>
      </c>
      <c r="AI843">
        <v>0</v>
      </c>
      <c r="AJ843">
        <v>14</v>
      </c>
      <c r="AK843">
        <v>22</v>
      </c>
      <c r="AL843" t="s">
        <v>64</v>
      </c>
      <c r="AM843" t="s">
        <v>64</v>
      </c>
      <c r="AN843" t="s">
        <v>64</v>
      </c>
      <c r="AP843" t="s">
        <v>52902</v>
      </c>
      <c r="AQ843" t="s">
        <v>52903</v>
      </c>
      <c r="AR843" t="s">
        <v>52969</v>
      </c>
      <c r="AS843" t="s">
        <v>52970</v>
      </c>
      <c r="AT843" t="s">
        <v>52971</v>
      </c>
      <c r="AU843" t="s">
        <v>52971</v>
      </c>
      <c r="AW843" t="s">
        <v>77</v>
      </c>
      <c r="AX843" t="s">
        <v>78</v>
      </c>
      <c r="AY843" t="s">
        <v>52973</v>
      </c>
      <c r="AZ843" t="s">
        <v>52972</v>
      </c>
      <c r="BA843" t="s">
        <v>52974</v>
      </c>
      <c r="BF843" t="s">
        <v>52972</v>
      </c>
      <c r="BH843">
        <f t="shared" si="27"/>
        <v>0</v>
      </c>
    </row>
    <row r="844" spans="1:60" ht="58" x14ac:dyDescent="0.35">
      <c r="A844" s="2" t="s">
        <v>59</v>
      </c>
      <c r="B844" s="2" t="s">
        <v>60</v>
      </c>
      <c r="C844" s="2" t="s">
        <v>8252</v>
      </c>
      <c r="D844" s="2" t="s">
        <v>8253</v>
      </c>
      <c r="E844" s="2" t="s">
        <v>8254</v>
      </c>
      <c r="G844" s="3" t="s">
        <v>64</v>
      </c>
      <c r="I844" s="3" t="s">
        <v>64</v>
      </c>
      <c r="J844" s="3" t="s">
        <v>64</v>
      </c>
      <c r="K844" s="3" t="s">
        <v>65</v>
      </c>
      <c r="L844" s="2" t="s">
        <v>8255</v>
      </c>
      <c r="M844" s="2" t="s">
        <v>8256</v>
      </c>
      <c r="N844" s="3" t="s">
        <v>326</v>
      </c>
      <c r="P844" s="3" t="s">
        <v>102</v>
      </c>
      <c r="R844" s="3" t="s">
        <v>70</v>
      </c>
      <c r="S844" s="4">
        <v>1</v>
      </c>
      <c r="T844" s="4">
        <v>1</v>
      </c>
      <c r="U844" s="5" t="s">
        <v>8257</v>
      </c>
      <c r="V844" s="5" t="s">
        <v>8257</v>
      </c>
      <c r="W844" s="5" t="s">
        <v>72</v>
      </c>
      <c r="X844" s="5" t="s">
        <v>72</v>
      </c>
      <c r="Y844" s="4">
        <v>71</v>
      </c>
      <c r="Z844" s="4">
        <v>4</v>
      </c>
      <c r="AA844" s="4">
        <v>90</v>
      </c>
      <c r="AB844" s="4">
        <v>1</v>
      </c>
      <c r="AC844" s="4">
        <v>17</v>
      </c>
      <c r="AD844" s="4">
        <v>10</v>
      </c>
      <c r="AE844" s="4">
        <v>92</v>
      </c>
      <c r="AF844" s="4">
        <v>0</v>
      </c>
      <c r="AG844" s="4">
        <v>8</v>
      </c>
      <c r="AH844" s="4">
        <v>8</v>
      </c>
      <c r="AI844" s="4">
        <v>58</v>
      </c>
      <c r="AJ844" s="4">
        <v>1</v>
      </c>
      <c r="AK844" s="4">
        <v>17</v>
      </c>
      <c r="AL844" s="4">
        <v>4</v>
      </c>
      <c r="AM844" s="4">
        <v>28</v>
      </c>
      <c r="AN844" s="4">
        <v>0</v>
      </c>
      <c r="AO844" s="4">
        <v>0</v>
      </c>
      <c r="AP844" s="4">
        <v>2</v>
      </c>
      <c r="AQ844" s="4">
        <v>39</v>
      </c>
      <c r="AR844" s="3" t="s">
        <v>64</v>
      </c>
      <c r="AS844" s="3" t="s">
        <v>64</v>
      </c>
      <c r="AT844" s="3" t="s">
        <v>64</v>
      </c>
      <c r="AV844" s="6" t="str">
        <f>HYPERLINK("http://mcgill.on.worldcat.org/oclc/669754690","Catalog Record")</f>
        <v>Catalog Record</v>
      </c>
      <c r="AW844" s="6" t="str">
        <f>HYPERLINK("http://www.worldcat.org/oclc/669754690","WorldCat Record")</f>
        <v>WorldCat Record</v>
      </c>
      <c r="AX844" s="3" t="s">
        <v>8258</v>
      </c>
      <c r="AY844" s="3" t="s">
        <v>8259</v>
      </c>
      <c r="AZ844" s="3" t="s">
        <v>8260</v>
      </c>
      <c r="BA844" s="3" t="s">
        <v>8260</v>
      </c>
      <c r="BB844" s="3" t="s">
        <v>8261</v>
      </c>
      <c r="BC844" s="3" t="s">
        <v>77</v>
      </c>
      <c r="BD844" s="3" t="s">
        <v>78</v>
      </c>
      <c r="BE844" s="3" t="s">
        <v>8262</v>
      </c>
      <c r="BF844" s="3" t="s">
        <v>8261</v>
      </c>
      <c r="BG844" s="3" t="s">
        <v>8263</v>
      </c>
      <c r="BH844">
        <f t="shared" si="27"/>
        <v>0</v>
      </c>
    </row>
    <row r="845" spans="1:60" ht="58" x14ac:dyDescent="0.35">
      <c r="A845" s="2" t="s">
        <v>59</v>
      </c>
      <c r="B845" s="2" t="s">
        <v>60</v>
      </c>
      <c r="C845" s="2" t="s">
        <v>8264</v>
      </c>
      <c r="D845" s="2" t="s">
        <v>8265</v>
      </c>
      <c r="E845" s="2" t="s">
        <v>8266</v>
      </c>
      <c r="G845" s="3" t="s">
        <v>64</v>
      </c>
      <c r="I845" s="3" t="s">
        <v>64</v>
      </c>
      <c r="J845" s="3" t="s">
        <v>64</v>
      </c>
      <c r="K845" s="3" t="s">
        <v>65</v>
      </c>
      <c r="M845" s="2" t="s">
        <v>8267</v>
      </c>
      <c r="N845" s="3" t="s">
        <v>511</v>
      </c>
      <c r="P845" s="3" t="s">
        <v>102</v>
      </c>
      <c r="R845" s="3" t="s">
        <v>70</v>
      </c>
      <c r="S845" s="4">
        <v>0</v>
      </c>
      <c r="T845" s="4">
        <v>0</v>
      </c>
      <c r="W845" s="5" t="s">
        <v>72</v>
      </c>
      <c r="X845" s="5" t="s">
        <v>72</v>
      </c>
      <c r="Y845" s="4">
        <v>1</v>
      </c>
      <c r="Z845" s="4">
        <v>1</v>
      </c>
      <c r="AA845" s="4">
        <v>1</v>
      </c>
      <c r="AB845" s="4">
        <v>1</v>
      </c>
      <c r="AC845" s="4">
        <v>1</v>
      </c>
      <c r="AD845" s="4">
        <v>0</v>
      </c>
      <c r="AE845" s="4">
        <v>0</v>
      </c>
      <c r="AF845" s="4">
        <v>0</v>
      </c>
      <c r="AG845" s="4">
        <v>0</v>
      </c>
      <c r="AH845" s="4">
        <v>0</v>
      </c>
      <c r="AI845" s="4">
        <v>0</v>
      </c>
      <c r="AJ845" s="4">
        <v>0</v>
      </c>
      <c r="AK845" s="4">
        <v>0</v>
      </c>
      <c r="AL845" s="4">
        <v>0</v>
      </c>
      <c r="AM845" s="4">
        <v>0</v>
      </c>
      <c r="AN845" s="4">
        <v>0</v>
      </c>
      <c r="AO845" s="4">
        <v>0</v>
      </c>
      <c r="AP845" s="4">
        <v>0</v>
      </c>
      <c r="AQ845" s="4">
        <v>0</v>
      </c>
      <c r="AR845" s="3" t="s">
        <v>64</v>
      </c>
      <c r="AS845" s="3" t="s">
        <v>64</v>
      </c>
      <c r="AT845" s="3" t="s">
        <v>64</v>
      </c>
      <c r="AV845" s="6" t="str">
        <f>HYPERLINK("http://mcgill.on.worldcat.org/oclc/862454387","Catalog Record")</f>
        <v>Catalog Record</v>
      </c>
      <c r="AW845" s="6" t="str">
        <f>HYPERLINK("http://www.worldcat.org/oclc/862454387","WorldCat Record")</f>
        <v>WorldCat Record</v>
      </c>
      <c r="AX845" s="3" t="s">
        <v>8268</v>
      </c>
      <c r="AY845" s="3" t="s">
        <v>8269</v>
      </c>
      <c r="AZ845" s="3" t="s">
        <v>8270</v>
      </c>
      <c r="BA845" s="3" t="s">
        <v>8270</v>
      </c>
      <c r="BB845" s="3" t="s">
        <v>8271</v>
      </c>
      <c r="BC845" s="3" t="s">
        <v>77</v>
      </c>
      <c r="BD845" s="3" t="s">
        <v>78</v>
      </c>
      <c r="BF845" s="3" t="s">
        <v>8271</v>
      </c>
      <c r="BG845" s="3" t="s">
        <v>8272</v>
      </c>
      <c r="BH845">
        <f t="shared" si="27"/>
        <v>0</v>
      </c>
    </row>
    <row r="846" spans="1:60" ht="58" x14ac:dyDescent="0.35">
      <c r="A846" s="2" t="s">
        <v>59</v>
      </c>
      <c r="B846" s="2" t="s">
        <v>60</v>
      </c>
      <c r="C846" s="2" t="s">
        <v>8273</v>
      </c>
      <c r="D846" s="2" t="s">
        <v>8274</v>
      </c>
      <c r="E846" s="2" t="s">
        <v>8275</v>
      </c>
      <c r="G846" s="3" t="s">
        <v>64</v>
      </c>
      <c r="I846" s="3" t="s">
        <v>64</v>
      </c>
      <c r="J846" s="3" t="s">
        <v>64</v>
      </c>
      <c r="K846" s="3" t="s">
        <v>65</v>
      </c>
      <c r="M846" s="2" t="s">
        <v>8276</v>
      </c>
      <c r="N846" s="3" t="s">
        <v>326</v>
      </c>
      <c r="P846" s="3" t="s">
        <v>68</v>
      </c>
      <c r="Q846" s="2" t="s">
        <v>8277</v>
      </c>
      <c r="R846" s="3" t="s">
        <v>70</v>
      </c>
      <c r="S846" s="4">
        <v>0</v>
      </c>
      <c r="T846" s="4">
        <v>0</v>
      </c>
      <c r="W846" s="5" t="s">
        <v>72</v>
      </c>
      <c r="X846" s="5" t="s">
        <v>72</v>
      </c>
      <c r="Y846" s="4">
        <v>26</v>
      </c>
      <c r="Z846" s="4">
        <v>3</v>
      </c>
      <c r="AA846" s="4">
        <v>4</v>
      </c>
      <c r="AB846" s="4">
        <v>1</v>
      </c>
      <c r="AC846" s="4">
        <v>2</v>
      </c>
      <c r="AD846" s="4">
        <v>15</v>
      </c>
      <c r="AE846" s="4">
        <v>16</v>
      </c>
      <c r="AF846" s="4">
        <v>0</v>
      </c>
      <c r="AG846" s="4">
        <v>1</v>
      </c>
      <c r="AH846" s="4">
        <v>14</v>
      </c>
      <c r="AI846" s="4">
        <v>14</v>
      </c>
      <c r="AJ846" s="4">
        <v>1</v>
      </c>
      <c r="AK846" s="4">
        <v>2</v>
      </c>
      <c r="AL846" s="4">
        <v>12</v>
      </c>
      <c r="AM846" s="4">
        <v>12</v>
      </c>
      <c r="AN846" s="4">
        <v>0</v>
      </c>
      <c r="AO846" s="4">
        <v>0</v>
      </c>
      <c r="AP846" s="4">
        <v>1</v>
      </c>
      <c r="AQ846" s="4">
        <v>2</v>
      </c>
      <c r="AR846" s="3" t="s">
        <v>64</v>
      </c>
      <c r="AS846" s="3" t="s">
        <v>64</v>
      </c>
      <c r="AT846" s="3" t="s">
        <v>64</v>
      </c>
      <c r="AV846" s="6" t="str">
        <f>HYPERLINK("http://mcgill.on.worldcat.org/oclc/721821186","Catalog Record")</f>
        <v>Catalog Record</v>
      </c>
      <c r="AW846" s="6" t="str">
        <f>HYPERLINK("http://www.worldcat.org/oclc/721821186","WorldCat Record")</f>
        <v>WorldCat Record</v>
      </c>
      <c r="AX846" s="3" t="s">
        <v>8278</v>
      </c>
      <c r="AY846" s="3" t="s">
        <v>8279</v>
      </c>
      <c r="AZ846" s="3" t="s">
        <v>8280</v>
      </c>
      <c r="BA846" s="3" t="s">
        <v>8280</v>
      </c>
      <c r="BB846" s="3" t="s">
        <v>8281</v>
      </c>
      <c r="BC846" s="3" t="s">
        <v>77</v>
      </c>
      <c r="BD846" s="3" t="s">
        <v>78</v>
      </c>
      <c r="BE846" s="3" t="s">
        <v>8282</v>
      </c>
      <c r="BF846" s="3" t="s">
        <v>8281</v>
      </c>
      <c r="BG846" s="3" t="s">
        <v>8283</v>
      </c>
      <c r="BH846">
        <f t="shared" si="27"/>
        <v>0</v>
      </c>
    </row>
    <row r="847" spans="1:60" ht="58" x14ac:dyDescent="0.35">
      <c r="A847" s="2" t="s">
        <v>59</v>
      </c>
      <c r="B847" s="2" t="s">
        <v>60</v>
      </c>
      <c r="C847" s="2" t="s">
        <v>8284</v>
      </c>
      <c r="D847" s="2" t="s">
        <v>8285</v>
      </c>
      <c r="E847" s="2" t="s">
        <v>8286</v>
      </c>
      <c r="F847" s="3" t="s">
        <v>1323</v>
      </c>
      <c r="G847" s="3" t="s">
        <v>128</v>
      </c>
      <c r="H847" s="3" t="s">
        <v>183</v>
      </c>
      <c r="I847" s="3" t="s">
        <v>64</v>
      </c>
      <c r="J847" s="3" t="s">
        <v>64</v>
      </c>
      <c r="K847" s="3" t="s">
        <v>65</v>
      </c>
      <c r="M847" s="2" t="s">
        <v>8287</v>
      </c>
      <c r="N847" s="3" t="s">
        <v>1492</v>
      </c>
      <c r="P847" s="3" t="s">
        <v>1479</v>
      </c>
      <c r="R847" s="3" t="s">
        <v>70</v>
      </c>
      <c r="S847" s="4">
        <v>0</v>
      </c>
      <c r="T847" s="4">
        <v>0</v>
      </c>
      <c r="W847" s="5" t="s">
        <v>1493</v>
      </c>
      <c r="X847" s="5" t="s">
        <v>1493</v>
      </c>
      <c r="Y847" s="4">
        <v>26</v>
      </c>
      <c r="Z847" s="4">
        <v>1</v>
      </c>
      <c r="AA847" s="4">
        <v>3</v>
      </c>
      <c r="AB847" s="4">
        <v>1</v>
      </c>
      <c r="AC847" s="4">
        <v>2</v>
      </c>
      <c r="AD847" s="4">
        <v>20</v>
      </c>
      <c r="AE847" s="4">
        <v>21</v>
      </c>
      <c r="AF847" s="4">
        <v>0</v>
      </c>
      <c r="AG847" s="4">
        <v>0</v>
      </c>
      <c r="AH847" s="4">
        <v>19</v>
      </c>
      <c r="AI847" s="4">
        <v>20</v>
      </c>
      <c r="AJ847" s="4">
        <v>0</v>
      </c>
      <c r="AK847" s="4">
        <v>1</v>
      </c>
      <c r="AL847" s="4">
        <v>17</v>
      </c>
      <c r="AM847" s="4">
        <v>17</v>
      </c>
      <c r="AN847" s="4">
        <v>0</v>
      </c>
      <c r="AO847" s="4">
        <v>0</v>
      </c>
      <c r="AP847" s="4">
        <v>0</v>
      </c>
      <c r="AQ847" s="4">
        <v>1</v>
      </c>
      <c r="AR847" s="3" t="s">
        <v>64</v>
      </c>
      <c r="AS847" s="3" t="s">
        <v>64</v>
      </c>
      <c r="AT847" s="3" t="s">
        <v>64</v>
      </c>
      <c r="AV847" s="6" t="str">
        <f>HYPERLINK("http://mcgill.on.worldcat.org/oclc/1085664556","Catalog Record")</f>
        <v>Catalog Record</v>
      </c>
      <c r="AW847" s="6" t="str">
        <f>HYPERLINK("http://www.worldcat.org/oclc/1085664556","WorldCat Record")</f>
        <v>WorldCat Record</v>
      </c>
      <c r="AX847" s="3" t="s">
        <v>8288</v>
      </c>
      <c r="AY847" s="3" t="s">
        <v>8289</v>
      </c>
      <c r="AZ847" s="3" t="s">
        <v>8290</v>
      </c>
      <c r="BA847" s="3" t="s">
        <v>8290</v>
      </c>
      <c r="BB847" s="3" t="s">
        <v>8291</v>
      </c>
      <c r="BC847" s="3" t="s">
        <v>77</v>
      </c>
      <c r="BD847" s="3" t="s">
        <v>78</v>
      </c>
      <c r="BE847" s="3" t="s">
        <v>8292</v>
      </c>
      <c r="BF847" s="3" t="s">
        <v>8291</v>
      </c>
      <c r="BG847" s="3" t="s">
        <v>8293</v>
      </c>
      <c r="BH847">
        <f t="shared" si="27"/>
        <v>0</v>
      </c>
    </row>
    <row r="848" spans="1:60" ht="58" x14ac:dyDescent="0.35">
      <c r="A848" s="2" t="s">
        <v>59</v>
      </c>
      <c r="B848" s="2" t="s">
        <v>60</v>
      </c>
      <c r="C848" s="2" t="s">
        <v>8294</v>
      </c>
      <c r="D848" s="2" t="s">
        <v>8295</v>
      </c>
      <c r="E848" s="2" t="s">
        <v>8296</v>
      </c>
      <c r="G848" s="3" t="s">
        <v>64</v>
      </c>
      <c r="I848" s="3" t="s">
        <v>64</v>
      </c>
      <c r="J848" s="3" t="s">
        <v>64</v>
      </c>
      <c r="K848" s="3" t="s">
        <v>65</v>
      </c>
      <c r="L848" s="2" t="s">
        <v>8297</v>
      </c>
      <c r="M848" s="2" t="s">
        <v>8298</v>
      </c>
      <c r="N848" s="3" t="s">
        <v>3584</v>
      </c>
      <c r="P848" s="3" t="s">
        <v>102</v>
      </c>
      <c r="R848" s="3" t="s">
        <v>70</v>
      </c>
      <c r="S848" s="4">
        <v>6</v>
      </c>
      <c r="T848" s="4">
        <v>6</v>
      </c>
      <c r="U848" s="5" t="s">
        <v>1541</v>
      </c>
      <c r="V848" s="5" t="s">
        <v>1541</v>
      </c>
      <c r="W848" s="5" t="s">
        <v>72</v>
      </c>
      <c r="X848" s="5" t="s">
        <v>72</v>
      </c>
      <c r="Y848" s="4">
        <v>159</v>
      </c>
      <c r="Z848" s="4">
        <v>16</v>
      </c>
      <c r="AA848" s="4">
        <v>23</v>
      </c>
      <c r="AB848" s="4">
        <v>1</v>
      </c>
      <c r="AC848" s="4">
        <v>3</v>
      </c>
      <c r="AD848" s="4">
        <v>48</v>
      </c>
      <c r="AE848" s="4">
        <v>96</v>
      </c>
      <c r="AF848" s="4">
        <v>0</v>
      </c>
      <c r="AG848" s="4">
        <v>2</v>
      </c>
      <c r="AH848" s="4">
        <v>41</v>
      </c>
      <c r="AI848" s="4">
        <v>82</v>
      </c>
      <c r="AJ848" s="4">
        <v>12</v>
      </c>
      <c r="AK848" s="4">
        <v>18</v>
      </c>
      <c r="AL848" s="4">
        <v>25</v>
      </c>
      <c r="AM848" s="4">
        <v>45</v>
      </c>
      <c r="AN848" s="4">
        <v>0</v>
      </c>
      <c r="AO848" s="4">
        <v>0</v>
      </c>
      <c r="AP848" s="4">
        <v>12</v>
      </c>
      <c r="AQ848" s="4">
        <v>19</v>
      </c>
      <c r="AR848" s="3" t="s">
        <v>64</v>
      </c>
      <c r="AS848" s="3" t="s">
        <v>64</v>
      </c>
      <c r="AT848" s="3" t="s">
        <v>64</v>
      </c>
      <c r="AV848" s="6" t="str">
        <f>HYPERLINK("http://mcgill.on.worldcat.org/oclc/3291428","Catalog Record")</f>
        <v>Catalog Record</v>
      </c>
      <c r="AW848" s="6" t="str">
        <f>HYPERLINK("http://www.worldcat.org/oclc/3291428","WorldCat Record")</f>
        <v>WorldCat Record</v>
      </c>
      <c r="AX848" s="3" t="s">
        <v>8299</v>
      </c>
      <c r="AY848" s="3" t="s">
        <v>8300</v>
      </c>
      <c r="AZ848" s="3" t="s">
        <v>8301</v>
      </c>
      <c r="BA848" s="3" t="s">
        <v>8301</v>
      </c>
      <c r="BB848" s="3" t="s">
        <v>8302</v>
      </c>
      <c r="BC848" s="3" t="s">
        <v>77</v>
      </c>
      <c r="BD848" s="3" t="s">
        <v>78</v>
      </c>
      <c r="BE848" s="3" t="s">
        <v>8303</v>
      </c>
      <c r="BF848" s="3" t="s">
        <v>8302</v>
      </c>
      <c r="BG848" s="3" t="s">
        <v>8304</v>
      </c>
      <c r="BH848">
        <f t="shared" si="27"/>
        <v>0</v>
      </c>
    </row>
    <row r="849" spans="1:60" ht="58" x14ac:dyDescent="0.35">
      <c r="A849" s="2" t="s">
        <v>59</v>
      </c>
      <c r="B849" s="2" t="s">
        <v>60</v>
      </c>
      <c r="C849" s="2" t="s">
        <v>8305</v>
      </c>
      <c r="D849" s="2" t="s">
        <v>8306</v>
      </c>
      <c r="E849" s="2" t="s">
        <v>8307</v>
      </c>
      <c r="G849" s="3" t="s">
        <v>64</v>
      </c>
      <c r="I849" s="3" t="s">
        <v>64</v>
      </c>
      <c r="J849" s="3" t="s">
        <v>64</v>
      </c>
      <c r="K849" s="3" t="s">
        <v>65</v>
      </c>
      <c r="L849" s="2" t="s">
        <v>8308</v>
      </c>
      <c r="M849" s="2" t="s">
        <v>8309</v>
      </c>
      <c r="N849" s="3" t="s">
        <v>551</v>
      </c>
      <c r="P849" s="3" t="s">
        <v>102</v>
      </c>
      <c r="Q849" s="2" t="s">
        <v>8310</v>
      </c>
      <c r="R849" s="3" t="s">
        <v>70</v>
      </c>
      <c r="S849" s="4">
        <v>8</v>
      </c>
      <c r="T849" s="4">
        <v>8</v>
      </c>
      <c r="U849" s="5" t="s">
        <v>4072</v>
      </c>
      <c r="V849" s="5" t="s">
        <v>4072</v>
      </c>
      <c r="W849" s="5" t="s">
        <v>72</v>
      </c>
      <c r="X849" s="5" t="s">
        <v>72</v>
      </c>
      <c r="Y849" s="4">
        <v>512</v>
      </c>
      <c r="Z849" s="4">
        <v>32</v>
      </c>
      <c r="AA849" s="4">
        <v>39</v>
      </c>
      <c r="AB849" s="4">
        <v>2</v>
      </c>
      <c r="AC849" s="4">
        <v>8</v>
      </c>
      <c r="AD849" s="4">
        <v>99</v>
      </c>
      <c r="AE849" s="4">
        <v>102</v>
      </c>
      <c r="AF849" s="4">
        <v>0</v>
      </c>
      <c r="AG849" s="4">
        <v>3</v>
      </c>
      <c r="AH849" s="4">
        <v>83</v>
      </c>
      <c r="AI849" s="4">
        <v>83</v>
      </c>
      <c r="AJ849" s="4">
        <v>16</v>
      </c>
      <c r="AK849" s="4">
        <v>19</v>
      </c>
      <c r="AL849" s="4">
        <v>48</v>
      </c>
      <c r="AM849" s="4">
        <v>48</v>
      </c>
      <c r="AN849" s="4">
        <v>0</v>
      </c>
      <c r="AO849" s="4">
        <v>0</v>
      </c>
      <c r="AP849" s="4">
        <v>25</v>
      </c>
      <c r="AQ849" s="4">
        <v>27</v>
      </c>
      <c r="AR849" s="3" t="s">
        <v>64</v>
      </c>
      <c r="AS849" s="3" t="s">
        <v>64</v>
      </c>
      <c r="AT849" s="3" t="s">
        <v>64</v>
      </c>
      <c r="AV849" s="6" t="str">
        <f>HYPERLINK("http://mcgill.on.worldcat.org/oclc/251890816","Catalog Record")</f>
        <v>Catalog Record</v>
      </c>
      <c r="AW849" s="6" t="str">
        <f>HYPERLINK("http://www.worldcat.org/oclc/251890816","WorldCat Record")</f>
        <v>WorldCat Record</v>
      </c>
      <c r="AX849" s="3" t="s">
        <v>8311</v>
      </c>
      <c r="AY849" s="3" t="s">
        <v>8312</v>
      </c>
      <c r="AZ849" s="3" t="s">
        <v>8313</v>
      </c>
      <c r="BA849" s="3" t="s">
        <v>8313</v>
      </c>
      <c r="BB849" s="3" t="s">
        <v>8314</v>
      </c>
      <c r="BC849" s="3" t="s">
        <v>77</v>
      </c>
      <c r="BD849" s="3" t="s">
        <v>78</v>
      </c>
      <c r="BE849" s="3" t="s">
        <v>8315</v>
      </c>
      <c r="BF849" s="3" t="s">
        <v>8314</v>
      </c>
      <c r="BG849" s="3" t="s">
        <v>8316</v>
      </c>
      <c r="BH849">
        <f t="shared" si="27"/>
        <v>0</v>
      </c>
    </row>
    <row r="850" spans="1:60" ht="58" x14ac:dyDescent="0.35">
      <c r="A850" s="2" t="s">
        <v>59</v>
      </c>
      <c r="B850" s="2" t="s">
        <v>60</v>
      </c>
      <c r="C850" s="2" t="s">
        <v>8317</v>
      </c>
      <c r="D850" s="2" t="s">
        <v>8318</v>
      </c>
      <c r="E850" s="2" t="s">
        <v>8319</v>
      </c>
      <c r="G850" s="3" t="s">
        <v>64</v>
      </c>
      <c r="I850" s="3" t="s">
        <v>64</v>
      </c>
      <c r="J850" s="3" t="s">
        <v>64</v>
      </c>
      <c r="K850" s="3" t="s">
        <v>65</v>
      </c>
      <c r="L850" s="2" t="s">
        <v>8320</v>
      </c>
      <c r="M850" s="2" t="s">
        <v>8321</v>
      </c>
      <c r="N850" s="3" t="s">
        <v>326</v>
      </c>
      <c r="P850" s="3" t="s">
        <v>102</v>
      </c>
      <c r="R850" s="3" t="s">
        <v>70</v>
      </c>
      <c r="S850" s="4">
        <v>1</v>
      </c>
      <c r="T850" s="4">
        <v>1</v>
      </c>
      <c r="U850" s="5" t="s">
        <v>8322</v>
      </c>
      <c r="V850" s="5" t="s">
        <v>8322</v>
      </c>
      <c r="W850" s="5" t="s">
        <v>72</v>
      </c>
      <c r="X850" s="5" t="s">
        <v>72</v>
      </c>
      <c r="Y850" s="4">
        <v>122</v>
      </c>
      <c r="Z850" s="4">
        <v>9</v>
      </c>
      <c r="AA850" s="4">
        <v>23</v>
      </c>
      <c r="AB850" s="4">
        <v>1</v>
      </c>
      <c r="AC850" s="4">
        <v>4</v>
      </c>
      <c r="AD850" s="4">
        <v>28</v>
      </c>
      <c r="AE850" s="4">
        <v>52</v>
      </c>
      <c r="AF850" s="4">
        <v>0</v>
      </c>
      <c r="AG850" s="4">
        <v>1</v>
      </c>
      <c r="AH850" s="4">
        <v>22</v>
      </c>
      <c r="AI850" s="4">
        <v>39</v>
      </c>
      <c r="AJ850" s="4">
        <v>5</v>
      </c>
      <c r="AK850" s="4">
        <v>13</v>
      </c>
      <c r="AL850" s="4">
        <v>15</v>
      </c>
      <c r="AM850" s="4">
        <v>23</v>
      </c>
      <c r="AN850" s="4">
        <v>0</v>
      </c>
      <c r="AO850" s="4">
        <v>0</v>
      </c>
      <c r="AP850" s="4">
        <v>7</v>
      </c>
      <c r="AQ850" s="4">
        <v>19</v>
      </c>
      <c r="AR850" s="3" t="s">
        <v>64</v>
      </c>
      <c r="AS850" s="3" t="s">
        <v>64</v>
      </c>
      <c r="AT850" s="3" t="s">
        <v>64</v>
      </c>
      <c r="AV850" s="6" t="str">
        <f>HYPERLINK("http://mcgill.on.worldcat.org/oclc/726819506","Catalog Record")</f>
        <v>Catalog Record</v>
      </c>
      <c r="AW850" s="6" t="str">
        <f>HYPERLINK("http://www.worldcat.org/oclc/726819506","WorldCat Record")</f>
        <v>WorldCat Record</v>
      </c>
      <c r="AX850" s="3" t="s">
        <v>8323</v>
      </c>
      <c r="AY850" s="3" t="s">
        <v>8324</v>
      </c>
      <c r="AZ850" s="3" t="s">
        <v>8325</v>
      </c>
      <c r="BA850" s="3" t="s">
        <v>8325</v>
      </c>
      <c r="BB850" s="3" t="s">
        <v>8326</v>
      </c>
      <c r="BC850" s="3" t="s">
        <v>77</v>
      </c>
      <c r="BD850" s="3" t="s">
        <v>78</v>
      </c>
      <c r="BE850" s="3" t="s">
        <v>8327</v>
      </c>
      <c r="BF850" s="3" t="s">
        <v>8326</v>
      </c>
      <c r="BG850" s="3" t="s">
        <v>8328</v>
      </c>
      <c r="BH850">
        <f t="shared" si="27"/>
        <v>0</v>
      </c>
    </row>
    <row r="851" spans="1:60" ht="58" x14ac:dyDescent="0.35">
      <c r="A851" s="2" t="s">
        <v>59</v>
      </c>
      <c r="B851" s="2" t="s">
        <v>60</v>
      </c>
      <c r="C851" s="2" t="s">
        <v>8329</v>
      </c>
      <c r="D851" s="2" t="s">
        <v>8330</v>
      </c>
      <c r="E851" s="2" t="s">
        <v>8331</v>
      </c>
      <c r="G851" s="3" t="s">
        <v>64</v>
      </c>
      <c r="I851" s="3" t="s">
        <v>64</v>
      </c>
      <c r="J851" s="3" t="s">
        <v>64</v>
      </c>
      <c r="K851" s="3" t="s">
        <v>65</v>
      </c>
      <c r="L851" s="2" t="s">
        <v>8332</v>
      </c>
      <c r="M851" s="2" t="s">
        <v>8333</v>
      </c>
      <c r="N851" s="3" t="s">
        <v>5262</v>
      </c>
      <c r="P851" s="3" t="s">
        <v>102</v>
      </c>
      <c r="R851" s="3" t="s">
        <v>70</v>
      </c>
      <c r="S851" s="4">
        <v>3</v>
      </c>
      <c r="T851" s="4">
        <v>3</v>
      </c>
      <c r="U851" s="5" t="s">
        <v>3680</v>
      </c>
      <c r="V851" s="5" t="s">
        <v>3680</v>
      </c>
      <c r="W851" s="5" t="s">
        <v>72</v>
      </c>
      <c r="X851" s="5" t="s">
        <v>72</v>
      </c>
      <c r="Y851" s="4">
        <v>204</v>
      </c>
      <c r="Z851" s="4">
        <v>9</v>
      </c>
      <c r="AA851" s="4">
        <v>12</v>
      </c>
      <c r="AB851" s="4">
        <v>1</v>
      </c>
      <c r="AC851" s="4">
        <v>2</v>
      </c>
      <c r="AD851" s="4">
        <v>65</v>
      </c>
      <c r="AE851" s="4">
        <v>74</v>
      </c>
      <c r="AF851" s="4">
        <v>0</v>
      </c>
      <c r="AG851" s="4">
        <v>1</v>
      </c>
      <c r="AH851" s="4">
        <v>62</v>
      </c>
      <c r="AI851" s="4">
        <v>69</v>
      </c>
      <c r="AJ851" s="4">
        <v>6</v>
      </c>
      <c r="AK851" s="4">
        <v>9</v>
      </c>
      <c r="AL851" s="4">
        <v>34</v>
      </c>
      <c r="AM851" s="4">
        <v>38</v>
      </c>
      <c r="AN851" s="4">
        <v>0</v>
      </c>
      <c r="AO851" s="4">
        <v>0</v>
      </c>
      <c r="AP851" s="4">
        <v>5</v>
      </c>
      <c r="AQ851" s="4">
        <v>7</v>
      </c>
      <c r="AR851" s="3" t="s">
        <v>64</v>
      </c>
      <c r="AS851" s="3" t="s">
        <v>64</v>
      </c>
      <c r="AT851" s="3" t="s">
        <v>128</v>
      </c>
      <c r="AU851" s="6" t="str">
        <f>HYPERLINK("http://catalog.hathitrust.org/Record/001175533","HathiTrust Record")</f>
        <v>HathiTrust Record</v>
      </c>
      <c r="AV851" s="6" t="str">
        <f>HYPERLINK("http://mcgill.on.worldcat.org/oclc/1457550","Catalog Record")</f>
        <v>Catalog Record</v>
      </c>
      <c r="AW851" s="6" t="str">
        <f>HYPERLINK("http://www.worldcat.org/oclc/1457550","WorldCat Record")</f>
        <v>WorldCat Record</v>
      </c>
      <c r="AX851" s="3" t="s">
        <v>8334</v>
      </c>
      <c r="AY851" s="3" t="s">
        <v>8335</v>
      </c>
      <c r="AZ851" s="3" t="s">
        <v>8336</v>
      </c>
      <c r="BA851" s="3" t="s">
        <v>8336</v>
      </c>
      <c r="BB851" s="3" t="s">
        <v>8337</v>
      </c>
      <c r="BC851" s="3" t="s">
        <v>77</v>
      </c>
      <c r="BD851" s="3" t="s">
        <v>78</v>
      </c>
      <c r="BF851" s="3" t="s">
        <v>8337</v>
      </c>
      <c r="BG851" s="3" t="s">
        <v>8338</v>
      </c>
      <c r="BH851">
        <f t="shared" si="27"/>
        <v>0</v>
      </c>
    </row>
    <row r="852" spans="1:60" ht="58" x14ac:dyDescent="0.35">
      <c r="A852" s="2" t="s">
        <v>59</v>
      </c>
      <c r="B852" s="2" t="s">
        <v>60</v>
      </c>
      <c r="C852" s="2" t="s">
        <v>8339</v>
      </c>
      <c r="D852" s="2" t="s">
        <v>8340</v>
      </c>
      <c r="E852" s="2" t="s">
        <v>8341</v>
      </c>
      <c r="G852" s="3" t="s">
        <v>64</v>
      </c>
      <c r="I852" s="3" t="s">
        <v>128</v>
      </c>
      <c r="J852" s="3" t="s">
        <v>64</v>
      </c>
      <c r="K852" s="3" t="s">
        <v>65</v>
      </c>
      <c r="L852" s="2" t="s">
        <v>8342</v>
      </c>
      <c r="M852" s="2" t="s">
        <v>8343</v>
      </c>
      <c r="N852" s="3" t="s">
        <v>481</v>
      </c>
      <c r="P852" s="3" t="s">
        <v>102</v>
      </c>
      <c r="R852" s="3" t="s">
        <v>70</v>
      </c>
      <c r="S852" s="4">
        <v>1</v>
      </c>
      <c r="T852" s="4">
        <v>3</v>
      </c>
      <c r="U852" s="5" t="s">
        <v>8344</v>
      </c>
      <c r="V852" s="5" t="s">
        <v>3332</v>
      </c>
      <c r="W852" s="5" t="s">
        <v>72</v>
      </c>
      <c r="X852" s="5" t="s">
        <v>72</v>
      </c>
      <c r="Y852" s="4">
        <v>289</v>
      </c>
      <c r="Z852" s="4">
        <v>35</v>
      </c>
      <c r="AA852" s="4">
        <v>36</v>
      </c>
      <c r="AB852" s="4">
        <v>3</v>
      </c>
      <c r="AC852" s="4">
        <v>4</v>
      </c>
      <c r="AD852" s="4">
        <v>118</v>
      </c>
      <c r="AE852" s="4">
        <v>119</v>
      </c>
      <c r="AF852" s="4">
        <v>2</v>
      </c>
      <c r="AG852" s="4">
        <v>3</v>
      </c>
      <c r="AH852" s="4">
        <v>96</v>
      </c>
      <c r="AI852" s="4">
        <v>96</v>
      </c>
      <c r="AJ852" s="4">
        <v>17</v>
      </c>
      <c r="AK852" s="4">
        <v>18</v>
      </c>
      <c r="AL852" s="4">
        <v>51</v>
      </c>
      <c r="AM852" s="4">
        <v>51</v>
      </c>
      <c r="AN852" s="4">
        <v>0</v>
      </c>
      <c r="AO852" s="4">
        <v>0</v>
      </c>
      <c r="AP852" s="4">
        <v>27</v>
      </c>
      <c r="AQ852" s="4">
        <v>27</v>
      </c>
      <c r="AR852" s="3" t="s">
        <v>128</v>
      </c>
      <c r="AS852" s="3" t="s">
        <v>64</v>
      </c>
      <c r="AT852" s="3" t="s">
        <v>64</v>
      </c>
      <c r="AV852" s="6" t="str">
        <f>HYPERLINK("http://mcgill.on.worldcat.org/oclc/47057","Catalog Record")</f>
        <v>Catalog Record</v>
      </c>
      <c r="AW852" s="6" t="str">
        <f>HYPERLINK("http://www.worldcat.org/oclc/47057","WorldCat Record")</f>
        <v>WorldCat Record</v>
      </c>
      <c r="AX852" s="3" t="s">
        <v>8345</v>
      </c>
      <c r="AY852" s="3" t="s">
        <v>8346</v>
      </c>
      <c r="AZ852" s="3" t="s">
        <v>8347</v>
      </c>
      <c r="BA852" s="3" t="s">
        <v>8347</v>
      </c>
      <c r="BB852" s="3" t="s">
        <v>8348</v>
      </c>
      <c r="BC852" s="3" t="s">
        <v>77</v>
      </c>
      <c r="BD852" s="3" t="s">
        <v>78</v>
      </c>
      <c r="BE852" s="3" t="s">
        <v>8349</v>
      </c>
      <c r="BF852" s="3" t="s">
        <v>8348</v>
      </c>
      <c r="BG852" s="3" t="s">
        <v>8350</v>
      </c>
      <c r="BH852">
        <f t="shared" si="27"/>
        <v>0</v>
      </c>
    </row>
    <row r="853" spans="1:60" ht="58" x14ac:dyDescent="0.35">
      <c r="A853" s="2" t="s">
        <v>59</v>
      </c>
      <c r="B853" s="2" t="s">
        <v>60</v>
      </c>
      <c r="C853" s="2" t="s">
        <v>8351</v>
      </c>
      <c r="D853" s="2" t="s">
        <v>8352</v>
      </c>
      <c r="E853" s="2" t="s">
        <v>8353</v>
      </c>
      <c r="G853" s="3" t="s">
        <v>64</v>
      </c>
      <c r="I853" s="3" t="s">
        <v>64</v>
      </c>
      <c r="J853" s="3" t="s">
        <v>64</v>
      </c>
      <c r="K853" s="3" t="s">
        <v>65</v>
      </c>
      <c r="M853" s="2" t="s">
        <v>8354</v>
      </c>
      <c r="N853" s="3" t="s">
        <v>291</v>
      </c>
      <c r="P853" s="3" t="s">
        <v>102</v>
      </c>
      <c r="R853" s="3" t="s">
        <v>70</v>
      </c>
      <c r="S853" s="4">
        <v>20</v>
      </c>
      <c r="T853" s="4">
        <v>20</v>
      </c>
      <c r="U853" s="5" t="s">
        <v>512</v>
      </c>
      <c r="V853" s="5" t="s">
        <v>512</v>
      </c>
      <c r="W853" s="5" t="s">
        <v>72</v>
      </c>
      <c r="X853" s="5" t="s">
        <v>72</v>
      </c>
      <c r="Y853" s="4">
        <v>202</v>
      </c>
      <c r="Z853" s="4">
        <v>24</v>
      </c>
      <c r="AA853" s="4">
        <v>27</v>
      </c>
      <c r="AB853" s="4">
        <v>1</v>
      </c>
      <c r="AC853" s="4">
        <v>4</v>
      </c>
      <c r="AD853" s="4">
        <v>64</v>
      </c>
      <c r="AE853" s="4">
        <v>66</v>
      </c>
      <c r="AF853" s="4">
        <v>0</v>
      </c>
      <c r="AG853" s="4">
        <v>0</v>
      </c>
      <c r="AH853" s="4">
        <v>55</v>
      </c>
      <c r="AI853" s="4">
        <v>57</v>
      </c>
      <c r="AJ853" s="4">
        <v>11</v>
      </c>
      <c r="AK853" s="4">
        <v>11</v>
      </c>
      <c r="AL853" s="4">
        <v>30</v>
      </c>
      <c r="AM853" s="4">
        <v>32</v>
      </c>
      <c r="AN853" s="4">
        <v>0</v>
      </c>
      <c r="AO853" s="4">
        <v>0</v>
      </c>
      <c r="AP853" s="4">
        <v>15</v>
      </c>
      <c r="AQ853" s="4">
        <v>15</v>
      </c>
      <c r="AR853" s="3" t="s">
        <v>64</v>
      </c>
      <c r="AS853" s="3" t="s">
        <v>64</v>
      </c>
      <c r="AT853" s="3" t="s">
        <v>64</v>
      </c>
      <c r="AV853" s="6" t="str">
        <f>HYPERLINK("http://mcgill.on.worldcat.org/oclc/85822482","Catalog Record")</f>
        <v>Catalog Record</v>
      </c>
      <c r="AW853" s="6" t="str">
        <f>HYPERLINK("http://www.worldcat.org/oclc/85822482","WorldCat Record")</f>
        <v>WorldCat Record</v>
      </c>
      <c r="AX853" s="3" t="s">
        <v>8355</v>
      </c>
      <c r="AY853" s="3" t="s">
        <v>8356</v>
      </c>
      <c r="AZ853" s="3" t="s">
        <v>8357</v>
      </c>
      <c r="BA853" s="3" t="s">
        <v>8357</v>
      </c>
      <c r="BB853" s="3" t="s">
        <v>8358</v>
      </c>
      <c r="BC853" s="3" t="s">
        <v>77</v>
      </c>
      <c r="BD853" s="3" t="s">
        <v>78</v>
      </c>
      <c r="BE853" s="3" t="s">
        <v>8359</v>
      </c>
      <c r="BF853" s="3" t="s">
        <v>8358</v>
      </c>
      <c r="BG853" s="3" t="s">
        <v>8360</v>
      </c>
      <c r="BH853">
        <f t="shared" si="27"/>
        <v>0</v>
      </c>
    </row>
    <row r="854" spans="1:60" ht="58" x14ac:dyDescent="0.35">
      <c r="A854" s="2" t="s">
        <v>59</v>
      </c>
      <c r="B854" s="2" t="s">
        <v>60</v>
      </c>
      <c r="C854" s="2" t="s">
        <v>8361</v>
      </c>
      <c r="D854" s="2" t="s">
        <v>8362</v>
      </c>
      <c r="E854" s="2" t="s">
        <v>8363</v>
      </c>
      <c r="G854" s="3" t="s">
        <v>64</v>
      </c>
      <c r="I854" s="3" t="s">
        <v>64</v>
      </c>
      <c r="J854" s="3" t="s">
        <v>64</v>
      </c>
      <c r="K854" s="3" t="s">
        <v>65</v>
      </c>
      <c r="L854" s="2" t="s">
        <v>8364</v>
      </c>
      <c r="M854" s="2" t="s">
        <v>8365</v>
      </c>
      <c r="N854" s="3" t="s">
        <v>551</v>
      </c>
      <c r="P854" s="3" t="s">
        <v>102</v>
      </c>
      <c r="Q854" s="2" t="s">
        <v>8366</v>
      </c>
      <c r="R854" s="3" t="s">
        <v>70</v>
      </c>
      <c r="S854" s="4">
        <v>4</v>
      </c>
      <c r="T854" s="4">
        <v>4</v>
      </c>
      <c r="U854" s="5" t="s">
        <v>8367</v>
      </c>
      <c r="V854" s="5" t="s">
        <v>8367</v>
      </c>
      <c r="W854" s="5" t="s">
        <v>72</v>
      </c>
      <c r="X854" s="5" t="s">
        <v>72</v>
      </c>
      <c r="Y854" s="4">
        <v>100</v>
      </c>
      <c r="Z854" s="4">
        <v>26</v>
      </c>
      <c r="AA854" s="4">
        <v>29</v>
      </c>
      <c r="AB854" s="4">
        <v>2</v>
      </c>
      <c r="AC854" s="4">
        <v>5</v>
      </c>
      <c r="AD854" s="4">
        <v>42</v>
      </c>
      <c r="AE854" s="4">
        <v>44</v>
      </c>
      <c r="AF854" s="4">
        <v>0</v>
      </c>
      <c r="AG854" s="4">
        <v>2</v>
      </c>
      <c r="AH854" s="4">
        <v>34</v>
      </c>
      <c r="AI854" s="4">
        <v>35</v>
      </c>
      <c r="AJ854" s="4">
        <v>15</v>
      </c>
      <c r="AK854" s="4">
        <v>17</v>
      </c>
      <c r="AL854" s="4">
        <v>17</v>
      </c>
      <c r="AM854" s="4">
        <v>17</v>
      </c>
      <c r="AN854" s="4">
        <v>0</v>
      </c>
      <c r="AO854" s="4">
        <v>0</v>
      </c>
      <c r="AP854" s="4">
        <v>16</v>
      </c>
      <c r="AQ854" s="4">
        <v>17</v>
      </c>
      <c r="AR854" s="3" t="s">
        <v>128</v>
      </c>
      <c r="AS854" s="3" t="s">
        <v>64</v>
      </c>
      <c r="AT854" s="3" t="s">
        <v>64</v>
      </c>
      <c r="AV854" s="6" t="str">
        <f>HYPERLINK("http://mcgill.on.worldcat.org/oclc/310153527","Catalog Record")</f>
        <v>Catalog Record</v>
      </c>
      <c r="AW854" s="6" t="str">
        <f>HYPERLINK("http://www.worldcat.org/oclc/310153527","WorldCat Record")</f>
        <v>WorldCat Record</v>
      </c>
      <c r="AX854" s="3" t="s">
        <v>8368</v>
      </c>
      <c r="AY854" s="3" t="s">
        <v>8369</v>
      </c>
      <c r="AZ854" s="3" t="s">
        <v>8370</v>
      </c>
      <c r="BA854" s="3" t="s">
        <v>8370</v>
      </c>
      <c r="BB854" s="3" t="s">
        <v>8371</v>
      </c>
      <c r="BC854" s="3" t="s">
        <v>77</v>
      </c>
      <c r="BD854" s="3" t="s">
        <v>78</v>
      </c>
      <c r="BE854" s="3" t="s">
        <v>8372</v>
      </c>
      <c r="BF854" s="3" t="s">
        <v>8371</v>
      </c>
      <c r="BG854" s="3" t="s">
        <v>8373</v>
      </c>
      <c r="BH854">
        <f t="shared" si="27"/>
        <v>0</v>
      </c>
    </row>
    <row r="855" spans="1:60" ht="58" x14ac:dyDescent="0.35">
      <c r="A855" s="2" t="s">
        <v>59</v>
      </c>
      <c r="B855" s="2" t="s">
        <v>60</v>
      </c>
      <c r="C855" s="2" t="s">
        <v>8374</v>
      </c>
      <c r="D855" s="2" t="s">
        <v>8375</v>
      </c>
      <c r="E855" s="2" t="s">
        <v>8376</v>
      </c>
      <c r="F855" s="3" t="s">
        <v>525</v>
      </c>
      <c r="G855" s="3" t="s">
        <v>128</v>
      </c>
      <c r="I855" s="3" t="s">
        <v>128</v>
      </c>
      <c r="J855" s="3" t="s">
        <v>64</v>
      </c>
      <c r="K855" s="3" t="s">
        <v>65</v>
      </c>
      <c r="M855" s="2" t="s">
        <v>8377</v>
      </c>
      <c r="N855" s="3" t="s">
        <v>326</v>
      </c>
      <c r="P855" s="3" t="s">
        <v>102</v>
      </c>
      <c r="R855" s="3" t="s">
        <v>70</v>
      </c>
      <c r="S855" s="4">
        <v>1</v>
      </c>
      <c r="T855" s="4">
        <v>6</v>
      </c>
      <c r="U855" s="5" t="s">
        <v>8378</v>
      </c>
      <c r="V855" s="5" t="s">
        <v>8379</v>
      </c>
      <c r="W855" s="5" t="s">
        <v>72</v>
      </c>
      <c r="X855" s="5" t="s">
        <v>72</v>
      </c>
      <c r="Y855" s="4">
        <v>181</v>
      </c>
      <c r="Z855" s="4">
        <v>22</v>
      </c>
      <c r="AA855" s="4">
        <v>22</v>
      </c>
      <c r="AB855" s="4">
        <v>2</v>
      </c>
      <c r="AC855" s="4">
        <v>2</v>
      </c>
      <c r="AD855" s="4">
        <v>82</v>
      </c>
      <c r="AE855" s="4">
        <v>82</v>
      </c>
      <c r="AF855" s="4">
        <v>1</v>
      </c>
      <c r="AG855" s="4">
        <v>1</v>
      </c>
      <c r="AH855" s="4">
        <v>72</v>
      </c>
      <c r="AI855" s="4">
        <v>72</v>
      </c>
      <c r="AJ855" s="4">
        <v>15</v>
      </c>
      <c r="AK855" s="4">
        <v>15</v>
      </c>
      <c r="AL855" s="4">
        <v>41</v>
      </c>
      <c r="AM855" s="4">
        <v>41</v>
      </c>
      <c r="AN855" s="4">
        <v>0</v>
      </c>
      <c r="AO855" s="4">
        <v>0</v>
      </c>
      <c r="AP855" s="4">
        <v>19</v>
      </c>
      <c r="AQ855" s="4">
        <v>19</v>
      </c>
      <c r="AR855" s="3" t="s">
        <v>64</v>
      </c>
      <c r="AS855" s="3" t="s">
        <v>64</v>
      </c>
      <c r="AT855" s="3" t="s">
        <v>64</v>
      </c>
      <c r="AV855" s="6" t="str">
        <f>HYPERLINK("http://mcgill.on.worldcat.org/oclc/727942262","Catalog Record")</f>
        <v>Catalog Record</v>
      </c>
      <c r="AW855" s="6" t="str">
        <f>HYPERLINK("http://www.worldcat.org/oclc/727942262","WorldCat Record")</f>
        <v>WorldCat Record</v>
      </c>
      <c r="AX855" s="3" t="s">
        <v>8380</v>
      </c>
      <c r="AY855" s="3" t="s">
        <v>8381</v>
      </c>
      <c r="AZ855" s="3" t="s">
        <v>8382</v>
      </c>
      <c r="BA855" s="3" t="s">
        <v>8382</v>
      </c>
      <c r="BB855" s="3" t="s">
        <v>8383</v>
      </c>
      <c r="BC855" s="3" t="s">
        <v>77</v>
      </c>
      <c r="BD855" s="3" t="s">
        <v>78</v>
      </c>
      <c r="BE855" s="3" t="s">
        <v>8384</v>
      </c>
      <c r="BF855" s="3" t="s">
        <v>8383</v>
      </c>
      <c r="BG855" s="3" t="s">
        <v>8385</v>
      </c>
      <c r="BH855">
        <f t="shared" si="27"/>
        <v>0</v>
      </c>
    </row>
    <row r="856" spans="1:60" ht="58" x14ac:dyDescent="0.35">
      <c r="A856" s="2" t="s">
        <v>59</v>
      </c>
      <c r="B856" s="2" t="s">
        <v>60</v>
      </c>
      <c r="C856" s="2" t="s">
        <v>8386</v>
      </c>
      <c r="D856" s="2" t="s">
        <v>8387</v>
      </c>
      <c r="E856" s="2" t="s">
        <v>8388</v>
      </c>
      <c r="G856" s="3" t="s">
        <v>64</v>
      </c>
      <c r="I856" s="3" t="s">
        <v>64</v>
      </c>
      <c r="J856" s="3" t="s">
        <v>64</v>
      </c>
      <c r="K856" s="3" t="s">
        <v>65</v>
      </c>
      <c r="M856" s="2" t="s">
        <v>8389</v>
      </c>
      <c r="N856" s="3" t="s">
        <v>511</v>
      </c>
      <c r="P856" s="3" t="s">
        <v>102</v>
      </c>
      <c r="Q856" s="2" t="s">
        <v>3876</v>
      </c>
      <c r="R856" s="3" t="s">
        <v>70</v>
      </c>
      <c r="S856" s="4">
        <v>5</v>
      </c>
      <c r="T856" s="4">
        <v>5</v>
      </c>
      <c r="U856" s="5" t="s">
        <v>8390</v>
      </c>
      <c r="V856" s="5" t="s">
        <v>8390</v>
      </c>
      <c r="W856" s="5" t="s">
        <v>72</v>
      </c>
      <c r="X856" s="5" t="s">
        <v>72</v>
      </c>
      <c r="Y856" s="4">
        <v>322</v>
      </c>
      <c r="Z856" s="4">
        <v>29</v>
      </c>
      <c r="AA856" s="4">
        <v>85</v>
      </c>
      <c r="AB856" s="4">
        <v>1</v>
      </c>
      <c r="AC856" s="4">
        <v>15</v>
      </c>
      <c r="AD856" s="4">
        <v>101</v>
      </c>
      <c r="AE856" s="4">
        <v>138</v>
      </c>
      <c r="AF856" s="4">
        <v>0</v>
      </c>
      <c r="AG856" s="4">
        <v>8</v>
      </c>
      <c r="AH856" s="4">
        <v>86</v>
      </c>
      <c r="AI856" s="4">
        <v>99</v>
      </c>
      <c r="AJ856" s="4">
        <v>18</v>
      </c>
      <c r="AK856" s="4">
        <v>25</v>
      </c>
      <c r="AL856" s="4">
        <v>49</v>
      </c>
      <c r="AM856" s="4">
        <v>57</v>
      </c>
      <c r="AN856" s="4">
        <v>0</v>
      </c>
      <c r="AO856" s="4">
        <v>0</v>
      </c>
      <c r="AP856" s="4">
        <v>23</v>
      </c>
      <c r="AQ856" s="4">
        <v>47</v>
      </c>
      <c r="AR856" s="3" t="s">
        <v>64</v>
      </c>
      <c r="AS856" s="3" t="s">
        <v>64</v>
      </c>
      <c r="AT856" s="3" t="s">
        <v>64</v>
      </c>
      <c r="AV856" s="6" t="str">
        <f>HYPERLINK("http://mcgill.on.worldcat.org/oclc/368048049","Catalog Record")</f>
        <v>Catalog Record</v>
      </c>
      <c r="AW856" s="6" t="str">
        <f>HYPERLINK("http://www.worldcat.org/oclc/368048049","WorldCat Record")</f>
        <v>WorldCat Record</v>
      </c>
      <c r="AX856" s="3" t="s">
        <v>8391</v>
      </c>
      <c r="AY856" s="3" t="s">
        <v>8392</v>
      </c>
      <c r="AZ856" s="3" t="s">
        <v>8393</v>
      </c>
      <c r="BA856" s="3" t="s">
        <v>8393</v>
      </c>
      <c r="BB856" s="3" t="s">
        <v>8394</v>
      </c>
      <c r="BC856" s="3" t="s">
        <v>77</v>
      </c>
      <c r="BD856" s="3" t="s">
        <v>78</v>
      </c>
      <c r="BE856" s="3" t="s">
        <v>8395</v>
      </c>
      <c r="BF856" s="3" t="s">
        <v>8394</v>
      </c>
      <c r="BG856" s="3" t="s">
        <v>8396</v>
      </c>
      <c r="BH856">
        <f t="shared" si="27"/>
        <v>0</v>
      </c>
    </row>
    <row r="857" spans="1:60" ht="58" x14ac:dyDescent="0.35">
      <c r="A857" s="2" t="s">
        <v>59</v>
      </c>
      <c r="B857" s="2" t="s">
        <v>60</v>
      </c>
      <c r="C857" s="2" t="s">
        <v>8397</v>
      </c>
      <c r="D857" s="2" t="s">
        <v>8398</v>
      </c>
      <c r="E857" s="2" t="s">
        <v>8399</v>
      </c>
      <c r="G857" s="3" t="s">
        <v>64</v>
      </c>
      <c r="I857" s="3" t="s">
        <v>64</v>
      </c>
      <c r="J857" s="3" t="s">
        <v>128</v>
      </c>
      <c r="K857" s="3" t="s">
        <v>65</v>
      </c>
      <c r="L857" s="2" t="s">
        <v>8400</v>
      </c>
      <c r="M857" s="2" t="s">
        <v>8401</v>
      </c>
      <c r="N857" s="3" t="s">
        <v>2067</v>
      </c>
      <c r="O857" s="2" t="s">
        <v>734</v>
      </c>
      <c r="P857" s="3" t="s">
        <v>102</v>
      </c>
      <c r="R857" s="3" t="s">
        <v>70</v>
      </c>
      <c r="S857" s="4">
        <v>9</v>
      </c>
      <c r="T857" s="4">
        <v>9</v>
      </c>
      <c r="U857" s="5" t="s">
        <v>445</v>
      </c>
      <c r="V857" s="5" t="s">
        <v>445</v>
      </c>
      <c r="W857" s="5" t="s">
        <v>72</v>
      </c>
      <c r="X857" s="5" t="s">
        <v>72</v>
      </c>
      <c r="Y857" s="4">
        <v>285</v>
      </c>
      <c r="Z857" s="4">
        <v>20</v>
      </c>
      <c r="AA857" s="4">
        <v>39</v>
      </c>
      <c r="AB857" s="4">
        <v>1</v>
      </c>
      <c r="AC857" s="4">
        <v>5</v>
      </c>
      <c r="AD857" s="4">
        <v>84</v>
      </c>
      <c r="AE857" s="4">
        <v>129</v>
      </c>
      <c r="AF857" s="4">
        <v>0</v>
      </c>
      <c r="AG857" s="4">
        <v>3</v>
      </c>
      <c r="AH857" s="4">
        <v>76</v>
      </c>
      <c r="AI857" s="4">
        <v>104</v>
      </c>
      <c r="AJ857" s="4">
        <v>11</v>
      </c>
      <c r="AK857" s="4">
        <v>23</v>
      </c>
      <c r="AL857" s="4">
        <v>41</v>
      </c>
      <c r="AM857" s="4">
        <v>56</v>
      </c>
      <c r="AN857" s="4">
        <v>0</v>
      </c>
      <c r="AO857" s="4">
        <v>0</v>
      </c>
      <c r="AP857" s="4">
        <v>14</v>
      </c>
      <c r="AQ857" s="4">
        <v>29</v>
      </c>
      <c r="AR857" s="3" t="s">
        <v>64</v>
      </c>
      <c r="AS857" s="3" t="s">
        <v>64</v>
      </c>
      <c r="AT857" s="3" t="s">
        <v>64</v>
      </c>
      <c r="AV857" s="6" t="str">
        <f>HYPERLINK("http://mcgill.on.worldcat.org/oclc/17731731","Catalog Record")</f>
        <v>Catalog Record</v>
      </c>
      <c r="AW857" s="6" t="str">
        <f>HYPERLINK("http://www.worldcat.org/oclc/17731731","WorldCat Record")</f>
        <v>WorldCat Record</v>
      </c>
      <c r="AX857" s="3" t="s">
        <v>8402</v>
      </c>
      <c r="AY857" s="3" t="s">
        <v>8403</v>
      </c>
      <c r="AZ857" s="3" t="s">
        <v>8404</v>
      </c>
      <c r="BA857" s="3" t="s">
        <v>8404</v>
      </c>
      <c r="BB857" s="3" t="s">
        <v>8405</v>
      </c>
      <c r="BC857" s="3" t="s">
        <v>77</v>
      </c>
      <c r="BD857" s="3" t="s">
        <v>78</v>
      </c>
      <c r="BE857" s="3" t="s">
        <v>8406</v>
      </c>
      <c r="BF857" s="3" t="s">
        <v>8405</v>
      </c>
      <c r="BG857" s="3" t="s">
        <v>8407</v>
      </c>
      <c r="BH857">
        <f t="shared" si="27"/>
        <v>0</v>
      </c>
    </row>
    <row r="858" spans="1:60" ht="58" x14ac:dyDescent="0.35">
      <c r="A858" s="2" t="s">
        <v>59</v>
      </c>
      <c r="B858" s="2" t="s">
        <v>60</v>
      </c>
      <c r="C858" s="2" t="s">
        <v>8408</v>
      </c>
      <c r="D858" s="2" t="s">
        <v>8409</v>
      </c>
      <c r="E858" s="2" t="s">
        <v>8410</v>
      </c>
      <c r="G858" s="3" t="s">
        <v>64</v>
      </c>
      <c r="I858" s="3" t="s">
        <v>64</v>
      </c>
      <c r="J858" s="3" t="s">
        <v>64</v>
      </c>
      <c r="K858" s="3" t="s">
        <v>65</v>
      </c>
      <c r="L858" s="2" t="s">
        <v>8411</v>
      </c>
      <c r="M858" s="2" t="s">
        <v>8412</v>
      </c>
      <c r="N858" s="3" t="s">
        <v>86</v>
      </c>
      <c r="P858" s="3" t="s">
        <v>102</v>
      </c>
      <c r="Q858" s="2" t="s">
        <v>8413</v>
      </c>
      <c r="R858" s="3" t="s">
        <v>70</v>
      </c>
      <c r="S858" s="4">
        <v>3</v>
      </c>
      <c r="T858" s="4">
        <v>3</v>
      </c>
      <c r="U858" s="5" t="s">
        <v>6727</v>
      </c>
      <c r="V858" s="5" t="s">
        <v>6727</v>
      </c>
      <c r="W858" s="5" t="s">
        <v>72</v>
      </c>
      <c r="X858" s="5" t="s">
        <v>72</v>
      </c>
      <c r="Y858" s="4">
        <v>251</v>
      </c>
      <c r="Z858" s="4">
        <v>12</v>
      </c>
      <c r="AA858" s="4">
        <v>34</v>
      </c>
      <c r="AB858" s="4">
        <v>2</v>
      </c>
      <c r="AC858" s="4">
        <v>5</v>
      </c>
      <c r="AD858" s="4">
        <v>27</v>
      </c>
      <c r="AE858" s="4">
        <v>39</v>
      </c>
      <c r="AF858" s="4">
        <v>1</v>
      </c>
      <c r="AG858" s="4">
        <v>2</v>
      </c>
      <c r="AH858" s="4">
        <v>22</v>
      </c>
      <c r="AI858" s="4">
        <v>30</v>
      </c>
      <c r="AJ858" s="4">
        <v>3</v>
      </c>
      <c r="AK858" s="4">
        <v>7</v>
      </c>
      <c r="AL858" s="4">
        <v>11</v>
      </c>
      <c r="AM858" s="4">
        <v>13</v>
      </c>
      <c r="AN858" s="4">
        <v>0</v>
      </c>
      <c r="AO858" s="4">
        <v>0</v>
      </c>
      <c r="AP858" s="4">
        <v>7</v>
      </c>
      <c r="AQ858" s="4">
        <v>13</v>
      </c>
      <c r="AR858" s="3" t="s">
        <v>64</v>
      </c>
      <c r="AS858" s="3" t="s">
        <v>64</v>
      </c>
      <c r="AT858" s="3" t="s">
        <v>64</v>
      </c>
      <c r="AV858" s="6" t="str">
        <f>HYPERLINK("http://mcgill.on.worldcat.org/oclc/780335397","Catalog Record")</f>
        <v>Catalog Record</v>
      </c>
      <c r="AW858" s="6" t="str">
        <f>HYPERLINK("http://www.worldcat.org/oclc/780335397","WorldCat Record")</f>
        <v>WorldCat Record</v>
      </c>
      <c r="AX858" s="3" t="s">
        <v>8414</v>
      </c>
      <c r="AY858" s="3" t="s">
        <v>8415</v>
      </c>
      <c r="AZ858" s="3" t="s">
        <v>8416</v>
      </c>
      <c r="BA858" s="3" t="s">
        <v>8416</v>
      </c>
      <c r="BB858" s="3" t="s">
        <v>8417</v>
      </c>
      <c r="BC858" s="3" t="s">
        <v>77</v>
      </c>
      <c r="BD858" s="3" t="s">
        <v>78</v>
      </c>
      <c r="BE858" s="3" t="s">
        <v>8418</v>
      </c>
      <c r="BF858" s="3" t="s">
        <v>8417</v>
      </c>
      <c r="BG858" s="3" t="s">
        <v>8419</v>
      </c>
      <c r="BH858">
        <f t="shared" si="27"/>
        <v>0</v>
      </c>
    </row>
    <row r="859" spans="1:60" ht="58" x14ac:dyDescent="0.35">
      <c r="A859" s="2" t="s">
        <v>59</v>
      </c>
      <c r="B859" s="2" t="s">
        <v>60</v>
      </c>
      <c r="C859" s="2" t="s">
        <v>8420</v>
      </c>
      <c r="D859" s="2" t="s">
        <v>8421</v>
      </c>
      <c r="E859" s="2" t="s">
        <v>8422</v>
      </c>
      <c r="G859" s="3" t="s">
        <v>64</v>
      </c>
      <c r="I859" s="3" t="s">
        <v>64</v>
      </c>
      <c r="J859" s="3" t="s">
        <v>64</v>
      </c>
      <c r="K859" s="3" t="s">
        <v>65</v>
      </c>
      <c r="L859" s="2" t="s">
        <v>5973</v>
      </c>
      <c r="M859" s="2" t="s">
        <v>8423</v>
      </c>
      <c r="N859" s="3" t="s">
        <v>67</v>
      </c>
      <c r="P859" s="3" t="s">
        <v>102</v>
      </c>
      <c r="R859" s="3" t="s">
        <v>70</v>
      </c>
      <c r="S859" s="4">
        <v>0</v>
      </c>
      <c r="T859" s="4">
        <v>0</v>
      </c>
      <c r="W859" s="5" t="s">
        <v>72</v>
      </c>
      <c r="X859" s="5" t="s">
        <v>72</v>
      </c>
      <c r="Y859" s="4">
        <v>61</v>
      </c>
      <c r="Z859" s="4">
        <v>28</v>
      </c>
      <c r="AA859" s="4">
        <v>28</v>
      </c>
      <c r="AB859" s="4">
        <v>1</v>
      </c>
      <c r="AC859" s="4">
        <v>1</v>
      </c>
      <c r="AD859" s="4">
        <v>39</v>
      </c>
      <c r="AE859" s="4">
        <v>39</v>
      </c>
      <c r="AF859" s="4">
        <v>0</v>
      </c>
      <c r="AG859" s="4">
        <v>0</v>
      </c>
      <c r="AH859" s="4">
        <v>27</v>
      </c>
      <c r="AI859" s="4">
        <v>27</v>
      </c>
      <c r="AJ859" s="4">
        <v>14</v>
      </c>
      <c r="AK859" s="4">
        <v>14</v>
      </c>
      <c r="AL859" s="4">
        <v>15</v>
      </c>
      <c r="AM859" s="4">
        <v>15</v>
      </c>
      <c r="AN859" s="4">
        <v>0</v>
      </c>
      <c r="AO859" s="4">
        <v>0</v>
      </c>
      <c r="AP859" s="4">
        <v>20</v>
      </c>
      <c r="AQ859" s="4">
        <v>20</v>
      </c>
      <c r="AR859" s="3" t="s">
        <v>128</v>
      </c>
      <c r="AS859" s="3" t="s">
        <v>64</v>
      </c>
      <c r="AT859" s="3" t="s">
        <v>64</v>
      </c>
      <c r="AV859" s="6" t="str">
        <f>HYPERLINK("http://mcgill.on.worldcat.org/oclc/888557724","Catalog Record")</f>
        <v>Catalog Record</v>
      </c>
      <c r="AW859" s="6" t="str">
        <f>HYPERLINK("http://www.worldcat.org/oclc/888557724","WorldCat Record")</f>
        <v>WorldCat Record</v>
      </c>
      <c r="AX859" s="3" t="s">
        <v>8424</v>
      </c>
      <c r="AY859" s="3" t="s">
        <v>8425</v>
      </c>
      <c r="AZ859" s="3" t="s">
        <v>8426</v>
      </c>
      <c r="BA859" s="3" t="s">
        <v>8426</v>
      </c>
      <c r="BB859" s="3" t="s">
        <v>8427</v>
      </c>
      <c r="BC859" s="3" t="s">
        <v>77</v>
      </c>
      <c r="BD859" s="3" t="s">
        <v>78</v>
      </c>
      <c r="BE859" s="3" t="s">
        <v>8428</v>
      </c>
      <c r="BF859" s="3" t="s">
        <v>8427</v>
      </c>
      <c r="BG859" s="3" t="s">
        <v>8429</v>
      </c>
      <c r="BH859">
        <f t="shared" si="27"/>
        <v>0</v>
      </c>
    </row>
    <row r="860" spans="1:60" ht="87" x14ac:dyDescent="0.35">
      <c r="A860" s="2" t="s">
        <v>59</v>
      </c>
      <c r="B860" s="2" t="s">
        <v>60</v>
      </c>
      <c r="C860" s="2" t="s">
        <v>8430</v>
      </c>
      <c r="D860" s="2" t="s">
        <v>8431</v>
      </c>
      <c r="E860" s="2" t="s">
        <v>8432</v>
      </c>
      <c r="G860" s="3" t="s">
        <v>64</v>
      </c>
      <c r="I860" s="3" t="s">
        <v>64</v>
      </c>
      <c r="J860" s="3" t="s">
        <v>64</v>
      </c>
      <c r="K860" s="3" t="s">
        <v>65</v>
      </c>
      <c r="L860" s="2" t="s">
        <v>8433</v>
      </c>
      <c r="M860" s="2" t="s">
        <v>8434</v>
      </c>
      <c r="N860" s="3" t="s">
        <v>4548</v>
      </c>
      <c r="P860" s="3" t="s">
        <v>102</v>
      </c>
      <c r="Q860" s="2" t="s">
        <v>8435</v>
      </c>
      <c r="R860" s="3" t="s">
        <v>70</v>
      </c>
      <c r="S860" s="4">
        <v>1</v>
      </c>
      <c r="T860" s="4">
        <v>1</v>
      </c>
      <c r="U860" s="5" t="s">
        <v>8436</v>
      </c>
      <c r="V860" s="5" t="s">
        <v>8436</v>
      </c>
      <c r="W860" s="5" t="s">
        <v>72</v>
      </c>
      <c r="X860" s="5" t="s">
        <v>72</v>
      </c>
      <c r="Y860" s="4">
        <v>13</v>
      </c>
      <c r="Z860" s="4">
        <v>1</v>
      </c>
      <c r="AA860" s="4">
        <v>1</v>
      </c>
      <c r="AB860" s="4">
        <v>1</v>
      </c>
      <c r="AC860" s="4">
        <v>1</v>
      </c>
      <c r="AD860" s="4">
        <v>6</v>
      </c>
      <c r="AE860" s="4">
        <v>6</v>
      </c>
      <c r="AF860" s="4">
        <v>0</v>
      </c>
      <c r="AG860" s="4">
        <v>0</v>
      </c>
      <c r="AH860" s="4">
        <v>6</v>
      </c>
      <c r="AI860" s="4">
        <v>6</v>
      </c>
      <c r="AJ860" s="4">
        <v>0</v>
      </c>
      <c r="AK860" s="4">
        <v>0</v>
      </c>
      <c r="AL860" s="4">
        <v>4</v>
      </c>
      <c r="AM860" s="4">
        <v>4</v>
      </c>
      <c r="AN860" s="4">
        <v>0</v>
      </c>
      <c r="AO860" s="4">
        <v>0</v>
      </c>
      <c r="AP860" s="4">
        <v>0</v>
      </c>
      <c r="AQ860" s="4">
        <v>0</v>
      </c>
      <c r="AR860" s="3" t="s">
        <v>64</v>
      </c>
      <c r="AS860" s="3" t="s">
        <v>64</v>
      </c>
      <c r="AT860" s="3" t="s">
        <v>64</v>
      </c>
      <c r="AV860" s="6" t="str">
        <f>HYPERLINK("http://mcgill.on.worldcat.org/oclc/9076814","Catalog Record")</f>
        <v>Catalog Record</v>
      </c>
      <c r="AW860" s="6" t="str">
        <f>HYPERLINK("http://www.worldcat.org/oclc/9076814","WorldCat Record")</f>
        <v>WorldCat Record</v>
      </c>
      <c r="AX860" s="3" t="s">
        <v>8437</v>
      </c>
      <c r="AY860" s="3" t="s">
        <v>8438</v>
      </c>
      <c r="AZ860" s="3" t="s">
        <v>8439</v>
      </c>
      <c r="BA860" s="3" t="s">
        <v>8439</v>
      </c>
      <c r="BB860" s="3" t="s">
        <v>8440</v>
      </c>
      <c r="BC860" s="3" t="s">
        <v>77</v>
      </c>
      <c r="BD860" s="3" t="s">
        <v>78</v>
      </c>
      <c r="BF860" s="3" t="s">
        <v>8440</v>
      </c>
      <c r="BG860" s="3" t="s">
        <v>8441</v>
      </c>
      <c r="BH860">
        <f t="shared" si="27"/>
        <v>0</v>
      </c>
    </row>
    <row r="861" spans="1:60" ht="58" x14ac:dyDescent="0.35">
      <c r="A861" s="2" t="s">
        <v>59</v>
      </c>
      <c r="B861" s="2" t="s">
        <v>60</v>
      </c>
      <c r="C861" s="2" t="s">
        <v>8442</v>
      </c>
      <c r="D861" s="2" t="s">
        <v>8443</v>
      </c>
      <c r="E861" s="2" t="s">
        <v>8444</v>
      </c>
      <c r="G861" s="3" t="s">
        <v>64</v>
      </c>
      <c r="I861" s="3" t="s">
        <v>64</v>
      </c>
      <c r="J861" s="3" t="s">
        <v>64</v>
      </c>
      <c r="K861" s="3" t="s">
        <v>65</v>
      </c>
      <c r="M861" s="2" t="s">
        <v>8445</v>
      </c>
      <c r="N861" s="3" t="s">
        <v>979</v>
      </c>
      <c r="P861" s="3" t="s">
        <v>102</v>
      </c>
      <c r="R861" s="3" t="s">
        <v>70</v>
      </c>
      <c r="S861" s="4">
        <v>5</v>
      </c>
      <c r="T861" s="4">
        <v>5</v>
      </c>
      <c r="U861" s="5" t="s">
        <v>8446</v>
      </c>
      <c r="V861" s="5" t="s">
        <v>8446</v>
      </c>
      <c r="W861" s="5" t="s">
        <v>72</v>
      </c>
      <c r="X861" s="5" t="s">
        <v>72</v>
      </c>
      <c r="Y861" s="4">
        <v>218</v>
      </c>
      <c r="Z861" s="4">
        <v>18</v>
      </c>
      <c r="AA861" s="4">
        <v>18</v>
      </c>
      <c r="AB861" s="4">
        <v>2</v>
      </c>
      <c r="AC861" s="4">
        <v>2</v>
      </c>
      <c r="AD861" s="4">
        <v>78</v>
      </c>
      <c r="AE861" s="4">
        <v>78</v>
      </c>
      <c r="AF861" s="4">
        <v>0</v>
      </c>
      <c r="AG861" s="4">
        <v>0</v>
      </c>
      <c r="AH861" s="4">
        <v>70</v>
      </c>
      <c r="AI861" s="4">
        <v>70</v>
      </c>
      <c r="AJ861" s="4">
        <v>10</v>
      </c>
      <c r="AK861" s="4">
        <v>10</v>
      </c>
      <c r="AL861" s="4">
        <v>45</v>
      </c>
      <c r="AM861" s="4">
        <v>45</v>
      </c>
      <c r="AN861" s="4">
        <v>0</v>
      </c>
      <c r="AO861" s="4">
        <v>0</v>
      </c>
      <c r="AP861" s="4">
        <v>12</v>
      </c>
      <c r="AQ861" s="4">
        <v>12</v>
      </c>
      <c r="AR861" s="3" t="s">
        <v>64</v>
      </c>
      <c r="AS861" s="3" t="s">
        <v>64</v>
      </c>
      <c r="AT861" s="3" t="s">
        <v>64</v>
      </c>
      <c r="AV861" s="6" t="str">
        <f>HYPERLINK("http://mcgill.on.worldcat.org/oclc/42861576","Catalog Record")</f>
        <v>Catalog Record</v>
      </c>
      <c r="AW861" s="6" t="str">
        <f>HYPERLINK("http://www.worldcat.org/oclc/42861576","WorldCat Record")</f>
        <v>WorldCat Record</v>
      </c>
      <c r="AX861" s="3" t="s">
        <v>8447</v>
      </c>
      <c r="AY861" s="3" t="s">
        <v>8448</v>
      </c>
      <c r="AZ861" s="3" t="s">
        <v>8449</v>
      </c>
      <c r="BA861" s="3" t="s">
        <v>8449</v>
      </c>
      <c r="BB861" s="3" t="s">
        <v>8450</v>
      </c>
      <c r="BC861" s="3" t="s">
        <v>77</v>
      </c>
      <c r="BD861" s="3" t="s">
        <v>78</v>
      </c>
      <c r="BE861" s="3" t="s">
        <v>8451</v>
      </c>
      <c r="BF861" s="3" t="s">
        <v>8450</v>
      </c>
      <c r="BG861" s="3" t="s">
        <v>8452</v>
      </c>
      <c r="BH861">
        <f t="shared" si="27"/>
        <v>0</v>
      </c>
    </row>
    <row r="862" spans="1:60" ht="72.5" x14ac:dyDescent="0.35">
      <c r="A862" s="2" t="s">
        <v>59</v>
      </c>
      <c r="B862" s="2" t="s">
        <v>1025</v>
      </c>
      <c r="C862" s="2" t="s">
        <v>8453</v>
      </c>
      <c r="D862" s="2" t="s">
        <v>8454</v>
      </c>
      <c r="E862" s="2" t="s">
        <v>8455</v>
      </c>
      <c r="F862" s="3" t="s">
        <v>509</v>
      </c>
      <c r="G862" s="3" t="s">
        <v>128</v>
      </c>
      <c r="I862" s="3" t="s">
        <v>64</v>
      </c>
      <c r="J862" s="3" t="s">
        <v>64</v>
      </c>
      <c r="K862" s="3" t="s">
        <v>65</v>
      </c>
      <c r="M862" s="2" t="s">
        <v>8456</v>
      </c>
      <c r="N862" s="3" t="s">
        <v>326</v>
      </c>
      <c r="P862" s="3" t="s">
        <v>102</v>
      </c>
      <c r="Q862" s="2" t="s">
        <v>8457</v>
      </c>
      <c r="R862" s="3" t="s">
        <v>70</v>
      </c>
      <c r="S862" s="4">
        <v>4</v>
      </c>
      <c r="T862" s="4">
        <v>20</v>
      </c>
      <c r="U862" s="5" t="s">
        <v>512</v>
      </c>
      <c r="V862" s="5" t="s">
        <v>512</v>
      </c>
      <c r="W862" s="5" t="s">
        <v>72</v>
      </c>
      <c r="X862" s="5" t="s">
        <v>72</v>
      </c>
      <c r="Y862" s="4">
        <v>40</v>
      </c>
      <c r="Z862" s="4">
        <v>3</v>
      </c>
      <c r="AA862" s="4">
        <v>3</v>
      </c>
      <c r="AB862" s="4">
        <v>1</v>
      </c>
      <c r="AC862" s="4">
        <v>1</v>
      </c>
      <c r="AD862" s="4">
        <v>15</v>
      </c>
      <c r="AE862" s="4">
        <v>15</v>
      </c>
      <c r="AF862" s="4">
        <v>0</v>
      </c>
      <c r="AG862" s="4">
        <v>0</v>
      </c>
      <c r="AH862" s="4">
        <v>14</v>
      </c>
      <c r="AI862" s="4">
        <v>14</v>
      </c>
      <c r="AJ862" s="4">
        <v>2</v>
      </c>
      <c r="AK862" s="4">
        <v>2</v>
      </c>
      <c r="AL862" s="4">
        <v>11</v>
      </c>
      <c r="AM862" s="4">
        <v>11</v>
      </c>
      <c r="AN862" s="4">
        <v>0</v>
      </c>
      <c r="AO862" s="4">
        <v>0</v>
      </c>
      <c r="AP862" s="4">
        <v>2</v>
      </c>
      <c r="AQ862" s="4">
        <v>2</v>
      </c>
      <c r="AR862" s="3" t="s">
        <v>64</v>
      </c>
      <c r="AS862" s="3" t="s">
        <v>64</v>
      </c>
      <c r="AT862" s="3" t="s">
        <v>64</v>
      </c>
      <c r="AV862" s="6" t="str">
        <f>HYPERLINK("http://mcgill.on.worldcat.org/oclc/676062564","Catalog Record")</f>
        <v>Catalog Record</v>
      </c>
      <c r="AW862" s="6" t="str">
        <f>HYPERLINK("http://www.worldcat.org/oclc/676062564","WorldCat Record")</f>
        <v>WorldCat Record</v>
      </c>
      <c r="AX862" s="3" t="s">
        <v>8458</v>
      </c>
      <c r="AY862" s="3" t="s">
        <v>8459</v>
      </c>
      <c r="AZ862" s="3" t="s">
        <v>8460</v>
      </c>
      <c r="BA862" s="3" t="s">
        <v>8460</v>
      </c>
      <c r="BB862" s="3" t="s">
        <v>8461</v>
      </c>
      <c r="BC862" s="3" t="s">
        <v>77</v>
      </c>
      <c r="BD862" s="3" t="s">
        <v>78</v>
      </c>
      <c r="BE862" s="3" t="s">
        <v>8462</v>
      </c>
      <c r="BF862" s="3" t="s">
        <v>8461</v>
      </c>
      <c r="BG862" s="3" t="s">
        <v>8463</v>
      </c>
      <c r="BH862">
        <f t="shared" si="27"/>
        <v>0</v>
      </c>
    </row>
    <row r="863" spans="1:60" ht="72.5" x14ac:dyDescent="0.35">
      <c r="A863" s="2" t="s">
        <v>59</v>
      </c>
      <c r="B863" s="2" t="s">
        <v>1025</v>
      </c>
      <c r="C863" s="2" t="s">
        <v>8453</v>
      </c>
      <c r="D863" s="2" t="s">
        <v>8454</v>
      </c>
      <c r="E863" s="2" t="s">
        <v>8455</v>
      </c>
      <c r="F863" s="3" t="s">
        <v>522</v>
      </c>
      <c r="G863" s="3" t="s">
        <v>128</v>
      </c>
      <c r="I863" s="3" t="s">
        <v>64</v>
      </c>
      <c r="J863" s="3" t="s">
        <v>64</v>
      </c>
      <c r="K863" s="3" t="s">
        <v>65</v>
      </c>
      <c r="M863" s="2" t="s">
        <v>8456</v>
      </c>
      <c r="N863" s="3" t="s">
        <v>326</v>
      </c>
      <c r="P863" s="3" t="s">
        <v>102</v>
      </c>
      <c r="Q863" s="2" t="s">
        <v>8457</v>
      </c>
      <c r="R863" s="3" t="s">
        <v>70</v>
      </c>
      <c r="S863" s="4">
        <v>4</v>
      </c>
      <c r="T863" s="4">
        <v>20</v>
      </c>
      <c r="U863" s="5" t="s">
        <v>512</v>
      </c>
      <c r="V863" s="5" t="s">
        <v>512</v>
      </c>
      <c r="W863" s="5" t="s">
        <v>72</v>
      </c>
      <c r="X863" s="5" t="s">
        <v>72</v>
      </c>
      <c r="Y863" s="4">
        <v>40</v>
      </c>
      <c r="Z863" s="4">
        <v>3</v>
      </c>
      <c r="AA863" s="4">
        <v>3</v>
      </c>
      <c r="AB863" s="4">
        <v>1</v>
      </c>
      <c r="AC863" s="4">
        <v>1</v>
      </c>
      <c r="AD863" s="4">
        <v>15</v>
      </c>
      <c r="AE863" s="4">
        <v>15</v>
      </c>
      <c r="AF863" s="4">
        <v>0</v>
      </c>
      <c r="AG863" s="4">
        <v>0</v>
      </c>
      <c r="AH863" s="4">
        <v>14</v>
      </c>
      <c r="AI863" s="4">
        <v>14</v>
      </c>
      <c r="AJ863" s="4">
        <v>2</v>
      </c>
      <c r="AK863" s="4">
        <v>2</v>
      </c>
      <c r="AL863" s="4">
        <v>11</v>
      </c>
      <c r="AM863" s="4">
        <v>11</v>
      </c>
      <c r="AN863" s="4">
        <v>0</v>
      </c>
      <c r="AO863" s="4">
        <v>0</v>
      </c>
      <c r="AP863" s="4">
        <v>2</v>
      </c>
      <c r="AQ863" s="4">
        <v>2</v>
      </c>
      <c r="AR863" s="3" t="s">
        <v>64</v>
      </c>
      <c r="AS863" s="3" t="s">
        <v>64</v>
      </c>
      <c r="AT863" s="3" t="s">
        <v>64</v>
      </c>
      <c r="AV863" s="6" t="str">
        <f>HYPERLINK("http://mcgill.on.worldcat.org/oclc/676062564","Catalog Record")</f>
        <v>Catalog Record</v>
      </c>
      <c r="AW863" s="6" t="str">
        <f>HYPERLINK("http://www.worldcat.org/oclc/676062564","WorldCat Record")</f>
        <v>WorldCat Record</v>
      </c>
      <c r="AX863" s="3" t="s">
        <v>8458</v>
      </c>
      <c r="AY863" s="3" t="s">
        <v>8459</v>
      </c>
      <c r="AZ863" s="3" t="s">
        <v>8460</v>
      </c>
      <c r="BA863" s="3" t="s">
        <v>8460</v>
      </c>
      <c r="BB863" s="3" t="s">
        <v>8464</v>
      </c>
      <c r="BC863" s="3" t="s">
        <v>77</v>
      </c>
      <c r="BD863" s="3" t="s">
        <v>78</v>
      </c>
      <c r="BE863" s="3" t="s">
        <v>8462</v>
      </c>
      <c r="BF863" s="3" t="s">
        <v>8464</v>
      </c>
      <c r="BG863" s="3" t="s">
        <v>8465</v>
      </c>
      <c r="BH863">
        <f t="shared" si="27"/>
        <v>0</v>
      </c>
    </row>
    <row r="864" spans="1:60" ht="72.5" x14ac:dyDescent="0.35">
      <c r="A864" s="2" t="s">
        <v>59</v>
      </c>
      <c r="B864" s="2" t="s">
        <v>1025</v>
      </c>
      <c r="C864" s="2" t="s">
        <v>8453</v>
      </c>
      <c r="D864" s="2" t="s">
        <v>8454</v>
      </c>
      <c r="E864" s="2" t="s">
        <v>8455</v>
      </c>
      <c r="F864" s="3" t="s">
        <v>529</v>
      </c>
      <c r="G864" s="3" t="s">
        <v>128</v>
      </c>
      <c r="I864" s="3" t="s">
        <v>64</v>
      </c>
      <c r="J864" s="3" t="s">
        <v>64</v>
      </c>
      <c r="K864" s="3" t="s">
        <v>65</v>
      </c>
      <c r="M864" s="2" t="s">
        <v>8456</v>
      </c>
      <c r="N864" s="3" t="s">
        <v>326</v>
      </c>
      <c r="P864" s="3" t="s">
        <v>102</v>
      </c>
      <c r="Q864" s="2" t="s">
        <v>8457</v>
      </c>
      <c r="R864" s="3" t="s">
        <v>70</v>
      </c>
      <c r="S864" s="4">
        <v>4</v>
      </c>
      <c r="T864" s="4">
        <v>20</v>
      </c>
      <c r="U864" s="5" t="s">
        <v>512</v>
      </c>
      <c r="V864" s="5" t="s">
        <v>512</v>
      </c>
      <c r="W864" s="5" t="s">
        <v>72</v>
      </c>
      <c r="X864" s="5" t="s">
        <v>72</v>
      </c>
      <c r="Y864" s="4">
        <v>40</v>
      </c>
      <c r="Z864" s="4">
        <v>3</v>
      </c>
      <c r="AA864" s="4">
        <v>3</v>
      </c>
      <c r="AB864" s="4">
        <v>1</v>
      </c>
      <c r="AC864" s="4">
        <v>1</v>
      </c>
      <c r="AD864" s="4">
        <v>15</v>
      </c>
      <c r="AE864" s="4">
        <v>15</v>
      </c>
      <c r="AF864" s="4">
        <v>0</v>
      </c>
      <c r="AG864" s="4">
        <v>0</v>
      </c>
      <c r="AH864" s="4">
        <v>14</v>
      </c>
      <c r="AI864" s="4">
        <v>14</v>
      </c>
      <c r="AJ864" s="4">
        <v>2</v>
      </c>
      <c r="AK864" s="4">
        <v>2</v>
      </c>
      <c r="AL864" s="4">
        <v>11</v>
      </c>
      <c r="AM864" s="4">
        <v>11</v>
      </c>
      <c r="AN864" s="4">
        <v>0</v>
      </c>
      <c r="AO864" s="4">
        <v>0</v>
      </c>
      <c r="AP864" s="4">
        <v>2</v>
      </c>
      <c r="AQ864" s="4">
        <v>2</v>
      </c>
      <c r="AR864" s="3" t="s">
        <v>64</v>
      </c>
      <c r="AS864" s="3" t="s">
        <v>64</v>
      </c>
      <c r="AT864" s="3" t="s">
        <v>64</v>
      </c>
      <c r="AV864" s="6" t="str">
        <f>HYPERLINK("http://mcgill.on.worldcat.org/oclc/676062564","Catalog Record")</f>
        <v>Catalog Record</v>
      </c>
      <c r="AW864" s="6" t="str">
        <f>HYPERLINK("http://www.worldcat.org/oclc/676062564","WorldCat Record")</f>
        <v>WorldCat Record</v>
      </c>
      <c r="AX864" s="3" t="s">
        <v>8458</v>
      </c>
      <c r="AY864" s="3" t="s">
        <v>8459</v>
      </c>
      <c r="AZ864" s="3" t="s">
        <v>8460</v>
      </c>
      <c r="BA864" s="3" t="s">
        <v>8460</v>
      </c>
      <c r="BB864" s="3" t="s">
        <v>8466</v>
      </c>
      <c r="BC864" s="3" t="s">
        <v>77</v>
      </c>
      <c r="BD864" s="3" t="s">
        <v>78</v>
      </c>
      <c r="BE864" s="3" t="s">
        <v>8462</v>
      </c>
      <c r="BF864" s="3" t="s">
        <v>8466</v>
      </c>
      <c r="BG864" s="3" t="s">
        <v>8467</v>
      </c>
      <c r="BH864">
        <f t="shared" si="27"/>
        <v>0</v>
      </c>
    </row>
    <row r="865" spans="1:60" ht="72.5" x14ac:dyDescent="0.35">
      <c r="A865" s="2" t="s">
        <v>59</v>
      </c>
      <c r="B865" s="2" t="s">
        <v>1025</v>
      </c>
      <c r="C865" s="2" t="s">
        <v>8453</v>
      </c>
      <c r="D865" s="2" t="s">
        <v>8454</v>
      </c>
      <c r="E865" s="2" t="s">
        <v>8455</v>
      </c>
      <c r="F865" s="3" t="s">
        <v>525</v>
      </c>
      <c r="G865" s="3" t="s">
        <v>128</v>
      </c>
      <c r="I865" s="3" t="s">
        <v>64</v>
      </c>
      <c r="J865" s="3" t="s">
        <v>64</v>
      </c>
      <c r="K865" s="3" t="s">
        <v>65</v>
      </c>
      <c r="M865" s="2" t="s">
        <v>8456</v>
      </c>
      <c r="N865" s="3" t="s">
        <v>326</v>
      </c>
      <c r="P865" s="3" t="s">
        <v>102</v>
      </c>
      <c r="Q865" s="2" t="s">
        <v>8457</v>
      </c>
      <c r="R865" s="3" t="s">
        <v>70</v>
      </c>
      <c r="S865" s="4">
        <v>8</v>
      </c>
      <c r="T865" s="4">
        <v>20</v>
      </c>
      <c r="U865" s="5" t="s">
        <v>512</v>
      </c>
      <c r="V865" s="5" t="s">
        <v>512</v>
      </c>
      <c r="W865" s="5" t="s">
        <v>72</v>
      </c>
      <c r="X865" s="5" t="s">
        <v>72</v>
      </c>
      <c r="Y865" s="4">
        <v>40</v>
      </c>
      <c r="Z865" s="4">
        <v>3</v>
      </c>
      <c r="AA865" s="4">
        <v>3</v>
      </c>
      <c r="AB865" s="4">
        <v>1</v>
      </c>
      <c r="AC865" s="4">
        <v>1</v>
      </c>
      <c r="AD865" s="4">
        <v>15</v>
      </c>
      <c r="AE865" s="4">
        <v>15</v>
      </c>
      <c r="AF865" s="4">
        <v>0</v>
      </c>
      <c r="AG865" s="4">
        <v>0</v>
      </c>
      <c r="AH865" s="4">
        <v>14</v>
      </c>
      <c r="AI865" s="4">
        <v>14</v>
      </c>
      <c r="AJ865" s="4">
        <v>2</v>
      </c>
      <c r="AK865" s="4">
        <v>2</v>
      </c>
      <c r="AL865" s="4">
        <v>11</v>
      </c>
      <c r="AM865" s="4">
        <v>11</v>
      </c>
      <c r="AN865" s="4">
        <v>0</v>
      </c>
      <c r="AO865" s="4">
        <v>0</v>
      </c>
      <c r="AP865" s="4">
        <v>2</v>
      </c>
      <c r="AQ865" s="4">
        <v>2</v>
      </c>
      <c r="AR865" s="3" t="s">
        <v>64</v>
      </c>
      <c r="AS865" s="3" t="s">
        <v>64</v>
      </c>
      <c r="AT865" s="3" t="s">
        <v>64</v>
      </c>
      <c r="AV865" s="6" t="str">
        <f>HYPERLINK("http://mcgill.on.worldcat.org/oclc/676062564","Catalog Record")</f>
        <v>Catalog Record</v>
      </c>
      <c r="AW865" s="6" t="str">
        <f>HYPERLINK("http://www.worldcat.org/oclc/676062564","WorldCat Record")</f>
        <v>WorldCat Record</v>
      </c>
      <c r="AX865" s="3" t="s">
        <v>8458</v>
      </c>
      <c r="AY865" s="3" t="s">
        <v>8459</v>
      </c>
      <c r="AZ865" s="3" t="s">
        <v>8460</v>
      </c>
      <c r="BA865" s="3" t="s">
        <v>8460</v>
      </c>
      <c r="BB865" s="3" t="s">
        <v>8468</v>
      </c>
      <c r="BC865" s="3" t="s">
        <v>77</v>
      </c>
      <c r="BD865" s="3" t="s">
        <v>78</v>
      </c>
      <c r="BE865" s="3" t="s">
        <v>8462</v>
      </c>
      <c r="BF865" s="3" t="s">
        <v>8468</v>
      </c>
      <c r="BG865" s="3" t="s">
        <v>8469</v>
      </c>
      <c r="BH865">
        <f t="shared" si="27"/>
        <v>0</v>
      </c>
    </row>
    <row r="866" spans="1:60" ht="72.5" x14ac:dyDescent="0.35">
      <c r="A866" s="2" t="s">
        <v>59</v>
      </c>
      <c r="B866" s="2" t="s">
        <v>60</v>
      </c>
      <c r="C866" s="2" t="s">
        <v>8470</v>
      </c>
      <c r="D866" s="2" t="s">
        <v>8471</v>
      </c>
      <c r="E866" s="2" t="s">
        <v>8472</v>
      </c>
      <c r="G866" s="3" t="s">
        <v>64</v>
      </c>
      <c r="I866" s="3" t="s">
        <v>64</v>
      </c>
      <c r="J866" s="3" t="s">
        <v>64</v>
      </c>
      <c r="K866" s="3" t="s">
        <v>65</v>
      </c>
      <c r="M866" s="2" t="s">
        <v>8473</v>
      </c>
      <c r="N866" s="3" t="s">
        <v>1004</v>
      </c>
      <c r="P866" s="3" t="s">
        <v>102</v>
      </c>
      <c r="R866" s="3" t="s">
        <v>70</v>
      </c>
      <c r="S866" s="4">
        <v>9</v>
      </c>
      <c r="T866" s="4">
        <v>9</v>
      </c>
      <c r="U866" s="5" t="s">
        <v>160</v>
      </c>
      <c r="V866" s="5" t="s">
        <v>160</v>
      </c>
      <c r="W866" s="5" t="s">
        <v>72</v>
      </c>
      <c r="X866" s="5" t="s">
        <v>72</v>
      </c>
      <c r="Y866" s="4">
        <v>563</v>
      </c>
      <c r="Z866" s="4">
        <v>36</v>
      </c>
      <c r="AA866" s="4">
        <v>39</v>
      </c>
      <c r="AB866" s="4">
        <v>4</v>
      </c>
      <c r="AC866" s="4">
        <v>7</v>
      </c>
      <c r="AD866" s="4">
        <v>120</v>
      </c>
      <c r="AE866" s="4">
        <v>122</v>
      </c>
      <c r="AF866" s="4">
        <v>1</v>
      </c>
      <c r="AG866" s="4">
        <v>3</v>
      </c>
      <c r="AH866" s="4">
        <v>102</v>
      </c>
      <c r="AI866" s="4">
        <v>103</v>
      </c>
      <c r="AJ866" s="4">
        <v>20</v>
      </c>
      <c r="AK866" s="4">
        <v>22</v>
      </c>
      <c r="AL866" s="4">
        <v>55</v>
      </c>
      <c r="AM866" s="4">
        <v>55</v>
      </c>
      <c r="AN866" s="4">
        <v>0</v>
      </c>
      <c r="AO866" s="4">
        <v>0</v>
      </c>
      <c r="AP866" s="4">
        <v>23</v>
      </c>
      <c r="AQ866" s="4">
        <v>24</v>
      </c>
      <c r="AR866" s="3" t="s">
        <v>64</v>
      </c>
      <c r="AS866" s="3" t="s">
        <v>64</v>
      </c>
      <c r="AT866" s="3" t="s">
        <v>128</v>
      </c>
      <c r="AU866" s="6" t="str">
        <f>HYPERLINK("http://catalog.hathitrust.org/Record/000272251","HathiTrust Record")</f>
        <v>HathiTrust Record</v>
      </c>
      <c r="AV866" s="6" t="str">
        <f>HYPERLINK("http://mcgill.on.worldcat.org/oclc/8929288","Catalog Record")</f>
        <v>Catalog Record</v>
      </c>
      <c r="AW866" s="6" t="str">
        <f>HYPERLINK("http://www.worldcat.org/oclc/8929288","WorldCat Record")</f>
        <v>WorldCat Record</v>
      </c>
      <c r="AX866" s="3" t="s">
        <v>8474</v>
      </c>
      <c r="AY866" s="3" t="s">
        <v>8475</v>
      </c>
      <c r="AZ866" s="3" t="s">
        <v>8476</v>
      </c>
      <c r="BA866" s="3" t="s">
        <v>8476</v>
      </c>
      <c r="BB866" s="3" t="s">
        <v>8477</v>
      </c>
      <c r="BC866" s="3" t="s">
        <v>77</v>
      </c>
      <c r="BD866" s="3" t="s">
        <v>78</v>
      </c>
      <c r="BE866" s="3" t="s">
        <v>8478</v>
      </c>
      <c r="BF866" s="3" t="s">
        <v>8477</v>
      </c>
      <c r="BG866" s="3" t="s">
        <v>8479</v>
      </c>
      <c r="BH866">
        <f t="shared" si="27"/>
        <v>0</v>
      </c>
    </row>
    <row r="867" spans="1:60" ht="58" x14ac:dyDescent="0.35">
      <c r="A867" s="2" t="s">
        <v>59</v>
      </c>
      <c r="B867" s="2" t="s">
        <v>60</v>
      </c>
      <c r="C867" s="2" t="s">
        <v>8480</v>
      </c>
      <c r="D867" s="2" t="s">
        <v>8481</v>
      </c>
      <c r="E867" s="2" t="s">
        <v>8482</v>
      </c>
      <c r="G867" s="3" t="s">
        <v>64</v>
      </c>
      <c r="I867" s="3" t="s">
        <v>128</v>
      </c>
      <c r="J867" s="3" t="s">
        <v>64</v>
      </c>
      <c r="K867" s="3" t="s">
        <v>65</v>
      </c>
      <c r="M867" s="2" t="s">
        <v>8483</v>
      </c>
      <c r="N867" s="3" t="s">
        <v>551</v>
      </c>
      <c r="P867" s="3" t="s">
        <v>102</v>
      </c>
      <c r="Q867" s="2" t="s">
        <v>8484</v>
      </c>
      <c r="R867" s="3" t="s">
        <v>70</v>
      </c>
      <c r="S867" s="4">
        <v>5</v>
      </c>
      <c r="T867" s="4">
        <v>9</v>
      </c>
      <c r="U867" s="5" t="s">
        <v>512</v>
      </c>
      <c r="V867" s="5" t="s">
        <v>512</v>
      </c>
      <c r="W867" s="5" t="s">
        <v>72</v>
      </c>
      <c r="X867" s="5" t="s">
        <v>72</v>
      </c>
      <c r="Y867" s="4">
        <v>204</v>
      </c>
      <c r="Z867" s="4">
        <v>23</v>
      </c>
      <c r="AA867" s="4">
        <v>23</v>
      </c>
      <c r="AB867" s="4">
        <v>3</v>
      </c>
      <c r="AC867" s="4">
        <v>3</v>
      </c>
      <c r="AD867" s="4">
        <v>77</v>
      </c>
      <c r="AE867" s="4">
        <v>77</v>
      </c>
      <c r="AF867" s="4">
        <v>1</v>
      </c>
      <c r="AG867" s="4">
        <v>1</v>
      </c>
      <c r="AH867" s="4">
        <v>67</v>
      </c>
      <c r="AI867" s="4">
        <v>67</v>
      </c>
      <c r="AJ867" s="4">
        <v>13</v>
      </c>
      <c r="AK867" s="4">
        <v>13</v>
      </c>
      <c r="AL867" s="4">
        <v>41</v>
      </c>
      <c r="AM867" s="4">
        <v>41</v>
      </c>
      <c r="AN867" s="4">
        <v>5</v>
      </c>
      <c r="AO867" s="4">
        <v>5</v>
      </c>
      <c r="AP867" s="4">
        <v>15</v>
      </c>
      <c r="AQ867" s="4">
        <v>15</v>
      </c>
      <c r="AR867" s="3" t="s">
        <v>64</v>
      </c>
      <c r="AS867" s="3" t="s">
        <v>64</v>
      </c>
      <c r="AT867" s="3" t="s">
        <v>128</v>
      </c>
      <c r="AU867" s="6" t="str">
        <f>HYPERLINK("http://catalog.hathitrust.org/Record/007548505","HathiTrust Record")</f>
        <v>HathiTrust Record</v>
      </c>
      <c r="AV867" s="6" t="str">
        <f>HYPERLINK("http://mcgill.on.worldcat.org/oclc/456373702","Catalog Record")</f>
        <v>Catalog Record</v>
      </c>
      <c r="AW867" s="6" t="str">
        <f>HYPERLINK("http://www.worldcat.org/oclc/456373702","WorldCat Record")</f>
        <v>WorldCat Record</v>
      </c>
      <c r="AX867" s="3" t="s">
        <v>8485</v>
      </c>
      <c r="AY867" s="3" t="s">
        <v>8486</v>
      </c>
      <c r="AZ867" s="3" t="s">
        <v>8487</v>
      </c>
      <c r="BA867" s="3" t="s">
        <v>8487</v>
      </c>
      <c r="BB867" s="3" t="s">
        <v>8488</v>
      </c>
      <c r="BC867" s="3" t="s">
        <v>77</v>
      </c>
      <c r="BD867" s="3" t="s">
        <v>78</v>
      </c>
      <c r="BE867" s="3" t="s">
        <v>8489</v>
      </c>
      <c r="BF867" s="3" t="s">
        <v>8488</v>
      </c>
      <c r="BG867" s="3" t="s">
        <v>8490</v>
      </c>
      <c r="BH867">
        <f t="shared" si="27"/>
        <v>0</v>
      </c>
    </row>
    <row r="868" spans="1:60" ht="58" x14ac:dyDescent="0.35">
      <c r="A868" s="2" t="s">
        <v>59</v>
      </c>
      <c r="B868" s="2" t="s">
        <v>60</v>
      </c>
      <c r="C868" s="2" t="s">
        <v>8480</v>
      </c>
      <c r="D868" s="2" t="s">
        <v>8481</v>
      </c>
      <c r="E868" s="2" t="s">
        <v>8482</v>
      </c>
      <c r="G868" s="3" t="s">
        <v>64</v>
      </c>
      <c r="I868" s="3" t="s">
        <v>128</v>
      </c>
      <c r="J868" s="3" t="s">
        <v>64</v>
      </c>
      <c r="K868" s="3" t="s">
        <v>65</v>
      </c>
      <c r="M868" s="2" t="s">
        <v>8483</v>
      </c>
      <c r="N868" s="3" t="s">
        <v>551</v>
      </c>
      <c r="P868" s="3" t="s">
        <v>102</v>
      </c>
      <c r="Q868" s="2" t="s">
        <v>8484</v>
      </c>
      <c r="R868" s="3" t="s">
        <v>70</v>
      </c>
      <c r="S868" s="4">
        <v>4</v>
      </c>
      <c r="T868" s="4">
        <v>9</v>
      </c>
      <c r="U868" s="5" t="s">
        <v>8491</v>
      </c>
      <c r="V868" s="5" t="s">
        <v>512</v>
      </c>
      <c r="W868" s="5" t="s">
        <v>72</v>
      </c>
      <c r="X868" s="5" t="s">
        <v>72</v>
      </c>
      <c r="Y868" s="4">
        <v>204</v>
      </c>
      <c r="Z868" s="4">
        <v>23</v>
      </c>
      <c r="AA868" s="4">
        <v>23</v>
      </c>
      <c r="AB868" s="4">
        <v>3</v>
      </c>
      <c r="AC868" s="4">
        <v>3</v>
      </c>
      <c r="AD868" s="4">
        <v>77</v>
      </c>
      <c r="AE868" s="4">
        <v>77</v>
      </c>
      <c r="AF868" s="4">
        <v>1</v>
      </c>
      <c r="AG868" s="4">
        <v>1</v>
      </c>
      <c r="AH868" s="4">
        <v>67</v>
      </c>
      <c r="AI868" s="4">
        <v>67</v>
      </c>
      <c r="AJ868" s="4">
        <v>13</v>
      </c>
      <c r="AK868" s="4">
        <v>13</v>
      </c>
      <c r="AL868" s="4">
        <v>41</v>
      </c>
      <c r="AM868" s="4">
        <v>41</v>
      </c>
      <c r="AN868" s="4">
        <v>5</v>
      </c>
      <c r="AO868" s="4">
        <v>5</v>
      </c>
      <c r="AP868" s="4">
        <v>15</v>
      </c>
      <c r="AQ868" s="4">
        <v>15</v>
      </c>
      <c r="AR868" s="3" t="s">
        <v>64</v>
      </c>
      <c r="AS868" s="3" t="s">
        <v>64</v>
      </c>
      <c r="AT868" s="3" t="s">
        <v>128</v>
      </c>
      <c r="AU868" s="6" t="str">
        <f>HYPERLINK("http://catalog.hathitrust.org/Record/007548505","HathiTrust Record")</f>
        <v>HathiTrust Record</v>
      </c>
      <c r="AV868" s="6" t="str">
        <f>HYPERLINK("http://mcgill.on.worldcat.org/oclc/456373702","Catalog Record")</f>
        <v>Catalog Record</v>
      </c>
      <c r="AW868" s="6" t="str">
        <f>HYPERLINK("http://www.worldcat.org/oclc/456373702","WorldCat Record")</f>
        <v>WorldCat Record</v>
      </c>
      <c r="AX868" s="3" t="s">
        <v>8485</v>
      </c>
      <c r="AY868" s="3" t="s">
        <v>8486</v>
      </c>
      <c r="AZ868" s="3" t="s">
        <v>8487</v>
      </c>
      <c r="BA868" s="3" t="s">
        <v>8487</v>
      </c>
      <c r="BB868" s="3" t="s">
        <v>8492</v>
      </c>
      <c r="BC868" s="3" t="s">
        <v>77</v>
      </c>
      <c r="BD868" s="3" t="s">
        <v>78</v>
      </c>
      <c r="BE868" s="3" t="s">
        <v>8489</v>
      </c>
      <c r="BF868" s="3" t="s">
        <v>8492</v>
      </c>
      <c r="BG868" s="3" t="s">
        <v>8493</v>
      </c>
      <c r="BH868">
        <f t="shared" si="27"/>
        <v>0</v>
      </c>
    </row>
    <row r="869" spans="1:60" ht="58" x14ac:dyDescent="0.35">
      <c r="A869" s="2" t="s">
        <v>59</v>
      </c>
      <c r="B869" s="2" t="s">
        <v>60</v>
      </c>
      <c r="C869" s="2" t="s">
        <v>8494</v>
      </c>
      <c r="D869" s="2" t="s">
        <v>8495</v>
      </c>
      <c r="E869" s="2" t="s">
        <v>8496</v>
      </c>
      <c r="G869" s="3" t="s">
        <v>64</v>
      </c>
      <c r="H869" s="3" t="s">
        <v>183</v>
      </c>
      <c r="I869" s="3" t="s">
        <v>64</v>
      </c>
      <c r="J869" s="3" t="s">
        <v>64</v>
      </c>
      <c r="K869" s="3" t="s">
        <v>65</v>
      </c>
      <c r="L869" s="2" t="s">
        <v>8497</v>
      </c>
      <c r="M869" s="2" t="s">
        <v>8498</v>
      </c>
      <c r="N869" s="3" t="s">
        <v>190</v>
      </c>
      <c r="P869" s="3" t="s">
        <v>102</v>
      </c>
      <c r="R869" s="3" t="s">
        <v>70</v>
      </c>
      <c r="S869" s="4">
        <v>0</v>
      </c>
      <c r="T869" s="4">
        <v>0</v>
      </c>
      <c r="W869" s="5" t="s">
        <v>175</v>
      </c>
      <c r="X869" s="5" t="s">
        <v>175</v>
      </c>
      <c r="Y869" s="4">
        <v>19</v>
      </c>
      <c r="Z869" s="4">
        <v>1</v>
      </c>
      <c r="AA869" s="4">
        <v>1</v>
      </c>
      <c r="AB869" s="4">
        <v>1</v>
      </c>
      <c r="AC869" s="4">
        <v>1</v>
      </c>
      <c r="AD869" s="4">
        <v>6</v>
      </c>
      <c r="AE869" s="4">
        <v>6</v>
      </c>
      <c r="AF869" s="4">
        <v>0</v>
      </c>
      <c r="AG869" s="4">
        <v>0</v>
      </c>
      <c r="AH869" s="4">
        <v>6</v>
      </c>
      <c r="AI869" s="4">
        <v>6</v>
      </c>
      <c r="AJ869" s="4">
        <v>0</v>
      </c>
      <c r="AK869" s="4">
        <v>0</v>
      </c>
      <c r="AL869" s="4">
        <v>5</v>
      </c>
      <c r="AM869" s="4">
        <v>5</v>
      </c>
      <c r="AN869" s="4">
        <v>0</v>
      </c>
      <c r="AO869" s="4">
        <v>0</v>
      </c>
      <c r="AP869" s="4">
        <v>0</v>
      </c>
      <c r="AQ869" s="4">
        <v>0</v>
      </c>
      <c r="AR869" s="3" t="s">
        <v>64</v>
      </c>
      <c r="AS869" s="3" t="s">
        <v>64</v>
      </c>
      <c r="AT869" s="3" t="s">
        <v>64</v>
      </c>
      <c r="AV869" s="6" t="str">
        <f>HYPERLINK("http://mcgill.on.worldcat.org/oclc/1055678030","Catalog Record")</f>
        <v>Catalog Record</v>
      </c>
      <c r="AW869" s="6" t="str">
        <f>HYPERLINK("http://www.worldcat.org/oclc/1055678030","WorldCat Record")</f>
        <v>WorldCat Record</v>
      </c>
      <c r="AX869" s="3" t="s">
        <v>8499</v>
      </c>
      <c r="AY869" s="3" t="s">
        <v>8500</v>
      </c>
      <c r="AZ869" s="3" t="s">
        <v>8501</v>
      </c>
      <c r="BA869" s="3" t="s">
        <v>8501</v>
      </c>
      <c r="BB869" s="3" t="s">
        <v>8502</v>
      </c>
      <c r="BC869" s="3" t="s">
        <v>77</v>
      </c>
      <c r="BD869" s="3" t="s">
        <v>78</v>
      </c>
      <c r="BE869" s="3" t="s">
        <v>8503</v>
      </c>
      <c r="BF869" s="3" t="s">
        <v>8502</v>
      </c>
      <c r="BG869" s="3" t="s">
        <v>8504</v>
      </c>
      <c r="BH869">
        <f t="shared" si="27"/>
        <v>0</v>
      </c>
    </row>
    <row r="870" spans="1:60" ht="58" x14ac:dyDescent="0.35">
      <c r="A870" s="2" t="s">
        <v>59</v>
      </c>
      <c r="B870" s="2" t="s">
        <v>60</v>
      </c>
      <c r="C870" s="2" t="s">
        <v>8505</v>
      </c>
      <c r="D870" s="2" t="s">
        <v>8506</v>
      </c>
      <c r="E870" s="2" t="s">
        <v>8507</v>
      </c>
      <c r="G870" s="3" t="s">
        <v>64</v>
      </c>
      <c r="I870" s="3" t="s">
        <v>64</v>
      </c>
      <c r="J870" s="3" t="s">
        <v>64</v>
      </c>
      <c r="K870" s="3" t="s">
        <v>65</v>
      </c>
      <c r="L870" s="2" t="s">
        <v>8508</v>
      </c>
      <c r="M870" s="2" t="s">
        <v>8509</v>
      </c>
      <c r="N870" s="3" t="s">
        <v>144</v>
      </c>
      <c r="P870" s="3" t="s">
        <v>102</v>
      </c>
      <c r="Q870" s="2" t="s">
        <v>8510</v>
      </c>
      <c r="R870" s="3" t="s">
        <v>70</v>
      </c>
      <c r="S870" s="4">
        <v>8</v>
      </c>
      <c r="T870" s="4">
        <v>8</v>
      </c>
      <c r="U870" s="5" t="s">
        <v>8511</v>
      </c>
      <c r="V870" s="5" t="s">
        <v>8511</v>
      </c>
      <c r="W870" s="5" t="s">
        <v>72</v>
      </c>
      <c r="X870" s="5" t="s">
        <v>72</v>
      </c>
      <c r="Y870" s="4">
        <v>142</v>
      </c>
      <c r="Z870" s="4">
        <v>19</v>
      </c>
      <c r="AA870" s="4">
        <v>25</v>
      </c>
      <c r="AB870" s="4">
        <v>3</v>
      </c>
      <c r="AC870" s="4">
        <v>8</v>
      </c>
      <c r="AD870" s="4">
        <v>40</v>
      </c>
      <c r="AE870" s="4">
        <v>49</v>
      </c>
      <c r="AF870" s="4">
        <v>0</v>
      </c>
      <c r="AG870" s="4">
        <v>3</v>
      </c>
      <c r="AH870" s="4">
        <v>30</v>
      </c>
      <c r="AI870" s="4">
        <v>37</v>
      </c>
      <c r="AJ870" s="4">
        <v>11</v>
      </c>
      <c r="AK870" s="4">
        <v>14</v>
      </c>
      <c r="AL870" s="4">
        <v>23</v>
      </c>
      <c r="AM870" s="4">
        <v>26</v>
      </c>
      <c r="AN870" s="4">
        <v>0</v>
      </c>
      <c r="AO870" s="4">
        <v>0</v>
      </c>
      <c r="AP870" s="4">
        <v>13</v>
      </c>
      <c r="AQ870" s="4">
        <v>16</v>
      </c>
      <c r="AR870" s="3" t="s">
        <v>64</v>
      </c>
      <c r="AS870" s="3" t="s">
        <v>64</v>
      </c>
      <c r="AT870" s="3" t="s">
        <v>128</v>
      </c>
      <c r="AU870" s="6" t="str">
        <f>HYPERLINK("http://catalog.hathitrust.org/Record/006308816","HathiTrust Record")</f>
        <v>HathiTrust Record</v>
      </c>
      <c r="AV870" s="6" t="str">
        <f>HYPERLINK("http://mcgill.on.worldcat.org/oclc/232713011","Catalog Record")</f>
        <v>Catalog Record</v>
      </c>
      <c r="AW870" s="6" t="str">
        <f>HYPERLINK("http://www.worldcat.org/oclc/232713011","WorldCat Record")</f>
        <v>WorldCat Record</v>
      </c>
      <c r="AX870" s="3" t="s">
        <v>8512</v>
      </c>
      <c r="AY870" s="3" t="s">
        <v>8513</v>
      </c>
      <c r="AZ870" s="3" t="s">
        <v>8514</v>
      </c>
      <c r="BA870" s="3" t="s">
        <v>8514</v>
      </c>
      <c r="BB870" s="3" t="s">
        <v>8515</v>
      </c>
      <c r="BC870" s="3" t="s">
        <v>77</v>
      </c>
      <c r="BD870" s="3" t="s">
        <v>78</v>
      </c>
      <c r="BE870" s="3" t="s">
        <v>8516</v>
      </c>
      <c r="BF870" s="3" t="s">
        <v>8515</v>
      </c>
      <c r="BG870" s="3" t="s">
        <v>8517</v>
      </c>
      <c r="BH870">
        <f t="shared" si="27"/>
        <v>0</v>
      </c>
    </row>
    <row r="871" spans="1:60" ht="58" x14ac:dyDescent="0.35">
      <c r="A871" s="2" t="s">
        <v>59</v>
      </c>
      <c r="B871" s="2" t="s">
        <v>60</v>
      </c>
      <c r="C871" s="2" t="s">
        <v>8518</v>
      </c>
      <c r="D871" s="2" t="s">
        <v>8519</v>
      </c>
      <c r="E871" s="2" t="s">
        <v>8520</v>
      </c>
      <c r="G871" s="3" t="s">
        <v>64</v>
      </c>
      <c r="I871" s="3" t="s">
        <v>64</v>
      </c>
      <c r="J871" s="3" t="s">
        <v>64</v>
      </c>
      <c r="K871" s="3" t="s">
        <v>65</v>
      </c>
      <c r="L871" s="2" t="s">
        <v>8521</v>
      </c>
      <c r="M871" s="2" t="s">
        <v>8522</v>
      </c>
      <c r="N871" s="3" t="s">
        <v>1075</v>
      </c>
      <c r="P871" s="3" t="s">
        <v>102</v>
      </c>
      <c r="R871" s="3" t="s">
        <v>70</v>
      </c>
      <c r="S871" s="4">
        <v>14</v>
      </c>
      <c r="T871" s="4">
        <v>14</v>
      </c>
      <c r="U871" s="5" t="s">
        <v>4142</v>
      </c>
      <c r="V871" s="5" t="s">
        <v>4142</v>
      </c>
      <c r="W871" s="5" t="s">
        <v>72</v>
      </c>
      <c r="X871" s="5" t="s">
        <v>72</v>
      </c>
      <c r="Y871" s="4">
        <v>255</v>
      </c>
      <c r="Z871" s="4">
        <v>21</v>
      </c>
      <c r="AA871" s="4">
        <v>69</v>
      </c>
      <c r="AB871" s="4">
        <v>1</v>
      </c>
      <c r="AC871" s="4">
        <v>6</v>
      </c>
      <c r="AD871" s="4">
        <v>71</v>
      </c>
      <c r="AE871" s="4">
        <v>113</v>
      </c>
      <c r="AF871" s="4">
        <v>0</v>
      </c>
      <c r="AG871" s="4">
        <v>2</v>
      </c>
      <c r="AH871" s="4">
        <v>62</v>
      </c>
      <c r="AI871" s="4">
        <v>87</v>
      </c>
      <c r="AJ871" s="4">
        <v>9</v>
      </c>
      <c r="AK871" s="4">
        <v>17</v>
      </c>
      <c r="AL871" s="4">
        <v>42</v>
      </c>
      <c r="AM871" s="4">
        <v>50</v>
      </c>
      <c r="AN871" s="4">
        <v>0</v>
      </c>
      <c r="AO871" s="4">
        <v>0</v>
      </c>
      <c r="AP871" s="4">
        <v>12</v>
      </c>
      <c r="AQ871" s="4">
        <v>31</v>
      </c>
      <c r="AR871" s="3" t="s">
        <v>64</v>
      </c>
      <c r="AS871" s="3" t="s">
        <v>64</v>
      </c>
      <c r="AT871" s="3" t="s">
        <v>64</v>
      </c>
      <c r="AV871" s="6" t="str">
        <f>HYPERLINK("http://mcgill.on.worldcat.org/oclc/814529370","Catalog Record")</f>
        <v>Catalog Record</v>
      </c>
      <c r="AW871" s="6" t="str">
        <f>HYPERLINK("http://www.worldcat.org/oclc/814529370","WorldCat Record")</f>
        <v>WorldCat Record</v>
      </c>
      <c r="AX871" s="3" t="s">
        <v>8523</v>
      </c>
      <c r="AY871" s="3" t="s">
        <v>8524</v>
      </c>
      <c r="AZ871" s="3" t="s">
        <v>8525</v>
      </c>
      <c r="BA871" s="3" t="s">
        <v>8525</v>
      </c>
      <c r="BB871" s="3" t="s">
        <v>8526</v>
      </c>
      <c r="BC871" s="3" t="s">
        <v>77</v>
      </c>
      <c r="BD871" s="3" t="s">
        <v>78</v>
      </c>
      <c r="BE871" s="3" t="s">
        <v>8527</v>
      </c>
      <c r="BF871" s="3" t="s">
        <v>8526</v>
      </c>
      <c r="BG871" s="3" t="s">
        <v>8528</v>
      </c>
      <c r="BH871">
        <f t="shared" si="27"/>
        <v>0</v>
      </c>
    </row>
    <row r="872" spans="1:60" ht="58" x14ac:dyDescent="0.35">
      <c r="A872" s="2" t="s">
        <v>59</v>
      </c>
      <c r="B872" s="2" t="s">
        <v>60</v>
      </c>
      <c r="C872" s="2" t="s">
        <v>8529</v>
      </c>
      <c r="D872" s="2" t="s">
        <v>8530</v>
      </c>
      <c r="E872" s="2" t="s">
        <v>8531</v>
      </c>
      <c r="G872" s="3" t="s">
        <v>64</v>
      </c>
      <c r="I872" s="3" t="s">
        <v>64</v>
      </c>
      <c r="J872" s="3" t="s">
        <v>64</v>
      </c>
      <c r="K872" s="3" t="s">
        <v>65</v>
      </c>
      <c r="M872" s="2" t="s">
        <v>8532</v>
      </c>
      <c r="N872" s="3" t="s">
        <v>116</v>
      </c>
      <c r="P872" s="3" t="s">
        <v>102</v>
      </c>
      <c r="R872" s="3" t="s">
        <v>70</v>
      </c>
      <c r="S872" s="4">
        <v>8</v>
      </c>
      <c r="T872" s="4">
        <v>8</v>
      </c>
      <c r="U872" s="5" t="s">
        <v>8533</v>
      </c>
      <c r="V872" s="5" t="s">
        <v>8533</v>
      </c>
      <c r="W872" s="5" t="s">
        <v>72</v>
      </c>
      <c r="X872" s="5" t="s">
        <v>72</v>
      </c>
      <c r="Y872" s="4">
        <v>14</v>
      </c>
      <c r="Z872" s="4">
        <v>4</v>
      </c>
      <c r="AA872" s="4">
        <v>4</v>
      </c>
      <c r="AB872" s="4">
        <v>2</v>
      </c>
      <c r="AC872" s="4">
        <v>2</v>
      </c>
      <c r="AD872" s="4">
        <v>10</v>
      </c>
      <c r="AE872" s="4">
        <v>10</v>
      </c>
      <c r="AF872" s="4">
        <v>0</v>
      </c>
      <c r="AG872" s="4">
        <v>0</v>
      </c>
      <c r="AH872" s="4">
        <v>8</v>
      </c>
      <c r="AI872" s="4">
        <v>8</v>
      </c>
      <c r="AJ872" s="4">
        <v>2</v>
      </c>
      <c r="AK872" s="4">
        <v>2</v>
      </c>
      <c r="AL872" s="4">
        <v>6</v>
      </c>
      <c r="AM872" s="4">
        <v>6</v>
      </c>
      <c r="AN872" s="4">
        <v>0</v>
      </c>
      <c r="AO872" s="4">
        <v>0</v>
      </c>
      <c r="AP872" s="4">
        <v>1</v>
      </c>
      <c r="AQ872" s="4">
        <v>1</v>
      </c>
      <c r="AR872" s="3" t="s">
        <v>128</v>
      </c>
      <c r="AS872" s="3" t="s">
        <v>64</v>
      </c>
      <c r="AT872" s="3" t="s">
        <v>128</v>
      </c>
      <c r="AU872" s="6" t="str">
        <f>HYPERLINK("http://catalog.hathitrust.org/Record/004239311","HathiTrust Record")</f>
        <v>HathiTrust Record</v>
      </c>
      <c r="AV872" s="6" t="str">
        <f>HYPERLINK("http://mcgill.on.worldcat.org/oclc/47990482","Catalog Record")</f>
        <v>Catalog Record</v>
      </c>
      <c r="AW872" s="6" t="str">
        <f>HYPERLINK("http://www.worldcat.org/oclc/47990482","WorldCat Record")</f>
        <v>WorldCat Record</v>
      </c>
      <c r="AX872" s="3" t="s">
        <v>8534</v>
      </c>
      <c r="AY872" s="3" t="s">
        <v>8535</v>
      </c>
      <c r="AZ872" s="3" t="s">
        <v>8536</v>
      </c>
      <c r="BA872" s="3" t="s">
        <v>8536</v>
      </c>
      <c r="BB872" s="3" t="s">
        <v>8537</v>
      </c>
      <c r="BC872" s="3" t="s">
        <v>77</v>
      </c>
      <c r="BD872" s="3" t="s">
        <v>78</v>
      </c>
      <c r="BE872" s="3" t="s">
        <v>8538</v>
      </c>
      <c r="BF872" s="3" t="s">
        <v>8537</v>
      </c>
      <c r="BG872" s="3" t="s">
        <v>8539</v>
      </c>
      <c r="BH872">
        <f t="shared" si="27"/>
        <v>0</v>
      </c>
    </row>
    <row r="873" spans="1:60" ht="58" x14ac:dyDescent="0.35">
      <c r="A873" s="2" t="s">
        <v>59</v>
      </c>
      <c r="B873" s="2" t="s">
        <v>60</v>
      </c>
      <c r="C873" s="2" t="s">
        <v>8540</v>
      </c>
      <c r="D873" s="2" t="s">
        <v>8541</v>
      </c>
      <c r="E873" s="2" t="s">
        <v>8542</v>
      </c>
      <c r="G873" s="3" t="s">
        <v>64</v>
      </c>
      <c r="I873" s="3" t="s">
        <v>64</v>
      </c>
      <c r="J873" s="3" t="s">
        <v>64</v>
      </c>
      <c r="K873" s="3" t="s">
        <v>65</v>
      </c>
      <c r="L873" s="2" t="s">
        <v>8543</v>
      </c>
      <c r="M873" s="2" t="s">
        <v>1349</v>
      </c>
      <c r="N873" s="3" t="s">
        <v>511</v>
      </c>
      <c r="P873" s="3" t="s">
        <v>102</v>
      </c>
      <c r="R873" s="3" t="s">
        <v>70</v>
      </c>
      <c r="S873" s="4">
        <v>1</v>
      </c>
      <c r="T873" s="4">
        <v>1</v>
      </c>
      <c r="U873" s="5" t="s">
        <v>8544</v>
      </c>
      <c r="V873" s="5" t="s">
        <v>8544</v>
      </c>
      <c r="W873" s="5" t="s">
        <v>72</v>
      </c>
      <c r="X873" s="5" t="s">
        <v>72</v>
      </c>
      <c r="Y873" s="4">
        <v>122</v>
      </c>
      <c r="Z873" s="4">
        <v>16</v>
      </c>
      <c r="AA873" s="4">
        <v>21</v>
      </c>
      <c r="AB873" s="4">
        <v>1</v>
      </c>
      <c r="AC873" s="4">
        <v>4</v>
      </c>
      <c r="AD873" s="4">
        <v>53</v>
      </c>
      <c r="AE873" s="4">
        <v>59</v>
      </c>
      <c r="AF873" s="4">
        <v>0</v>
      </c>
      <c r="AG873" s="4">
        <v>1</v>
      </c>
      <c r="AH873" s="4">
        <v>47</v>
      </c>
      <c r="AI873" s="4">
        <v>52</v>
      </c>
      <c r="AJ873" s="4">
        <v>12</v>
      </c>
      <c r="AK873" s="4">
        <v>14</v>
      </c>
      <c r="AL873" s="4">
        <v>28</v>
      </c>
      <c r="AM873" s="4">
        <v>31</v>
      </c>
      <c r="AN873" s="4">
        <v>0</v>
      </c>
      <c r="AO873" s="4">
        <v>0</v>
      </c>
      <c r="AP873" s="4">
        <v>12</v>
      </c>
      <c r="AQ873" s="4">
        <v>14</v>
      </c>
      <c r="AR873" s="3" t="s">
        <v>64</v>
      </c>
      <c r="AS873" s="3" t="s">
        <v>64</v>
      </c>
      <c r="AT873" s="3" t="s">
        <v>64</v>
      </c>
      <c r="AV873" s="6" t="str">
        <f>HYPERLINK("http://mcgill.on.worldcat.org/oclc/656768599","Catalog Record")</f>
        <v>Catalog Record</v>
      </c>
      <c r="AW873" s="6" t="str">
        <f>HYPERLINK("http://www.worldcat.org/oclc/656768599","WorldCat Record")</f>
        <v>WorldCat Record</v>
      </c>
      <c r="AX873" s="3" t="s">
        <v>8545</v>
      </c>
      <c r="AY873" s="3" t="s">
        <v>8546</v>
      </c>
      <c r="AZ873" s="3" t="s">
        <v>8547</v>
      </c>
      <c r="BA873" s="3" t="s">
        <v>8547</v>
      </c>
      <c r="BB873" s="3" t="s">
        <v>8548</v>
      </c>
      <c r="BC873" s="3" t="s">
        <v>77</v>
      </c>
      <c r="BD873" s="3" t="s">
        <v>78</v>
      </c>
      <c r="BE873" s="3" t="s">
        <v>8549</v>
      </c>
      <c r="BF873" s="3" t="s">
        <v>8548</v>
      </c>
      <c r="BG873" s="3" t="s">
        <v>8550</v>
      </c>
      <c r="BH873">
        <f t="shared" si="27"/>
        <v>0</v>
      </c>
    </row>
    <row r="874" spans="1:60" ht="58" x14ac:dyDescent="0.35">
      <c r="A874" s="2" t="s">
        <v>59</v>
      </c>
      <c r="B874" s="2" t="s">
        <v>60</v>
      </c>
      <c r="C874" s="2" t="s">
        <v>8551</v>
      </c>
      <c r="D874" s="2" t="s">
        <v>8552</v>
      </c>
      <c r="E874" s="2" t="s">
        <v>8553</v>
      </c>
      <c r="G874" s="3" t="s">
        <v>64</v>
      </c>
      <c r="I874" s="3" t="s">
        <v>64</v>
      </c>
      <c r="J874" s="3" t="s">
        <v>64</v>
      </c>
      <c r="K874" s="3" t="s">
        <v>65</v>
      </c>
      <c r="L874" s="2" t="s">
        <v>8554</v>
      </c>
      <c r="M874" s="2" t="s">
        <v>8555</v>
      </c>
      <c r="N874" s="3" t="s">
        <v>537</v>
      </c>
      <c r="P874" s="3" t="s">
        <v>102</v>
      </c>
      <c r="Q874" s="2" t="s">
        <v>8556</v>
      </c>
      <c r="R874" s="3" t="s">
        <v>70</v>
      </c>
      <c r="S874" s="4">
        <v>0</v>
      </c>
      <c r="T874" s="4">
        <v>0</v>
      </c>
      <c r="W874" s="5" t="s">
        <v>72</v>
      </c>
      <c r="X874" s="5" t="s">
        <v>72</v>
      </c>
      <c r="Y874" s="4">
        <v>10</v>
      </c>
      <c r="Z874" s="4">
        <v>2</v>
      </c>
      <c r="AA874" s="4">
        <v>8</v>
      </c>
      <c r="AB874" s="4">
        <v>1</v>
      </c>
      <c r="AC874" s="4">
        <v>4</v>
      </c>
      <c r="AD874" s="4">
        <v>6</v>
      </c>
      <c r="AE874" s="4">
        <v>37</v>
      </c>
      <c r="AF874" s="4">
        <v>0</v>
      </c>
      <c r="AG874" s="4">
        <v>0</v>
      </c>
      <c r="AH874" s="4">
        <v>5</v>
      </c>
      <c r="AI874" s="4">
        <v>34</v>
      </c>
      <c r="AJ874" s="4">
        <v>1</v>
      </c>
      <c r="AK874" s="4">
        <v>4</v>
      </c>
      <c r="AL874" s="4">
        <v>4</v>
      </c>
      <c r="AM874" s="4">
        <v>25</v>
      </c>
      <c r="AN874" s="4">
        <v>0</v>
      </c>
      <c r="AO874" s="4">
        <v>0</v>
      </c>
      <c r="AP874" s="4">
        <v>1</v>
      </c>
      <c r="AQ874" s="4">
        <v>4</v>
      </c>
      <c r="AR874" s="3" t="s">
        <v>64</v>
      </c>
      <c r="AS874" s="3" t="s">
        <v>64</v>
      </c>
      <c r="AT874" s="3" t="s">
        <v>64</v>
      </c>
      <c r="AV874" s="6" t="str">
        <f>HYPERLINK("http://mcgill.on.worldcat.org/oclc/965461616","Catalog Record")</f>
        <v>Catalog Record</v>
      </c>
      <c r="AW874" s="6" t="str">
        <f>HYPERLINK("http://www.worldcat.org/oclc/965461616","WorldCat Record")</f>
        <v>WorldCat Record</v>
      </c>
      <c r="AX874" s="3" t="s">
        <v>8557</v>
      </c>
      <c r="AY874" s="3" t="s">
        <v>8558</v>
      </c>
      <c r="AZ874" s="3" t="s">
        <v>8559</v>
      </c>
      <c r="BA874" s="3" t="s">
        <v>8559</v>
      </c>
      <c r="BB874" s="3" t="s">
        <v>8560</v>
      </c>
      <c r="BC874" s="3" t="s">
        <v>77</v>
      </c>
      <c r="BD874" s="3" t="s">
        <v>78</v>
      </c>
      <c r="BE874" s="3" t="s">
        <v>8561</v>
      </c>
      <c r="BF874" s="3" t="s">
        <v>8560</v>
      </c>
      <c r="BG874" s="3" t="s">
        <v>8562</v>
      </c>
      <c r="BH874">
        <f t="shared" si="27"/>
        <v>0</v>
      </c>
    </row>
    <row r="875" spans="1:60" ht="58" x14ac:dyDescent="0.35">
      <c r="A875" s="2" t="s">
        <v>59</v>
      </c>
      <c r="B875" s="2" t="s">
        <v>60</v>
      </c>
      <c r="C875" s="2" t="s">
        <v>8563</v>
      </c>
      <c r="D875" s="2" t="s">
        <v>8564</v>
      </c>
      <c r="E875" s="2" t="s">
        <v>8565</v>
      </c>
      <c r="G875" s="3" t="s">
        <v>64</v>
      </c>
      <c r="I875" s="3" t="s">
        <v>64</v>
      </c>
      <c r="J875" s="3" t="s">
        <v>64</v>
      </c>
      <c r="K875" s="3" t="s">
        <v>65</v>
      </c>
      <c r="M875" s="2" t="s">
        <v>697</v>
      </c>
      <c r="N875" s="3" t="s">
        <v>253</v>
      </c>
      <c r="O875" s="2" t="s">
        <v>117</v>
      </c>
      <c r="P875" s="3" t="s">
        <v>102</v>
      </c>
      <c r="R875" s="3" t="s">
        <v>70</v>
      </c>
      <c r="S875" s="4">
        <v>0</v>
      </c>
      <c r="T875" s="4">
        <v>0</v>
      </c>
      <c r="W875" s="5" t="s">
        <v>72</v>
      </c>
      <c r="X875" s="5" t="s">
        <v>72</v>
      </c>
      <c r="Y875" s="4">
        <v>87</v>
      </c>
      <c r="Z875" s="4">
        <v>7</v>
      </c>
      <c r="AA875" s="4">
        <v>7</v>
      </c>
      <c r="AB875" s="4">
        <v>1</v>
      </c>
      <c r="AC875" s="4">
        <v>1</v>
      </c>
      <c r="AD875" s="4">
        <v>43</v>
      </c>
      <c r="AE875" s="4">
        <v>44</v>
      </c>
      <c r="AF875" s="4">
        <v>0</v>
      </c>
      <c r="AG875" s="4">
        <v>0</v>
      </c>
      <c r="AH875" s="4">
        <v>41</v>
      </c>
      <c r="AI875" s="4">
        <v>42</v>
      </c>
      <c r="AJ875" s="4">
        <v>4</v>
      </c>
      <c r="AK875" s="4">
        <v>4</v>
      </c>
      <c r="AL875" s="4">
        <v>31</v>
      </c>
      <c r="AM875" s="4">
        <v>32</v>
      </c>
      <c r="AN875" s="4">
        <v>0</v>
      </c>
      <c r="AO875" s="4">
        <v>0</v>
      </c>
      <c r="AP875" s="4">
        <v>4</v>
      </c>
      <c r="AQ875" s="4">
        <v>4</v>
      </c>
      <c r="AR875" s="3" t="s">
        <v>64</v>
      </c>
      <c r="AS875" s="3" t="s">
        <v>64</v>
      </c>
      <c r="AT875" s="3" t="s">
        <v>64</v>
      </c>
      <c r="AV875" s="6" t="str">
        <f>HYPERLINK("http://mcgill.on.worldcat.org/oclc/910885911","Catalog Record")</f>
        <v>Catalog Record</v>
      </c>
      <c r="AW875" s="6" t="str">
        <f>HYPERLINK("http://www.worldcat.org/oclc/910885911","WorldCat Record")</f>
        <v>WorldCat Record</v>
      </c>
      <c r="AX875" s="3" t="s">
        <v>8566</v>
      </c>
      <c r="AY875" s="3" t="s">
        <v>8567</v>
      </c>
      <c r="AZ875" s="3" t="s">
        <v>8568</v>
      </c>
      <c r="BA875" s="3" t="s">
        <v>8568</v>
      </c>
      <c r="BB875" s="3" t="s">
        <v>8569</v>
      </c>
      <c r="BC875" s="3" t="s">
        <v>77</v>
      </c>
      <c r="BD875" s="3" t="s">
        <v>78</v>
      </c>
      <c r="BE875" s="3" t="s">
        <v>8570</v>
      </c>
      <c r="BF875" s="3" t="s">
        <v>8569</v>
      </c>
      <c r="BG875" s="3" t="s">
        <v>8571</v>
      </c>
      <c r="BH875">
        <f t="shared" si="27"/>
        <v>0</v>
      </c>
    </row>
    <row r="876" spans="1:60" ht="58" x14ac:dyDescent="0.35">
      <c r="A876" s="2" t="s">
        <v>59</v>
      </c>
      <c r="B876" s="2" t="s">
        <v>60</v>
      </c>
      <c r="C876" s="2" t="s">
        <v>8572</v>
      </c>
      <c r="D876" s="2" t="s">
        <v>8573</v>
      </c>
      <c r="E876" s="2" t="s">
        <v>8574</v>
      </c>
      <c r="G876" s="3" t="s">
        <v>64</v>
      </c>
      <c r="I876" s="3" t="s">
        <v>64</v>
      </c>
      <c r="J876" s="3" t="s">
        <v>64</v>
      </c>
      <c r="K876" s="3" t="s">
        <v>65</v>
      </c>
      <c r="L876" s="2" t="s">
        <v>8575</v>
      </c>
      <c r="M876" s="2" t="s">
        <v>8576</v>
      </c>
      <c r="N876" s="3" t="s">
        <v>1492</v>
      </c>
      <c r="P876" s="3" t="s">
        <v>102</v>
      </c>
      <c r="R876" s="3" t="s">
        <v>70</v>
      </c>
      <c r="S876" s="4">
        <v>0</v>
      </c>
      <c r="T876" s="4">
        <v>0</v>
      </c>
      <c r="W876" s="5" t="s">
        <v>8577</v>
      </c>
      <c r="X876" s="5" t="s">
        <v>8577</v>
      </c>
      <c r="Y876" s="4">
        <v>27</v>
      </c>
      <c r="Z876" s="4">
        <v>1</v>
      </c>
      <c r="AA876" s="4">
        <v>3</v>
      </c>
      <c r="AB876" s="4">
        <v>1</v>
      </c>
      <c r="AC876" s="4">
        <v>3</v>
      </c>
      <c r="AD876" s="4">
        <v>5</v>
      </c>
      <c r="AE876" s="4">
        <v>5</v>
      </c>
      <c r="AF876" s="4">
        <v>0</v>
      </c>
      <c r="AG876" s="4">
        <v>0</v>
      </c>
      <c r="AH876" s="4">
        <v>4</v>
      </c>
      <c r="AI876" s="4">
        <v>4</v>
      </c>
      <c r="AJ876" s="4">
        <v>0</v>
      </c>
      <c r="AK876" s="4">
        <v>0</v>
      </c>
      <c r="AL876" s="4">
        <v>4</v>
      </c>
      <c r="AM876" s="4">
        <v>4</v>
      </c>
      <c r="AN876" s="4">
        <v>0</v>
      </c>
      <c r="AO876" s="4">
        <v>0</v>
      </c>
      <c r="AP876" s="4">
        <v>0</v>
      </c>
      <c r="AQ876" s="4">
        <v>0</v>
      </c>
      <c r="AR876" s="3" t="s">
        <v>64</v>
      </c>
      <c r="AS876" s="3" t="s">
        <v>64</v>
      </c>
      <c r="AT876" s="3" t="s">
        <v>64</v>
      </c>
      <c r="AV876" s="6" t="str">
        <f>HYPERLINK("http://mcgill.on.worldcat.org/oclc/1040193458","Catalog Record")</f>
        <v>Catalog Record</v>
      </c>
      <c r="AW876" s="6" t="str">
        <f>HYPERLINK("http://www.worldcat.org/oclc/1040193458","WorldCat Record")</f>
        <v>WorldCat Record</v>
      </c>
      <c r="AX876" s="3" t="s">
        <v>8578</v>
      </c>
      <c r="AY876" s="3" t="s">
        <v>8579</v>
      </c>
      <c r="AZ876" s="3" t="s">
        <v>8580</v>
      </c>
      <c r="BA876" s="3" t="s">
        <v>8580</v>
      </c>
      <c r="BB876" s="3" t="s">
        <v>8581</v>
      </c>
      <c r="BC876" s="3" t="s">
        <v>77</v>
      </c>
      <c r="BD876" s="3" t="s">
        <v>78</v>
      </c>
      <c r="BE876" s="3" t="s">
        <v>8582</v>
      </c>
      <c r="BF876" s="3" t="s">
        <v>8581</v>
      </c>
      <c r="BG876" s="3" t="s">
        <v>8583</v>
      </c>
      <c r="BH876">
        <f t="shared" si="27"/>
        <v>0</v>
      </c>
    </row>
    <row r="877" spans="1:60" ht="58" x14ac:dyDescent="0.35">
      <c r="A877" s="2" t="s">
        <v>59</v>
      </c>
      <c r="B877" s="2" t="s">
        <v>60</v>
      </c>
      <c r="C877" s="2" t="s">
        <v>8587</v>
      </c>
      <c r="D877" s="2" t="s">
        <v>8588</v>
      </c>
      <c r="E877" s="2" t="s">
        <v>8589</v>
      </c>
      <c r="G877" s="3" t="s">
        <v>64</v>
      </c>
      <c r="I877" s="3" t="s">
        <v>64</v>
      </c>
      <c r="J877" s="3" t="s">
        <v>64</v>
      </c>
      <c r="K877" s="3" t="s">
        <v>65</v>
      </c>
      <c r="L877" s="2" t="s">
        <v>8590</v>
      </c>
      <c r="M877" s="2" t="s">
        <v>8591</v>
      </c>
      <c r="N877" s="3" t="s">
        <v>392</v>
      </c>
      <c r="P877" s="3" t="s">
        <v>102</v>
      </c>
      <c r="Q877" s="2" t="s">
        <v>8592</v>
      </c>
      <c r="R877" s="3" t="s">
        <v>70</v>
      </c>
      <c r="S877" s="4">
        <v>3</v>
      </c>
      <c r="T877" s="4">
        <v>3</v>
      </c>
      <c r="U877" s="5" t="s">
        <v>1751</v>
      </c>
      <c r="V877" s="5" t="s">
        <v>1751</v>
      </c>
      <c r="W877" s="5" t="s">
        <v>72</v>
      </c>
      <c r="X877" s="5" t="s">
        <v>72</v>
      </c>
      <c r="Y877" s="4">
        <v>296</v>
      </c>
      <c r="Z877" s="4">
        <v>11</v>
      </c>
      <c r="AA877" s="4">
        <v>11</v>
      </c>
      <c r="AB877" s="4">
        <v>1</v>
      </c>
      <c r="AC877" s="4">
        <v>1</v>
      </c>
      <c r="AD877" s="4">
        <v>63</v>
      </c>
      <c r="AE877" s="4">
        <v>63</v>
      </c>
      <c r="AF877" s="4">
        <v>0</v>
      </c>
      <c r="AG877" s="4">
        <v>0</v>
      </c>
      <c r="AH877" s="4">
        <v>59</v>
      </c>
      <c r="AI877" s="4">
        <v>59</v>
      </c>
      <c r="AJ877" s="4">
        <v>7</v>
      </c>
      <c r="AK877" s="4">
        <v>7</v>
      </c>
      <c r="AL877" s="4">
        <v>29</v>
      </c>
      <c r="AM877" s="4">
        <v>29</v>
      </c>
      <c r="AN877" s="4">
        <v>0</v>
      </c>
      <c r="AO877" s="4">
        <v>0</v>
      </c>
      <c r="AP877" s="4">
        <v>8</v>
      </c>
      <c r="AQ877" s="4">
        <v>8</v>
      </c>
      <c r="AR877" s="3" t="s">
        <v>64</v>
      </c>
      <c r="AS877" s="3" t="s">
        <v>64</v>
      </c>
      <c r="AT877" s="3" t="s">
        <v>64</v>
      </c>
      <c r="AV877" s="6" t="str">
        <f>HYPERLINK("http://mcgill.on.worldcat.org/oclc/41338166","Catalog Record")</f>
        <v>Catalog Record</v>
      </c>
      <c r="AW877" s="6" t="str">
        <f>HYPERLINK("http://www.worldcat.org/oclc/41338166","WorldCat Record")</f>
        <v>WorldCat Record</v>
      </c>
      <c r="AX877" s="3" t="s">
        <v>8593</v>
      </c>
      <c r="AY877" s="3" t="s">
        <v>8594</v>
      </c>
      <c r="AZ877" s="3" t="s">
        <v>8595</v>
      </c>
      <c r="BA877" s="3" t="s">
        <v>8595</v>
      </c>
      <c r="BB877" s="3" t="s">
        <v>8596</v>
      </c>
      <c r="BC877" s="3" t="s">
        <v>77</v>
      </c>
      <c r="BD877" s="3" t="s">
        <v>78</v>
      </c>
      <c r="BE877" s="3" t="s">
        <v>8597</v>
      </c>
      <c r="BF877" s="3" t="s">
        <v>8596</v>
      </c>
      <c r="BG877" s="3" t="s">
        <v>8598</v>
      </c>
      <c r="BH877">
        <f t="shared" si="27"/>
        <v>0</v>
      </c>
    </row>
    <row r="878" spans="1:60" ht="58" x14ac:dyDescent="0.35">
      <c r="A878" s="2" t="s">
        <v>59</v>
      </c>
      <c r="B878" s="2" t="s">
        <v>60</v>
      </c>
      <c r="C878" s="2" t="s">
        <v>8599</v>
      </c>
      <c r="D878" s="2" t="s">
        <v>8600</v>
      </c>
      <c r="E878" s="2" t="s">
        <v>8601</v>
      </c>
      <c r="G878" s="3" t="s">
        <v>64</v>
      </c>
      <c r="I878" s="3" t="s">
        <v>64</v>
      </c>
      <c r="J878" s="3" t="s">
        <v>64</v>
      </c>
      <c r="K878" s="3" t="s">
        <v>65</v>
      </c>
      <c r="L878" s="2" t="s">
        <v>8602</v>
      </c>
      <c r="M878" s="2" t="s">
        <v>8603</v>
      </c>
      <c r="N878" s="3" t="s">
        <v>1075</v>
      </c>
      <c r="O878" s="2" t="s">
        <v>8604</v>
      </c>
      <c r="P878" s="3" t="s">
        <v>102</v>
      </c>
      <c r="R878" s="3" t="s">
        <v>70</v>
      </c>
      <c r="S878" s="4">
        <v>0</v>
      </c>
      <c r="T878" s="4">
        <v>0</v>
      </c>
      <c r="W878" s="5" t="s">
        <v>72</v>
      </c>
      <c r="X878" s="5" t="s">
        <v>72</v>
      </c>
      <c r="Y878" s="4">
        <v>50</v>
      </c>
      <c r="Z878" s="4">
        <v>3</v>
      </c>
      <c r="AA878" s="4">
        <v>3</v>
      </c>
      <c r="AB878" s="4">
        <v>2</v>
      </c>
      <c r="AC878" s="4">
        <v>2</v>
      </c>
      <c r="AD878" s="4">
        <v>11</v>
      </c>
      <c r="AE878" s="4">
        <v>11</v>
      </c>
      <c r="AF878" s="4">
        <v>0</v>
      </c>
      <c r="AG878" s="4">
        <v>0</v>
      </c>
      <c r="AH878" s="4">
        <v>11</v>
      </c>
      <c r="AI878" s="4">
        <v>11</v>
      </c>
      <c r="AJ878" s="4">
        <v>1</v>
      </c>
      <c r="AK878" s="4">
        <v>1</v>
      </c>
      <c r="AL878" s="4">
        <v>7</v>
      </c>
      <c r="AM878" s="4">
        <v>7</v>
      </c>
      <c r="AN878" s="4">
        <v>0</v>
      </c>
      <c r="AO878" s="4">
        <v>0</v>
      </c>
      <c r="AP878" s="4">
        <v>1</v>
      </c>
      <c r="AQ878" s="4">
        <v>1</v>
      </c>
      <c r="AR878" s="3" t="s">
        <v>64</v>
      </c>
      <c r="AS878" s="3" t="s">
        <v>64</v>
      </c>
      <c r="AT878" s="3" t="s">
        <v>64</v>
      </c>
      <c r="AV878" s="6" t="str">
        <f>HYPERLINK("http://mcgill.on.worldcat.org/oclc/870530365","Catalog Record")</f>
        <v>Catalog Record</v>
      </c>
      <c r="AW878" s="6" t="str">
        <f>HYPERLINK("http://www.worldcat.org/oclc/870530365","WorldCat Record")</f>
        <v>WorldCat Record</v>
      </c>
      <c r="AX878" s="3" t="s">
        <v>8605</v>
      </c>
      <c r="AY878" s="3" t="s">
        <v>8606</v>
      </c>
      <c r="AZ878" s="3" t="s">
        <v>8607</v>
      </c>
      <c r="BA878" s="3" t="s">
        <v>8607</v>
      </c>
      <c r="BB878" s="3" t="s">
        <v>8608</v>
      </c>
      <c r="BC878" s="3" t="s">
        <v>77</v>
      </c>
      <c r="BD878" s="3" t="s">
        <v>78</v>
      </c>
      <c r="BE878" s="3" t="s">
        <v>8609</v>
      </c>
      <c r="BF878" s="3" t="s">
        <v>8608</v>
      </c>
      <c r="BG878" s="3" t="s">
        <v>8610</v>
      </c>
      <c r="BH878">
        <f t="shared" si="27"/>
        <v>0</v>
      </c>
    </row>
    <row r="879" spans="1:60" ht="58" x14ac:dyDescent="0.35">
      <c r="A879" s="2" t="s">
        <v>59</v>
      </c>
      <c r="B879" s="2" t="s">
        <v>60</v>
      </c>
      <c r="C879" s="2" t="s">
        <v>8611</v>
      </c>
      <c r="D879" s="2" t="s">
        <v>8612</v>
      </c>
      <c r="E879" s="2" t="s">
        <v>8613</v>
      </c>
      <c r="G879" s="3" t="s">
        <v>64</v>
      </c>
      <c r="I879" s="3" t="s">
        <v>64</v>
      </c>
      <c r="J879" s="3" t="s">
        <v>64</v>
      </c>
      <c r="K879" s="3" t="s">
        <v>65</v>
      </c>
      <c r="L879" s="2" t="s">
        <v>8614</v>
      </c>
      <c r="M879" s="2" t="s">
        <v>8615</v>
      </c>
      <c r="N879" s="3" t="s">
        <v>67</v>
      </c>
      <c r="P879" s="3" t="s">
        <v>68</v>
      </c>
      <c r="Q879" s="2" t="s">
        <v>8616</v>
      </c>
      <c r="R879" s="3" t="s">
        <v>70</v>
      </c>
      <c r="S879" s="4">
        <v>1</v>
      </c>
      <c r="T879" s="4">
        <v>1</v>
      </c>
      <c r="U879" s="5" t="s">
        <v>8617</v>
      </c>
      <c r="V879" s="5" t="s">
        <v>8617</v>
      </c>
      <c r="W879" s="5" t="s">
        <v>72</v>
      </c>
      <c r="X879" s="5" t="s">
        <v>72</v>
      </c>
      <c r="Y879" s="4">
        <v>26</v>
      </c>
      <c r="Z879" s="4">
        <v>3</v>
      </c>
      <c r="AA879" s="4">
        <v>4</v>
      </c>
      <c r="AB879" s="4">
        <v>1</v>
      </c>
      <c r="AC879" s="4">
        <v>2</v>
      </c>
      <c r="AD879" s="4">
        <v>13</v>
      </c>
      <c r="AE879" s="4">
        <v>15</v>
      </c>
      <c r="AF879" s="4">
        <v>0</v>
      </c>
      <c r="AG879" s="4">
        <v>1</v>
      </c>
      <c r="AH879" s="4">
        <v>12</v>
      </c>
      <c r="AI879" s="4">
        <v>13</v>
      </c>
      <c r="AJ879" s="4">
        <v>1</v>
      </c>
      <c r="AK879" s="4">
        <v>2</v>
      </c>
      <c r="AL879" s="4">
        <v>10</v>
      </c>
      <c r="AM879" s="4">
        <v>11</v>
      </c>
      <c r="AN879" s="4">
        <v>0</v>
      </c>
      <c r="AO879" s="4">
        <v>0</v>
      </c>
      <c r="AP879" s="4">
        <v>1</v>
      </c>
      <c r="AQ879" s="4">
        <v>2</v>
      </c>
      <c r="AR879" s="3" t="s">
        <v>64</v>
      </c>
      <c r="AS879" s="3" t="s">
        <v>64</v>
      </c>
      <c r="AT879" s="3" t="s">
        <v>64</v>
      </c>
      <c r="AV879" s="6" t="str">
        <f>HYPERLINK("http://mcgill.on.worldcat.org/oclc/894847221","Catalog Record")</f>
        <v>Catalog Record</v>
      </c>
      <c r="AW879" s="6" t="str">
        <f>HYPERLINK("http://www.worldcat.org/oclc/894847221","WorldCat Record")</f>
        <v>WorldCat Record</v>
      </c>
      <c r="AX879" s="3" t="s">
        <v>8618</v>
      </c>
      <c r="AY879" s="3" t="s">
        <v>8619</v>
      </c>
      <c r="AZ879" s="3" t="s">
        <v>8620</v>
      </c>
      <c r="BA879" s="3" t="s">
        <v>8620</v>
      </c>
      <c r="BB879" s="3" t="s">
        <v>8621</v>
      </c>
      <c r="BC879" s="3" t="s">
        <v>77</v>
      </c>
      <c r="BD879" s="3" t="s">
        <v>78</v>
      </c>
      <c r="BE879" s="3" t="s">
        <v>8622</v>
      </c>
      <c r="BF879" s="3" t="s">
        <v>8621</v>
      </c>
      <c r="BG879" s="3" t="s">
        <v>8623</v>
      </c>
      <c r="BH879">
        <f t="shared" si="27"/>
        <v>0</v>
      </c>
    </row>
    <row r="880" spans="1:60" ht="58" x14ac:dyDescent="0.35">
      <c r="A880" s="2" t="s">
        <v>59</v>
      </c>
      <c r="B880" s="2" t="s">
        <v>60</v>
      </c>
      <c r="C880" s="2" t="s">
        <v>8624</v>
      </c>
      <c r="D880" s="2" t="s">
        <v>8625</v>
      </c>
      <c r="E880" s="2" t="s">
        <v>8626</v>
      </c>
      <c r="G880" s="3" t="s">
        <v>64</v>
      </c>
      <c r="I880" s="3" t="s">
        <v>64</v>
      </c>
      <c r="J880" s="3" t="s">
        <v>64</v>
      </c>
      <c r="K880" s="3" t="s">
        <v>65</v>
      </c>
      <c r="L880" s="2" t="s">
        <v>8627</v>
      </c>
      <c r="M880" s="2" t="s">
        <v>8628</v>
      </c>
      <c r="N880" s="3" t="s">
        <v>67</v>
      </c>
      <c r="P880" s="3" t="s">
        <v>68</v>
      </c>
      <c r="Q880" s="2" t="s">
        <v>8629</v>
      </c>
      <c r="R880" s="3" t="s">
        <v>70</v>
      </c>
      <c r="S880" s="4">
        <v>2</v>
      </c>
      <c r="T880" s="4">
        <v>2</v>
      </c>
      <c r="U880" s="5" t="s">
        <v>8630</v>
      </c>
      <c r="V880" s="5" t="s">
        <v>8630</v>
      </c>
      <c r="W880" s="5" t="s">
        <v>72</v>
      </c>
      <c r="X880" s="5" t="s">
        <v>72</v>
      </c>
      <c r="Y880" s="4">
        <v>160</v>
      </c>
      <c r="Z880" s="4">
        <v>18</v>
      </c>
      <c r="AA880" s="4">
        <v>24</v>
      </c>
      <c r="AB880" s="4">
        <v>1</v>
      </c>
      <c r="AC880" s="4">
        <v>6</v>
      </c>
      <c r="AD880" s="4">
        <v>74</v>
      </c>
      <c r="AE880" s="4">
        <v>78</v>
      </c>
      <c r="AF880" s="4">
        <v>0</v>
      </c>
      <c r="AG880" s="4">
        <v>3</v>
      </c>
      <c r="AH880" s="4">
        <v>69</v>
      </c>
      <c r="AI880" s="4">
        <v>71</v>
      </c>
      <c r="AJ880" s="4">
        <v>14</v>
      </c>
      <c r="AK880" s="4">
        <v>18</v>
      </c>
      <c r="AL880" s="4">
        <v>39</v>
      </c>
      <c r="AM880" s="4">
        <v>39</v>
      </c>
      <c r="AN880" s="4">
        <v>0</v>
      </c>
      <c r="AO880" s="4">
        <v>0</v>
      </c>
      <c r="AP880" s="4">
        <v>14</v>
      </c>
      <c r="AQ880" s="4">
        <v>17</v>
      </c>
      <c r="AR880" s="3" t="s">
        <v>64</v>
      </c>
      <c r="AS880" s="3" t="s">
        <v>64</v>
      </c>
      <c r="AT880" s="3" t="s">
        <v>64</v>
      </c>
      <c r="AV880" s="6" t="str">
        <f>HYPERLINK("http://mcgill.on.worldcat.org/oclc/866583647","Catalog Record")</f>
        <v>Catalog Record</v>
      </c>
      <c r="AW880" s="6" t="str">
        <f>HYPERLINK("http://www.worldcat.org/oclc/866583647","WorldCat Record")</f>
        <v>WorldCat Record</v>
      </c>
      <c r="AX880" s="3" t="s">
        <v>8631</v>
      </c>
      <c r="AY880" s="3" t="s">
        <v>8632</v>
      </c>
      <c r="AZ880" s="3" t="s">
        <v>8633</v>
      </c>
      <c r="BA880" s="3" t="s">
        <v>8633</v>
      </c>
      <c r="BB880" s="3" t="s">
        <v>8634</v>
      </c>
      <c r="BC880" s="3" t="s">
        <v>77</v>
      </c>
      <c r="BD880" s="3" t="s">
        <v>78</v>
      </c>
      <c r="BE880" s="3" t="s">
        <v>8635</v>
      </c>
      <c r="BF880" s="3" t="s">
        <v>8634</v>
      </c>
      <c r="BG880" s="3" t="s">
        <v>8636</v>
      </c>
      <c r="BH880">
        <f t="shared" si="27"/>
        <v>0</v>
      </c>
    </row>
    <row r="881" spans="1:60" ht="58" x14ac:dyDescent="0.35">
      <c r="A881" s="2" t="s">
        <v>59</v>
      </c>
      <c r="B881" s="2" t="s">
        <v>60</v>
      </c>
      <c r="C881" s="2" t="s">
        <v>8637</v>
      </c>
      <c r="D881" s="2" t="s">
        <v>8638</v>
      </c>
      <c r="E881" s="2" t="s">
        <v>8639</v>
      </c>
      <c r="G881" s="3" t="s">
        <v>64</v>
      </c>
      <c r="I881" s="3" t="s">
        <v>64</v>
      </c>
      <c r="J881" s="3" t="s">
        <v>64</v>
      </c>
      <c r="K881" s="3" t="s">
        <v>65</v>
      </c>
      <c r="L881" s="2" t="s">
        <v>8640</v>
      </c>
      <c r="M881" s="2" t="s">
        <v>8641</v>
      </c>
      <c r="N881" s="3" t="s">
        <v>291</v>
      </c>
      <c r="O881" s="2" t="s">
        <v>8642</v>
      </c>
      <c r="P881" s="3" t="s">
        <v>102</v>
      </c>
      <c r="R881" s="3" t="s">
        <v>70</v>
      </c>
      <c r="S881" s="4">
        <v>2</v>
      </c>
      <c r="T881" s="4">
        <v>2</v>
      </c>
      <c r="U881" s="5" t="s">
        <v>8643</v>
      </c>
      <c r="V881" s="5" t="s">
        <v>8643</v>
      </c>
      <c r="W881" s="5" t="s">
        <v>72</v>
      </c>
      <c r="X881" s="5" t="s">
        <v>72</v>
      </c>
      <c r="Y881" s="4">
        <v>101</v>
      </c>
      <c r="Z881" s="4">
        <v>18</v>
      </c>
      <c r="AA881" s="4">
        <v>19</v>
      </c>
      <c r="AB881" s="4">
        <v>1</v>
      </c>
      <c r="AC881" s="4">
        <v>2</v>
      </c>
      <c r="AD881" s="4">
        <v>42</v>
      </c>
      <c r="AE881" s="4">
        <v>49</v>
      </c>
      <c r="AF881" s="4">
        <v>0</v>
      </c>
      <c r="AG881" s="4">
        <v>1</v>
      </c>
      <c r="AH881" s="4">
        <v>38</v>
      </c>
      <c r="AI881" s="4">
        <v>43</v>
      </c>
      <c r="AJ881" s="4">
        <v>10</v>
      </c>
      <c r="AK881" s="4">
        <v>11</v>
      </c>
      <c r="AL881" s="4">
        <v>24</v>
      </c>
      <c r="AM881" s="4">
        <v>29</v>
      </c>
      <c r="AN881" s="4">
        <v>0</v>
      </c>
      <c r="AO881" s="4">
        <v>0</v>
      </c>
      <c r="AP881" s="4">
        <v>10</v>
      </c>
      <c r="AQ881" s="4">
        <v>10</v>
      </c>
      <c r="AR881" s="3" t="s">
        <v>64</v>
      </c>
      <c r="AS881" s="3" t="s">
        <v>64</v>
      </c>
      <c r="AT881" s="3" t="s">
        <v>64</v>
      </c>
      <c r="AV881" s="6" t="str">
        <f>HYPERLINK("http://mcgill.on.worldcat.org/oclc/128236646","Catalog Record")</f>
        <v>Catalog Record</v>
      </c>
      <c r="AW881" s="6" t="str">
        <f>HYPERLINK("http://www.worldcat.org/oclc/128236646","WorldCat Record")</f>
        <v>WorldCat Record</v>
      </c>
      <c r="AX881" s="3" t="s">
        <v>8644</v>
      </c>
      <c r="AY881" s="3" t="s">
        <v>8645</v>
      </c>
      <c r="AZ881" s="3" t="s">
        <v>8646</v>
      </c>
      <c r="BA881" s="3" t="s">
        <v>8646</v>
      </c>
      <c r="BB881" s="3" t="s">
        <v>8647</v>
      </c>
      <c r="BC881" s="3" t="s">
        <v>77</v>
      </c>
      <c r="BD881" s="3" t="s">
        <v>78</v>
      </c>
      <c r="BE881" s="3" t="s">
        <v>8648</v>
      </c>
      <c r="BF881" s="3" t="s">
        <v>8647</v>
      </c>
      <c r="BG881" s="3" t="s">
        <v>8649</v>
      </c>
      <c r="BH881">
        <f t="shared" si="27"/>
        <v>0</v>
      </c>
    </row>
    <row r="882" spans="1:60" ht="58" x14ac:dyDescent="0.35">
      <c r="A882" s="2" t="s">
        <v>59</v>
      </c>
      <c r="B882" s="2" t="s">
        <v>7607</v>
      </c>
      <c r="C882" s="2" t="s">
        <v>8650</v>
      </c>
      <c r="D882" s="2" t="s">
        <v>8651</v>
      </c>
      <c r="E882" s="2" t="s">
        <v>8652</v>
      </c>
      <c r="G882" s="3" t="s">
        <v>64</v>
      </c>
      <c r="I882" s="3" t="s">
        <v>64</v>
      </c>
      <c r="J882" s="3" t="s">
        <v>64</v>
      </c>
      <c r="K882" s="3" t="s">
        <v>65</v>
      </c>
      <c r="L882" s="2" t="s">
        <v>8653</v>
      </c>
      <c r="M882" s="2" t="s">
        <v>8654</v>
      </c>
      <c r="N882" s="3" t="s">
        <v>190</v>
      </c>
      <c r="P882" s="3" t="s">
        <v>102</v>
      </c>
      <c r="R882" s="3" t="s">
        <v>70</v>
      </c>
      <c r="S882" s="4">
        <v>0</v>
      </c>
      <c r="T882" s="4">
        <v>0</v>
      </c>
      <c r="W882" s="5" t="s">
        <v>8655</v>
      </c>
      <c r="X882" s="5" t="s">
        <v>8655</v>
      </c>
      <c r="Y882" s="4">
        <v>32</v>
      </c>
      <c r="Z882" s="4">
        <v>2</v>
      </c>
      <c r="AA882" s="4">
        <v>2</v>
      </c>
      <c r="AB882" s="4">
        <v>1</v>
      </c>
      <c r="AC882" s="4">
        <v>1</v>
      </c>
      <c r="AD882" s="4">
        <v>14</v>
      </c>
      <c r="AE882" s="4">
        <v>14</v>
      </c>
      <c r="AF882" s="4">
        <v>0</v>
      </c>
      <c r="AG882" s="4">
        <v>0</v>
      </c>
      <c r="AH882" s="4">
        <v>13</v>
      </c>
      <c r="AI882" s="4">
        <v>13</v>
      </c>
      <c r="AJ882" s="4">
        <v>1</v>
      </c>
      <c r="AK882" s="4">
        <v>1</v>
      </c>
      <c r="AL882" s="4">
        <v>12</v>
      </c>
      <c r="AM882" s="4">
        <v>12</v>
      </c>
      <c r="AN882" s="4">
        <v>0</v>
      </c>
      <c r="AO882" s="4">
        <v>0</v>
      </c>
      <c r="AP882" s="4">
        <v>1</v>
      </c>
      <c r="AQ882" s="4">
        <v>1</v>
      </c>
      <c r="AR882" s="3" t="s">
        <v>64</v>
      </c>
      <c r="AS882" s="3" t="s">
        <v>64</v>
      </c>
      <c r="AT882" s="3" t="s">
        <v>64</v>
      </c>
      <c r="AV882" s="6" t="str">
        <f>HYPERLINK("http://mcgill.on.worldcat.org/oclc/1028578594","Catalog Record")</f>
        <v>Catalog Record</v>
      </c>
      <c r="AW882" s="6" t="str">
        <f>HYPERLINK("http://www.worldcat.org/oclc/1028578594","WorldCat Record")</f>
        <v>WorldCat Record</v>
      </c>
      <c r="AX882" s="3" t="s">
        <v>8656</v>
      </c>
      <c r="AY882" s="3" t="s">
        <v>8657</v>
      </c>
      <c r="AZ882" s="3" t="s">
        <v>8658</v>
      </c>
      <c r="BA882" s="3" t="s">
        <v>8658</v>
      </c>
      <c r="BB882" s="3" t="s">
        <v>8659</v>
      </c>
      <c r="BC882" s="3" t="s">
        <v>77</v>
      </c>
      <c r="BD882" s="3" t="s">
        <v>78</v>
      </c>
      <c r="BF882" s="3" t="s">
        <v>8659</v>
      </c>
      <c r="BG882" s="3" t="s">
        <v>8660</v>
      </c>
      <c r="BH882">
        <f t="shared" si="27"/>
        <v>0</v>
      </c>
    </row>
    <row r="883" spans="1:60" ht="58" x14ac:dyDescent="0.35">
      <c r="A883" s="2" t="s">
        <v>59</v>
      </c>
      <c r="B883" s="2" t="s">
        <v>60</v>
      </c>
      <c r="C883" s="2" t="s">
        <v>8661</v>
      </c>
      <c r="D883" s="2" t="s">
        <v>8662</v>
      </c>
      <c r="E883" s="2" t="s">
        <v>8663</v>
      </c>
      <c r="G883" s="3" t="s">
        <v>64</v>
      </c>
      <c r="I883" s="3" t="s">
        <v>128</v>
      </c>
      <c r="J883" s="3" t="s">
        <v>64</v>
      </c>
      <c r="K883" s="3" t="s">
        <v>65</v>
      </c>
      <c r="L883" s="2" t="s">
        <v>8664</v>
      </c>
      <c r="M883" s="2" t="s">
        <v>8665</v>
      </c>
      <c r="N883" s="3" t="s">
        <v>498</v>
      </c>
      <c r="P883" s="3" t="s">
        <v>102</v>
      </c>
      <c r="R883" s="3" t="s">
        <v>70</v>
      </c>
      <c r="S883" s="4">
        <v>1</v>
      </c>
      <c r="T883" s="4">
        <v>5</v>
      </c>
      <c r="U883" s="5" t="s">
        <v>8666</v>
      </c>
      <c r="V883" s="5" t="s">
        <v>8667</v>
      </c>
      <c r="W883" s="5" t="s">
        <v>72</v>
      </c>
      <c r="X883" s="5" t="s">
        <v>72</v>
      </c>
      <c r="Y883" s="4">
        <v>397</v>
      </c>
      <c r="Z883" s="4">
        <v>22</v>
      </c>
      <c r="AA883" s="4">
        <v>23</v>
      </c>
      <c r="AB883" s="4">
        <v>1</v>
      </c>
      <c r="AC883" s="4">
        <v>1</v>
      </c>
      <c r="AD883" s="4">
        <v>95</v>
      </c>
      <c r="AE883" s="4">
        <v>97</v>
      </c>
      <c r="AF883" s="4">
        <v>0</v>
      </c>
      <c r="AG883" s="4">
        <v>0</v>
      </c>
      <c r="AH883" s="4">
        <v>85</v>
      </c>
      <c r="AI883" s="4">
        <v>86</v>
      </c>
      <c r="AJ883" s="4">
        <v>12</v>
      </c>
      <c r="AK883" s="4">
        <v>13</v>
      </c>
      <c r="AL883" s="4">
        <v>47</v>
      </c>
      <c r="AM883" s="4">
        <v>48</v>
      </c>
      <c r="AN883" s="4">
        <v>0</v>
      </c>
      <c r="AO883" s="4">
        <v>0</v>
      </c>
      <c r="AP883" s="4">
        <v>13</v>
      </c>
      <c r="AQ883" s="4">
        <v>14</v>
      </c>
      <c r="AR883" s="3" t="s">
        <v>64</v>
      </c>
      <c r="AS883" s="3" t="s">
        <v>64</v>
      </c>
      <c r="AT883" s="3" t="s">
        <v>128</v>
      </c>
      <c r="AU883" s="6" t="str">
        <f>HYPERLINK("http://catalog.hathitrust.org/Record/001758916","HathiTrust Record")</f>
        <v>HathiTrust Record</v>
      </c>
      <c r="AV883" s="6" t="str">
        <f>HYPERLINK("http://mcgill.on.worldcat.org/oclc/1009322","Catalog Record")</f>
        <v>Catalog Record</v>
      </c>
      <c r="AW883" s="6" t="str">
        <f>HYPERLINK("http://www.worldcat.org/oclc/1009322","WorldCat Record")</f>
        <v>WorldCat Record</v>
      </c>
      <c r="AX883" s="3" t="s">
        <v>8668</v>
      </c>
      <c r="AY883" s="3" t="s">
        <v>8669</v>
      </c>
      <c r="AZ883" s="3" t="s">
        <v>8670</v>
      </c>
      <c r="BA883" s="3" t="s">
        <v>8670</v>
      </c>
      <c r="BB883" s="3" t="s">
        <v>8671</v>
      </c>
      <c r="BC883" s="3" t="s">
        <v>77</v>
      </c>
      <c r="BD883" s="3" t="s">
        <v>78</v>
      </c>
      <c r="BE883" s="3" t="s">
        <v>8672</v>
      </c>
      <c r="BF883" s="3" t="s">
        <v>8671</v>
      </c>
      <c r="BG883" s="3" t="s">
        <v>8673</v>
      </c>
      <c r="BH883">
        <f t="shared" si="27"/>
        <v>0</v>
      </c>
    </row>
    <row r="884" spans="1:60" ht="72.5" x14ac:dyDescent="0.35">
      <c r="A884" s="2" t="s">
        <v>59</v>
      </c>
      <c r="B884" s="2" t="s">
        <v>1025</v>
      </c>
      <c r="C884" s="2" t="s">
        <v>8661</v>
      </c>
      <c r="D884" s="2" t="s">
        <v>8662</v>
      </c>
      <c r="E884" s="2" t="s">
        <v>8663</v>
      </c>
      <c r="G884" s="3" t="s">
        <v>64</v>
      </c>
      <c r="I884" s="3" t="s">
        <v>128</v>
      </c>
      <c r="J884" s="3" t="s">
        <v>64</v>
      </c>
      <c r="K884" s="3" t="s">
        <v>65</v>
      </c>
      <c r="L884" s="2" t="s">
        <v>8664</v>
      </c>
      <c r="M884" s="2" t="s">
        <v>8665</v>
      </c>
      <c r="N884" s="3" t="s">
        <v>498</v>
      </c>
      <c r="P884" s="3" t="s">
        <v>102</v>
      </c>
      <c r="R884" s="3" t="s">
        <v>70</v>
      </c>
      <c r="S884" s="4">
        <v>4</v>
      </c>
      <c r="T884" s="4">
        <v>5</v>
      </c>
      <c r="U884" s="5" t="s">
        <v>8667</v>
      </c>
      <c r="V884" s="5" t="s">
        <v>8667</v>
      </c>
      <c r="W884" s="5" t="s">
        <v>72</v>
      </c>
      <c r="X884" s="5" t="s">
        <v>72</v>
      </c>
      <c r="Y884" s="4">
        <v>397</v>
      </c>
      <c r="Z884" s="4">
        <v>22</v>
      </c>
      <c r="AA884" s="4">
        <v>23</v>
      </c>
      <c r="AB884" s="4">
        <v>1</v>
      </c>
      <c r="AC884" s="4">
        <v>1</v>
      </c>
      <c r="AD884" s="4">
        <v>95</v>
      </c>
      <c r="AE884" s="4">
        <v>97</v>
      </c>
      <c r="AF884" s="4">
        <v>0</v>
      </c>
      <c r="AG884" s="4">
        <v>0</v>
      </c>
      <c r="AH884" s="4">
        <v>85</v>
      </c>
      <c r="AI884" s="4">
        <v>86</v>
      </c>
      <c r="AJ884" s="4">
        <v>12</v>
      </c>
      <c r="AK884" s="4">
        <v>13</v>
      </c>
      <c r="AL884" s="4">
        <v>47</v>
      </c>
      <c r="AM884" s="4">
        <v>48</v>
      </c>
      <c r="AN884" s="4">
        <v>0</v>
      </c>
      <c r="AO884" s="4">
        <v>0</v>
      </c>
      <c r="AP884" s="4">
        <v>13</v>
      </c>
      <c r="AQ884" s="4">
        <v>14</v>
      </c>
      <c r="AR884" s="3" t="s">
        <v>64</v>
      </c>
      <c r="AS884" s="3" t="s">
        <v>64</v>
      </c>
      <c r="AT884" s="3" t="s">
        <v>128</v>
      </c>
      <c r="AU884" s="6" t="str">
        <f>HYPERLINK("http://catalog.hathitrust.org/Record/001758916","HathiTrust Record")</f>
        <v>HathiTrust Record</v>
      </c>
      <c r="AV884" s="6" t="str">
        <f>HYPERLINK("http://mcgill.on.worldcat.org/oclc/1009322","Catalog Record")</f>
        <v>Catalog Record</v>
      </c>
      <c r="AW884" s="6" t="str">
        <f>HYPERLINK("http://www.worldcat.org/oclc/1009322","WorldCat Record")</f>
        <v>WorldCat Record</v>
      </c>
      <c r="AX884" s="3" t="s">
        <v>8668</v>
      </c>
      <c r="AY884" s="3" t="s">
        <v>8669</v>
      </c>
      <c r="AZ884" s="3" t="s">
        <v>8670</v>
      </c>
      <c r="BA884" s="3" t="s">
        <v>8670</v>
      </c>
      <c r="BB884" s="3" t="s">
        <v>8674</v>
      </c>
      <c r="BC884" s="3" t="s">
        <v>77</v>
      </c>
      <c r="BD884" s="3" t="s">
        <v>78</v>
      </c>
      <c r="BE884" s="3" t="s">
        <v>8672</v>
      </c>
      <c r="BF884" s="3" t="s">
        <v>8674</v>
      </c>
      <c r="BG884" s="3" t="s">
        <v>8675</v>
      </c>
      <c r="BH884">
        <f t="shared" si="27"/>
        <v>0</v>
      </c>
    </row>
    <row r="885" spans="1:60" ht="58" x14ac:dyDescent="0.35">
      <c r="A885" s="2" t="s">
        <v>59</v>
      </c>
      <c r="B885" s="2" t="s">
        <v>60</v>
      </c>
      <c r="C885" s="2" t="s">
        <v>8676</v>
      </c>
      <c r="D885" s="2" t="s">
        <v>8677</v>
      </c>
      <c r="E885" s="2" t="s">
        <v>8678</v>
      </c>
      <c r="G885" s="3" t="s">
        <v>64</v>
      </c>
      <c r="I885" s="3" t="s">
        <v>64</v>
      </c>
      <c r="J885" s="3" t="s">
        <v>64</v>
      </c>
      <c r="K885" s="3" t="s">
        <v>65</v>
      </c>
      <c r="L885" s="2" t="s">
        <v>8679</v>
      </c>
      <c r="M885" s="2" t="s">
        <v>8680</v>
      </c>
      <c r="N885" s="3" t="s">
        <v>537</v>
      </c>
      <c r="P885" s="3" t="s">
        <v>102</v>
      </c>
      <c r="Q885" s="2" t="s">
        <v>8681</v>
      </c>
      <c r="R885" s="3" t="s">
        <v>70</v>
      </c>
      <c r="S885" s="4">
        <v>2</v>
      </c>
      <c r="T885" s="4">
        <v>2</v>
      </c>
      <c r="U885" s="5" t="s">
        <v>6751</v>
      </c>
      <c r="V885" s="5" t="s">
        <v>6751</v>
      </c>
      <c r="W885" s="5" t="s">
        <v>72</v>
      </c>
      <c r="X885" s="5" t="s">
        <v>72</v>
      </c>
      <c r="Y885" s="4">
        <v>254</v>
      </c>
      <c r="Z885" s="4">
        <v>15</v>
      </c>
      <c r="AA885" s="4">
        <v>18</v>
      </c>
      <c r="AB885" s="4">
        <v>3</v>
      </c>
      <c r="AC885" s="4">
        <v>6</v>
      </c>
      <c r="AD885" s="4">
        <v>69</v>
      </c>
      <c r="AE885" s="4">
        <v>74</v>
      </c>
      <c r="AF885" s="4">
        <v>1</v>
      </c>
      <c r="AG885" s="4">
        <v>3</v>
      </c>
      <c r="AH885" s="4">
        <v>62</v>
      </c>
      <c r="AI885" s="4">
        <v>65</v>
      </c>
      <c r="AJ885" s="4">
        <v>9</v>
      </c>
      <c r="AK885" s="4">
        <v>11</v>
      </c>
      <c r="AL885" s="4">
        <v>38</v>
      </c>
      <c r="AM885" s="4">
        <v>40</v>
      </c>
      <c r="AN885" s="4">
        <v>0</v>
      </c>
      <c r="AO885" s="4">
        <v>0</v>
      </c>
      <c r="AP885" s="4">
        <v>10</v>
      </c>
      <c r="AQ885" s="4">
        <v>11</v>
      </c>
      <c r="AR885" s="3" t="s">
        <v>64</v>
      </c>
      <c r="AS885" s="3" t="s">
        <v>64</v>
      </c>
      <c r="AT885" s="3" t="s">
        <v>64</v>
      </c>
      <c r="AV885" s="6" t="str">
        <f>HYPERLINK("http://mcgill.on.worldcat.org/oclc/935674857","Catalog Record")</f>
        <v>Catalog Record</v>
      </c>
      <c r="AW885" s="6" t="str">
        <f>HYPERLINK("http://www.worldcat.org/oclc/935674857","WorldCat Record")</f>
        <v>WorldCat Record</v>
      </c>
      <c r="AX885" s="3" t="s">
        <v>8682</v>
      </c>
      <c r="AY885" s="3" t="s">
        <v>8683</v>
      </c>
      <c r="AZ885" s="3" t="s">
        <v>8684</v>
      </c>
      <c r="BA885" s="3" t="s">
        <v>8684</v>
      </c>
      <c r="BB885" s="3" t="s">
        <v>8685</v>
      </c>
      <c r="BC885" s="3" t="s">
        <v>77</v>
      </c>
      <c r="BD885" s="3" t="s">
        <v>78</v>
      </c>
      <c r="BE885" s="3" t="s">
        <v>8686</v>
      </c>
      <c r="BF885" s="3" t="s">
        <v>8685</v>
      </c>
      <c r="BG885" s="3" t="s">
        <v>8687</v>
      </c>
      <c r="BH885">
        <f t="shared" si="27"/>
        <v>0</v>
      </c>
    </row>
    <row r="886" spans="1:60" ht="87" x14ac:dyDescent="0.35">
      <c r="A886" s="2" t="s">
        <v>59</v>
      </c>
      <c r="B886" s="2" t="s">
        <v>1025</v>
      </c>
      <c r="C886" s="2" t="s">
        <v>8688</v>
      </c>
      <c r="D886" s="2" t="s">
        <v>8689</v>
      </c>
      <c r="E886" s="2" t="s">
        <v>8690</v>
      </c>
      <c r="G886" s="3" t="s">
        <v>64</v>
      </c>
      <c r="I886" s="3" t="s">
        <v>64</v>
      </c>
      <c r="J886" s="3" t="s">
        <v>64</v>
      </c>
      <c r="K886" s="3" t="s">
        <v>65</v>
      </c>
      <c r="L886" s="2" t="s">
        <v>8691</v>
      </c>
      <c r="M886" s="2" t="s">
        <v>8692</v>
      </c>
      <c r="N886" s="3" t="s">
        <v>578</v>
      </c>
      <c r="P886" s="3" t="s">
        <v>102</v>
      </c>
      <c r="R886" s="3" t="s">
        <v>70</v>
      </c>
      <c r="S886" s="4">
        <v>1</v>
      </c>
      <c r="T886" s="4">
        <v>1</v>
      </c>
      <c r="U886" s="5" t="s">
        <v>7177</v>
      </c>
      <c r="V886" s="5" t="s">
        <v>7177</v>
      </c>
      <c r="W886" s="5" t="s">
        <v>72</v>
      </c>
      <c r="X886" s="5" t="s">
        <v>72</v>
      </c>
      <c r="Y886" s="4">
        <v>13</v>
      </c>
      <c r="Z886" s="4">
        <v>12</v>
      </c>
      <c r="AA886" s="4">
        <v>14</v>
      </c>
      <c r="AB886" s="4">
        <v>4</v>
      </c>
      <c r="AC886" s="4">
        <v>4</v>
      </c>
      <c r="AD886" s="4">
        <v>8</v>
      </c>
      <c r="AE886" s="4">
        <v>10</v>
      </c>
      <c r="AF886" s="4">
        <v>1</v>
      </c>
      <c r="AG886" s="4">
        <v>1</v>
      </c>
      <c r="AH886" s="4">
        <v>4</v>
      </c>
      <c r="AI886" s="4">
        <v>5</v>
      </c>
      <c r="AJ886" s="4">
        <v>7</v>
      </c>
      <c r="AK886" s="4">
        <v>9</v>
      </c>
      <c r="AL886" s="4">
        <v>1</v>
      </c>
      <c r="AM886" s="4">
        <v>1</v>
      </c>
      <c r="AN886" s="4">
        <v>0</v>
      </c>
      <c r="AO886" s="4">
        <v>0</v>
      </c>
      <c r="AP886" s="4">
        <v>7</v>
      </c>
      <c r="AQ886" s="4">
        <v>8</v>
      </c>
      <c r="AR886" s="3" t="s">
        <v>128</v>
      </c>
      <c r="AS886" s="3" t="s">
        <v>64</v>
      </c>
      <c r="AT886" s="3" t="s">
        <v>64</v>
      </c>
      <c r="AV886" s="6" t="str">
        <f>HYPERLINK("http://mcgill.on.worldcat.org/oclc/992558344","Catalog Record")</f>
        <v>Catalog Record</v>
      </c>
      <c r="AW886" s="6" t="str">
        <f>HYPERLINK("http://www.worldcat.org/oclc/992558344","WorldCat Record")</f>
        <v>WorldCat Record</v>
      </c>
      <c r="AX886" s="3" t="s">
        <v>8693</v>
      </c>
      <c r="AY886" s="3" t="s">
        <v>8694</v>
      </c>
      <c r="AZ886" s="3" t="s">
        <v>8695</v>
      </c>
      <c r="BA886" s="3" t="s">
        <v>8695</v>
      </c>
      <c r="BB886" s="3" t="s">
        <v>8696</v>
      </c>
      <c r="BC886" s="3" t="s">
        <v>77</v>
      </c>
      <c r="BD886" s="3" t="s">
        <v>78</v>
      </c>
      <c r="BE886" s="3" t="s">
        <v>8697</v>
      </c>
      <c r="BF886" s="3" t="s">
        <v>8696</v>
      </c>
      <c r="BG886" s="3" t="s">
        <v>8698</v>
      </c>
      <c r="BH886">
        <f t="shared" si="27"/>
        <v>0</v>
      </c>
    </row>
    <row r="887" spans="1:60" ht="58" x14ac:dyDescent="0.35">
      <c r="A887" s="2" t="s">
        <v>59</v>
      </c>
      <c r="B887" s="2" t="s">
        <v>60</v>
      </c>
      <c r="C887" s="2" t="s">
        <v>8699</v>
      </c>
      <c r="D887" s="2" t="s">
        <v>8700</v>
      </c>
      <c r="E887" s="2" t="s">
        <v>8701</v>
      </c>
      <c r="G887" s="3" t="s">
        <v>64</v>
      </c>
      <c r="I887" s="3" t="s">
        <v>64</v>
      </c>
      <c r="J887" s="3" t="s">
        <v>64</v>
      </c>
      <c r="K887" s="3" t="s">
        <v>65</v>
      </c>
      <c r="L887" s="2" t="s">
        <v>8702</v>
      </c>
      <c r="M887" s="2" t="s">
        <v>8703</v>
      </c>
      <c r="N887" s="3" t="s">
        <v>378</v>
      </c>
      <c r="P887" s="3" t="s">
        <v>102</v>
      </c>
      <c r="R887" s="3" t="s">
        <v>70</v>
      </c>
      <c r="S887" s="4">
        <v>13</v>
      </c>
      <c r="T887" s="4">
        <v>13</v>
      </c>
      <c r="U887" s="5" t="s">
        <v>8704</v>
      </c>
      <c r="V887" s="5" t="s">
        <v>8704</v>
      </c>
      <c r="W887" s="5" t="s">
        <v>72</v>
      </c>
      <c r="X887" s="5" t="s">
        <v>72</v>
      </c>
      <c r="Y887" s="4">
        <v>427</v>
      </c>
      <c r="Z887" s="4">
        <v>17</v>
      </c>
      <c r="AA887" s="4">
        <v>17</v>
      </c>
      <c r="AB887" s="4">
        <v>1</v>
      </c>
      <c r="AC887" s="4">
        <v>1</v>
      </c>
      <c r="AD887" s="4">
        <v>57</v>
      </c>
      <c r="AE887" s="4">
        <v>57</v>
      </c>
      <c r="AF887" s="4">
        <v>0</v>
      </c>
      <c r="AG887" s="4">
        <v>0</v>
      </c>
      <c r="AH887" s="4">
        <v>53</v>
      </c>
      <c r="AI887" s="4">
        <v>53</v>
      </c>
      <c r="AJ887" s="4">
        <v>6</v>
      </c>
      <c r="AK887" s="4">
        <v>6</v>
      </c>
      <c r="AL887" s="4">
        <v>21</v>
      </c>
      <c r="AM887" s="4">
        <v>21</v>
      </c>
      <c r="AN887" s="4">
        <v>0</v>
      </c>
      <c r="AO887" s="4">
        <v>0</v>
      </c>
      <c r="AP887" s="4">
        <v>7</v>
      </c>
      <c r="AQ887" s="4">
        <v>7</v>
      </c>
      <c r="AR887" s="3" t="s">
        <v>64</v>
      </c>
      <c r="AS887" s="3" t="s">
        <v>64</v>
      </c>
      <c r="AT887" s="3" t="s">
        <v>64</v>
      </c>
      <c r="AV887" s="6" t="str">
        <f>HYPERLINK("http://mcgill.on.worldcat.org/oclc/15000449","Catalog Record")</f>
        <v>Catalog Record</v>
      </c>
      <c r="AW887" s="6" t="str">
        <f>HYPERLINK("http://www.worldcat.org/oclc/15000449","WorldCat Record")</f>
        <v>WorldCat Record</v>
      </c>
      <c r="AX887" s="3" t="s">
        <v>8705</v>
      </c>
      <c r="AY887" s="3" t="s">
        <v>8706</v>
      </c>
      <c r="AZ887" s="3" t="s">
        <v>8707</v>
      </c>
      <c r="BA887" s="3" t="s">
        <v>8707</v>
      </c>
      <c r="BB887" s="3" t="s">
        <v>8708</v>
      </c>
      <c r="BC887" s="3" t="s">
        <v>77</v>
      </c>
      <c r="BD887" s="3" t="s">
        <v>78</v>
      </c>
      <c r="BE887" s="3" t="s">
        <v>8709</v>
      </c>
      <c r="BF887" s="3" t="s">
        <v>8708</v>
      </c>
      <c r="BG887" s="3" t="s">
        <v>8710</v>
      </c>
      <c r="BH887">
        <f t="shared" si="27"/>
        <v>0</v>
      </c>
    </row>
    <row r="888" spans="1:60" ht="58" x14ac:dyDescent="0.35">
      <c r="A888" s="2" t="s">
        <v>59</v>
      </c>
      <c r="B888" s="2" t="s">
        <v>60</v>
      </c>
      <c r="C888" s="2" t="s">
        <v>8711</v>
      </c>
      <c r="D888" s="2" t="s">
        <v>8712</v>
      </c>
      <c r="E888" s="2" t="s">
        <v>8713</v>
      </c>
      <c r="G888" s="3" t="s">
        <v>64</v>
      </c>
      <c r="I888" s="3" t="s">
        <v>64</v>
      </c>
      <c r="J888" s="3" t="s">
        <v>64</v>
      </c>
      <c r="K888" s="3" t="s">
        <v>65</v>
      </c>
      <c r="M888" s="2" t="s">
        <v>8714</v>
      </c>
      <c r="N888" s="3" t="s">
        <v>511</v>
      </c>
      <c r="P888" s="3" t="s">
        <v>102</v>
      </c>
      <c r="R888" s="3" t="s">
        <v>70</v>
      </c>
      <c r="S888" s="4">
        <v>0</v>
      </c>
      <c r="T888" s="4">
        <v>0</v>
      </c>
      <c r="W888" s="5" t="s">
        <v>72</v>
      </c>
      <c r="X888" s="5" t="s">
        <v>72</v>
      </c>
      <c r="Y888" s="4">
        <v>21</v>
      </c>
      <c r="Z888" s="4">
        <v>12</v>
      </c>
      <c r="AA888" s="4">
        <v>13</v>
      </c>
      <c r="AB888" s="4">
        <v>1</v>
      </c>
      <c r="AC888" s="4">
        <v>1</v>
      </c>
      <c r="AD888" s="4">
        <v>15</v>
      </c>
      <c r="AE888" s="4">
        <v>16</v>
      </c>
      <c r="AF888" s="4">
        <v>0</v>
      </c>
      <c r="AG888" s="4">
        <v>0</v>
      </c>
      <c r="AH888" s="4">
        <v>9</v>
      </c>
      <c r="AI888" s="4">
        <v>10</v>
      </c>
      <c r="AJ888" s="4">
        <v>9</v>
      </c>
      <c r="AK888" s="4">
        <v>10</v>
      </c>
      <c r="AL888" s="4">
        <v>5</v>
      </c>
      <c r="AM888" s="4">
        <v>5</v>
      </c>
      <c r="AN888" s="4">
        <v>0</v>
      </c>
      <c r="AO888" s="4">
        <v>0</v>
      </c>
      <c r="AP888" s="4">
        <v>10</v>
      </c>
      <c r="AQ888" s="4">
        <v>11</v>
      </c>
      <c r="AR888" s="3" t="s">
        <v>128</v>
      </c>
      <c r="AS888" s="3" t="s">
        <v>64</v>
      </c>
      <c r="AT888" s="3" t="s">
        <v>64</v>
      </c>
      <c r="AV888" s="6" t="str">
        <f>HYPERLINK("http://mcgill.on.worldcat.org/oclc/667848347","Catalog Record")</f>
        <v>Catalog Record</v>
      </c>
      <c r="AW888" s="6" t="str">
        <f>HYPERLINK("http://www.worldcat.org/oclc/667848347","WorldCat Record")</f>
        <v>WorldCat Record</v>
      </c>
      <c r="AX888" s="3" t="s">
        <v>8715</v>
      </c>
      <c r="AY888" s="3" t="s">
        <v>8716</v>
      </c>
      <c r="AZ888" s="3" t="s">
        <v>8717</v>
      </c>
      <c r="BA888" s="3" t="s">
        <v>8717</v>
      </c>
      <c r="BB888" s="3" t="s">
        <v>8718</v>
      </c>
      <c r="BC888" s="3" t="s">
        <v>77</v>
      </c>
      <c r="BD888" s="3" t="s">
        <v>78</v>
      </c>
      <c r="BE888" s="3" t="s">
        <v>8719</v>
      </c>
      <c r="BF888" s="3" t="s">
        <v>8718</v>
      </c>
      <c r="BG888" s="3" t="s">
        <v>8720</v>
      </c>
      <c r="BH888">
        <f t="shared" si="27"/>
        <v>0</v>
      </c>
    </row>
    <row r="889" spans="1:60" ht="58" x14ac:dyDescent="0.35">
      <c r="A889" s="2" t="s">
        <v>59</v>
      </c>
      <c r="B889" s="2" t="s">
        <v>60</v>
      </c>
      <c r="C889" s="2" t="s">
        <v>8721</v>
      </c>
      <c r="D889" s="2" t="s">
        <v>8722</v>
      </c>
      <c r="E889" s="2" t="s">
        <v>8723</v>
      </c>
      <c r="G889" s="3" t="s">
        <v>64</v>
      </c>
      <c r="I889" s="3" t="s">
        <v>128</v>
      </c>
      <c r="J889" s="3" t="s">
        <v>64</v>
      </c>
      <c r="K889" s="3" t="s">
        <v>65</v>
      </c>
      <c r="M889" s="2" t="s">
        <v>8724</v>
      </c>
      <c r="N889" s="3" t="s">
        <v>101</v>
      </c>
      <c r="P889" s="3" t="s">
        <v>102</v>
      </c>
      <c r="R889" s="3" t="s">
        <v>70</v>
      </c>
      <c r="S889" s="4">
        <v>9</v>
      </c>
      <c r="T889" s="4">
        <v>12</v>
      </c>
      <c r="U889" s="5" t="s">
        <v>8185</v>
      </c>
      <c r="V889" s="5" t="s">
        <v>8725</v>
      </c>
      <c r="W889" s="5" t="s">
        <v>72</v>
      </c>
      <c r="X889" s="5" t="s">
        <v>72</v>
      </c>
      <c r="Y889" s="4">
        <v>793</v>
      </c>
      <c r="Z889" s="4">
        <v>37</v>
      </c>
      <c r="AA889" s="4">
        <v>41</v>
      </c>
      <c r="AB889" s="4">
        <v>3</v>
      </c>
      <c r="AC889" s="4">
        <v>7</v>
      </c>
      <c r="AD889" s="4">
        <v>120</v>
      </c>
      <c r="AE889" s="4">
        <v>124</v>
      </c>
      <c r="AF889" s="4">
        <v>2</v>
      </c>
      <c r="AG889" s="4">
        <v>6</v>
      </c>
      <c r="AH889" s="4">
        <v>102</v>
      </c>
      <c r="AI889" s="4">
        <v>103</v>
      </c>
      <c r="AJ889" s="4">
        <v>14</v>
      </c>
      <c r="AK889" s="4">
        <v>16</v>
      </c>
      <c r="AL889" s="4">
        <v>55</v>
      </c>
      <c r="AM889" s="4">
        <v>55</v>
      </c>
      <c r="AN889" s="4">
        <v>0</v>
      </c>
      <c r="AO889" s="4">
        <v>0</v>
      </c>
      <c r="AP889" s="4">
        <v>25</v>
      </c>
      <c r="AQ889" s="4">
        <v>28</v>
      </c>
      <c r="AR889" s="3" t="s">
        <v>64</v>
      </c>
      <c r="AS889" s="3" t="s">
        <v>64</v>
      </c>
      <c r="AT889" s="3" t="s">
        <v>64</v>
      </c>
      <c r="AV889" s="6" t="str">
        <f>HYPERLINK("http://mcgill.on.worldcat.org/oclc/51223526","Catalog Record")</f>
        <v>Catalog Record</v>
      </c>
      <c r="AW889" s="6" t="str">
        <f>HYPERLINK("http://www.worldcat.org/oclc/51223526","WorldCat Record")</f>
        <v>WorldCat Record</v>
      </c>
      <c r="AX889" s="3" t="s">
        <v>8726</v>
      </c>
      <c r="AY889" s="3" t="s">
        <v>8727</v>
      </c>
      <c r="AZ889" s="3" t="s">
        <v>8728</v>
      </c>
      <c r="BA889" s="3" t="s">
        <v>8728</v>
      </c>
      <c r="BB889" s="3" t="s">
        <v>8729</v>
      </c>
      <c r="BC889" s="3" t="s">
        <v>77</v>
      </c>
      <c r="BD889" s="3" t="s">
        <v>78</v>
      </c>
      <c r="BE889" s="3" t="s">
        <v>8730</v>
      </c>
      <c r="BF889" s="3" t="s">
        <v>8729</v>
      </c>
      <c r="BG889" s="3" t="s">
        <v>8731</v>
      </c>
      <c r="BH889">
        <f t="shared" si="27"/>
        <v>0</v>
      </c>
    </row>
    <row r="890" spans="1:60" ht="58" x14ac:dyDescent="0.35">
      <c r="A890" s="2" t="s">
        <v>59</v>
      </c>
      <c r="B890" s="2" t="s">
        <v>60</v>
      </c>
      <c r="C890" s="2" t="s">
        <v>8721</v>
      </c>
      <c r="D890" s="2" t="s">
        <v>8722</v>
      </c>
      <c r="E890" s="2" t="s">
        <v>8723</v>
      </c>
      <c r="G890" s="3" t="s">
        <v>64</v>
      </c>
      <c r="I890" s="3" t="s">
        <v>128</v>
      </c>
      <c r="J890" s="3" t="s">
        <v>64</v>
      </c>
      <c r="K890" s="3" t="s">
        <v>65</v>
      </c>
      <c r="M890" s="2" t="s">
        <v>8724</v>
      </c>
      <c r="N890" s="3" t="s">
        <v>101</v>
      </c>
      <c r="P890" s="3" t="s">
        <v>102</v>
      </c>
      <c r="R890" s="3" t="s">
        <v>70</v>
      </c>
      <c r="S890" s="4">
        <v>3</v>
      </c>
      <c r="T890" s="4">
        <v>12</v>
      </c>
      <c r="U890" s="5" t="s">
        <v>8725</v>
      </c>
      <c r="V890" s="5" t="s">
        <v>8725</v>
      </c>
      <c r="W890" s="5" t="s">
        <v>72</v>
      </c>
      <c r="X890" s="5" t="s">
        <v>72</v>
      </c>
      <c r="Y890" s="4">
        <v>793</v>
      </c>
      <c r="Z890" s="4">
        <v>37</v>
      </c>
      <c r="AA890" s="4">
        <v>41</v>
      </c>
      <c r="AB890" s="4">
        <v>3</v>
      </c>
      <c r="AC890" s="4">
        <v>7</v>
      </c>
      <c r="AD890" s="4">
        <v>120</v>
      </c>
      <c r="AE890" s="4">
        <v>124</v>
      </c>
      <c r="AF890" s="4">
        <v>2</v>
      </c>
      <c r="AG890" s="4">
        <v>6</v>
      </c>
      <c r="AH890" s="4">
        <v>102</v>
      </c>
      <c r="AI890" s="4">
        <v>103</v>
      </c>
      <c r="AJ890" s="4">
        <v>14</v>
      </c>
      <c r="AK890" s="4">
        <v>16</v>
      </c>
      <c r="AL890" s="4">
        <v>55</v>
      </c>
      <c r="AM890" s="4">
        <v>55</v>
      </c>
      <c r="AN890" s="4">
        <v>0</v>
      </c>
      <c r="AO890" s="4">
        <v>0</v>
      </c>
      <c r="AP890" s="4">
        <v>25</v>
      </c>
      <c r="AQ890" s="4">
        <v>28</v>
      </c>
      <c r="AR890" s="3" t="s">
        <v>64</v>
      </c>
      <c r="AS890" s="3" t="s">
        <v>64</v>
      </c>
      <c r="AT890" s="3" t="s">
        <v>64</v>
      </c>
      <c r="AV890" s="6" t="str">
        <f>HYPERLINK("http://mcgill.on.worldcat.org/oclc/51223526","Catalog Record")</f>
        <v>Catalog Record</v>
      </c>
      <c r="AW890" s="6" t="str">
        <f>HYPERLINK("http://www.worldcat.org/oclc/51223526","WorldCat Record")</f>
        <v>WorldCat Record</v>
      </c>
      <c r="AX890" s="3" t="s">
        <v>8726</v>
      </c>
      <c r="AY890" s="3" t="s">
        <v>8727</v>
      </c>
      <c r="AZ890" s="3" t="s">
        <v>8728</v>
      </c>
      <c r="BA890" s="3" t="s">
        <v>8728</v>
      </c>
      <c r="BB890" s="3" t="s">
        <v>8732</v>
      </c>
      <c r="BC890" s="3" t="s">
        <v>77</v>
      </c>
      <c r="BD890" s="3" t="s">
        <v>78</v>
      </c>
      <c r="BE890" s="3" t="s">
        <v>8730</v>
      </c>
      <c r="BF890" s="3" t="s">
        <v>8732</v>
      </c>
      <c r="BG890" s="3" t="s">
        <v>8733</v>
      </c>
      <c r="BH890">
        <f t="shared" si="27"/>
        <v>0</v>
      </c>
    </row>
    <row r="891" spans="1:60" ht="116" x14ac:dyDescent="0.35">
      <c r="A891" s="2" t="s">
        <v>59</v>
      </c>
      <c r="B891" s="2" t="s">
        <v>1183</v>
      </c>
      <c r="C891" s="2" t="s">
        <v>8734</v>
      </c>
      <c r="D891" s="2" t="s">
        <v>8735</v>
      </c>
      <c r="E891" s="2" t="s">
        <v>8736</v>
      </c>
      <c r="G891" s="3" t="s">
        <v>64</v>
      </c>
      <c r="I891" s="3" t="s">
        <v>64</v>
      </c>
      <c r="J891" s="3" t="s">
        <v>64</v>
      </c>
      <c r="K891" s="3" t="s">
        <v>65</v>
      </c>
      <c r="M891" s="2" t="s">
        <v>8737</v>
      </c>
      <c r="N891" s="3" t="s">
        <v>253</v>
      </c>
      <c r="O891" s="2" t="s">
        <v>8738</v>
      </c>
      <c r="P891" s="3" t="s">
        <v>8739</v>
      </c>
      <c r="Q891" s="2" t="s">
        <v>8740</v>
      </c>
      <c r="R891" s="3" t="s">
        <v>70</v>
      </c>
      <c r="S891" s="4">
        <v>0</v>
      </c>
      <c r="T891" s="4">
        <v>0</v>
      </c>
      <c r="W891" s="5" t="s">
        <v>72</v>
      </c>
      <c r="X891" s="5" t="s">
        <v>72</v>
      </c>
      <c r="Y891" s="4">
        <v>10</v>
      </c>
      <c r="Z891" s="4">
        <v>1</v>
      </c>
      <c r="AA891" s="4">
        <v>1</v>
      </c>
      <c r="AB891" s="4">
        <v>1</v>
      </c>
      <c r="AC891" s="4">
        <v>1</v>
      </c>
      <c r="AD891" s="4">
        <v>9</v>
      </c>
      <c r="AE891" s="4">
        <v>9</v>
      </c>
      <c r="AF891" s="4">
        <v>0</v>
      </c>
      <c r="AG891" s="4">
        <v>0</v>
      </c>
      <c r="AH891" s="4">
        <v>9</v>
      </c>
      <c r="AI891" s="4">
        <v>9</v>
      </c>
      <c r="AJ891" s="4">
        <v>0</v>
      </c>
      <c r="AK891" s="4">
        <v>0</v>
      </c>
      <c r="AL891" s="4">
        <v>8</v>
      </c>
      <c r="AM891" s="4">
        <v>8</v>
      </c>
      <c r="AN891" s="4">
        <v>0</v>
      </c>
      <c r="AO891" s="4">
        <v>0</v>
      </c>
      <c r="AP891" s="4">
        <v>0</v>
      </c>
      <c r="AQ891" s="4">
        <v>0</v>
      </c>
      <c r="AR891" s="3" t="s">
        <v>64</v>
      </c>
      <c r="AS891" s="3" t="s">
        <v>64</v>
      </c>
      <c r="AT891" s="3" t="s">
        <v>64</v>
      </c>
      <c r="AV891" s="6" t="str">
        <f>HYPERLINK("http://mcgill.on.worldcat.org/oclc/908113212","Catalog Record")</f>
        <v>Catalog Record</v>
      </c>
      <c r="AW891" s="6" t="str">
        <f>HYPERLINK("http://www.worldcat.org/oclc/908113212","WorldCat Record")</f>
        <v>WorldCat Record</v>
      </c>
      <c r="AX891" s="3" t="s">
        <v>8741</v>
      </c>
      <c r="AY891" s="3" t="s">
        <v>8742</v>
      </c>
      <c r="AZ891" s="3" t="s">
        <v>8743</v>
      </c>
      <c r="BA891" s="3" t="s">
        <v>8743</v>
      </c>
      <c r="BB891" s="3" t="s">
        <v>8744</v>
      </c>
      <c r="BC891" s="3" t="s">
        <v>77</v>
      </c>
      <c r="BD891" s="3" t="s">
        <v>78</v>
      </c>
      <c r="BE891" s="3" t="s">
        <v>8745</v>
      </c>
      <c r="BF891" s="3" t="s">
        <v>8744</v>
      </c>
      <c r="BG891" s="3" t="s">
        <v>8746</v>
      </c>
      <c r="BH891">
        <f t="shared" si="27"/>
        <v>0</v>
      </c>
    </row>
    <row r="892" spans="1:60" ht="58" x14ac:dyDescent="0.35">
      <c r="A892" s="2" t="s">
        <v>59</v>
      </c>
      <c r="B892" s="2" t="s">
        <v>60</v>
      </c>
      <c r="C892" s="2" t="s">
        <v>8747</v>
      </c>
      <c r="D892" s="2" t="s">
        <v>8748</v>
      </c>
      <c r="E892" s="2" t="s">
        <v>8749</v>
      </c>
      <c r="G892" s="3" t="s">
        <v>64</v>
      </c>
      <c r="I892" s="3" t="s">
        <v>64</v>
      </c>
      <c r="J892" s="3" t="s">
        <v>64</v>
      </c>
      <c r="K892" s="3" t="s">
        <v>65</v>
      </c>
      <c r="M892" s="2" t="s">
        <v>8750</v>
      </c>
      <c r="N892" s="3" t="s">
        <v>511</v>
      </c>
      <c r="P892" s="3" t="s">
        <v>102</v>
      </c>
      <c r="Q892" s="2" t="s">
        <v>8751</v>
      </c>
      <c r="R892" s="3" t="s">
        <v>70</v>
      </c>
      <c r="S892" s="4">
        <v>1</v>
      </c>
      <c r="T892" s="4">
        <v>1</v>
      </c>
      <c r="U892" s="5" t="s">
        <v>8752</v>
      </c>
      <c r="V892" s="5" t="s">
        <v>8752</v>
      </c>
      <c r="W892" s="5" t="s">
        <v>72</v>
      </c>
      <c r="X892" s="5" t="s">
        <v>72</v>
      </c>
      <c r="Y892" s="4">
        <v>102</v>
      </c>
      <c r="Z892" s="4">
        <v>15</v>
      </c>
      <c r="AA892" s="4">
        <v>23</v>
      </c>
      <c r="AB892" s="4">
        <v>1</v>
      </c>
      <c r="AC892" s="4">
        <v>2</v>
      </c>
      <c r="AD892" s="4">
        <v>62</v>
      </c>
      <c r="AE892" s="4">
        <v>70</v>
      </c>
      <c r="AF892" s="4">
        <v>0</v>
      </c>
      <c r="AG892" s="4">
        <v>1</v>
      </c>
      <c r="AH892" s="4">
        <v>56</v>
      </c>
      <c r="AI892" s="4">
        <v>59</v>
      </c>
      <c r="AJ892" s="4">
        <v>12</v>
      </c>
      <c r="AK892" s="4">
        <v>17</v>
      </c>
      <c r="AL892" s="4">
        <v>32</v>
      </c>
      <c r="AM892" s="4">
        <v>32</v>
      </c>
      <c r="AN892" s="4">
        <v>0</v>
      </c>
      <c r="AO892" s="4">
        <v>0</v>
      </c>
      <c r="AP892" s="4">
        <v>11</v>
      </c>
      <c r="AQ892" s="4">
        <v>19</v>
      </c>
      <c r="AR892" s="3" t="s">
        <v>64</v>
      </c>
      <c r="AS892" s="3" t="s">
        <v>64</v>
      </c>
      <c r="AT892" s="3" t="s">
        <v>64</v>
      </c>
      <c r="AV892" s="6" t="str">
        <f>HYPERLINK("http://mcgill.on.worldcat.org/oclc/678923700","Catalog Record")</f>
        <v>Catalog Record</v>
      </c>
      <c r="AW892" s="6" t="str">
        <f>HYPERLINK("http://www.worldcat.org/oclc/678923700","WorldCat Record")</f>
        <v>WorldCat Record</v>
      </c>
      <c r="AX892" s="3" t="s">
        <v>8753</v>
      </c>
      <c r="AY892" s="3" t="s">
        <v>8754</v>
      </c>
      <c r="AZ892" s="3" t="s">
        <v>8755</v>
      </c>
      <c r="BA892" s="3" t="s">
        <v>8755</v>
      </c>
      <c r="BB892" s="3" t="s">
        <v>8756</v>
      </c>
      <c r="BC892" s="3" t="s">
        <v>77</v>
      </c>
      <c r="BD892" s="3" t="s">
        <v>78</v>
      </c>
      <c r="BE892" s="3" t="s">
        <v>8757</v>
      </c>
      <c r="BF892" s="3" t="s">
        <v>8756</v>
      </c>
      <c r="BG892" s="3" t="s">
        <v>8758</v>
      </c>
      <c r="BH892">
        <f t="shared" si="27"/>
        <v>0</v>
      </c>
    </row>
    <row r="893" spans="1:60" ht="58" x14ac:dyDescent="0.35">
      <c r="A893" s="2" t="s">
        <v>59</v>
      </c>
      <c r="B893" s="2" t="s">
        <v>60</v>
      </c>
      <c r="C893" s="2" t="s">
        <v>8759</v>
      </c>
      <c r="D893" s="2" t="s">
        <v>8760</v>
      </c>
      <c r="E893" s="2" t="s">
        <v>8761</v>
      </c>
      <c r="G893" s="3" t="s">
        <v>64</v>
      </c>
      <c r="I893" s="3" t="s">
        <v>64</v>
      </c>
      <c r="J893" s="3" t="s">
        <v>64</v>
      </c>
      <c r="K893" s="3" t="s">
        <v>65</v>
      </c>
      <c r="L893" s="2" t="s">
        <v>8762</v>
      </c>
      <c r="M893" s="2" t="s">
        <v>8763</v>
      </c>
      <c r="N893" s="3" t="s">
        <v>67</v>
      </c>
      <c r="O893" s="2" t="s">
        <v>8764</v>
      </c>
      <c r="P893" s="3" t="s">
        <v>102</v>
      </c>
      <c r="Q893" s="2" t="s">
        <v>8765</v>
      </c>
      <c r="R893" s="3" t="s">
        <v>70</v>
      </c>
      <c r="S893" s="4">
        <v>1</v>
      </c>
      <c r="T893" s="4">
        <v>1</v>
      </c>
      <c r="U893" s="5" t="s">
        <v>8766</v>
      </c>
      <c r="V893" s="5" t="s">
        <v>8766</v>
      </c>
      <c r="W893" s="5" t="s">
        <v>72</v>
      </c>
      <c r="X893" s="5" t="s">
        <v>72</v>
      </c>
      <c r="Y893" s="4">
        <v>72</v>
      </c>
      <c r="Z893" s="4">
        <v>15</v>
      </c>
      <c r="AA893" s="4">
        <v>18</v>
      </c>
      <c r="AB893" s="4">
        <v>1</v>
      </c>
      <c r="AC893" s="4">
        <v>2</v>
      </c>
      <c r="AD893" s="4">
        <v>5</v>
      </c>
      <c r="AE893" s="4">
        <v>7</v>
      </c>
      <c r="AF893" s="4">
        <v>0</v>
      </c>
      <c r="AG893" s="4">
        <v>0</v>
      </c>
      <c r="AH893" s="4">
        <v>3</v>
      </c>
      <c r="AI893" s="4">
        <v>4</v>
      </c>
      <c r="AJ893" s="4">
        <v>3</v>
      </c>
      <c r="AK893" s="4">
        <v>4</v>
      </c>
      <c r="AL893" s="4">
        <v>0</v>
      </c>
      <c r="AM893" s="4">
        <v>0</v>
      </c>
      <c r="AN893" s="4">
        <v>0</v>
      </c>
      <c r="AO893" s="4">
        <v>0</v>
      </c>
      <c r="AP893" s="4">
        <v>3</v>
      </c>
      <c r="AQ893" s="4">
        <v>4</v>
      </c>
      <c r="AR893" s="3" t="s">
        <v>64</v>
      </c>
      <c r="AS893" s="3" t="s">
        <v>64</v>
      </c>
      <c r="AT893" s="3" t="s">
        <v>64</v>
      </c>
      <c r="AV893" s="6" t="str">
        <f>HYPERLINK("http://mcgill.on.worldcat.org/oclc/873007135","Catalog Record")</f>
        <v>Catalog Record</v>
      </c>
      <c r="AW893" s="6" t="str">
        <f>HYPERLINK("http://www.worldcat.org/oclc/873007135","WorldCat Record")</f>
        <v>WorldCat Record</v>
      </c>
      <c r="AX893" s="3" t="s">
        <v>8767</v>
      </c>
      <c r="AY893" s="3" t="s">
        <v>8768</v>
      </c>
      <c r="AZ893" s="3" t="s">
        <v>8769</v>
      </c>
      <c r="BA893" s="3" t="s">
        <v>8769</v>
      </c>
      <c r="BB893" s="3" t="s">
        <v>8770</v>
      </c>
      <c r="BC893" s="3" t="s">
        <v>77</v>
      </c>
      <c r="BD893" s="3" t="s">
        <v>78</v>
      </c>
      <c r="BE893" s="3" t="s">
        <v>8771</v>
      </c>
      <c r="BF893" s="3" t="s">
        <v>8770</v>
      </c>
      <c r="BG893" s="3" t="s">
        <v>8772</v>
      </c>
      <c r="BH893">
        <f t="shared" si="27"/>
        <v>0</v>
      </c>
    </row>
    <row r="894" spans="1:60" ht="58" x14ac:dyDescent="0.35">
      <c r="A894" s="2" t="s">
        <v>59</v>
      </c>
      <c r="B894" s="2" t="s">
        <v>60</v>
      </c>
      <c r="C894" s="2" t="s">
        <v>8773</v>
      </c>
      <c r="D894" s="2" t="s">
        <v>8774</v>
      </c>
      <c r="E894" s="2" t="s">
        <v>8775</v>
      </c>
      <c r="G894" s="3" t="s">
        <v>64</v>
      </c>
      <c r="I894" s="3" t="s">
        <v>64</v>
      </c>
      <c r="J894" s="3" t="s">
        <v>64</v>
      </c>
      <c r="K894" s="3" t="s">
        <v>65</v>
      </c>
      <c r="M894" s="2" t="s">
        <v>8776</v>
      </c>
      <c r="N894" s="3" t="s">
        <v>511</v>
      </c>
      <c r="P894" s="3" t="s">
        <v>68</v>
      </c>
      <c r="Q894" s="2" t="s">
        <v>8777</v>
      </c>
      <c r="R894" s="3" t="s">
        <v>70</v>
      </c>
      <c r="S894" s="4">
        <v>0</v>
      </c>
      <c r="T894" s="4">
        <v>0</v>
      </c>
      <c r="W894" s="5" t="s">
        <v>72</v>
      </c>
      <c r="X894" s="5" t="s">
        <v>72</v>
      </c>
      <c r="Y894" s="4">
        <v>6</v>
      </c>
      <c r="Z894" s="4">
        <v>1</v>
      </c>
      <c r="AA894" s="4">
        <v>8</v>
      </c>
      <c r="AB894" s="4">
        <v>1</v>
      </c>
      <c r="AC894" s="4">
        <v>7</v>
      </c>
      <c r="AD894" s="4">
        <v>1</v>
      </c>
      <c r="AE894" s="4">
        <v>6</v>
      </c>
      <c r="AF894" s="4">
        <v>0</v>
      </c>
      <c r="AG894" s="4">
        <v>4</v>
      </c>
      <c r="AH894" s="4">
        <v>1</v>
      </c>
      <c r="AI894" s="4">
        <v>3</v>
      </c>
      <c r="AJ894" s="4">
        <v>0</v>
      </c>
      <c r="AK894" s="4">
        <v>4</v>
      </c>
      <c r="AL894" s="4">
        <v>1</v>
      </c>
      <c r="AM894" s="4">
        <v>1</v>
      </c>
      <c r="AN894" s="4">
        <v>0</v>
      </c>
      <c r="AO894" s="4">
        <v>0</v>
      </c>
      <c r="AP894" s="4">
        <v>0</v>
      </c>
      <c r="AQ894" s="4">
        <v>4</v>
      </c>
      <c r="AR894" s="3" t="s">
        <v>64</v>
      </c>
      <c r="AS894" s="3" t="s">
        <v>64</v>
      </c>
      <c r="AT894" s="3" t="s">
        <v>64</v>
      </c>
      <c r="AV894" s="6" t="str">
        <f>HYPERLINK("http://mcgill.on.worldcat.org/oclc/647902939","Catalog Record")</f>
        <v>Catalog Record</v>
      </c>
      <c r="AW894" s="6" t="str">
        <f>HYPERLINK("http://www.worldcat.org/oclc/647902939","WorldCat Record")</f>
        <v>WorldCat Record</v>
      </c>
      <c r="AX894" s="3" t="s">
        <v>8778</v>
      </c>
      <c r="AY894" s="3" t="s">
        <v>8779</v>
      </c>
      <c r="AZ894" s="3" t="s">
        <v>8780</v>
      </c>
      <c r="BA894" s="3" t="s">
        <v>8780</v>
      </c>
      <c r="BB894" s="3" t="s">
        <v>8781</v>
      </c>
      <c r="BC894" s="3" t="s">
        <v>77</v>
      </c>
      <c r="BD894" s="3" t="s">
        <v>78</v>
      </c>
      <c r="BE894" s="3" t="s">
        <v>8782</v>
      </c>
      <c r="BF894" s="3" t="s">
        <v>8781</v>
      </c>
      <c r="BG894" s="3" t="s">
        <v>8783</v>
      </c>
      <c r="BH894">
        <f t="shared" si="27"/>
        <v>0</v>
      </c>
    </row>
    <row r="895" spans="1:60" ht="58" x14ac:dyDescent="0.35">
      <c r="A895" s="2" t="s">
        <v>59</v>
      </c>
      <c r="B895" s="2" t="s">
        <v>60</v>
      </c>
      <c r="C895" s="2" t="s">
        <v>8784</v>
      </c>
      <c r="D895" s="2" t="s">
        <v>8785</v>
      </c>
      <c r="E895" s="2" t="s">
        <v>8786</v>
      </c>
      <c r="G895" s="3" t="s">
        <v>64</v>
      </c>
      <c r="I895" s="3" t="s">
        <v>64</v>
      </c>
      <c r="J895" s="3" t="s">
        <v>64</v>
      </c>
      <c r="K895" s="3" t="s">
        <v>65</v>
      </c>
      <c r="L895" s="2" t="s">
        <v>8787</v>
      </c>
      <c r="M895" s="2" t="s">
        <v>8788</v>
      </c>
      <c r="N895" s="3" t="s">
        <v>190</v>
      </c>
      <c r="P895" s="3" t="s">
        <v>102</v>
      </c>
      <c r="R895" s="3" t="s">
        <v>70</v>
      </c>
      <c r="S895" s="4">
        <v>0</v>
      </c>
      <c r="T895" s="4">
        <v>0</v>
      </c>
      <c r="W895" s="5" t="s">
        <v>72</v>
      </c>
      <c r="X895" s="5" t="s">
        <v>72</v>
      </c>
      <c r="Y895" s="4">
        <v>64</v>
      </c>
      <c r="Z895" s="4">
        <v>11</v>
      </c>
      <c r="AA895" s="4">
        <v>80</v>
      </c>
      <c r="AB895" s="4">
        <v>2</v>
      </c>
      <c r="AC895" s="4">
        <v>16</v>
      </c>
      <c r="AD895" s="4">
        <v>37</v>
      </c>
      <c r="AE895" s="4">
        <v>107</v>
      </c>
      <c r="AF895" s="4">
        <v>1</v>
      </c>
      <c r="AG895" s="4">
        <v>8</v>
      </c>
      <c r="AH895" s="4">
        <v>30</v>
      </c>
      <c r="AI895" s="4">
        <v>72</v>
      </c>
      <c r="AJ895" s="4">
        <v>7</v>
      </c>
      <c r="AK895" s="4">
        <v>22</v>
      </c>
      <c r="AL895" s="4">
        <v>22</v>
      </c>
      <c r="AM895" s="4">
        <v>40</v>
      </c>
      <c r="AN895" s="4">
        <v>0</v>
      </c>
      <c r="AO895" s="4">
        <v>0</v>
      </c>
      <c r="AP895" s="4">
        <v>7</v>
      </c>
      <c r="AQ895" s="4">
        <v>42</v>
      </c>
      <c r="AR895" s="3" t="s">
        <v>128</v>
      </c>
      <c r="AS895" s="3" t="s">
        <v>64</v>
      </c>
      <c r="AT895" s="3" t="s">
        <v>64</v>
      </c>
      <c r="AV895" s="6" t="str">
        <f>HYPERLINK("http://mcgill.on.worldcat.org/oclc/1013530634","Catalog Record")</f>
        <v>Catalog Record</v>
      </c>
      <c r="AW895" s="6" t="str">
        <f>HYPERLINK("http://www.worldcat.org/oclc/1013530634","WorldCat Record")</f>
        <v>WorldCat Record</v>
      </c>
      <c r="AX895" s="3" t="s">
        <v>8789</v>
      </c>
      <c r="AY895" s="3" t="s">
        <v>8790</v>
      </c>
      <c r="AZ895" s="3" t="s">
        <v>8791</v>
      </c>
      <c r="BA895" s="3" t="s">
        <v>8791</v>
      </c>
      <c r="BB895" s="3" t="s">
        <v>8792</v>
      </c>
      <c r="BC895" s="3" t="s">
        <v>77</v>
      </c>
      <c r="BD895" s="3" t="s">
        <v>78</v>
      </c>
      <c r="BE895" s="3" t="s">
        <v>8793</v>
      </c>
      <c r="BF895" s="3" t="s">
        <v>8792</v>
      </c>
      <c r="BG895" s="3" t="s">
        <v>8794</v>
      </c>
      <c r="BH895">
        <f t="shared" si="27"/>
        <v>0</v>
      </c>
    </row>
    <row r="896" spans="1:60" ht="72.5" x14ac:dyDescent="0.35">
      <c r="A896" s="2" t="s">
        <v>59</v>
      </c>
      <c r="B896" s="2" t="s">
        <v>60</v>
      </c>
      <c r="C896" s="2" t="s">
        <v>8795</v>
      </c>
      <c r="D896" s="2" t="s">
        <v>8796</v>
      </c>
      <c r="E896" s="2" t="s">
        <v>8797</v>
      </c>
      <c r="G896" s="3" t="s">
        <v>64</v>
      </c>
      <c r="I896" s="3" t="s">
        <v>64</v>
      </c>
      <c r="J896" s="3" t="s">
        <v>64</v>
      </c>
      <c r="K896" s="3" t="s">
        <v>65</v>
      </c>
      <c r="M896" s="2" t="s">
        <v>8798</v>
      </c>
      <c r="N896" s="3" t="s">
        <v>153</v>
      </c>
      <c r="P896" s="3" t="s">
        <v>102</v>
      </c>
      <c r="Q896" s="2" t="s">
        <v>8799</v>
      </c>
      <c r="R896" s="3" t="s">
        <v>70</v>
      </c>
      <c r="S896" s="4">
        <v>8</v>
      </c>
      <c r="T896" s="4">
        <v>8</v>
      </c>
      <c r="U896" s="5" t="s">
        <v>8725</v>
      </c>
      <c r="V896" s="5" t="s">
        <v>8725</v>
      </c>
      <c r="W896" s="5" t="s">
        <v>72</v>
      </c>
      <c r="X896" s="5" t="s">
        <v>72</v>
      </c>
      <c r="Y896" s="4">
        <v>132</v>
      </c>
      <c r="Z896" s="4">
        <v>8</v>
      </c>
      <c r="AA896" s="4">
        <v>8</v>
      </c>
      <c r="AB896" s="4">
        <v>1</v>
      </c>
      <c r="AC896" s="4">
        <v>1</v>
      </c>
      <c r="AD896" s="4">
        <v>59</v>
      </c>
      <c r="AE896" s="4">
        <v>59</v>
      </c>
      <c r="AF896" s="4">
        <v>0</v>
      </c>
      <c r="AG896" s="4">
        <v>0</v>
      </c>
      <c r="AH896" s="4">
        <v>54</v>
      </c>
      <c r="AI896" s="4">
        <v>54</v>
      </c>
      <c r="AJ896" s="4">
        <v>7</v>
      </c>
      <c r="AK896" s="4">
        <v>7</v>
      </c>
      <c r="AL896" s="4">
        <v>29</v>
      </c>
      <c r="AM896" s="4">
        <v>29</v>
      </c>
      <c r="AN896" s="4">
        <v>1</v>
      </c>
      <c r="AO896" s="4">
        <v>1</v>
      </c>
      <c r="AP896" s="4">
        <v>6</v>
      </c>
      <c r="AQ896" s="4">
        <v>6</v>
      </c>
      <c r="AR896" s="3" t="s">
        <v>64</v>
      </c>
      <c r="AS896" s="3" t="s">
        <v>64</v>
      </c>
      <c r="AT896" s="3" t="s">
        <v>128</v>
      </c>
      <c r="AU896" s="6" t="str">
        <f>HYPERLINK("http://catalog.hathitrust.org/Record/004030251","HathiTrust Record")</f>
        <v>HathiTrust Record</v>
      </c>
      <c r="AV896" s="6" t="str">
        <f>HYPERLINK("http://mcgill.on.worldcat.org/oclc/39891325","Catalog Record")</f>
        <v>Catalog Record</v>
      </c>
      <c r="AW896" s="6" t="str">
        <f>HYPERLINK("http://www.worldcat.org/oclc/39891325","WorldCat Record")</f>
        <v>WorldCat Record</v>
      </c>
      <c r="AX896" s="3" t="s">
        <v>8800</v>
      </c>
      <c r="AY896" s="3" t="s">
        <v>8801</v>
      </c>
      <c r="AZ896" s="3" t="s">
        <v>8802</v>
      </c>
      <c r="BA896" s="3" t="s">
        <v>8802</v>
      </c>
      <c r="BB896" s="3" t="s">
        <v>8803</v>
      </c>
      <c r="BC896" s="3" t="s">
        <v>77</v>
      </c>
      <c r="BD896" s="3" t="s">
        <v>78</v>
      </c>
      <c r="BE896" s="3" t="s">
        <v>8804</v>
      </c>
      <c r="BF896" s="3" t="s">
        <v>8803</v>
      </c>
      <c r="BG896" s="3" t="s">
        <v>8805</v>
      </c>
      <c r="BH896">
        <f t="shared" si="27"/>
        <v>0</v>
      </c>
    </row>
    <row r="897" spans="1:60" ht="58" x14ac:dyDescent="0.35">
      <c r="A897" s="2" t="s">
        <v>59</v>
      </c>
      <c r="B897" s="2" t="s">
        <v>60</v>
      </c>
      <c r="C897" s="2" t="s">
        <v>8806</v>
      </c>
      <c r="D897" s="2" t="s">
        <v>8807</v>
      </c>
      <c r="E897" s="2" t="s">
        <v>8808</v>
      </c>
      <c r="G897" s="3" t="s">
        <v>64</v>
      </c>
      <c r="I897" s="3" t="s">
        <v>64</v>
      </c>
      <c r="J897" s="3" t="s">
        <v>64</v>
      </c>
      <c r="K897" s="3" t="s">
        <v>65</v>
      </c>
      <c r="L897" s="2" t="s">
        <v>8809</v>
      </c>
      <c r="M897" s="2" t="s">
        <v>1288</v>
      </c>
      <c r="N897" s="3" t="s">
        <v>511</v>
      </c>
      <c r="P897" s="3" t="s">
        <v>102</v>
      </c>
      <c r="R897" s="3" t="s">
        <v>70</v>
      </c>
      <c r="S897" s="4">
        <v>7</v>
      </c>
      <c r="T897" s="4">
        <v>7</v>
      </c>
      <c r="U897" s="5" t="s">
        <v>8810</v>
      </c>
      <c r="V897" s="5" t="s">
        <v>8810</v>
      </c>
      <c r="W897" s="5" t="s">
        <v>72</v>
      </c>
      <c r="X897" s="5" t="s">
        <v>72</v>
      </c>
      <c r="Y897" s="4">
        <v>133</v>
      </c>
      <c r="Z897" s="4">
        <v>13</v>
      </c>
      <c r="AA897" s="4">
        <v>53</v>
      </c>
      <c r="AB897" s="4">
        <v>1</v>
      </c>
      <c r="AC897" s="4">
        <v>9</v>
      </c>
      <c r="AD897" s="4">
        <v>42</v>
      </c>
      <c r="AE897" s="4">
        <v>61</v>
      </c>
      <c r="AF897" s="4">
        <v>0</v>
      </c>
      <c r="AG897" s="4">
        <v>2</v>
      </c>
      <c r="AH897" s="4">
        <v>38</v>
      </c>
      <c r="AI897" s="4">
        <v>50</v>
      </c>
      <c r="AJ897" s="4">
        <v>6</v>
      </c>
      <c r="AK897" s="4">
        <v>11</v>
      </c>
      <c r="AL897" s="4">
        <v>25</v>
      </c>
      <c r="AM897" s="4">
        <v>32</v>
      </c>
      <c r="AN897" s="4">
        <v>0</v>
      </c>
      <c r="AO897" s="4">
        <v>0</v>
      </c>
      <c r="AP897" s="4">
        <v>7</v>
      </c>
      <c r="AQ897" s="4">
        <v>15</v>
      </c>
      <c r="AR897" s="3" t="s">
        <v>64</v>
      </c>
      <c r="AS897" s="3" t="s">
        <v>64</v>
      </c>
      <c r="AT897" s="3" t="s">
        <v>64</v>
      </c>
      <c r="AV897" s="6" t="str">
        <f>HYPERLINK("http://mcgill.on.worldcat.org/oclc/586123162","Catalog Record")</f>
        <v>Catalog Record</v>
      </c>
      <c r="AW897" s="6" t="str">
        <f>HYPERLINK("http://www.worldcat.org/oclc/586123162","WorldCat Record")</f>
        <v>WorldCat Record</v>
      </c>
      <c r="AX897" s="3" t="s">
        <v>8811</v>
      </c>
      <c r="AY897" s="3" t="s">
        <v>8812</v>
      </c>
      <c r="AZ897" s="3" t="s">
        <v>8813</v>
      </c>
      <c r="BA897" s="3" t="s">
        <v>8813</v>
      </c>
      <c r="BB897" s="3" t="s">
        <v>8814</v>
      </c>
      <c r="BC897" s="3" t="s">
        <v>77</v>
      </c>
      <c r="BD897" s="3" t="s">
        <v>78</v>
      </c>
      <c r="BE897" s="3" t="s">
        <v>8815</v>
      </c>
      <c r="BF897" s="3" t="s">
        <v>8814</v>
      </c>
      <c r="BG897" s="3" t="s">
        <v>8816</v>
      </c>
      <c r="BH897">
        <f t="shared" si="27"/>
        <v>0</v>
      </c>
    </row>
    <row r="898" spans="1:60" ht="58" x14ac:dyDescent="0.35">
      <c r="A898" s="2" t="s">
        <v>59</v>
      </c>
      <c r="B898" s="2" t="s">
        <v>60</v>
      </c>
      <c r="C898" s="2" t="s">
        <v>8817</v>
      </c>
      <c r="D898" s="2" t="s">
        <v>8818</v>
      </c>
      <c r="E898" s="2" t="s">
        <v>8819</v>
      </c>
      <c r="G898" s="3" t="s">
        <v>64</v>
      </c>
      <c r="I898" s="3" t="s">
        <v>64</v>
      </c>
      <c r="J898" s="3" t="s">
        <v>64</v>
      </c>
      <c r="K898" s="3" t="s">
        <v>65</v>
      </c>
      <c r="M898" s="2" t="s">
        <v>8820</v>
      </c>
      <c r="N898" s="3" t="s">
        <v>67</v>
      </c>
      <c r="P898" s="3" t="s">
        <v>68</v>
      </c>
      <c r="Q898" s="2" t="s">
        <v>8821</v>
      </c>
      <c r="R898" s="3" t="s">
        <v>70</v>
      </c>
      <c r="S898" s="4">
        <v>3</v>
      </c>
      <c r="T898" s="4">
        <v>3</v>
      </c>
      <c r="U898" s="5" t="s">
        <v>8822</v>
      </c>
      <c r="V898" s="5" t="s">
        <v>8822</v>
      </c>
      <c r="W898" s="5" t="s">
        <v>72</v>
      </c>
      <c r="X898" s="5" t="s">
        <v>72</v>
      </c>
      <c r="Y898" s="4">
        <v>13</v>
      </c>
      <c r="Z898" s="4">
        <v>5</v>
      </c>
      <c r="AA898" s="4">
        <v>20</v>
      </c>
      <c r="AB898" s="4">
        <v>1</v>
      </c>
      <c r="AC898" s="4">
        <v>10</v>
      </c>
      <c r="AD898" s="4">
        <v>5</v>
      </c>
      <c r="AE898" s="4">
        <v>19</v>
      </c>
      <c r="AF898" s="4">
        <v>0</v>
      </c>
      <c r="AG898" s="4">
        <v>5</v>
      </c>
      <c r="AH898" s="4">
        <v>5</v>
      </c>
      <c r="AI898" s="4">
        <v>9</v>
      </c>
      <c r="AJ898" s="4">
        <v>3</v>
      </c>
      <c r="AK898" s="4">
        <v>11</v>
      </c>
      <c r="AL898" s="4">
        <v>3</v>
      </c>
      <c r="AM898" s="4">
        <v>6</v>
      </c>
      <c r="AN898" s="4">
        <v>0</v>
      </c>
      <c r="AO898" s="4">
        <v>0</v>
      </c>
      <c r="AP898" s="4">
        <v>3</v>
      </c>
      <c r="AQ898" s="4">
        <v>10</v>
      </c>
      <c r="AR898" s="3" t="s">
        <v>128</v>
      </c>
      <c r="AS898" s="3" t="s">
        <v>64</v>
      </c>
      <c r="AT898" s="3" t="s">
        <v>64</v>
      </c>
      <c r="AV898" s="6" t="str">
        <f>HYPERLINK("http://mcgill.on.worldcat.org/oclc/880711801","Catalog Record")</f>
        <v>Catalog Record</v>
      </c>
      <c r="AW898" s="6" t="str">
        <f>HYPERLINK("http://www.worldcat.org/oclc/880711801","WorldCat Record")</f>
        <v>WorldCat Record</v>
      </c>
      <c r="AX898" s="3" t="s">
        <v>8823</v>
      </c>
      <c r="AY898" s="3" t="s">
        <v>8824</v>
      </c>
      <c r="AZ898" s="3" t="s">
        <v>8825</v>
      </c>
      <c r="BA898" s="3" t="s">
        <v>8825</v>
      </c>
      <c r="BB898" s="3" t="s">
        <v>8826</v>
      </c>
      <c r="BC898" s="3" t="s">
        <v>77</v>
      </c>
      <c r="BD898" s="3" t="s">
        <v>78</v>
      </c>
      <c r="BE898" s="3" t="s">
        <v>8827</v>
      </c>
      <c r="BF898" s="3" t="s">
        <v>8826</v>
      </c>
      <c r="BG898" s="3" t="s">
        <v>8828</v>
      </c>
      <c r="BH898">
        <f t="shared" ref="BH898:BH961" si="28">IF(COUNTIF($BF$1:$BF$5431,BF898)=1,0,1)</f>
        <v>0</v>
      </c>
    </row>
    <row r="899" spans="1:60" ht="58" x14ac:dyDescent="0.35">
      <c r="A899" s="2" t="s">
        <v>59</v>
      </c>
      <c r="B899" s="2" t="s">
        <v>60</v>
      </c>
      <c r="C899" s="2" t="s">
        <v>8829</v>
      </c>
      <c r="D899" s="2" t="s">
        <v>8830</v>
      </c>
      <c r="E899" s="2" t="s">
        <v>8831</v>
      </c>
      <c r="G899" s="3" t="s">
        <v>64</v>
      </c>
      <c r="I899" s="3" t="s">
        <v>64</v>
      </c>
      <c r="J899" s="3" t="s">
        <v>64</v>
      </c>
      <c r="K899" s="3" t="s">
        <v>65</v>
      </c>
      <c r="L899" s="2" t="s">
        <v>8832</v>
      </c>
      <c r="M899" s="2" t="s">
        <v>8833</v>
      </c>
      <c r="N899" s="3" t="s">
        <v>171</v>
      </c>
      <c r="P899" s="3" t="s">
        <v>102</v>
      </c>
      <c r="R899" s="3" t="s">
        <v>70</v>
      </c>
      <c r="S899" s="4">
        <v>14</v>
      </c>
      <c r="T899" s="4">
        <v>14</v>
      </c>
      <c r="U899" s="5" t="s">
        <v>8834</v>
      </c>
      <c r="V899" s="5" t="s">
        <v>8834</v>
      </c>
      <c r="W899" s="5" t="s">
        <v>72</v>
      </c>
      <c r="X899" s="5" t="s">
        <v>72</v>
      </c>
      <c r="Y899" s="4">
        <v>561</v>
      </c>
      <c r="Z899" s="4">
        <v>40</v>
      </c>
      <c r="AA899" s="4">
        <v>100</v>
      </c>
      <c r="AB899" s="4">
        <v>4</v>
      </c>
      <c r="AC899" s="4">
        <v>17</v>
      </c>
      <c r="AD899" s="4">
        <v>119</v>
      </c>
      <c r="AE899" s="4">
        <v>145</v>
      </c>
      <c r="AF899" s="4">
        <v>1</v>
      </c>
      <c r="AG899" s="4">
        <v>8</v>
      </c>
      <c r="AH899" s="4">
        <v>97</v>
      </c>
      <c r="AI899" s="4">
        <v>104</v>
      </c>
      <c r="AJ899" s="4">
        <v>20</v>
      </c>
      <c r="AK899" s="4">
        <v>25</v>
      </c>
      <c r="AL899" s="4">
        <v>50</v>
      </c>
      <c r="AM899" s="4">
        <v>54</v>
      </c>
      <c r="AN899" s="4">
        <v>0</v>
      </c>
      <c r="AO899" s="4">
        <v>0</v>
      </c>
      <c r="AP899" s="4">
        <v>29</v>
      </c>
      <c r="AQ899" s="4">
        <v>48</v>
      </c>
      <c r="AR899" s="3" t="s">
        <v>64</v>
      </c>
      <c r="AS899" s="3" t="s">
        <v>64</v>
      </c>
      <c r="AT899" s="3" t="s">
        <v>64</v>
      </c>
      <c r="AV899" s="6" t="str">
        <f>HYPERLINK("http://mcgill.on.worldcat.org/oclc/70059788","Catalog Record")</f>
        <v>Catalog Record</v>
      </c>
      <c r="AW899" s="6" t="str">
        <f>HYPERLINK("http://www.worldcat.org/oclc/70059788","WorldCat Record")</f>
        <v>WorldCat Record</v>
      </c>
      <c r="AX899" s="3" t="s">
        <v>8835</v>
      </c>
      <c r="AY899" s="3" t="s">
        <v>8836</v>
      </c>
      <c r="AZ899" s="3" t="s">
        <v>8837</v>
      </c>
      <c r="BA899" s="3" t="s">
        <v>8837</v>
      </c>
      <c r="BB899" s="3" t="s">
        <v>8838</v>
      </c>
      <c r="BC899" s="3" t="s">
        <v>77</v>
      </c>
      <c r="BD899" s="3" t="s">
        <v>78</v>
      </c>
      <c r="BE899" s="3" t="s">
        <v>8839</v>
      </c>
      <c r="BF899" s="3" t="s">
        <v>8838</v>
      </c>
      <c r="BG899" s="3" t="s">
        <v>8840</v>
      </c>
      <c r="BH899">
        <f t="shared" si="28"/>
        <v>0</v>
      </c>
    </row>
    <row r="900" spans="1:60" ht="58" x14ac:dyDescent="0.35">
      <c r="A900" s="2" t="s">
        <v>59</v>
      </c>
      <c r="B900" s="2" t="s">
        <v>60</v>
      </c>
      <c r="C900" s="2" t="s">
        <v>8842</v>
      </c>
      <c r="D900" s="2" t="s">
        <v>8843</v>
      </c>
      <c r="E900" s="2" t="s">
        <v>8844</v>
      </c>
      <c r="G900" s="3" t="s">
        <v>64</v>
      </c>
      <c r="I900" s="3" t="s">
        <v>64</v>
      </c>
      <c r="J900" s="3" t="s">
        <v>64</v>
      </c>
      <c r="K900" s="3" t="s">
        <v>65</v>
      </c>
      <c r="L900" s="2" t="s">
        <v>563</v>
      </c>
      <c r="M900" s="2" t="s">
        <v>8845</v>
      </c>
      <c r="N900" s="3" t="s">
        <v>551</v>
      </c>
      <c r="P900" s="3" t="s">
        <v>102</v>
      </c>
      <c r="R900" s="3" t="s">
        <v>70</v>
      </c>
      <c r="S900" s="4">
        <v>8</v>
      </c>
      <c r="T900" s="4">
        <v>8</v>
      </c>
      <c r="U900" s="5" t="s">
        <v>6684</v>
      </c>
      <c r="V900" s="5" t="s">
        <v>6684</v>
      </c>
      <c r="W900" s="5" t="s">
        <v>72</v>
      </c>
      <c r="X900" s="5" t="s">
        <v>72</v>
      </c>
      <c r="Y900" s="4">
        <v>205</v>
      </c>
      <c r="Z900" s="4">
        <v>30</v>
      </c>
      <c r="AA900" s="4">
        <v>31</v>
      </c>
      <c r="AB900" s="4">
        <v>1</v>
      </c>
      <c r="AC900" s="4">
        <v>2</v>
      </c>
      <c r="AD900" s="4">
        <v>89</v>
      </c>
      <c r="AE900" s="4">
        <v>90</v>
      </c>
      <c r="AF900" s="4">
        <v>0</v>
      </c>
      <c r="AG900" s="4">
        <v>1</v>
      </c>
      <c r="AH900" s="4">
        <v>75</v>
      </c>
      <c r="AI900" s="4">
        <v>76</v>
      </c>
      <c r="AJ900" s="4">
        <v>18</v>
      </c>
      <c r="AK900" s="4">
        <v>19</v>
      </c>
      <c r="AL900" s="4">
        <v>46</v>
      </c>
      <c r="AM900" s="4">
        <v>46</v>
      </c>
      <c r="AN900" s="4">
        <v>0</v>
      </c>
      <c r="AO900" s="4">
        <v>0</v>
      </c>
      <c r="AP900" s="4">
        <v>22</v>
      </c>
      <c r="AQ900" s="4">
        <v>23</v>
      </c>
      <c r="AR900" s="3" t="s">
        <v>64</v>
      </c>
      <c r="AS900" s="3" t="s">
        <v>64</v>
      </c>
      <c r="AT900" s="3" t="s">
        <v>64</v>
      </c>
      <c r="AV900" s="6" t="str">
        <f>HYPERLINK("http://mcgill.on.worldcat.org/oclc/312626235","Catalog Record")</f>
        <v>Catalog Record</v>
      </c>
      <c r="AW900" s="6" t="str">
        <f>HYPERLINK("http://www.worldcat.org/oclc/312626235","WorldCat Record")</f>
        <v>WorldCat Record</v>
      </c>
      <c r="AX900" s="3" t="s">
        <v>8846</v>
      </c>
      <c r="AY900" s="3" t="s">
        <v>8847</v>
      </c>
      <c r="AZ900" s="3" t="s">
        <v>8848</v>
      </c>
      <c r="BA900" s="3" t="s">
        <v>8848</v>
      </c>
      <c r="BB900" s="3" t="s">
        <v>8849</v>
      </c>
      <c r="BC900" s="3" t="s">
        <v>77</v>
      </c>
      <c r="BD900" s="3" t="s">
        <v>78</v>
      </c>
      <c r="BE900" s="3" t="s">
        <v>8850</v>
      </c>
      <c r="BF900" s="3" t="s">
        <v>8849</v>
      </c>
      <c r="BG900" s="3" t="s">
        <v>8851</v>
      </c>
      <c r="BH900">
        <f t="shared" si="28"/>
        <v>0</v>
      </c>
    </row>
    <row r="901" spans="1:60" ht="58" x14ac:dyDescent="0.35">
      <c r="A901" s="2" t="s">
        <v>59</v>
      </c>
      <c r="B901" s="2" t="s">
        <v>60</v>
      </c>
      <c r="C901" s="2" t="s">
        <v>8852</v>
      </c>
      <c r="D901" s="2" t="s">
        <v>8853</v>
      </c>
      <c r="E901" s="2" t="s">
        <v>8854</v>
      </c>
      <c r="G901" s="3" t="s">
        <v>64</v>
      </c>
      <c r="I901" s="3" t="s">
        <v>64</v>
      </c>
      <c r="J901" s="3" t="s">
        <v>64</v>
      </c>
      <c r="K901" s="3" t="s">
        <v>65</v>
      </c>
      <c r="L901" s="2" t="s">
        <v>8855</v>
      </c>
      <c r="M901" s="2" t="s">
        <v>8856</v>
      </c>
      <c r="N901" s="3" t="s">
        <v>3047</v>
      </c>
      <c r="P901" s="3" t="s">
        <v>68</v>
      </c>
      <c r="Q901" s="2" t="s">
        <v>8857</v>
      </c>
      <c r="R901" s="3" t="s">
        <v>70</v>
      </c>
      <c r="S901" s="4">
        <v>101</v>
      </c>
      <c r="T901" s="4">
        <v>101</v>
      </c>
      <c r="U901" s="5" t="s">
        <v>8858</v>
      </c>
      <c r="V901" s="5" t="s">
        <v>8858</v>
      </c>
      <c r="W901" s="5" t="s">
        <v>72</v>
      </c>
      <c r="X901" s="5" t="s">
        <v>72</v>
      </c>
      <c r="Y901" s="4">
        <v>266</v>
      </c>
      <c r="Z901" s="4">
        <v>28</v>
      </c>
      <c r="AA901" s="4">
        <v>42</v>
      </c>
      <c r="AB901" s="4">
        <v>2</v>
      </c>
      <c r="AC901" s="4">
        <v>14</v>
      </c>
      <c r="AD901" s="4">
        <v>104</v>
      </c>
      <c r="AE901" s="4">
        <v>112</v>
      </c>
      <c r="AF901" s="4">
        <v>1</v>
      </c>
      <c r="AG901" s="4">
        <v>6</v>
      </c>
      <c r="AH901" s="4">
        <v>89</v>
      </c>
      <c r="AI901" s="4">
        <v>92</v>
      </c>
      <c r="AJ901" s="4">
        <v>19</v>
      </c>
      <c r="AK901" s="4">
        <v>24</v>
      </c>
      <c r="AL901" s="4">
        <v>51</v>
      </c>
      <c r="AM901" s="4">
        <v>51</v>
      </c>
      <c r="AN901" s="4">
        <v>0</v>
      </c>
      <c r="AO901" s="4">
        <v>0</v>
      </c>
      <c r="AP901" s="4">
        <v>24</v>
      </c>
      <c r="AQ901" s="4">
        <v>30</v>
      </c>
      <c r="AR901" s="3" t="s">
        <v>64</v>
      </c>
      <c r="AS901" s="3" t="s">
        <v>64</v>
      </c>
      <c r="AT901" s="3" t="s">
        <v>128</v>
      </c>
      <c r="AU901" s="6" t="str">
        <f>HYPERLINK("http://catalog.hathitrust.org/Record/000823493","HathiTrust Record")</f>
        <v>HathiTrust Record</v>
      </c>
      <c r="AV901" s="6" t="str">
        <f>HYPERLINK("http://mcgill.on.worldcat.org/oclc/24872949","Catalog Record")</f>
        <v>Catalog Record</v>
      </c>
      <c r="AW901" s="6" t="str">
        <f>HYPERLINK("http://www.worldcat.org/oclc/24872949","WorldCat Record")</f>
        <v>WorldCat Record</v>
      </c>
      <c r="AX901" s="3" t="s">
        <v>8859</v>
      </c>
      <c r="AY901" s="3" t="s">
        <v>8860</v>
      </c>
      <c r="AZ901" s="3" t="s">
        <v>8861</v>
      </c>
      <c r="BA901" s="3" t="s">
        <v>8861</v>
      </c>
      <c r="BB901" s="3" t="s">
        <v>8862</v>
      </c>
      <c r="BC901" s="3" t="s">
        <v>77</v>
      </c>
      <c r="BD901" s="3" t="s">
        <v>78</v>
      </c>
      <c r="BE901" s="3" t="s">
        <v>8863</v>
      </c>
      <c r="BF901" s="3" t="s">
        <v>8862</v>
      </c>
      <c r="BG901" s="3" t="s">
        <v>8864</v>
      </c>
      <c r="BH901">
        <f t="shared" si="28"/>
        <v>0</v>
      </c>
    </row>
    <row r="902" spans="1:60" ht="58" x14ac:dyDescent="0.35">
      <c r="A902" s="2" t="s">
        <v>59</v>
      </c>
      <c r="B902" s="2" t="s">
        <v>60</v>
      </c>
      <c r="C902" s="2" t="s">
        <v>8865</v>
      </c>
      <c r="D902" s="2" t="s">
        <v>8866</v>
      </c>
      <c r="E902" s="2" t="s">
        <v>8867</v>
      </c>
      <c r="G902" s="3" t="s">
        <v>64</v>
      </c>
      <c r="I902" s="3" t="s">
        <v>128</v>
      </c>
      <c r="J902" s="3" t="s">
        <v>64</v>
      </c>
      <c r="K902" s="3" t="s">
        <v>65</v>
      </c>
      <c r="L902" s="2" t="s">
        <v>8855</v>
      </c>
      <c r="M902" s="2" t="s">
        <v>8868</v>
      </c>
      <c r="N902" s="3" t="s">
        <v>421</v>
      </c>
      <c r="P902" s="3" t="s">
        <v>102</v>
      </c>
      <c r="Q902" s="2" t="s">
        <v>8869</v>
      </c>
      <c r="R902" s="3" t="s">
        <v>70</v>
      </c>
      <c r="S902" s="4">
        <v>53</v>
      </c>
      <c r="T902" s="4">
        <v>129</v>
      </c>
      <c r="U902" s="5" t="s">
        <v>8870</v>
      </c>
      <c r="V902" s="5" t="s">
        <v>8871</v>
      </c>
      <c r="W902" s="5" t="s">
        <v>72</v>
      </c>
      <c r="X902" s="5" t="s">
        <v>72</v>
      </c>
      <c r="Y902" s="4">
        <v>423</v>
      </c>
      <c r="Z902" s="4">
        <v>36</v>
      </c>
      <c r="AA902" s="4">
        <v>113</v>
      </c>
      <c r="AB902" s="4">
        <v>2</v>
      </c>
      <c r="AC902" s="4">
        <v>17</v>
      </c>
      <c r="AD902" s="4">
        <v>119</v>
      </c>
      <c r="AE902" s="4">
        <v>149</v>
      </c>
      <c r="AF902" s="4">
        <v>1</v>
      </c>
      <c r="AG902" s="4">
        <v>8</v>
      </c>
      <c r="AH902" s="4">
        <v>101</v>
      </c>
      <c r="AI902" s="4">
        <v>108</v>
      </c>
      <c r="AJ902" s="4">
        <v>20</v>
      </c>
      <c r="AK902" s="4">
        <v>26</v>
      </c>
      <c r="AL902" s="4">
        <v>54</v>
      </c>
      <c r="AM902" s="4">
        <v>56</v>
      </c>
      <c r="AN902" s="4">
        <v>0</v>
      </c>
      <c r="AO902" s="4">
        <v>0</v>
      </c>
      <c r="AP902" s="4">
        <v>29</v>
      </c>
      <c r="AQ902" s="4">
        <v>52</v>
      </c>
      <c r="AR902" s="3" t="s">
        <v>64</v>
      </c>
      <c r="AS902" s="3" t="s">
        <v>64</v>
      </c>
      <c r="AT902" s="3" t="s">
        <v>64</v>
      </c>
      <c r="AV902" s="6" t="str">
        <f>HYPERLINK("http://mcgill.on.worldcat.org/oclc/36778284","Catalog Record")</f>
        <v>Catalog Record</v>
      </c>
      <c r="AW902" s="6" t="str">
        <f>HYPERLINK("http://www.worldcat.org/oclc/36778284","WorldCat Record")</f>
        <v>WorldCat Record</v>
      </c>
      <c r="AX902" s="3" t="s">
        <v>8872</v>
      </c>
      <c r="AY902" s="3" t="s">
        <v>8873</v>
      </c>
      <c r="AZ902" s="3" t="s">
        <v>8874</v>
      </c>
      <c r="BA902" s="3" t="s">
        <v>8874</v>
      </c>
      <c r="BB902" s="3" t="s">
        <v>8875</v>
      </c>
      <c r="BC902" s="3" t="s">
        <v>77</v>
      </c>
      <c r="BD902" s="3" t="s">
        <v>165</v>
      </c>
      <c r="BE902" s="3" t="s">
        <v>8876</v>
      </c>
      <c r="BF902" s="3" t="s">
        <v>8875</v>
      </c>
      <c r="BG902" s="3" t="s">
        <v>8877</v>
      </c>
      <c r="BH902">
        <f t="shared" si="28"/>
        <v>0</v>
      </c>
    </row>
    <row r="903" spans="1:60" ht="58" x14ac:dyDescent="0.35">
      <c r="A903" s="2" t="s">
        <v>59</v>
      </c>
      <c r="B903" s="2" t="s">
        <v>60</v>
      </c>
      <c r="C903" s="2" t="s">
        <v>8865</v>
      </c>
      <c r="D903" s="2" t="s">
        <v>8866</v>
      </c>
      <c r="E903" s="2" t="s">
        <v>8867</v>
      </c>
      <c r="G903" s="3" t="s">
        <v>64</v>
      </c>
      <c r="I903" s="3" t="s">
        <v>128</v>
      </c>
      <c r="J903" s="3" t="s">
        <v>64</v>
      </c>
      <c r="K903" s="3" t="s">
        <v>65</v>
      </c>
      <c r="L903" s="2" t="s">
        <v>8855</v>
      </c>
      <c r="M903" s="2" t="s">
        <v>8868</v>
      </c>
      <c r="N903" s="3" t="s">
        <v>421</v>
      </c>
      <c r="P903" s="3" t="s">
        <v>102</v>
      </c>
      <c r="Q903" s="2" t="s">
        <v>8869</v>
      </c>
      <c r="R903" s="3" t="s">
        <v>70</v>
      </c>
      <c r="S903" s="4">
        <v>76</v>
      </c>
      <c r="T903" s="4">
        <v>129</v>
      </c>
      <c r="U903" s="5" t="s">
        <v>8871</v>
      </c>
      <c r="V903" s="5" t="s">
        <v>8871</v>
      </c>
      <c r="W903" s="5" t="s">
        <v>72</v>
      </c>
      <c r="X903" s="5" t="s">
        <v>72</v>
      </c>
      <c r="Y903" s="4">
        <v>423</v>
      </c>
      <c r="Z903" s="4">
        <v>36</v>
      </c>
      <c r="AA903" s="4">
        <v>113</v>
      </c>
      <c r="AB903" s="4">
        <v>2</v>
      </c>
      <c r="AC903" s="4">
        <v>17</v>
      </c>
      <c r="AD903" s="4">
        <v>119</v>
      </c>
      <c r="AE903" s="4">
        <v>149</v>
      </c>
      <c r="AF903" s="4">
        <v>1</v>
      </c>
      <c r="AG903" s="4">
        <v>8</v>
      </c>
      <c r="AH903" s="4">
        <v>101</v>
      </c>
      <c r="AI903" s="4">
        <v>108</v>
      </c>
      <c r="AJ903" s="4">
        <v>20</v>
      </c>
      <c r="AK903" s="4">
        <v>26</v>
      </c>
      <c r="AL903" s="4">
        <v>54</v>
      </c>
      <c r="AM903" s="4">
        <v>56</v>
      </c>
      <c r="AN903" s="4">
        <v>0</v>
      </c>
      <c r="AO903" s="4">
        <v>0</v>
      </c>
      <c r="AP903" s="4">
        <v>29</v>
      </c>
      <c r="AQ903" s="4">
        <v>52</v>
      </c>
      <c r="AR903" s="3" t="s">
        <v>64</v>
      </c>
      <c r="AS903" s="3" t="s">
        <v>64</v>
      </c>
      <c r="AT903" s="3" t="s">
        <v>64</v>
      </c>
      <c r="AV903" s="6" t="str">
        <f>HYPERLINK("http://mcgill.on.worldcat.org/oclc/36778284","Catalog Record")</f>
        <v>Catalog Record</v>
      </c>
      <c r="AW903" s="6" t="str">
        <f>HYPERLINK("http://www.worldcat.org/oclc/36778284","WorldCat Record")</f>
        <v>WorldCat Record</v>
      </c>
      <c r="AX903" s="3" t="s">
        <v>8872</v>
      </c>
      <c r="AY903" s="3" t="s">
        <v>8873</v>
      </c>
      <c r="AZ903" s="3" t="s">
        <v>8874</v>
      </c>
      <c r="BA903" s="3" t="s">
        <v>8874</v>
      </c>
      <c r="BB903" s="3" t="s">
        <v>8878</v>
      </c>
      <c r="BC903" s="3" t="s">
        <v>77</v>
      </c>
      <c r="BD903" s="3" t="s">
        <v>165</v>
      </c>
      <c r="BE903" s="3" t="s">
        <v>8876</v>
      </c>
      <c r="BF903" s="3" t="s">
        <v>8878</v>
      </c>
      <c r="BG903" s="3" t="s">
        <v>8879</v>
      </c>
      <c r="BH903">
        <f t="shared" si="28"/>
        <v>0</v>
      </c>
    </row>
    <row r="904" spans="1:60" ht="58" x14ac:dyDescent="0.35">
      <c r="A904" s="2" t="s">
        <v>59</v>
      </c>
      <c r="B904" s="2" t="s">
        <v>60</v>
      </c>
      <c r="C904" s="2" t="s">
        <v>8880</v>
      </c>
      <c r="D904" s="2" t="s">
        <v>8881</v>
      </c>
      <c r="E904" s="2" t="s">
        <v>8882</v>
      </c>
      <c r="G904" s="3" t="s">
        <v>64</v>
      </c>
      <c r="I904" s="3" t="s">
        <v>64</v>
      </c>
      <c r="J904" s="3" t="s">
        <v>64</v>
      </c>
      <c r="K904" s="3" t="s">
        <v>65</v>
      </c>
      <c r="M904" s="2" t="s">
        <v>2434</v>
      </c>
      <c r="N904" s="3" t="s">
        <v>291</v>
      </c>
      <c r="P904" s="3" t="s">
        <v>102</v>
      </c>
      <c r="Q904" s="2" t="s">
        <v>103</v>
      </c>
      <c r="R904" s="3" t="s">
        <v>70</v>
      </c>
      <c r="S904" s="4">
        <v>12</v>
      </c>
      <c r="T904" s="4">
        <v>12</v>
      </c>
      <c r="U904" s="5" t="s">
        <v>1176</v>
      </c>
      <c r="V904" s="5" t="s">
        <v>1176</v>
      </c>
      <c r="W904" s="5" t="s">
        <v>72</v>
      </c>
      <c r="X904" s="5" t="s">
        <v>72</v>
      </c>
      <c r="Y904" s="4">
        <v>196</v>
      </c>
      <c r="Z904" s="4">
        <v>24</v>
      </c>
      <c r="AA904" s="4">
        <v>42</v>
      </c>
      <c r="AB904" s="4">
        <v>3</v>
      </c>
      <c r="AC904" s="4">
        <v>6</v>
      </c>
      <c r="AD904" s="4">
        <v>76</v>
      </c>
      <c r="AE904" s="4">
        <v>98</v>
      </c>
      <c r="AF904" s="4">
        <v>1</v>
      </c>
      <c r="AG904" s="4">
        <v>2</v>
      </c>
      <c r="AH904" s="4">
        <v>68</v>
      </c>
      <c r="AI904" s="4">
        <v>79</v>
      </c>
      <c r="AJ904" s="4">
        <v>13</v>
      </c>
      <c r="AK904" s="4">
        <v>19</v>
      </c>
      <c r="AL904" s="4">
        <v>37</v>
      </c>
      <c r="AM904" s="4">
        <v>42</v>
      </c>
      <c r="AN904" s="4">
        <v>0</v>
      </c>
      <c r="AO904" s="4">
        <v>0</v>
      </c>
      <c r="AP904" s="4">
        <v>15</v>
      </c>
      <c r="AQ904" s="4">
        <v>26</v>
      </c>
      <c r="AR904" s="3" t="s">
        <v>64</v>
      </c>
      <c r="AS904" s="3" t="s">
        <v>64</v>
      </c>
      <c r="AT904" s="3" t="s">
        <v>64</v>
      </c>
      <c r="AV904" s="6" t="str">
        <f>HYPERLINK("http://mcgill.on.worldcat.org/oclc/159592416","Catalog Record")</f>
        <v>Catalog Record</v>
      </c>
      <c r="AW904" s="6" t="str">
        <f>HYPERLINK("http://www.worldcat.org/oclc/159592416","WorldCat Record")</f>
        <v>WorldCat Record</v>
      </c>
      <c r="AX904" s="3" t="s">
        <v>8883</v>
      </c>
      <c r="AY904" s="3" t="s">
        <v>8884</v>
      </c>
      <c r="AZ904" s="3" t="s">
        <v>8885</v>
      </c>
      <c r="BA904" s="3" t="s">
        <v>8885</v>
      </c>
      <c r="BB904" s="3" t="s">
        <v>8886</v>
      </c>
      <c r="BC904" s="3" t="s">
        <v>77</v>
      </c>
      <c r="BD904" s="3" t="s">
        <v>78</v>
      </c>
      <c r="BE904" s="3" t="s">
        <v>8887</v>
      </c>
      <c r="BF904" s="3" t="s">
        <v>8886</v>
      </c>
      <c r="BG904" s="3" t="s">
        <v>8888</v>
      </c>
      <c r="BH904">
        <f t="shared" si="28"/>
        <v>0</v>
      </c>
    </row>
    <row r="905" spans="1:60" ht="58" x14ac:dyDescent="0.35">
      <c r="A905" s="2" t="s">
        <v>59</v>
      </c>
      <c r="B905" s="2" t="s">
        <v>60</v>
      </c>
      <c r="C905" s="2" t="s">
        <v>8889</v>
      </c>
      <c r="D905" s="2" t="s">
        <v>8890</v>
      </c>
      <c r="E905" s="2" t="s">
        <v>8891</v>
      </c>
      <c r="G905" s="3" t="s">
        <v>64</v>
      </c>
      <c r="I905" s="3" t="s">
        <v>64</v>
      </c>
      <c r="J905" s="3" t="s">
        <v>64</v>
      </c>
      <c r="K905" s="3" t="s">
        <v>65</v>
      </c>
      <c r="L905" s="2" t="s">
        <v>8892</v>
      </c>
      <c r="M905" s="2" t="s">
        <v>8893</v>
      </c>
      <c r="N905" s="3" t="s">
        <v>578</v>
      </c>
      <c r="O905" s="2" t="s">
        <v>117</v>
      </c>
      <c r="P905" s="3" t="s">
        <v>102</v>
      </c>
      <c r="R905" s="3" t="s">
        <v>70</v>
      </c>
      <c r="S905" s="4">
        <v>0</v>
      </c>
      <c r="T905" s="4">
        <v>0</v>
      </c>
      <c r="W905" s="5" t="s">
        <v>72</v>
      </c>
      <c r="X905" s="5" t="s">
        <v>72</v>
      </c>
      <c r="Y905" s="4">
        <v>117</v>
      </c>
      <c r="Z905" s="4">
        <v>3</v>
      </c>
      <c r="AA905" s="4">
        <v>47</v>
      </c>
      <c r="AB905" s="4">
        <v>1</v>
      </c>
      <c r="AC905" s="4">
        <v>11</v>
      </c>
      <c r="AD905" s="4">
        <v>43</v>
      </c>
      <c r="AE905" s="4">
        <v>112</v>
      </c>
      <c r="AF905" s="4">
        <v>0</v>
      </c>
      <c r="AG905" s="4">
        <v>5</v>
      </c>
      <c r="AH905" s="4">
        <v>40</v>
      </c>
      <c r="AI905" s="4">
        <v>86</v>
      </c>
      <c r="AJ905" s="4">
        <v>1</v>
      </c>
      <c r="AK905" s="4">
        <v>20</v>
      </c>
      <c r="AL905" s="4">
        <v>29</v>
      </c>
      <c r="AM905" s="4">
        <v>46</v>
      </c>
      <c r="AN905" s="4">
        <v>0</v>
      </c>
      <c r="AO905" s="4">
        <v>0</v>
      </c>
      <c r="AP905" s="4">
        <v>1</v>
      </c>
      <c r="AQ905" s="4">
        <v>32</v>
      </c>
      <c r="AR905" s="3" t="s">
        <v>64</v>
      </c>
      <c r="AS905" s="3" t="s">
        <v>64</v>
      </c>
      <c r="AT905" s="3" t="s">
        <v>64</v>
      </c>
      <c r="AV905" s="6" t="str">
        <f>HYPERLINK("http://mcgill.on.worldcat.org/oclc/947147158","Catalog Record")</f>
        <v>Catalog Record</v>
      </c>
      <c r="AW905" s="6" t="str">
        <f>HYPERLINK("http://www.worldcat.org/oclc/947147158","WorldCat Record")</f>
        <v>WorldCat Record</v>
      </c>
      <c r="AX905" s="3" t="s">
        <v>8894</v>
      </c>
      <c r="AY905" s="3" t="s">
        <v>8895</v>
      </c>
      <c r="AZ905" s="3" t="s">
        <v>8896</v>
      </c>
      <c r="BA905" s="3" t="s">
        <v>8896</v>
      </c>
      <c r="BB905" s="3" t="s">
        <v>8897</v>
      </c>
      <c r="BC905" s="3" t="s">
        <v>77</v>
      </c>
      <c r="BD905" s="3" t="s">
        <v>78</v>
      </c>
      <c r="BE905" s="3" t="s">
        <v>8898</v>
      </c>
      <c r="BF905" s="3" t="s">
        <v>8897</v>
      </c>
      <c r="BG905" s="3" t="s">
        <v>8899</v>
      </c>
      <c r="BH905">
        <f t="shared" si="28"/>
        <v>0</v>
      </c>
    </row>
    <row r="906" spans="1:60" ht="58" x14ac:dyDescent="0.35">
      <c r="A906" s="2" t="s">
        <v>59</v>
      </c>
      <c r="B906" s="2" t="s">
        <v>60</v>
      </c>
      <c r="C906" s="2" t="s">
        <v>8900</v>
      </c>
      <c r="D906" s="2" t="s">
        <v>8901</v>
      </c>
      <c r="E906" s="2" t="s">
        <v>8902</v>
      </c>
      <c r="G906" s="3" t="s">
        <v>64</v>
      </c>
      <c r="I906" s="3" t="s">
        <v>128</v>
      </c>
      <c r="J906" s="3" t="s">
        <v>64</v>
      </c>
      <c r="K906" s="3" t="s">
        <v>65</v>
      </c>
      <c r="L906" s="2" t="s">
        <v>8903</v>
      </c>
      <c r="M906" s="2" t="s">
        <v>8904</v>
      </c>
      <c r="N906" s="3" t="s">
        <v>551</v>
      </c>
      <c r="P906" s="3" t="s">
        <v>102</v>
      </c>
      <c r="R906" s="3" t="s">
        <v>70</v>
      </c>
      <c r="S906" s="4">
        <v>20</v>
      </c>
      <c r="T906" s="4">
        <v>28</v>
      </c>
      <c r="U906" s="5" t="s">
        <v>104</v>
      </c>
      <c r="V906" s="5" t="s">
        <v>8905</v>
      </c>
      <c r="W906" s="5" t="s">
        <v>72</v>
      </c>
      <c r="X906" s="5" t="s">
        <v>72</v>
      </c>
      <c r="Y906" s="4">
        <v>228</v>
      </c>
      <c r="Z906" s="4">
        <v>25</v>
      </c>
      <c r="AA906" s="4">
        <v>65</v>
      </c>
      <c r="AB906" s="4">
        <v>3</v>
      </c>
      <c r="AC906" s="4">
        <v>9</v>
      </c>
      <c r="AD906" s="4">
        <v>88</v>
      </c>
      <c r="AE906" s="4">
        <v>104</v>
      </c>
      <c r="AF906" s="4">
        <v>1</v>
      </c>
      <c r="AG906" s="4">
        <v>2</v>
      </c>
      <c r="AH906" s="4">
        <v>78</v>
      </c>
      <c r="AI906" s="4">
        <v>86</v>
      </c>
      <c r="AJ906" s="4">
        <v>14</v>
      </c>
      <c r="AK906" s="4">
        <v>16</v>
      </c>
      <c r="AL906" s="4">
        <v>47</v>
      </c>
      <c r="AM906" s="4">
        <v>51</v>
      </c>
      <c r="AN906" s="4">
        <v>0</v>
      </c>
      <c r="AO906" s="4">
        <v>0</v>
      </c>
      <c r="AP906" s="4">
        <v>17</v>
      </c>
      <c r="AQ906" s="4">
        <v>24</v>
      </c>
      <c r="AR906" s="3" t="s">
        <v>64</v>
      </c>
      <c r="AS906" s="3" t="s">
        <v>64</v>
      </c>
      <c r="AT906" s="3" t="s">
        <v>64</v>
      </c>
      <c r="AV906" s="6" t="str">
        <f>HYPERLINK("http://mcgill.on.worldcat.org/oclc/262429408","Catalog Record")</f>
        <v>Catalog Record</v>
      </c>
      <c r="AW906" s="6" t="str">
        <f>HYPERLINK("http://www.worldcat.org/oclc/262429408","WorldCat Record")</f>
        <v>WorldCat Record</v>
      </c>
      <c r="AX906" s="3" t="s">
        <v>8906</v>
      </c>
      <c r="AY906" s="3" t="s">
        <v>8907</v>
      </c>
      <c r="AZ906" s="3" t="s">
        <v>8908</v>
      </c>
      <c r="BA906" s="3" t="s">
        <v>8908</v>
      </c>
      <c r="BB906" s="3" t="s">
        <v>8909</v>
      </c>
      <c r="BC906" s="3" t="s">
        <v>77</v>
      </c>
      <c r="BD906" s="3" t="s">
        <v>78</v>
      </c>
      <c r="BE906" s="3" t="s">
        <v>8910</v>
      </c>
      <c r="BF906" s="3" t="s">
        <v>8909</v>
      </c>
      <c r="BG906" s="3" t="s">
        <v>8911</v>
      </c>
      <c r="BH906">
        <f t="shared" si="28"/>
        <v>0</v>
      </c>
    </row>
    <row r="907" spans="1:60" ht="58" x14ac:dyDescent="0.35">
      <c r="A907" s="2" t="s">
        <v>59</v>
      </c>
      <c r="B907" s="2" t="s">
        <v>60</v>
      </c>
      <c r="C907" s="2" t="s">
        <v>8900</v>
      </c>
      <c r="D907" s="2" t="s">
        <v>8901</v>
      </c>
      <c r="E907" s="2" t="s">
        <v>8902</v>
      </c>
      <c r="G907" s="3" t="s">
        <v>64</v>
      </c>
      <c r="I907" s="3" t="s">
        <v>128</v>
      </c>
      <c r="J907" s="3" t="s">
        <v>64</v>
      </c>
      <c r="K907" s="3" t="s">
        <v>65</v>
      </c>
      <c r="L907" s="2" t="s">
        <v>8903</v>
      </c>
      <c r="M907" s="2" t="s">
        <v>8904</v>
      </c>
      <c r="N907" s="3" t="s">
        <v>551</v>
      </c>
      <c r="P907" s="3" t="s">
        <v>102</v>
      </c>
      <c r="R907" s="3" t="s">
        <v>70</v>
      </c>
      <c r="S907" s="4">
        <v>8</v>
      </c>
      <c r="T907" s="4">
        <v>28</v>
      </c>
      <c r="U907" s="5" t="s">
        <v>8905</v>
      </c>
      <c r="V907" s="5" t="s">
        <v>8905</v>
      </c>
      <c r="W907" s="5" t="s">
        <v>72</v>
      </c>
      <c r="X907" s="5" t="s">
        <v>72</v>
      </c>
      <c r="Y907" s="4">
        <v>228</v>
      </c>
      <c r="Z907" s="4">
        <v>25</v>
      </c>
      <c r="AA907" s="4">
        <v>65</v>
      </c>
      <c r="AB907" s="4">
        <v>3</v>
      </c>
      <c r="AC907" s="4">
        <v>9</v>
      </c>
      <c r="AD907" s="4">
        <v>88</v>
      </c>
      <c r="AE907" s="4">
        <v>104</v>
      </c>
      <c r="AF907" s="4">
        <v>1</v>
      </c>
      <c r="AG907" s="4">
        <v>2</v>
      </c>
      <c r="AH907" s="4">
        <v>78</v>
      </c>
      <c r="AI907" s="4">
        <v>86</v>
      </c>
      <c r="AJ907" s="4">
        <v>14</v>
      </c>
      <c r="AK907" s="4">
        <v>16</v>
      </c>
      <c r="AL907" s="4">
        <v>47</v>
      </c>
      <c r="AM907" s="4">
        <v>51</v>
      </c>
      <c r="AN907" s="4">
        <v>0</v>
      </c>
      <c r="AO907" s="4">
        <v>0</v>
      </c>
      <c r="AP907" s="4">
        <v>17</v>
      </c>
      <c r="AQ907" s="4">
        <v>24</v>
      </c>
      <c r="AR907" s="3" t="s">
        <v>64</v>
      </c>
      <c r="AS907" s="3" t="s">
        <v>64</v>
      </c>
      <c r="AT907" s="3" t="s">
        <v>64</v>
      </c>
      <c r="AV907" s="6" t="str">
        <f>HYPERLINK("http://mcgill.on.worldcat.org/oclc/262429408","Catalog Record")</f>
        <v>Catalog Record</v>
      </c>
      <c r="AW907" s="6" t="str">
        <f>HYPERLINK("http://www.worldcat.org/oclc/262429408","WorldCat Record")</f>
        <v>WorldCat Record</v>
      </c>
      <c r="AX907" s="3" t="s">
        <v>8906</v>
      </c>
      <c r="AY907" s="3" t="s">
        <v>8907</v>
      </c>
      <c r="AZ907" s="3" t="s">
        <v>8908</v>
      </c>
      <c r="BA907" s="3" t="s">
        <v>8908</v>
      </c>
      <c r="BB907" s="3" t="s">
        <v>8912</v>
      </c>
      <c r="BC907" s="3" t="s">
        <v>77</v>
      </c>
      <c r="BD907" s="3" t="s">
        <v>78</v>
      </c>
      <c r="BE907" s="3" t="s">
        <v>8910</v>
      </c>
      <c r="BF907" s="3" t="s">
        <v>8912</v>
      </c>
      <c r="BG907" s="3" t="s">
        <v>8913</v>
      </c>
      <c r="BH907">
        <f t="shared" si="28"/>
        <v>0</v>
      </c>
    </row>
    <row r="908" spans="1:60" ht="58" x14ac:dyDescent="0.35">
      <c r="A908" s="2" t="s">
        <v>59</v>
      </c>
      <c r="B908" s="2" t="s">
        <v>60</v>
      </c>
      <c r="C908" s="2" t="s">
        <v>8914</v>
      </c>
      <c r="D908" s="2" t="s">
        <v>8915</v>
      </c>
      <c r="E908" s="2" t="s">
        <v>8916</v>
      </c>
      <c r="G908" s="3" t="s">
        <v>64</v>
      </c>
      <c r="I908" s="3" t="s">
        <v>64</v>
      </c>
      <c r="J908" s="3" t="s">
        <v>64</v>
      </c>
      <c r="K908" s="3" t="s">
        <v>65</v>
      </c>
      <c r="L908" s="2" t="s">
        <v>8917</v>
      </c>
      <c r="M908" s="2" t="s">
        <v>8918</v>
      </c>
      <c r="N908" s="3" t="s">
        <v>434</v>
      </c>
      <c r="P908" s="3" t="s">
        <v>102</v>
      </c>
      <c r="Q908" s="2" t="s">
        <v>8919</v>
      </c>
      <c r="R908" s="3" t="s">
        <v>70</v>
      </c>
      <c r="S908" s="4">
        <v>24</v>
      </c>
      <c r="T908" s="4">
        <v>24</v>
      </c>
      <c r="U908" s="5" t="s">
        <v>8920</v>
      </c>
      <c r="V908" s="5" t="s">
        <v>8920</v>
      </c>
      <c r="W908" s="5" t="s">
        <v>72</v>
      </c>
      <c r="X908" s="5" t="s">
        <v>72</v>
      </c>
      <c r="Y908" s="4">
        <v>276</v>
      </c>
      <c r="Z908" s="4">
        <v>25</v>
      </c>
      <c r="AA908" s="4">
        <v>29</v>
      </c>
      <c r="AB908" s="4">
        <v>1</v>
      </c>
      <c r="AC908" s="4">
        <v>5</v>
      </c>
      <c r="AD908" s="4">
        <v>101</v>
      </c>
      <c r="AE908" s="4">
        <v>103</v>
      </c>
      <c r="AF908" s="4">
        <v>0</v>
      </c>
      <c r="AG908" s="4">
        <v>2</v>
      </c>
      <c r="AH908" s="4">
        <v>89</v>
      </c>
      <c r="AI908" s="4">
        <v>90</v>
      </c>
      <c r="AJ908" s="4">
        <v>17</v>
      </c>
      <c r="AK908" s="4">
        <v>19</v>
      </c>
      <c r="AL908" s="4">
        <v>53</v>
      </c>
      <c r="AM908" s="4">
        <v>53</v>
      </c>
      <c r="AN908" s="4">
        <v>0</v>
      </c>
      <c r="AO908" s="4">
        <v>0</v>
      </c>
      <c r="AP908" s="4">
        <v>20</v>
      </c>
      <c r="AQ908" s="4">
        <v>21</v>
      </c>
      <c r="AR908" s="3" t="s">
        <v>64</v>
      </c>
      <c r="AS908" s="3" t="s">
        <v>64</v>
      </c>
      <c r="AT908" s="3" t="s">
        <v>64</v>
      </c>
      <c r="AV908" s="6" t="str">
        <f>HYPERLINK("http://mcgill.on.worldcat.org/oclc/55877685","Catalog Record")</f>
        <v>Catalog Record</v>
      </c>
      <c r="AW908" s="6" t="str">
        <f>HYPERLINK("http://www.worldcat.org/oclc/55877685","WorldCat Record")</f>
        <v>WorldCat Record</v>
      </c>
      <c r="AX908" s="3" t="s">
        <v>8921</v>
      </c>
      <c r="AY908" s="3" t="s">
        <v>8922</v>
      </c>
      <c r="AZ908" s="3" t="s">
        <v>8923</v>
      </c>
      <c r="BA908" s="3" t="s">
        <v>8923</v>
      </c>
      <c r="BB908" s="3" t="s">
        <v>8924</v>
      </c>
      <c r="BC908" s="3" t="s">
        <v>77</v>
      </c>
      <c r="BD908" s="3" t="s">
        <v>78</v>
      </c>
      <c r="BE908" s="3" t="s">
        <v>8925</v>
      </c>
      <c r="BF908" s="3" t="s">
        <v>8924</v>
      </c>
      <c r="BG908" s="3" t="s">
        <v>8926</v>
      </c>
      <c r="BH908">
        <f t="shared" si="28"/>
        <v>0</v>
      </c>
    </row>
    <row r="909" spans="1:60" ht="58" x14ac:dyDescent="0.35">
      <c r="A909" s="2" t="s">
        <v>59</v>
      </c>
      <c r="B909" s="2" t="s">
        <v>60</v>
      </c>
      <c r="C909" s="2" t="s">
        <v>8927</v>
      </c>
      <c r="D909" s="2" t="s">
        <v>8928</v>
      </c>
      <c r="E909" s="2" t="s">
        <v>8929</v>
      </c>
      <c r="G909" s="3" t="s">
        <v>64</v>
      </c>
      <c r="I909" s="3" t="s">
        <v>128</v>
      </c>
      <c r="J909" s="3" t="s">
        <v>64</v>
      </c>
      <c r="K909" s="3" t="s">
        <v>65</v>
      </c>
      <c r="L909" s="2" t="s">
        <v>8930</v>
      </c>
      <c r="M909" s="2" t="s">
        <v>8931</v>
      </c>
      <c r="N909" s="3" t="s">
        <v>874</v>
      </c>
      <c r="P909" s="3" t="s">
        <v>102</v>
      </c>
      <c r="R909" s="3" t="s">
        <v>70</v>
      </c>
      <c r="S909" s="4">
        <v>25</v>
      </c>
      <c r="T909" s="4">
        <v>25</v>
      </c>
      <c r="U909" s="5" t="s">
        <v>8932</v>
      </c>
      <c r="V909" s="5" t="s">
        <v>8932</v>
      </c>
      <c r="W909" s="5" t="s">
        <v>72</v>
      </c>
      <c r="X909" s="5" t="s">
        <v>72</v>
      </c>
      <c r="Y909" s="4">
        <v>33</v>
      </c>
      <c r="Z909" s="4">
        <v>33</v>
      </c>
      <c r="AA909" s="4">
        <v>33</v>
      </c>
      <c r="AB909" s="4">
        <v>3</v>
      </c>
      <c r="AC909" s="4">
        <v>3</v>
      </c>
      <c r="AD909" s="4">
        <v>17</v>
      </c>
      <c r="AE909" s="4">
        <v>17</v>
      </c>
      <c r="AF909" s="4">
        <v>1</v>
      </c>
      <c r="AG909" s="4">
        <v>1</v>
      </c>
      <c r="AH909" s="4">
        <v>4</v>
      </c>
      <c r="AI909" s="4">
        <v>4</v>
      </c>
      <c r="AJ909" s="4">
        <v>11</v>
      </c>
      <c r="AK909" s="4">
        <v>11</v>
      </c>
      <c r="AL909" s="4">
        <v>0</v>
      </c>
      <c r="AM909" s="4">
        <v>0</v>
      </c>
      <c r="AN909" s="4">
        <v>0</v>
      </c>
      <c r="AO909" s="4">
        <v>0</v>
      </c>
      <c r="AP909" s="4">
        <v>15</v>
      </c>
      <c r="AQ909" s="4">
        <v>15</v>
      </c>
      <c r="AR909" s="3" t="s">
        <v>128</v>
      </c>
      <c r="AS909" s="3" t="s">
        <v>64</v>
      </c>
      <c r="AT909" s="3" t="s">
        <v>128</v>
      </c>
      <c r="AU909" s="6" t="str">
        <f>HYPERLINK("http://catalog.hathitrust.org/Record/002195212","HathiTrust Record")</f>
        <v>HathiTrust Record</v>
      </c>
      <c r="AV909" s="6" t="str">
        <f>HYPERLINK("http://mcgill.on.worldcat.org/oclc/317293712","Catalog Record")</f>
        <v>Catalog Record</v>
      </c>
      <c r="AW909" s="6" t="str">
        <f>HYPERLINK("http://www.worldcat.org/oclc/317293712","WorldCat Record")</f>
        <v>WorldCat Record</v>
      </c>
      <c r="AX909" s="3" t="s">
        <v>8933</v>
      </c>
      <c r="AY909" s="3" t="s">
        <v>8934</v>
      </c>
      <c r="AZ909" s="3" t="s">
        <v>8935</v>
      </c>
      <c r="BA909" s="3" t="s">
        <v>8935</v>
      </c>
      <c r="BB909" s="3" t="s">
        <v>8936</v>
      </c>
      <c r="BC909" s="3" t="s">
        <v>77</v>
      </c>
      <c r="BD909" s="3" t="s">
        <v>78</v>
      </c>
      <c r="BE909" s="3" t="s">
        <v>8937</v>
      </c>
      <c r="BF909" s="3" t="s">
        <v>8936</v>
      </c>
      <c r="BG909" s="3" t="s">
        <v>8938</v>
      </c>
      <c r="BH909">
        <f t="shared" si="28"/>
        <v>0</v>
      </c>
    </row>
    <row r="910" spans="1:60" ht="58" x14ac:dyDescent="0.35">
      <c r="A910" s="2" t="s">
        <v>59</v>
      </c>
      <c r="B910" s="2" t="s">
        <v>60</v>
      </c>
      <c r="C910" s="2" t="s">
        <v>8939</v>
      </c>
      <c r="D910" s="2" t="s">
        <v>8940</v>
      </c>
      <c r="E910" s="2" t="s">
        <v>8941</v>
      </c>
      <c r="G910" s="3" t="s">
        <v>64</v>
      </c>
      <c r="I910" s="3" t="s">
        <v>64</v>
      </c>
      <c r="J910" s="3" t="s">
        <v>64</v>
      </c>
      <c r="K910" s="3" t="s">
        <v>65</v>
      </c>
      <c r="L910" s="2" t="s">
        <v>8942</v>
      </c>
      <c r="M910" s="2" t="s">
        <v>8943</v>
      </c>
      <c r="N910" s="3" t="s">
        <v>874</v>
      </c>
      <c r="P910" s="3" t="s">
        <v>68</v>
      </c>
      <c r="R910" s="3" t="s">
        <v>70</v>
      </c>
      <c r="S910" s="4">
        <v>3</v>
      </c>
      <c r="T910" s="4">
        <v>3</v>
      </c>
      <c r="U910" s="5" t="s">
        <v>8944</v>
      </c>
      <c r="V910" s="5" t="s">
        <v>8944</v>
      </c>
      <c r="W910" s="5" t="s">
        <v>72</v>
      </c>
      <c r="X910" s="5" t="s">
        <v>72</v>
      </c>
      <c r="Y910" s="4">
        <v>26</v>
      </c>
      <c r="Z910" s="4">
        <v>26</v>
      </c>
      <c r="AA910" s="4">
        <v>26</v>
      </c>
      <c r="AB910" s="4">
        <v>8</v>
      </c>
      <c r="AC910" s="4">
        <v>8</v>
      </c>
      <c r="AD910" s="4">
        <v>13</v>
      </c>
      <c r="AE910" s="4">
        <v>13</v>
      </c>
      <c r="AF910" s="4">
        <v>4</v>
      </c>
      <c r="AG910" s="4">
        <v>4</v>
      </c>
      <c r="AH910" s="4">
        <v>4</v>
      </c>
      <c r="AI910" s="4">
        <v>4</v>
      </c>
      <c r="AJ910" s="4">
        <v>10</v>
      </c>
      <c r="AK910" s="4">
        <v>10</v>
      </c>
      <c r="AL910" s="4">
        <v>0</v>
      </c>
      <c r="AM910" s="4">
        <v>0</v>
      </c>
      <c r="AN910" s="4">
        <v>0</v>
      </c>
      <c r="AO910" s="4">
        <v>0</v>
      </c>
      <c r="AP910" s="4">
        <v>9</v>
      </c>
      <c r="AQ910" s="4">
        <v>9</v>
      </c>
      <c r="AR910" s="3" t="s">
        <v>128</v>
      </c>
      <c r="AS910" s="3" t="s">
        <v>64</v>
      </c>
      <c r="AT910" s="3" t="s">
        <v>64</v>
      </c>
      <c r="AV910" s="6" t="str">
        <f>HYPERLINK("http://mcgill.on.worldcat.org/oclc/850987010","Catalog Record")</f>
        <v>Catalog Record</v>
      </c>
      <c r="AW910" s="6" t="str">
        <f>HYPERLINK("http://www.worldcat.org/oclc/850987010","WorldCat Record")</f>
        <v>WorldCat Record</v>
      </c>
      <c r="AX910" s="3" t="s">
        <v>8945</v>
      </c>
      <c r="AY910" s="3" t="s">
        <v>8946</v>
      </c>
      <c r="AZ910" s="3" t="s">
        <v>8947</v>
      </c>
      <c r="BA910" s="3" t="s">
        <v>8947</v>
      </c>
      <c r="BB910" s="3" t="s">
        <v>8948</v>
      </c>
      <c r="BC910" s="3" t="s">
        <v>77</v>
      </c>
      <c r="BD910" s="3" t="s">
        <v>78</v>
      </c>
      <c r="BE910" s="3" t="s">
        <v>8949</v>
      </c>
      <c r="BF910" s="3" t="s">
        <v>8948</v>
      </c>
      <c r="BG910" s="3" t="s">
        <v>8950</v>
      </c>
      <c r="BH910">
        <f t="shared" si="28"/>
        <v>0</v>
      </c>
    </row>
    <row r="911" spans="1:60" ht="58" x14ac:dyDescent="0.35">
      <c r="A911" s="2" t="s">
        <v>59</v>
      </c>
      <c r="B911" s="2" t="s">
        <v>60</v>
      </c>
      <c r="C911" s="2" t="s">
        <v>8951</v>
      </c>
      <c r="D911" s="2" t="s">
        <v>8952</v>
      </c>
      <c r="E911" s="2" t="s">
        <v>8953</v>
      </c>
      <c r="G911" s="3" t="s">
        <v>64</v>
      </c>
      <c r="I911" s="3" t="s">
        <v>64</v>
      </c>
      <c r="J911" s="3" t="s">
        <v>64</v>
      </c>
      <c r="K911" s="3" t="s">
        <v>65</v>
      </c>
      <c r="L911" s="2" t="s">
        <v>8954</v>
      </c>
      <c r="M911" s="2" t="s">
        <v>8955</v>
      </c>
      <c r="N911" s="3" t="s">
        <v>326</v>
      </c>
      <c r="P911" s="3" t="s">
        <v>102</v>
      </c>
      <c r="Q911" s="2" t="s">
        <v>8956</v>
      </c>
      <c r="R911" s="3" t="s">
        <v>70</v>
      </c>
      <c r="S911" s="4">
        <v>5</v>
      </c>
      <c r="T911" s="4">
        <v>5</v>
      </c>
      <c r="U911" s="5" t="s">
        <v>8957</v>
      </c>
      <c r="V911" s="5" t="s">
        <v>8957</v>
      </c>
      <c r="W911" s="5" t="s">
        <v>72</v>
      </c>
      <c r="X911" s="5" t="s">
        <v>72</v>
      </c>
      <c r="Y911" s="4">
        <v>435</v>
      </c>
      <c r="Z911" s="4">
        <v>29</v>
      </c>
      <c r="AA911" s="4">
        <v>105</v>
      </c>
      <c r="AB911" s="4">
        <v>2</v>
      </c>
      <c r="AC911" s="4">
        <v>17</v>
      </c>
      <c r="AD911" s="4">
        <v>86</v>
      </c>
      <c r="AE911" s="4">
        <v>139</v>
      </c>
      <c r="AF911" s="4">
        <v>1</v>
      </c>
      <c r="AG911" s="4">
        <v>8</v>
      </c>
      <c r="AH911" s="4">
        <v>75</v>
      </c>
      <c r="AI911" s="4">
        <v>97</v>
      </c>
      <c r="AJ911" s="4">
        <v>15</v>
      </c>
      <c r="AK911" s="4">
        <v>24</v>
      </c>
      <c r="AL911" s="4">
        <v>36</v>
      </c>
      <c r="AM911" s="4">
        <v>50</v>
      </c>
      <c r="AN911" s="4">
        <v>0</v>
      </c>
      <c r="AO911" s="4">
        <v>0</v>
      </c>
      <c r="AP911" s="4">
        <v>19</v>
      </c>
      <c r="AQ911" s="4">
        <v>48</v>
      </c>
      <c r="AR911" s="3" t="s">
        <v>64</v>
      </c>
      <c r="AS911" s="3" t="s">
        <v>64</v>
      </c>
      <c r="AT911" s="3" t="s">
        <v>64</v>
      </c>
      <c r="AV911" s="6" t="str">
        <f>HYPERLINK("http://mcgill.on.worldcat.org/oclc/701672509","Catalog Record")</f>
        <v>Catalog Record</v>
      </c>
      <c r="AW911" s="6" t="str">
        <f>HYPERLINK("http://www.worldcat.org/oclc/701672509","WorldCat Record")</f>
        <v>WorldCat Record</v>
      </c>
      <c r="AX911" s="3" t="s">
        <v>8958</v>
      </c>
      <c r="AY911" s="3" t="s">
        <v>8959</v>
      </c>
      <c r="AZ911" s="3" t="s">
        <v>8960</v>
      </c>
      <c r="BA911" s="3" t="s">
        <v>8960</v>
      </c>
      <c r="BB911" s="3" t="s">
        <v>8961</v>
      </c>
      <c r="BC911" s="3" t="s">
        <v>77</v>
      </c>
      <c r="BD911" s="3" t="s">
        <v>78</v>
      </c>
      <c r="BE911" s="3" t="s">
        <v>8962</v>
      </c>
      <c r="BF911" s="3" t="s">
        <v>8961</v>
      </c>
      <c r="BG911" s="3" t="s">
        <v>8963</v>
      </c>
      <c r="BH911">
        <f t="shared" si="28"/>
        <v>0</v>
      </c>
    </row>
    <row r="912" spans="1:60" ht="58" x14ac:dyDescent="0.35">
      <c r="A912" s="2" t="s">
        <v>59</v>
      </c>
      <c r="B912" s="2" t="s">
        <v>60</v>
      </c>
      <c r="C912" s="2" t="s">
        <v>8964</v>
      </c>
      <c r="D912" s="2" t="s">
        <v>8965</v>
      </c>
      <c r="E912" s="2" t="s">
        <v>8966</v>
      </c>
      <c r="G912" s="3" t="s">
        <v>64</v>
      </c>
      <c r="I912" s="3" t="s">
        <v>64</v>
      </c>
      <c r="J912" s="3" t="s">
        <v>64</v>
      </c>
      <c r="K912" s="3" t="s">
        <v>65</v>
      </c>
      <c r="L912" s="2" t="s">
        <v>8967</v>
      </c>
      <c r="M912" s="2" t="s">
        <v>8968</v>
      </c>
      <c r="N912" s="3" t="s">
        <v>144</v>
      </c>
      <c r="P912" s="3" t="s">
        <v>102</v>
      </c>
      <c r="Q912" s="2" t="s">
        <v>8969</v>
      </c>
      <c r="R912" s="3" t="s">
        <v>70</v>
      </c>
      <c r="S912" s="4">
        <v>19</v>
      </c>
      <c r="T912" s="4">
        <v>19</v>
      </c>
      <c r="U912" s="5" t="s">
        <v>3355</v>
      </c>
      <c r="V912" s="5" t="s">
        <v>3355</v>
      </c>
      <c r="W912" s="5" t="s">
        <v>72</v>
      </c>
      <c r="X912" s="5" t="s">
        <v>72</v>
      </c>
      <c r="Y912" s="4">
        <v>512</v>
      </c>
      <c r="Z912" s="4">
        <v>43</v>
      </c>
      <c r="AA912" s="4">
        <v>65</v>
      </c>
      <c r="AB912" s="4">
        <v>2</v>
      </c>
      <c r="AC912" s="4">
        <v>8</v>
      </c>
      <c r="AD912" s="4">
        <v>120</v>
      </c>
      <c r="AE912" s="4">
        <v>130</v>
      </c>
      <c r="AF912" s="4">
        <v>1</v>
      </c>
      <c r="AG912" s="4">
        <v>3</v>
      </c>
      <c r="AH912" s="4">
        <v>99</v>
      </c>
      <c r="AI912" s="4">
        <v>105</v>
      </c>
      <c r="AJ912" s="4">
        <v>18</v>
      </c>
      <c r="AK912" s="4">
        <v>20</v>
      </c>
      <c r="AL912" s="4">
        <v>55</v>
      </c>
      <c r="AM912" s="4">
        <v>57</v>
      </c>
      <c r="AN912" s="4">
        <v>0</v>
      </c>
      <c r="AO912" s="4">
        <v>0</v>
      </c>
      <c r="AP912" s="4">
        <v>29</v>
      </c>
      <c r="AQ912" s="4">
        <v>32</v>
      </c>
      <c r="AR912" s="3" t="s">
        <v>64</v>
      </c>
      <c r="AS912" s="3" t="s">
        <v>64</v>
      </c>
      <c r="AT912" s="3" t="s">
        <v>64</v>
      </c>
      <c r="AV912" s="6" t="str">
        <f>HYPERLINK("http://mcgill.on.worldcat.org/oclc/222249169","Catalog Record")</f>
        <v>Catalog Record</v>
      </c>
      <c r="AW912" s="6" t="str">
        <f>HYPERLINK("http://www.worldcat.org/oclc/222249169","WorldCat Record")</f>
        <v>WorldCat Record</v>
      </c>
      <c r="AX912" s="3" t="s">
        <v>8970</v>
      </c>
      <c r="AY912" s="3" t="s">
        <v>8971</v>
      </c>
      <c r="AZ912" s="3" t="s">
        <v>8972</v>
      </c>
      <c r="BA912" s="3" t="s">
        <v>8972</v>
      </c>
      <c r="BB912" s="3" t="s">
        <v>8973</v>
      </c>
      <c r="BC912" s="3" t="s">
        <v>77</v>
      </c>
      <c r="BD912" s="3" t="s">
        <v>78</v>
      </c>
      <c r="BE912" s="3" t="s">
        <v>8974</v>
      </c>
      <c r="BF912" s="3" t="s">
        <v>8973</v>
      </c>
      <c r="BG912" s="3" t="s">
        <v>8975</v>
      </c>
      <c r="BH912">
        <f t="shared" si="28"/>
        <v>0</v>
      </c>
    </row>
    <row r="913" spans="1:60" ht="72.5" x14ac:dyDescent="0.35">
      <c r="A913" s="2" t="s">
        <v>59</v>
      </c>
      <c r="B913" s="2" t="s">
        <v>60</v>
      </c>
      <c r="C913" s="2" t="s">
        <v>8976</v>
      </c>
      <c r="D913" s="2" t="s">
        <v>8977</v>
      </c>
      <c r="E913" s="2" t="s">
        <v>8978</v>
      </c>
      <c r="G913" s="3" t="s">
        <v>64</v>
      </c>
      <c r="I913" s="3" t="s">
        <v>64</v>
      </c>
      <c r="J913" s="3" t="s">
        <v>64</v>
      </c>
      <c r="K913" s="3" t="s">
        <v>65</v>
      </c>
      <c r="L913" s="2" t="s">
        <v>8979</v>
      </c>
      <c r="M913" s="2" t="s">
        <v>8980</v>
      </c>
      <c r="N913" s="3" t="s">
        <v>511</v>
      </c>
      <c r="P913" s="3" t="s">
        <v>102</v>
      </c>
      <c r="Q913" s="2" t="s">
        <v>8981</v>
      </c>
      <c r="R913" s="3" t="s">
        <v>70</v>
      </c>
      <c r="S913" s="4">
        <v>8</v>
      </c>
      <c r="T913" s="4">
        <v>8</v>
      </c>
      <c r="U913" s="5" t="s">
        <v>3355</v>
      </c>
      <c r="V913" s="5" t="s">
        <v>3355</v>
      </c>
      <c r="W913" s="5" t="s">
        <v>72</v>
      </c>
      <c r="X913" s="5" t="s">
        <v>72</v>
      </c>
      <c r="Y913" s="4">
        <v>208</v>
      </c>
      <c r="Z913" s="4">
        <v>21</v>
      </c>
      <c r="AA913" s="4">
        <v>28</v>
      </c>
      <c r="AB913" s="4">
        <v>2</v>
      </c>
      <c r="AC913" s="4">
        <v>7</v>
      </c>
      <c r="AD913" s="4">
        <v>68</v>
      </c>
      <c r="AE913" s="4">
        <v>80</v>
      </c>
      <c r="AF913" s="4">
        <v>1</v>
      </c>
      <c r="AG913" s="4">
        <v>4</v>
      </c>
      <c r="AH913" s="4">
        <v>57</v>
      </c>
      <c r="AI913" s="4">
        <v>66</v>
      </c>
      <c r="AJ913" s="4">
        <v>14</v>
      </c>
      <c r="AK913" s="4">
        <v>17</v>
      </c>
      <c r="AL913" s="4">
        <v>34</v>
      </c>
      <c r="AM913" s="4">
        <v>37</v>
      </c>
      <c r="AN913" s="4">
        <v>0</v>
      </c>
      <c r="AO913" s="4">
        <v>0</v>
      </c>
      <c r="AP913" s="4">
        <v>18</v>
      </c>
      <c r="AQ913" s="4">
        <v>21</v>
      </c>
      <c r="AR913" s="3" t="s">
        <v>64</v>
      </c>
      <c r="AS913" s="3" t="s">
        <v>64</v>
      </c>
      <c r="AT913" s="3" t="s">
        <v>64</v>
      </c>
      <c r="AV913" s="6" t="str">
        <f>HYPERLINK("http://mcgill.on.worldcat.org/oclc/567554583","Catalog Record")</f>
        <v>Catalog Record</v>
      </c>
      <c r="AW913" s="6" t="str">
        <f>HYPERLINK("http://www.worldcat.org/oclc/567554583","WorldCat Record")</f>
        <v>WorldCat Record</v>
      </c>
      <c r="AX913" s="3" t="s">
        <v>8982</v>
      </c>
      <c r="AY913" s="3" t="s">
        <v>8983</v>
      </c>
      <c r="AZ913" s="3" t="s">
        <v>8984</v>
      </c>
      <c r="BA913" s="3" t="s">
        <v>8984</v>
      </c>
      <c r="BB913" s="3" t="s">
        <v>8985</v>
      </c>
      <c r="BC913" s="3" t="s">
        <v>77</v>
      </c>
      <c r="BD913" s="3" t="s">
        <v>78</v>
      </c>
      <c r="BE913" s="3" t="s">
        <v>8986</v>
      </c>
      <c r="BF913" s="3" t="s">
        <v>8985</v>
      </c>
      <c r="BG913" s="3" t="s">
        <v>8987</v>
      </c>
      <c r="BH913">
        <f t="shared" si="28"/>
        <v>0</v>
      </c>
    </row>
    <row r="914" spans="1:60" ht="58" x14ac:dyDescent="0.35">
      <c r="A914" s="2" t="s">
        <v>59</v>
      </c>
      <c r="B914" s="2" t="s">
        <v>60</v>
      </c>
      <c r="C914" s="2" t="s">
        <v>8988</v>
      </c>
      <c r="D914" s="2" t="s">
        <v>8989</v>
      </c>
      <c r="E914" s="2" t="s">
        <v>8990</v>
      </c>
      <c r="G914" s="3" t="s">
        <v>64</v>
      </c>
      <c r="I914" s="3" t="s">
        <v>64</v>
      </c>
      <c r="J914" s="3" t="s">
        <v>64</v>
      </c>
      <c r="K914" s="3" t="s">
        <v>65</v>
      </c>
      <c r="M914" s="2" t="s">
        <v>8991</v>
      </c>
      <c r="N914" s="3" t="s">
        <v>171</v>
      </c>
      <c r="P914" s="3" t="s">
        <v>102</v>
      </c>
      <c r="Q914" s="2" t="s">
        <v>8981</v>
      </c>
      <c r="R914" s="3" t="s">
        <v>70</v>
      </c>
      <c r="S914" s="4">
        <v>11</v>
      </c>
      <c r="T914" s="4">
        <v>11</v>
      </c>
      <c r="U914" s="5" t="s">
        <v>8992</v>
      </c>
      <c r="V914" s="5" t="s">
        <v>8992</v>
      </c>
      <c r="W914" s="5" t="s">
        <v>72</v>
      </c>
      <c r="X914" s="5" t="s">
        <v>72</v>
      </c>
      <c r="Y914" s="4">
        <v>273</v>
      </c>
      <c r="Z914" s="4">
        <v>28</v>
      </c>
      <c r="AA914" s="4">
        <v>34</v>
      </c>
      <c r="AB914" s="4">
        <v>3</v>
      </c>
      <c r="AC914" s="4">
        <v>8</v>
      </c>
      <c r="AD914" s="4">
        <v>77</v>
      </c>
      <c r="AE914" s="4">
        <v>86</v>
      </c>
      <c r="AF914" s="4">
        <v>1</v>
      </c>
      <c r="AG914" s="4">
        <v>4</v>
      </c>
      <c r="AH914" s="4">
        <v>62</v>
      </c>
      <c r="AI914" s="4">
        <v>69</v>
      </c>
      <c r="AJ914" s="4">
        <v>16</v>
      </c>
      <c r="AK914" s="4">
        <v>19</v>
      </c>
      <c r="AL914" s="4">
        <v>35</v>
      </c>
      <c r="AM914" s="4">
        <v>38</v>
      </c>
      <c r="AN914" s="4">
        <v>5</v>
      </c>
      <c r="AO914" s="4">
        <v>5</v>
      </c>
      <c r="AP914" s="4">
        <v>21</v>
      </c>
      <c r="AQ914" s="4">
        <v>23</v>
      </c>
      <c r="AR914" s="3" t="s">
        <v>64</v>
      </c>
      <c r="AS914" s="3" t="s">
        <v>64</v>
      </c>
      <c r="AT914" s="3" t="s">
        <v>128</v>
      </c>
      <c r="AU914" s="6" t="str">
        <f>HYPERLINK("http://catalog.hathitrust.org/Record/102043594","HathiTrust Record")</f>
        <v>HathiTrust Record</v>
      </c>
      <c r="AV914" s="6" t="str">
        <f>HYPERLINK("http://mcgill.on.worldcat.org/oclc/64098406","Catalog Record")</f>
        <v>Catalog Record</v>
      </c>
      <c r="AW914" s="6" t="str">
        <f>HYPERLINK("http://www.worldcat.org/oclc/64098406","WorldCat Record")</f>
        <v>WorldCat Record</v>
      </c>
      <c r="AX914" s="3" t="s">
        <v>8993</v>
      </c>
      <c r="AY914" s="3" t="s">
        <v>8994</v>
      </c>
      <c r="AZ914" s="3" t="s">
        <v>8995</v>
      </c>
      <c r="BA914" s="3" t="s">
        <v>8995</v>
      </c>
      <c r="BB914" s="3" t="s">
        <v>8996</v>
      </c>
      <c r="BC914" s="3" t="s">
        <v>77</v>
      </c>
      <c r="BD914" s="3" t="s">
        <v>78</v>
      </c>
      <c r="BE914" s="3" t="s">
        <v>8997</v>
      </c>
      <c r="BF914" s="3" t="s">
        <v>8996</v>
      </c>
      <c r="BG914" s="3" t="s">
        <v>8998</v>
      </c>
      <c r="BH914">
        <f t="shared" si="28"/>
        <v>0</v>
      </c>
    </row>
    <row r="915" spans="1:60" ht="58" x14ac:dyDescent="0.35">
      <c r="A915" s="2" t="s">
        <v>59</v>
      </c>
      <c r="B915" s="2" t="s">
        <v>60</v>
      </c>
      <c r="C915" s="2" t="s">
        <v>8999</v>
      </c>
      <c r="D915" s="2" t="s">
        <v>9000</v>
      </c>
      <c r="E915" s="2" t="s">
        <v>9001</v>
      </c>
      <c r="G915" s="3" t="s">
        <v>64</v>
      </c>
      <c r="I915" s="3" t="s">
        <v>64</v>
      </c>
      <c r="J915" s="3" t="s">
        <v>64</v>
      </c>
      <c r="K915" s="3" t="s">
        <v>65</v>
      </c>
      <c r="L915" s="2" t="s">
        <v>9002</v>
      </c>
      <c r="M915" s="2" t="s">
        <v>9003</v>
      </c>
      <c r="N915" s="3" t="s">
        <v>537</v>
      </c>
      <c r="P915" s="3" t="s">
        <v>102</v>
      </c>
      <c r="R915" s="3" t="s">
        <v>70</v>
      </c>
      <c r="S915" s="4">
        <v>2</v>
      </c>
      <c r="T915" s="4">
        <v>2</v>
      </c>
      <c r="U915" s="5" t="s">
        <v>8992</v>
      </c>
      <c r="V915" s="5" t="s">
        <v>8992</v>
      </c>
      <c r="W915" s="5" t="s">
        <v>72</v>
      </c>
      <c r="X915" s="5" t="s">
        <v>72</v>
      </c>
      <c r="Y915" s="4">
        <v>121</v>
      </c>
      <c r="Z915" s="4">
        <v>8</v>
      </c>
      <c r="AA915" s="4">
        <v>33</v>
      </c>
      <c r="AB915" s="4">
        <v>1</v>
      </c>
      <c r="AC915" s="4">
        <v>7</v>
      </c>
      <c r="AD915" s="4">
        <v>51</v>
      </c>
      <c r="AE915" s="4">
        <v>79</v>
      </c>
      <c r="AF915" s="4">
        <v>0</v>
      </c>
      <c r="AG915" s="4">
        <v>4</v>
      </c>
      <c r="AH915" s="4">
        <v>47</v>
      </c>
      <c r="AI915" s="4">
        <v>63</v>
      </c>
      <c r="AJ915" s="4">
        <v>5</v>
      </c>
      <c r="AK915" s="4">
        <v>15</v>
      </c>
      <c r="AL915" s="4">
        <v>32</v>
      </c>
      <c r="AM915" s="4">
        <v>36</v>
      </c>
      <c r="AN915" s="4">
        <v>0</v>
      </c>
      <c r="AO915" s="4">
        <v>0</v>
      </c>
      <c r="AP915" s="4">
        <v>5</v>
      </c>
      <c r="AQ915" s="4">
        <v>23</v>
      </c>
      <c r="AR915" s="3" t="s">
        <v>64</v>
      </c>
      <c r="AS915" s="3" t="s">
        <v>64</v>
      </c>
      <c r="AT915" s="3" t="s">
        <v>64</v>
      </c>
      <c r="AV915" s="6" t="str">
        <f>HYPERLINK("http://mcgill.on.worldcat.org/oclc/907512631","Catalog Record")</f>
        <v>Catalog Record</v>
      </c>
      <c r="AW915" s="6" t="str">
        <f>HYPERLINK("http://www.worldcat.org/oclc/907512631","WorldCat Record")</f>
        <v>WorldCat Record</v>
      </c>
      <c r="AX915" s="3" t="s">
        <v>9004</v>
      </c>
      <c r="AY915" s="3" t="s">
        <v>9005</v>
      </c>
      <c r="AZ915" s="3" t="s">
        <v>9006</v>
      </c>
      <c r="BA915" s="3" t="s">
        <v>9006</v>
      </c>
      <c r="BB915" s="3" t="s">
        <v>9007</v>
      </c>
      <c r="BC915" s="3" t="s">
        <v>77</v>
      </c>
      <c r="BD915" s="3" t="s">
        <v>78</v>
      </c>
      <c r="BE915" s="3" t="s">
        <v>9008</v>
      </c>
      <c r="BF915" s="3" t="s">
        <v>9007</v>
      </c>
      <c r="BG915" s="3" t="s">
        <v>9009</v>
      </c>
      <c r="BH915">
        <f t="shared" si="28"/>
        <v>0</v>
      </c>
    </row>
    <row r="916" spans="1:60" ht="72.5" x14ac:dyDescent="0.35">
      <c r="A916" s="2" t="s">
        <v>59</v>
      </c>
      <c r="B916" s="2" t="s">
        <v>60</v>
      </c>
      <c r="C916" s="2" t="s">
        <v>9010</v>
      </c>
      <c r="D916" s="2" t="s">
        <v>9011</v>
      </c>
      <c r="E916" s="2" t="s">
        <v>9012</v>
      </c>
      <c r="G916" s="3" t="s">
        <v>64</v>
      </c>
      <c r="I916" s="3" t="s">
        <v>64</v>
      </c>
      <c r="J916" s="3" t="s">
        <v>64</v>
      </c>
      <c r="K916" s="3" t="s">
        <v>65</v>
      </c>
      <c r="L916" s="2" t="s">
        <v>9013</v>
      </c>
      <c r="M916" s="2" t="s">
        <v>9014</v>
      </c>
      <c r="N916" s="3" t="s">
        <v>171</v>
      </c>
      <c r="P916" s="3" t="s">
        <v>102</v>
      </c>
      <c r="Q916" s="2" t="s">
        <v>9015</v>
      </c>
      <c r="R916" s="3" t="s">
        <v>70</v>
      </c>
      <c r="S916" s="4">
        <v>13</v>
      </c>
      <c r="T916" s="4">
        <v>13</v>
      </c>
      <c r="U916" s="5" t="s">
        <v>8992</v>
      </c>
      <c r="V916" s="5" t="s">
        <v>8992</v>
      </c>
      <c r="W916" s="5" t="s">
        <v>72</v>
      </c>
      <c r="X916" s="5" t="s">
        <v>72</v>
      </c>
      <c r="Y916" s="4">
        <v>823</v>
      </c>
      <c r="Z916" s="4">
        <v>60</v>
      </c>
      <c r="AA916" s="4">
        <v>72</v>
      </c>
      <c r="AB916" s="4">
        <v>2</v>
      </c>
      <c r="AC916" s="4">
        <v>10</v>
      </c>
      <c r="AD916" s="4">
        <v>137</v>
      </c>
      <c r="AE916" s="4">
        <v>145</v>
      </c>
      <c r="AF916" s="4">
        <v>1</v>
      </c>
      <c r="AG916" s="4">
        <v>6</v>
      </c>
      <c r="AH916" s="4">
        <v>106</v>
      </c>
      <c r="AI916" s="4">
        <v>107</v>
      </c>
      <c r="AJ916" s="4">
        <v>22</v>
      </c>
      <c r="AK916" s="4">
        <v>25</v>
      </c>
      <c r="AL916" s="4">
        <v>56</v>
      </c>
      <c r="AM916" s="4">
        <v>57</v>
      </c>
      <c r="AN916" s="4">
        <v>0</v>
      </c>
      <c r="AO916" s="4">
        <v>0</v>
      </c>
      <c r="AP916" s="4">
        <v>39</v>
      </c>
      <c r="AQ916" s="4">
        <v>45</v>
      </c>
      <c r="AR916" s="3" t="s">
        <v>64</v>
      </c>
      <c r="AS916" s="3" t="s">
        <v>64</v>
      </c>
      <c r="AT916" s="3" t="s">
        <v>128</v>
      </c>
      <c r="AU916" s="6" t="str">
        <f>HYPERLINK("http://catalog.hathitrust.org/Record/005088265","HathiTrust Record")</f>
        <v>HathiTrust Record</v>
      </c>
      <c r="AV916" s="6" t="str">
        <f>HYPERLINK("http://mcgill.on.worldcat.org/oclc/59756105","Catalog Record")</f>
        <v>Catalog Record</v>
      </c>
      <c r="AW916" s="6" t="str">
        <f>HYPERLINK("http://www.worldcat.org/oclc/59756105","WorldCat Record")</f>
        <v>WorldCat Record</v>
      </c>
      <c r="AX916" s="3" t="s">
        <v>9016</v>
      </c>
      <c r="AY916" s="3" t="s">
        <v>9017</v>
      </c>
      <c r="AZ916" s="3" t="s">
        <v>9018</v>
      </c>
      <c r="BA916" s="3" t="s">
        <v>9018</v>
      </c>
      <c r="BB916" s="3" t="s">
        <v>9019</v>
      </c>
      <c r="BC916" s="3" t="s">
        <v>77</v>
      </c>
      <c r="BD916" s="3" t="s">
        <v>78</v>
      </c>
      <c r="BE916" s="3" t="s">
        <v>9020</v>
      </c>
      <c r="BF916" s="3" t="s">
        <v>9019</v>
      </c>
      <c r="BG916" s="3" t="s">
        <v>9021</v>
      </c>
      <c r="BH916">
        <f t="shared" si="28"/>
        <v>0</v>
      </c>
    </row>
    <row r="917" spans="1:60" ht="58" x14ac:dyDescent="0.35">
      <c r="A917" s="2" t="s">
        <v>59</v>
      </c>
      <c r="B917" s="2" t="s">
        <v>60</v>
      </c>
      <c r="C917" s="2" t="s">
        <v>9022</v>
      </c>
      <c r="D917" s="2" t="s">
        <v>9023</v>
      </c>
      <c r="E917" s="2" t="s">
        <v>9024</v>
      </c>
      <c r="G917" s="3" t="s">
        <v>64</v>
      </c>
      <c r="I917" s="3" t="s">
        <v>64</v>
      </c>
      <c r="J917" s="3" t="s">
        <v>64</v>
      </c>
      <c r="K917" s="3" t="s">
        <v>65</v>
      </c>
      <c r="L917" s="2" t="s">
        <v>9025</v>
      </c>
      <c r="M917" s="2" t="s">
        <v>9026</v>
      </c>
      <c r="N917" s="3" t="s">
        <v>326</v>
      </c>
      <c r="P917" s="3" t="s">
        <v>102</v>
      </c>
      <c r="R917" s="3" t="s">
        <v>70</v>
      </c>
      <c r="S917" s="4">
        <v>3</v>
      </c>
      <c r="T917" s="4">
        <v>3</v>
      </c>
      <c r="U917" s="5" t="s">
        <v>9027</v>
      </c>
      <c r="V917" s="5" t="s">
        <v>9027</v>
      </c>
      <c r="W917" s="5" t="s">
        <v>72</v>
      </c>
      <c r="X917" s="5" t="s">
        <v>72</v>
      </c>
      <c r="Y917" s="4">
        <v>626</v>
      </c>
      <c r="Z917" s="4">
        <v>40</v>
      </c>
      <c r="AA917" s="4">
        <v>82</v>
      </c>
      <c r="AB917" s="4">
        <v>2</v>
      </c>
      <c r="AC917" s="4">
        <v>14</v>
      </c>
      <c r="AD917" s="4">
        <v>112</v>
      </c>
      <c r="AE917" s="4">
        <v>131</v>
      </c>
      <c r="AF917" s="4">
        <v>1</v>
      </c>
      <c r="AG917" s="4">
        <v>6</v>
      </c>
      <c r="AH917" s="4">
        <v>88</v>
      </c>
      <c r="AI917" s="4">
        <v>96</v>
      </c>
      <c r="AJ917" s="4">
        <v>19</v>
      </c>
      <c r="AK917" s="4">
        <v>26</v>
      </c>
      <c r="AL917" s="4">
        <v>50</v>
      </c>
      <c r="AM917" s="4">
        <v>54</v>
      </c>
      <c r="AN917" s="4">
        <v>0</v>
      </c>
      <c r="AO917" s="4">
        <v>0</v>
      </c>
      <c r="AP917" s="4">
        <v>31</v>
      </c>
      <c r="AQ917" s="4">
        <v>43</v>
      </c>
      <c r="AR917" s="3" t="s">
        <v>64</v>
      </c>
      <c r="AS917" s="3" t="s">
        <v>64</v>
      </c>
      <c r="AT917" s="3" t="s">
        <v>64</v>
      </c>
      <c r="AV917" s="6" t="str">
        <f>HYPERLINK("http://mcgill.on.worldcat.org/oclc/710019002","Catalog Record")</f>
        <v>Catalog Record</v>
      </c>
      <c r="AW917" s="6" t="str">
        <f>HYPERLINK("http://www.worldcat.org/oclc/710019002","WorldCat Record")</f>
        <v>WorldCat Record</v>
      </c>
      <c r="AX917" s="3" t="s">
        <v>9028</v>
      </c>
      <c r="AY917" s="3" t="s">
        <v>9029</v>
      </c>
      <c r="AZ917" s="3" t="s">
        <v>9030</v>
      </c>
      <c r="BA917" s="3" t="s">
        <v>9030</v>
      </c>
      <c r="BB917" s="3" t="s">
        <v>9031</v>
      </c>
      <c r="BC917" s="3" t="s">
        <v>77</v>
      </c>
      <c r="BD917" s="3" t="s">
        <v>78</v>
      </c>
      <c r="BE917" s="3" t="s">
        <v>9032</v>
      </c>
      <c r="BF917" s="3" t="s">
        <v>9031</v>
      </c>
      <c r="BG917" s="3" t="s">
        <v>9033</v>
      </c>
      <c r="BH917">
        <f t="shared" si="28"/>
        <v>0</v>
      </c>
    </row>
    <row r="918" spans="1:60" ht="58" x14ac:dyDescent="0.35">
      <c r="A918" s="2" t="s">
        <v>59</v>
      </c>
      <c r="B918" s="2" t="s">
        <v>60</v>
      </c>
      <c r="C918" s="2" t="s">
        <v>9034</v>
      </c>
      <c r="D918" s="2" t="s">
        <v>9035</v>
      </c>
      <c r="E918" s="2" t="s">
        <v>9036</v>
      </c>
      <c r="G918" s="3" t="s">
        <v>64</v>
      </c>
      <c r="I918" s="3" t="s">
        <v>64</v>
      </c>
      <c r="J918" s="3" t="s">
        <v>64</v>
      </c>
      <c r="K918" s="3" t="s">
        <v>65</v>
      </c>
      <c r="M918" s="2" t="s">
        <v>9037</v>
      </c>
      <c r="N918" s="3" t="s">
        <v>1075</v>
      </c>
      <c r="P918" s="3" t="s">
        <v>102</v>
      </c>
      <c r="R918" s="3" t="s">
        <v>70</v>
      </c>
      <c r="S918" s="4">
        <v>2</v>
      </c>
      <c r="T918" s="4">
        <v>2</v>
      </c>
      <c r="U918" s="5" t="s">
        <v>3355</v>
      </c>
      <c r="V918" s="5" t="s">
        <v>3355</v>
      </c>
      <c r="W918" s="5" t="s">
        <v>72</v>
      </c>
      <c r="X918" s="5" t="s">
        <v>72</v>
      </c>
      <c r="Y918" s="4">
        <v>281</v>
      </c>
      <c r="Z918" s="4">
        <v>20</v>
      </c>
      <c r="AA918" s="4">
        <v>83</v>
      </c>
      <c r="AB918" s="4">
        <v>2</v>
      </c>
      <c r="AC918" s="4">
        <v>15</v>
      </c>
      <c r="AD918" s="4">
        <v>69</v>
      </c>
      <c r="AE918" s="4">
        <v>117</v>
      </c>
      <c r="AF918" s="4">
        <v>1</v>
      </c>
      <c r="AG918" s="4">
        <v>8</v>
      </c>
      <c r="AH918" s="4">
        <v>56</v>
      </c>
      <c r="AI918" s="4">
        <v>80</v>
      </c>
      <c r="AJ918" s="4">
        <v>16</v>
      </c>
      <c r="AK918" s="4">
        <v>25</v>
      </c>
      <c r="AL918" s="4">
        <v>35</v>
      </c>
      <c r="AM918" s="4">
        <v>43</v>
      </c>
      <c r="AN918" s="4">
        <v>0</v>
      </c>
      <c r="AO918" s="4">
        <v>0</v>
      </c>
      <c r="AP918" s="4">
        <v>18</v>
      </c>
      <c r="AQ918" s="4">
        <v>46</v>
      </c>
      <c r="AR918" s="3" t="s">
        <v>64</v>
      </c>
      <c r="AS918" s="3" t="s">
        <v>64</v>
      </c>
      <c r="AT918" s="3" t="s">
        <v>64</v>
      </c>
      <c r="AV918" s="6" t="str">
        <f>HYPERLINK("http://mcgill.on.worldcat.org/oclc/846504089","Catalog Record")</f>
        <v>Catalog Record</v>
      </c>
      <c r="AW918" s="6" t="str">
        <f>HYPERLINK("http://www.worldcat.org/oclc/846504089","WorldCat Record")</f>
        <v>WorldCat Record</v>
      </c>
      <c r="AX918" s="3" t="s">
        <v>9038</v>
      </c>
      <c r="AY918" s="3" t="s">
        <v>9039</v>
      </c>
      <c r="AZ918" s="3" t="s">
        <v>9040</v>
      </c>
      <c r="BA918" s="3" t="s">
        <v>9040</v>
      </c>
      <c r="BB918" s="3" t="s">
        <v>9041</v>
      </c>
      <c r="BC918" s="3" t="s">
        <v>77</v>
      </c>
      <c r="BD918" s="3" t="s">
        <v>78</v>
      </c>
      <c r="BE918" s="3" t="s">
        <v>9042</v>
      </c>
      <c r="BF918" s="3" t="s">
        <v>9041</v>
      </c>
      <c r="BG918" s="3" t="s">
        <v>9043</v>
      </c>
      <c r="BH918">
        <f t="shared" si="28"/>
        <v>0</v>
      </c>
    </row>
    <row r="919" spans="1:60" ht="58" x14ac:dyDescent="0.35">
      <c r="A919" s="2" t="s">
        <v>59</v>
      </c>
      <c r="B919" s="2" t="s">
        <v>60</v>
      </c>
      <c r="C919" s="2" t="s">
        <v>9044</v>
      </c>
      <c r="D919" s="2" t="s">
        <v>9045</v>
      </c>
      <c r="E919" s="2" t="s">
        <v>9046</v>
      </c>
      <c r="G919" s="3" t="s">
        <v>64</v>
      </c>
      <c r="I919" s="3" t="s">
        <v>64</v>
      </c>
      <c r="J919" s="3" t="s">
        <v>64</v>
      </c>
      <c r="K919" s="3" t="s">
        <v>65</v>
      </c>
      <c r="M919" s="2" t="s">
        <v>9047</v>
      </c>
      <c r="N919" s="3" t="s">
        <v>1075</v>
      </c>
      <c r="P919" s="3" t="s">
        <v>102</v>
      </c>
      <c r="R919" s="3" t="s">
        <v>70</v>
      </c>
      <c r="S919" s="4">
        <v>1</v>
      </c>
      <c r="T919" s="4">
        <v>1</v>
      </c>
      <c r="U919" s="5" t="s">
        <v>9048</v>
      </c>
      <c r="V919" s="5" t="s">
        <v>9048</v>
      </c>
      <c r="W919" s="5" t="s">
        <v>72</v>
      </c>
      <c r="X919" s="5" t="s">
        <v>72</v>
      </c>
      <c r="Y919" s="4">
        <v>219</v>
      </c>
      <c r="Z919" s="4">
        <v>16</v>
      </c>
      <c r="AA919" s="4">
        <v>43</v>
      </c>
      <c r="AB919" s="4">
        <v>3</v>
      </c>
      <c r="AC919" s="4">
        <v>8</v>
      </c>
      <c r="AD919" s="4">
        <v>46</v>
      </c>
      <c r="AE919" s="4">
        <v>92</v>
      </c>
      <c r="AF919" s="4">
        <v>2</v>
      </c>
      <c r="AG919" s="4">
        <v>5</v>
      </c>
      <c r="AH919" s="4">
        <v>38</v>
      </c>
      <c r="AI919" s="4">
        <v>71</v>
      </c>
      <c r="AJ919" s="4">
        <v>7</v>
      </c>
      <c r="AK919" s="4">
        <v>15</v>
      </c>
      <c r="AL919" s="4">
        <v>26</v>
      </c>
      <c r="AM919" s="4">
        <v>41</v>
      </c>
      <c r="AN919" s="4">
        <v>0</v>
      </c>
      <c r="AO919" s="4">
        <v>0</v>
      </c>
      <c r="AP919" s="4">
        <v>11</v>
      </c>
      <c r="AQ919" s="4">
        <v>26</v>
      </c>
      <c r="AR919" s="3" t="s">
        <v>64</v>
      </c>
      <c r="AS919" s="3" t="s">
        <v>64</v>
      </c>
      <c r="AT919" s="3" t="s">
        <v>64</v>
      </c>
      <c r="AV919" s="6" t="str">
        <f>HYPERLINK("http://mcgill.on.worldcat.org/oclc/796354972","Catalog Record")</f>
        <v>Catalog Record</v>
      </c>
      <c r="AW919" s="6" t="str">
        <f>HYPERLINK("http://www.worldcat.org/oclc/796354972","WorldCat Record")</f>
        <v>WorldCat Record</v>
      </c>
      <c r="AX919" s="3" t="s">
        <v>9049</v>
      </c>
      <c r="AY919" s="3" t="s">
        <v>9050</v>
      </c>
      <c r="AZ919" s="3" t="s">
        <v>9051</v>
      </c>
      <c r="BA919" s="3" t="s">
        <v>9051</v>
      </c>
      <c r="BB919" s="3" t="s">
        <v>9052</v>
      </c>
      <c r="BC919" s="3" t="s">
        <v>77</v>
      </c>
      <c r="BD919" s="3" t="s">
        <v>78</v>
      </c>
      <c r="BE919" s="3" t="s">
        <v>9053</v>
      </c>
      <c r="BF919" s="3" t="s">
        <v>9052</v>
      </c>
      <c r="BG919" s="3" t="s">
        <v>9054</v>
      </c>
      <c r="BH919">
        <f t="shared" si="28"/>
        <v>0</v>
      </c>
    </row>
    <row r="920" spans="1:60" ht="58" x14ac:dyDescent="0.35">
      <c r="A920" s="2" t="s">
        <v>59</v>
      </c>
      <c r="B920" s="2" t="s">
        <v>60</v>
      </c>
      <c r="C920" s="2" t="s">
        <v>9055</v>
      </c>
      <c r="D920" s="2" t="s">
        <v>9056</v>
      </c>
      <c r="E920" s="2" t="s">
        <v>9057</v>
      </c>
      <c r="G920" s="3" t="s">
        <v>64</v>
      </c>
      <c r="I920" s="3" t="s">
        <v>64</v>
      </c>
      <c r="J920" s="3" t="s">
        <v>64</v>
      </c>
      <c r="K920" s="3" t="s">
        <v>65</v>
      </c>
      <c r="L920" s="2" t="s">
        <v>9058</v>
      </c>
      <c r="M920" s="2" t="s">
        <v>9059</v>
      </c>
      <c r="N920" s="3" t="s">
        <v>326</v>
      </c>
      <c r="P920" s="3" t="s">
        <v>102</v>
      </c>
      <c r="R920" s="3" t="s">
        <v>70</v>
      </c>
      <c r="S920" s="4">
        <v>5</v>
      </c>
      <c r="T920" s="4">
        <v>5</v>
      </c>
      <c r="U920" s="5" t="s">
        <v>9060</v>
      </c>
      <c r="V920" s="5" t="s">
        <v>9060</v>
      </c>
      <c r="W920" s="5" t="s">
        <v>72</v>
      </c>
      <c r="X920" s="5" t="s">
        <v>72</v>
      </c>
      <c r="Y920" s="4">
        <v>117</v>
      </c>
      <c r="Z920" s="4">
        <v>11</v>
      </c>
      <c r="AA920" s="4">
        <v>95</v>
      </c>
      <c r="AB920" s="4">
        <v>1</v>
      </c>
      <c r="AC920" s="4">
        <v>18</v>
      </c>
      <c r="AD920" s="4">
        <v>23</v>
      </c>
      <c r="AE920" s="4">
        <v>101</v>
      </c>
      <c r="AF920" s="4">
        <v>0</v>
      </c>
      <c r="AG920" s="4">
        <v>8</v>
      </c>
      <c r="AH920" s="4">
        <v>21</v>
      </c>
      <c r="AI920" s="4">
        <v>65</v>
      </c>
      <c r="AJ920" s="4">
        <v>6</v>
      </c>
      <c r="AK920" s="4">
        <v>21</v>
      </c>
      <c r="AL920" s="4">
        <v>15</v>
      </c>
      <c r="AM920" s="4">
        <v>34</v>
      </c>
      <c r="AN920" s="4">
        <v>0</v>
      </c>
      <c r="AO920" s="4">
        <v>0</v>
      </c>
      <c r="AP920" s="4">
        <v>7</v>
      </c>
      <c r="AQ920" s="4">
        <v>43</v>
      </c>
      <c r="AR920" s="3" t="s">
        <v>64</v>
      </c>
      <c r="AS920" s="3" t="s">
        <v>64</v>
      </c>
      <c r="AT920" s="3" t="s">
        <v>64</v>
      </c>
      <c r="AV920" s="6" t="str">
        <f>HYPERLINK("http://mcgill.on.worldcat.org/oclc/643569186","Catalog Record")</f>
        <v>Catalog Record</v>
      </c>
      <c r="AW920" s="6" t="str">
        <f>HYPERLINK("http://www.worldcat.org/oclc/643569186","WorldCat Record")</f>
        <v>WorldCat Record</v>
      </c>
      <c r="AX920" s="3" t="s">
        <v>9061</v>
      </c>
      <c r="AY920" s="3" t="s">
        <v>9062</v>
      </c>
      <c r="AZ920" s="3" t="s">
        <v>9063</v>
      </c>
      <c r="BA920" s="3" t="s">
        <v>9063</v>
      </c>
      <c r="BB920" s="3" t="s">
        <v>9064</v>
      </c>
      <c r="BC920" s="3" t="s">
        <v>77</v>
      </c>
      <c r="BD920" s="3" t="s">
        <v>78</v>
      </c>
      <c r="BE920" s="3" t="s">
        <v>9065</v>
      </c>
      <c r="BF920" s="3" t="s">
        <v>9064</v>
      </c>
      <c r="BG920" s="3" t="s">
        <v>9066</v>
      </c>
      <c r="BH920">
        <f t="shared" si="28"/>
        <v>0</v>
      </c>
    </row>
    <row r="921" spans="1:60" ht="58" x14ac:dyDescent="0.35">
      <c r="A921" s="2" t="s">
        <v>59</v>
      </c>
      <c r="B921" s="2" t="s">
        <v>60</v>
      </c>
      <c r="C921" s="2" t="s">
        <v>9067</v>
      </c>
      <c r="D921" s="2" t="s">
        <v>9068</v>
      </c>
      <c r="E921" s="2" t="s">
        <v>9069</v>
      </c>
      <c r="G921" s="3" t="s">
        <v>64</v>
      </c>
      <c r="I921" s="3" t="s">
        <v>64</v>
      </c>
      <c r="J921" s="3" t="s">
        <v>64</v>
      </c>
      <c r="K921" s="3" t="s">
        <v>65</v>
      </c>
      <c r="L921" s="2" t="s">
        <v>9070</v>
      </c>
      <c r="M921" s="2" t="s">
        <v>9071</v>
      </c>
      <c r="N921" s="3" t="s">
        <v>434</v>
      </c>
      <c r="P921" s="3" t="s">
        <v>102</v>
      </c>
      <c r="R921" s="3" t="s">
        <v>70</v>
      </c>
      <c r="S921" s="4">
        <v>12</v>
      </c>
      <c r="T921" s="4">
        <v>12</v>
      </c>
      <c r="U921" s="5" t="s">
        <v>9072</v>
      </c>
      <c r="V921" s="5" t="s">
        <v>9072</v>
      </c>
      <c r="W921" s="5" t="s">
        <v>72</v>
      </c>
      <c r="X921" s="5" t="s">
        <v>72</v>
      </c>
      <c r="Y921" s="4">
        <v>233</v>
      </c>
      <c r="Z921" s="4">
        <v>25</v>
      </c>
      <c r="AA921" s="4">
        <v>105</v>
      </c>
      <c r="AB921" s="4">
        <v>1</v>
      </c>
      <c r="AC921" s="4">
        <v>17</v>
      </c>
      <c r="AD921" s="4">
        <v>62</v>
      </c>
      <c r="AE921" s="4">
        <v>126</v>
      </c>
      <c r="AF921" s="4">
        <v>0</v>
      </c>
      <c r="AG921" s="4">
        <v>8</v>
      </c>
      <c r="AH921" s="4">
        <v>53</v>
      </c>
      <c r="AI921" s="4">
        <v>86</v>
      </c>
      <c r="AJ921" s="4">
        <v>13</v>
      </c>
      <c r="AK921" s="4">
        <v>24</v>
      </c>
      <c r="AL921" s="4">
        <v>26</v>
      </c>
      <c r="AM921" s="4">
        <v>40</v>
      </c>
      <c r="AN921" s="4">
        <v>0</v>
      </c>
      <c r="AO921" s="4">
        <v>0</v>
      </c>
      <c r="AP921" s="4">
        <v>18</v>
      </c>
      <c r="AQ921" s="4">
        <v>50</v>
      </c>
      <c r="AR921" s="3" t="s">
        <v>64</v>
      </c>
      <c r="AS921" s="3" t="s">
        <v>64</v>
      </c>
      <c r="AT921" s="3" t="s">
        <v>128</v>
      </c>
      <c r="AU921" s="6" t="str">
        <f>HYPERLINK("http://catalog.hathitrust.org/Record/005033154","HathiTrust Record")</f>
        <v>HathiTrust Record</v>
      </c>
      <c r="AV921" s="6" t="str">
        <f>HYPERLINK("http://mcgill.on.worldcat.org/oclc/57484007","Catalog Record")</f>
        <v>Catalog Record</v>
      </c>
      <c r="AW921" s="6" t="str">
        <f>HYPERLINK("http://www.worldcat.org/oclc/57484007","WorldCat Record")</f>
        <v>WorldCat Record</v>
      </c>
      <c r="AX921" s="3" t="s">
        <v>9073</v>
      </c>
      <c r="AY921" s="3" t="s">
        <v>9074</v>
      </c>
      <c r="AZ921" s="3" t="s">
        <v>9075</v>
      </c>
      <c r="BA921" s="3" t="s">
        <v>9075</v>
      </c>
      <c r="BB921" s="3" t="s">
        <v>9076</v>
      </c>
      <c r="BC921" s="3" t="s">
        <v>77</v>
      </c>
      <c r="BD921" s="3" t="s">
        <v>78</v>
      </c>
      <c r="BE921" s="3" t="s">
        <v>9077</v>
      </c>
      <c r="BF921" s="3" t="s">
        <v>9076</v>
      </c>
      <c r="BG921" s="3" t="s">
        <v>9078</v>
      </c>
      <c r="BH921">
        <f t="shared" si="28"/>
        <v>0</v>
      </c>
    </row>
    <row r="922" spans="1:60" ht="58" x14ac:dyDescent="0.35">
      <c r="A922" s="2" t="s">
        <v>59</v>
      </c>
      <c r="B922" s="2" t="s">
        <v>60</v>
      </c>
      <c r="C922" s="2" t="s">
        <v>9079</v>
      </c>
      <c r="D922" s="2" t="s">
        <v>9080</v>
      </c>
      <c r="E922" s="2" t="s">
        <v>9081</v>
      </c>
      <c r="G922" s="3" t="s">
        <v>64</v>
      </c>
      <c r="I922" s="3" t="s">
        <v>64</v>
      </c>
      <c r="J922" s="3" t="s">
        <v>64</v>
      </c>
      <c r="K922" s="3" t="s">
        <v>65</v>
      </c>
      <c r="L922" s="2" t="s">
        <v>9082</v>
      </c>
      <c r="M922" s="2" t="s">
        <v>9083</v>
      </c>
      <c r="N922" s="3" t="s">
        <v>511</v>
      </c>
      <c r="P922" s="3" t="s">
        <v>102</v>
      </c>
      <c r="R922" s="3" t="s">
        <v>70</v>
      </c>
      <c r="S922" s="4">
        <v>6</v>
      </c>
      <c r="T922" s="4">
        <v>6</v>
      </c>
      <c r="U922" s="5" t="s">
        <v>9084</v>
      </c>
      <c r="V922" s="5" t="s">
        <v>9084</v>
      </c>
      <c r="W922" s="5" t="s">
        <v>72</v>
      </c>
      <c r="X922" s="5" t="s">
        <v>72</v>
      </c>
      <c r="Y922" s="4">
        <v>84</v>
      </c>
      <c r="Z922" s="4">
        <v>4</v>
      </c>
      <c r="AA922" s="4">
        <v>90</v>
      </c>
      <c r="AB922" s="4">
        <v>1</v>
      </c>
      <c r="AC922" s="4">
        <v>19</v>
      </c>
      <c r="AD922" s="4">
        <v>17</v>
      </c>
      <c r="AE922" s="4">
        <v>88</v>
      </c>
      <c r="AF922" s="4">
        <v>0</v>
      </c>
      <c r="AG922" s="4">
        <v>9</v>
      </c>
      <c r="AH922" s="4">
        <v>15</v>
      </c>
      <c r="AI922" s="4">
        <v>53</v>
      </c>
      <c r="AJ922" s="4">
        <v>2</v>
      </c>
      <c r="AK922" s="4">
        <v>17</v>
      </c>
      <c r="AL922" s="4">
        <v>9</v>
      </c>
      <c r="AM922" s="4">
        <v>28</v>
      </c>
      <c r="AN922" s="4">
        <v>0</v>
      </c>
      <c r="AO922" s="4">
        <v>0</v>
      </c>
      <c r="AP922" s="4">
        <v>3</v>
      </c>
      <c r="AQ922" s="4">
        <v>41</v>
      </c>
      <c r="AR922" s="3" t="s">
        <v>64</v>
      </c>
      <c r="AS922" s="3" t="s">
        <v>64</v>
      </c>
      <c r="AT922" s="3" t="s">
        <v>64</v>
      </c>
      <c r="AV922" s="6" t="str">
        <f>HYPERLINK("http://mcgill.on.worldcat.org/oclc/645889672","Catalog Record")</f>
        <v>Catalog Record</v>
      </c>
      <c r="AW922" s="6" t="str">
        <f>HYPERLINK("http://www.worldcat.org/oclc/645889672","WorldCat Record")</f>
        <v>WorldCat Record</v>
      </c>
      <c r="AX922" s="3" t="s">
        <v>9085</v>
      </c>
      <c r="AY922" s="3" t="s">
        <v>9086</v>
      </c>
      <c r="AZ922" s="3" t="s">
        <v>9087</v>
      </c>
      <c r="BA922" s="3" t="s">
        <v>9087</v>
      </c>
      <c r="BB922" s="3" t="s">
        <v>9088</v>
      </c>
      <c r="BC922" s="3" t="s">
        <v>77</v>
      </c>
      <c r="BD922" s="3" t="s">
        <v>78</v>
      </c>
      <c r="BE922" s="3" t="s">
        <v>9089</v>
      </c>
      <c r="BF922" s="3" t="s">
        <v>9088</v>
      </c>
      <c r="BG922" s="3" t="s">
        <v>9090</v>
      </c>
      <c r="BH922">
        <f t="shared" si="28"/>
        <v>0</v>
      </c>
    </row>
    <row r="923" spans="1:60" ht="58" x14ac:dyDescent="0.35">
      <c r="A923" s="2" t="s">
        <v>59</v>
      </c>
      <c r="B923" s="2" t="s">
        <v>60</v>
      </c>
      <c r="C923" s="2" t="s">
        <v>9091</v>
      </c>
      <c r="D923" s="2" t="s">
        <v>9092</v>
      </c>
      <c r="E923" s="2" t="s">
        <v>9093</v>
      </c>
      <c r="G923" s="3" t="s">
        <v>64</v>
      </c>
      <c r="I923" s="3" t="s">
        <v>64</v>
      </c>
      <c r="J923" s="3" t="s">
        <v>64</v>
      </c>
      <c r="K923" s="3" t="s">
        <v>65</v>
      </c>
      <c r="L923" s="2" t="s">
        <v>9094</v>
      </c>
      <c r="M923" s="2" t="s">
        <v>9095</v>
      </c>
      <c r="N923" s="3" t="s">
        <v>551</v>
      </c>
      <c r="P923" s="3" t="s">
        <v>102</v>
      </c>
      <c r="Q923" s="2" t="s">
        <v>8981</v>
      </c>
      <c r="R923" s="3" t="s">
        <v>70</v>
      </c>
      <c r="S923" s="4">
        <v>5</v>
      </c>
      <c r="T923" s="4">
        <v>5</v>
      </c>
      <c r="U923" s="5" t="s">
        <v>9096</v>
      </c>
      <c r="V923" s="5" t="s">
        <v>9096</v>
      </c>
      <c r="W923" s="5" t="s">
        <v>72</v>
      </c>
      <c r="X923" s="5" t="s">
        <v>72</v>
      </c>
      <c r="Y923" s="4">
        <v>188</v>
      </c>
      <c r="Z923" s="4">
        <v>25</v>
      </c>
      <c r="AA923" s="4">
        <v>29</v>
      </c>
      <c r="AB923" s="4">
        <v>1</v>
      </c>
      <c r="AC923" s="4">
        <v>4</v>
      </c>
      <c r="AD923" s="4">
        <v>61</v>
      </c>
      <c r="AE923" s="4">
        <v>68</v>
      </c>
      <c r="AF923" s="4">
        <v>0</v>
      </c>
      <c r="AG923" s="4">
        <v>1</v>
      </c>
      <c r="AH923" s="4">
        <v>47</v>
      </c>
      <c r="AI923" s="4">
        <v>53</v>
      </c>
      <c r="AJ923" s="4">
        <v>13</v>
      </c>
      <c r="AK923" s="4">
        <v>14</v>
      </c>
      <c r="AL923" s="4">
        <v>30</v>
      </c>
      <c r="AM923" s="4">
        <v>35</v>
      </c>
      <c r="AN923" s="4">
        <v>3</v>
      </c>
      <c r="AO923" s="4">
        <v>3</v>
      </c>
      <c r="AP923" s="4">
        <v>20</v>
      </c>
      <c r="AQ923" s="4">
        <v>20</v>
      </c>
      <c r="AR923" s="3" t="s">
        <v>64</v>
      </c>
      <c r="AS923" s="3" t="s">
        <v>64</v>
      </c>
      <c r="AT923" s="3" t="s">
        <v>128</v>
      </c>
      <c r="AU923" s="6" t="str">
        <f>HYPERLINK("http://catalog.hathitrust.org/Record/012273546","HathiTrust Record")</f>
        <v>HathiTrust Record</v>
      </c>
      <c r="AV923" s="6" t="str">
        <f>HYPERLINK("http://mcgill.on.worldcat.org/oclc/463505752","Catalog Record")</f>
        <v>Catalog Record</v>
      </c>
      <c r="AW923" s="6" t="str">
        <f>HYPERLINK("http://www.worldcat.org/oclc/463505752","WorldCat Record")</f>
        <v>WorldCat Record</v>
      </c>
      <c r="AX923" s="3" t="s">
        <v>9097</v>
      </c>
      <c r="AY923" s="3" t="s">
        <v>9098</v>
      </c>
      <c r="AZ923" s="3" t="s">
        <v>9099</v>
      </c>
      <c r="BA923" s="3" t="s">
        <v>9099</v>
      </c>
      <c r="BB923" s="3" t="s">
        <v>9100</v>
      </c>
      <c r="BC923" s="3" t="s">
        <v>77</v>
      </c>
      <c r="BD923" s="3" t="s">
        <v>78</v>
      </c>
      <c r="BE923" s="3" t="s">
        <v>9101</v>
      </c>
      <c r="BF923" s="3" t="s">
        <v>9100</v>
      </c>
      <c r="BG923" s="3" t="s">
        <v>9102</v>
      </c>
      <c r="BH923">
        <f t="shared" si="28"/>
        <v>0</v>
      </c>
    </row>
    <row r="924" spans="1:60" ht="72.5" x14ac:dyDescent="0.35">
      <c r="A924" s="2" t="s">
        <v>59</v>
      </c>
      <c r="B924" s="2" t="s">
        <v>60</v>
      </c>
      <c r="C924" s="2" t="s">
        <v>9103</v>
      </c>
      <c r="D924" s="2" t="s">
        <v>9104</v>
      </c>
      <c r="E924" s="2" t="s">
        <v>9105</v>
      </c>
      <c r="G924" s="3" t="s">
        <v>64</v>
      </c>
      <c r="I924" s="3" t="s">
        <v>64</v>
      </c>
      <c r="J924" s="3" t="s">
        <v>64</v>
      </c>
      <c r="K924" s="3" t="s">
        <v>65</v>
      </c>
      <c r="M924" s="2" t="s">
        <v>9106</v>
      </c>
      <c r="N924" s="3" t="s">
        <v>434</v>
      </c>
      <c r="P924" s="3" t="s">
        <v>102</v>
      </c>
      <c r="R924" s="3" t="s">
        <v>70</v>
      </c>
      <c r="S924" s="4">
        <v>6</v>
      </c>
      <c r="T924" s="4">
        <v>6</v>
      </c>
      <c r="U924" s="5" t="s">
        <v>9107</v>
      </c>
      <c r="V924" s="5" t="s">
        <v>9107</v>
      </c>
      <c r="W924" s="5" t="s">
        <v>72</v>
      </c>
      <c r="X924" s="5" t="s">
        <v>72</v>
      </c>
      <c r="Y924" s="4">
        <v>160</v>
      </c>
      <c r="Z924" s="4">
        <v>12</v>
      </c>
      <c r="AA924" s="4">
        <v>12</v>
      </c>
      <c r="AB924" s="4">
        <v>2</v>
      </c>
      <c r="AC924" s="4">
        <v>2</v>
      </c>
      <c r="AD924" s="4">
        <v>50</v>
      </c>
      <c r="AE924" s="4">
        <v>50</v>
      </c>
      <c r="AF924" s="4">
        <v>1</v>
      </c>
      <c r="AG924" s="4">
        <v>1</v>
      </c>
      <c r="AH924" s="4">
        <v>46</v>
      </c>
      <c r="AI924" s="4">
        <v>46</v>
      </c>
      <c r="AJ924" s="4">
        <v>7</v>
      </c>
      <c r="AK924" s="4">
        <v>7</v>
      </c>
      <c r="AL924" s="4">
        <v>24</v>
      </c>
      <c r="AM924" s="4">
        <v>24</v>
      </c>
      <c r="AN924" s="4">
        <v>0</v>
      </c>
      <c r="AO924" s="4">
        <v>0</v>
      </c>
      <c r="AP924" s="4">
        <v>10</v>
      </c>
      <c r="AQ924" s="4">
        <v>10</v>
      </c>
      <c r="AR924" s="3" t="s">
        <v>64</v>
      </c>
      <c r="AS924" s="3" t="s">
        <v>64</v>
      </c>
      <c r="AT924" s="3" t="s">
        <v>128</v>
      </c>
      <c r="AU924" s="6" t="str">
        <f>HYPERLINK("http://catalog.hathitrust.org/Record/005137562","HathiTrust Record")</f>
        <v>HathiTrust Record</v>
      </c>
      <c r="AV924" s="6" t="str">
        <f>HYPERLINK("http://mcgill.on.worldcat.org/oclc/62172913","Catalog Record")</f>
        <v>Catalog Record</v>
      </c>
      <c r="AW924" s="6" t="str">
        <f>HYPERLINK("http://www.worldcat.org/oclc/62172913","WorldCat Record")</f>
        <v>WorldCat Record</v>
      </c>
      <c r="AX924" s="3" t="s">
        <v>9108</v>
      </c>
      <c r="AY924" s="3" t="s">
        <v>9109</v>
      </c>
      <c r="AZ924" s="3" t="s">
        <v>9110</v>
      </c>
      <c r="BA924" s="3" t="s">
        <v>9110</v>
      </c>
      <c r="BB924" s="3" t="s">
        <v>9111</v>
      </c>
      <c r="BC924" s="3" t="s">
        <v>77</v>
      </c>
      <c r="BD924" s="3" t="s">
        <v>78</v>
      </c>
      <c r="BE924" s="3" t="s">
        <v>9112</v>
      </c>
      <c r="BF924" s="3" t="s">
        <v>9111</v>
      </c>
      <c r="BG924" s="3" t="s">
        <v>9113</v>
      </c>
      <c r="BH924">
        <f t="shared" si="28"/>
        <v>0</v>
      </c>
    </row>
    <row r="925" spans="1:60" ht="58" x14ac:dyDescent="0.35">
      <c r="A925" s="2" t="s">
        <v>59</v>
      </c>
      <c r="B925" s="2" t="s">
        <v>60</v>
      </c>
      <c r="C925" s="2" t="s">
        <v>9114</v>
      </c>
      <c r="D925" s="2" t="s">
        <v>9115</v>
      </c>
      <c r="E925" s="2" t="s">
        <v>9116</v>
      </c>
      <c r="G925" s="3" t="s">
        <v>64</v>
      </c>
      <c r="I925" s="3" t="s">
        <v>64</v>
      </c>
      <c r="J925" s="3" t="s">
        <v>64</v>
      </c>
      <c r="K925" s="3" t="s">
        <v>65</v>
      </c>
      <c r="M925" s="2" t="s">
        <v>9117</v>
      </c>
      <c r="N925" s="3" t="s">
        <v>578</v>
      </c>
      <c r="O925" s="2" t="s">
        <v>9118</v>
      </c>
      <c r="P925" s="3" t="s">
        <v>102</v>
      </c>
      <c r="Q925" s="2" t="s">
        <v>9119</v>
      </c>
      <c r="R925" s="3" t="s">
        <v>70</v>
      </c>
      <c r="S925" s="4">
        <v>3</v>
      </c>
      <c r="T925" s="4">
        <v>3</v>
      </c>
      <c r="U925" s="5" t="s">
        <v>2763</v>
      </c>
      <c r="V925" s="5" t="s">
        <v>2763</v>
      </c>
      <c r="W925" s="5" t="s">
        <v>72</v>
      </c>
      <c r="X925" s="5" t="s">
        <v>72</v>
      </c>
      <c r="Y925" s="4">
        <v>109</v>
      </c>
      <c r="Z925" s="4">
        <v>6</v>
      </c>
      <c r="AA925" s="4">
        <v>6</v>
      </c>
      <c r="AB925" s="4">
        <v>1</v>
      </c>
      <c r="AC925" s="4">
        <v>1</v>
      </c>
      <c r="AD925" s="4">
        <v>25</v>
      </c>
      <c r="AE925" s="4">
        <v>25</v>
      </c>
      <c r="AF925" s="4">
        <v>0</v>
      </c>
      <c r="AG925" s="4">
        <v>0</v>
      </c>
      <c r="AH925" s="4">
        <v>22</v>
      </c>
      <c r="AI925" s="4">
        <v>22</v>
      </c>
      <c r="AJ925" s="4">
        <v>4</v>
      </c>
      <c r="AK925" s="4">
        <v>4</v>
      </c>
      <c r="AL925" s="4">
        <v>17</v>
      </c>
      <c r="AM925" s="4">
        <v>17</v>
      </c>
      <c r="AN925" s="4">
        <v>0</v>
      </c>
      <c r="AO925" s="4">
        <v>0</v>
      </c>
      <c r="AP925" s="4">
        <v>4</v>
      </c>
      <c r="AQ925" s="4">
        <v>4</v>
      </c>
      <c r="AR925" s="3" t="s">
        <v>64</v>
      </c>
      <c r="AS925" s="3" t="s">
        <v>64</v>
      </c>
      <c r="AT925" s="3" t="s">
        <v>64</v>
      </c>
      <c r="AV925" s="6" t="str">
        <f>HYPERLINK("http://mcgill.on.worldcat.org/oclc/967725183","Catalog Record")</f>
        <v>Catalog Record</v>
      </c>
      <c r="AW925" s="6" t="str">
        <f>HYPERLINK("http://www.worldcat.org/oclc/967725183","WorldCat Record")</f>
        <v>WorldCat Record</v>
      </c>
      <c r="AX925" s="3" t="s">
        <v>9120</v>
      </c>
      <c r="AY925" s="3" t="s">
        <v>9121</v>
      </c>
      <c r="AZ925" s="3" t="s">
        <v>9122</v>
      </c>
      <c r="BA925" s="3" t="s">
        <v>9122</v>
      </c>
      <c r="BB925" s="3" t="s">
        <v>9123</v>
      </c>
      <c r="BC925" s="3" t="s">
        <v>77</v>
      </c>
      <c r="BD925" s="3" t="s">
        <v>78</v>
      </c>
      <c r="BE925" s="3" t="s">
        <v>9124</v>
      </c>
      <c r="BF925" s="3" t="s">
        <v>9123</v>
      </c>
      <c r="BG925" s="3" t="s">
        <v>9125</v>
      </c>
      <c r="BH925">
        <f t="shared" si="28"/>
        <v>0</v>
      </c>
    </row>
    <row r="926" spans="1:60" ht="58" x14ac:dyDescent="0.35">
      <c r="A926" s="2" t="s">
        <v>59</v>
      </c>
      <c r="B926" s="2" t="s">
        <v>60</v>
      </c>
      <c r="C926" s="2" t="s">
        <v>9126</v>
      </c>
      <c r="D926" s="2" t="s">
        <v>9127</v>
      </c>
      <c r="E926" s="2" t="s">
        <v>9128</v>
      </c>
      <c r="G926" s="3" t="s">
        <v>64</v>
      </c>
      <c r="I926" s="3" t="s">
        <v>64</v>
      </c>
      <c r="J926" s="3" t="s">
        <v>64</v>
      </c>
      <c r="K926" s="3" t="s">
        <v>65</v>
      </c>
      <c r="L926" s="2" t="s">
        <v>9129</v>
      </c>
      <c r="M926" s="2" t="s">
        <v>9130</v>
      </c>
      <c r="N926" s="3" t="s">
        <v>511</v>
      </c>
      <c r="P926" s="3" t="s">
        <v>102</v>
      </c>
      <c r="R926" s="3" t="s">
        <v>70</v>
      </c>
      <c r="S926" s="4">
        <v>7</v>
      </c>
      <c r="T926" s="4">
        <v>7</v>
      </c>
      <c r="U926" s="5" t="s">
        <v>9131</v>
      </c>
      <c r="V926" s="5" t="s">
        <v>9131</v>
      </c>
      <c r="W926" s="5" t="s">
        <v>72</v>
      </c>
      <c r="X926" s="5" t="s">
        <v>72</v>
      </c>
      <c r="Y926" s="4">
        <v>168</v>
      </c>
      <c r="Z926" s="4">
        <v>15</v>
      </c>
      <c r="AA926" s="4">
        <v>28</v>
      </c>
      <c r="AB926" s="4">
        <v>2</v>
      </c>
      <c r="AC926" s="4">
        <v>5</v>
      </c>
      <c r="AD926" s="4">
        <v>44</v>
      </c>
      <c r="AE926" s="4">
        <v>66</v>
      </c>
      <c r="AF926" s="4">
        <v>1</v>
      </c>
      <c r="AG926" s="4">
        <v>2</v>
      </c>
      <c r="AH926" s="4">
        <v>38</v>
      </c>
      <c r="AI926" s="4">
        <v>54</v>
      </c>
      <c r="AJ926" s="4">
        <v>6</v>
      </c>
      <c r="AK926" s="4">
        <v>8</v>
      </c>
      <c r="AL926" s="4">
        <v>24</v>
      </c>
      <c r="AM926" s="4">
        <v>33</v>
      </c>
      <c r="AN926" s="4">
        <v>0</v>
      </c>
      <c r="AO926" s="4">
        <v>0</v>
      </c>
      <c r="AP926" s="4">
        <v>9</v>
      </c>
      <c r="AQ926" s="4">
        <v>15</v>
      </c>
      <c r="AR926" s="3" t="s">
        <v>64</v>
      </c>
      <c r="AS926" s="3" t="s">
        <v>64</v>
      </c>
      <c r="AT926" s="3" t="s">
        <v>64</v>
      </c>
      <c r="AV926" s="6" t="str">
        <f>HYPERLINK("http://mcgill.on.worldcat.org/oclc/501402195","Catalog Record")</f>
        <v>Catalog Record</v>
      </c>
      <c r="AW926" s="6" t="str">
        <f>HYPERLINK("http://www.worldcat.org/oclc/501402195","WorldCat Record")</f>
        <v>WorldCat Record</v>
      </c>
      <c r="AX926" s="3" t="s">
        <v>9132</v>
      </c>
      <c r="AY926" s="3" t="s">
        <v>9133</v>
      </c>
      <c r="AZ926" s="3" t="s">
        <v>9134</v>
      </c>
      <c r="BA926" s="3" t="s">
        <v>9134</v>
      </c>
      <c r="BB926" s="3" t="s">
        <v>9135</v>
      </c>
      <c r="BC926" s="3" t="s">
        <v>77</v>
      </c>
      <c r="BD926" s="3" t="s">
        <v>78</v>
      </c>
      <c r="BE926" s="3" t="s">
        <v>9136</v>
      </c>
      <c r="BF926" s="3" t="s">
        <v>9135</v>
      </c>
      <c r="BG926" s="3" t="s">
        <v>9137</v>
      </c>
      <c r="BH926">
        <f t="shared" si="28"/>
        <v>0</v>
      </c>
    </row>
    <row r="927" spans="1:60" ht="58" x14ac:dyDescent="0.35">
      <c r="A927" s="2" t="s">
        <v>59</v>
      </c>
      <c r="B927" s="2" t="s">
        <v>60</v>
      </c>
      <c r="C927" s="2" t="s">
        <v>9138</v>
      </c>
      <c r="D927" s="2" t="s">
        <v>9139</v>
      </c>
      <c r="E927" s="2" t="s">
        <v>9140</v>
      </c>
      <c r="G927" s="3" t="s">
        <v>64</v>
      </c>
      <c r="I927" s="3" t="s">
        <v>64</v>
      </c>
      <c r="J927" s="3" t="s">
        <v>64</v>
      </c>
      <c r="K927" s="3" t="s">
        <v>65</v>
      </c>
      <c r="M927" s="2" t="s">
        <v>9141</v>
      </c>
      <c r="N927" s="3" t="s">
        <v>511</v>
      </c>
      <c r="P927" s="3" t="s">
        <v>102</v>
      </c>
      <c r="R927" s="3" t="s">
        <v>70</v>
      </c>
      <c r="S927" s="4">
        <v>11</v>
      </c>
      <c r="T927" s="4">
        <v>11</v>
      </c>
      <c r="U927" s="5" t="s">
        <v>7890</v>
      </c>
      <c r="V927" s="5" t="s">
        <v>7890</v>
      </c>
      <c r="W927" s="5" t="s">
        <v>72</v>
      </c>
      <c r="X927" s="5" t="s">
        <v>72</v>
      </c>
      <c r="Y927" s="4">
        <v>167</v>
      </c>
      <c r="Z927" s="4">
        <v>15</v>
      </c>
      <c r="AA927" s="4">
        <v>78</v>
      </c>
      <c r="AB927" s="4">
        <v>2</v>
      </c>
      <c r="AC927" s="4">
        <v>16</v>
      </c>
      <c r="AD927" s="4">
        <v>56</v>
      </c>
      <c r="AE927" s="4">
        <v>115</v>
      </c>
      <c r="AF927" s="4">
        <v>0</v>
      </c>
      <c r="AG927" s="4">
        <v>8</v>
      </c>
      <c r="AH927" s="4">
        <v>52</v>
      </c>
      <c r="AI927" s="4">
        <v>82</v>
      </c>
      <c r="AJ927" s="4">
        <v>11</v>
      </c>
      <c r="AK927" s="4">
        <v>22</v>
      </c>
      <c r="AL927" s="4">
        <v>30</v>
      </c>
      <c r="AM927" s="4">
        <v>43</v>
      </c>
      <c r="AN927" s="4">
        <v>0</v>
      </c>
      <c r="AO927" s="4">
        <v>0</v>
      </c>
      <c r="AP927" s="4">
        <v>12</v>
      </c>
      <c r="AQ927" s="4">
        <v>41</v>
      </c>
      <c r="AR927" s="3" t="s">
        <v>64</v>
      </c>
      <c r="AS927" s="3" t="s">
        <v>64</v>
      </c>
      <c r="AT927" s="3" t="s">
        <v>64</v>
      </c>
      <c r="AV927" s="6" t="str">
        <f>HYPERLINK("http://mcgill.on.worldcat.org/oclc/244057491","Catalog Record")</f>
        <v>Catalog Record</v>
      </c>
      <c r="AW927" s="6" t="str">
        <f>HYPERLINK("http://www.worldcat.org/oclc/244057491","WorldCat Record")</f>
        <v>WorldCat Record</v>
      </c>
      <c r="AX927" s="3" t="s">
        <v>9142</v>
      </c>
      <c r="AY927" s="3" t="s">
        <v>9143</v>
      </c>
      <c r="AZ927" s="3" t="s">
        <v>9144</v>
      </c>
      <c r="BA927" s="3" t="s">
        <v>9144</v>
      </c>
      <c r="BB927" s="3" t="s">
        <v>9145</v>
      </c>
      <c r="BC927" s="3" t="s">
        <v>77</v>
      </c>
      <c r="BD927" s="3" t="s">
        <v>78</v>
      </c>
      <c r="BE927" s="3" t="s">
        <v>9146</v>
      </c>
      <c r="BF927" s="3" t="s">
        <v>9145</v>
      </c>
      <c r="BG927" s="3" t="s">
        <v>9147</v>
      </c>
      <c r="BH927">
        <f t="shared" si="28"/>
        <v>0</v>
      </c>
    </row>
    <row r="928" spans="1:60" ht="58" x14ac:dyDescent="0.35">
      <c r="A928" s="2" t="s">
        <v>59</v>
      </c>
      <c r="B928" s="2" t="s">
        <v>60</v>
      </c>
      <c r="C928" s="2" t="s">
        <v>9148</v>
      </c>
      <c r="D928" s="2" t="s">
        <v>9149</v>
      </c>
      <c r="E928" s="2" t="s">
        <v>9150</v>
      </c>
      <c r="G928" s="3" t="s">
        <v>64</v>
      </c>
      <c r="I928" s="3" t="s">
        <v>64</v>
      </c>
      <c r="J928" s="3" t="s">
        <v>64</v>
      </c>
      <c r="K928" s="3" t="s">
        <v>65</v>
      </c>
      <c r="L928" s="2" t="s">
        <v>9151</v>
      </c>
      <c r="M928" s="2" t="s">
        <v>4095</v>
      </c>
      <c r="N928" s="3" t="s">
        <v>253</v>
      </c>
      <c r="P928" s="3" t="s">
        <v>102</v>
      </c>
      <c r="R928" s="3" t="s">
        <v>70</v>
      </c>
      <c r="S928" s="4">
        <v>2</v>
      </c>
      <c r="T928" s="4">
        <v>2</v>
      </c>
      <c r="U928" s="5" t="s">
        <v>6890</v>
      </c>
      <c r="V928" s="5" t="s">
        <v>6890</v>
      </c>
      <c r="W928" s="5" t="s">
        <v>72</v>
      </c>
      <c r="X928" s="5" t="s">
        <v>72</v>
      </c>
      <c r="Y928" s="4">
        <v>166</v>
      </c>
      <c r="Z928" s="4">
        <v>11</v>
      </c>
      <c r="AA928" s="4">
        <v>20</v>
      </c>
      <c r="AB928" s="4">
        <v>2</v>
      </c>
      <c r="AC928" s="4">
        <v>5</v>
      </c>
      <c r="AD928" s="4">
        <v>54</v>
      </c>
      <c r="AE928" s="4">
        <v>68</v>
      </c>
      <c r="AF928" s="4">
        <v>1</v>
      </c>
      <c r="AG928" s="4">
        <v>2</v>
      </c>
      <c r="AH928" s="4">
        <v>47</v>
      </c>
      <c r="AI928" s="4">
        <v>57</v>
      </c>
      <c r="AJ928" s="4">
        <v>6</v>
      </c>
      <c r="AK928" s="4">
        <v>12</v>
      </c>
      <c r="AL928" s="4">
        <v>30</v>
      </c>
      <c r="AM928" s="4">
        <v>35</v>
      </c>
      <c r="AN928" s="4">
        <v>0</v>
      </c>
      <c r="AO928" s="4">
        <v>0</v>
      </c>
      <c r="AP928" s="4">
        <v>8</v>
      </c>
      <c r="AQ928" s="4">
        <v>15</v>
      </c>
      <c r="AR928" s="3" t="s">
        <v>64</v>
      </c>
      <c r="AS928" s="3" t="s">
        <v>64</v>
      </c>
      <c r="AT928" s="3" t="s">
        <v>64</v>
      </c>
      <c r="AV928" s="6" t="str">
        <f>HYPERLINK("http://mcgill.on.worldcat.org/oclc/894625618","Catalog Record")</f>
        <v>Catalog Record</v>
      </c>
      <c r="AW928" s="6" t="str">
        <f>HYPERLINK("http://www.worldcat.org/oclc/894625618","WorldCat Record")</f>
        <v>WorldCat Record</v>
      </c>
      <c r="AX928" s="3" t="s">
        <v>9152</v>
      </c>
      <c r="AY928" s="3" t="s">
        <v>9153</v>
      </c>
      <c r="AZ928" s="3" t="s">
        <v>9154</v>
      </c>
      <c r="BA928" s="3" t="s">
        <v>9154</v>
      </c>
      <c r="BB928" s="3" t="s">
        <v>9155</v>
      </c>
      <c r="BC928" s="3" t="s">
        <v>77</v>
      </c>
      <c r="BD928" s="3" t="s">
        <v>78</v>
      </c>
      <c r="BE928" s="3" t="s">
        <v>9156</v>
      </c>
      <c r="BF928" s="3" t="s">
        <v>9155</v>
      </c>
      <c r="BG928" s="3" t="s">
        <v>9157</v>
      </c>
      <c r="BH928">
        <f t="shared" si="28"/>
        <v>0</v>
      </c>
    </row>
    <row r="929" spans="1:60" ht="58" x14ac:dyDescent="0.35">
      <c r="A929" s="2" t="s">
        <v>59</v>
      </c>
      <c r="B929" s="2" t="s">
        <v>60</v>
      </c>
      <c r="C929" s="2" t="s">
        <v>9158</v>
      </c>
      <c r="D929" s="2" t="s">
        <v>9159</v>
      </c>
      <c r="E929" s="2" t="s">
        <v>9160</v>
      </c>
      <c r="G929" s="3" t="s">
        <v>64</v>
      </c>
      <c r="I929" s="3" t="s">
        <v>64</v>
      </c>
      <c r="J929" s="3" t="s">
        <v>64</v>
      </c>
      <c r="K929" s="3" t="s">
        <v>65</v>
      </c>
      <c r="M929" s="2" t="s">
        <v>9161</v>
      </c>
      <c r="N929" s="3" t="s">
        <v>511</v>
      </c>
      <c r="P929" s="3" t="s">
        <v>102</v>
      </c>
      <c r="R929" s="3" t="s">
        <v>70</v>
      </c>
      <c r="S929" s="4">
        <v>0</v>
      </c>
      <c r="T929" s="4">
        <v>0</v>
      </c>
      <c r="W929" s="5" t="s">
        <v>72</v>
      </c>
      <c r="X929" s="5" t="s">
        <v>72</v>
      </c>
      <c r="Y929" s="4">
        <v>77</v>
      </c>
      <c r="Z929" s="4">
        <v>4</v>
      </c>
      <c r="AA929" s="4">
        <v>20</v>
      </c>
      <c r="AB929" s="4">
        <v>1</v>
      </c>
      <c r="AC929" s="4">
        <v>2</v>
      </c>
      <c r="AD929" s="4">
        <v>29</v>
      </c>
      <c r="AE929" s="4">
        <v>65</v>
      </c>
      <c r="AF929" s="4">
        <v>0</v>
      </c>
      <c r="AG929" s="4">
        <v>0</v>
      </c>
      <c r="AH929" s="4">
        <v>27</v>
      </c>
      <c r="AI929" s="4">
        <v>55</v>
      </c>
      <c r="AJ929" s="4">
        <v>3</v>
      </c>
      <c r="AK929" s="4">
        <v>8</v>
      </c>
      <c r="AL929" s="4">
        <v>19</v>
      </c>
      <c r="AM929" s="4">
        <v>33</v>
      </c>
      <c r="AN929" s="4">
        <v>0</v>
      </c>
      <c r="AO929" s="4">
        <v>0</v>
      </c>
      <c r="AP929" s="4">
        <v>3</v>
      </c>
      <c r="AQ929" s="4">
        <v>13</v>
      </c>
      <c r="AR929" s="3" t="s">
        <v>64</v>
      </c>
      <c r="AS929" s="3" t="s">
        <v>64</v>
      </c>
      <c r="AT929" s="3" t="s">
        <v>64</v>
      </c>
      <c r="AV929" s="6" t="str">
        <f>HYPERLINK("http://mcgill.on.worldcat.org/oclc/502097484","Catalog Record")</f>
        <v>Catalog Record</v>
      </c>
      <c r="AW929" s="6" t="str">
        <f>HYPERLINK("http://www.worldcat.org/oclc/502097484","WorldCat Record")</f>
        <v>WorldCat Record</v>
      </c>
      <c r="AX929" s="3" t="s">
        <v>9162</v>
      </c>
      <c r="AY929" s="3" t="s">
        <v>9163</v>
      </c>
      <c r="AZ929" s="3" t="s">
        <v>9164</v>
      </c>
      <c r="BA929" s="3" t="s">
        <v>9164</v>
      </c>
      <c r="BB929" s="3" t="s">
        <v>9165</v>
      </c>
      <c r="BC929" s="3" t="s">
        <v>77</v>
      </c>
      <c r="BD929" s="3" t="s">
        <v>78</v>
      </c>
      <c r="BE929" s="3" t="s">
        <v>9166</v>
      </c>
      <c r="BF929" s="3" t="s">
        <v>9165</v>
      </c>
      <c r="BG929" s="3" t="s">
        <v>9167</v>
      </c>
      <c r="BH929">
        <f t="shared" si="28"/>
        <v>0</v>
      </c>
    </row>
    <row r="930" spans="1:60" ht="87" x14ac:dyDescent="0.35">
      <c r="A930" s="2" t="s">
        <v>59</v>
      </c>
      <c r="B930" s="2" t="s">
        <v>60</v>
      </c>
      <c r="C930" s="2" t="s">
        <v>9168</v>
      </c>
      <c r="D930" s="2" t="s">
        <v>9169</v>
      </c>
      <c r="E930" s="2" t="s">
        <v>9170</v>
      </c>
      <c r="G930" s="3" t="s">
        <v>64</v>
      </c>
      <c r="I930" s="3" t="s">
        <v>64</v>
      </c>
      <c r="J930" s="3" t="s">
        <v>64</v>
      </c>
      <c r="K930" s="3" t="s">
        <v>65</v>
      </c>
      <c r="M930" s="2" t="s">
        <v>9171</v>
      </c>
      <c r="N930" s="3" t="s">
        <v>434</v>
      </c>
      <c r="P930" s="3" t="s">
        <v>102</v>
      </c>
      <c r="Q930" s="2" t="s">
        <v>9172</v>
      </c>
      <c r="R930" s="3" t="s">
        <v>70</v>
      </c>
      <c r="S930" s="4">
        <v>4</v>
      </c>
      <c r="T930" s="4">
        <v>4</v>
      </c>
      <c r="U930" s="5" t="s">
        <v>8725</v>
      </c>
      <c r="V930" s="5" t="s">
        <v>8725</v>
      </c>
      <c r="W930" s="5" t="s">
        <v>72</v>
      </c>
      <c r="X930" s="5" t="s">
        <v>72</v>
      </c>
      <c r="Y930" s="4">
        <v>142</v>
      </c>
      <c r="Z930" s="4">
        <v>10</v>
      </c>
      <c r="AA930" s="4">
        <v>12</v>
      </c>
      <c r="AB930" s="4">
        <v>1</v>
      </c>
      <c r="AC930" s="4">
        <v>3</v>
      </c>
      <c r="AD930" s="4">
        <v>42</v>
      </c>
      <c r="AE930" s="4">
        <v>44</v>
      </c>
      <c r="AF930" s="4">
        <v>0</v>
      </c>
      <c r="AG930" s="4">
        <v>2</v>
      </c>
      <c r="AH930" s="4">
        <v>39</v>
      </c>
      <c r="AI930" s="4">
        <v>40</v>
      </c>
      <c r="AJ930" s="4">
        <v>8</v>
      </c>
      <c r="AK930" s="4">
        <v>10</v>
      </c>
      <c r="AL930" s="4">
        <v>23</v>
      </c>
      <c r="AM930" s="4">
        <v>23</v>
      </c>
      <c r="AN930" s="4">
        <v>0</v>
      </c>
      <c r="AO930" s="4">
        <v>0</v>
      </c>
      <c r="AP930" s="4">
        <v>8</v>
      </c>
      <c r="AQ930" s="4">
        <v>9</v>
      </c>
      <c r="AR930" s="3" t="s">
        <v>64</v>
      </c>
      <c r="AS930" s="3" t="s">
        <v>64</v>
      </c>
      <c r="AT930" s="3" t="s">
        <v>128</v>
      </c>
      <c r="AU930" s="6" t="str">
        <f>HYPERLINK("http://catalog.hathitrust.org/Record/004949745","HathiTrust Record")</f>
        <v>HathiTrust Record</v>
      </c>
      <c r="AV930" s="6" t="str">
        <f>HYPERLINK("http://mcgill.on.worldcat.org/oclc/57411890","Catalog Record")</f>
        <v>Catalog Record</v>
      </c>
      <c r="AW930" s="6" t="str">
        <f>HYPERLINK("http://www.worldcat.org/oclc/57411890","WorldCat Record")</f>
        <v>WorldCat Record</v>
      </c>
      <c r="AX930" s="3" t="s">
        <v>9173</v>
      </c>
      <c r="AY930" s="3" t="s">
        <v>9174</v>
      </c>
      <c r="AZ930" s="3" t="s">
        <v>9175</v>
      </c>
      <c r="BA930" s="3" t="s">
        <v>9175</v>
      </c>
      <c r="BB930" s="3" t="s">
        <v>9176</v>
      </c>
      <c r="BC930" s="3" t="s">
        <v>77</v>
      </c>
      <c r="BD930" s="3" t="s">
        <v>78</v>
      </c>
      <c r="BE930" s="3" t="s">
        <v>9177</v>
      </c>
      <c r="BF930" s="3" t="s">
        <v>9176</v>
      </c>
      <c r="BG930" s="3" t="s">
        <v>9178</v>
      </c>
      <c r="BH930">
        <f t="shared" si="28"/>
        <v>0</v>
      </c>
    </row>
    <row r="931" spans="1:60" ht="72.5" x14ac:dyDescent="0.35">
      <c r="A931" s="2" t="s">
        <v>59</v>
      </c>
      <c r="B931" s="2" t="s">
        <v>60</v>
      </c>
      <c r="C931" s="2" t="s">
        <v>9179</v>
      </c>
      <c r="D931" s="2" t="s">
        <v>9180</v>
      </c>
      <c r="E931" s="2" t="s">
        <v>9181</v>
      </c>
      <c r="G931" s="3" t="s">
        <v>64</v>
      </c>
      <c r="I931" s="3" t="s">
        <v>64</v>
      </c>
      <c r="J931" s="3" t="s">
        <v>64</v>
      </c>
      <c r="K931" s="3" t="s">
        <v>65</v>
      </c>
      <c r="M931" s="2" t="s">
        <v>9182</v>
      </c>
      <c r="N931" s="3" t="s">
        <v>159</v>
      </c>
      <c r="P931" s="3" t="s">
        <v>102</v>
      </c>
      <c r="R931" s="3" t="s">
        <v>70</v>
      </c>
      <c r="S931" s="4">
        <v>15</v>
      </c>
      <c r="T931" s="4">
        <v>15</v>
      </c>
      <c r="U931" s="5" t="s">
        <v>9183</v>
      </c>
      <c r="V931" s="5" t="s">
        <v>9183</v>
      </c>
      <c r="W931" s="5" t="s">
        <v>72</v>
      </c>
      <c r="X931" s="5" t="s">
        <v>72</v>
      </c>
      <c r="Y931" s="4">
        <v>595</v>
      </c>
      <c r="Z931" s="4">
        <v>27</v>
      </c>
      <c r="AA931" s="4">
        <v>28</v>
      </c>
      <c r="AB931" s="4">
        <v>3</v>
      </c>
      <c r="AC931" s="4">
        <v>4</v>
      </c>
      <c r="AD931" s="4">
        <v>121</v>
      </c>
      <c r="AE931" s="4">
        <v>123</v>
      </c>
      <c r="AF931" s="4">
        <v>1</v>
      </c>
      <c r="AG931" s="4">
        <v>2</v>
      </c>
      <c r="AH931" s="4">
        <v>104</v>
      </c>
      <c r="AI931" s="4">
        <v>106</v>
      </c>
      <c r="AJ931" s="4">
        <v>16</v>
      </c>
      <c r="AK931" s="4">
        <v>17</v>
      </c>
      <c r="AL931" s="4">
        <v>57</v>
      </c>
      <c r="AM931" s="4">
        <v>57</v>
      </c>
      <c r="AN931" s="4">
        <v>0</v>
      </c>
      <c r="AO931" s="4">
        <v>0</v>
      </c>
      <c r="AP931" s="4">
        <v>20</v>
      </c>
      <c r="AQ931" s="4">
        <v>21</v>
      </c>
      <c r="AR931" s="3" t="s">
        <v>64</v>
      </c>
      <c r="AS931" s="3" t="s">
        <v>64</v>
      </c>
      <c r="AT931" s="3" t="s">
        <v>64</v>
      </c>
      <c r="AV931" s="6" t="str">
        <f>HYPERLINK("http://mcgill.on.worldcat.org/oclc/48249081","Catalog Record")</f>
        <v>Catalog Record</v>
      </c>
      <c r="AW931" s="6" t="str">
        <f>HYPERLINK("http://www.worldcat.org/oclc/48249081","WorldCat Record")</f>
        <v>WorldCat Record</v>
      </c>
      <c r="AX931" s="3" t="s">
        <v>9184</v>
      </c>
      <c r="AY931" s="3" t="s">
        <v>9185</v>
      </c>
      <c r="AZ931" s="3" t="s">
        <v>9186</v>
      </c>
      <c r="BA931" s="3" t="s">
        <v>9186</v>
      </c>
      <c r="BB931" s="3" t="s">
        <v>9187</v>
      </c>
      <c r="BC931" s="3" t="s">
        <v>77</v>
      </c>
      <c r="BD931" s="3" t="s">
        <v>165</v>
      </c>
      <c r="BE931" s="3" t="s">
        <v>9188</v>
      </c>
      <c r="BF931" s="3" t="s">
        <v>9187</v>
      </c>
      <c r="BG931" s="3" t="s">
        <v>9189</v>
      </c>
      <c r="BH931">
        <f t="shared" si="28"/>
        <v>0</v>
      </c>
    </row>
    <row r="932" spans="1:60" ht="58" x14ac:dyDescent="0.35">
      <c r="A932" s="2" t="s">
        <v>59</v>
      </c>
      <c r="B932" s="2" t="s">
        <v>60</v>
      </c>
      <c r="C932" s="2" t="s">
        <v>9190</v>
      </c>
      <c r="D932" s="2" t="s">
        <v>9191</v>
      </c>
      <c r="E932" s="2" t="s">
        <v>9192</v>
      </c>
      <c r="G932" s="3" t="s">
        <v>64</v>
      </c>
      <c r="I932" s="3" t="s">
        <v>128</v>
      </c>
      <c r="J932" s="3" t="s">
        <v>128</v>
      </c>
      <c r="K932" s="3" t="s">
        <v>65</v>
      </c>
      <c r="M932" s="2" t="s">
        <v>3390</v>
      </c>
      <c r="N932" s="3" t="s">
        <v>101</v>
      </c>
      <c r="O932" s="2" t="s">
        <v>172</v>
      </c>
      <c r="P932" s="3" t="s">
        <v>102</v>
      </c>
      <c r="R932" s="3" t="s">
        <v>70</v>
      </c>
      <c r="S932" s="4">
        <v>15</v>
      </c>
      <c r="T932" s="4">
        <v>18</v>
      </c>
      <c r="U932" s="5" t="s">
        <v>9193</v>
      </c>
      <c r="V932" s="5" t="s">
        <v>9193</v>
      </c>
      <c r="W932" s="5" t="s">
        <v>72</v>
      </c>
      <c r="X932" s="5" t="s">
        <v>72</v>
      </c>
      <c r="Y932" s="4">
        <v>371</v>
      </c>
      <c r="Z932" s="4">
        <v>66</v>
      </c>
      <c r="AA932" s="4">
        <v>151</v>
      </c>
      <c r="AB932" s="4">
        <v>3</v>
      </c>
      <c r="AC932" s="4">
        <v>23</v>
      </c>
      <c r="AD932" s="4">
        <v>107</v>
      </c>
      <c r="AE932" s="4">
        <v>168</v>
      </c>
      <c r="AF932" s="4">
        <v>1</v>
      </c>
      <c r="AG932" s="4">
        <v>9</v>
      </c>
      <c r="AH932" s="4">
        <v>79</v>
      </c>
      <c r="AI932" s="4">
        <v>115</v>
      </c>
      <c r="AJ932" s="4">
        <v>23</v>
      </c>
      <c r="AK932" s="4">
        <v>29</v>
      </c>
      <c r="AL932" s="4">
        <v>42</v>
      </c>
      <c r="AM932" s="4">
        <v>59</v>
      </c>
      <c r="AN932" s="4">
        <v>0</v>
      </c>
      <c r="AO932" s="4">
        <v>0</v>
      </c>
      <c r="AP932" s="4">
        <v>35</v>
      </c>
      <c r="AQ932" s="4">
        <v>60</v>
      </c>
      <c r="AR932" s="3" t="s">
        <v>128</v>
      </c>
      <c r="AS932" s="3" t="s">
        <v>64</v>
      </c>
      <c r="AT932" s="3" t="s">
        <v>64</v>
      </c>
      <c r="AV932" s="6" t="str">
        <f>HYPERLINK("http://mcgill.on.worldcat.org/oclc/51087674","Catalog Record")</f>
        <v>Catalog Record</v>
      </c>
      <c r="AW932" s="6" t="str">
        <f>HYPERLINK("http://www.worldcat.org/oclc/51087674","WorldCat Record")</f>
        <v>WorldCat Record</v>
      </c>
      <c r="AX932" s="3" t="s">
        <v>9194</v>
      </c>
      <c r="AY932" s="3" t="s">
        <v>9195</v>
      </c>
      <c r="AZ932" s="3" t="s">
        <v>9196</v>
      </c>
      <c r="BA932" s="3" t="s">
        <v>9196</v>
      </c>
      <c r="BB932" s="3" t="s">
        <v>9197</v>
      </c>
      <c r="BC932" s="3" t="s">
        <v>77</v>
      </c>
      <c r="BD932" s="3" t="s">
        <v>165</v>
      </c>
      <c r="BE932" s="3" t="s">
        <v>9198</v>
      </c>
      <c r="BF932" s="3" t="s">
        <v>9197</v>
      </c>
      <c r="BG932" s="3" t="s">
        <v>9199</v>
      </c>
      <c r="BH932">
        <f t="shared" si="28"/>
        <v>0</v>
      </c>
    </row>
    <row r="933" spans="1:60" ht="72.5" x14ac:dyDescent="0.35">
      <c r="A933" s="2" t="s">
        <v>59</v>
      </c>
      <c r="B933" s="2" t="s">
        <v>60</v>
      </c>
      <c r="C933" s="2" t="s">
        <v>9200</v>
      </c>
      <c r="D933" s="2" t="s">
        <v>9201</v>
      </c>
      <c r="E933" s="2" t="s">
        <v>9202</v>
      </c>
      <c r="G933" s="3" t="s">
        <v>64</v>
      </c>
      <c r="I933" s="3" t="s">
        <v>64</v>
      </c>
      <c r="J933" s="3" t="s">
        <v>64</v>
      </c>
      <c r="K933" s="3" t="s">
        <v>65</v>
      </c>
      <c r="L933" s="2" t="s">
        <v>9203</v>
      </c>
      <c r="M933" s="2" t="s">
        <v>9204</v>
      </c>
      <c r="N933" s="3" t="s">
        <v>116</v>
      </c>
      <c r="P933" s="3" t="s">
        <v>102</v>
      </c>
      <c r="Q933" s="2" t="s">
        <v>9205</v>
      </c>
      <c r="R933" s="3" t="s">
        <v>70</v>
      </c>
      <c r="S933" s="4">
        <v>6</v>
      </c>
      <c r="T933" s="4">
        <v>6</v>
      </c>
      <c r="U933" s="5" t="s">
        <v>9206</v>
      </c>
      <c r="V933" s="5" t="s">
        <v>9206</v>
      </c>
      <c r="W933" s="5" t="s">
        <v>72</v>
      </c>
      <c r="X933" s="5" t="s">
        <v>72</v>
      </c>
      <c r="Y933" s="4">
        <v>266</v>
      </c>
      <c r="Z933" s="4">
        <v>18</v>
      </c>
      <c r="AA933" s="4">
        <v>21</v>
      </c>
      <c r="AB933" s="4">
        <v>2</v>
      </c>
      <c r="AC933" s="4">
        <v>5</v>
      </c>
      <c r="AD933" s="4">
        <v>84</v>
      </c>
      <c r="AE933" s="4">
        <v>87</v>
      </c>
      <c r="AF933" s="4">
        <v>1</v>
      </c>
      <c r="AG933" s="4">
        <v>4</v>
      </c>
      <c r="AH933" s="4">
        <v>76</v>
      </c>
      <c r="AI933" s="4">
        <v>77</v>
      </c>
      <c r="AJ933" s="4">
        <v>11</v>
      </c>
      <c r="AK933" s="4">
        <v>13</v>
      </c>
      <c r="AL933" s="4">
        <v>41</v>
      </c>
      <c r="AM933" s="4">
        <v>41</v>
      </c>
      <c r="AN933" s="4">
        <v>0</v>
      </c>
      <c r="AO933" s="4">
        <v>0</v>
      </c>
      <c r="AP933" s="4">
        <v>14</v>
      </c>
      <c r="AQ933" s="4">
        <v>16</v>
      </c>
      <c r="AR933" s="3" t="s">
        <v>64</v>
      </c>
      <c r="AS933" s="3" t="s">
        <v>64</v>
      </c>
      <c r="AT933" s="3" t="s">
        <v>128</v>
      </c>
      <c r="AU933" s="6" t="str">
        <f>HYPERLINK("http://catalog.hathitrust.org/Record/004199891","HathiTrust Record")</f>
        <v>HathiTrust Record</v>
      </c>
      <c r="AV933" s="6" t="str">
        <f>HYPERLINK("http://mcgill.on.worldcat.org/oclc/45207939","Catalog Record")</f>
        <v>Catalog Record</v>
      </c>
      <c r="AW933" s="6" t="str">
        <f>HYPERLINK("http://www.worldcat.org/oclc/45207939","WorldCat Record")</f>
        <v>WorldCat Record</v>
      </c>
      <c r="AX933" s="3" t="s">
        <v>9207</v>
      </c>
      <c r="AY933" s="3" t="s">
        <v>9208</v>
      </c>
      <c r="AZ933" s="3" t="s">
        <v>9209</v>
      </c>
      <c r="BA933" s="3" t="s">
        <v>9209</v>
      </c>
      <c r="BB933" s="3" t="s">
        <v>9210</v>
      </c>
      <c r="BC933" s="3" t="s">
        <v>77</v>
      </c>
      <c r="BD933" s="3" t="s">
        <v>78</v>
      </c>
      <c r="BE933" s="3" t="s">
        <v>9211</v>
      </c>
      <c r="BF933" s="3" t="s">
        <v>9210</v>
      </c>
      <c r="BG933" s="3" t="s">
        <v>9212</v>
      </c>
      <c r="BH933">
        <f t="shared" si="28"/>
        <v>0</v>
      </c>
    </row>
    <row r="934" spans="1:60" ht="72.5" x14ac:dyDescent="0.35">
      <c r="A934" s="2" t="s">
        <v>59</v>
      </c>
      <c r="B934" s="2" t="s">
        <v>60</v>
      </c>
      <c r="C934" s="2" t="s">
        <v>9213</v>
      </c>
      <c r="D934" s="2" t="s">
        <v>9214</v>
      </c>
      <c r="E934" s="2" t="s">
        <v>9215</v>
      </c>
      <c r="G934" s="3" t="s">
        <v>64</v>
      </c>
      <c r="I934" s="3" t="s">
        <v>64</v>
      </c>
      <c r="J934" s="3" t="s">
        <v>64</v>
      </c>
      <c r="K934" s="3" t="s">
        <v>65</v>
      </c>
      <c r="M934" s="2" t="s">
        <v>9216</v>
      </c>
      <c r="N934" s="3" t="s">
        <v>253</v>
      </c>
      <c r="P934" s="3" t="s">
        <v>102</v>
      </c>
      <c r="R934" s="3" t="s">
        <v>70</v>
      </c>
      <c r="S934" s="4">
        <v>0</v>
      </c>
      <c r="T934" s="4">
        <v>0</v>
      </c>
      <c r="W934" s="5" t="s">
        <v>72</v>
      </c>
      <c r="X934" s="5" t="s">
        <v>72</v>
      </c>
      <c r="Y934" s="4">
        <v>58</v>
      </c>
      <c r="Z934" s="4">
        <v>4</v>
      </c>
      <c r="AA934" s="4">
        <v>6</v>
      </c>
      <c r="AB934" s="4">
        <v>1</v>
      </c>
      <c r="AC934" s="4">
        <v>3</v>
      </c>
      <c r="AD934" s="4">
        <v>25</v>
      </c>
      <c r="AE934" s="4">
        <v>27</v>
      </c>
      <c r="AF934" s="4">
        <v>0</v>
      </c>
      <c r="AG934" s="4">
        <v>0</v>
      </c>
      <c r="AH934" s="4">
        <v>24</v>
      </c>
      <c r="AI934" s="4">
        <v>26</v>
      </c>
      <c r="AJ934" s="4">
        <v>3</v>
      </c>
      <c r="AK934" s="4">
        <v>3</v>
      </c>
      <c r="AL934" s="4">
        <v>15</v>
      </c>
      <c r="AM934" s="4">
        <v>16</v>
      </c>
      <c r="AN934" s="4">
        <v>0</v>
      </c>
      <c r="AO934" s="4">
        <v>0</v>
      </c>
      <c r="AP934" s="4">
        <v>3</v>
      </c>
      <c r="AQ934" s="4">
        <v>3</v>
      </c>
      <c r="AR934" s="3" t="s">
        <v>64</v>
      </c>
      <c r="AS934" s="3" t="s">
        <v>64</v>
      </c>
      <c r="AT934" s="3" t="s">
        <v>64</v>
      </c>
      <c r="AV934" s="6" t="str">
        <f>HYPERLINK("http://mcgill.on.worldcat.org/oclc/908146046","Catalog Record")</f>
        <v>Catalog Record</v>
      </c>
      <c r="AW934" s="6" t="str">
        <f>HYPERLINK("http://www.worldcat.org/oclc/908146046","WorldCat Record")</f>
        <v>WorldCat Record</v>
      </c>
      <c r="AX934" s="3" t="s">
        <v>9217</v>
      </c>
      <c r="AY934" s="3" t="s">
        <v>9218</v>
      </c>
      <c r="AZ934" s="3" t="s">
        <v>9219</v>
      </c>
      <c r="BA934" s="3" t="s">
        <v>9219</v>
      </c>
      <c r="BB934" s="3" t="s">
        <v>9220</v>
      </c>
      <c r="BC934" s="3" t="s">
        <v>77</v>
      </c>
      <c r="BD934" s="3" t="s">
        <v>78</v>
      </c>
      <c r="BE934" s="3" t="s">
        <v>9221</v>
      </c>
      <c r="BF934" s="3" t="s">
        <v>9220</v>
      </c>
      <c r="BG934" s="3" t="s">
        <v>9222</v>
      </c>
      <c r="BH934">
        <f t="shared" si="28"/>
        <v>0</v>
      </c>
    </row>
    <row r="935" spans="1:60" ht="58" x14ac:dyDescent="0.35">
      <c r="A935" s="2" t="s">
        <v>59</v>
      </c>
      <c r="B935" s="2" t="s">
        <v>60</v>
      </c>
      <c r="C935" s="2" t="s">
        <v>9223</v>
      </c>
      <c r="D935" s="2" t="s">
        <v>9224</v>
      </c>
      <c r="E935" s="2" t="s">
        <v>9225</v>
      </c>
      <c r="G935" s="3" t="s">
        <v>64</v>
      </c>
      <c r="I935" s="3" t="s">
        <v>64</v>
      </c>
      <c r="J935" s="3" t="s">
        <v>64</v>
      </c>
      <c r="K935" s="3" t="s">
        <v>65</v>
      </c>
      <c r="M935" s="2" t="s">
        <v>9226</v>
      </c>
      <c r="N935" s="3" t="s">
        <v>511</v>
      </c>
      <c r="P935" s="3" t="s">
        <v>102</v>
      </c>
      <c r="Q935" s="2" t="s">
        <v>8510</v>
      </c>
      <c r="R935" s="3" t="s">
        <v>70</v>
      </c>
      <c r="S935" s="4">
        <v>1</v>
      </c>
      <c r="T935" s="4">
        <v>1</v>
      </c>
      <c r="U935" s="5" t="s">
        <v>9227</v>
      </c>
      <c r="V935" s="5" t="s">
        <v>9227</v>
      </c>
      <c r="W935" s="5" t="s">
        <v>72</v>
      </c>
      <c r="X935" s="5" t="s">
        <v>72</v>
      </c>
      <c r="Y935" s="4">
        <v>72</v>
      </c>
      <c r="Z935" s="4">
        <v>10</v>
      </c>
      <c r="AA935" s="4">
        <v>25</v>
      </c>
      <c r="AB935" s="4">
        <v>1</v>
      </c>
      <c r="AC935" s="4">
        <v>5</v>
      </c>
      <c r="AD935" s="4">
        <v>30</v>
      </c>
      <c r="AE935" s="4">
        <v>56</v>
      </c>
      <c r="AF935" s="4">
        <v>0</v>
      </c>
      <c r="AG935" s="4">
        <v>2</v>
      </c>
      <c r="AH935" s="4">
        <v>28</v>
      </c>
      <c r="AI935" s="4">
        <v>46</v>
      </c>
      <c r="AJ935" s="4">
        <v>6</v>
      </c>
      <c r="AK935" s="4">
        <v>12</v>
      </c>
      <c r="AL935" s="4">
        <v>20</v>
      </c>
      <c r="AM935" s="4">
        <v>27</v>
      </c>
      <c r="AN935" s="4">
        <v>0</v>
      </c>
      <c r="AO935" s="4">
        <v>0</v>
      </c>
      <c r="AP935" s="4">
        <v>7</v>
      </c>
      <c r="AQ935" s="4">
        <v>15</v>
      </c>
      <c r="AR935" s="3" t="s">
        <v>64</v>
      </c>
      <c r="AS935" s="3" t="s">
        <v>64</v>
      </c>
      <c r="AT935" s="3" t="s">
        <v>64</v>
      </c>
      <c r="AV935" s="6" t="str">
        <f>HYPERLINK("http://mcgill.on.worldcat.org/oclc/280426606","Catalog Record")</f>
        <v>Catalog Record</v>
      </c>
      <c r="AW935" s="6" t="str">
        <f>HYPERLINK("http://www.worldcat.org/oclc/280426606","WorldCat Record")</f>
        <v>WorldCat Record</v>
      </c>
      <c r="AX935" s="3" t="s">
        <v>9228</v>
      </c>
      <c r="AY935" s="3" t="s">
        <v>9229</v>
      </c>
      <c r="AZ935" s="3" t="s">
        <v>9230</v>
      </c>
      <c r="BA935" s="3" t="s">
        <v>9230</v>
      </c>
      <c r="BB935" s="3" t="s">
        <v>9231</v>
      </c>
      <c r="BC935" s="3" t="s">
        <v>77</v>
      </c>
      <c r="BD935" s="3" t="s">
        <v>78</v>
      </c>
      <c r="BE935" s="3" t="s">
        <v>9232</v>
      </c>
      <c r="BF935" s="3" t="s">
        <v>9231</v>
      </c>
      <c r="BG935" s="3" t="s">
        <v>9233</v>
      </c>
      <c r="BH935">
        <f t="shared" si="28"/>
        <v>0</v>
      </c>
    </row>
    <row r="936" spans="1:60" ht="58" x14ac:dyDescent="0.35">
      <c r="A936" s="2" t="s">
        <v>59</v>
      </c>
      <c r="B936" s="2" t="s">
        <v>60</v>
      </c>
      <c r="C936" s="2" t="s">
        <v>9234</v>
      </c>
      <c r="D936" s="2" t="s">
        <v>9235</v>
      </c>
      <c r="E936" s="2" t="s">
        <v>9236</v>
      </c>
      <c r="G936" s="3" t="s">
        <v>64</v>
      </c>
      <c r="I936" s="3" t="s">
        <v>64</v>
      </c>
      <c r="J936" s="3" t="s">
        <v>64</v>
      </c>
      <c r="K936" s="3" t="s">
        <v>65</v>
      </c>
      <c r="L936" s="2" t="s">
        <v>9237</v>
      </c>
      <c r="M936" s="2" t="s">
        <v>9238</v>
      </c>
      <c r="N936" s="3" t="s">
        <v>979</v>
      </c>
      <c r="P936" s="3" t="s">
        <v>102</v>
      </c>
      <c r="R936" s="3" t="s">
        <v>70</v>
      </c>
      <c r="S936" s="4">
        <v>1</v>
      </c>
      <c r="T936" s="4">
        <v>1</v>
      </c>
      <c r="U936" s="5" t="s">
        <v>9239</v>
      </c>
      <c r="V936" s="5" t="s">
        <v>9239</v>
      </c>
      <c r="W936" s="5" t="s">
        <v>72</v>
      </c>
      <c r="X936" s="5" t="s">
        <v>72</v>
      </c>
      <c r="Y936" s="4">
        <v>279</v>
      </c>
      <c r="Z936" s="4">
        <v>17</v>
      </c>
      <c r="AA936" s="4">
        <v>20</v>
      </c>
      <c r="AB936" s="4">
        <v>2</v>
      </c>
      <c r="AC936" s="4">
        <v>3</v>
      </c>
      <c r="AD936" s="4">
        <v>86</v>
      </c>
      <c r="AE936" s="4">
        <v>89</v>
      </c>
      <c r="AF936" s="4">
        <v>1</v>
      </c>
      <c r="AG936" s="4">
        <v>2</v>
      </c>
      <c r="AH936" s="4">
        <v>75</v>
      </c>
      <c r="AI936" s="4">
        <v>76</v>
      </c>
      <c r="AJ936" s="4">
        <v>12</v>
      </c>
      <c r="AK936" s="4">
        <v>14</v>
      </c>
      <c r="AL936" s="4">
        <v>42</v>
      </c>
      <c r="AM936" s="4">
        <v>44</v>
      </c>
      <c r="AN936" s="4">
        <v>0</v>
      </c>
      <c r="AO936" s="4">
        <v>0</v>
      </c>
      <c r="AP936" s="4">
        <v>15</v>
      </c>
      <c r="AQ936" s="4">
        <v>16</v>
      </c>
      <c r="AR936" s="3" t="s">
        <v>64</v>
      </c>
      <c r="AS936" s="3" t="s">
        <v>64</v>
      </c>
      <c r="AT936" s="3" t="s">
        <v>128</v>
      </c>
      <c r="AU936" s="6" t="str">
        <f>HYPERLINK("http://catalog.hathitrust.org/Record/004170287","HathiTrust Record")</f>
        <v>HathiTrust Record</v>
      </c>
      <c r="AV936" s="6" t="str">
        <f>HYPERLINK("http://mcgill.on.worldcat.org/oclc/44066756","Catalog Record")</f>
        <v>Catalog Record</v>
      </c>
      <c r="AW936" s="6" t="str">
        <f>HYPERLINK("http://www.worldcat.org/oclc/44066756","WorldCat Record")</f>
        <v>WorldCat Record</v>
      </c>
      <c r="AX936" s="3" t="s">
        <v>9240</v>
      </c>
      <c r="AY936" s="3" t="s">
        <v>9241</v>
      </c>
      <c r="AZ936" s="3" t="s">
        <v>9242</v>
      </c>
      <c r="BA936" s="3" t="s">
        <v>9242</v>
      </c>
      <c r="BB936" s="3" t="s">
        <v>9243</v>
      </c>
      <c r="BC936" s="3" t="s">
        <v>77</v>
      </c>
      <c r="BD936" s="3" t="s">
        <v>78</v>
      </c>
      <c r="BE936" s="3" t="s">
        <v>9244</v>
      </c>
      <c r="BF936" s="3" t="s">
        <v>9243</v>
      </c>
      <c r="BG936" s="3" t="s">
        <v>9245</v>
      </c>
      <c r="BH936">
        <f t="shared" si="28"/>
        <v>0</v>
      </c>
    </row>
    <row r="937" spans="1:60" ht="58" x14ac:dyDescent="0.35">
      <c r="A937" s="2" t="s">
        <v>59</v>
      </c>
      <c r="B937" s="2" t="s">
        <v>60</v>
      </c>
      <c r="C937" s="2" t="s">
        <v>9246</v>
      </c>
      <c r="D937" s="2" t="s">
        <v>9247</v>
      </c>
      <c r="E937" s="2" t="s">
        <v>9248</v>
      </c>
      <c r="F937" s="3" t="s">
        <v>529</v>
      </c>
      <c r="G937" s="3" t="s">
        <v>128</v>
      </c>
      <c r="I937" s="3" t="s">
        <v>64</v>
      </c>
      <c r="J937" s="3" t="s">
        <v>64</v>
      </c>
      <c r="K937" s="3" t="s">
        <v>65</v>
      </c>
      <c r="M937" s="2" t="s">
        <v>9249</v>
      </c>
      <c r="N937" s="3" t="s">
        <v>326</v>
      </c>
      <c r="P937" s="3" t="s">
        <v>102</v>
      </c>
      <c r="R937" s="3" t="s">
        <v>70</v>
      </c>
      <c r="S937" s="4">
        <v>3</v>
      </c>
      <c r="T937" s="4">
        <v>6</v>
      </c>
      <c r="U937" s="5" t="s">
        <v>512</v>
      </c>
      <c r="V937" s="5" t="s">
        <v>512</v>
      </c>
      <c r="W937" s="5" t="s">
        <v>72</v>
      </c>
      <c r="X937" s="5" t="s">
        <v>72</v>
      </c>
      <c r="Y937" s="4">
        <v>87</v>
      </c>
      <c r="Z937" s="4">
        <v>13</v>
      </c>
      <c r="AA937" s="4">
        <v>18</v>
      </c>
      <c r="AB937" s="4">
        <v>1</v>
      </c>
      <c r="AC937" s="4">
        <v>4</v>
      </c>
      <c r="AD937" s="4">
        <v>44</v>
      </c>
      <c r="AE937" s="4">
        <v>54</v>
      </c>
      <c r="AF937" s="4">
        <v>0</v>
      </c>
      <c r="AG937" s="4">
        <v>1</v>
      </c>
      <c r="AH937" s="4">
        <v>40</v>
      </c>
      <c r="AI937" s="4">
        <v>47</v>
      </c>
      <c r="AJ937" s="4">
        <v>9</v>
      </c>
      <c r="AK937" s="4">
        <v>11</v>
      </c>
      <c r="AL937" s="4">
        <v>27</v>
      </c>
      <c r="AM937" s="4">
        <v>32</v>
      </c>
      <c r="AN937" s="4">
        <v>0</v>
      </c>
      <c r="AO937" s="4">
        <v>0</v>
      </c>
      <c r="AP937" s="4">
        <v>9</v>
      </c>
      <c r="AQ937" s="4">
        <v>11</v>
      </c>
      <c r="AR937" s="3" t="s">
        <v>64</v>
      </c>
      <c r="AS937" s="3" t="s">
        <v>64</v>
      </c>
      <c r="AT937" s="3" t="s">
        <v>64</v>
      </c>
      <c r="AV937" s="6" t="str">
        <f>HYPERLINK("http://mcgill.on.worldcat.org/oclc/698360124","Catalog Record")</f>
        <v>Catalog Record</v>
      </c>
      <c r="AW937" s="6" t="str">
        <f>HYPERLINK("http://www.worldcat.org/oclc/698360124","WorldCat Record")</f>
        <v>WorldCat Record</v>
      </c>
      <c r="AX937" s="3" t="s">
        <v>9250</v>
      </c>
      <c r="AY937" s="3" t="s">
        <v>9251</v>
      </c>
      <c r="AZ937" s="3" t="s">
        <v>9252</v>
      </c>
      <c r="BA937" s="3" t="s">
        <v>9252</v>
      </c>
      <c r="BB937" s="3" t="s">
        <v>9253</v>
      </c>
      <c r="BC937" s="3" t="s">
        <v>77</v>
      </c>
      <c r="BD937" s="3" t="s">
        <v>78</v>
      </c>
      <c r="BE937" s="3" t="s">
        <v>9254</v>
      </c>
      <c r="BF937" s="3" t="s">
        <v>9253</v>
      </c>
      <c r="BG937" s="3" t="s">
        <v>9255</v>
      </c>
      <c r="BH937">
        <f t="shared" si="28"/>
        <v>0</v>
      </c>
    </row>
    <row r="938" spans="1:60" ht="58" x14ac:dyDescent="0.35">
      <c r="A938" s="2" t="s">
        <v>59</v>
      </c>
      <c r="B938" s="2" t="s">
        <v>60</v>
      </c>
      <c r="C938" s="2" t="s">
        <v>9246</v>
      </c>
      <c r="D938" s="2" t="s">
        <v>9247</v>
      </c>
      <c r="E938" s="2" t="s">
        <v>9248</v>
      </c>
      <c r="F938" s="3" t="s">
        <v>525</v>
      </c>
      <c r="G938" s="3" t="s">
        <v>128</v>
      </c>
      <c r="I938" s="3" t="s">
        <v>64</v>
      </c>
      <c r="J938" s="3" t="s">
        <v>64</v>
      </c>
      <c r="K938" s="3" t="s">
        <v>65</v>
      </c>
      <c r="M938" s="2" t="s">
        <v>9249</v>
      </c>
      <c r="N938" s="3" t="s">
        <v>326</v>
      </c>
      <c r="P938" s="3" t="s">
        <v>102</v>
      </c>
      <c r="R938" s="3" t="s">
        <v>70</v>
      </c>
      <c r="S938" s="4">
        <v>3</v>
      </c>
      <c r="T938" s="4">
        <v>6</v>
      </c>
      <c r="U938" s="5" t="s">
        <v>512</v>
      </c>
      <c r="V938" s="5" t="s">
        <v>512</v>
      </c>
      <c r="W938" s="5" t="s">
        <v>72</v>
      </c>
      <c r="X938" s="5" t="s">
        <v>72</v>
      </c>
      <c r="Y938" s="4">
        <v>87</v>
      </c>
      <c r="Z938" s="4">
        <v>13</v>
      </c>
      <c r="AA938" s="4">
        <v>18</v>
      </c>
      <c r="AB938" s="4">
        <v>1</v>
      </c>
      <c r="AC938" s="4">
        <v>4</v>
      </c>
      <c r="AD938" s="4">
        <v>44</v>
      </c>
      <c r="AE938" s="4">
        <v>54</v>
      </c>
      <c r="AF938" s="4">
        <v>0</v>
      </c>
      <c r="AG938" s="4">
        <v>1</v>
      </c>
      <c r="AH938" s="4">
        <v>40</v>
      </c>
      <c r="AI938" s="4">
        <v>47</v>
      </c>
      <c r="AJ938" s="4">
        <v>9</v>
      </c>
      <c r="AK938" s="4">
        <v>11</v>
      </c>
      <c r="AL938" s="4">
        <v>27</v>
      </c>
      <c r="AM938" s="4">
        <v>32</v>
      </c>
      <c r="AN938" s="4">
        <v>0</v>
      </c>
      <c r="AO938" s="4">
        <v>0</v>
      </c>
      <c r="AP938" s="4">
        <v>9</v>
      </c>
      <c r="AQ938" s="4">
        <v>11</v>
      </c>
      <c r="AR938" s="3" t="s">
        <v>64</v>
      </c>
      <c r="AS938" s="3" t="s">
        <v>64</v>
      </c>
      <c r="AT938" s="3" t="s">
        <v>64</v>
      </c>
      <c r="AV938" s="6" t="str">
        <f>HYPERLINK("http://mcgill.on.worldcat.org/oclc/698360124","Catalog Record")</f>
        <v>Catalog Record</v>
      </c>
      <c r="AW938" s="6" t="str">
        <f>HYPERLINK("http://www.worldcat.org/oclc/698360124","WorldCat Record")</f>
        <v>WorldCat Record</v>
      </c>
      <c r="AX938" s="3" t="s">
        <v>9250</v>
      </c>
      <c r="AY938" s="3" t="s">
        <v>9251</v>
      </c>
      <c r="AZ938" s="3" t="s">
        <v>9252</v>
      </c>
      <c r="BA938" s="3" t="s">
        <v>9252</v>
      </c>
      <c r="BB938" s="3" t="s">
        <v>9256</v>
      </c>
      <c r="BC938" s="3" t="s">
        <v>77</v>
      </c>
      <c r="BD938" s="3" t="s">
        <v>78</v>
      </c>
      <c r="BE938" s="3" t="s">
        <v>9254</v>
      </c>
      <c r="BF938" s="3" t="s">
        <v>9256</v>
      </c>
      <c r="BG938" s="3" t="s">
        <v>9257</v>
      </c>
      <c r="BH938">
        <f t="shared" si="28"/>
        <v>0</v>
      </c>
    </row>
    <row r="939" spans="1:60" ht="58" x14ac:dyDescent="0.35">
      <c r="A939" s="2" t="s">
        <v>59</v>
      </c>
      <c r="B939" s="2" t="s">
        <v>60</v>
      </c>
      <c r="C939" s="2" t="s">
        <v>9258</v>
      </c>
      <c r="D939" s="2" t="s">
        <v>9259</v>
      </c>
      <c r="E939" s="2" t="s">
        <v>9260</v>
      </c>
      <c r="G939" s="3" t="s">
        <v>64</v>
      </c>
      <c r="I939" s="3" t="s">
        <v>64</v>
      </c>
      <c r="J939" s="3" t="s">
        <v>64</v>
      </c>
      <c r="K939" s="3" t="s">
        <v>65</v>
      </c>
      <c r="L939" s="2" t="s">
        <v>9261</v>
      </c>
      <c r="M939" s="2" t="s">
        <v>9262</v>
      </c>
      <c r="N939" s="3" t="s">
        <v>253</v>
      </c>
      <c r="P939" s="3" t="s">
        <v>102</v>
      </c>
      <c r="R939" s="3" t="s">
        <v>70</v>
      </c>
      <c r="S939" s="4">
        <v>1</v>
      </c>
      <c r="T939" s="4">
        <v>1</v>
      </c>
      <c r="U939" s="5" t="s">
        <v>9263</v>
      </c>
      <c r="V939" s="5" t="s">
        <v>9263</v>
      </c>
      <c r="W939" s="5" t="s">
        <v>72</v>
      </c>
      <c r="X939" s="5" t="s">
        <v>72</v>
      </c>
      <c r="Y939" s="4">
        <v>115</v>
      </c>
      <c r="Z939" s="4">
        <v>8</v>
      </c>
      <c r="AA939" s="4">
        <v>42</v>
      </c>
      <c r="AB939" s="4">
        <v>1</v>
      </c>
      <c r="AC939" s="4">
        <v>5</v>
      </c>
      <c r="AD939" s="4">
        <v>42</v>
      </c>
      <c r="AE939" s="4">
        <v>66</v>
      </c>
      <c r="AF939" s="4">
        <v>0</v>
      </c>
      <c r="AG939" s="4">
        <v>2</v>
      </c>
      <c r="AH939" s="4">
        <v>39</v>
      </c>
      <c r="AI939" s="4">
        <v>54</v>
      </c>
      <c r="AJ939" s="4">
        <v>4</v>
      </c>
      <c r="AK939" s="4">
        <v>11</v>
      </c>
      <c r="AL939" s="4">
        <v>29</v>
      </c>
      <c r="AM939" s="4">
        <v>33</v>
      </c>
      <c r="AN939" s="4">
        <v>0</v>
      </c>
      <c r="AO939" s="4">
        <v>0</v>
      </c>
      <c r="AP939" s="4">
        <v>4</v>
      </c>
      <c r="AQ939" s="4">
        <v>16</v>
      </c>
      <c r="AR939" s="3" t="s">
        <v>64</v>
      </c>
      <c r="AS939" s="3" t="s">
        <v>64</v>
      </c>
      <c r="AT939" s="3" t="s">
        <v>64</v>
      </c>
      <c r="AV939" s="6" t="str">
        <f>HYPERLINK("http://mcgill.on.worldcat.org/oclc/885313482","Catalog Record")</f>
        <v>Catalog Record</v>
      </c>
      <c r="AW939" s="6" t="str">
        <f>HYPERLINK("http://www.worldcat.org/oclc/885313482","WorldCat Record")</f>
        <v>WorldCat Record</v>
      </c>
      <c r="AX939" s="3" t="s">
        <v>9264</v>
      </c>
      <c r="AY939" s="3" t="s">
        <v>9265</v>
      </c>
      <c r="AZ939" s="3" t="s">
        <v>9266</v>
      </c>
      <c r="BA939" s="3" t="s">
        <v>9266</v>
      </c>
      <c r="BB939" s="3" t="s">
        <v>9267</v>
      </c>
      <c r="BC939" s="3" t="s">
        <v>77</v>
      </c>
      <c r="BD939" s="3" t="s">
        <v>78</v>
      </c>
      <c r="BE939" s="3" t="s">
        <v>9268</v>
      </c>
      <c r="BF939" s="3" t="s">
        <v>9267</v>
      </c>
      <c r="BG939" s="3" t="s">
        <v>9269</v>
      </c>
      <c r="BH939">
        <f t="shared" si="28"/>
        <v>0</v>
      </c>
    </row>
    <row r="940" spans="1:60" ht="58" x14ac:dyDescent="0.35">
      <c r="A940" s="2" t="s">
        <v>59</v>
      </c>
      <c r="B940" s="2" t="s">
        <v>60</v>
      </c>
      <c r="C940" s="2" t="s">
        <v>9270</v>
      </c>
      <c r="D940" s="2" t="s">
        <v>9271</v>
      </c>
      <c r="E940" s="2" t="s">
        <v>9272</v>
      </c>
      <c r="G940" s="3" t="s">
        <v>64</v>
      </c>
      <c r="I940" s="3" t="s">
        <v>64</v>
      </c>
      <c r="J940" s="3" t="s">
        <v>64</v>
      </c>
      <c r="K940" s="3" t="s">
        <v>65</v>
      </c>
      <c r="L940" s="2" t="s">
        <v>9273</v>
      </c>
      <c r="M940" s="2" t="s">
        <v>9274</v>
      </c>
      <c r="N940" s="3" t="s">
        <v>253</v>
      </c>
      <c r="P940" s="3" t="s">
        <v>102</v>
      </c>
      <c r="Q940" s="2" t="s">
        <v>9275</v>
      </c>
      <c r="R940" s="3" t="s">
        <v>70</v>
      </c>
      <c r="S940" s="4">
        <v>4</v>
      </c>
      <c r="T940" s="4">
        <v>4</v>
      </c>
      <c r="U940" s="5" t="s">
        <v>5963</v>
      </c>
      <c r="V940" s="5" t="s">
        <v>5963</v>
      </c>
      <c r="W940" s="5" t="s">
        <v>72</v>
      </c>
      <c r="X940" s="5" t="s">
        <v>72</v>
      </c>
      <c r="Y940" s="4">
        <v>66</v>
      </c>
      <c r="Z940" s="4">
        <v>3</v>
      </c>
      <c r="AA940" s="4">
        <v>35</v>
      </c>
      <c r="AB940" s="4">
        <v>1</v>
      </c>
      <c r="AC940" s="4">
        <v>4</v>
      </c>
      <c r="AD940" s="4">
        <v>24</v>
      </c>
      <c r="AE940" s="4">
        <v>40</v>
      </c>
      <c r="AF940" s="4">
        <v>0</v>
      </c>
      <c r="AG940" s="4">
        <v>0</v>
      </c>
      <c r="AH940" s="4">
        <v>23</v>
      </c>
      <c r="AI940" s="4">
        <v>31</v>
      </c>
      <c r="AJ940" s="4">
        <v>1</v>
      </c>
      <c r="AK940" s="4">
        <v>4</v>
      </c>
      <c r="AL940" s="4">
        <v>19</v>
      </c>
      <c r="AM940" s="4">
        <v>22</v>
      </c>
      <c r="AN940" s="4">
        <v>0</v>
      </c>
      <c r="AO940" s="4">
        <v>0</v>
      </c>
      <c r="AP940" s="4">
        <v>1</v>
      </c>
      <c r="AQ940" s="4">
        <v>9</v>
      </c>
      <c r="AR940" s="3" t="s">
        <v>64</v>
      </c>
      <c r="AS940" s="3" t="s">
        <v>64</v>
      </c>
      <c r="AT940" s="3" t="s">
        <v>64</v>
      </c>
      <c r="AV940" s="6" t="str">
        <f>HYPERLINK("http://mcgill.on.worldcat.org/oclc/919451917","Catalog Record")</f>
        <v>Catalog Record</v>
      </c>
      <c r="AW940" s="6" t="str">
        <f>HYPERLINK("http://www.worldcat.org/oclc/919451917","WorldCat Record")</f>
        <v>WorldCat Record</v>
      </c>
      <c r="AX940" s="3" t="s">
        <v>9276</v>
      </c>
      <c r="AY940" s="3" t="s">
        <v>9277</v>
      </c>
      <c r="AZ940" s="3" t="s">
        <v>9278</v>
      </c>
      <c r="BA940" s="3" t="s">
        <v>9278</v>
      </c>
      <c r="BB940" s="3" t="s">
        <v>9279</v>
      </c>
      <c r="BC940" s="3" t="s">
        <v>77</v>
      </c>
      <c r="BD940" s="3" t="s">
        <v>78</v>
      </c>
      <c r="BE940" s="3" t="s">
        <v>9280</v>
      </c>
      <c r="BF940" s="3" t="s">
        <v>9279</v>
      </c>
      <c r="BG940" s="3" t="s">
        <v>9281</v>
      </c>
      <c r="BH940">
        <f t="shared" si="28"/>
        <v>0</v>
      </c>
    </row>
    <row r="941" spans="1:60" ht="58" x14ac:dyDescent="0.35">
      <c r="A941" s="2" t="s">
        <v>59</v>
      </c>
      <c r="B941" s="2" t="s">
        <v>60</v>
      </c>
      <c r="C941" s="2" t="s">
        <v>9282</v>
      </c>
      <c r="D941" s="2" t="s">
        <v>9283</v>
      </c>
      <c r="E941" s="2" t="s">
        <v>9284</v>
      </c>
      <c r="G941" s="3" t="s">
        <v>64</v>
      </c>
      <c r="I941" s="3" t="s">
        <v>64</v>
      </c>
      <c r="J941" s="3" t="s">
        <v>64</v>
      </c>
      <c r="K941" s="3" t="s">
        <v>65</v>
      </c>
      <c r="L941" s="2" t="s">
        <v>9285</v>
      </c>
      <c r="M941" s="2" t="s">
        <v>1527</v>
      </c>
      <c r="N941" s="3" t="s">
        <v>537</v>
      </c>
      <c r="P941" s="3" t="s">
        <v>102</v>
      </c>
      <c r="Q941" s="2" t="s">
        <v>9286</v>
      </c>
      <c r="R941" s="3" t="s">
        <v>70</v>
      </c>
      <c r="S941" s="4">
        <v>1</v>
      </c>
      <c r="T941" s="4">
        <v>1</v>
      </c>
      <c r="U941" s="5" t="s">
        <v>9287</v>
      </c>
      <c r="V941" s="5" t="s">
        <v>9287</v>
      </c>
      <c r="W941" s="5" t="s">
        <v>72</v>
      </c>
      <c r="X941" s="5" t="s">
        <v>72</v>
      </c>
      <c r="Y941" s="4">
        <v>50</v>
      </c>
      <c r="Z941" s="4">
        <v>4</v>
      </c>
      <c r="AA941" s="4">
        <v>69</v>
      </c>
      <c r="AB941" s="4">
        <v>1</v>
      </c>
      <c r="AC941" s="4">
        <v>14</v>
      </c>
      <c r="AD941" s="4">
        <v>20</v>
      </c>
      <c r="AE941" s="4">
        <v>89</v>
      </c>
      <c r="AF941" s="4">
        <v>0</v>
      </c>
      <c r="AG941" s="4">
        <v>8</v>
      </c>
      <c r="AH941" s="4">
        <v>19</v>
      </c>
      <c r="AI941" s="4">
        <v>59</v>
      </c>
      <c r="AJ941" s="4">
        <v>1</v>
      </c>
      <c r="AK941" s="4">
        <v>16</v>
      </c>
      <c r="AL941" s="4">
        <v>15</v>
      </c>
      <c r="AM941" s="4">
        <v>33</v>
      </c>
      <c r="AN941" s="4">
        <v>0</v>
      </c>
      <c r="AO941" s="4">
        <v>0</v>
      </c>
      <c r="AP941" s="4">
        <v>1</v>
      </c>
      <c r="AQ941" s="4">
        <v>35</v>
      </c>
      <c r="AR941" s="3" t="s">
        <v>64</v>
      </c>
      <c r="AS941" s="3" t="s">
        <v>64</v>
      </c>
      <c r="AT941" s="3" t="s">
        <v>64</v>
      </c>
      <c r="AV941" s="6" t="str">
        <f>HYPERLINK("http://mcgill.on.worldcat.org/oclc/918591054","Catalog Record")</f>
        <v>Catalog Record</v>
      </c>
      <c r="AW941" s="6" t="str">
        <f>HYPERLINK("http://www.worldcat.org/oclc/918591054","WorldCat Record")</f>
        <v>WorldCat Record</v>
      </c>
      <c r="AX941" s="3" t="s">
        <v>9288</v>
      </c>
      <c r="AY941" s="3" t="s">
        <v>9289</v>
      </c>
      <c r="AZ941" s="3" t="s">
        <v>9290</v>
      </c>
      <c r="BA941" s="3" t="s">
        <v>9290</v>
      </c>
      <c r="BB941" s="3" t="s">
        <v>9291</v>
      </c>
      <c r="BC941" s="3" t="s">
        <v>77</v>
      </c>
      <c r="BD941" s="3" t="s">
        <v>78</v>
      </c>
      <c r="BE941" s="3" t="s">
        <v>9292</v>
      </c>
      <c r="BF941" s="3" t="s">
        <v>9291</v>
      </c>
      <c r="BG941" s="3" t="s">
        <v>9293</v>
      </c>
      <c r="BH941">
        <f t="shared" si="28"/>
        <v>0</v>
      </c>
    </row>
    <row r="942" spans="1:60" ht="58" x14ac:dyDescent="0.35">
      <c r="A942" s="2" t="s">
        <v>59</v>
      </c>
      <c r="B942" s="2" t="s">
        <v>60</v>
      </c>
      <c r="C942" s="2" t="s">
        <v>9294</v>
      </c>
      <c r="D942" s="2" t="s">
        <v>9295</v>
      </c>
      <c r="E942" s="2" t="s">
        <v>9296</v>
      </c>
      <c r="G942" s="3" t="s">
        <v>64</v>
      </c>
      <c r="I942" s="3" t="s">
        <v>64</v>
      </c>
      <c r="J942" s="3" t="s">
        <v>64</v>
      </c>
      <c r="K942" s="3" t="s">
        <v>65</v>
      </c>
      <c r="M942" s="2" t="s">
        <v>9297</v>
      </c>
      <c r="N942" s="3" t="s">
        <v>86</v>
      </c>
      <c r="P942" s="3" t="s">
        <v>68</v>
      </c>
      <c r="Q942" s="2" t="s">
        <v>9298</v>
      </c>
      <c r="R942" s="3" t="s">
        <v>70</v>
      </c>
      <c r="S942" s="4">
        <v>5</v>
      </c>
      <c r="T942" s="4">
        <v>5</v>
      </c>
      <c r="U942" s="5" t="s">
        <v>9299</v>
      </c>
      <c r="V942" s="5" t="s">
        <v>9299</v>
      </c>
      <c r="W942" s="5" t="s">
        <v>72</v>
      </c>
      <c r="X942" s="5" t="s">
        <v>72</v>
      </c>
      <c r="Y942" s="4">
        <v>40</v>
      </c>
      <c r="Z942" s="4">
        <v>8</v>
      </c>
      <c r="AA942" s="4">
        <v>9</v>
      </c>
      <c r="AB942" s="4">
        <v>2</v>
      </c>
      <c r="AC942" s="4">
        <v>2</v>
      </c>
      <c r="AD942" s="4">
        <v>26</v>
      </c>
      <c r="AE942" s="4">
        <v>27</v>
      </c>
      <c r="AF942" s="4">
        <v>1</v>
      </c>
      <c r="AG942" s="4">
        <v>1</v>
      </c>
      <c r="AH942" s="4">
        <v>23</v>
      </c>
      <c r="AI942" s="4">
        <v>24</v>
      </c>
      <c r="AJ942" s="4">
        <v>6</v>
      </c>
      <c r="AK942" s="4">
        <v>7</v>
      </c>
      <c r="AL942" s="4">
        <v>18</v>
      </c>
      <c r="AM942" s="4">
        <v>18</v>
      </c>
      <c r="AN942" s="4">
        <v>5</v>
      </c>
      <c r="AO942" s="4">
        <v>5</v>
      </c>
      <c r="AP942" s="4">
        <v>6</v>
      </c>
      <c r="AQ942" s="4">
        <v>7</v>
      </c>
      <c r="AR942" s="3" t="s">
        <v>64</v>
      </c>
      <c r="AS942" s="3" t="s">
        <v>64</v>
      </c>
      <c r="AT942" s="3" t="s">
        <v>128</v>
      </c>
      <c r="AU942" s="6" t="str">
        <f>HYPERLINK("http://catalog.hathitrust.org/Record/102219939","HathiTrust Record")</f>
        <v>HathiTrust Record</v>
      </c>
      <c r="AV942" s="6" t="str">
        <f>HYPERLINK("http://mcgill.on.worldcat.org/oclc/829104814","Catalog Record")</f>
        <v>Catalog Record</v>
      </c>
      <c r="AW942" s="6" t="str">
        <f>HYPERLINK("http://www.worldcat.org/oclc/829104814","WorldCat Record")</f>
        <v>WorldCat Record</v>
      </c>
      <c r="AX942" s="3" t="s">
        <v>9300</v>
      </c>
      <c r="AY942" s="3" t="s">
        <v>9301</v>
      </c>
      <c r="AZ942" s="3" t="s">
        <v>9302</v>
      </c>
      <c r="BA942" s="3" t="s">
        <v>9302</v>
      </c>
      <c r="BB942" s="3" t="s">
        <v>9303</v>
      </c>
      <c r="BC942" s="3" t="s">
        <v>77</v>
      </c>
      <c r="BD942" s="3" t="s">
        <v>165</v>
      </c>
      <c r="BE942" s="3" t="s">
        <v>9304</v>
      </c>
      <c r="BF942" s="3" t="s">
        <v>9303</v>
      </c>
      <c r="BG942" s="3" t="s">
        <v>9305</v>
      </c>
      <c r="BH942">
        <f t="shared" si="28"/>
        <v>0</v>
      </c>
    </row>
    <row r="943" spans="1:60" ht="58" x14ac:dyDescent="0.35">
      <c r="A943" s="2" t="s">
        <v>59</v>
      </c>
      <c r="B943" s="2" t="s">
        <v>60</v>
      </c>
      <c r="C943" s="2" t="s">
        <v>9306</v>
      </c>
      <c r="D943" s="2" t="s">
        <v>9307</v>
      </c>
      <c r="E943" s="2" t="s">
        <v>9308</v>
      </c>
      <c r="G943" s="3" t="s">
        <v>64</v>
      </c>
      <c r="I943" s="3" t="s">
        <v>64</v>
      </c>
      <c r="J943" s="3" t="s">
        <v>64</v>
      </c>
      <c r="K943" s="3" t="s">
        <v>65</v>
      </c>
      <c r="M943" s="2" t="s">
        <v>9309</v>
      </c>
      <c r="N943" s="3" t="s">
        <v>67</v>
      </c>
      <c r="P943" s="3" t="s">
        <v>102</v>
      </c>
      <c r="Q943" s="2" t="s">
        <v>9310</v>
      </c>
      <c r="R943" s="3" t="s">
        <v>70</v>
      </c>
      <c r="S943" s="4">
        <v>2</v>
      </c>
      <c r="T943" s="4">
        <v>2</v>
      </c>
      <c r="U943" s="5" t="s">
        <v>9311</v>
      </c>
      <c r="V943" s="5" t="s">
        <v>9311</v>
      </c>
      <c r="W943" s="5" t="s">
        <v>72</v>
      </c>
      <c r="X943" s="5" t="s">
        <v>72</v>
      </c>
      <c r="Y943" s="4">
        <v>88</v>
      </c>
      <c r="Z943" s="4">
        <v>7</v>
      </c>
      <c r="AA943" s="4">
        <v>78</v>
      </c>
      <c r="AB943" s="4">
        <v>1</v>
      </c>
      <c r="AC943" s="4">
        <v>14</v>
      </c>
      <c r="AD943" s="4">
        <v>34</v>
      </c>
      <c r="AE943" s="4">
        <v>111</v>
      </c>
      <c r="AF943" s="4">
        <v>0</v>
      </c>
      <c r="AG943" s="4">
        <v>8</v>
      </c>
      <c r="AH943" s="4">
        <v>32</v>
      </c>
      <c r="AI943" s="4">
        <v>78</v>
      </c>
      <c r="AJ943" s="4">
        <v>4</v>
      </c>
      <c r="AK943" s="4">
        <v>19</v>
      </c>
      <c r="AL943" s="4">
        <v>22</v>
      </c>
      <c r="AM943" s="4">
        <v>42</v>
      </c>
      <c r="AN943" s="4">
        <v>0</v>
      </c>
      <c r="AO943" s="4">
        <v>0</v>
      </c>
      <c r="AP943" s="4">
        <v>4</v>
      </c>
      <c r="AQ943" s="4">
        <v>39</v>
      </c>
      <c r="AR943" s="3" t="s">
        <v>64</v>
      </c>
      <c r="AS943" s="3" t="s">
        <v>64</v>
      </c>
      <c r="AT943" s="3" t="s">
        <v>64</v>
      </c>
      <c r="AV943" s="6" t="str">
        <f>HYPERLINK("http://mcgill.on.worldcat.org/oclc/862399727","Catalog Record")</f>
        <v>Catalog Record</v>
      </c>
      <c r="AW943" s="6" t="str">
        <f>HYPERLINK("http://www.worldcat.org/oclc/862399727","WorldCat Record")</f>
        <v>WorldCat Record</v>
      </c>
      <c r="AX943" s="3" t="s">
        <v>9312</v>
      </c>
      <c r="AY943" s="3" t="s">
        <v>9313</v>
      </c>
      <c r="AZ943" s="3" t="s">
        <v>9314</v>
      </c>
      <c r="BA943" s="3" t="s">
        <v>9314</v>
      </c>
      <c r="BB943" s="3" t="s">
        <v>9315</v>
      </c>
      <c r="BC943" s="3" t="s">
        <v>77</v>
      </c>
      <c r="BD943" s="3" t="s">
        <v>78</v>
      </c>
      <c r="BE943" s="3" t="s">
        <v>9316</v>
      </c>
      <c r="BF943" s="3" t="s">
        <v>9315</v>
      </c>
      <c r="BG943" s="3" t="s">
        <v>9317</v>
      </c>
      <c r="BH943">
        <f t="shared" si="28"/>
        <v>0</v>
      </c>
    </row>
    <row r="944" spans="1:60" ht="58" x14ac:dyDescent="0.35">
      <c r="A944" s="2" t="s">
        <v>59</v>
      </c>
      <c r="B944" s="2" t="s">
        <v>60</v>
      </c>
      <c r="C944" s="2" t="s">
        <v>9318</v>
      </c>
      <c r="D944" s="2" t="s">
        <v>9319</v>
      </c>
      <c r="E944" s="2" t="s">
        <v>9320</v>
      </c>
      <c r="G944" s="3" t="s">
        <v>64</v>
      </c>
      <c r="I944" s="3" t="s">
        <v>64</v>
      </c>
      <c r="J944" s="3" t="s">
        <v>64</v>
      </c>
      <c r="K944" s="3" t="s">
        <v>65</v>
      </c>
      <c r="M944" s="2" t="s">
        <v>1527</v>
      </c>
      <c r="N944" s="3" t="s">
        <v>537</v>
      </c>
      <c r="P944" s="3" t="s">
        <v>102</v>
      </c>
      <c r="Q944" s="2" t="s">
        <v>9321</v>
      </c>
      <c r="R944" s="3" t="s">
        <v>70</v>
      </c>
      <c r="S944" s="4">
        <v>0</v>
      </c>
      <c r="T944" s="4">
        <v>0</v>
      </c>
      <c r="W944" s="5" t="s">
        <v>72</v>
      </c>
      <c r="X944" s="5" t="s">
        <v>72</v>
      </c>
      <c r="Y944" s="4">
        <v>82</v>
      </c>
      <c r="Z944" s="4">
        <v>4</v>
      </c>
      <c r="AA944" s="4">
        <v>70</v>
      </c>
      <c r="AB944" s="4">
        <v>1</v>
      </c>
      <c r="AC944" s="4">
        <v>14</v>
      </c>
      <c r="AD944" s="4">
        <v>29</v>
      </c>
      <c r="AE944" s="4">
        <v>91</v>
      </c>
      <c r="AF944" s="4">
        <v>0</v>
      </c>
      <c r="AG944" s="4">
        <v>8</v>
      </c>
      <c r="AH944" s="4">
        <v>27</v>
      </c>
      <c r="AI944" s="4">
        <v>64</v>
      </c>
      <c r="AJ944" s="4">
        <v>2</v>
      </c>
      <c r="AK944" s="4">
        <v>17</v>
      </c>
      <c r="AL944" s="4">
        <v>21</v>
      </c>
      <c r="AM944" s="4">
        <v>32</v>
      </c>
      <c r="AN944" s="4">
        <v>0</v>
      </c>
      <c r="AO944" s="4">
        <v>0</v>
      </c>
      <c r="AP944" s="4">
        <v>2</v>
      </c>
      <c r="AQ944" s="4">
        <v>33</v>
      </c>
      <c r="AR944" s="3" t="s">
        <v>64</v>
      </c>
      <c r="AS944" s="3" t="s">
        <v>64</v>
      </c>
      <c r="AT944" s="3" t="s">
        <v>64</v>
      </c>
      <c r="AV944" s="6" t="str">
        <f>HYPERLINK("http://mcgill.on.worldcat.org/oclc/938394183","Catalog Record")</f>
        <v>Catalog Record</v>
      </c>
      <c r="AW944" s="6" t="str">
        <f>HYPERLINK("http://www.worldcat.org/oclc/938394183","WorldCat Record")</f>
        <v>WorldCat Record</v>
      </c>
      <c r="AX944" s="3" t="s">
        <v>9322</v>
      </c>
      <c r="AY944" s="3" t="s">
        <v>9323</v>
      </c>
      <c r="AZ944" s="3" t="s">
        <v>9324</v>
      </c>
      <c r="BA944" s="3" t="s">
        <v>9324</v>
      </c>
      <c r="BB944" s="3" t="s">
        <v>9325</v>
      </c>
      <c r="BC944" s="3" t="s">
        <v>77</v>
      </c>
      <c r="BD944" s="3" t="s">
        <v>78</v>
      </c>
      <c r="BE944" s="3" t="s">
        <v>9326</v>
      </c>
      <c r="BF944" s="3" t="s">
        <v>9325</v>
      </c>
      <c r="BG944" s="3" t="s">
        <v>9327</v>
      </c>
      <c r="BH944">
        <f t="shared" si="28"/>
        <v>0</v>
      </c>
    </row>
    <row r="945" spans="1:60" ht="58" x14ac:dyDescent="0.35">
      <c r="A945" s="2" t="s">
        <v>59</v>
      </c>
      <c r="B945" s="2" t="s">
        <v>60</v>
      </c>
      <c r="C945" s="2" t="s">
        <v>9328</v>
      </c>
      <c r="D945" s="2" t="s">
        <v>9329</v>
      </c>
      <c r="E945" s="2" t="s">
        <v>9330</v>
      </c>
      <c r="G945" s="3" t="s">
        <v>64</v>
      </c>
      <c r="I945" s="3" t="s">
        <v>64</v>
      </c>
      <c r="J945" s="3" t="s">
        <v>64</v>
      </c>
      <c r="K945" s="3" t="s">
        <v>65</v>
      </c>
      <c r="L945" s="2" t="s">
        <v>9331</v>
      </c>
      <c r="M945" s="2" t="s">
        <v>9332</v>
      </c>
      <c r="N945" s="3" t="s">
        <v>86</v>
      </c>
      <c r="P945" s="3" t="s">
        <v>102</v>
      </c>
      <c r="R945" s="3" t="s">
        <v>70</v>
      </c>
      <c r="S945" s="4">
        <v>3</v>
      </c>
      <c r="T945" s="4">
        <v>3</v>
      </c>
      <c r="U945" s="5" t="s">
        <v>9333</v>
      </c>
      <c r="V945" s="5" t="s">
        <v>9333</v>
      </c>
      <c r="W945" s="5" t="s">
        <v>72</v>
      </c>
      <c r="X945" s="5" t="s">
        <v>72</v>
      </c>
      <c r="Y945" s="4">
        <v>202</v>
      </c>
      <c r="Z945" s="4">
        <v>17</v>
      </c>
      <c r="AA945" s="4">
        <v>105</v>
      </c>
      <c r="AB945" s="4">
        <v>1</v>
      </c>
      <c r="AC945" s="4">
        <v>17</v>
      </c>
      <c r="AD945" s="4">
        <v>73</v>
      </c>
      <c r="AE945" s="4">
        <v>139</v>
      </c>
      <c r="AF945" s="4">
        <v>0</v>
      </c>
      <c r="AG945" s="4">
        <v>8</v>
      </c>
      <c r="AH945" s="4">
        <v>67</v>
      </c>
      <c r="AI945" s="4">
        <v>98</v>
      </c>
      <c r="AJ945" s="4">
        <v>10</v>
      </c>
      <c r="AK945" s="4">
        <v>26</v>
      </c>
      <c r="AL945" s="4">
        <v>43</v>
      </c>
      <c r="AM945" s="4">
        <v>52</v>
      </c>
      <c r="AN945" s="4">
        <v>0</v>
      </c>
      <c r="AO945" s="4">
        <v>0</v>
      </c>
      <c r="AP945" s="4">
        <v>11</v>
      </c>
      <c r="AQ945" s="4">
        <v>50</v>
      </c>
      <c r="AR945" s="3" t="s">
        <v>64</v>
      </c>
      <c r="AS945" s="3" t="s">
        <v>64</v>
      </c>
      <c r="AT945" s="3" t="s">
        <v>64</v>
      </c>
      <c r="AV945" s="6" t="str">
        <f>HYPERLINK("http://mcgill.on.worldcat.org/oclc/758383789","Catalog Record")</f>
        <v>Catalog Record</v>
      </c>
      <c r="AW945" s="6" t="str">
        <f>HYPERLINK("http://www.worldcat.org/oclc/758383789","WorldCat Record")</f>
        <v>WorldCat Record</v>
      </c>
      <c r="AX945" s="3" t="s">
        <v>9334</v>
      </c>
      <c r="AY945" s="3" t="s">
        <v>9335</v>
      </c>
      <c r="AZ945" s="3" t="s">
        <v>9336</v>
      </c>
      <c r="BA945" s="3" t="s">
        <v>9336</v>
      </c>
      <c r="BB945" s="3" t="s">
        <v>9337</v>
      </c>
      <c r="BC945" s="3" t="s">
        <v>77</v>
      </c>
      <c r="BD945" s="3" t="s">
        <v>78</v>
      </c>
      <c r="BE945" s="3" t="s">
        <v>9338</v>
      </c>
      <c r="BF945" s="3" t="s">
        <v>9337</v>
      </c>
      <c r="BG945" s="3" t="s">
        <v>9339</v>
      </c>
      <c r="BH945">
        <f t="shared" si="28"/>
        <v>0</v>
      </c>
    </row>
    <row r="946" spans="1:60" ht="58" x14ac:dyDescent="0.35">
      <c r="A946" s="2" t="s">
        <v>59</v>
      </c>
      <c r="B946" s="2" t="s">
        <v>60</v>
      </c>
      <c r="C946" s="2" t="s">
        <v>9340</v>
      </c>
      <c r="D946" s="2" t="s">
        <v>9341</v>
      </c>
      <c r="E946" s="2" t="s">
        <v>9342</v>
      </c>
      <c r="G946" s="3" t="s">
        <v>64</v>
      </c>
      <c r="I946" s="3" t="s">
        <v>64</v>
      </c>
      <c r="J946" s="3" t="s">
        <v>64</v>
      </c>
      <c r="K946" s="3" t="s">
        <v>65</v>
      </c>
      <c r="L946" s="2" t="s">
        <v>9343</v>
      </c>
      <c r="M946" s="2" t="s">
        <v>9344</v>
      </c>
      <c r="N946" s="3" t="s">
        <v>511</v>
      </c>
      <c r="P946" s="3" t="s">
        <v>102</v>
      </c>
      <c r="R946" s="3" t="s">
        <v>70</v>
      </c>
      <c r="S946" s="4">
        <v>19</v>
      </c>
      <c r="T946" s="4">
        <v>19</v>
      </c>
      <c r="U946" s="5" t="s">
        <v>435</v>
      </c>
      <c r="V946" s="5" t="s">
        <v>435</v>
      </c>
      <c r="W946" s="5" t="s">
        <v>72</v>
      </c>
      <c r="X946" s="5" t="s">
        <v>72</v>
      </c>
      <c r="Y946" s="4">
        <v>1184</v>
      </c>
      <c r="Z946" s="4">
        <v>57</v>
      </c>
      <c r="AA946" s="4">
        <v>78</v>
      </c>
      <c r="AB946" s="4">
        <v>4</v>
      </c>
      <c r="AC946" s="4">
        <v>11</v>
      </c>
      <c r="AD946" s="4">
        <v>126</v>
      </c>
      <c r="AE946" s="4">
        <v>138</v>
      </c>
      <c r="AF946" s="4">
        <v>0</v>
      </c>
      <c r="AG946" s="4">
        <v>4</v>
      </c>
      <c r="AH946" s="4">
        <v>105</v>
      </c>
      <c r="AI946" s="4">
        <v>109</v>
      </c>
      <c r="AJ946" s="4">
        <v>19</v>
      </c>
      <c r="AK946" s="4">
        <v>24</v>
      </c>
      <c r="AL946" s="4">
        <v>55</v>
      </c>
      <c r="AM946" s="4">
        <v>55</v>
      </c>
      <c r="AN946" s="4">
        <v>0</v>
      </c>
      <c r="AO946" s="4">
        <v>0</v>
      </c>
      <c r="AP946" s="4">
        <v>30</v>
      </c>
      <c r="AQ946" s="4">
        <v>39</v>
      </c>
      <c r="AR946" s="3" t="s">
        <v>64</v>
      </c>
      <c r="AS946" s="3" t="s">
        <v>64</v>
      </c>
      <c r="AT946" s="3" t="s">
        <v>64</v>
      </c>
      <c r="AV946" s="6" t="str">
        <f>HYPERLINK("http://mcgill.on.worldcat.org/oclc/424454760","Catalog Record")</f>
        <v>Catalog Record</v>
      </c>
      <c r="AW946" s="6" t="str">
        <f>HYPERLINK("http://www.worldcat.org/oclc/424454760","WorldCat Record")</f>
        <v>WorldCat Record</v>
      </c>
      <c r="AX946" s="3" t="s">
        <v>9345</v>
      </c>
      <c r="AY946" s="3" t="s">
        <v>9346</v>
      </c>
      <c r="AZ946" s="3" t="s">
        <v>9347</v>
      </c>
      <c r="BA946" s="3" t="s">
        <v>9347</v>
      </c>
      <c r="BB946" s="3" t="s">
        <v>9348</v>
      </c>
      <c r="BC946" s="3" t="s">
        <v>77</v>
      </c>
      <c r="BD946" s="3" t="s">
        <v>78</v>
      </c>
      <c r="BE946" s="3" t="s">
        <v>9349</v>
      </c>
      <c r="BF946" s="3" t="s">
        <v>9348</v>
      </c>
      <c r="BG946" s="3" t="s">
        <v>9350</v>
      </c>
      <c r="BH946">
        <f t="shared" si="28"/>
        <v>0</v>
      </c>
    </row>
    <row r="947" spans="1:60" ht="58" x14ac:dyDescent="0.35">
      <c r="A947" s="2" t="s">
        <v>59</v>
      </c>
      <c r="B947" s="2" t="s">
        <v>60</v>
      </c>
      <c r="C947" s="2" t="s">
        <v>9351</v>
      </c>
      <c r="D947" s="2" t="s">
        <v>9352</v>
      </c>
      <c r="E947" s="2" t="s">
        <v>9353</v>
      </c>
      <c r="G947" s="3" t="s">
        <v>64</v>
      </c>
      <c r="I947" s="3" t="s">
        <v>64</v>
      </c>
      <c r="J947" s="3" t="s">
        <v>64</v>
      </c>
      <c r="K947" s="3" t="s">
        <v>65</v>
      </c>
      <c r="M947" s="2" t="s">
        <v>9354</v>
      </c>
      <c r="N947" s="3" t="s">
        <v>253</v>
      </c>
      <c r="P947" s="3" t="s">
        <v>102</v>
      </c>
      <c r="Q947" s="2" t="s">
        <v>9355</v>
      </c>
      <c r="R947" s="3" t="s">
        <v>70</v>
      </c>
      <c r="S947" s="4">
        <v>1</v>
      </c>
      <c r="T947" s="4">
        <v>1</v>
      </c>
      <c r="U947" s="5" t="s">
        <v>9356</v>
      </c>
      <c r="V947" s="5" t="s">
        <v>9356</v>
      </c>
      <c r="W947" s="5" t="s">
        <v>72</v>
      </c>
      <c r="X947" s="5" t="s">
        <v>72</v>
      </c>
      <c r="Y947" s="4">
        <v>81</v>
      </c>
      <c r="Z947" s="4">
        <v>6</v>
      </c>
      <c r="AA947" s="4">
        <v>70</v>
      </c>
      <c r="AB947" s="4">
        <v>1</v>
      </c>
      <c r="AC947" s="4">
        <v>14</v>
      </c>
      <c r="AD947" s="4">
        <v>30</v>
      </c>
      <c r="AE947" s="4">
        <v>92</v>
      </c>
      <c r="AF947" s="4">
        <v>0</v>
      </c>
      <c r="AG947" s="4">
        <v>8</v>
      </c>
      <c r="AH947" s="4">
        <v>28</v>
      </c>
      <c r="AI947" s="4">
        <v>62</v>
      </c>
      <c r="AJ947" s="4">
        <v>4</v>
      </c>
      <c r="AK947" s="4">
        <v>17</v>
      </c>
      <c r="AL947" s="4">
        <v>19</v>
      </c>
      <c r="AM947" s="4">
        <v>32</v>
      </c>
      <c r="AN947" s="4">
        <v>0</v>
      </c>
      <c r="AO947" s="4">
        <v>0</v>
      </c>
      <c r="AP947" s="4">
        <v>4</v>
      </c>
      <c r="AQ947" s="4">
        <v>36</v>
      </c>
      <c r="AR947" s="3" t="s">
        <v>64</v>
      </c>
      <c r="AS947" s="3" t="s">
        <v>64</v>
      </c>
      <c r="AT947" s="3" t="s">
        <v>64</v>
      </c>
      <c r="AV947" s="6" t="str">
        <f>HYPERLINK("http://mcgill.on.worldcat.org/oclc/899707289","Catalog Record")</f>
        <v>Catalog Record</v>
      </c>
      <c r="AW947" s="6" t="str">
        <f>HYPERLINK("http://www.worldcat.org/oclc/899707289","WorldCat Record")</f>
        <v>WorldCat Record</v>
      </c>
      <c r="AX947" s="3" t="s">
        <v>9357</v>
      </c>
      <c r="AY947" s="3" t="s">
        <v>9358</v>
      </c>
      <c r="AZ947" s="3" t="s">
        <v>9359</v>
      </c>
      <c r="BA947" s="3" t="s">
        <v>9359</v>
      </c>
      <c r="BB947" s="3" t="s">
        <v>9360</v>
      </c>
      <c r="BC947" s="3" t="s">
        <v>77</v>
      </c>
      <c r="BD947" s="3" t="s">
        <v>78</v>
      </c>
      <c r="BE947" s="3" t="s">
        <v>9361</v>
      </c>
      <c r="BF947" s="3" t="s">
        <v>9360</v>
      </c>
      <c r="BG947" s="3" t="s">
        <v>9362</v>
      </c>
      <c r="BH947">
        <f t="shared" si="28"/>
        <v>0</v>
      </c>
    </row>
    <row r="948" spans="1:60" ht="58" x14ac:dyDescent="0.35">
      <c r="A948" s="2" t="s">
        <v>59</v>
      </c>
      <c r="B948" s="2" t="s">
        <v>60</v>
      </c>
      <c r="C948" s="2" t="s">
        <v>9363</v>
      </c>
      <c r="D948" s="2" t="s">
        <v>9364</v>
      </c>
      <c r="E948" s="2" t="s">
        <v>9365</v>
      </c>
      <c r="G948" s="3" t="s">
        <v>64</v>
      </c>
      <c r="I948" s="3" t="s">
        <v>64</v>
      </c>
      <c r="J948" s="3" t="s">
        <v>64</v>
      </c>
      <c r="K948" s="3" t="s">
        <v>65</v>
      </c>
      <c r="L948" s="2" t="s">
        <v>9366</v>
      </c>
      <c r="M948" s="2" t="s">
        <v>9367</v>
      </c>
      <c r="N948" s="3" t="s">
        <v>86</v>
      </c>
      <c r="P948" s="3" t="s">
        <v>102</v>
      </c>
      <c r="Q948" s="2" t="s">
        <v>8484</v>
      </c>
      <c r="R948" s="3" t="s">
        <v>70</v>
      </c>
      <c r="S948" s="4">
        <v>2</v>
      </c>
      <c r="T948" s="4">
        <v>2</v>
      </c>
      <c r="U948" s="5" t="s">
        <v>9368</v>
      </c>
      <c r="V948" s="5" t="s">
        <v>9368</v>
      </c>
      <c r="W948" s="5" t="s">
        <v>72</v>
      </c>
      <c r="X948" s="5" t="s">
        <v>72</v>
      </c>
      <c r="Y948" s="4">
        <v>142</v>
      </c>
      <c r="Z948" s="4">
        <v>14</v>
      </c>
      <c r="AA948" s="4">
        <v>15</v>
      </c>
      <c r="AB948" s="4">
        <v>3</v>
      </c>
      <c r="AC948" s="4">
        <v>4</v>
      </c>
      <c r="AD948" s="4">
        <v>55</v>
      </c>
      <c r="AE948" s="4">
        <v>56</v>
      </c>
      <c r="AF948" s="4">
        <v>1</v>
      </c>
      <c r="AG948" s="4">
        <v>2</v>
      </c>
      <c r="AH948" s="4">
        <v>50</v>
      </c>
      <c r="AI948" s="4">
        <v>51</v>
      </c>
      <c r="AJ948" s="4">
        <v>9</v>
      </c>
      <c r="AK948" s="4">
        <v>10</v>
      </c>
      <c r="AL948" s="4">
        <v>32</v>
      </c>
      <c r="AM948" s="4">
        <v>32</v>
      </c>
      <c r="AN948" s="4">
        <v>0</v>
      </c>
      <c r="AO948" s="4">
        <v>0</v>
      </c>
      <c r="AP948" s="4">
        <v>9</v>
      </c>
      <c r="AQ948" s="4">
        <v>10</v>
      </c>
      <c r="AR948" s="3" t="s">
        <v>64</v>
      </c>
      <c r="AS948" s="3" t="s">
        <v>64</v>
      </c>
      <c r="AT948" s="3" t="s">
        <v>64</v>
      </c>
      <c r="AV948" s="6" t="str">
        <f>HYPERLINK("http://mcgill.on.worldcat.org/oclc/727710713","Catalog Record")</f>
        <v>Catalog Record</v>
      </c>
      <c r="AW948" s="6" t="str">
        <f>HYPERLINK("http://www.worldcat.org/oclc/727710713","WorldCat Record")</f>
        <v>WorldCat Record</v>
      </c>
      <c r="AX948" s="3" t="s">
        <v>9369</v>
      </c>
      <c r="AY948" s="3" t="s">
        <v>9370</v>
      </c>
      <c r="AZ948" s="3" t="s">
        <v>9371</v>
      </c>
      <c r="BA948" s="3" t="s">
        <v>9371</v>
      </c>
      <c r="BB948" s="3" t="s">
        <v>9372</v>
      </c>
      <c r="BC948" s="3" t="s">
        <v>77</v>
      </c>
      <c r="BD948" s="3" t="s">
        <v>78</v>
      </c>
      <c r="BE948" s="3" t="s">
        <v>9373</v>
      </c>
      <c r="BF948" s="3" t="s">
        <v>9372</v>
      </c>
      <c r="BG948" s="3" t="s">
        <v>9374</v>
      </c>
      <c r="BH948">
        <f t="shared" si="28"/>
        <v>0</v>
      </c>
    </row>
    <row r="949" spans="1:60" ht="58" x14ac:dyDescent="0.35">
      <c r="A949" s="2" t="s">
        <v>59</v>
      </c>
      <c r="B949" s="2" t="s">
        <v>60</v>
      </c>
      <c r="C949" s="2" t="s">
        <v>9375</v>
      </c>
      <c r="D949" s="2" t="s">
        <v>9376</v>
      </c>
      <c r="E949" s="2" t="s">
        <v>9377</v>
      </c>
      <c r="G949" s="3" t="s">
        <v>64</v>
      </c>
      <c r="I949" s="3" t="s">
        <v>128</v>
      </c>
      <c r="J949" s="3" t="s">
        <v>64</v>
      </c>
      <c r="K949" s="3" t="s">
        <v>65</v>
      </c>
      <c r="M949" s="2" t="s">
        <v>9378</v>
      </c>
      <c r="N949" s="3" t="s">
        <v>291</v>
      </c>
      <c r="P949" s="3" t="s">
        <v>102</v>
      </c>
      <c r="Q949" s="2" t="s">
        <v>8484</v>
      </c>
      <c r="R949" s="3" t="s">
        <v>70</v>
      </c>
      <c r="S949" s="4">
        <v>12</v>
      </c>
      <c r="T949" s="4">
        <v>13</v>
      </c>
      <c r="U949" s="5" t="s">
        <v>367</v>
      </c>
      <c r="V949" s="5" t="s">
        <v>367</v>
      </c>
      <c r="W949" s="5" t="s">
        <v>72</v>
      </c>
      <c r="X949" s="5" t="s">
        <v>72</v>
      </c>
      <c r="Y949" s="4">
        <v>223</v>
      </c>
      <c r="Z949" s="4">
        <v>21</v>
      </c>
      <c r="AA949" s="4">
        <v>23</v>
      </c>
      <c r="AB949" s="4">
        <v>1</v>
      </c>
      <c r="AC949" s="4">
        <v>3</v>
      </c>
      <c r="AD949" s="4">
        <v>79</v>
      </c>
      <c r="AE949" s="4">
        <v>80</v>
      </c>
      <c r="AF949" s="4">
        <v>0</v>
      </c>
      <c r="AG949" s="4">
        <v>1</v>
      </c>
      <c r="AH949" s="4">
        <v>68</v>
      </c>
      <c r="AI949" s="4">
        <v>68</v>
      </c>
      <c r="AJ949" s="4">
        <v>12</v>
      </c>
      <c r="AK949" s="4">
        <v>13</v>
      </c>
      <c r="AL949" s="4">
        <v>42</v>
      </c>
      <c r="AM949" s="4">
        <v>42</v>
      </c>
      <c r="AN949" s="4">
        <v>0</v>
      </c>
      <c r="AO949" s="4">
        <v>0</v>
      </c>
      <c r="AP949" s="4">
        <v>16</v>
      </c>
      <c r="AQ949" s="4">
        <v>16</v>
      </c>
      <c r="AR949" s="3" t="s">
        <v>64</v>
      </c>
      <c r="AS949" s="3" t="s">
        <v>64</v>
      </c>
      <c r="AT949" s="3" t="s">
        <v>64</v>
      </c>
      <c r="AV949" s="6" t="str">
        <f>HYPERLINK("http://mcgill.on.worldcat.org/oclc/166874013","Catalog Record")</f>
        <v>Catalog Record</v>
      </c>
      <c r="AW949" s="6" t="str">
        <f>HYPERLINK("http://www.worldcat.org/oclc/166874013","WorldCat Record")</f>
        <v>WorldCat Record</v>
      </c>
      <c r="AX949" s="3" t="s">
        <v>9379</v>
      </c>
      <c r="AY949" s="3" t="s">
        <v>9380</v>
      </c>
      <c r="AZ949" s="3" t="s">
        <v>9381</v>
      </c>
      <c r="BA949" s="3" t="s">
        <v>9381</v>
      </c>
      <c r="BB949" s="3" t="s">
        <v>9382</v>
      </c>
      <c r="BC949" s="3" t="s">
        <v>77</v>
      </c>
      <c r="BD949" s="3" t="s">
        <v>78</v>
      </c>
      <c r="BE949" s="3" t="s">
        <v>9383</v>
      </c>
      <c r="BF949" s="3" t="s">
        <v>9382</v>
      </c>
      <c r="BG949" s="3" t="s">
        <v>9384</v>
      </c>
      <c r="BH949">
        <f t="shared" si="28"/>
        <v>0</v>
      </c>
    </row>
    <row r="950" spans="1:60" ht="58" x14ac:dyDescent="0.35">
      <c r="A950" s="2" t="s">
        <v>59</v>
      </c>
      <c r="B950" s="2" t="s">
        <v>60</v>
      </c>
      <c r="C950" s="2" t="s">
        <v>9385</v>
      </c>
      <c r="D950" s="2" t="s">
        <v>9376</v>
      </c>
      <c r="E950" s="2" t="s">
        <v>9377</v>
      </c>
      <c r="G950" s="3" t="s">
        <v>64</v>
      </c>
      <c r="I950" s="3" t="s">
        <v>128</v>
      </c>
      <c r="J950" s="3" t="s">
        <v>64</v>
      </c>
      <c r="K950" s="3" t="s">
        <v>65</v>
      </c>
      <c r="M950" s="2" t="s">
        <v>9378</v>
      </c>
      <c r="N950" s="3" t="s">
        <v>291</v>
      </c>
      <c r="P950" s="3" t="s">
        <v>102</v>
      </c>
      <c r="Q950" s="2" t="s">
        <v>8484</v>
      </c>
      <c r="R950" s="3" t="s">
        <v>70</v>
      </c>
      <c r="S950" s="4">
        <v>1</v>
      </c>
      <c r="T950" s="4">
        <v>13</v>
      </c>
      <c r="U950" s="5" t="s">
        <v>9386</v>
      </c>
      <c r="V950" s="5" t="s">
        <v>367</v>
      </c>
      <c r="W950" s="5" t="s">
        <v>72</v>
      </c>
      <c r="X950" s="5" t="s">
        <v>72</v>
      </c>
      <c r="Y950" s="4">
        <v>223</v>
      </c>
      <c r="Z950" s="4">
        <v>21</v>
      </c>
      <c r="AA950" s="4">
        <v>23</v>
      </c>
      <c r="AB950" s="4">
        <v>1</v>
      </c>
      <c r="AC950" s="4">
        <v>3</v>
      </c>
      <c r="AD950" s="4">
        <v>79</v>
      </c>
      <c r="AE950" s="4">
        <v>80</v>
      </c>
      <c r="AF950" s="4">
        <v>0</v>
      </c>
      <c r="AG950" s="4">
        <v>1</v>
      </c>
      <c r="AH950" s="4">
        <v>68</v>
      </c>
      <c r="AI950" s="4">
        <v>68</v>
      </c>
      <c r="AJ950" s="4">
        <v>12</v>
      </c>
      <c r="AK950" s="4">
        <v>13</v>
      </c>
      <c r="AL950" s="4">
        <v>42</v>
      </c>
      <c r="AM950" s="4">
        <v>42</v>
      </c>
      <c r="AN950" s="4">
        <v>0</v>
      </c>
      <c r="AO950" s="4">
        <v>0</v>
      </c>
      <c r="AP950" s="4">
        <v>16</v>
      </c>
      <c r="AQ950" s="4">
        <v>16</v>
      </c>
      <c r="AR950" s="3" t="s">
        <v>64</v>
      </c>
      <c r="AS950" s="3" t="s">
        <v>64</v>
      </c>
      <c r="AT950" s="3" t="s">
        <v>64</v>
      </c>
      <c r="AV950" s="6" t="str">
        <f>HYPERLINK("http://mcgill.on.worldcat.org/oclc/166874013","Catalog Record")</f>
        <v>Catalog Record</v>
      </c>
      <c r="AW950" s="6" t="str">
        <f>HYPERLINK("http://www.worldcat.org/oclc/166874013","WorldCat Record")</f>
        <v>WorldCat Record</v>
      </c>
      <c r="AX950" s="3" t="s">
        <v>9379</v>
      </c>
      <c r="AY950" s="3" t="s">
        <v>9380</v>
      </c>
      <c r="AZ950" s="3" t="s">
        <v>9381</v>
      </c>
      <c r="BA950" s="3" t="s">
        <v>9381</v>
      </c>
      <c r="BB950" s="3" t="s">
        <v>9387</v>
      </c>
      <c r="BC950" s="3" t="s">
        <v>77</v>
      </c>
      <c r="BD950" s="3" t="s">
        <v>78</v>
      </c>
      <c r="BE950" s="3" t="s">
        <v>9383</v>
      </c>
      <c r="BF950" s="3" t="s">
        <v>9387</v>
      </c>
      <c r="BG950" s="3" t="s">
        <v>9388</v>
      </c>
      <c r="BH950">
        <f t="shared" si="28"/>
        <v>0</v>
      </c>
    </row>
    <row r="951" spans="1:60" ht="58" x14ac:dyDescent="0.35">
      <c r="A951" s="2" t="s">
        <v>59</v>
      </c>
      <c r="B951" s="2" t="s">
        <v>60</v>
      </c>
      <c r="C951" s="2" t="s">
        <v>9389</v>
      </c>
      <c r="D951" s="2" t="s">
        <v>9390</v>
      </c>
      <c r="E951" s="2" t="s">
        <v>9391</v>
      </c>
      <c r="G951" s="3" t="s">
        <v>64</v>
      </c>
      <c r="I951" s="3" t="s">
        <v>64</v>
      </c>
      <c r="J951" s="3" t="s">
        <v>64</v>
      </c>
      <c r="K951" s="3" t="s">
        <v>65</v>
      </c>
      <c r="M951" s="2" t="s">
        <v>9392</v>
      </c>
      <c r="N951" s="3" t="s">
        <v>253</v>
      </c>
      <c r="P951" s="3" t="s">
        <v>102</v>
      </c>
      <c r="R951" s="3" t="s">
        <v>70</v>
      </c>
      <c r="S951" s="4">
        <v>0</v>
      </c>
      <c r="T951" s="4">
        <v>0</v>
      </c>
      <c r="W951" s="5" t="s">
        <v>72</v>
      </c>
      <c r="X951" s="5" t="s">
        <v>72</v>
      </c>
      <c r="Y951" s="4">
        <v>41</v>
      </c>
      <c r="Z951" s="4">
        <v>6</v>
      </c>
      <c r="AA951" s="4">
        <v>73</v>
      </c>
      <c r="AB951" s="4">
        <v>1</v>
      </c>
      <c r="AC951" s="4">
        <v>14</v>
      </c>
      <c r="AD951" s="4">
        <v>14</v>
      </c>
      <c r="AE951" s="4">
        <v>96</v>
      </c>
      <c r="AF951" s="4">
        <v>0</v>
      </c>
      <c r="AG951" s="4">
        <v>8</v>
      </c>
      <c r="AH951" s="4">
        <v>12</v>
      </c>
      <c r="AI951" s="4">
        <v>63</v>
      </c>
      <c r="AJ951" s="4">
        <v>2</v>
      </c>
      <c r="AK951" s="4">
        <v>19</v>
      </c>
      <c r="AL951" s="4">
        <v>9</v>
      </c>
      <c r="AM951" s="4">
        <v>31</v>
      </c>
      <c r="AN951" s="4">
        <v>0</v>
      </c>
      <c r="AO951" s="4">
        <v>0</v>
      </c>
      <c r="AP951" s="4">
        <v>3</v>
      </c>
      <c r="AQ951" s="4">
        <v>39</v>
      </c>
      <c r="AR951" s="3" t="s">
        <v>64</v>
      </c>
      <c r="AS951" s="3" t="s">
        <v>64</v>
      </c>
      <c r="AT951" s="3" t="s">
        <v>64</v>
      </c>
      <c r="AV951" s="6" t="str">
        <f>HYPERLINK("http://mcgill.on.worldcat.org/oclc/910092803","Catalog Record")</f>
        <v>Catalog Record</v>
      </c>
      <c r="AW951" s="6" t="str">
        <f>HYPERLINK("http://www.worldcat.org/oclc/910092803","WorldCat Record")</f>
        <v>WorldCat Record</v>
      </c>
      <c r="AX951" s="3" t="s">
        <v>9393</v>
      </c>
      <c r="AY951" s="3" t="s">
        <v>9394</v>
      </c>
      <c r="AZ951" s="3" t="s">
        <v>9395</v>
      </c>
      <c r="BA951" s="3" t="s">
        <v>9395</v>
      </c>
      <c r="BB951" s="3" t="s">
        <v>9396</v>
      </c>
      <c r="BC951" s="3" t="s">
        <v>77</v>
      </c>
      <c r="BD951" s="3" t="s">
        <v>78</v>
      </c>
      <c r="BE951" s="3" t="s">
        <v>9397</v>
      </c>
      <c r="BF951" s="3" t="s">
        <v>9396</v>
      </c>
      <c r="BG951" s="3" t="s">
        <v>9398</v>
      </c>
      <c r="BH951">
        <f t="shared" si="28"/>
        <v>0</v>
      </c>
    </row>
    <row r="952" spans="1:60" ht="58" x14ac:dyDescent="0.35">
      <c r="A952" s="2" t="s">
        <v>59</v>
      </c>
      <c r="B952" s="2" t="s">
        <v>60</v>
      </c>
      <c r="C952" s="2" t="s">
        <v>9399</v>
      </c>
      <c r="D952" s="2" t="s">
        <v>9400</v>
      </c>
      <c r="E952" s="2" t="s">
        <v>9401</v>
      </c>
      <c r="G952" s="3" t="s">
        <v>64</v>
      </c>
      <c r="I952" s="3" t="s">
        <v>64</v>
      </c>
      <c r="J952" s="3" t="s">
        <v>64</v>
      </c>
      <c r="K952" s="3" t="s">
        <v>65</v>
      </c>
      <c r="L952" s="2" t="s">
        <v>9402</v>
      </c>
      <c r="M952" s="2" t="s">
        <v>1225</v>
      </c>
      <c r="N952" s="3" t="s">
        <v>326</v>
      </c>
      <c r="P952" s="3" t="s">
        <v>102</v>
      </c>
      <c r="Q952" s="2" t="s">
        <v>9403</v>
      </c>
      <c r="R952" s="3" t="s">
        <v>70</v>
      </c>
      <c r="S952" s="4">
        <v>1</v>
      </c>
      <c r="T952" s="4">
        <v>1</v>
      </c>
      <c r="U952" s="5" t="s">
        <v>9404</v>
      </c>
      <c r="V952" s="5" t="s">
        <v>9404</v>
      </c>
      <c r="W952" s="5" t="s">
        <v>72</v>
      </c>
      <c r="X952" s="5" t="s">
        <v>72</v>
      </c>
      <c r="Y952" s="4">
        <v>76</v>
      </c>
      <c r="Z952" s="4">
        <v>7</v>
      </c>
      <c r="AA952" s="4">
        <v>29</v>
      </c>
      <c r="AB952" s="4">
        <v>1</v>
      </c>
      <c r="AC952" s="4">
        <v>4</v>
      </c>
      <c r="AD952" s="4">
        <v>34</v>
      </c>
      <c r="AE952" s="4">
        <v>73</v>
      </c>
      <c r="AF952" s="4">
        <v>0</v>
      </c>
      <c r="AG952" s="4">
        <v>1</v>
      </c>
      <c r="AH952" s="4">
        <v>32</v>
      </c>
      <c r="AI952" s="4">
        <v>61</v>
      </c>
      <c r="AJ952" s="4">
        <v>4</v>
      </c>
      <c r="AK952" s="4">
        <v>9</v>
      </c>
      <c r="AL952" s="4">
        <v>26</v>
      </c>
      <c r="AM952" s="4">
        <v>38</v>
      </c>
      <c r="AN952" s="4">
        <v>0</v>
      </c>
      <c r="AO952" s="4">
        <v>0</v>
      </c>
      <c r="AP952" s="4">
        <v>4</v>
      </c>
      <c r="AQ952" s="4">
        <v>16</v>
      </c>
      <c r="AR952" s="3" t="s">
        <v>64</v>
      </c>
      <c r="AS952" s="3" t="s">
        <v>64</v>
      </c>
      <c r="AT952" s="3" t="s">
        <v>64</v>
      </c>
      <c r="AV952" s="6" t="str">
        <f>HYPERLINK("http://mcgill.on.worldcat.org/oclc/652363066","Catalog Record")</f>
        <v>Catalog Record</v>
      </c>
      <c r="AW952" s="6" t="str">
        <f>HYPERLINK("http://www.worldcat.org/oclc/652363066","WorldCat Record")</f>
        <v>WorldCat Record</v>
      </c>
      <c r="AX952" s="3" t="s">
        <v>9405</v>
      </c>
      <c r="AY952" s="3" t="s">
        <v>9406</v>
      </c>
      <c r="AZ952" s="3" t="s">
        <v>9407</v>
      </c>
      <c r="BA952" s="3" t="s">
        <v>9407</v>
      </c>
      <c r="BB952" s="3" t="s">
        <v>9408</v>
      </c>
      <c r="BC952" s="3" t="s">
        <v>77</v>
      </c>
      <c r="BD952" s="3" t="s">
        <v>78</v>
      </c>
      <c r="BE952" s="3" t="s">
        <v>9409</v>
      </c>
      <c r="BF952" s="3" t="s">
        <v>9408</v>
      </c>
      <c r="BG952" s="3" t="s">
        <v>9410</v>
      </c>
      <c r="BH952">
        <f t="shared" si="28"/>
        <v>0</v>
      </c>
    </row>
    <row r="953" spans="1:60" ht="58" x14ac:dyDescent="0.35">
      <c r="A953" s="2" t="s">
        <v>59</v>
      </c>
      <c r="B953" s="2" t="s">
        <v>60</v>
      </c>
      <c r="C953" s="2" t="s">
        <v>9411</v>
      </c>
      <c r="D953" s="2" t="s">
        <v>9412</v>
      </c>
      <c r="E953" s="2" t="s">
        <v>9413</v>
      </c>
      <c r="G953" s="3" t="s">
        <v>64</v>
      </c>
      <c r="I953" s="3" t="s">
        <v>64</v>
      </c>
      <c r="J953" s="3" t="s">
        <v>64</v>
      </c>
      <c r="K953" s="3" t="s">
        <v>65</v>
      </c>
      <c r="M953" s="2" t="s">
        <v>9414</v>
      </c>
      <c r="N953" s="3" t="s">
        <v>511</v>
      </c>
      <c r="P953" s="3" t="s">
        <v>68</v>
      </c>
      <c r="Q953" s="2" t="s">
        <v>9415</v>
      </c>
      <c r="R953" s="3" t="s">
        <v>70</v>
      </c>
      <c r="S953" s="4">
        <v>2</v>
      </c>
      <c r="T953" s="4">
        <v>2</v>
      </c>
      <c r="U953" s="5" t="s">
        <v>9416</v>
      </c>
      <c r="V953" s="5" t="s">
        <v>9416</v>
      </c>
      <c r="W953" s="5" t="s">
        <v>72</v>
      </c>
      <c r="X953" s="5" t="s">
        <v>72</v>
      </c>
      <c r="Y953" s="4">
        <v>36</v>
      </c>
      <c r="Z953" s="4">
        <v>4</v>
      </c>
      <c r="AA953" s="4">
        <v>8</v>
      </c>
      <c r="AB953" s="4">
        <v>1</v>
      </c>
      <c r="AC953" s="4">
        <v>3</v>
      </c>
      <c r="AD953" s="4">
        <v>18</v>
      </c>
      <c r="AE953" s="4">
        <v>21</v>
      </c>
      <c r="AF953" s="4">
        <v>0</v>
      </c>
      <c r="AG953" s="4">
        <v>1</v>
      </c>
      <c r="AH953" s="4">
        <v>17</v>
      </c>
      <c r="AI953" s="4">
        <v>19</v>
      </c>
      <c r="AJ953" s="4">
        <v>2</v>
      </c>
      <c r="AK953" s="4">
        <v>5</v>
      </c>
      <c r="AL953" s="4">
        <v>15</v>
      </c>
      <c r="AM953" s="4">
        <v>15</v>
      </c>
      <c r="AN953" s="4">
        <v>0</v>
      </c>
      <c r="AO953" s="4">
        <v>0</v>
      </c>
      <c r="AP953" s="4">
        <v>2</v>
      </c>
      <c r="AQ953" s="4">
        <v>5</v>
      </c>
      <c r="AR953" s="3" t="s">
        <v>64</v>
      </c>
      <c r="AS953" s="3" t="s">
        <v>64</v>
      </c>
      <c r="AT953" s="3" t="s">
        <v>64</v>
      </c>
      <c r="AV953" s="6" t="str">
        <f>HYPERLINK("http://mcgill.on.worldcat.org/oclc/683412123","Catalog Record")</f>
        <v>Catalog Record</v>
      </c>
      <c r="AW953" s="6" t="str">
        <f>HYPERLINK("http://www.worldcat.org/oclc/683412123","WorldCat Record")</f>
        <v>WorldCat Record</v>
      </c>
      <c r="AX953" s="3" t="s">
        <v>9417</v>
      </c>
      <c r="AY953" s="3" t="s">
        <v>9418</v>
      </c>
      <c r="AZ953" s="3" t="s">
        <v>9419</v>
      </c>
      <c r="BA953" s="3" t="s">
        <v>9419</v>
      </c>
      <c r="BB953" s="3" t="s">
        <v>9420</v>
      </c>
      <c r="BC953" s="3" t="s">
        <v>77</v>
      </c>
      <c r="BD953" s="3" t="s">
        <v>78</v>
      </c>
      <c r="BE953" s="3" t="s">
        <v>9421</v>
      </c>
      <c r="BF953" s="3" t="s">
        <v>9420</v>
      </c>
      <c r="BG953" s="3" t="s">
        <v>9422</v>
      </c>
      <c r="BH953">
        <f t="shared" si="28"/>
        <v>0</v>
      </c>
    </row>
    <row r="954" spans="1:60" ht="58" x14ac:dyDescent="0.35">
      <c r="A954" s="2" t="s">
        <v>59</v>
      </c>
      <c r="B954" s="2" t="s">
        <v>60</v>
      </c>
      <c r="C954" s="2" t="s">
        <v>9423</v>
      </c>
      <c r="D954" s="2" t="s">
        <v>9424</v>
      </c>
      <c r="E954" s="2" t="s">
        <v>9425</v>
      </c>
      <c r="G954" s="3" t="s">
        <v>64</v>
      </c>
      <c r="I954" s="3" t="s">
        <v>64</v>
      </c>
      <c r="J954" s="3" t="s">
        <v>64</v>
      </c>
      <c r="K954" s="3" t="s">
        <v>65</v>
      </c>
      <c r="L954" s="2" t="s">
        <v>9426</v>
      </c>
      <c r="M954" s="2" t="s">
        <v>9427</v>
      </c>
      <c r="N954" s="3" t="s">
        <v>551</v>
      </c>
      <c r="P954" s="3" t="s">
        <v>68</v>
      </c>
      <c r="R954" s="3" t="s">
        <v>70</v>
      </c>
      <c r="S954" s="4">
        <v>2</v>
      </c>
      <c r="T954" s="4">
        <v>2</v>
      </c>
      <c r="U954" s="5" t="s">
        <v>7309</v>
      </c>
      <c r="V954" s="5" t="s">
        <v>7309</v>
      </c>
      <c r="W954" s="5" t="s">
        <v>72</v>
      </c>
      <c r="X954" s="5" t="s">
        <v>72</v>
      </c>
      <c r="Y954" s="4">
        <v>43</v>
      </c>
      <c r="Z954" s="4">
        <v>7</v>
      </c>
      <c r="AA954" s="4">
        <v>13</v>
      </c>
      <c r="AB954" s="4">
        <v>2</v>
      </c>
      <c r="AC954" s="4">
        <v>7</v>
      </c>
      <c r="AD954" s="4">
        <v>24</v>
      </c>
      <c r="AE954" s="4">
        <v>29</v>
      </c>
      <c r="AF954" s="4">
        <v>0</v>
      </c>
      <c r="AG954" s="4">
        <v>4</v>
      </c>
      <c r="AH954" s="4">
        <v>23</v>
      </c>
      <c r="AI954" s="4">
        <v>25</v>
      </c>
      <c r="AJ954" s="4">
        <v>4</v>
      </c>
      <c r="AK954" s="4">
        <v>9</v>
      </c>
      <c r="AL954" s="4">
        <v>18</v>
      </c>
      <c r="AM954" s="4">
        <v>18</v>
      </c>
      <c r="AN954" s="4">
        <v>0</v>
      </c>
      <c r="AO954" s="4">
        <v>0</v>
      </c>
      <c r="AP954" s="4">
        <v>4</v>
      </c>
      <c r="AQ954" s="4">
        <v>8</v>
      </c>
      <c r="AR954" s="3" t="s">
        <v>64</v>
      </c>
      <c r="AS954" s="3" t="s">
        <v>64</v>
      </c>
      <c r="AT954" s="3" t="s">
        <v>64</v>
      </c>
      <c r="AV954" s="6" t="str">
        <f>HYPERLINK("http://mcgill.on.worldcat.org/oclc/316977828","Catalog Record")</f>
        <v>Catalog Record</v>
      </c>
      <c r="AW954" s="6" t="str">
        <f>HYPERLINK("http://www.worldcat.org/oclc/316977828","WorldCat Record")</f>
        <v>WorldCat Record</v>
      </c>
      <c r="AX954" s="3" t="s">
        <v>9428</v>
      </c>
      <c r="AY954" s="3" t="s">
        <v>9429</v>
      </c>
      <c r="AZ954" s="3" t="s">
        <v>9430</v>
      </c>
      <c r="BA954" s="3" t="s">
        <v>9430</v>
      </c>
      <c r="BB954" s="3" t="s">
        <v>9431</v>
      </c>
      <c r="BC954" s="3" t="s">
        <v>77</v>
      </c>
      <c r="BD954" s="3" t="s">
        <v>78</v>
      </c>
      <c r="BE954" s="3" t="s">
        <v>9432</v>
      </c>
      <c r="BF954" s="3" t="s">
        <v>9431</v>
      </c>
      <c r="BG954" s="3" t="s">
        <v>9433</v>
      </c>
      <c r="BH954">
        <f t="shared" si="28"/>
        <v>0</v>
      </c>
    </row>
    <row r="955" spans="1:60" ht="58" x14ac:dyDescent="0.35">
      <c r="A955" s="2" t="s">
        <v>59</v>
      </c>
      <c r="B955" s="2" t="s">
        <v>60</v>
      </c>
      <c r="C955" s="2" t="s">
        <v>9434</v>
      </c>
      <c r="D955" s="2" t="s">
        <v>9435</v>
      </c>
      <c r="E955" s="2" t="s">
        <v>9436</v>
      </c>
      <c r="G955" s="3" t="s">
        <v>64</v>
      </c>
      <c r="I955" s="3" t="s">
        <v>64</v>
      </c>
      <c r="J955" s="3" t="s">
        <v>64</v>
      </c>
      <c r="K955" s="3" t="s">
        <v>65</v>
      </c>
      <c r="L955" s="2" t="s">
        <v>9437</v>
      </c>
      <c r="M955" s="2" t="s">
        <v>9438</v>
      </c>
      <c r="N955" s="3" t="s">
        <v>144</v>
      </c>
      <c r="O955" s="2" t="s">
        <v>9439</v>
      </c>
      <c r="P955" s="3" t="s">
        <v>68</v>
      </c>
      <c r="Q955" s="2" t="s">
        <v>9440</v>
      </c>
      <c r="R955" s="3" t="s">
        <v>70</v>
      </c>
      <c r="S955" s="4">
        <v>4</v>
      </c>
      <c r="T955" s="4">
        <v>4</v>
      </c>
      <c r="U955" s="5" t="s">
        <v>2874</v>
      </c>
      <c r="V955" s="5" t="s">
        <v>2874</v>
      </c>
      <c r="W955" s="5" t="s">
        <v>72</v>
      </c>
      <c r="X955" s="5" t="s">
        <v>72</v>
      </c>
      <c r="Y955" s="4">
        <v>11</v>
      </c>
      <c r="Z955" s="4">
        <v>3</v>
      </c>
      <c r="AA955" s="4">
        <v>12</v>
      </c>
      <c r="AB955" s="4">
        <v>3</v>
      </c>
      <c r="AC955" s="4">
        <v>7</v>
      </c>
      <c r="AD955" s="4">
        <v>2</v>
      </c>
      <c r="AE955" s="4">
        <v>29</v>
      </c>
      <c r="AF955" s="4">
        <v>2</v>
      </c>
      <c r="AG955" s="4">
        <v>4</v>
      </c>
      <c r="AH955" s="4">
        <v>1</v>
      </c>
      <c r="AI955" s="4">
        <v>24</v>
      </c>
      <c r="AJ955" s="4">
        <v>2</v>
      </c>
      <c r="AK955" s="4">
        <v>8</v>
      </c>
      <c r="AL955" s="4">
        <v>0</v>
      </c>
      <c r="AM955" s="4">
        <v>18</v>
      </c>
      <c r="AN955" s="4">
        <v>0</v>
      </c>
      <c r="AO955" s="4">
        <v>0</v>
      </c>
      <c r="AP955" s="4">
        <v>2</v>
      </c>
      <c r="AQ955" s="4">
        <v>7</v>
      </c>
      <c r="AR955" s="3" t="s">
        <v>64</v>
      </c>
      <c r="AS955" s="3" t="s">
        <v>64</v>
      </c>
      <c r="AT955" s="3" t="s">
        <v>64</v>
      </c>
      <c r="AV955" s="6" t="str">
        <f>HYPERLINK("http://mcgill.on.worldcat.org/oclc/276992894","Catalog Record")</f>
        <v>Catalog Record</v>
      </c>
      <c r="AW955" s="6" t="str">
        <f>HYPERLINK("http://www.worldcat.org/oclc/276992894","WorldCat Record")</f>
        <v>WorldCat Record</v>
      </c>
      <c r="AX955" s="3" t="s">
        <v>9441</v>
      </c>
      <c r="AY955" s="3" t="s">
        <v>9442</v>
      </c>
      <c r="AZ955" s="3" t="s">
        <v>9443</v>
      </c>
      <c r="BA955" s="3" t="s">
        <v>9443</v>
      </c>
      <c r="BB955" s="3" t="s">
        <v>9444</v>
      </c>
      <c r="BC955" s="3" t="s">
        <v>77</v>
      </c>
      <c r="BD955" s="3" t="s">
        <v>78</v>
      </c>
      <c r="BE955" s="3" t="s">
        <v>9445</v>
      </c>
      <c r="BF955" s="3" t="s">
        <v>9444</v>
      </c>
      <c r="BG955" s="3" t="s">
        <v>9446</v>
      </c>
      <c r="BH955">
        <f t="shared" si="28"/>
        <v>0</v>
      </c>
    </row>
    <row r="956" spans="1:60" ht="58" x14ac:dyDescent="0.35">
      <c r="A956" s="2" t="s">
        <v>59</v>
      </c>
      <c r="B956" s="2" t="s">
        <v>60</v>
      </c>
      <c r="C956" s="2" t="s">
        <v>9447</v>
      </c>
      <c r="D956" s="2" t="s">
        <v>9448</v>
      </c>
      <c r="E956" s="2" t="s">
        <v>9449</v>
      </c>
      <c r="G956" s="3" t="s">
        <v>64</v>
      </c>
      <c r="I956" s="3" t="s">
        <v>64</v>
      </c>
      <c r="J956" s="3" t="s">
        <v>64</v>
      </c>
      <c r="K956" s="3" t="s">
        <v>65</v>
      </c>
      <c r="L956" s="2" t="s">
        <v>9450</v>
      </c>
      <c r="M956" s="2" t="s">
        <v>9451</v>
      </c>
      <c r="N956" s="3" t="s">
        <v>551</v>
      </c>
      <c r="P956" s="3" t="s">
        <v>68</v>
      </c>
      <c r="R956" s="3" t="s">
        <v>70</v>
      </c>
      <c r="S956" s="4">
        <v>1</v>
      </c>
      <c r="T956" s="4">
        <v>1</v>
      </c>
      <c r="U956" s="5" t="s">
        <v>9452</v>
      </c>
      <c r="V956" s="5" t="s">
        <v>9452</v>
      </c>
      <c r="W956" s="5" t="s">
        <v>72</v>
      </c>
      <c r="X956" s="5" t="s">
        <v>72</v>
      </c>
      <c r="Y956" s="4">
        <v>12</v>
      </c>
      <c r="Z956" s="4">
        <v>3</v>
      </c>
      <c r="AA956" s="4">
        <v>5</v>
      </c>
      <c r="AB956" s="4">
        <v>1</v>
      </c>
      <c r="AC956" s="4">
        <v>3</v>
      </c>
      <c r="AD956" s="4">
        <v>4</v>
      </c>
      <c r="AE956" s="4">
        <v>5</v>
      </c>
      <c r="AF956" s="4">
        <v>0</v>
      </c>
      <c r="AG956" s="4">
        <v>1</v>
      </c>
      <c r="AH956" s="4">
        <v>4</v>
      </c>
      <c r="AI956" s="4">
        <v>4</v>
      </c>
      <c r="AJ956" s="4">
        <v>1</v>
      </c>
      <c r="AK956" s="4">
        <v>2</v>
      </c>
      <c r="AL956" s="4">
        <v>3</v>
      </c>
      <c r="AM956" s="4">
        <v>3</v>
      </c>
      <c r="AN956" s="4">
        <v>0</v>
      </c>
      <c r="AO956" s="4">
        <v>0</v>
      </c>
      <c r="AP956" s="4">
        <v>1</v>
      </c>
      <c r="AQ956" s="4">
        <v>2</v>
      </c>
      <c r="AR956" s="3" t="s">
        <v>64</v>
      </c>
      <c r="AS956" s="3" t="s">
        <v>64</v>
      </c>
      <c r="AT956" s="3" t="s">
        <v>64</v>
      </c>
      <c r="AV956" s="6" t="str">
        <f>HYPERLINK("http://mcgill.on.worldcat.org/oclc/437049707","Catalog Record")</f>
        <v>Catalog Record</v>
      </c>
      <c r="AW956" s="6" t="str">
        <f>HYPERLINK("http://www.worldcat.org/oclc/437049707","WorldCat Record")</f>
        <v>WorldCat Record</v>
      </c>
      <c r="AX956" s="3" t="s">
        <v>9453</v>
      </c>
      <c r="AY956" s="3" t="s">
        <v>9454</v>
      </c>
      <c r="AZ956" s="3" t="s">
        <v>9455</v>
      </c>
      <c r="BA956" s="3" t="s">
        <v>9455</v>
      </c>
      <c r="BB956" s="3" t="s">
        <v>9456</v>
      </c>
      <c r="BC956" s="3" t="s">
        <v>77</v>
      </c>
      <c r="BD956" s="3" t="s">
        <v>78</v>
      </c>
      <c r="BE956" s="3" t="s">
        <v>9457</v>
      </c>
      <c r="BF956" s="3" t="s">
        <v>9456</v>
      </c>
      <c r="BG956" s="3" t="s">
        <v>9458</v>
      </c>
      <c r="BH956">
        <f t="shared" si="28"/>
        <v>0</v>
      </c>
    </row>
    <row r="957" spans="1:60" ht="58" x14ac:dyDescent="0.35">
      <c r="A957" s="2" t="s">
        <v>59</v>
      </c>
      <c r="B957" s="2" t="s">
        <v>60</v>
      </c>
      <c r="C957" s="2" t="s">
        <v>9459</v>
      </c>
      <c r="D957" s="2" t="s">
        <v>9460</v>
      </c>
      <c r="E957" s="2" t="s">
        <v>9461</v>
      </c>
      <c r="G957" s="3" t="s">
        <v>64</v>
      </c>
      <c r="I957" s="3" t="s">
        <v>64</v>
      </c>
      <c r="J957" s="3" t="s">
        <v>64</v>
      </c>
      <c r="K957" s="3" t="s">
        <v>65</v>
      </c>
      <c r="L957" s="2" t="s">
        <v>9462</v>
      </c>
      <c r="M957" s="2" t="s">
        <v>9463</v>
      </c>
      <c r="N957" s="3" t="s">
        <v>291</v>
      </c>
      <c r="O957" s="2" t="s">
        <v>9464</v>
      </c>
      <c r="P957" s="3" t="s">
        <v>68</v>
      </c>
      <c r="Q957" s="2" t="s">
        <v>9465</v>
      </c>
      <c r="R957" s="3" t="s">
        <v>70</v>
      </c>
      <c r="S957" s="4">
        <v>3</v>
      </c>
      <c r="T957" s="4">
        <v>3</v>
      </c>
      <c r="U957" s="5" t="s">
        <v>9452</v>
      </c>
      <c r="V957" s="5" t="s">
        <v>9452</v>
      </c>
      <c r="W957" s="5" t="s">
        <v>72</v>
      </c>
      <c r="X957" s="5" t="s">
        <v>72</v>
      </c>
      <c r="Y957" s="4">
        <v>148</v>
      </c>
      <c r="Z957" s="4">
        <v>5</v>
      </c>
      <c r="AA957" s="4">
        <v>17</v>
      </c>
      <c r="AB957" s="4">
        <v>4</v>
      </c>
      <c r="AC957" s="4">
        <v>11</v>
      </c>
      <c r="AD957" s="4">
        <v>4</v>
      </c>
      <c r="AE957" s="4">
        <v>44</v>
      </c>
      <c r="AF957" s="4">
        <v>2</v>
      </c>
      <c r="AG957" s="4">
        <v>6</v>
      </c>
      <c r="AH957" s="4">
        <v>2</v>
      </c>
      <c r="AI957" s="4">
        <v>34</v>
      </c>
      <c r="AJ957" s="4">
        <v>3</v>
      </c>
      <c r="AK957" s="4">
        <v>8</v>
      </c>
      <c r="AL957" s="4">
        <v>1</v>
      </c>
      <c r="AM957" s="4">
        <v>26</v>
      </c>
      <c r="AN957" s="4">
        <v>0</v>
      </c>
      <c r="AO957" s="4">
        <v>5</v>
      </c>
      <c r="AP957" s="4">
        <v>2</v>
      </c>
      <c r="AQ957" s="4">
        <v>8</v>
      </c>
      <c r="AR957" s="3" t="s">
        <v>64</v>
      </c>
      <c r="AS957" s="3" t="s">
        <v>64</v>
      </c>
      <c r="AT957" s="3" t="s">
        <v>64</v>
      </c>
      <c r="AV957" s="6" t="str">
        <f>HYPERLINK("http://mcgill.on.worldcat.org/oclc/123339836","Catalog Record")</f>
        <v>Catalog Record</v>
      </c>
      <c r="AW957" s="6" t="str">
        <f>HYPERLINK("http://www.worldcat.org/oclc/123339836","WorldCat Record")</f>
        <v>WorldCat Record</v>
      </c>
      <c r="AX957" s="3" t="s">
        <v>9466</v>
      </c>
      <c r="AY957" s="3" t="s">
        <v>9467</v>
      </c>
      <c r="AZ957" s="3" t="s">
        <v>9468</v>
      </c>
      <c r="BA957" s="3" t="s">
        <v>9468</v>
      </c>
      <c r="BB957" s="3" t="s">
        <v>9469</v>
      </c>
      <c r="BC957" s="3" t="s">
        <v>77</v>
      </c>
      <c r="BD957" s="3" t="s">
        <v>78</v>
      </c>
      <c r="BF957" s="3" t="s">
        <v>9469</v>
      </c>
      <c r="BG957" s="3" t="s">
        <v>9470</v>
      </c>
      <c r="BH957">
        <f t="shared" si="28"/>
        <v>0</v>
      </c>
    </row>
    <row r="958" spans="1:60" ht="58" x14ac:dyDescent="0.35">
      <c r="A958" s="2" t="s">
        <v>59</v>
      </c>
      <c r="B958" s="2" t="s">
        <v>60</v>
      </c>
      <c r="C958" s="2" t="s">
        <v>9471</v>
      </c>
      <c r="D958" s="2" t="s">
        <v>9472</v>
      </c>
      <c r="E958" s="2" t="s">
        <v>9473</v>
      </c>
      <c r="G958" s="3" t="s">
        <v>64</v>
      </c>
      <c r="I958" s="3" t="s">
        <v>64</v>
      </c>
      <c r="J958" s="3" t="s">
        <v>64</v>
      </c>
      <c r="K958" s="3" t="s">
        <v>65</v>
      </c>
      <c r="L958" s="2" t="s">
        <v>9474</v>
      </c>
      <c r="M958" s="2" t="s">
        <v>9475</v>
      </c>
      <c r="N958" s="3" t="s">
        <v>511</v>
      </c>
      <c r="P958" s="3" t="s">
        <v>102</v>
      </c>
      <c r="R958" s="3" t="s">
        <v>70</v>
      </c>
      <c r="S958" s="4">
        <v>2</v>
      </c>
      <c r="T958" s="4">
        <v>2</v>
      </c>
      <c r="U958" s="5" t="s">
        <v>9476</v>
      </c>
      <c r="V958" s="5" t="s">
        <v>9476</v>
      </c>
      <c r="W958" s="5" t="s">
        <v>72</v>
      </c>
      <c r="X958" s="5" t="s">
        <v>72</v>
      </c>
      <c r="Y958" s="4">
        <v>363</v>
      </c>
      <c r="Z958" s="4">
        <v>22</v>
      </c>
      <c r="AA958" s="4">
        <v>92</v>
      </c>
      <c r="AB958" s="4">
        <v>1</v>
      </c>
      <c r="AC958" s="4">
        <v>15</v>
      </c>
      <c r="AD958" s="4">
        <v>80</v>
      </c>
      <c r="AE958" s="4">
        <v>130</v>
      </c>
      <c r="AF958" s="4">
        <v>0</v>
      </c>
      <c r="AG958" s="4">
        <v>8</v>
      </c>
      <c r="AH958" s="4">
        <v>72</v>
      </c>
      <c r="AI958" s="4">
        <v>95</v>
      </c>
      <c r="AJ958" s="4">
        <v>11</v>
      </c>
      <c r="AK958" s="4">
        <v>23</v>
      </c>
      <c r="AL958" s="4">
        <v>46</v>
      </c>
      <c r="AM958" s="4">
        <v>55</v>
      </c>
      <c r="AN958" s="4">
        <v>0</v>
      </c>
      <c r="AO958" s="4">
        <v>0</v>
      </c>
      <c r="AP958" s="4">
        <v>13</v>
      </c>
      <c r="AQ958" s="4">
        <v>42</v>
      </c>
      <c r="AR958" s="3" t="s">
        <v>64</v>
      </c>
      <c r="AS958" s="3" t="s">
        <v>64</v>
      </c>
      <c r="AT958" s="3" t="s">
        <v>64</v>
      </c>
      <c r="AV958" s="6" t="str">
        <f>HYPERLINK("http://mcgill.on.worldcat.org/oclc/320798611","Catalog Record")</f>
        <v>Catalog Record</v>
      </c>
      <c r="AW958" s="6" t="str">
        <f>HYPERLINK("http://www.worldcat.org/oclc/320798611","WorldCat Record")</f>
        <v>WorldCat Record</v>
      </c>
      <c r="AX958" s="3" t="s">
        <v>9477</v>
      </c>
      <c r="AY958" s="3" t="s">
        <v>9478</v>
      </c>
      <c r="AZ958" s="3" t="s">
        <v>9479</v>
      </c>
      <c r="BA958" s="3" t="s">
        <v>9479</v>
      </c>
      <c r="BB958" s="3" t="s">
        <v>9480</v>
      </c>
      <c r="BC958" s="3" t="s">
        <v>77</v>
      </c>
      <c r="BD958" s="3" t="s">
        <v>78</v>
      </c>
      <c r="BE958" s="3" t="s">
        <v>9481</v>
      </c>
      <c r="BF958" s="3" t="s">
        <v>9480</v>
      </c>
      <c r="BG958" s="3" t="s">
        <v>9482</v>
      </c>
      <c r="BH958">
        <f t="shared" si="28"/>
        <v>0</v>
      </c>
    </row>
    <row r="959" spans="1:60" ht="58" x14ac:dyDescent="0.35">
      <c r="A959" s="2" t="s">
        <v>59</v>
      </c>
      <c r="B959" s="2" t="s">
        <v>60</v>
      </c>
      <c r="C959" s="2" t="s">
        <v>9483</v>
      </c>
      <c r="D959" s="2" t="s">
        <v>9484</v>
      </c>
      <c r="E959" s="2" t="s">
        <v>9485</v>
      </c>
      <c r="G959" s="3" t="s">
        <v>64</v>
      </c>
      <c r="I959" s="3" t="s">
        <v>64</v>
      </c>
      <c r="J959" s="3" t="s">
        <v>64</v>
      </c>
      <c r="K959" s="3" t="s">
        <v>65</v>
      </c>
      <c r="L959" s="2" t="s">
        <v>9486</v>
      </c>
      <c r="M959" s="2" t="s">
        <v>9487</v>
      </c>
      <c r="N959" s="3" t="s">
        <v>1004</v>
      </c>
      <c r="O959" s="2" t="s">
        <v>2149</v>
      </c>
      <c r="P959" s="3" t="s">
        <v>102</v>
      </c>
      <c r="Q959" s="2" t="s">
        <v>9488</v>
      </c>
      <c r="R959" s="3" t="s">
        <v>70</v>
      </c>
      <c r="S959" s="4">
        <v>21</v>
      </c>
      <c r="T959" s="4">
        <v>21</v>
      </c>
      <c r="U959" s="5" t="s">
        <v>9489</v>
      </c>
      <c r="V959" s="5" t="s">
        <v>9489</v>
      </c>
      <c r="W959" s="5" t="s">
        <v>72</v>
      </c>
      <c r="X959" s="5" t="s">
        <v>72</v>
      </c>
      <c r="Y959" s="4">
        <v>1113</v>
      </c>
      <c r="Z959" s="4">
        <v>46</v>
      </c>
      <c r="AA959" s="4">
        <v>48</v>
      </c>
      <c r="AB959" s="4">
        <v>2</v>
      </c>
      <c r="AC959" s="4">
        <v>3</v>
      </c>
      <c r="AD959" s="4">
        <v>136</v>
      </c>
      <c r="AE959" s="4">
        <v>137</v>
      </c>
      <c r="AF959" s="4">
        <v>0</v>
      </c>
      <c r="AG959" s="4">
        <v>1</v>
      </c>
      <c r="AH959" s="4">
        <v>108</v>
      </c>
      <c r="AI959" s="4">
        <v>108</v>
      </c>
      <c r="AJ959" s="4">
        <v>20</v>
      </c>
      <c r="AK959" s="4">
        <v>21</v>
      </c>
      <c r="AL959" s="4">
        <v>59</v>
      </c>
      <c r="AM959" s="4">
        <v>59</v>
      </c>
      <c r="AN959" s="4">
        <v>0</v>
      </c>
      <c r="AO959" s="4">
        <v>0</v>
      </c>
      <c r="AP959" s="4">
        <v>33</v>
      </c>
      <c r="AQ959" s="4">
        <v>33</v>
      </c>
      <c r="AR959" s="3" t="s">
        <v>64</v>
      </c>
      <c r="AS959" s="3" t="s">
        <v>64</v>
      </c>
      <c r="AT959" s="3" t="s">
        <v>128</v>
      </c>
      <c r="AU959" s="6" t="str">
        <f>HYPERLINK("http://catalog.hathitrust.org/Record/000238533","HathiTrust Record")</f>
        <v>HathiTrust Record</v>
      </c>
      <c r="AV959" s="6" t="str">
        <f>HYPERLINK("http://mcgill.on.worldcat.org/oclc/9133273","Catalog Record")</f>
        <v>Catalog Record</v>
      </c>
      <c r="AW959" s="6" t="str">
        <f>HYPERLINK("http://www.worldcat.org/oclc/9133273","WorldCat Record")</f>
        <v>WorldCat Record</v>
      </c>
      <c r="AX959" s="3" t="s">
        <v>9490</v>
      </c>
      <c r="AY959" s="3" t="s">
        <v>9491</v>
      </c>
      <c r="AZ959" s="3" t="s">
        <v>9492</v>
      </c>
      <c r="BA959" s="3" t="s">
        <v>9492</v>
      </c>
      <c r="BB959" s="3" t="s">
        <v>9493</v>
      </c>
      <c r="BC959" s="3" t="s">
        <v>77</v>
      </c>
      <c r="BD959" s="3" t="s">
        <v>78</v>
      </c>
      <c r="BE959" s="3" t="s">
        <v>9494</v>
      </c>
      <c r="BF959" s="3" t="s">
        <v>9493</v>
      </c>
      <c r="BG959" s="3" t="s">
        <v>9495</v>
      </c>
      <c r="BH959">
        <f t="shared" si="28"/>
        <v>0</v>
      </c>
    </row>
    <row r="960" spans="1:60" ht="58" x14ac:dyDescent="0.35">
      <c r="A960" s="2" t="s">
        <v>59</v>
      </c>
      <c r="B960" s="2" t="s">
        <v>60</v>
      </c>
      <c r="C960" s="2" t="s">
        <v>9496</v>
      </c>
      <c r="D960" s="2" t="s">
        <v>9497</v>
      </c>
      <c r="E960" s="2" t="s">
        <v>9498</v>
      </c>
      <c r="G960" s="3" t="s">
        <v>64</v>
      </c>
      <c r="I960" s="3" t="s">
        <v>64</v>
      </c>
      <c r="J960" s="3" t="s">
        <v>128</v>
      </c>
      <c r="K960" s="3" t="s">
        <v>65</v>
      </c>
      <c r="L960" s="2" t="s">
        <v>9499</v>
      </c>
      <c r="M960" s="2" t="s">
        <v>9500</v>
      </c>
      <c r="N960" s="3" t="s">
        <v>131</v>
      </c>
      <c r="P960" s="3" t="s">
        <v>68</v>
      </c>
      <c r="Q960" s="2" t="s">
        <v>9501</v>
      </c>
      <c r="R960" s="3" t="s">
        <v>70</v>
      </c>
      <c r="S960" s="4">
        <v>10</v>
      </c>
      <c r="T960" s="4">
        <v>10</v>
      </c>
      <c r="U960" s="5" t="s">
        <v>9502</v>
      </c>
      <c r="V960" s="5" t="s">
        <v>9502</v>
      </c>
      <c r="W960" s="5" t="s">
        <v>72</v>
      </c>
      <c r="X960" s="5" t="s">
        <v>72</v>
      </c>
      <c r="Y960" s="4">
        <v>5</v>
      </c>
      <c r="Z960" s="4">
        <v>3</v>
      </c>
      <c r="AA960" s="4">
        <v>42</v>
      </c>
      <c r="AB960" s="4">
        <v>1</v>
      </c>
      <c r="AC960" s="4">
        <v>7</v>
      </c>
      <c r="AD960" s="4">
        <v>2</v>
      </c>
      <c r="AE960" s="4">
        <v>106</v>
      </c>
      <c r="AF960" s="4">
        <v>0</v>
      </c>
      <c r="AG960" s="4">
        <v>4</v>
      </c>
      <c r="AH960" s="4">
        <v>1</v>
      </c>
      <c r="AI960" s="4">
        <v>86</v>
      </c>
      <c r="AJ960" s="4">
        <v>2</v>
      </c>
      <c r="AK960" s="4">
        <v>23</v>
      </c>
      <c r="AL960" s="4">
        <v>0</v>
      </c>
      <c r="AM960" s="4">
        <v>46</v>
      </c>
      <c r="AN960" s="4">
        <v>0</v>
      </c>
      <c r="AO960" s="4">
        <v>0</v>
      </c>
      <c r="AP960" s="4">
        <v>2</v>
      </c>
      <c r="AQ960" s="4">
        <v>28</v>
      </c>
      <c r="AR960" s="3" t="s">
        <v>64</v>
      </c>
      <c r="AS960" s="3" t="s">
        <v>64</v>
      </c>
      <c r="AT960" s="3" t="s">
        <v>64</v>
      </c>
      <c r="AV960" s="6" t="str">
        <f>HYPERLINK("http://mcgill.on.worldcat.org/oclc/427323208","Catalog Record")</f>
        <v>Catalog Record</v>
      </c>
      <c r="AW960" s="6" t="str">
        <f>HYPERLINK("http://www.worldcat.org/oclc/427323208","WorldCat Record")</f>
        <v>WorldCat Record</v>
      </c>
      <c r="AX960" s="3" t="s">
        <v>9503</v>
      </c>
      <c r="AY960" s="3" t="s">
        <v>9504</v>
      </c>
      <c r="AZ960" s="3" t="s">
        <v>9505</v>
      </c>
      <c r="BA960" s="3" t="s">
        <v>9505</v>
      </c>
      <c r="BB960" s="3" t="s">
        <v>9506</v>
      </c>
      <c r="BC960" s="3" t="s">
        <v>77</v>
      </c>
      <c r="BD960" s="3" t="s">
        <v>78</v>
      </c>
      <c r="BF960" s="3" t="s">
        <v>9506</v>
      </c>
      <c r="BG960" s="3" t="s">
        <v>9507</v>
      </c>
      <c r="BH960">
        <f t="shared" si="28"/>
        <v>0</v>
      </c>
    </row>
    <row r="961" spans="1:60" ht="58" x14ac:dyDescent="0.35">
      <c r="A961" s="2" t="s">
        <v>59</v>
      </c>
      <c r="B961" s="2" t="s">
        <v>60</v>
      </c>
      <c r="C961" s="2" t="s">
        <v>9508</v>
      </c>
      <c r="D961" s="2" t="s">
        <v>9509</v>
      </c>
      <c r="E961" s="2" t="s">
        <v>9510</v>
      </c>
      <c r="G961" s="3" t="s">
        <v>64</v>
      </c>
      <c r="I961" s="3" t="s">
        <v>64</v>
      </c>
      <c r="J961" s="3" t="s">
        <v>64</v>
      </c>
      <c r="K961" s="3" t="s">
        <v>65</v>
      </c>
      <c r="M961" s="2" t="s">
        <v>9511</v>
      </c>
      <c r="N961" s="3" t="s">
        <v>551</v>
      </c>
      <c r="P961" s="3" t="s">
        <v>68</v>
      </c>
      <c r="R961" s="3" t="s">
        <v>70</v>
      </c>
      <c r="S961" s="4">
        <v>3</v>
      </c>
      <c r="T961" s="4">
        <v>3</v>
      </c>
      <c r="U961" s="5" t="s">
        <v>9512</v>
      </c>
      <c r="V961" s="5" t="s">
        <v>9512</v>
      </c>
      <c r="W961" s="5" t="s">
        <v>72</v>
      </c>
      <c r="X961" s="5" t="s">
        <v>72</v>
      </c>
      <c r="Y961" s="4">
        <v>41</v>
      </c>
      <c r="Z961" s="4">
        <v>7</v>
      </c>
      <c r="AA961" s="4">
        <v>9</v>
      </c>
      <c r="AB961" s="4">
        <v>2</v>
      </c>
      <c r="AC961" s="4">
        <v>4</v>
      </c>
      <c r="AD961" s="4">
        <v>23</v>
      </c>
      <c r="AE961" s="4">
        <v>25</v>
      </c>
      <c r="AF961" s="4">
        <v>1</v>
      </c>
      <c r="AG961" s="4">
        <v>3</v>
      </c>
      <c r="AH961" s="4">
        <v>19</v>
      </c>
      <c r="AI961" s="4">
        <v>19</v>
      </c>
      <c r="AJ961" s="4">
        <v>4</v>
      </c>
      <c r="AK961" s="4">
        <v>6</v>
      </c>
      <c r="AL961" s="4">
        <v>17</v>
      </c>
      <c r="AM961" s="4">
        <v>17</v>
      </c>
      <c r="AN961" s="4">
        <v>0</v>
      </c>
      <c r="AO961" s="4">
        <v>0</v>
      </c>
      <c r="AP961" s="4">
        <v>5</v>
      </c>
      <c r="AQ961" s="4">
        <v>6</v>
      </c>
      <c r="AR961" s="3" t="s">
        <v>64</v>
      </c>
      <c r="AS961" s="3" t="s">
        <v>64</v>
      </c>
      <c r="AT961" s="3" t="s">
        <v>64</v>
      </c>
      <c r="AV961" s="6" t="str">
        <f>HYPERLINK("http://mcgill.on.worldcat.org/oclc/436342555","Catalog Record")</f>
        <v>Catalog Record</v>
      </c>
      <c r="AW961" s="6" t="str">
        <f>HYPERLINK("http://www.worldcat.org/oclc/436342555","WorldCat Record")</f>
        <v>WorldCat Record</v>
      </c>
      <c r="AX961" s="3" t="s">
        <v>9513</v>
      </c>
      <c r="AY961" s="3" t="s">
        <v>9514</v>
      </c>
      <c r="AZ961" s="3" t="s">
        <v>9515</v>
      </c>
      <c r="BA961" s="3" t="s">
        <v>9515</v>
      </c>
      <c r="BB961" s="3" t="s">
        <v>9516</v>
      </c>
      <c r="BC961" s="3" t="s">
        <v>77</v>
      </c>
      <c r="BD961" s="3" t="s">
        <v>78</v>
      </c>
      <c r="BE961" s="3" t="s">
        <v>9517</v>
      </c>
      <c r="BF961" s="3" t="s">
        <v>9516</v>
      </c>
      <c r="BG961" s="3" t="s">
        <v>9518</v>
      </c>
      <c r="BH961">
        <f t="shared" si="28"/>
        <v>0</v>
      </c>
    </row>
    <row r="962" spans="1:60" ht="58" x14ac:dyDescent="0.35">
      <c r="A962" s="2" t="s">
        <v>59</v>
      </c>
      <c r="B962" s="2" t="s">
        <v>60</v>
      </c>
      <c r="C962" s="2" t="s">
        <v>9519</v>
      </c>
      <c r="D962" s="2" t="s">
        <v>9520</v>
      </c>
      <c r="E962" s="2" t="s">
        <v>9521</v>
      </c>
      <c r="G962" s="3" t="s">
        <v>64</v>
      </c>
      <c r="I962" s="3" t="s">
        <v>64</v>
      </c>
      <c r="J962" s="3" t="s">
        <v>64</v>
      </c>
      <c r="K962" s="3" t="s">
        <v>65</v>
      </c>
      <c r="L962" s="2" t="s">
        <v>9522</v>
      </c>
      <c r="M962" s="2" t="s">
        <v>1396</v>
      </c>
      <c r="N962" s="3" t="s">
        <v>551</v>
      </c>
      <c r="P962" s="3" t="s">
        <v>102</v>
      </c>
      <c r="R962" s="3" t="s">
        <v>70</v>
      </c>
      <c r="S962" s="4">
        <v>11</v>
      </c>
      <c r="T962" s="4">
        <v>11</v>
      </c>
      <c r="U962" s="5" t="s">
        <v>3403</v>
      </c>
      <c r="V962" s="5" t="s">
        <v>3403</v>
      </c>
      <c r="W962" s="5" t="s">
        <v>72</v>
      </c>
      <c r="X962" s="5" t="s">
        <v>72</v>
      </c>
      <c r="Y962" s="4">
        <v>171</v>
      </c>
      <c r="Z962" s="4">
        <v>16</v>
      </c>
      <c r="AA962" s="4">
        <v>18</v>
      </c>
      <c r="AB962" s="4">
        <v>2</v>
      </c>
      <c r="AC962" s="4">
        <v>3</v>
      </c>
      <c r="AD962" s="4">
        <v>82</v>
      </c>
      <c r="AE962" s="4">
        <v>84</v>
      </c>
      <c r="AF962" s="4">
        <v>0</v>
      </c>
      <c r="AG962" s="4">
        <v>0</v>
      </c>
      <c r="AH962" s="4">
        <v>76</v>
      </c>
      <c r="AI962" s="4">
        <v>78</v>
      </c>
      <c r="AJ962" s="4">
        <v>10</v>
      </c>
      <c r="AK962" s="4">
        <v>10</v>
      </c>
      <c r="AL962" s="4">
        <v>43</v>
      </c>
      <c r="AM962" s="4">
        <v>45</v>
      </c>
      <c r="AN962" s="4">
        <v>0</v>
      </c>
      <c r="AO962" s="4">
        <v>0</v>
      </c>
      <c r="AP962" s="4">
        <v>12</v>
      </c>
      <c r="AQ962" s="4">
        <v>12</v>
      </c>
      <c r="AR962" s="3" t="s">
        <v>64</v>
      </c>
      <c r="AS962" s="3" t="s">
        <v>64</v>
      </c>
      <c r="AT962" s="3" t="s">
        <v>128</v>
      </c>
      <c r="AU962" s="6" t="str">
        <f>HYPERLINK("http://catalog.hathitrust.org/Record/006856812","HathiTrust Record")</f>
        <v>HathiTrust Record</v>
      </c>
      <c r="AV962" s="6" t="str">
        <f>HYPERLINK("http://mcgill.on.worldcat.org/oclc/255141784","Catalog Record")</f>
        <v>Catalog Record</v>
      </c>
      <c r="AW962" s="6" t="str">
        <f>HYPERLINK("http://www.worldcat.org/oclc/255141784","WorldCat Record")</f>
        <v>WorldCat Record</v>
      </c>
      <c r="AX962" s="3" t="s">
        <v>9523</v>
      </c>
      <c r="AY962" s="3" t="s">
        <v>9524</v>
      </c>
      <c r="AZ962" s="3" t="s">
        <v>9525</v>
      </c>
      <c r="BA962" s="3" t="s">
        <v>9525</v>
      </c>
      <c r="BB962" s="3" t="s">
        <v>9526</v>
      </c>
      <c r="BC962" s="3" t="s">
        <v>77</v>
      </c>
      <c r="BD962" s="3" t="s">
        <v>165</v>
      </c>
      <c r="BE962" s="3" t="s">
        <v>9527</v>
      </c>
      <c r="BF962" s="3" t="s">
        <v>9526</v>
      </c>
      <c r="BG962" s="3" t="s">
        <v>9528</v>
      </c>
      <c r="BH962">
        <f t="shared" ref="BH962:BH1025" si="29">IF(COUNTIF($BF$1:$BF$5431,BF962)=1,0,1)</f>
        <v>0</v>
      </c>
    </row>
    <row r="963" spans="1:60" ht="58" x14ac:dyDescent="0.35">
      <c r="A963" s="2" t="s">
        <v>59</v>
      </c>
      <c r="B963" s="2" t="s">
        <v>60</v>
      </c>
      <c r="C963" s="2" t="s">
        <v>9529</v>
      </c>
      <c r="D963" s="2" t="s">
        <v>9530</v>
      </c>
      <c r="E963" s="2" t="s">
        <v>9531</v>
      </c>
      <c r="G963" s="3" t="s">
        <v>64</v>
      </c>
      <c r="I963" s="3" t="s">
        <v>64</v>
      </c>
      <c r="J963" s="3" t="s">
        <v>64</v>
      </c>
      <c r="K963" s="3" t="s">
        <v>65</v>
      </c>
      <c r="L963" s="2" t="s">
        <v>9532</v>
      </c>
      <c r="M963" s="2" t="s">
        <v>9533</v>
      </c>
      <c r="N963" s="3" t="s">
        <v>67</v>
      </c>
      <c r="P963" s="3" t="s">
        <v>68</v>
      </c>
      <c r="Q963" s="2" t="s">
        <v>9534</v>
      </c>
      <c r="R963" s="3" t="s">
        <v>70</v>
      </c>
      <c r="S963" s="4">
        <v>3</v>
      </c>
      <c r="T963" s="4">
        <v>3</v>
      </c>
      <c r="U963" s="5" t="s">
        <v>9535</v>
      </c>
      <c r="V963" s="5" t="s">
        <v>9535</v>
      </c>
      <c r="W963" s="5" t="s">
        <v>72</v>
      </c>
      <c r="X963" s="5" t="s">
        <v>72</v>
      </c>
      <c r="Y963" s="4">
        <v>46</v>
      </c>
      <c r="Z963" s="4">
        <v>6</v>
      </c>
      <c r="AA963" s="4">
        <v>6</v>
      </c>
      <c r="AB963" s="4">
        <v>1</v>
      </c>
      <c r="AC963" s="4">
        <v>1</v>
      </c>
      <c r="AD963" s="4">
        <v>27</v>
      </c>
      <c r="AE963" s="4">
        <v>27</v>
      </c>
      <c r="AF963" s="4">
        <v>0</v>
      </c>
      <c r="AG963" s="4">
        <v>0</v>
      </c>
      <c r="AH963" s="4">
        <v>26</v>
      </c>
      <c r="AI963" s="4">
        <v>26</v>
      </c>
      <c r="AJ963" s="4">
        <v>4</v>
      </c>
      <c r="AK963" s="4">
        <v>4</v>
      </c>
      <c r="AL963" s="4">
        <v>21</v>
      </c>
      <c r="AM963" s="4">
        <v>21</v>
      </c>
      <c r="AN963" s="4">
        <v>0</v>
      </c>
      <c r="AO963" s="4">
        <v>0</v>
      </c>
      <c r="AP963" s="4">
        <v>4</v>
      </c>
      <c r="AQ963" s="4">
        <v>4</v>
      </c>
      <c r="AR963" s="3" t="s">
        <v>64</v>
      </c>
      <c r="AS963" s="3" t="s">
        <v>64</v>
      </c>
      <c r="AT963" s="3" t="s">
        <v>64</v>
      </c>
      <c r="AV963" s="6" t="str">
        <f>HYPERLINK("http://mcgill.on.worldcat.org/oclc/884707534","Catalog Record")</f>
        <v>Catalog Record</v>
      </c>
      <c r="AW963" s="6" t="str">
        <f>HYPERLINK("http://www.worldcat.org/oclc/884707534","WorldCat Record")</f>
        <v>WorldCat Record</v>
      </c>
      <c r="AX963" s="3" t="s">
        <v>9536</v>
      </c>
      <c r="AY963" s="3" t="s">
        <v>9537</v>
      </c>
      <c r="AZ963" s="3" t="s">
        <v>9538</v>
      </c>
      <c r="BA963" s="3" t="s">
        <v>9538</v>
      </c>
      <c r="BB963" s="3" t="s">
        <v>9539</v>
      </c>
      <c r="BC963" s="3" t="s">
        <v>77</v>
      </c>
      <c r="BD963" s="3" t="s">
        <v>78</v>
      </c>
      <c r="BE963" s="3" t="s">
        <v>9540</v>
      </c>
      <c r="BF963" s="3" t="s">
        <v>9539</v>
      </c>
      <c r="BG963" s="3" t="s">
        <v>9541</v>
      </c>
      <c r="BH963">
        <f t="shared" si="29"/>
        <v>0</v>
      </c>
    </row>
    <row r="964" spans="1:60" ht="58" x14ac:dyDescent="0.35">
      <c r="A964" s="2" t="s">
        <v>59</v>
      </c>
      <c r="B964" s="2" t="s">
        <v>60</v>
      </c>
      <c r="C964" s="2" t="s">
        <v>9542</v>
      </c>
      <c r="D964" s="2" t="s">
        <v>9543</v>
      </c>
      <c r="E964" s="2" t="s">
        <v>9544</v>
      </c>
      <c r="G964" s="3" t="s">
        <v>64</v>
      </c>
      <c r="I964" s="3" t="s">
        <v>64</v>
      </c>
      <c r="J964" s="3" t="s">
        <v>64</v>
      </c>
      <c r="K964" s="3" t="s">
        <v>65</v>
      </c>
      <c r="L964" s="2" t="s">
        <v>9545</v>
      </c>
      <c r="M964" s="2" t="s">
        <v>9546</v>
      </c>
      <c r="N964" s="3" t="s">
        <v>190</v>
      </c>
      <c r="P964" s="3" t="s">
        <v>102</v>
      </c>
      <c r="R964" s="3" t="s">
        <v>70</v>
      </c>
      <c r="S964" s="4">
        <v>0</v>
      </c>
      <c r="T964" s="4">
        <v>0</v>
      </c>
      <c r="W964" s="5" t="s">
        <v>72</v>
      </c>
      <c r="X964" s="5" t="s">
        <v>72</v>
      </c>
      <c r="Y964" s="4">
        <v>273</v>
      </c>
      <c r="Z964" s="4">
        <v>13</v>
      </c>
      <c r="AA964" s="4">
        <v>23</v>
      </c>
      <c r="AB964" s="4">
        <v>2</v>
      </c>
      <c r="AC964" s="4">
        <v>6</v>
      </c>
      <c r="AD964" s="4">
        <v>66</v>
      </c>
      <c r="AE964" s="4">
        <v>77</v>
      </c>
      <c r="AF964" s="4">
        <v>0</v>
      </c>
      <c r="AG964" s="4">
        <v>2</v>
      </c>
      <c r="AH964" s="4">
        <v>60</v>
      </c>
      <c r="AI964" s="4">
        <v>65</v>
      </c>
      <c r="AJ964" s="4">
        <v>5</v>
      </c>
      <c r="AK964" s="4">
        <v>10</v>
      </c>
      <c r="AL964" s="4">
        <v>42</v>
      </c>
      <c r="AM964" s="4">
        <v>44</v>
      </c>
      <c r="AN964" s="4">
        <v>0</v>
      </c>
      <c r="AO964" s="4">
        <v>0</v>
      </c>
      <c r="AP964" s="4">
        <v>8</v>
      </c>
      <c r="AQ964" s="4">
        <v>14</v>
      </c>
      <c r="AR964" s="3" t="s">
        <v>64</v>
      </c>
      <c r="AS964" s="3" t="s">
        <v>64</v>
      </c>
      <c r="AT964" s="3" t="s">
        <v>64</v>
      </c>
      <c r="AV964" s="6" t="str">
        <f>HYPERLINK("http://mcgill.on.worldcat.org/oclc/982092908","Catalog Record")</f>
        <v>Catalog Record</v>
      </c>
      <c r="AW964" s="6" t="str">
        <f>HYPERLINK("http://www.worldcat.org/oclc/982092908","WorldCat Record")</f>
        <v>WorldCat Record</v>
      </c>
      <c r="AX964" s="3" t="s">
        <v>9547</v>
      </c>
      <c r="AY964" s="3" t="s">
        <v>9548</v>
      </c>
      <c r="AZ964" s="3" t="s">
        <v>9549</v>
      </c>
      <c r="BA964" s="3" t="s">
        <v>9549</v>
      </c>
      <c r="BB964" s="3" t="s">
        <v>9550</v>
      </c>
      <c r="BC964" s="3" t="s">
        <v>77</v>
      </c>
      <c r="BD964" s="3" t="s">
        <v>78</v>
      </c>
      <c r="BE964" s="3" t="s">
        <v>9551</v>
      </c>
      <c r="BF964" s="3" t="s">
        <v>9550</v>
      </c>
      <c r="BG964" s="3" t="s">
        <v>9552</v>
      </c>
      <c r="BH964">
        <f t="shared" si="29"/>
        <v>0</v>
      </c>
    </row>
    <row r="965" spans="1:60" ht="58" x14ac:dyDescent="0.35">
      <c r="A965" s="2" t="s">
        <v>59</v>
      </c>
      <c r="B965" s="2" t="s">
        <v>60</v>
      </c>
      <c r="C965" s="2" t="s">
        <v>9553</v>
      </c>
      <c r="D965" s="2" t="s">
        <v>9554</v>
      </c>
      <c r="E965" s="2" t="s">
        <v>9555</v>
      </c>
      <c r="G965" s="3" t="s">
        <v>64</v>
      </c>
      <c r="I965" s="3" t="s">
        <v>64</v>
      </c>
      <c r="J965" s="3" t="s">
        <v>64</v>
      </c>
      <c r="K965" s="3" t="s">
        <v>65</v>
      </c>
      <c r="L965" s="2" t="s">
        <v>3401</v>
      </c>
      <c r="M965" s="2" t="s">
        <v>9556</v>
      </c>
      <c r="N965" s="3" t="s">
        <v>405</v>
      </c>
      <c r="P965" s="3" t="s">
        <v>102</v>
      </c>
      <c r="Q965" s="2" t="s">
        <v>9557</v>
      </c>
      <c r="R965" s="3" t="s">
        <v>70</v>
      </c>
      <c r="S965" s="4">
        <v>24</v>
      </c>
      <c r="T965" s="4">
        <v>24</v>
      </c>
      <c r="U965" s="5" t="s">
        <v>9558</v>
      </c>
      <c r="V965" s="5" t="s">
        <v>9558</v>
      </c>
      <c r="W965" s="5" t="s">
        <v>72</v>
      </c>
      <c r="X965" s="5" t="s">
        <v>72</v>
      </c>
      <c r="Y965" s="4">
        <v>627</v>
      </c>
      <c r="Z965" s="4">
        <v>36</v>
      </c>
      <c r="AA965" s="4">
        <v>42</v>
      </c>
      <c r="AB965" s="4">
        <v>2</v>
      </c>
      <c r="AC965" s="4">
        <v>5</v>
      </c>
      <c r="AD965" s="4">
        <v>122</v>
      </c>
      <c r="AE965" s="4">
        <v>127</v>
      </c>
      <c r="AF965" s="4">
        <v>1</v>
      </c>
      <c r="AG965" s="4">
        <v>3</v>
      </c>
      <c r="AH965" s="4">
        <v>102</v>
      </c>
      <c r="AI965" s="4">
        <v>105</v>
      </c>
      <c r="AJ965" s="4">
        <v>21</v>
      </c>
      <c r="AK965" s="4">
        <v>23</v>
      </c>
      <c r="AL965" s="4">
        <v>56</v>
      </c>
      <c r="AM965" s="4">
        <v>57</v>
      </c>
      <c r="AN965" s="4">
        <v>5</v>
      </c>
      <c r="AO965" s="4">
        <v>5</v>
      </c>
      <c r="AP965" s="4">
        <v>27</v>
      </c>
      <c r="AQ965" s="4">
        <v>29</v>
      </c>
      <c r="AR965" s="3" t="s">
        <v>64</v>
      </c>
      <c r="AS965" s="3" t="s">
        <v>64</v>
      </c>
      <c r="AT965" s="3" t="s">
        <v>128</v>
      </c>
      <c r="AU965" s="6" t="str">
        <f>HYPERLINK("http://catalog.hathitrust.org/Record/000169330","HathiTrust Record")</f>
        <v>HathiTrust Record</v>
      </c>
      <c r="AV965" s="6" t="str">
        <f>HYPERLINK("http://mcgill.on.worldcat.org/oclc/4368368","Catalog Record")</f>
        <v>Catalog Record</v>
      </c>
      <c r="AW965" s="6" t="str">
        <f>HYPERLINK("http://www.worldcat.org/oclc/4368368","WorldCat Record")</f>
        <v>WorldCat Record</v>
      </c>
      <c r="AX965" s="3" t="s">
        <v>9559</v>
      </c>
      <c r="AY965" s="3" t="s">
        <v>9560</v>
      </c>
      <c r="AZ965" s="3" t="s">
        <v>9561</v>
      </c>
      <c r="BA965" s="3" t="s">
        <v>9561</v>
      </c>
      <c r="BB965" s="3" t="s">
        <v>9562</v>
      </c>
      <c r="BC965" s="3" t="s">
        <v>77</v>
      </c>
      <c r="BD965" s="3" t="s">
        <v>78</v>
      </c>
      <c r="BE965" s="3" t="s">
        <v>9563</v>
      </c>
      <c r="BF965" s="3" t="s">
        <v>9562</v>
      </c>
      <c r="BG965" s="3" t="s">
        <v>9564</v>
      </c>
      <c r="BH965">
        <f t="shared" si="29"/>
        <v>0</v>
      </c>
    </row>
    <row r="966" spans="1:60" ht="58" x14ac:dyDescent="0.35">
      <c r="A966" s="2" t="s">
        <v>59</v>
      </c>
      <c r="B966" s="2" t="s">
        <v>60</v>
      </c>
      <c r="C966" s="2" t="s">
        <v>9565</v>
      </c>
      <c r="D966" s="2" t="s">
        <v>9566</v>
      </c>
      <c r="E966" s="2" t="s">
        <v>9567</v>
      </c>
      <c r="G966" s="3" t="s">
        <v>64</v>
      </c>
      <c r="I966" s="3" t="s">
        <v>64</v>
      </c>
      <c r="J966" s="3" t="s">
        <v>64</v>
      </c>
      <c r="K966" s="3" t="s">
        <v>65</v>
      </c>
      <c r="L966" s="2" t="s">
        <v>9568</v>
      </c>
      <c r="M966" s="2" t="s">
        <v>9569</v>
      </c>
      <c r="N966" s="3" t="s">
        <v>144</v>
      </c>
      <c r="O966" s="2" t="s">
        <v>2981</v>
      </c>
      <c r="P966" s="3" t="s">
        <v>68</v>
      </c>
      <c r="Q966" s="2" t="s">
        <v>9570</v>
      </c>
      <c r="R966" s="3" t="s">
        <v>70</v>
      </c>
      <c r="S966" s="4">
        <v>5</v>
      </c>
      <c r="T966" s="4">
        <v>5</v>
      </c>
      <c r="U966" s="5" t="s">
        <v>89</v>
      </c>
      <c r="V966" s="5" t="s">
        <v>89</v>
      </c>
      <c r="W966" s="5" t="s">
        <v>72</v>
      </c>
      <c r="X966" s="5" t="s">
        <v>72</v>
      </c>
      <c r="Y966" s="4">
        <v>25</v>
      </c>
      <c r="Z966" s="4">
        <v>3</v>
      </c>
      <c r="AA966" s="4">
        <v>17</v>
      </c>
      <c r="AB966" s="4">
        <v>1</v>
      </c>
      <c r="AC966" s="4">
        <v>6</v>
      </c>
      <c r="AD966" s="4">
        <v>16</v>
      </c>
      <c r="AE966" s="4">
        <v>53</v>
      </c>
      <c r="AF966" s="4">
        <v>0</v>
      </c>
      <c r="AG966" s="4">
        <v>4</v>
      </c>
      <c r="AH966" s="4">
        <v>14</v>
      </c>
      <c r="AI966" s="4">
        <v>43</v>
      </c>
      <c r="AJ966" s="4">
        <v>2</v>
      </c>
      <c r="AK966" s="4">
        <v>13</v>
      </c>
      <c r="AL966" s="4">
        <v>13</v>
      </c>
      <c r="AM966" s="4">
        <v>28</v>
      </c>
      <c r="AN966" s="4">
        <v>0</v>
      </c>
      <c r="AO966" s="4">
        <v>0</v>
      </c>
      <c r="AP966" s="4">
        <v>2</v>
      </c>
      <c r="AQ966" s="4">
        <v>13</v>
      </c>
      <c r="AR966" s="3" t="s">
        <v>64</v>
      </c>
      <c r="AS966" s="3" t="s">
        <v>64</v>
      </c>
      <c r="AT966" s="3" t="s">
        <v>64</v>
      </c>
      <c r="AV966" s="6" t="str">
        <f>HYPERLINK("http://mcgill.on.worldcat.org/oclc/316187093","Catalog Record")</f>
        <v>Catalog Record</v>
      </c>
      <c r="AW966" s="6" t="str">
        <f>HYPERLINK("http://www.worldcat.org/oclc/316187093","WorldCat Record")</f>
        <v>WorldCat Record</v>
      </c>
      <c r="AX966" s="3" t="s">
        <v>9571</v>
      </c>
      <c r="AY966" s="3" t="s">
        <v>9572</v>
      </c>
      <c r="AZ966" s="3" t="s">
        <v>9573</v>
      </c>
      <c r="BA966" s="3" t="s">
        <v>9573</v>
      </c>
      <c r="BB966" s="3" t="s">
        <v>9574</v>
      </c>
      <c r="BC966" s="3" t="s">
        <v>77</v>
      </c>
      <c r="BD966" s="3" t="s">
        <v>78</v>
      </c>
      <c r="BE966" s="3" t="s">
        <v>9575</v>
      </c>
      <c r="BF966" s="3" t="s">
        <v>9574</v>
      </c>
      <c r="BG966" s="3" t="s">
        <v>9576</v>
      </c>
      <c r="BH966">
        <f t="shared" si="29"/>
        <v>0</v>
      </c>
    </row>
    <row r="967" spans="1:60" ht="58" x14ac:dyDescent="0.35">
      <c r="A967" s="2" t="s">
        <v>59</v>
      </c>
      <c r="B967" s="2" t="s">
        <v>60</v>
      </c>
      <c r="C967" s="2" t="s">
        <v>9577</v>
      </c>
      <c r="D967" s="2" t="s">
        <v>9578</v>
      </c>
      <c r="E967" s="2" t="s">
        <v>9579</v>
      </c>
      <c r="G967" s="3" t="s">
        <v>64</v>
      </c>
      <c r="I967" s="3" t="s">
        <v>64</v>
      </c>
      <c r="J967" s="3" t="s">
        <v>64</v>
      </c>
      <c r="K967" s="3" t="s">
        <v>65</v>
      </c>
      <c r="L967" s="2" t="s">
        <v>9568</v>
      </c>
      <c r="M967" s="2" t="s">
        <v>9580</v>
      </c>
      <c r="N967" s="3" t="s">
        <v>86</v>
      </c>
      <c r="P967" s="3" t="s">
        <v>68</v>
      </c>
      <c r="Q967" s="2" t="s">
        <v>9581</v>
      </c>
      <c r="R967" s="3" t="s">
        <v>70</v>
      </c>
      <c r="S967" s="4">
        <v>1</v>
      </c>
      <c r="T967" s="4">
        <v>1</v>
      </c>
      <c r="U967" s="5" t="s">
        <v>89</v>
      </c>
      <c r="V967" s="5" t="s">
        <v>89</v>
      </c>
      <c r="W967" s="5" t="s">
        <v>72</v>
      </c>
      <c r="X967" s="5" t="s">
        <v>72</v>
      </c>
      <c r="Y967" s="4">
        <v>16</v>
      </c>
      <c r="Z967" s="4">
        <v>2</v>
      </c>
      <c r="AA967" s="4">
        <v>2</v>
      </c>
      <c r="AB967" s="4">
        <v>1</v>
      </c>
      <c r="AC967" s="4">
        <v>1</v>
      </c>
      <c r="AD967" s="4">
        <v>13</v>
      </c>
      <c r="AE967" s="4">
        <v>13</v>
      </c>
      <c r="AF967" s="4">
        <v>0</v>
      </c>
      <c r="AG967" s="4">
        <v>0</v>
      </c>
      <c r="AH967" s="4">
        <v>13</v>
      </c>
      <c r="AI967" s="4">
        <v>13</v>
      </c>
      <c r="AJ967" s="4">
        <v>1</v>
      </c>
      <c r="AK967" s="4">
        <v>1</v>
      </c>
      <c r="AL967" s="4">
        <v>10</v>
      </c>
      <c r="AM967" s="4">
        <v>10</v>
      </c>
      <c r="AN967" s="4">
        <v>0</v>
      </c>
      <c r="AO967" s="4">
        <v>0</v>
      </c>
      <c r="AP967" s="4">
        <v>1</v>
      </c>
      <c r="AQ967" s="4">
        <v>1</v>
      </c>
      <c r="AR967" s="3" t="s">
        <v>64</v>
      </c>
      <c r="AS967" s="3" t="s">
        <v>64</v>
      </c>
      <c r="AT967" s="3" t="s">
        <v>64</v>
      </c>
      <c r="AV967" s="6" t="str">
        <f>HYPERLINK("http://mcgill.on.worldcat.org/oclc/795912018","Catalog Record")</f>
        <v>Catalog Record</v>
      </c>
      <c r="AW967" s="6" t="str">
        <f>HYPERLINK("http://www.worldcat.org/oclc/795912018","WorldCat Record")</f>
        <v>WorldCat Record</v>
      </c>
      <c r="AX967" s="3" t="s">
        <v>9582</v>
      </c>
      <c r="AY967" s="3" t="s">
        <v>9583</v>
      </c>
      <c r="AZ967" s="3" t="s">
        <v>9584</v>
      </c>
      <c r="BA967" s="3" t="s">
        <v>9584</v>
      </c>
      <c r="BB967" s="3" t="s">
        <v>9585</v>
      </c>
      <c r="BC967" s="3" t="s">
        <v>77</v>
      </c>
      <c r="BD967" s="3" t="s">
        <v>78</v>
      </c>
      <c r="BE967" s="3" t="s">
        <v>9586</v>
      </c>
      <c r="BF967" s="3" t="s">
        <v>9585</v>
      </c>
      <c r="BG967" s="3" t="s">
        <v>9587</v>
      </c>
      <c r="BH967">
        <f t="shared" si="29"/>
        <v>0</v>
      </c>
    </row>
    <row r="968" spans="1:60" ht="58" x14ac:dyDescent="0.35">
      <c r="A968" s="2" t="s">
        <v>59</v>
      </c>
      <c r="B968" s="2" t="s">
        <v>60</v>
      </c>
      <c r="C968" s="2" t="s">
        <v>9588</v>
      </c>
      <c r="D968" s="2" t="s">
        <v>9589</v>
      </c>
      <c r="E968" s="2" t="s">
        <v>9590</v>
      </c>
      <c r="G968" s="3" t="s">
        <v>64</v>
      </c>
      <c r="I968" s="3" t="s">
        <v>64</v>
      </c>
      <c r="J968" s="3" t="s">
        <v>64</v>
      </c>
      <c r="K968" s="3" t="s">
        <v>65</v>
      </c>
      <c r="L968" s="2" t="s">
        <v>9591</v>
      </c>
      <c r="M968" s="2" t="s">
        <v>9592</v>
      </c>
      <c r="N968" s="3" t="s">
        <v>511</v>
      </c>
      <c r="P968" s="3" t="s">
        <v>68</v>
      </c>
      <c r="R968" s="3" t="s">
        <v>70</v>
      </c>
      <c r="S968" s="4">
        <v>1</v>
      </c>
      <c r="T968" s="4">
        <v>1</v>
      </c>
      <c r="U968" s="5" t="s">
        <v>9593</v>
      </c>
      <c r="V968" s="5" t="s">
        <v>9593</v>
      </c>
      <c r="W968" s="5" t="s">
        <v>72</v>
      </c>
      <c r="X968" s="5" t="s">
        <v>72</v>
      </c>
      <c r="Y968" s="4">
        <v>25</v>
      </c>
      <c r="Z968" s="4">
        <v>3</v>
      </c>
      <c r="AA968" s="4">
        <v>9</v>
      </c>
      <c r="AB968" s="4">
        <v>1</v>
      </c>
      <c r="AC968" s="4">
        <v>5</v>
      </c>
      <c r="AD968" s="4">
        <v>18</v>
      </c>
      <c r="AE968" s="4">
        <v>22</v>
      </c>
      <c r="AF968" s="4">
        <v>0</v>
      </c>
      <c r="AG968" s="4">
        <v>3</v>
      </c>
      <c r="AH968" s="4">
        <v>17</v>
      </c>
      <c r="AI968" s="4">
        <v>19</v>
      </c>
      <c r="AJ968" s="4">
        <v>1</v>
      </c>
      <c r="AK968" s="4">
        <v>5</v>
      </c>
      <c r="AL968" s="4">
        <v>14</v>
      </c>
      <c r="AM968" s="4">
        <v>15</v>
      </c>
      <c r="AN968" s="4">
        <v>0</v>
      </c>
      <c r="AO968" s="4">
        <v>0</v>
      </c>
      <c r="AP968" s="4">
        <v>1</v>
      </c>
      <c r="AQ968" s="4">
        <v>5</v>
      </c>
      <c r="AR968" s="3" t="s">
        <v>64</v>
      </c>
      <c r="AS968" s="3" t="s">
        <v>64</v>
      </c>
      <c r="AT968" s="3" t="s">
        <v>64</v>
      </c>
      <c r="AV968" s="6" t="str">
        <f>HYPERLINK("http://mcgill.on.worldcat.org/oclc/670176502","Catalog Record")</f>
        <v>Catalog Record</v>
      </c>
      <c r="AW968" s="6" t="str">
        <f>HYPERLINK("http://www.worldcat.org/oclc/670176502","WorldCat Record")</f>
        <v>WorldCat Record</v>
      </c>
      <c r="AX968" s="3" t="s">
        <v>9594</v>
      </c>
      <c r="AY968" s="3" t="s">
        <v>9595</v>
      </c>
      <c r="AZ968" s="3" t="s">
        <v>9596</v>
      </c>
      <c r="BA968" s="3" t="s">
        <v>9596</v>
      </c>
      <c r="BB968" s="3" t="s">
        <v>9597</v>
      </c>
      <c r="BC968" s="3" t="s">
        <v>77</v>
      </c>
      <c r="BD968" s="3" t="s">
        <v>78</v>
      </c>
      <c r="BE968" s="3" t="s">
        <v>9598</v>
      </c>
      <c r="BF968" s="3" t="s">
        <v>9597</v>
      </c>
      <c r="BG968" s="3" t="s">
        <v>9599</v>
      </c>
      <c r="BH968">
        <f t="shared" si="29"/>
        <v>0</v>
      </c>
    </row>
    <row r="969" spans="1:60" ht="58" x14ac:dyDescent="0.35">
      <c r="A969" s="2" t="s">
        <v>59</v>
      </c>
      <c r="B969" s="2" t="s">
        <v>60</v>
      </c>
      <c r="C969" s="2" t="s">
        <v>9600</v>
      </c>
      <c r="D969" s="2" t="s">
        <v>9601</v>
      </c>
      <c r="E969" s="2" t="s">
        <v>9602</v>
      </c>
      <c r="G969" s="3" t="s">
        <v>64</v>
      </c>
      <c r="H969" s="3" t="s">
        <v>183</v>
      </c>
      <c r="I969" s="3" t="s">
        <v>64</v>
      </c>
      <c r="J969" s="3" t="s">
        <v>64</v>
      </c>
      <c r="K969" s="3" t="s">
        <v>65</v>
      </c>
      <c r="L969" s="2" t="s">
        <v>9603</v>
      </c>
      <c r="M969" s="2" t="s">
        <v>9604</v>
      </c>
      <c r="N969" s="3" t="s">
        <v>86</v>
      </c>
      <c r="P969" s="3" t="s">
        <v>102</v>
      </c>
      <c r="Q969" s="2" t="s">
        <v>351</v>
      </c>
      <c r="R969" s="3" t="s">
        <v>70</v>
      </c>
      <c r="S969" s="4">
        <v>0</v>
      </c>
      <c r="T969" s="4">
        <v>0</v>
      </c>
      <c r="W969" s="5" t="s">
        <v>9605</v>
      </c>
      <c r="X969" s="5" t="s">
        <v>9605</v>
      </c>
      <c r="Y969" s="4">
        <v>166</v>
      </c>
      <c r="Z969" s="4">
        <v>20</v>
      </c>
      <c r="AA969" s="4">
        <v>41</v>
      </c>
      <c r="AB969" s="4">
        <v>1</v>
      </c>
      <c r="AC969" s="4">
        <v>9</v>
      </c>
      <c r="AD969" s="4">
        <v>73</v>
      </c>
      <c r="AE969" s="4">
        <v>107</v>
      </c>
      <c r="AF969" s="4">
        <v>0</v>
      </c>
      <c r="AG969" s="4">
        <v>4</v>
      </c>
      <c r="AH969" s="4">
        <v>66</v>
      </c>
      <c r="AI969" s="4">
        <v>90</v>
      </c>
      <c r="AJ969" s="4">
        <v>12</v>
      </c>
      <c r="AK969" s="4">
        <v>19</v>
      </c>
      <c r="AL969" s="4">
        <v>42</v>
      </c>
      <c r="AM969" s="4">
        <v>51</v>
      </c>
      <c r="AN969" s="4">
        <v>0</v>
      </c>
      <c r="AO969" s="4">
        <v>0</v>
      </c>
      <c r="AP969" s="4">
        <v>14</v>
      </c>
      <c r="AQ969" s="4">
        <v>25</v>
      </c>
      <c r="AR969" s="3" t="s">
        <v>64</v>
      </c>
      <c r="AS969" s="3" t="s">
        <v>64</v>
      </c>
      <c r="AT969" s="3" t="s">
        <v>64</v>
      </c>
      <c r="AV969" s="6" t="str">
        <f>HYPERLINK("http://mcgill.on.worldcat.org/oclc/765880345","Catalog Record")</f>
        <v>Catalog Record</v>
      </c>
      <c r="AW969" s="6" t="str">
        <f>HYPERLINK("http://www.worldcat.org/oclc/765880345","WorldCat Record")</f>
        <v>WorldCat Record</v>
      </c>
      <c r="AX969" s="3" t="s">
        <v>9606</v>
      </c>
      <c r="AY969" s="3" t="s">
        <v>9607</v>
      </c>
      <c r="AZ969" s="3" t="s">
        <v>9608</v>
      </c>
      <c r="BA969" s="3" t="s">
        <v>9608</v>
      </c>
      <c r="BB969" s="3" t="s">
        <v>9609</v>
      </c>
      <c r="BC969" s="3" t="s">
        <v>77</v>
      </c>
      <c r="BD969" s="3" t="s">
        <v>78</v>
      </c>
      <c r="BE969" s="3" t="s">
        <v>9610</v>
      </c>
      <c r="BF969" s="3" t="s">
        <v>9609</v>
      </c>
      <c r="BG969" s="3" t="s">
        <v>9611</v>
      </c>
      <c r="BH969">
        <f t="shared" si="29"/>
        <v>0</v>
      </c>
    </row>
    <row r="970" spans="1:60" ht="58" x14ac:dyDescent="0.35">
      <c r="A970" s="2" t="s">
        <v>59</v>
      </c>
      <c r="B970" s="2" t="s">
        <v>60</v>
      </c>
      <c r="C970" s="2" t="s">
        <v>9612</v>
      </c>
      <c r="D970" s="2" t="s">
        <v>9613</v>
      </c>
      <c r="E970" s="2" t="s">
        <v>9614</v>
      </c>
      <c r="G970" s="3" t="s">
        <v>64</v>
      </c>
      <c r="I970" s="3" t="s">
        <v>64</v>
      </c>
      <c r="J970" s="3" t="s">
        <v>64</v>
      </c>
      <c r="K970" s="3" t="s">
        <v>65</v>
      </c>
      <c r="M970" s="2" t="s">
        <v>9615</v>
      </c>
      <c r="N970" s="3" t="s">
        <v>86</v>
      </c>
      <c r="P970" s="3" t="s">
        <v>68</v>
      </c>
      <c r="Q970" s="2" t="s">
        <v>9616</v>
      </c>
      <c r="R970" s="3" t="s">
        <v>70</v>
      </c>
      <c r="S970" s="4">
        <v>1</v>
      </c>
      <c r="T970" s="4">
        <v>1</v>
      </c>
      <c r="U970" s="5" t="s">
        <v>9617</v>
      </c>
      <c r="V970" s="5" t="s">
        <v>9617</v>
      </c>
      <c r="W970" s="5" t="s">
        <v>72</v>
      </c>
      <c r="X970" s="5" t="s">
        <v>72</v>
      </c>
      <c r="Y970" s="4">
        <v>31</v>
      </c>
      <c r="Z970" s="4">
        <v>2</v>
      </c>
      <c r="AA970" s="4">
        <v>4</v>
      </c>
      <c r="AB970" s="4">
        <v>1</v>
      </c>
      <c r="AC970" s="4">
        <v>3</v>
      </c>
      <c r="AD970" s="4">
        <v>19</v>
      </c>
      <c r="AE970" s="4">
        <v>20</v>
      </c>
      <c r="AF970" s="4">
        <v>0</v>
      </c>
      <c r="AG970" s="4">
        <v>1</v>
      </c>
      <c r="AH970" s="4">
        <v>18</v>
      </c>
      <c r="AI970" s="4">
        <v>19</v>
      </c>
      <c r="AJ970" s="4">
        <v>1</v>
      </c>
      <c r="AK970" s="4">
        <v>2</v>
      </c>
      <c r="AL970" s="4">
        <v>14</v>
      </c>
      <c r="AM970" s="4">
        <v>14</v>
      </c>
      <c r="AN970" s="4">
        <v>0</v>
      </c>
      <c r="AO970" s="4">
        <v>0</v>
      </c>
      <c r="AP970" s="4">
        <v>1</v>
      </c>
      <c r="AQ970" s="4">
        <v>2</v>
      </c>
      <c r="AR970" s="3" t="s">
        <v>64</v>
      </c>
      <c r="AS970" s="3" t="s">
        <v>64</v>
      </c>
      <c r="AT970" s="3" t="s">
        <v>64</v>
      </c>
      <c r="AV970" s="6" t="str">
        <f>HYPERLINK("http://mcgill.on.worldcat.org/oclc/829676099","Catalog Record")</f>
        <v>Catalog Record</v>
      </c>
      <c r="AW970" s="6" t="str">
        <f>HYPERLINK("http://www.worldcat.org/oclc/829676099","WorldCat Record")</f>
        <v>WorldCat Record</v>
      </c>
      <c r="AX970" s="3" t="s">
        <v>9618</v>
      </c>
      <c r="AY970" s="3" t="s">
        <v>9619</v>
      </c>
      <c r="AZ970" s="3" t="s">
        <v>9620</v>
      </c>
      <c r="BA970" s="3" t="s">
        <v>9620</v>
      </c>
      <c r="BB970" s="3" t="s">
        <v>9621</v>
      </c>
      <c r="BC970" s="3" t="s">
        <v>77</v>
      </c>
      <c r="BD970" s="3" t="s">
        <v>78</v>
      </c>
      <c r="BE970" s="3" t="s">
        <v>9622</v>
      </c>
      <c r="BF970" s="3" t="s">
        <v>9621</v>
      </c>
      <c r="BG970" s="3" t="s">
        <v>9623</v>
      </c>
      <c r="BH970">
        <f t="shared" si="29"/>
        <v>0</v>
      </c>
    </row>
    <row r="971" spans="1:60" ht="58" x14ac:dyDescent="0.35">
      <c r="A971" s="2" t="s">
        <v>59</v>
      </c>
      <c r="B971" s="2" t="s">
        <v>60</v>
      </c>
      <c r="C971" s="2" t="s">
        <v>9624</v>
      </c>
      <c r="D971" s="2" t="s">
        <v>9625</v>
      </c>
      <c r="E971" s="2" t="s">
        <v>9626</v>
      </c>
      <c r="G971" s="3" t="s">
        <v>64</v>
      </c>
      <c r="I971" s="3" t="s">
        <v>64</v>
      </c>
      <c r="J971" s="3" t="s">
        <v>64</v>
      </c>
      <c r="K971" s="3" t="s">
        <v>65</v>
      </c>
      <c r="L971" s="2" t="s">
        <v>9627</v>
      </c>
      <c r="M971" s="2" t="s">
        <v>9628</v>
      </c>
      <c r="N971" s="3" t="s">
        <v>326</v>
      </c>
      <c r="P971" s="3" t="s">
        <v>68</v>
      </c>
      <c r="Q971" s="2" t="s">
        <v>9629</v>
      </c>
      <c r="R971" s="3" t="s">
        <v>70</v>
      </c>
      <c r="S971" s="4">
        <v>0</v>
      </c>
      <c r="T971" s="4">
        <v>0</v>
      </c>
      <c r="W971" s="5" t="s">
        <v>72</v>
      </c>
      <c r="X971" s="5" t="s">
        <v>72</v>
      </c>
      <c r="Y971" s="4">
        <v>49</v>
      </c>
      <c r="Z971" s="4">
        <v>5</v>
      </c>
      <c r="AA971" s="4">
        <v>10</v>
      </c>
      <c r="AB971" s="4">
        <v>1</v>
      </c>
      <c r="AC971" s="4">
        <v>6</v>
      </c>
      <c r="AD971" s="4">
        <v>33</v>
      </c>
      <c r="AE971" s="4">
        <v>36</v>
      </c>
      <c r="AF971" s="4">
        <v>0</v>
      </c>
      <c r="AG971" s="4">
        <v>3</v>
      </c>
      <c r="AH971" s="4">
        <v>32</v>
      </c>
      <c r="AI971" s="4">
        <v>33</v>
      </c>
      <c r="AJ971" s="4">
        <v>3</v>
      </c>
      <c r="AK971" s="4">
        <v>6</v>
      </c>
      <c r="AL971" s="4">
        <v>23</v>
      </c>
      <c r="AM971" s="4">
        <v>23</v>
      </c>
      <c r="AN971" s="4">
        <v>0</v>
      </c>
      <c r="AO971" s="4">
        <v>0</v>
      </c>
      <c r="AP971" s="4">
        <v>3</v>
      </c>
      <c r="AQ971" s="4">
        <v>5</v>
      </c>
      <c r="AR971" s="3" t="s">
        <v>64</v>
      </c>
      <c r="AS971" s="3" t="s">
        <v>64</v>
      </c>
      <c r="AT971" s="3" t="s">
        <v>64</v>
      </c>
      <c r="AV971" s="6" t="str">
        <f>HYPERLINK("http://mcgill.on.worldcat.org/oclc/760990082","Catalog Record")</f>
        <v>Catalog Record</v>
      </c>
      <c r="AW971" s="6" t="str">
        <f>HYPERLINK("http://www.worldcat.org/oclc/760990082","WorldCat Record")</f>
        <v>WorldCat Record</v>
      </c>
      <c r="AX971" s="3" t="s">
        <v>9630</v>
      </c>
      <c r="AY971" s="3" t="s">
        <v>9631</v>
      </c>
      <c r="AZ971" s="3" t="s">
        <v>9632</v>
      </c>
      <c r="BA971" s="3" t="s">
        <v>9632</v>
      </c>
      <c r="BB971" s="3" t="s">
        <v>9633</v>
      </c>
      <c r="BC971" s="3" t="s">
        <v>77</v>
      </c>
      <c r="BD971" s="3" t="s">
        <v>78</v>
      </c>
      <c r="BE971" s="3" t="s">
        <v>9634</v>
      </c>
      <c r="BF971" s="3" t="s">
        <v>9633</v>
      </c>
      <c r="BG971" s="3" t="s">
        <v>9635</v>
      </c>
      <c r="BH971">
        <f t="shared" si="29"/>
        <v>0</v>
      </c>
    </row>
    <row r="972" spans="1:60" ht="58" x14ac:dyDescent="0.35">
      <c r="A972" s="2" t="s">
        <v>59</v>
      </c>
      <c r="B972" s="2" t="s">
        <v>60</v>
      </c>
      <c r="C972" s="2" t="s">
        <v>9636</v>
      </c>
      <c r="D972" s="2" t="s">
        <v>9637</v>
      </c>
      <c r="E972" s="2" t="s">
        <v>9638</v>
      </c>
      <c r="G972" s="3" t="s">
        <v>64</v>
      </c>
      <c r="I972" s="3" t="s">
        <v>64</v>
      </c>
      <c r="J972" s="3" t="s">
        <v>64</v>
      </c>
      <c r="K972" s="3" t="s">
        <v>65</v>
      </c>
      <c r="L972" s="2" t="s">
        <v>9639</v>
      </c>
      <c r="M972" s="2" t="s">
        <v>9640</v>
      </c>
      <c r="N972" s="3" t="s">
        <v>1763</v>
      </c>
      <c r="P972" s="3" t="s">
        <v>68</v>
      </c>
      <c r="R972" s="3" t="s">
        <v>70</v>
      </c>
      <c r="S972" s="4">
        <v>9</v>
      </c>
      <c r="T972" s="4">
        <v>9</v>
      </c>
      <c r="U972" s="5" t="s">
        <v>9641</v>
      </c>
      <c r="V972" s="5" t="s">
        <v>9641</v>
      </c>
      <c r="W972" s="5" t="s">
        <v>72</v>
      </c>
      <c r="X972" s="5" t="s">
        <v>72</v>
      </c>
      <c r="Y972" s="4">
        <v>190</v>
      </c>
      <c r="Z972" s="4">
        <v>23</v>
      </c>
      <c r="AA972" s="4">
        <v>37</v>
      </c>
      <c r="AB972" s="4">
        <v>2</v>
      </c>
      <c r="AC972" s="4">
        <v>12</v>
      </c>
      <c r="AD972" s="4">
        <v>77</v>
      </c>
      <c r="AE972" s="4">
        <v>88</v>
      </c>
      <c r="AF972" s="4">
        <v>0</v>
      </c>
      <c r="AG972" s="4">
        <v>4</v>
      </c>
      <c r="AH972" s="4">
        <v>68</v>
      </c>
      <c r="AI972" s="4">
        <v>72</v>
      </c>
      <c r="AJ972" s="4">
        <v>15</v>
      </c>
      <c r="AK972" s="4">
        <v>21</v>
      </c>
      <c r="AL972" s="4">
        <v>45</v>
      </c>
      <c r="AM972" s="4">
        <v>48</v>
      </c>
      <c r="AN972" s="4">
        <v>0</v>
      </c>
      <c r="AO972" s="4">
        <v>0</v>
      </c>
      <c r="AP972" s="4">
        <v>15</v>
      </c>
      <c r="AQ972" s="4">
        <v>21</v>
      </c>
      <c r="AR972" s="3" t="s">
        <v>64</v>
      </c>
      <c r="AS972" s="3" t="s">
        <v>64</v>
      </c>
      <c r="AT972" s="3" t="s">
        <v>128</v>
      </c>
      <c r="AU972" s="6" t="str">
        <f>HYPERLINK("http://catalog.hathitrust.org/Record/000332523","HathiTrust Record")</f>
        <v>HathiTrust Record</v>
      </c>
      <c r="AV972" s="6" t="str">
        <f>HYPERLINK("http://mcgill.on.worldcat.org/oclc/11718148","Catalog Record")</f>
        <v>Catalog Record</v>
      </c>
      <c r="AW972" s="6" t="str">
        <f>HYPERLINK("http://www.worldcat.org/oclc/11718148","WorldCat Record")</f>
        <v>WorldCat Record</v>
      </c>
      <c r="AX972" s="3" t="s">
        <v>9642</v>
      </c>
      <c r="AY972" s="3" t="s">
        <v>9643</v>
      </c>
      <c r="AZ972" s="3" t="s">
        <v>9644</v>
      </c>
      <c r="BA972" s="3" t="s">
        <v>9644</v>
      </c>
      <c r="BB972" s="3" t="s">
        <v>9645</v>
      </c>
      <c r="BC972" s="3" t="s">
        <v>77</v>
      </c>
      <c r="BD972" s="3" t="s">
        <v>78</v>
      </c>
      <c r="BE972" s="3" t="s">
        <v>9646</v>
      </c>
      <c r="BF972" s="3" t="s">
        <v>9645</v>
      </c>
      <c r="BG972" s="3" t="s">
        <v>9647</v>
      </c>
      <c r="BH972">
        <f t="shared" si="29"/>
        <v>0</v>
      </c>
    </row>
    <row r="973" spans="1:60" ht="58" x14ac:dyDescent="0.35">
      <c r="A973" s="2" t="s">
        <v>59</v>
      </c>
      <c r="B973" s="2" t="s">
        <v>60</v>
      </c>
      <c r="C973" s="2" t="s">
        <v>9648</v>
      </c>
      <c r="D973" s="2" t="s">
        <v>9649</v>
      </c>
      <c r="E973" s="2" t="s">
        <v>9650</v>
      </c>
      <c r="G973" s="3" t="s">
        <v>64</v>
      </c>
      <c r="I973" s="3" t="s">
        <v>64</v>
      </c>
      <c r="J973" s="3" t="s">
        <v>64</v>
      </c>
      <c r="K973" s="3" t="s">
        <v>65</v>
      </c>
      <c r="L973" s="2" t="s">
        <v>9651</v>
      </c>
      <c r="M973" s="2" t="s">
        <v>9652</v>
      </c>
      <c r="N973" s="3" t="s">
        <v>511</v>
      </c>
      <c r="P973" s="3" t="s">
        <v>102</v>
      </c>
      <c r="Q973" s="2" t="s">
        <v>9653</v>
      </c>
      <c r="R973" s="3" t="s">
        <v>70</v>
      </c>
      <c r="S973" s="4">
        <v>2</v>
      </c>
      <c r="T973" s="4">
        <v>2</v>
      </c>
      <c r="U973" s="5" t="s">
        <v>9404</v>
      </c>
      <c r="V973" s="5" t="s">
        <v>9404</v>
      </c>
      <c r="W973" s="5" t="s">
        <v>72</v>
      </c>
      <c r="X973" s="5" t="s">
        <v>72</v>
      </c>
      <c r="Y973" s="4">
        <v>230</v>
      </c>
      <c r="Z973" s="4">
        <v>18</v>
      </c>
      <c r="AA973" s="4">
        <v>108</v>
      </c>
      <c r="AB973" s="4">
        <v>2</v>
      </c>
      <c r="AC973" s="4">
        <v>20</v>
      </c>
      <c r="AD973" s="4">
        <v>92</v>
      </c>
      <c r="AE973" s="4">
        <v>143</v>
      </c>
      <c r="AF973" s="4">
        <v>0</v>
      </c>
      <c r="AG973" s="4">
        <v>8</v>
      </c>
      <c r="AH973" s="4">
        <v>86</v>
      </c>
      <c r="AI973" s="4">
        <v>105</v>
      </c>
      <c r="AJ973" s="4">
        <v>14</v>
      </c>
      <c r="AK973" s="4">
        <v>24</v>
      </c>
      <c r="AL973" s="4">
        <v>47</v>
      </c>
      <c r="AM973" s="4">
        <v>56</v>
      </c>
      <c r="AN973" s="4">
        <v>0</v>
      </c>
      <c r="AO973" s="4">
        <v>0</v>
      </c>
      <c r="AP973" s="4">
        <v>14</v>
      </c>
      <c r="AQ973" s="4">
        <v>46</v>
      </c>
      <c r="AR973" s="3" t="s">
        <v>64</v>
      </c>
      <c r="AS973" s="3" t="s">
        <v>64</v>
      </c>
      <c r="AT973" s="3" t="s">
        <v>64</v>
      </c>
      <c r="AV973" s="6" t="str">
        <f>HYPERLINK("http://mcgill.on.worldcat.org/oclc/317777937","Catalog Record")</f>
        <v>Catalog Record</v>
      </c>
      <c r="AW973" s="6" t="str">
        <f>HYPERLINK("http://www.worldcat.org/oclc/317777937","WorldCat Record")</f>
        <v>WorldCat Record</v>
      </c>
      <c r="AX973" s="3" t="s">
        <v>9654</v>
      </c>
      <c r="AY973" s="3" t="s">
        <v>9655</v>
      </c>
      <c r="AZ973" s="3" t="s">
        <v>9656</v>
      </c>
      <c r="BA973" s="3" t="s">
        <v>9656</v>
      </c>
      <c r="BB973" s="3" t="s">
        <v>9657</v>
      </c>
      <c r="BC973" s="3" t="s">
        <v>77</v>
      </c>
      <c r="BD973" s="3" t="s">
        <v>78</v>
      </c>
      <c r="BE973" s="3" t="s">
        <v>9658</v>
      </c>
      <c r="BF973" s="3" t="s">
        <v>9657</v>
      </c>
      <c r="BG973" s="3" t="s">
        <v>9659</v>
      </c>
      <c r="BH973">
        <f t="shared" si="29"/>
        <v>0</v>
      </c>
    </row>
    <row r="974" spans="1:60" ht="58" x14ac:dyDescent="0.35">
      <c r="A974" s="2" t="s">
        <v>59</v>
      </c>
      <c r="B974" s="2" t="s">
        <v>60</v>
      </c>
      <c r="C974" s="2" t="s">
        <v>9660</v>
      </c>
      <c r="D974" s="2" t="s">
        <v>9661</v>
      </c>
      <c r="E974" s="2" t="s">
        <v>9662</v>
      </c>
      <c r="G974" s="3" t="s">
        <v>64</v>
      </c>
      <c r="I974" s="3" t="s">
        <v>64</v>
      </c>
      <c r="J974" s="3" t="s">
        <v>64</v>
      </c>
      <c r="K974" s="3" t="s">
        <v>65</v>
      </c>
      <c r="M974" s="2" t="s">
        <v>9663</v>
      </c>
      <c r="N974" s="3" t="s">
        <v>144</v>
      </c>
      <c r="P974" s="3" t="s">
        <v>68</v>
      </c>
      <c r="R974" s="3" t="s">
        <v>70</v>
      </c>
      <c r="S974" s="4">
        <v>1</v>
      </c>
      <c r="T974" s="4">
        <v>1</v>
      </c>
      <c r="U974" s="5" t="s">
        <v>5301</v>
      </c>
      <c r="V974" s="5" t="s">
        <v>5301</v>
      </c>
      <c r="W974" s="5" t="s">
        <v>72</v>
      </c>
      <c r="X974" s="5" t="s">
        <v>72</v>
      </c>
      <c r="Y974" s="4">
        <v>41</v>
      </c>
      <c r="Z974" s="4">
        <v>7</v>
      </c>
      <c r="AA974" s="4">
        <v>10</v>
      </c>
      <c r="AB974" s="4">
        <v>2</v>
      </c>
      <c r="AC974" s="4">
        <v>5</v>
      </c>
      <c r="AD974" s="4">
        <v>15</v>
      </c>
      <c r="AE974" s="4">
        <v>19</v>
      </c>
      <c r="AF974" s="4">
        <v>0</v>
      </c>
      <c r="AG974" s="4">
        <v>3</v>
      </c>
      <c r="AH974" s="4">
        <v>14</v>
      </c>
      <c r="AI974" s="4">
        <v>16</v>
      </c>
      <c r="AJ974" s="4">
        <v>3</v>
      </c>
      <c r="AK974" s="4">
        <v>6</v>
      </c>
      <c r="AL974" s="4">
        <v>11</v>
      </c>
      <c r="AM974" s="4">
        <v>12</v>
      </c>
      <c r="AN974" s="4">
        <v>0</v>
      </c>
      <c r="AO974" s="4">
        <v>0</v>
      </c>
      <c r="AP974" s="4">
        <v>3</v>
      </c>
      <c r="AQ974" s="4">
        <v>5</v>
      </c>
      <c r="AR974" s="3" t="s">
        <v>64</v>
      </c>
      <c r="AS974" s="3" t="s">
        <v>64</v>
      </c>
      <c r="AT974" s="3" t="s">
        <v>128</v>
      </c>
      <c r="AU974" s="6" t="str">
        <f>HYPERLINK("http://catalog.hathitrust.org/Record/005956612","HathiTrust Record")</f>
        <v>HathiTrust Record</v>
      </c>
      <c r="AV974" s="6" t="str">
        <f>HYPERLINK("http://mcgill.on.worldcat.org/oclc/276645200","Catalog Record")</f>
        <v>Catalog Record</v>
      </c>
      <c r="AW974" s="6" t="str">
        <f>HYPERLINK("http://www.worldcat.org/oclc/276645200","WorldCat Record")</f>
        <v>WorldCat Record</v>
      </c>
      <c r="AX974" s="3" t="s">
        <v>9664</v>
      </c>
      <c r="AY974" s="3" t="s">
        <v>9665</v>
      </c>
      <c r="AZ974" s="3" t="s">
        <v>9666</v>
      </c>
      <c r="BA974" s="3" t="s">
        <v>9666</v>
      </c>
      <c r="BB974" s="3" t="s">
        <v>9667</v>
      </c>
      <c r="BC974" s="3" t="s">
        <v>77</v>
      </c>
      <c r="BD974" s="3" t="s">
        <v>78</v>
      </c>
      <c r="BE974" s="3" t="s">
        <v>9668</v>
      </c>
      <c r="BF974" s="3" t="s">
        <v>9667</v>
      </c>
      <c r="BG974" s="3" t="s">
        <v>9669</v>
      </c>
      <c r="BH974">
        <f t="shared" si="29"/>
        <v>0</v>
      </c>
    </row>
    <row r="975" spans="1:60" ht="58" x14ac:dyDescent="0.35">
      <c r="A975" s="2" t="s">
        <v>59</v>
      </c>
      <c r="B975" s="2" t="s">
        <v>60</v>
      </c>
      <c r="C975" s="2" t="s">
        <v>9670</v>
      </c>
      <c r="D975" s="2" t="s">
        <v>9671</v>
      </c>
      <c r="E975" s="2" t="s">
        <v>9672</v>
      </c>
      <c r="G975" s="3" t="s">
        <v>64</v>
      </c>
      <c r="I975" s="3" t="s">
        <v>64</v>
      </c>
      <c r="J975" s="3" t="s">
        <v>64</v>
      </c>
      <c r="K975" s="3" t="s">
        <v>65</v>
      </c>
      <c r="L975" s="2" t="s">
        <v>9673</v>
      </c>
      <c r="M975" s="2" t="s">
        <v>9674</v>
      </c>
      <c r="N975" s="3" t="s">
        <v>86</v>
      </c>
      <c r="P975" s="3" t="s">
        <v>68</v>
      </c>
      <c r="R975" s="3" t="s">
        <v>70</v>
      </c>
      <c r="S975" s="4">
        <v>1</v>
      </c>
      <c r="T975" s="4">
        <v>1</v>
      </c>
      <c r="U975" s="5" t="s">
        <v>698</v>
      </c>
      <c r="V975" s="5" t="s">
        <v>698</v>
      </c>
      <c r="W975" s="5" t="s">
        <v>72</v>
      </c>
      <c r="X975" s="5" t="s">
        <v>72</v>
      </c>
      <c r="Y975" s="4">
        <v>31</v>
      </c>
      <c r="Z975" s="4">
        <v>5</v>
      </c>
      <c r="AA975" s="4">
        <v>7</v>
      </c>
      <c r="AB975" s="4">
        <v>1</v>
      </c>
      <c r="AC975" s="4">
        <v>2</v>
      </c>
      <c r="AD975" s="4">
        <v>21</v>
      </c>
      <c r="AE975" s="4">
        <v>23</v>
      </c>
      <c r="AF975" s="4">
        <v>0</v>
      </c>
      <c r="AG975" s="4">
        <v>1</v>
      </c>
      <c r="AH975" s="4">
        <v>20</v>
      </c>
      <c r="AI975" s="4">
        <v>21</v>
      </c>
      <c r="AJ975" s="4">
        <v>3</v>
      </c>
      <c r="AK975" s="4">
        <v>5</v>
      </c>
      <c r="AL975" s="4">
        <v>18</v>
      </c>
      <c r="AM975" s="4">
        <v>18</v>
      </c>
      <c r="AN975" s="4">
        <v>0</v>
      </c>
      <c r="AO975" s="4">
        <v>0</v>
      </c>
      <c r="AP975" s="4">
        <v>3</v>
      </c>
      <c r="AQ975" s="4">
        <v>5</v>
      </c>
      <c r="AR975" s="3" t="s">
        <v>64</v>
      </c>
      <c r="AS975" s="3" t="s">
        <v>64</v>
      </c>
      <c r="AT975" s="3" t="s">
        <v>64</v>
      </c>
      <c r="AV975" s="6" t="str">
        <f>HYPERLINK("http://mcgill.on.worldcat.org/oclc/814303009","Catalog Record")</f>
        <v>Catalog Record</v>
      </c>
      <c r="AW975" s="6" t="str">
        <f>HYPERLINK("http://www.worldcat.org/oclc/814303009","WorldCat Record")</f>
        <v>WorldCat Record</v>
      </c>
      <c r="AX975" s="3" t="s">
        <v>9675</v>
      </c>
      <c r="AY975" s="3" t="s">
        <v>9676</v>
      </c>
      <c r="AZ975" s="3" t="s">
        <v>9677</v>
      </c>
      <c r="BA975" s="3" t="s">
        <v>9677</v>
      </c>
      <c r="BB975" s="3" t="s">
        <v>9678</v>
      </c>
      <c r="BC975" s="3" t="s">
        <v>77</v>
      </c>
      <c r="BD975" s="3" t="s">
        <v>78</v>
      </c>
      <c r="BE975" s="3" t="s">
        <v>9679</v>
      </c>
      <c r="BF975" s="3" t="s">
        <v>9678</v>
      </c>
      <c r="BG975" s="3" t="s">
        <v>9680</v>
      </c>
      <c r="BH975">
        <f t="shared" si="29"/>
        <v>0</v>
      </c>
    </row>
    <row r="976" spans="1:60" ht="58" x14ac:dyDescent="0.35">
      <c r="A976" s="2" t="s">
        <v>59</v>
      </c>
      <c r="B976" s="2" t="s">
        <v>60</v>
      </c>
      <c r="C976" s="2" t="s">
        <v>9681</v>
      </c>
      <c r="D976" s="2" t="s">
        <v>9682</v>
      </c>
      <c r="E976" s="2" t="s">
        <v>9683</v>
      </c>
      <c r="G976" s="3" t="s">
        <v>64</v>
      </c>
      <c r="I976" s="3" t="s">
        <v>64</v>
      </c>
      <c r="J976" s="3" t="s">
        <v>64</v>
      </c>
      <c r="K976" s="3" t="s">
        <v>65</v>
      </c>
      <c r="M976" s="2" t="s">
        <v>9684</v>
      </c>
      <c r="N976" s="3" t="s">
        <v>326</v>
      </c>
      <c r="P976" s="3" t="s">
        <v>102</v>
      </c>
      <c r="Q976" s="2" t="s">
        <v>4419</v>
      </c>
      <c r="R976" s="3" t="s">
        <v>70</v>
      </c>
      <c r="S976" s="4">
        <v>4</v>
      </c>
      <c r="T976" s="4">
        <v>4</v>
      </c>
      <c r="U976" s="5" t="s">
        <v>9685</v>
      </c>
      <c r="V976" s="5" t="s">
        <v>9685</v>
      </c>
      <c r="W976" s="5" t="s">
        <v>72</v>
      </c>
      <c r="X976" s="5" t="s">
        <v>72</v>
      </c>
      <c r="Y976" s="4">
        <v>151</v>
      </c>
      <c r="Z976" s="4">
        <v>14</v>
      </c>
      <c r="AA976" s="4">
        <v>19</v>
      </c>
      <c r="AB976" s="4">
        <v>2</v>
      </c>
      <c r="AC976" s="4">
        <v>5</v>
      </c>
      <c r="AD976" s="4">
        <v>67</v>
      </c>
      <c r="AE976" s="4">
        <v>72</v>
      </c>
      <c r="AF976" s="4">
        <v>1</v>
      </c>
      <c r="AG976" s="4">
        <v>2</v>
      </c>
      <c r="AH976" s="4">
        <v>61</v>
      </c>
      <c r="AI976" s="4">
        <v>64</v>
      </c>
      <c r="AJ976" s="4">
        <v>9</v>
      </c>
      <c r="AK976" s="4">
        <v>10</v>
      </c>
      <c r="AL976" s="4">
        <v>42</v>
      </c>
      <c r="AM976" s="4">
        <v>43</v>
      </c>
      <c r="AN976" s="4">
        <v>0</v>
      </c>
      <c r="AO976" s="4">
        <v>0</v>
      </c>
      <c r="AP976" s="4">
        <v>10</v>
      </c>
      <c r="AQ976" s="4">
        <v>11</v>
      </c>
      <c r="AR976" s="3" t="s">
        <v>64</v>
      </c>
      <c r="AS976" s="3" t="s">
        <v>64</v>
      </c>
      <c r="AT976" s="3" t="s">
        <v>64</v>
      </c>
      <c r="AV976" s="6" t="str">
        <f>HYPERLINK("http://mcgill.on.worldcat.org/oclc/730054520","Catalog Record")</f>
        <v>Catalog Record</v>
      </c>
      <c r="AW976" s="6" t="str">
        <f>HYPERLINK("http://www.worldcat.org/oclc/730054520","WorldCat Record")</f>
        <v>WorldCat Record</v>
      </c>
      <c r="AX976" s="3" t="s">
        <v>9686</v>
      </c>
      <c r="AY976" s="3" t="s">
        <v>9687</v>
      </c>
      <c r="AZ976" s="3" t="s">
        <v>9688</v>
      </c>
      <c r="BA976" s="3" t="s">
        <v>9688</v>
      </c>
      <c r="BB976" s="3" t="s">
        <v>9689</v>
      </c>
      <c r="BC976" s="3" t="s">
        <v>77</v>
      </c>
      <c r="BD976" s="3" t="s">
        <v>78</v>
      </c>
      <c r="BE976" s="3" t="s">
        <v>9690</v>
      </c>
      <c r="BF976" s="3" t="s">
        <v>9689</v>
      </c>
      <c r="BG976" s="3" t="s">
        <v>9691</v>
      </c>
      <c r="BH976">
        <f t="shared" si="29"/>
        <v>0</v>
      </c>
    </row>
    <row r="977" spans="1:60" ht="58" x14ac:dyDescent="0.35">
      <c r="A977" s="2" t="s">
        <v>59</v>
      </c>
      <c r="B977" s="2" t="s">
        <v>60</v>
      </c>
      <c r="C977" s="2" t="s">
        <v>9692</v>
      </c>
      <c r="D977" s="2" t="s">
        <v>9693</v>
      </c>
      <c r="E977" s="2" t="s">
        <v>9694</v>
      </c>
      <c r="G977" s="3" t="s">
        <v>64</v>
      </c>
      <c r="I977" s="3" t="s">
        <v>64</v>
      </c>
      <c r="J977" s="3" t="s">
        <v>64</v>
      </c>
      <c r="K977" s="3" t="s">
        <v>65</v>
      </c>
      <c r="M977" s="2" t="s">
        <v>9695</v>
      </c>
      <c r="N977" s="3" t="s">
        <v>159</v>
      </c>
      <c r="P977" s="3" t="s">
        <v>68</v>
      </c>
      <c r="Q977" s="2" t="s">
        <v>9696</v>
      </c>
      <c r="R977" s="3" t="s">
        <v>70</v>
      </c>
      <c r="S977" s="4">
        <v>1</v>
      </c>
      <c r="T977" s="4">
        <v>1</v>
      </c>
      <c r="U977" s="5" t="s">
        <v>9697</v>
      </c>
      <c r="V977" s="5" t="s">
        <v>9697</v>
      </c>
      <c r="W977" s="5" t="s">
        <v>72</v>
      </c>
      <c r="X977" s="5" t="s">
        <v>72</v>
      </c>
      <c r="Y977" s="4">
        <v>41</v>
      </c>
      <c r="Z977" s="4">
        <v>5</v>
      </c>
      <c r="AA977" s="4">
        <v>8</v>
      </c>
      <c r="AB977" s="4">
        <v>3</v>
      </c>
      <c r="AC977" s="4">
        <v>5</v>
      </c>
      <c r="AD977" s="4">
        <v>16</v>
      </c>
      <c r="AE977" s="4">
        <v>19</v>
      </c>
      <c r="AF977" s="4">
        <v>1</v>
      </c>
      <c r="AG977" s="4">
        <v>3</v>
      </c>
      <c r="AH977" s="4">
        <v>14</v>
      </c>
      <c r="AI977" s="4">
        <v>16</v>
      </c>
      <c r="AJ977" s="4">
        <v>2</v>
      </c>
      <c r="AK977" s="4">
        <v>5</v>
      </c>
      <c r="AL977" s="4">
        <v>13</v>
      </c>
      <c r="AM977" s="4">
        <v>13</v>
      </c>
      <c r="AN977" s="4">
        <v>0</v>
      </c>
      <c r="AO977" s="4">
        <v>0</v>
      </c>
      <c r="AP977" s="4">
        <v>2</v>
      </c>
      <c r="AQ977" s="4">
        <v>4</v>
      </c>
      <c r="AR977" s="3" t="s">
        <v>64</v>
      </c>
      <c r="AS977" s="3" t="s">
        <v>64</v>
      </c>
      <c r="AT977" s="3" t="s">
        <v>64</v>
      </c>
      <c r="AV977" s="6" t="str">
        <f>HYPERLINK("http://mcgill.on.worldcat.org/oclc/52348969","Catalog Record")</f>
        <v>Catalog Record</v>
      </c>
      <c r="AW977" s="6" t="str">
        <f>HYPERLINK("http://www.worldcat.org/oclc/52348969","WorldCat Record")</f>
        <v>WorldCat Record</v>
      </c>
      <c r="AX977" s="3" t="s">
        <v>9698</v>
      </c>
      <c r="AY977" s="3" t="s">
        <v>9699</v>
      </c>
      <c r="AZ977" s="3" t="s">
        <v>9700</v>
      </c>
      <c r="BA977" s="3" t="s">
        <v>9700</v>
      </c>
      <c r="BB977" s="3" t="s">
        <v>9701</v>
      </c>
      <c r="BC977" s="3" t="s">
        <v>77</v>
      </c>
      <c r="BD977" s="3" t="s">
        <v>78</v>
      </c>
      <c r="BE977" s="3" t="s">
        <v>9702</v>
      </c>
      <c r="BF977" s="3" t="s">
        <v>9701</v>
      </c>
      <c r="BG977" s="3" t="s">
        <v>9703</v>
      </c>
      <c r="BH977">
        <f t="shared" si="29"/>
        <v>0</v>
      </c>
    </row>
    <row r="978" spans="1:60" ht="58" x14ac:dyDescent="0.35">
      <c r="A978" s="2" t="s">
        <v>59</v>
      </c>
      <c r="B978" s="2" t="s">
        <v>60</v>
      </c>
      <c r="C978" s="2" t="s">
        <v>9704</v>
      </c>
      <c r="D978" s="2" t="s">
        <v>9705</v>
      </c>
      <c r="E978" s="2" t="s">
        <v>9706</v>
      </c>
      <c r="G978" s="3" t="s">
        <v>64</v>
      </c>
      <c r="I978" s="3" t="s">
        <v>64</v>
      </c>
      <c r="J978" s="3" t="s">
        <v>64</v>
      </c>
      <c r="K978" s="3" t="s">
        <v>65</v>
      </c>
      <c r="L978" s="2" t="s">
        <v>9707</v>
      </c>
      <c r="M978" s="2" t="s">
        <v>9708</v>
      </c>
      <c r="N978" s="3" t="s">
        <v>1615</v>
      </c>
      <c r="O978" s="2" t="s">
        <v>1990</v>
      </c>
      <c r="P978" s="3" t="s">
        <v>102</v>
      </c>
      <c r="R978" s="3" t="s">
        <v>70</v>
      </c>
      <c r="S978" s="4">
        <v>2</v>
      </c>
      <c r="T978" s="4">
        <v>2</v>
      </c>
      <c r="U978" s="5" t="s">
        <v>175</v>
      </c>
      <c r="V978" s="5" t="s">
        <v>175</v>
      </c>
      <c r="W978" s="5" t="s">
        <v>72</v>
      </c>
      <c r="X978" s="5" t="s">
        <v>72</v>
      </c>
      <c r="Y978" s="4">
        <v>212</v>
      </c>
      <c r="Z978" s="4">
        <v>7</v>
      </c>
      <c r="AA978" s="4">
        <v>9</v>
      </c>
      <c r="AB978" s="4">
        <v>2</v>
      </c>
      <c r="AC978" s="4">
        <v>2</v>
      </c>
      <c r="AD978" s="4">
        <v>65</v>
      </c>
      <c r="AE978" s="4">
        <v>76</v>
      </c>
      <c r="AF978" s="4">
        <v>1</v>
      </c>
      <c r="AG978" s="4">
        <v>1</v>
      </c>
      <c r="AH978" s="4">
        <v>60</v>
      </c>
      <c r="AI978" s="4">
        <v>68</v>
      </c>
      <c r="AJ978" s="4">
        <v>5</v>
      </c>
      <c r="AK978" s="4">
        <v>6</v>
      </c>
      <c r="AL978" s="4">
        <v>35</v>
      </c>
      <c r="AM978" s="4">
        <v>40</v>
      </c>
      <c r="AN978" s="4">
        <v>0</v>
      </c>
      <c r="AO978" s="4">
        <v>0</v>
      </c>
      <c r="AP978" s="4">
        <v>6</v>
      </c>
      <c r="AQ978" s="4">
        <v>8</v>
      </c>
      <c r="AR978" s="3" t="s">
        <v>64</v>
      </c>
      <c r="AS978" s="3" t="s">
        <v>64</v>
      </c>
      <c r="AT978" s="3" t="s">
        <v>128</v>
      </c>
      <c r="AU978" s="6" t="str">
        <f>HYPERLINK("http://catalog.hathitrust.org/Record/008953500","HathiTrust Record")</f>
        <v>HathiTrust Record</v>
      </c>
      <c r="AV978" s="6" t="str">
        <f>HYPERLINK("http://mcgill.on.worldcat.org/oclc/33009091","Catalog Record")</f>
        <v>Catalog Record</v>
      </c>
      <c r="AW978" s="6" t="str">
        <f>HYPERLINK("http://www.worldcat.org/oclc/33009091","WorldCat Record")</f>
        <v>WorldCat Record</v>
      </c>
      <c r="AX978" s="3" t="s">
        <v>9709</v>
      </c>
      <c r="AY978" s="3" t="s">
        <v>9710</v>
      </c>
      <c r="AZ978" s="3" t="s">
        <v>9711</v>
      </c>
      <c r="BA978" s="3" t="s">
        <v>9711</v>
      </c>
      <c r="BB978" s="3" t="s">
        <v>9712</v>
      </c>
      <c r="BC978" s="3" t="s">
        <v>77</v>
      </c>
      <c r="BD978" s="3" t="s">
        <v>78</v>
      </c>
      <c r="BE978" s="3" t="s">
        <v>9713</v>
      </c>
      <c r="BF978" s="3" t="s">
        <v>9712</v>
      </c>
      <c r="BG978" s="3" t="s">
        <v>9714</v>
      </c>
      <c r="BH978">
        <f t="shared" si="29"/>
        <v>0</v>
      </c>
    </row>
    <row r="979" spans="1:60" ht="58" x14ac:dyDescent="0.35">
      <c r="A979" s="2" t="s">
        <v>59</v>
      </c>
      <c r="B979" s="2" t="s">
        <v>60</v>
      </c>
      <c r="C979" s="2" t="s">
        <v>9715</v>
      </c>
      <c r="D979" s="2" t="s">
        <v>9716</v>
      </c>
      <c r="E979" s="2" t="s">
        <v>9717</v>
      </c>
      <c r="G979" s="3" t="s">
        <v>64</v>
      </c>
      <c r="I979" s="3" t="s">
        <v>64</v>
      </c>
      <c r="J979" s="3" t="s">
        <v>64</v>
      </c>
      <c r="K979" s="3" t="s">
        <v>65</v>
      </c>
      <c r="L979" s="2" t="s">
        <v>9718</v>
      </c>
      <c r="M979" s="2" t="s">
        <v>9719</v>
      </c>
      <c r="N979" s="3" t="s">
        <v>3584</v>
      </c>
      <c r="P979" s="3" t="s">
        <v>68</v>
      </c>
      <c r="R979" s="3" t="s">
        <v>70</v>
      </c>
      <c r="S979" s="4">
        <v>1</v>
      </c>
      <c r="T979" s="4">
        <v>1</v>
      </c>
      <c r="U979" s="5" t="s">
        <v>9685</v>
      </c>
      <c r="V979" s="5" t="s">
        <v>9685</v>
      </c>
      <c r="W979" s="5" t="s">
        <v>72</v>
      </c>
      <c r="X979" s="5" t="s">
        <v>72</v>
      </c>
      <c r="Y979" s="4">
        <v>113</v>
      </c>
      <c r="Z979" s="4">
        <v>10</v>
      </c>
      <c r="AA979" s="4">
        <v>15</v>
      </c>
      <c r="AB979" s="4">
        <v>1</v>
      </c>
      <c r="AC979" s="4">
        <v>3</v>
      </c>
      <c r="AD979" s="4">
        <v>58</v>
      </c>
      <c r="AE979" s="4">
        <v>62</v>
      </c>
      <c r="AF979" s="4">
        <v>0</v>
      </c>
      <c r="AG979" s="4">
        <v>1</v>
      </c>
      <c r="AH979" s="4">
        <v>52</v>
      </c>
      <c r="AI979" s="4">
        <v>56</v>
      </c>
      <c r="AJ979" s="4">
        <v>8</v>
      </c>
      <c r="AK979" s="4">
        <v>12</v>
      </c>
      <c r="AL979" s="4">
        <v>32</v>
      </c>
      <c r="AM979" s="4">
        <v>32</v>
      </c>
      <c r="AN979" s="4">
        <v>0</v>
      </c>
      <c r="AO979" s="4">
        <v>0</v>
      </c>
      <c r="AP979" s="4">
        <v>8</v>
      </c>
      <c r="AQ979" s="4">
        <v>12</v>
      </c>
      <c r="AR979" s="3" t="s">
        <v>64</v>
      </c>
      <c r="AS979" s="3" t="s">
        <v>64</v>
      </c>
      <c r="AT979" s="3" t="s">
        <v>64</v>
      </c>
      <c r="AV979" s="6" t="str">
        <f>HYPERLINK("http://mcgill.on.worldcat.org/oclc/3965948","Catalog Record")</f>
        <v>Catalog Record</v>
      </c>
      <c r="AW979" s="6" t="str">
        <f>HYPERLINK("http://www.worldcat.org/oclc/3965948","WorldCat Record")</f>
        <v>WorldCat Record</v>
      </c>
      <c r="AX979" s="3" t="s">
        <v>9720</v>
      </c>
      <c r="AY979" s="3" t="s">
        <v>9721</v>
      </c>
      <c r="AZ979" s="3" t="s">
        <v>9722</v>
      </c>
      <c r="BA979" s="3" t="s">
        <v>9722</v>
      </c>
      <c r="BB979" s="3" t="s">
        <v>9723</v>
      </c>
      <c r="BC979" s="3" t="s">
        <v>77</v>
      </c>
      <c r="BD979" s="3" t="s">
        <v>78</v>
      </c>
      <c r="BE979" s="3" t="s">
        <v>9724</v>
      </c>
      <c r="BF979" s="3" t="s">
        <v>9723</v>
      </c>
      <c r="BG979" s="3" t="s">
        <v>9725</v>
      </c>
      <c r="BH979">
        <f t="shared" si="29"/>
        <v>0</v>
      </c>
    </row>
    <row r="980" spans="1:60" ht="58" x14ac:dyDescent="0.35">
      <c r="A980" s="2" t="s">
        <v>59</v>
      </c>
      <c r="B980" s="2" t="s">
        <v>60</v>
      </c>
      <c r="C980" s="2" t="s">
        <v>9726</v>
      </c>
      <c r="D980" s="2" t="s">
        <v>9727</v>
      </c>
      <c r="E980" s="2" t="s">
        <v>9728</v>
      </c>
      <c r="G980" s="3" t="s">
        <v>64</v>
      </c>
      <c r="I980" s="3" t="s">
        <v>64</v>
      </c>
      <c r="J980" s="3" t="s">
        <v>64</v>
      </c>
      <c r="K980" s="3" t="s">
        <v>65</v>
      </c>
      <c r="M980" s="2" t="s">
        <v>9729</v>
      </c>
      <c r="N980" s="3" t="s">
        <v>86</v>
      </c>
      <c r="P980" s="3" t="s">
        <v>68</v>
      </c>
      <c r="Q980" s="2" t="s">
        <v>9730</v>
      </c>
      <c r="R980" s="3" t="s">
        <v>70</v>
      </c>
      <c r="S980" s="4">
        <v>3</v>
      </c>
      <c r="T980" s="4">
        <v>3</v>
      </c>
      <c r="U980" s="5" t="s">
        <v>9731</v>
      </c>
      <c r="V980" s="5" t="s">
        <v>9731</v>
      </c>
      <c r="W980" s="5" t="s">
        <v>72</v>
      </c>
      <c r="X980" s="5" t="s">
        <v>72</v>
      </c>
      <c r="Y980" s="4">
        <v>50</v>
      </c>
      <c r="Z980" s="4">
        <v>7</v>
      </c>
      <c r="AA980" s="4">
        <v>8</v>
      </c>
      <c r="AB980" s="4">
        <v>1</v>
      </c>
      <c r="AC980" s="4">
        <v>1</v>
      </c>
      <c r="AD980" s="4">
        <v>21</v>
      </c>
      <c r="AE980" s="4">
        <v>23</v>
      </c>
      <c r="AF980" s="4">
        <v>0</v>
      </c>
      <c r="AG980" s="4">
        <v>0</v>
      </c>
      <c r="AH980" s="4">
        <v>19</v>
      </c>
      <c r="AI980" s="4">
        <v>21</v>
      </c>
      <c r="AJ980" s="4">
        <v>4</v>
      </c>
      <c r="AK980" s="4">
        <v>5</v>
      </c>
      <c r="AL980" s="4">
        <v>16</v>
      </c>
      <c r="AM980" s="4">
        <v>17</v>
      </c>
      <c r="AN980" s="4">
        <v>0</v>
      </c>
      <c r="AO980" s="4">
        <v>0</v>
      </c>
      <c r="AP980" s="4">
        <v>4</v>
      </c>
      <c r="AQ980" s="4">
        <v>5</v>
      </c>
      <c r="AR980" s="3" t="s">
        <v>64</v>
      </c>
      <c r="AS980" s="3" t="s">
        <v>64</v>
      </c>
      <c r="AT980" s="3" t="s">
        <v>64</v>
      </c>
      <c r="AV980" s="6" t="str">
        <f>HYPERLINK("http://mcgill.on.worldcat.org/oclc/812786806","Catalog Record")</f>
        <v>Catalog Record</v>
      </c>
      <c r="AW980" s="6" t="str">
        <f>HYPERLINK("http://www.worldcat.org/oclc/812786806","WorldCat Record")</f>
        <v>WorldCat Record</v>
      </c>
      <c r="AX980" s="3" t="s">
        <v>9732</v>
      </c>
      <c r="AY980" s="3" t="s">
        <v>9733</v>
      </c>
      <c r="AZ980" s="3" t="s">
        <v>9734</v>
      </c>
      <c r="BA980" s="3" t="s">
        <v>9734</v>
      </c>
      <c r="BB980" s="3" t="s">
        <v>9735</v>
      </c>
      <c r="BC980" s="3" t="s">
        <v>77</v>
      </c>
      <c r="BD980" s="3" t="s">
        <v>78</v>
      </c>
      <c r="BE980" s="3" t="s">
        <v>9736</v>
      </c>
      <c r="BF980" s="3" t="s">
        <v>9735</v>
      </c>
      <c r="BG980" s="3" t="s">
        <v>9737</v>
      </c>
      <c r="BH980">
        <f t="shared" si="29"/>
        <v>0</v>
      </c>
    </row>
    <row r="981" spans="1:60" ht="58" x14ac:dyDescent="0.35">
      <c r="A981" s="2" t="s">
        <v>59</v>
      </c>
      <c r="B981" s="2" t="s">
        <v>60</v>
      </c>
      <c r="C981" s="2" t="s">
        <v>9738</v>
      </c>
      <c r="D981" s="2" t="s">
        <v>9739</v>
      </c>
      <c r="E981" s="2" t="s">
        <v>9740</v>
      </c>
      <c r="G981" s="3" t="s">
        <v>64</v>
      </c>
      <c r="I981" s="3" t="s">
        <v>64</v>
      </c>
      <c r="J981" s="3" t="s">
        <v>64</v>
      </c>
      <c r="K981" s="3" t="s">
        <v>65</v>
      </c>
      <c r="M981" s="2" t="s">
        <v>9741</v>
      </c>
      <c r="N981" s="3" t="s">
        <v>171</v>
      </c>
      <c r="P981" s="3" t="s">
        <v>102</v>
      </c>
      <c r="R981" s="3" t="s">
        <v>70</v>
      </c>
      <c r="S981" s="4">
        <v>13</v>
      </c>
      <c r="T981" s="4">
        <v>13</v>
      </c>
      <c r="U981" s="5" t="s">
        <v>1375</v>
      </c>
      <c r="V981" s="5" t="s">
        <v>1375</v>
      </c>
      <c r="W981" s="5" t="s">
        <v>72</v>
      </c>
      <c r="X981" s="5" t="s">
        <v>72</v>
      </c>
      <c r="Y981" s="4">
        <v>218</v>
      </c>
      <c r="Z981" s="4">
        <v>24</v>
      </c>
      <c r="AA981" s="4">
        <v>28</v>
      </c>
      <c r="AB981" s="4">
        <v>2</v>
      </c>
      <c r="AC981" s="4">
        <v>6</v>
      </c>
      <c r="AD981" s="4">
        <v>87</v>
      </c>
      <c r="AE981" s="4">
        <v>88</v>
      </c>
      <c r="AF981" s="4">
        <v>0</v>
      </c>
      <c r="AG981" s="4">
        <v>1</v>
      </c>
      <c r="AH981" s="4">
        <v>75</v>
      </c>
      <c r="AI981" s="4">
        <v>75</v>
      </c>
      <c r="AJ981" s="4">
        <v>15</v>
      </c>
      <c r="AK981" s="4">
        <v>16</v>
      </c>
      <c r="AL981" s="4">
        <v>43</v>
      </c>
      <c r="AM981" s="4">
        <v>43</v>
      </c>
      <c r="AN981" s="4">
        <v>0</v>
      </c>
      <c r="AO981" s="4">
        <v>0</v>
      </c>
      <c r="AP981" s="4">
        <v>19</v>
      </c>
      <c r="AQ981" s="4">
        <v>20</v>
      </c>
      <c r="AR981" s="3" t="s">
        <v>64</v>
      </c>
      <c r="AS981" s="3" t="s">
        <v>64</v>
      </c>
      <c r="AT981" s="3" t="s">
        <v>64</v>
      </c>
      <c r="AV981" s="6" t="str">
        <f>HYPERLINK("http://mcgill.on.worldcat.org/oclc/64591913","Catalog Record")</f>
        <v>Catalog Record</v>
      </c>
      <c r="AW981" s="6" t="str">
        <f>HYPERLINK("http://www.worldcat.org/oclc/64591913","WorldCat Record")</f>
        <v>WorldCat Record</v>
      </c>
      <c r="AX981" s="3" t="s">
        <v>9742</v>
      </c>
      <c r="AY981" s="3" t="s">
        <v>9743</v>
      </c>
      <c r="AZ981" s="3" t="s">
        <v>9744</v>
      </c>
      <c r="BA981" s="3" t="s">
        <v>9744</v>
      </c>
      <c r="BB981" s="3" t="s">
        <v>9745</v>
      </c>
      <c r="BC981" s="3" t="s">
        <v>77</v>
      </c>
      <c r="BD981" s="3" t="s">
        <v>78</v>
      </c>
      <c r="BE981" s="3" t="s">
        <v>9746</v>
      </c>
      <c r="BF981" s="3" t="s">
        <v>9745</v>
      </c>
      <c r="BG981" s="3" t="s">
        <v>9747</v>
      </c>
      <c r="BH981">
        <f t="shared" si="29"/>
        <v>0</v>
      </c>
    </row>
    <row r="982" spans="1:60" ht="58" x14ac:dyDescent="0.35">
      <c r="A982" s="2" t="s">
        <v>59</v>
      </c>
      <c r="B982" s="2" t="s">
        <v>60</v>
      </c>
      <c r="C982" s="2" t="s">
        <v>9748</v>
      </c>
      <c r="D982" s="2" t="s">
        <v>9749</v>
      </c>
      <c r="E982" s="2" t="s">
        <v>9750</v>
      </c>
      <c r="G982" s="3" t="s">
        <v>64</v>
      </c>
      <c r="I982" s="3" t="s">
        <v>64</v>
      </c>
      <c r="J982" s="3" t="s">
        <v>64</v>
      </c>
      <c r="K982" s="3" t="s">
        <v>65</v>
      </c>
      <c r="M982" s="2" t="s">
        <v>9751</v>
      </c>
      <c r="N982" s="3" t="s">
        <v>578</v>
      </c>
      <c r="P982" s="3" t="s">
        <v>68</v>
      </c>
      <c r="Q982" s="2" t="s">
        <v>9752</v>
      </c>
      <c r="R982" s="3" t="s">
        <v>70</v>
      </c>
      <c r="S982" s="4">
        <v>1</v>
      </c>
      <c r="T982" s="4">
        <v>1</v>
      </c>
      <c r="U982" s="5" t="s">
        <v>7867</v>
      </c>
      <c r="V982" s="5" t="s">
        <v>7867</v>
      </c>
      <c r="W982" s="5" t="s">
        <v>72</v>
      </c>
      <c r="X982" s="5" t="s">
        <v>72</v>
      </c>
      <c r="Y982" s="4">
        <v>24</v>
      </c>
      <c r="Z982" s="4">
        <v>1</v>
      </c>
      <c r="AA982" s="4">
        <v>1</v>
      </c>
      <c r="AB982" s="4">
        <v>1</v>
      </c>
      <c r="AC982" s="4">
        <v>1</v>
      </c>
      <c r="AD982" s="4">
        <v>12</v>
      </c>
      <c r="AE982" s="4">
        <v>12</v>
      </c>
      <c r="AF982" s="4">
        <v>0</v>
      </c>
      <c r="AG982" s="4">
        <v>0</v>
      </c>
      <c r="AH982" s="4">
        <v>10</v>
      </c>
      <c r="AI982" s="4">
        <v>10</v>
      </c>
      <c r="AJ982" s="4">
        <v>0</v>
      </c>
      <c r="AK982" s="4">
        <v>0</v>
      </c>
      <c r="AL982" s="4">
        <v>10</v>
      </c>
      <c r="AM982" s="4">
        <v>10</v>
      </c>
      <c r="AN982" s="4">
        <v>0</v>
      </c>
      <c r="AO982" s="4">
        <v>0</v>
      </c>
      <c r="AP982" s="4">
        <v>0</v>
      </c>
      <c r="AQ982" s="4">
        <v>0</v>
      </c>
      <c r="AR982" s="3" t="s">
        <v>64</v>
      </c>
      <c r="AS982" s="3" t="s">
        <v>64</v>
      </c>
      <c r="AT982" s="3" t="s">
        <v>64</v>
      </c>
      <c r="AV982" s="6" t="str">
        <f>HYPERLINK("http://mcgill.on.worldcat.org/oclc/990755891","Catalog Record")</f>
        <v>Catalog Record</v>
      </c>
      <c r="AW982" s="6" t="str">
        <f>HYPERLINK("http://www.worldcat.org/oclc/990755891","WorldCat Record")</f>
        <v>WorldCat Record</v>
      </c>
      <c r="AX982" s="3" t="s">
        <v>9753</v>
      </c>
      <c r="AY982" s="3" t="s">
        <v>9754</v>
      </c>
      <c r="AZ982" s="3" t="s">
        <v>9755</v>
      </c>
      <c r="BA982" s="3" t="s">
        <v>9755</v>
      </c>
      <c r="BB982" s="3" t="s">
        <v>9756</v>
      </c>
      <c r="BC982" s="3" t="s">
        <v>77</v>
      </c>
      <c r="BD982" s="3" t="s">
        <v>78</v>
      </c>
      <c r="BE982" s="3" t="s">
        <v>9757</v>
      </c>
      <c r="BF982" s="3" t="s">
        <v>9756</v>
      </c>
      <c r="BG982" s="3" t="s">
        <v>9758</v>
      </c>
      <c r="BH982">
        <f t="shared" si="29"/>
        <v>0</v>
      </c>
    </row>
    <row r="983" spans="1:60" ht="58" x14ac:dyDescent="0.35">
      <c r="A983" s="2" t="s">
        <v>59</v>
      </c>
      <c r="B983" s="2" t="s">
        <v>60</v>
      </c>
      <c r="C983" s="2" t="s">
        <v>9759</v>
      </c>
      <c r="D983" s="2" t="s">
        <v>9760</v>
      </c>
      <c r="E983" s="2" t="s">
        <v>9761</v>
      </c>
      <c r="G983" s="3" t="s">
        <v>64</v>
      </c>
      <c r="I983" s="3" t="s">
        <v>64</v>
      </c>
      <c r="J983" s="3" t="s">
        <v>64</v>
      </c>
      <c r="K983" s="3" t="s">
        <v>65</v>
      </c>
      <c r="M983" s="2" t="s">
        <v>9751</v>
      </c>
      <c r="N983" s="3" t="s">
        <v>578</v>
      </c>
      <c r="P983" s="3" t="s">
        <v>68</v>
      </c>
      <c r="Q983" s="2" t="s">
        <v>9762</v>
      </c>
      <c r="R983" s="3" t="s">
        <v>70</v>
      </c>
      <c r="S983" s="4">
        <v>10</v>
      </c>
      <c r="T983" s="4">
        <v>10</v>
      </c>
      <c r="U983" s="5" t="s">
        <v>7591</v>
      </c>
      <c r="V983" s="5" t="s">
        <v>7591</v>
      </c>
      <c r="W983" s="5" t="s">
        <v>72</v>
      </c>
      <c r="X983" s="5" t="s">
        <v>72</v>
      </c>
      <c r="Y983" s="4">
        <v>30</v>
      </c>
      <c r="Z983" s="4">
        <v>2</v>
      </c>
      <c r="AA983" s="4">
        <v>2</v>
      </c>
      <c r="AB983" s="4">
        <v>1</v>
      </c>
      <c r="AC983" s="4">
        <v>1</v>
      </c>
      <c r="AD983" s="4">
        <v>15</v>
      </c>
      <c r="AE983" s="4">
        <v>15</v>
      </c>
      <c r="AF983" s="4">
        <v>0</v>
      </c>
      <c r="AG983" s="4">
        <v>0</v>
      </c>
      <c r="AH983" s="4">
        <v>14</v>
      </c>
      <c r="AI983" s="4">
        <v>14</v>
      </c>
      <c r="AJ983" s="4">
        <v>1</v>
      </c>
      <c r="AK983" s="4">
        <v>1</v>
      </c>
      <c r="AL983" s="4">
        <v>12</v>
      </c>
      <c r="AM983" s="4">
        <v>12</v>
      </c>
      <c r="AN983" s="4">
        <v>0</v>
      </c>
      <c r="AO983" s="4">
        <v>0</v>
      </c>
      <c r="AP983" s="4">
        <v>1</v>
      </c>
      <c r="AQ983" s="4">
        <v>1</v>
      </c>
      <c r="AR983" s="3" t="s">
        <v>64</v>
      </c>
      <c r="AS983" s="3" t="s">
        <v>64</v>
      </c>
      <c r="AT983" s="3" t="s">
        <v>64</v>
      </c>
      <c r="AV983" s="6" t="str">
        <f>HYPERLINK("http://mcgill.on.worldcat.org/oclc/990505380","Catalog Record")</f>
        <v>Catalog Record</v>
      </c>
      <c r="AW983" s="6" t="str">
        <f>HYPERLINK("http://www.worldcat.org/oclc/990505380","WorldCat Record")</f>
        <v>WorldCat Record</v>
      </c>
      <c r="AX983" s="3" t="s">
        <v>9763</v>
      </c>
      <c r="AY983" s="3" t="s">
        <v>9764</v>
      </c>
      <c r="AZ983" s="3" t="s">
        <v>9765</v>
      </c>
      <c r="BA983" s="3" t="s">
        <v>9765</v>
      </c>
      <c r="BB983" s="3" t="s">
        <v>9766</v>
      </c>
      <c r="BC983" s="3" t="s">
        <v>77</v>
      </c>
      <c r="BD983" s="3" t="s">
        <v>78</v>
      </c>
      <c r="BE983" s="3" t="s">
        <v>9767</v>
      </c>
      <c r="BF983" s="3" t="s">
        <v>9766</v>
      </c>
      <c r="BG983" s="3" t="s">
        <v>9768</v>
      </c>
      <c r="BH983">
        <f t="shared" si="29"/>
        <v>0</v>
      </c>
    </row>
    <row r="984" spans="1:60" ht="87" x14ac:dyDescent="0.35">
      <c r="A984" s="2" t="s">
        <v>59</v>
      </c>
      <c r="B984" s="2" t="s">
        <v>60</v>
      </c>
      <c r="C984" s="2" t="s">
        <v>9769</v>
      </c>
      <c r="D984" s="2" t="s">
        <v>9770</v>
      </c>
      <c r="E984" s="2" t="s">
        <v>9771</v>
      </c>
      <c r="G984" s="3" t="s">
        <v>64</v>
      </c>
      <c r="I984" s="3" t="s">
        <v>64</v>
      </c>
      <c r="J984" s="3" t="s">
        <v>64</v>
      </c>
      <c r="K984" s="3" t="s">
        <v>65</v>
      </c>
      <c r="M984" s="2" t="s">
        <v>9772</v>
      </c>
      <c r="N984" s="3" t="s">
        <v>1263</v>
      </c>
      <c r="P984" s="3" t="s">
        <v>102</v>
      </c>
      <c r="Q984" s="2" t="s">
        <v>9773</v>
      </c>
      <c r="R984" s="3" t="s">
        <v>70</v>
      </c>
      <c r="S984" s="4">
        <v>14</v>
      </c>
      <c r="T984" s="4">
        <v>14</v>
      </c>
      <c r="U984" s="5" t="s">
        <v>9774</v>
      </c>
      <c r="V984" s="5" t="s">
        <v>9774</v>
      </c>
      <c r="W984" s="5" t="s">
        <v>72</v>
      </c>
      <c r="X984" s="5" t="s">
        <v>72</v>
      </c>
      <c r="Y984" s="4">
        <v>217</v>
      </c>
      <c r="Z984" s="4">
        <v>10</v>
      </c>
      <c r="AA984" s="4">
        <v>11</v>
      </c>
      <c r="AB984" s="4">
        <v>1</v>
      </c>
      <c r="AC984" s="4">
        <v>2</v>
      </c>
      <c r="AD984" s="4">
        <v>93</v>
      </c>
      <c r="AE984" s="4">
        <v>94</v>
      </c>
      <c r="AF984" s="4">
        <v>0</v>
      </c>
      <c r="AG984" s="4">
        <v>1</v>
      </c>
      <c r="AH984" s="4">
        <v>87</v>
      </c>
      <c r="AI984" s="4">
        <v>87</v>
      </c>
      <c r="AJ984" s="4">
        <v>6</v>
      </c>
      <c r="AK984" s="4">
        <v>7</v>
      </c>
      <c r="AL984" s="4">
        <v>52</v>
      </c>
      <c r="AM984" s="4">
        <v>52</v>
      </c>
      <c r="AN984" s="4">
        <v>0</v>
      </c>
      <c r="AO984" s="4">
        <v>0</v>
      </c>
      <c r="AP984" s="4">
        <v>7</v>
      </c>
      <c r="AQ984" s="4">
        <v>7</v>
      </c>
      <c r="AR984" s="3" t="s">
        <v>64</v>
      </c>
      <c r="AS984" s="3" t="s">
        <v>64</v>
      </c>
      <c r="AT984" s="3" t="s">
        <v>64</v>
      </c>
      <c r="AV984" s="6" t="str">
        <f>HYPERLINK("http://mcgill.on.worldcat.org/oclc/26975098","Catalog Record")</f>
        <v>Catalog Record</v>
      </c>
      <c r="AW984" s="6" t="str">
        <f>HYPERLINK("http://www.worldcat.org/oclc/26975098","WorldCat Record")</f>
        <v>WorldCat Record</v>
      </c>
      <c r="AX984" s="3" t="s">
        <v>9775</v>
      </c>
      <c r="AY984" s="3" t="s">
        <v>9776</v>
      </c>
      <c r="AZ984" s="3" t="s">
        <v>9777</v>
      </c>
      <c r="BA984" s="3" t="s">
        <v>9777</v>
      </c>
      <c r="BB984" s="3" t="s">
        <v>9778</v>
      </c>
      <c r="BC984" s="3" t="s">
        <v>77</v>
      </c>
      <c r="BD984" s="3" t="s">
        <v>78</v>
      </c>
      <c r="BE984" s="3" t="s">
        <v>9779</v>
      </c>
      <c r="BF984" s="3" t="s">
        <v>9778</v>
      </c>
      <c r="BG984" s="3" t="s">
        <v>9780</v>
      </c>
      <c r="BH984">
        <f t="shared" si="29"/>
        <v>0</v>
      </c>
    </row>
    <row r="985" spans="1:60" ht="58" x14ac:dyDescent="0.35">
      <c r="A985" s="2" t="s">
        <v>59</v>
      </c>
      <c r="B985" s="2" t="s">
        <v>60</v>
      </c>
      <c r="C985" s="2" t="s">
        <v>9781</v>
      </c>
      <c r="D985" s="2" t="s">
        <v>9782</v>
      </c>
      <c r="E985" s="2" t="s">
        <v>9783</v>
      </c>
      <c r="G985" s="3" t="s">
        <v>64</v>
      </c>
      <c r="I985" s="3" t="s">
        <v>64</v>
      </c>
      <c r="J985" s="3" t="s">
        <v>64</v>
      </c>
      <c r="K985" s="3" t="s">
        <v>65</v>
      </c>
      <c r="L985" s="2" t="s">
        <v>9784</v>
      </c>
      <c r="M985" s="2" t="s">
        <v>9785</v>
      </c>
      <c r="N985" s="3" t="s">
        <v>291</v>
      </c>
      <c r="P985" s="3" t="s">
        <v>102</v>
      </c>
      <c r="Q985" s="2" t="s">
        <v>9786</v>
      </c>
      <c r="R985" s="3" t="s">
        <v>70</v>
      </c>
      <c r="S985" s="4">
        <v>6</v>
      </c>
      <c r="T985" s="4">
        <v>6</v>
      </c>
      <c r="U985" s="5" t="s">
        <v>9416</v>
      </c>
      <c r="V985" s="5" t="s">
        <v>9416</v>
      </c>
      <c r="W985" s="5" t="s">
        <v>72</v>
      </c>
      <c r="X985" s="5" t="s">
        <v>72</v>
      </c>
      <c r="Y985" s="4">
        <v>190</v>
      </c>
      <c r="Z985" s="4">
        <v>18</v>
      </c>
      <c r="AA985" s="4">
        <v>22</v>
      </c>
      <c r="AB985" s="4">
        <v>1</v>
      </c>
      <c r="AC985" s="4">
        <v>5</v>
      </c>
      <c r="AD985" s="4">
        <v>85</v>
      </c>
      <c r="AE985" s="4">
        <v>88</v>
      </c>
      <c r="AF985" s="4">
        <v>0</v>
      </c>
      <c r="AG985" s="4">
        <v>3</v>
      </c>
      <c r="AH985" s="4">
        <v>79</v>
      </c>
      <c r="AI985" s="4">
        <v>80</v>
      </c>
      <c r="AJ985" s="4">
        <v>15</v>
      </c>
      <c r="AK985" s="4">
        <v>18</v>
      </c>
      <c r="AL985" s="4">
        <v>45</v>
      </c>
      <c r="AM985" s="4">
        <v>45</v>
      </c>
      <c r="AN985" s="4">
        <v>0</v>
      </c>
      <c r="AO985" s="4">
        <v>0</v>
      </c>
      <c r="AP985" s="4">
        <v>15</v>
      </c>
      <c r="AQ985" s="4">
        <v>18</v>
      </c>
      <c r="AR985" s="3" t="s">
        <v>64</v>
      </c>
      <c r="AS985" s="3" t="s">
        <v>64</v>
      </c>
      <c r="AT985" s="3" t="s">
        <v>128</v>
      </c>
      <c r="AU985" s="6" t="str">
        <f>HYPERLINK("http://catalog.hathitrust.org/Record/005584414","HathiTrust Record")</f>
        <v>HathiTrust Record</v>
      </c>
      <c r="AV985" s="6" t="str">
        <f>HYPERLINK("http://mcgill.on.worldcat.org/oclc/144568510","Catalog Record")</f>
        <v>Catalog Record</v>
      </c>
      <c r="AW985" s="6" t="str">
        <f>HYPERLINK("http://www.worldcat.org/oclc/144568510","WorldCat Record")</f>
        <v>WorldCat Record</v>
      </c>
      <c r="AX985" s="3" t="s">
        <v>9787</v>
      </c>
      <c r="AY985" s="3" t="s">
        <v>9788</v>
      </c>
      <c r="AZ985" s="3" t="s">
        <v>9789</v>
      </c>
      <c r="BA985" s="3" t="s">
        <v>9789</v>
      </c>
      <c r="BB985" s="3" t="s">
        <v>9790</v>
      </c>
      <c r="BC985" s="3" t="s">
        <v>77</v>
      </c>
      <c r="BD985" s="3" t="s">
        <v>78</v>
      </c>
      <c r="BE985" s="3" t="s">
        <v>9791</v>
      </c>
      <c r="BF985" s="3" t="s">
        <v>9790</v>
      </c>
      <c r="BG985" s="3" t="s">
        <v>9792</v>
      </c>
      <c r="BH985">
        <f t="shared" si="29"/>
        <v>0</v>
      </c>
    </row>
    <row r="986" spans="1:60" ht="58" x14ac:dyDescent="0.35">
      <c r="A986" s="2" t="s">
        <v>59</v>
      </c>
      <c r="B986" s="2" t="s">
        <v>60</v>
      </c>
      <c r="C986" s="2" t="s">
        <v>9793</v>
      </c>
      <c r="D986" s="2" t="s">
        <v>9794</v>
      </c>
      <c r="E986" s="2" t="s">
        <v>9795</v>
      </c>
      <c r="G986" s="3" t="s">
        <v>64</v>
      </c>
      <c r="H986" s="3" t="s">
        <v>183</v>
      </c>
      <c r="I986" s="3" t="s">
        <v>64</v>
      </c>
      <c r="J986" s="3" t="s">
        <v>64</v>
      </c>
      <c r="K986" s="3" t="s">
        <v>65</v>
      </c>
      <c r="L986" s="2" t="s">
        <v>9796</v>
      </c>
      <c r="M986" s="2" t="s">
        <v>9797</v>
      </c>
      <c r="N986" s="3" t="s">
        <v>1492</v>
      </c>
      <c r="P986" s="3" t="s">
        <v>102</v>
      </c>
      <c r="R986" s="3" t="s">
        <v>70</v>
      </c>
      <c r="S986" s="4">
        <v>0</v>
      </c>
      <c r="T986" s="4">
        <v>0</v>
      </c>
      <c r="W986" s="5" t="s">
        <v>826</v>
      </c>
      <c r="X986" s="5" t="s">
        <v>826</v>
      </c>
      <c r="Y986" s="4">
        <v>50</v>
      </c>
      <c r="Z986" s="4">
        <v>3</v>
      </c>
      <c r="AA986" s="4">
        <v>69</v>
      </c>
      <c r="AB986" s="4">
        <v>1</v>
      </c>
      <c r="AC986" s="4">
        <v>15</v>
      </c>
      <c r="AD986" s="4">
        <v>23</v>
      </c>
      <c r="AE986" s="4">
        <v>92</v>
      </c>
      <c r="AF986" s="4">
        <v>0</v>
      </c>
      <c r="AG986" s="4">
        <v>8</v>
      </c>
      <c r="AH986" s="4">
        <v>20</v>
      </c>
      <c r="AI986" s="4">
        <v>62</v>
      </c>
      <c r="AJ986" s="4">
        <v>1</v>
      </c>
      <c r="AK986" s="4">
        <v>18</v>
      </c>
      <c r="AL986" s="4">
        <v>17</v>
      </c>
      <c r="AM986" s="4">
        <v>34</v>
      </c>
      <c r="AN986" s="4">
        <v>0</v>
      </c>
      <c r="AO986" s="4">
        <v>0</v>
      </c>
      <c r="AP986" s="4">
        <v>1</v>
      </c>
      <c r="AQ986" s="4">
        <v>35</v>
      </c>
      <c r="AR986" s="3" t="s">
        <v>64</v>
      </c>
      <c r="AS986" s="3" t="s">
        <v>64</v>
      </c>
      <c r="AT986" s="3" t="s">
        <v>64</v>
      </c>
      <c r="AV986" s="6" t="str">
        <f>HYPERLINK("http://mcgill.on.worldcat.org/oclc/1061865361","Catalog Record")</f>
        <v>Catalog Record</v>
      </c>
      <c r="AW986" s="6" t="str">
        <f>HYPERLINK("http://www.worldcat.org/oclc/1061865361","WorldCat Record")</f>
        <v>WorldCat Record</v>
      </c>
      <c r="AX986" s="3" t="s">
        <v>9798</v>
      </c>
      <c r="AY986" s="3" t="s">
        <v>9799</v>
      </c>
      <c r="AZ986" s="3" t="s">
        <v>9800</v>
      </c>
      <c r="BA986" s="3" t="s">
        <v>9800</v>
      </c>
      <c r="BB986" s="3" t="s">
        <v>9801</v>
      </c>
      <c r="BC986" s="3" t="s">
        <v>77</v>
      </c>
      <c r="BD986" s="3" t="s">
        <v>78</v>
      </c>
      <c r="BE986" s="3" t="s">
        <v>9802</v>
      </c>
      <c r="BF986" s="3" t="s">
        <v>9801</v>
      </c>
      <c r="BG986" s="3" t="s">
        <v>9803</v>
      </c>
      <c r="BH986">
        <f t="shared" si="29"/>
        <v>0</v>
      </c>
    </row>
    <row r="987" spans="1:60" ht="58" x14ac:dyDescent="0.35">
      <c r="A987" s="2" t="s">
        <v>59</v>
      </c>
      <c r="B987" s="2" t="s">
        <v>60</v>
      </c>
      <c r="C987" s="2" t="s">
        <v>9804</v>
      </c>
      <c r="D987" s="2" t="s">
        <v>9805</v>
      </c>
      <c r="E987" s="2" t="s">
        <v>9806</v>
      </c>
      <c r="G987" s="3" t="s">
        <v>64</v>
      </c>
      <c r="I987" s="3" t="s">
        <v>64</v>
      </c>
      <c r="J987" s="3" t="s">
        <v>64</v>
      </c>
      <c r="K987" s="3" t="s">
        <v>65</v>
      </c>
      <c r="M987" s="2" t="s">
        <v>9807</v>
      </c>
      <c r="N987" s="3" t="s">
        <v>537</v>
      </c>
      <c r="O987" s="2" t="s">
        <v>117</v>
      </c>
      <c r="P987" s="3" t="s">
        <v>102</v>
      </c>
      <c r="R987" s="3" t="s">
        <v>70</v>
      </c>
      <c r="S987" s="4">
        <v>0</v>
      </c>
      <c r="T987" s="4">
        <v>0</v>
      </c>
      <c r="W987" s="5" t="s">
        <v>72</v>
      </c>
      <c r="X987" s="5" t="s">
        <v>72</v>
      </c>
      <c r="Y987" s="4">
        <v>220</v>
      </c>
      <c r="Z987" s="4">
        <v>10</v>
      </c>
      <c r="AA987" s="4">
        <v>11</v>
      </c>
      <c r="AB987" s="4">
        <v>2</v>
      </c>
      <c r="AC987" s="4">
        <v>3</v>
      </c>
      <c r="AD987" s="4">
        <v>34</v>
      </c>
      <c r="AE987" s="4">
        <v>34</v>
      </c>
      <c r="AF987" s="4">
        <v>0</v>
      </c>
      <c r="AG987" s="4">
        <v>0</v>
      </c>
      <c r="AH987" s="4">
        <v>31</v>
      </c>
      <c r="AI987" s="4">
        <v>31</v>
      </c>
      <c r="AJ987" s="4">
        <v>2</v>
      </c>
      <c r="AK987" s="4">
        <v>2</v>
      </c>
      <c r="AL987" s="4">
        <v>20</v>
      </c>
      <c r="AM987" s="4">
        <v>20</v>
      </c>
      <c r="AN987" s="4">
        <v>0</v>
      </c>
      <c r="AO987" s="4">
        <v>0</v>
      </c>
      <c r="AP987" s="4">
        <v>3</v>
      </c>
      <c r="AQ987" s="4">
        <v>3</v>
      </c>
      <c r="AR987" s="3" t="s">
        <v>64</v>
      </c>
      <c r="AS987" s="3" t="s">
        <v>64</v>
      </c>
      <c r="AT987" s="3" t="s">
        <v>64</v>
      </c>
      <c r="AV987" s="6" t="str">
        <f>HYPERLINK("http://mcgill.on.worldcat.org/oclc/948734608","Catalog Record")</f>
        <v>Catalog Record</v>
      </c>
      <c r="AW987" s="6" t="str">
        <f>HYPERLINK("http://www.worldcat.org/oclc/948734608","WorldCat Record")</f>
        <v>WorldCat Record</v>
      </c>
      <c r="AX987" s="3" t="s">
        <v>9808</v>
      </c>
      <c r="AY987" s="3" t="s">
        <v>9809</v>
      </c>
      <c r="AZ987" s="3" t="s">
        <v>9810</v>
      </c>
      <c r="BA987" s="3" t="s">
        <v>9810</v>
      </c>
      <c r="BB987" s="3" t="s">
        <v>9811</v>
      </c>
      <c r="BC987" s="3" t="s">
        <v>77</v>
      </c>
      <c r="BD987" s="3" t="s">
        <v>78</v>
      </c>
      <c r="BE987" s="3" t="s">
        <v>9812</v>
      </c>
      <c r="BF987" s="3" t="s">
        <v>9811</v>
      </c>
      <c r="BG987" s="3" t="s">
        <v>9813</v>
      </c>
      <c r="BH987">
        <f t="shared" si="29"/>
        <v>0</v>
      </c>
    </row>
    <row r="988" spans="1:60" ht="58" x14ac:dyDescent="0.35">
      <c r="A988" s="2" t="s">
        <v>59</v>
      </c>
      <c r="B988" s="2" t="s">
        <v>60</v>
      </c>
      <c r="C988" s="2" t="s">
        <v>9814</v>
      </c>
      <c r="D988" s="2" t="s">
        <v>9815</v>
      </c>
      <c r="E988" s="2" t="s">
        <v>9816</v>
      </c>
      <c r="G988" s="3" t="s">
        <v>64</v>
      </c>
      <c r="I988" s="3" t="s">
        <v>64</v>
      </c>
      <c r="J988" s="3" t="s">
        <v>64</v>
      </c>
      <c r="K988" s="3" t="s">
        <v>65</v>
      </c>
      <c r="L988" s="2" t="s">
        <v>9817</v>
      </c>
      <c r="M988" s="2" t="s">
        <v>9818</v>
      </c>
      <c r="N988" s="3" t="s">
        <v>578</v>
      </c>
      <c r="P988" s="3" t="s">
        <v>102</v>
      </c>
      <c r="Q988" s="2" t="s">
        <v>9819</v>
      </c>
      <c r="R988" s="3" t="s">
        <v>70</v>
      </c>
      <c r="S988" s="4">
        <v>0</v>
      </c>
      <c r="T988" s="4">
        <v>0</v>
      </c>
      <c r="W988" s="5" t="s">
        <v>72</v>
      </c>
      <c r="X988" s="5" t="s">
        <v>72</v>
      </c>
      <c r="Y988" s="4">
        <v>20</v>
      </c>
      <c r="Z988" s="4">
        <v>1</v>
      </c>
      <c r="AA988" s="4">
        <v>11</v>
      </c>
      <c r="AB988" s="4">
        <v>1</v>
      </c>
      <c r="AC988" s="4">
        <v>5</v>
      </c>
      <c r="AD988" s="4">
        <v>8</v>
      </c>
      <c r="AE988" s="4">
        <v>58</v>
      </c>
      <c r="AF988" s="4">
        <v>0</v>
      </c>
      <c r="AG988" s="4">
        <v>2</v>
      </c>
      <c r="AH988" s="4">
        <v>8</v>
      </c>
      <c r="AI988" s="4">
        <v>50</v>
      </c>
      <c r="AJ988" s="4">
        <v>0</v>
      </c>
      <c r="AK988" s="4">
        <v>4</v>
      </c>
      <c r="AL988" s="4">
        <v>8</v>
      </c>
      <c r="AM988" s="4">
        <v>38</v>
      </c>
      <c r="AN988" s="4">
        <v>0</v>
      </c>
      <c r="AO988" s="4">
        <v>0</v>
      </c>
      <c r="AP988" s="4">
        <v>0</v>
      </c>
      <c r="AQ988" s="4">
        <v>6</v>
      </c>
      <c r="AR988" s="3" t="s">
        <v>64</v>
      </c>
      <c r="AS988" s="3" t="s">
        <v>64</v>
      </c>
      <c r="AT988" s="3" t="s">
        <v>64</v>
      </c>
      <c r="AV988" s="6" t="str">
        <f>HYPERLINK("http://mcgill.on.worldcat.org/oclc/990416053","Catalog Record")</f>
        <v>Catalog Record</v>
      </c>
      <c r="AW988" s="6" t="str">
        <f>HYPERLINK("http://www.worldcat.org/oclc/990416053","WorldCat Record")</f>
        <v>WorldCat Record</v>
      </c>
      <c r="AX988" s="3" t="s">
        <v>9820</v>
      </c>
      <c r="AY988" s="3" t="s">
        <v>9821</v>
      </c>
      <c r="AZ988" s="3" t="s">
        <v>9822</v>
      </c>
      <c r="BA988" s="3" t="s">
        <v>9822</v>
      </c>
      <c r="BB988" s="3" t="s">
        <v>9823</v>
      </c>
      <c r="BC988" s="3" t="s">
        <v>77</v>
      </c>
      <c r="BD988" s="3" t="s">
        <v>78</v>
      </c>
      <c r="BE988" s="3" t="s">
        <v>9824</v>
      </c>
      <c r="BF988" s="3" t="s">
        <v>9823</v>
      </c>
      <c r="BG988" s="3" t="s">
        <v>9825</v>
      </c>
      <c r="BH988">
        <f t="shared" si="29"/>
        <v>0</v>
      </c>
    </row>
    <row r="989" spans="1:60" ht="58" x14ac:dyDescent="0.35">
      <c r="A989" s="2" t="s">
        <v>59</v>
      </c>
      <c r="B989" s="2" t="s">
        <v>60</v>
      </c>
      <c r="C989" s="2" t="s">
        <v>9826</v>
      </c>
      <c r="D989" s="2" t="s">
        <v>9827</v>
      </c>
      <c r="E989" s="2" t="s">
        <v>9828</v>
      </c>
      <c r="G989" s="3" t="s">
        <v>64</v>
      </c>
      <c r="I989" s="3" t="s">
        <v>64</v>
      </c>
      <c r="J989" s="3" t="s">
        <v>64</v>
      </c>
      <c r="K989" s="3" t="s">
        <v>65</v>
      </c>
      <c r="M989" s="2" t="s">
        <v>9829</v>
      </c>
      <c r="N989" s="3" t="s">
        <v>67</v>
      </c>
      <c r="P989" s="3" t="s">
        <v>68</v>
      </c>
      <c r="Q989" s="2" t="s">
        <v>9830</v>
      </c>
      <c r="R989" s="3" t="s">
        <v>70</v>
      </c>
      <c r="S989" s="4">
        <v>1</v>
      </c>
      <c r="T989" s="4">
        <v>1</v>
      </c>
      <c r="U989" s="5" t="s">
        <v>9831</v>
      </c>
      <c r="V989" s="5" t="s">
        <v>9831</v>
      </c>
      <c r="W989" s="5" t="s">
        <v>72</v>
      </c>
      <c r="X989" s="5" t="s">
        <v>72</v>
      </c>
      <c r="Y989" s="4">
        <v>25</v>
      </c>
      <c r="Z989" s="4">
        <v>4</v>
      </c>
      <c r="AA989" s="4">
        <v>6</v>
      </c>
      <c r="AB989" s="4">
        <v>1</v>
      </c>
      <c r="AC989" s="4">
        <v>3</v>
      </c>
      <c r="AD989" s="4">
        <v>14</v>
      </c>
      <c r="AE989" s="4">
        <v>15</v>
      </c>
      <c r="AF989" s="4">
        <v>0</v>
      </c>
      <c r="AG989" s="4">
        <v>1</v>
      </c>
      <c r="AH989" s="4">
        <v>13</v>
      </c>
      <c r="AI989" s="4">
        <v>14</v>
      </c>
      <c r="AJ989" s="4">
        <v>2</v>
      </c>
      <c r="AK989" s="4">
        <v>3</v>
      </c>
      <c r="AL989" s="4">
        <v>11</v>
      </c>
      <c r="AM989" s="4">
        <v>11</v>
      </c>
      <c r="AN989" s="4">
        <v>0</v>
      </c>
      <c r="AO989" s="4">
        <v>0</v>
      </c>
      <c r="AP989" s="4">
        <v>2</v>
      </c>
      <c r="AQ989" s="4">
        <v>3</v>
      </c>
      <c r="AR989" s="3" t="s">
        <v>64</v>
      </c>
      <c r="AS989" s="3" t="s">
        <v>64</v>
      </c>
      <c r="AT989" s="3" t="s">
        <v>64</v>
      </c>
      <c r="AV989" s="6" t="str">
        <f>HYPERLINK("http://mcgill.on.worldcat.org/oclc/879564656","Catalog Record")</f>
        <v>Catalog Record</v>
      </c>
      <c r="AW989" s="6" t="str">
        <f>HYPERLINK("http://www.worldcat.org/oclc/879564656","WorldCat Record")</f>
        <v>WorldCat Record</v>
      </c>
      <c r="AX989" s="3" t="s">
        <v>9832</v>
      </c>
      <c r="AY989" s="3" t="s">
        <v>9833</v>
      </c>
      <c r="AZ989" s="3" t="s">
        <v>9834</v>
      </c>
      <c r="BA989" s="3" t="s">
        <v>9834</v>
      </c>
      <c r="BB989" s="3" t="s">
        <v>9835</v>
      </c>
      <c r="BC989" s="3" t="s">
        <v>77</v>
      </c>
      <c r="BD989" s="3" t="s">
        <v>78</v>
      </c>
      <c r="BE989" s="3" t="s">
        <v>9836</v>
      </c>
      <c r="BF989" s="3" t="s">
        <v>9835</v>
      </c>
      <c r="BG989" s="3" t="s">
        <v>9837</v>
      </c>
      <c r="BH989">
        <f t="shared" si="29"/>
        <v>0</v>
      </c>
    </row>
    <row r="990" spans="1:60" ht="116" x14ac:dyDescent="0.35">
      <c r="A990" s="2" t="s">
        <v>59</v>
      </c>
      <c r="B990" s="2" t="s">
        <v>60</v>
      </c>
      <c r="C990" s="2" t="s">
        <v>9838</v>
      </c>
      <c r="D990" s="2" t="s">
        <v>9839</v>
      </c>
      <c r="E990" s="2" t="s">
        <v>9840</v>
      </c>
      <c r="G990" s="3" t="s">
        <v>64</v>
      </c>
      <c r="I990" s="3" t="s">
        <v>128</v>
      </c>
      <c r="J990" s="3" t="s">
        <v>64</v>
      </c>
      <c r="K990" s="3" t="s">
        <v>65</v>
      </c>
      <c r="L990" s="2" t="s">
        <v>9841</v>
      </c>
      <c r="M990" s="2" t="s">
        <v>9842</v>
      </c>
      <c r="N990" s="3" t="s">
        <v>9843</v>
      </c>
      <c r="P990" s="3" t="s">
        <v>68</v>
      </c>
      <c r="Q990" s="2" t="s">
        <v>9844</v>
      </c>
      <c r="R990" s="3" t="s">
        <v>70</v>
      </c>
      <c r="S990" s="4">
        <v>2</v>
      </c>
      <c r="T990" s="4">
        <v>3</v>
      </c>
      <c r="U990" s="5" t="s">
        <v>626</v>
      </c>
      <c r="V990" s="5" t="s">
        <v>626</v>
      </c>
      <c r="W990" s="5" t="s">
        <v>72</v>
      </c>
      <c r="X990" s="5" t="s">
        <v>72</v>
      </c>
      <c r="Y990" s="4">
        <v>78</v>
      </c>
      <c r="Z990" s="4">
        <v>7</v>
      </c>
      <c r="AA990" s="4">
        <v>28</v>
      </c>
      <c r="AB990" s="4">
        <v>2</v>
      </c>
      <c r="AC990" s="4">
        <v>5</v>
      </c>
      <c r="AD990" s="4">
        <v>35</v>
      </c>
      <c r="AE990" s="4">
        <v>60</v>
      </c>
      <c r="AF990" s="4">
        <v>0</v>
      </c>
      <c r="AG990" s="4">
        <v>2</v>
      </c>
      <c r="AH990" s="4">
        <v>34</v>
      </c>
      <c r="AI990" s="4">
        <v>51</v>
      </c>
      <c r="AJ990" s="4">
        <v>2</v>
      </c>
      <c r="AK990" s="4">
        <v>12</v>
      </c>
      <c r="AL990" s="4">
        <v>27</v>
      </c>
      <c r="AM990" s="4">
        <v>31</v>
      </c>
      <c r="AN990" s="4">
        <v>0</v>
      </c>
      <c r="AO990" s="4">
        <v>0</v>
      </c>
      <c r="AP990" s="4">
        <v>2</v>
      </c>
      <c r="AQ990" s="4">
        <v>13</v>
      </c>
      <c r="AR990" s="3" t="s">
        <v>64</v>
      </c>
      <c r="AS990" s="3" t="s">
        <v>64</v>
      </c>
      <c r="AT990" s="3" t="s">
        <v>64</v>
      </c>
      <c r="AU990" s="6" t="str">
        <f>HYPERLINK("http://catalog.hathitrust.org/Record/001161717","HathiTrust Record")</f>
        <v>HathiTrust Record</v>
      </c>
      <c r="AV990" s="6" t="str">
        <f>HYPERLINK("http://mcgill.on.worldcat.org/oclc/5385034","Catalog Record")</f>
        <v>Catalog Record</v>
      </c>
      <c r="AW990" s="6" t="str">
        <f>HYPERLINK("http://www.worldcat.org/oclc/5385034","WorldCat Record")</f>
        <v>WorldCat Record</v>
      </c>
      <c r="AX990" s="3" t="s">
        <v>9845</v>
      </c>
      <c r="AY990" s="3" t="s">
        <v>9846</v>
      </c>
      <c r="AZ990" s="3" t="s">
        <v>9847</v>
      </c>
      <c r="BA990" s="3" t="s">
        <v>9847</v>
      </c>
      <c r="BB990" s="3" t="s">
        <v>9848</v>
      </c>
      <c r="BC990" s="3" t="s">
        <v>77</v>
      </c>
      <c r="BD990" s="3" t="s">
        <v>78</v>
      </c>
      <c r="BF990" s="3" t="s">
        <v>9848</v>
      </c>
      <c r="BG990" s="3" t="s">
        <v>9849</v>
      </c>
      <c r="BH990">
        <f t="shared" si="29"/>
        <v>0</v>
      </c>
    </row>
    <row r="991" spans="1:60" ht="58" x14ac:dyDescent="0.35">
      <c r="A991" s="2" t="s">
        <v>59</v>
      </c>
      <c r="B991" s="2" t="s">
        <v>60</v>
      </c>
      <c r="C991" s="2" t="s">
        <v>9850</v>
      </c>
      <c r="D991" s="2" t="s">
        <v>9851</v>
      </c>
      <c r="E991" s="2" t="s">
        <v>9852</v>
      </c>
      <c r="G991" s="3" t="s">
        <v>64</v>
      </c>
      <c r="I991" s="3" t="s">
        <v>64</v>
      </c>
      <c r="J991" s="3" t="s">
        <v>64</v>
      </c>
      <c r="K991" s="3" t="s">
        <v>65</v>
      </c>
      <c r="L991" s="2" t="s">
        <v>9853</v>
      </c>
      <c r="M991" s="2" t="s">
        <v>9854</v>
      </c>
      <c r="N991" s="3" t="s">
        <v>537</v>
      </c>
      <c r="P991" s="3" t="s">
        <v>68</v>
      </c>
      <c r="Q991" s="2" t="s">
        <v>9855</v>
      </c>
      <c r="R991" s="3" t="s">
        <v>70</v>
      </c>
      <c r="S991" s="4">
        <v>0</v>
      </c>
      <c r="T991" s="4">
        <v>0</v>
      </c>
      <c r="W991" s="5" t="s">
        <v>72</v>
      </c>
      <c r="X991" s="5" t="s">
        <v>72</v>
      </c>
      <c r="Y991" s="4">
        <v>67</v>
      </c>
      <c r="Z991" s="4">
        <v>8</v>
      </c>
      <c r="AA991" s="4">
        <v>10</v>
      </c>
      <c r="AB991" s="4">
        <v>1</v>
      </c>
      <c r="AC991" s="4">
        <v>3</v>
      </c>
      <c r="AD991" s="4">
        <v>44</v>
      </c>
      <c r="AE991" s="4">
        <v>46</v>
      </c>
      <c r="AF991" s="4">
        <v>0</v>
      </c>
      <c r="AG991" s="4">
        <v>2</v>
      </c>
      <c r="AH991" s="4">
        <v>41</v>
      </c>
      <c r="AI991" s="4">
        <v>42</v>
      </c>
      <c r="AJ991" s="4">
        <v>6</v>
      </c>
      <c r="AK991" s="4">
        <v>8</v>
      </c>
      <c r="AL991" s="4">
        <v>28</v>
      </c>
      <c r="AM991" s="4">
        <v>28</v>
      </c>
      <c r="AN991" s="4">
        <v>0</v>
      </c>
      <c r="AO991" s="4">
        <v>0</v>
      </c>
      <c r="AP991" s="4">
        <v>6</v>
      </c>
      <c r="AQ991" s="4">
        <v>7</v>
      </c>
      <c r="AR991" s="3" t="s">
        <v>64</v>
      </c>
      <c r="AS991" s="3" t="s">
        <v>64</v>
      </c>
      <c r="AT991" s="3" t="s">
        <v>64</v>
      </c>
      <c r="AV991" s="6" t="str">
        <f>HYPERLINK("http://mcgill.on.worldcat.org/oclc/948968224","Catalog Record")</f>
        <v>Catalog Record</v>
      </c>
      <c r="AW991" s="6" t="str">
        <f>HYPERLINK("http://www.worldcat.org/oclc/948968224","WorldCat Record")</f>
        <v>WorldCat Record</v>
      </c>
      <c r="AX991" s="3" t="s">
        <v>9856</v>
      </c>
      <c r="AY991" s="3" t="s">
        <v>9857</v>
      </c>
      <c r="AZ991" s="3" t="s">
        <v>9858</v>
      </c>
      <c r="BA991" s="3" t="s">
        <v>9858</v>
      </c>
      <c r="BB991" s="3" t="s">
        <v>9859</v>
      </c>
      <c r="BC991" s="3" t="s">
        <v>77</v>
      </c>
      <c r="BD991" s="3" t="s">
        <v>78</v>
      </c>
      <c r="BE991" s="3" t="s">
        <v>9860</v>
      </c>
      <c r="BF991" s="3" t="s">
        <v>9859</v>
      </c>
      <c r="BG991" s="3" t="s">
        <v>9861</v>
      </c>
      <c r="BH991">
        <f t="shared" si="29"/>
        <v>0</v>
      </c>
    </row>
    <row r="992" spans="1:60" ht="58" x14ac:dyDescent="0.35">
      <c r="A992" s="2" t="s">
        <v>59</v>
      </c>
      <c r="B992" s="2" t="s">
        <v>60</v>
      </c>
      <c r="C992" s="2" t="s">
        <v>9862</v>
      </c>
      <c r="D992" s="2" t="s">
        <v>9863</v>
      </c>
      <c r="E992" s="2" t="s">
        <v>9864</v>
      </c>
      <c r="G992" s="3" t="s">
        <v>64</v>
      </c>
      <c r="I992" s="3" t="s">
        <v>64</v>
      </c>
      <c r="J992" s="3" t="s">
        <v>64</v>
      </c>
      <c r="K992" s="3" t="s">
        <v>65</v>
      </c>
      <c r="L992" s="2" t="s">
        <v>9865</v>
      </c>
      <c r="M992" s="2" t="s">
        <v>9866</v>
      </c>
      <c r="N992" s="3" t="s">
        <v>253</v>
      </c>
      <c r="P992" s="3" t="s">
        <v>68</v>
      </c>
      <c r="Q992" s="2" t="s">
        <v>9867</v>
      </c>
      <c r="R992" s="3" t="s">
        <v>70</v>
      </c>
      <c r="S992" s="4">
        <v>0</v>
      </c>
      <c r="T992" s="4">
        <v>0</v>
      </c>
      <c r="W992" s="5" t="s">
        <v>72</v>
      </c>
      <c r="X992" s="5" t="s">
        <v>72</v>
      </c>
      <c r="Y992" s="4">
        <v>73</v>
      </c>
      <c r="Z992" s="4">
        <v>8</v>
      </c>
      <c r="AA992" s="4">
        <v>10</v>
      </c>
      <c r="AB992" s="4">
        <v>1</v>
      </c>
      <c r="AC992" s="4">
        <v>2</v>
      </c>
      <c r="AD992" s="4">
        <v>45</v>
      </c>
      <c r="AE992" s="4">
        <v>48</v>
      </c>
      <c r="AF992" s="4">
        <v>0</v>
      </c>
      <c r="AG992" s="4">
        <v>1</v>
      </c>
      <c r="AH992" s="4">
        <v>42</v>
      </c>
      <c r="AI992" s="4">
        <v>45</v>
      </c>
      <c r="AJ992" s="4">
        <v>5</v>
      </c>
      <c r="AK992" s="4">
        <v>7</v>
      </c>
      <c r="AL992" s="4">
        <v>28</v>
      </c>
      <c r="AM992" s="4">
        <v>28</v>
      </c>
      <c r="AN992" s="4">
        <v>0</v>
      </c>
      <c r="AO992" s="4">
        <v>0</v>
      </c>
      <c r="AP992" s="4">
        <v>5</v>
      </c>
      <c r="AQ992" s="4">
        <v>7</v>
      </c>
      <c r="AR992" s="3" t="s">
        <v>64</v>
      </c>
      <c r="AS992" s="3" t="s">
        <v>64</v>
      </c>
      <c r="AT992" s="3" t="s">
        <v>64</v>
      </c>
      <c r="AV992" s="6" t="str">
        <f>HYPERLINK("http://mcgill.on.worldcat.org/oclc/903637898","Catalog Record")</f>
        <v>Catalog Record</v>
      </c>
      <c r="AW992" s="6" t="str">
        <f>HYPERLINK("http://www.worldcat.org/oclc/903637898","WorldCat Record")</f>
        <v>WorldCat Record</v>
      </c>
      <c r="AX992" s="3" t="s">
        <v>9868</v>
      </c>
      <c r="AY992" s="3" t="s">
        <v>9869</v>
      </c>
      <c r="AZ992" s="3" t="s">
        <v>9870</v>
      </c>
      <c r="BA992" s="3" t="s">
        <v>9870</v>
      </c>
      <c r="BB992" s="3" t="s">
        <v>9871</v>
      </c>
      <c r="BC992" s="3" t="s">
        <v>77</v>
      </c>
      <c r="BD992" s="3" t="s">
        <v>78</v>
      </c>
      <c r="BE992" s="3" t="s">
        <v>9872</v>
      </c>
      <c r="BF992" s="3" t="s">
        <v>9871</v>
      </c>
      <c r="BG992" s="3" t="s">
        <v>9873</v>
      </c>
      <c r="BH992">
        <f t="shared" si="29"/>
        <v>0</v>
      </c>
    </row>
    <row r="993" spans="1:60" ht="58" x14ac:dyDescent="0.35">
      <c r="A993" s="2" t="s">
        <v>59</v>
      </c>
      <c r="B993" s="2" t="s">
        <v>60</v>
      </c>
      <c r="C993" s="2" t="s">
        <v>9874</v>
      </c>
      <c r="D993" s="2" t="s">
        <v>9875</v>
      </c>
      <c r="E993" s="2" t="s">
        <v>9876</v>
      </c>
      <c r="G993" s="3" t="s">
        <v>64</v>
      </c>
      <c r="I993" s="3" t="s">
        <v>64</v>
      </c>
      <c r="J993" s="3" t="s">
        <v>64</v>
      </c>
      <c r="K993" s="3" t="s">
        <v>65</v>
      </c>
      <c r="L993" s="2" t="s">
        <v>9877</v>
      </c>
      <c r="M993" s="2" t="s">
        <v>9878</v>
      </c>
      <c r="N993" s="3" t="s">
        <v>67</v>
      </c>
      <c r="P993" s="3" t="s">
        <v>102</v>
      </c>
      <c r="Q993" s="2" t="s">
        <v>3876</v>
      </c>
      <c r="R993" s="3" t="s">
        <v>70</v>
      </c>
      <c r="S993" s="4">
        <v>0</v>
      </c>
      <c r="T993" s="4">
        <v>0</v>
      </c>
      <c r="W993" s="5" t="s">
        <v>72</v>
      </c>
      <c r="X993" s="5" t="s">
        <v>72</v>
      </c>
      <c r="Y993" s="4">
        <v>129</v>
      </c>
      <c r="Z993" s="4">
        <v>13</v>
      </c>
      <c r="AA993" s="4">
        <v>103</v>
      </c>
      <c r="AB993" s="4">
        <v>1</v>
      </c>
      <c r="AC993" s="4">
        <v>15</v>
      </c>
      <c r="AD993" s="4">
        <v>61</v>
      </c>
      <c r="AE993" s="4">
        <v>129</v>
      </c>
      <c r="AF993" s="4">
        <v>0</v>
      </c>
      <c r="AG993" s="4">
        <v>8</v>
      </c>
      <c r="AH993" s="4">
        <v>58</v>
      </c>
      <c r="AI993" s="4">
        <v>92</v>
      </c>
      <c r="AJ993" s="4">
        <v>8</v>
      </c>
      <c r="AK993" s="4">
        <v>24</v>
      </c>
      <c r="AL993" s="4">
        <v>39</v>
      </c>
      <c r="AM993" s="4">
        <v>52</v>
      </c>
      <c r="AN993" s="4">
        <v>0</v>
      </c>
      <c r="AO993" s="4">
        <v>0</v>
      </c>
      <c r="AP993" s="4">
        <v>8</v>
      </c>
      <c r="AQ993" s="4">
        <v>44</v>
      </c>
      <c r="AR993" s="3" t="s">
        <v>64</v>
      </c>
      <c r="AS993" s="3" t="s">
        <v>64</v>
      </c>
      <c r="AT993" s="3" t="s">
        <v>64</v>
      </c>
      <c r="AV993" s="6" t="str">
        <f>HYPERLINK("http://mcgill.on.worldcat.org/oclc/844729419","Catalog Record")</f>
        <v>Catalog Record</v>
      </c>
      <c r="AW993" s="6" t="str">
        <f>HYPERLINK("http://www.worldcat.org/oclc/844729419","WorldCat Record")</f>
        <v>WorldCat Record</v>
      </c>
      <c r="AX993" s="3" t="s">
        <v>9879</v>
      </c>
      <c r="AY993" s="3" t="s">
        <v>9880</v>
      </c>
      <c r="AZ993" s="3" t="s">
        <v>9881</v>
      </c>
      <c r="BA993" s="3" t="s">
        <v>9881</v>
      </c>
      <c r="BB993" s="3" t="s">
        <v>9882</v>
      </c>
      <c r="BC993" s="3" t="s">
        <v>77</v>
      </c>
      <c r="BD993" s="3" t="s">
        <v>78</v>
      </c>
      <c r="BE993" s="3" t="s">
        <v>9883</v>
      </c>
      <c r="BF993" s="3" t="s">
        <v>9882</v>
      </c>
      <c r="BG993" s="3" t="s">
        <v>9884</v>
      </c>
      <c r="BH993">
        <f t="shared" si="29"/>
        <v>0</v>
      </c>
    </row>
    <row r="994" spans="1:60" ht="58" x14ac:dyDescent="0.35">
      <c r="A994" s="2" t="s">
        <v>59</v>
      </c>
      <c r="B994" s="2" t="s">
        <v>60</v>
      </c>
      <c r="C994" s="2" t="s">
        <v>9885</v>
      </c>
      <c r="D994" s="2" t="s">
        <v>9886</v>
      </c>
      <c r="E994" s="2" t="s">
        <v>9887</v>
      </c>
      <c r="G994" s="3" t="s">
        <v>64</v>
      </c>
      <c r="I994" s="3" t="s">
        <v>64</v>
      </c>
      <c r="J994" s="3" t="s">
        <v>64</v>
      </c>
      <c r="K994" s="3" t="s">
        <v>183</v>
      </c>
      <c r="L994" s="2" t="s">
        <v>9888</v>
      </c>
      <c r="M994" s="2" t="s">
        <v>9889</v>
      </c>
      <c r="N994" s="3" t="s">
        <v>1087</v>
      </c>
      <c r="P994" s="3" t="s">
        <v>102</v>
      </c>
      <c r="Q994" s="2" t="s">
        <v>9890</v>
      </c>
      <c r="R994" s="3" t="s">
        <v>70</v>
      </c>
      <c r="S994" s="4">
        <v>14</v>
      </c>
      <c r="T994" s="4">
        <v>14</v>
      </c>
      <c r="U994" s="5" t="s">
        <v>9891</v>
      </c>
      <c r="V994" s="5" t="s">
        <v>9891</v>
      </c>
      <c r="W994" s="5" t="s">
        <v>72</v>
      </c>
      <c r="X994" s="5" t="s">
        <v>72</v>
      </c>
      <c r="Y994" s="4">
        <v>400</v>
      </c>
      <c r="Z994" s="4">
        <v>27</v>
      </c>
      <c r="AA994" s="4">
        <v>44</v>
      </c>
      <c r="AB994" s="4">
        <v>2</v>
      </c>
      <c r="AC994" s="4">
        <v>8</v>
      </c>
      <c r="AD994" s="4">
        <v>111</v>
      </c>
      <c r="AE994" s="4">
        <v>125</v>
      </c>
      <c r="AF994" s="4">
        <v>1</v>
      </c>
      <c r="AG994" s="4">
        <v>3</v>
      </c>
      <c r="AH994" s="4">
        <v>93</v>
      </c>
      <c r="AI994" s="4">
        <v>101</v>
      </c>
      <c r="AJ994" s="4">
        <v>19</v>
      </c>
      <c r="AK994" s="4">
        <v>23</v>
      </c>
      <c r="AL994" s="4">
        <v>53</v>
      </c>
      <c r="AM994" s="4">
        <v>55</v>
      </c>
      <c r="AN994" s="4">
        <v>0</v>
      </c>
      <c r="AO994" s="4">
        <v>0</v>
      </c>
      <c r="AP994" s="4">
        <v>24</v>
      </c>
      <c r="AQ994" s="4">
        <v>32</v>
      </c>
      <c r="AR994" s="3" t="s">
        <v>64</v>
      </c>
      <c r="AS994" s="3" t="s">
        <v>64</v>
      </c>
      <c r="AT994" s="3" t="s">
        <v>64</v>
      </c>
      <c r="AV994" s="6" t="str">
        <f>HYPERLINK("http://mcgill.on.worldcat.org/oclc/22892064","Catalog Record")</f>
        <v>Catalog Record</v>
      </c>
      <c r="AW994" s="6" t="str">
        <f>HYPERLINK("http://www.worldcat.org/oclc/22892064","WorldCat Record")</f>
        <v>WorldCat Record</v>
      </c>
      <c r="AX994" s="3" t="s">
        <v>9892</v>
      </c>
      <c r="AY994" s="3" t="s">
        <v>9893</v>
      </c>
      <c r="AZ994" s="3" t="s">
        <v>9894</v>
      </c>
      <c r="BA994" s="3" t="s">
        <v>9894</v>
      </c>
      <c r="BB994" s="3" t="s">
        <v>9895</v>
      </c>
      <c r="BC994" s="3" t="s">
        <v>77</v>
      </c>
      <c r="BD994" s="3" t="s">
        <v>78</v>
      </c>
      <c r="BE994" s="3" t="s">
        <v>9896</v>
      </c>
      <c r="BF994" s="3" t="s">
        <v>9895</v>
      </c>
      <c r="BG994" s="3" t="s">
        <v>9897</v>
      </c>
      <c r="BH994">
        <f t="shared" si="29"/>
        <v>0</v>
      </c>
    </row>
    <row r="995" spans="1:60" ht="58" x14ac:dyDescent="0.35">
      <c r="A995" s="2" t="s">
        <v>59</v>
      </c>
      <c r="B995" s="2" t="s">
        <v>60</v>
      </c>
      <c r="C995" s="2" t="s">
        <v>9898</v>
      </c>
      <c r="D995" s="2" t="s">
        <v>9899</v>
      </c>
      <c r="E995" s="2" t="s">
        <v>9900</v>
      </c>
      <c r="G995" s="3" t="s">
        <v>64</v>
      </c>
      <c r="I995" s="3" t="s">
        <v>64</v>
      </c>
      <c r="J995" s="3" t="s">
        <v>64</v>
      </c>
      <c r="K995" s="3" t="s">
        <v>65</v>
      </c>
      <c r="L995" s="2" t="s">
        <v>9901</v>
      </c>
      <c r="M995" s="2" t="s">
        <v>9902</v>
      </c>
      <c r="N995" s="3" t="s">
        <v>86</v>
      </c>
      <c r="P995" s="3" t="s">
        <v>68</v>
      </c>
      <c r="R995" s="3" t="s">
        <v>70</v>
      </c>
      <c r="S995" s="4">
        <v>1</v>
      </c>
      <c r="T995" s="4">
        <v>1</v>
      </c>
      <c r="U995" s="5" t="s">
        <v>9903</v>
      </c>
      <c r="V995" s="5" t="s">
        <v>9903</v>
      </c>
      <c r="W995" s="5" t="s">
        <v>72</v>
      </c>
      <c r="X995" s="5" t="s">
        <v>72</v>
      </c>
      <c r="Y995" s="4">
        <v>28</v>
      </c>
      <c r="Z995" s="4">
        <v>3</v>
      </c>
      <c r="AA995" s="4">
        <v>9</v>
      </c>
      <c r="AB995" s="4">
        <v>1</v>
      </c>
      <c r="AC995" s="4">
        <v>6</v>
      </c>
      <c r="AD995" s="4">
        <v>15</v>
      </c>
      <c r="AE995" s="4">
        <v>19</v>
      </c>
      <c r="AF995" s="4">
        <v>0</v>
      </c>
      <c r="AG995" s="4">
        <v>3</v>
      </c>
      <c r="AH995" s="4">
        <v>14</v>
      </c>
      <c r="AI995" s="4">
        <v>15</v>
      </c>
      <c r="AJ995" s="4">
        <v>1</v>
      </c>
      <c r="AK995" s="4">
        <v>4</v>
      </c>
      <c r="AL995" s="4">
        <v>13</v>
      </c>
      <c r="AM995" s="4">
        <v>13</v>
      </c>
      <c r="AN995" s="4">
        <v>0</v>
      </c>
      <c r="AO995" s="4">
        <v>0</v>
      </c>
      <c r="AP995" s="4">
        <v>1</v>
      </c>
      <c r="AQ995" s="4">
        <v>4</v>
      </c>
      <c r="AR995" s="3" t="s">
        <v>64</v>
      </c>
      <c r="AS995" s="3" t="s">
        <v>64</v>
      </c>
      <c r="AT995" s="3" t="s">
        <v>64</v>
      </c>
      <c r="AV995" s="6" t="str">
        <f>HYPERLINK("http://mcgill.on.worldcat.org/oclc/784362624","Catalog Record")</f>
        <v>Catalog Record</v>
      </c>
      <c r="AW995" s="6" t="str">
        <f>HYPERLINK("http://www.worldcat.org/oclc/784362624","WorldCat Record")</f>
        <v>WorldCat Record</v>
      </c>
      <c r="AX995" s="3" t="s">
        <v>9904</v>
      </c>
      <c r="AY995" s="3" t="s">
        <v>9905</v>
      </c>
      <c r="AZ995" s="3" t="s">
        <v>9906</v>
      </c>
      <c r="BA995" s="3" t="s">
        <v>9906</v>
      </c>
      <c r="BB995" s="3" t="s">
        <v>9907</v>
      </c>
      <c r="BC995" s="3" t="s">
        <v>77</v>
      </c>
      <c r="BD995" s="3" t="s">
        <v>78</v>
      </c>
      <c r="BE995" s="3" t="s">
        <v>9908</v>
      </c>
      <c r="BF995" s="3" t="s">
        <v>9907</v>
      </c>
      <c r="BG995" s="3" t="s">
        <v>9909</v>
      </c>
      <c r="BH995">
        <f t="shared" si="29"/>
        <v>0</v>
      </c>
    </row>
    <row r="996" spans="1:60" ht="58" x14ac:dyDescent="0.35">
      <c r="A996" s="2" t="s">
        <v>59</v>
      </c>
      <c r="B996" s="2" t="s">
        <v>60</v>
      </c>
      <c r="C996" s="2" t="s">
        <v>9910</v>
      </c>
      <c r="D996" s="2" t="s">
        <v>9911</v>
      </c>
      <c r="E996" s="2" t="s">
        <v>9912</v>
      </c>
      <c r="G996" s="3" t="s">
        <v>64</v>
      </c>
      <c r="I996" s="3" t="s">
        <v>64</v>
      </c>
      <c r="J996" s="3" t="s">
        <v>64</v>
      </c>
      <c r="K996" s="3" t="s">
        <v>65</v>
      </c>
      <c r="L996" s="2" t="s">
        <v>9913</v>
      </c>
      <c r="M996" s="2" t="s">
        <v>9914</v>
      </c>
      <c r="N996" s="3" t="s">
        <v>578</v>
      </c>
      <c r="P996" s="3" t="s">
        <v>102</v>
      </c>
      <c r="Q996" s="2" t="s">
        <v>9915</v>
      </c>
      <c r="R996" s="3" t="s">
        <v>70</v>
      </c>
      <c r="S996" s="4">
        <v>0</v>
      </c>
      <c r="T996" s="4">
        <v>0</v>
      </c>
      <c r="W996" s="5" t="s">
        <v>72</v>
      </c>
      <c r="X996" s="5" t="s">
        <v>72</v>
      </c>
      <c r="Y996" s="4">
        <v>179</v>
      </c>
      <c r="Z996" s="4">
        <v>12</v>
      </c>
      <c r="AA996" s="4">
        <v>28</v>
      </c>
      <c r="AB996" s="4">
        <v>2</v>
      </c>
      <c r="AC996" s="4">
        <v>8</v>
      </c>
      <c r="AD996" s="4">
        <v>50</v>
      </c>
      <c r="AE996" s="4">
        <v>78</v>
      </c>
      <c r="AF996" s="4">
        <v>1</v>
      </c>
      <c r="AG996" s="4">
        <v>4</v>
      </c>
      <c r="AH996" s="4">
        <v>46</v>
      </c>
      <c r="AI996" s="4">
        <v>68</v>
      </c>
      <c r="AJ996" s="4">
        <v>8</v>
      </c>
      <c r="AK996" s="4">
        <v>15</v>
      </c>
      <c r="AL996" s="4">
        <v>32</v>
      </c>
      <c r="AM996" s="4">
        <v>42</v>
      </c>
      <c r="AN996" s="4">
        <v>0</v>
      </c>
      <c r="AO996" s="4">
        <v>0</v>
      </c>
      <c r="AP996" s="4">
        <v>8</v>
      </c>
      <c r="AQ996" s="4">
        <v>18</v>
      </c>
      <c r="AR996" s="3" t="s">
        <v>64</v>
      </c>
      <c r="AS996" s="3" t="s">
        <v>64</v>
      </c>
      <c r="AT996" s="3" t="s">
        <v>64</v>
      </c>
      <c r="AV996" s="6" t="str">
        <f>HYPERLINK("http://mcgill.on.worldcat.org/oclc/953985619","Catalog Record")</f>
        <v>Catalog Record</v>
      </c>
      <c r="AW996" s="6" t="str">
        <f>HYPERLINK("http://www.worldcat.org/oclc/953985619","WorldCat Record")</f>
        <v>WorldCat Record</v>
      </c>
      <c r="AX996" s="3" t="s">
        <v>9916</v>
      </c>
      <c r="AY996" s="3" t="s">
        <v>9917</v>
      </c>
      <c r="AZ996" s="3" t="s">
        <v>9918</v>
      </c>
      <c r="BA996" s="3" t="s">
        <v>9918</v>
      </c>
      <c r="BB996" s="3" t="s">
        <v>9919</v>
      </c>
      <c r="BC996" s="3" t="s">
        <v>77</v>
      </c>
      <c r="BD996" s="3" t="s">
        <v>78</v>
      </c>
      <c r="BE996" s="3" t="s">
        <v>9920</v>
      </c>
      <c r="BF996" s="3" t="s">
        <v>9919</v>
      </c>
      <c r="BG996" s="3" t="s">
        <v>9921</v>
      </c>
      <c r="BH996">
        <f t="shared" si="29"/>
        <v>0</v>
      </c>
    </row>
    <row r="997" spans="1:60" ht="58" x14ac:dyDescent="0.35">
      <c r="A997" s="2" t="s">
        <v>59</v>
      </c>
      <c r="B997" s="2" t="s">
        <v>60</v>
      </c>
      <c r="C997" s="2" t="s">
        <v>9922</v>
      </c>
      <c r="D997" s="2" t="s">
        <v>9923</v>
      </c>
      <c r="E997" s="2" t="s">
        <v>9924</v>
      </c>
      <c r="G997" s="3" t="s">
        <v>64</v>
      </c>
      <c r="I997" s="3" t="s">
        <v>64</v>
      </c>
      <c r="J997" s="3" t="s">
        <v>64</v>
      </c>
      <c r="K997" s="3" t="s">
        <v>65</v>
      </c>
      <c r="L997" s="2" t="s">
        <v>9925</v>
      </c>
      <c r="M997" s="2" t="s">
        <v>9926</v>
      </c>
      <c r="N997" s="3" t="s">
        <v>578</v>
      </c>
      <c r="P997" s="3" t="s">
        <v>944</v>
      </c>
      <c r="Q997" s="2" t="s">
        <v>9927</v>
      </c>
      <c r="R997" s="3" t="s">
        <v>70</v>
      </c>
      <c r="S997" s="4">
        <v>0</v>
      </c>
      <c r="T997" s="4">
        <v>0</v>
      </c>
      <c r="W997" s="5" t="s">
        <v>72</v>
      </c>
      <c r="X997" s="5" t="s">
        <v>72</v>
      </c>
      <c r="Y997" s="4">
        <v>40</v>
      </c>
      <c r="Z997" s="4">
        <v>2</v>
      </c>
      <c r="AA997" s="4">
        <v>3</v>
      </c>
      <c r="AB997" s="4">
        <v>1</v>
      </c>
      <c r="AC997" s="4">
        <v>2</v>
      </c>
      <c r="AD997" s="4">
        <v>28</v>
      </c>
      <c r="AE997" s="4">
        <v>28</v>
      </c>
      <c r="AF997" s="4">
        <v>0</v>
      </c>
      <c r="AG997" s="4">
        <v>0</v>
      </c>
      <c r="AH997" s="4">
        <v>26</v>
      </c>
      <c r="AI997" s="4">
        <v>26</v>
      </c>
      <c r="AJ997" s="4">
        <v>1</v>
      </c>
      <c r="AK997" s="4">
        <v>1</v>
      </c>
      <c r="AL997" s="4">
        <v>23</v>
      </c>
      <c r="AM997" s="4">
        <v>23</v>
      </c>
      <c r="AN997" s="4">
        <v>0</v>
      </c>
      <c r="AO997" s="4">
        <v>0</v>
      </c>
      <c r="AP997" s="4">
        <v>1</v>
      </c>
      <c r="AQ997" s="4">
        <v>1</v>
      </c>
      <c r="AR997" s="3" t="s">
        <v>64</v>
      </c>
      <c r="AS997" s="3" t="s">
        <v>64</v>
      </c>
      <c r="AT997" s="3" t="s">
        <v>64</v>
      </c>
      <c r="AV997" s="6" t="str">
        <f>HYPERLINK("http://mcgill.on.worldcat.org/oclc/973875986","Catalog Record")</f>
        <v>Catalog Record</v>
      </c>
      <c r="AW997" s="6" t="str">
        <f>HYPERLINK("http://www.worldcat.org/oclc/973875986","WorldCat Record")</f>
        <v>WorldCat Record</v>
      </c>
      <c r="AX997" s="3" t="s">
        <v>9928</v>
      </c>
      <c r="AY997" s="3" t="s">
        <v>9929</v>
      </c>
      <c r="AZ997" s="3" t="s">
        <v>9930</v>
      </c>
      <c r="BA997" s="3" t="s">
        <v>9930</v>
      </c>
      <c r="BB997" s="3" t="s">
        <v>9931</v>
      </c>
      <c r="BC997" s="3" t="s">
        <v>77</v>
      </c>
      <c r="BD997" s="3" t="s">
        <v>78</v>
      </c>
      <c r="BE997" s="3" t="s">
        <v>9932</v>
      </c>
      <c r="BF997" s="3" t="s">
        <v>9931</v>
      </c>
      <c r="BG997" s="3" t="s">
        <v>9933</v>
      </c>
      <c r="BH997">
        <f t="shared" si="29"/>
        <v>0</v>
      </c>
    </row>
    <row r="998" spans="1:60" ht="58" x14ac:dyDescent="0.35">
      <c r="A998" s="2" t="s">
        <v>59</v>
      </c>
      <c r="B998" s="2" t="s">
        <v>60</v>
      </c>
      <c r="C998" s="2" t="s">
        <v>9934</v>
      </c>
      <c r="D998" s="2" t="s">
        <v>9935</v>
      </c>
      <c r="E998" s="2" t="s">
        <v>9936</v>
      </c>
      <c r="G998" s="3" t="s">
        <v>64</v>
      </c>
      <c r="I998" s="3" t="s">
        <v>64</v>
      </c>
      <c r="J998" s="3" t="s">
        <v>64</v>
      </c>
      <c r="K998" s="3" t="s">
        <v>65</v>
      </c>
      <c r="M998" s="2" t="s">
        <v>9937</v>
      </c>
      <c r="N998" s="3" t="s">
        <v>67</v>
      </c>
      <c r="P998" s="3" t="s">
        <v>102</v>
      </c>
      <c r="Q998" s="2" t="s">
        <v>9938</v>
      </c>
      <c r="R998" s="3" t="s">
        <v>70</v>
      </c>
      <c r="S998" s="4">
        <v>5</v>
      </c>
      <c r="T998" s="4">
        <v>5</v>
      </c>
      <c r="U998" s="5" t="s">
        <v>9939</v>
      </c>
      <c r="V998" s="5" t="s">
        <v>9939</v>
      </c>
      <c r="W998" s="5" t="s">
        <v>72</v>
      </c>
      <c r="X998" s="5" t="s">
        <v>72</v>
      </c>
      <c r="Y998" s="4">
        <v>102</v>
      </c>
      <c r="Z998" s="4">
        <v>5</v>
      </c>
      <c r="AA998" s="4">
        <v>18</v>
      </c>
      <c r="AB998" s="4">
        <v>1</v>
      </c>
      <c r="AC998" s="4">
        <v>6</v>
      </c>
      <c r="AD998" s="4">
        <v>41</v>
      </c>
      <c r="AE998" s="4">
        <v>71</v>
      </c>
      <c r="AF998" s="4">
        <v>0</v>
      </c>
      <c r="AG998" s="4">
        <v>2</v>
      </c>
      <c r="AH998" s="4">
        <v>40</v>
      </c>
      <c r="AI998" s="4">
        <v>64</v>
      </c>
      <c r="AJ998" s="4">
        <v>2</v>
      </c>
      <c r="AK998" s="4">
        <v>10</v>
      </c>
      <c r="AL998" s="4">
        <v>31</v>
      </c>
      <c r="AM998" s="4">
        <v>44</v>
      </c>
      <c r="AN998" s="4">
        <v>0</v>
      </c>
      <c r="AO998" s="4">
        <v>0</v>
      </c>
      <c r="AP998" s="4">
        <v>2</v>
      </c>
      <c r="AQ998" s="4">
        <v>10</v>
      </c>
      <c r="AR998" s="3" t="s">
        <v>64</v>
      </c>
      <c r="AS998" s="3" t="s">
        <v>64</v>
      </c>
      <c r="AT998" s="3" t="s">
        <v>64</v>
      </c>
      <c r="AV998" s="6" t="str">
        <f>HYPERLINK("http://mcgill.on.worldcat.org/oclc/858601733","Catalog Record")</f>
        <v>Catalog Record</v>
      </c>
      <c r="AW998" s="6" t="str">
        <f>HYPERLINK("http://www.worldcat.org/oclc/858601733","WorldCat Record")</f>
        <v>WorldCat Record</v>
      </c>
      <c r="AX998" s="3" t="s">
        <v>9940</v>
      </c>
      <c r="AY998" s="3" t="s">
        <v>9941</v>
      </c>
      <c r="AZ998" s="3" t="s">
        <v>9942</v>
      </c>
      <c r="BA998" s="3" t="s">
        <v>9942</v>
      </c>
      <c r="BB998" s="3" t="s">
        <v>9943</v>
      </c>
      <c r="BC998" s="3" t="s">
        <v>77</v>
      </c>
      <c r="BD998" s="3" t="s">
        <v>78</v>
      </c>
      <c r="BE998" s="3" t="s">
        <v>9944</v>
      </c>
      <c r="BF998" s="3" t="s">
        <v>9943</v>
      </c>
      <c r="BG998" s="3" t="s">
        <v>9945</v>
      </c>
      <c r="BH998">
        <f t="shared" si="29"/>
        <v>0</v>
      </c>
    </row>
    <row r="999" spans="1:60" ht="72.5" x14ac:dyDescent="0.35">
      <c r="A999" s="2" t="s">
        <v>59</v>
      </c>
      <c r="B999" s="2" t="s">
        <v>60</v>
      </c>
      <c r="C999" s="2" t="s">
        <v>9946</v>
      </c>
      <c r="D999" s="2" t="s">
        <v>9947</v>
      </c>
      <c r="E999" s="2" t="s">
        <v>9948</v>
      </c>
      <c r="F999" s="3" t="s">
        <v>9949</v>
      </c>
      <c r="G999" s="3" t="s">
        <v>128</v>
      </c>
      <c r="I999" s="3" t="s">
        <v>64</v>
      </c>
      <c r="J999" s="3" t="s">
        <v>64</v>
      </c>
      <c r="K999" s="3" t="s">
        <v>65</v>
      </c>
      <c r="M999" s="2" t="s">
        <v>9950</v>
      </c>
      <c r="N999" s="3" t="s">
        <v>116</v>
      </c>
      <c r="P999" s="3" t="s">
        <v>944</v>
      </c>
      <c r="R999" s="3" t="s">
        <v>70</v>
      </c>
      <c r="S999" s="4">
        <v>0</v>
      </c>
      <c r="T999" s="4">
        <v>2</v>
      </c>
      <c r="V999" s="5" t="s">
        <v>9951</v>
      </c>
      <c r="W999" s="5" t="s">
        <v>72</v>
      </c>
      <c r="X999" s="5" t="s">
        <v>72</v>
      </c>
      <c r="Y999" s="4">
        <v>46</v>
      </c>
      <c r="Z999" s="4">
        <v>3</v>
      </c>
      <c r="AA999" s="4">
        <v>15</v>
      </c>
      <c r="AB999" s="4">
        <v>1</v>
      </c>
      <c r="AC999" s="4">
        <v>3</v>
      </c>
      <c r="AD999" s="4">
        <v>24</v>
      </c>
      <c r="AE999" s="4">
        <v>53</v>
      </c>
      <c r="AF999" s="4">
        <v>0</v>
      </c>
      <c r="AG999" s="4">
        <v>0</v>
      </c>
      <c r="AH999" s="4">
        <v>23</v>
      </c>
      <c r="AI999" s="4">
        <v>45</v>
      </c>
      <c r="AJ999" s="4">
        <v>1</v>
      </c>
      <c r="AK999" s="4">
        <v>4</v>
      </c>
      <c r="AL999" s="4">
        <v>18</v>
      </c>
      <c r="AM999" s="4">
        <v>30</v>
      </c>
      <c r="AN999" s="4">
        <v>0</v>
      </c>
      <c r="AO999" s="4">
        <v>0</v>
      </c>
      <c r="AP999" s="4">
        <v>1</v>
      </c>
      <c r="AQ999" s="4">
        <v>9</v>
      </c>
      <c r="AR999" s="3" t="s">
        <v>64</v>
      </c>
      <c r="AS999" s="3" t="s">
        <v>64</v>
      </c>
      <c r="AT999" s="3" t="s">
        <v>128</v>
      </c>
      <c r="AU999" s="6" t="str">
        <f t="shared" ref="AU999:AU1005" si="30">HYPERLINK("http://catalog.hathitrust.org/Record/006952904","HathiTrust Record")</f>
        <v>HathiTrust Record</v>
      </c>
      <c r="AV999" s="6" t="str">
        <f t="shared" ref="AV999:AV1005" si="31">HYPERLINK("http://mcgill.on.worldcat.org/oclc/50205520","Catalog Record")</f>
        <v>Catalog Record</v>
      </c>
      <c r="AW999" s="6" t="str">
        <f t="shared" ref="AW999:AW1005" si="32">HYPERLINK("http://www.worldcat.org/oclc/50205520","WorldCat Record")</f>
        <v>WorldCat Record</v>
      </c>
      <c r="AX999" s="3" t="s">
        <v>9952</v>
      </c>
      <c r="AY999" s="3" t="s">
        <v>9953</v>
      </c>
      <c r="AZ999" s="3" t="s">
        <v>9954</v>
      </c>
      <c r="BA999" s="3" t="s">
        <v>9954</v>
      </c>
      <c r="BB999" s="3" t="s">
        <v>9955</v>
      </c>
      <c r="BC999" s="3" t="s">
        <v>77</v>
      </c>
      <c r="BD999" s="3" t="s">
        <v>78</v>
      </c>
      <c r="BE999" s="3" t="s">
        <v>9956</v>
      </c>
      <c r="BF999" s="3" t="s">
        <v>9955</v>
      </c>
      <c r="BG999" s="3" t="s">
        <v>9957</v>
      </c>
      <c r="BH999">
        <f t="shared" si="29"/>
        <v>0</v>
      </c>
    </row>
    <row r="1000" spans="1:60" ht="72.5" x14ac:dyDescent="0.35">
      <c r="A1000" s="2" t="s">
        <v>59</v>
      </c>
      <c r="B1000" s="2" t="s">
        <v>60</v>
      </c>
      <c r="C1000" s="2" t="s">
        <v>9946</v>
      </c>
      <c r="D1000" s="2" t="s">
        <v>9947</v>
      </c>
      <c r="E1000" s="2" t="s">
        <v>9948</v>
      </c>
      <c r="F1000" s="3" t="s">
        <v>9958</v>
      </c>
      <c r="G1000" s="3" t="s">
        <v>128</v>
      </c>
      <c r="I1000" s="3" t="s">
        <v>64</v>
      </c>
      <c r="J1000" s="3" t="s">
        <v>64</v>
      </c>
      <c r="K1000" s="3" t="s">
        <v>65</v>
      </c>
      <c r="M1000" s="2" t="s">
        <v>9950</v>
      </c>
      <c r="N1000" s="3" t="s">
        <v>116</v>
      </c>
      <c r="P1000" s="3" t="s">
        <v>944</v>
      </c>
      <c r="R1000" s="3" t="s">
        <v>70</v>
      </c>
      <c r="S1000" s="4">
        <v>1</v>
      </c>
      <c r="T1000" s="4">
        <v>2</v>
      </c>
      <c r="U1000" s="5" t="s">
        <v>9959</v>
      </c>
      <c r="V1000" s="5" t="s">
        <v>9951</v>
      </c>
      <c r="W1000" s="5" t="s">
        <v>72</v>
      </c>
      <c r="X1000" s="5" t="s">
        <v>72</v>
      </c>
      <c r="Y1000" s="4">
        <v>46</v>
      </c>
      <c r="Z1000" s="4">
        <v>3</v>
      </c>
      <c r="AA1000" s="4">
        <v>15</v>
      </c>
      <c r="AB1000" s="4">
        <v>1</v>
      </c>
      <c r="AC1000" s="4">
        <v>3</v>
      </c>
      <c r="AD1000" s="4">
        <v>24</v>
      </c>
      <c r="AE1000" s="4">
        <v>53</v>
      </c>
      <c r="AF1000" s="4">
        <v>0</v>
      </c>
      <c r="AG1000" s="4">
        <v>0</v>
      </c>
      <c r="AH1000" s="4">
        <v>23</v>
      </c>
      <c r="AI1000" s="4">
        <v>45</v>
      </c>
      <c r="AJ1000" s="4">
        <v>1</v>
      </c>
      <c r="AK1000" s="4">
        <v>4</v>
      </c>
      <c r="AL1000" s="4">
        <v>18</v>
      </c>
      <c r="AM1000" s="4">
        <v>30</v>
      </c>
      <c r="AN1000" s="4">
        <v>0</v>
      </c>
      <c r="AO1000" s="4">
        <v>0</v>
      </c>
      <c r="AP1000" s="4">
        <v>1</v>
      </c>
      <c r="AQ1000" s="4">
        <v>9</v>
      </c>
      <c r="AR1000" s="3" t="s">
        <v>64</v>
      </c>
      <c r="AS1000" s="3" t="s">
        <v>64</v>
      </c>
      <c r="AT1000" s="3" t="s">
        <v>128</v>
      </c>
      <c r="AU1000" s="6" t="str">
        <f t="shared" si="30"/>
        <v>HathiTrust Record</v>
      </c>
      <c r="AV1000" s="6" t="str">
        <f t="shared" si="31"/>
        <v>Catalog Record</v>
      </c>
      <c r="AW1000" s="6" t="str">
        <f t="shared" si="32"/>
        <v>WorldCat Record</v>
      </c>
      <c r="AX1000" s="3" t="s">
        <v>9952</v>
      </c>
      <c r="AY1000" s="3" t="s">
        <v>9953</v>
      </c>
      <c r="AZ1000" s="3" t="s">
        <v>9954</v>
      </c>
      <c r="BA1000" s="3" t="s">
        <v>9954</v>
      </c>
      <c r="BB1000" s="3" t="s">
        <v>9960</v>
      </c>
      <c r="BC1000" s="3" t="s">
        <v>77</v>
      </c>
      <c r="BD1000" s="3" t="s">
        <v>78</v>
      </c>
      <c r="BE1000" s="3" t="s">
        <v>9956</v>
      </c>
      <c r="BF1000" s="3" t="s">
        <v>9960</v>
      </c>
      <c r="BG1000" s="3" t="s">
        <v>9961</v>
      </c>
      <c r="BH1000">
        <f t="shared" si="29"/>
        <v>0</v>
      </c>
    </row>
    <row r="1001" spans="1:60" ht="72.5" x14ac:dyDescent="0.35">
      <c r="A1001" s="2" t="s">
        <v>59</v>
      </c>
      <c r="B1001" s="2" t="s">
        <v>60</v>
      </c>
      <c r="C1001" s="2" t="s">
        <v>9946</v>
      </c>
      <c r="D1001" s="2" t="s">
        <v>9947</v>
      </c>
      <c r="E1001" s="2" t="s">
        <v>9948</v>
      </c>
      <c r="F1001" s="3" t="s">
        <v>9962</v>
      </c>
      <c r="G1001" s="3" t="s">
        <v>128</v>
      </c>
      <c r="I1001" s="3" t="s">
        <v>64</v>
      </c>
      <c r="J1001" s="3" t="s">
        <v>64</v>
      </c>
      <c r="K1001" s="3" t="s">
        <v>65</v>
      </c>
      <c r="M1001" s="2" t="s">
        <v>9950</v>
      </c>
      <c r="N1001" s="3" t="s">
        <v>116</v>
      </c>
      <c r="P1001" s="3" t="s">
        <v>944</v>
      </c>
      <c r="R1001" s="3" t="s">
        <v>70</v>
      </c>
      <c r="S1001" s="4">
        <v>0</v>
      </c>
      <c r="T1001" s="4">
        <v>2</v>
      </c>
      <c r="V1001" s="5" t="s">
        <v>9951</v>
      </c>
      <c r="W1001" s="5" t="s">
        <v>72</v>
      </c>
      <c r="X1001" s="5" t="s">
        <v>72</v>
      </c>
      <c r="Y1001" s="4">
        <v>46</v>
      </c>
      <c r="Z1001" s="4">
        <v>3</v>
      </c>
      <c r="AA1001" s="4">
        <v>15</v>
      </c>
      <c r="AB1001" s="4">
        <v>1</v>
      </c>
      <c r="AC1001" s="4">
        <v>3</v>
      </c>
      <c r="AD1001" s="4">
        <v>24</v>
      </c>
      <c r="AE1001" s="4">
        <v>53</v>
      </c>
      <c r="AF1001" s="4">
        <v>0</v>
      </c>
      <c r="AG1001" s="4">
        <v>0</v>
      </c>
      <c r="AH1001" s="4">
        <v>23</v>
      </c>
      <c r="AI1001" s="4">
        <v>45</v>
      </c>
      <c r="AJ1001" s="4">
        <v>1</v>
      </c>
      <c r="AK1001" s="4">
        <v>4</v>
      </c>
      <c r="AL1001" s="4">
        <v>18</v>
      </c>
      <c r="AM1001" s="4">
        <v>30</v>
      </c>
      <c r="AN1001" s="4">
        <v>0</v>
      </c>
      <c r="AO1001" s="4">
        <v>0</v>
      </c>
      <c r="AP1001" s="4">
        <v>1</v>
      </c>
      <c r="AQ1001" s="4">
        <v>9</v>
      </c>
      <c r="AR1001" s="3" t="s">
        <v>64</v>
      </c>
      <c r="AS1001" s="3" t="s">
        <v>64</v>
      </c>
      <c r="AT1001" s="3" t="s">
        <v>128</v>
      </c>
      <c r="AU1001" s="6" t="str">
        <f t="shared" si="30"/>
        <v>HathiTrust Record</v>
      </c>
      <c r="AV1001" s="6" t="str">
        <f t="shared" si="31"/>
        <v>Catalog Record</v>
      </c>
      <c r="AW1001" s="6" t="str">
        <f t="shared" si="32"/>
        <v>WorldCat Record</v>
      </c>
      <c r="AX1001" s="3" t="s">
        <v>9952</v>
      </c>
      <c r="AY1001" s="3" t="s">
        <v>9953</v>
      </c>
      <c r="AZ1001" s="3" t="s">
        <v>9954</v>
      </c>
      <c r="BA1001" s="3" t="s">
        <v>9954</v>
      </c>
      <c r="BB1001" s="3" t="s">
        <v>9963</v>
      </c>
      <c r="BC1001" s="3" t="s">
        <v>77</v>
      </c>
      <c r="BD1001" s="3" t="s">
        <v>78</v>
      </c>
      <c r="BE1001" s="3" t="s">
        <v>9956</v>
      </c>
      <c r="BF1001" s="3" t="s">
        <v>9963</v>
      </c>
      <c r="BG1001" s="3" t="s">
        <v>9964</v>
      </c>
      <c r="BH1001">
        <f t="shared" si="29"/>
        <v>0</v>
      </c>
    </row>
    <row r="1002" spans="1:60" ht="72.5" x14ac:dyDescent="0.35">
      <c r="A1002" s="2" t="s">
        <v>59</v>
      </c>
      <c r="B1002" s="2" t="s">
        <v>60</v>
      </c>
      <c r="C1002" s="2" t="s">
        <v>9946</v>
      </c>
      <c r="D1002" s="2" t="s">
        <v>9947</v>
      </c>
      <c r="E1002" s="2" t="s">
        <v>9948</v>
      </c>
      <c r="F1002" s="3" t="s">
        <v>9965</v>
      </c>
      <c r="G1002" s="3" t="s">
        <v>128</v>
      </c>
      <c r="I1002" s="3" t="s">
        <v>64</v>
      </c>
      <c r="J1002" s="3" t="s">
        <v>64</v>
      </c>
      <c r="K1002" s="3" t="s">
        <v>65</v>
      </c>
      <c r="M1002" s="2" t="s">
        <v>9950</v>
      </c>
      <c r="N1002" s="3" t="s">
        <v>116</v>
      </c>
      <c r="P1002" s="3" t="s">
        <v>944</v>
      </c>
      <c r="R1002" s="3" t="s">
        <v>70</v>
      </c>
      <c r="S1002" s="4">
        <v>0</v>
      </c>
      <c r="T1002" s="4">
        <v>2</v>
      </c>
      <c r="V1002" s="5" t="s">
        <v>9951</v>
      </c>
      <c r="W1002" s="5" t="s">
        <v>72</v>
      </c>
      <c r="X1002" s="5" t="s">
        <v>72</v>
      </c>
      <c r="Y1002" s="4">
        <v>46</v>
      </c>
      <c r="Z1002" s="4">
        <v>3</v>
      </c>
      <c r="AA1002" s="4">
        <v>15</v>
      </c>
      <c r="AB1002" s="4">
        <v>1</v>
      </c>
      <c r="AC1002" s="4">
        <v>3</v>
      </c>
      <c r="AD1002" s="4">
        <v>24</v>
      </c>
      <c r="AE1002" s="4">
        <v>53</v>
      </c>
      <c r="AF1002" s="4">
        <v>0</v>
      </c>
      <c r="AG1002" s="4">
        <v>0</v>
      </c>
      <c r="AH1002" s="4">
        <v>23</v>
      </c>
      <c r="AI1002" s="4">
        <v>45</v>
      </c>
      <c r="AJ1002" s="4">
        <v>1</v>
      </c>
      <c r="AK1002" s="4">
        <v>4</v>
      </c>
      <c r="AL1002" s="4">
        <v>18</v>
      </c>
      <c r="AM1002" s="4">
        <v>30</v>
      </c>
      <c r="AN1002" s="4">
        <v>0</v>
      </c>
      <c r="AO1002" s="4">
        <v>0</v>
      </c>
      <c r="AP1002" s="4">
        <v>1</v>
      </c>
      <c r="AQ1002" s="4">
        <v>9</v>
      </c>
      <c r="AR1002" s="3" t="s">
        <v>64</v>
      </c>
      <c r="AS1002" s="3" t="s">
        <v>64</v>
      </c>
      <c r="AT1002" s="3" t="s">
        <v>128</v>
      </c>
      <c r="AU1002" s="6" t="str">
        <f t="shared" si="30"/>
        <v>HathiTrust Record</v>
      </c>
      <c r="AV1002" s="6" t="str">
        <f t="shared" si="31"/>
        <v>Catalog Record</v>
      </c>
      <c r="AW1002" s="6" t="str">
        <f t="shared" si="32"/>
        <v>WorldCat Record</v>
      </c>
      <c r="AX1002" s="3" t="s">
        <v>9952</v>
      </c>
      <c r="AY1002" s="3" t="s">
        <v>9953</v>
      </c>
      <c r="AZ1002" s="3" t="s">
        <v>9954</v>
      </c>
      <c r="BA1002" s="3" t="s">
        <v>9954</v>
      </c>
      <c r="BB1002" s="3" t="s">
        <v>9966</v>
      </c>
      <c r="BC1002" s="3" t="s">
        <v>77</v>
      </c>
      <c r="BD1002" s="3" t="s">
        <v>78</v>
      </c>
      <c r="BE1002" s="3" t="s">
        <v>9956</v>
      </c>
      <c r="BF1002" s="3" t="s">
        <v>9966</v>
      </c>
      <c r="BG1002" s="3" t="s">
        <v>9967</v>
      </c>
      <c r="BH1002">
        <f t="shared" si="29"/>
        <v>0</v>
      </c>
    </row>
    <row r="1003" spans="1:60" ht="72.5" x14ac:dyDescent="0.35">
      <c r="A1003" s="2" t="s">
        <v>59</v>
      </c>
      <c r="B1003" s="2" t="s">
        <v>60</v>
      </c>
      <c r="C1003" s="2" t="s">
        <v>9946</v>
      </c>
      <c r="D1003" s="2" t="s">
        <v>9947</v>
      </c>
      <c r="E1003" s="2" t="s">
        <v>9948</v>
      </c>
      <c r="F1003" s="3" t="s">
        <v>9968</v>
      </c>
      <c r="G1003" s="3" t="s">
        <v>128</v>
      </c>
      <c r="I1003" s="3" t="s">
        <v>64</v>
      </c>
      <c r="J1003" s="3" t="s">
        <v>64</v>
      </c>
      <c r="K1003" s="3" t="s">
        <v>65</v>
      </c>
      <c r="M1003" s="2" t="s">
        <v>9950</v>
      </c>
      <c r="N1003" s="3" t="s">
        <v>116</v>
      </c>
      <c r="P1003" s="3" t="s">
        <v>944</v>
      </c>
      <c r="R1003" s="3" t="s">
        <v>70</v>
      </c>
      <c r="S1003" s="4">
        <v>0</v>
      </c>
      <c r="T1003" s="4">
        <v>2</v>
      </c>
      <c r="V1003" s="5" t="s">
        <v>9951</v>
      </c>
      <c r="W1003" s="5" t="s">
        <v>72</v>
      </c>
      <c r="X1003" s="5" t="s">
        <v>72</v>
      </c>
      <c r="Y1003" s="4">
        <v>46</v>
      </c>
      <c r="Z1003" s="4">
        <v>3</v>
      </c>
      <c r="AA1003" s="4">
        <v>15</v>
      </c>
      <c r="AB1003" s="4">
        <v>1</v>
      </c>
      <c r="AC1003" s="4">
        <v>3</v>
      </c>
      <c r="AD1003" s="4">
        <v>24</v>
      </c>
      <c r="AE1003" s="4">
        <v>53</v>
      </c>
      <c r="AF1003" s="4">
        <v>0</v>
      </c>
      <c r="AG1003" s="4">
        <v>0</v>
      </c>
      <c r="AH1003" s="4">
        <v>23</v>
      </c>
      <c r="AI1003" s="4">
        <v>45</v>
      </c>
      <c r="AJ1003" s="4">
        <v>1</v>
      </c>
      <c r="AK1003" s="4">
        <v>4</v>
      </c>
      <c r="AL1003" s="4">
        <v>18</v>
      </c>
      <c r="AM1003" s="4">
        <v>30</v>
      </c>
      <c r="AN1003" s="4">
        <v>0</v>
      </c>
      <c r="AO1003" s="4">
        <v>0</v>
      </c>
      <c r="AP1003" s="4">
        <v>1</v>
      </c>
      <c r="AQ1003" s="4">
        <v>9</v>
      </c>
      <c r="AR1003" s="3" t="s">
        <v>64</v>
      </c>
      <c r="AS1003" s="3" t="s">
        <v>64</v>
      </c>
      <c r="AT1003" s="3" t="s">
        <v>128</v>
      </c>
      <c r="AU1003" s="6" t="str">
        <f t="shared" si="30"/>
        <v>HathiTrust Record</v>
      </c>
      <c r="AV1003" s="6" t="str">
        <f t="shared" si="31"/>
        <v>Catalog Record</v>
      </c>
      <c r="AW1003" s="6" t="str">
        <f t="shared" si="32"/>
        <v>WorldCat Record</v>
      </c>
      <c r="AX1003" s="3" t="s">
        <v>9952</v>
      </c>
      <c r="AY1003" s="3" t="s">
        <v>9953</v>
      </c>
      <c r="AZ1003" s="3" t="s">
        <v>9954</v>
      </c>
      <c r="BA1003" s="3" t="s">
        <v>9954</v>
      </c>
      <c r="BB1003" s="3" t="s">
        <v>9969</v>
      </c>
      <c r="BC1003" s="3" t="s">
        <v>77</v>
      </c>
      <c r="BD1003" s="3" t="s">
        <v>78</v>
      </c>
      <c r="BE1003" s="3" t="s">
        <v>9956</v>
      </c>
      <c r="BF1003" s="3" t="s">
        <v>9969</v>
      </c>
      <c r="BG1003" s="3" t="s">
        <v>9970</v>
      </c>
      <c r="BH1003">
        <f t="shared" si="29"/>
        <v>0</v>
      </c>
    </row>
    <row r="1004" spans="1:60" ht="72.5" x14ac:dyDescent="0.35">
      <c r="A1004" s="2" t="s">
        <v>59</v>
      </c>
      <c r="B1004" s="2" t="s">
        <v>60</v>
      </c>
      <c r="C1004" s="2" t="s">
        <v>9971</v>
      </c>
      <c r="D1004" s="2" t="s">
        <v>9947</v>
      </c>
      <c r="E1004" s="2" t="s">
        <v>9948</v>
      </c>
      <c r="F1004" s="3" t="s">
        <v>9972</v>
      </c>
      <c r="G1004" s="3" t="s">
        <v>128</v>
      </c>
      <c r="I1004" s="3" t="s">
        <v>64</v>
      </c>
      <c r="J1004" s="3" t="s">
        <v>64</v>
      </c>
      <c r="K1004" s="3" t="s">
        <v>65</v>
      </c>
      <c r="M1004" s="2" t="s">
        <v>9950</v>
      </c>
      <c r="N1004" s="3" t="s">
        <v>116</v>
      </c>
      <c r="P1004" s="3" t="s">
        <v>944</v>
      </c>
      <c r="R1004" s="3" t="s">
        <v>70</v>
      </c>
      <c r="S1004" s="4">
        <v>0</v>
      </c>
      <c r="T1004" s="4">
        <v>2</v>
      </c>
      <c r="V1004" s="5" t="s">
        <v>9951</v>
      </c>
      <c r="W1004" s="5" t="s">
        <v>72</v>
      </c>
      <c r="X1004" s="5" t="s">
        <v>72</v>
      </c>
      <c r="Y1004" s="4">
        <v>46</v>
      </c>
      <c r="Z1004" s="4">
        <v>3</v>
      </c>
      <c r="AA1004" s="4">
        <v>15</v>
      </c>
      <c r="AB1004" s="4">
        <v>1</v>
      </c>
      <c r="AC1004" s="4">
        <v>3</v>
      </c>
      <c r="AD1004" s="4">
        <v>24</v>
      </c>
      <c r="AE1004" s="4">
        <v>53</v>
      </c>
      <c r="AF1004" s="4">
        <v>0</v>
      </c>
      <c r="AG1004" s="4">
        <v>0</v>
      </c>
      <c r="AH1004" s="4">
        <v>23</v>
      </c>
      <c r="AI1004" s="4">
        <v>45</v>
      </c>
      <c r="AJ1004" s="4">
        <v>1</v>
      </c>
      <c r="AK1004" s="4">
        <v>4</v>
      </c>
      <c r="AL1004" s="4">
        <v>18</v>
      </c>
      <c r="AM1004" s="4">
        <v>30</v>
      </c>
      <c r="AN1004" s="4">
        <v>0</v>
      </c>
      <c r="AO1004" s="4">
        <v>0</v>
      </c>
      <c r="AP1004" s="4">
        <v>1</v>
      </c>
      <c r="AQ1004" s="4">
        <v>9</v>
      </c>
      <c r="AR1004" s="3" t="s">
        <v>64</v>
      </c>
      <c r="AS1004" s="3" t="s">
        <v>64</v>
      </c>
      <c r="AT1004" s="3" t="s">
        <v>128</v>
      </c>
      <c r="AU1004" s="6" t="str">
        <f t="shared" si="30"/>
        <v>HathiTrust Record</v>
      </c>
      <c r="AV1004" s="6" t="str">
        <f t="shared" si="31"/>
        <v>Catalog Record</v>
      </c>
      <c r="AW1004" s="6" t="str">
        <f t="shared" si="32"/>
        <v>WorldCat Record</v>
      </c>
      <c r="AX1004" s="3" t="s">
        <v>9952</v>
      </c>
      <c r="AY1004" s="3" t="s">
        <v>9953</v>
      </c>
      <c r="AZ1004" s="3" t="s">
        <v>9954</v>
      </c>
      <c r="BA1004" s="3" t="s">
        <v>9954</v>
      </c>
      <c r="BB1004" s="3" t="s">
        <v>9973</v>
      </c>
      <c r="BC1004" s="3" t="s">
        <v>77</v>
      </c>
      <c r="BD1004" s="3" t="s">
        <v>78</v>
      </c>
      <c r="BE1004" s="3" t="s">
        <v>9956</v>
      </c>
      <c r="BF1004" s="3" t="s">
        <v>9973</v>
      </c>
      <c r="BG1004" s="3" t="s">
        <v>9974</v>
      </c>
      <c r="BH1004">
        <f t="shared" si="29"/>
        <v>0</v>
      </c>
    </row>
    <row r="1005" spans="1:60" ht="72.5" x14ac:dyDescent="0.35">
      <c r="A1005" s="2" t="s">
        <v>59</v>
      </c>
      <c r="B1005" s="2" t="s">
        <v>60</v>
      </c>
      <c r="C1005" s="2" t="s">
        <v>9946</v>
      </c>
      <c r="D1005" s="2" t="s">
        <v>9947</v>
      </c>
      <c r="E1005" s="2" t="s">
        <v>9948</v>
      </c>
      <c r="F1005" s="3" t="s">
        <v>9975</v>
      </c>
      <c r="G1005" s="3" t="s">
        <v>128</v>
      </c>
      <c r="I1005" s="3" t="s">
        <v>64</v>
      </c>
      <c r="J1005" s="3" t="s">
        <v>64</v>
      </c>
      <c r="K1005" s="3" t="s">
        <v>65</v>
      </c>
      <c r="M1005" s="2" t="s">
        <v>9950</v>
      </c>
      <c r="N1005" s="3" t="s">
        <v>116</v>
      </c>
      <c r="P1005" s="3" t="s">
        <v>944</v>
      </c>
      <c r="R1005" s="3" t="s">
        <v>70</v>
      </c>
      <c r="S1005" s="4">
        <v>1</v>
      </c>
      <c r="T1005" s="4">
        <v>2</v>
      </c>
      <c r="U1005" s="5" t="s">
        <v>9951</v>
      </c>
      <c r="V1005" s="5" t="s">
        <v>9951</v>
      </c>
      <c r="W1005" s="5" t="s">
        <v>72</v>
      </c>
      <c r="X1005" s="5" t="s">
        <v>72</v>
      </c>
      <c r="Y1005" s="4">
        <v>46</v>
      </c>
      <c r="Z1005" s="4">
        <v>3</v>
      </c>
      <c r="AA1005" s="4">
        <v>15</v>
      </c>
      <c r="AB1005" s="4">
        <v>1</v>
      </c>
      <c r="AC1005" s="4">
        <v>3</v>
      </c>
      <c r="AD1005" s="4">
        <v>24</v>
      </c>
      <c r="AE1005" s="4">
        <v>53</v>
      </c>
      <c r="AF1005" s="4">
        <v>0</v>
      </c>
      <c r="AG1005" s="4">
        <v>0</v>
      </c>
      <c r="AH1005" s="4">
        <v>23</v>
      </c>
      <c r="AI1005" s="4">
        <v>45</v>
      </c>
      <c r="AJ1005" s="4">
        <v>1</v>
      </c>
      <c r="AK1005" s="4">
        <v>4</v>
      </c>
      <c r="AL1005" s="4">
        <v>18</v>
      </c>
      <c r="AM1005" s="4">
        <v>30</v>
      </c>
      <c r="AN1005" s="4">
        <v>0</v>
      </c>
      <c r="AO1005" s="4">
        <v>0</v>
      </c>
      <c r="AP1005" s="4">
        <v>1</v>
      </c>
      <c r="AQ1005" s="4">
        <v>9</v>
      </c>
      <c r="AR1005" s="3" t="s">
        <v>64</v>
      </c>
      <c r="AS1005" s="3" t="s">
        <v>64</v>
      </c>
      <c r="AT1005" s="3" t="s">
        <v>128</v>
      </c>
      <c r="AU1005" s="6" t="str">
        <f t="shared" si="30"/>
        <v>HathiTrust Record</v>
      </c>
      <c r="AV1005" s="6" t="str">
        <f t="shared" si="31"/>
        <v>Catalog Record</v>
      </c>
      <c r="AW1005" s="6" t="str">
        <f t="shared" si="32"/>
        <v>WorldCat Record</v>
      </c>
      <c r="AX1005" s="3" t="s">
        <v>9952</v>
      </c>
      <c r="AY1005" s="3" t="s">
        <v>9953</v>
      </c>
      <c r="AZ1005" s="3" t="s">
        <v>9954</v>
      </c>
      <c r="BA1005" s="3" t="s">
        <v>9954</v>
      </c>
      <c r="BB1005" s="3" t="s">
        <v>9976</v>
      </c>
      <c r="BC1005" s="3" t="s">
        <v>77</v>
      </c>
      <c r="BD1005" s="3" t="s">
        <v>78</v>
      </c>
      <c r="BE1005" s="3" t="s">
        <v>9956</v>
      </c>
      <c r="BF1005" s="3" t="s">
        <v>9976</v>
      </c>
      <c r="BG1005" s="3" t="s">
        <v>9977</v>
      </c>
      <c r="BH1005">
        <f t="shared" si="29"/>
        <v>0</v>
      </c>
    </row>
    <row r="1006" spans="1:60" ht="58" x14ac:dyDescent="0.35">
      <c r="A1006" s="2" t="s">
        <v>59</v>
      </c>
      <c r="B1006" s="2" t="s">
        <v>60</v>
      </c>
      <c r="C1006" s="2" t="s">
        <v>9978</v>
      </c>
      <c r="D1006" s="2" t="s">
        <v>9979</v>
      </c>
      <c r="E1006" s="2" t="s">
        <v>9980</v>
      </c>
      <c r="G1006" s="3" t="s">
        <v>64</v>
      </c>
      <c r="I1006" s="3" t="s">
        <v>64</v>
      </c>
      <c r="J1006" s="3" t="s">
        <v>64</v>
      </c>
      <c r="K1006" s="3" t="s">
        <v>65</v>
      </c>
      <c r="L1006" s="2" t="s">
        <v>9981</v>
      </c>
      <c r="M1006" s="2" t="s">
        <v>9982</v>
      </c>
      <c r="N1006" s="3" t="s">
        <v>1075</v>
      </c>
      <c r="P1006" s="3" t="s">
        <v>944</v>
      </c>
      <c r="R1006" s="3" t="s">
        <v>70</v>
      </c>
      <c r="S1006" s="4">
        <v>0</v>
      </c>
      <c r="T1006" s="4">
        <v>0</v>
      </c>
      <c r="W1006" s="5" t="s">
        <v>72</v>
      </c>
      <c r="X1006" s="5" t="s">
        <v>72</v>
      </c>
      <c r="Y1006" s="4">
        <v>13</v>
      </c>
      <c r="Z1006" s="4">
        <v>1</v>
      </c>
      <c r="AA1006" s="4">
        <v>1</v>
      </c>
      <c r="AB1006" s="4">
        <v>1</v>
      </c>
      <c r="AC1006" s="4">
        <v>1</v>
      </c>
      <c r="AD1006" s="4">
        <v>7</v>
      </c>
      <c r="AE1006" s="4">
        <v>7</v>
      </c>
      <c r="AF1006" s="4">
        <v>0</v>
      </c>
      <c r="AG1006" s="4">
        <v>0</v>
      </c>
      <c r="AH1006" s="4">
        <v>6</v>
      </c>
      <c r="AI1006" s="4">
        <v>6</v>
      </c>
      <c r="AJ1006" s="4">
        <v>0</v>
      </c>
      <c r="AK1006" s="4">
        <v>0</v>
      </c>
      <c r="AL1006" s="4">
        <v>5</v>
      </c>
      <c r="AM1006" s="4">
        <v>5</v>
      </c>
      <c r="AN1006" s="4">
        <v>0</v>
      </c>
      <c r="AO1006" s="4">
        <v>0</v>
      </c>
      <c r="AP1006" s="4">
        <v>0</v>
      </c>
      <c r="AQ1006" s="4">
        <v>0</v>
      </c>
      <c r="AR1006" s="3" t="s">
        <v>64</v>
      </c>
      <c r="AS1006" s="3" t="s">
        <v>64</v>
      </c>
      <c r="AT1006" s="3" t="s">
        <v>64</v>
      </c>
      <c r="AV1006" s="6" t="str">
        <f>HYPERLINK("http://mcgill.on.worldcat.org/oclc/837500764","Catalog Record")</f>
        <v>Catalog Record</v>
      </c>
      <c r="AW1006" s="6" t="str">
        <f>HYPERLINK("http://www.worldcat.org/oclc/837500764","WorldCat Record")</f>
        <v>WorldCat Record</v>
      </c>
      <c r="AX1006" s="3" t="s">
        <v>9983</v>
      </c>
      <c r="AY1006" s="3" t="s">
        <v>9984</v>
      </c>
      <c r="AZ1006" s="3" t="s">
        <v>9985</v>
      </c>
      <c r="BA1006" s="3" t="s">
        <v>9985</v>
      </c>
      <c r="BB1006" s="3" t="s">
        <v>9986</v>
      </c>
      <c r="BC1006" s="3" t="s">
        <v>77</v>
      </c>
      <c r="BD1006" s="3" t="s">
        <v>78</v>
      </c>
      <c r="BE1006" s="3" t="s">
        <v>9987</v>
      </c>
      <c r="BF1006" s="3" t="s">
        <v>9986</v>
      </c>
      <c r="BG1006" s="3" t="s">
        <v>9988</v>
      </c>
      <c r="BH1006">
        <f t="shared" si="29"/>
        <v>0</v>
      </c>
    </row>
    <row r="1007" spans="1:60" ht="58" x14ac:dyDescent="0.35">
      <c r="A1007" s="2" t="s">
        <v>59</v>
      </c>
      <c r="B1007" s="2" t="s">
        <v>60</v>
      </c>
      <c r="C1007" s="2" t="s">
        <v>9989</v>
      </c>
      <c r="D1007" s="2" t="s">
        <v>9990</v>
      </c>
      <c r="E1007" s="2" t="s">
        <v>9991</v>
      </c>
      <c r="G1007" s="3" t="s">
        <v>64</v>
      </c>
      <c r="I1007" s="3" t="s">
        <v>64</v>
      </c>
      <c r="J1007" s="3" t="s">
        <v>64</v>
      </c>
      <c r="K1007" s="3" t="s">
        <v>65</v>
      </c>
      <c r="L1007" s="2" t="s">
        <v>9992</v>
      </c>
      <c r="M1007" s="2" t="s">
        <v>9993</v>
      </c>
      <c r="N1007" s="3" t="s">
        <v>511</v>
      </c>
      <c r="O1007" s="2" t="s">
        <v>9994</v>
      </c>
      <c r="P1007" s="3" t="s">
        <v>944</v>
      </c>
      <c r="Q1007" s="2" t="s">
        <v>9995</v>
      </c>
      <c r="R1007" s="3" t="s">
        <v>70</v>
      </c>
      <c r="S1007" s="4">
        <v>0</v>
      </c>
      <c r="T1007" s="4">
        <v>0</v>
      </c>
      <c r="W1007" s="5" t="s">
        <v>72</v>
      </c>
      <c r="X1007" s="5" t="s">
        <v>72</v>
      </c>
      <c r="Y1007" s="4">
        <v>26</v>
      </c>
      <c r="Z1007" s="4">
        <v>3</v>
      </c>
      <c r="AA1007" s="4">
        <v>3</v>
      </c>
      <c r="AB1007" s="4">
        <v>1</v>
      </c>
      <c r="AC1007" s="4">
        <v>1</v>
      </c>
      <c r="AD1007" s="4">
        <v>23</v>
      </c>
      <c r="AE1007" s="4">
        <v>23</v>
      </c>
      <c r="AF1007" s="4">
        <v>0</v>
      </c>
      <c r="AG1007" s="4">
        <v>0</v>
      </c>
      <c r="AH1007" s="4">
        <v>22</v>
      </c>
      <c r="AI1007" s="4">
        <v>22</v>
      </c>
      <c r="AJ1007" s="4">
        <v>2</v>
      </c>
      <c r="AK1007" s="4">
        <v>2</v>
      </c>
      <c r="AL1007" s="4">
        <v>17</v>
      </c>
      <c r="AM1007" s="4">
        <v>17</v>
      </c>
      <c r="AN1007" s="4">
        <v>0</v>
      </c>
      <c r="AO1007" s="4">
        <v>0</v>
      </c>
      <c r="AP1007" s="4">
        <v>2</v>
      </c>
      <c r="AQ1007" s="4">
        <v>2</v>
      </c>
      <c r="AR1007" s="3" t="s">
        <v>64</v>
      </c>
      <c r="AS1007" s="3" t="s">
        <v>64</v>
      </c>
      <c r="AT1007" s="3" t="s">
        <v>64</v>
      </c>
      <c r="AV1007" s="6" t="str">
        <f>HYPERLINK("http://mcgill.on.worldcat.org/oclc/670471973","Catalog Record")</f>
        <v>Catalog Record</v>
      </c>
      <c r="AW1007" s="6" t="str">
        <f>HYPERLINK("http://www.worldcat.org/oclc/670471973","WorldCat Record")</f>
        <v>WorldCat Record</v>
      </c>
      <c r="AX1007" s="3" t="s">
        <v>9996</v>
      </c>
      <c r="AY1007" s="3" t="s">
        <v>9997</v>
      </c>
      <c r="AZ1007" s="3" t="s">
        <v>9998</v>
      </c>
      <c r="BA1007" s="3" t="s">
        <v>9998</v>
      </c>
      <c r="BB1007" s="3" t="s">
        <v>9999</v>
      </c>
      <c r="BC1007" s="3" t="s">
        <v>77</v>
      </c>
      <c r="BD1007" s="3" t="s">
        <v>78</v>
      </c>
      <c r="BE1007" s="3" t="s">
        <v>10000</v>
      </c>
      <c r="BF1007" s="3" t="s">
        <v>9999</v>
      </c>
      <c r="BG1007" s="3" t="s">
        <v>10001</v>
      </c>
      <c r="BH1007">
        <f t="shared" si="29"/>
        <v>0</v>
      </c>
    </row>
    <row r="1008" spans="1:60" ht="58" x14ac:dyDescent="0.35">
      <c r="A1008" s="2" t="s">
        <v>59</v>
      </c>
      <c r="B1008" s="2" t="s">
        <v>60</v>
      </c>
      <c r="C1008" s="2" t="s">
        <v>10002</v>
      </c>
      <c r="D1008" s="2" t="s">
        <v>10003</v>
      </c>
      <c r="E1008" s="2" t="s">
        <v>10004</v>
      </c>
      <c r="G1008" s="3" t="s">
        <v>64</v>
      </c>
      <c r="I1008" s="3" t="s">
        <v>64</v>
      </c>
      <c r="J1008" s="3" t="s">
        <v>64</v>
      </c>
      <c r="K1008" s="3" t="s">
        <v>65</v>
      </c>
      <c r="M1008" s="2" t="s">
        <v>10005</v>
      </c>
      <c r="N1008" s="3" t="s">
        <v>511</v>
      </c>
      <c r="P1008" s="3" t="s">
        <v>102</v>
      </c>
      <c r="Q1008" s="2" t="s">
        <v>9938</v>
      </c>
      <c r="R1008" s="3" t="s">
        <v>70</v>
      </c>
      <c r="S1008" s="4">
        <v>8</v>
      </c>
      <c r="T1008" s="4">
        <v>8</v>
      </c>
      <c r="U1008" s="5" t="s">
        <v>3994</v>
      </c>
      <c r="V1008" s="5" t="s">
        <v>3994</v>
      </c>
      <c r="W1008" s="5" t="s">
        <v>72</v>
      </c>
      <c r="X1008" s="5" t="s">
        <v>72</v>
      </c>
      <c r="Y1008" s="4">
        <v>126</v>
      </c>
      <c r="Z1008" s="4">
        <v>11</v>
      </c>
      <c r="AA1008" s="4">
        <v>11</v>
      </c>
      <c r="AB1008" s="4">
        <v>1</v>
      </c>
      <c r="AC1008" s="4">
        <v>1</v>
      </c>
      <c r="AD1008" s="4">
        <v>60</v>
      </c>
      <c r="AE1008" s="4">
        <v>60</v>
      </c>
      <c r="AF1008" s="4">
        <v>0</v>
      </c>
      <c r="AG1008" s="4">
        <v>0</v>
      </c>
      <c r="AH1008" s="4">
        <v>57</v>
      </c>
      <c r="AI1008" s="4">
        <v>57</v>
      </c>
      <c r="AJ1008" s="4">
        <v>7</v>
      </c>
      <c r="AK1008" s="4">
        <v>7</v>
      </c>
      <c r="AL1008" s="4">
        <v>39</v>
      </c>
      <c r="AM1008" s="4">
        <v>39</v>
      </c>
      <c r="AN1008" s="4">
        <v>0</v>
      </c>
      <c r="AO1008" s="4">
        <v>0</v>
      </c>
      <c r="AP1008" s="4">
        <v>8</v>
      </c>
      <c r="AQ1008" s="4">
        <v>8</v>
      </c>
      <c r="AR1008" s="3" t="s">
        <v>64</v>
      </c>
      <c r="AS1008" s="3" t="s">
        <v>64</v>
      </c>
      <c r="AT1008" s="3" t="s">
        <v>64</v>
      </c>
      <c r="AV1008" s="6" t="str">
        <f>HYPERLINK("http://mcgill.on.worldcat.org/oclc/437299847","Catalog Record")</f>
        <v>Catalog Record</v>
      </c>
      <c r="AW1008" s="6" t="str">
        <f>HYPERLINK("http://www.worldcat.org/oclc/437299847","WorldCat Record")</f>
        <v>WorldCat Record</v>
      </c>
      <c r="AX1008" s="3" t="s">
        <v>10006</v>
      </c>
      <c r="AY1008" s="3" t="s">
        <v>10007</v>
      </c>
      <c r="AZ1008" s="3" t="s">
        <v>10008</v>
      </c>
      <c r="BA1008" s="3" t="s">
        <v>10008</v>
      </c>
      <c r="BB1008" s="3" t="s">
        <v>10009</v>
      </c>
      <c r="BC1008" s="3" t="s">
        <v>77</v>
      </c>
      <c r="BD1008" s="3" t="s">
        <v>78</v>
      </c>
      <c r="BE1008" s="3" t="s">
        <v>10010</v>
      </c>
      <c r="BF1008" s="3" t="s">
        <v>10009</v>
      </c>
      <c r="BG1008" s="3" t="s">
        <v>10011</v>
      </c>
      <c r="BH1008">
        <f t="shared" si="29"/>
        <v>0</v>
      </c>
    </row>
    <row r="1009" spans="1:60" ht="58" x14ac:dyDescent="0.35">
      <c r="A1009" s="2" t="s">
        <v>59</v>
      </c>
      <c r="B1009" s="2" t="s">
        <v>60</v>
      </c>
      <c r="C1009" s="2" t="s">
        <v>10012</v>
      </c>
      <c r="D1009" s="2" t="s">
        <v>10013</v>
      </c>
      <c r="E1009" s="2" t="s">
        <v>10014</v>
      </c>
      <c r="F1009" s="3" t="s">
        <v>10015</v>
      </c>
      <c r="G1009" s="3" t="s">
        <v>128</v>
      </c>
      <c r="I1009" s="3" t="s">
        <v>64</v>
      </c>
      <c r="J1009" s="3" t="s">
        <v>64</v>
      </c>
      <c r="K1009" s="3" t="s">
        <v>65</v>
      </c>
      <c r="L1009" s="2" t="s">
        <v>10016</v>
      </c>
      <c r="M1009" s="2" t="s">
        <v>10017</v>
      </c>
      <c r="N1009" s="3" t="s">
        <v>511</v>
      </c>
      <c r="O1009" s="2" t="s">
        <v>9994</v>
      </c>
      <c r="P1009" s="3" t="s">
        <v>944</v>
      </c>
      <c r="R1009" s="3" t="s">
        <v>70</v>
      </c>
      <c r="S1009" s="4">
        <v>0</v>
      </c>
      <c r="T1009" s="4">
        <v>1</v>
      </c>
      <c r="V1009" s="5" t="s">
        <v>10018</v>
      </c>
      <c r="W1009" s="5" t="s">
        <v>72</v>
      </c>
      <c r="X1009" s="5" t="s">
        <v>72</v>
      </c>
      <c r="Y1009" s="4">
        <v>24</v>
      </c>
      <c r="Z1009" s="4">
        <v>2</v>
      </c>
      <c r="AA1009" s="4">
        <v>2</v>
      </c>
      <c r="AB1009" s="4">
        <v>1</v>
      </c>
      <c r="AC1009" s="4">
        <v>1</v>
      </c>
      <c r="AD1009" s="4">
        <v>17</v>
      </c>
      <c r="AE1009" s="4">
        <v>17</v>
      </c>
      <c r="AF1009" s="4">
        <v>0</v>
      </c>
      <c r="AG1009" s="4">
        <v>0</v>
      </c>
      <c r="AH1009" s="4">
        <v>16</v>
      </c>
      <c r="AI1009" s="4">
        <v>16</v>
      </c>
      <c r="AJ1009" s="4">
        <v>1</v>
      </c>
      <c r="AK1009" s="4">
        <v>1</v>
      </c>
      <c r="AL1009" s="4">
        <v>13</v>
      </c>
      <c r="AM1009" s="4">
        <v>13</v>
      </c>
      <c r="AN1009" s="4">
        <v>0</v>
      </c>
      <c r="AO1009" s="4">
        <v>0</v>
      </c>
      <c r="AP1009" s="4">
        <v>1</v>
      </c>
      <c r="AQ1009" s="4">
        <v>1</v>
      </c>
      <c r="AR1009" s="3" t="s">
        <v>64</v>
      </c>
      <c r="AS1009" s="3" t="s">
        <v>64</v>
      </c>
      <c r="AT1009" s="3" t="s">
        <v>64</v>
      </c>
      <c r="AV1009" s="6" t="str">
        <f>HYPERLINK("http://mcgill.on.worldcat.org/oclc/663944987","Catalog Record")</f>
        <v>Catalog Record</v>
      </c>
      <c r="AW1009" s="6" t="str">
        <f>HYPERLINK("http://www.worldcat.org/oclc/663944987","WorldCat Record")</f>
        <v>WorldCat Record</v>
      </c>
      <c r="AX1009" s="3" t="s">
        <v>10019</v>
      </c>
      <c r="AY1009" s="3" t="s">
        <v>10020</v>
      </c>
      <c r="AZ1009" s="3" t="s">
        <v>10021</v>
      </c>
      <c r="BA1009" s="3" t="s">
        <v>10021</v>
      </c>
      <c r="BB1009" s="3" t="s">
        <v>10022</v>
      </c>
      <c r="BC1009" s="3" t="s">
        <v>77</v>
      </c>
      <c r="BD1009" s="3" t="s">
        <v>78</v>
      </c>
      <c r="BE1009" s="3" t="s">
        <v>10023</v>
      </c>
      <c r="BF1009" s="3" t="s">
        <v>10022</v>
      </c>
      <c r="BG1009" s="3" t="s">
        <v>10024</v>
      </c>
      <c r="BH1009">
        <f t="shared" si="29"/>
        <v>0</v>
      </c>
    </row>
    <row r="1010" spans="1:60" ht="58" x14ac:dyDescent="0.35">
      <c r="A1010" s="2" t="s">
        <v>59</v>
      </c>
      <c r="B1010" s="2" t="s">
        <v>60</v>
      </c>
      <c r="C1010" s="2" t="s">
        <v>10025</v>
      </c>
      <c r="D1010" s="2" t="s">
        <v>10026</v>
      </c>
      <c r="E1010" s="2" t="s">
        <v>10014</v>
      </c>
      <c r="F1010" s="3" t="s">
        <v>10027</v>
      </c>
      <c r="G1010" s="3" t="s">
        <v>128</v>
      </c>
      <c r="I1010" s="3" t="s">
        <v>64</v>
      </c>
      <c r="J1010" s="3" t="s">
        <v>64</v>
      </c>
      <c r="K1010" s="3" t="s">
        <v>65</v>
      </c>
      <c r="L1010" s="2" t="s">
        <v>10016</v>
      </c>
      <c r="M1010" s="2" t="s">
        <v>10017</v>
      </c>
      <c r="N1010" s="3" t="s">
        <v>511</v>
      </c>
      <c r="O1010" s="2" t="s">
        <v>9994</v>
      </c>
      <c r="P1010" s="3" t="s">
        <v>944</v>
      </c>
      <c r="R1010" s="3" t="s">
        <v>70</v>
      </c>
      <c r="S1010" s="4">
        <v>1</v>
      </c>
      <c r="T1010" s="4">
        <v>1</v>
      </c>
      <c r="U1010" s="5" t="s">
        <v>10018</v>
      </c>
      <c r="V1010" s="5" t="s">
        <v>10018</v>
      </c>
      <c r="W1010" s="5" t="s">
        <v>72</v>
      </c>
      <c r="X1010" s="5" t="s">
        <v>72</v>
      </c>
      <c r="Y1010" s="4">
        <v>24</v>
      </c>
      <c r="Z1010" s="4">
        <v>2</v>
      </c>
      <c r="AA1010" s="4">
        <v>2</v>
      </c>
      <c r="AB1010" s="4">
        <v>1</v>
      </c>
      <c r="AC1010" s="4">
        <v>1</v>
      </c>
      <c r="AD1010" s="4">
        <v>17</v>
      </c>
      <c r="AE1010" s="4">
        <v>17</v>
      </c>
      <c r="AF1010" s="4">
        <v>0</v>
      </c>
      <c r="AG1010" s="4">
        <v>0</v>
      </c>
      <c r="AH1010" s="4">
        <v>16</v>
      </c>
      <c r="AI1010" s="4">
        <v>16</v>
      </c>
      <c r="AJ1010" s="4">
        <v>1</v>
      </c>
      <c r="AK1010" s="4">
        <v>1</v>
      </c>
      <c r="AL1010" s="4">
        <v>13</v>
      </c>
      <c r="AM1010" s="4">
        <v>13</v>
      </c>
      <c r="AN1010" s="4">
        <v>0</v>
      </c>
      <c r="AO1010" s="4">
        <v>0</v>
      </c>
      <c r="AP1010" s="4">
        <v>1</v>
      </c>
      <c r="AQ1010" s="4">
        <v>1</v>
      </c>
      <c r="AR1010" s="3" t="s">
        <v>64</v>
      </c>
      <c r="AS1010" s="3" t="s">
        <v>64</v>
      </c>
      <c r="AT1010" s="3" t="s">
        <v>64</v>
      </c>
      <c r="AV1010" s="6" t="str">
        <f>HYPERLINK("http://mcgill.on.worldcat.org/oclc/663944987","Catalog Record")</f>
        <v>Catalog Record</v>
      </c>
      <c r="AW1010" s="6" t="str">
        <f>HYPERLINK("http://www.worldcat.org/oclc/663944987","WorldCat Record")</f>
        <v>WorldCat Record</v>
      </c>
      <c r="AX1010" s="3" t="s">
        <v>10019</v>
      </c>
      <c r="AY1010" s="3" t="s">
        <v>10020</v>
      </c>
      <c r="AZ1010" s="3" t="s">
        <v>10021</v>
      </c>
      <c r="BA1010" s="3" t="s">
        <v>10021</v>
      </c>
      <c r="BB1010" s="3" t="s">
        <v>10028</v>
      </c>
      <c r="BC1010" s="3" t="s">
        <v>77</v>
      </c>
      <c r="BD1010" s="3" t="s">
        <v>78</v>
      </c>
      <c r="BE1010" s="3" t="s">
        <v>10023</v>
      </c>
      <c r="BF1010" s="3" t="s">
        <v>10028</v>
      </c>
      <c r="BG1010" s="3" t="s">
        <v>10029</v>
      </c>
      <c r="BH1010">
        <f t="shared" si="29"/>
        <v>0</v>
      </c>
    </row>
    <row r="1011" spans="1:60" ht="58" x14ac:dyDescent="0.35">
      <c r="A1011" s="2" t="s">
        <v>59</v>
      </c>
      <c r="B1011" s="2" t="s">
        <v>60</v>
      </c>
      <c r="C1011" s="2" t="s">
        <v>10025</v>
      </c>
      <c r="D1011" s="2" t="s">
        <v>10026</v>
      </c>
      <c r="E1011" s="2" t="s">
        <v>10014</v>
      </c>
      <c r="F1011" s="3" t="s">
        <v>10030</v>
      </c>
      <c r="G1011" s="3" t="s">
        <v>128</v>
      </c>
      <c r="I1011" s="3" t="s">
        <v>64</v>
      </c>
      <c r="J1011" s="3" t="s">
        <v>64</v>
      </c>
      <c r="K1011" s="3" t="s">
        <v>65</v>
      </c>
      <c r="L1011" s="2" t="s">
        <v>10016</v>
      </c>
      <c r="M1011" s="2" t="s">
        <v>10017</v>
      </c>
      <c r="N1011" s="3" t="s">
        <v>511</v>
      </c>
      <c r="O1011" s="2" t="s">
        <v>9994</v>
      </c>
      <c r="P1011" s="3" t="s">
        <v>944</v>
      </c>
      <c r="R1011" s="3" t="s">
        <v>70</v>
      </c>
      <c r="S1011" s="4">
        <v>0</v>
      </c>
      <c r="T1011" s="4">
        <v>1</v>
      </c>
      <c r="V1011" s="5" t="s">
        <v>10018</v>
      </c>
      <c r="W1011" s="5" t="s">
        <v>72</v>
      </c>
      <c r="X1011" s="5" t="s">
        <v>72</v>
      </c>
      <c r="Y1011" s="4">
        <v>24</v>
      </c>
      <c r="Z1011" s="4">
        <v>2</v>
      </c>
      <c r="AA1011" s="4">
        <v>2</v>
      </c>
      <c r="AB1011" s="4">
        <v>1</v>
      </c>
      <c r="AC1011" s="4">
        <v>1</v>
      </c>
      <c r="AD1011" s="4">
        <v>17</v>
      </c>
      <c r="AE1011" s="4">
        <v>17</v>
      </c>
      <c r="AF1011" s="4">
        <v>0</v>
      </c>
      <c r="AG1011" s="4">
        <v>0</v>
      </c>
      <c r="AH1011" s="4">
        <v>16</v>
      </c>
      <c r="AI1011" s="4">
        <v>16</v>
      </c>
      <c r="AJ1011" s="4">
        <v>1</v>
      </c>
      <c r="AK1011" s="4">
        <v>1</v>
      </c>
      <c r="AL1011" s="4">
        <v>13</v>
      </c>
      <c r="AM1011" s="4">
        <v>13</v>
      </c>
      <c r="AN1011" s="4">
        <v>0</v>
      </c>
      <c r="AO1011" s="4">
        <v>0</v>
      </c>
      <c r="AP1011" s="4">
        <v>1</v>
      </c>
      <c r="AQ1011" s="4">
        <v>1</v>
      </c>
      <c r="AR1011" s="3" t="s">
        <v>64</v>
      </c>
      <c r="AS1011" s="3" t="s">
        <v>64</v>
      </c>
      <c r="AT1011" s="3" t="s">
        <v>64</v>
      </c>
      <c r="AV1011" s="6" t="str">
        <f>HYPERLINK("http://mcgill.on.worldcat.org/oclc/663944987","Catalog Record")</f>
        <v>Catalog Record</v>
      </c>
      <c r="AW1011" s="6" t="str">
        <f>HYPERLINK("http://www.worldcat.org/oclc/663944987","WorldCat Record")</f>
        <v>WorldCat Record</v>
      </c>
      <c r="AX1011" s="3" t="s">
        <v>10019</v>
      </c>
      <c r="AY1011" s="3" t="s">
        <v>10020</v>
      </c>
      <c r="AZ1011" s="3" t="s">
        <v>10021</v>
      </c>
      <c r="BA1011" s="3" t="s">
        <v>10021</v>
      </c>
      <c r="BB1011" s="3" t="s">
        <v>10031</v>
      </c>
      <c r="BC1011" s="3" t="s">
        <v>77</v>
      </c>
      <c r="BD1011" s="3" t="s">
        <v>78</v>
      </c>
      <c r="BE1011" s="3" t="s">
        <v>10023</v>
      </c>
      <c r="BF1011" s="3" t="s">
        <v>10031</v>
      </c>
      <c r="BG1011" s="3" t="s">
        <v>10032</v>
      </c>
      <c r="BH1011">
        <f t="shared" si="29"/>
        <v>0</v>
      </c>
    </row>
    <row r="1012" spans="1:60" ht="58" x14ac:dyDescent="0.35">
      <c r="A1012" s="2" t="s">
        <v>59</v>
      </c>
      <c r="B1012" s="2" t="s">
        <v>60</v>
      </c>
      <c r="C1012" s="2" t="s">
        <v>10033</v>
      </c>
      <c r="D1012" s="2" t="s">
        <v>10034</v>
      </c>
      <c r="E1012" s="2" t="s">
        <v>10035</v>
      </c>
      <c r="G1012" s="3" t="s">
        <v>64</v>
      </c>
      <c r="I1012" s="3" t="s">
        <v>64</v>
      </c>
      <c r="J1012" s="3" t="s">
        <v>64</v>
      </c>
      <c r="K1012" s="3" t="s">
        <v>65</v>
      </c>
      <c r="L1012" s="2" t="s">
        <v>10036</v>
      </c>
      <c r="M1012" s="2" t="s">
        <v>10037</v>
      </c>
      <c r="N1012" s="3" t="s">
        <v>979</v>
      </c>
      <c r="P1012" s="3" t="s">
        <v>102</v>
      </c>
      <c r="Q1012" s="2" t="s">
        <v>10038</v>
      </c>
      <c r="R1012" s="3" t="s">
        <v>70</v>
      </c>
      <c r="S1012" s="4">
        <v>9</v>
      </c>
      <c r="T1012" s="4">
        <v>9</v>
      </c>
      <c r="U1012" s="5" t="s">
        <v>10039</v>
      </c>
      <c r="V1012" s="5" t="s">
        <v>10039</v>
      </c>
      <c r="W1012" s="5" t="s">
        <v>72</v>
      </c>
      <c r="X1012" s="5" t="s">
        <v>72</v>
      </c>
      <c r="Y1012" s="4">
        <v>291</v>
      </c>
      <c r="Z1012" s="4">
        <v>20</v>
      </c>
      <c r="AA1012" s="4">
        <v>38</v>
      </c>
      <c r="AB1012" s="4">
        <v>2</v>
      </c>
      <c r="AC1012" s="4">
        <v>7</v>
      </c>
      <c r="AD1012" s="4">
        <v>91</v>
      </c>
      <c r="AE1012" s="4">
        <v>99</v>
      </c>
      <c r="AF1012" s="4">
        <v>0</v>
      </c>
      <c r="AG1012" s="4">
        <v>0</v>
      </c>
      <c r="AH1012" s="4">
        <v>80</v>
      </c>
      <c r="AI1012" s="4">
        <v>86</v>
      </c>
      <c r="AJ1012" s="4">
        <v>10</v>
      </c>
      <c r="AK1012" s="4">
        <v>11</v>
      </c>
      <c r="AL1012" s="4">
        <v>47</v>
      </c>
      <c r="AM1012" s="4">
        <v>50</v>
      </c>
      <c r="AN1012" s="4">
        <v>0</v>
      </c>
      <c r="AO1012" s="4">
        <v>0</v>
      </c>
      <c r="AP1012" s="4">
        <v>16</v>
      </c>
      <c r="AQ1012" s="4">
        <v>18</v>
      </c>
      <c r="AR1012" s="3" t="s">
        <v>64</v>
      </c>
      <c r="AS1012" s="3" t="s">
        <v>64</v>
      </c>
      <c r="AT1012" s="3" t="s">
        <v>64</v>
      </c>
      <c r="AV1012" s="6" t="str">
        <f>HYPERLINK("http://mcgill.on.worldcat.org/oclc/44785861","Catalog Record")</f>
        <v>Catalog Record</v>
      </c>
      <c r="AW1012" s="6" t="str">
        <f>HYPERLINK("http://www.worldcat.org/oclc/44785861","WorldCat Record")</f>
        <v>WorldCat Record</v>
      </c>
      <c r="AX1012" s="3" t="s">
        <v>10040</v>
      </c>
      <c r="AY1012" s="3" t="s">
        <v>10041</v>
      </c>
      <c r="AZ1012" s="3" t="s">
        <v>10042</v>
      </c>
      <c r="BA1012" s="3" t="s">
        <v>10042</v>
      </c>
      <c r="BB1012" s="3" t="s">
        <v>10043</v>
      </c>
      <c r="BC1012" s="3" t="s">
        <v>77</v>
      </c>
      <c r="BD1012" s="3" t="s">
        <v>78</v>
      </c>
      <c r="BE1012" s="3" t="s">
        <v>10044</v>
      </c>
      <c r="BF1012" s="3" t="s">
        <v>10043</v>
      </c>
      <c r="BG1012" s="3" t="s">
        <v>10045</v>
      </c>
      <c r="BH1012">
        <f t="shared" si="29"/>
        <v>0</v>
      </c>
    </row>
    <row r="1013" spans="1:60" ht="58" x14ac:dyDescent="0.35">
      <c r="A1013" s="2" t="s">
        <v>59</v>
      </c>
      <c r="B1013" s="2" t="s">
        <v>60</v>
      </c>
      <c r="C1013" s="2" t="s">
        <v>10046</v>
      </c>
      <c r="D1013" s="2" t="s">
        <v>10047</v>
      </c>
      <c r="E1013" s="2" t="s">
        <v>10048</v>
      </c>
      <c r="G1013" s="3" t="s">
        <v>64</v>
      </c>
      <c r="I1013" s="3" t="s">
        <v>64</v>
      </c>
      <c r="J1013" s="3" t="s">
        <v>64</v>
      </c>
      <c r="K1013" s="3" t="s">
        <v>65</v>
      </c>
      <c r="L1013" s="2" t="s">
        <v>10049</v>
      </c>
      <c r="M1013" s="2" t="s">
        <v>10050</v>
      </c>
      <c r="N1013" s="3" t="s">
        <v>511</v>
      </c>
      <c r="O1013" s="2" t="s">
        <v>117</v>
      </c>
      <c r="P1013" s="3" t="s">
        <v>102</v>
      </c>
      <c r="R1013" s="3" t="s">
        <v>70</v>
      </c>
      <c r="S1013" s="4">
        <v>0</v>
      </c>
      <c r="T1013" s="4">
        <v>0</v>
      </c>
      <c r="W1013" s="5" t="s">
        <v>72</v>
      </c>
      <c r="X1013" s="5" t="s">
        <v>72</v>
      </c>
      <c r="Y1013" s="4">
        <v>41</v>
      </c>
      <c r="Z1013" s="4">
        <v>2</v>
      </c>
      <c r="AA1013" s="4">
        <v>2</v>
      </c>
      <c r="AB1013" s="4">
        <v>1</v>
      </c>
      <c r="AC1013" s="4">
        <v>1</v>
      </c>
      <c r="AD1013" s="4">
        <v>12</v>
      </c>
      <c r="AE1013" s="4">
        <v>12</v>
      </c>
      <c r="AF1013" s="4">
        <v>0</v>
      </c>
      <c r="AG1013" s="4">
        <v>0</v>
      </c>
      <c r="AH1013" s="4">
        <v>12</v>
      </c>
      <c r="AI1013" s="4">
        <v>12</v>
      </c>
      <c r="AJ1013" s="4">
        <v>0</v>
      </c>
      <c r="AK1013" s="4">
        <v>0</v>
      </c>
      <c r="AL1013" s="4">
        <v>10</v>
      </c>
      <c r="AM1013" s="4">
        <v>10</v>
      </c>
      <c r="AN1013" s="4">
        <v>0</v>
      </c>
      <c r="AO1013" s="4">
        <v>0</v>
      </c>
      <c r="AP1013" s="4">
        <v>0</v>
      </c>
      <c r="AQ1013" s="4">
        <v>0</v>
      </c>
      <c r="AR1013" s="3" t="s">
        <v>64</v>
      </c>
      <c r="AS1013" s="3" t="s">
        <v>64</v>
      </c>
      <c r="AT1013" s="3" t="s">
        <v>64</v>
      </c>
      <c r="AV1013" s="6" t="str">
        <f>HYPERLINK("http://mcgill.on.worldcat.org/oclc/559856347","Catalog Record")</f>
        <v>Catalog Record</v>
      </c>
      <c r="AW1013" s="6" t="str">
        <f>HYPERLINK("http://www.worldcat.org/oclc/559856347","WorldCat Record")</f>
        <v>WorldCat Record</v>
      </c>
      <c r="AX1013" s="3" t="s">
        <v>10051</v>
      </c>
      <c r="AY1013" s="3" t="s">
        <v>10052</v>
      </c>
      <c r="AZ1013" s="3" t="s">
        <v>10053</v>
      </c>
      <c r="BA1013" s="3" t="s">
        <v>10053</v>
      </c>
      <c r="BB1013" s="3" t="s">
        <v>10054</v>
      </c>
      <c r="BC1013" s="3" t="s">
        <v>77</v>
      </c>
      <c r="BD1013" s="3" t="s">
        <v>78</v>
      </c>
      <c r="BE1013" s="3" t="s">
        <v>10055</v>
      </c>
      <c r="BF1013" s="3" t="s">
        <v>10054</v>
      </c>
      <c r="BG1013" s="3" t="s">
        <v>10056</v>
      </c>
      <c r="BH1013">
        <f t="shared" si="29"/>
        <v>0</v>
      </c>
    </row>
    <row r="1014" spans="1:60" ht="58" x14ac:dyDescent="0.35">
      <c r="A1014" s="2" t="s">
        <v>59</v>
      </c>
      <c r="B1014" s="2" t="s">
        <v>60</v>
      </c>
      <c r="C1014" s="2" t="s">
        <v>10057</v>
      </c>
      <c r="D1014" s="2" t="s">
        <v>10058</v>
      </c>
      <c r="E1014" s="2" t="s">
        <v>10059</v>
      </c>
      <c r="G1014" s="3" t="s">
        <v>64</v>
      </c>
      <c r="I1014" s="3" t="s">
        <v>64</v>
      </c>
      <c r="J1014" s="3" t="s">
        <v>64</v>
      </c>
      <c r="K1014" s="3" t="s">
        <v>65</v>
      </c>
      <c r="L1014" s="2" t="s">
        <v>10060</v>
      </c>
      <c r="M1014" s="2" t="s">
        <v>10061</v>
      </c>
      <c r="N1014" s="3" t="s">
        <v>4872</v>
      </c>
      <c r="P1014" s="3" t="s">
        <v>102</v>
      </c>
      <c r="R1014" s="3" t="s">
        <v>70</v>
      </c>
      <c r="S1014" s="4">
        <v>6</v>
      </c>
      <c r="T1014" s="4">
        <v>6</v>
      </c>
      <c r="U1014" s="5" t="s">
        <v>626</v>
      </c>
      <c r="V1014" s="5" t="s">
        <v>626</v>
      </c>
      <c r="W1014" s="5" t="s">
        <v>72</v>
      </c>
      <c r="X1014" s="5" t="s">
        <v>72</v>
      </c>
      <c r="Y1014" s="4">
        <v>366</v>
      </c>
      <c r="Z1014" s="4">
        <v>24</v>
      </c>
      <c r="AA1014" s="4">
        <v>28</v>
      </c>
      <c r="AB1014" s="4">
        <v>2</v>
      </c>
      <c r="AC1014" s="4">
        <v>4</v>
      </c>
      <c r="AD1014" s="4">
        <v>107</v>
      </c>
      <c r="AE1014" s="4">
        <v>110</v>
      </c>
      <c r="AF1014" s="4">
        <v>1</v>
      </c>
      <c r="AG1014" s="4">
        <v>2</v>
      </c>
      <c r="AH1014" s="4">
        <v>95</v>
      </c>
      <c r="AI1014" s="4">
        <v>96</v>
      </c>
      <c r="AJ1014" s="4">
        <v>16</v>
      </c>
      <c r="AK1014" s="4">
        <v>19</v>
      </c>
      <c r="AL1014" s="4">
        <v>54</v>
      </c>
      <c r="AM1014" s="4">
        <v>54</v>
      </c>
      <c r="AN1014" s="4">
        <v>0</v>
      </c>
      <c r="AO1014" s="4">
        <v>0</v>
      </c>
      <c r="AP1014" s="4">
        <v>18</v>
      </c>
      <c r="AQ1014" s="4">
        <v>19</v>
      </c>
      <c r="AR1014" s="3" t="s">
        <v>64</v>
      </c>
      <c r="AS1014" s="3" t="s">
        <v>64</v>
      </c>
      <c r="AT1014" s="3" t="s">
        <v>128</v>
      </c>
      <c r="AU1014" s="6" t="str">
        <f>HYPERLINK("http://catalog.hathitrust.org/Record/001161805","HathiTrust Record")</f>
        <v>HathiTrust Record</v>
      </c>
      <c r="AV1014" s="6" t="str">
        <f>HYPERLINK("http://mcgill.on.worldcat.org/oclc/573797","Catalog Record")</f>
        <v>Catalog Record</v>
      </c>
      <c r="AW1014" s="6" t="str">
        <f>HYPERLINK("http://www.worldcat.org/oclc/573797","WorldCat Record")</f>
        <v>WorldCat Record</v>
      </c>
      <c r="AX1014" s="3" t="s">
        <v>10062</v>
      </c>
      <c r="AY1014" s="3" t="s">
        <v>10063</v>
      </c>
      <c r="AZ1014" s="3" t="s">
        <v>10064</v>
      </c>
      <c r="BA1014" s="3" t="s">
        <v>10064</v>
      </c>
      <c r="BB1014" s="3" t="s">
        <v>10065</v>
      </c>
      <c r="BC1014" s="3" t="s">
        <v>77</v>
      </c>
      <c r="BD1014" s="3" t="s">
        <v>78</v>
      </c>
      <c r="BF1014" s="3" t="s">
        <v>10065</v>
      </c>
      <c r="BG1014" s="3" t="s">
        <v>10066</v>
      </c>
      <c r="BH1014">
        <f t="shared" si="29"/>
        <v>0</v>
      </c>
    </row>
    <row r="1015" spans="1:60" ht="58" x14ac:dyDescent="0.35">
      <c r="A1015" s="2" t="s">
        <v>59</v>
      </c>
      <c r="B1015" s="2" t="s">
        <v>60</v>
      </c>
      <c r="C1015" s="2" t="s">
        <v>10067</v>
      </c>
      <c r="D1015" s="2" t="s">
        <v>10068</v>
      </c>
      <c r="E1015" s="2" t="s">
        <v>10069</v>
      </c>
      <c r="G1015" s="3" t="s">
        <v>64</v>
      </c>
      <c r="I1015" s="3" t="s">
        <v>64</v>
      </c>
      <c r="J1015" s="3" t="s">
        <v>64</v>
      </c>
      <c r="K1015" s="3" t="s">
        <v>65</v>
      </c>
      <c r="L1015" s="2" t="s">
        <v>10070</v>
      </c>
      <c r="M1015" s="2" t="s">
        <v>10071</v>
      </c>
      <c r="N1015" s="3" t="s">
        <v>5986</v>
      </c>
      <c r="P1015" s="3" t="s">
        <v>102</v>
      </c>
      <c r="Q1015" s="2" t="s">
        <v>10072</v>
      </c>
      <c r="R1015" s="3" t="s">
        <v>70</v>
      </c>
      <c r="S1015" s="4">
        <v>1</v>
      </c>
      <c r="T1015" s="4">
        <v>1</v>
      </c>
      <c r="U1015" s="5" t="s">
        <v>10073</v>
      </c>
      <c r="V1015" s="5" t="s">
        <v>10073</v>
      </c>
      <c r="W1015" s="5" t="s">
        <v>72</v>
      </c>
      <c r="X1015" s="5" t="s">
        <v>72</v>
      </c>
      <c r="Y1015" s="4">
        <v>176</v>
      </c>
      <c r="Z1015" s="4">
        <v>13</v>
      </c>
      <c r="AA1015" s="4">
        <v>15</v>
      </c>
      <c r="AB1015" s="4">
        <v>1</v>
      </c>
      <c r="AC1015" s="4">
        <v>3</v>
      </c>
      <c r="AD1015" s="4">
        <v>56</v>
      </c>
      <c r="AE1015" s="4">
        <v>57</v>
      </c>
      <c r="AF1015" s="4">
        <v>0</v>
      </c>
      <c r="AG1015" s="4">
        <v>1</v>
      </c>
      <c r="AH1015" s="4">
        <v>51</v>
      </c>
      <c r="AI1015" s="4">
        <v>51</v>
      </c>
      <c r="AJ1015" s="4">
        <v>9</v>
      </c>
      <c r="AK1015" s="4">
        <v>10</v>
      </c>
      <c r="AL1015" s="4">
        <v>31</v>
      </c>
      <c r="AM1015" s="4">
        <v>31</v>
      </c>
      <c r="AN1015" s="4">
        <v>0</v>
      </c>
      <c r="AO1015" s="4">
        <v>0</v>
      </c>
      <c r="AP1015" s="4">
        <v>9</v>
      </c>
      <c r="AQ1015" s="4">
        <v>9</v>
      </c>
      <c r="AR1015" s="3" t="s">
        <v>64</v>
      </c>
      <c r="AS1015" s="3" t="s">
        <v>64</v>
      </c>
      <c r="AT1015" s="3" t="s">
        <v>128</v>
      </c>
      <c r="AU1015" s="6" t="str">
        <f>HYPERLINK("http://catalog.hathitrust.org/Record/001161806","HathiTrust Record")</f>
        <v>HathiTrust Record</v>
      </c>
      <c r="AV1015" s="6" t="str">
        <f>HYPERLINK("http://mcgill.on.worldcat.org/oclc/1488131","Catalog Record")</f>
        <v>Catalog Record</v>
      </c>
      <c r="AW1015" s="6" t="str">
        <f>HYPERLINK("http://www.worldcat.org/oclc/1488131","WorldCat Record")</f>
        <v>WorldCat Record</v>
      </c>
      <c r="AX1015" s="3" t="s">
        <v>10074</v>
      </c>
      <c r="AY1015" s="3" t="s">
        <v>10075</v>
      </c>
      <c r="AZ1015" s="3" t="s">
        <v>10076</v>
      </c>
      <c r="BA1015" s="3" t="s">
        <v>10076</v>
      </c>
      <c r="BB1015" s="3" t="s">
        <v>10077</v>
      </c>
      <c r="BC1015" s="3" t="s">
        <v>77</v>
      </c>
      <c r="BD1015" s="3" t="s">
        <v>78</v>
      </c>
      <c r="BE1015" s="3" t="s">
        <v>10078</v>
      </c>
      <c r="BF1015" s="3" t="s">
        <v>10077</v>
      </c>
      <c r="BG1015" s="3" t="s">
        <v>10079</v>
      </c>
      <c r="BH1015">
        <f t="shared" si="29"/>
        <v>0</v>
      </c>
    </row>
    <row r="1016" spans="1:60" ht="58" x14ac:dyDescent="0.35">
      <c r="A1016" s="2" t="s">
        <v>59</v>
      </c>
      <c r="B1016" s="2" t="s">
        <v>60</v>
      </c>
      <c r="C1016" s="2" t="s">
        <v>10080</v>
      </c>
      <c r="D1016" s="2" t="s">
        <v>10081</v>
      </c>
      <c r="E1016" s="2" t="s">
        <v>10082</v>
      </c>
      <c r="G1016" s="3" t="s">
        <v>64</v>
      </c>
      <c r="I1016" s="3" t="s">
        <v>64</v>
      </c>
      <c r="J1016" s="3" t="s">
        <v>64</v>
      </c>
      <c r="K1016" s="3" t="s">
        <v>65</v>
      </c>
      <c r="L1016" s="2" t="s">
        <v>10083</v>
      </c>
      <c r="M1016" s="2" t="s">
        <v>10084</v>
      </c>
      <c r="N1016" s="3" t="s">
        <v>1061</v>
      </c>
      <c r="P1016" s="3" t="s">
        <v>102</v>
      </c>
      <c r="R1016" s="3" t="s">
        <v>70</v>
      </c>
      <c r="S1016" s="4">
        <v>5</v>
      </c>
      <c r="T1016" s="4">
        <v>5</v>
      </c>
      <c r="U1016" s="5" t="s">
        <v>10085</v>
      </c>
      <c r="V1016" s="5" t="s">
        <v>10085</v>
      </c>
      <c r="W1016" s="5" t="s">
        <v>72</v>
      </c>
      <c r="X1016" s="5" t="s">
        <v>72</v>
      </c>
      <c r="Y1016" s="4">
        <v>158</v>
      </c>
      <c r="Z1016" s="4">
        <v>12</v>
      </c>
      <c r="AA1016" s="4">
        <v>12</v>
      </c>
      <c r="AB1016" s="4">
        <v>1</v>
      </c>
      <c r="AC1016" s="4">
        <v>1</v>
      </c>
      <c r="AD1016" s="4">
        <v>59</v>
      </c>
      <c r="AE1016" s="4">
        <v>59</v>
      </c>
      <c r="AF1016" s="4">
        <v>0</v>
      </c>
      <c r="AG1016" s="4">
        <v>0</v>
      </c>
      <c r="AH1016" s="4">
        <v>55</v>
      </c>
      <c r="AI1016" s="4">
        <v>55</v>
      </c>
      <c r="AJ1016" s="4">
        <v>7</v>
      </c>
      <c r="AK1016" s="4">
        <v>7</v>
      </c>
      <c r="AL1016" s="4">
        <v>34</v>
      </c>
      <c r="AM1016" s="4">
        <v>34</v>
      </c>
      <c r="AN1016" s="4">
        <v>5</v>
      </c>
      <c r="AO1016" s="4">
        <v>5</v>
      </c>
      <c r="AP1016" s="4">
        <v>8</v>
      </c>
      <c r="AQ1016" s="4">
        <v>8</v>
      </c>
      <c r="AR1016" s="3" t="s">
        <v>64</v>
      </c>
      <c r="AS1016" s="3" t="s">
        <v>64</v>
      </c>
      <c r="AT1016" s="3" t="s">
        <v>128</v>
      </c>
      <c r="AU1016" s="6" t="str">
        <f>HYPERLINK("http://catalog.hathitrust.org/Record/000375957","HathiTrust Record")</f>
        <v>HathiTrust Record</v>
      </c>
      <c r="AV1016" s="6" t="str">
        <f>HYPERLINK("http://mcgill.on.worldcat.org/oclc/13498684","Catalog Record")</f>
        <v>Catalog Record</v>
      </c>
      <c r="AW1016" s="6" t="str">
        <f>HYPERLINK("http://www.worldcat.org/oclc/13498684","WorldCat Record")</f>
        <v>WorldCat Record</v>
      </c>
      <c r="AX1016" s="3" t="s">
        <v>10086</v>
      </c>
      <c r="AY1016" s="3" t="s">
        <v>10087</v>
      </c>
      <c r="AZ1016" s="3" t="s">
        <v>10088</v>
      </c>
      <c r="BA1016" s="3" t="s">
        <v>10088</v>
      </c>
      <c r="BB1016" s="3" t="s">
        <v>10089</v>
      </c>
      <c r="BC1016" s="3" t="s">
        <v>77</v>
      </c>
      <c r="BD1016" s="3" t="s">
        <v>78</v>
      </c>
      <c r="BE1016" s="3" t="s">
        <v>10090</v>
      </c>
      <c r="BF1016" s="3" t="s">
        <v>10089</v>
      </c>
      <c r="BG1016" s="3" t="s">
        <v>10091</v>
      </c>
      <c r="BH1016">
        <f t="shared" si="29"/>
        <v>0</v>
      </c>
    </row>
    <row r="1017" spans="1:60" ht="58" x14ac:dyDescent="0.35">
      <c r="A1017" s="2" t="s">
        <v>59</v>
      </c>
      <c r="B1017" s="2" t="s">
        <v>60</v>
      </c>
      <c r="C1017" s="2" t="s">
        <v>10092</v>
      </c>
      <c r="D1017" s="2" t="s">
        <v>10093</v>
      </c>
      <c r="E1017" s="2" t="s">
        <v>8376</v>
      </c>
      <c r="F1017" s="3" t="s">
        <v>10094</v>
      </c>
      <c r="G1017" s="3" t="s">
        <v>128</v>
      </c>
      <c r="I1017" s="3" t="s">
        <v>128</v>
      </c>
      <c r="J1017" s="3" t="s">
        <v>64</v>
      </c>
      <c r="K1017" s="3" t="s">
        <v>65</v>
      </c>
      <c r="M1017" s="2" t="s">
        <v>8377</v>
      </c>
      <c r="N1017" s="3" t="s">
        <v>326</v>
      </c>
      <c r="P1017" s="3" t="s">
        <v>102</v>
      </c>
      <c r="R1017" s="3" t="s">
        <v>70</v>
      </c>
      <c r="S1017" s="4">
        <v>3</v>
      </c>
      <c r="T1017" s="4">
        <v>6</v>
      </c>
      <c r="U1017" s="5" t="s">
        <v>10095</v>
      </c>
      <c r="V1017" s="5" t="s">
        <v>8379</v>
      </c>
      <c r="W1017" s="5" t="s">
        <v>72</v>
      </c>
      <c r="X1017" s="5" t="s">
        <v>72</v>
      </c>
      <c r="Y1017" s="4">
        <v>181</v>
      </c>
      <c r="Z1017" s="4">
        <v>22</v>
      </c>
      <c r="AA1017" s="4">
        <v>22</v>
      </c>
      <c r="AB1017" s="4">
        <v>2</v>
      </c>
      <c r="AC1017" s="4">
        <v>2</v>
      </c>
      <c r="AD1017" s="4">
        <v>82</v>
      </c>
      <c r="AE1017" s="4">
        <v>82</v>
      </c>
      <c r="AF1017" s="4">
        <v>1</v>
      </c>
      <c r="AG1017" s="4">
        <v>1</v>
      </c>
      <c r="AH1017" s="4">
        <v>72</v>
      </c>
      <c r="AI1017" s="4">
        <v>72</v>
      </c>
      <c r="AJ1017" s="4">
        <v>15</v>
      </c>
      <c r="AK1017" s="4">
        <v>15</v>
      </c>
      <c r="AL1017" s="4">
        <v>41</v>
      </c>
      <c r="AM1017" s="4">
        <v>41</v>
      </c>
      <c r="AN1017" s="4">
        <v>0</v>
      </c>
      <c r="AO1017" s="4">
        <v>0</v>
      </c>
      <c r="AP1017" s="4">
        <v>19</v>
      </c>
      <c r="AQ1017" s="4">
        <v>19</v>
      </c>
      <c r="AR1017" s="3" t="s">
        <v>64</v>
      </c>
      <c r="AS1017" s="3" t="s">
        <v>64</v>
      </c>
      <c r="AT1017" s="3" t="s">
        <v>64</v>
      </c>
      <c r="AV1017" s="6" t="str">
        <f>HYPERLINK("http://mcgill.on.worldcat.org/oclc/727942262","Catalog Record")</f>
        <v>Catalog Record</v>
      </c>
      <c r="AW1017" s="6" t="str">
        <f>HYPERLINK("http://www.worldcat.org/oclc/727942262","WorldCat Record")</f>
        <v>WorldCat Record</v>
      </c>
      <c r="AX1017" s="3" t="s">
        <v>8380</v>
      </c>
      <c r="AY1017" s="3" t="s">
        <v>8381</v>
      </c>
      <c r="AZ1017" s="3" t="s">
        <v>8382</v>
      </c>
      <c r="BA1017" s="3" t="s">
        <v>8382</v>
      </c>
      <c r="BB1017" s="3" t="s">
        <v>10096</v>
      </c>
      <c r="BC1017" s="3" t="s">
        <v>77</v>
      </c>
      <c r="BD1017" s="3" t="s">
        <v>78</v>
      </c>
      <c r="BE1017" s="3" t="s">
        <v>8384</v>
      </c>
      <c r="BF1017" s="3" t="s">
        <v>10096</v>
      </c>
      <c r="BG1017" s="3" t="s">
        <v>10097</v>
      </c>
      <c r="BH1017">
        <f t="shared" si="29"/>
        <v>0</v>
      </c>
    </row>
    <row r="1018" spans="1:60" ht="58" x14ac:dyDescent="0.35">
      <c r="A1018" s="2" t="s">
        <v>59</v>
      </c>
      <c r="B1018" s="2" t="s">
        <v>60</v>
      </c>
      <c r="C1018" s="2" t="s">
        <v>10092</v>
      </c>
      <c r="D1018" s="2" t="s">
        <v>10093</v>
      </c>
      <c r="E1018" s="2" t="s">
        <v>8376</v>
      </c>
      <c r="F1018" s="3" t="s">
        <v>525</v>
      </c>
      <c r="G1018" s="3" t="s">
        <v>128</v>
      </c>
      <c r="I1018" s="3" t="s">
        <v>128</v>
      </c>
      <c r="J1018" s="3" t="s">
        <v>64</v>
      </c>
      <c r="K1018" s="3" t="s">
        <v>65</v>
      </c>
      <c r="M1018" s="2" t="s">
        <v>8377</v>
      </c>
      <c r="N1018" s="3" t="s">
        <v>326</v>
      </c>
      <c r="P1018" s="3" t="s">
        <v>102</v>
      </c>
      <c r="R1018" s="3" t="s">
        <v>70</v>
      </c>
      <c r="S1018" s="4">
        <v>2</v>
      </c>
      <c r="T1018" s="4">
        <v>6</v>
      </c>
      <c r="U1018" s="5" t="s">
        <v>8379</v>
      </c>
      <c r="V1018" s="5" t="s">
        <v>8379</v>
      </c>
      <c r="W1018" s="5" t="s">
        <v>72</v>
      </c>
      <c r="X1018" s="5" t="s">
        <v>72</v>
      </c>
      <c r="Y1018" s="4">
        <v>181</v>
      </c>
      <c r="Z1018" s="4">
        <v>22</v>
      </c>
      <c r="AA1018" s="4">
        <v>22</v>
      </c>
      <c r="AB1018" s="4">
        <v>2</v>
      </c>
      <c r="AC1018" s="4">
        <v>2</v>
      </c>
      <c r="AD1018" s="4">
        <v>82</v>
      </c>
      <c r="AE1018" s="4">
        <v>82</v>
      </c>
      <c r="AF1018" s="4">
        <v>1</v>
      </c>
      <c r="AG1018" s="4">
        <v>1</v>
      </c>
      <c r="AH1018" s="4">
        <v>72</v>
      </c>
      <c r="AI1018" s="4">
        <v>72</v>
      </c>
      <c r="AJ1018" s="4">
        <v>15</v>
      </c>
      <c r="AK1018" s="4">
        <v>15</v>
      </c>
      <c r="AL1018" s="4">
        <v>41</v>
      </c>
      <c r="AM1018" s="4">
        <v>41</v>
      </c>
      <c r="AN1018" s="4">
        <v>0</v>
      </c>
      <c r="AO1018" s="4">
        <v>0</v>
      </c>
      <c r="AP1018" s="4">
        <v>19</v>
      </c>
      <c r="AQ1018" s="4">
        <v>19</v>
      </c>
      <c r="AR1018" s="3" t="s">
        <v>64</v>
      </c>
      <c r="AS1018" s="3" t="s">
        <v>64</v>
      </c>
      <c r="AT1018" s="3" t="s">
        <v>64</v>
      </c>
      <c r="AV1018" s="6" t="str">
        <f>HYPERLINK("http://mcgill.on.worldcat.org/oclc/727942262","Catalog Record")</f>
        <v>Catalog Record</v>
      </c>
      <c r="AW1018" s="6" t="str">
        <f>HYPERLINK("http://www.worldcat.org/oclc/727942262","WorldCat Record")</f>
        <v>WorldCat Record</v>
      </c>
      <c r="AX1018" s="3" t="s">
        <v>8380</v>
      </c>
      <c r="AY1018" s="3" t="s">
        <v>8381</v>
      </c>
      <c r="AZ1018" s="3" t="s">
        <v>8382</v>
      </c>
      <c r="BA1018" s="3" t="s">
        <v>8382</v>
      </c>
      <c r="BB1018" s="3" t="s">
        <v>10098</v>
      </c>
      <c r="BC1018" s="3" t="s">
        <v>77</v>
      </c>
      <c r="BD1018" s="3" t="s">
        <v>78</v>
      </c>
      <c r="BE1018" s="3" t="s">
        <v>8384</v>
      </c>
      <c r="BF1018" s="3" t="s">
        <v>10098</v>
      </c>
      <c r="BG1018" s="3" t="s">
        <v>10099</v>
      </c>
      <c r="BH1018">
        <f t="shared" si="29"/>
        <v>0</v>
      </c>
    </row>
    <row r="1019" spans="1:60" ht="58" x14ac:dyDescent="0.35">
      <c r="A1019" s="2" t="s">
        <v>59</v>
      </c>
      <c r="B1019" s="2" t="s">
        <v>60</v>
      </c>
      <c r="C1019" s="2" t="s">
        <v>10100</v>
      </c>
      <c r="D1019" s="2" t="s">
        <v>10101</v>
      </c>
      <c r="E1019" s="2" t="s">
        <v>10102</v>
      </c>
      <c r="G1019" s="3" t="s">
        <v>64</v>
      </c>
      <c r="I1019" s="3" t="s">
        <v>64</v>
      </c>
      <c r="J1019" s="3" t="s">
        <v>64</v>
      </c>
      <c r="K1019" s="3" t="s">
        <v>65</v>
      </c>
      <c r="L1019" s="2" t="s">
        <v>754</v>
      </c>
      <c r="M1019" s="2" t="s">
        <v>279</v>
      </c>
      <c r="N1019" s="3" t="s">
        <v>67</v>
      </c>
      <c r="P1019" s="3" t="s">
        <v>102</v>
      </c>
      <c r="Q1019" s="2" t="s">
        <v>10103</v>
      </c>
      <c r="R1019" s="3" t="s">
        <v>70</v>
      </c>
      <c r="S1019" s="4">
        <v>5</v>
      </c>
      <c r="T1019" s="4">
        <v>5</v>
      </c>
      <c r="U1019" s="5" t="s">
        <v>10104</v>
      </c>
      <c r="V1019" s="5" t="s">
        <v>10104</v>
      </c>
      <c r="W1019" s="5" t="s">
        <v>72</v>
      </c>
      <c r="X1019" s="5" t="s">
        <v>72</v>
      </c>
      <c r="Y1019" s="4">
        <v>141</v>
      </c>
      <c r="Z1019" s="4">
        <v>17</v>
      </c>
      <c r="AA1019" s="4">
        <v>18</v>
      </c>
      <c r="AB1019" s="4">
        <v>1</v>
      </c>
      <c r="AC1019" s="4">
        <v>2</v>
      </c>
      <c r="AD1019" s="4">
        <v>51</v>
      </c>
      <c r="AE1019" s="4">
        <v>52</v>
      </c>
      <c r="AF1019" s="4">
        <v>0</v>
      </c>
      <c r="AG1019" s="4">
        <v>1</v>
      </c>
      <c r="AH1019" s="4">
        <v>46</v>
      </c>
      <c r="AI1019" s="4">
        <v>46</v>
      </c>
      <c r="AJ1019" s="4">
        <v>8</v>
      </c>
      <c r="AK1019" s="4">
        <v>9</v>
      </c>
      <c r="AL1019" s="4">
        <v>33</v>
      </c>
      <c r="AM1019" s="4">
        <v>33</v>
      </c>
      <c r="AN1019" s="4">
        <v>0</v>
      </c>
      <c r="AO1019" s="4">
        <v>0</v>
      </c>
      <c r="AP1019" s="4">
        <v>9</v>
      </c>
      <c r="AQ1019" s="4">
        <v>10</v>
      </c>
      <c r="AR1019" s="3" t="s">
        <v>64</v>
      </c>
      <c r="AS1019" s="3" t="s">
        <v>64</v>
      </c>
      <c r="AT1019" s="3" t="s">
        <v>64</v>
      </c>
      <c r="AV1019" s="6" t="str">
        <f>HYPERLINK("http://mcgill.on.worldcat.org/oclc/872979617","Catalog Record")</f>
        <v>Catalog Record</v>
      </c>
      <c r="AW1019" s="6" t="str">
        <f>HYPERLINK("http://www.worldcat.org/oclc/872979617","WorldCat Record")</f>
        <v>WorldCat Record</v>
      </c>
      <c r="AX1019" s="3" t="s">
        <v>10105</v>
      </c>
      <c r="AY1019" s="3" t="s">
        <v>10106</v>
      </c>
      <c r="AZ1019" s="3" t="s">
        <v>10107</v>
      </c>
      <c r="BA1019" s="3" t="s">
        <v>10107</v>
      </c>
      <c r="BB1019" s="3" t="s">
        <v>10108</v>
      </c>
      <c r="BC1019" s="3" t="s">
        <v>77</v>
      </c>
      <c r="BD1019" s="3" t="s">
        <v>165</v>
      </c>
      <c r="BE1019" s="3" t="s">
        <v>10109</v>
      </c>
      <c r="BF1019" s="3" t="s">
        <v>10108</v>
      </c>
      <c r="BG1019" s="3" t="s">
        <v>10110</v>
      </c>
      <c r="BH1019">
        <f t="shared" si="29"/>
        <v>0</v>
      </c>
    </row>
    <row r="1020" spans="1:60" ht="58" x14ac:dyDescent="0.35">
      <c r="A1020" s="2" t="s">
        <v>59</v>
      </c>
      <c r="B1020" s="2" t="s">
        <v>60</v>
      </c>
      <c r="C1020" s="2" t="s">
        <v>10111</v>
      </c>
      <c r="D1020" s="2" t="s">
        <v>10112</v>
      </c>
      <c r="E1020" s="2" t="s">
        <v>10113</v>
      </c>
      <c r="G1020" s="3" t="s">
        <v>64</v>
      </c>
      <c r="I1020" s="3" t="s">
        <v>128</v>
      </c>
      <c r="J1020" s="3" t="s">
        <v>128</v>
      </c>
      <c r="K1020" s="3" t="s">
        <v>65</v>
      </c>
      <c r="L1020" s="2" t="s">
        <v>10114</v>
      </c>
      <c r="M1020" s="2" t="s">
        <v>10115</v>
      </c>
      <c r="N1020" s="3" t="s">
        <v>4872</v>
      </c>
      <c r="P1020" s="3" t="s">
        <v>102</v>
      </c>
      <c r="Q1020" s="2" t="s">
        <v>10116</v>
      </c>
      <c r="R1020" s="3" t="s">
        <v>70</v>
      </c>
      <c r="S1020" s="4">
        <v>1</v>
      </c>
      <c r="T1020" s="4">
        <v>1</v>
      </c>
      <c r="U1020" s="5" t="s">
        <v>10073</v>
      </c>
      <c r="V1020" s="5" t="s">
        <v>10073</v>
      </c>
      <c r="W1020" s="5" t="s">
        <v>72</v>
      </c>
      <c r="X1020" s="5" t="s">
        <v>72</v>
      </c>
      <c r="Y1020" s="4">
        <v>190</v>
      </c>
      <c r="Z1020" s="4">
        <v>15</v>
      </c>
      <c r="AA1020" s="4">
        <v>22</v>
      </c>
      <c r="AB1020" s="4">
        <v>1</v>
      </c>
      <c r="AC1020" s="4">
        <v>3</v>
      </c>
      <c r="AD1020" s="4">
        <v>59</v>
      </c>
      <c r="AE1020" s="4">
        <v>81</v>
      </c>
      <c r="AF1020" s="4">
        <v>0</v>
      </c>
      <c r="AG1020" s="4">
        <v>1</v>
      </c>
      <c r="AH1020" s="4">
        <v>53</v>
      </c>
      <c r="AI1020" s="4">
        <v>72</v>
      </c>
      <c r="AJ1020" s="4">
        <v>7</v>
      </c>
      <c r="AK1020" s="4">
        <v>13</v>
      </c>
      <c r="AL1020" s="4">
        <v>31</v>
      </c>
      <c r="AM1020" s="4">
        <v>40</v>
      </c>
      <c r="AN1020" s="4">
        <v>0</v>
      </c>
      <c r="AO1020" s="4">
        <v>0</v>
      </c>
      <c r="AP1020" s="4">
        <v>9</v>
      </c>
      <c r="AQ1020" s="4">
        <v>14</v>
      </c>
      <c r="AR1020" s="3" t="s">
        <v>64</v>
      </c>
      <c r="AS1020" s="3" t="s">
        <v>64</v>
      </c>
      <c r="AT1020" s="3" t="s">
        <v>128</v>
      </c>
      <c r="AU1020" s="6" t="str">
        <f>HYPERLINK("http://catalog.hathitrust.org/Record/001161817","HathiTrust Record")</f>
        <v>HathiTrust Record</v>
      </c>
      <c r="AV1020" s="6" t="str">
        <f>HYPERLINK("http://mcgill.on.worldcat.org/oclc/574443","Catalog Record")</f>
        <v>Catalog Record</v>
      </c>
      <c r="AW1020" s="6" t="str">
        <f>HYPERLINK("http://www.worldcat.org/oclc/574443","WorldCat Record")</f>
        <v>WorldCat Record</v>
      </c>
      <c r="AX1020" s="3" t="s">
        <v>10117</v>
      </c>
      <c r="AY1020" s="3" t="s">
        <v>10118</v>
      </c>
      <c r="AZ1020" s="3" t="s">
        <v>10119</v>
      </c>
      <c r="BA1020" s="3" t="s">
        <v>10119</v>
      </c>
      <c r="BB1020" s="3" t="s">
        <v>10120</v>
      </c>
      <c r="BC1020" s="3" t="s">
        <v>77</v>
      </c>
      <c r="BD1020" s="3" t="s">
        <v>78</v>
      </c>
      <c r="BF1020" s="3" t="s">
        <v>10120</v>
      </c>
      <c r="BG1020" s="3" t="s">
        <v>10121</v>
      </c>
      <c r="BH1020">
        <f t="shared" si="29"/>
        <v>0</v>
      </c>
    </row>
    <row r="1021" spans="1:60" ht="58" x14ac:dyDescent="0.35">
      <c r="A1021" s="2" t="s">
        <v>59</v>
      </c>
      <c r="B1021" s="2" t="s">
        <v>60</v>
      </c>
      <c r="C1021" s="2" t="s">
        <v>10122</v>
      </c>
      <c r="D1021" s="2" t="s">
        <v>10123</v>
      </c>
      <c r="E1021" s="2" t="s">
        <v>10124</v>
      </c>
      <c r="G1021" s="3" t="s">
        <v>64</v>
      </c>
      <c r="I1021" s="3" t="s">
        <v>64</v>
      </c>
      <c r="J1021" s="3" t="s">
        <v>64</v>
      </c>
      <c r="K1021" s="3" t="s">
        <v>65</v>
      </c>
      <c r="L1021" s="2" t="s">
        <v>10125</v>
      </c>
      <c r="M1021" s="2" t="s">
        <v>10126</v>
      </c>
      <c r="N1021" s="3" t="s">
        <v>768</v>
      </c>
      <c r="P1021" s="3" t="s">
        <v>102</v>
      </c>
      <c r="R1021" s="3" t="s">
        <v>70</v>
      </c>
      <c r="S1021" s="4">
        <v>2</v>
      </c>
      <c r="T1021" s="4">
        <v>2</v>
      </c>
      <c r="U1021" s="5" t="s">
        <v>10127</v>
      </c>
      <c r="V1021" s="5" t="s">
        <v>10127</v>
      </c>
      <c r="W1021" s="5" t="s">
        <v>72</v>
      </c>
      <c r="X1021" s="5" t="s">
        <v>72</v>
      </c>
      <c r="Y1021" s="4">
        <v>413</v>
      </c>
      <c r="Z1021" s="4">
        <v>27</v>
      </c>
      <c r="AA1021" s="4">
        <v>34</v>
      </c>
      <c r="AB1021" s="4">
        <v>2</v>
      </c>
      <c r="AC1021" s="4">
        <v>6</v>
      </c>
      <c r="AD1021" s="4">
        <v>106</v>
      </c>
      <c r="AE1021" s="4">
        <v>110</v>
      </c>
      <c r="AF1021" s="4">
        <v>1</v>
      </c>
      <c r="AG1021" s="4">
        <v>3</v>
      </c>
      <c r="AH1021" s="4">
        <v>92</v>
      </c>
      <c r="AI1021" s="4">
        <v>95</v>
      </c>
      <c r="AJ1021" s="4">
        <v>17</v>
      </c>
      <c r="AK1021" s="4">
        <v>19</v>
      </c>
      <c r="AL1021" s="4">
        <v>53</v>
      </c>
      <c r="AM1021" s="4">
        <v>55</v>
      </c>
      <c r="AN1021" s="4">
        <v>0</v>
      </c>
      <c r="AO1021" s="4">
        <v>0</v>
      </c>
      <c r="AP1021" s="4">
        <v>20</v>
      </c>
      <c r="AQ1021" s="4">
        <v>21</v>
      </c>
      <c r="AR1021" s="3" t="s">
        <v>64</v>
      </c>
      <c r="AS1021" s="3" t="s">
        <v>64</v>
      </c>
      <c r="AT1021" s="3" t="s">
        <v>64</v>
      </c>
      <c r="AV1021" s="6" t="str">
        <f>HYPERLINK("http://mcgill.on.worldcat.org/oclc/4002396","Catalog Record")</f>
        <v>Catalog Record</v>
      </c>
      <c r="AW1021" s="6" t="str">
        <f>HYPERLINK("http://www.worldcat.org/oclc/4002396","WorldCat Record")</f>
        <v>WorldCat Record</v>
      </c>
      <c r="AX1021" s="3" t="s">
        <v>10128</v>
      </c>
      <c r="AY1021" s="3" t="s">
        <v>10129</v>
      </c>
      <c r="AZ1021" s="3" t="s">
        <v>10130</v>
      </c>
      <c r="BA1021" s="3" t="s">
        <v>10130</v>
      </c>
      <c r="BB1021" s="3" t="s">
        <v>10131</v>
      </c>
      <c r="BC1021" s="3" t="s">
        <v>77</v>
      </c>
      <c r="BD1021" s="3" t="s">
        <v>78</v>
      </c>
      <c r="BE1021" s="3" t="s">
        <v>10132</v>
      </c>
      <c r="BF1021" s="3" t="s">
        <v>10131</v>
      </c>
      <c r="BG1021" s="3" t="s">
        <v>10133</v>
      </c>
      <c r="BH1021">
        <f t="shared" si="29"/>
        <v>0</v>
      </c>
    </row>
    <row r="1022" spans="1:60" ht="58" x14ac:dyDescent="0.35">
      <c r="A1022" s="2" t="s">
        <v>59</v>
      </c>
      <c r="B1022" s="2" t="s">
        <v>60</v>
      </c>
      <c r="C1022" s="2" t="s">
        <v>10134</v>
      </c>
      <c r="D1022" s="2" t="s">
        <v>10135</v>
      </c>
      <c r="E1022" s="2" t="s">
        <v>10136</v>
      </c>
      <c r="G1022" s="3" t="s">
        <v>64</v>
      </c>
      <c r="I1022" s="3" t="s">
        <v>128</v>
      </c>
      <c r="J1022" s="3" t="s">
        <v>64</v>
      </c>
      <c r="K1022" s="3" t="s">
        <v>65</v>
      </c>
      <c r="L1022" s="2" t="s">
        <v>10137</v>
      </c>
      <c r="M1022" s="2" t="s">
        <v>10138</v>
      </c>
      <c r="N1022" s="3" t="s">
        <v>5262</v>
      </c>
      <c r="P1022" s="3" t="s">
        <v>102</v>
      </c>
      <c r="R1022" s="3" t="s">
        <v>70</v>
      </c>
      <c r="S1022" s="4">
        <v>3</v>
      </c>
      <c r="T1022" s="4">
        <v>3</v>
      </c>
      <c r="U1022" s="5" t="s">
        <v>10139</v>
      </c>
      <c r="V1022" s="5" t="s">
        <v>10139</v>
      </c>
      <c r="W1022" s="5" t="s">
        <v>72</v>
      </c>
      <c r="X1022" s="5" t="s">
        <v>72</v>
      </c>
      <c r="Y1022" s="4">
        <v>376</v>
      </c>
      <c r="Z1022" s="4">
        <v>29</v>
      </c>
      <c r="AA1022" s="4">
        <v>32</v>
      </c>
      <c r="AB1022" s="4">
        <v>4</v>
      </c>
      <c r="AC1022" s="4">
        <v>6</v>
      </c>
      <c r="AD1022" s="4">
        <v>111</v>
      </c>
      <c r="AE1022" s="4">
        <v>112</v>
      </c>
      <c r="AF1022" s="4">
        <v>2</v>
      </c>
      <c r="AG1022" s="4">
        <v>3</v>
      </c>
      <c r="AH1022" s="4">
        <v>97</v>
      </c>
      <c r="AI1022" s="4">
        <v>97</v>
      </c>
      <c r="AJ1022" s="4">
        <v>18</v>
      </c>
      <c r="AK1022" s="4">
        <v>19</v>
      </c>
      <c r="AL1022" s="4">
        <v>53</v>
      </c>
      <c r="AM1022" s="4">
        <v>53</v>
      </c>
      <c r="AN1022" s="4">
        <v>0</v>
      </c>
      <c r="AO1022" s="4">
        <v>0</v>
      </c>
      <c r="AP1022" s="4">
        <v>21</v>
      </c>
      <c r="AQ1022" s="4">
        <v>21</v>
      </c>
      <c r="AR1022" s="3" t="s">
        <v>64</v>
      </c>
      <c r="AS1022" s="3" t="s">
        <v>64</v>
      </c>
      <c r="AT1022" s="3" t="s">
        <v>128</v>
      </c>
      <c r="AU1022" s="6" t="str">
        <f>HYPERLINK("http://catalog.hathitrust.org/Record/001161818","HathiTrust Record")</f>
        <v>HathiTrust Record</v>
      </c>
      <c r="AV1022" s="6" t="str">
        <f>HYPERLINK("http://mcgill.on.worldcat.org/oclc/573791","Catalog Record")</f>
        <v>Catalog Record</v>
      </c>
      <c r="AW1022" s="6" t="str">
        <f>HYPERLINK("http://www.worldcat.org/oclc/573791","WorldCat Record")</f>
        <v>WorldCat Record</v>
      </c>
      <c r="AX1022" s="3" t="s">
        <v>10140</v>
      </c>
      <c r="AY1022" s="3" t="s">
        <v>10141</v>
      </c>
      <c r="AZ1022" s="3" t="s">
        <v>10142</v>
      </c>
      <c r="BA1022" s="3" t="s">
        <v>10142</v>
      </c>
      <c r="BB1022" s="3" t="s">
        <v>10143</v>
      </c>
      <c r="BC1022" s="3" t="s">
        <v>77</v>
      </c>
      <c r="BD1022" s="3" t="s">
        <v>78</v>
      </c>
      <c r="BF1022" s="3" t="s">
        <v>10143</v>
      </c>
      <c r="BG1022" s="3" t="s">
        <v>10144</v>
      </c>
      <c r="BH1022">
        <f t="shared" si="29"/>
        <v>0</v>
      </c>
    </row>
    <row r="1023" spans="1:60" ht="101.5" x14ac:dyDescent="0.35">
      <c r="A1023" s="2" t="s">
        <v>59</v>
      </c>
      <c r="B1023" s="2" t="s">
        <v>60</v>
      </c>
      <c r="C1023" s="2" t="s">
        <v>10145</v>
      </c>
      <c r="D1023" s="2" t="s">
        <v>10146</v>
      </c>
      <c r="E1023" s="2" t="s">
        <v>10147</v>
      </c>
      <c r="G1023" s="3" t="s">
        <v>64</v>
      </c>
      <c r="I1023" s="3" t="s">
        <v>64</v>
      </c>
      <c r="J1023" s="3" t="s">
        <v>128</v>
      </c>
      <c r="K1023" s="3" t="s">
        <v>65</v>
      </c>
      <c r="L1023" s="2" t="s">
        <v>8433</v>
      </c>
      <c r="M1023" s="2" t="s">
        <v>10148</v>
      </c>
      <c r="N1023" s="3" t="s">
        <v>4872</v>
      </c>
      <c r="P1023" s="3" t="s">
        <v>102</v>
      </c>
      <c r="R1023" s="3" t="s">
        <v>70</v>
      </c>
      <c r="S1023" s="4">
        <v>3</v>
      </c>
      <c r="T1023" s="4">
        <v>3</v>
      </c>
      <c r="U1023" s="5" t="s">
        <v>10149</v>
      </c>
      <c r="V1023" s="5" t="s">
        <v>10149</v>
      </c>
      <c r="W1023" s="5" t="s">
        <v>72</v>
      </c>
      <c r="X1023" s="5" t="s">
        <v>72</v>
      </c>
      <c r="Y1023" s="4">
        <v>4</v>
      </c>
      <c r="Z1023" s="4">
        <v>4</v>
      </c>
      <c r="AA1023" s="4">
        <v>19</v>
      </c>
      <c r="AB1023" s="4">
        <v>1</v>
      </c>
      <c r="AC1023" s="4">
        <v>2</v>
      </c>
      <c r="AD1023" s="4">
        <v>3</v>
      </c>
      <c r="AE1023" s="4">
        <v>97</v>
      </c>
      <c r="AF1023" s="4">
        <v>0</v>
      </c>
      <c r="AG1023" s="4">
        <v>1</v>
      </c>
      <c r="AH1023" s="4">
        <v>2</v>
      </c>
      <c r="AI1023" s="4">
        <v>89</v>
      </c>
      <c r="AJ1023" s="4">
        <v>3</v>
      </c>
      <c r="AK1023" s="4">
        <v>13</v>
      </c>
      <c r="AL1023" s="4">
        <v>0</v>
      </c>
      <c r="AM1023" s="4">
        <v>49</v>
      </c>
      <c r="AN1023" s="4">
        <v>0</v>
      </c>
      <c r="AO1023" s="4">
        <v>0</v>
      </c>
      <c r="AP1023" s="4">
        <v>3</v>
      </c>
      <c r="AQ1023" s="4">
        <v>12</v>
      </c>
      <c r="AR1023" s="3" t="s">
        <v>64</v>
      </c>
      <c r="AS1023" s="3" t="s">
        <v>64</v>
      </c>
      <c r="AT1023" s="3" t="s">
        <v>128</v>
      </c>
      <c r="AU1023" s="6" t="str">
        <f>HYPERLINK("http://catalog.hathitrust.org/Record/001168950","HathiTrust Record")</f>
        <v>HathiTrust Record</v>
      </c>
      <c r="AV1023" s="6" t="str">
        <f>HYPERLINK("http://mcgill.on.worldcat.org/oclc/320968042","Catalog Record")</f>
        <v>Catalog Record</v>
      </c>
      <c r="AW1023" s="6" t="str">
        <f>HYPERLINK("http://www.worldcat.org/oclc/320968042","WorldCat Record")</f>
        <v>WorldCat Record</v>
      </c>
      <c r="AX1023" s="3" t="s">
        <v>10150</v>
      </c>
      <c r="AY1023" s="3" t="s">
        <v>10151</v>
      </c>
      <c r="AZ1023" s="3" t="s">
        <v>10152</v>
      </c>
      <c r="BA1023" s="3" t="s">
        <v>10152</v>
      </c>
      <c r="BB1023" s="3" t="s">
        <v>10153</v>
      </c>
      <c r="BC1023" s="3" t="s">
        <v>77</v>
      </c>
      <c r="BD1023" s="3" t="s">
        <v>78</v>
      </c>
      <c r="BF1023" s="3" t="s">
        <v>10153</v>
      </c>
      <c r="BG1023" s="3" t="s">
        <v>10154</v>
      </c>
      <c r="BH1023">
        <f t="shared" si="29"/>
        <v>0</v>
      </c>
    </row>
    <row r="1024" spans="1:60" ht="58" x14ac:dyDescent="0.35">
      <c r="A1024" s="2" t="s">
        <v>59</v>
      </c>
      <c r="B1024" s="2" t="s">
        <v>60</v>
      </c>
      <c r="C1024" s="2" t="s">
        <v>10155</v>
      </c>
      <c r="D1024" s="2" t="s">
        <v>10156</v>
      </c>
      <c r="E1024" s="2" t="s">
        <v>10157</v>
      </c>
      <c r="G1024" s="3" t="s">
        <v>64</v>
      </c>
      <c r="I1024" s="3" t="s">
        <v>128</v>
      </c>
      <c r="J1024" s="3" t="s">
        <v>64</v>
      </c>
      <c r="K1024" s="3" t="s">
        <v>65</v>
      </c>
      <c r="L1024" s="2" t="s">
        <v>10158</v>
      </c>
      <c r="M1024" s="2" t="s">
        <v>10159</v>
      </c>
      <c r="N1024" s="3" t="s">
        <v>364</v>
      </c>
      <c r="P1024" s="3" t="s">
        <v>102</v>
      </c>
      <c r="Q1024" s="2" t="s">
        <v>7076</v>
      </c>
      <c r="R1024" s="3" t="s">
        <v>70</v>
      </c>
      <c r="S1024" s="4">
        <v>10</v>
      </c>
      <c r="T1024" s="4">
        <v>10</v>
      </c>
      <c r="U1024" s="5" t="s">
        <v>2725</v>
      </c>
      <c r="V1024" s="5" t="s">
        <v>2725</v>
      </c>
      <c r="W1024" s="5" t="s">
        <v>72</v>
      </c>
      <c r="X1024" s="5" t="s">
        <v>72</v>
      </c>
      <c r="Y1024" s="4">
        <v>369</v>
      </c>
      <c r="Z1024" s="4">
        <v>28</v>
      </c>
      <c r="AA1024" s="4">
        <v>32</v>
      </c>
      <c r="AB1024" s="4">
        <v>1</v>
      </c>
      <c r="AC1024" s="4">
        <v>3</v>
      </c>
      <c r="AD1024" s="4">
        <v>103</v>
      </c>
      <c r="AE1024" s="4">
        <v>106</v>
      </c>
      <c r="AF1024" s="4">
        <v>0</v>
      </c>
      <c r="AG1024" s="4">
        <v>2</v>
      </c>
      <c r="AH1024" s="4">
        <v>90</v>
      </c>
      <c r="AI1024" s="4">
        <v>92</v>
      </c>
      <c r="AJ1024" s="4">
        <v>17</v>
      </c>
      <c r="AK1024" s="4">
        <v>20</v>
      </c>
      <c r="AL1024" s="4">
        <v>48</v>
      </c>
      <c r="AM1024" s="4">
        <v>48</v>
      </c>
      <c r="AN1024" s="4">
        <v>0</v>
      </c>
      <c r="AO1024" s="4">
        <v>0</v>
      </c>
      <c r="AP1024" s="4">
        <v>19</v>
      </c>
      <c r="AQ1024" s="4">
        <v>21</v>
      </c>
      <c r="AR1024" s="3" t="s">
        <v>64</v>
      </c>
      <c r="AS1024" s="3" t="s">
        <v>64</v>
      </c>
      <c r="AT1024" s="3" t="s">
        <v>128</v>
      </c>
      <c r="AU1024" s="6" t="str">
        <f>HYPERLINK("http://catalog.hathitrust.org/Record/001161819","HathiTrust Record")</f>
        <v>HathiTrust Record</v>
      </c>
      <c r="AV1024" s="6" t="str">
        <f>HYPERLINK("http://mcgill.on.worldcat.org/oclc/741667","Catalog Record")</f>
        <v>Catalog Record</v>
      </c>
      <c r="AW1024" s="6" t="str">
        <f>HYPERLINK("http://www.worldcat.org/oclc/741667","WorldCat Record")</f>
        <v>WorldCat Record</v>
      </c>
      <c r="AX1024" s="3" t="s">
        <v>10160</v>
      </c>
      <c r="AY1024" s="3" t="s">
        <v>10161</v>
      </c>
      <c r="AZ1024" s="3" t="s">
        <v>10162</v>
      </c>
      <c r="BA1024" s="3" t="s">
        <v>10162</v>
      </c>
      <c r="BB1024" s="3" t="s">
        <v>10163</v>
      </c>
      <c r="BC1024" s="3" t="s">
        <v>77</v>
      </c>
      <c r="BD1024" s="3" t="s">
        <v>78</v>
      </c>
      <c r="BE1024" s="3" t="s">
        <v>10164</v>
      </c>
      <c r="BF1024" s="3" t="s">
        <v>10163</v>
      </c>
      <c r="BG1024" s="3" t="s">
        <v>10165</v>
      </c>
      <c r="BH1024">
        <f t="shared" si="29"/>
        <v>0</v>
      </c>
    </row>
    <row r="1025" spans="1:60" ht="58" x14ac:dyDescent="0.35">
      <c r="A1025" s="2" t="s">
        <v>59</v>
      </c>
      <c r="B1025" s="2" t="s">
        <v>60</v>
      </c>
      <c r="C1025" s="2" t="s">
        <v>10166</v>
      </c>
      <c r="D1025" s="2" t="s">
        <v>10167</v>
      </c>
      <c r="E1025" s="2" t="s">
        <v>10168</v>
      </c>
      <c r="G1025" s="3" t="s">
        <v>64</v>
      </c>
      <c r="I1025" s="3" t="s">
        <v>64</v>
      </c>
      <c r="J1025" s="3" t="s">
        <v>64</v>
      </c>
      <c r="K1025" s="3" t="s">
        <v>65</v>
      </c>
      <c r="L1025" s="2" t="s">
        <v>10169</v>
      </c>
      <c r="M1025" s="2" t="s">
        <v>10170</v>
      </c>
      <c r="N1025" s="3" t="s">
        <v>253</v>
      </c>
      <c r="P1025" s="3" t="s">
        <v>102</v>
      </c>
      <c r="R1025" s="3" t="s">
        <v>70</v>
      </c>
      <c r="S1025" s="4">
        <v>0</v>
      </c>
      <c r="T1025" s="4">
        <v>0</v>
      </c>
      <c r="W1025" s="5" t="s">
        <v>72</v>
      </c>
      <c r="X1025" s="5" t="s">
        <v>72</v>
      </c>
      <c r="Y1025" s="4">
        <v>70</v>
      </c>
      <c r="Z1025" s="4">
        <v>8</v>
      </c>
      <c r="AA1025" s="4">
        <v>8</v>
      </c>
      <c r="AB1025" s="4">
        <v>1</v>
      </c>
      <c r="AC1025" s="4">
        <v>1</v>
      </c>
      <c r="AD1025" s="4">
        <v>32</v>
      </c>
      <c r="AE1025" s="4">
        <v>32</v>
      </c>
      <c r="AF1025" s="4">
        <v>0</v>
      </c>
      <c r="AG1025" s="4">
        <v>0</v>
      </c>
      <c r="AH1025" s="4">
        <v>29</v>
      </c>
      <c r="AI1025" s="4">
        <v>29</v>
      </c>
      <c r="AJ1025" s="4">
        <v>5</v>
      </c>
      <c r="AK1025" s="4">
        <v>5</v>
      </c>
      <c r="AL1025" s="4">
        <v>19</v>
      </c>
      <c r="AM1025" s="4">
        <v>19</v>
      </c>
      <c r="AN1025" s="4">
        <v>0</v>
      </c>
      <c r="AO1025" s="4">
        <v>0</v>
      </c>
      <c r="AP1025" s="4">
        <v>5</v>
      </c>
      <c r="AQ1025" s="4">
        <v>5</v>
      </c>
      <c r="AR1025" s="3" t="s">
        <v>64</v>
      </c>
      <c r="AS1025" s="3" t="s">
        <v>64</v>
      </c>
      <c r="AT1025" s="3" t="s">
        <v>64</v>
      </c>
      <c r="AV1025" s="6" t="str">
        <f>HYPERLINK("http://mcgill.on.worldcat.org/oclc/905840665","Catalog Record")</f>
        <v>Catalog Record</v>
      </c>
      <c r="AW1025" s="6" t="str">
        <f>HYPERLINK("http://www.worldcat.org/oclc/905840665","WorldCat Record")</f>
        <v>WorldCat Record</v>
      </c>
      <c r="AX1025" s="3" t="s">
        <v>10171</v>
      </c>
      <c r="AY1025" s="3" t="s">
        <v>10172</v>
      </c>
      <c r="AZ1025" s="3" t="s">
        <v>10173</v>
      </c>
      <c r="BA1025" s="3" t="s">
        <v>10173</v>
      </c>
      <c r="BB1025" s="3" t="s">
        <v>10174</v>
      </c>
      <c r="BC1025" s="3" t="s">
        <v>77</v>
      </c>
      <c r="BD1025" s="3" t="s">
        <v>78</v>
      </c>
      <c r="BE1025" s="3" t="s">
        <v>10175</v>
      </c>
      <c r="BF1025" s="3" t="s">
        <v>10174</v>
      </c>
      <c r="BG1025" s="3" t="s">
        <v>10176</v>
      </c>
      <c r="BH1025">
        <f t="shared" si="29"/>
        <v>0</v>
      </c>
    </row>
    <row r="1026" spans="1:60" ht="58" x14ac:dyDescent="0.35">
      <c r="A1026" s="2" t="s">
        <v>59</v>
      </c>
      <c r="B1026" s="2" t="s">
        <v>60</v>
      </c>
      <c r="C1026" s="2" t="s">
        <v>10177</v>
      </c>
      <c r="D1026" s="2" t="s">
        <v>10178</v>
      </c>
      <c r="E1026" s="2" t="s">
        <v>10179</v>
      </c>
      <c r="G1026" s="3" t="s">
        <v>64</v>
      </c>
      <c r="I1026" s="3" t="s">
        <v>64</v>
      </c>
      <c r="J1026" s="3" t="s">
        <v>64</v>
      </c>
      <c r="K1026" s="3" t="s">
        <v>65</v>
      </c>
      <c r="L1026" s="2" t="s">
        <v>10180</v>
      </c>
      <c r="M1026" s="2" t="s">
        <v>10181</v>
      </c>
      <c r="N1026" s="3" t="s">
        <v>3761</v>
      </c>
      <c r="P1026" s="3" t="s">
        <v>102</v>
      </c>
      <c r="R1026" s="3" t="s">
        <v>70</v>
      </c>
      <c r="S1026" s="4">
        <v>9</v>
      </c>
      <c r="T1026" s="4">
        <v>9</v>
      </c>
      <c r="U1026" s="5" t="s">
        <v>10182</v>
      </c>
      <c r="V1026" s="5" t="s">
        <v>10182</v>
      </c>
      <c r="W1026" s="5" t="s">
        <v>72</v>
      </c>
      <c r="X1026" s="5" t="s">
        <v>72</v>
      </c>
      <c r="Y1026" s="4">
        <v>310</v>
      </c>
      <c r="Z1026" s="4">
        <v>33</v>
      </c>
      <c r="AA1026" s="4">
        <v>34</v>
      </c>
      <c r="AB1026" s="4">
        <v>3</v>
      </c>
      <c r="AC1026" s="4">
        <v>3</v>
      </c>
      <c r="AD1026" s="4">
        <v>103</v>
      </c>
      <c r="AE1026" s="4">
        <v>106</v>
      </c>
      <c r="AF1026" s="4">
        <v>1</v>
      </c>
      <c r="AG1026" s="4">
        <v>1</v>
      </c>
      <c r="AH1026" s="4">
        <v>88</v>
      </c>
      <c r="AI1026" s="4">
        <v>90</v>
      </c>
      <c r="AJ1026" s="4">
        <v>22</v>
      </c>
      <c r="AK1026" s="4">
        <v>22</v>
      </c>
      <c r="AL1026" s="4">
        <v>50</v>
      </c>
      <c r="AM1026" s="4">
        <v>51</v>
      </c>
      <c r="AN1026" s="4">
        <v>0</v>
      </c>
      <c r="AO1026" s="4">
        <v>0</v>
      </c>
      <c r="AP1026" s="4">
        <v>23</v>
      </c>
      <c r="AQ1026" s="4">
        <v>24</v>
      </c>
      <c r="AR1026" s="3" t="s">
        <v>64</v>
      </c>
      <c r="AS1026" s="3" t="s">
        <v>64</v>
      </c>
      <c r="AT1026" s="3" t="s">
        <v>128</v>
      </c>
      <c r="AU1026" s="6" t="str">
        <f>HYPERLINK("http://catalog.hathitrust.org/Record/001161826","HathiTrust Record")</f>
        <v>HathiTrust Record</v>
      </c>
      <c r="AV1026" s="6" t="str">
        <f>HYPERLINK("http://mcgill.on.worldcat.org/oclc/946918","Catalog Record")</f>
        <v>Catalog Record</v>
      </c>
      <c r="AW1026" s="6" t="str">
        <f>HYPERLINK("http://www.worldcat.org/oclc/946918","WorldCat Record")</f>
        <v>WorldCat Record</v>
      </c>
      <c r="AX1026" s="3" t="s">
        <v>10183</v>
      </c>
      <c r="AY1026" s="3" t="s">
        <v>10184</v>
      </c>
      <c r="AZ1026" s="3" t="s">
        <v>10185</v>
      </c>
      <c r="BA1026" s="3" t="s">
        <v>10185</v>
      </c>
      <c r="BB1026" s="3" t="s">
        <v>10186</v>
      </c>
      <c r="BC1026" s="3" t="s">
        <v>77</v>
      </c>
      <c r="BD1026" s="3" t="s">
        <v>78</v>
      </c>
      <c r="BF1026" s="3" t="s">
        <v>10186</v>
      </c>
      <c r="BG1026" s="3" t="s">
        <v>10187</v>
      </c>
      <c r="BH1026">
        <f t="shared" ref="BH1026:BH1089" si="33">IF(COUNTIF($BF$1:$BF$5431,BF1026)=1,0,1)</f>
        <v>0</v>
      </c>
    </row>
    <row r="1027" spans="1:60" ht="58" x14ac:dyDescent="0.35">
      <c r="A1027" s="2" t="s">
        <v>59</v>
      </c>
      <c r="B1027" s="2" t="s">
        <v>60</v>
      </c>
      <c r="C1027" s="2" t="s">
        <v>10188</v>
      </c>
      <c r="D1027" s="2" t="s">
        <v>10189</v>
      </c>
      <c r="E1027" s="2" t="s">
        <v>10190</v>
      </c>
      <c r="G1027" s="3" t="s">
        <v>64</v>
      </c>
      <c r="I1027" s="3" t="s">
        <v>64</v>
      </c>
      <c r="J1027" s="3" t="s">
        <v>64</v>
      </c>
      <c r="K1027" s="3" t="s">
        <v>65</v>
      </c>
      <c r="L1027" s="2" t="s">
        <v>10191</v>
      </c>
      <c r="M1027" s="2" t="s">
        <v>10192</v>
      </c>
      <c r="N1027" s="3" t="s">
        <v>3584</v>
      </c>
      <c r="P1027" s="3" t="s">
        <v>102</v>
      </c>
      <c r="R1027" s="3" t="s">
        <v>70</v>
      </c>
      <c r="S1027" s="4">
        <v>3</v>
      </c>
      <c r="T1027" s="4">
        <v>3</v>
      </c>
      <c r="U1027" s="5" t="s">
        <v>10182</v>
      </c>
      <c r="V1027" s="5" t="s">
        <v>10182</v>
      </c>
      <c r="W1027" s="5" t="s">
        <v>72</v>
      </c>
      <c r="X1027" s="5" t="s">
        <v>72</v>
      </c>
      <c r="Y1027" s="4">
        <v>96</v>
      </c>
      <c r="Z1027" s="4">
        <v>10</v>
      </c>
      <c r="AA1027" s="4">
        <v>13</v>
      </c>
      <c r="AB1027" s="4">
        <v>1</v>
      </c>
      <c r="AC1027" s="4">
        <v>1</v>
      </c>
      <c r="AD1027" s="4">
        <v>56</v>
      </c>
      <c r="AE1027" s="4">
        <v>65</v>
      </c>
      <c r="AF1027" s="4">
        <v>0</v>
      </c>
      <c r="AG1027" s="4">
        <v>0</v>
      </c>
      <c r="AH1027" s="4">
        <v>49</v>
      </c>
      <c r="AI1027" s="4">
        <v>57</v>
      </c>
      <c r="AJ1027" s="4">
        <v>6</v>
      </c>
      <c r="AK1027" s="4">
        <v>8</v>
      </c>
      <c r="AL1027" s="4">
        <v>31</v>
      </c>
      <c r="AM1027" s="4">
        <v>34</v>
      </c>
      <c r="AN1027" s="4">
        <v>3</v>
      </c>
      <c r="AO1027" s="4">
        <v>3</v>
      </c>
      <c r="AP1027" s="4">
        <v>7</v>
      </c>
      <c r="AQ1027" s="4">
        <v>10</v>
      </c>
      <c r="AR1027" s="3" t="s">
        <v>64</v>
      </c>
      <c r="AS1027" s="3" t="s">
        <v>64</v>
      </c>
      <c r="AT1027" s="3" t="s">
        <v>128</v>
      </c>
      <c r="AU1027" s="6" t="str">
        <f>HYPERLINK("http://catalog.hathitrust.org/Record/000258995","HathiTrust Record")</f>
        <v>HathiTrust Record</v>
      </c>
      <c r="AV1027" s="6" t="str">
        <f>HYPERLINK("http://mcgill.on.worldcat.org/oclc/4591270","Catalog Record")</f>
        <v>Catalog Record</v>
      </c>
      <c r="AW1027" s="6" t="str">
        <f>HYPERLINK("http://www.worldcat.org/oclc/4591270","WorldCat Record")</f>
        <v>WorldCat Record</v>
      </c>
      <c r="AX1027" s="3" t="s">
        <v>10193</v>
      </c>
      <c r="AY1027" s="3" t="s">
        <v>10194</v>
      </c>
      <c r="AZ1027" s="3" t="s">
        <v>10195</v>
      </c>
      <c r="BA1027" s="3" t="s">
        <v>10195</v>
      </c>
      <c r="BB1027" s="3" t="s">
        <v>10196</v>
      </c>
      <c r="BC1027" s="3" t="s">
        <v>77</v>
      </c>
      <c r="BD1027" s="3" t="s">
        <v>78</v>
      </c>
      <c r="BE1027" s="3" t="s">
        <v>10197</v>
      </c>
      <c r="BF1027" s="3" t="s">
        <v>10196</v>
      </c>
      <c r="BG1027" s="3" t="s">
        <v>10198</v>
      </c>
      <c r="BH1027">
        <f t="shared" si="33"/>
        <v>0</v>
      </c>
    </row>
    <row r="1028" spans="1:60" ht="58" x14ac:dyDescent="0.35">
      <c r="A1028" s="2" t="s">
        <v>59</v>
      </c>
      <c r="B1028" s="2" t="s">
        <v>60</v>
      </c>
      <c r="C1028" s="2" t="s">
        <v>10199</v>
      </c>
      <c r="D1028" s="2" t="s">
        <v>10200</v>
      </c>
      <c r="E1028" s="2" t="s">
        <v>10201</v>
      </c>
      <c r="G1028" s="3" t="s">
        <v>64</v>
      </c>
      <c r="I1028" s="3" t="s">
        <v>64</v>
      </c>
      <c r="J1028" s="3" t="s">
        <v>64</v>
      </c>
      <c r="K1028" s="3" t="s">
        <v>65</v>
      </c>
      <c r="M1028" s="2" t="s">
        <v>564</v>
      </c>
      <c r="N1028" s="3" t="s">
        <v>171</v>
      </c>
      <c r="P1028" s="3" t="s">
        <v>102</v>
      </c>
      <c r="Q1028" s="2" t="s">
        <v>565</v>
      </c>
      <c r="R1028" s="3" t="s">
        <v>70</v>
      </c>
      <c r="S1028" s="4">
        <v>8</v>
      </c>
      <c r="T1028" s="4">
        <v>8</v>
      </c>
      <c r="U1028" s="5" t="s">
        <v>10202</v>
      </c>
      <c r="V1028" s="5" t="s">
        <v>10202</v>
      </c>
      <c r="W1028" s="5" t="s">
        <v>72</v>
      </c>
      <c r="X1028" s="5" t="s">
        <v>72</v>
      </c>
      <c r="Y1028" s="4">
        <v>197</v>
      </c>
      <c r="Z1028" s="4">
        <v>35</v>
      </c>
      <c r="AA1028" s="4">
        <v>66</v>
      </c>
      <c r="AB1028" s="4">
        <v>2</v>
      </c>
      <c r="AC1028" s="4">
        <v>8</v>
      </c>
      <c r="AD1028" s="4">
        <v>95</v>
      </c>
      <c r="AE1028" s="4">
        <v>116</v>
      </c>
      <c r="AF1028" s="4">
        <v>0</v>
      </c>
      <c r="AG1028" s="4">
        <v>2</v>
      </c>
      <c r="AH1028" s="4">
        <v>75</v>
      </c>
      <c r="AI1028" s="4">
        <v>85</v>
      </c>
      <c r="AJ1028" s="4">
        <v>21</v>
      </c>
      <c r="AK1028" s="4">
        <v>24</v>
      </c>
      <c r="AL1028" s="4">
        <v>44</v>
      </c>
      <c r="AM1028" s="4">
        <v>49</v>
      </c>
      <c r="AN1028" s="4">
        <v>0</v>
      </c>
      <c r="AO1028" s="4">
        <v>0</v>
      </c>
      <c r="AP1028" s="4">
        <v>27</v>
      </c>
      <c r="AQ1028" s="4">
        <v>38</v>
      </c>
      <c r="AR1028" s="3" t="s">
        <v>128</v>
      </c>
      <c r="AS1028" s="3" t="s">
        <v>64</v>
      </c>
      <c r="AT1028" s="3" t="s">
        <v>64</v>
      </c>
      <c r="AV1028" s="6" t="str">
        <f>HYPERLINK("http://mcgill.on.worldcat.org/oclc/69785584","Catalog Record")</f>
        <v>Catalog Record</v>
      </c>
      <c r="AW1028" s="6" t="str">
        <f>HYPERLINK("http://www.worldcat.org/oclc/69785584","WorldCat Record")</f>
        <v>WorldCat Record</v>
      </c>
      <c r="AX1028" s="3" t="s">
        <v>10203</v>
      </c>
      <c r="AY1028" s="3" t="s">
        <v>10204</v>
      </c>
      <c r="AZ1028" s="3" t="s">
        <v>10205</v>
      </c>
      <c r="BA1028" s="3" t="s">
        <v>10205</v>
      </c>
      <c r="BB1028" s="3" t="s">
        <v>10206</v>
      </c>
      <c r="BC1028" s="3" t="s">
        <v>77</v>
      </c>
      <c r="BD1028" s="3" t="s">
        <v>78</v>
      </c>
      <c r="BE1028" s="3" t="s">
        <v>10207</v>
      </c>
      <c r="BF1028" s="3" t="s">
        <v>10206</v>
      </c>
      <c r="BG1028" s="3" t="s">
        <v>10208</v>
      </c>
      <c r="BH1028">
        <f t="shared" si="33"/>
        <v>0</v>
      </c>
    </row>
    <row r="1029" spans="1:60" ht="58" x14ac:dyDescent="0.35">
      <c r="A1029" s="2" t="s">
        <v>59</v>
      </c>
      <c r="B1029" s="2" t="s">
        <v>60</v>
      </c>
      <c r="C1029" s="2" t="s">
        <v>10209</v>
      </c>
      <c r="D1029" s="2" t="s">
        <v>10210</v>
      </c>
      <c r="E1029" s="2" t="s">
        <v>10211</v>
      </c>
      <c r="G1029" s="3" t="s">
        <v>64</v>
      </c>
      <c r="I1029" s="3" t="s">
        <v>64</v>
      </c>
      <c r="J1029" s="3" t="s">
        <v>64</v>
      </c>
      <c r="K1029" s="3" t="s">
        <v>65</v>
      </c>
      <c r="M1029" s="2" t="s">
        <v>10212</v>
      </c>
      <c r="N1029" s="3" t="s">
        <v>67</v>
      </c>
      <c r="O1029" s="2" t="s">
        <v>117</v>
      </c>
      <c r="P1029" s="3" t="s">
        <v>102</v>
      </c>
      <c r="Q1029" s="2" t="s">
        <v>10213</v>
      </c>
      <c r="R1029" s="3" t="s">
        <v>70</v>
      </c>
      <c r="S1029" s="4">
        <v>10</v>
      </c>
      <c r="T1029" s="4">
        <v>10</v>
      </c>
      <c r="U1029" s="5" t="s">
        <v>1375</v>
      </c>
      <c r="V1029" s="5" t="s">
        <v>1375</v>
      </c>
      <c r="W1029" s="5" t="s">
        <v>72</v>
      </c>
      <c r="X1029" s="5" t="s">
        <v>72</v>
      </c>
      <c r="Y1029" s="4">
        <v>80</v>
      </c>
      <c r="Z1029" s="4">
        <v>6</v>
      </c>
      <c r="AA1029" s="4">
        <v>11</v>
      </c>
      <c r="AB1029" s="4">
        <v>1</v>
      </c>
      <c r="AC1029" s="4">
        <v>2</v>
      </c>
      <c r="AD1029" s="4">
        <v>45</v>
      </c>
      <c r="AE1029" s="4">
        <v>49</v>
      </c>
      <c r="AF1029" s="4">
        <v>0</v>
      </c>
      <c r="AG1029" s="4">
        <v>1</v>
      </c>
      <c r="AH1029" s="4">
        <v>41</v>
      </c>
      <c r="AI1029" s="4">
        <v>44</v>
      </c>
      <c r="AJ1029" s="4">
        <v>5</v>
      </c>
      <c r="AK1029" s="4">
        <v>8</v>
      </c>
      <c r="AL1029" s="4">
        <v>28</v>
      </c>
      <c r="AM1029" s="4">
        <v>30</v>
      </c>
      <c r="AN1029" s="4">
        <v>0</v>
      </c>
      <c r="AO1029" s="4">
        <v>0</v>
      </c>
      <c r="AP1029" s="4">
        <v>5</v>
      </c>
      <c r="AQ1029" s="4">
        <v>8</v>
      </c>
      <c r="AR1029" s="3" t="s">
        <v>64</v>
      </c>
      <c r="AS1029" s="3" t="s">
        <v>64</v>
      </c>
      <c r="AT1029" s="3" t="s">
        <v>64</v>
      </c>
      <c r="AV1029" s="6" t="str">
        <f>HYPERLINK("http://mcgill.on.worldcat.org/oclc/848162233","Catalog Record")</f>
        <v>Catalog Record</v>
      </c>
      <c r="AW1029" s="6" t="str">
        <f>HYPERLINK("http://www.worldcat.org/oclc/848162233","WorldCat Record")</f>
        <v>WorldCat Record</v>
      </c>
      <c r="AX1029" s="3" t="s">
        <v>10214</v>
      </c>
      <c r="AY1029" s="3" t="s">
        <v>10215</v>
      </c>
      <c r="AZ1029" s="3" t="s">
        <v>10216</v>
      </c>
      <c r="BA1029" s="3" t="s">
        <v>10216</v>
      </c>
      <c r="BB1029" s="3" t="s">
        <v>10217</v>
      </c>
      <c r="BC1029" s="3" t="s">
        <v>77</v>
      </c>
      <c r="BD1029" s="3" t="s">
        <v>78</v>
      </c>
      <c r="BE1029" s="3" t="s">
        <v>10218</v>
      </c>
      <c r="BF1029" s="3" t="s">
        <v>10217</v>
      </c>
      <c r="BG1029" s="3" t="s">
        <v>10219</v>
      </c>
      <c r="BH1029">
        <f t="shared" si="33"/>
        <v>0</v>
      </c>
    </row>
    <row r="1030" spans="1:60" ht="58" x14ac:dyDescent="0.35">
      <c r="A1030" s="2" t="s">
        <v>59</v>
      </c>
      <c r="B1030" s="2" t="s">
        <v>60</v>
      </c>
      <c r="C1030" s="2" t="s">
        <v>10220</v>
      </c>
      <c r="D1030" s="2" t="s">
        <v>10221</v>
      </c>
      <c r="E1030" s="2" t="s">
        <v>10222</v>
      </c>
      <c r="G1030" s="3" t="s">
        <v>64</v>
      </c>
      <c r="I1030" s="3" t="s">
        <v>64</v>
      </c>
      <c r="J1030" s="3" t="s">
        <v>64</v>
      </c>
      <c r="K1030" s="3" t="s">
        <v>65</v>
      </c>
      <c r="L1030" s="2" t="s">
        <v>10223</v>
      </c>
      <c r="M1030" s="2" t="s">
        <v>10224</v>
      </c>
      <c r="N1030" s="3" t="s">
        <v>3047</v>
      </c>
      <c r="P1030" s="3" t="s">
        <v>102</v>
      </c>
      <c r="R1030" s="3" t="s">
        <v>70</v>
      </c>
      <c r="S1030" s="4">
        <v>4</v>
      </c>
      <c r="T1030" s="4">
        <v>4</v>
      </c>
      <c r="U1030" s="5" t="s">
        <v>7814</v>
      </c>
      <c r="V1030" s="5" t="s">
        <v>7814</v>
      </c>
      <c r="W1030" s="5" t="s">
        <v>72</v>
      </c>
      <c r="X1030" s="5" t="s">
        <v>72</v>
      </c>
      <c r="Y1030" s="4">
        <v>194</v>
      </c>
      <c r="Z1030" s="4">
        <v>23</v>
      </c>
      <c r="AA1030" s="4">
        <v>23</v>
      </c>
      <c r="AB1030" s="4">
        <v>4</v>
      </c>
      <c r="AC1030" s="4">
        <v>4</v>
      </c>
      <c r="AD1030" s="4">
        <v>68</v>
      </c>
      <c r="AE1030" s="4">
        <v>68</v>
      </c>
      <c r="AF1030" s="4">
        <v>1</v>
      </c>
      <c r="AG1030" s="4">
        <v>1</v>
      </c>
      <c r="AH1030" s="4">
        <v>58</v>
      </c>
      <c r="AI1030" s="4">
        <v>58</v>
      </c>
      <c r="AJ1030" s="4">
        <v>14</v>
      </c>
      <c r="AK1030" s="4">
        <v>14</v>
      </c>
      <c r="AL1030" s="4">
        <v>34</v>
      </c>
      <c r="AM1030" s="4">
        <v>34</v>
      </c>
      <c r="AN1030" s="4">
        <v>0</v>
      </c>
      <c r="AO1030" s="4">
        <v>0</v>
      </c>
      <c r="AP1030" s="4">
        <v>13</v>
      </c>
      <c r="AQ1030" s="4">
        <v>13</v>
      </c>
      <c r="AR1030" s="3" t="s">
        <v>64</v>
      </c>
      <c r="AS1030" s="3" t="s">
        <v>64</v>
      </c>
      <c r="AT1030" s="3" t="s">
        <v>64</v>
      </c>
      <c r="AV1030" s="6" t="str">
        <f>HYPERLINK("http://mcgill.on.worldcat.org/oclc/22305134","Catalog Record")</f>
        <v>Catalog Record</v>
      </c>
      <c r="AW1030" s="6" t="str">
        <f>HYPERLINK("http://www.worldcat.org/oclc/22305134","WorldCat Record")</f>
        <v>WorldCat Record</v>
      </c>
      <c r="AX1030" s="3" t="s">
        <v>10225</v>
      </c>
      <c r="AY1030" s="3" t="s">
        <v>10226</v>
      </c>
      <c r="AZ1030" s="3" t="s">
        <v>10227</v>
      </c>
      <c r="BA1030" s="3" t="s">
        <v>10227</v>
      </c>
      <c r="BB1030" s="3" t="s">
        <v>10228</v>
      </c>
      <c r="BC1030" s="3" t="s">
        <v>77</v>
      </c>
      <c r="BD1030" s="3" t="s">
        <v>78</v>
      </c>
      <c r="BE1030" s="3" t="s">
        <v>10229</v>
      </c>
      <c r="BF1030" s="3" t="s">
        <v>10228</v>
      </c>
      <c r="BG1030" s="3" t="s">
        <v>10230</v>
      </c>
      <c r="BH1030">
        <f t="shared" si="33"/>
        <v>0</v>
      </c>
    </row>
    <row r="1031" spans="1:60" ht="58" x14ac:dyDescent="0.35">
      <c r="A1031" s="2" t="s">
        <v>59</v>
      </c>
      <c r="B1031" s="2" t="s">
        <v>60</v>
      </c>
      <c r="C1031" s="2" t="s">
        <v>10231</v>
      </c>
      <c r="D1031" s="2" t="s">
        <v>10232</v>
      </c>
      <c r="E1031" s="2" t="s">
        <v>10233</v>
      </c>
      <c r="G1031" s="3" t="s">
        <v>64</v>
      </c>
      <c r="I1031" s="3" t="s">
        <v>64</v>
      </c>
      <c r="J1031" s="3" t="s">
        <v>64</v>
      </c>
      <c r="K1031" s="3" t="s">
        <v>65</v>
      </c>
      <c r="L1031" s="2" t="s">
        <v>10234</v>
      </c>
      <c r="M1031" s="2" t="s">
        <v>1527</v>
      </c>
      <c r="N1031" s="3" t="s">
        <v>537</v>
      </c>
      <c r="P1031" s="3" t="s">
        <v>102</v>
      </c>
      <c r="Q1031" s="2" t="s">
        <v>10235</v>
      </c>
      <c r="R1031" s="3" t="s">
        <v>70</v>
      </c>
      <c r="S1031" s="4">
        <v>2</v>
      </c>
      <c r="T1031" s="4">
        <v>2</v>
      </c>
      <c r="U1031" s="5" t="s">
        <v>10236</v>
      </c>
      <c r="V1031" s="5" t="s">
        <v>10236</v>
      </c>
      <c r="W1031" s="5" t="s">
        <v>72</v>
      </c>
      <c r="X1031" s="5" t="s">
        <v>72</v>
      </c>
      <c r="Y1031" s="4">
        <v>40</v>
      </c>
      <c r="Z1031" s="4">
        <v>4</v>
      </c>
      <c r="AA1031" s="4">
        <v>70</v>
      </c>
      <c r="AB1031" s="4">
        <v>1</v>
      </c>
      <c r="AC1031" s="4">
        <v>14</v>
      </c>
      <c r="AD1031" s="4">
        <v>21</v>
      </c>
      <c r="AE1031" s="4">
        <v>88</v>
      </c>
      <c r="AF1031" s="4">
        <v>0</v>
      </c>
      <c r="AG1031" s="4">
        <v>8</v>
      </c>
      <c r="AH1031" s="4">
        <v>19</v>
      </c>
      <c r="AI1031" s="4">
        <v>60</v>
      </c>
      <c r="AJ1031" s="4">
        <v>2</v>
      </c>
      <c r="AK1031" s="4">
        <v>17</v>
      </c>
      <c r="AL1031" s="4">
        <v>14</v>
      </c>
      <c r="AM1031" s="4">
        <v>30</v>
      </c>
      <c r="AN1031" s="4">
        <v>0</v>
      </c>
      <c r="AO1031" s="4">
        <v>0</v>
      </c>
      <c r="AP1031" s="4">
        <v>2</v>
      </c>
      <c r="AQ1031" s="4">
        <v>33</v>
      </c>
      <c r="AR1031" s="3" t="s">
        <v>64</v>
      </c>
      <c r="AS1031" s="3" t="s">
        <v>64</v>
      </c>
      <c r="AT1031" s="3" t="s">
        <v>64</v>
      </c>
      <c r="AV1031" s="6" t="str">
        <f>HYPERLINK("http://mcgill.on.worldcat.org/oclc/947104925","Catalog Record")</f>
        <v>Catalog Record</v>
      </c>
      <c r="AW1031" s="6" t="str">
        <f>HYPERLINK("http://www.worldcat.org/oclc/947104925","WorldCat Record")</f>
        <v>WorldCat Record</v>
      </c>
      <c r="AX1031" s="3" t="s">
        <v>10237</v>
      </c>
      <c r="AY1031" s="3" t="s">
        <v>10238</v>
      </c>
      <c r="AZ1031" s="3" t="s">
        <v>10239</v>
      </c>
      <c r="BA1031" s="3" t="s">
        <v>10239</v>
      </c>
      <c r="BB1031" s="3" t="s">
        <v>10240</v>
      </c>
      <c r="BC1031" s="3" t="s">
        <v>77</v>
      </c>
      <c r="BD1031" s="3" t="s">
        <v>165</v>
      </c>
      <c r="BE1031" s="3" t="s">
        <v>10241</v>
      </c>
      <c r="BF1031" s="3" t="s">
        <v>10240</v>
      </c>
      <c r="BG1031" s="3" t="s">
        <v>10242</v>
      </c>
      <c r="BH1031">
        <f t="shared" si="33"/>
        <v>0</v>
      </c>
    </row>
    <row r="1032" spans="1:60" ht="72.5" x14ac:dyDescent="0.35">
      <c r="A1032" s="2" t="s">
        <v>59</v>
      </c>
      <c r="B1032" s="2" t="s">
        <v>1025</v>
      </c>
      <c r="C1032" s="2" t="s">
        <v>10243</v>
      </c>
      <c r="D1032" s="2" t="s">
        <v>10244</v>
      </c>
      <c r="E1032" s="2" t="s">
        <v>10245</v>
      </c>
      <c r="G1032" s="3" t="s">
        <v>64</v>
      </c>
      <c r="I1032" s="3" t="s">
        <v>64</v>
      </c>
      <c r="J1032" s="3" t="s">
        <v>64</v>
      </c>
      <c r="K1032" s="3" t="s">
        <v>65</v>
      </c>
      <c r="L1032" s="2" t="s">
        <v>10246</v>
      </c>
      <c r="M1032" s="2" t="s">
        <v>5715</v>
      </c>
      <c r="N1032" s="3" t="s">
        <v>1061</v>
      </c>
      <c r="P1032" s="3" t="s">
        <v>102</v>
      </c>
      <c r="Q1032" s="2" t="s">
        <v>10247</v>
      </c>
      <c r="R1032" s="3" t="s">
        <v>70</v>
      </c>
      <c r="S1032" s="4">
        <v>5</v>
      </c>
      <c r="T1032" s="4">
        <v>5</v>
      </c>
      <c r="U1032" s="5" t="s">
        <v>10248</v>
      </c>
      <c r="V1032" s="5" t="s">
        <v>10248</v>
      </c>
      <c r="W1032" s="5" t="s">
        <v>72</v>
      </c>
      <c r="X1032" s="5" t="s">
        <v>72</v>
      </c>
      <c r="Y1032" s="4">
        <v>109</v>
      </c>
      <c r="Z1032" s="4">
        <v>11</v>
      </c>
      <c r="AA1032" s="4">
        <v>12</v>
      </c>
      <c r="AB1032" s="4">
        <v>4</v>
      </c>
      <c r="AC1032" s="4">
        <v>4</v>
      </c>
      <c r="AD1032" s="4">
        <v>46</v>
      </c>
      <c r="AE1032" s="4">
        <v>48</v>
      </c>
      <c r="AF1032" s="4">
        <v>2</v>
      </c>
      <c r="AG1032" s="4">
        <v>2</v>
      </c>
      <c r="AH1032" s="4">
        <v>42</v>
      </c>
      <c r="AI1032" s="4">
        <v>44</v>
      </c>
      <c r="AJ1032" s="4">
        <v>6</v>
      </c>
      <c r="AK1032" s="4">
        <v>7</v>
      </c>
      <c r="AL1032" s="4">
        <v>26</v>
      </c>
      <c r="AM1032" s="4">
        <v>27</v>
      </c>
      <c r="AN1032" s="4">
        <v>0</v>
      </c>
      <c r="AO1032" s="4">
        <v>0</v>
      </c>
      <c r="AP1032" s="4">
        <v>7</v>
      </c>
      <c r="AQ1032" s="4">
        <v>8</v>
      </c>
      <c r="AR1032" s="3" t="s">
        <v>64</v>
      </c>
      <c r="AS1032" s="3" t="s">
        <v>64</v>
      </c>
      <c r="AT1032" s="3" t="s">
        <v>128</v>
      </c>
      <c r="AU1032" s="6" t="str">
        <f>HYPERLINK("http://catalog.hathitrust.org/Record/000357596","HathiTrust Record")</f>
        <v>HathiTrust Record</v>
      </c>
      <c r="AV1032" s="6" t="str">
        <f>HYPERLINK("http://mcgill.on.worldcat.org/oclc/12049935","Catalog Record")</f>
        <v>Catalog Record</v>
      </c>
      <c r="AW1032" s="6" t="str">
        <f>HYPERLINK("http://www.worldcat.org/oclc/12049935","WorldCat Record")</f>
        <v>WorldCat Record</v>
      </c>
      <c r="AX1032" s="3" t="s">
        <v>10249</v>
      </c>
      <c r="AY1032" s="3" t="s">
        <v>10250</v>
      </c>
      <c r="AZ1032" s="3" t="s">
        <v>10251</v>
      </c>
      <c r="BA1032" s="3" t="s">
        <v>10251</v>
      </c>
      <c r="BB1032" s="3" t="s">
        <v>10252</v>
      </c>
      <c r="BC1032" s="3" t="s">
        <v>2891</v>
      </c>
      <c r="BD1032" s="3" t="s">
        <v>78</v>
      </c>
      <c r="BE1032" s="3" t="s">
        <v>10253</v>
      </c>
      <c r="BF1032" s="3" t="s">
        <v>10252</v>
      </c>
      <c r="BG1032" s="3" t="s">
        <v>10254</v>
      </c>
      <c r="BH1032">
        <f t="shared" si="33"/>
        <v>0</v>
      </c>
    </row>
    <row r="1033" spans="1:60" ht="101.5" x14ac:dyDescent="0.35">
      <c r="A1033" s="2" t="s">
        <v>59</v>
      </c>
      <c r="B1033" s="2" t="s">
        <v>60</v>
      </c>
      <c r="C1033" s="2" t="s">
        <v>10255</v>
      </c>
      <c r="D1033" s="2" t="s">
        <v>10256</v>
      </c>
      <c r="E1033" s="2" t="s">
        <v>10257</v>
      </c>
      <c r="G1033" s="3" t="s">
        <v>64</v>
      </c>
      <c r="I1033" s="3" t="s">
        <v>64</v>
      </c>
      <c r="J1033" s="3" t="s">
        <v>64</v>
      </c>
      <c r="K1033" s="3" t="s">
        <v>65</v>
      </c>
      <c r="M1033" s="2" t="s">
        <v>10258</v>
      </c>
      <c r="N1033" s="3" t="s">
        <v>537</v>
      </c>
      <c r="P1033" s="3" t="s">
        <v>102</v>
      </c>
      <c r="Q1033" s="2" t="s">
        <v>10259</v>
      </c>
      <c r="R1033" s="3" t="s">
        <v>70</v>
      </c>
      <c r="S1033" s="4">
        <v>0</v>
      </c>
      <c r="T1033" s="4">
        <v>0</v>
      </c>
      <c r="W1033" s="5" t="s">
        <v>72</v>
      </c>
      <c r="X1033" s="5" t="s">
        <v>72</v>
      </c>
      <c r="Y1033" s="4">
        <v>20</v>
      </c>
      <c r="Z1033" s="4">
        <v>1</v>
      </c>
      <c r="AA1033" s="4">
        <v>2</v>
      </c>
      <c r="AB1033" s="4">
        <v>1</v>
      </c>
      <c r="AC1033" s="4">
        <v>2</v>
      </c>
      <c r="AD1033" s="4">
        <v>9</v>
      </c>
      <c r="AE1033" s="4">
        <v>9</v>
      </c>
      <c r="AF1033" s="4">
        <v>0</v>
      </c>
      <c r="AG1033" s="4">
        <v>0</v>
      </c>
      <c r="AH1033" s="4">
        <v>8</v>
      </c>
      <c r="AI1033" s="4">
        <v>8</v>
      </c>
      <c r="AJ1033" s="4">
        <v>0</v>
      </c>
      <c r="AK1033" s="4">
        <v>0</v>
      </c>
      <c r="AL1033" s="4">
        <v>8</v>
      </c>
      <c r="AM1033" s="4">
        <v>8</v>
      </c>
      <c r="AN1033" s="4">
        <v>0</v>
      </c>
      <c r="AO1033" s="4">
        <v>0</v>
      </c>
      <c r="AP1033" s="4">
        <v>0</v>
      </c>
      <c r="AQ1033" s="4">
        <v>0</v>
      </c>
      <c r="AR1033" s="3" t="s">
        <v>64</v>
      </c>
      <c r="AS1033" s="3" t="s">
        <v>64</v>
      </c>
      <c r="AT1033" s="3" t="s">
        <v>64</v>
      </c>
      <c r="AV1033" s="6" t="str">
        <f>HYPERLINK("http://mcgill.on.worldcat.org/oclc/959659918","Catalog Record")</f>
        <v>Catalog Record</v>
      </c>
      <c r="AW1033" s="6" t="str">
        <f>HYPERLINK("http://www.worldcat.org/oclc/959659918","WorldCat Record")</f>
        <v>WorldCat Record</v>
      </c>
      <c r="AX1033" s="3" t="s">
        <v>10260</v>
      </c>
      <c r="AY1033" s="3" t="s">
        <v>10261</v>
      </c>
      <c r="AZ1033" s="3" t="s">
        <v>10262</v>
      </c>
      <c r="BA1033" s="3" t="s">
        <v>10262</v>
      </c>
      <c r="BB1033" s="3" t="s">
        <v>10263</v>
      </c>
      <c r="BC1033" s="3" t="s">
        <v>77</v>
      </c>
      <c r="BD1033" s="3" t="s">
        <v>78</v>
      </c>
      <c r="BE1033" s="3" t="s">
        <v>10264</v>
      </c>
      <c r="BF1033" s="3" t="s">
        <v>10263</v>
      </c>
      <c r="BG1033" s="3" t="s">
        <v>10265</v>
      </c>
      <c r="BH1033">
        <f t="shared" si="33"/>
        <v>0</v>
      </c>
    </row>
    <row r="1034" spans="1:60" ht="58" x14ac:dyDescent="0.35">
      <c r="A1034" s="2" t="s">
        <v>59</v>
      </c>
      <c r="B1034" s="2" t="s">
        <v>60</v>
      </c>
      <c r="C1034" s="2" t="s">
        <v>10266</v>
      </c>
      <c r="D1034" s="2" t="s">
        <v>10267</v>
      </c>
      <c r="E1034" s="2" t="s">
        <v>10268</v>
      </c>
      <c r="G1034" s="3" t="s">
        <v>64</v>
      </c>
      <c r="I1034" s="3" t="s">
        <v>64</v>
      </c>
      <c r="J1034" s="3" t="s">
        <v>64</v>
      </c>
      <c r="K1034" s="3" t="s">
        <v>65</v>
      </c>
      <c r="L1034" s="2" t="s">
        <v>10269</v>
      </c>
      <c r="M1034" s="2" t="s">
        <v>10270</v>
      </c>
      <c r="N1034" s="3" t="s">
        <v>86</v>
      </c>
      <c r="P1034" s="3" t="s">
        <v>102</v>
      </c>
      <c r="R1034" s="3" t="s">
        <v>70</v>
      </c>
      <c r="S1034" s="4">
        <v>1</v>
      </c>
      <c r="T1034" s="4">
        <v>1</v>
      </c>
      <c r="U1034" s="5" t="s">
        <v>10271</v>
      </c>
      <c r="V1034" s="5" t="s">
        <v>10271</v>
      </c>
      <c r="W1034" s="5" t="s">
        <v>72</v>
      </c>
      <c r="X1034" s="5" t="s">
        <v>72</v>
      </c>
      <c r="Y1034" s="4">
        <v>187</v>
      </c>
      <c r="Z1034" s="4">
        <v>16</v>
      </c>
      <c r="AA1034" s="4">
        <v>101</v>
      </c>
      <c r="AB1034" s="4">
        <v>2</v>
      </c>
      <c r="AC1034" s="4">
        <v>15</v>
      </c>
      <c r="AD1034" s="4">
        <v>66</v>
      </c>
      <c r="AE1034" s="4">
        <v>118</v>
      </c>
      <c r="AF1034" s="4">
        <v>0</v>
      </c>
      <c r="AG1034" s="4">
        <v>8</v>
      </c>
      <c r="AH1034" s="4">
        <v>62</v>
      </c>
      <c r="AI1034" s="4">
        <v>82</v>
      </c>
      <c r="AJ1034" s="4">
        <v>10</v>
      </c>
      <c r="AK1034" s="4">
        <v>22</v>
      </c>
      <c r="AL1034" s="4">
        <v>38</v>
      </c>
      <c r="AM1034" s="4">
        <v>47</v>
      </c>
      <c r="AN1034" s="4">
        <v>0</v>
      </c>
      <c r="AO1034" s="4">
        <v>0</v>
      </c>
      <c r="AP1034" s="4">
        <v>10</v>
      </c>
      <c r="AQ1034" s="4">
        <v>43</v>
      </c>
      <c r="AR1034" s="3" t="s">
        <v>64</v>
      </c>
      <c r="AS1034" s="3" t="s">
        <v>64</v>
      </c>
      <c r="AT1034" s="3" t="s">
        <v>64</v>
      </c>
      <c r="AV1034" s="6" t="str">
        <f>HYPERLINK("http://mcgill.on.worldcat.org/oclc/741937777","Catalog Record")</f>
        <v>Catalog Record</v>
      </c>
      <c r="AW1034" s="6" t="str">
        <f>HYPERLINK("http://www.worldcat.org/oclc/741937777","WorldCat Record")</f>
        <v>WorldCat Record</v>
      </c>
      <c r="AX1034" s="3" t="s">
        <v>10272</v>
      </c>
      <c r="AY1034" s="3" t="s">
        <v>10273</v>
      </c>
      <c r="AZ1034" s="3" t="s">
        <v>10274</v>
      </c>
      <c r="BA1034" s="3" t="s">
        <v>10274</v>
      </c>
      <c r="BB1034" s="3" t="s">
        <v>10275</v>
      </c>
      <c r="BC1034" s="3" t="s">
        <v>77</v>
      </c>
      <c r="BD1034" s="3" t="s">
        <v>78</v>
      </c>
      <c r="BE1034" s="3" t="s">
        <v>10276</v>
      </c>
      <c r="BF1034" s="3" t="s">
        <v>10275</v>
      </c>
      <c r="BG1034" s="3" t="s">
        <v>10277</v>
      </c>
      <c r="BH1034">
        <f t="shared" si="33"/>
        <v>0</v>
      </c>
    </row>
    <row r="1035" spans="1:60" ht="58" x14ac:dyDescent="0.35">
      <c r="A1035" s="2" t="s">
        <v>59</v>
      </c>
      <c r="B1035" s="2" t="s">
        <v>60</v>
      </c>
      <c r="C1035" s="2" t="s">
        <v>10278</v>
      </c>
      <c r="D1035" s="2" t="s">
        <v>10279</v>
      </c>
      <c r="E1035" s="2" t="s">
        <v>10280</v>
      </c>
      <c r="G1035" s="3" t="s">
        <v>64</v>
      </c>
      <c r="I1035" s="3" t="s">
        <v>64</v>
      </c>
      <c r="J1035" s="3" t="s">
        <v>64</v>
      </c>
      <c r="K1035" s="3" t="s">
        <v>65</v>
      </c>
      <c r="L1035" s="2" t="s">
        <v>10281</v>
      </c>
      <c r="M1035" s="2" t="s">
        <v>10282</v>
      </c>
      <c r="N1035" s="3" t="s">
        <v>291</v>
      </c>
      <c r="P1035" s="3" t="s">
        <v>102</v>
      </c>
      <c r="R1035" s="3" t="s">
        <v>70</v>
      </c>
      <c r="S1035" s="4">
        <v>4</v>
      </c>
      <c r="T1035" s="4">
        <v>4</v>
      </c>
      <c r="U1035" s="5" t="s">
        <v>10283</v>
      </c>
      <c r="V1035" s="5" t="s">
        <v>10283</v>
      </c>
      <c r="W1035" s="5" t="s">
        <v>72</v>
      </c>
      <c r="X1035" s="5" t="s">
        <v>72</v>
      </c>
      <c r="Y1035" s="4">
        <v>196</v>
      </c>
      <c r="Z1035" s="4">
        <v>17</v>
      </c>
      <c r="AA1035" s="4">
        <v>83</v>
      </c>
      <c r="AB1035" s="4">
        <v>2</v>
      </c>
      <c r="AC1035" s="4">
        <v>17</v>
      </c>
      <c r="AD1035" s="4">
        <v>81</v>
      </c>
      <c r="AE1035" s="4">
        <v>131</v>
      </c>
      <c r="AF1035" s="4">
        <v>0</v>
      </c>
      <c r="AG1035" s="4">
        <v>7</v>
      </c>
      <c r="AH1035" s="4">
        <v>74</v>
      </c>
      <c r="AI1035" s="4">
        <v>90</v>
      </c>
      <c r="AJ1035" s="4">
        <v>10</v>
      </c>
      <c r="AK1035" s="4">
        <v>23</v>
      </c>
      <c r="AL1035" s="4">
        <v>48</v>
      </c>
      <c r="AM1035" s="4">
        <v>52</v>
      </c>
      <c r="AN1035" s="4">
        <v>0</v>
      </c>
      <c r="AO1035" s="4">
        <v>0</v>
      </c>
      <c r="AP1035" s="4">
        <v>11</v>
      </c>
      <c r="AQ1035" s="4">
        <v>49</v>
      </c>
      <c r="AR1035" s="3" t="s">
        <v>64</v>
      </c>
      <c r="AS1035" s="3" t="s">
        <v>64</v>
      </c>
      <c r="AT1035" s="3" t="s">
        <v>64</v>
      </c>
      <c r="AV1035" s="6" t="str">
        <f>HYPERLINK("http://mcgill.on.worldcat.org/oclc/71807827","Catalog Record")</f>
        <v>Catalog Record</v>
      </c>
      <c r="AW1035" s="6" t="str">
        <f>HYPERLINK("http://www.worldcat.org/oclc/71807827","WorldCat Record")</f>
        <v>WorldCat Record</v>
      </c>
      <c r="AX1035" s="3" t="s">
        <v>10284</v>
      </c>
      <c r="AY1035" s="3" t="s">
        <v>10285</v>
      </c>
      <c r="AZ1035" s="3" t="s">
        <v>10286</v>
      </c>
      <c r="BA1035" s="3" t="s">
        <v>10286</v>
      </c>
      <c r="BB1035" s="3" t="s">
        <v>10287</v>
      </c>
      <c r="BC1035" s="3" t="s">
        <v>77</v>
      </c>
      <c r="BD1035" s="3" t="s">
        <v>165</v>
      </c>
      <c r="BE1035" s="3" t="s">
        <v>10288</v>
      </c>
      <c r="BF1035" s="3" t="s">
        <v>10287</v>
      </c>
      <c r="BG1035" s="3" t="s">
        <v>10289</v>
      </c>
      <c r="BH1035">
        <f t="shared" si="33"/>
        <v>0</v>
      </c>
    </row>
    <row r="1036" spans="1:60" ht="58" x14ac:dyDescent="0.35">
      <c r="A1036" s="2" t="s">
        <v>59</v>
      </c>
      <c r="B1036" s="2" t="s">
        <v>60</v>
      </c>
      <c r="C1036" s="2" t="s">
        <v>10290</v>
      </c>
      <c r="D1036" s="2" t="s">
        <v>10291</v>
      </c>
      <c r="E1036" s="2" t="s">
        <v>10292</v>
      </c>
      <c r="G1036" s="3" t="s">
        <v>64</v>
      </c>
      <c r="I1036" s="3" t="s">
        <v>64</v>
      </c>
      <c r="J1036" s="3" t="s">
        <v>64</v>
      </c>
      <c r="K1036" s="3" t="s">
        <v>65</v>
      </c>
      <c r="L1036" s="2" t="s">
        <v>10293</v>
      </c>
      <c r="M1036" s="2" t="s">
        <v>10294</v>
      </c>
      <c r="N1036" s="3" t="s">
        <v>3126</v>
      </c>
      <c r="P1036" s="3" t="s">
        <v>102</v>
      </c>
      <c r="R1036" s="3" t="s">
        <v>70</v>
      </c>
      <c r="S1036" s="4">
        <v>5</v>
      </c>
      <c r="T1036" s="4">
        <v>5</v>
      </c>
      <c r="U1036" s="5" t="s">
        <v>10295</v>
      </c>
      <c r="V1036" s="5" t="s">
        <v>10295</v>
      </c>
      <c r="W1036" s="5" t="s">
        <v>72</v>
      </c>
      <c r="X1036" s="5" t="s">
        <v>72</v>
      </c>
      <c r="Y1036" s="4">
        <v>149</v>
      </c>
      <c r="Z1036" s="4">
        <v>10</v>
      </c>
      <c r="AA1036" s="4">
        <v>20</v>
      </c>
      <c r="AB1036" s="4">
        <v>1</v>
      </c>
      <c r="AC1036" s="4">
        <v>2</v>
      </c>
      <c r="AD1036" s="4">
        <v>60</v>
      </c>
      <c r="AE1036" s="4">
        <v>106</v>
      </c>
      <c r="AF1036" s="4">
        <v>0</v>
      </c>
      <c r="AG1036" s="4">
        <v>1</v>
      </c>
      <c r="AH1036" s="4">
        <v>55</v>
      </c>
      <c r="AI1036" s="4">
        <v>95</v>
      </c>
      <c r="AJ1036" s="4">
        <v>8</v>
      </c>
      <c r="AK1036" s="4">
        <v>13</v>
      </c>
      <c r="AL1036" s="4">
        <v>39</v>
      </c>
      <c r="AM1036" s="4">
        <v>56</v>
      </c>
      <c r="AN1036" s="4">
        <v>0</v>
      </c>
      <c r="AO1036" s="4">
        <v>5</v>
      </c>
      <c r="AP1036" s="4">
        <v>8</v>
      </c>
      <c r="AQ1036" s="4">
        <v>15</v>
      </c>
      <c r="AR1036" s="3" t="s">
        <v>64</v>
      </c>
      <c r="AS1036" s="3" t="s">
        <v>64</v>
      </c>
      <c r="AT1036" s="3" t="s">
        <v>64</v>
      </c>
      <c r="AU1036" s="6" t="str">
        <f>HYPERLINK("http://catalog.hathitrust.org/Record/001759048","HathiTrust Record")</f>
        <v>HathiTrust Record</v>
      </c>
      <c r="AV1036" s="6" t="str">
        <f>HYPERLINK("http://mcgill.on.worldcat.org/oclc/10247739","Catalog Record")</f>
        <v>Catalog Record</v>
      </c>
      <c r="AW1036" s="6" t="str">
        <f>HYPERLINK("http://www.worldcat.org/oclc/10247739","WorldCat Record")</f>
        <v>WorldCat Record</v>
      </c>
      <c r="AX1036" s="3" t="s">
        <v>10296</v>
      </c>
      <c r="AY1036" s="3" t="s">
        <v>10297</v>
      </c>
      <c r="AZ1036" s="3" t="s">
        <v>10298</v>
      </c>
      <c r="BA1036" s="3" t="s">
        <v>10298</v>
      </c>
      <c r="BB1036" s="3" t="s">
        <v>10299</v>
      </c>
      <c r="BC1036" s="3" t="s">
        <v>77</v>
      </c>
      <c r="BD1036" s="3" t="s">
        <v>78</v>
      </c>
      <c r="BF1036" s="3" t="s">
        <v>10299</v>
      </c>
      <c r="BG1036" s="3" t="s">
        <v>10300</v>
      </c>
      <c r="BH1036">
        <f t="shared" si="33"/>
        <v>0</v>
      </c>
    </row>
    <row r="1037" spans="1:60" ht="58" x14ac:dyDescent="0.35">
      <c r="A1037" s="2" t="s">
        <v>59</v>
      </c>
      <c r="B1037" s="2" t="s">
        <v>60</v>
      </c>
      <c r="C1037" s="2" t="s">
        <v>10301</v>
      </c>
      <c r="D1037" s="2" t="s">
        <v>10302</v>
      </c>
      <c r="E1037" s="2" t="s">
        <v>10303</v>
      </c>
      <c r="G1037" s="3" t="s">
        <v>64</v>
      </c>
      <c r="I1037" s="3" t="s">
        <v>64</v>
      </c>
      <c r="J1037" s="3" t="s">
        <v>64</v>
      </c>
      <c r="K1037" s="3" t="s">
        <v>65</v>
      </c>
      <c r="M1037" s="2" t="s">
        <v>10304</v>
      </c>
      <c r="N1037" s="3" t="s">
        <v>874</v>
      </c>
      <c r="P1037" s="3" t="s">
        <v>102</v>
      </c>
      <c r="Q1037" s="2" t="s">
        <v>8484</v>
      </c>
      <c r="R1037" s="3" t="s">
        <v>70</v>
      </c>
      <c r="S1037" s="4">
        <v>8</v>
      </c>
      <c r="T1037" s="4">
        <v>8</v>
      </c>
      <c r="U1037" s="5" t="s">
        <v>10305</v>
      </c>
      <c r="V1037" s="5" t="s">
        <v>10305</v>
      </c>
      <c r="W1037" s="5" t="s">
        <v>72</v>
      </c>
      <c r="X1037" s="5" t="s">
        <v>72</v>
      </c>
      <c r="Y1037" s="4">
        <v>194</v>
      </c>
      <c r="Z1037" s="4">
        <v>20</v>
      </c>
      <c r="AA1037" s="4">
        <v>21</v>
      </c>
      <c r="AB1037" s="4">
        <v>1</v>
      </c>
      <c r="AC1037" s="4">
        <v>2</v>
      </c>
      <c r="AD1037" s="4">
        <v>71</v>
      </c>
      <c r="AE1037" s="4">
        <v>72</v>
      </c>
      <c r="AF1037" s="4">
        <v>0</v>
      </c>
      <c r="AG1037" s="4">
        <v>1</v>
      </c>
      <c r="AH1037" s="4">
        <v>60</v>
      </c>
      <c r="AI1037" s="4">
        <v>61</v>
      </c>
      <c r="AJ1037" s="4">
        <v>13</v>
      </c>
      <c r="AK1037" s="4">
        <v>14</v>
      </c>
      <c r="AL1037" s="4">
        <v>35</v>
      </c>
      <c r="AM1037" s="4">
        <v>35</v>
      </c>
      <c r="AN1037" s="4">
        <v>0</v>
      </c>
      <c r="AO1037" s="4">
        <v>0</v>
      </c>
      <c r="AP1037" s="4">
        <v>16</v>
      </c>
      <c r="AQ1037" s="4">
        <v>17</v>
      </c>
      <c r="AR1037" s="3" t="s">
        <v>64</v>
      </c>
      <c r="AS1037" s="3" t="s">
        <v>64</v>
      </c>
      <c r="AT1037" s="3" t="s">
        <v>128</v>
      </c>
      <c r="AU1037" s="6" t="str">
        <f>HYPERLINK("http://catalog.hathitrust.org/Record/000190070","HathiTrust Record")</f>
        <v>HathiTrust Record</v>
      </c>
      <c r="AV1037" s="6" t="str">
        <f>HYPERLINK("http://mcgill.on.worldcat.org/oclc/8929737","Catalog Record")</f>
        <v>Catalog Record</v>
      </c>
      <c r="AW1037" s="6" t="str">
        <f>HYPERLINK("http://www.worldcat.org/oclc/8929737","WorldCat Record")</f>
        <v>WorldCat Record</v>
      </c>
      <c r="AX1037" s="3" t="s">
        <v>10306</v>
      </c>
      <c r="AY1037" s="3" t="s">
        <v>10307</v>
      </c>
      <c r="AZ1037" s="3" t="s">
        <v>10308</v>
      </c>
      <c r="BA1037" s="3" t="s">
        <v>10308</v>
      </c>
      <c r="BB1037" s="3" t="s">
        <v>10309</v>
      </c>
      <c r="BC1037" s="3" t="s">
        <v>77</v>
      </c>
      <c r="BD1037" s="3" t="s">
        <v>78</v>
      </c>
      <c r="BE1037" s="3" t="s">
        <v>10310</v>
      </c>
      <c r="BF1037" s="3" t="s">
        <v>10309</v>
      </c>
      <c r="BG1037" s="3" t="s">
        <v>10311</v>
      </c>
      <c r="BH1037">
        <f t="shared" si="33"/>
        <v>0</v>
      </c>
    </row>
    <row r="1038" spans="1:60" ht="58" x14ac:dyDescent="0.35">
      <c r="A1038" s="2" t="s">
        <v>59</v>
      </c>
      <c r="B1038" s="2" t="s">
        <v>60</v>
      </c>
      <c r="C1038" s="2" t="s">
        <v>10312</v>
      </c>
      <c r="D1038" s="2" t="s">
        <v>10313</v>
      </c>
      <c r="E1038" s="2" t="s">
        <v>10314</v>
      </c>
      <c r="G1038" s="3" t="s">
        <v>64</v>
      </c>
      <c r="I1038" s="3" t="s">
        <v>64</v>
      </c>
      <c r="J1038" s="3" t="s">
        <v>64</v>
      </c>
      <c r="K1038" s="3" t="s">
        <v>65</v>
      </c>
      <c r="L1038" s="2" t="s">
        <v>10315</v>
      </c>
      <c r="M1038" s="2" t="s">
        <v>10316</v>
      </c>
      <c r="N1038" s="3" t="s">
        <v>253</v>
      </c>
      <c r="P1038" s="3" t="s">
        <v>102</v>
      </c>
      <c r="R1038" s="3" t="s">
        <v>70</v>
      </c>
      <c r="S1038" s="4">
        <v>0</v>
      </c>
      <c r="T1038" s="4">
        <v>0</v>
      </c>
      <c r="W1038" s="5" t="s">
        <v>72</v>
      </c>
      <c r="X1038" s="5" t="s">
        <v>72</v>
      </c>
      <c r="Y1038" s="4">
        <v>72</v>
      </c>
      <c r="Z1038" s="4">
        <v>14</v>
      </c>
      <c r="AA1038" s="4">
        <v>93</v>
      </c>
      <c r="AB1038" s="4">
        <v>2</v>
      </c>
      <c r="AC1038" s="4">
        <v>16</v>
      </c>
      <c r="AD1038" s="4">
        <v>35</v>
      </c>
      <c r="AE1038" s="4">
        <v>119</v>
      </c>
      <c r="AF1038" s="4">
        <v>1</v>
      </c>
      <c r="AG1038" s="4">
        <v>8</v>
      </c>
      <c r="AH1038" s="4">
        <v>29</v>
      </c>
      <c r="AI1038" s="4">
        <v>77</v>
      </c>
      <c r="AJ1038" s="4">
        <v>7</v>
      </c>
      <c r="AK1038" s="4">
        <v>24</v>
      </c>
      <c r="AL1038" s="4">
        <v>21</v>
      </c>
      <c r="AM1038" s="4">
        <v>42</v>
      </c>
      <c r="AN1038" s="4">
        <v>0</v>
      </c>
      <c r="AO1038" s="4">
        <v>0</v>
      </c>
      <c r="AP1038" s="4">
        <v>6</v>
      </c>
      <c r="AQ1038" s="4">
        <v>48</v>
      </c>
      <c r="AR1038" s="3" t="s">
        <v>128</v>
      </c>
      <c r="AS1038" s="3" t="s">
        <v>64</v>
      </c>
      <c r="AT1038" s="3" t="s">
        <v>64</v>
      </c>
      <c r="AV1038" s="6" t="str">
        <f>HYPERLINK("http://mcgill.on.worldcat.org/oclc/898163102","Catalog Record")</f>
        <v>Catalog Record</v>
      </c>
      <c r="AW1038" s="6" t="str">
        <f>HYPERLINK("http://www.worldcat.org/oclc/898163102","WorldCat Record")</f>
        <v>WorldCat Record</v>
      </c>
      <c r="AX1038" s="3" t="s">
        <v>10317</v>
      </c>
      <c r="AY1038" s="3" t="s">
        <v>10318</v>
      </c>
      <c r="AZ1038" s="3" t="s">
        <v>10319</v>
      </c>
      <c r="BA1038" s="3" t="s">
        <v>10319</v>
      </c>
      <c r="BB1038" s="3" t="s">
        <v>10320</v>
      </c>
      <c r="BC1038" s="3" t="s">
        <v>77</v>
      </c>
      <c r="BD1038" s="3" t="s">
        <v>78</v>
      </c>
      <c r="BE1038" s="3" t="s">
        <v>10321</v>
      </c>
      <c r="BF1038" s="3" t="s">
        <v>10320</v>
      </c>
      <c r="BG1038" s="3" t="s">
        <v>10322</v>
      </c>
      <c r="BH1038">
        <f t="shared" si="33"/>
        <v>0</v>
      </c>
    </row>
    <row r="1039" spans="1:60" ht="58" x14ac:dyDescent="0.35">
      <c r="A1039" s="2" t="s">
        <v>59</v>
      </c>
      <c r="B1039" s="2" t="s">
        <v>60</v>
      </c>
      <c r="C1039" s="2" t="s">
        <v>10323</v>
      </c>
      <c r="D1039" s="2" t="s">
        <v>10324</v>
      </c>
      <c r="E1039" s="2" t="s">
        <v>10325</v>
      </c>
      <c r="G1039" s="3" t="s">
        <v>64</v>
      </c>
      <c r="I1039" s="3" t="s">
        <v>64</v>
      </c>
      <c r="J1039" s="3" t="s">
        <v>64</v>
      </c>
      <c r="K1039" s="3" t="s">
        <v>65</v>
      </c>
      <c r="L1039" s="2" t="s">
        <v>10326</v>
      </c>
      <c r="M1039" s="2" t="s">
        <v>10327</v>
      </c>
      <c r="N1039" s="3" t="s">
        <v>1250</v>
      </c>
      <c r="P1039" s="3" t="s">
        <v>102</v>
      </c>
      <c r="Q1039" s="2" t="s">
        <v>10328</v>
      </c>
      <c r="R1039" s="3" t="s">
        <v>70</v>
      </c>
      <c r="S1039" s="4">
        <v>6</v>
      </c>
      <c r="T1039" s="4">
        <v>6</v>
      </c>
      <c r="U1039" s="5" t="s">
        <v>10329</v>
      </c>
      <c r="V1039" s="5" t="s">
        <v>10329</v>
      </c>
      <c r="W1039" s="5" t="s">
        <v>72</v>
      </c>
      <c r="X1039" s="5" t="s">
        <v>72</v>
      </c>
      <c r="Y1039" s="4">
        <v>205</v>
      </c>
      <c r="Z1039" s="4">
        <v>22</v>
      </c>
      <c r="AA1039" s="4">
        <v>24</v>
      </c>
      <c r="AB1039" s="4">
        <v>1</v>
      </c>
      <c r="AC1039" s="4">
        <v>3</v>
      </c>
      <c r="AD1039" s="4">
        <v>85</v>
      </c>
      <c r="AE1039" s="4">
        <v>86</v>
      </c>
      <c r="AF1039" s="4">
        <v>0</v>
      </c>
      <c r="AG1039" s="4">
        <v>1</v>
      </c>
      <c r="AH1039" s="4">
        <v>72</v>
      </c>
      <c r="AI1039" s="4">
        <v>72</v>
      </c>
      <c r="AJ1039" s="4">
        <v>13</v>
      </c>
      <c r="AK1039" s="4">
        <v>14</v>
      </c>
      <c r="AL1039" s="4">
        <v>45</v>
      </c>
      <c r="AM1039" s="4">
        <v>45</v>
      </c>
      <c r="AN1039" s="4">
        <v>0</v>
      </c>
      <c r="AO1039" s="4">
        <v>0</v>
      </c>
      <c r="AP1039" s="4">
        <v>16</v>
      </c>
      <c r="AQ1039" s="4">
        <v>16</v>
      </c>
      <c r="AR1039" s="3" t="s">
        <v>64</v>
      </c>
      <c r="AS1039" s="3" t="s">
        <v>64</v>
      </c>
      <c r="AT1039" s="3" t="s">
        <v>128</v>
      </c>
      <c r="AU1039" s="6" t="str">
        <f>HYPERLINK("http://catalog.hathitrust.org/Record/003608634","HathiTrust Record")</f>
        <v>HathiTrust Record</v>
      </c>
      <c r="AV1039" s="6" t="str">
        <f>HYPERLINK("http://mcgill.on.worldcat.org/oclc/30642535","Catalog Record")</f>
        <v>Catalog Record</v>
      </c>
      <c r="AW1039" s="6" t="str">
        <f>HYPERLINK("http://www.worldcat.org/oclc/30642535","WorldCat Record")</f>
        <v>WorldCat Record</v>
      </c>
      <c r="AX1039" s="3" t="s">
        <v>10330</v>
      </c>
      <c r="AY1039" s="3" t="s">
        <v>10331</v>
      </c>
      <c r="AZ1039" s="3" t="s">
        <v>10332</v>
      </c>
      <c r="BA1039" s="3" t="s">
        <v>10332</v>
      </c>
      <c r="BB1039" s="3" t="s">
        <v>10333</v>
      </c>
      <c r="BC1039" s="3" t="s">
        <v>77</v>
      </c>
      <c r="BD1039" s="3" t="s">
        <v>78</v>
      </c>
      <c r="BF1039" s="3" t="s">
        <v>10333</v>
      </c>
      <c r="BG1039" s="3" t="s">
        <v>10334</v>
      </c>
      <c r="BH1039">
        <f t="shared" si="33"/>
        <v>0</v>
      </c>
    </row>
    <row r="1040" spans="1:60" ht="58" x14ac:dyDescent="0.35">
      <c r="A1040" s="2" t="s">
        <v>59</v>
      </c>
      <c r="B1040" s="2" t="s">
        <v>60</v>
      </c>
      <c r="C1040" s="2" t="s">
        <v>10335</v>
      </c>
      <c r="D1040" s="2" t="s">
        <v>10336</v>
      </c>
      <c r="E1040" s="2" t="s">
        <v>10337</v>
      </c>
      <c r="G1040" s="3" t="s">
        <v>64</v>
      </c>
      <c r="I1040" s="3" t="s">
        <v>64</v>
      </c>
      <c r="J1040" s="3" t="s">
        <v>64</v>
      </c>
      <c r="K1040" s="3" t="s">
        <v>65</v>
      </c>
      <c r="L1040" s="2" t="s">
        <v>10338</v>
      </c>
      <c r="M1040" s="2" t="s">
        <v>10339</v>
      </c>
      <c r="N1040" s="3" t="s">
        <v>4167</v>
      </c>
      <c r="P1040" s="3" t="s">
        <v>102</v>
      </c>
      <c r="R1040" s="3" t="s">
        <v>70</v>
      </c>
      <c r="S1040" s="4">
        <v>1</v>
      </c>
      <c r="T1040" s="4">
        <v>1</v>
      </c>
      <c r="U1040" s="5" t="s">
        <v>10039</v>
      </c>
      <c r="V1040" s="5" t="s">
        <v>10039</v>
      </c>
      <c r="W1040" s="5" t="s">
        <v>72</v>
      </c>
      <c r="X1040" s="5" t="s">
        <v>72</v>
      </c>
      <c r="Y1040" s="4">
        <v>119</v>
      </c>
      <c r="Z1040" s="4">
        <v>11</v>
      </c>
      <c r="AA1040" s="4">
        <v>11</v>
      </c>
      <c r="AB1040" s="4">
        <v>1</v>
      </c>
      <c r="AC1040" s="4">
        <v>1</v>
      </c>
      <c r="AD1040" s="4">
        <v>52</v>
      </c>
      <c r="AE1040" s="4">
        <v>52</v>
      </c>
      <c r="AF1040" s="4">
        <v>0</v>
      </c>
      <c r="AG1040" s="4">
        <v>0</v>
      </c>
      <c r="AH1040" s="4">
        <v>47</v>
      </c>
      <c r="AI1040" s="4">
        <v>47</v>
      </c>
      <c r="AJ1040" s="4">
        <v>7</v>
      </c>
      <c r="AK1040" s="4">
        <v>7</v>
      </c>
      <c r="AL1040" s="4">
        <v>36</v>
      </c>
      <c r="AM1040" s="4">
        <v>36</v>
      </c>
      <c r="AN1040" s="4">
        <v>0</v>
      </c>
      <c r="AO1040" s="4">
        <v>0</v>
      </c>
      <c r="AP1040" s="4">
        <v>6</v>
      </c>
      <c r="AQ1040" s="4">
        <v>6</v>
      </c>
      <c r="AR1040" s="3" t="s">
        <v>64</v>
      </c>
      <c r="AS1040" s="3" t="s">
        <v>64</v>
      </c>
      <c r="AT1040" s="3" t="s">
        <v>64</v>
      </c>
      <c r="AU1040" s="6" t="str">
        <f>HYPERLINK("http://catalog.hathitrust.org/Record/001161840","HathiTrust Record")</f>
        <v>HathiTrust Record</v>
      </c>
      <c r="AV1040" s="6" t="str">
        <f>HYPERLINK("http://mcgill.on.worldcat.org/oclc/3740148","Catalog Record")</f>
        <v>Catalog Record</v>
      </c>
      <c r="AW1040" s="6" t="str">
        <f>HYPERLINK("http://www.worldcat.org/oclc/3740148","WorldCat Record")</f>
        <v>WorldCat Record</v>
      </c>
      <c r="AX1040" s="3" t="s">
        <v>10340</v>
      </c>
      <c r="AY1040" s="3" t="s">
        <v>10341</v>
      </c>
      <c r="AZ1040" s="3" t="s">
        <v>10342</v>
      </c>
      <c r="BA1040" s="3" t="s">
        <v>10342</v>
      </c>
      <c r="BB1040" s="3" t="s">
        <v>10343</v>
      </c>
      <c r="BC1040" s="3" t="s">
        <v>77</v>
      </c>
      <c r="BD1040" s="3" t="s">
        <v>78</v>
      </c>
      <c r="BF1040" s="3" t="s">
        <v>10343</v>
      </c>
      <c r="BG1040" s="3" t="s">
        <v>10344</v>
      </c>
      <c r="BH1040">
        <f t="shared" si="33"/>
        <v>0</v>
      </c>
    </row>
    <row r="1041" spans="1:60" ht="58" x14ac:dyDescent="0.35">
      <c r="A1041" s="2" t="s">
        <v>59</v>
      </c>
      <c r="B1041" s="2" t="s">
        <v>60</v>
      </c>
      <c r="C1041" s="2" t="s">
        <v>10345</v>
      </c>
      <c r="D1041" s="2" t="s">
        <v>10346</v>
      </c>
      <c r="E1041" s="2" t="s">
        <v>10347</v>
      </c>
      <c r="G1041" s="3" t="s">
        <v>64</v>
      </c>
      <c r="H1041" s="3" t="s">
        <v>183</v>
      </c>
      <c r="I1041" s="3" t="s">
        <v>64</v>
      </c>
      <c r="J1041" s="3" t="s">
        <v>64</v>
      </c>
      <c r="K1041" s="3" t="s">
        <v>65</v>
      </c>
      <c r="L1041" s="2" t="s">
        <v>10348</v>
      </c>
      <c r="M1041" s="2" t="s">
        <v>10349</v>
      </c>
      <c r="N1041" s="3" t="s">
        <v>1492</v>
      </c>
      <c r="P1041" s="3" t="s">
        <v>102</v>
      </c>
      <c r="R1041" s="3" t="s">
        <v>70</v>
      </c>
      <c r="S1041" s="4">
        <v>0</v>
      </c>
      <c r="T1041" s="4">
        <v>0</v>
      </c>
      <c r="W1041" s="5" t="s">
        <v>826</v>
      </c>
      <c r="X1041" s="5" t="s">
        <v>826</v>
      </c>
      <c r="Y1041" s="4">
        <v>230</v>
      </c>
      <c r="Z1041" s="4">
        <v>7</v>
      </c>
      <c r="AA1041" s="4">
        <v>7</v>
      </c>
      <c r="AB1041" s="4">
        <v>2</v>
      </c>
      <c r="AC1041" s="4">
        <v>2</v>
      </c>
      <c r="AD1041" s="4">
        <v>33</v>
      </c>
      <c r="AE1041" s="4">
        <v>33</v>
      </c>
      <c r="AF1041" s="4">
        <v>0</v>
      </c>
      <c r="AG1041" s="4">
        <v>0</v>
      </c>
      <c r="AH1041" s="4">
        <v>31</v>
      </c>
      <c r="AI1041" s="4">
        <v>31</v>
      </c>
      <c r="AJ1041" s="4">
        <v>3</v>
      </c>
      <c r="AK1041" s="4">
        <v>3</v>
      </c>
      <c r="AL1041" s="4">
        <v>24</v>
      </c>
      <c r="AM1041" s="4">
        <v>24</v>
      </c>
      <c r="AN1041" s="4">
        <v>0</v>
      </c>
      <c r="AO1041" s="4">
        <v>0</v>
      </c>
      <c r="AP1041" s="4">
        <v>3</v>
      </c>
      <c r="AQ1041" s="4">
        <v>3</v>
      </c>
      <c r="AR1041" s="3" t="s">
        <v>64</v>
      </c>
      <c r="AS1041" s="3" t="s">
        <v>64</v>
      </c>
      <c r="AT1041" s="3" t="s">
        <v>64</v>
      </c>
      <c r="AV1041" s="6" t="str">
        <f>HYPERLINK("http://mcgill.on.worldcat.org/oclc/1090422979","Catalog Record")</f>
        <v>Catalog Record</v>
      </c>
      <c r="AW1041" s="6" t="str">
        <f>HYPERLINK("http://www.worldcat.org/oclc/1090422979","WorldCat Record")</f>
        <v>WorldCat Record</v>
      </c>
      <c r="AX1041" s="3" t="s">
        <v>10350</v>
      </c>
      <c r="AY1041" s="3" t="s">
        <v>10351</v>
      </c>
      <c r="AZ1041" s="3" t="s">
        <v>10352</v>
      </c>
      <c r="BA1041" s="3" t="s">
        <v>10352</v>
      </c>
      <c r="BB1041" s="3" t="s">
        <v>10353</v>
      </c>
      <c r="BC1041" s="3" t="s">
        <v>77</v>
      </c>
      <c r="BD1041" s="3" t="s">
        <v>78</v>
      </c>
      <c r="BE1041" s="3" t="s">
        <v>10354</v>
      </c>
      <c r="BF1041" s="3" t="s">
        <v>10353</v>
      </c>
      <c r="BG1041" s="3" t="s">
        <v>10355</v>
      </c>
      <c r="BH1041">
        <f t="shared" si="33"/>
        <v>0</v>
      </c>
    </row>
    <row r="1042" spans="1:60" ht="58" x14ac:dyDescent="0.35">
      <c r="A1042" s="2" t="s">
        <v>59</v>
      </c>
      <c r="B1042" s="2" t="s">
        <v>60</v>
      </c>
      <c r="C1042" s="2" t="s">
        <v>10356</v>
      </c>
      <c r="D1042" s="2" t="s">
        <v>10357</v>
      </c>
      <c r="E1042" s="2" t="s">
        <v>10358</v>
      </c>
      <c r="G1042" s="3" t="s">
        <v>64</v>
      </c>
      <c r="I1042" s="3" t="s">
        <v>64</v>
      </c>
      <c r="J1042" s="3" t="s">
        <v>64</v>
      </c>
      <c r="K1042" s="3" t="s">
        <v>65</v>
      </c>
      <c r="L1042" s="2" t="s">
        <v>376</v>
      </c>
      <c r="M1042" s="2" t="s">
        <v>10359</v>
      </c>
      <c r="N1042" s="3" t="s">
        <v>171</v>
      </c>
      <c r="O1042" s="2" t="s">
        <v>172</v>
      </c>
      <c r="P1042" s="3" t="s">
        <v>102</v>
      </c>
      <c r="R1042" s="3" t="s">
        <v>70</v>
      </c>
      <c r="S1042" s="4">
        <v>26</v>
      </c>
      <c r="T1042" s="4">
        <v>26</v>
      </c>
      <c r="U1042" s="5" t="s">
        <v>651</v>
      </c>
      <c r="V1042" s="5" t="s">
        <v>651</v>
      </c>
      <c r="W1042" s="5" t="s">
        <v>72</v>
      </c>
      <c r="X1042" s="5" t="s">
        <v>72</v>
      </c>
      <c r="Y1042" s="4">
        <v>188</v>
      </c>
      <c r="Z1042" s="4">
        <v>18</v>
      </c>
      <c r="AA1042" s="4">
        <v>77</v>
      </c>
      <c r="AB1042" s="4">
        <v>1</v>
      </c>
      <c r="AC1042" s="4">
        <v>15</v>
      </c>
      <c r="AD1042" s="4">
        <v>68</v>
      </c>
      <c r="AE1042" s="4">
        <v>114</v>
      </c>
      <c r="AF1042" s="4">
        <v>0</v>
      </c>
      <c r="AG1042" s="4">
        <v>8</v>
      </c>
      <c r="AH1042" s="4">
        <v>64</v>
      </c>
      <c r="AI1042" s="4">
        <v>84</v>
      </c>
      <c r="AJ1042" s="4">
        <v>11</v>
      </c>
      <c r="AK1042" s="4">
        <v>22</v>
      </c>
      <c r="AL1042" s="4">
        <v>37</v>
      </c>
      <c r="AM1042" s="4">
        <v>42</v>
      </c>
      <c r="AN1042" s="4">
        <v>0</v>
      </c>
      <c r="AO1042" s="4">
        <v>0</v>
      </c>
      <c r="AP1042" s="4">
        <v>13</v>
      </c>
      <c r="AQ1042" s="4">
        <v>40</v>
      </c>
      <c r="AR1042" s="3" t="s">
        <v>64</v>
      </c>
      <c r="AS1042" s="3" t="s">
        <v>64</v>
      </c>
      <c r="AT1042" s="3" t="s">
        <v>64</v>
      </c>
      <c r="AV1042" s="6" t="str">
        <f>HYPERLINK("http://mcgill.on.worldcat.org/oclc/57670110","Catalog Record")</f>
        <v>Catalog Record</v>
      </c>
      <c r="AW1042" s="6" t="str">
        <f>HYPERLINK("http://www.worldcat.org/oclc/57670110","WorldCat Record")</f>
        <v>WorldCat Record</v>
      </c>
      <c r="AX1042" s="3" t="s">
        <v>10360</v>
      </c>
      <c r="AY1042" s="3" t="s">
        <v>10361</v>
      </c>
      <c r="AZ1042" s="3" t="s">
        <v>10362</v>
      </c>
      <c r="BA1042" s="3" t="s">
        <v>10362</v>
      </c>
      <c r="BB1042" s="3" t="s">
        <v>10363</v>
      </c>
      <c r="BC1042" s="3" t="s">
        <v>77</v>
      </c>
      <c r="BD1042" s="3" t="s">
        <v>165</v>
      </c>
      <c r="BE1042" s="3" t="s">
        <v>10364</v>
      </c>
      <c r="BF1042" s="3" t="s">
        <v>10363</v>
      </c>
      <c r="BG1042" s="3" t="s">
        <v>10365</v>
      </c>
      <c r="BH1042">
        <f t="shared" si="33"/>
        <v>0</v>
      </c>
    </row>
    <row r="1043" spans="1:60" ht="58" x14ac:dyDescent="0.35">
      <c r="A1043" s="2" t="s">
        <v>59</v>
      </c>
      <c r="B1043" s="2" t="s">
        <v>60</v>
      </c>
      <c r="C1043" s="2" t="s">
        <v>10366</v>
      </c>
      <c r="D1043" s="2" t="s">
        <v>10367</v>
      </c>
      <c r="E1043" s="2" t="s">
        <v>10368</v>
      </c>
      <c r="G1043" s="3" t="s">
        <v>64</v>
      </c>
      <c r="I1043" s="3" t="s">
        <v>64</v>
      </c>
      <c r="J1043" s="3" t="s">
        <v>64</v>
      </c>
      <c r="K1043" s="3" t="s">
        <v>65</v>
      </c>
      <c r="M1043" s="2" t="s">
        <v>10369</v>
      </c>
      <c r="N1043" s="3" t="s">
        <v>86</v>
      </c>
      <c r="O1043" s="2" t="s">
        <v>117</v>
      </c>
      <c r="P1043" s="3" t="s">
        <v>102</v>
      </c>
      <c r="Q1043" s="2" t="s">
        <v>10213</v>
      </c>
      <c r="R1043" s="3" t="s">
        <v>70</v>
      </c>
      <c r="S1043" s="4">
        <v>10</v>
      </c>
      <c r="T1043" s="4">
        <v>10</v>
      </c>
      <c r="U1043" s="5" t="s">
        <v>512</v>
      </c>
      <c r="V1043" s="5" t="s">
        <v>512</v>
      </c>
      <c r="W1043" s="5" t="s">
        <v>72</v>
      </c>
      <c r="X1043" s="5" t="s">
        <v>72</v>
      </c>
      <c r="Y1043" s="4">
        <v>107</v>
      </c>
      <c r="Z1043" s="4">
        <v>7</v>
      </c>
      <c r="AA1043" s="4">
        <v>15</v>
      </c>
      <c r="AB1043" s="4">
        <v>1</v>
      </c>
      <c r="AC1043" s="4">
        <v>1</v>
      </c>
      <c r="AD1043" s="4">
        <v>47</v>
      </c>
      <c r="AE1043" s="4">
        <v>55</v>
      </c>
      <c r="AF1043" s="4">
        <v>0</v>
      </c>
      <c r="AG1043" s="4">
        <v>0</v>
      </c>
      <c r="AH1043" s="4">
        <v>44</v>
      </c>
      <c r="AI1043" s="4">
        <v>49</v>
      </c>
      <c r="AJ1043" s="4">
        <v>5</v>
      </c>
      <c r="AK1043" s="4">
        <v>10</v>
      </c>
      <c r="AL1043" s="4">
        <v>28</v>
      </c>
      <c r="AM1043" s="4">
        <v>31</v>
      </c>
      <c r="AN1043" s="4">
        <v>0</v>
      </c>
      <c r="AO1043" s="4">
        <v>0</v>
      </c>
      <c r="AP1043" s="4">
        <v>6</v>
      </c>
      <c r="AQ1043" s="4">
        <v>11</v>
      </c>
      <c r="AR1043" s="3" t="s">
        <v>64</v>
      </c>
      <c r="AS1043" s="3" t="s">
        <v>64</v>
      </c>
      <c r="AT1043" s="3" t="s">
        <v>64</v>
      </c>
      <c r="AV1043" s="6" t="str">
        <f>HYPERLINK("http://mcgill.on.worldcat.org/oclc/769763881","Catalog Record")</f>
        <v>Catalog Record</v>
      </c>
      <c r="AW1043" s="6" t="str">
        <f>HYPERLINK("http://www.worldcat.org/oclc/769763881","WorldCat Record")</f>
        <v>WorldCat Record</v>
      </c>
      <c r="AX1043" s="3" t="s">
        <v>10370</v>
      </c>
      <c r="AY1043" s="3" t="s">
        <v>10371</v>
      </c>
      <c r="AZ1043" s="3" t="s">
        <v>10372</v>
      </c>
      <c r="BA1043" s="3" t="s">
        <v>10372</v>
      </c>
      <c r="BB1043" s="3" t="s">
        <v>10373</v>
      </c>
      <c r="BC1043" s="3" t="s">
        <v>77</v>
      </c>
      <c r="BD1043" s="3" t="s">
        <v>78</v>
      </c>
      <c r="BE1043" s="3" t="s">
        <v>10374</v>
      </c>
      <c r="BF1043" s="3" t="s">
        <v>10373</v>
      </c>
      <c r="BG1043" s="3" t="s">
        <v>10375</v>
      </c>
      <c r="BH1043">
        <f t="shared" si="33"/>
        <v>0</v>
      </c>
    </row>
    <row r="1044" spans="1:60" ht="58" x14ac:dyDescent="0.35">
      <c r="A1044" s="2" t="s">
        <v>59</v>
      </c>
      <c r="B1044" s="2" t="s">
        <v>60</v>
      </c>
      <c r="C1044" s="2" t="s">
        <v>10376</v>
      </c>
      <c r="D1044" s="2" t="s">
        <v>10377</v>
      </c>
      <c r="E1044" s="2" t="s">
        <v>10378</v>
      </c>
      <c r="G1044" s="3" t="s">
        <v>64</v>
      </c>
      <c r="I1044" s="3" t="s">
        <v>64</v>
      </c>
      <c r="J1044" s="3" t="s">
        <v>64</v>
      </c>
      <c r="K1044" s="3" t="s">
        <v>65</v>
      </c>
      <c r="L1044" s="2" t="s">
        <v>10379</v>
      </c>
      <c r="M1044" s="2" t="s">
        <v>10380</v>
      </c>
      <c r="N1044" s="3" t="s">
        <v>3047</v>
      </c>
      <c r="P1044" s="3" t="s">
        <v>102</v>
      </c>
      <c r="R1044" s="3" t="s">
        <v>70</v>
      </c>
      <c r="S1044" s="4">
        <v>5</v>
      </c>
      <c r="T1044" s="4">
        <v>5</v>
      </c>
      <c r="U1044" s="5" t="s">
        <v>10381</v>
      </c>
      <c r="V1044" s="5" t="s">
        <v>10381</v>
      </c>
      <c r="W1044" s="5" t="s">
        <v>72</v>
      </c>
      <c r="X1044" s="5" t="s">
        <v>72</v>
      </c>
      <c r="Y1044" s="4">
        <v>258</v>
      </c>
      <c r="Z1044" s="4">
        <v>17</v>
      </c>
      <c r="AA1044" s="4">
        <v>17</v>
      </c>
      <c r="AB1044" s="4">
        <v>1</v>
      </c>
      <c r="AC1044" s="4">
        <v>1</v>
      </c>
      <c r="AD1044" s="4">
        <v>81</v>
      </c>
      <c r="AE1044" s="4">
        <v>93</v>
      </c>
      <c r="AF1044" s="4">
        <v>0</v>
      </c>
      <c r="AG1044" s="4">
        <v>0</v>
      </c>
      <c r="AH1044" s="4">
        <v>71</v>
      </c>
      <c r="AI1044" s="4">
        <v>83</v>
      </c>
      <c r="AJ1044" s="4">
        <v>13</v>
      </c>
      <c r="AK1044" s="4">
        <v>13</v>
      </c>
      <c r="AL1044" s="4">
        <v>43</v>
      </c>
      <c r="AM1044" s="4">
        <v>49</v>
      </c>
      <c r="AN1044" s="4">
        <v>0</v>
      </c>
      <c r="AO1044" s="4">
        <v>0</v>
      </c>
      <c r="AP1044" s="4">
        <v>15</v>
      </c>
      <c r="AQ1044" s="4">
        <v>15</v>
      </c>
      <c r="AR1044" s="3" t="s">
        <v>64</v>
      </c>
      <c r="AS1044" s="3" t="s">
        <v>64</v>
      </c>
      <c r="AT1044" s="3" t="s">
        <v>64</v>
      </c>
      <c r="AV1044" s="6" t="str">
        <f>HYPERLINK("http://mcgill.on.worldcat.org/oclc/18049647","Catalog Record")</f>
        <v>Catalog Record</v>
      </c>
      <c r="AW1044" s="6" t="str">
        <f>HYPERLINK("http://www.worldcat.org/oclc/18049647","WorldCat Record")</f>
        <v>WorldCat Record</v>
      </c>
      <c r="AX1044" s="3" t="s">
        <v>10382</v>
      </c>
      <c r="AY1044" s="3" t="s">
        <v>10383</v>
      </c>
      <c r="AZ1044" s="3" t="s">
        <v>10384</v>
      </c>
      <c r="BA1044" s="3" t="s">
        <v>10384</v>
      </c>
      <c r="BB1044" s="3" t="s">
        <v>10385</v>
      </c>
      <c r="BC1044" s="3" t="s">
        <v>77</v>
      </c>
      <c r="BD1044" s="3" t="s">
        <v>78</v>
      </c>
      <c r="BE1044" s="3" t="s">
        <v>10386</v>
      </c>
      <c r="BF1044" s="3" t="s">
        <v>10385</v>
      </c>
      <c r="BG1044" s="3" t="s">
        <v>10387</v>
      </c>
      <c r="BH1044">
        <f t="shared" si="33"/>
        <v>0</v>
      </c>
    </row>
    <row r="1045" spans="1:60" ht="58" x14ac:dyDescent="0.35">
      <c r="A1045" s="2" t="s">
        <v>59</v>
      </c>
      <c r="B1045" s="2" t="s">
        <v>60</v>
      </c>
      <c r="C1045" s="2" t="s">
        <v>10388</v>
      </c>
      <c r="D1045" s="2" t="s">
        <v>10389</v>
      </c>
      <c r="E1045" s="2" t="s">
        <v>10390</v>
      </c>
      <c r="G1045" s="3" t="s">
        <v>64</v>
      </c>
      <c r="I1045" s="3" t="s">
        <v>64</v>
      </c>
      <c r="J1045" s="3" t="s">
        <v>64</v>
      </c>
      <c r="K1045" s="3" t="s">
        <v>65</v>
      </c>
      <c r="L1045" s="2" t="s">
        <v>10391</v>
      </c>
      <c r="M1045" s="2" t="s">
        <v>10392</v>
      </c>
      <c r="N1045" s="3" t="s">
        <v>768</v>
      </c>
      <c r="P1045" s="3" t="s">
        <v>102</v>
      </c>
      <c r="R1045" s="3" t="s">
        <v>70</v>
      </c>
      <c r="S1045" s="4">
        <v>13</v>
      </c>
      <c r="T1045" s="4">
        <v>13</v>
      </c>
      <c r="U1045" s="5" t="s">
        <v>10393</v>
      </c>
      <c r="V1045" s="5" t="s">
        <v>10393</v>
      </c>
      <c r="W1045" s="5" t="s">
        <v>72</v>
      </c>
      <c r="X1045" s="5" t="s">
        <v>72</v>
      </c>
      <c r="Y1045" s="4">
        <v>277</v>
      </c>
      <c r="Z1045" s="4">
        <v>26</v>
      </c>
      <c r="AA1045" s="4">
        <v>26</v>
      </c>
      <c r="AB1045" s="4">
        <v>1</v>
      </c>
      <c r="AC1045" s="4">
        <v>1</v>
      </c>
      <c r="AD1045" s="4">
        <v>84</v>
      </c>
      <c r="AE1045" s="4">
        <v>84</v>
      </c>
      <c r="AF1045" s="4">
        <v>0</v>
      </c>
      <c r="AG1045" s="4">
        <v>0</v>
      </c>
      <c r="AH1045" s="4">
        <v>73</v>
      </c>
      <c r="AI1045" s="4">
        <v>73</v>
      </c>
      <c r="AJ1045" s="4">
        <v>18</v>
      </c>
      <c r="AK1045" s="4">
        <v>18</v>
      </c>
      <c r="AL1045" s="4">
        <v>39</v>
      </c>
      <c r="AM1045" s="4">
        <v>39</v>
      </c>
      <c r="AN1045" s="4">
        <v>0</v>
      </c>
      <c r="AO1045" s="4">
        <v>0</v>
      </c>
      <c r="AP1045" s="4">
        <v>19</v>
      </c>
      <c r="AQ1045" s="4">
        <v>19</v>
      </c>
      <c r="AR1045" s="3" t="s">
        <v>64</v>
      </c>
      <c r="AS1045" s="3" t="s">
        <v>64</v>
      </c>
      <c r="AT1045" s="3" t="s">
        <v>64</v>
      </c>
      <c r="AV1045" s="6" t="str">
        <f>HYPERLINK("http://mcgill.on.worldcat.org/oclc/3983643","Catalog Record")</f>
        <v>Catalog Record</v>
      </c>
      <c r="AW1045" s="6" t="str">
        <f>HYPERLINK("http://www.worldcat.org/oclc/3983643","WorldCat Record")</f>
        <v>WorldCat Record</v>
      </c>
      <c r="AX1045" s="3" t="s">
        <v>10394</v>
      </c>
      <c r="AY1045" s="3" t="s">
        <v>10395</v>
      </c>
      <c r="AZ1045" s="3" t="s">
        <v>10396</v>
      </c>
      <c r="BA1045" s="3" t="s">
        <v>10396</v>
      </c>
      <c r="BB1045" s="3" t="s">
        <v>10397</v>
      </c>
      <c r="BC1045" s="3" t="s">
        <v>77</v>
      </c>
      <c r="BD1045" s="3" t="s">
        <v>78</v>
      </c>
      <c r="BE1045" s="3" t="s">
        <v>10398</v>
      </c>
      <c r="BF1045" s="3" t="s">
        <v>10397</v>
      </c>
      <c r="BG1045" s="3" t="s">
        <v>10399</v>
      </c>
      <c r="BH1045">
        <f t="shared" si="33"/>
        <v>0</v>
      </c>
    </row>
    <row r="1046" spans="1:60" ht="58" x14ac:dyDescent="0.35">
      <c r="A1046" s="2" t="s">
        <v>59</v>
      </c>
      <c r="B1046" s="2" t="s">
        <v>60</v>
      </c>
      <c r="C1046" s="2" t="s">
        <v>10400</v>
      </c>
      <c r="D1046" s="2" t="s">
        <v>10401</v>
      </c>
      <c r="E1046" s="2" t="s">
        <v>10402</v>
      </c>
      <c r="G1046" s="3" t="s">
        <v>64</v>
      </c>
      <c r="I1046" s="3" t="s">
        <v>64</v>
      </c>
      <c r="J1046" s="3" t="s">
        <v>64</v>
      </c>
      <c r="K1046" s="3" t="s">
        <v>65</v>
      </c>
      <c r="M1046" s="2" t="s">
        <v>10403</v>
      </c>
      <c r="N1046" s="3" t="s">
        <v>578</v>
      </c>
      <c r="P1046" s="3" t="s">
        <v>102</v>
      </c>
      <c r="Q1046" s="2" t="s">
        <v>10404</v>
      </c>
      <c r="R1046" s="3" t="s">
        <v>70</v>
      </c>
      <c r="S1046" s="4">
        <v>4</v>
      </c>
      <c r="T1046" s="4">
        <v>4</v>
      </c>
      <c r="U1046" s="5" t="s">
        <v>10182</v>
      </c>
      <c r="V1046" s="5" t="s">
        <v>10182</v>
      </c>
      <c r="W1046" s="5" t="s">
        <v>72</v>
      </c>
      <c r="X1046" s="5" t="s">
        <v>72</v>
      </c>
      <c r="Y1046" s="4">
        <v>43</v>
      </c>
      <c r="Z1046" s="4">
        <v>7</v>
      </c>
      <c r="AA1046" s="4">
        <v>12</v>
      </c>
      <c r="AB1046" s="4">
        <v>1</v>
      </c>
      <c r="AC1046" s="4">
        <v>4</v>
      </c>
      <c r="AD1046" s="4">
        <v>24</v>
      </c>
      <c r="AE1046" s="4">
        <v>42</v>
      </c>
      <c r="AF1046" s="4">
        <v>0</v>
      </c>
      <c r="AG1046" s="4">
        <v>0</v>
      </c>
      <c r="AH1046" s="4">
        <v>21</v>
      </c>
      <c r="AI1046" s="4">
        <v>37</v>
      </c>
      <c r="AJ1046" s="4">
        <v>4</v>
      </c>
      <c r="AK1046" s="4">
        <v>6</v>
      </c>
      <c r="AL1046" s="4">
        <v>17</v>
      </c>
      <c r="AM1046" s="4">
        <v>30</v>
      </c>
      <c r="AN1046" s="4">
        <v>0</v>
      </c>
      <c r="AO1046" s="4">
        <v>0</v>
      </c>
      <c r="AP1046" s="4">
        <v>4</v>
      </c>
      <c r="AQ1046" s="4">
        <v>6</v>
      </c>
      <c r="AR1046" s="3" t="s">
        <v>64</v>
      </c>
      <c r="AS1046" s="3" t="s">
        <v>64</v>
      </c>
      <c r="AT1046" s="3" t="s">
        <v>64</v>
      </c>
      <c r="AV1046" s="6" t="str">
        <f>HYPERLINK("http://mcgill.on.worldcat.org/oclc/962394915","Catalog Record")</f>
        <v>Catalog Record</v>
      </c>
      <c r="AW1046" s="6" t="str">
        <f>HYPERLINK("http://www.worldcat.org/oclc/962394915","WorldCat Record")</f>
        <v>WorldCat Record</v>
      </c>
      <c r="AX1046" s="3" t="s">
        <v>10405</v>
      </c>
      <c r="AY1046" s="3" t="s">
        <v>10406</v>
      </c>
      <c r="AZ1046" s="3" t="s">
        <v>10407</v>
      </c>
      <c r="BA1046" s="3" t="s">
        <v>10407</v>
      </c>
      <c r="BB1046" s="3" t="s">
        <v>10408</v>
      </c>
      <c r="BC1046" s="3" t="s">
        <v>77</v>
      </c>
      <c r="BD1046" s="3" t="s">
        <v>78</v>
      </c>
      <c r="BE1046" s="3" t="s">
        <v>10409</v>
      </c>
      <c r="BF1046" s="3" t="s">
        <v>10408</v>
      </c>
      <c r="BG1046" s="3" t="s">
        <v>10410</v>
      </c>
      <c r="BH1046">
        <f t="shared" si="33"/>
        <v>0</v>
      </c>
    </row>
    <row r="1047" spans="1:60" ht="58" x14ac:dyDescent="0.35">
      <c r="A1047" s="2" t="s">
        <v>59</v>
      </c>
      <c r="B1047" s="2" t="s">
        <v>60</v>
      </c>
      <c r="C1047" s="2" t="s">
        <v>10411</v>
      </c>
      <c r="D1047" s="2" t="s">
        <v>10412</v>
      </c>
      <c r="E1047" s="2" t="s">
        <v>10413</v>
      </c>
      <c r="G1047" s="3" t="s">
        <v>64</v>
      </c>
      <c r="I1047" s="3" t="s">
        <v>64</v>
      </c>
      <c r="J1047" s="3" t="s">
        <v>64</v>
      </c>
      <c r="K1047" s="3" t="s">
        <v>65</v>
      </c>
      <c r="L1047" s="2" t="s">
        <v>10414</v>
      </c>
      <c r="M1047" s="2" t="s">
        <v>4696</v>
      </c>
      <c r="N1047" s="3" t="s">
        <v>144</v>
      </c>
      <c r="P1047" s="3" t="s">
        <v>102</v>
      </c>
      <c r="R1047" s="3" t="s">
        <v>70</v>
      </c>
      <c r="S1047" s="4">
        <v>3</v>
      </c>
      <c r="T1047" s="4">
        <v>3</v>
      </c>
      <c r="U1047" s="5" t="s">
        <v>10415</v>
      </c>
      <c r="V1047" s="5" t="s">
        <v>10415</v>
      </c>
      <c r="W1047" s="5" t="s">
        <v>72</v>
      </c>
      <c r="X1047" s="5" t="s">
        <v>72</v>
      </c>
      <c r="Y1047" s="4">
        <v>208</v>
      </c>
      <c r="Z1047" s="4">
        <v>19</v>
      </c>
      <c r="AA1047" s="4">
        <v>33</v>
      </c>
      <c r="AB1047" s="4">
        <v>3</v>
      </c>
      <c r="AC1047" s="4">
        <v>6</v>
      </c>
      <c r="AD1047" s="4">
        <v>77</v>
      </c>
      <c r="AE1047" s="4">
        <v>98</v>
      </c>
      <c r="AF1047" s="4">
        <v>1</v>
      </c>
      <c r="AG1047" s="4">
        <v>1</v>
      </c>
      <c r="AH1047" s="4">
        <v>66</v>
      </c>
      <c r="AI1047" s="4">
        <v>80</v>
      </c>
      <c r="AJ1047" s="4">
        <v>12</v>
      </c>
      <c r="AK1047" s="4">
        <v>13</v>
      </c>
      <c r="AL1047" s="4">
        <v>45</v>
      </c>
      <c r="AM1047" s="4">
        <v>52</v>
      </c>
      <c r="AN1047" s="4">
        <v>0</v>
      </c>
      <c r="AO1047" s="4">
        <v>0</v>
      </c>
      <c r="AP1047" s="4">
        <v>13</v>
      </c>
      <c r="AQ1047" s="4">
        <v>20</v>
      </c>
      <c r="AR1047" s="3" t="s">
        <v>64</v>
      </c>
      <c r="AS1047" s="3" t="s">
        <v>64</v>
      </c>
      <c r="AT1047" s="3" t="s">
        <v>64</v>
      </c>
      <c r="AV1047" s="6" t="str">
        <f>HYPERLINK("http://mcgill.on.worldcat.org/oclc/191810612","Catalog Record")</f>
        <v>Catalog Record</v>
      </c>
      <c r="AW1047" s="6" t="str">
        <f>HYPERLINK("http://www.worldcat.org/oclc/191810612","WorldCat Record")</f>
        <v>WorldCat Record</v>
      </c>
      <c r="AX1047" s="3" t="s">
        <v>10416</v>
      </c>
      <c r="AY1047" s="3" t="s">
        <v>10417</v>
      </c>
      <c r="AZ1047" s="3" t="s">
        <v>10418</v>
      </c>
      <c r="BA1047" s="3" t="s">
        <v>10418</v>
      </c>
      <c r="BB1047" s="3" t="s">
        <v>10419</v>
      </c>
      <c r="BC1047" s="3" t="s">
        <v>77</v>
      </c>
      <c r="BD1047" s="3" t="s">
        <v>78</v>
      </c>
      <c r="BE1047" s="3" t="s">
        <v>10420</v>
      </c>
      <c r="BF1047" s="3" t="s">
        <v>10419</v>
      </c>
      <c r="BG1047" s="3" t="s">
        <v>10421</v>
      </c>
      <c r="BH1047">
        <f t="shared" si="33"/>
        <v>0</v>
      </c>
    </row>
    <row r="1048" spans="1:60" ht="58" x14ac:dyDescent="0.35">
      <c r="A1048" s="2" t="s">
        <v>59</v>
      </c>
      <c r="B1048" s="2" t="s">
        <v>60</v>
      </c>
      <c r="C1048" s="2" t="s">
        <v>10422</v>
      </c>
      <c r="D1048" s="2" t="s">
        <v>10423</v>
      </c>
      <c r="E1048" s="2" t="s">
        <v>10424</v>
      </c>
      <c r="G1048" s="3" t="s">
        <v>64</v>
      </c>
      <c r="I1048" s="3" t="s">
        <v>128</v>
      </c>
      <c r="J1048" s="3" t="s">
        <v>64</v>
      </c>
      <c r="K1048" s="3" t="s">
        <v>65</v>
      </c>
      <c r="M1048" s="2" t="s">
        <v>10425</v>
      </c>
      <c r="N1048" s="3" t="s">
        <v>421</v>
      </c>
      <c r="P1048" s="3" t="s">
        <v>102</v>
      </c>
      <c r="Q1048" s="2" t="s">
        <v>10426</v>
      </c>
      <c r="R1048" s="3" t="s">
        <v>70</v>
      </c>
      <c r="S1048" s="4">
        <v>4</v>
      </c>
      <c r="T1048" s="4">
        <v>6</v>
      </c>
      <c r="U1048" s="5" t="s">
        <v>7164</v>
      </c>
      <c r="V1048" s="5" t="s">
        <v>7164</v>
      </c>
      <c r="W1048" s="5" t="s">
        <v>72</v>
      </c>
      <c r="X1048" s="5" t="s">
        <v>72</v>
      </c>
      <c r="Y1048" s="4">
        <v>166</v>
      </c>
      <c r="Z1048" s="4">
        <v>7</v>
      </c>
      <c r="AA1048" s="4">
        <v>15</v>
      </c>
      <c r="AB1048" s="4">
        <v>1</v>
      </c>
      <c r="AC1048" s="4">
        <v>1</v>
      </c>
      <c r="AD1048" s="4">
        <v>78</v>
      </c>
      <c r="AE1048" s="4">
        <v>89</v>
      </c>
      <c r="AF1048" s="4">
        <v>0</v>
      </c>
      <c r="AG1048" s="4">
        <v>0</v>
      </c>
      <c r="AH1048" s="4">
        <v>74</v>
      </c>
      <c r="AI1048" s="4">
        <v>81</v>
      </c>
      <c r="AJ1048" s="4">
        <v>6</v>
      </c>
      <c r="AK1048" s="4">
        <v>10</v>
      </c>
      <c r="AL1048" s="4">
        <v>44</v>
      </c>
      <c r="AM1048" s="4">
        <v>49</v>
      </c>
      <c r="AN1048" s="4">
        <v>0</v>
      </c>
      <c r="AO1048" s="4">
        <v>0</v>
      </c>
      <c r="AP1048" s="4">
        <v>6</v>
      </c>
      <c r="AQ1048" s="4">
        <v>10</v>
      </c>
      <c r="AR1048" s="3" t="s">
        <v>64</v>
      </c>
      <c r="AS1048" s="3" t="s">
        <v>64</v>
      </c>
      <c r="AT1048" s="3" t="s">
        <v>128</v>
      </c>
      <c r="AU1048" s="6" t="str">
        <f>HYPERLINK("http://catalog.hathitrust.org/Record/003553763","HathiTrust Record")</f>
        <v>HathiTrust Record</v>
      </c>
      <c r="AV1048" s="6" t="str">
        <f>HYPERLINK("http://mcgill.on.worldcat.org/oclc/36582013","Catalog Record")</f>
        <v>Catalog Record</v>
      </c>
      <c r="AW1048" s="6" t="str">
        <f>HYPERLINK("http://www.worldcat.org/oclc/36582013","WorldCat Record")</f>
        <v>WorldCat Record</v>
      </c>
      <c r="AX1048" s="3" t="s">
        <v>10427</v>
      </c>
      <c r="AY1048" s="3" t="s">
        <v>10428</v>
      </c>
      <c r="AZ1048" s="3" t="s">
        <v>10429</v>
      </c>
      <c r="BA1048" s="3" t="s">
        <v>10429</v>
      </c>
      <c r="BB1048" s="3" t="s">
        <v>10430</v>
      </c>
      <c r="BC1048" s="3" t="s">
        <v>77</v>
      </c>
      <c r="BD1048" s="3" t="s">
        <v>78</v>
      </c>
      <c r="BE1048" s="3" t="s">
        <v>10431</v>
      </c>
      <c r="BF1048" s="3" t="s">
        <v>10430</v>
      </c>
      <c r="BG1048" s="3" t="s">
        <v>10432</v>
      </c>
      <c r="BH1048">
        <f t="shared" si="33"/>
        <v>0</v>
      </c>
    </row>
    <row r="1049" spans="1:60" ht="58" x14ac:dyDescent="0.35">
      <c r="A1049" s="2" t="s">
        <v>59</v>
      </c>
      <c r="B1049" s="2" t="s">
        <v>60</v>
      </c>
      <c r="C1049" s="2" t="s">
        <v>10433</v>
      </c>
      <c r="D1049" s="2" t="s">
        <v>10434</v>
      </c>
      <c r="E1049" s="2" t="s">
        <v>10435</v>
      </c>
      <c r="G1049" s="3" t="s">
        <v>64</v>
      </c>
      <c r="I1049" s="3" t="s">
        <v>64</v>
      </c>
      <c r="J1049" s="3" t="s">
        <v>64</v>
      </c>
      <c r="K1049" s="3" t="s">
        <v>65</v>
      </c>
      <c r="M1049" s="2" t="s">
        <v>10436</v>
      </c>
      <c r="N1049" s="3" t="s">
        <v>537</v>
      </c>
      <c r="P1049" s="3" t="s">
        <v>102</v>
      </c>
      <c r="R1049" s="3" t="s">
        <v>70</v>
      </c>
      <c r="S1049" s="4">
        <v>1</v>
      </c>
      <c r="T1049" s="4">
        <v>1</v>
      </c>
      <c r="U1049" s="5" t="s">
        <v>10437</v>
      </c>
      <c r="V1049" s="5" t="s">
        <v>10437</v>
      </c>
      <c r="W1049" s="5" t="s">
        <v>72</v>
      </c>
      <c r="X1049" s="5" t="s">
        <v>72</v>
      </c>
      <c r="Y1049" s="4">
        <v>24</v>
      </c>
      <c r="Z1049" s="4">
        <v>1</v>
      </c>
      <c r="AA1049" s="4">
        <v>8</v>
      </c>
      <c r="AB1049" s="4">
        <v>1</v>
      </c>
      <c r="AC1049" s="4">
        <v>1</v>
      </c>
      <c r="AD1049" s="4">
        <v>12</v>
      </c>
      <c r="AE1049" s="4">
        <v>38</v>
      </c>
      <c r="AF1049" s="4">
        <v>0</v>
      </c>
      <c r="AG1049" s="4">
        <v>0</v>
      </c>
      <c r="AH1049" s="4">
        <v>12</v>
      </c>
      <c r="AI1049" s="4">
        <v>35</v>
      </c>
      <c r="AJ1049" s="4">
        <v>0</v>
      </c>
      <c r="AK1049" s="4">
        <v>5</v>
      </c>
      <c r="AL1049" s="4">
        <v>8</v>
      </c>
      <c r="AM1049" s="4">
        <v>24</v>
      </c>
      <c r="AN1049" s="4">
        <v>0</v>
      </c>
      <c r="AO1049" s="4">
        <v>0</v>
      </c>
      <c r="AP1049" s="4">
        <v>0</v>
      </c>
      <c r="AQ1049" s="4">
        <v>5</v>
      </c>
      <c r="AR1049" s="3" t="s">
        <v>64</v>
      </c>
      <c r="AS1049" s="3" t="s">
        <v>64</v>
      </c>
      <c r="AT1049" s="3" t="s">
        <v>64</v>
      </c>
      <c r="AV1049" s="6" t="str">
        <f>HYPERLINK("http://mcgill.on.worldcat.org/oclc/909250771","Catalog Record")</f>
        <v>Catalog Record</v>
      </c>
      <c r="AW1049" s="6" t="str">
        <f>HYPERLINK("http://www.worldcat.org/oclc/909250771","WorldCat Record")</f>
        <v>WorldCat Record</v>
      </c>
      <c r="AX1049" s="3" t="s">
        <v>10438</v>
      </c>
      <c r="AY1049" s="3" t="s">
        <v>10439</v>
      </c>
      <c r="AZ1049" s="3" t="s">
        <v>10440</v>
      </c>
      <c r="BA1049" s="3" t="s">
        <v>10440</v>
      </c>
      <c r="BB1049" s="3" t="s">
        <v>10441</v>
      </c>
      <c r="BC1049" s="3" t="s">
        <v>77</v>
      </c>
      <c r="BD1049" s="3" t="s">
        <v>78</v>
      </c>
      <c r="BE1049" s="3" t="s">
        <v>10442</v>
      </c>
      <c r="BF1049" s="3" t="s">
        <v>10441</v>
      </c>
      <c r="BG1049" s="3" t="s">
        <v>10443</v>
      </c>
      <c r="BH1049">
        <f t="shared" si="33"/>
        <v>0</v>
      </c>
    </row>
    <row r="1050" spans="1:60" ht="58" x14ac:dyDescent="0.35">
      <c r="A1050" s="2" t="s">
        <v>59</v>
      </c>
      <c r="B1050" s="2" t="s">
        <v>60</v>
      </c>
      <c r="C1050" s="2" t="s">
        <v>10444</v>
      </c>
      <c r="D1050" s="2" t="s">
        <v>10445</v>
      </c>
      <c r="E1050" s="2" t="s">
        <v>10446</v>
      </c>
      <c r="G1050" s="3" t="s">
        <v>64</v>
      </c>
      <c r="I1050" s="3" t="s">
        <v>64</v>
      </c>
      <c r="J1050" s="3" t="s">
        <v>64</v>
      </c>
      <c r="K1050" s="3" t="s">
        <v>65</v>
      </c>
      <c r="L1050" s="2" t="s">
        <v>10447</v>
      </c>
      <c r="M1050" s="2" t="s">
        <v>10448</v>
      </c>
      <c r="N1050" s="3" t="s">
        <v>6948</v>
      </c>
      <c r="P1050" s="3" t="s">
        <v>102</v>
      </c>
      <c r="Q1050" s="2" t="s">
        <v>10449</v>
      </c>
      <c r="R1050" s="3" t="s">
        <v>70</v>
      </c>
      <c r="S1050" s="4">
        <v>3</v>
      </c>
      <c r="T1050" s="4">
        <v>3</v>
      </c>
      <c r="U1050" s="5" t="s">
        <v>10450</v>
      </c>
      <c r="V1050" s="5" t="s">
        <v>10450</v>
      </c>
      <c r="W1050" s="5" t="s">
        <v>72</v>
      </c>
      <c r="X1050" s="5" t="s">
        <v>72</v>
      </c>
      <c r="Y1050" s="4">
        <v>243</v>
      </c>
      <c r="Z1050" s="4">
        <v>21</v>
      </c>
      <c r="AA1050" s="4">
        <v>28</v>
      </c>
      <c r="AB1050" s="4">
        <v>2</v>
      </c>
      <c r="AC1050" s="4">
        <v>2</v>
      </c>
      <c r="AD1050" s="4">
        <v>96</v>
      </c>
      <c r="AE1050" s="4">
        <v>111</v>
      </c>
      <c r="AF1050" s="4">
        <v>1</v>
      </c>
      <c r="AG1050" s="4">
        <v>1</v>
      </c>
      <c r="AH1050" s="4">
        <v>86</v>
      </c>
      <c r="AI1050" s="4">
        <v>96</v>
      </c>
      <c r="AJ1050" s="4">
        <v>13</v>
      </c>
      <c r="AK1050" s="4">
        <v>18</v>
      </c>
      <c r="AL1050" s="4">
        <v>51</v>
      </c>
      <c r="AM1050" s="4">
        <v>53</v>
      </c>
      <c r="AN1050" s="4">
        <v>0</v>
      </c>
      <c r="AO1050" s="4">
        <v>0</v>
      </c>
      <c r="AP1050" s="4">
        <v>15</v>
      </c>
      <c r="AQ1050" s="4">
        <v>21</v>
      </c>
      <c r="AR1050" s="3" t="s">
        <v>64</v>
      </c>
      <c r="AS1050" s="3" t="s">
        <v>64</v>
      </c>
      <c r="AT1050" s="3" t="s">
        <v>128</v>
      </c>
      <c r="AU1050" s="6" t="str">
        <f>HYPERLINK("http://catalog.hathitrust.org/Record/001161853","HathiTrust Record")</f>
        <v>HathiTrust Record</v>
      </c>
      <c r="AV1050" s="6" t="str">
        <f>HYPERLINK("http://mcgill.on.worldcat.org/oclc/14736119","Catalog Record")</f>
        <v>Catalog Record</v>
      </c>
      <c r="AW1050" s="6" t="str">
        <f>HYPERLINK("http://www.worldcat.org/oclc/14736119","WorldCat Record")</f>
        <v>WorldCat Record</v>
      </c>
      <c r="AX1050" s="3" t="s">
        <v>10451</v>
      </c>
      <c r="AY1050" s="3" t="s">
        <v>10452</v>
      </c>
      <c r="AZ1050" s="3" t="s">
        <v>10453</v>
      </c>
      <c r="BA1050" s="3" t="s">
        <v>10453</v>
      </c>
      <c r="BB1050" s="3" t="s">
        <v>10454</v>
      </c>
      <c r="BC1050" s="3" t="s">
        <v>77</v>
      </c>
      <c r="BD1050" s="3" t="s">
        <v>78</v>
      </c>
      <c r="BF1050" s="3" t="s">
        <v>10454</v>
      </c>
      <c r="BG1050" s="3" t="s">
        <v>10455</v>
      </c>
      <c r="BH1050">
        <f t="shared" si="33"/>
        <v>0</v>
      </c>
    </row>
    <row r="1051" spans="1:60" ht="58" x14ac:dyDescent="0.35">
      <c r="A1051" s="2" t="s">
        <v>59</v>
      </c>
      <c r="B1051" s="2" t="s">
        <v>60</v>
      </c>
      <c r="C1051" s="2" t="s">
        <v>10456</v>
      </c>
      <c r="D1051" s="2" t="s">
        <v>10457</v>
      </c>
      <c r="E1051" s="2" t="s">
        <v>10458</v>
      </c>
      <c r="G1051" s="3" t="s">
        <v>64</v>
      </c>
      <c r="I1051" s="3" t="s">
        <v>64</v>
      </c>
      <c r="J1051" s="3" t="s">
        <v>64</v>
      </c>
      <c r="K1051" s="3" t="s">
        <v>65</v>
      </c>
      <c r="L1051" s="2" t="s">
        <v>563</v>
      </c>
      <c r="M1051" s="2" t="s">
        <v>10459</v>
      </c>
      <c r="N1051" s="3" t="s">
        <v>153</v>
      </c>
      <c r="P1051" s="3" t="s">
        <v>102</v>
      </c>
      <c r="R1051" s="3" t="s">
        <v>70</v>
      </c>
      <c r="S1051" s="4">
        <v>1</v>
      </c>
      <c r="T1051" s="4">
        <v>1</v>
      </c>
      <c r="U1051" s="5" t="s">
        <v>10460</v>
      </c>
      <c r="V1051" s="5" t="s">
        <v>10460</v>
      </c>
      <c r="W1051" s="5" t="s">
        <v>72</v>
      </c>
      <c r="X1051" s="5" t="s">
        <v>72</v>
      </c>
      <c r="Y1051" s="4">
        <v>190</v>
      </c>
      <c r="Z1051" s="4">
        <v>12</v>
      </c>
      <c r="AA1051" s="4">
        <v>92</v>
      </c>
      <c r="AB1051" s="4">
        <v>2</v>
      </c>
      <c r="AC1051" s="4">
        <v>18</v>
      </c>
      <c r="AD1051" s="4">
        <v>85</v>
      </c>
      <c r="AE1051" s="4">
        <v>138</v>
      </c>
      <c r="AF1051" s="4">
        <v>0</v>
      </c>
      <c r="AG1051" s="4">
        <v>8</v>
      </c>
      <c r="AH1051" s="4">
        <v>79</v>
      </c>
      <c r="AI1051" s="4">
        <v>100</v>
      </c>
      <c r="AJ1051" s="4">
        <v>8</v>
      </c>
      <c r="AK1051" s="4">
        <v>27</v>
      </c>
      <c r="AL1051" s="4">
        <v>50</v>
      </c>
      <c r="AM1051" s="4">
        <v>55</v>
      </c>
      <c r="AN1051" s="4">
        <v>0</v>
      </c>
      <c r="AO1051" s="4">
        <v>0</v>
      </c>
      <c r="AP1051" s="4">
        <v>8</v>
      </c>
      <c r="AQ1051" s="4">
        <v>46</v>
      </c>
      <c r="AR1051" s="3" t="s">
        <v>64</v>
      </c>
      <c r="AS1051" s="3" t="s">
        <v>64</v>
      </c>
      <c r="AT1051" s="3" t="s">
        <v>64</v>
      </c>
      <c r="AV1051" s="6" t="str">
        <f>HYPERLINK("http://mcgill.on.worldcat.org/oclc/40838891","Catalog Record")</f>
        <v>Catalog Record</v>
      </c>
      <c r="AW1051" s="6" t="str">
        <f>HYPERLINK("http://www.worldcat.org/oclc/40838891","WorldCat Record")</f>
        <v>WorldCat Record</v>
      </c>
      <c r="AX1051" s="3" t="s">
        <v>10461</v>
      </c>
      <c r="AY1051" s="3" t="s">
        <v>10462</v>
      </c>
      <c r="AZ1051" s="3" t="s">
        <v>10463</v>
      </c>
      <c r="BA1051" s="3" t="s">
        <v>10463</v>
      </c>
      <c r="BB1051" s="3" t="s">
        <v>10464</v>
      </c>
      <c r="BC1051" s="3" t="s">
        <v>77</v>
      </c>
      <c r="BD1051" s="3" t="s">
        <v>78</v>
      </c>
      <c r="BE1051" s="3" t="s">
        <v>10465</v>
      </c>
      <c r="BF1051" s="3" t="s">
        <v>10464</v>
      </c>
      <c r="BG1051" s="3" t="s">
        <v>10466</v>
      </c>
      <c r="BH1051">
        <f t="shared" si="33"/>
        <v>0</v>
      </c>
    </row>
    <row r="1052" spans="1:60" ht="58" x14ac:dyDescent="0.35">
      <c r="A1052" s="2" t="s">
        <v>59</v>
      </c>
      <c r="B1052" s="2" t="s">
        <v>60</v>
      </c>
      <c r="C1052" s="2" t="s">
        <v>10467</v>
      </c>
      <c r="D1052" s="2" t="s">
        <v>10468</v>
      </c>
      <c r="E1052" s="2" t="s">
        <v>10469</v>
      </c>
      <c r="G1052" s="3" t="s">
        <v>64</v>
      </c>
      <c r="I1052" s="3" t="s">
        <v>64</v>
      </c>
      <c r="J1052" s="3" t="s">
        <v>64</v>
      </c>
      <c r="K1052" s="3" t="s">
        <v>65</v>
      </c>
      <c r="L1052" s="2" t="s">
        <v>10470</v>
      </c>
      <c r="M1052" s="2" t="s">
        <v>10471</v>
      </c>
      <c r="N1052" s="3" t="s">
        <v>551</v>
      </c>
      <c r="P1052" s="3" t="s">
        <v>102</v>
      </c>
      <c r="R1052" s="3" t="s">
        <v>70</v>
      </c>
      <c r="S1052" s="4">
        <v>2</v>
      </c>
      <c r="T1052" s="4">
        <v>2</v>
      </c>
      <c r="U1052" s="5" t="s">
        <v>10472</v>
      </c>
      <c r="V1052" s="5" t="s">
        <v>10472</v>
      </c>
      <c r="W1052" s="5" t="s">
        <v>72</v>
      </c>
      <c r="X1052" s="5" t="s">
        <v>72</v>
      </c>
      <c r="Y1052" s="4">
        <v>265</v>
      </c>
      <c r="Z1052" s="4">
        <v>20</v>
      </c>
      <c r="AA1052" s="4">
        <v>22</v>
      </c>
      <c r="AB1052" s="4">
        <v>3</v>
      </c>
      <c r="AC1052" s="4">
        <v>3</v>
      </c>
      <c r="AD1052" s="4">
        <v>78</v>
      </c>
      <c r="AE1052" s="4">
        <v>80</v>
      </c>
      <c r="AF1052" s="4">
        <v>1</v>
      </c>
      <c r="AG1052" s="4">
        <v>1</v>
      </c>
      <c r="AH1052" s="4">
        <v>71</v>
      </c>
      <c r="AI1052" s="4">
        <v>71</v>
      </c>
      <c r="AJ1052" s="4">
        <v>15</v>
      </c>
      <c r="AK1052" s="4">
        <v>15</v>
      </c>
      <c r="AL1052" s="4">
        <v>38</v>
      </c>
      <c r="AM1052" s="4">
        <v>38</v>
      </c>
      <c r="AN1052" s="4">
        <v>0</v>
      </c>
      <c r="AO1052" s="4">
        <v>0</v>
      </c>
      <c r="AP1052" s="4">
        <v>16</v>
      </c>
      <c r="AQ1052" s="4">
        <v>18</v>
      </c>
      <c r="AR1052" s="3" t="s">
        <v>64</v>
      </c>
      <c r="AS1052" s="3" t="s">
        <v>64</v>
      </c>
      <c r="AT1052" s="3" t="s">
        <v>64</v>
      </c>
      <c r="AV1052" s="6" t="str">
        <f>HYPERLINK("http://mcgill.on.worldcat.org/oclc/558730694","Catalog Record")</f>
        <v>Catalog Record</v>
      </c>
      <c r="AW1052" s="6" t="str">
        <f>HYPERLINK("http://www.worldcat.org/oclc/558730694","WorldCat Record")</f>
        <v>WorldCat Record</v>
      </c>
      <c r="AX1052" s="3" t="s">
        <v>10473</v>
      </c>
      <c r="AY1052" s="3" t="s">
        <v>10474</v>
      </c>
      <c r="AZ1052" s="3" t="s">
        <v>10475</v>
      </c>
      <c r="BA1052" s="3" t="s">
        <v>10475</v>
      </c>
      <c r="BB1052" s="3" t="s">
        <v>10476</v>
      </c>
      <c r="BC1052" s="3" t="s">
        <v>77</v>
      </c>
      <c r="BD1052" s="3" t="s">
        <v>78</v>
      </c>
      <c r="BE1052" s="3" t="s">
        <v>10477</v>
      </c>
      <c r="BF1052" s="3" t="s">
        <v>10476</v>
      </c>
      <c r="BG1052" s="3" t="s">
        <v>10478</v>
      </c>
      <c r="BH1052">
        <f t="shared" si="33"/>
        <v>0</v>
      </c>
    </row>
    <row r="1053" spans="1:60" ht="58" x14ac:dyDescent="0.35">
      <c r="A1053" s="2" t="s">
        <v>59</v>
      </c>
      <c r="B1053" s="2" t="s">
        <v>60</v>
      </c>
      <c r="C1053" s="2" t="s">
        <v>10479</v>
      </c>
      <c r="D1053" s="2" t="s">
        <v>10480</v>
      </c>
      <c r="E1053" s="2" t="s">
        <v>10481</v>
      </c>
      <c r="G1053" s="3" t="s">
        <v>64</v>
      </c>
      <c r="I1053" s="3" t="s">
        <v>64</v>
      </c>
      <c r="J1053" s="3" t="s">
        <v>64</v>
      </c>
      <c r="K1053" s="3" t="s">
        <v>65</v>
      </c>
      <c r="L1053" s="2" t="s">
        <v>10482</v>
      </c>
      <c r="M1053" s="2" t="s">
        <v>10483</v>
      </c>
      <c r="N1053" s="3" t="s">
        <v>434</v>
      </c>
      <c r="P1053" s="3" t="s">
        <v>102</v>
      </c>
      <c r="R1053" s="3" t="s">
        <v>70</v>
      </c>
      <c r="S1053" s="4">
        <v>5</v>
      </c>
      <c r="T1053" s="4">
        <v>5</v>
      </c>
      <c r="U1053" s="5" t="s">
        <v>3865</v>
      </c>
      <c r="V1053" s="5" t="s">
        <v>3865</v>
      </c>
      <c r="W1053" s="5" t="s">
        <v>72</v>
      </c>
      <c r="X1053" s="5" t="s">
        <v>72</v>
      </c>
      <c r="Y1053" s="4">
        <v>190</v>
      </c>
      <c r="Z1053" s="4">
        <v>19</v>
      </c>
      <c r="AA1053" s="4">
        <v>22</v>
      </c>
      <c r="AB1053" s="4">
        <v>1</v>
      </c>
      <c r="AC1053" s="4">
        <v>1</v>
      </c>
      <c r="AD1053" s="4">
        <v>48</v>
      </c>
      <c r="AE1053" s="4">
        <v>71</v>
      </c>
      <c r="AF1053" s="4">
        <v>0</v>
      </c>
      <c r="AG1053" s="4">
        <v>0</v>
      </c>
      <c r="AH1053" s="4">
        <v>45</v>
      </c>
      <c r="AI1053" s="4">
        <v>66</v>
      </c>
      <c r="AJ1053" s="4">
        <v>10</v>
      </c>
      <c r="AK1053" s="4">
        <v>11</v>
      </c>
      <c r="AL1053" s="4">
        <v>24</v>
      </c>
      <c r="AM1053" s="4">
        <v>39</v>
      </c>
      <c r="AN1053" s="4">
        <v>0</v>
      </c>
      <c r="AO1053" s="4">
        <v>0</v>
      </c>
      <c r="AP1053" s="4">
        <v>10</v>
      </c>
      <c r="AQ1053" s="4">
        <v>11</v>
      </c>
      <c r="AR1053" s="3" t="s">
        <v>64</v>
      </c>
      <c r="AS1053" s="3" t="s">
        <v>64</v>
      </c>
      <c r="AT1053" s="3" t="s">
        <v>128</v>
      </c>
      <c r="AU1053" s="6" t="str">
        <f>HYPERLINK("http://catalog.hathitrust.org/Record/005029706","HathiTrust Record")</f>
        <v>HathiTrust Record</v>
      </c>
      <c r="AV1053" s="6" t="str">
        <f>HYPERLINK("http://mcgill.on.worldcat.org/oclc/57637625","Catalog Record")</f>
        <v>Catalog Record</v>
      </c>
      <c r="AW1053" s="6" t="str">
        <f>HYPERLINK("http://www.worldcat.org/oclc/57637625","WorldCat Record")</f>
        <v>WorldCat Record</v>
      </c>
      <c r="AX1053" s="3" t="s">
        <v>10484</v>
      </c>
      <c r="AY1053" s="3" t="s">
        <v>10485</v>
      </c>
      <c r="AZ1053" s="3" t="s">
        <v>10486</v>
      </c>
      <c r="BA1053" s="3" t="s">
        <v>10486</v>
      </c>
      <c r="BB1053" s="3" t="s">
        <v>10487</v>
      </c>
      <c r="BC1053" s="3" t="s">
        <v>77</v>
      </c>
      <c r="BD1053" s="3" t="s">
        <v>78</v>
      </c>
      <c r="BE1053" s="3" t="s">
        <v>10488</v>
      </c>
      <c r="BF1053" s="3" t="s">
        <v>10487</v>
      </c>
      <c r="BG1053" s="3" t="s">
        <v>10489</v>
      </c>
      <c r="BH1053">
        <f t="shared" si="33"/>
        <v>0</v>
      </c>
    </row>
    <row r="1054" spans="1:60" ht="58" x14ac:dyDescent="0.35">
      <c r="A1054" s="2" t="s">
        <v>59</v>
      </c>
      <c r="B1054" s="2" t="s">
        <v>60</v>
      </c>
      <c r="C1054" s="2" t="s">
        <v>10490</v>
      </c>
      <c r="D1054" s="2" t="s">
        <v>10491</v>
      </c>
      <c r="E1054" s="2" t="s">
        <v>10492</v>
      </c>
      <c r="G1054" s="3" t="s">
        <v>64</v>
      </c>
      <c r="I1054" s="3" t="s">
        <v>128</v>
      </c>
      <c r="J1054" s="3" t="s">
        <v>64</v>
      </c>
      <c r="K1054" s="3" t="s">
        <v>65</v>
      </c>
      <c r="L1054" s="2" t="s">
        <v>10493</v>
      </c>
      <c r="M1054" s="2" t="s">
        <v>10494</v>
      </c>
      <c r="N1054" s="3" t="s">
        <v>3721</v>
      </c>
      <c r="P1054" s="3" t="s">
        <v>102</v>
      </c>
      <c r="R1054" s="3" t="s">
        <v>70</v>
      </c>
      <c r="S1054" s="4">
        <v>7</v>
      </c>
      <c r="T1054" s="4">
        <v>7</v>
      </c>
      <c r="U1054" s="5" t="s">
        <v>3865</v>
      </c>
      <c r="V1054" s="5" t="s">
        <v>3865</v>
      </c>
      <c r="W1054" s="5" t="s">
        <v>72</v>
      </c>
      <c r="X1054" s="5" t="s">
        <v>72</v>
      </c>
      <c r="Y1054" s="4">
        <v>270</v>
      </c>
      <c r="Z1054" s="4">
        <v>19</v>
      </c>
      <c r="AA1054" s="4">
        <v>21</v>
      </c>
      <c r="AB1054" s="4">
        <v>1</v>
      </c>
      <c r="AC1054" s="4">
        <v>1</v>
      </c>
      <c r="AD1054" s="4">
        <v>72</v>
      </c>
      <c r="AE1054" s="4">
        <v>74</v>
      </c>
      <c r="AF1054" s="4">
        <v>0</v>
      </c>
      <c r="AG1054" s="4">
        <v>0</v>
      </c>
      <c r="AH1054" s="4">
        <v>63</v>
      </c>
      <c r="AI1054" s="4">
        <v>65</v>
      </c>
      <c r="AJ1054" s="4">
        <v>13</v>
      </c>
      <c r="AK1054" s="4">
        <v>14</v>
      </c>
      <c r="AL1054" s="4">
        <v>33</v>
      </c>
      <c r="AM1054" s="4">
        <v>33</v>
      </c>
      <c r="AN1054" s="4">
        <v>0</v>
      </c>
      <c r="AO1054" s="4">
        <v>0</v>
      </c>
      <c r="AP1054" s="4">
        <v>14</v>
      </c>
      <c r="AQ1054" s="4">
        <v>15</v>
      </c>
      <c r="AR1054" s="3" t="s">
        <v>64</v>
      </c>
      <c r="AS1054" s="3" t="s">
        <v>64</v>
      </c>
      <c r="AT1054" s="3" t="s">
        <v>64</v>
      </c>
      <c r="AV1054" s="6" t="str">
        <f>HYPERLINK("http://mcgill.on.worldcat.org/oclc/5935261","Catalog Record")</f>
        <v>Catalog Record</v>
      </c>
      <c r="AW1054" s="6" t="str">
        <f>HYPERLINK("http://www.worldcat.org/oclc/5935261","WorldCat Record")</f>
        <v>WorldCat Record</v>
      </c>
      <c r="AX1054" s="3" t="s">
        <v>10495</v>
      </c>
      <c r="AY1054" s="3" t="s">
        <v>10496</v>
      </c>
      <c r="AZ1054" s="3" t="s">
        <v>10497</v>
      </c>
      <c r="BA1054" s="3" t="s">
        <v>10497</v>
      </c>
      <c r="BB1054" s="3" t="s">
        <v>10498</v>
      </c>
      <c r="BC1054" s="3" t="s">
        <v>77</v>
      </c>
      <c r="BD1054" s="3" t="s">
        <v>78</v>
      </c>
      <c r="BE1054" s="3" t="s">
        <v>10499</v>
      </c>
      <c r="BF1054" s="3" t="s">
        <v>10498</v>
      </c>
      <c r="BG1054" s="3" t="s">
        <v>10500</v>
      </c>
      <c r="BH1054">
        <f t="shared" si="33"/>
        <v>0</v>
      </c>
    </row>
    <row r="1055" spans="1:60" ht="58" x14ac:dyDescent="0.35">
      <c r="A1055" s="2" t="s">
        <v>59</v>
      </c>
      <c r="B1055" s="2" t="s">
        <v>60</v>
      </c>
      <c r="C1055" s="2" t="s">
        <v>10501</v>
      </c>
      <c r="D1055" s="2" t="s">
        <v>10502</v>
      </c>
      <c r="E1055" s="2" t="s">
        <v>10503</v>
      </c>
      <c r="G1055" s="3" t="s">
        <v>64</v>
      </c>
      <c r="I1055" s="3" t="s">
        <v>64</v>
      </c>
      <c r="J1055" s="3" t="s">
        <v>128</v>
      </c>
      <c r="K1055" s="3" t="s">
        <v>65</v>
      </c>
      <c r="M1055" s="2" t="s">
        <v>10504</v>
      </c>
      <c r="N1055" s="3" t="s">
        <v>101</v>
      </c>
      <c r="P1055" s="3" t="s">
        <v>102</v>
      </c>
      <c r="Q1055" s="2" t="s">
        <v>10505</v>
      </c>
      <c r="R1055" s="3" t="s">
        <v>70</v>
      </c>
      <c r="S1055" s="4">
        <v>13</v>
      </c>
      <c r="T1055" s="4">
        <v>13</v>
      </c>
      <c r="U1055" s="5" t="s">
        <v>10506</v>
      </c>
      <c r="V1055" s="5" t="s">
        <v>10506</v>
      </c>
      <c r="W1055" s="5" t="s">
        <v>72</v>
      </c>
      <c r="X1055" s="5" t="s">
        <v>72</v>
      </c>
      <c r="Y1055" s="4">
        <v>32</v>
      </c>
      <c r="Z1055" s="4">
        <v>2</v>
      </c>
      <c r="AA1055" s="4">
        <v>38</v>
      </c>
      <c r="AB1055" s="4">
        <v>1</v>
      </c>
      <c r="AC1055" s="4">
        <v>4</v>
      </c>
      <c r="AD1055" s="4">
        <v>6</v>
      </c>
      <c r="AE1055" s="4">
        <v>122</v>
      </c>
      <c r="AF1055" s="4">
        <v>0</v>
      </c>
      <c r="AG1055" s="4">
        <v>3</v>
      </c>
      <c r="AH1055" s="4">
        <v>5</v>
      </c>
      <c r="AI1055" s="4">
        <v>101</v>
      </c>
      <c r="AJ1055" s="4">
        <v>0</v>
      </c>
      <c r="AK1055" s="4">
        <v>19</v>
      </c>
      <c r="AL1055" s="4">
        <v>3</v>
      </c>
      <c r="AM1055" s="4">
        <v>56</v>
      </c>
      <c r="AN1055" s="4">
        <v>0</v>
      </c>
      <c r="AO1055" s="4">
        <v>0</v>
      </c>
      <c r="AP1055" s="4">
        <v>1</v>
      </c>
      <c r="AQ1055" s="4">
        <v>30</v>
      </c>
      <c r="AR1055" s="3" t="s">
        <v>64</v>
      </c>
      <c r="AS1055" s="3" t="s">
        <v>64</v>
      </c>
      <c r="AT1055" s="3" t="s">
        <v>64</v>
      </c>
      <c r="AV1055" s="6" t="str">
        <f>HYPERLINK("http://mcgill.on.worldcat.org/oclc/842508622","Catalog Record")</f>
        <v>Catalog Record</v>
      </c>
      <c r="AW1055" s="6" t="str">
        <f>HYPERLINK("http://www.worldcat.org/oclc/842508622","WorldCat Record")</f>
        <v>WorldCat Record</v>
      </c>
      <c r="AX1055" s="3" t="s">
        <v>10507</v>
      </c>
      <c r="AY1055" s="3" t="s">
        <v>10508</v>
      </c>
      <c r="AZ1055" s="3" t="s">
        <v>10509</v>
      </c>
      <c r="BA1055" s="3" t="s">
        <v>10509</v>
      </c>
      <c r="BB1055" s="3" t="s">
        <v>10510</v>
      </c>
      <c r="BC1055" s="3" t="s">
        <v>77</v>
      </c>
      <c r="BD1055" s="3" t="s">
        <v>78</v>
      </c>
      <c r="BE1055" s="3" t="s">
        <v>10511</v>
      </c>
      <c r="BF1055" s="3" t="s">
        <v>10510</v>
      </c>
      <c r="BG1055" s="3" t="s">
        <v>10512</v>
      </c>
      <c r="BH1055">
        <f t="shared" si="33"/>
        <v>0</v>
      </c>
    </row>
    <row r="1056" spans="1:60" ht="58" x14ac:dyDescent="0.35">
      <c r="A1056" s="2" t="s">
        <v>59</v>
      </c>
      <c r="B1056" s="2" t="s">
        <v>60</v>
      </c>
      <c r="C1056" s="2" t="s">
        <v>10513</v>
      </c>
      <c r="D1056" s="2" t="s">
        <v>10514</v>
      </c>
      <c r="E1056" s="2" t="s">
        <v>10515</v>
      </c>
      <c r="G1056" s="3" t="s">
        <v>64</v>
      </c>
      <c r="I1056" s="3" t="s">
        <v>64</v>
      </c>
      <c r="J1056" s="3" t="s">
        <v>64</v>
      </c>
      <c r="K1056" s="3" t="s">
        <v>65</v>
      </c>
      <c r="L1056" s="2" t="s">
        <v>10516</v>
      </c>
      <c r="M1056" s="2" t="s">
        <v>10517</v>
      </c>
      <c r="N1056" s="3" t="s">
        <v>291</v>
      </c>
      <c r="P1056" s="3" t="s">
        <v>102</v>
      </c>
      <c r="Q1056" s="2" t="s">
        <v>10518</v>
      </c>
      <c r="R1056" s="3" t="s">
        <v>70</v>
      </c>
      <c r="S1056" s="4">
        <v>1</v>
      </c>
      <c r="T1056" s="4">
        <v>1</v>
      </c>
      <c r="U1056" s="5" t="s">
        <v>10472</v>
      </c>
      <c r="V1056" s="5" t="s">
        <v>10472</v>
      </c>
      <c r="W1056" s="5" t="s">
        <v>72</v>
      </c>
      <c r="X1056" s="5" t="s">
        <v>72</v>
      </c>
      <c r="Y1056" s="4">
        <v>168</v>
      </c>
      <c r="Z1056" s="4">
        <v>17</v>
      </c>
      <c r="AA1056" s="4">
        <v>83</v>
      </c>
      <c r="AB1056" s="4">
        <v>1</v>
      </c>
      <c r="AC1056" s="4">
        <v>15</v>
      </c>
      <c r="AD1056" s="4">
        <v>80</v>
      </c>
      <c r="AE1056" s="4">
        <v>132</v>
      </c>
      <c r="AF1056" s="4">
        <v>0</v>
      </c>
      <c r="AG1056" s="4">
        <v>8</v>
      </c>
      <c r="AH1056" s="4">
        <v>68</v>
      </c>
      <c r="AI1056" s="4">
        <v>93</v>
      </c>
      <c r="AJ1056" s="4">
        <v>9</v>
      </c>
      <c r="AK1056" s="4">
        <v>22</v>
      </c>
      <c r="AL1056" s="4">
        <v>45</v>
      </c>
      <c r="AM1056" s="4">
        <v>55</v>
      </c>
      <c r="AN1056" s="4">
        <v>0</v>
      </c>
      <c r="AO1056" s="4">
        <v>0</v>
      </c>
      <c r="AP1056" s="4">
        <v>13</v>
      </c>
      <c r="AQ1056" s="4">
        <v>43</v>
      </c>
      <c r="AR1056" s="3" t="s">
        <v>64</v>
      </c>
      <c r="AS1056" s="3" t="s">
        <v>64</v>
      </c>
      <c r="AT1056" s="3" t="s">
        <v>64</v>
      </c>
      <c r="AV1056" s="6" t="str">
        <f>HYPERLINK("http://mcgill.on.worldcat.org/oclc/123955023","Catalog Record")</f>
        <v>Catalog Record</v>
      </c>
      <c r="AW1056" s="6" t="str">
        <f>HYPERLINK("http://www.worldcat.org/oclc/123955023","WorldCat Record")</f>
        <v>WorldCat Record</v>
      </c>
      <c r="AX1056" s="3" t="s">
        <v>10519</v>
      </c>
      <c r="AY1056" s="3" t="s">
        <v>10520</v>
      </c>
      <c r="AZ1056" s="3" t="s">
        <v>10521</v>
      </c>
      <c r="BA1056" s="3" t="s">
        <v>10521</v>
      </c>
      <c r="BB1056" s="3" t="s">
        <v>10522</v>
      </c>
      <c r="BC1056" s="3" t="s">
        <v>77</v>
      </c>
      <c r="BD1056" s="3" t="s">
        <v>78</v>
      </c>
      <c r="BE1056" s="3" t="s">
        <v>10523</v>
      </c>
      <c r="BF1056" s="3" t="s">
        <v>10522</v>
      </c>
      <c r="BG1056" s="3" t="s">
        <v>10524</v>
      </c>
      <c r="BH1056">
        <f t="shared" si="33"/>
        <v>0</v>
      </c>
    </row>
    <row r="1057" spans="1:60" ht="58" x14ac:dyDescent="0.35">
      <c r="A1057" s="2" t="s">
        <v>59</v>
      </c>
      <c r="B1057" s="2" t="s">
        <v>60</v>
      </c>
      <c r="C1057" s="2" t="s">
        <v>10525</v>
      </c>
      <c r="D1057" s="2" t="s">
        <v>10526</v>
      </c>
      <c r="E1057" s="2" t="s">
        <v>10527</v>
      </c>
      <c r="G1057" s="3" t="s">
        <v>64</v>
      </c>
      <c r="I1057" s="3" t="s">
        <v>64</v>
      </c>
      <c r="J1057" s="3" t="s">
        <v>64</v>
      </c>
      <c r="K1057" s="3" t="s">
        <v>65</v>
      </c>
      <c r="M1057" s="2" t="s">
        <v>10528</v>
      </c>
      <c r="N1057" s="3" t="s">
        <v>326</v>
      </c>
      <c r="P1057" s="3" t="s">
        <v>102</v>
      </c>
      <c r="R1057" s="3" t="s">
        <v>70</v>
      </c>
      <c r="S1057" s="4">
        <v>0</v>
      </c>
      <c r="T1057" s="4">
        <v>0</v>
      </c>
      <c r="W1057" s="5" t="s">
        <v>72</v>
      </c>
      <c r="X1057" s="5" t="s">
        <v>72</v>
      </c>
      <c r="Y1057" s="4">
        <v>114</v>
      </c>
      <c r="Z1057" s="4">
        <v>14</v>
      </c>
      <c r="AA1057" s="4">
        <v>18</v>
      </c>
      <c r="AB1057" s="4">
        <v>1</v>
      </c>
      <c r="AC1057" s="4">
        <v>5</v>
      </c>
      <c r="AD1057" s="4">
        <v>49</v>
      </c>
      <c r="AE1057" s="4">
        <v>54</v>
      </c>
      <c r="AF1057" s="4">
        <v>0</v>
      </c>
      <c r="AG1057" s="4">
        <v>1</v>
      </c>
      <c r="AH1057" s="4">
        <v>44</v>
      </c>
      <c r="AI1057" s="4">
        <v>49</v>
      </c>
      <c r="AJ1057" s="4">
        <v>7</v>
      </c>
      <c r="AK1057" s="4">
        <v>8</v>
      </c>
      <c r="AL1057" s="4">
        <v>30</v>
      </c>
      <c r="AM1057" s="4">
        <v>33</v>
      </c>
      <c r="AN1057" s="4">
        <v>0</v>
      </c>
      <c r="AO1057" s="4">
        <v>0</v>
      </c>
      <c r="AP1057" s="4">
        <v>9</v>
      </c>
      <c r="AQ1057" s="4">
        <v>10</v>
      </c>
      <c r="AR1057" s="3" t="s">
        <v>64</v>
      </c>
      <c r="AS1057" s="3" t="s">
        <v>64</v>
      </c>
      <c r="AT1057" s="3" t="s">
        <v>64</v>
      </c>
      <c r="AV1057" s="6" t="str">
        <f>HYPERLINK("http://mcgill.on.worldcat.org/oclc/711988995","Catalog Record")</f>
        <v>Catalog Record</v>
      </c>
      <c r="AW1057" s="6" t="str">
        <f>HYPERLINK("http://www.worldcat.org/oclc/711988995","WorldCat Record")</f>
        <v>WorldCat Record</v>
      </c>
      <c r="AX1057" s="3" t="s">
        <v>10529</v>
      </c>
      <c r="AY1057" s="3" t="s">
        <v>10530</v>
      </c>
      <c r="AZ1057" s="3" t="s">
        <v>10531</v>
      </c>
      <c r="BA1057" s="3" t="s">
        <v>10531</v>
      </c>
      <c r="BB1057" s="3" t="s">
        <v>10532</v>
      </c>
      <c r="BC1057" s="3" t="s">
        <v>77</v>
      </c>
      <c r="BD1057" s="3" t="s">
        <v>78</v>
      </c>
      <c r="BE1057" s="3" t="s">
        <v>10533</v>
      </c>
      <c r="BF1057" s="3" t="s">
        <v>10532</v>
      </c>
      <c r="BG1057" s="3" t="s">
        <v>10534</v>
      </c>
      <c r="BH1057">
        <f t="shared" si="33"/>
        <v>0</v>
      </c>
    </row>
    <row r="1058" spans="1:60" ht="58" x14ac:dyDescent="0.35">
      <c r="A1058" s="2" t="s">
        <v>59</v>
      </c>
      <c r="B1058" s="2" t="s">
        <v>60</v>
      </c>
      <c r="C1058" s="2" t="s">
        <v>10535</v>
      </c>
      <c r="D1058" s="2" t="s">
        <v>10536</v>
      </c>
      <c r="E1058" s="2" t="s">
        <v>10537</v>
      </c>
      <c r="G1058" s="3" t="s">
        <v>64</v>
      </c>
      <c r="I1058" s="3" t="s">
        <v>64</v>
      </c>
      <c r="J1058" s="3" t="s">
        <v>64</v>
      </c>
      <c r="K1058" s="3" t="s">
        <v>65</v>
      </c>
      <c r="L1058" s="2" t="s">
        <v>10538</v>
      </c>
      <c r="M1058" s="2" t="s">
        <v>10539</v>
      </c>
      <c r="N1058" s="3" t="s">
        <v>116</v>
      </c>
      <c r="P1058" s="3" t="s">
        <v>102</v>
      </c>
      <c r="Q1058" s="2" t="s">
        <v>10540</v>
      </c>
      <c r="R1058" s="3" t="s">
        <v>70</v>
      </c>
      <c r="S1058" s="4">
        <v>3</v>
      </c>
      <c r="T1058" s="4">
        <v>3</v>
      </c>
      <c r="U1058" s="5" t="s">
        <v>10182</v>
      </c>
      <c r="V1058" s="5" t="s">
        <v>10182</v>
      </c>
      <c r="W1058" s="5" t="s">
        <v>72</v>
      </c>
      <c r="X1058" s="5" t="s">
        <v>72</v>
      </c>
      <c r="Y1058" s="4">
        <v>172</v>
      </c>
      <c r="Z1058" s="4">
        <v>16</v>
      </c>
      <c r="AA1058" s="4">
        <v>21</v>
      </c>
      <c r="AB1058" s="4">
        <v>3</v>
      </c>
      <c r="AC1058" s="4">
        <v>6</v>
      </c>
      <c r="AD1058" s="4">
        <v>74</v>
      </c>
      <c r="AE1058" s="4">
        <v>76</v>
      </c>
      <c r="AF1058" s="4">
        <v>1</v>
      </c>
      <c r="AG1058" s="4">
        <v>1</v>
      </c>
      <c r="AH1058" s="4">
        <v>65</v>
      </c>
      <c r="AI1058" s="4">
        <v>67</v>
      </c>
      <c r="AJ1058" s="4">
        <v>10</v>
      </c>
      <c r="AK1058" s="4">
        <v>12</v>
      </c>
      <c r="AL1058" s="4">
        <v>43</v>
      </c>
      <c r="AM1058" s="4">
        <v>43</v>
      </c>
      <c r="AN1058" s="4">
        <v>0</v>
      </c>
      <c r="AO1058" s="4">
        <v>0</v>
      </c>
      <c r="AP1058" s="4">
        <v>11</v>
      </c>
      <c r="AQ1058" s="4">
        <v>13</v>
      </c>
      <c r="AR1058" s="3" t="s">
        <v>64</v>
      </c>
      <c r="AS1058" s="3" t="s">
        <v>64</v>
      </c>
      <c r="AT1058" s="3" t="s">
        <v>128</v>
      </c>
      <c r="AU1058" s="6" t="str">
        <f>HYPERLINK("http://catalog.hathitrust.org/Record/004211128","HathiTrust Record")</f>
        <v>HathiTrust Record</v>
      </c>
      <c r="AV1058" s="6" t="str">
        <f>HYPERLINK("http://mcgill.on.worldcat.org/oclc/45349926","Catalog Record")</f>
        <v>Catalog Record</v>
      </c>
      <c r="AW1058" s="6" t="str">
        <f>HYPERLINK("http://www.worldcat.org/oclc/45349926","WorldCat Record")</f>
        <v>WorldCat Record</v>
      </c>
      <c r="AX1058" s="3" t="s">
        <v>10541</v>
      </c>
      <c r="AY1058" s="3" t="s">
        <v>10542</v>
      </c>
      <c r="AZ1058" s="3" t="s">
        <v>10543</v>
      </c>
      <c r="BA1058" s="3" t="s">
        <v>10543</v>
      </c>
      <c r="BB1058" s="3" t="s">
        <v>10544</v>
      </c>
      <c r="BC1058" s="3" t="s">
        <v>77</v>
      </c>
      <c r="BD1058" s="3" t="s">
        <v>165</v>
      </c>
      <c r="BE1058" s="3" t="s">
        <v>10545</v>
      </c>
      <c r="BF1058" s="3" t="s">
        <v>10544</v>
      </c>
      <c r="BG1058" s="3" t="s">
        <v>10546</v>
      </c>
      <c r="BH1058">
        <f t="shared" si="33"/>
        <v>0</v>
      </c>
    </row>
    <row r="1059" spans="1:60" ht="58" x14ac:dyDescent="0.35">
      <c r="A1059" s="2" t="s">
        <v>59</v>
      </c>
      <c r="B1059" s="2" t="s">
        <v>60</v>
      </c>
      <c r="C1059" s="2" t="s">
        <v>10547</v>
      </c>
      <c r="D1059" s="2" t="s">
        <v>10548</v>
      </c>
      <c r="E1059" s="2" t="s">
        <v>10549</v>
      </c>
      <c r="G1059" s="3" t="s">
        <v>64</v>
      </c>
      <c r="I1059" s="3" t="s">
        <v>128</v>
      </c>
      <c r="J1059" s="3" t="s">
        <v>64</v>
      </c>
      <c r="K1059" s="3" t="s">
        <v>65</v>
      </c>
      <c r="L1059" s="2" t="s">
        <v>10550</v>
      </c>
      <c r="M1059" s="2" t="s">
        <v>10551</v>
      </c>
      <c r="N1059" s="3" t="s">
        <v>3804</v>
      </c>
      <c r="P1059" s="3" t="s">
        <v>102</v>
      </c>
      <c r="R1059" s="3" t="s">
        <v>70</v>
      </c>
      <c r="S1059" s="4">
        <v>4</v>
      </c>
      <c r="T1059" s="4">
        <v>4</v>
      </c>
      <c r="U1059" s="5" t="s">
        <v>3865</v>
      </c>
      <c r="V1059" s="5" t="s">
        <v>3865</v>
      </c>
      <c r="W1059" s="5" t="s">
        <v>72</v>
      </c>
      <c r="X1059" s="5" t="s">
        <v>72</v>
      </c>
      <c r="Y1059" s="4">
        <v>2</v>
      </c>
      <c r="Z1059" s="4">
        <v>2</v>
      </c>
      <c r="AA1059" s="4">
        <v>25</v>
      </c>
      <c r="AB1059" s="4">
        <v>1</v>
      </c>
      <c r="AC1059" s="4">
        <v>2</v>
      </c>
      <c r="AD1059" s="4">
        <v>1</v>
      </c>
      <c r="AE1059" s="4">
        <v>70</v>
      </c>
      <c r="AF1059" s="4">
        <v>0</v>
      </c>
      <c r="AG1059" s="4">
        <v>1</v>
      </c>
      <c r="AH1059" s="4">
        <v>0</v>
      </c>
      <c r="AI1059" s="4">
        <v>60</v>
      </c>
      <c r="AJ1059" s="4">
        <v>1</v>
      </c>
      <c r="AK1059" s="4">
        <v>16</v>
      </c>
      <c r="AL1059" s="4">
        <v>0</v>
      </c>
      <c r="AM1059" s="4">
        <v>33</v>
      </c>
      <c r="AN1059" s="4">
        <v>0</v>
      </c>
      <c r="AO1059" s="4">
        <v>0</v>
      </c>
      <c r="AP1059" s="4">
        <v>1</v>
      </c>
      <c r="AQ1059" s="4">
        <v>17</v>
      </c>
      <c r="AR1059" s="3" t="s">
        <v>64</v>
      </c>
      <c r="AS1059" s="3" t="s">
        <v>64</v>
      </c>
      <c r="AT1059" s="3" t="s">
        <v>64</v>
      </c>
      <c r="AV1059" s="6" t="str">
        <f>HYPERLINK("http://mcgill.on.worldcat.org/oclc/427341323","Catalog Record")</f>
        <v>Catalog Record</v>
      </c>
      <c r="AW1059" s="6" t="str">
        <f>HYPERLINK("http://www.worldcat.org/oclc/427341323","WorldCat Record")</f>
        <v>WorldCat Record</v>
      </c>
      <c r="AX1059" s="3" t="s">
        <v>10552</v>
      </c>
      <c r="AY1059" s="3" t="s">
        <v>10553</v>
      </c>
      <c r="AZ1059" s="3" t="s">
        <v>10554</v>
      </c>
      <c r="BA1059" s="3" t="s">
        <v>10554</v>
      </c>
      <c r="BB1059" s="3" t="s">
        <v>10555</v>
      </c>
      <c r="BC1059" s="3" t="s">
        <v>77</v>
      </c>
      <c r="BD1059" s="3" t="s">
        <v>78</v>
      </c>
      <c r="BF1059" s="3" t="s">
        <v>10555</v>
      </c>
      <c r="BG1059" s="3" t="s">
        <v>10556</v>
      </c>
      <c r="BH1059">
        <f t="shared" si="33"/>
        <v>0</v>
      </c>
    </row>
    <row r="1060" spans="1:60" ht="58" x14ac:dyDescent="0.35">
      <c r="A1060" s="2" t="s">
        <v>59</v>
      </c>
      <c r="B1060" s="2" t="s">
        <v>60</v>
      </c>
      <c r="C1060" s="2" t="s">
        <v>10557</v>
      </c>
      <c r="D1060" s="2" t="s">
        <v>10558</v>
      </c>
      <c r="E1060" s="2" t="s">
        <v>10559</v>
      </c>
      <c r="G1060" s="3" t="s">
        <v>64</v>
      </c>
      <c r="I1060" s="3" t="s">
        <v>64</v>
      </c>
      <c r="J1060" s="3" t="s">
        <v>64</v>
      </c>
      <c r="K1060" s="3" t="s">
        <v>65</v>
      </c>
      <c r="L1060" s="2" t="s">
        <v>10560</v>
      </c>
      <c r="M1060" s="2" t="s">
        <v>10561</v>
      </c>
      <c r="N1060" s="3" t="s">
        <v>291</v>
      </c>
      <c r="P1060" s="3" t="s">
        <v>102</v>
      </c>
      <c r="R1060" s="3" t="s">
        <v>70</v>
      </c>
      <c r="S1060" s="4">
        <v>31</v>
      </c>
      <c r="T1060" s="4">
        <v>31</v>
      </c>
      <c r="U1060" s="5" t="s">
        <v>512</v>
      </c>
      <c r="V1060" s="5" t="s">
        <v>512</v>
      </c>
      <c r="W1060" s="5" t="s">
        <v>72</v>
      </c>
      <c r="X1060" s="5" t="s">
        <v>72</v>
      </c>
      <c r="Y1060" s="4">
        <v>397</v>
      </c>
      <c r="Z1060" s="4">
        <v>25</v>
      </c>
      <c r="AA1060" s="4">
        <v>32</v>
      </c>
      <c r="AB1060" s="4">
        <v>2</v>
      </c>
      <c r="AC1060" s="4">
        <v>4</v>
      </c>
      <c r="AD1060" s="4">
        <v>102</v>
      </c>
      <c r="AE1060" s="4">
        <v>110</v>
      </c>
      <c r="AF1060" s="4">
        <v>0</v>
      </c>
      <c r="AG1060" s="4">
        <v>1</v>
      </c>
      <c r="AH1060" s="4">
        <v>93</v>
      </c>
      <c r="AI1060" s="4">
        <v>97</v>
      </c>
      <c r="AJ1060" s="4">
        <v>15</v>
      </c>
      <c r="AK1060" s="4">
        <v>17</v>
      </c>
      <c r="AL1060" s="4">
        <v>54</v>
      </c>
      <c r="AM1060" s="4">
        <v>55</v>
      </c>
      <c r="AN1060" s="4">
        <v>0</v>
      </c>
      <c r="AO1060" s="4">
        <v>0</v>
      </c>
      <c r="AP1060" s="4">
        <v>16</v>
      </c>
      <c r="AQ1060" s="4">
        <v>20</v>
      </c>
      <c r="AR1060" s="3" t="s">
        <v>64</v>
      </c>
      <c r="AS1060" s="3" t="s">
        <v>64</v>
      </c>
      <c r="AT1060" s="3" t="s">
        <v>64</v>
      </c>
      <c r="AV1060" s="6" t="str">
        <f>HYPERLINK("http://mcgill.on.worldcat.org/oclc/71948623","Catalog Record")</f>
        <v>Catalog Record</v>
      </c>
      <c r="AW1060" s="6" t="str">
        <f>HYPERLINK("http://www.worldcat.org/oclc/71948623","WorldCat Record")</f>
        <v>WorldCat Record</v>
      </c>
      <c r="AX1060" s="3" t="s">
        <v>10562</v>
      </c>
      <c r="AY1060" s="3" t="s">
        <v>10563</v>
      </c>
      <c r="AZ1060" s="3" t="s">
        <v>10564</v>
      </c>
      <c r="BA1060" s="3" t="s">
        <v>10564</v>
      </c>
      <c r="BB1060" s="3" t="s">
        <v>10565</v>
      </c>
      <c r="BC1060" s="3" t="s">
        <v>77</v>
      </c>
      <c r="BD1060" s="3" t="s">
        <v>78</v>
      </c>
      <c r="BE1060" s="3" t="s">
        <v>10566</v>
      </c>
      <c r="BF1060" s="3" t="s">
        <v>10565</v>
      </c>
      <c r="BG1060" s="3" t="s">
        <v>10567</v>
      </c>
      <c r="BH1060">
        <f t="shared" si="33"/>
        <v>0</v>
      </c>
    </row>
    <row r="1061" spans="1:60" ht="58" x14ac:dyDescent="0.35">
      <c r="A1061" s="2" t="s">
        <v>59</v>
      </c>
      <c r="B1061" s="2" t="s">
        <v>60</v>
      </c>
      <c r="C1061" s="2" t="s">
        <v>10568</v>
      </c>
      <c r="D1061" s="2" t="s">
        <v>10569</v>
      </c>
      <c r="E1061" s="2" t="s">
        <v>10570</v>
      </c>
      <c r="G1061" s="3" t="s">
        <v>64</v>
      </c>
      <c r="I1061" s="3" t="s">
        <v>64</v>
      </c>
      <c r="J1061" s="3" t="s">
        <v>64</v>
      </c>
      <c r="K1061" s="3" t="s">
        <v>65</v>
      </c>
      <c r="L1061" s="2" t="s">
        <v>754</v>
      </c>
      <c r="M1061" s="2" t="s">
        <v>10571</v>
      </c>
      <c r="N1061" s="3" t="s">
        <v>67</v>
      </c>
      <c r="P1061" s="3" t="s">
        <v>102</v>
      </c>
      <c r="Q1061" s="2" t="s">
        <v>10572</v>
      </c>
      <c r="R1061" s="3" t="s">
        <v>70</v>
      </c>
      <c r="S1061" s="4">
        <v>14</v>
      </c>
      <c r="T1061" s="4">
        <v>14</v>
      </c>
      <c r="U1061" s="5" t="s">
        <v>173</v>
      </c>
      <c r="V1061" s="5" t="s">
        <v>173</v>
      </c>
      <c r="W1061" s="5" t="s">
        <v>72</v>
      </c>
      <c r="X1061" s="5" t="s">
        <v>72</v>
      </c>
      <c r="Y1061" s="4">
        <v>130</v>
      </c>
      <c r="Z1061" s="4">
        <v>12</v>
      </c>
      <c r="AA1061" s="4">
        <v>20</v>
      </c>
      <c r="AB1061" s="4">
        <v>1</v>
      </c>
      <c r="AC1061" s="4">
        <v>5</v>
      </c>
      <c r="AD1061" s="4">
        <v>49</v>
      </c>
      <c r="AE1061" s="4">
        <v>66</v>
      </c>
      <c r="AF1061" s="4">
        <v>0</v>
      </c>
      <c r="AG1061" s="4">
        <v>1</v>
      </c>
      <c r="AH1061" s="4">
        <v>45</v>
      </c>
      <c r="AI1061" s="4">
        <v>59</v>
      </c>
      <c r="AJ1061" s="4">
        <v>7</v>
      </c>
      <c r="AK1061" s="4">
        <v>11</v>
      </c>
      <c r="AL1061" s="4">
        <v>33</v>
      </c>
      <c r="AM1061" s="4">
        <v>41</v>
      </c>
      <c r="AN1061" s="4">
        <v>0</v>
      </c>
      <c r="AO1061" s="4">
        <v>0</v>
      </c>
      <c r="AP1061" s="4">
        <v>7</v>
      </c>
      <c r="AQ1061" s="4">
        <v>11</v>
      </c>
      <c r="AR1061" s="3" t="s">
        <v>64</v>
      </c>
      <c r="AS1061" s="3" t="s">
        <v>64</v>
      </c>
      <c r="AT1061" s="3" t="s">
        <v>64</v>
      </c>
      <c r="AV1061" s="6" t="str">
        <f>HYPERLINK("http://mcgill.on.worldcat.org/oclc/888467797","Catalog Record")</f>
        <v>Catalog Record</v>
      </c>
      <c r="AW1061" s="6" t="str">
        <f>HYPERLINK("http://www.worldcat.org/oclc/888467797","WorldCat Record")</f>
        <v>WorldCat Record</v>
      </c>
      <c r="AX1061" s="3" t="s">
        <v>10573</v>
      </c>
      <c r="AY1061" s="3" t="s">
        <v>10574</v>
      </c>
      <c r="AZ1061" s="3" t="s">
        <v>10575</v>
      </c>
      <c r="BA1061" s="3" t="s">
        <v>10575</v>
      </c>
      <c r="BB1061" s="3" t="s">
        <v>10576</v>
      </c>
      <c r="BC1061" s="3" t="s">
        <v>77</v>
      </c>
      <c r="BD1061" s="3" t="s">
        <v>78</v>
      </c>
      <c r="BE1061" s="3" t="s">
        <v>10577</v>
      </c>
      <c r="BF1061" s="3" t="s">
        <v>10576</v>
      </c>
      <c r="BG1061" s="3" t="s">
        <v>10578</v>
      </c>
      <c r="BH1061">
        <f t="shared" si="33"/>
        <v>0</v>
      </c>
    </row>
    <row r="1062" spans="1:60" ht="58" x14ac:dyDescent="0.35">
      <c r="A1062" s="2" t="s">
        <v>59</v>
      </c>
      <c r="B1062" s="2" t="s">
        <v>60</v>
      </c>
      <c r="C1062" s="2" t="s">
        <v>10579</v>
      </c>
      <c r="D1062" s="2" t="s">
        <v>10580</v>
      </c>
      <c r="E1062" s="2" t="s">
        <v>10581</v>
      </c>
      <c r="G1062" s="3" t="s">
        <v>64</v>
      </c>
      <c r="I1062" s="3" t="s">
        <v>64</v>
      </c>
      <c r="J1062" s="3" t="s">
        <v>64</v>
      </c>
      <c r="K1062" s="3" t="s">
        <v>65</v>
      </c>
      <c r="L1062" s="2" t="s">
        <v>10582</v>
      </c>
      <c r="M1062" s="2" t="s">
        <v>10583</v>
      </c>
      <c r="N1062" s="3" t="s">
        <v>171</v>
      </c>
      <c r="P1062" s="3" t="s">
        <v>102</v>
      </c>
      <c r="R1062" s="3" t="s">
        <v>70</v>
      </c>
      <c r="S1062" s="4">
        <v>7</v>
      </c>
      <c r="T1062" s="4">
        <v>7</v>
      </c>
      <c r="U1062" s="5" t="s">
        <v>4142</v>
      </c>
      <c r="V1062" s="5" t="s">
        <v>4142</v>
      </c>
      <c r="W1062" s="5" t="s">
        <v>72</v>
      </c>
      <c r="X1062" s="5" t="s">
        <v>72</v>
      </c>
      <c r="Y1062" s="4">
        <v>148</v>
      </c>
      <c r="Z1062" s="4">
        <v>18</v>
      </c>
      <c r="AA1062" s="4">
        <v>22</v>
      </c>
      <c r="AB1062" s="4">
        <v>2</v>
      </c>
      <c r="AC1062" s="4">
        <v>6</v>
      </c>
      <c r="AD1062" s="4">
        <v>69</v>
      </c>
      <c r="AE1062" s="4">
        <v>71</v>
      </c>
      <c r="AF1062" s="4">
        <v>1</v>
      </c>
      <c r="AG1062" s="4">
        <v>2</v>
      </c>
      <c r="AH1062" s="4">
        <v>60</v>
      </c>
      <c r="AI1062" s="4">
        <v>61</v>
      </c>
      <c r="AJ1062" s="4">
        <v>11</v>
      </c>
      <c r="AK1062" s="4">
        <v>12</v>
      </c>
      <c r="AL1062" s="4">
        <v>37</v>
      </c>
      <c r="AM1062" s="4">
        <v>37</v>
      </c>
      <c r="AN1062" s="4">
        <v>0</v>
      </c>
      <c r="AO1062" s="4">
        <v>0</v>
      </c>
      <c r="AP1062" s="4">
        <v>14</v>
      </c>
      <c r="AQ1062" s="4">
        <v>14</v>
      </c>
      <c r="AR1062" s="3" t="s">
        <v>64</v>
      </c>
      <c r="AS1062" s="3" t="s">
        <v>64</v>
      </c>
      <c r="AT1062" s="3" t="s">
        <v>64</v>
      </c>
      <c r="AV1062" s="6" t="str">
        <f>HYPERLINK("http://mcgill.on.worldcat.org/oclc/62090725","Catalog Record")</f>
        <v>Catalog Record</v>
      </c>
      <c r="AW1062" s="6" t="str">
        <f>HYPERLINK("http://www.worldcat.org/oclc/62090725","WorldCat Record")</f>
        <v>WorldCat Record</v>
      </c>
      <c r="AX1062" s="3" t="s">
        <v>10584</v>
      </c>
      <c r="AY1062" s="3" t="s">
        <v>10585</v>
      </c>
      <c r="AZ1062" s="3" t="s">
        <v>10586</v>
      </c>
      <c r="BA1062" s="3" t="s">
        <v>10586</v>
      </c>
      <c r="BB1062" s="3" t="s">
        <v>10587</v>
      </c>
      <c r="BC1062" s="3" t="s">
        <v>77</v>
      </c>
      <c r="BD1062" s="3" t="s">
        <v>78</v>
      </c>
      <c r="BE1062" s="3" t="s">
        <v>10588</v>
      </c>
      <c r="BF1062" s="3" t="s">
        <v>10587</v>
      </c>
      <c r="BG1062" s="3" t="s">
        <v>10589</v>
      </c>
      <c r="BH1062">
        <f t="shared" si="33"/>
        <v>0</v>
      </c>
    </row>
    <row r="1063" spans="1:60" ht="58" x14ac:dyDescent="0.35">
      <c r="A1063" s="2" t="s">
        <v>59</v>
      </c>
      <c r="B1063" s="2" t="s">
        <v>60</v>
      </c>
      <c r="C1063" s="2" t="s">
        <v>10590</v>
      </c>
      <c r="D1063" s="2" t="s">
        <v>10591</v>
      </c>
      <c r="E1063" s="2" t="s">
        <v>10592</v>
      </c>
      <c r="G1063" s="3" t="s">
        <v>64</v>
      </c>
      <c r="I1063" s="3" t="s">
        <v>64</v>
      </c>
      <c r="J1063" s="3" t="s">
        <v>64</v>
      </c>
      <c r="K1063" s="3" t="s">
        <v>65</v>
      </c>
      <c r="L1063" s="2" t="s">
        <v>10593</v>
      </c>
      <c r="M1063" s="2" t="s">
        <v>10594</v>
      </c>
      <c r="N1063" s="3" t="s">
        <v>86</v>
      </c>
      <c r="P1063" s="3" t="s">
        <v>102</v>
      </c>
      <c r="R1063" s="3" t="s">
        <v>70</v>
      </c>
      <c r="S1063" s="4">
        <v>4</v>
      </c>
      <c r="T1063" s="4">
        <v>4</v>
      </c>
      <c r="U1063" s="5" t="s">
        <v>10104</v>
      </c>
      <c r="V1063" s="5" t="s">
        <v>10104</v>
      </c>
      <c r="W1063" s="5" t="s">
        <v>72</v>
      </c>
      <c r="X1063" s="5" t="s">
        <v>72</v>
      </c>
      <c r="Y1063" s="4">
        <v>201</v>
      </c>
      <c r="Z1063" s="4">
        <v>18</v>
      </c>
      <c r="AA1063" s="4">
        <v>38</v>
      </c>
      <c r="AB1063" s="4">
        <v>1</v>
      </c>
      <c r="AC1063" s="4">
        <v>9</v>
      </c>
      <c r="AD1063" s="4">
        <v>63</v>
      </c>
      <c r="AE1063" s="4">
        <v>95</v>
      </c>
      <c r="AF1063" s="4">
        <v>0</v>
      </c>
      <c r="AG1063" s="4">
        <v>3</v>
      </c>
      <c r="AH1063" s="4">
        <v>58</v>
      </c>
      <c r="AI1063" s="4">
        <v>77</v>
      </c>
      <c r="AJ1063" s="4">
        <v>13</v>
      </c>
      <c r="AK1063" s="4">
        <v>20</v>
      </c>
      <c r="AL1063" s="4">
        <v>30</v>
      </c>
      <c r="AM1063" s="4">
        <v>41</v>
      </c>
      <c r="AN1063" s="4">
        <v>0</v>
      </c>
      <c r="AO1063" s="4">
        <v>0</v>
      </c>
      <c r="AP1063" s="4">
        <v>14</v>
      </c>
      <c r="AQ1063" s="4">
        <v>27</v>
      </c>
      <c r="AR1063" s="3" t="s">
        <v>64</v>
      </c>
      <c r="AS1063" s="3" t="s">
        <v>64</v>
      </c>
      <c r="AT1063" s="3" t="s">
        <v>64</v>
      </c>
      <c r="AV1063" s="6" t="str">
        <f>HYPERLINK("http://mcgill.on.worldcat.org/oclc/769989346","Catalog Record")</f>
        <v>Catalog Record</v>
      </c>
      <c r="AW1063" s="6" t="str">
        <f>HYPERLINK("http://www.worldcat.org/oclc/769989346","WorldCat Record")</f>
        <v>WorldCat Record</v>
      </c>
      <c r="AX1063" s="3" t="s">
        <v>10595</v>
      </c>
      <c r="AY1063" s="3" t="s">
        <v>10596</v>
      </c>
      <c r="AZ1063" s="3" t="s">
        <v>10597</v>
      </c>
      <c r="BA1063" s="3" t="s">
        <v>10597</v>
      </c>
      <c r="BB1063" s="3" t="s">
        <v>10598</v>
      </c>
      <c r="BC1063" s="3" t="s">
        <v>77</v>
      </c>
      <c r="BD1063" s="3" t="s">
        <v>78</v>
      </c>
      <c r="BE1063" s="3" t="s">
        <v>10599</v>
      </c>
      <c r="BF1063" s="3" t="s">
        <v>10598</v>
      </c>
      <c r="BG1063" s="3" t="s">
        <v>10600</v>
      </c>
      <c r="BH1063">
        <f t="shared" si="33"/>
        <v>0</v>
      </c>
    </row>
    <row r="1064" spans="1:60" ht="58" x14ac:dyDescent="0.35">
      <c r="A1064" s="2" t="s">
        <v>59</v>
      </c>
      <c r="B1064" s="2" t="s">
        <v>60</v>
      </c>
      <c r="C1064" s="2" t="s">
        <v>10601</v>
      </c>
      <c r="D1064" s="2" t="s">
        <v>10602</v>
      </c>
      <c r="E1064" s="2" t="s">
        <v>10603</v>
      </c>
      <c r="G1064" s="3" t="s">
        <v>64</v>
      </c>
      <c r="H1064" s="3" t="s">
        <v>183</v>
      </c>
      <c r="I1064" s="3" t="s">
        <v>64</v>
      </c>
      <c r="J1064" s="3" t="s">
        <v>64</v>
      </c>
      <c r="K1064" s="3" t="s">
        <v>65</v>
      </c>
      <c r="L1064" s="2" t="s">
        <v>10604</v>
      </c>
      <c r="M1064" s="2" t="s">
        <v>10605</v>
      </c>
      <c r="N1064" s="3" t="s">
        <v>578</v>
      </c>
      <c r="P1064" s="3" t="s">
        <v>102</v>
      </c>
      <c r="R1064" s="3" t="s">
        <v>70</v>
      </c>
      <c r="S1064" s="4">
        <v>0</v>
      </c>
      <c r="T1064" s="4">
        <v>0</v>
      </c>
      <c r="W1064" s="5" t="s">
        <v>10606</v>
      </c>
      <c r="X1064" s="5" t="s">
        <v>10606</v>
      </c>
      <c r="Y1064" s="4">
        <v>51</v>
      </c>
      <c r="Z1064" s="4">
        <v>1</v>
      </c>
      <c r="AA1064" s="4">
        <v>5</v>
      </c>
      <c r="AB1064" s="4">
        <v>1</v>
      </c>
      <c r="AC1064" s="4">
        <v>1</v>
      </c>
      <c r="AD1064" s="4">
        <v>0</v>
      </c>
      <c r="AE1064" s="4">
        <v>17</v>
      </c>
      <c r="AF1064" s="4">
        <v>0</v>
      </c>
      <c r="AG1064" s="4">
        <v>0</v>
      </c>
      <c r="AH1064" s="4">
        <v>0</v>
      </c>
      <c r="AI1064" s="4">
        <v>16</v>
      </c>
      <c r="AJ1064" s="4">
        <v>0</v>
      </c>
      <c r="AK1064" s="4">
        <v>4</v>
      </c>
      <c r="AL1064" s="4">
        <v>0</v>
      </c>
      <c r="AM1064" s="4">
        <v>10</v>
      </c>
      <c r="AN1064" s="4">
        <v>0</v>
      </c>
      <c r="AO1064" s="4">
        <v>0</v>
      </c>
      <c r="AP1064" s="4">
        <v>0</v>
      </c>
      <c r="AQ1064" s="4">
        <v>4</v>
      </c>
      <c r="AR1064" s="3" t="s">
        <v>64</v>
      </c>
      <c r="AS1064" s="3" t="s">
        <v>64</v>
      </c>
      <c r="AT1064" s="3" t="s">
        <v>64</v>
      </c>
      <c r="AV1064" s="6" t="str">
        <f>HYPERLINK("http://mcgill.on.worldcat.org/oclc/969653754","Catalog Record")</f>
        <v>Catalog Record</v>
      </c>
      <c r="AW1064" s="6" t="str">
        <f>HYPERLINK("http://www.worldcat.org/oclc/969653754","WorldCat Record")</f>
        <v>WorldCat Record</v>
      </c>
      <c r="AX1064" s="3" t="s">
        <v>10607</v>
      </c>
      <c r="AY1064" s="3" t="s">
        <v>10608</v>
      </c>
      <c r="AZ1064" s="3" t="s">
        <v>10609</v>
      </c>
      <c r="BA1064" s="3" t="s">
        <v>10609</v>
      </c>
      <c r="BB1064" s="3" t="s">
        <v>10610</v>
      </c>
      <c r="BC1064" s="3" t="s">
        <v>77</v>
      </c>
      <c r="BD1064" s="3" t="s">
        <v>78</v>
      </c>
      <c r="BE1064" s="3" t="s">
        <v>10611</v>
      </c>
      <c r="BF1064" s="3" t="s">
        <v>10610</v>
      </c>
      <c r="BG1064" s="3" t="s">
        <v>10612</v>
      </c>
      <c r="BH1064">
        <f t="shared" si="33"/>
        <v>0</v>
      </c>
    </row>
    <row r="1065" spans="1:60" ht="58" x14ac:dyDescent="0.35">
      <c r="A1065" s="2" t="s">
        <v>59</v>
      </c>
      <c r="B1065" s="2" t="s">
        <v>60</v>
      </c>
      <c r="C1065" s="2" t="s">
        <v>10613</v>
      </c>
      <c r="D1065" s="2" t="s">
        <v>10614</v>
      </c>
      <c r="E1065" s="2" t="s">
        <v>10615</v>
      </c>
      <c r="G1065" s="3" t="s">
        <v>64</v>
      </c>
      <c r="I1065" s="3" t="s">
        <v>64</v>
      </c>
      <c r="J1065" s="3" t="s">
        <v>64</v>
      </c>
      <c r="K1065" s="3" t="s">
        <v>65</v>
      </c>
      <c r="L1065" s="2" t="s">
        <v>10616</v>
      </c>
      <c r="M1065" s="2" t="s">
        <v>10617</v>
      </c>
      <c r="N1065" s="3" t="s">
        <v>326</v>
      </c>
      <c r="O1065" s="2" t="s">
        <v>10618</v>
      </c>
      <c r="P1065" s="3" t="s">
        <v>102</v>
      </c>
      <c r="R1065" s="3" t="s">
        <v>70</v>
      </c>
      <c r="S1065" s="4">
        <v>0</v>
      </c>
      <c r="T1065" s="4">
        <v>0</v>
      </c>
      <c r="W1065" s="5" t="s">
        <v>72</v>
      </c>
      <c r="X1065" s="5" t="s">
        <v>72</v>
      </c>
      <c r="Y1065" s="4">
        <v>27</v>
      </c>
      <c r="Z1065" s="4">
        <v>4</v>
      </c>
      <c r="AA1065" s="4">
        <v>4</v>
      </c>
      <c r="AB1065" s="4">
        <v>1</v>
      </c>
      <c r="AC1065" s="4">
        <v>1</v>
      </c>
      <c r="AD1065" s="4">
        <v>8</v>
      </c>
      <c r="AE1065" s="4">
        <v>8</v>
      </c>
      <c r="AF1065" s="4">
        <v>0</v>
      </c>
      <c r="AG1065" s="4">
        <v>0</v>
      </c>
      <c r="AH1065" s="4">
        <v>8</v>
      </c>
      <c r="AI1065" s="4">
        <v>8</v>
      </c>
      <c r="AJ1065" s="4">
        <v>1</v>
      </c>
      <c r="AK1065" s="4">
        <v>1</v>
      </c>
      <c r="AL1065" s="4">
        <v>6</v>
      </c>
      <c r="AM1065" s="4">
        <v>6</v>
      </c>
      <c r="AN1065" s="4">
        <v>0</v>
      </c>
      <c r="AO1065" s="4">
        <v>0</v>
      </c>
      <c r="AP1065" s="4">
        <v>1</v>
      </c>
      <c r="AQ1065" s="4">
        <v>1</v>
      </c>
      <c r="AR1065" s="3" t="s">
        <v>64</v>
      </c>
      <c r="AS1065" s="3" t="s">
        <v>64</v>
      </c>
      <c r="AT1065" s="3" t="s">
        <v>64</v>
      </c>
      <c r="AV1065" s="6" t="str">
        <f>HYPERLINK("http://mcgill.on.worldcat.org/oclc/748939158","Catalog Record")</f>
        <v>Catalog Record</v>
      </c>
      <c r="AW1065" s="6" t="str">
        <f>HYPERLINK("http://www.worldcat.org/oclc/748939158","WorldCat Record")</f>
        <v>WorldCat Record</v>
      </c>
      <c r="AX1065" s="3" t="s">
        <v>10619</v>
      </c>
      <c r="AY1065" s="3" t="s">
        <v>10620</v>
      </c>
      <c r="AZ1065" s="3" t="s">
        <v>10621</v>
      </c>
      <c r="BA1065" s="3" t="s">
        <v>10621</v>
      </c>
      <c r="BB1065" s="3" t="s">
        <v>10622</v>
      </c>
      <c r="BC1065" s="3" t="s">
        <v>77</v>
      </c>
      <c r="BD1065" s="3" t="s">
        <v>78</v>
      </c>
      <c r="BE1065" s="3" t="s">
        <v>10623</v>
      </c>
      <c r="BF1065" s="3" t="s">
        <v>10622</v>
      </c>
      <c r="BG1065" s="3" t="s">
        <v>10624</v>
      </c>
      <c r="BH1065">
        <f t="shared" si="33"/>
        <v>0</v>
      </c>
    </row>
    <row r="1066" spans="1:60" ht="58" x14ac:dyDescent="0.35">
      <c r="A1066" s="2" t="s">
        <v>59</v>
      </c>
      <c r="B1066" s="2" t="s">
        <v>60</v>
      </c>
      <c r="C1066" s="2" t="s">
        <v>10625</v>
      </c>
      <c r="D1066" s="2" t="s">
        <v>10626</v>
      </c>
      <c r="E1066" s="2" t="s">
        <v>10627</v>
      </c>
      <c r="G1066" s="3" t="s">
        <v>64</v>
      </c>
      <c r="I1066" s="3" t="s">
        <v>64</v>
      </c>
      <c r="J1066" s="3" t="s">
        <v>64</v>
      </c>
      <c r="K1066" s="3" t="s">
        <v>65</v>
      </c>
      <c r="L1066" s="2" t="s">
        <v>10158</v>
      </c>
      <c r="M1066" s="2" t="s">
        <v>10628</v>
      </c>
      <c r="N1066" s="3" t="s">
        <v>1938</v>
      </c>
      <c r="P1066" s="3" t="s">
        <v>102</v>
      </c>
      <c r="R1066" s="3" t="s">
        <v>70</v>
      </c>
      <c r="S1066" s="4">
        <v>6</v>
      </c>
      <c r="T1066" s="4">
        <v>6</v>
      </c>
      <c r="U1066" s="5" t="s">
        <v>10629</v>
      </c>
      <c r="V1066" s="5" t="s">
        <v>10629</v>
      </c>
      <c r="W1066" s="5" t="s">
        <v>72</v>
      </c>
      <c r="X1066" s="5" t="s">
        <v>72</v>
      </c>
      <c r="Y1066" s="4">
        <v>253</v>
      </c>
      <c r="Z1066" s="4">
        <v>25</v>
      </c>
      <c r="AA1066" s="4">
        <v>25</v>
      </c>
      <c r="AB1066" s="4">
        <v>3</v>
      </c>
      <c r="AC1066" s="4">
        <v>3</v>
      </c>
      <c r="AD1066" s="4">
        <v>94</v>
      </c>
      <c r="AE1066" s="4">
        <v>94</v>
      </c>
      <c r="AF1066" s="4">
        <v>1</v>
      </c>
      <c r="AG1066" s="4">
        <v>1</v>
      </c>
      <c r="AH1066" s="4">
        <v>83</v>
      </c>
      <c r="AI1066" s="4">
        <v>83</v>
      </c>
      <c r="AJ1066" s="4">
        <v>16</v>
      </c>
      <c r="AK1066" s="4">
        <v>16</v>
      </c>
      <c r="AL1066" s="4">
        <v>49</v>
      </c>
      <c r="AM1066" s="4">
        <v>49</v>
      </c>
      <c r="AN1066" s="4">
        <v>0</v>
      </c>
      <c r="AO1066" s="4">
        <v>0</v>
      </c>
      <c r="AP1066" s="4">
        <v>17</v>
      </c>
      <c r="AQ1066" s="4">
        <v>17</v>
      </c>
      <c r="AR1066" s="3" t="s">
        <v>64</v>
      </c>
      <c r="AS1066" s="3" t="s">
        <v>64</v>
      </c>
      <c r="AT1066" s="3" t="s">
        <v>64</v>
      </c>
      <c r="AV1066" s="6" t="str">
        <f>HYPERLINK("http://mcgill.on.worldcat.org/oclc/21411295","Catalog Record")</f>
        <v>Catalog Record</v>
      </c>
      <c r="AW1066" s="6" t="str">
        <f>HYPERLINK("http://www.worldcat.org/oclc/21411295","WorldCat Record")</f>
        <v>WorldCat Record</v>
      </c>
      <c r="AX1066" s="3" t="s">
        <v>10630</v>
      </c>
      <c r="AY1066" s="3" t="s">
        <v>10631</v>
      </c>
      <c r="AZ1066" s="3" t="s">
        <v>10632</v>
      </c>
      <c r="BA1066" s="3" t="s">
        <v>10632</v>
      </c>
      <c r="BB1066" s="3" t="s">
        <v>10633</v>
      </c>
      <c r="BC1066" s="3" t="s">
        <v>77</v>
      </c>
      <c r="BD1066" s="3" t="s">
        <v>78</v>
      </c>
      <c r="BE1066" s="3" t="s">
        <v>10634</v>
      </c>
      <c r="BF1066" s="3" t="s">
        <v>10633</v>
      </c>
      <c r="BG1066" s="3" t="s">
        <v>10635</v>
      </c>
      <c r="BH1066">
        <f t="shared" si="33"/>
        <v>0</v>
      </c>
    </row>
    <row r="1067" spans="1:60" ht="58" x14ac:dyDescent="0.35">
      <c r="A1067" s="2" t="s">
        <v>59</v>
      </c>
      <c r="B1067" s="2" t="s">
        <v>60</v>
      </c>
      <c r="C1067" s="2" t="s">
        <v>10636</v>
      </c>
      <c r="D1067" s="2" t="s">
        <v>10637</v>
      </c>
      <c r="E1067" s="2" t="s">
        <v>10638</v>
      </c>
      <c r="G1067" s="3" t="s">
        <v>64</v>
      </c>
      <c r="I1067" s="3" t="s">
        <v>64</v>
      </c>
      <c r="J1067" s="3" t="s">
        <v>64</v>
      </c>
      <c r="K1067" s="3" t="s">
        <v>65</v>
      </c>
      <c r="L1067" s="2" t="s">
        <v>10639</v>
      </c>
      <c r="M1067" s="2" t="s">
        <v>10640</v>
      </c>
      <c r="N1067" s="3" t="s">
        <v>511</v>
      </c>
      <c r="P1067" s="3" t="s">
        <v>102</v>
      </c>
      <c r="R1067" s="3" t="s">
        <v>70</v>
      </c>
      <c r="S1067" s="4">
        <v>4</v>
      </c>
      <c r="T1067" s="4">
        <v>4</v>
      </c>
      <c r="U1067" s="5" t="s">
        <v>10641</v>
      </c>
      <c r="V1067" s="5" t="s">
        <v>10641</v>
      </c>
      <c r="W1067" s="5" t="s">
        <v>72</v>
      </c>
      <c r="X1067" s="5" t="s">
        <v>72</v>
      </c>
      <c r="Y1067" s="4">
        <v>155</v>
      </c>
      <c r="Z1067" s="4">
        <v>16</v>
      </c>
      <c r="AA1067" s="4">
        <v>16</v>
      </c>
      <c r="AB1067" s="4">
        <v>1</v>
      </c>
      <c r="AC1067" s="4">
        <v>1</v>
      </c>
      <c r="AD1067" s="4">
        <v>57</v>
      </c>
      <c r="AE1067" s="4">
        <v>57</v>
      </c>
      <c r="AF1067" s="4">
        <v>0</v>
      </c>
      <c r="AG1067" s="4">
        <v>0</v>
      </c>
      <c r="AH1067" s="4">
        <v>49</v>
      </c>
      <c r="AI1067" s="4">
        <v>49</v>
      </c>
      <c r="AJ1067" s="4">
        <v>8</v>
      </c>
      <c r="AK1067" s="4">
        <v>8</v>
      </c>
      <c r="AL1067" s="4">
        <v>33</v>
      </c>
      <c r="AM1067" s="4">
        <v>33</v>
      </c>
      <c r="AN1067" s="4">
        <v>0</v>
      </c>
      <c r="AO1067" s="4">
        <v>0</v>
      </c>
      <c r="AP1067" s="4">
        <v>11</v>
      </c>
      <c r="AQ1067" s="4">
        <v>11</v>
      </c>
      <c r="AR1067" s="3" t="s">
        <v>64</v>
      </c>
      <c r="AS1067" s="3" t="s">
        <v>64</v>
      </c>
      <c r="AT1067" s="3" t="s">
        <v>64</v>
      </c>
      <c r="AV1067" s="6" t="str">
        <f>HYPERLINK("http://mcgill.on.worldcat.org/oclc/457149307","Catalog Record")</f>
        <v>Catalog Record</v>
      </c>
      <c r="AW1067" s="6" t="str">
        <f>HYPERLINK("http://www.worldcat.org/oclc/457149307","WorldCat Record")</f>
        <v>WorldCat Record</v>
      </c>
      <c r="AX1067" s="3" t="s">
        <v>10642</v>
      </c>
      <c r="AY1067" s="3" t="s">
        <v>10643</v>
      </c>
      <c r="AZ1067" s="3" t="s">
        <v>10644</v>
      </c>
      <c r="BA1067" s="3" t="s">
        <v>10644</v>
      </c>
      <c r="BB1067" s="3" t="s">
        <v>10645</v>
      </c>
      <c r="BC1067" s="3" t="s">
        <v>77</v>
      </c>
      <c r="BD1067" s="3" t="s">
        <v>78</v>
      </c>
      <c r="BE1067" s="3" t="s">
        <v>10646</v>
      </c>
      <c r="BF1067" s="3" t="s">
        <v>10645</v>
      </c>
      <c r="BG1067" s="3" t="s">
        <v>10647</v>
      </c>
      <c r="BH1067">
        <f t="shared" si="33"/>
        <v>0</v>
      </c>
    </row>
    <row r="1068" spans="1:60" ht="58" x14ac:dyDescent="0.35">
      <c r="A1068" s="2" t="s">
        <v>59</v>
      </c>
      <c r="B1068" s="2" t="s">
        <v>60</v>
      </c>
      <c r="C1068" s="2" t="s">
        <v>10648</v>
      </c>
      <c r="D1068" s="2" t="s">
        <v>10649</v>
      </c>
      <c r="E1068" s="2" t="s">
        <v>10650</v>
      </c>
      <c r="G1068" s="3" t="s">
        <v>64</v>
      </c>
      <c r="I1068" s="3" t="s">
        <v>64</v>
      </c>
      <c r="J1068" s="3" t="s">
        <v>64</v>
      </c>
      <c r="K1068" s="3" t="s">
        <v>65</v>
      </c>
      <c r="L1068" s="2" t="s">
        <v>10651</v>
      </c>
      <c r="M1068" s="2" t="s">
        <v>10652</v>
      </c>
      <c r="N1068" s="3" t="s">
        <v>10653</v>
      </c>
      <c r="O1068" s="2" t="s">
        <v>172</v>
      </c>
      <c r="P1068" s="3" t="s">
        <v>102</v>
      </c>
      <c r="R1068" s="3" t="s">
        <v>70</v>
      </c>
      <c r="S1068" s="4">
        <v>4</v>
      </c>
      <c r="T1068" s="4">
        <v>4</v>
      </c>
      <c r="U1068" s="5" t="s">
        <v>173</v>
      </c>
      <c r="V1068" s="5" t="s">
        <v>173</v>
      </c>
      <c r="W1068" s="5" t="s">
        <v>72</v>
      </c>
      <c r="X1068" s="5" t="s">
        <v>72</v>
      </c>
      <c r="Y1068" s="4">
        <v>92</v>
      </c>
      <c r="Z1068" s="4">
        <v>12</v>
      </c>
      <c r="AA1068" s="4">
        <v>25</v>
      </c>
      <c r="AB1068" s="4">
        <v>1</v>
      </c>
      <c r="AC1068" s="4">
        <v>1</v>
      </c>
      <c r="AD1068" s="4">
        <v>41</v>
      </c>
      <c r="AE1068" s="4">
        <v>52</v>
      </c>
      <c r="AF1068" s="4">
        <v>0</v>
      </c>
      <c r="AG1068" s="4">
        <v>0</v>
      </c>
      <c r="AH1068" s="4">
        <v>36</v>
      </c>
      <c r="AI1068" s="4">
        <v>42</v>
      </c>
      <c r="AJ1068" s="4">
        <v>7</v>
      </c>
      <c r="AK1068" s="4">
        <v>9</v>
      </c>
      <c r="AL1068" s="4">
        <v>26</v>
      </c>
      <c r="AM1068" s="4">
        <v>29</v>
      </c>
      <c r="AN1068" s="4">
        <v>0</v>
      </c>
      <c r="AO1068" s="4">
        <v>0</v>
      </c>
      <c r="AP1068" s="4">
        <v>7</v>
      </c>
      <c r="AQ1068" s="4">
        <v>13</v>
      </c>
      <c r="AR1068" s="3" t="s">
        <v>64</v>
      </c>
      <c r="AS1068" s="3" t="s">
        <v>64</v>
      </c>
      <c r="AT1068" s="3" t="s">
        <v>64</v>
      </c>
      <c r="AU1068" s="6" t="str">
        <f>HYPERLINK("http://catalog.hathitrust.org/Record/100771449","HathiTrust Record")</f>
        <v>HathiTrust Record</v>
      </c>
      <c r="AV1068" s="6" t="str">
        <f>HYPERLINK("http://mcgill.on.worldcat.org/oclc/1722647","Catalog Record")</f>
        <v>Catalog Record</v>
      </c>
      <c r="AW1068" s="6" t="str">
        <f>HYPERLINK("http://www.worldcat.org/oclc/1722647","WorldCat Record")</f>
        <v>WorldCat Record</v>
      </c>
      <c r="AX1068" s="3" t="s">
        <v>10654</v>
      </c>
      <c r="AY1068" s="3" t="s">
        <v>10655</v>
      </c>
      <c r="AZ1068" s="3" t="s">
        <v>10656</v>
      </c>
      <c r="BA1068" s="3" t="s">
        <v>10656</v>
      </c>
      <c r="BB1068" s="3" t="s">
        <v>10657</v>
      </c>
      <c r="BC1068" s="3" t="s">
        <v>77</v>
      </c>
      <c r="BD1068" s="3" t="s">
        <v>78</v>
      </c>
      <c r="BF1068" s="3" t="s">
        <v>10657</v>
      </c>
      <c r="BG1068" s="3" t="s">
        <v>10658</v>
      </c>
      <c r="BH1068">
        <f t="shared" si="33"/>
        <v>0</v>
      </c>
    </row>
    <row r="1069" spans="1:60" ht="58" x14ac:dyDescent="0.35">
      <c r="A1069" s="2" t="s">
        <v>59</v>
      </c>
      <c r="B1069" s="2" t="s">
        <v>60</v>
      </c>
      <c r="C1069" s="2" t="s">
        <v>10659</v>
      </c>
      <c r="D1069" s="2" t="s">
        <v>10660</v>
      </c>
      <c r="E1069" s="2" t="s">
        <v>10661</v>
      </c>
      <c r="G1069" s="3" t="s">
        <v>64</v>
      </c>
      <c r="I1069" s="3" t="s">
        <v>64</v>
      </c>
      <c r="J1069" s="3" t="s">
        <v>128</v>
      </c>
      <c r="K1069" s="3" t="s">
        <v>65</v>
      </c>
      <c r="L1069" s="2" t="s">
        <v>10662</v>
      </c>
      <c r="M1069" s="2" t="s">
        <v>10663</v>
      </c>
      <c r="N1069" s="3" t="s">
        <v>511</v>
      </c>
      <c r="P1069" s="3" t="s">
        <v>102</v>
      </c>
      <c r="R1069" s="3" t="s">
        <v>70</v>
      </c>
      <c r="S1069" s="4">
        <v>4</v>
      </c>
      <c r="T1069" s="4">
        <v>4</v>
      </c>
      <c r="U1069" s="5" t="s">
        <v>10664</v>
      </c>
      <c r="V1069" s="5" t="s">
        <v>10664</v>
      </c>
      <c r="W1069" s="5" t="s">
        <v>72</v>
      </c>
      <c r="X1069" s="5" t="s">
        <v>72</v>
      </c>
      <c r="Y1069" s="4">
        <v>460</v>
      </c>
      <c r="Z1069" s="4">
        <v>35</v>
      </c>
      <c r="AA1069" s="4">
        <v>49</v>
      </c>
      <c r="AB1069" s="4">
        <v>4</v>
      </c>
      <c r="AC1069" s="4">
        <v>12</v>
      </c>
      <c r="AD1069" s="4">
        <v>93</v>
      </c>
      <c r="AE1069" s="4">
        <v>110</v>
      </c>
      <c r="AF1069" s="4">
        <v>1</v>
      </c>
      <c r="AG1069" s="4">
        <v>5</v>
      </c>
      <c r="AH1069" s="4">
        <v>76</v>
      </c>
      <c r="AI1069" s="4">
        <v>88</v>
      </c>
      <c r="AJ1069" s="4">
        <v>17</v>
      </c>
      <c r="AK1069" s="4">
        <v>22</v>
      </c>
      <c r="AL1069" s="4">
        <v>45</v>
      </c>
      <c r="AM1069" s="4">
        <v>51</v>
      </c>
      <c r="AN1069" s="4">
        <v>0</v>
      </c>
      <c r="AO1069" s="4">
        <v>0</v>
      </c>
      <c r="AP1069" s="4">
        <v>24</v>
      </c>
      <c r="AQ1069" s="4">
        <v>30</v>
      </c>
      <c r="AR1069" s="3" t="s">
        <v>64</v>
      </c>
      <c r="AS1069" s="3" t="s">
        <v>64</v>
      </c>
      <c r="AT1069" s="3" t="s">
        <v>64</v>
      </c>
      <c r="AV1069" s="6" t="str">
        <f>HYPERLINK("http://mcgill.on.worldcat.org/oclc/620321123","Catalog Record")</f>
        <v>Catalog Record</v>
      </c>
      <c r="AW1069" s="6" t="str">
        <f>HYPERLINK("http://www.worldcat.org/oclc/620321123","WorldCat Record")</f>
        <v>WorldCat Record</v>
      </c>
      <c r="AX1069" s="3" t="s">
        <v>10665</v>
      </c>
      <c r="AY1069" s="3" t="s">
        <v>10666</v>
      </c>
      <c r="AZ1069" s="3" t="s">
        <v>10667</v>
      </c>
      <c r="BA1069" s="3" t="s">
        <v>10667</v>
      </c>
      <c r="BB1069" s="3" t="s">
        <v>10668</v>
      </c>
      <c r="BC1069" s="3" t="s">
        <v>77</v>
      </c>
      <c r="BD1069" s="3" t="s">
        <v>78</v>
      </c>
      <c r="BE1069" s="3" t="s">
        <v>10669</v>
      </c>
      <c r="BF1069" s="3" t="s">
        <v>10668</v>
      </c>
      <c r="BG1069" s="3" t="s">
        <v>10670</v>
      </c>
      <c r="BH1069">
        <f t="shared" si="33"/>
        <v>0</v>
      </c>
    </row>
    <row r="1070" spans="1:60" ht="58" x14ac:dyDescent="0.35">
      <c r="A1070" s="2" t="s">
        <v>59</v>
      </c>
      <c r="B1070" s="2" t="s">
        <v>60</v>
      </c>
      <c r="C1070" s="2" t="s">
        <v>10671</v>
      </c>
      <c r="D1070" s="2" t="s">
        <v>10672</v>
      </c>
      <c r="E1070" s="2" t="s">
        <v>10661</v>
      </c>
      <c r="G1070" s="3" t="s">
        <v>64</v>
      </c>
      <c r="I1070" s="3" t="s">
        <v>64</v>
      </c>
      <c r="J1070" s="3" t="s">
        <v>128</v>
      </c>
      <c r="K1070" s="3" t="s">
        <v>65</v>
      </c>
      <c r="L1070" s="2" t="s">
        <v>10662</v>
      </c>
      <c r="M1070" s="2" t="s">
        <v>10673</v>
      </c>
      <c r="N1070" s="3" t="s">
        <v>86</v>
      </c>
      <c r="O1070" s="2" t="s">
        <v>172</v>
      </c>
      <c r="P1070" s="3" t="s">
        <v>102</v>
      </c>
      <c r="R1070" s="3" t="s">
        <v>70</v>
      </c>
      <c r="S1070" s="4">
        <v>9</v>
      </c>
      <c r="T1070" s="4">
        <v>9</v>
      </c>
      <c r="U1070" s="5" t="s">
        <v>3367</v>
      </c>
      <c r="V1070" s="5" t="s">
        <v>3367</v>
      </c>
      <c r="W1070" s="5" t="s">
        <v>72</v>
      </c>
      <c r="X1070" s="5" t="s">
        <v>72</v>
      </c>
      <c r="Y1070" s="4">
        <v>41</v>
      </c>
      <c r="Z1070" s="4">
        <v>4</v>
      </c>
      <c r="AA1070" s="4">
        <v>49</v>
      </c>
      <c r="AB1070" s="4">
        <v>1</v>
      </c>
      <c r="AC1070" s="4">
        <v>12</v>
      </c>
      <c r="AD1070" s="4">
        <v>8</v>
      </c>
      <c r="AE1070" s="4">
        <v>110</v>
      </c>
      <c r="AF1070" s="4">
        <v>0</v>
      </c>
      <c r="AG1070" s="4">
        <v>5</v>
      </c>
      <c r="AH1070" s="4">
        <v>7</v>
      </c>
      <c r="AI1070" s="4">
        <v>88</v>
      </c>
      <c r="AJ1070" s="4">
        <v>2</v>
      </c>
      <c r="AK1070" s="4">
        <v>22</v>
      </c>
      <c r="AL1070" s="4">
        <v>3</v>
      </c>
      <c r="AM1070" s="4">
        <v>51</v>
      </c>
      <c r="AN1070" s="4">
        <v>0</v>
      </c>
      <c r="AO1070" s="4">
        <v>0</v>
      </c>
      <c r="AP1070" s="4">
        <v>3</v>
      </c>
      <c r="AQ1070" s="4">
        <v>30</v>
      </c>
      <c r="AR1070" s="3" t="s">
        <v>64</v>
      </c>
      <c r="AS1070" s="3" t="s">
        <v>64</v>
      </c>
      <c r="AT1070" s="3" t="s">
        <v>64</v>
      </c>
      <c r="AV1070" s="6" t="str">
        <f>HYPERLINK("http://mcgill.on.worldcat.org/oclc/793212616","Catalog Record")</f>
        <v>Catalog Record</v>
      </c>
      <c r="AW1070" s="6" t="str">
        <f>HYPERLINK("http://www.worldcat.org/oclc/793212616","WorldCat Record")</f>
        <v>WorldCat Record</v>
      </c>
      <c r="AX1070" s="3" t="s">
        <v>10665</v>
      </c>
      <c r="AY1070" s="3" t="s">
        <v>10674</v>
      </c>
      <c r="AZ1070" s="3" t="s">
        <v>10675</v>
      </c>
      <c r="BA1070" s="3" t="s">
        <v>10675</v>
      </c>
      <c r="BB1070" s="3" t="s">
        <v>10676</v>
      </c>
      <c r="BC1070" s="3" t="s">
        <v>77</v>
      </c>
      <c r="BD1070" s="3" t="s">
        <v>78</v>
      </c>
      <c r="BE1070" s="3" t="s">
        <v>10677</v>
      </c>
      <c r="BF1070" s="3" t="s">
        <v>10676</v>
      </c>
      <c r="BG1070" s="3" t="s">
        <v>10678</v>
      </c>
      <c r="BH1070">
        <f t="shared" si="33"/>
        <v>0</v>
      </c>
    </row>
    <row r="1071" spans="1:60" ht="58" x14ac:dyDescent="0.35">
      <c r="A1071" s="2" t="s">
        <v>59</v>
      </c>
      <c r="B1071" s="2" t="s">
        <v>60</v>
      </c>
      <c r="C1071" s="2" t="s">
        <v>10679</v>
      </c>
      <c r="D1071" s="2" t="s">
        <v>10680</v>
      </c>
      <c r="E1071" s="2" t="s">
        <v>10681</v>
      </c>
      <c r="G1071" s="3" t="s">
        <v>64</v>
      </c>
      <c r="I1071" s="3" t="s">
        <v>64</v>
      </c>
      <c r="J1071" s="3" t="s">
        <v>64</v>
      </c>
      <c r="K1071" s="3" t="s">
        <v>65</v>
      </c>
      <c r="L1071" s="2" t="s">
        <v>10682</v>
      </c>
      <c r="M1071" s="2" t="s">
        <v>10683</v>
      </c>
      <c r="N1071" s="3" t="s">
        <v>481</v>
      </c>
      <c r="P1071" s="3" t="s">
        <v>102</v>
      </c>
      <c r="Q1071" s="2" t="s">
        <v>10684</v>
      </c>
      <c r="R1071" s="3" t="s">
        <v>70</v>
      </c>
      <c r="S1071" s="4">
        <v>13</v>
      </c>
      <c r="T1071" s="4">
        <v>13</v>
      </c>
      <c r="U1071" s="5" t="s">
        <v>10295</v>
      </c>
      <c r="V1071" s="5" t="s">
        <v>10295</v>
      </c>
      <c r="W1071" s="5" t="s">
        <v>72</v>
      </c>
      <c r="X1071" s="5" t="s">
        <v>72</v>
      </c>
      <c r="Y1071" s="4">
        <v>360</v>
      </c>
      <c r="Z1071" s="4">
        <v>27</v>
      </c>
      <c r="AA1071" s="4">
        <v>28</v>
      </c>
      <c r="AB1071" s="4">
        <v>3</v>
      </c>
      <c r="AC1071" s="4">
        <v>4</v>
      </c>
      <c r="AD1071" s="4">
        <v>112</v>
      </c>
      <c r="AE1071" s="4">
        <v>115</v>
      </c>
      <c r="AF1071" s="4">
        <v>1</v>
      </c>
      <c r="AG1071" s="4">
        <v>2</v>
      </c>
      <c r="AH1071" s="4">
        <v>95</v>
      </c>
      <c r="AI1071" s="4">
        <v>98</v>
      </c>
      <c r="AJ1071" s="4">
        <v>18</v>
      </c>
      <c r="AK1071" s="4">
        <v>19</v>
      </c>
      <c r="AL1071" s="4">
        <v>53</v>
      </c>
      <c r="AM1071" s="4">
        <v>55</v>
      </c>
      <c r="AN1071" s="4">
        <v>0</v>
      </c>
      <c r="AO1071" s="4">
        <v>0</v>
      </c>
      <c r="AP1071" s="4">
        <v>22</v>
      </c>
      <c r="AQ1071" s="4">
        <v>23</v>
      </c>
      <c r="AR1071" s="3" t="s">
        <v>64</v>
      </c>
      <c r="AS1071" s="3" t="s">
        <v>64</v>
      </c>
      <c r="AT1071" s="3" t="s">
        <v>64</v>
      </c>
      <c r="AV1071" s="6" t="str">
        <f>HYPERLINK("http://mcgill.on.worldcat.org/oclc/46347","Catalog Record")</f>
        <v>Catalog Record</v>
      </c>
      <c r="AW1071" s="6" t="str">
        <f>HYPERLINK("http://www.worldcat.org/oclc/46347","WorldCat Record")</f>
        <v>WorldCat Record</v>
      </c>
      <c r="AX1071" s="3" t="s">
        <v>10685</v>
      </c>
      <c r="AY1071" s="3" t="s">
        <v>10686</v>
      </c>
      <c r="AZ1071" s="3" t="s">
        <v>10687</v>
      </c>
      <c r="BA1071" s="3" t="s">
        <v>10687</v>
      </c>
      <c r="BB1071" s="3" t="s">
        <v>10688</v>
      </c>
      <c r="BC1071" s="3" t="s">
        <v>77</v>
      </c>
      <c r="BD1071" s="3" t="s">
        <v>165</v>
      </c>
      <c r="BE1071" s="3" t="s">
        <v>10689</v>
      </c>
      <c r="BF1071" s="3" t="s">
        <v>10688</v>
      </c>
      <c r="BG1071" s="3" t="s">
        <v>10690</v>
      </c>
      <c r="BH1071">
        <f t="shared" si="33"/>
        <v>0</v>
      </c>
    </row>
    <row r="1072" spans="1:60" ht="58" x14ac:dyDescent="0.35">
      <c r="A1072" s="2" t="s">
        <v>59</v>
      </c>
      <c r="B1072" s="2" t="s">
        <v>60</v>
      </c>
      <c r="C1072" s="2" t="s">
        <v>10691</v>
      </c>
      <c r="D1072" s="2" t="s">
        <v>10692</v>
      </c>
      <c r="E1072" s="2" t="s">
        <v>10693</v>
      </c>
      <c r="G1072" s="3" t="s">
        <v>64</v>
      </c>
      <c r="I1072" s="3" t="s">
        <v>64</v>
      </c>
      <c r="J1072" s="3" t="s">
        <v>64</v>
      </c>
      <c r="K1072" s="3" t="s">
        <v>65</v>
      </c>
      <c r="L1072" s="2" t="s">
        <v>10694</v>
      </c>
      <c r="M1072" s="2" t="s">
        <v>10695</v>
      </c>
      <c r="N1072" s="3" t="s">
        <v>7285</v>
      </c>
      <c r="O1072" s="2" t="s">
        <v>10696</v>
      </c>
      <c r="P1072" s="3" t="s">
        <v>102</v>
      </c>
      <c r="R1072" s="3" t="s">
        <v>70</v>
      </c>
      <c r="S1072" s="4">
        <v>12</v>
      </c>
      <c r="T1072" s="4">
        <v>12</v>
      </c>
      <c r="U1072" s="5" t="s">
        <v>10295</v>
      </c>
      <c r="V1072" s="5" t="s">
        <v>10295</v>
      </c>
      <c r="W1072" s="5" t="s">
        <v>72</v>
      </c>
      <c r="X1072" s="5" t="s">
        <v>72</v>
      </c>
      <c r="Y1072" s="4">
        <v>413</v>
      </c>
      <c r="Z1072" s="4">
        <v>25</v>
      </c>
      <c r="AA1072" s="4">
        <v>26</v>
      </c>
      <c r="AB1072" s="4">
        <v>2</v>
      </c>
      <c r="AC1072" s="4">
        <v>3</v>
      </c>
      <c r="AD1072" s="4">
        <v>109</v>
      </c>
      <c r="AE1072" s="4">
        <v>110</v>
      </c>
      <c r="AF1072" s="4">
        <v>1</v>
      </c>
      <c r="AG1072" s="4">
        <v>2</v>
      </c>
      <c r="AH1072" s="4">
        <v>97</v>
      </c>
      <c r="AI1072" s="4">
        <v>97</v>
      </c>
      <c r="AJ1072" s="4">
        <v>18</v>
      </c>
      <c r="AK1072" s="4">
        <v>19</v>
      </c>
      <c r="AL1072" s="4">
        <v>52</v>
      </c>
      <c r="AM1072" s="4">
        <v>52</v>
      </c>
      <c r="AN1072" s="4">
        <v>0</v>
      </c>
      <c r="AO1072" s="4">
        <v>0</v>
      </c>
      <c r="AP1072" s="4">
        <v>19</v>
      </c>
      <c r="AQ1072" s="4">
        <v>19</v>
      </c>
      <c r="AR1072" s="3" t="s">
        <v>64</v>
      </c>
      <c r="AS1072" s="3" t="s">
        <v>64</v>
      </c>
      <c r="AT1072" s="3" t="s">
        <v>64</v>
      </c>
      <c r="AV1072" s="6" t="str">
        <f>HYPERLINK("http://mcgill.on.worldcat.org/oclc/143075","Catalog Record")</f>
        <v>Catalog Record</v>
      </c>
      <c r="AW1072" s="6" t="str">
        <f>HYPERLINK("http://www.worldcat.org/oclc/143075","WorldCat Record")</f>
        <v>WorldCat Record</v>
      </c>
      <c r="AX1072" s="3" t="s">
        <v>10697</v>
      </c>
      <c r="AY1072" s="3" t="s">
        <v>10698</v>
      </c>
      <c r="AZ1072" s="3" t="s">
        <v>10699</v>
      </c>
      <c r="BA1072" s="3" t="s">
        <v>10699</v>
      </c>
      <c r="BB1072" s="3" t="s">
        <v>10700</v>
      </c>
      <c r="BC1072" s="3" t="s">
        <v>77</v>
      </c>
      <c r="BD1072" s="3" t="s">
        <v>165</v>
      </c>
      <c r="BE1072" s="3" t="s">
        <v>10701</v>
      </c>
      <c r="BF1072" s="3" t="s">
        <v>10700</v>
      </c>
      <c r="BG1072" s="3" t="s">
        <v>10702</v>
      </c>
      <c r="BH1072">
        <f t="shared" si="33"/>
        <v>0</v>
      </c>
    </row>
    <row r="1073" spans="1:60" ht="58" x14ac:dyDescent="0.35">
      <c r="A1073" s="2" t="s">
        <v>59</v>
      </c>
      <c r="B1073" s="2" t="s">
        <v>60</v>
      </c>
      <c r="C1073" s="2" t="s">
        <v>10703</v>
      </c>
      <c r="D1073" s="2" t="s">
        <v>10704</v>
      </c>
      <c r="E1073" s="2" t="s">
        <v>10705</v>
      </c>
      <c r="G1073" s="3" t="s">
        <v>64</v>
      </c>
      <c r="I1073" s="3" t="s">
        <v>64</v>
      </c>
      <c r="J1073" s="3" t="s">
        <v>64</v>
      </c>
      <c r="K1073" s="3" t="s">
        <v>65</v>
      </c>
      <c r="L1073" s="2" t="s">
        <v>10706</v>
      </c>
      <c r="M1073" s="2" t="s">
        <v>10707</v>
      </c>
      <c r="N1073" s="3" t="s">
        <v>101</v>
      </c>
      <c r="P1073" s="3" t="s">
        <v>102</v>
      </c>
      <c r="Q1073" s="2" t="s">
        <v>10708</v>
      </c>
      <c r="R1073" s="3" t="s">
        <v>70</v>
      </c>
      <c r="S1073" s="4">
        <v>33</v>
      </c>
      <c r="T1073" s="4">
        <v>33</v>
      </c>
      <c r="U1073" s="5" t="s">
        <v>1326</v>
      </c>
      <c r="V1073" s="5" t="s">
        <v>1326</v>
      </c>
      <c r="W1073" s="5" t="s">
        <v>72</v>
      </c>
      <c r="X1073" s="5" t="s">
        <v>72</v>
      </c>
      <c r="Y1073" s="4">
        <v>265</v>
      </c>
      <c r="Z1073" s="4">
        <v>26</v>
      </c>
      <c r="AA1073" s="4">
        <v>81</v>
      </c>
      <c r="AB1073" s="4">
        <v>1</v>
      </c>
      <c r="AC1073" s="4">
        <v>15</v>
      </c>
      <c r="AD1073" s="4">
        <v>87</v>
      </c>
      <c r="AE1073" s="4">
        <v>130</v>
      </c>
      <c r="AF1073" s="4">
        <v>0</v>
      </c>
      <c r="AG1073" s="4">
        <v>8</v>
      </c>
      <c r="AH1073" s="4">
        <v>75</v>
      </c>
      <c r="AI1073" s="4">
        <v>95</v>
      </c>
      <c r="AJ1073" s="4">
        <v>18</v>
      </c>
      <c r="AK1073" s="4">
        <v>26</v>
      </c>
      <c r="AL1073" s="4">
        <v>42</v>
      </c>
      <c r="AM1073" s="4">
        <v>51</v>
      </c>
      <c r="AN1073" s="4">
        <v>0</v>
      </c>
      <c r="AO1073" s="4">
        <v>0</v>
      </c>
      <c r="AP1073" s="4">
        <v>22</v>
      </c>
      <c r="AQ1073" s="4">
        <v>45</v>
      </c>
      <c r="AR1073" s="3" t="s">
        <v>64</v>
      </c>
      <c r="AS1073" s="3" t="s">
        <v>64</v>
      </c>
      <c r="AT1073" s="3" t="s">
        <v>64</v>
      </c>
      <c r="AV1073" s="6" t="str">
        <f>HYPERLINK("http://mcgill.on.worldcat.org/oclc/51022630","Catalog Record")</f>
        <v>Catalog Record</v>
      </c>
      <c r="AW1073" s="6" t="str">
        <f>HYPERLINK("http://www.worldcat.org/oclc/51022630","WorldCat Record")</f>
        <v>WorldCat Record</v>
      </c>
      <c r="AX1073" s="3" t="s">
        <v>10709</v>
      </c>
      <c r="AY1073" s="3" t="s">
        <v>10710</v>
      </c>
      <c r="AZ1073" s="3" t="s">
        <v>10711</v>
      </c>
      <c r="BA1073" s="3" t="s">
        <v>10711</v>
      </c>
      <c r="BB1073" s="3" t="s">
        <v>10712</v>
      </c>
      <c r="BC1073" s="3" t="s">
        <v>77</v>
      </c>
      <c r="BD1073" s="3" t="s">
        <v>165</v>
      </c>
      <c r="BE1073" s="3" t="s">
        <v>10713</v>
      </c>
      <c r="BF1073" s="3" t="s">
        <v>10712</v>
      </c>
      <c r="BG1073" s="3" t="s">
        <v>10714</v>
      </c>
      <c r="BH1073">
        <f t="shared" si="33"/>
        <v>0</v>
      </c>
    </row>
    <row r="1074" spans="1:60" ht="58" x14ac:dyDescent="0.35">
      <c r="A1074" s="2" t="s">
        <v>59</v>
      </c>
      <c r="B1074" s="2" t="s">
        <v>60</v>
      </c>
      <c r="C1074" s="2" t="s">
        <v>10715</v>
      </c>
      <c r="D1074" s="2" t="s">
        <v>10716</v>
      </c>
      <c r="E1074" s="2" t="s">
        <v>10717</v>
      </c>
      <c r="G1074" s="3" t="s">
        <v>64</v>
      </c>
      <c r="I1074" s="3" t="s">
        <v>64</v>
      </c>
      <c r="J1074" s="3" t="s">
        <v>64</v>
      </c>
      <c r="K1074" s="3" t="s">
        <v>65</v>
      </c>
      <c r="M1074" s="2" t="s">
        <v>10718</v>
      </c>
      <c r="N1074" s="3" t="s">
        <v>1250</v>
      </c>
      <c r="P1074" s="3" t="s">
        <v>102</v>
      </c>
      <c r="Q1074" s="2" t="s">
        <v>10719</v>
      </c>
      <c r="R1074" s="3" t="s">
        <v>70</v>
      </c>
      <c r="S1074" s="4">
        <v>9</v>
      </c>
      <c r="T1074" s="4">
        <v>9</v>
      </c>
      <c r="U1074" s="5" t="s">
        <v>10720</v>
      </c>
      <c r="V1074" s="5" t="s">
        <v>10720</v>
      </c>
      <c r="W1074" s="5" t="s">
        <v>72</v>
      </c>
      <c r="X1074" s="5" t="s">
        <v>72</v>
      </c>
      <c r="Y1074" s="4">
        <v>152</v>
      </c>
      <c r="Z1074" s="4">
        <v>11</v>
      </c>
      <c r="AA1074" s="4">
        <v>17</v>
      </c>
      <c r="AB1074" s="4">
        <v>1</v>
      </c>
      <c r="AC1074" s="4">
        <v>1</v>
      </c>
      <c r="AD1074" s="4">
        <v>79</v>
      </c>
      <c r="AE1074" s="4">
        <v>83</v>
      </c>
      <c r="AF1074" s="4">
        <v>0</v>
      </c>
      <c r="AG1074" s="4">
        <v>0</v>
      </c>
      <c r="AH1074" s="4">
        <v>69</v>
      </c>
      <c r="AI1074" s="4">
        <v>72</v>
      </c>
      <c r="AJ1074" s="4">
        <v>7</v>
      </c>
      <c r="AK1074" s="4">
        <v>10</v>
      </c>
      <c r="AL1074" s="4">
        <v>47</v>
      </c>
      <c r="AM1074" s="4">
        <v>47</v>
      </c>
      <c r="AN1074" s="4">
        <v>0</v>
      </c>
      <c r="AO1074" s="4">
        <v>0</v>
      </c>
      <c r="AP1074" s="4">
        <v>9</v>
      </c>
      <c r="AQ1074" s="4">
        <v>12</v>
      </c>
      <c r="AR1074" s="3" t="s">
        <v>64</v>
      </c>
      <c r="AS1074" s="3" t="s">
        <v>64</v>
      </c>
      <c r="AT1074" s="3" t="s">
        <v>64</v>
      </c>
      <c r="AV1074" s="6" t="str">
        <f>HYPERLINK("http://mcgill.on.worldcat.org/oclc/23939736","Catalog Record")</f>
        <v>Catalog Record</v>
      </c>
      <c r="AW1074" s="6" t="str">
        <f>HYPERLINK("http://www.worldcat.org/oclc/23939736","WorldCat Record")</f>
        <v>WorldCat Record</v>
      </c>
      <c r="AX1074" s="3" t="s">
        <v>10721</v>
      </c>
      <c r="AY1074" s="3" t="s">
        <v>10722</v>
      </c>
      <c r="AZ1074" s="3" t="s">
        <v>10723</v>
      </c>
      <c r="BA1074" s="3" t="s">
        <v>10723</v>
      </c>
      <c r="BB1074" s="3" t="s">
        <v>10724</v>
      </c>
      <c r="BC1074" s="3" t="s">
        <v>77</v>
      </c>
      <c r="BD1074" s="3" t="s">
        <v>78</v>
      </c>
      <c r="BE1074" s="3" t="s">
        <v>10725</v>
      </c>
      <c r="BF1074" s="3" t="s">
        <v>10724</v>
      </c>
      <c r="BG1074" s="3" t="s">
        <v>10726</v>
      </c>
      <c r="BH1074">
        <f t="shared" si="33"/>
        <v>0</v>
      </c>
    </row>
    <row r="1075" spans="1:60" ht="58" x14ac:dyDescent="0.35">
      <c r="A1075" s="2" t="s">
        <v>59</v>
      </c>
      <c r="B1075" s="2" t="s">
        <v>60</v>
      </c>
      <c r="C1075" s="2" t="s">
        <v>10727</v>
      </c>
      <c r="D1075" s="2" t="s">
        <v>10728</v>
      </c>
      <c r="E1075" s="2" t="s">
        <v>10729</v>
      </c>
      <c r="G1075" s="3" t="s">
        <v>64</v>
      </c>
      <c r="I1075" s="3" t="s">
        <v>64</v>
      </c>
      <c r="J1075" s="3" t="s">
        <v>64</v>
      </c>
      <c r="K1075" s="3" t="s">
        <v>65</v>
      </c>
      <c r="L1075" s="2" t="s">
        <v>10730</v>
      </c>
      <c r="M1075" s="2" t="s">
        <v>2422</v>
      </c>
      <c r="N1075" s="3" t="s">
        <v>144</v>
      </c>
      <c r="P1075" s="3" t="s">
        <v>102</v>
      </c>
      <c r="R1075" s="3" t="s">
        <v>70</v>
      </c>
      <c r="S1075" s="4">
        <v>3</v>
      </c>
      <c r="T1075" s="4">
        <v>3</v>
      </c>
      <c r="U1075" s="5" t="s">
        <v>10450</v>
      </c>
      <c r="V1075" s="5" t="s">
        <v>10450</v>
      </c>
      <c r="W1075" s="5" t="s">
        <v>72</v>
      </c>
      <c r="X1075" s="5" t="s">
        <v>72</v>
      </c>
      <c r="Y1075" s="4">
        <v>184</v>
      </c>
      <c r="Z1075" s="4">
        <v>16</v>
      </c>
      <c r="AA1075" s="4">
        <v>36</v>
      </c>
      <c r="AB1075" s="4">
        <v>1</v>
      </c>
      <c r="AC1075" s="4">
        <v>5</v>
      </c>
      <c r="AD1075" s="4">
        <v>77</v>
      </c>
      <c r="AE1075" s="4">
        <v>103</v>
      </c>
      <c r="AF1075" s="4">
        <v>0</v>
      </c>
      <c r="AG1075" s="4">
        <v>0</v>
      </c>
      <c r="AH1075" s="4">
        <v>72</v>
      </c>
      <c r="AI1075" s="4">
        <v>88</v>
      </c>
      <c r="AJ1075" s="4">
        <v>10</v>
      </c>
      <c r="AK1075" s="4">
        <v>14</v>
      </c>
      <c r="AL1075" s="4">
        <v>42</v>
      </c>
      <c r="AM1075" s="4">
        <v>51</v>
      </c>
      <c r="AN1075" s="4">
        <v>0</v>
      </c>
      <c r="AO1075" s="4">
        <v>0</v>
      </c>
      <c r="AP1075" s="4">
        <v>11</v>
      </c>
      <c r="AQ1075" s="4">
        <v>22</v>
      </c>
      <c r="AR1075" s="3" t="s">
        <v>64</v>
      </c>
      <c r="AS1075" s="3" t="s">
        <v>64</v>
      </c>
      <c r="AT1075" s="3" t="s">
        <v>64</v>
      </c>
      <c r="AV1075" s="6" t="str">
        <f>HYPERLINK("http://mcgill.on.worldcat.org/oclc/181862564","Catalog Record")</f>
        <v>Catalog Record</v>
      </c>
      <c r="AW1075" s="6" t="str">
        <f>HYPERLINK("http://www.worldcat.org/oclc/181862564","WorldCat Record")</f>
        <v>WorldCat Record</v>
      </c>
      <c r="AX1075" s="3" t="s">
        <v>10731</v>
      </c>
      <c r="AY1075" s="3" t="s">
        <v>10732</v>
      </c>
      <c r="AZ1075" s="3" t="s">
        <v>10733</v>
      </c>
      <c r="BA1075" s="3" t="s">
        <v>10733</v>
      </c>
      <c r="BB1075" s="3" t="s">
        <v>10734</v>
      </c>
      <c r="BC1075" s="3" t="s">
        <v>77</v>
      </c>
      <c r="BD1075" s="3" t="s">
        <v>78</v>
      </c>
      <c r="BE1075" s="3" t="s">
        <v>10735</v>
      </c>
      <c r="BF1075" s="3" t="s">
        <v>10734</v>
      </c>
      <c r="BG1075" s="3" t="s">
        <v>10736</v>
      </c>
      <c r="BH1075">
        <f t="shared" si="33"/>
        <v>0</v>
      </c>
    </row>
    <row r="1076" spans="1:60" ht="58" x14ac:dyDescent="0.35">
      <c r="A1076" s="2" t="s">
        <v>59</v>
      </c>
      <c r="B1076" s="2" t="s">
        <v>60</v>
      </c>
      <c r="C1076" s="2" t="s">
        <v>10737</v>
      </c>
      <c r="D1076" s="2" t="s">
        <v>10738</v>
      </c>
      <c r="E1076" s="2" t="s">
        <v>10739</v>
      </c>
      <c r="G1076" s="3" t="s">
        <v>64</v>
      </c>
      <c r="I1076" s="3" t="s">
        <v>64</v>
      </c>
      <c r="J1076" s="3" t="s">
        <v>64</v>
      </c>
      <c r="K1076" s="3" t="s">
        <v>65</v>
      </c>
      <c r="L1076" s="2" t="s">
        <v>10740</v>
      </c>
      <c r="M1076" s="2" t="s">
        <v>10741</v>
      </c>
      <c r="N1076" s="3" t="s">
        <v>378</v>
      </c>
      <c r="P1076" s="3" t="s">
        <v>102</v>
      </c>
      <c r="R1076" s="3" t="s">
        <v>70</v>
      </c>
      <c r="S1076" s="4">
        <v>28</v>
      </c>
      <c r="T1076" s="4">
        <v>28</v>
      </c>
      <c r="U1076" s="5" t="s">
        <v>1591</v>
      </c>
      <c r="V1076" s="5" t="s">
        <v>1591</v>
      </c>
      <c r="W1076" s="5" t="s">
        <v>72</v>
      </c>
      <c r="X1076" s="5" t="s">
        <v>72</v>
      </c>
      <c r="Y1076" s="4">
        <v>564</v>
      </c>
      <c r="Z1076" s="4">
        <v>44</v>
      </c>
      <c r="AA1076" s="4">
        <v>50</v>
      </c>
      <c r="AB1076" s="4">
        <v>2</v>
      </c>
      <c r="AC1076" s="4">
        <v>5</v>
      </c>
      <c r="AD1076" s="4">
        <v>135</v>
      </c>
      <c r="AE1076" s="4">
        <v>141</v>
      </c>
      <c r="AF1076" s="4">
        <v>1</v>
      </c>
      <c r="AG1076" s="4">
        <v>4</v>
      </c>
      <c r="AH1076" s="4">
        <v>109</v>
      </c>
      <c r="AI1076" s="4">
        <v>111</v>
      </c>
      <c r="AJ1076" s="4">
        <v>21</v>
      </c>
      <c r="AK1076" s="4">
        <v>25</v>
      </c>
      <c r="AL1076" s="4">
        <v>59</v>
      </c>
      <c r="AM1076" s="4">
        <v>60</v>
      </c>
      <c r="AN1076" s="4">
        <v>0</v>
      </c>
      <c r="AO1076" s="4">
        <v>0</v>
      </c>
      <c r="AP1076" s="4">
        <v>33</v>
      </c>
      <c r="AQ1076" s="4">
        <v>37</v>
      </c>
      <c r="AR1076" s="3" t="s">
        <v>64</v>
      </c>
      <c r="AS1076" s="3" t="s">
        <v>64</v>
      </c>
      <c r="AT1076" s="3" t="s">
        <v>64</v>
      </c>
      <c r="AV1076" s="6" t="str">
        <f>HYPERLINK("http://mcgill.on.worldcat.org/oclc/13358218","Catalog Record")</f>
        <v>Catalog Record</v>
      </c>
      <c r="AW1076" s="6" t="str">
        <f>HYPERLINK("http://www.worldcat.org/oclc/13358218","WorldCat Record")</f>
        <v>WorldCat Record</v>
      </c>
      <c r="AX1076" s="3" t="s">
        <v>10742</v>
      </c>
      <c r="AY1076" s="3" t="s">
        <v>10743</v>
      </c>
      <c r="AZ1076" s="3" t="s">
        <v>10744</v>
      </c>
      <c r="BA1076" s="3" t="s">
        <v>10744</v>
      </c>
      <c r="BB1076" s="3" t="s">
        <v>10745</v>
      </c>
      <c r="BC1076" s="3" t="s">
        <v>77</v>
      </c>
      <c r="BD1076" s="3" t="s">
        <v>78</v>
      </c>
      <c r="BE1076" s="3" t="s">
        <v>10746</v>
      </c>
      <c r="BF1076" s="3" t="s">
        <v>10745</v>
      </c>
      <c r="BG1076" s="3" t="s">
        <v>10747</v>
      </c>
      <c r="BH1076">
        <f t="shared" si="33"/>
        <v>0</v>
      </c>
    </row>
    <row r="1077" spans="1:60" ht="58" x14ac:dyDescent="0.35">
      <c r="A1077" s="2" t="s">
        <v>59</v>
      </c>
      <c r="B1077" s="2" t="s">
        <v>60</v>
      </c>
      <c r="C1077" s="2" t="s">
        <v>10748</v>
      </c>
      <c r="D1077" s="2" t="s">
        <v>10749</v>
      </c>
      <c r="E1077" s="2" t="s">
        <v>10750</v>
      </c>
      <c r="G1077" s="3" t="s">
        <v>64</v>
      </c>
      <c r="I1077" s="3" t="s">
        <v>64</v>
      </c>
      <c r="J1077" s="3" t="s">
        <v>64</v>
      </c>
      <c r="K1077" s="3" t="s">
        <v>65</v>
      </c>
      <c r="L1077" s="2" t="s">
        <v>10751</v>
      </c>
      <c r="M1077" s="2" t="s">
        <v>2221</v>
      </c>
      <c r="N1077" s="3" t="s">
        <v>253</v>
      </c>
      <c r="P1077" s="3" t="s">
        <v>102</v>
      </c>
      <c r="R1077" s="3" t="s">
        <v>70</v>
      </c>
      <c r="S1077" s="4">
        <v>1</v>
      </c>
      <c r="T1077" s="4">
        <v>1</v>
      </c>
      <c r="U1077" s="5" t="s">
        <v>4562</v>
      </c>
      <c r="V1077" s="5" t="s">
        <v>4562</v>
      </c>
      <c r="W1077" s="5" t="s">
        <v>72</v>
      </c>
      <c r="X1077" s="5" t="s">
        <v>72</v>
      </c>
      <c r="Y1077" s="4">
        <v>129</v>
      </c>
      <c r="Z1077" s="4">
        <v>11</v>
      </c>
      <c r="AA1077" s="4">
        <v>11</v>
      </c>
      <c r="AB1077" s="4">
        <v>1</v>
      </c>
      <c r="AC1077" s="4">
        <v>1</v>
      </c>
      <c r="AD1077" s="4">
        <v>58</v>
      </c>
      <c r="AE1077" s="4">
        <v>58</v>
      </c>
      <c r="AF1077" s="4">
        <v>0</v>
      </c>
      <c r="AG1077" s="4">
        <v>0</v>
      </c>
      <c r="AH1077" s="4">
        <v>55</v>
      </c>
      <c r="AI1077" s="4">
        <v>55</v>
      </c>
      <c r="AJ1077" s="4">
        <v>7</v>
      </c>
      <c r="AK1077" s="4">
        <v>7</v>
      </c>
      <c r="AL1077" s="4">
        <v>37</v>
      </c>
      <c r="AM1077" s="4">
        <v>37</v>
      </c>
      <c r="AN1077" s="4">
        <v>0</v>
      </c>
      <c r="AO1077" s="4">
        <v>0</v>
      </c>
      <c r="AP1077" s="4">
        <v>7</v>
      </c>
      <c r="AQ1077" s="4">
        <v>7</v>
      </c>
      <c r="AR1077" s="3" t="s">
        <v>64</v>
      </c>
      <c r="AS1077" s="3" t="s">
        <v>64</v>
      </c>
      <c r="AT1077" s="3" t="s">
        <v>64</v>
      </c>
      <c r="AV1077" s="6" t="str">
        <f>HYPERLINK("http://mcgill.on.worldcat.org/oclc/914163601","Catalog Record")</f>
        <v>Catalog Record</v>
      </c>
      <c r="AW1077" s="6" t="str">
        <f>HYPERLINK("http://www.worldcat.org/oclc/914163601","WorldCat Record")</f>
        <v>WorldCat Record</v>
      </c>
      <c r="AX1077" s="3" t="s">
        <v>10752</v>
      </c>
      <c r="AY1077" s="3" t="s">
        <v>10753</v>
      </c>
      <c r="AZ1077" s="3" t="s">
        <v>10754</v>
      </c>
      <c r="BA1077" s="3" t="s">
        <v>10754</v>
      </c>
      <c r="BB1077" s="3" t="s">
        <v>10755</v>
      </c>
      <c r="BC1077" s="3" t="s">
        <v>77</v>
      </c>
      <c r="BD1077" s="3" t="s">
        <v>78</v>
      </c>
      <c r="BE1077" s="3" t="s">
        <v>10756</v>
      </c>
      <c r="BF1077" s="3" t="s">
        <v>10755</v>
      </c>
      <c r="BG1077" s="3" t="s">
        <v>10757</v>
      </c>
      <c r="BH1077">
        <f t="shared" si="33"/>
        <v>0</v>
      </c>
    </row>
    <row r="1078" spans="1:60" ht="58" x14ac:dyDescent="0.35">
      <c r="A1078" s="2" t="s">
        <v>59</v>
      </c>
      <c r="B1078" s="2" t="s">
        <v>60</v>
      </c>
      <c r="C1078" s="2" t="s">
        <v>10758</v>
      </c>
      <c r="D1078" s="2" t="s">
        <v>10759</v>
      </c>
      <c r="E1078" s="2" t="s">
        <v>10760</v>
      </c>
      <c r="G1078" s="3" t="s">
        <v>64</v>
      </c>
      <c r="I1078" s="3" t="s">
        <v>64</v>
      </c>
      <c r="J1078" s="3" t="s">
        <v>64</v>
      </c>
      <c r="K1078" s="3" t="s">
        <v>65</v>
      </c>
      <c r="M1078" s="2" t="s">
        <v>8483</v>
      </c>
      <c r="N1078" s="3" t="s">
        <v>551</v>
      </c>
      <c r="P1078" s="3" t="s">
        <v>102</v>
      </c>
      <c r="Q1078" s="2" t="s">
        <v>10761</v>
      </c>
      <c r="R1078" s="3" t="s">
        <v>70</v>
      </c>
      <c r="S1078" s="4">
        <v>3</v>
      </c>
      <c r="T1078" s="4">
        <v>3</v>
      </c>
      <c r="U1078" s="5" t="s">
        <v>10182</v>
      </c>
      <c r="V1078" s="5" t="s">
        <v>10182</v>
      </c>
      <c r="W1078" s="5" t="s">
        <v>72</v>
      </c>
      <c r="X1078" s="5" t="s">
        <v>72</v>
      </c>
      <c r="Y1078" s="4">
        <v>164</v>
      </c>
      <c r="Z1078" s="4">
        <v>17</v>
      </c>
      <c r="AA1078" s="4">
        <v>17</v>
      </c>
      <c r="AB1078" s="4">
        <v>3</v>
      </c>
      <c r="AC1078" s="4">
        <v>3</v>
      </c>
      <c r="AD1078" s="4">
        <v>54</v>
      </c>
      <c r="AE1078" s="4">
        <v>54</v>
      </c>
      <c r="AF1078" s="4">
        <v>1</v>
      </c>
      <c r="AG1078" s="4">
        <v>1</v>
      </c>
      <c r="AH1078" s="4">
        <v>48</v>
      </c>
      <c r="AI1078" s="4">
        <v>48</v>
      </c>
      <c r="AJ1078" s="4">
        <v>11</v>
      </c>
      <c r="AK1078" s="4">
        <v>11</v>
      </c>
      <c r="AL1078" s="4">
        <v>27</v>
      </c>
      <c r="AM1078" s="4">
        <v>27</v>
      </c>
      <c r="AN1078" s="4">
        <v>0</v>
      </c>
      <c r="AO1078" s="4">
        <v>0</v>
      </c>
      <c r="AP1078" s="4">
        <v>11</v>
      </c>
      <c r="AQ1078" s="4">
        <v>11</v>
      </c>
      <c r="AR1078" s="3" t="s">
        <v>64</v>
      </c>
      <c r="AS1078" s="3" t="s">
        <v>64</v>
      </c>
      <c r="AT1078" s="3" t="s">
        <v>64</v>
      </c>
      <c r="AV1078" s="6" t="str">
        <f>HYPERLINK("http://mcgill.on.worldcat.org/oclc/320524073","Catalog Record")</f>
        <v>Catalog Record</v>
      </c>
      <c r="AW1078" s="6" t="str">
        <f>HYPERLINK("http://www.worldcat.org/oclc/320524073","WorldCat Record")</f>
        <v>WorldCat Record</v>
      </c>
      <c r="AX1078" s="3" t="s">
        <v>10762</v>
      </c>
      <c r="AY1078" s="3" t="s">
        <v>10763</v>
      </c>
      <c r="AZ1078" s="3" t="s">
        <v>10764</v>
      </c>
      <c r="BA1078" s="3" t="s">
        <v>10764</v>
      </c>
      <c r="BB1078" s="3" t="s">
        <v>10765</v>
      </c>
      <c r="BC1078" s="3" t="s">
        <v>77</v>
      </c>
      <c r="BD1078" s="3" t="s">
        <v>78</v>
      </c>
      <c r="BE1078" s="3" t="s">
        <v>10766</v>
      </c>
      <c r="BF1078" s="3" t="s">
        <v>10765</v>
      </c>
      <c r="BG1078" s="3" t="s">
        <v>10767</v>
      </c>
      <c r="BH1078">
        <f t="shared" si="33"/>
        <v>0</v>
      </c>
    </row>
    <row r="1079" spans="1:60" ht="58" x14ac:dyDescent="0.35">
      <c r="A1079" s="2" t="s">
        <v>59</v>
      </c>
      <c r="B1079" s="2" t="s">
        <v>60</v>
      </c>
      <c r="C1079" s="2" t="s">
        <v>10768</v>
      </c>
      <c r="D1079" s="2" t="s">
        <v>10769</v>
      </c>
      <c r="E1079" s="2" t="s">
        <v>10770</v>
      </c>
      <c r="G1079" s="3" t="s">
        <v>64</v>
      </c>
      <c r="I1079" s="3" t="s">
        <v>64</v>
      </c>
      <c r="J1079" s="3" t="s">
        <v>64</v>
      </c>
      <c r="K1079" s="3" t="s">
        <v>65</v>
      </c>
      <c r="L1079" s="2" t="s">
        <v>10771</v>
      </c>
      <c r="M1079" s="2" t="s">
        <v>9309</v>
      </c>
      <c r="N1079" s="3" t="s">
        <v>67</v>
      </c>
      <c r="P1079" s="3" t="s">
        <v>102</v>
      </c>
      <c r="Q1079" s="2" t="s">
        <v>10772</v>
      </c>
      <c r="R1079" s="3" t="s">
        <v>70</v>
      </c>
      <c r="S1079" s="4">
        <v>1</v>
      </c>
      <c r="T1079" s="4">
        <v>1</v>
      </c>
      <c r="U1079" s="5" t="s">
        <v>5519</v>
      </c>
      <c r="V1079" s="5" t="s">
        <v>5519</v>
      </c>
      <c r="W1079" s="5" t="s">
        <v>72</v>
      </c>
      <c r="X1079" s="5" t="s">
        <v>72</v>
      </c>
      <c r="Y1079" s="4">
        <v>65</v>
      </c>
      <c r="Z1079" s="4">
        <v>5</v>
      </c>
      <c r="AA1079" s="4">
        <v>76</v>
      </c>
      <c r="AB1079" s="4">
        <v>1</v>
      </c>
      <c r="AC1079" s="4">
        <v>14</v>
      </c>
      <c r="AD1079" s="4">
        <v>26</v>
      </c>
      <c r="AE1079" s="4">
        <v>110</v>
      </c>
      <c r="AF1079" s="4">
        <v>0</v>
      </c>
      <c r="AG1079" s="4">
        <v>8</v>
      </c>
      <c r="AH1079" s="4">
        <v>24</v>
      </c>
      <c r="AI1079" s="4">
        <v>78</v>
      </c>
      <c r="AJ1079" s="4">
        <v>2</v>
      </c>
      <c r="AK1079" s="4">
        <v>20</v>
      </c>
      <c r="AL1079" s="4">
        <v>19</v>
      </c>
      <c r="AM1079" s="4">
        <v>39</v>
      </c>
      <c r="AN1079" s="4">
        <v>0</v>
      </c>
      <c r="AO1079" s="4">
        <v>0</v>
      </c>
      <c r="AP1079" s="4">
        <v>2</v>
      </c>
      <c r="AQ1079" s="4">
        <v>38</v>
      </c>
      <c r="AR1079" s="3" t="s">
        <v>64</v>
      </c>
      <c r="AS1079" s="3" t="s">
        <v>64</v>
      </c>
      <c r="AT1079" s="3" t="s">
        <v>64</v>
      </c>
      <c r="AV1079" s="6" t="str">
        <f>HYPERLINK("http://mcgill.on.worldcat.org/oclc/858080464","Catalog Record")</f>
        <v>Catalog Record</v>
      </c>
      <c r="AW1079" s="6" t="str">
        <f>HYPERLINK("http://www.worldcat.org/oclc/858080464","WorldCat Record")</f>
        <v>WorldCat Record</v>
      </c>
      <c r="AX1079" s="3" t="s">
        <v>10773</v>
      </c>
      <c r="AY1079" s="3" t="s">
        <v>10774</v>
      </c>
      <c r="AZ1079" s="3" t="s">
        <v>10775</v>
      </c>
      <c r="BA1079" s="3" t="s">
        <v>10775</v>
      </c>
      <c r="BB1079" s="3" t="s">
        <v>10776</v>
      </c>
      <c r="BC1079" s="3" t="s">
        <v>77</v>
      </c>
      <c r="BD1079" s="3" t="s">
        <v>78</v>
      </c>
      <c r="BE1079" s="3" t="s">
        <v>10777</v>
      </c>
      <c r="BF1079" s="3" t="s">
        <v>10776</v>
      </c>
      <c r="BG1079" s="3" t="s">
        <v>10778</v>
      </c>
      <c r="BH1079">
        <f t="shared" si="33"/>
        <v>0</v>
      </c>
    </row>
    <row r="1080" spans="1:60" ht="58" x14ac:dyDescent="0.35">
      <c r="A1080" s="2" t="s">
        <v>59</v>
      </c>
      <c r="B1080" s="2" t="s">
        <v>60</v>
      </c>
      <c r="C1080" s="2" t="s">
        <v>10779</v>
      </c>
      <c r="D1080" s="2" t="s">
        <v>10780</v>
      </c>
      <c r="E1080" s="2" t="s">
        <v>10781</v>
      </c>
      <c r="G1080" s="3" t="s">
        <v>64</v>
      </c>
      <c r="I1080" s="3" t="s">
        <v>64</v>
      </c>
      <c r="J1080" s="3" t="s">
        <v>64</v>
      </c>
      <c r="K1080" s="3" t="s">
        <v>65</v>
      </c>
      <c r="L1080" s="2" t="s">
        <v>10782</v>
      </c>
      <c r="M1080" s="2" t="s">
        <v>10783</v>
      </c>
      <c r="N1080" s="3" t="s">
        <v>291</v>
      </c>
      <c r="P1080" s="3" t="s">
        <v>102</v>
      </c>
      <c r="R1080" s="3" t="s">
        <v>70</v>
      </c>
      <c r="S1080" s="4">
        <v>12</v>
      </c>
      <c r="T1080" s="4">
        <v>12</v>
      </c>
      <c r="U1080" s="5" t="s">
        <v>1702</v>
      </c>
      <c r="V1080" s="5" t="s">
        <v>1702</v>
      </c>
      <c r="W1080" s="5" t="s">
        <v>72</v>
      </c>
      <c r="X1080" s="5" t="s">
        <v>72</v>
      </c>
      <c r="Y1080" s="4">
        <v>153</v>
      </c>
      <c r="Z1080" s="4">
        <v>14</v>
      </c>
      <c r="AA1080" s="4">
        <v>19</v>
      </c>
      <c r="AB1080" s="4">
        <v>1</v>
      </c>
      <c r="AC1080" s="4">
        <v>4</v>
      </c>
      <c r="AD1080" s="4">
        <v>52</v>
      </c>
      <c r="AE1080" s="4">
        <v>58</v>
      </c>
      <c r="AF1080" s="4">
        <v>0</v>
      </c>
      <c r="AG1080" s="4">
        <v>1</v>
      </c>
      <c r="AH1080" s="4">
        <v>45</v>
      </c>
      <c r="AI1080" s="4">
        <v>48</v>
      </c>
      <c r="AJ1080" s="4">
        <v>8</v>
      </c>
      <c r="AK1080" s="4">
        <v>10</v>
      </c>
      <c r="AL1080" s="4">
        <v>28</v>
      </c>
      <c r="AM1080" s="4">
        <v>30</v>
      </c>
      <c r="AN1080" s="4">
        <v>0</v>
      </c>
      <c r="AO1080" s="4">
        <v>0</v>
      </c>
      <c r="AP1080" s="4">
        <v>10</v>
      </c>
      <c r="AQ1080" s="4">
        <v>13</v>
      </c>
      <c r="AR1080" s="3" t="s">
        <v>64</v>
      </c>
      <c r="AS1080" s="3" t="s">
        <v>64</v>
      </c>
      <c r="AT1080" s="3" t="s">
        <v>64</v>
      </c>
      <c r="AV1080" s="6" t="str">
        <f>HYPERLINK("http://mcgill.on.worldcat.org/oclc/124157801","Catalog Record")</f>
        <v>Catalog Record</v>
      </c>
      <c r="AW1080" s="6" t="str">
        <f>HYPERLINK("http://www.worldcat.org/oclc/124157801","WorldCat Record")</f>
        <v>WorldCat Record</v>
      </c>
      <c r="AX1080" s="3" t="s">
        <v>10784</v>
      </c>
      <c r="AY1080" s="3" t="s">
        <v>10785</v>
      </c>
      <c r="AZ1080" s="3" t="s">
        <v>10786</v>
      </c>
      <c r="BA1080" s="3" t="s">
        <v>10786</v>
      </c>
      <c r="BB1080" s="3" t="s">
        <v>10787</v>
      </c>
      <c r="BC1080" s="3" t="s">
        <v>77</v>
      </c>
      <c r="BD1080" s="3" t="s">
        <v>78</v>
      </c>
      <c r="BE1080" s="3" t="s">
        <v>10788</v>
      </c>
      <c r="BF1080" s="3" t="s">
        <v>10787</v>
      </c>
      <c r="BG1080" s="3" t="s">
        <v>10789</v>
      </c>
      <c r="BH1080">
        <f t="shared" si="33"/>
        <v>0</v>
      </c>
    </row>
    <row r="1081" spans="1:60" ht="58" x14ac:dyDescent="0.35">
      <c r="A1081" s="2" t="s">
        <v>59</v>
      </c>
      <c r="B1081" s="2" t="s">
        <v>60</v>
      </c>
      <c r="C1081" s="2" t="s">
        <v>10790</v>
      </c>
      <c r="D1081" s="2" t="s">
        <v>10791</v>
      </c>
      <c r="E1081" s="2" t="s">
        <v>10792</v>
      </c>
      <c r="G1081" s="3" t="s">
        <v>64</v>
      </c>
      <c r="I1081" s="3" t="s">
        <v>128</v>
      </c>
      <c r="J1081" s="3" t="s">
        <v>64</v>
      </c>
      <c r="K1081" s="3" t="s">
        <v>65</v>
      </c>
      <c r="L1081" s="2" t="s">
        <v>10793</v>
      </c>
      <c r="M1081" s="2" t="s">
        <v>10794</v>
      </c>
      <c r="N1081" s="3" t="s">
        <v>3761</v>
      </c>
      <c r="P1081" s="3" t="s">
        <v>102</v>
      </c>
      <c r="R1081" s="3" t="s">
        <v>70</v>
      </c>
      <c r="S1081" s="4">
        <v>15</v>
      </c>
      <c r="T1081" s="4">
        <v>16</v>
      </c>
      <c r="U1081" s="5" t="s">
        <v>1727</v>
      </c>
      <c r="V1081" s="5" t="s">
        <v>1727</v>
      </c>
      <c r="W1081" s="5" t="s">
        <v>72</v>
      </c>
      <c r="X1081" s="5" t="s">
        <v>72</v>
      </c>
      <c r="Y1081" s="4">
        <v>261</v>
      </c>
      <c r="Z1081" s="4">
        <v>8</v>
      </c>
      <c r="AA1081" s="4">
        <v>34</v>
      </c>
      <c r="AB1081" s="4">
        <v>1</v>
      </c>
      <c r="AC1081" s="4">
        <v>2</v>
      </c>
      <c r="AD1081" s="4">
        <v>77</v>
      </c>
      <c r="AE1081" s="4">
        <v>126</v>
      </c>
      <c r="AF1081" s="4">
        <v>0</v>
      </c>
      <c r="AG1081" s="4">
        <v>0</v>
      </c>
      <c r="AH1081" s="4">
        <v>70</v>
      </c>
      <c r="AI1081" s="4">
        <v>107</v>
      </c>
      <c r="AJ1081" s="4">
        <v>4</v>
      </c>
      <c r="AK1081" s="4">
        <v>20</v>
      </c>
      <c r="AL1081" s="4">
        <v>42</v>
      </c>
      <c r="AM1081" s="4">
        <v>60</v>
      </c>
      <c r="AN1081" s="4">
        <v>0</v>
      </c>
      <c r="AO1081" s="4">
        <v>0</v>
      </c>
      <c r="AP1081" s="4">
        <v>5</v>
      </c>
      <c r="AQ1081" s="4">
        <v>24</v>
      </c>
      <c r="AR1081" s="3" t="s">
        <v>64</v>
      </c>
      <c r="AS1081" s="3" t="s">
        <v>64</v>
      </c>
      <c r="AT1081" s="3" t="s">
        <v>64</v>
      </c>
      <c r="AV1081" s="6" t="str">
        <f>HYPERLINK("http://mcgill.on.worldcat.org/oclc/14619192","Catalog Record")</f>
        <v>Catalog Record</v>
      </c>
      <c r="AW1081" s="6" t="str">
        <f>HYPERLINK("http://www.worldcat.org/oclc/14619192","WorldCat Record")</f>
        <v>WorldCat Record</v>
      </c>
      <c r="AX1081" s="3" t="s">
        <v>10795</v>
      </c>
      <c r="AY1081" s="3" t="s">
        <v>10796</v>
      </c>
      <c r="AZ1081" s="3" t="s">
        <v>10797</v>
      </c>
      <c r="BA1081" s="3" t="s">
        <v>10797</v>
      </c>
      <c r="BB1081" s="3" t="s">
        <v>10798</v>
      </c>
      <c r="BC1081" s="3" t="s">
        <v>77</v>
      </c>
      <c r="BD1081" s="3" t="s">
        <v>78</v>
      </c>
      <c r="BF1081" s="3" t="s">
        <v>10798</v>
      </c>
      <c r="BG1081" s="3" t="s">
        <v>10799</v>
      </c>
      <c r="BH1081">
        <f t="shared" si="33"/>
        <v>0</v>
      </c>
    </row>
    <row r="1082" spans="1:60" ht="58" x14ac:dyDescent="0.35">
      <c r="A1082" s="2" t="s">
        <v>59</v>
      </c>
      <c r="B1082" s="2" t="s">
        <v>60</v>
      </c>
      <c r="C1082" s="2" t="s">
        <v>10800</v>
      </c>
      <c r="D1082" s="2" t="s">
        <v>10801</v>
      </c>
      <c r="E1082" s="2" t="s">
        <v>10802</v>
      </c>
      <c r="F1082" s="3" t="s">
        <v>529</v>
      </c>
      <c r="G1082" s="3" t="s">
        <v>128</v>
      </c>
      <c r="I1082" s="3" t="s">
        <v>64</v>
      </c>
      <c r="J1082" s="3" t="s">
        <v>64</v>
      </c>
      <c r="K1082" s="3" t="s">
        <v>65</v>
      </c>
      <c r="L1082" s="2" t="s">
        <v>10803</v>
      </c>
      <c r="M1082" s="2" t="s">
        <v>10804</v>
      </c>
      <c r="N1082" s="3" t="s">
        <v>1075</v>
      </c>
      <c r="P1082" s="3" t="s">
        <v>102</v>
      </c>
      <c r="R1082" s="3" t="s">
        <v>70</v>
      </c>
      <c r="S1082" s="4">
        <v>1</v>
      </c>
      <c r="T1082" s="4">
        <v>1</v>
      </c>
      <c r="U1082" s="5" t="s">
        <v>10805</v>
      </c>
      <c r="V1082" s="5" t="s">
        <v>10805</v>
      </c>
      <c r="W1082" s="5" t="s">
        <v>72</v>
      </c>
      <c r="X1082" s="5" t="s">
        <v>72</v>
      </c>
      <c r="Y1082" s="4">
        <v>155</v>
      </c>
      <c r="Z1082" s="4">
        <v>14</v>
      </c>
      <c r="AA1082" s="4">
        <v>18</v>
      </c>
      <c r="AB1082" s="4">
        <v>1</v>
      </c>
      <c r="AC1082" s="4">
        <v>3</v>
      </c>
      <c r="AD1082" s="4">
        <v>63</v>
      </c>
      <c r="AE1082" s="4">
        <v>67</v>
      </c>
      <c r="AF1082" s="4">
        <v>0</v>
      </c>
      <c r="AG1082" s="4">
        <v>1</v>
      </c>
      <c r="AH1082" s="4">
        <v>58</v>
      </c>
      <c r="AI1082" s="4">
        <v>60</v>
      </c>
      <c r="AJ1082" s="4">
        <v>7</v>
      </c>
      <c r="AK1082" s="4">
        <v>10</v>
      </c>
      <c r="AL1082" s="4">
        <v>36</v>
      </c>
      <c r="AM1082" s="4">
        <v>37</v>
      </c>
      <c r="AN1082" s="4">
        <v>0</v>
      </c>
      <c r="AO1082" s="4">
        <v>0</v>
      </c>
      <c r="AP1082" s="4">
        <v>9</v>
      </c>
      <c r="AQ1082" s="4">
        <v>11</v>
      </c>
      <c r="AR1082" s="3" t="s">
        <v>64</v>
      </c>
      <c r="AS1082" s="3" t="s">
        <v>64</v>
      </c>
      <c r="AT1082" s="3" t="s">
        <v>64</v>
      </c>
      <c r="AV1082" s="6" t="str">
        <f>HYPERLINK("http://mcgill.on.worldcat.org/oclc/826076087","Catalog Record")</f>
        <v>Catalog Record</v>
      </c>
      <c r="AW1082" s="6" t="str">
        <f>HYPERLINK("http://www.worldcat.org/oclc/826076087","WorldCat Record")</f>
        <v>WorldCat Record</v>
      </c>
      <c r="AX1082" s="3" t="s">
        <v>10806</v>
      </c>
      <c r="AY1082" s="3" t="s">
        <v>10807</v>
      </c>
      <c r="AZ1082" s="3" t="s">
        <v>10808</v>
      </c>
      <c r="BA1082" s="3" t="s">
        <v>10808</v>
      </c>
      <c r="BB1082" s="3" t="s">
        <v>10809</v>
      </c>
      <c r="BC1082" s="3" t="s">
        <v>77</v>
      </c>
      <c r="BD1082" s="3" t="s">
        <v>78</v>
      </c>
      <c r="BE1082" s="3" t="s">
        <v>10810</v>
      </c>
      <c r="BF1082" s="3" t="s">
        <v>10809</v>
      </c>
      <c r="BG1082" s="3" t="s">
        <v>10811</v>
      </c>
      <c r="BH1082">
        <f t="shared" si="33"/>
        <v>0</v>
      </c>
    </row>
    <row r="1083" spans="1:60" ht="58" x14ac:dyDescent="0.35">
      <c r="A1083" s="2" t="s">
        <v>59</v>
      </c>
      <c r="B1083" s="2" t="s">
        <v>60</v>
      </c>
      <c r="C1083" s="2" t="s">
        <v>10800</v>
      </c>
      <c r="D1083" s="2" t="s">
        <v>10801</v>
      </c>
      <c r="E1083" s="2" t="s">
        <v>10802</v>
      </c>
      <c r="F1083" s="3" t="s">
        <v>525</v>
      </c>
      <c r="G1083" s="3" t="s">
        <v>128</v>
      </c>
      <c r="I1083" s="3" t="s">
        <v>64</v>
      </c>
      <c r="J1083" s="3" t="s">
        <v>64</v>
      </c>
      <c r="K1083" s="3" t="s">
        <v>65</v>
      </c>
      <c r="L1083" s="2" t="s">
        <v>10803</v>
      </c>
      <c r="M1083" s="2" t="s">
        <v>10804</v>
      </c>
      <c r="N1083" s="3" t="s">
        <v>1075</v>
      </c>
      <c r="P1083" s="3" t="s">
        <v>102</v>
      </c>
      <c r="R1083" s="3" t="s">
        <v>70</v>
      </c>
      <c r="S1083" s="4">
        <v>0</v>
      </c>
      <c r="T1083" s="4">
        <v>1</v>
      </c>
      <c r="V1083" s="5" t="s">
        <v>10805</v>
      </c>
      <c r="W1083" s="5" t="s">
        <v>72</v>
      </c>
      <c r="X1083" s="5" t="s">
        <v>72</v>
      </c>
      <c r="Y1083" s="4">
        <v>155</v>
      </c>
      <c r="Z1083" s="4">
        <v>14</v>
      </c>
      <c r="AA1083" s="4">
        <v>18</v>
      </c>
      <c r="AB1083" s="4">
        <v>1</v>
      </c>
      <c r="AC1083" s="4">
        <v>3</v>
      </c>
      <c r="AD1083" s="4">
        <v>63</v>
      </c>
      <c r="AE1083" s="4">
        <v>67</v>
      </c>
      <c r="AF1083" s="4">
        <v>0</v>
      </c>
      <c r="AG1083" s="4">
        <v>1</v>
      </c>
      <c r="AH1083" s="4">
        <v>58</v>
      </c>
      <c r="AI1083" s="4">
        <v>60</v>
      </c>
      <c r="AJ1083" s="4">
        <v>7</v>
      </c>
      <c r="AK1083" s="4">
        <v>10</v>
      </c>
      <c r="AL1083" s="4">
        <v>36</v>
      </c>
      <c r="AM1083" s="4">
        <v>37</v>
      </c>
      <c r="AN1083" s="4">
        <v>0</v>
      </c>
      <c r="AO1083" s="4">
        <v>0</v>
      </c>
      <c r="AP1083" s="4">
        <v>9</v>
      </c>
      <c r="AQ1083" s="4">
        <v>11</v>
      </c>
      <c r="AR1083" s="3" t="s">
        <v>64</v>
      </c>
      <c r="AS1083" s="3" t="s">
        <v>64</v>
      </c>
      <c r="AT1083" s="3" t="s">
        <v>64</v>
      </c>
      <c r="AV1083" s="6" t="str">
        <f>HYPERLINK("http://mcgill.on.worldcat.org/oclc/826076087","Catalog Record")</f>
        <v>Catalog Record</v>
      </c>
      <c r="AW1083" s="6" t="str">
        <f>HYPERLINK("http://www.worldcat.org/oclc/826076087","WorldCat Record")</f>
        <v>WorldCat Record</v>
      </c>
      <c r="AX1083" s="3" t="s">
        <v>10806</v>
      </c>
      <c r="AY1083" s="3" t="s">
        <v>10807</v>
      </c>
      <c r="AZ1083" s="3" t="s">
        <v>10808</v>
      </c>
      <c r="BA1083" s="3" t="s">
        <v>10808</v>
      </c>
      <c r="BB1083" s="3" t="s">
        <v>10812</v>
      </c>
      <c r="BC1083" s="3" t="s">
        <v>77</v>
      </c>
      <c r="BD1083" s="3" t="s">
        <v>78</v>
      </c>
      <c r="BE1083" s="3" t="s">
        <v>10810</v>
      </c>
      <c r="BF1083" s="3" t="s">
        <v>10812</v>
      </c>
      <c r="BG1083" s="3" t="s">
        <v>10813</v>
      </c>
      <c r="BH1083">
        <f t="shared" si="33"/>
        <v>0</v>
      </c>
    </row>
    <row r="1084" spans="1:60" ht="58" x14ac:dyDescent="0.35">
      <c r="A1084" s="2" t="s">
        <v>59</v>
      </c>
      <c r="B1084" s="2" t="s">
        <v>60</v>
      </c>
      <c r="C1084" s="2" t="s">
        <v>10814</v>
      </c>
      <c r="D1084" s="2" t="s">
        <v>10815</v>
      </c>
      <c r="E1084" s="2" t="s">
        <v>10816</v>
      </c>
      <c r="G1084" s="3" t="s">
        <v>64</v>
      </c>
      <c r="I1084" s="3" t="s">
        <v>64</v>
      </c>
      <c r="J1084" s="3" t="s">
        <v>64</v>
      </c>
      <c r="K1084" s="3" t="s">
        <v>65</v>
      </c>
      <c r="L1084" s="2" t="s">
        <v>10817</v>
      </c>
      <c r="M1084" s="2" t="s">
        <v>10818</v>
      </c>
      <c r="N1084" s="3" t="s">
        <v>979</v>
      </c>
      <c r="P1084" s="3" t="s">
        <v>102</v>
      </c>
      <c r="R1084" s="3" t="s">
        <v>70</v>
      </c>
      <c r="S1084" s="4">
        <v>14</v>
      </c>
      <c r="T1084" s="4">
        <v>14</v>
      </c>
      <c r="U1084" s="5" t="s">
        <v>3971</v>
      </c>
      <c r="V1084" s="5" t="s">
        <v>3971</v>
      </c>
      <c r="W1084" s="5" t="s">
        <v>72</v>
      </c>
      <c r="X1084" s="5" t="s">
        <v>72</v>
      </c>
      <c r="Y1084" s="4">
        <v>95</v>
      </c>
      <c r="Z1084" s="4">
        <v>6</v>
      </c>
      <c r="AA1084" s="4">
        <v>15</v>
      </c>
      <c r="AB1084" s="4">
        <v>1</v>
      </c>
      <c r="AC1084" s="4">
        <v>1</v>
      </c>
      <c r="AD1084" s="4">
        <v>48</v>
      </c>
      <c r="AE1084" s="4">
        <v>59</v>
      </c>
      <c r="AF1084" s="4">
        <v>0</v>
      </c>
      <c r="AG1084" s="4">
        <v>0</v>
      </c>
      <c r="AH1084" s="4">
        <v>45</v>
      </c>
      <c r="AI1084" s="4">
        <v>52</v>
      </c>
      <c r="AJ1084" s="4">
        <v>4</v>
      </c>
      <c r="AK1084" s="4">
        <v>10</v>
      </c>
      <c r="AL1084" s="4">
        <v>31</v>
      </c>
      <c r="AM1084" s="4">
        <v>34</v>
      </c>
      <c r="AN1084" s="4">
        <v>0</v>
      </c>
      <c r="AO1084" s="4">
        <v>0</v>
      </c>
      <c r="AP1084" s="4">
        <v>5</v>
      </c>
      <c r="AQ1084" s="4">
        <v>12</v>
      </c>
      <c r="AR1084" s="3" t="s">
        <v>64</v>
      </c>
      <c r="AS1084" s="3" t="s">
        <v>64</v>
      </c>
      <c r="AT1084" s="3" t="s">
        <v>128</v>
      </c>
      <c r="AU1084" s="6" t="str">
        <f>HYPERLINK("http://catalog.hathitrust.org/Record/004154927","HathiTrust Record")</f>
        <v>HathiTrust Record</v>
      </c>
      <c r="AV1084" s="6" t="str">
        <f>HYPERLINK("http://mcgill.on.worldcat.org/oclc/48895579","Catalog Record")</f>
        <v>Catalog Record</v>
      </c>
      <c r="AW1084" s="6" t="str">
        <f>HYPERLINK("http://www.worldcat.org/oclc/48895579","WorldCat Record")</f>
        <v>WorldCat Record</v>
      </c>
      <c r="AX1084" s="3" t="s">
        <v>10819</v>
      </c>
      <c r="AY1084" s="3" t="s">
        <v>10820</v>
      </c>
      <c r="AZ1084" s="3" t="s">
        <v>10821</v>
      </c>
      <c r="BA1084" s="3" t="s">
        <v>10821</v>
      </c>
      <c r="BB1084" s="3" t="s">
        <v>10822</v>
      </c>
      <c r="BC1084" s="3" t="s">
        <v>77</v>
      </c>
      <c r="BD1084" s="3" t="s">
        <v>78</v>
      </c>
      <c r="BE1084" s="3" t="s">
        <v>10823</v>
      </c>
      <c r="BF1084" s="3" t="s">
        <v>10822</v>
      </c>
      <c r="BG1084" s="3" t="s">
        <v>10824</v>
      </c>
      <c r="BH1084">
        <f t="shared" si="33"/>
        <v>0</v>
      </c>
    </row>
    <row r="1085" spans="1:60" ht="58" x14ac:dyDescent="0.35">
      <c r="A1085" s="2" t="s">
        <v>59</v>
      </c>
      <c r="B1085" s="2" t="s">
        <v>60</v>
      </c>
      <c r="C1085" s="2" t="s">
        <v>10825</v>
      </c>
      <c r="D1085" s="2" t="s">
        <v>10826</v>
      </c>
      <c r="E1085" s="2" t="s">
        <v>10827</v>
      </c>
      <c r="G1085" s="3" t="s">
        <v>64</v>
      </c>
      <c r="I1085" s="3" t="s">
        <v>64</v>
      </c>
      <c r="J1085" s="3" t="s">
        <v>64</v>
      </c>
      <c r="K1085" s="3" t="s">
        <v>65</v>
      </c>
      <c r="L1085" s="2" t="s">
        <v>10828</v>
      </c>
      <c r="M1085" s="2" t="s">
        <v>10829</v>
      </c>
      <c r="N1085" s="3" t="s">
        <v>537</v>
      </c>
      <c r="O1085" s="2" t="s">
        <v>117</v>
      </c>
      <c r="P1085" s="3" t="s">
        <v>102</v>
      </c>
      <c r="R1085" s="3" t="s">
        <v>70</v>
      </c>
      <c r="S1085" s="4">
        <v>0</v>
      </c>
      <c r="T1085" s="4">
        <v>0</v>
      </c>
      <c r="W1085" s="5" t="s">
        <v>280</v>
      </c>
      <c r="X1085" s="5" t="s">
        <v>280</v>
      </c>
      <c r="Y1085" s="4">
        <v>9</v>
      </c>
      <c r="Z1085" s="4">
        <v>1</v>
      </c>
      <c r="AA1085" s="4">
        <v>1</v>
      </c>
      <c r="AB1085" s="4">
        <v>1</v>
      </c>
      <c r="AC1085" s="4">
        <v>1</v>
      </c>
      <c r="AD1085" s="4">
        <v>0</v>
      </c>
      <c r="AE1085" s="4">
        <v>0</v>
      </c>
      <c r="AF1085" s="4">
        <v>0</v>
      </c>
      <c r="AG1085" s="4">
        <v>0</v>
      </c>
      <c r="AH1085" s="4">
        <v>0</v>
      </c>
      <c r="AI1085" s="4">
        <v>0</v>
      </c>
      <c r="AJ1085" s="4">
        <v>0</v>
      </c>
      <c r="AK1085" s="4">
        <v>0</v>
      </c>
      <c r="AL1085" s="4">
        <v>0</v>
      </c>
      <c r="AM1085" s="4">
        <v>0</v>
      </c>
      <c r="AN1085" s="4">
        <v>0</v>
      </c>
      <c r="AO1085" s="4">
        <v>0</v>
      </c>
      <c r="AP1085" s="4">
        <v>0</v>
      </c>
      <c r="AQ1085" s="4">
        <v>0</v>
      </c>
      <c r="AR1085" s="3" t="s">
        <v>64</v>
      </c>
      <c r="AS1085" s="3" t="s">
        <v>64</v>
      </c>
      <c r="AT1085" s="3" t="s">
        <v>64</v>
      </c>
      <c r="AV1085" s="6" t="str">
        <f>HYPERLINK("http://mcgill.on.worldcat.org/oclc/965613876","Catalog Record")</f>
        <v>Catalog Record</v>
      </c>
      <c r="AW1085" s="6" t="str">
        <f>HYPERLINK("http://www.worldcat.org/oclc/965613876","WorldCat Record")</f>
        <v>WorldCat Record</v>
      </c>
      <c r="AX1085" s="3" t="s">
        <v>10830</v>
      </c>
      <c r="AY1085" s="3" t="s">
        <v>10831</v>
      </c>
      <c r="AZ1085" s="3" t="s">
        <v>10832</v>
      </c>
      <c r="BA1085" s="3" t="s">
        <v>10832</v>
      </c>
      <c r="BB1085" s="3" t="s">
        <v>10833</v>
      </c>
      <c r="BC1085" s="3" t="s">
        <v>77</v>
      </c>
      <c r="BD1085" s="3" t="s">
        <v>78</v>
      </c>
      <c r="BE1085" s="3" t="s">
        <v>10834</v>
      </c>
      <c r="BF1085" s="3" t="s">
        <v>10833</v>
      </c>
      <c r="BG1085" s="3" t="s">
        <v>10835</v>
      </c>
      <c r="BH1085">
        <f t="shared" si="33"/>
        <v>0</v>
      </c>
    </row>
    <row r="1086" spans="1:60" ht="58" x14ac:dyDescent="0.35">
      <c r="A1086" s="2" t="s">
        <v>59</v>
      </c>
      <c r="B1086" s="2" t="s">
        <v>60</v>
      </c>
      <c r="C1086" s="2" t="s">
        <v>10836</v>
      </c>
      <c r="D1086" s="2" t="s">
        <v>10837</v>
      </c>
      <c r="E1086" s="2" t="s">
        <v>10838</v>
      </c>
      <c r="G1086" s="3" t="s">
        <v>64</v>
      </c>
      <c r="I1086" s="3" t="s">
        <v>64</v>
      </c>
      <c r="J1086" s="3" t="s">
        <v>64</v>
      </c>
      <c r="K1086" s="3" t="s">
        <v>65</v>
      </c>
      <c r="L1086" s="2" t="s">
        <v>10839</v>
      </c>
      <c r="M1086" s="2" t="s">
        <v>10840</v>
      </c>
      <c r="N1086" s="3" t="s">
        <v>67</v>
      </c>
      <c r="P1086" s="3" t="s">
        <v>102</v>
      </c>
      <c r="R1086" s="3" t="s">
        <v>70</v>
      </c>
      <c r="S1086" s="4">
        <v>4</v>
      </c>
      <c r="T1086" s="4">
        <v>4</v>
      </c>
      <c r="U1086" s="5" t="s">
        <v>10841</v>
      </c>
      <c r="V1086" s="5" t="s">
        <v>10841</v>
      </c>
      <c r="W1086" s="5" t="s">
        <v>72</v>
      </c>
      <c r="X1086" s="5" t="s">
        <v>72</v>
      </c>
      <c r="Y1086" s="4">
        <v>125</v>
      </c>
      <c r="Z1086" s="4">
        <v>6</v>
      </c>
      <c r="AA1086" s="4">
        <v>21</v>
      </c>
      <c r="AB1086" s="4">
        <v>1</v>
      </c>
      <c r="AC1086" s="4">
        <v>4</v>
      </c>
      <c r="AD1086" s="4">
        <v>22</v>
      </c>
      <c r="AE1086" s="4">
        <v>46</v>
      </c>
      <c r="AF1086" s="4">
        <v>0</v>
      </c>
      <c r="AG1086" s="4">
        <v>0</v>
      </c>
      <c r="AH1086" s="4">
        <v>20</v>
      </c>
      <c r="AI1086" s="4">
        <v>44</v>
      </c>
      <c r="AJ1086" s="4">
        <v>2</v>
      </c>
      <c r="AK1086" s="4">
        <v>3</v>
      </c>
      <c r="AL1086" s="4">
        <v>18</v>
      </c>
      <c r="AM1086" s="4">
        <v>30</v>
      </c>
      <c r="AN1086" s="4">
        <v>0</v>
      </c>
      <c r="AO1086" s="4">
        <v>0</v>
      </c>
      <c r="AP1086" s="4">
        <v>2</v>
      </c>
      <c r="AQ1086" s="4">
        <v>3</v>
      </c>
      <c r="AR1086" s="3" t="s">
        <v>64</v>
      </c>
      <c r="AS1086" s="3" t="s">
        <v>64</v>
      </c>
      <c r="AT1086" s="3" t="s">
        <v>64</v>
      </c>
      <c r="AV1086" s="6" t="str">
        <f>HYPERLINK("http://mcgill.on.worldcat.org/oclc/880683462","Catalog Record")</f>
        <v>Catalog Record</v>
      </c>
      <c r="AW1086" s="6" t="str">
        <f>HYPERLINK("http://www.worldcat.org/oclc/880683462","WorldCat Record")</f>
        <v>WorldCat Record</v>
      </c>
      <c r="AX1086" s="3" t="s">
        <v>10842</v>
      </c>
      <c r="AY1086" s="3" t="s">
        <v>10843</v>
      </c>
      <c r="AZ1086" s="3" t="s">
        <v>10844</v>
      </c>
      <c r="BA1086" s="3" t="s">
        <v>10844</v>
      </c>
      <c r="BB1086" s="3" t="s">
        <v>10845</v>
      </c>
      <c r="BC1086" s="3" t="s">
        <v>77</v>
      </c>
      <c r="BD1086" s="3" t="s">
        <v>78</v>
      </c>
      <c r="BE1086" s="3" t="s">
        <v>10846</v>
      </c>
      <c r="BF1086" s="3" t="s">
        <v>10845</v>
      </c>
      <c r="BG1086" s="3" t="s">
        <v>10847</v>
      </c>
      <c r="BH1086">
        <f t="shared" si="33"/>
        <v>0</v>
      </c>
    </row>
    <row r="1087" spans="1:60" ht="58" x14ac:dyDescent="0.35">
      <c r="A1087" s="2" t="s">
        <v>59</v>
      </c>
      <c r="B1087" s="2" t="s">
        <v>60</v>
      </c>
      <c r="C1087" s="2" t="s">
        <v>10848</v>
      </c>
      <c r="D1087" s="2" t="s">
        <v>10849</v>
      </c>
      <c r="E1087" s="2" t="s">
        <v>10850</v>
      </c>
      <c r="G1087" s="3" t="s">
        <v>64</v>
      </c>
      <c r="I1087" s="3" t="s">
        <v>128</v>
      </c>
      <c r="J1087" s="3" t="s">
        <v>64</v>
      </c>
      <c r="K1087" s="3" t="s">
        <v>65</v>
      </c>
      <c r="M1087" s="2" t="s">
        <v>10851</v>
      </c>
      <c r="N1087" s="3" t="s">
        <v>101</v>
      </c>
      <c r="P1087" s="3" t="s">
        <v>102</v>
      </c>
      <c r="Q1087" s="2" t="s">
        <v>8484</v>
      </c>
      <c r="R1087" s="3" t="s">
        <v>70</v>
      </c>
      <c r="S1087" s="4">
        <v>9</v>
      </c>
      <c r="T1087" s="4">
        <v>9</v>
      </c>
      <c r="U1087" s="5" t="s">
        <v>8233</v>
      </c>
      <c r="V1087" s="5" t="s">
        <v>8233</v>
      </c>
      <c r="W1087" s="5" t="s">
        <v>72</v>
      </c>
      <c r="X1087" s="5" t="s">
        <v>72</v>
      </c>
      <c r="Y1087" s="4">
        <v>193</v>
      </c>
      <c r="Z1087" s="4">
        <v>18</v>
      </c>
      <c r="AA1087" s="4">
        <v>18</v>
      </c>
      <c r="AB1087" s="4">
        <v>1</v>
      </c>
      <c r="AC1087" s="4">
        <v>1</v>
      </c>
      <c r="AD1087" s="4">
        <v>75</v>
      </c>
      <c r="AE1087" s="4">
        <v>75</v>
      </c>
      <c r="AF1087" s="4">
        <v>0</v>
      </c>
      <c r="AG1087" s="4">
        <v>0</v>
      </c>
      <c r="AH1087" s="4">
        <v>67</v>
      </c>
      <c r="AI1087" s="4">
        <v>67</v>
      </c>
      <c r="AJ1087" s="4">
        <v>11</v>
      </c>
      <c r="AK1087" s="4">
        <v>11</v>
      </c>
      <c r="AL1087" s="4">
        <v>42</v>
      </c>
      <c r="AM1087" s="4">
        <v>42</v>
      </c>
      <c r="AN1087" s="4">
        <v>0</v>
      </c>
      <c r="AO1087" s="4">
        <v>0</v>
      </c>
      <c r="AP1087" s="4">
        <v>12</v>
      </c>
      <c r="AQ1087" s="4">
        <v>12</v>
      </c>
      <c r="AR1087" s="3" t="s">
        <v>64</v>
      </c>
      <c r="AS1087" s="3" t="s">
        <v>64</v>
      </c>
      <c r="AT1087" s="3" t="s">
        <v>128</v>
      </c>
      <c r="AU1087" s="6" t="str">
        <f>HYPERLINK("http://catalog.hathitrust.org/Record/005060536","HathiTrust Record")</f>
        <v>HathiTrust Record</v>
      </c>
      <c r="AV1087" s="6" t="str">
        <f>HYPERLINK("http://mcgill.on.worldcat.org/oclc/54413988","Catalog Record")</f>
        <v>Catalog Record</v>
      </c>
      <c r="AW1087" s="6" t="str">
        <f>HYPERLINK("http://www.worldcat.org/oclc/54413988","WorldCat Record")</f>
        <v>WorldCat Record</v>
      </c>
      <c r="AX1087" s="3" t="s">
        <v>10852</v>
      </c>
      <c r="AY1087" s="3" t="s">
        <v>10853</v>
      </c>
      <c r="AZ1087" s="3" t="s">
        <v>10854</v>
      </c>
      <c r="BA1087" s="3" t="s">
        <v>10854</v>
      </c>
      <c r="BB1087" s="3" t="s">
        <v>10855</v>
      </c>
      <c r="BC1087" s="3" t="s">
        <v>77</v>
      </c>
      <c r="BD1087" s="3" t="s">
        <v>78</v>
      </c>
      <c r="BE1087" s="3" t="s">
        <v>10856</v>
      </c>
      <c r="BF1087" s="3" t="s">
        <v>10855</v>
      </c>
      <c r="BG1087" s="3" t="s">
        <v>10857</v>
      </c>
      <c r="BH1087">
        <f t="shared" si="33"/>
        <v>0</v>
      </c>
    </row>
    <row r="1088" spans="1:60" ht="58" x14ac:dyDescent="0.35">
      <c r="A1088" s="2" t="s">
        <v>59</v>
      </c>
      <c r="B1088" s="2" t="s">
        <v>60</v>
      </c>
      <c r="C1088" s="2" t="s">
        <v>10858</v>
      </c>
      <c r="D1088" s="2" t="s">
        <v>10859</v>
      </c>
      <c r="E1088" s="2" t="s">
        <v>10860</v>
      </c>
      <c r="G1088" s="3" t="s">
        <v>64</v>
      </c>
      <c r="I1088" s="3" t="s">
        <v>64</v>
      </c>
      <c r="J1088" s="3" t="s">
        <v>64</v>
      </c>
      <c r="K1088" s="3" t="s">
        <v>65</v>
      </c>
      <c r="L1088" s="2" t="s">
        <v>10861</v>
      </c>
      <c r="M1088" s="2" t="s">
        <v>10862</v>
      </c>
      <c r="N1088" s="3" t="s">
        <v>378</v>
      </c>
      <c r="P1088" s="3" t="s">
        <v>102</v>
      </c>
      <c r="R1088" s="3" t="s">
        <v>70</v>
      </c>
      <c r="S1088" s="4">
        <v>4</v>
      </c>
      <c r="T1088" s="4">
        <v>4</v>
      </c>
      <c r="U1088" s="5" t="s">
        <v>8841</v>
      </c>
      <c r="V1088" s="5" t="s">
        <v>8841</v>
      </c>
      <c r="W1088" s="5" t="s">
        <v>72</v>
      </c>
      <c r="X1088" s="5" t="s">
        <v>72</v>
      </c>
      <c r="Y1088" s="4">
        <v>246</v>
      </c>
      <c r="Z1088" s="4">
        <v>17</v>
      </c>
      <c r="AA1088" s="4">
        <v>17</v>
      </c>
      <c r="AB1088" s="4">
        <v>2</v>
      </c>
      <c r="AC1088" s="4">
        <v>2</v>
      </c>
      <c r="AD1088" s="4">
        <v>92</v>
      </c>
      <c r="AE1088" s="4">
        <v>92</v>
      </c>
      <c r="AF1088" s="4">
        <v>0</v>
      </c>
      <c r="AG1088" s="4">
        <v>0</v>
      </c>
      <c r="AH1088" s="4">
        <v>81</v>
      </c>
      <c r="AI1088" s="4">
        <v>81</v>
      </c>
      <c r="AJ1088" s="4">
        <v>12</v>
      </c>
      <c r="AK1088" s="4">
        <v>12</v>
      </c>
      <c r="AL1088" s="4">
        <v>48</v>
      </c>
      <c r="AM1088" s="4">
        <v>48</v>
      </c>
      <c r="AN1088" s="4">
        <v>0</v>
      </c>
      <c r="AO1088" s="4">
        <v>0</v>
      </c>
      <c r="AP1088" s="4">
        <v>13</v>
      </c>
      <c r="AQ1088" s="4">
        <v>13</v>
      </c>
      <c r="AR1088" s="3" t="s">
        <v>64</v>
      </c>
      <c r="AS1088" s="3" t="s">
        <v>64</v>
      </c>
      <c r="AT1088" s="3" t="s">
        <v>128</v>
      </c>
      <c r="AU1088" s="6" t="str">
        <f>HYPERLINK("http://catalog.hathitrust.org/Record/000482164","HathiTrust Record")</f>
        <v>HathiTrust Record</v>
      </c>
      <c r="AV1088" s="6" t="str">
        <f>HYPERLINK("http://mcgill.on.worldcat.org/oclc/12558385","Catalog Record")</f>
        <v>Catalog Record</v>
      </c>
      <c r="AW1088" s="6" t="str">
        <f>HYPERLINK("http://www.worldcat.org/oclc/12558385","WorldCat Record")</f>
        <v>WorldCat Record</v>
      </c>
      <c r="AX1088" s="3" t="s">
        <v>10863</v>
      </c>
      <c r="AY1088" s="3" t="s">
        <v>10864</v>
      </c>
      <c r="AZ1088" s="3" t="s">
        <v>10865</v>
      </c>
      <c r="BA1088" s="3" t="s">
        <v>10865</v>
      </c>
      <c r="BB1088" s="3" t="s">
        <v>10866</v>
      </c>
      <c r="BC1088" s="3" t="s">
        <v>77</v>
      </c>
      <c r="BD1088" s="3" t="s">
        <v>78</v>
      </c>
      <c r="BE1088" s="3" t="s">
        <v>10867</v>
      </c>
      <c r="BF1088" s="3" t="s">
        <v>10866</v>
      </c>
      <c r="BG1088" s="3" t="s">
        <v>10868</v>
      </c>
      <c r="BH1088">
        <f t="shared" si="33"/>
        <v>0</v>
      </c>
    </row>
    <row r="1089" spans="1:60" ht="58" x14ac:dyDescent="0.35">
      <c r="A1089" s="2" t="s">
        <v>59</v>
      </c>
      <c r="B1089" s="2" t="s">
        <v>60</v>
      </c>
      <c r="C1089" s="2" t="s">
        <v>10869</v>
      </c>
      <c r="D1089" s="2" t="s">
        <v>10870</v>
      </c>
      <c r="E1089" s="2" t="s">
        <v>10871</v>
      </c>
      <c r="G1089" s="3" t="s">
        <v>64</v>
      </c>
      <c r="I1089" s="3" t="s">
        <v>64</v>
      </c>
      <c r="J1089" s="3" t="s">
        <v>64</v>
      </c>
      <c r="K1089" s="3" t="s">
        <v>65</v>
      </c>
      <c r="M1089" s="2" t="s">
        <v>10872</v>
      </c>
      <c r="N1089" s="3" t="s">
        <v>326</v>
      </c>
      <c r="P1089" s="3" t="s">
        <v>102</v>
      </c>
      <c r="Q1089" s="2" t="s">
        <v>10873</v>
      </c>
      <c r="R1089" s="3" t="s">
        <v>70</v>
      </c>
      <c r="S1089" s="4">
        <v>1</v>
      </c>
      <c r="T1089" s="4">
        <v>1</v>
      </c>
      <c r="U1089" s="5" t="s">
        <v>10874</v>
      </c>
      <c r="V1089" s="5" t="s">
        <v>10874</v>
      </c>
      <c r="W1089" s="5" t="s">
        <v>72</v>
      </c>
      <c r="X1089" s="5" t="s">
        <v>72</v>
      </c>
      <c r="Y1089" s="4">
        <v>107</v>
      </c>
      <c r="Z1089" s="4">
        <v>10</v>
      </c>
      <c r="AA1089" s="4">
        <v>13</v>
      </c>
      <c r="AB1089" s="4">
        <v>2</v>
      </c>
      <c r="AC1089" s="4">
        <v>4</v>
      </c>
      <c r="AD1089" s="4">
        <v>46</v>
      </c>
      <c r="AE1089" s="4">
        <v>49</v>
      </c>
      <c r="AF1089" s="4">
        <v>1</v>
      </c>
      <c r="AG1089" s="4">
        <v>2</v>
      </c>
      <c r="AH1089" s="4">
        <v>42</v>
      </c>
      <c r="AI1089" s="4">
        <v>45</v>
      </c>
      <c r="AJ1089" s="4">
        <v>7</v>
      </c>
      <c r="AK1089" s="4">
        <v>9</v>
      </c>
      <c r="AL1089" s="4">
        <v>25</v>
      </c>
      <c r="AM1089" s="4">
        <v>25</v>
      </c>
      <c r="AN1089" s="4">
        <v>0</v>
      </c>
      <c r="AO1089" s="4">
        <v>0</v>
      </c>
      <c r="AP1089" s="4">
        <v>7</v>
      </c>
      <c r="AQ1089" s="4">
        <v>9</v>
      </c>
      <c r="AR1089" s="3" t="s">
        <v>64</v>
      </c>
      <c r="AS1089" s="3" t="s">
        <v>64</v>
      </c>
      <c r="AT1089" s="3" t="s">
        <v>64</v>
      </c>
      <c r="AV1089" s="6" t="str">
        <f>HYPERLINK("http://mcgill.on.worldcat.org/oclc/742004103","Catalog Record")</f>
        <v>Catalog Record</v>
      </c>
      <c r="AW1089" s="6" t="str">
        <f>HYPERLINK("http://www.worldcat.org/oclc/742004103","WorldCat Record")</f>
        <v>WorldCat Record</v>
      </c>
      <c r="AX1089" s="3" t="s">
        <v>10875</v>
      </c>
      <c r="AY1089" s="3" t="s">
        <v>10876</v>
      </c>
      <c r="AZ1089" s="3" t="s">
        <v>10877</v>
      </c>
      <c r="BA1089" s="3" t="s">
        <v>10877</v>
      </c>
      <c r="BB1089" s="3" t="s">
        <v>10878</v>
      </c>
      <c r="BC1089" s="3" t="s">
        <v>77</v>
      </c>
      <c r="BD1089" s="3" t="s">
        <v>78</v>
      </c>
      <c r="BE1089" s="3" t="s">
        <v>10879</v>
      </c>
      <c r="BF1089" s="3" t="s">
        <v>10878</v>
      </c>
      <c r="BG1089" s="3" t="s">
        <v>10880</v>
      </c>
      <c r="BH1089">
        <f t="shared" si="33"/>
        <v>0</v>
      </c>
    </row>
    <row r="1090" spans="1:60" ht="58" x14ac:dyDescent="0.35">
      <c r="A1090" s="2" t="s">
        <v>59</v>
      </c>
      <c r="B1090" s="2" t="s">
        <v>60</v>
      </c>
      <c r="C1090" s="2" t="s">
        <v>10869</v>
      </c>
      <c r="D1090" s="2" t="s">
        <v>10870</v>
      </c>
      <c r="E1090" s="2" t="s">
        <v>10881</v>
      </c>
      <c r="G1090" s="3" t="s">
        <v>64</v>
      </c>
      <c r="I1090" s="3" t="s">
        <v>64</v>
      </c>
      <c r="J1090" s="3" t="s">
        <v>64</v>
      </c>
      <c r="K1090" s="3" t="s">
        <v>65</v>
      </c>
      <c r="M1090" s="2" t="s">
        <v>10872</v>
      </c>
      <c r="N1090" s="3" t="s">
        <v>326</v>
      </c>
      <c r="P1090" s="3" t="s">
        <v>102</v>
      </c>
      <c r="Q1090" s="2" t="s">
        <v>10882</v>
      </c>
      <c r="R1090" s="3" t="s">
        <v>70</v>
      </c>
      <c r="S1090" s="4">
        <v>1</v>
      </c>
      <c r="T1090" s="4">
        <v>1</v>
      </c>
      <c r="U1090" s="5" t="s">
        <v>10883</v>
      </c>
      <c r="V1090" s="5" t="s">
        <v>10883</v>
      </c>
      <c r="W1090" s="5" t="s">
        <v>72</v>
      </c>
      <c r="X1090" s="5" t="s">
        <v>72</v>
      </c>
      <c r="Y1090" s="4">
        <v>82</v>
      </c>
      <c r="Z1090" s="4">
        <v>8</v>
      </c>
      <c r="AA1090" s="4">
        <v>10</v>
      </c>
      <c r="AB1090" s="4">
        <v>2</v>
      </c>
      <c r="AC1090" s="4">
        <v>3</v>
      </c>
      <c r="AD1090" s="4">
        <v>35</v>
      </c>
      <c r="AE1090" s="4">
        <v>36</v>
      </c>
      <c r="AF1090" s="4">
        <v>1</v>
      </c>
      <c r="AG1090" s="4">
        <v>1</v>
      </c>
      <c r="AH1090" s="4">
        <v>32</v>
      </c>
      <c r="AI1090" s="4">
        <v>33</v>
      </c>
      <c r="AJ1090" s="4">
        <v>5</v>
      </c>
      <c r="AK1090" s="4">
        <v>6</v>
      </c>
      <c r="AL1090" s="4">
        <v>21</v>
      </c>
      <c r="AM1090" s="4">
        <v>21</v>
      </c>
      <c r="AN1090" s="4">
        <v>0</v>
      </c>
      <c r="AO1090" s="4">
        <v>0</v>
      </c>
      <c r="AP1090" s="4">
        <v>5</v>
      </c>
      <c r="AQ1090" s="4">
        <v>6</v>
      </c>
      <c r="AR1090" s="3" t="s">
        <v>64</v>
      </c>
      <c r="AS1090" s="3" t="s">
        <v>64</v>
      </c>
      <c r="AT1090" s="3" t="s">
        <v>64</v>
      </c>
      <c r="AV1090" s="6" t="str">
        <f>HYPERLINK("http://mcgill.on.worldcat.org/oclc/755066814","Catalog Record")</f>
        <v>Catalog Record</v>
      </c>
      <c r="AW1090" s="6" t="str">
        <f>HYPERLINK("http://www.worldcat.org/oclc/755066814","WorldCat Record")</f>
        <v>WorldCat Record</v>
      </c>
      <c r="AX1090" s="3" t="s">
        <v>10884</v>
      </c>
      <c r="AY1090" s="3" t="s">
        <v>10885</v>
      </c>
      <c r="AZ1090" s="3" t="s">
        <v>10886</v>
      </c>
      <c r="BA1090" s="3" t="s">
        <v>10886</v>
      </c>
      <c r="BB1090" s="3" t="s">
        <v>10887</v>
      </c>
      <c r="BC1090" s="3" t="s">
        <v>77</v>
      </c>
      <c r="BD1090" s="3" t="s">
        <v>78</v>
      </c>
      <c r="BE1090" s="3" t="s">
        <v>10888</v>
      </c>
      <c r="BF1090" s="3" t="s">
        <v>10887</v>
      </c>
      <c r="BG1090" s="3" t="s">
        <v>10889</v>
      </c>
      <c r="BH1090">
        <f t="shared" ref="BH1090:BH1153" si="34">IF(COUNTIF($BF$1:$BF$5431,BF1090)=1,0,1)</f>
        <v>0</v>
      </c>
    </row>
    <row r="1091" spans="1:60" ht="58" x14ac:dyDescent="0.35">
      <c r="A1091" s="2" t="s">
        <v>59</v>
      </c>
      <c r="B1091" s="2" t="s">
        <v>60</v>
      </c>
      <c r="C1091" s="2" t="s">
        <v>10890</v>
      </c>
      <c r="D1091" s="2" t="s">
        <v>10891</v>
      </c>
      <c r="E1091" s="2" t="s">
        <v>10892</v>
      </c>
      <c r="G1091" s="3" t="s">
        <v>64</v>
      </c>
      <c r="I1091" s="3" t="s">
        <v>64</v>
      </c>
      <c r="J1091" s="3" t="s">
        <v>64</v>
      </c>
      <c r="K1091" s="3" t="s">
        <v>65</v>
      </c>
      <c r="M1091" s="2" t="s">
        <v>10893</v>
      </c>
      <c r="N1091" s="3" t="s">
        <v>171</v>
      </c>
      <c r="P1091" s="3" t="s">
        <v>102</v>
      </c>
      <c r="R1091" s="3" t="s">
        <v>70</v>
      </c>
      <c r="S1091" s="4">
        <v>4</v>
      </c>
      <c r="T1091" s="4">
        <v>4</v>
      </c>
      <c r="U1091" s="5" t="s">
        <v>10894</v>
      </c>
      <c r="V1091" s="5" t="s">
        <v>10894</v>
      </c>
      <c r="W1091" s="5" t="s">
        <v>72</v>
      </c>
      <c r="X1091" s="5" t="s">
        <v>72</v>
      </c>
      <c r="Y1091" s="4">
        <v>118</v>
      </c>
      <c r="Z1091" s="4">
        <v>14</v>
      </c>
      <c r="AA1091" s="4">
        <v>14</v>
      </c>
      <c r="AB1091" s="4">
        <v>1</v>
      </c>
      <c r="AC1091" s="4">
        <v>1</v>
      </c>
      <c r="AD1091" s="4">
        <v>60</v>
      </c>
      <c r="AE1091" s="4">
        <v>60</v>
      </c>
      <c r="AF1091" s="4">
        <v>0</v>
      </c>
      <c r="AG1091" s="4">
        <v>0</v>
      </c>
      <c r="AH1091" s="4">
        <v>56</v>
      </c>
      <c r="AI1091" s="4">
        <v>56</v>
      </c>
      <c r="AJ1091" s="4">
        <v>9</v>
      </c>
      <c r="AK1091" s="4">
        <v>9</v>
      </c>
      <c r="AL1091" s="4">
        <v>33</v>
      </c>
      <c r="AM1091" s="4">
        <v>33</v>
      </c>
      <c r="AN1091" s="4">
        <v>0</v>
      </c>
      <c r="AO1091" s="4">
        <v>0</v>
      </c>
      <c r="AP1091" s="4">
        <v>9</v>
      </c>
      <c r="AQ1091" s="4">
        <v>9</v>
      </c>
      <c r="AR1091" s="3" t="s">
        <v>64</v>
      </c>
      <c r="AS1091" s="3" t="s">
        <v>64</v>
      </c>
      <c r="AT1091" s="3" t="s">
        <v>64</v>
      </c>
      <c r="AV1091" s="6" t="str">
        <f>HYPERLINK("http://mcgill.on.worldcat.org/oclc/64967140","Catalog Record")</f>
        <v>Catalog Record</v>
      </c>
      <c r="AW1091" s="6" t="str">
        <f>HYPERLINK("http://www.worldcat.org/oclc/64967140","WorldCat Record")</f>
        <v>WorldCat Record</v>
      </c>
      <c r="AX1091" s="3" t="s">
        <v>10895</v>
      </c>
      <c r="AY1091" s="3" t="s">
        <v>10896</v>
      </c>
      <c r="AZ1091" s="3" t="s">
        <v>10897</v>
      </c>
      <c r="BA1091" s="3" t="s">
        <v>10897</v>
      </c>
      <c r="BB1091" s="3" t="s">
        <v>10898</v>
      </c>
      <c r="BC1091" s="3" t="s">
        <v>77</v>
      </c>
      <c r="BD1091" s="3" t="s">
        <v>78</v>
      </c>
      <c r="BE1091" s="3" t="s">
        <v>10899</v>
      </c>
      <c r="BF1091" s="3" t="s">
        <v>10898</v>
      </c>
      <c r="BG1091" s="3" t="s">
        <v>10900</v>
      </c>
      <c r="BH1091">
        <f t="shared" si="34"/>
        <v>0</v>
      </c>
    </row>
    <row r="1092" spans="1:60" ht="58" x14ac:dyDescent="0.35">
      <c r="A1092" s="2" t="s">
        <v>59</v>
      </c>
      <c r="B1092" s="2" t="s">
        <v>60</v>
      </c>
      <c r="C1092" s="2" t="s">
        <v>10901</v>
      </c>
      <c r="D1092" s="2" t="s">
        <v>10902</v>
      </c>
      <c r="E1092" s="2" t="s">
        <v>10903</v>
      </c>
      <c r="G1092" s="3" t="s">
        <v>64</v>
      </c>
      <c r="I1092" s="3" t="s">
        <v>64</v>
      </c>
      <c r="J1092" s="3" t="s">
        <v>64</v>
      </c>
      <c r="K1092" s="3" t="s">
        <v>65</v>
      </c>
      <c r="L1092" s="2" t="s">
        <v>10904</v>
      </c>
      <c r="M1092" s="2" t="s">
        <v>10905</v>
      </c>
      <c r="N1092" s="3" t="s">
        <v>1075</v>
      </c>
      <c r="P1092" s="3" t="s">
        <v>102</v>
      </c>
      <c r="Q1092" s="2" t="s">
        <v>10906</v>
      </c>
      <c r="R1092" s="3" t="s">
        <v>70</v>
      </c>
      <c r="S1092" s="4">
        <v>0</v>
      </c>
      <c r="T1092" s="4">
        <v>0</v>
      </c>
      <c r="W1092" s="5" t="s">
        <v>72</v>
      </c>
      <c r="X1092" s="5" t="s">
        <v>72</v>
      </c>
      <c r="Y1092" s="4">
        <v>25</v>
      </c>
      <c r="Z1092" s="4">
        <v>3</v>
      </c>
      <c r="AA1092" s="4">
        <v>3</v>
      </c>
      <c r="AB1092" s="4">
        <v>1</v>
      </c>
      <c r="AC1092" s="4">
        <v>1</v>
      </c>
      <c r="AD1092" s="4">
        <v>8</v>
      </c>
      <c r="AE1092" s="4">
        <v>8</v>
      </c>
      <c r="AF1092" s="4">
        <v>0</v>
      </c>
      <c r="AG1092" s="4">
        <v>0</v>
      </c>
      <c r="AH1092" s="4">
        <v>8</v>
      </c>
      <c r="AI1092" s="4">
        <v>8</v>
      </c>
      <c r="AJ1092" s="4">
        <v>1</v>
      </c>
      <c r="AK1092" s="4">
        <v>1</v>
      </c>
      <c r="AL1092" s="4">
        <v>7</v>
      </c>
      <c r="AM1092" s="4">
        <v>7</v>
      </c>
      <c r="AN1092" s="4">
        <v>0</v>
      </c>
      <c r="AO1092" s="4">
        <v>0</v>
      </c>
      <c r="AP1092" s="4">
        <v>1</v>
      </c>
      <c r="AQ1092" s="4">
        <v>1</v>
      </c>
      <c r="AR1092" s="3" t="s">
        <v>64</v>
      </c>
      <c r="AS1092" s="3" t="s">
        <v>64</v>
      </c>
      <c r="AT1092" s="3" t="s">
        <v>64</v>
      </c>
      <c r="AV1092" s="6" t="str">
        <f>HYPERLINK("http://mcgill.on.worldcat.org/oclc/812249951","Catalog Record")</f>
        <v>Catalog Record</v>
      </c>
      <c r="AW1092" s="6" t="str">
        <f>HYPERLINK("http://www.worldcat.org/oclc/812249951","WorldCat Record")</f>
        <v>WorldCat Record</v>
      </c>
      <c r="AX1092" s="3" t="s">
        <v>10907</v>
      </c>
      <c r="AY1092" s="3" t="s">
        <v>10908</v>
      </c>
      <c r="AZ1092" s="3" t="s">
        <v>10909</v>
      </c>
      <c r="BA1092" s="3" t="s">
        <v>10909</v>
      </c>
      <c r="BB1092" s="3" t="s">
        <v>10910</v>
      </c>
      <c r="BC1092" s="3" t="s">
        <v>77</v>
      </c>
      <c r="BD1092" s="3" t="s">
        <v>78</v>
      </c>
      <c r="BE1092" s="3" t="s">
        <v>10911</v>
      </c>
      <c r="BF1092" s="3" t="s">
        <v>10910</v>
      </c>
      <c r="BG1092" s="3" t="s">
        <v>10912</v>
      </c>
      <c r="BH1092">
        <f t="shared" si="34"/>
        <v>0</v>
      </c>
    </row>
    <row r="1093" spans="1:60" ht="58" x14ac:dyDescent="0.35">
      <c r="A1093" s="2" t="s">
        <v>59</v>
      </c>
      <c r="B1093" s="2" t="s">
        <v>60</v>
      </c>
      <c r="C1093" s="2" t="s">
        <v>10913</v>
      </c>
      <c r="D1093" s="2" t="s">
        <v>10914</v>
      </c>
      <c r="E1093" s="2" t="s">
        <v>10915</v>
      </c>
      <c r="G1093" s="3" t="s">
        <v>64</v>
      </c>
      <c r="I1093" s="3" t="s">
        <v>64</v>
      </c>
      <c r="J1093" s="3" t="s">
        <v>64</v>
      </c>
      <c r="K1093" s="3" t="s">
        <v>65</v>
      </c>
      <c r="L1093" s="2" t="s">
        <v>10916</v>
      </c>
      <c r="M1093" s="2" t="s">
        <v>10917</v>
      </c>
      <c r="N1093" s="3" t="s">
        <v>511</v>
      </c>
      <c r="P1093" s="3" t="s">
        <v>365</v>
      </c>
      <c r="Q1093" s="2" t="s">
        <v>10918</v>
      </c>
      <c r="R1093" s="3" t="s">
        <v>70</v>
      </c>
      <c r="S1093" s="4">
        <v>0</v>
      </c>
      <c r="T1093" s="4">
        <v>0</v>
      </c>
      <c r="W1093" s="5" t="s">
        <v>72</v>
      </c>
      <c r="X1093" s="5" t="s">
        <v>72</v>
      </c>
      <c r="Y1093" s="4">
        <v>18</v>
      </c>
      <c r="Z1093" s="4">
        <v>3</v>
      </c>
      <c r="AA1093" s="4">
        <v>3</v>
      </c>
      <c r="AB1093" s="4">
        <v>1</v>
      </c>
      <c r="AC1093" s="4">
        <v>1</v>
      </c>
      <c r="AD1093" s="4">
        <v>11</v>
      </c>
      <c r="AE1093" s="4">
        <v>11</v>
      </c>
      <c r="AF1093" s="4">
        <v>0</v>
      </c>
      <c r="AG1093" s="4">
        <v>0</v>
      </c>
      <c r="AH1093" s="4">
        <v>10</v>
      </c>
      <c r="AI1093" s="4">
        <v>10</v>
      </c>
      <c r="AJ1093" s="4">
        <v>1</v>
      </c>
      <c r="AK1093" s="4">
        <v>1</v>
      </c>
      <c r="AL1093" s="4">
        <v>6</v>
      </c>
      <c r="AM1093" s="4">
        <v>6</v>
      </c>
      <c r="AN1093" s="4">
        <v>0</v>
      </c>
      <c r="AO1093" s="4">
        <v>0</v>
      </c>
      <c r="AP1093" s="4">
        <v>1</v>
      </c>
      <c r="AQ1093" s="4">
        <v>1</v>
      </c>
      <c r="AR1093" s="3" t="s">
        <v>64</v>
      </c>
      <c r="AS1093" s="3" t="s">
        <v>64</v>
      </c>
      <c r="AT1093" s="3" t="s">
        <v>64</v>
      </c>
      <c r="AV1093" s="6" t="str">
        <f>HYPERLINK("http://mcgill.on.worldcat.org/oclc/670470391","Catalog Record")</f>
        <v>Catalog Record</v>
      </c>
      <c r="AW1093" s="6" t="str">
        <f>HYPERLINK("http://www.worldcat.org/oclc/670470391","WorldCat Record")</f>
        <v>WorldCat Record</v>
      </c>
      <c r="AX1093" s="3" t="s">
        <v>10919</v>
      </c>
      <c r="AY1093" s="3" t="s">
        <v>10920</v>
      </c>
      <c r="AZ1093" s="3" t="s">
        <v>10921</v>
      </c>
      <c r="BA1093" s="3" t="s">
        <v>10921</v>
      </c>
      <c r="BB1093" s="3" t="s">
        <v>10922</v>
      </c>
      <c r="BC1093" s="3" t="s">
        <v>77</v>
      </c>
      <c r="BD1093" s="3" t="s">
        <v>78</v>
      </c>
      <c r="BE1093" s="3" t="s">
        <v>10923</v>
      </c>
      <c r="BF1093" s="3" t="s">
        <v>10922</v>
      </c>
      <c r="BG1093" s="3" t="s">
        <v>10924</v>
      </c>
      <c r="BH1093">
        <f t="shared" si="34"/>
        <v>0</v>
      </c>
    </row>
    <row r="1094" spans="1:60" ht="58" x14ac:dyDescent="0.35">
      <c r="A1094" s="2" t="s">
        <v>59</v>
      </c>
      <c r="B1094" s="2" t="s">
        <v>60</v>
      </c>
      <c r="C1094" s="2" t="s">
        <v>10925</v>
      </c>
      <c r="D1094" s="2" t="s">
        <v>10926</v>
      </c>
      <c r="E1094" s="2" t="s">
        <v>10927</v>
      </c>
      <c r="G1094" s="3" t="s">
        <v>64</v>
      </c>
      <c r="I1094" s="3" t="s">
        <v>64</v>
      </c>
      <c r="J1094" s="3" t="s">
        <v>64</v>
      </c>
      <c r="K1094" s="3" t="s">
        <v>65</v>
      </c>
      <c r="L1094" s="2" t="s">
        <v>10928</v>
      </c>
      <c r="M1094" s="2" t="s">
        <v>10929</v>
      </c>
      <c r="N1094" s="3" t="s">
        <v>1492</v>
      </c>
      <c r="P1094" s="3" t="s">
        <v>365</v>
      </c>
      <c r="Q1094" s="2" t="s">
        <v>10930</v>
      </c>
      <c r="R1094" s="3" t="s">
        <v>70</v>
      </c>
      <c r="S1094" s="4">
        <v>0</v>
      </c>
      <c r="T1094" s="4">
        <v>0</v>
      </c>
      <c r="W1094" s="5" t="s">
        <v>10931</v>
      </c>
      <c r="X1094" s="5" t="s">
        <v>10931</v>
      </c>
      <c r="Y1094" s="4">
        <v>9</v>
      </c>
      <c r="Z1094" s="4">
        <v>1</v>
      </c>
      <c r="AA1094" s="4">
        <v>1</v>
      </c>
      <c r="AB1094" s="4">
        <v>1</v>
      </c>
      <c r="AC1094" s="4">
        <v>1</v>
      </c>
      <c r="AD1094" s="4">
        <v>6</v>
      </c>
      <c r="AE1094" s="4">
        <v>6</v>
      </c>
      <c r="AF1094" s="4">
        <v>0</v>
      </c>
      <c r="AG1094" s="4">
        <v>0</v>
      </c>
      <c r="AH1094" s="4">
        <v>5</v>
      </c>
      <c r="AI1094" s="4">
        <v>5</v>
      </c>
      <c r="AJ1094" s="4">
        <v>0</v>
      </c>
      <c r="AK1094" s="4">
        <v>0</v>
      </c>
      <c r="AL1094" s="4">
        <v>5</v>
      </c>
      <c r="AM1094" s="4">
        <v>5</v>
      </c>
      <c r="AN1094" s="4">
        <v>0</v>
      </c>
      <c r="AO1094" s="4">
        <v>0</v>
      </c>
      <c r="AP1094" s="4">
        <v>0</v>
      </c>
      <c r="AQ1094" s="4">
        <v>0</v>
      </c>
      <c r="AR1094" s="3" t="s">
        <v>64</v>
      </c>
      <c r="AS1094" s="3" t="s">
        <v>64</v>
      </c>
      <c r="AT1094" s="3" t="s">
        <v>64</v>
      </c>
      <c r="AV1094" s="6" t="str">
        <f>HYPERLINK("http://mcgill.on.worldcat.org/oclc/1086297211","Catalog Record")</f>
        <v>Catalog Record</v>
      </c>
      <c r="AW1094" s="6" t="str">
        <f>HYPERLINK("http://www.worldcat.org/oclc/1086297211","WorldCat Record")</f>
        <v>WorldCat Record</v>
      </c>
      <c r="AX1094" s="3" t="s">
        <v>10932</v>
      </c>
      <c r="AY1094" s="3" t="s">
        <v>10933</v>
      </c>
      <c r="AZ1094" s="3" t="s">
        <v>10934</v>
      </c>
      <c r="BA1094" s="3" t="s">
        <v>10934</v>
      </c>
      <c r="BB1094" s="3" t="s">
        <v>10935</v>
      </c>
      <c r="BC1094" s="3" t="s">
        <v>77</v>
      </c>
      <c r="BD1094" s="3" t="s">
        <v>78</v>
      </c>
      <c r="BE1094" s="3" t="s">
        <v>10936</v>
      </c>
      <c r="BF1094" s="3" t="s">
        <v>10935</v>
      </c>
      <c r="BG1094" s="3" t="s">
        <v>10937</v>
      </c>
      <c r="BH1094">
        <f t="shared" si="34"/>
        <v>0</v>
      </c>
    </row>
    <row r="1095" spans="1:60" ht="58" x14ac:dyDescent="0.35">
      <c r="A1095" s="2" t="s">
        <v>59</v>
      </c>
      <c r="B1095" s="2" t="s">
        <v>60</v>
      </c>
      <c r="C1095" s="2" t="s">
        <v>10938</v>
      </c>
      <c r="D1095" s="2" t="s">
        <v>10939</v>
      </c>
      <c r="E1095" s="2" t="s">
        <v>10940</v>
      </c>
      <c r="G1095" s="3" t="s">
        <v>64</v>
      </c>
      <c r="I1095" s="3" t="s">
        <v>64</v>
      </c>
      <c r="J1095" s="3" t="s">
        <v>64</v>
      </c>
      <c r="K1095" s="3" t="s">
        <v>65</v>
      </c>
      <c r="M1095" s="2" t="s">
        <v>10941</v>
      </c>
      <c r="N1095" s="3" t="s">
        <v>578</v>
      </c>
      <c r="P1095" s="3" t="s">
        <v>365</v>
      </c>
      <c r="Q1095" s="2" t="s">
        <v>10942</v>
      </c>
      <c r="R1095" s="3" t="s">
        <v>70</v>
      </c>
      <c r="S1095" s="4">
        <v>0</v>
      </c>
      <c r="T1095" s="4">
        <v>0</v>
      </c>
      <c r="W1095" s="5" t="s">
        <v>72</v>
      </c>
      <c r="X1095" s="5" t="s">
        <v>72</v>
      </c>
      <c r="Y1095" s="4">
        <v>30</v>
      </c>
      <c r="Z1095" s="4">
        <v>1</v>
      </c>
      <c r="AA1095" s="4">
        <v>1</v>
      </c>
      <c r="AB1095" s="4">
        <v>1</v>
      </c>
      <c r="AC1095" s="4">
        <v>1</v>
      </c>
      <c r="AD1095" s="4">
        <v>15</v>
      </c>
      <c r="AE1095" s="4">
        <v>16</v>
      </c>
      <c r="AF1095" s="4">
        <v>0</v>
      </c>
      <c r="AG1095" s="4">
        <v>0</v>
      </c>
      <c r="AH1095" s="4">
        <v>14</v>
      </c>
      <c r="AI1095" s="4">
        <v>15</v>
      </c>
      <c r="AJ1095" s="4">
        <v>0</v>
      </c>
      <c r="AK1095" s="4">
        <v>0</v>
      </c>
      <c r="AL1095" s="4">
        <v>13</v>
      </c>
      <c r="AM1095" s="4">
        <v>14</v>
      </c>
      <c r="AN1095" s="4">
        <v>0</v>
      </c>
      <c r="AO1095" s="4">
        <v>0</v>
      </c>
      <c r="AP1095" s="4">
        <v>0</v>
      </c>
      <c r="AQ1095" s="4">
        <v>0</v>
      </c>
      <c r="AR1095" s="3" t="s">
        <v>64</v>
      </c>
      <c r="AS1095" s="3" t="s">
        <v>64</v>
      </c>
      <c r="AT1095" s="3" t="s">
        <v>64</v>
      </c>
      <c r="AV1095" s="6" t="str">
        <f>HYPERLINK("http://mcgill.on.worldcat.org/oclc/1009068984","Catalog Record")</f>
        <v>Catalog Record</v>
      </c>
      <c r="AW1095" s="6" t="str">
        <f>HYPERLINK("http://www.worldcat.org/oclc/1009068984","WorldCat Record")</f>
        <v>WorldCat Record</v>
      </c>
      <c r="AX1095" s="3" t="s">
        <v>10943</v>
      </c>
      <c r="AY1095" s="3" t="s">
        <v>10944</v>
      </c>
      <c r="AZ1095" s="3" t="s">
        <v>10945</v>
      </c>
      <c r="BA1095" s="3" t="s">
        <v>10945</v>
      </c>
      <c r="BB1095" s="3" t="s">
        <v>10946</v>
      </c>
      <c r="BC1095" s="3" t="s">
        <v>77</v>
      </c>
      <c r="BD1095" s="3" t="s">
        <v>78</v>
      </c>
      <c r="BE1095" s="3" t="s">
        <v>10947</v>
      </c>
      <c r="BF1095" s="3" t="s">
        <v>10946</v>
      </c>
      <c r="BG1095" s="3" t="s">
        <v>10948</v>
      </c>
      <c r="BH1095">
        <f t="shared" si="34"/>
        <v>0</v>
      </c>
    </row>
    <row r="1096" spans="1:60" ht="58" x14ac:dyDescent="0.35">
      <c r="A1096" s="2" t="s">
        <v>59</v>
      </c>
      <c r="B1096" s="2" t="s">
        <v>60</v>
      </c>
      <c r="C1096" s="2" t="s">
        <v>10949</v>
      </c>
      <c r="D1096" s="2" t="s">
        <v>10950</v>
      </c>
      <c r="E1096" s="2" t="s">
        <v>10951</v>
      </c>
      <c r="G1096" s="3" t="s">
        <v>64</v>
      </c>
      <c r="I1096" s="3" t="s">
        <v>64</v>
      </c>
      <c r="J1096" s="3" t="s">
        <v>64</v>
      </c>
      <c r="K1096" s="3" t="s">
        <v>65</v>
      </c>
      <c r="L1096" s="2" t="s">
        <v>10952</v>
      </c>
      <c r="M1096" s="2" t="s">
        <v>4199</v>
      </c>
      <c r="N1096" s="3" t="s">
        <v>1075</v>
      </c>
      <c r="P1096" s="3" t="s">
        <v>102</v>
      </c>
      <c r="Q1096" s="2" t="s">
        <v>10953</v>
      </c>
      <c r="R1096" s="3" t="s">
        <v>70</v>
      </c>
      <c r="S1096" s="4">
        <v>5</v>
      </c>
      <c r="T1096" s="4">
        <v>5</v>
      </c>
      <c r="U1096" s="5" t="s">
        <v>4758</v>
      </c>
      <c r="V1096" s="5" t="s">
        <v>4758</v>
      </c>
      <c r="W1096" s="5" t="s">
        <v>72</v>
      </c>
      <c r="X1096" s="5" t="s">
        <v>72</v>
      </c>
      <c r="Y1096" s="4">
        <v>106</v>
      </c>
      <c r="Z1096" s="4">
        <v>7</v>
      </c>
      <c r="AA1096" s="4">
        <v>78</v>
      </c>
      <c r="AB1096" s="4">
        <v>1</v>
      </c>
      <c r="AC1096" s="4">
        <v>15</v>
      </c>
      <c r="AD1096" s="4">
        <v>37</v>
      </c>
      <c r="AE1096" s="4">
        <v>114</v>
      </c>
      <c r="AF1096" s="4">
        <v>0</v>
      </c>
      <c r="AG1096" s="4">
        <v>8</v>
      </c>
      <c r="AH1096" s="4">
        <v>35</v>
      </c>
      <c r="AI1096" s="4">
        <v>83</v>
      </c>
      <c r="AJ1096" s="4">
        <v>3</v>
      </c>
      <c r="AK1096" s="4">
        <v>21</v>
      </c>
      <c r="AL1096" s="4">
        <v>24</v>
      </c>
      <c r="AM1096" s="4">
        <v>43</v>
      </c>
      <c r="AN1096" s="4">
        <v>0</v>
      </c>
      <c r="AO1096" s="4">
        <v>0</v>
      </c>
      <c r="AP1096" s="4">
        <v>3</v>
      </c>
      <c r="AQ1096" s="4">
        <v>38</v>
      </c>
      <c r="AR1096" s="3" t="s">
        <v>64</v>
      </c>
      <c r="AS1096" s="3" t="s">
        <v>64</v>
      </c>
      <c r="AT1096" s="3" t="s">
        <v>64</v>
      </c>
      <c r="AV1096" s="6" t="str">
        <f>HYPERLINK("http://mcgill.on.worldcat.org/oclc/842350532","Catalog Record")</f>
        <v>Catalog Record</v>
      </c>
      <c r="AW1096" s="6" t="str">
        <f>HYPERLINK("http://www.worldcat.org/oclc/842350532","WorldCat Record")</f>
        <v>WorldCat Record</v>
      </c>
      <c r="AX1096" s="3" t="s">
        <v>10954</v>
      </c>
      <c r="AY1096" s="3" t="s">
        <v>10955</v>
      </c>
      <c r="AZ1096" s="3" t="s">
        <v>10956</v>
      </c>
      <c r="BA1096" s="3" t="s">
        <v>10956</v>
      </c>
      <c r="BB1096" s="3" t="s">
        <v>10957</v>
      </c>
      <c r="BC1096" s="3" t="s">
        <v>77</v>
      </c>
      <c r="BD1096" s="3" t="s">
        <v>78</v>
      </c>
      <c r="BE1096" s="3" t="s">
        <v>10958</v>
      </c>
      <c r="BF1096" s="3" t="s">
        <v>10957</v>
      </c>
      <c r="BG1096" s="3" t="s">
        <v>10959</v>
      </c>
      <c r="BH1096">
        <f t="shared" si="34"/>
        <v>0</v>
      </c>
    </row>
    <row r="1097" spans="1:60" ht="58" x14ac:dyDescent="0.35">
      <c r="A1097" s="2" t="s">
        <v>59</v>
      </c>
      <c r="B1097" s="2" t="s">
        <v>60</v>
      </c>
      <c r="C1097" s="2" t="s">
        <v>10960</v>
      </c>
      <c r="D1097" s="2" t="s">
        <v>10961</v>
      </c>
      <c r="E1097" s="2" t="s">
        <v>10962</v>
      </c>
      <c r="G1097" s="3" t="s">
        <v>64</v>
      </c>
      <c r="I1097" s="3" t="s">
        <v>64</v>
      </c>
      <c r="J1097" s="3" t="s">
        <v>64</v>
      </c>
      <c r="K1097" s="3" t="s">
        <v>65</v>
      </c>
      <c r="M1097" s="2" t="s">
        <v>10963</v>
      </c>
      <c r="N1097" s="3" t="s">
        <v>326</v>
      </c>
      <c r="P1097" s="3" t="s">
        <v>102</v>
      </c>
      <c r="Q1097" s="2" t="s">
        <v>10964</v>
      </c>
      <c r="R1097" s="3" t="s">
        <v>70</v>
      </c>
      <c r="S1097" s="4">
        <v>0</v>
      </c>
      <c r="T1097" s="4">
        <v>0</v>
      </c>
      <c r="W1097" s="5" t="s">
        <v>72</v>
      </c>
      <c r="X1097" s="5" t="s">
        <v>72</v>
      </c>
      <c r="Y1097" s="4">
        <v>49</v>
      </c>
      <c r="Z1097" s="4">
        <v>6</v>
      </c>
      <c r="AA1097" s="4">
        <v>11</v>
      </c>
      <c r="AB1097" s="4">
        <v>1</v>
      </c>
      <c r="AC1097" s="4">
        <v>4</v>
      </c>
      <c r="AD1097" s="4">
        <v>26</v>
      </c>
      <c r="AE1097" s="4">
        <v>41</v>
      </c>
      <c r="AF1097" s="4">
        <v>0</v>
      </c>
      <c r="AG1097" s="4">
        <v>0</v>
      </c>
      <c r="AH1097" s="4">
        <v>24</v>
      </c>
      <c r="AI1097" s="4">
        <v>39</v>
      </c>
      <c r="AJ1097" s="4">
        <v>3</v>
      </c>
      <c r="AK1097" s="4">
        <v>5</v>
      </c>
      <c r="AL1097" s="4">
        <v>19</v>
      </c>
      <c r="AM1097" s="4">
        <v>29</v>
      </c>
      <c r="AN1097" s="4">
        <v>0</v>
      </c>
      <c r="AO1097" s="4">
        <v>0</v>
      </c>
      <c r="AP1097" s="4">
        <v>3</v>
      </c>
      <c r="AQ1097" s="4">
        <v>5</v>
      </c>
      <c r="AR1097" s="3" t="s">
        <v>64</v>
      </c>
      <c r="AS1097" s="3" t="s">
        <v>64</v>
      </c>
      <c r="AT1097" s="3" t="s">
        <v>64</v>
      </c>
      <c r="AV1097" s="6" t="str">
        <f>HYPERLINK("http://mcgill.on.worldcat.org/oclc/761901649","Catalog Record")</f>
        <v>Catalog Record</v>
      </c>
      <c r="AW1097" s="6" t="str">
        <f>HYPERLINK("http://www.worldcat.org/oclc/761901649","WorldCat Record")</f>
        <v>WorldCat Record</v>
      </c>
      <c r="AX1097" s="3" t="s">
        <v>10965</v>
      </c>
      <c r="AY1097" s="3" t="s">
        <v>10966</v>
      </c>
      <c r="AZ1097" s="3" t="s">
        <v>10967</v>
      </c>
      <c r="BA1097" s="3" t="s">
        <v>10967</v>
      </c>
      <c r="BB1097" s="3" t="s">
        <v>10968</v>
      </c>
      <c r="BC1097" s="3" t="s">
        <v>77</v>
      </c>
      <c r="BD1097" s="3" t="s">
        <v>78</v>
      </c>
      <c r="BE1097" s="3" t="s">
        <v>10969</v>
      </c>
      <c r="BF1097" s="3" t="s">
        <v>10968</v>
      </c>
      <c r="BG1097" s="3" t="s">
        <v>10970</v>
      </c>
      <c r="BH1097">
        <f t="shared" si="34"/>
        <v>0</v>
      </c>
    </row>
    <row r="1098" spans="1:60" ht="58" x14ac:dyDescent="0.35">
      <c r="A1098" s="2" t="s">
        <v>59</v>
      </c>
      <c r="B1098" s="2" t="s">
        <v>60</v>
      </c>
      <c r="C1098" s="2" t="s">
        <v>10971</v>
      </c>
      <c r="D1098" s="2" t="s">
        <v>10972</v>
      </c>
      <c r="E1098" s="2" t="s">
        <v>10973</v>
      </c>
      <c r="G1098" s="3" t="s">
        <v>64</v>
      </c>
      <c r="I1098" s="3" t="s">
        <v>64</v>
      </c>
      <c r="J1098" s="3" t="s">
        <v>64</v>
      </c>
      <c r="K1098" s="3" t="s">
        <v>65</v>
      </c>
      <c r="L1098" s="2" t="s">
        <v>10974</v>
      </c>
      <c r="M1098" s="2" t="s">
        <v>10975</v>
      </c>
      <c r="N1098" s="3" t="s">
        <v>392</v>
      </c>
      <c r="P1098" s="3" t="s">
        <v>102</v>
      </c>
      <c r="R1098" s="3" t="s">
        <v>70</v>
      </c>
      <c r="S1098" s="4">
        <v>33</v>
      </c>
      <c r="T1098" s="4">
        <v>33</v>
      </c>
      <c r="U1098" s="5" t="s">
        <v>3431</v>
      </c>
      <c r="V1098" s="5" t="s">
        <v>3431</v>
      </c>
      <c r="W1098" s="5" t="s">
        <v>72</v>
      </c>
      <c r="X1098" s="5" t="s">
        <v>72</v>
      </c>
      <c r="Y1098" s="4">
        <v>355</v>
      </c>
      <c r="Z1098" s="4">
        <v>27</v>
      </c>
      <c r="AA1098" s="4">
        <v>28</v>
      </c>
      <c r="AB1098" s="4">
        <v>2</v>
      </c>
      <c r="AC1098" s="4">
        <v>2</v>
      </c>
      <c r="AD1098" s="4">
        <v>105</v>
      </c>
      <c r="AE1098" s="4">
        <v>109</v>
      </c>
      <c r="AF1098" s="4">
        <v>0</v>
      </c>
      <c r="AG1098" s="4">
        <v>0</v>
      </c>
      <c r="AH1098" s="4">
        <v>89</v>
      </c>
      <c r="AI1098" s="4">
        <v>92</v>
      </c>
      <c r="AJ1098" s="4">
        <v>14</v>
      </c>
      <c r="AK1098" s="4">
        <v>14</v>
      </c>
      <c r="AL1098" s="4">
        <v>54</v>
      </c>
      <c r="AM1098" s="4">
        <v>55</v>
      </c>
      <c r="AN1098" s="4">
        <v>0</v>
      </c>
      <c r="AO1098" s="4">
        <v>0</v>
      </c>
      <c r="AP1098" s="4">
        <v>17</v>
      </c>
      <c r="AQ1098" s="4">
        <v>18</v>
      </c>
      <c r="AR1098" s="3" t="s">
        <v>64</v>
      </c>
      <c r="AS1098" s="3" t="s">
        <v>64</v>
      </c>
      <c r="AT1098" s="3" t="s">
        <v>64</v>
      </c>
      <c r="AV1098" s="6" t="str">
        <f>HYPERLINK("http://mcgill.on.worldcat.org/oclc/39523304","Catalog Record")</f>
        <v>Catalog Record</v>
      </c>
      <c r="AW1098" s="6" t="str">
        <f>HYPERLINK("http://www.worldcat.org/oclc/39523304","WorldCat Record")</f>
        <v>WorldCat Record</v>
      </c>
      <c r="AX1098" s="3" t="s">
        <v>10976</v>
      </c>
      <c r="AY1098" s="3" t="s">
        <v>10977</v>
      </c>
      <c r="AZ1098" s="3" t="s">
        <v>10978</v>
      </c>
      <c r="BA1098" s="3" t="s">
        <v>10978</v>
      </c>
      <c r="BB1098" s="3" t="s">
        <v>10979</v>
      </c>
      <c r="BC1098" s="3" t="s">
        <v>77</v>
      </c>
      <c r="BD1098" s="3" t="s">
        <v>78</v>
      </c>
      <c r="BE1098" s="3" t="s">
        <v>10980</v>
      </c>
      <c r="BF1098" s="3" t="s">
        <v>10979</v>
      </c>
      <c r="BG1098" s="3" t="s">
        <v>10981</v>
      </c>
      <c r="BH1098">
        <f t="shared" si="34"/>
        <v>0</v>
      </c>
    </row>
    <row r="1099" spans="1:60" ht="58" x14ac:dyDescent="0.35">
      <c r="A1099" s="2" t="s">
        <v>59</v>
      </c>
      <c r="B1099" s="2" t="s">
        <v>60</v>
      </c>
      <c r="C1099" s="2" t="s">
        <v>10982</v>
      </c>
      <c r="D1099" s="2" t="s">
        <v>10983</v>
      </c>
      <c r="E1099" s="2" t="s">
        <v>10984</v>
      </c>
      <c r="G1099" s="3" t="s">
        <v>64</v>
      </c>
      <c r="I1099" s="3" t="s">
        <v>64</v>
      </c>
      <c r="J1099" s="3" t="s">
        <v>64</v>
      </c>
      <c r="K1099" s="3" t="s">
        <v>65</v>
      </c>
      <c r="L1099" s="2" t="s">
        <v>10985</v>
      </c>
      <c r="M1099" s="2" t="s">
        <v>10986</v>
      </c>
      <c r="N1099" s="3" t="s">
        <v>291</v>
      </c>
      <c r="P1099" s="3" t="s">
        <v>102</v>
      </c>
      <c r="Q1099" s="2" t="s">
        <v>10987</v>
      </c>
      <c r="R1099" s="3" t="s">
        <v>70</v>
      </c>
      <c r="S1099" s="4">
        <v>10</v>
      </c>
      <c r="T1099" s="4">
        <v>10</v>
      </c>
      <c r="U1099" s="5" t="s">
        <v>10988</v>
      </c>
      <c r="V1099" s="5" t="s">
        <v>10988</v>
      </c>
      <c r="W1099" s="5" t="s">
        <v>72</v>
      </c>
      <c r="X1099" s="5" t="s">
        <v>72</v>
      </c>
      <c r="Y1099" s="4">
        <v>337</v>
      </c>
      <c r="Z1099" s="4">
        <v>24</v>
      </c>
      <c r="AA1099" s="4">
        <v>24</v>
      </c>
      <c r="AB1099" s="4">
        <v>1</v>
      </c>
      <c r="AC1099" s="4">
        <v>1</v>
      </c>
      <c r="AD1099" s="4">
        <v>113</v>
      </c>
      <c r="AE1099" s="4">
        <v>113</v>
      </c>
      <c r="AF1099" s="4">
        <v>0</v>
      </c>
      <c r="AG1099" s="4">
        <v>0</v>
      </c>
      <c r="AH1099" s="4">
        <v>101</v>
      </c>
      <c r="AI1099" s="4">
        <v>101</v>
      </c>
      <c r="AJ1099" s="4">
        <v>16</v>
      </c>
      <c r="AK1099" s="4">
        <v>16</v>
      </c>
      <c r="AL1099" s="4">
        <v>58</v>
      </c>
      <c r="AM1099" s="4">
        <v>58</v>
      </c>
      <c r="AN1099" s="4">
        <v>0</v>
      </c>
      <c r="AO1099" s="4">
        <v>0</v>
      </c>
      <c r="AP1099" s="4">
        <v>19</v>
      </c>
      <c r="AQ1099" s="4">
        <v>19</v>
      </c>
      <c r="AR1099" s="3" t="s">
        <v>64</v>
      </c>
      <c r="AS1099" s="3" t="s">
        <v>64</v>
      </c>
      <c r="AT1099" s="3" t="s">
        <v>64</v>
      </c>
      <c r="AV1099" s="6" t="str">
        <f>HYPERLINK("http://mcgill.on.worldcat.org/oclc/71945533","Catalog Record")</f>
        <v>Catalog Record</v>
      </c>
      <c r="AW1099" s="6" t="str">
        <f>HYPERLINK("http://www.worldcat.org/oclc/71945533","WorldCat Record")</f>
        <v>WorldCat Record</v>
      </c>
      <c r="AX1099" s="3" t="s">
        <v>10989</v>
      </c>
      <c r="AY1099" s="3" t="s">
        <v>10990</v>
      </c>
      <c r="AZ1099" s="3" t="s">
        <v>10991</v>
      </c>
      <c r="BA1099" s="3" t="s">
        <v>10991</v>
      </c>
      <c r="BB1099" s="3" t="s">
        <v>10992</v>
      </c>
      <c r="BC1099" s="3" t="s">
        <v>77</v>
      </c>
      <c r="BD1099" s="3" t="s">
        <v>78</v>
      </c>
      <c r="BE1099" s="3" t="s">
        <v>10993</v>
      </c>
      <c r="BF1099" s="3" t="s">
        <v>10992</v>
      </c>
      <c r="BG1099" s="3" t="s">
        <v>10994</v>
      </c>
      <c r="BH1099">
        <f t="shared" si="34"/>
        <v>0</v>
      </c>
    </row>
    <row r="1100" spans="1:60" ht="58" x14ac:dyDescent="0.35">
      <c r="A1100" s="2" t="s">
        <v>59</v>
      </c>
      <c r="B1100" s="2" t="s">
        <v>60</v>
      </c>
      <c r="C1100" s="2" t="s">
        <v>10995</v>
      </c>
      <c r="D1100" s="2" t="s">
        <v>10996</v>
      </c>
      <c r="E1100" s="2" t="s">
        <v>10997</v>
      </c>
      <c r="G1100" s="3" t="s">
        <v>64</v>
      </c>
      <c r="I1100" s="3" t="s">
        <v>64</v>
      </c>
      <c r="J1100" s="3" t="s">
        <v>64</v>
      </c>
      <c r="K1100" s="3" t="s">
        <v>65</v>
      </c>
      <c r="M1100" s="2" t="s">
        <v>10998</v>
      </c>
      <c r="N1100" s="3" t="s">
        <v>86</v>
      </c>
      <c r="P1100" s="3" t="s">
        <v>365</v>
      </c>
      <c r="Q1100" s="2" t="s">
        <v>10999</v>
      </c>
      <c r="R1100" s="3" t="s">
        <v>70</v>
      </c>
      <c r="S1100" s="4">
        <v>0</v>
      </c>
      <c r="T1100" s="4">
        <v>0</v>
      </c>
      <c r="W1100" s="5" t="s">
        <v>72</v>
      </c>
      <c r="X1100" s="5" t="s">
        <v>72</v>
      </c>
      <c r="Y1100" s="4">
        <v>16</v>
      </c>
      <c r="Z1100" s="4">
        <v>1</v>
      </c>
      <c r="AA1100" s="4">
        <v>1</v>
      </c>
      <c r="AB1100" s="4">
        <v>1</v>
      </c>
      <c r="AC1100" s="4">
        <v>1</v>
      </c>
      <c r="AD1100" s="4">
        <v>9</v>
      </c>
      <c r="AE1100" s="4">
        <v>9</v>
      </c>
      <c r="AF1100" s="4">
        <v>0</v>
      </c>
      <c r="AG1100" s="4">
        <v>0</v>
      </c>
      <c r="AH1100" s="4">
        <v>8</v>
      </c>
      <c r="AI1100" s="4">
        <v>8</v>
      </c>
      <c r="AJ1100" s="4">
        <v>0</v>
      </c>
      <c r="AK1100" s="4">
        <v>0</v>
      </c>
      <c r="AL1100" s="4">
        <v>7</v>
      </c>
      <c r="AM1100" s="4">
        <v>7</v>
      </c>
      <c r="AN1100" s="4">
        <v>0</v>
      </c>
      <c r="AO1100" s="4">
        <v>0</v>
      </c>
      <c r="AP1100" s="4">
        <v>0</v>
      </c>
      <c r="AQ1100" s="4">
        <v>0</v>
      </c>
      <c r="AR1100" s="3" t="s">
        <v>64</v>
      </c>
      <c r="AS1100" s="3" t="s">
        <v>64</v>
      </c>
      <c r="AT1100" s="3" t="s">
        <v>64</v>
      </c>
      <c r="AV1100" s="6" t="str">
        <f>HYPERLINK("http://mcgill.on.worldcat.org/oclc/781673101","Catalog Record")</f>
        <v>Catalog Record</v>
      </c>
      <c r="AW1100" s="6" t="str">
        <f>HYPERLINK("http://www.worldcat.org/oclc/781673101","WorldCat Record")</f>
        <v>WorldCat Record</v>
      </c>
      <c r="AX1100" s="3" t="s">
        <v>11000</v>
      </c>
      <c r="AY1100" s="3" t="s">
        <v>11001</v>
      </c>
      <c r="AZ1100" s="3" t="s">
        <v>11002</v>
      </c>
      <c r="BA1100" s="3" t="s">
        <v>11002</v>
      </c>
      <c r="BB1100" s="3" t="s">
        <v>11003</v>
      </c>
      <c r="BC1100" s="3" t="s">
        <v>77</v>
      </c>
      <c r="BD1100" s="3" t="s">
        <v>78</v>
      </c>
      <c r="BE1100" s="3" t="s">
        <v>11004</v>
      </c>
      <c r="BF1100" s="3" t="s">
        <v>11003</v>
      </c>
      <c r="BG1100" s="3" t="s">
        <v>11005</v>
      </c>
      <c r="BH1100">
        <f t="shared" si="34"/>
        <v>0</v>
      </c>
    </row>
    <row r="1101" spans="1:60" ht="58" x14ac:dyDescent="0.35">
      <c r="A1101" s="2" t="s">
        <v>59</v>
      </c>
      <c r="B1101" s="2" t="s">
        <v>60</v>
      </c>
      <c r="C1101" s="2" t="s">
        <v>11006</v>
      </c>
      <c r="D1101" s="2" t="s">
        <v>11007</v>
      </c>
      <c r="E1101" s="2" t="s">
        <v>11008</v>
      </c>
      <c r="G1101" s="3" t="s">
        <v>64</v>
      </c>
      <c r="I1101" s="3" t="s">
        <v>64</v>
      </c>
      <c r="J1101" s="3" t="s">
        <v>64</v>
      </c>
      <c r="K1101" s="3" t="s">
        <v>65</v>
      </c>
      <c r="L1101" s="2" t="s">
        <v>11009</v>
      </c>
      <c r="M1101" s="2" t="s">
        <v>11010</v>
      </c>
      <c r="N1101" s="3" t="s">
        <v>511</v>
      </c>
      <c r="P1101" s="3" t="s">
        <v>102</v>
      </c>
      <c r="Q1101" s="2" t="s">
        <v>11011</v>
      </c>
      <c r="R1101" s="3" t="s">
        <v>70</v>
      </c>
      <c r="S1101" s="4">
        <v>0</v>
      </c>
      <c r="T1101" s="4">
        <v>0</v>
      </c>
      <c r="W1101" s="5" t="s">
        <v>72</v>
      </c>
      <c r="X1101" s="5" t="s">
        <v>72</v>
      </c>
      <c r="Y1101" s="4">
        <v>67</v>
      </c>
      <c r="Z1101" s="4">
        <v>6</v>
      </c>
      <c r="AA1101" s="4">
        <v>9</v>
      </c>
      <c r="AB1101" s="4">
        <v>1</v>
      </c>
      <c r="AC1101" s="4">
        <v>3</v>
      </c>
      <c r="AD1101" s="4">
        <v>27</v>
      </c>
      <c r="AE1101" s="4">
        <v>30</v>
      </c>
      <c r="AF1101" s="4">
        <v>0</v>
      </c>
      <c r="AG1101" s="4">
        <v>2</v>
      </c>
      <c r="AH1101" s="4">
        <v>25</v>
      </c>
      <c r="AI1101" s="4">
        <v>26</v>
      </c>
      <c r="AJ1101" s="4">
        <v>4</v>
      </c>
      <c r="AK1101" s="4">
        <v>6</v>
      </c>
      <c r="AL1101" s="4">
        <v>18</v>
      </c>
      <c r="AM1101" s="4">
        <v>18</v>
      </c>
      <c r="AN1101" s="4">
        <v>0</v>
      </c>
      <c r="AO1101" s="4">
        <v>0</v>
      </c>
      <c r="AP1101" s="4">
        <v>4</v>
      </c>
      <c r="AQ1101" s="4">
        <v>6</v>
      </c>
      <c r="AR1101" s="3" t="s">
        <v>64</v>
      </c>
      <c r="AS1101" s="3" t="s">
        <v>64</v>
      </c>
      <c r="AT1101" s="3" t="s">
        <v>64</v>
      </c>
      <c r="AV1101" s="6" t="str">
        <f>HYPERLINK("http://mcgill.on.worldcat.org/oclc/457010481","Catalog Record")</f>
        <v>Catalog Record</v>
      </c>
      <c r="AW1101" s="6" t="str">
        <f>HYPERLINK("http://www.worldcat.org/oclc/457010481","WorldCat Record")</f>
        <v>WorldCat Record</v>
      </c>
      <c r="AX1101" s="3" t="s">
        <v>11012</v>
      </c>
      <c r="AY1101" s="3" t="s">
        <v>11013</v>
      </c>
      <c r="AZ1101" s="3" t="s">
        <v>11014</v>
      </c>
      <c r="BA1101" s="3" t="s">
        <v>11014</v>
      </c>
      <c r="BB1101" s="3" t="s">
        <v>11015</v>
      </c>
      <c r="BC1101" s="3" t="s">
        <v>77</v>
      </c>
      <c r="BD1101" s="3" t="s">
        <v>78</v>
      </c>
      <c r="BE1101" s="3" t="s">
        <v>11016</v>
      </c>
      <c r="BF1101" s="3" t="s">
        <v>11015</v>
      </c>
      <c r="BG1101" s="3" t="s">
        <v>11017</v>
      </c>
      <c r="BH1101">
        <f t="shared" si="34"/>
        <v>0</v>
      </c>
    </row>
    <row r="1102" spans="1:60" ht="58" x14ac:dyDescent="0.35">
      <c r="A1102" s="2" t="s">
        <v>59</v>
      </c>
      <c r="B1102" s="2" t="s">
        <v>60</v>
      </c>
      <c r="C1102" s="2" t="s">
        <v>11018</v>
      </c>
      <c r="D1102" s="2" t="s">
        <v>11019</v>
      </c>
      <c r="E1102" s="2" t="s">
        <v>11020</v>
      </c>
      <c r="G1102" s="3" t="s">
        <v>64</v>
      </c>
      <c r="I1102" s="3" t="s">
        <v>64</v>
      </c>
      <c r="J1102" s="3" t="s">
        <v>64</v>
      </c>
      <c r="K1102" s="3" t="s">
        <v>65</v>
      </c>
      <c r="M1102" s="2" t="s">
        <v>11021</v>
      </c>
      <c r="N1102" s="3" t="s">
        <v>1075</v>
      </c>
      <c r="P1102" s="3" t="s">
        <v>365</v>
      </c>
      <c r="R1102" s="3" t="s">
        <v>70</v>
      </c>
      <c r="S1102" s="4">
        <v>0</v>
      </c>
      <c r="T1102" s="4">
        <v>0</v>
      </c>
      <c r="W1102" s="5" t="s">
        <v>72</v>
      </c>
      <c r="X1102" s="5" t="s">
        <v>72</v>
      </c>
      <c r="Y1102" s="4">
        <v>27</v>
      </c>
      <c r="Z1102" s="4">
        <v>1</v>
      </c>
      <c r="AA1102" s="4">
        <v>1</v>
      </c>
      <c r="AB1102" s="4">
        <v>1</v>
      </c>
      <c r="AC1102" s="4">
        <v>1</v>
      </c>
      <c r="AD1102" s="4">
        <v>14</v>
      </c>
      <c r="AE1102" s="4">
        <v>14</v>
      </c>
      <c r="AF1102" s="4">
        <v>0</v>
      </c>
      <c r="AG1102" s="4">
        <v>0</v>
      </c>
      <c r="AH1102" s="4">
        <v>13</v>
      </c>
      <c r="AI1102" s="4">
        <v>13</v>
      </c>
      <c r="AJ1102" s="4">
        <v>0</v>
      </c>
      <c r="AK1102" s="4">
        <v>0</v>
      </c>
      <c r="AL1102" s="4">
        <v>12</v>
      </c>
      <c r="AM1102" s="4">
        <v>12</v>
      </c>
      <c r="AN1102" s="4">
        <v>0</v>
      </c>
      <c r="AO1102" s="4">
        <v>0</v>
      </c>
      <c r="AP1102" s="4">
        <v>0</v>
      </c>
      <c r="AQ1102" s="4">
        <v>0</v>
      </c>
      <c r="AR1102" s="3" t="s">
        <v>64</v>
      </c>
      <c r="AS1102" s="3" t="s">
        <v>64</v>
      </c>
      <c r="AT1102" s="3" t="s">
        <v>64</v>
      </c>
      <c r="AV1102" s="6" t="str">
        <f>HYPERLINK("http://mcgill.on.worldcat.org/oclc/864824596","Catalog Record")</f>
        <v>Catalog Record</v>
      </c>
      <c r="AW1102" s="6" t="str">
        <f>HYPERLINK("http://www.worldcat.org/oclc/864824596","WorldCat Record")</f>
        <v>WorldCat Record</v>
      </c>
      <c r="AX1102" s="3" t="s">
        <v>11022</v>
      </c>
      <c r="AY1102" s="3" t="s">
        <v>11023</v>
      </c>
      <c r="AZ1102" s="3" t="s">
        <v>11024</v>
      </c>
      <c r="BA1102" s="3" t="s">
        <v>11024</v>
      </c>
      <c r="BB1102" s="3" t="s">
        <v>11025</v>
      </c>
      <c r="BC1102" s="3" t="s">
        <v>77</v>
      </c>
      <c r="BD1102" s="3" t="s">
        <v>78</v>
      </c>
      <c r="BE1102" s="3" t="s">
        <v>11026</v>
      </c>
      <c r="BF1102" s="3" t="s">
        <v>11025</v>
      </c>
      <c r="BG1102" s="3" t="s">
        <v>11027</v>
      </c>
      <c r="BH1102">
        <f t="shared" si="34"/>
        <v>0</v>
      </c>
    </row>
    <row r="1103" spans="1:60" ht="58" x14ac:dyDescent="0.35">
      <c r="A1103" s="2" t="s">
        <v>59</v>
      </c>
      <c r="B1103" s="2" t="s">
        <v>60</v>
      </c>
      <c r="C1103" s="2" t="s">
        <v>11028</v>
      </c>
      <c r="D1103" s="2" t="s">
        <v>11029</v>
      </c>
      <c r="E1103" s="2" t="s">
        <v>11030</v>
      </c>
      <c r="G1103" s="3" t="s">
        <v>64</v>
      </c>
      <c r="I1103" s="3" t="s">
        <v>64</v>
      </c>
      <c r="J1103" s="3" t="s">
        <v>64</v>
      </c>
      <c r="K1103" s="3" t="s">
        <v>65</v>
      </c>
      <c r="L1103" s="2" t="s">
        <v>11031</v>
      </c>
      <c r="M1103" s="2" t="s">
        <v>1868</v>
      </c>
      <c r="N1103" s="3" t="s">
        <v>537</v>
      </c>
      <c r="P1103" s="3" t="s">
        <v>365</v>
      </c>
      <c r="Q1103" s="2" t="s">
        <v>11032</v>
      </c>
      <c r="R1103" s="3" t="s">
        <v>70</v>
      </c>
      <c r="S1103" s="4">
        <v>0</v>
      </c>
      <c r="T1103" s="4">
        <v>0</v>
      </c>
      <c r="W1103" s="5" t="s">
        <v>72</v>
      </c>
      <c r="X1103" s="5" t="s">
        <v>72</v>
      </c>
      <c r="Y1103" s="4">
        <v>32</v>
      </c>
      <c r="Z1103" s="4">
        <v>1</v>
      </c>
      <c r="AA1103" s="4">
        <v>2</v>
      </c>
      <c r="AB1103" s="4">
        <v>1</v>
      </c>
      <c r="AC1103" s="4">
        <v>2</v>
      </c>
      <c r="AD1103" s="4">
        <v>17</v>
      </c>
      <c r="AE1103" s="4">
        <v>21</v>
      </c>
      <c r="AF1103" s="4">
        <v>0</v>
      </c>
      <c r="AG1103" s="4">
        <v>0</v>
      </c>
      <c r="AH1103" s="4">
        <v>16</v>
      </c>
      <c r="AI1103" s="4">
        <v>20</v>
      </c>
      <c r="AJ1103" s="4">
        <v>0</v>
      </c>
      <c r="AK1103" s="4">
        <v>0</v>
      </c>
      <c r="AL1103" s="4">
        <v>15</v>
      </c>
      <c r="AM1103" s="4">
        <v>17</v>
      </c>
      <c r="AN1103" s="4">
        <v>0</v>
      </c>
      <c r="AO1103" s="4">
        <v>0</v>
      </c>
      <c r="AP1103" s="4">
        <v>0</v>
      </c>
      <c r="AQ1103" s="4">
        <v>0</v>
      </c>
      <c r="AR1103" s="3" t="s">
        <v>64</v>
      </c>
      <c r="AS1103" s="3" t="s">
        <v>64</v>
      </c>
      <c r="AT1103" s="3" t="s">
        <v>64</v>
      </c>
      <c r="AV1103" s="6" t="str">
        <f>HYPERLINK("http://mcgill.on.worldcat.org/oclc/958364037","Catalog Record")</f>
        <v>Catalog Record</v>
      </c>
      <c r="AW1103" s="6" t="str">
        <f>HYPERLINK("http://www.worldcat.org/oclc/958364037","WorldCat Record")</f>
        <v>WorldCat Record</v>
      </c>
      <c r="AX1103" s="3" t="s">
        <v>11033</v>
      </c>
      <c r="AY1103" s="3" t="s">
        <v>11034</v>
      </c>
      <c r="AZ1103" s="3" t="s">
        <v>11035</v>
      </c>
      <c r="BA1103" s="3" t="s">
        <v>11035</v>
      </c>
      <c r="BB1103" s="3" t="s">
        <v>11036</v>
      </c>
      <c r="BC1103" s="3" t="s">
        <v>77</v>
      </c>
      <c r="BD1103" s="3" t="s">
        <v>78</v>
      </c>
      <c r="BE1103" s="3" t="s">
        <v>11037</v>
      </c>
      <c r="BF1103" s="3" t="s">
        <v>11036</v>
      </c>
      <c r="BG1103" s="3" t="s">
        <v>11038</v>
      </c>
      <c r="BH1103">
        <f t="shared" si="34"/>
        <v>0</v>
      </c>
    </row>
    <row r="1104" spans="1:60" ht="58" x14ac:dyDescent="0.35">
      <c r="A1104" s="2" t="s">
        <v>59</v>
      </c>
      <c r="B1104" s="2" t="s">
        <v>60</v>
      </c>
      <c r="C1104" s="2" t="s">
        <v>11039</v>
      </c>
      <c r="D1104" s="2" t="s">
        <v>11040</v>
      </c>
      <c r="E1104" s="2" t="s">
        <v>11041</v>
      </c>
      <c r="G1104" s="3" t="s">
        <v>64</v>
      </c>
      <c r="I1104" s="3" t="s">
        <v>64</v>
      </c>
      <c r="J1104" s="3" t="s">
        <v>64</v>
      </c>
      <c r="K1104" s="3" t="s">
        <v>65</v>
      </c>
      <c r="L1104" s="2" t="s">
        <v>11042</v>
      </c>
      <c r="M1104" s="2" t="s">
        <v>11043</v>
      </c>
      <c r="N1104" s="3" t="s">
        <v>1075</v>
      </c>
      <c r="P1104" s="3" t="s">
        <v>365</v>
      </c>
      <c r="Q1104" s="2" t="s">
        <v>11044</v>
      </c>
      <c r="R1104" s="3" t="s">
        <v>70</v>
      </c>
      <c r="S1104" s="4">
        <v>0</v>
      </c>
      <c r="T1104" s="4">
        <v>0</v>
      </c>
      <c r="W1104" s="5" t="s">
        <v>72</v>
      </c>
      <c r="X1104" s="5" t="s">
        <v>72</v>
      </c>
      <c r="Y1104" s="4">
        <v>19</v>
      </c>
      <c r="Z1104" s="4">
        <v>3</v>
      </c>
      <c r="AA1104" s="4">
        <v>3</v>
      </c>
      <c r="AB1104" s="4">
        <v>1</v>
      </c>
      <c r="AC1104" s="4">
        <v>1</v>
      </c>
      <c r="AD1104" s="4">
        <v>10</v>
      </c>
      <c r="AE1104" s="4">
        <v>10</v>
      </c>
      <c r="AF1104" s="4">
        <v>0</v>
      </c>
      <c r="AG1104" s="4">
        <v>0</v>
      </c>
      <c r="AH1104" s="4">
        <v>9</v>
      </c>
      <c r="AI1104" s="4">
        <v>9</v>
      </c>
      <c r="AJ1104" s="4">
        <v>1</v>
      </c>
      <c r="AK1104" s="4">
        <v>1</v>
      </c>
      <c r="AL1104" s="4">
        <v>8</v>
      </c>
      <c r="AM1104" s="4">
        <v>8</v>
      </c>
      <c r="AN1104" s="4">
        <v>0</v>
      </c>
      <c r="AO1104" s="4">
        <v>0</v>
      </c>
      <c r="AP1104" s="4">
        <v>1</v>
      </c>
      <c r="AQ1104" s="4">
        <v>1</v>
      </c>
      <c r="AR1104" s="3" t="s">
        <v>64</v>
      </c>
      <c r="AS1104" s="3" t="s">
        <v>64</v>
      </c>
      <c r="AT1104" s="3" t="s">
        <v>64</v>
      </c>
      <c r="AV1104" s="6" t="str">
        <f>HYPERLINK("http://mcgill.on.worldcat.org/oclc/861183874","Catalog Record")</f>
        <v>Catalog Record</v>
      </c>
      <c r="AW1104" s="6" t="str">
        <f>HYPERLINK("http://www.worldcat.org/oclc/861183874","WorldCat Record")</f>
        <v>WorldCat Record</v>
      </c>
      <c r="AX1104" s="3" t="s">
        <v>11045</v>
      </c>
      <c r="AY1104" s="3" t="s">
        <v>11046</v>
      </c>
      <c r="AZ1104" s="3" t="s">
        <v>11047</v>
      </c>
      <c r="BA1104" s="3" t="s">
        <v>11047</v>
      </c>
      <c r="BB1104" s="3" t="s">
        <v>11048</v>
      </c>
      <c r="BC1104" s="3" t="s">
        <v>77</v>
      </c>
      <c r="BD1104" s="3" t="s">
        <v>78</v>
      </c>
      <c r="BE1104" s="3" t="s">
        <v>11049</v>
      </c>
      <c r="BF1104" s="3" t="s">
        <v>11048</v>
      </c>
      <c r="BG1104" s="3" t="s">
        <v>11050</v>
      </c>
      <c r="BH1104">
        <f t="shared" si="34"/>
        <v>0</v>
      </c>
    </row>
    <row r="1105" spans="1:60" ht="58" x14ac:dyDescent="0.35">
      <c r="A1105" s="2" t="s">
        <v>59</v>
      </c>
      <c r="B1105" s="2" t="s">
        <v>60</v>
      </c>
      <c r="C1105" s="2" t="s">
        <v>11051</v>
      </c>
      <c r="D1105" s="2" t="s">
        <v>11052</v>
      </c>
      <c r="E1105" s="2" t="s">
        <v>11053</v>
      </c>
      <c r="G1105" s="3" t="s">
        <v>64</v>
      </c>
      <c r="I1105" s="3" t="s">
        <v>64</v>
      </c>
      <c r="J1105" s="3" t="s">
        <v>64</v>
      </c>
      <c r="K1105" s="3" t="s">
        <v>65</v>
      </c>
      <c r="L1105" s="2" t="s">
        <v>11054</v>
      </c>
      <c r="M1105" s="2" t="s">
        <v>11055</v>
      </c>
      <c r="N1105" s="3" t="s">
        <v>86</v>
      </c>
      <c r="O1105" s="2" t="s">
        <v>11056</v>
      </c>
      <c r="P1105" s="3" t="s">
        <v>365</v>
      </c>
      <c r="Q1105" s="2" t="s">
        <v>11057</v>
      </c>
      <c r="R1105" s="3" t="s">
        <v>70</v>
      </c>
      <c r="S1105" s="4">
        <v>0</v>
      </c>
      <c r="T1105" s="4">
        <v>0</v>
      </c>
      <c r="W1105" s="5" t="s">
        <v>72</v>
      </c>
      <c r="X1105" s="5" t="s">
        <v>72</v>
      </c>
      <c r="Y1105" s="4">
        <v>20</v>
      </c>
      <c r="Z1105" s="4">
        <v>1</v>
      </c>
      <c r="AA1105" s="4">
        <v>1</v>
      </c>
      <c r="AB1105" s="4">
        <v>1</v>
      </c>
      <c r="AC1105" s="4">
        <v>1</v>
      </c>
      <c r="AD1105" s="4">
        <v>8</v>
      </c>
      <c r="AE1105" s="4">
        <v>8</v>
      </c>
      <c r="AF1105" s="4">
        <v>0</v>
      </c>
      <c r="AG1105" s="4">
        <v>0</v>
      </c>
      <c r="AH1105" s="4">
        <v>7</v>
      </c>
      <c r="AI1105" s="4">
        <v>7</v>
      </c>
      <c r="AJ1105" s="4">
        <v>0</v>
      </c>
      <c r="AK1105" s="4">
        <v>0</v>
      </c>
      <c r="AL1105" s="4">
        <v>7</v>
      </c>
      <c r="AM1105" s="4">
        <v>7</v>
      </c>
      <c r="AN1105" s="4">
        <v>0</v>
      </c>
      <c r="AO1105" s="4">
        <v>0</v>
      </c>
      <c r="AP1105" s="4">
        <v>0</v>
      </c>
      <c r="AQ1105" s="4">
        <v>0</v>
      </c>
      <c r="AR1105" s="3" t="s">
        <v>64</v>
      </c>
      <c r="AS1105" s="3" t="s">
        <v>64</v>
      </c>
      <c r="AT1105" s="3" t="s">
        <v>64</v>
      </c>
      <c r="AV1105" s="6" t="str">
        <f>HYPERLINK("http://mcgill.on.worldcat.org/oclc/830362560","Catalog Record")</f>
        <v>Catalog Record</v>
      </c>
      <c r="AW1105" s="6" t="str">
        <f>HYPERLINK("http://www.worldcat.org/oclc/830362560","WorldCat Record")</f>
        <v>WorldCat Record</v>
      </c>
      <c r="AX1105" s="3" t="s">
        <v>11058</v>
      </c>
      <c r="AY1105" s="3" t="s">
        <v>11059</v>
      </c>
      <c r="AZ1105" s="3" t="s">
        <v>11060</v>
      </c>
      <c r="BA1105" s="3" t="s">
        <v>11060</v>
      </c>
      <c r="BB1105" s="3" t="s">
        <v>11061</v>
      </c>
      <c r="BC1105" s="3" t="s">
        <v>77</v>
      </c>
      <c r="BD1105" s="3" t="s">
        <v>78</v>
      </c>
      <c r="BE1105" s="3" t="s">
        <v>11062</v>
      </c>
      <c r="BF1105" s="3" t="s">
        <v>11061</v>
      </c>
      <c r="BG1105" s="3" t="s">
        <v>11063</v>
      </c>
      <c r="BH1105">
        <f t="shared" si="34"/>
        <v>0</v>
      </c>
    </row>
    <row r="1106" spans="1:60" ht="58" x14ac:dyDescent="0.35">
      <c r="A1106" s="2" t="s">
        <v>59</v>
      </c>
      <c r="B1106" s="2" t="s">
        <v>60</v>
      </c>
      <c r="C1106" s="2" t="s">
        <v>11064</v>
      </c>
      <c r="D1106" s="2" t="s">
        <v>11065</v>
      </c>
      <c r="E1106" s="2" t="s">
        <v>11066</v>
      </c>
      <c r="G1106" s="3" t="s">
        <v>64</v>
      </c>
      <c r="I1106" s="3" t="s">
        <v>64</v>
      </c>
      <c r="J1106" s="3" t="s">
        <v>64</v>
      </c>
      <c r="K1106" s="3" t="s">
        <v>65</v>
      </c>
      <c r="L1106" s="2" t="s">
        <v>11067</v>
      </c>
      <c r="M1106" s="2" t="s">
        <v>11068</v>
      </c>
      <c r="N1106" s="3" t="s">
        <v>190</v>
      </c>
      <c r="P1106" s="3" t="s">
        <v>68</v>
      </c>
      <c r="Q1106" s="2" t="s">
        <v>11069</v>
      </c>
      <c r="R1106" s="3" t="s">
        <v>70</v>
      </c>
      <c r="S1106" s="4">
        <v>0</v>
      </c>
      <c r="T1106" s="4">
        <v>0</v>
      </c>
      <c r="W1106" s="5" t="s">
        <v>72</v>
      </c>
      <c r="X1106" s="5" t="s">
        <v>72</v>
      </c>
      <c r="Y1106" s="4">
        <v>18</v>
      </c>
      <c r="Z1106" s="4">
        <v>1</v>
      </c>
      <c r="AA1106" s="4">
        <v>3</v>
      </c>
      <c r="AB1106" s="4">
        <v>1</v>
      </c>
      <c r="AC1106" s="4">
        <v>2</v>
      </c>
      <c r="AD1106" s="4">
        <v>9</v>
      </c>
      <c r="AE1106" s="4">
        <v>11</v>
      </c>
      <c r="AF1106" s="4">
        <v>0</v>
      </c>
      <c r="AG1106" s="4">
        <v>1</v>
      </c>
      <c r="AH1106" s="4">
        <v>8</v>
      </c>
      <c r="AI1106" s="4">
        <v>9</v>
      </c>
      <c r="AJ1106" s="4">
        <v>0</v>
      </c>
      <c r="AK1106" s="4">
        <v>2</v>
      </c>
      <c r="AL1106" s="4">
        <v>9</v>
      </c>
      <c r="AM1106" s="4">
        <v>9</v>
      </c>
      <c r="AN1106" s="4">
        <v>0</v>
      </c>
      <c r="AO1106" s="4">
        <v>0</v>
      </c>
      <c r="AP1106" s="4">
        <v>0</v>
      </c>
      <c r="AQ1106" s="4">
        <v>1</v>
      </c>
      <c r="AR1106" s="3" t="s">
        <v>64</v>
      </c>
      <c r="AS1106" s="3" t="s">
        <v>64</v>
      </c>
      <c r="AT1106" s="3" t="s">
        <v>64</v>
      </c>
      <c r="AV1106" s="6" t="str">
        <f>HYPERLINK("http://mcgill.on.worldcat.org/oclc/1039698932","Catalog Record")</f>
        <v>Catalog Record</v>
      </c>
      <c r="AW1106" s="6" t="str">
        <f>HYPERLINK("http://www.worldcat.org/oclc/1039698932","WorldCat Record")</f>
        <v>WorldCat Record</v>
      </c>
      <c r="AX1106" s="3" t="s">
        <v>11070</v>
      </c>
      <c r="AY1106" s="3" t="s">
        <v>11071</v>
      </c>
      <c r="AZ1106" s="3" t="s">
        <v>11072</v>
      </c>
      <c r="BA1106" s="3" t="s">
        <v>11072</v>
      </c>
      <c r="BB1106" s="3" t="s">
        <v>11073</v>
      </c>
      <c r="BC1106" s="3" t="s">
        <v>77</v>
      </c>
      <c r="BD1106" s="3" t="s">
        <v>78</v>
      </c>
      <c r="BE1106" s="3" t="s">
        <v>11074</v>
      </c>
      <c r="BF1106" s="3" t="s">
        <v>11073</v>
      </c>
      <c r="BG1106" s="3" t="s">
        <v>11075</v>
      </c>
      <c r="BH1106">
        <f t="shared" si="34"/>
        <v>0</v>
      </c>
    </row>
    <row r="1107" spans="1:60" ht="58" x14ac:dyDescent="0.35">
      <c r="A1107" s="2" t="s">
        <v>59</v>
      </c>
      <c r="B1107" s="2" t="s">
        <v>60</v>
      </c>
      <c r="C1107" s="2" t="s">
        <v>11076</v>
      </c>
      <c r="D1107" s="2" t="s">
        <v>11077</v>
      </c>
      <c r="E1107" s="2" t="s">
        <v>11078</v>
      </c>
      <c r="G1107" s="3" t="s">
        <v>64</v>
      </c>
      <c r="I1107" s="3" t="s">
        <v>64</v>
      </c>
      <c r="J1107" s="3" t="s">
        <v>64</v>
      </c>
      <c r="K1107" s="3" t="s">
        <v>65</v>
      </c>
      <c r="L1107" s="2" t="s">
        <v>11079</v>
      </c>
      <c r="M1107" s="2" t="s">
        <v>11080</v>
      </c>
      <c r="N1107" s="3" t="s">
        <v>67</v>
      </c>
      <c r="P1107" s="3" t="s">
        <v>102</v>
      </c>
      <c r="R1107" s="3" t="s">
        <v>70</v>
      </c>
      <c r="S1107" s="4">
        <v>8</v>
      </c>
      <c r="T1107" s="4">
        <v>8</v>
      </c>
      <c r="U1107" s="5" t="s">
        <v>5002</v>
      </c>
      <c r="V1107" s="5" t="s">
        <v>5002</v>
      </c>
      <c r="W1107" s="5" t="s">
        <v>72</v>
      </c>
      <c r="X1107" s="5" t="s">
        <v>72</v>
      </c>
      <c r="Y1107" s="4">
        <v>129</v>
      </c>
      <c r="Z1107" s="4">
        <v>8</v>
      </c>
      <c r="AA1107" s="4">
        <v>10</v>
      </c>
      <c r="AB1107" s="4">
        <v>1</v>
      </c>
      <c r="AC1107" s="4">
        <v>2</v>
      </c>
      <c r="AD1107" s="4">
        <v>47</v>
      </c>
      <c r="AE1107" s="4">
        <v>54</v>
      </c>
      <c r="AF1107" s="4">
        <v>0</v>
      </c>
      <c r="AG1107" s="4">
        <v>1</v>
      </c>
      <c r="AH1107" s="4">
        <v>43</v>
      </c>
      <c r="AI1107" s="4">
        <v>49</v>
      </c>
      <c r="AJ1107" s="4">
        <v>6</v>
      </c>
      <c r="AK1107" s="4">
        <v>8</v>
      </c>
      <c r="AL1107" s="4">
        <v>30</v>
      </c>
      <c r="AM1107" s="4">
        <v>33</v>
      </c>
      <c r="AN1107" s="4">
        <v>0</v>
      </c>
      <c r="AO1107" s="4">
        <v>0</v>
      </c>
      <c r="AP1107" s="4">
        <v>6</v>
      </c>
      <c r="AQ1107" s="4">
        <v>7</v>
      </c>
      <c r="AR1107" s="3" t="s">
        <v>64</v>
      </c>
      <c r="AS1107" s="3" t="s">
        <v>64</v>
      </c>
      <c r="AT1107" s="3" t="s">
        <v>64</v>
      </c>
      <c r="AV1107" s="6" t="str">
        <f>HYPERLINK("http://mcgill.on.worldcat.org/oclc/881859132","Catalog Record")</f>
        <v>Catalog Record</v>
      </c>
      <c r="AW1107" s="6" t="str">
        <f>HYPERLINK("http://www.worldcat.org/oclc/881859132","WorldCat Record")</f>
        <v>WorldCat Record</v>
      </c>
      <c r="AX1107" s="3" t="s">
        <v>11081</v>
      </c>
      <c r="AY1107" s="3" t="s">
        <v>11082</v>
      </c>
      <c r="AZ1107" s="3" t="s">
        <v>11083</v>
      </c>
      <c r="BA1107" s="3" t="s">
        <v>11083</v>
      </c>
      <c r="BB1107" s="3" t="s">
        <v>11084</v>
      </c>
      <c r="BC1107" s="3" t="s">
        <v>77</v>
      </c>
      <c r="BD1107" s="3" t="s">
        <v>165</v>
      </c>
      <c r="BE1107" s="3" t="s">
        <v>11085</v>
      </c>
      <c r="BF1107" s="3" t="s">
        <v>11084</v>
      </c>
      <c r="BG1107" s="3" t="s">
        <v>11086</v>
      </c>
      <c r="BH1107">
        <f t="shared" si="34"/>
        <v>0</v>
      </c>
    </row>
    <row r="1108" spans="1:60" ht="58" x14ac:dyDescent="0.35">
      <c r="A1108" s="2" t="s">
        <v>59</v>
      </c>
      <c r="B1108" s="2" t="s">
        <v>60</v>
      </c>
      <c r="C1108" s="2" t="s">
        <v>11087</v>
      </c>
      <c r="D1108" s="2" t="s">
        <v>11088</v>
      </c>
      <c r="E1108" s="2" t="s">
        <v>11089</v>
      </c>
      <c r="G1108" s="3" t="s">
        <v>64</v>
      </c>
      <c r="I1108" s="3" t="s">
        <v>64</v>
      </c>
      <c r="J1108" s="3" t="s">
        <v>64</v>
      </c>
      <c r="K1108" s="3" t="s">
        <v>65</v>
      </c>
      <c r="L1108" s="2" t="s">
        <v>11090</v>
      </c>
      <c r="M1108" s="2" t="s">
        <v>11091</v>
      </c>
      <c r="N1108" s="3" t="s">
        <v>3330</v>
      </c>
      <c r="P1108" s="3" t="s">
        <v>365</v>
      </c>
      <c r="Q1108" s="2" t="s">
        <v>11092</v>
      </c>
      <c r="R1108" s="3" t="s">
        <v>70</v>
      </c>
      <c r="S1108" s="4">
        <v>6</v>
      </c>
      <c r="T1108" s="4">
        <v>6</v>
      </c>
      <c r="U1108" s="5" t="s">
        <v>11093</v>
      </c>
      <c r="V1108" s="5" t="s">
        <v>11093</v>
      </c>
      <c r="W1108" s="5" t="s">
        <v>72</v>
      </c>
      <c r="X1108" s="5" t="s">
        <v>72</v>
      </c>
      <c r="Y1108" s="4">
        <v>55</v>
      </c>
      <c r="Z1108" s="4">
        <v>6</v>
      </c>
      <c r="AA1108" s="4">
        <v>7</v>
      </c>
      <c r="AB1108" s="4">
        <v>3</v>
      </c>
      <c r="AC1108" s="4">
        <v>4</v>
      </c>
      <c r="AD1108" s="4">
        <v>23</v>
      </c>
      <c r="AE1108" s="4">
        <v>24</v>
      </c>
      <c r="AF1108" s="4">
        <v>0</v>
      </c>
      <c r="AG1108" s="4">
        <v>1</v>
      </c>
      <c r="AH1108" s="4">
        <v>20</v>
      </c>
      <c r="AI1108" s="4">
        <v>20</v>
      </c>
      <c r="AJ1108" s="4">
        <v>2</v>
      </c>
      <c r="AK1108" s="4">
        <v>3</v>
      </c>
      <c r="AL1108" s="4">
        <v>21</v>
      </c>
      <c r="AM1108" s="4">
        <v>21</v>
      </c>
      <c r="AN1108" s="4">
        <v>0</v>
      </c>
      <c r="AO1108" s="4">
        <v>0</v>
      </c>
      <c r="AP1108" s="4">
        <v>2</v>
      </c>
      <c r="AQ1108" s="4">
        <v>2</v>
      </c>
      <c r="AR1108" s="3" t="s">
        <v>64</v>
      </c>
      <c r="AS1108" s="3" t="s">
        <v>64</v>
      </c>
      <c r="AT1108" s="3" t="s">
        <v>64</v>
      </c>
      <c r="AV1108" s="6" t="str">
        <f>HYPERLINK("http://mcgill.on.worldcat.org/oclc/20751294","Catalog Record")</f>
        <v>Catalog Record</v>
      </c>
      <c r="AW1108" s="6" t="str">
        <f>HYPERLINK("http://www.worldcat.org/oclc/20751294","WorldCat Record")</f>
        <v>WorldCat Record</v>
      </c>
      <c r="AX1108" s="3" t="s">
        <v>11094</v>
      </c>
      <c r="AY1108" s="3" t="s">
        <v>11095</v>
      </c>
      <c r="AZ1108" s="3" t="s">
        <v>11096</v>
      </c>
      <c r="BA1108" s="3" t="s">
        <v>11096</v>
      </c>
      <c r="BB1108" s="3" t="s">
        <v>11097</v>
      </c>
      <c r="BC1108" s="3" t="s">
        <v>77</v>
      </c>
      <c r="BD1108" s="3" t="s">
        <v>78</v>
      </c>
      <c r="BF1108" s="3" t="s">
        <v>11097</v>
      </c>
      <c r="BG1108" s="3" t="s">
        <v>11098</v>
      </c>
      <c r="BH1108">
        <f t="shared" si="34"/>
        <v>0</v>
      </c>
    </row>
    <row r="1109" spans="1:60" ht="58" x14ac:dyDescent="0.35">
      <c r="A1109" s="2" t="s">
        <v>59</v>
      </c>
      <c r="B1109" s="2" t="s">
        <v>60</v>
      </c>
      <c r="C1109" s="2" t="s">
        <v>11099</v>
      </c>
      <c r="D1109" s="2" t="s">
        <v>11100</v>
      </c>
      <c r="E1109" s="2" t="s">
        <v>11101</v>
      </c>
      <c r="G1109" s="3" t="s">
        <v>64</v>
      </c>
      <c r="I1109" s="3" t="s">
        <v>64</v>
      </c>
      <c r="J1109" s="3" t="s">
        <v>64</v>
      </c>
      <c r="K1109" s="3" t="s">
        <v>65</v>
      </c>
      <c r="L1109" s="2" t="s">
        <v>11102</v>
      </c>
      <c r="M1109" s="2" t="s">
        <v>11103</v>
      </c>
      <c r="N1109" s="3" t="s">
        <v>116</v>
      </c>
      <c r="P1109" s="3" t="s">
        <v>68</v>
      </c>
      <c r="Q1109" s="2" t="s">
        <v>11104</v>
      </c>
      <c r="R1109" s="3" t="s">
        <v>70</v>
      </c>
      <c r="S1109" s="4">
        <v>1</v>
      </c>
      <c r="T1109" s="4">
        <v>1</v>
      </c>
      <c r="U1109" s="5" t="s">
        <v>3380</v>
      </c>
      <c r="V1109" s="5" t="s">
        <v>3380</v>
      </c>
      <c r="W1109" s="5" t="s">
        <v>72</v>
      </c>
      <c r="X1109" s="5" t="s">
        <v>72</v>
      </c>
      <c r="Y1109" s="4">
        <v>69</v>
      </c>
      <c r="Z1109" s="4">
        <v>4</v>
      </c>
      <c r="AA1109" s="4">
        <v>7</v>
      </c>
      <c r="AB1109" s="4">
        <v>1</v>
      </c>
      <c r="AC1109" s="4">
        <v>3</v>
      </c>
      <c r="AD1109" s="4">
        <v>26</v>
      </c>
      <c r="AE1109" s="4">
        <v>27</v>
      </c>
      <c r="AF1109" s="4">
        <v>0</v>
      </c>
      <c r="AG1109" s="4">
        <v>1</v>
      </c>
      <c r="AH1109" s="4">
        <v>24</v>
      </c>
      <c r="AI1109" s="4">
        <v>24</v>
      </c>
      <c r="AJ1109" s="4">
        <v>1</v>
      </c>
      <c r="AK1109" s="4">
        <v>2</v>
      </c>
      <c r="AL1109" s="4">
        <v>23</v>
      </c>
      <c r="AM1109" s="4">
        <v>23</v>
      </c>
      <c r="AN1109" s="4">
        <v>0</v>
      </c>
      <c r="AO1109" s="4">
        <v>0</v>
      </c>
      <c r="AP1109" s="4">
        <v>1</v>
      </c>
      <c r="AQ1109" s="4">
        <v>1</v>
      </c>
      <c r="AR1109" s="3" t="s">
        <v>64</v>
      </c>
      <c r="AS1109" s="3" t="s">
        <v>64</v>
      </c>
      <c r="AT1109" s="3" t="s">
        <v>64</v>
      </c>
      <c r="AV1109" s="6" t="str">
        <f>HYPERLINK("http://mcgill.on.worldcat.org/oclc/44541792","Catalog Record")</f>
        <v>Catalog Record</v>
      </c>
      <c r="AW1109" s="6" t="str">
        <f>HYPERLINK("http://www.worldcat.org/oclc/44541792","WorldCat Record")</f>
        <v>WorldCat Record</v>
      </c>
      <c r="AX1109" s="3" t="s">
        <v>11105</v>
      </c>
      <c r="AY1109" s="3" t="s">
        <v>11106</v>
      </c>
      <c r="AZ1109" s="3" t="s">
        <v>11107</v>
      </c>
      <c r="BA1109" s="3" t="s">
        <v>11107</v>
      </c>
      <c r="BB1109" s="3" t="s">
        <v>11108</v>
      </c>
      <c r="BC1109" s="3" t="s">
        <v>77</v>
      </c>
      <c r="BD1109" s="3" t="s">
        <v>78</v>
      </c>
      <c r="BE1109" s="3" t="s">
        <v>11109</v>
      </c>
      <c r="BF1109" s="3" t="s">
        <v>11108</v>
      </c>
      <c r="BG1109" s="3" t="s">
        <v>11110</v>
      </c>
      <c r="BH1109">
        <f t="shared" si="34"/>
        <v>0</v>
      </c>
    </row>
    <row r="1110" spans="1:60" ht="58" x14ac:dyDescent="0.35">
      <c r="A1110" s="2" t="s">
        <v>59</v>
      </c>
      <c r="B1110" s="2" t="s">
        <v>60</v>
      </c>
      <c r="C1110" s="2" t="s">
        <v>11111</v>
      </c>
      <c r="D1110" s="2" t="s">
        <v>11112</v>
      </c>
      <c r="E1110" s="2" t="s">
        <v>11113</v>
      </c>
      <c r="G1110" s="3" t="s">
        <v>64</v>
      </c>
      <c r="I1110" s="3" t="s">
        <v>64</v>
      </c>
      <c r="J1110" s="3" t="s">
        <v>64</v>
      </c>
      <c r="K1110" s="3" t="s">
        <v>65</v>
      </c>
      <c r="L1110" s="2" t="s">
        <v>11114</v>
      </c>
      <c r="M1110" s="2" t="s">
        <v>4199</v>
      </c>
      <c r="N1110" s="3" t="s">
        <v>1075</v>
      </c>
      <c r="P1110" s="3" t="s">
        <v>102</v>
      </c>
      <c r="Q1110" s="2" t="s">
        <v>11115</v>
      </c>
      <c r="R1110" s="3" t="s">
        <v>70</v>
      </c>
      <c r="S1110" s="4">
        <v>2</v>
      </c>
      <c r="T1110" s="4">
        <v>2</v>
      </c>
      <c r="U1110" s="5" t="s">
        <v>9685</v>
      </c>
      <c r="V1110" s="5" t="s">
        <v>9685</v>
      </c>
      <c r="W1110" s="5" t="s">
        <v>72</v>
      </c>
      <c r="X1110" s="5" t="s">
        <v>72</v>
      </c>
      <c r="Y1110" s="4">
        <v>41</v>
      </c>
      <c r="Z1110" s="4">
        <v>4</v>
      </c>
      <c r="AA1110" s="4">
        <v>72</v>
      </c>
      <c r="AB1110" s="4">
        <v>1</v>
      </c>
      <c r="AC1110" s="4">
        <v>14</v>
      </c>
      <c r="AD1110" s="4">
        <v>17</v>
      </c>
      <c r="AE1110" s="4">
        <v>91</v>
      </c>
      <c r="AF1110" s="4">
        <v>0</v>
      </c>
      <c r="AG1110" s="4">
        <v>8</v>
      </c>
      <c r="AH1110" s="4">
        <v>17</v>
      </c>
      <c r="AI1110" s="4">
        <v>61</v>
      </c>
      <c r="AJ1110" s="4">
        <v>2</v>
      </c>
      <c r="AK1110" s="4">
        <v>16</v>
      </c>
      <c r="AL1110" s="4">
        <v>11</v>
      </c>
      <c r="AM1110" s="4">
        <v>29</v>
      </c>
      <c r="AN1110" s="4">
        <v>0</v>
      </c>
      <c r="AO1110" s="4">
        <v>0</v>
      </c>
      <c r="AP1110" s="4">
        <v>2</v>
      </c>
      <c r="AQ1110" s="4">
        <v>36</v>
      </c>
      <c r="AR1110" s="3" t="s">
        <v>64</v>
      </c>
      <c r="AS1110" s="3" t="s">
        <v>64</v>
      </c>
      <c r="AT1110" s="3" t="s">
        <v>64</v>
      </c>
      <c r="AV1110" s="6" t="str">
        <f>HYPERLINK("http://mcgill.on.worldcat.org/oclc/858080477","Catalog Record")</f>
        <v>Catalog Record</v>
      </c>
      <c r="AW1110" s="6" t="str">
        <f>HYPERLINK("http://www.worldcat.org/oclc/858080477","WorldCat Record")</f>
        <v>WorldCat Record</v>
      </c>
      <c r="AX1110" s="3" t="s">
        <v>11116</v>
      </c>
      <c r="AY1110" s="3" t="s">
        <v>11117</v>
      </c>
      <c r="AZ1110" s="3" t="s">
        <v>11118</v>
      </c>
      <c r="BA1110" s="3" t="s">
        <v>11118</v>
      </c>
      <c r="BB1110" s="3" t="s">
        <v>11119</v>
      </c>
      <c r="BC1110" s="3" t="s">
        <v>77</v>
      </c>
      <c r="BD1110" s="3" t="s">
        <v>78</v>
      </c>
      <c r="BE1110" s="3" t="s">
        <v>11120</v>
      </c>
      <c r="BF1110" s="3" t="s">
        <v>11119</v>
      </c>
      <c r="BG1110" s="3" t="s">
        <v>11121</v>
      </c>
      <c r="BH1110">
        <f t="shared" si="34"/>
        <v>0</v>
      </c>
    </row>
    <row r="1111" spans="1:60" ht="58" x14ac:dyDescent="0.35">
      <c r="A1111" s="2" t="s">
        <v>59</v>
      </c>
      <c r="B1111" s="2" t="s">
        <v>60</v>
      </c>
      <c r="C1111" s="2" t="s">
        <v>11122</v>
      </c>
      <c r="D1111" s="2" t="s">
        <v>11123</v>
      </c>
      <c r="E1111" s="2" t="s">
        <v>11124</v>
      </c>
      <c r="G1111" s="3" t="s">
        <v>64</v>
      </c>
      <c r="I1111" s="3" t="s">
        <v>64</v>
      </c>
      <c r="J1111" s="3" t="s">
        <v>64</v>
      </c>
      <c r="K1111" s="3" t="s">
        <v>65</v>
      </c>
      <c r="L1111" s="2" t="s">
        <v>11125</v>
      </c>
      <c r="M1111" s="2" t="s">
        <v>3294</v>
      </c>
      <c r="N1111" s="3" t="s">
        <v>511</v>
      </c>
      <c r="P1111" s="3" t="s">
        <v>102</v>
      </c>
      <c r="Q1111" s="2" t="s">
        <v>11126</v>
      </c>
      <c r="R1111" s="3" t="s">
        <v>70</v>
      </c>
      <c r="S1111" s="4">
        <v>0</v>
      </c>
      <c r="T1111" s="4">
        <v>0</v>
      </c>
      <c r="W1111" s="5" t="s">
        <v>72</v>
      </c>
      <c r="X1111" s="5" t="s">
        <v>72</v>
      </c>
      <c r="Y1111" s="4">
        <v>78</v>
      </c>
      <c r="Z1111" s="4">
        <v>7</v>
      </c>
      <c r="AA1111" s="4">
        <v>95</v>
      </c>
      <c r="AB1111" s="4">
        <v>1</v>
      </c>
      <c r="AC1111" s="4">
        <v>17</v>
      </c>
      <c r="AD1111" s="4">
        <v>42</v>
      </c>
      <c r="AE1111" s="4">
        <v>120</v>
      </c>
      <c r="AF1111" s="4">
        <v>0</v>
      </c>
      <c r="AG1111" s="4">
        <v>8</v>
      </c>
      <c r="AH1111" s="4">
        <v>40</v>
      </c>
      <c r="AI1111" s="4">
        <v>85</v>
      </c>
      <c r="AJ1111" s="4">
        <v>4</v>
      </c>
      <c r="AK1111" s="4">
        <v>20</v>
      </c>
      <c r="AL1111" s="4">
        <v>30</v>
      </c>
      <c r="AM1111" s="4">
        <v>48</v>
      </c>
      <c r="AN1111" s="4">
        <v>0</v>
      </c>
      <c r="AO1111" s="4">
        <v>0</v>
      </c>
      <c r="AP1111" s="4">
        <v>4</v>
      </c>
      <c r="AQ1111" s="4">
        <v>41</v>
      </c>
      <c r="AR1111" s="3" t="s">
        <v>64</v>
      </c>
      <c r="AS1111" s="3" t="s">
        <v>64</v>
      </c>
      <c r="AT1111" s="3" t="s">
        <v>64</v>
      </c>
      <c r="AV1111" s="6" t="str">
        <f>HYPERLINK("http://mcgill.on.worldcat.org/oclc/651486834","Catalog Record")</f>
        <v>Catalog Record</v>
      </c>
      <c r="AW1111" s="6" t="str">
        <f>HYPERLINK("http://www.worldcat.org/oclc/651486834","WorldCat Record")</f>
        <v>WorldCat Record</v>
      </c>
      <c r="AX1111" s="3" t="s">
        <v>11127</v>
      </c>
      <c r="AY1111" s="3" t="s">
        <v>11128</v>
      </c>
      <c r="AZ1111" s="3" t="s">
        <v>11129</v>
      </c>
      <c r="BA1111" s="3" t="s">
        <v>11129</v>
      </c>
      <c r="BB1111" s="3" t="s">
        <v>11130</v>
      </c>
      <c r="BC1111" s="3" t="s">
        <v>77</v>
      </c>
      <c r="BD1111" s="3" t="s">
        <v>78</v>
      </c>
      <c r="BE1111" s="3" t="s">
        <v>11131</v>
      </c>
      <c r="BF1111" s="3" t="s">
        <v>11130</v>
      </c>
      <c r="BG1111" s="3" t="s">
        <v>11132</v>
      </c>
      <c r="BH1111">
        <f t="shared" si="34"/>
        <v>0</v>
      </c>
    </row>
    <row r="1112" spans="1:60" ht="58" x14ac:dyDescent="0.35">
      <c r="A1112" s="2" t="s">
        <v>59</v>
      </c>
      <c r="B1112" s="2" t="s">
        <v>60</v>
      </c>
      <c r="C1112" s="2" t="s">
        <v>11133</v>
      </c>
      <c r="D1112" s="2" t="s">
        <v>11134</v>
      </c>
      <c r="E1112" s="2" t="s">
        <v>11135</v>
      </c>
      <c r="G1112" s="3" t="s">
        <v>64</v>
      </c>
      <c r="I1112" s="3" t="s">
        <v>64</v>
      </c>
      <c r="J1112" s="3" t="s">
        <v>64</v>
      </c>
      <c r="K1112" s="3" t="s">
        <v>65</v>
      </c>
      <c r="L1112" s="2" t="s">
        <v>11136</v>
      </c>
      <c r="N1112" s="3" t="s">
        <v>3072</v>
      </c>
      <c r="P1112" s="3" t="s">
        <v>102</v>
      </c>
      <c r="Q1112" s="2" t="s">
        <v>11137</v>
      </c>
      <c r="R1112" s="3" t="s">
        <v>70</v>
      </c>
      <c r="S1112" s="4">
        <v>1</v>
      </c>
      <c r="T1112" s="4">
        <v>1</v>
      </c>
      <c r="U1112" s="5" t="s">
        <v>11138</v>
      </c>
      <c r="V1112" s="5" t="s">
        <v>11138</v>
      </c>
      <c r="W1112" s="5" t="s">
        <v>72</v>
      </c>
      <c r="X1112" s="5" t="s">
        <v>72</v>
      </c>
      <c r="Y1112" s="4">
        <v>366</v>
      </c>
      <c r="Z1112" s="4">
        <v>23</v>
      </c>
      <c r="AA1112" s="4">
        <v>24</v>
      </c>
      <c r="AB1112" s="4">
        <v>2</v>
      </c>
      <c r="AC1112" s="4">
        <v>3</v>
      </c>
      <c r="AD1112" s="4">
        <v>112</v>
      </c>
      <c r="AE1112" s="4">
        <v>112</v>
      </c>
      <c r="AF1112" s="4">
        <v>1</v>
      </c>
      <c r="AG1112" s="4">
        <v>1</v>
      </c>
      <c r="AH1112" s="4">
        <v>99</v>
      </c>
      <c r="AI1112" s="4">
        <v>99</v>
      </c>
      <c r="AJ1112" s="4">
        <v>18</v>
      </c>
      <c r="AK1112" s="4">
        <v>18</v>
      </c>
      <c r="AL1112" s="4">
        <v>57</v>
      </c>
      <c r="AM1112" s="4">
        <v>57</v>
      </c>
      <c r="AN1112" s="4">
        <v>0</v>
      </c>
      <c r="AO1112" s="4">
        <v>0</v>
      </c>
      <c r="AP1112" s="4">
        <v>17</v>
      </c>
      <c r="AQ1112" s="4">
        <v>17</v>
      </c>
      <c r="AR1112" s="3" t="s">
        <v>64</v>
      </c>
      <c r="AS1112" s="3" t="s">
        <v>128</v>
      </c>
      <c r="AT1112" s="3" t="s">
        <v>64</v>
      </c>
      <c r="AU1112" s="6" t="str">
        <f>HYPERLINK("http://catalog.hathitrust.org/Record/000823284","HathiTrust Record")</f>
        <v>HathiTrust Record</v>
      </c>
      <c r="AV1112" s="6" t="str">
        <f>HYPERLINK("http://mcgill.on.worldcat.org/oclc/14606013","Catalog Record")</f>
        <v>Catalog Record</v>
      </c>
      <c r="AW1112" s="6" t="str">
        <f>HYPERLINK("http://www.worldcat.org/oclc/14606013","WorldCat Record")</f>
        <v>WorldCat Record</v>
      </c>
      <c r="AX1112" s="3" t="s">
        <v>11139</v>
      </c>
      <c r="AY1112" s="3" t="s">
        <v>11140</v>
      </c>
      <c r="AZ1112" s="3" t="s">
        <v>11141</v>
      </c>
      <c r="BA1112" s="3" t="s">
        <v>11141</v>
      </c>
      <c r="BB1112" s="3" t="s">
        <v>11142</v>
      </c>
      <c r="BC1112" s="3" t="s">
        <v>77</v>
      </c>
      <c r="BD1112" s="3" t="s">
        <v>78</v>
      </c>
      <c r="BF1112" s="3" t="s">
        <v>11142</v>
      </c>
      <c r="BG1112" s="3" t="s">
        <v>11143</v>
      </c>
      <c r="BH1112">
        <f t="shared" si="34"/>
        <v>0</v>
      </c>
    </row>
    <row r="1113" spans="1:60" ht="58" x14ac:dyDescent="0.35">
      <c r="A1113" s="2" t="s">
        <v>59</v>
      </c>
      <c r="B1113" s="2" t="s">
        <v>60</v>
      </c>
      <c r="C1113" s="2" t="s">
        <v>11144</v>
      </c>
      <c r="D1113" s="2" t="s">
        <v>11145</v>
      </c>
      <c r="E1113" s="2" t="s">
        <v>11146</v>
      </c>
      <c r="G1113" s="3" t="s">
        <v>64</v>
      </c>
      <c r="I1113" s="3" t="s">
        <v>64</v>
      </c>
      <c r="J1113" s="3" t="s">
        <v>64</v>
      </c>
      <c r="K1113" s="3" t="s">
        <v>65</v>
      </c>
      <c r="L1113" s="2" t="s">
        <v>11147</v>
      </c>
      <c r="M1113" s="2" t="s">
        <v>11148</v>
      </c>
      <c r="N1113" s="3" t="s">
        <v>3330</v>
      </c>
      <c r="P1113" s="3" t="s">
        <v>4873</v>
      </c>
      <c r="R1113" s="3" t="s">
        <v>70</v>
      </c>
      <c r="S1113" s="4">
        <v>2</v>
      </c>
      <c r="T1113" s="4">
        <v>2</v>
      </c>
      <c r="U1113" s="5" t="s">
        <v>11138</v>
      </c>
      <c r="V1113" s="5" t="s">
        <v>11138</v>
      </c>
      <c r="W1113" s="5" t="s">
        <v>72</v>
      </c>
      <c r="X1113" s="5" t="s">
        <v>72</v>
      </c>
      <c r="Y1113" s="4">
        <v>43</v>
      </c>
      <c r="Z1113" s="4">
        <v>2</v>
      </c>
      <c r="AA1113" s="4">
        <v>5</v>
      </c>
      <c r="AB1113" s="4">
        <v>1</v>
      </c>
      <c r="AC1113" s="4">
        <v>1</v>
      </c>
      <c r="AD1113" s="4">
        <v>31</v>
      </c>
      <c r="AE1113" s="4">
        <v>33</v>
      </c>
      <c r="AF1113" s="4">
        <v>0</v>
      </c>
      <c r="AG1113" s="4">
        <v>0</v>
      </c>
      <c r="AH1113" s="4">
        <v>30</v>
      </c>
      <c r="AI1113" s="4">
        <v>32</v>
      </c>
      <c r="AJ1113" s="4">
        <v>1</v>
      </c>
      <c r="AK1113" s="4">
        <v>3</v>
      </c>
      <c r="AL1113" s="4">
        <v>24</v>
      </c>
      <c r="AM1113" s="4">
        <v>25</v>
      </c>
      <c r="AN1113" s="4">
        <v>0</v>
      </c>
      <c r="AO1113" s="4">
        <v>0</v>
      </c>
      <c r="AP1113" s="4">
        <v>1</v>
      </c>
      <c r="AQ1113" s="4">
        <v>3</v>
      </c>
      <c r="AR1113" s="3" t="s">
        <v>64</v>
      </c>
      <c r="AS1113" s="3" t="s">
        <v>64</v>
      </c>
      <c r="AT1113" s="3" t="s">
        <v>64</v>
      </c>
      <c r="AV1113" s="6" t="str">
        <f>HYPERLINK("http://mcgill.on.worldcat.org/oclc/19113893","Catalog Record")</f>
        <v>Catalog Record</v>
      </c>
      <c r="AW1113" s="6" t="str">
        <f>HYPERLINK("http://www.worldcat.org/oclc/19113893","WorldCat Record")</f>
        <v>WorldCat Record</v>
      </c>
      <c r="AX1113" s="3" t="s">
        <v>11149</v>
      </c>
      <c r="AY1113" s="3" t="s">
        <v>11150</v>
      </c>
      <c r="AZ1113" s="3" t="s">
        <v>11151</v>
      </c>
      <c r="BA1113" s="3" t="s">
        <v>11151</v>
      </c>
      <c r="BB1113" s="3" t="s">
        <v>11152</v>
      </c>
      <c r="BC1113" s="3" t="s">
        <v>77</v>
      </c>
      <c r="BD1113" s="3" t="s">
        <v>78</v>
      </c>
      <c r="BE1113" s="3" t="s">
        <v>11153</v>
      </c>
      <c r="BF1113" s="3" t="s">
        <v>11152</v>
      </c>
      <c r="BG1113" s="3" t="s">
        <v>11154</v>
      </c>
      <c r="BH1113">
        <f t="shared" si="34"/>
        <v>0</v>
      </c>
    </row>
    <row r="1114" spans="1:60" ht="58" x14ac:dyDescent="0.35">
      <c r="A1114" s="2" t="s">
        <v>59</v>
      </c>
      <c r="B1114" s="2" t="s">
        <v>60</v>
      </c>
      <c r="C1114" s="2" t="s">
        <v>11155</v>
      </c>
      <c r="D1114" s="2" t="s">
        <v>11156</v>
      </c>
      <c r="E1114" s="2" t="s">
        <v>11157</v>
      </c>
      <c r="G1114" s="3" t="s">
        <v>64</v>
      </c>
      <c r="I1114" s="3" t="s">
        <v>64</v>
      </c>
      <c r="J1114" s="3" t="s">
        <v>64</v>
      </c>
      <c r="K1114" s="3" t="s">
        <v>65</v>
      </c>
      <c r="L1114" s="2" t="s">
        <v>11158</v>
      </c>
      <c r="M1114" s="2" t="s">
        <v>11159</v>
      </c>
      <c r="N1114" s="3" t="s">
        <v>11160</v>
      </c>
      <c r="P1114" s="3" t="s">
        <v>4873</v>
      </c>
      <c r="R1114" s="3" t="s">
        <v>70</v>
      </c>
      <c r="S1114" s="4">
        <v>1</v>
      </c>
      <c r="T1114" s="4">
        <v>1</v>
      </c>
      <c r="U1114" s="5" t="s">
        <v>11138</v>
      </c>
      <c r="V1114" s="5" t="s">
        <v>11138</v>
      </c>
      <c r="W1114" s="5" t="s">
        <v>72</v>
      </c>
      <c r="X1114" s="5" t="s">
        <v>72</v>
      </c>
      <c r="Y1114" s="4">
        <v>53</v>
      </c>
      <c r="Z1114" s="4">
        <v>5</v>
      </c>
      <c r="AA1114" s="4">
        <v>5</v>
      </c>
      <c r="AB1114" s="4">
        <v>1</v>
      </c>
      <c r="AC1114" s="4">
        <v>1</v>
      </c>
      <c r="AD1114" s="4">
        <v>36</v>
      </c>
      <c r="AE1114" s="4">
        <v>36</v>
      </c>
      <c r="AF1114" s="4">
        <v>0</v>
      </c>
      <c r="AG1114" s="4">
        <v>0</v>
      </c>
      <c r="AH1114" s="4">
        <v>34</v>
      </c>
      <c r="AI1114" s="4">
        <v>34</v>
      </c>
      <c r="AJ1114" s="4">
        <v>3</v>
      </c>
      <c r="AK1114" s="4">
        <v>3</v>
      </c>
      <c r="AL1114" s="4">
        <v>28</v>
      </c>
      <c r="AM1114" s="4">
        <v>28</v>
      </c>
      <c r="AN1114" s="4">
        <v>0</v>
      </c>
      <c r="AO1114" s="4">
        <v>0</v>
      </c>
      <c r="AP1114" s="4">
        <v>3</v>
      </c>
      <c r="AQ1114" s="4">
        <v>3</v>
      </c>
      <c r="AR1114" s="3" t="s">
        <v>64</v>
      </c>
      <c r="AS1114" s="3" t="s">
        <v>64</v>
      </c>
      <c r="AT1114" s="3" t="s">
        <v>64</v>
      </c>
      <c r="AU1114" s="6" t="str">
        <f>HYPERLINK("http://catalog.hathitrust.org/Record/010032008","HathiTrust Record")</f>
        <v>HathiTrust Record</v>
      </c>
      <c r="AV1114" s="6" t="str">
        <f>HYPERLINK("http://mcgill.on.worldcat.org/oclc/8673721","Catalog Record")</f>
        <v>Catalog Record</v>
      </c>
      <c r="AW1114" s="6" t="str">
        <f>HYPERLINK("http://www.worldcat.org/oclc/8673721","WorldCat Record")</f>
        <v>WorldCat Record</v>
      </c>
      <c r="AX1114" s="3" t="s">
        <v>11161</v>
      </c>
      <c r="AY1114" s="3" t="s">
        <v>11162</v>
      </c>
      <c r="AZ1114" s="3" t="s">
        <v>11163</v>
      </c>
      <c r="BA1114" s="3" t="s">
        <v>11163</v>
      </c>
      <c r="BB1114" s="3" t="s">
        <v>11164</v>
      </c>
      <c r="BC1114" s="3" t="s">
        <v>77</v>
      </c>
      <c r="BD1114" s="3" t="s">
        <v>78</v>
      </c>
      <c r="BF1114" s="3" t="s">
        <v>11164</v>
      </c>
      <c r="BG1114" s="3" t="s">
        <v>11165</v>
      </c>
      <c r="BH1114">
        <f t="shared" si="34"/>
        <v>0</v>
      </c>
    </row>
    <row r="1115" spans="1:60" ht="58" x14ac:dyDescent="0.35">
      <c r="A1115" s="2" t="s">
        <v>59</v>
      </c>
      <c r="B1115" s="2" t="s">
        <v>60</v>
      </c>
      <c r="C1115" s="2" t="s">
        <v>11166</v>
      </c>
      <c r="D1115" s="2" t="s">
        <v>11167</v>
      </c>
      <c r="E1115" s="2" t="s">
        <v>11168</v>
      </c>
      <c r="G1115" s="3" t="s">
        <v>64</v>
      </c>
      <c r="I1115" s="3" t="s">
        <v>64</v>
      </c>
      <c r="J1115" s="3" t="s">
        <v>64</v>
      </c>
      <c r="K1115" s="3" t="s">
        <v>65</v>
      </c>
      <c r="L1115" s="2" t="s">
        <v>11169</v>
      </c>
      <c r="M1115" s="2" t="s">
        <v>11170</v>
      </c>
      <c r="N1115" s="3" t="s">
        <v>768</v>
      </c>
      <c r="P1115" s="3" t="s">
        <v>102</v>
      </c>
      <c r="Q1115" s="2" t="s">
        <v>11171</v>
      </c>
      <c r="R1115" s="3" t="s">
        <v>70</v>
      </c>
      <c r="S1115" s="4">
        <v>1</v>
      </c>
      <c r="T1115" s="4">
        <v>1</v>
      </c>
      <c r="U1115" s="5" t="s">
        <v>11138</v>
      </c>
      <c r="V1115" s="5" t="s">
        <v>11138</v>
      </c>
      <c r="W1115" s="5" t="s">
        <v>72</v>
      </c>
      <c r="X1115" s="5" t="s">
        <v>72</v>
      </c>
      <c r="Y1115" s="4">
        <v>370</v>
      </c>
      <c r="Z1115" s="4">
        <v>27</v>
      </c>
      <c r="AA1115" s="4">
        <v>29</v>
      </c>
      <c r="AB1115" s="4">
        <v>3</v>
      </c>
      <c r="AC1115" s="4">
        <v>4</v>
      </c>
      <c r="AD1115" s="4">
        <v>113</v>
      </c>
      <c r="AE1115" s="4">
        <v>115</v>
      </c>
      <c r="AF1115" s="4">
        <v>2</v>
      </c>
      <c r="AG1115" s="4">
        <v>3</v>
      </c>
      <c r="AH1115" s="4">
        <v>96</v>
      </c>
      <c r="AI1115" s="4">
        <v>97</v>
      </c>
      <c r="AJ1115" s="4">
        <v>15</v>
      </c>
      <c r="AK1115" s="4">
        <v>17</v>
      </c>
      <c r="AL1115" s="4">
        <v>52</v>
      </c>
      <c r="AM1115" s="4">
        <v>52</v>
      </c>
      <c r="AN1115" s="4">
        <v>0</v>
      </c>
      <c r="AO1115" s="4">
        <v>0</v>
      </c>
      <c r="AP1115" s="4">
        <v>20</v>
      </c>
      <c r="AQ1115" s="4">
        <v>21</v>
      </c>
      <c r="AR1115" s="3" t="s">
        <v>64</v>
      </c>
      <c r="AS1115" s="3" t="s">
        <v>64</v>
      </c>
      <c r="AT1115" s="3" t="s">
        <v>64</v>
      </c>
      <c r="AV1115" s="6" t="str">
        <f>HYPERLINK("http://mcgill.on.worldcat.org/oclc/3275519","Catalog Record")</f>
        <v>Catalog Record</v>
      </c>
      <c r="AW1115" s="6" t="str">
        <f>HYPERLINK("http://www.worldcat.org/oclc/3275519","WorldCat Record")</f>
        <v>WorldCat Record</v>
      </c>
      <c r="AX1115" s="3" t="s">
        <v>11172</v>
      </c>
      <c r="AY1115" s="3" t="s">
        <v>11173</v>
      </c>
      <c r="AZ1115" s="3" t="s">
        <v>11174</v>
      </c>
      <c r="BA1115" s="3" t="s">
        <v>11174</v>
      </c>
      <c r="BB1115" s="3" t="s">
        <v>11175</v>
      </c>
      <c r="BC1115" s="3" t="s">
        <v>77</v>
      </c>
      <c r="BD1115" s="3" t="s">
        <v>78</v>
      </c>
      <c r="BE1115" s="3" t="s">
        <v>11176</v>
      </c>
      <c r="BF1115" s="3" t="s">
        <v>11175</v>
      </c>
      <c r="BG1115" s="3" t="s">
        <v>11177</v>
      </c>
      <c r="BH1115">
        <f t="shared" si="34"/>
        <v>0</v>
      </c>
    </row>
    <row r="1116" spans="1:60" ht="58" x14ac:dyDescent="0.35">
      <c r="A1116" s="2" t="s">
        <v>59</v>
      </c>
      <c r="B1116" s="2" t="s">
        <v>60</v>
      </c>
      <c r="C1116" s="2" t="s">
        <v>11178</v>
      </c>
      <c r="D1116" s="2" t="s">
        <v>11179</v>
      </c>
      <c r="E1116" s="2" t="s">
        <v>11180</v>
      </c>
      <c r="G1116" s="3" t="s">
        <v>64</v>
      </c>
      <c r="I1116" s="3" t="s">
        <v>64</v>
      </c>
      <c r="J1116" s="3" t="s">
        <v>64</v>
      </c>
      <c r="K1116" s="3" t="s">
        <v>65</v>
      </c>
      <c r="M1116" s="2" t="s">
        <v>11181</v>
      </c>
      <c r="N1116" s="3" t="s">
        <v>11182</v>
      </c>
      <c r="P1116" s="3" t="s">
        <v>102</v>
      </c>
      <c r="Q1116" s="2" t="s">
        <v>11183</v>
      </c>
      <c r="R1116" s="3" t="s">
        <v>70</v>
      </c>
      <c r="S1116" s="4">
        <v>1</v>
      </c>
      <c r="T1116" s="4">
        <v>1</v>
      </c>
      <c r="U1116" s="5" t="s">
        <v>11138</v>
      </c>
      <c r="V1116" s="5" t="s">
        <v>11138</v>
      </c>
      <c r="W1116" s="5" t="s">
        <v>72</v>
      </c>
      <c r="X1116" s="5" t="s">
        <v>72</v>
      </c>
      <c r="Y1116" s="4">
        <v>111</v>
      </c>
      <c r="Z1116" s="4">
        <v>4</v>
      </c>
      <c r="AA1116" s="4">
        <v>5</v>
      </c>
      <c r="AB1116" s="4">
        <v>1</v>
      </c>
      <c r="AC1116" s="4">
        <v>1</v>
      </c>
      <c r="AD1116" s="4">
        <v>60</v>
      </c>
      <c r="AE1116" s="4">
        <v>61</v>
      </c>
      <c r="AF1116" s="4">
        <v>0</v>
      </c>
      <c r="AG1116" s="4">
        <v>0</v>
      </c>
      <c r="AH1116" s="4">
        <v>58</v>
      </c>
      <c r="AI1116" s="4">
        <v>59</v>
      </c>
      <c r="AJ1116" s="4">
        <v>2</v>
      </c>
      <c r="AK1116" s="4">
        <v>3</v>
      </c>
      <c r="AL1116" s="4">
        <v>40</v>
      </c>
      <c r="AM1116" s="4">
        <v>40</v>
      </c>
      <c r="AN1116" s="4">
        <v>0</v>
      </c>
      <c r="AO1116" s="4">
        <v>0</v>
      </c>
      <c r="AP1116" s="4">
        <v>2</v>
      </c>
      <c r="AQ1116" s="4">
        <v>3</v>
      </c>
      <c r="AR1116" s="3" t="s">
        <v>64</v>
      </c>
      <c r="AS1116" s="3" t="s">
        <v>64</v>
      </c>
      <c r="AT1116" s="3" t="s">
        <v>128</v>
      </c>
      <c r="AU1116" s="6" t="str">
        <f>HYPERLINK("http://catalog.hathitrust.org/Record/001161932","HathiTrust Record")</f>
        <v>HathiTrust Record</v>
      </c>
      <c r="AV1116" s="6" t="str">
        <f>HYPERLINK("http://mcgill.on.worldcat.org/oclc/1211206","Catalog Record")</f>
        <v>Catalog Record</v>
      </c>
      <c r="AW1116" s="6" t="str">
        <f>HYPERLINK("http://www.worldcat.org/oclc/1211206","WorldCat Record")</f>
        <v>WorldCat Record</v>
      </c>
      <c r="AX1116" s="3" t="s">
        <v>11184</v>
      </c>
      <c r="AY1116" s="3" t="s">
        <v>11185</v>
      </c>
      <c r="AZ1116" s="3" t="s">
        <v>11186</v>
      </c>
      <c r="BA1116" s="3" t="s">
        <v>11186</v>
      </c>
      <c r="BB1116" s="3" t="s">
        <v>11187</v>
      </c>
      <c r="BC1116" s="3" t="s">
        <v>77</v>
      </c>
      <c r="BD1116" s="3" t="s">
        <v>78</v>
      </c>
      <c r="BF1116" s="3" t="s">
        <v>11187</v>
      </c>
      <c r="BG1116" s="3" t="s">
        <v>11188</v>
      </c>
      <c r="BH1116">
        <f t="shared" si="34"/>
        <v>0</v>
      </c>
    </row>
    <row r="1117" spans="1:60" ht="58" x14ac:dyDescent="0.35">
      <c r="A1117" s="2" t="s">
        <v>59</v>
      </c>
      <c r="B1117" s="2" t="s">
        <v>60</v>
      </c>
      <c r="C1117" s="2" t="s">
        <v>11189</v>
      </c>
      <c r="D1117" s="2" t="s">
        <v>11190</v>
      </c>
      <c r="E1117" s="2" t="s">
        <v>11191</v>
      </c>
      <c r="G1117" s="3" t="s">
        <v>64</v>
      </c>
      <c r="I1117" s="3" t="s">
        <v>64</v>
      </c>
      <c r="J1117" s="3" t="s">
        <v>64</v>
      </c>
      <c r="K1117" s="3" t="s">
        <v>65</v>
      </c>
      <c r="M1117" s="2" t="s">
        <v>11192</v>
      </c>
      <c r="N1117" s="3" t="s">
        <v>4548</v>
      </c>
      <c r="P1117" s="3" t="s">
        <v>4873</v>
      </c>
      <c r="R1117" s="3" t="s">
        <v>70</v>
      </c>
      <c r="S1117" s="4">
        <v>1</v>
      </c>
      <c r="T1117" s="4">
        <v>1</v>
      </c>
      <c r="U1117" s="5" t="s">
        <v>11138</v>
      </c>
      <c r="V1117" s="5" t="s">
        <v>11138</v>
      </c>
      <c r="W1117" s="5" t="s">
        <v>72</v>
      </c>
      <c r="X1117" s="5" t="s">
        <v>72</v>
      </c>
      <c r="Y1117" s="4">
        <v>108</v>
      </c>
      <c r="Z1117" s="4">
        <v>8</v>
      </c>
      <c r="AA1117" s="4">
        <v>9</v>
      </c>
      <c r="AB1117" s="4">
        <v>2</v>
      </c>
      <c r="AC1117" s="4">
        <v>2</v>
      </c>
      <c r="AD1117" s="4">
        <v>64</v>
      </c>
      <c r="AE1117" s="4">
        <v>65</v>
      </c>
      <c r="AF1117" s="4">
        <v>1</v>
      </c>
      <c r="AG1117" s="4">
        <v>1</v>
      </c>
      <c r="AH1117" s="4">
        <v>59</v>
      </c>
      <c r="AI1117" s="4">
        <v>60</v>
      </c>
      <c r="AJ1117" s="4">
        <v>5</v>
      </c>
      <c r="AK1117" s="4">
        <v>6</v>
      </c>
      <c r="AL1117" s="4">
        <v>44</v>
      </c>
      <c r="AM1117" s="4">
        <v>44</v>
      </c>
      <c r="AN1117" s="4">
        <v>0</v>
      </c>
      <c r="AO1117" s="4">
        <v>0</v>
      </c>
      <c r="AP1117" s="4">
        <v>5</v>
      </c>
      <c r="AQ1117" s="4">
        <v>6</v>
      </c>
      <c r="AR1117" s="3" t="s">
        <v>64</v>
      </c>
      <c r="AS1117" s="3" t="s">
        <v>64</v>
      </c>
      <c r="AT1117" s="3" t="s">
        <v>128</v>
      </c>
      <c r="AU1117" s="6" t="str">
        <f>HYPERLINK("http://catalog.hathitrust.org/Record/001161923","HathiTrust Record")</f>
        <v>HathiTrust Record</v>
      </c>
      <c r="AV1117" s="6" t="str">
        <f>HYPERLINK("http://mcgill.on.worldcat.org/oclc/4115726","Catalog Record")</f>
        <v>Catalog Record</v>
      </c>
      <c r="AW1117" s="6" t="str">
        <f>HYPERLINK("http://www.worldcat.org/oclc/4115726","WorldCat Record")</f>
        <v>WorldCat Record</v>
      </c>
      <c r="AX1117" s="3" t="s">
        <v>11193</v>
      </c>
      <c r="AY1117" s="3" t="s">
        <v>11194</v>
      </c>
      <c r="AZ1117" s="3" t="s">
        <v>11195</v>
      </c>
      <c r="BA1117" s="3" t="s">
        <v>11195</v>
      </c>
      <c r="BB1117" s="3" t="s">
        <v>11196</v>
      </c>
      <c r="BC1117" s="3" t="s">
        <v>77</v>
      </c>
      <c r="BD1117" s="3" t="s">
        <v>78</v>
      </c>
      <c r="BF1117" s="3" t="s">
        <v>11196</v>
      </c>
      <c r="BG1117" s="3" t="s">
        <v>11197</v>
      </c>
      <c r="BH1117">
        <f t="shared" si="34"/>
        <v>0</v>
      </c>
    </row>
    <row r="1118" spans="1:60" ht="58" x14ac:dyDescent="0.35">
      <c r="A1118" s="2" t="s">
        <v>59</v>
      </c>
      <c r="B1118" s="2" t="s">
        <v>60</v>
      </c>
      <c r="C1118" s="2" t="s">
        <v>11198</v>
      </c>
      <c r="D1118" s="2" t="s">
        <v>11199</v>
      </c>
      <c r="E1118" s="2" t="s">
        <v>11200</v>
      </c>
      <c r="G1118" s="3" t="s">
        <v>64</v>
      </c>
      <c r="I1118" s="3" t="s">
        <v>64</v>
      </c>
      <c r="J1118" s="3" t="s">
        <v>64</v>
      </c>
      <c r="K1118" s="3" t="s">
        <v>65</v>
      </c>
      <c r="L1118" s="2" t="s">
        <v>11201</v>
      </c>
      <c r="M1118" s="2" t="s">
        <v>11202</v>
      </c>
      <c r="N1118" s="3" t="s">
        <v>1061</v>
      </c>
      <c r="P1118" s="3" t="s">
        <v>102</v>
      </c>
      <c r="R1118" s="3" t="s">
        <v>70</v>
      </c>
      <c r="S1118" s="4">
        <v>21</v>
      </c>
      <c r="T1118" s="4">
        <v>21</v>
      </c>
      <c r="U1118" s="5" t="s">
        <v>11203</v>
      </c>
      <c r="V1118" s="5" t="s">
        <v>11203</v>
      </c>
      <c r="W1118" s="5" t="s">
        <v>72</v>
      </c>
      <c r="X1118" s="5" t="s">
        <v>72</v>
      </c>
      <c r="Y1118" s="4">
        <v>479</v>
      </c>
      <c r="Z1118" s="4">
        <v>29</v>
      </c>
      <c r="AA1118" s="4">
        <v>38</v>
      </c>
      <c r="AB1118" s="4">
        <v>1</v>
      </c>
      <c r="AC1118" s="4">
        <v>7</v>
      </c>
      <c r="AD1118" s="4">
        <v>125</v>
      </c>
      <c r="AE1118" s="4">
        <v>128</v>
      </c>
      <c r="AF1118" s="4">
        <v>0</v>
      </c>
      <c r="AG1118" s="4">
        <v>1</v>
      </c>
      <c r="AH1118" s="4">
        <v>108</v>
      </c>
      <c r="AI1118" s="4">
        <v>110</v>
      </c>
      <c r="AJ1118" s="4">
        <v>19</v>
      </c>
      <c r="AK1118" s="4">
        <v>21</v>
      </c>
      <c r="AL1118" s="4">
        <v>58</v>
      </c>
      <c r="AM1118" s="4">
        <v>59</v>
      </c>
      <c r="AN1118" s="4">
        <v>0</v>
      </c>
      <c r="AO1118" s="4">
        <v>0</v>
      </c>
      <c r="AP1118" s="4">
        <v>24</v>
      </c>
      <c r="AQ1118" s="4">
        <v>25</v>
      </c>
      <c r="AR1118" s="3" t="s">
        <v>64</v>
      </c>
      <c r="AS1118" s="3" t="s">
        <v>64</v>
      </c>
      <c r="AT1118" s="3" t="s">
        <v>64</v>
      </c>
      <c r="AV1118" s="6" t="str">
        <f>HYPERLINK("http://mcgill.on.worldcat.org/oclc/11399890","Catalog Record")</f>
        <v>Catalog Record</v>
      </c>
      <c r="AW1118" s="6" t="str">
        <f>HYPERLINK("http://www.worldcat.org/oclc/11399890","WorldCat Record")</f>
        <v>WorldCat Record</v>
      </c>
      <c r="AX1118" s="3" t="s">
        <v>11204</v>
      </c>
      <c r="AY1118" s="3" t="s">
        <v>11205</v>
      </c>
      <c r="AZ1118" s="3" t="s">
        <v>11206</v>
      </c>
      <c r="BA1118" s="3" t="s">
        <v>11206</v>
      </c>
      <c r="BB1118" s="3" t="s">
        <v>11207</v>
      </c>
      <c r="BC1118" s="3" t="s">
        <v>77</v>
      </c>
      <c r="BD1118" s="3" t="s">
        <v>78</v>
      </c>
      <c r="BE1118" s="3" t="s">
        <v>11208</v>
      </c>
      <c r="BF1118" s="3" t="s">
        <v>11207</v>
      </c>
      <c r="BG1118" s="3" t="s">
        <v>11209</v>
      </c>
      <c r="BH1118">
        <f t="shared" si="34"/>
        <v>0</v>
      </c>
    </row>
    <row r="1119" spans="1:60" ht="58" x14ac:dyDescent="0.35">
      <c r="A1119" s="2" t="s">
        <v>59</v>
      </c>
      <c r="B1119" s="2" t="s">
        <v>60</v>
      </c>
      <c r="C1119" s="2" t="s">
        <v>11210</v>
      </c>
      <c r="D1119" s="2" t="s">
        <v>11211</v>
      </c>
      <c r="E1119" s="2" t="s">
        <v>11212</v>
      </c>
      <c r="G1119" s="3" t="s">
        <v>64</v>
      </c>
      <c r="I1119" s="3" t="s">
        <v>64</v>
      </c>
      <c r="J1119" s="3" t="s">
        <v>64</v>
      </c>
      <c r="K1119" s="3" t="s">
        <v>65</v>
      </c>
      <c r="L1119" s="2" t="s">
        <v>11213</v>
      </c>
      <c r="M1119" s="2" t="s">
        <v>11214</v>
      </c>
      <c r="N1119" s="3" t="s">
        <v>86</v>
      </c>
      <c r="P1119" s="3" t="s">
        <v>102</v>
      </c>
      <c r="R1119" s="3" t="s">
        <v>70</v>
      </c>
      <c r="S1119" s="4">
        <v>1</v>
      </c>
      <c r="T1119" s="4">
        <v>1</v>
      </c>
      <c r="U1119" s="5" t="s">
        <v>11215</v>
      </c>
      <c r="V1119" s="5" t="s">
        <v>11215</v>
      </c>
      <c r="W1119" s="5" t="s">
        <v>72</v>
      </c>
      <c r="X1119" s="5" t="s">
        <v>72</v>
      </c>
      <c r="Y1119" s="4">
        <v>74</v>
      </c>
      <c r="Z1119" s="4">
        <v>16</v>
      </c>
      <c r="AA1119" s="4">
        <v>116</v>
      </c>
      <c r="AB1119" s="4">
        <v>1</v>
      </c>
      <c r="AC1119" s="4">
        <v>20</v>
      </c>
      <c r="AD1119" s="4">
        <v>41</v>
      </c>
      <c r="AE1119" s="4">
        <v>121</v>
      </c>
      <c r="AF1119" s="4">
        <v>0</v>
      </c>
      <c r="AG1119" s="4">
        <v>8</v>
      </c>
      <c r="AH1119" s="4">
        <v>35</v>
      </c>
      <c r="AI1119" s="4">
        <v>80</v>
      </c>
      <c r="AJ1119" s="4">
        <v>12</v>
      </c>
      <c r="AK1119" s="4">
        <v>25</v>
      </c>
      <c r="AL1119" s="4">
        <v>20</v>
      </c>
      <c r="AM1119" s="4">
        <v>41</v>
      </c>
      <c r="AN1119" s="4">
        <v>0</v>
      </c>
      <c r="AO1119" s="4">
        <v>0</v>
      </c>
      <c r="AP1119" s="4">
        <v>11</v>
      </c>
      <c r="AQ1119" s="4">
        <v>50</v>
      </c>
      <c r="AR1119" s="3" t="s">
        <v>128</v>
      </c>
      <c r="AS1119" s="3" t="s">
        <v>64</v>
      </c>
      <c r="AT1119" s="3" t="s">
        <v>64</v>
      </c>
      <c r="AV1119" s="6" t="str">
        <f>HYPERLINK("http://mcgill.on.worldcat.org/oclc/764385441","Catalog Record")</f>
        <v>Catalog Record</v>
      </c>
      <c r="AW1119" s="6" t="str">
        <f>HYPERLINK("http://www.worldcat.org/oclc/764385441","WorldCat Record")</f>
        <v>WorldCat Record</v>
      </c>
      <c r="AX1119" s="3" t="s">
        <v>11216</v>
      </c>
      <c r="AY1119" s="3" t="s">
        <v>11217</v>
      </c>
      <c r="AZ1119" s="3" t="s">
        <v>11218</v>
      </c>
      <c r="BA1119" s="3" t="s">
        <v>11218</v>
      </c>
      <c r="BB1119" s="3" t="s">
        <v>11219</v>
      </c>
      <c r="BC1119" s="3" t="s">
        <v>77</v>
      </c>
      <c r="BD1119" s="3" t="s">
        <v>78</v>
      </c>
      <c r="BE1119" s="3" t="s">
        <v>11220</v>
      </c>
      <c r="BF1119" s="3" t="s">
        <v>11219</v>
      </c>
      <c r="BG1119" s="3" t="s">
        <v>11221</v>
      </c>
      <c r="BH1119">
        <f t="shared" si="34"/>
        <v>0</v>
      </c>
    </row>
    <row r="1120" spans="1:60" ht="58" x14ac:dyDescent="0.35">
      <c r="A1120" s="2" t="s">
        <v>59</v>
      </c>
      <c r="B1120" s="2" t="s">
        <v>60</v>
      </c>
      <c r="C1120" s="2" t="s">
        <v>11222</v>
      </c>
      <c r="D1120" s="2" t="s">
        <v>11223</v>
      </c>
      <c r="E1120" s="2" t="s">
        <v>11224</v>
      </c>
      <c r="G1120" s="3" t="s">
        <v>64</v>
      </c>
      <c r="I1120" s="3" t="s">
        <v>64</v>
      </c>
      <c r="J1120" s="3" t="s">
        <v>64</v>
      </c>
      <c r="K1120" s="3" t="s">
        <v>65</v>
      </c>
      <c r="L1120" s="2" t="s">
        <v>11225</v>
      </c>
      <c r="M1120" s="2" t="s">
        <v>11226</v>
      </c>
      <c r="N1120" s="3" t="s">
        <v>67</v>
      </c>
      <c r="P1120" s="3" t="s">
        <v>102</v>
      </c>
      <c r="R1120" s="3" t="s">
        <v>70</v>
      </c>
      <c r="S1120" s="4">
        <v>0</v>
      </c>
      <c r="T1120" s="4">
        <v>0</v>
      </c>
      <c r="W1120" s="5" t="s">
        <v>72</v>
      </c>
      <c r="X1120" s="5" t="s">
        <v>72</v>
      </c>
      <c r="Y1120" s="4">
        <v>54</v>
      </c>
      <c r="Z1120" s="4">
        <v>4</v>
      </c>
      <c r="AA1120" s="4">
        <v>6</v>
      </c>
      <c r="AB1120" s="4">
        <v>1</v>
      </c>
      <c r="AC1120" s="4">
        <v>1</v>
      </c>
      <c r="AD1120" s="4">
        <v>21</v>
      </c>
      <c r="AE1120" s="4">
        <v>36</v>
      </c>
      <c r="AF1120" s="4">
        <v>0</v>
      </c>
      <c r="AG1120" s="4">
        <v>0</v>
      </c>
      <c r="AH1120" s="4">
        <v>20</v>
      </c>
      <c r="AI1120" s="4">
        <v>33</v>
      </c>
      <c r="AJ1120" s="4">
        <v>1</v>
      </c>
      <c r="AK1120" s="4">
        <v>3</v>
      </c>
      <c r="AL1120" s="4">
        <v>17</v>
      </c>
      <c r="AM1120" s="4">
        <v>29</v>
      </c>
      <c r="AN1120" s="4">
        <v>0</v>
      </c>
      <c r="AO1120" s="4">
        <v>0</v>
      </c>
      <c r="AP1120" s="4">
        <v>1</v>
      </c>
      <c r="AQ1120" s="4">
        <v>3</v>
      </c>
      <c r="AR1120" s="3" t="s">
        <v>64</v>
      </c>
      <c r="AS1120" s="3" t="s">
        <v>64</v>
      </c>
      <c r="AT1120" s="3" t="s">
        <v>64</v>
      </c>
      <c r="AV1120" s="6" t="str">
        <f>HYPERLINK("http://mcgill.on.worldcat.org/oclc/875307401","Catalog Record")</f>
        <v>Catalog Record</v>
      </c>
      <c r="AW1120" s="6" t="str">
        <f>HYPERLINK("http://www.worldcat.org/oclc/875307401","WorldCat Record")</f>
        <v>WorldCat Record</v>
      </c>
      <c r="AX1120" s="3" t="s">
        <v>11227</v>
      </c>
      <c r="AY1120" s="3" t="s">
        <v>11228</v>
      </c>
      <c r="AZ1120" s="3" t="s">
        <v>11229</v>
      </c>
      <c r="BA1120" s="3" t="s">
        <v>11229</v>
      </c>
      <c r="BB1120" s="3" t="s">
        <v>11230</v>
      </c>
      <c r="BC1120" s="3" t="s">
        <v>77</v>
      </c>
      <c r="BD1120" s="3" t="s">
        <v>78</v>
      </c>
      <c r="BE1120" s="3" t="s">
        <v>11231</v>
      </c>
      <c r="BF1120" s="3" t="s">
        <v>11230</v>
      </c>
      <c r="BG1120" s="3" t="s">
        <v>11232</v>
      </c>
      <c r="BH1120">
        <f t="shared" si="34"/>
        <v>0</v>
      </c>
    </row>
    <row r="1121" spans="1:60" ht="58" x14ac:dyDescent="0.35">
      <c r="A1121" s="2" t="s">
        <v>59</v>
      </c>
      <c r="B1121" s="2" t="s">
        <v>60</v>
      </c>
      <c r="C1121" s="2" t="s">
        <v>11233</v>
      </c>
      <c r="D1121" s="2" t="s">
        <v>11234</v>
      </c>
      <c r="E1121" s="2" t="s">
        <v>11235</v>
      </c>
      <c r="G1121" s="3" t="s">
        <v>64</v>
      </c>
      <c r="I1121" s="3" t="s">
        <v>64</v>
      </c>
      <c r="J1121" s="3" t="s">
        <v>64</v>
      </c>
      <c r="K1121" s="3" t="s">
        <v>65</v>
      </c>
      <c r="L1121" s="2" t="s">
        <v>11236</v>
      </c>
      <c r="M1121" s="2" t="s">
        <v>1225</v>
      </c>
      <c r="N1121" s="3" t="s">
        <v>326</v>
      </c>
      <c r="P1121" s="3" t="s">
        <v>102</v>
      </c>
      <c r="Q1121" s="2" t="s">
        <v>11237</v>
      </c>
      <c r="R1121" s="3" t="s">
        <v>70</v>
      </c>
      <c r="S1121" s="4">
        <v>1</v>
      </c>
      <c r="T1121" s="4">
        <v>1</v>
      </c>
      <c r="U1121" s="5" t="s">
        <v>11238</v>
      </c>
      <c r="V1121" s="5" t="s">
        <v>11238</v>
      </c>
      <c r="W1121" s="5" t="s">
        <v>72</v>
      </c>
      <c r="X1121" s="5" t="s">
        <v>72</v>
      </c>
      <c r="Y1121" s="4">
        <v>49</v>
      </c>
      <c r="Z1121" s="4">
        <v>5</v>
      </c>
      <c r="AA1121" s="4">
        <v>86</v>
      </c>
      <c r="AB1121" s="4">
        <v>1</v>
      </c>
      <c r="AC1121" s="4">
        <v>17</v>
      </c>
      <c r="AD1121" s="4">
        <v>18</v>
      </c>
      <c r="AE1121" s="4">
        <v>103</v>
      </c>
      <c r="AF1121" s="4">
        <v>0</v>
      </c>
      <c r="AG1121" s="4">
        <v>8</v>
      </c>
      <c r="AH1121" s="4">
        <v>18</v>
      </c>
      <c r="AI1121" s="4">
        <v>69</v>
      </c>
      <c r="AJ1121" s="4">
        <v>2</v>
      </c>
      <c r="AK1121" s="4">
        <v>19</v>
      </c>
      <c r="AL1121" s="4">
        <v>12</v>
      </c>
      <c r="AM1121" s="4">
        <v>34</v>
      </c>
      <c r="AN1121" s="4">
        <v>0</v>
      </c>
      <c r="AO1121" s="4">
        <v>0</v>
      </c>
      <c r="AP1121" s="4">
        <v>2</v>
      </c>
      <c r="AQ1121" s="4">
        <v>40</v>
      </c>
      <c r="AR1121" s="3" t="s">
        <v>64</v>
      </c>
      <c r="AS1121" s="3" t="s">
        <v>64</v>
      </c>
      <c r="AT1121" s="3" t="s">
        <v>64</v>
      </c>
      <c r="AV1121" s="6" t="str">
        <f>HYPERLINK("http://mcgill.on.worldcat.org/oclc/726695788","Catalog Record")</f>
        <v>Catalog Record</v>
      </c>
      <c r="AW1121" s="6" t="str">
        <f>HYPERLINK("http://www.worldcat.org/oclc/726695788","WorldCat Record")</f>
        <v>WorldCat Record</v>
      </c>
      <c r="AX1121" s="3" t="s">
        <v>11239</v>
      </c>
      <c r="AY1121" s="3" t="s">
        <v>11240</v>
      </c>
      <c r="AZ1121" s="3" t="s">
        <v>11241</v>
      </c>
      <c r="BA1121" s="3" t="s">
        <v>11241</v>
      </c>
      <c r="BB1121" s="3" t="s">
        <v>11242</v>
      </c>
      <c r="BC1121" s="3" t="s">
        <v>77</v>
      </c>
      <c r="BD1121" s="3" t="s">
        <v>78</v>
      </c>
      <c r="BE1121" s="3" t="s">
        <v>11243</v>
      </c>
      <c r="BF1121" s="3" t="s">
        <v>11242</v>
      </c>
      <c r="BG1121" s="3" t="s">
        <v>11244</v>
      </c>
      <c r="BH1121">
        <f t="shared" si="34"/>
        <v>0</v>
      </c>
    </row>
    <row r="1122" spans="1:60" ht="58" x14ac:dyDescent="0.35">
      <c r="A1122" s="2" t="s">
        <v>59</v>
      </c>
      <c r="B1122" s="2" t="s">
        <v>60</v>
      </c>
      <c r="C1122" s="2" t="s">
        <v>11245</v>
      </c>
      <c r="D1122" s="2" t="s">
        <v>11246</v>
      </c>
      <c r="E1122" s="2" t="s">
        <v>11247</v>
      </c>
      <c r="G1122" s="3" t="s">
        <v>64</v>
      </c>
      <c r="I1122" s="3" t="s">
        <v>64</v>
      </c>
      <c r="J1122" s="3" t="s">
        <v>64</v>
      </c>
      <c r="K1122" s="3" t="s">
        <v>65</v>
      </c>
      <c r="L1122" s="2" t="s">
        <v>11248</v>
      </c>
      <c r="M1122" s="2" t="s">
        <v>11249</v>
      </c>
      <c r="N1122" s="3" t="s">
        <v>253</v>
      </c>
      <c r="O1122" s="2" t="s">
        <v>11250</v>
      </c>
      <c r="P1122" s="3" t="s">
        <v>102</v>
      </c>
      <c r="R1122" s="3" t="s">
        <v>70</v>
      </c>
      <c r="S1122" s="4">
        <v>5</v>
      </c>
      <c r="T1122" s="4">
        <v>5</v>
      </c>
      <c r="U1122" s="5" t="s">
        <v>11251</v>
      </c>
      <c r="V1122" s="5" t="s">
        <v>11251</v>
      </c>
      <c r="W1122" s="5" t="s">
        <v>72</v>
      </c>
      <c r="X1122" s="5" t="s">
        <v>72</v>
      </c>
      <c r="Y1122" s="4">
        <v>144</v>
      </c>
      <c r="Z1122" s="4">
        <v>14</v>
      </c>
      <c r="AA1122" s="4">
        <v>14</v>
      </c>
      <c r="AB1122" s="4">
        <v>1</v>
      </c>
      <c r="AC1122" s="4">
        <v>1</v>
      </c>
      <c r="AD1122" s="4">
        <v>59</v>
      </c>
      <c r="AE1122" s="4">
        <v>59</v>
      </c>
      <c r="AF1122" s="4">
        <v>0</v>
      </c>
      <c r="AG1122" s="4">
        <v>0</v>
      </c>
      <c r="AH1122" s="4">
        <v>50</v>
      </c>
      <c r="AI1122" s="4">
        <v>50</v>
      </c>
      <c r="AJ1122" s="4">
        <v>9</v>
      </c>
      <c r="AK1122" s="4">
        <v>9</v>
      </c>
      <c r="AL1122" s="4">
        <v>34</v>
      </c>
      <c r="AM1122" s="4">
        <v>34</v>
      </c>
      <c r="AN1122" s="4">
        <v>0</v>
      </c>
      <c r="AO1122" s="4">
        <v>0</v>
      </c>
      <c r="AP1122" s="4">
        <v>9</v>
      </c>
      <c r="AQ1122" s="4">
        <v>9</v>
      </c>
      <c r="AR1122" s="3" t="s">
        <v>64</v>
      </c>
      <c r="AS1122" s="3" t="s">
        <v>64</v>
      </c>
      <c r="AT1122" s="3" t="s">
        <v>64</v>
      </c>
      <c r="AV1122" s="6" t="str">
        <f>HYPERLINK("http://mcgill.on.worldcat.org/oclc/907680824","Catalog Record")</f>
        <v>Catalog Record</v>
      </c>
      <c r="AW1122" s="6" t="str">
        <f>HYPERLINK("http://www.worldcat.org/oclc/907680824","WorldCat Record")</f>
        <v>WorldCat Record</v>
      </c>
      <c r="AX1122" s="3" t="s">
        <v>11252</v>
      </c>
      <c r="AY1122" s="3" t="s">
        <v>11253</v>
      </c>
      <c r="AZ1122" s="3" t="s">
        <v>11254</v>
      </c>
      <c r="BA1122" s="3" t="s">
        <v>11254</v>
      </c>
      <c r="BB1122" s="3" t="s">
        <v>11255</v>
      </c>
      <c r="BC1122" s="3" t="s">
        <v>77</v>
      </c>
      <c r="BD1122" s="3" t="s">
        <v>165</v>
      </c>
      <c r="BE1122" s="3" t="s">
        <v>11256</v>
      </c>
      <c r="BF1122" s="3" t="s">
        <v>11255</v>
      </c>
      <c r="BG1122" s="3" t="s">
        <v>11257</v>
      </c>
      <c r="BH1122">
        <f t="shared" si="34"/>
        <v>0</v>
      </c>
    </row>
    <row r="1123" spans="1:60" ht="58" x14ac:dyDescent="0.35">
      <c r="A1123" s="2" t="s">
        <v>59</v>
      </c>
      <c r="B1123" s="2" t="s">
        <v>60</v>
      </c>
      <c r="C1123" s="2" t="s">
        <v>11258</v>
      </c>
      <c r="D1123" s="2" t="s">
        <v>11259</v>
      </c>
      <c r="E1123" s="2" t="s">
        <v>11260</v>
      </c>
      <c r="G1123" s="3" t="s">
        <v>64</v>
      </c>
      <c r="I1123" s="3" t="s">
        <v>64</v>
      </c>
      <c r="J1123" s="3" t="s">
        <v>64</v>
      </c>
      <c r="K1123" s="3" t="s">
        <v>65</v>
      </c>
      <c r="M1123" s="2" t="s">
        <v>3919</v>
      </c>
      <c r="N1123" s="3" t="s">
        <v>578</v>
      </c>
      <c r="P1123" s="3" t="s">
        <v>102</v>
      </c>
      <c r="Q1123" s="2" t="s">
        <v>11261</v>
      </c>
      <c r="R1123" s="3" t="s">
        <v>70</v>
      </c>
      <c r="S1123" s="4">
        <v>0</v>
      </c>
      <c r="T1123" s="4">
        <v>0</v>
      </c>
      <c r="W1123" s="5" t="s">
        <v>72</v>
      </c>
      <c r="X1123" s="5" t="s">
        <v>72</v>
      </c>
      <c r="Y1123" s="4">
        <v>49</v>
      </c>
      <c r="Z1123" s="4">
        <v>3</v>
      </c>
      <c r="AA1123" s="4">
        <v>68</v>
      </c>
      <c r="AB1123" s="4">
        <v>1</v>
      </c>
      <c r="AC1123" s="4">
        <v>14</v>
      </c>
      <c r="AD1123" s="4">
        <v>21</v>
      </c>
      <c r="AE1123" s="4">
        <v>90</v>
      </c>
      <c r="AF1123" s="4">
        <v>0</v>
      </c>
      <c r="AG1123" s="4">
        <v>8</v>
      </c>
      <c r="AH1123" s="4">
        <v>19</v>
      </c>
      <c r="AI1123" s="4">
        <v>59</v>
      </c>
      <c r="AJ1123" s="4">
        <v>2</v>
      </c>
      <c r="AK1123" s="4">
        <v>16</v>
      </c>
      <c r="AL1123" s="4">
        <v>13</v>
      </c>
      <c r="AM1123" s="4">
        <v>34</v>
      </c>
      <c r="AN1123" s="4">
        <v>0</v>
      </c>
      <c r="AO1123" s="4">
        <v>0</v>
      </c>
      <c r="AP1123" s="4">
        <v>2</v>
      </c>
      <c r="AQ1123" s="4">
        <v>35</v>
      </c>
      <c r="AR1123" s="3" t="s">
        <v>64</v>
      </c>
      <c r="AS1123" s="3" t="s">
        <v>64</v>
      </c>
      <c r="AT1123" s="3" t="s">
        <v>64</v>
      </c>
      <c r="AV1123" s="6" t="str">
        <f>HYPERLINK("http://mcgill.on.worldcat.org/oclc/987282781","Catalog Record")</f>
        <v>Catalog Record</v>
      </c>
      <c r="AW1123" s="6" t="str">
        <f>HYPERLINK("http://www.worldcat.org/oclc/987282781","WorldCat Record")</f>
        <v>WorldCat Record</v>
      </c>
      <c r="AX1123" s="3" t="s">
        <v>11262</v>
      </c>
      <c r="AY1123" s="3" t="s">
        <v>11263</v>
      </c>
      <c r="AZ1123" s="3" t="s">
        <v>11264</v>
      </c>
      <c r="BA1123" s="3" t="s">
        <v>11264</v>
      </c>
      <c r="BB1123" s="3" t="s">
        <v>11265</v>
      </c>
      <c r="BC1123" s="3" t="s">
        <v>77</v>
      </c>
      <c r="BD1123" s="3" t="s">
        <v>78</v>
      </c>
      <c r="BE1123" s="3" t="s">
        <v>11266</v>
      </c>
      <c r="BF1123" s="3" t="s">
        <v>11265</v>
      </c>
      <c r="BG1123" s="3" t="s">
        <v>11267</v>
      </c>
      <c r="BH1123">
        <f t="shared" si="34"/>
        <v>0</v>
      </c>
    </row>
    <row r="1124" spans="1:60" ht="58" x14ac:dyDescent="0.35">
      <c r="A1124" s="2" t="s">
        <v>59</v>
      </c>
      <c r="B1124" s="2" t="s">
        <v>60</v>
      </c>
      <c r="C1124" s="2" t="s">
        <v>11268</v>
      </c>
      <c r="D1124" s="2" t="s">
        <v>11269</v>
      </c>
      <c r="E1124" s="2" t="s">
        <v>11270</v>
      </c>
      <c r="G1124" s="3" t="s">
        <v>64</v>
      </c>
      <c r="I1124" s="3" t="s">
        <v>64</v>
      </c>
      <c r="J1124" s="3" t="s">
        <v>64</v>
      </c>
      <c r="K1124" s="3" t="s">
        <v>65</v>
      </c>
      <c r="L1124" s="2" t="s">
        <v>11271</v>
      </c>
      <c r="M1124" s="2" t="s">
        <v>11272</v>
      </c>
      <c r="N1124" s="3" t="s">
        <v>1763</v>
      </c>
      <c r="P1124" s="3" t="s">
        <v>102</v>
      </c>
      <c r="R1124" s="3" t="s">
        <v>70</v>
      </c>
      <c r="S1124" s="4">
        <v>3</v>
      </c>
      <c r="T1124" s="4">
        <v>3</v>
      </c>
      <c r="U1124" s="5" t="s">
        <v>11238</v>
      </c>
      <c r="V1124" s="5" t="s">
        <v>11238</v>
      </c>
      <c r="W1124" s="5" t="s">
        <v>72</v>
      </c>
      <c r="X1124" s="5" t="s">
        <v>72</v>
      </c>
      <c r="Y1124" s="4">
        <v>130</v>
      </c>
      <c r="Z1124" s="4">
        <v>13</v>
      </c>
      <c r="AA1124" s="4">
        <v>16</v>
      </c>
      <c r="AB1124" s="4">
        <v>1</v>
      </c>
      <c r="AC1124" s="4">
        <v>4</v>
      </c>
      <c r="AD1124" s="4">
        <v>69</v>
      </c>
      <c r="AE1124" s="4">
        <v>71</v>
      </c>
      <c r="AF1124" s="4">
        <v>0</v>
      </c>
      <c r="AG1124" s="4">
        <v>2</v>
      </c>
      <c r="AH1124" s="4">
        <v>62</v>
      </c>
      <c r="AI1124" s="4">
        <v>62</v>
      </c>
      <c r="AJ1124" s="4">
        <v>11</v>
      </c>
      <c r="AK1124" s="4">
        <v>12</v>
      </c>
      <c r="AL1124" s="4">
        <v>38</v>
      </c>
      <c r="AM1124" s="4">
        <v>38</v>
      </c>
      <c r="AN1124" s="4">
        <v>0</v>
      </c>
      <c r="AO1124" s="4">
        <v>0</v>
      </c>
      <c r="AP1124" s="4">
        <v>10</v>
      </c>
      <c r="AQ1124" s="4">
        <v>12</v>
      </c>
      <c r="AR1124" s="3" t="s">
        <v>64</v>
      </c>
      <c r="AS1124" s="3" t="s">
        <v>64</v>
      </c>
      <c r="AT1124" s="3" t="s">
        <v>128</v>
      </c>
      <c r="AU1124" s="6" t="str">
        <f>HYPERLINK("http://catalog.hathitrust.org/Record/000339126","HathiTrust Record")</f>
        <v>HathiTrust Record</v>
      </c>
      <c r="AV1124" s="6" t="str">
        <f>HYPERLINK("http://mcgill.on.worldcat.org/oclc/11341707","Catalog Record")</f>
        <v>Catalog Record</v>
      </c>
      <c r="AW1124" s="6" t="str">
        <f>HYPERLINK("http://www.worldcat.org/oclc/11341707","WorldCat Record")</f>
        <v>WorldCat Record</v>
      </c>
      <c r="AX1124" s="3" t="s">
        <v>11273</v>
      </c>
      <c r="AY1124" s="3" t="s">
        <v>11274</v>
      </c>
      <c r="AZ1124" s="3" t="s">
        <v>11275</v>
      </c>
      <c r="BA1124" s="3" t="s">
        <v>11275</v>
      </c>
      <c r="BB1124" s="3" t="s">
        <v>11276</v>
      </c>
      <c r="BC1124" s="3" t="s">
        <v>77</v>
      </c>
      <c r="BD1124" s="3" t="s">
        <v>78</v>
      </c>
      <c r="BE1124" s="3" t="s">
        <v>11277</v>
      </c>
      <c r="BF1124" s="3" t="s">
        <v>11276</v>
      </c>
      <c r="BG1124" s="3" t="s">
        <v>11278</v>
      </c>
      <c r="BH1124">
        <f t="shared" si="34"/>
        <v>0</v>
      </c>
    </row>
    <row r="1125" spans="1:60" ht="58" x14ac:dyDescent="0.35">
      <c r="A1125" s="2" t="s">
        <v>59</v>
      </c>
      <c r="B1125" s="2" t="s">
        <v>60</v>
      </c>
      <c r="C1125" s="2" t="s">
        <v>11279</v>
      </c>
      <c r="D1125" s="2" t="s">
        <v>11280</v>
      </c>
      <c r="E1125" s="2" t="s">
        <v>11281</v>
      </c>
      <c r="G1125" s="3" t="s">
        <v>64</v>
      </c>
      <c r="I1125" s="3" t="s">
        <v>64</v>
      </c>
      <c r="J1125" s="3" t="s">
        <v>64</v>
      </c>
      <c r="K1125" s="3" t="s">
        <v>65</v>
      </c>
      <c r="L1125" s="2" t="s">
        <v>11282</v>
      </c>
      <c r="M1125" s="2" t="s">
        <v>11283</v>
      </c>
      <c r="N1125" s="3" t="s">
        <v>405</v>
      </c>
      <c r="O1125" s="2" t="s">
        <v>4790</v>
      </c>
      <c r="P1125" s="3" t="s">
        <v>1479</v>
      </c>
      <c r="Q1125" s="2" t="s">
        <v>11284</v>
      </c>
      <c r="R1125" s="3" t="s">
        <v>70</v>
      </c>
      <c r="S1125" s="4">
        <v>13</v>
      </c>
      <c r="T1125" s="4">
        <v>13</v>
      </c>
      <c r="U1125" s="5" t="s">
        <v>11285</v>
      </c>
      <c r="V1125" s="5" t="s">
        <v>11285</v>
      </c>
      <c r="W1125" s="5" t="s">
        <v>72</v>
      </c>
      <c r="X1125" s="5" t="s">
        <v>72</v>
      </c>
      <c r="Y1125" s="4">
        <v>182</v>
      </c>
      <c r="Z1125" s="4">
        <v>13</v>
      </c>
      <c r="AA1125" s="4">
        <v>15</v>
      </c>
      <c r="AB1125" s="4">
        <v>1</v>
      </c>
      <c r="AC1125" s="4">
        <v>2</v>
      </c>
      <c r="AD1125" s="4">
        <v>76</v>
      </c>
      <c r="AE1125" s="4">
        <v>78</v>
      </c>
      <c r="AF1125" s="4">
        <v>0</v>
      </c>
      <c r="AG1125" s="4">
        <v>1</v>
      </c>
      <c r="AH1125" s="4">
        <v>70</v>
      </c>
      <c r="AI1125" s="4">
        <v>72</v>
      </c>
      <c r="AJ1125" s="4">
        <v>11</v>
      </c>
      <c r="AK1125" s="4">
        <v>13</v>
      </c>
      <c r="AL1125" s="4">
        <v>46</v>
      </c>
      <c r="AM1125" s="4">
        <v>46</v>
      </c>
      <c r="AN1125" s="4">
        <v>0</v>
      </c>
      <c r="AO1125" s="4">
        <v>0</v>
      </c>
      <c r="AP1125" s="4">
        <v>10</v>
      </c>
      <c r="AQ1125" s="4">
        <v>12</v>
      </c>
      <c r="AR1125" s="3" t="s">
        <v>64</v>
      </c>
      <c r="AS1125" s="3" t="s">
        <v>64</v>
      </c>
      <c r="AT1125" s="3" t="s">
        <v>64</v>
      </c>
      <c r="AV1125" s="6" t="str">
        <f>HYPERLINK("http://mcgill.on.worldcat.org/oclc/4778333","Catalog Record")</f>
        <v>Catalog Record</v>
      </c>
      <c r="AW1125" s="6" t="str">
        <f>HYPERLINK("http://www.worldcat.org/oclc/4778333","WorldCat Record")</f>
        <v>WorldCat Record</v>
      </c>
      <c r="AX1125" s="3" t="s">
        <v>11286</v>
      </c>
      <c r="AY1125" s="3" t="s">
        <v>11287</v>
      </c>
      <c r="AZ1125" s="3" t="s">
        <v>11288</v>
      </c>
      <c r="BA1125" s="3" t="s">
        <v>11288</v>
      </c>
      <c r="BB1125" s="3" t="s">
        <v>11289</v>
      </c>
      <c r="BC1125" s="3" t="s">
        <v>77</v>
      </c>
      <c r="BD1125" s="3" t="s">
        <v>78</v>
      </c>
      <c r="BE1125" s="3" t="s">
        <v>11290</v>
      </c>
      <c r="BF1125" s="3" t="s">
        <v>11289</v>
      </c>
      <c r="BG1125" s="3" t="s">
        <v>11291</v>
      </c>
      <c r="BH1125">
        <f t="shared" si="34"/>
        <v>0</v>
      </c>
    </row>
    <row r="1126" spans="1:60" ht="58" x14ac:dyDescent="0.35">
      <c r="A1126" s="2" t="s">
        <v>59</v>
      </c>
      <c r="B1126" s="2" t="s">
        <v>60</v>
      </c>
      <c r="C1126" s="2" t="s">
        <v>11292</v>
      </c>
      <c r="D1126" s="2" t="s">
        <v>11293</v>
      </c>
      <c r="E1126" s="2" t="s">
        <v>11294</v>
      </c>
      <c r="G1126" s="3" t="s">
        <v>64</v>
      </c>
      <c r="I1126" s="3" t="s">
        <v>64</v>
      </c>
      <c r="J1126" s="3" t="s">
        <v>64</v>
      </c>
      <c r="K1126" s="3" t="s">
        <v>65</v>
      </c>
      <c r="L1126" s="2" t="s">
        <v>11295</v>
      </c>
      <c r="M1126" s="2" t="s">
        <v>11296</v>
      </c>
      <c r="N1126" s="3" t="s">
        <v>364</v>
      </c>
      <c r="P1126" s="3" t="s">
        <v>102</v>
      </c>
      <c r="Q1126" s="2" t="s">
        <v>11297</v>
      </c>
      <c r="R1126" s="3" t="s">
        <v>70</v>
      </c>
      <c r="S1126" s="4">
        <v>1</v>
      </c>
      <c r="T1126" s="4">
        <v>1</v>
      </c>
      <c r="U1126" s="5" t="s">
        <v>11298</v>
      </c>
      <c r="V1126" s="5" t="s">
        <v>11298</v>
      </c>
      <c r="W1126" s="5" t="s">
        <v>72</v>
      </c>
      <c r="X1126" s="5" t="s">
        <v>72</v>
      </c>
      <c r="Y1126" s="4">
        <v>173</v>
      </c>
      <c r="Z1126" s="4">
        <v>13</v>
      </c>
      <c r="AA1126" s="4">
        <v>14</v>
      </c>
      <c r="AB1126" s="4">
        <v>1</v>
      </c>
      <c r="AC1126" s="4">
        <v>2</v>
      </c>
      <c r="AD1126" s="4">
        <v>77</v>
      </c>
      <c r="AE1126" s="4">
        <v>78</v>
      </c>
      <c r="AF1126" s="4">
        <v>0</v>
      </c>
      <c r="AG1126" s="4">
        <v>1</v>
      </c>
      <c r="AH1126" s="4">
        <v>70</v>
      </c>
      <c r="AI1126" s="4">
        <v>70</v>
      </c>
      <c r="AJ1126" s="4">
        <v>9</v>
      </c>
      <c r="AK1126" s="4">
        <v>10</v>
      </c>
      <c r="AL1126" s="4">
        <v>39</v>
      </c>
      <c r="AM1126" s="4">
        <v>39</v>
      </c>
      <c r="AN1126" s="4">
        <v>0</v>
      </c>
      <c r="AO1126" s="4">
        <v>0</v>
      </c>
      <c r="AP1126" s="4">
        <v>10</v>
      </c>
      <c r="AQ1126" s="4">
        <v>10</v>
      </c>
      <c r="AR1126" s="3" t="s">
        <v>64</v>
      </c>
      <c r="AS1126" s="3" t="s">
        <v>64</v>
      </c>
      <c r="AT1126" s="3" t="s">
        <v>128</v>
      </c>
      <c r="AU1126" s="6" t="str">
        <f>HYPERLINK("http://catalog.hathitrust.org/Record/002097616","HathiTrust Record")</f>
        <v>HathiTrust Record</v>
      </c>
      <c r="AV1126" s="6" t="str">
        <f>HYPERLINK("http://mcgill.on.worldcat.org/oclc/707547","Catalog Record")</f>
        <v>Catalog Record</v>
      </c>
      <c r="AW1126" s="6" t="str">
        <f>HYPERLINK("http://www.worldcat.org/oclc/707547","WorldCat Record")</f>
        <v>WorldCat Record</v>
      </c>
      <c r="AX1126" s="3" t="s">
        <v>11299</v>
      </c>
      <c r="AY1126" s="3" t="s">
        <v>11300</v>
      </c>
      <c r="AZ1126" s="3" t="s">
        <v>11301</v>
      </c>
      <c r="BA1126" s="3" t="s">
        <v>11301</v>
      </c>
      <c r="BB1126" s="3" t="s">
        <v>11302</v>
      </c>
      <c r="BC1126" s="3" t="s">
        <v>77</v>
      </c>
      <c r="BD1126" s="3" t="s">
        <v>78</v>
      </c>
      <c r="BE1126" s="3" t="s">
        <v>11303</v>
      </c>
      <c r="BF1126" s="3" t="s">
        <v>11302</v>
      </c>
      <c r="BG1126" s="3" t="s">
        <v>11304</v>
      </c>
      <c r="BH1126">
        <f t="shared" si="34"/>
        <v>0</v>
      </c>
    </row>
    <row r="1127" spans="1:60" ht="58" x14ac:dyDescent="0.35">
      <c r="A1127" s="2" t="s">
        <v>59</v>
      </c>
      <c r="B1127" s="2" t="s">
        <v>60</v>
      </c>
      <c r="C1127" s="2" t="s">
        <v>11305</v>
      </c>
      <c r="D1127" s="2" t="s">
        <v>11306</v>
      </c>
      <c r="E1127" s="2" t="s">
        <v>11307</v>
      </c>
      <c r="G1127" s="3" t="s">
        <v>64</v>
      </c>
      <c r="I1127" s="3" t="s">
        <v>64</v>
      </c>
      <c r="J1127" s="3" t="s">
        <v>64</v>
      </c>
      <c r="K1127" s="3" t="s">
        <v>65</v>
      </c>
      <c r="L1127" s="2" t="s">
        <v>11308</v>
      </c>
      <c r="M1127" s="2" t="s">
        <v>11309</v>
      </c>
      <c r="N1127" s="3" t="s">
        <v>253</v>
      </c>
      <c r="P1127" s="3" t="s">
        <v>102</v>
      </c>
      <c r="R1127" s="3" t="s">
        <v>70</v>
      </c>
      <c r="S1127" s="4">
        <v>1</v>
      </c>
      <c r="T1127" s="4">
        <v>1</v>
      </c>
      <c r="U1127" s="5" t="s">
        <v>11310</v>
      </c>
      <c r="V1127" s="5" t="s">
        <v>11310</v>
      </c>
      <c r="W1127" s="5" t="s">
        <v>72</v>
      </c>
      <c r="X1127" s="5" t="s">
        <v>72</v>
      </c>
      <c r="Y1127" s="4">
        <v>75</v>
      </c>
      <c r="Z1127" s="4">
        <v>5</v>
      </c>
      <c r="AA1127" s="4">
        <v>5</v>
      </c>
      <c r="AB1127" s="4">
        <v>1</v>
      </c>
      <c r="AC1127" s="4">
        <v>1</v>
      </c>
      <c r="AD1127" s="4">
        <v>46</v>
      </c>
      <c r="AE1127" s="4">
        <v>46</v>
      </c>
      <c r="AF1127" s="4">
        <v>0</v>
      </c>
      <c r="AG1127" s="4">
        <v>0</v>
      </c>
      <c r="AH1127" s="4">
        <v>43</v>
      </c>
      <c r="AI1127" s="4">
        <v>43</v>
      </c>
      <c r="AJ1127" s="4">
        <v>2</v>
      </c>
      <c r="AK1127" s="4">
        <v>2</v>
      </c>
      <c r="AL1127" s="4">
        <v>34</v>
      </c>
      <c r="AM1127" s="4">
        <v>34</v>
      </c>
      <c r="AN1127" s="4">
        <v>0</v>
      </c>
      <c r="AO1127" s="4">
        <v>0</v>
      </c>
      <c r="AP1127" s="4">
        <v>2</v>
      </c>
      <c r="AQ1127" s="4">
        <v>2</v>
      </c>
      <c r="AR1127" s="3" t="s">
        <v>64</v>
      </c>
      <c r="AS1127" s="3" t="s">
        <v>64</v>
      </c>
      <c r="AT1127" s="3" t="s">
        <v>64</v>
      </c>
      <c r="AV1127" s="6" t="str">
        <f>HYPERLINK("http://mcgill.on.worldcat.org/oclc/919068636","Catalog Record")</f>
        <v>Catalog Record</v>
      </c>
      <c r="AW1127" s="6" t="str">
        <f>HYPERLINK("http://www.worldcat.org/oclc/919068636","WorldCat Record")</f>
        <v>WorldCat Record</v>
      </c>
      <c r="AX1127" s="3" t="s">
        <v>11311</v>
      </c>
      <c r="AY1127" s="3" t="s">
        <v>11312</v>
      </c>
      <c r="AZ1127" s="3" t="s">
        <v>11313</v>
      </c>
      <c r="BA1127" s="3" t="s">
        <v>11313</v>
      </c>
      <c r="BB1127" s="3" t="s">
        <v>11314</v>
      </c>
      <c r="BC1127" s="3" t="s">
        <v>77</v>
      </c>
      <c r="BD1127" s="3" t="s">
        <v>78</v>
      </c>
      <c r="BE1127" s="3" t="s">
        <v>11315</v>
      </c>
      <c r="BF1127" s="3" t="s">
        <v>11314</v>
      </c>
      <c r="BG1127" s="3" t="s">
        <v>11316</v>
      </c>
      <c r="BH1127">
        <f t="shared" si="34"/>
        <v>0</v>
      </c>
    </row>
    <row r="1128" spans="1:60" ht="58" x14ac:dyDescent="0.35">
      <c r="A1128" s="2" t="s">
        <v>59</v>
      </c>
      <c r="B1128" s="2" t="s">
        <v>60</v>
      </c>
      <c r="C1128" s="2" t="s">
        <v>11317</v>
      </c>
      <c r="D1128" s="2" t="s">
        <v>11318</v>
      </c>
      <c r="E1128" s="2" t="s">
        <v>11319</v>
      </c>
      <c r="G1128" s="3" t="s">
        <v>64</v>
      </c>
      <c r="I1128" s="3" t="s">
        <v>64</v>
      </c>
      <c r="J1128" s="3" t="s">
        <v>64</v>
      </c>
      <c r="K1128" s="3" t="s">
        <v>65</v>
      </c>
      <c r="L1128" s="2" t="s">
        <v>11320</v>
      </c>
      <c r="M1128" s="2" t="s">
        <v>11321</v>
      </c>
      <c r="N1128" s="3" t="s">
        <v>291</v>
      </c>
      <c r="P1128" s="3" t="s">
        <v>102</v>
      </c>
      <c r="R1128" s="3" t="s">
        <v>70</v>
      </c>
      <c r="S1128" s="4">
        <v>27</v>
      </c>
      <c r="T1128" s="4">
        <v>27</v>
      </c>
      <c r="U1128" s="5" t="s">
        <v>11322</v>
      </c>
      <c r="V1128" s="5" t="s">
        <v>11322</v>
      </c>
      <c r="W1128" s="5" t="s">
        <v>72</v>
      </c>
      <c r="X1128" s="5" t="s">
        <v>72</v>
      </c>
      <c r="Y1128" s="4">
        <v>83</v>
      </c>
      <c r="Z1128" s="4">
        <v>7</v>
      </c>
      <c r="AA1128" s="4">
        <v>10</v>
      </c>
      <c r="AB1128" s="4">
        <v>1</v>
      </c>
      <c r="AC1128" s="4">
        <v>1</v>
      </c>
      <c r="AD1128" s="4">
        <v>44</v>
      </c>
      <c r="AE1128" s="4">
        <v>46</v>
      </c>
      <c r="AF1128" s="4">
        <v>0</v>
      </c>
      <c r="AG1128" s="4">
        <v>0</v>
      </c>
      <c r="AH1128" s="4">
        <v>41</v>
      </c>
      <c r="AI1128" s="4">
        <v>43</v>
      </c>
      <c r="AJ1128" s="4">
        <v>4</v>
      </c>
      <c r="AK1128" s="4">
        <v>5</v>
      </c>
      <c r="AL1128" s="4">
        <v>29</v>
      </c>
      <c r="AM1128" s="4">
        <v>31</v>
      </c>
      <c r="AN1128" s="4">
        <v>0</v>
      </c>
      <c r="AO1128" s="4">
        <v>0</v>
      </c>
      <c r="AP1128" s="4">
        <v>6</v>
      </c>
      <c r="AQ1128" s="4">
        <v>7</v>
      </c>
      <c r="AR1128" s="3" t="s">
        <v>64</v>
      </c>
      <c r="AS1128" s="3" t="s">
        <v>64</v>
      </c>
      <c r="AT1128" s="3" t="s">
        <v>128</v>
      </c>
      <c r="AU1128" s="6" t="str">
        <f>HYPERLINK("http://catalog.hathitrust.org/Record/005624276","HathiTrust Record")</f>
        <v>HathiTrust Record</v>
      </c>
      <c r="AV1128" s="6" t="str">
        <f>HYPERLINK("http://mcgill.on.worldcat.org/oclc/181072796","Catalog Record")</f>
        <v>Catalog Record</v>
      </c>
      <c r="AW1128" s="6" t="str">
        <f>HYPERLINK("http://www.worldcat.org/oclc/181072796","WorldCat Record")</f>
        <v>WorldCat Record</v>
      </c>
      <c r="AX1128" s="3" t="s">
        <v>11323</v>
      </c>
      <c r="AY1128" s="3" t="s">
        <v>11324</v>
      </c>
      <c r="AZ1128" s="3" t="s">
        <v>11325</v>
      </c>
      <c r="BA1128" s="3" t="s">
        <v>11325</v>
      </c>
      <c r="BB1128" s="3" t="s">
        <v>11326</v>
      </c>
      <c r="BC1128" s="3" t="s">
        <v>77</v>
      </c>
      <c r="BD1128" s="3" t="s">
        <v>165</v>
      </c>
      <c r="BE1128" s="3" t="s">
        <v>11327</v>
      </c>
      <c r="BF1128" s="3" t="s">
        <v>11326</v>
      </c>
      <c r="BG1128" s="3" t="s">
        <v>11328</v>
      </c>
      <c r="BH1128">
        <f t="shared" si="34"/>
        <v>0</v>
      </c>
    </row>
    <row r="1129" spans="1:60" ht="58" x14ac:dyDescent="0.35">
      <c r="A1129" s="2" t="s">
        <v>59</v>
      </c>
      <c r="B1129" s="2" t="s">
        <v>60</v>
      </c>
      <c r="C1129" s="2" t="s">
        <v>11329</v>
      </c>
      <c r="D1129" s="2" t="s">
        <v>11330</v>
      </c>
      <c r="E1129" s="2" t="s">
        <v>11331</v>
      </c>
      <c r="G1129" s="3" t="s">
        <v>64</v>
      </c>
      <c r="I1129" s="3" t="s">
        <v>64</v>
      </c>
      <c r="J1129" s="3" t="s">
        <v>64</v>
      </c>
      <c r="K1129" s="3" t="s">
        <v>65</v>
      </c>
      <c r="L1129" s="2" t="s">
        <v>11332</v>
      </c>
      <c r="M1129" s="2" t="s">
        <v>11333</v>
      </c>
      <c r="N1129" s="3" t="s">
        <v>551</v>
      </c>
      <c r="P1129" s="3" t="s">
        <v>102</v>
      </c>
      <c r="R1129" s="3" t="s">
        <v>70</v>
      </c>
      <c r="S1129" s="4">
        <v>18</v>
      </c>
      <c r="T1129" s="4">
        <v>18</v>
      </c>
      <c r="U1129" s="5" t="s">
        <v>11334</v>
      </c>
      <c r="V1129" s="5" t="s">
        <v>11334</v>
      </c>
      <c r="W1129" s="5" t="s">
        <v>72</v>
      </c>
      <c r="X1129" s="5" t="s">
        <v>72</v>
      </c>
      <c r="Y1129" s="4">
        <v>45</v>
      </c>
      <c r="Z1129" s="4">
        <v>7</v>
      </c>
      <c r="AA1129" s="4">
        <v>7</v>
      </c>
      <c r="AB1129" s="4">
        <v>1</v>
      </c>
      <c r="AC1129" s="4">
        <v>1</v>
      </c>
      <c r="AD1129" s="4">
        <v>30</v>
      </c>
      <c r="AE1129" s="4">
        <v>30</v>
      </c>
      <c r="AF1129" s="4">
        <v>0</v>
      </c>
      <c r="AG1129" s="4">
        <v>0</v>
      </c>
      <c r="AH1129" s="4">
        <v>30</v>
      </c>
      <c r="AI1129" s="4">
        <v>30</v>
      </c>
      <c r="AJ1129" s="4">
        <v>5</v>
      </c>
      <c r="AK1129" s="4">
        <v>5</v>
      </c>
      <c r="AL1129" s="4">
        <v>24</v>
      </c>
      <c r="AM1129" s="4">
        <v>24</v>
      </c>
      <c r="AN1129" s="4">
        <v>0</v>
      </c>
      <c r="AO1129" s="4">
        <v>0</v>
      </c>
      <c r="AP1129" s="4">
        <v>5</v>
      </c>
      <c r="AQ1129" s="4">
        <v>5</v>
      </c>
      <c r="AR1129" s="3" t="s">
        <v>64</v>
      </c>
      <c r="AS1129" s="3" t="s">
        <v>64</v>
      </c>
      <c r="AT1129" s="3" t="s">
        <v>64</v>
      </c>
      <c r="AV1129" s="6" t="str">
        <f>HYPERLINK("http://mcgill.on.worldcat.org/oclc/493992645","Catalog Record")</f>
        <v>Catalog Record</v>
      </c>
      <c r="AW1129" s="6" t="str">
        <f>HYPERLINK("http://www.worldcat.org/oclc/493992645","WorldCat Record")</f>
        <v>WorldCat Record</v>
      </c>
      <c r="AX1129" s="3" t="s">
        <v>11335</v>
      </c>
      <c r="AY1129" s="3" t="s">
        <v>11336</v>
      </c>
      <c r="AZ1129" s="3" t="s">
        <v>11337</v>
      </c>
      <c r="BA1129" s="3" t="s">
        <v>11337</v>
      </c>
      <c r="BB1129" s="3" t="s">
        <v>11338</v>
      </c>
      <c r="BC1129" s="3" t="s">
        <v>77</v>
      </c>
      <c r="BD1129" s="3" t="s">
        <v>165</v>
      </c>
      <c r="BE1129" s="3" t="s">
        <v>11339</v>
      </c>
      <c r="BF1129" s="3" t="s">
        <v>11338</v>
      </c>
      <c r="BG1129" s="3" t="s">
        <v>11340</v>
      </c>
      <c r="BH1129">
        <f t="shared" si="34"/>
        <v>0</v>
      </c>
    </row>
    <row r="1130" spans="1:60" ht="58" x14ac:dyDescent="0.35">
      <c r="A1130" s="2" t="s">
        <v>59</v>
      </c>
      <c r="B1130" s="2" t="s">
        <v>60</v>
      </c>
      <c r="C1130" s="2" t="s">
        <v>11341</v>
      </c>
      <c r="D1130" s="2" t="s">
        <v>11342</v>
      </c>
      <c r="E1130" s="2" t="s">
        <v>11343</v>
      </c>
      <c r="G1130" s="3" t="s">
        <v>64</v>
      </c>
      <c r="I1130" s="3" t="s">
        <v>64</v>
      </c>
      <c r="J1130" s="3" t="s">
        <v>64</v>
      </c>
      <c r="K1130" s="3" t="s">
        <v>65</v>
      </c>
      <c r="M1130" s="2" t="s">
        <v>11344</v>
      </c>
      <c r="N1130" s="3" t="s">
        <v>434</v>
      </c>
      <c r="P1130" s="3" t="s">
        <v>102</v>
      </c>
      <c r="Q1130" s="2" t="s">
        <v>11345</v>
      </c>
      <c r="R1130" s="3" t="s">
        <v>70</v>
      </c>
      <c r="S1130" s="4">
        <v>16</v>
      </c>
      <c r="T1130" s="4">
        <v>16</v>
      </c>
      <c r="U1130" s="5" t="s">
        <v>11346</v>
      </c>
      <c r="V1130" s="5" t="s">
        <v>11346</v>
      </c>
      <c r="W1130" s="5" t="s">
        <v>72</v>
      </c>
      <c r="X1130" s="5" t="s">
        <v>72</v>
      </c>
      <c r="Y1130" s="4">
        <v>327</v>
      </c>
      <c r="Z1130" s="4">
        <v>19</v>
      </c>
      <c r="AA1130" s="4">
        <v>90</v>
      </c>
      <c r="AB1130" s="4">
        <v>1</v>
      </c>
      <c r="AC1130" s="4">
        <v>17</v>
      </c>
      <c r="AD1130" s="4">
        <v>101</v>
      </c>
      <c r="AE1130" s="4">
        <v>148</v>
      </c>
      <c r="AF1130" s="4">
        <v>0</v>
      </c>
      <c r="AG1130" s="4">
        <v>8</v>
      </c>
      <c r="AH1130" s="4">
        <v>92</v>
      </c>
      <c r="AI1130" s="4">
        <v>111</v>
      </c>
      <c r="AJ1130" s="4">
        <v>12</v>
      </c>
      <c r="AK1130" s="4">
        <v>24</v>
      </c>
      <c r="AL1130" s="4">
        <v>53</v>
      </c>
      <c r="AM1130" s="4">
        <v>59</v>
      </c>
      <c r="AN1130" s="4">
        <v>0</v>
      </c>
      <c r="AO1130" s="4">
        <v>0</v>
      </c>
      <c r="AP1130" s="4">
        <v>15</v>
      </c>
      <c r="AQ1130" s="4">
        <v>47</v>
      </c>
      <c r="AR1130" s="3" t="s">
        <v>64</v>
      </c>
      <c r="AS1130" s="3" t="s">
        <v>64</v>
      </c>
      <c r="AT1130" s="3" t="s">
        <v>64</v>
      </c>
      <c r="AV1130" s="6" t="str">
        <f>HYPERLINK("http://mcgill.on.worldcat.org/oclc/53932654","Catalog Record")</f>
        <v>Catalog Record</v>
      </c>
      <c r="AW1130" s="6" t="str">
        <f>HYPERLINK("http://www.worldcat.org/oclc/53932654","WorldCat Record")</f>
        <v>WorldCat Record</v>
      </c>
      <c r="AX1130" s="3" t="s">
        <v>11347</v>
      </c>
      <c r="AY1130" s="3" t="s">
        <v>11348</v>
      </c>
      <c r="AZ1130" s="3" t="s">
        <v>11349</v>
      </c>
      <c r="BA1130" s="3" t="s">
        <v>11349</v>
      </c>
      <c r="BB1130" s="3" t="s">
        <v>11350</v>
      </c>
      <c r="BC1130" s="3" t="s">
        <v>77</v>
      </c>
      <c r="BD1130" s="3" t="s">
        <v>165</v>
      </c>
      <c r="BE1130" s="3" t="s">
        <v>11351</v>
      </c>
      <c r="BF1130" s="3" t="s">
        <v>11350</v>
      </c>
      <c r="BG1130" s="3" t="s">
        <v>11352</v>
      </c>
      <c r="BH1130">
        <f t="shared" si="34"/>
        <v>0</v>
      </c>
    </row>
    <row r="1131" spans="1:60" ht="116" x14ac:dyDescent="0.35">
      <c r="A1131" s="2" t="s">
        <v>59</v>
      </c>
      <c r="B1131" s="2" t="s">
        <v>1183</v>
      </c>
      <c r="C1131" s="2" t="s">
        <v>11353</v>
      </c>
      <c r="D1131" s="2" t="s">
        <v>11354</v>
      </c>
      <c r="E1131" s="2" t="s">
        <v>11355</v>
      </c>
      <c r="G1131" s="3" t="s">
        <v>64</v>
      </c>
      <c r="I1131" s="3" t="s">
        <v>64</v>
      </c>
      <c r="J1131" s="3" t="s">
        <v>64</v>
      </c>
      <c r="K1131" s="3" t="s">
        <v>65</v>
      </c>
      <c r="M1131" s="2" t="s">
        <v>11356</v>
      </c>
      <c r="N1131" s="3" t="s">
        <v>171</v>
      </c>
      <c r="O1131" s="2" t="s">
        <v>11357</v>
      </c>
      <c r="P1131" s="3" t="s">
        <v>1190</v>
      </c>
      <c r="R1131" s="3" t="s">
        <v>70</v>
      </c>
      <c r="S1131" s="4">
        <v>1</v>
      </c>
      <c r="T1131" s="4">
        <v>1</v>
      </c>
      <c r="U1131" s="5" t="s">
        <v>11358</v>
      </c>
      <c r="V1131" s="5" t="s">
        <v>11358</v>
      </c>
      <c r="W1131" s="5" t="s">
        <v>72</v>
      </c>
      <c r="X1131" s="5" t="s">
        <v>72</v>
      </c>
      <c r="Y1131" s="4">
        <v>34</v>
      </c>
      <c r="Z1131" s="4">
        <v>4</v>
      </c>
      <c r="AA1131" s="4">
        <v>4</v>
      </c>
      <c r="AB1131" s="4">
        <v>1</v>
      </c>
      <c r="AC1131" s="4">
        <v>1</v>
      </c>
      <c r="AD1131" s="4">
        <v>24</v>
      </c>
      <c r="AE1131" s="4">
        <v>24</v>
      </c>
      <c r="AF1131" s="4">
        <v>0</v>
      </c>
      <c r="AG1131" s="4">
        <v>0</v>
      </c>
      <c r="AH1131" s="4">
        <v>22</v>
      </c>
      <c r="AI1131" s="4">
        <v>22</v>
      </c>
      <c r="AJ1131" s="4">
        <v>2</v>
      </c>
      <c r="AK1131" s="4">
        <v>2</v>
      </c>
      <c r="AL1131" s="4">
        <v>22</v>
      </c>
      <c r="AM1131" s="4">
        <v>22</v>
      </c>
      <c r="AN1131" s="4">
        <v>0</v>
      </c>
      <c r="AO1131" s="4">
        <v>0</v>
      </c>
      <c r="AP1131" s="4">
        <v>2</v>
      </c>
      <c r="AQ1131" s="4">
        <v>2</v>
      </c>
      <c r="AR1131" s="3" t="s">
        <v>64</v>
      </c>
      <c r="AS1131" s="3" t="s">
        <v>64</v>
      </c>
      <c r="AT1131" s="3" t="s">
        <v>64</v>
      </c>
      <c r="AV1131" s="6" t="str">
        <f>HYPERLINK("http://mcgill.on.worldcat.org/oclc/68556537","Catalog Record")</f>
        <v>Catalog Record</v>
      </c>
      <c r="AW1131" s="6" t="str">
        <f>HYPERLINK("http://www.worldcat.org/oclc/68556537","WorldCat Record")</f>
        <v>WorldCat Record</v>
      </c>
      <c r="AX1131" s="3" t="s">
        <v>11359</v>
      </c>
      <c r="AY1131" s="3" t="s">
        <v>11360</v>
      </c>
      <c r="AZ1131" s="3" t="s">
        <v>11361</v>
      </c>
      <c r="BA1131" s="3" t="s">
        <v>11361</v>
      </c>
      <c r="BB1131" s="3" t="s">
        <v>11362</v>
      </c>
      <c r="BC1131" s="3" t="s">
        <v>77</v>
      </c>
      <c r="BD1131" s="3" t="s">
        <v>78</v>
      </c>
      <c r="BE1131" s="3" t="s">
        <v>11363</v>
      </c>
      <c r="BF1131" s="3" t="s">
        <v>11362</v>
      </c>
      <c r="BG1131" s="3" t="s">
        <v>11364</v>
      </c>
      <c r="BH1131">
        <f t="shared" si="34"/>
        <v>0</v>
      </c>
    </row>
    <row r="1132" spans="1:60" ht="58" x14ac:dyDescent="0.35">
      <c r="A1132" s="2" t="s">
        <v>59</v>
      </c>
      <c r="B1132" s="2" t="s">
        <v>60</v>
      </c>
      <c r="C1132" s="2" t="s">
        <v>11365</v>
      </c>
      <c r="D1132" s="2" t="s">
        <v>11366</v>
      </c>
      <c r="E1132" s="2" t="s">
        <v>11367</v>
      </c>
      <c r="G1132" s="3" t="s">
        <v>64</v>
      </c>
      <c r="I1132" s="3" t="s">
        <v>64</v>
      </c>
      <c r="J1132" s="3" t="s">
        <v>64</v>
      </c>
      <c r="K1132" s="3" t="s">
        <v>65</v>
      </c>
      <c r="M1132" s="2" t="s">
        <v>3294</v>
      </c>
      <c r="N1132" s="3" t="s">
        <v>511</v>
      </c>
      <c r="P1132" s="3" t="s">
        <v>102</v>
      </c>
      <c r="Q1132" s="2" t="s">
        <v>11368</v>
      </c>
      <c r="R1132" s="3" t="s">
        <v>70</v>
      </c>
      <c r="S1132" s="4">
        <v>6</v>
      </c>
      <c r="T1132" s="4">
        <v>6</v>
      </c>
      <c r="U1132" s="5" t="s">
        <v>11346</v>
      </c>
      <c r="V1132" s="5" t="s">
        <v>11346</v>
      </c>
      <c r="W1132" s="5" t="s">
        <v>72</v>
      </c>
      <c r="X1132" s="5" t="s">
        <v>72</v>
      </c>
      <c r="Y1132" s="4">
        <v>129</v>
      </c>
      <c r="Z1132" s="4">
        <v>9</v>
      </c>
      <c r="AA1132" s="4">
        <v>89</v>
      </c>
      <c r="AB1132" s="4">
        <v>1</v>
      </c>
      <c r="AC1132" s="4">
        <v>17</v>
      </c>
      <c r="AD1132" s="4">
        <v>60</v>
      </c>
      <c r="AE1132" s="4">
        <v>123</v>
      </c>
      <c r="AF1132" s="4">
        <v>0</v>
      </c>
      <c r="AG1132" s="4">
        <v>8</v>
      </c>
      <c r="AH1132" s="4">
        <v>57</v>
      </c>
      <c r="AI1132" s="4">
        <v>87</v>
      </c>
      <c r="AJ1132" s="4">
        <v>6</v>
      </c>
      <c r="AK1132" s="4">
        <v>21</v>
      </c>
      <c r="AL1132" s="4">
        <v>41</v>
      </c>
      <c r="AM1132" s="4">
        <v>50</v>
      </c>
      <c r="AN1132" s="4">
        <v>0</v>
      </c>
      <c r="AO1132" s="4">
        <v>0</v>
      </c>
      <c r="AP1132" s="4">
        <v>6</v>
      </c>
      <c r="AQ1132" s="4">
        <v>42</v>
      </c>
      <c r="AR1132" s="3" t="s">
        <v>64</v>
      </c>
      <c r="AS1132" s="3" t="s">
        <v>64</v>
      </c>
      <c r="AT1132" s="3" t="s">
        <v>64</v>
      </c>
      <c r="AV1132" s="6" t="str">
        <f>HYPERLINK("http://mcgill.on.worldcat.org/oclc/614983435","Catalog Record")</f>
        <v>Catalog Record</v>
      </c>
      <c r="AW1132" s="6" t="str">
        <f>HYPERLINK("http://www.worldcat.org/oclc/614983435","WorldCat Record")</f>
        <v>WorldCat Record</v>
      </c>
      <c r="AX1132" s="3" t="s">
        <v>11369</v>
      </c>
      <c r="AY1132" s="3" t="s">
        <v>11370</v>
      </c>
      <c r="AZ1132" s="3" t="s">
        <v>11371</v>
      </c>
      <c r="BA1132" s="3" t="s">
        <v>11371</v>
      </c>
      <c r="BB1132" s="3" t="s">
        <v>11372</v>
      </c>
      <c r="BC1132" s="3" t="s">
        <v>77</v>
      </c>
      <c r="BD1132" s="3" t="s">
        <v>165</v>
      </c>
      <c r="BE1132" s="3" t="s">
        <v>11373</v>
      </c>
      <c r="BF1132" s="3" t="s">
        <v>11372</v>
      </c>
      <c r="BG1132" s="3" t="s">
        <v>11374</v>
      </c>
      <c r="BH1132">
        <f t="shared" si="34"/>
        <v>0</v>
      </c>
    </row>
    <row r="1133" spans="1:60" ht="116" x14ac:dyDescent="0.35">
      <c r="A1133" s="2" t="s">
        <v>59</v>
      </c>
      <c r="B1133" s="2" t="s">
        <v>1183</v>
      </c>
      <c r="C1133" s="2" t="s">
        <v>11375</v>
      </c>
      <c r="D1133" s="2" t="s">
        <v>11376</v>
      </c>
      <c r="E1133" s="2" t="s">
        <v>11377</v>
      </c>
      <c r="G1133" s="3" t="s">
        <v>64</v>
      </c>
      <c r="I1133" s="3" t="s">
        <v>64</v>
      </c>
      <c r="J1133" s="3" t="s">
        <v>64</v>
      </c>
      <c r="K1133" s="3" t="s">
        <v>65</v>
      </c>
      <c r="L1133" s="2" t="s">
        <v>11378</v>
      </c>
      <c r="M1133" s="2" t="s">
        <v>11379</v>
      </c>
      <c r="N1133" s="3" t="s">
        <v>101</v>
      </c>
      <c r="O1133" s="2" t="s">
        <v>1189</v>
      </c>
      <c r="P1133" s="3" t="s">
        <v>1190</v>
      </c>
      <c r="Q1133" s="2" t="s">
        <v>11380</v>
      </c>
      <c r="R1133" s="3" t="s">
        <v>70</v>
      </c>
      <c r="S1133" s="4">
        <v>17</v>
      </c>
      <c r="T1133" s="4">
        <v>17</v>
      </c>
      <c r="U1133" s="5" t="s">
        <v>1441</v>
      </c>
      <c r="V1133" s="5" t="s">
        <v>1441</v>
      </c>
      <c r="W1133" s="5" t="s">
        <v>72</v>
      </c>
      <c r="X1133" s="5" t="s">
        <v>72</v>
      </c>
      <c r="Y1133" s="4">
        <v>57</v>
      </c>
      <c r="Z1133" s="4">
        <v>4</v>
      </c>
      <c r="AA1133" s="4">
        <v>4</v>
      </c>
      <c r="AB1133" s="4">
        <v>1</v>
      </c>
      <c r="AC1133" s="4">
        <v>1</v>
      </c>
      <c r="AD1133" s="4">
        <v>24</v>
      </c>
      <c r="AE1133" s="4">
        <v>28</v>
      </c>
      <c r="AF1133" s="4">
        <v>0</v>
      </c>
      <c r="AG1133" s="4">
        <v>0</v>
      </c>
      <c r="AH1133" s="4">
        <v>22</v>
      </c>
      <c r="AI1133" s="4">
        <v>26</v>
      </c>
      <c r="AJ1133" s="4">
        <v>2</v>
      </c>
      <c r="AK1133" s="4">
        <v>2</v>
      </c>
      <c r="AL1133" s="4">
        <v>19</v>
      </c>
      <c r="AM1133" s="4">
        <v>23</v>
      </c>
      <c r="AN1133" s="4">
        <v>0</v>
      </c>
      <c r="AO1133" s="4">
        <v>0</v>
      </c>
      <c r="AP1133" s="4">
        <v>2</v>
      </c>
      <c r="AQ1133" s="4">
        <v>2</v>
      </c>
      <c r="AR1133" s="3" t="s">
        <v>64</v>
      </c>
      <c r="AS1133" s="3" t="s">
        <v>64</v>
      </c>
      <c r="AT1133" s="3" t="s">
        <v>64</v>
      </c>
      <c r="AV1133" s="6" t="str">
        <f>HYPERLINK("http://mcgill.on.worldcat.org/oclc/52639755","Catalog Record")</f>
        <v>Catalog Record</v>
      </c>
      <c r="AW1133" s="6" t="str">
        <f>HYPERLINK("http://www.worldcat.org/oclc/52639755","WorldCat Record")</f>
        <v>WorldCat Record</v>
      </c>
      <c r="AX1133" s="3" t="s">
        <v>11381</v>
      </c>
      <c r="AY1133" s="3" t="s">
        <v>11382</v>
      </c>
      <c r="AZ1133" s="3" t="s">
        <v>11383</v>
      </c>
      <c r="BA1133" s="3" t="s">
        <v>11383</v>
      </c>
      <c r="BB1133" s="3" t="s">
        <v>11384</v>
      </c>
      <c r="BC1133" s="3" t="s">
        <v>77</v>
      </c>
      <c r="BD1133" s="3" t="s">
        <v>78</v>
      </c>
      <c r="BE1133" s="3" t="s">
        <v>11385</v>
      </c>
      <c r="BF1133" s="3" t="s">
        <v>11384</v>
      </c>
      <c r="BG1133" s="3" t="s">
        <v>11386</v>
      </c>
      <c r="BH1133">
        <f t="shared" si="34"/>
        <v>0</v>
      </c>
    </row>
    <row r="1134" spans="1:60" ht="72.5" x14ac:dyDescent="0.35">
      <c r="A1134" s="2" t="s">
        <v>59</v>
      </c>
      <c r="B1134" s="2" t="s">
        <v>60</v>
      </c>
      <c r="C1134" s="2" t="s">
        <v>11387</v>
      </c>
      <c r="D1134" s="2" t="s">
        <v>11388</v>
      </c>
      <c r="E1134" s="2" t="s">
        <v>11389</v>
      </c>
      <c r="G1134" s="3" t="s">
        <v>64</v>
      </c>
      <c r="I1134" s="3" t="s">
        <v>64</v>
      </c>
      <c r="J1134" s="3" t="s">
        <v>64</v>
      </c>
      <c r="K1134" s="3" t="s">
        <v>65</v>
      </c>
      <c r="M1134" s="2" t="s">
        <v>11390</v>
      </c>
      <c r="N1134" s="3" t="s">
        <v>253</v>
      </c>
      <c r="P1134" s="3" t="s">
        <v>68</v>
      </c>
      <c r="Q1134" s="2" t="s">
        <v>11391</v>
      </c>
      <c r="R1134" s="3" t="s">
        <v>70</v>
      </c>
      <c r="S1134" s="4">
        <v>0</v>
      </c>
      <c r="T1134" s="4">
        <v>0</v>
      </c>
      <c r="W1134" s="5" t="s">
        <v>72</v>
      </c>
      <c r="X1134" s="5" t="s">
        <v>72</v>
      </c>
      <c r="Y1134" s="4">
        <v>41</v>
      </c>
      <c r="Z1134" s="4">
        <v>3</v>
      </c>
      <c r="AA1134" s="4">
        <v>3</v>
      </c>
      <c r="AB1134" s="4">
        <v>1</v>
      </c>
      <c r="AC1134" s="4">
        <v>1</v>
      </c>
      <c r="AD1134" s="4">
        <v>21</v>
      </c>
      <c r="AE1134" s="4">
        <v>21</v>
      </c>
      <c r="AF1134" s="4">
        <v>0</v>
      </c>
      <c r="AG1134" s="4">
        <v>0</v>
      </c>
      <c r="AH1134" s="4">
        <v>20</v>
      </c>
      <c r="AI1134" s="4">
        <v>20</v>
      </c>
      <c r="AJ1134" s="4">
        <v>1</v>
      </c>
      <c r="AK1134" s="4">
        <v>1</v>
      </c>
      <c r="AL1134" s="4">
        <v>18</v>
      </c>
      <c r="AM1134" s="4">
        <v>18</v>
      </c>
      <c r="AN1134" s="4">
        <v>0</v>
      </c>
      <c r="AO1134" s="4">
        <v>0</v>
      </c>
      <c r="AP1134" s="4">
        <v>1</v>
      </c>
      <c r="AQ1134" s="4">
        <v>1</v>
      </c>
      <c r="AR1134" s="3" t="s">
        <v>64</v>
      </c>
      <c r="AS1134" s="3" t="s">
        <v>64</v>
      </c>
      <c r="AT1134" s="3" t="s">
        <v>64</v>
      </c>
      <c r="AV1134" s="6" t="str">
        <f>HYPERLINK("http://mcgill.on.worldcat.org/oclc/925300037","Catalog Record")</f>
        <v>Catalog Record</v>
      </c>
      <c r="AW1134" s="6" t="str">
        <f>HYPERLINK("http://www.worldcat.org/oclc/925300037","WorldCat Record")</f>
        <v>WorldCat Record</v>
      </c>
      <c r="AX1134" s="3" t="s">
        <v>11392</v>
      </c>
      <c r="AY1134" s="3" t="s">
        <v>11393</v>
      </c>
      <c r="AZ1134" s="3" t="s">
        <v>11394</v>
      </c>
      <c r="BA1134" s="3" t="s">
        <v>11394</v>
      </c>
      <c r="BB1134" s="3" t="s">
        <v>11395</v>
      </c>
      <c r="BC1134" s="3" t="s">
        <v>77</v>
      </c>
      <c r="BD1134" s="3" t="s">
        <v>78</v>
      </c>
      <c r="BE1134" s="3" t="s">
        <v>11396</v>
      </c>
      <c r="BF1134" s="3" t="s">
        <v>11395</v>
      </c>
      <c r="BG1134" s="3" t="s">
        <v>11397</v>
      </c>
      <c r="BH1134">
        <f t="shared" si="34"/>
        <v>0</v>
      </c>
    </row>
    <row r="1135" spans="1:60" ht="58" x14ac:dyDescent="0.35">
      <c r="A1135" s="2" t="s">
        <v>59</v>
      </c>
      <c r="B1135" s="2" t="s">
        <v>60</v>
      </c>
      <c r="C1135" s="2" t="s">
        <v>11398</v>
      </c>
      <c r="D1135" s="2" t="s">
        <v>11399</v>
      </c>
      <c r="E1135" s="2" t="s">
        <v>11400</v>
      </c>
      <c r="G1135" s="3" t="s">
        <v>64</v>
      </c>
      <c r="I1135" s="3" t="s">
        <v>64</v>
      </c>
      <c r="J1135" s="3" t="s">
        <v>64</v>
      </c>
      <c r="K1135" s="3" t="s">
        <v>65</v>
      </c>
      <c r="M1135" s="2" t="s">
        <v>11401</v>
      </c>
      <c r="N1135" s="3" t="s">
        <v>537</v>
      </c>
      <c r="P1135" s="3" t="s">
        <v>102</v>
      </c>
      <c r="Q1135" s="2" t="s">
        <v>11402</v>
      </c>
      <c r="R1135" s="3" t="s">
        <v>70</v>
      </c>
      <c r="S1135" s="4">
        <v>1</v>
      </c>
      <c r="T1135" s="4">
        <v>1</v>
      </c>
      <c r="U1135" s="5" t="s">
        <v>11403</v>
      </c>
      <c r="V1135" s="5" t="s">
        <v>11403</v>
      </c>
      <c r="W1135" s="5" t="s">
        <v>72</v>
      </c>
      <c r="X1135" s="5" t="s">
        <v>72</v>
      </c>
      <c r="Y1135" s="4">
        <v>21</v>
      </c>
      <c r="Z1135" s="4">
        <v>1</v>
      </c>
      <c r="AA1135" s="4">
        <v>1</v>
      </c>
      <c r="AB1135" s="4">
        <v>1</v>
      </c>
      <c r="AC1135" s="4">
        <v>1</v>
      </c>
      <c r="AD1135" s="4">
        <v>13</v>
      </c>
      <c r="AE1135" s="4">
        <v>13</v>
      </c>
      <c r="AF1135" s="4">
        <v>0</v>
      </c>
      <c r="AG1135" s="4">
        <v>0</v>
      </c>
      <c r="AH1135" s="4">
        <v>12</v>
      </c>
      <c r="AI1135" s="4">
        <v>12</v>
      </c>
      <c r="AJ1135" s="4">
        <v>0</v>
      </c>
      <c r="AK1135" s="4">
        <v>0</v>
      </c>
      <c r="AL1135" s="4">
        <v>11</v>
      </c>
      <c r="AM1135" s="4">
        <v>11</v>
      </c>
      <c r="AN1135" s="4">
        <v>0</v>
      </c>
      <c r="AO1135" s="4">
        <v>0</v>
      </c>
      <c r="AP1135" s="4">
        <v>0</v>
      </c>
      <c r="AQ1135" s="4">
        <v>0</v>
      </c>
      <c r="AR1135" s="3" t="s">
        <v>64</v>
      </c>
      <c r="AS1135" s="3" t="s">
        <v>64</v>
      </c>
      <c r="AT1135" s="3" t="s">
        <v>64</v>
      </c>
      <c r="AV1135" s="6" t="str">
        <f>HYPERLINK("http://mcgill.on.worldcat.org/oclc/975273266","Catalog Record")</f>
        <v>Catalog Record</v>
      </c>
      <c r="AW1135" s="6" t="str">
        <f>HYPERLINK("http://www.worldcat.org/oclc/975273266","WorldCat Record")</f>
        <v>WorldCat Record</v>
      </c>
      <c r="AX1135" s="3" t="s">
        <v>11404</v>
      </c>
      <c r="AY1135" s="3" t="s">
        <v>11405</v>
      </c>
      <c r="AZ1135" s="3" t="s">
        <v>11406</v>
      </c>
      <c r="BA1135" s="3" t="s">
        <v>11406</v>
      </c>
      <c r="BB1135" s="3" t="s">
        <v>11407</v>
      </c>
      <c r="BC1135" s="3" t="s">
        <v>77</v>
      </c>
      <c r="BD1135" s="3" t="s">
        <v>78</v>
      </c>
      <c r="BE1135" s="3" t="s">
        <v>11408</v>
      </c>
      <c r="BF1135" s="3" t="s">
        <v>11407</v>
      </c>
      <c r="BG1135" s="3" t="s">
        <v>11409</v>
      </c>
      <c r="BH1135">
        <f t="shared" si="34"/>
        <v>0</v>
      </c>
    </row>
    <row r="1136" spans="1:60" ht="116" x14ac:dyDescent="0.35">
      <c r="A1136" s="2" t="s">
        <v>59</v>
      </c>
      <c r="B1136" s="2" t="s">
        <v>1183</v>
      </c>
      <c r="C1136" s="2" t="s">
        <v>11410</v>
      </c>
      <c r="D1136" s="2" t="s">
        <v>11411</v>
      </c>
      <c r="E1136" s="2" t="s">
        <v>11412</v>
      </c>
      <c r="G1136" s="3" t="s">
        <v>64</v>
      </c>
      <c r="I1136" s="3" t="s">
        <v>64</v>
      </c>
      <c r="J1136" s="3" t="s">
        <v>64</v>
      </c>
      <c r="K1136" s="3" t="s">
        <v>65</v>
      </c>
      <c r="L1136" s="2" t="s">
        <v>5106</v>
      </c>
      <c r="M1136" s="2" t="s">
        <v>11413</v>
      </c>
      <c r="N1136" s="3" t="s">
        <v>511</v>
      </c>
      <c r="O1136" s="2" t="s">
        <v>1189</v>
      </c>
      <c r="P1136" s="3" t="s">
        <v>1190</v>
      </c>
      <c r="Q1136" s="2" t="s">
        <v>11414</v>
      </c>
      <c r="R1136" s="3" t="s">
        <v>70</v>
      </c>
      <c r="S1136" s="4">
        <v>1</v>
      </c>
      <c r="T1136" s="4">
        <v>1</v>
      </c>
      <c r="U1136" s="5" t="s">
        <v>11415</v>
      </c>
      <c r="V1136" s="5" t="s">
        <v>11415</v>
      </c>
      <c r="W1136" s="5" t="s">
        <v>72</v>
      </c>
      <c r="X1136" s="5" t="s">
        <v>72</v>
      </c>
      <c r="Y1136" s="4">
        <v>20</v>
      </c>
      <c r="Z1136" s="4">
        <v>4</v>
      </c>
      <c r="AA1136" s="4">
        <v>4</v>
      </c>
      <c r="AB1136" s="4">
        <v>1</v>
      </c>
      <c r="AC1136" s="4">
        <v>1</v>
      </c>
      <c r="AD1136" s="4">
        <v>10</v>
      </c>
      <c r="AE1136" s="4">
        <v>10</v>
      </c>
      <c r="AF1136" s="4">
        <v>0</v>
      </c>
      <c r="AG1136" s="4">
        <v>0</v>
      </c>
      <c r="AH1136" s="4">
        <v>9</v>
      </c>
      <c r="AI1136" s="4">
        <v>9</v>
      </c>
      <c r="AJ1136" s="4">
        <v>2</v>
      </c>
      <c r="AK1136" s="4">
        <v>2</v>
      </c>
      <c r="AL1136" s="4">
        <v>8</v>
      </c>
      <c r="AM1136" s="4">
        <v>8</v>
      </c>
      <c r="AN1136" s="4">
        <v>0</v>
      </c>
      <c r="AO1136" s="4">
        <v>0</v>
      </c>
      <c r="AP1136" s="4">
        <v>2</v>
      </c>
      <c r="AQ1136" s="4">
        <v>2</v>
      </c>
      <c r="AR1136" s="3" t="s">
        <v>64</v>
      </c>
      <c r="AS1136" s="3" t="s">
        <v>64</v>
      </c>
      <c r="AT1136" s="3" t="s">
        <v>64</v>
      </c>
      <c r="AV1136" s="6" t="str">
        <f>HYPERLINK("http://mcgill.on.worldcat.org/oclc/697772805","Catalog Record")</f>
        <v>Catalog Record</v>
      </c>
      <c r="AW1136" s="6" t="str">
        <f>HYPERLINK("http://www.worldcat.org/oclc/697772805","WorldCat Record")</f>
        <v>WorldCat Record</v>
      </c>
      <c r="AX1136" s="3" t="s">
        <v>11416</v>
      </c>
      <c r="AY1136" s="3" t="s">
        <v>11417</v>
      </c>
      <c r="AZ1136" s="3" t="s">
        <v>11418</v>
      </c>
      <c r="BA1136" s="3" t="s">
        <v>11418</v>
      </c>
      <c r="BB1136" s="3" t="s">
        <v>11419</v>
      </c>
      <c r="BC1136" s="3" t="s">
        <v>77</v>
      </c>
      <c r="BD1136" s="3" t="s">
        <v>78</v>
      </c>
      <c r="BE1136" s="3" t="s">
        <v>11420</v>
      </c>
      <c r="BF1136" s="3" t="s">
        <v>11419</v>
      </c>
      <c r="BG1136" s="3" t="s">
        <v>11421</v>
      </c>
      <c r="BH1136">
        <f t="shared" si="34"/>
        <v>0</v>
      </c>
    </row>
    <row r="1137" spans="1:60" ht="116" x14ac:dyDescent="0.35">
      <c r="A1137" s="2" t="s">
        <v>59</v>
      </c>
      <c r="B1137" s="2" t="s">
        <v>1183</v>
      </c>
      <c r="C1137" s="2" t="s">
        <v>11422</v>
      </c>
      <c r="D1137" s="2" t="s">
        <v>11423</v>
      </c>
      <c r="E1137" s="2" t="s">
        <v>11424</v>
      </c>
      <c r="F1137" s="3" t="s">
        <v>522</v>
      </c>
      <c r="G1137" s="3" t="s">
        <v>128</v>
      </c>
      <c r="I1137" s="3" t="s">
        <v>64</v>
      </c>
      <c r="J1137" s="3" t="s">
        <v>64</v>
      </c>
      <c r="K1137" s="3" t="s">
        <v>65</v>
      </c>
      <c r="M1137" s="2" t="s">
        <v>11425</v>
      </c>
      <c r="N1137" s="3" t="s">
        <v>144</v>
      </c>
      <c r="O1137" s="2" t="s">
        <v>1189</v>
      </c>
      <c r="P1137" s="3" t="s">
        <v>1190</v>
      </c>
      <c r="R1137" s="3" t="s">
        <v>70</v>
      </c>
      <c r="S1137" s="4">
        <v>0</v>
      </c>
      <c r="T1137" s="4">
        <v>3</v>
      </c>
      <c r="V1137" s="5" t="s">
        <v>5038</v>
      </c>
      <c r="W1137" s="5" t="s">
        <v>72</v>
      </c>
      <c r="X1137" s="5" t="s">
        <v>72</v>
      </c>
      <c r="Y1137" s="4">
        <v>47</v>
      </c>
      <c r="Z1137" s="4">
        <v>5</v>
      </c>
      <c r="AA1137" s="4">
        <v>5</v>
      </c>
      <c r="AB1137" s="4">
        <v>1</v>
      </c>
      <c r="AC1137" s="4">
        <v>1</v>
      </c>
      <c r="AD1137" s="4">
        <v>31</v>
      </c>
      <c r="AE1137" s="4">
        <v>31</v>
      </c>
      <c r="AF1137" s="4">
        <v>0</v>
      </c>
      <c r="AG1137" s="4">
        <v>0</v>
      </c>
      <c r="AH1137" s="4">
        <v>30</v>
      </c>
      <c r="AI1137" s="4">
        <v>30</v>
      </c>
      <c r="AJ1137" s="4">
        <v>2</v>
      </c>
      <c r="AK1137" s="4">
        <v>2</v>
      </c>
      <c r="AL1137" s="4">
        <v>27</v>
      </c>
      <c r="AM1137" s="4">
        <v>27</v>
      </c>
      <c r="AN1137" s="4">
        <v>0</v>
      </c>
      <c r="AO1137" s="4">
        <v>0</v>
      </c>
      <c r="AP1137" s="4">
        <v>2</v>
      </c>
      <c r="AQ1137" s="4">
        <v>2</v>
      </c>
      <c r="AR1137" s="3" t="s">
        <v>64</v>
      </c>
      <c r="AS1137" s="3" t="s">
        <v>64</v>
      </c>
      <c r="AT1137" s="3" t="s">
        <v>128</v>
      </c>
      <c r="AU1137" s="6" t="str">
        <f t="shared" ref="AU1137:AU1145" si="35">HYPERLINK("http://catalog.hathitrust.org/Record/005989048","HathiTrust Record")</f>
        <v>HathiTrust Record</v>
      </c>
      <c r="AV1137" s="6" t="str">
        <f t="shared" ref="AV1137:AV1145" si="36">HYPERLINK("http://mcgill.on.worldcat.org/oclc/400645653","Catalog Record")</f>
        <v>Catalog Record</v>
      </c>
      <c r="AW1137" s="6" t="str">
        <f t="shared" ref="AW1137:AW1145" si="37">HYPERLINK("http://www.worldcat.org/oclc/400645653","WorldCat Record")</f>
        <v>WorldCat Record</v>
      </c>
      <c r="AX1137" s="3" t="s">
        <v>11426</v>
      </c>
      <c r="AY1137" s="3" t="s">
        <v>11427</v>
      </c>
      <c r="AZ1137" s="3" t="s">
        <v>11428</v>
      </c>
      <c r="BA1137" s="3" t="s">
        <v>11428</v>
      </c>
      <c r="BB1137" s="3" t="s">
        <v>11429</v>
      </c>
      <c r="BC1137" s="3" t="s">
        <v>77</v>
      </c>
      <c r="BD1137" s="3" t="s">
        <v>78</v>
      </c>
      <c r="BE1137" s="3" t="s">
        <v>11430</v>
      </c>
      <c r="BF1137" s="3" t="s">
        <v>11429</v>
      </c>
      <c r="BG1137" s="3" t="s">
        <v>11431</v>
      </c>
      <c r="BH1137">
        <f t="shared" si="34"/>
        <v>0</v>
      </c>
    </row>
    <row r="1138" spans="1:60" ht="116" x14ac:dyDescent="0.35">
      <c r="A1138" s="2" t="s">
        <v>59</v>
      </c>
      <c r="B1138" s="2" t="s">
        <v>1183</v>
      </c>
      <c r="C1138" s="2" t="s">
        <v>11422</v>
      </c>
      <c r="D1138" s="2" t="s">
        <v>11423</v>
      </c>
      <c r="E1138" s="2" t="s">
        <v>11424</v>
      </c>
      <c r="F1138" s="3" t="s">
        <v>529</v>
      </c>
      <c r="G1138" s="3" t="s">
        <v>128</v>
      </c>
      <c r="I1138" s="3" t="s">
        <v>64</v>
      </c>
      <c r="J1138" s="3" t="s">
        <v>64</v>
      </c>
      <c r="K1138" s="3" t="s">
        <v>65</v>
      </c>
      <c r="M1138" s="2" t="s">
        <v>11425</v>
      </c>
      <c r="N1138" s="3" t="s">
        <v>144</v>
      </c>
      <c r="O1138" s="2" t="s">
        <v>1189</v>
      </c>
      <c r="P1138" s="3" t="s">
        <v>1190</v>
      </c>
      <c r="R1138" s="3" t="s">
        <v>70</v>
      </c>
      <c r="S1138" s="4">
        <v>0</v>
      </c>
      <c r="T1138" s="4">
        <v>3</v>
      </c>
      <c r="V1138" s="5" t="s">
        <v>5038</v>
      </c>
      <c r="W1138" s="5" t="s">
        <v>72</v>
      </c>
      <c r="X1138" s="5" t="s">
        <v>72</v>
      </c>
      <c r="Y1138" s="4">
        <v>47</v>
      </c>
      <c r="Z1138" s="4">
        <v>5</v>
      </c>
      <c r="AA1138" s="4">
        <v>5</v>
      </c>
      <c r="AB1138" s="4">
        <v>1</v>
      </c>
      <c r="AC1138" s="4">
        <v>1</v>
      </c>
      <c r="AD1138" s="4">
        <v>31</v>
      </c>
      <c r="AE1138" s="4">
        <v>31</v>
      </c>
      <c r="AF1138" s="4">
        <v>0</v>
      </c>
      <c r="AG1138" s="4">
        <v>0</v>
      </c>
      <c r="AH1138" s="4">
        <v>30</v>
      </c>
      <c r="AI1138" s="4">
        <v>30</v>
      </c>
      <c r="AJ1138" s="4">
        <v>2</v>
      </c>
      <c r="AK1138" s="4">
        <v>2</v>
      </c>
      <c r="AL1138" s="4">
        <v>27</v>
      </c>
      <c r="AM1138" s="4">
        <v>27</v>
      </c>
      <c r="AN1138" s="4">
        <v>0</v>
      </c>
      <c r="AO1138" s="4">
        <v>0</v>
      </c>
      <c r="AP1138" s="4">
        <v>2</v>
      </c>
      <c r="AQ1138" s="4">
        <v>2</v>
      </c>
      <c r="AR1138" s="3" t="s">
        <v>64</v>
      </c>
      <c r="AS1138" s="3" t="s">
        <v>64</v>
      </c>
      <c r="AT1138" s="3" t="s">
        <v>128</v>
      </c>
      <c r="AU1138" s="6" t="str">
        <f t="shared" si="35"/>
        <v>HathiTrust Record</v>
      </c>
      <c r="AV1138" s="6" t="str">
        <f t="shared" si="36"/>
        <v>Catalog Record</v>
      </c>
      <c r="AW1138" s="6" t="str">
        <f t="shared" si="37"/>
        <v>WorldCat Record</v>
      </c>
      <c r="AX1138" s="3" t="s">
        <v>11426</v>
      </c>
      <c r="AY1138" s="3" t="s">
        <v>11427</v>
      </c>
      <c r="AZ1138" s="3" t="s">
        <v>11428</v>
      </c>
      <c r="BA1138" s="3" t="s">
        <v>11428</v>
      </c>
      <c r="BB1138" s="3" t="s">
        <v>11432</v>
      </c>
      <c r="BC1138" s="3" t="s">
        <v>77</v>
      </c>
      <c r="BD1138" s="3" t="s">
        <v>78</v>
      </c>
      <c r="BE1138" s="3" t="s">
        <v>11430</v>
      </c>
      <c r="BF1138" s="3" t="s">
        <v>11432</v>
      </c>
      <c r="BG1138" s="3" t="s">
        <v>11433</v>
      </c>
      <c r="BH1138">
        <f t="shared" si="34"/>
        <v>0</v>
      </c>
    </row>
    <row r="1139" spans="1:60" ht="116" x14ac:dyDescent="0.35">
      <c r="A1139" s="2" t="s">
        <v>59</v>
      </c>
      <c r="B1139" s="2" t="s">
        <v>1183</v>
      </c>
      <c r="C1139" s="2" t="s">
        <v>11422</v>
      </c>
      <c r="D1139" s="2" t="s">
        <v>11423</v>
      </c>
      <c r="E1139" s="2" t="s">
        <v>11424</v>
      </c>
      <c r="F1139" s="3" t="s">
        <v>519</v>
      </c>
      <c r="G1139" s="3" t="s">
        <v>128</v>
      </c>
      <c r="I1139" s="3" t="s">
        <v>64</v>
      </c>
      <c r="J1139" s="3" t="s">
        <v>64</v>
      </c>
      <c r="K1139" s="3" t="s">
        <v>65</v>
      </c>
      <c r="M1139" s="2" t="s">
        <v>11425</v>
      </c>
      <c r="N1139" s="3" t="s">
        <v>144</v>
      </c>
      <c r="O1139" s="2" t="s">
        <v>1189</v>
      </c>
      <c r="P1139" s="3" t="s">
        <v>1190</v>
      </c>
      <c r="R1139" s="3" t="s">
        <v>70</v>
      </c>
      <c r="S1139" s="4">
        <v>1</v>
      </c>
      <c r="T1139" s="4">
        <v>3</v>
      </c>
      <c r="U1139" s="5" t="s">
        <v>5038</v>
      </c>
      <c r="V1139" s="5" t="s">
        <v>5038</v>
      </c>
      <c r="W1139" s="5" t="s">
        <v>72</v>
      </c>
      <c r="X1139" s="5" t="s">
        <v>72</v>
      </c>
      <c r="Y1139" s="4">
        <v>47</v>
      </c>
      <c r="Z1139" s="4">
        <v>5</v>
      </c>
      <c r="AA1139" s="4">
        <v>5</v>
      </c>
      <c r="AB1139" s="4">
        <v>1</v>
      </c>
      <c r="AC1139" s="4">
        <v>1</v>
      </c>
      <c r="AD1139" s="4">
        <v>31</v>
      </c>
      <c r="AE1139" s="4">
        <v>31</v>
      </c>
      <c r="AF1139" s="4">
        <v>0</v>
      </c>
      <c r="AG1139" s="4">
        <v>0</v>
      </c>
      <c r="AH1139" s="4">
        <v>30</v>
      </c>
      <c r="AI1139" s="4">
        <v>30</v>
      </c>
      <c r="AJ1139" s="4">
        <v>2</v>
      </c>
      <c r="AK1139" s="4">
        <v>2</v>
      </c>
      <c r="AL1139" s="4">
        <v>27</v>
      </c>
      <c r="AM1139" s="4">
        <v>27</v>
      </c>
      <c r="AN1139" s="4">
        <v>0</v>
      </c>
      <c r="AO1139" s="4">
        <v>0</v>
      </c>
      <c r="AP1139" s="4">
        <v>2</v>
      </c>
      <c r="AQ1139" s="4">
        <v>2</v>
      </c>
      <c r="AR1139" s="3" t="s">
        <v>64</v>
      </c>
      <c r="AS1139" s="3" t="s">
        <v>64</v>
      </c>
      <c r="AT1139" s="3" t="s">
        <v>128</v>
      </c>
      <c r="AU1139" s="6" t="str">
        <f t="shared" si="35"/>
        <v>HathiTrust Record</v>
      </c>
      <c r="AV1139" s="6" t="str">
        <f t="shared" si="36"/>
        <v>Catalog Record</v>
      </c>
      <c r="AW1139" s="6" t="str">
        <f t="shared" si="37"/>
        <v>WorldCat Record</v>
      </c>
      <c r="AX1139" s="3" t="s">
        <v>11426</v>
      </c>
      <c r="AY1139" s="3" t="s">
        <v>11427</v>
      </c>
      <c r="AZ1139" s="3" t="s">
        <v>11428</v>
      </c>
      <c r="BA1139" s="3" t="s">
        <v>11428</v>
      </c>
      <c r="BB1139" s="3" t="s">
        <v>11434</v>
      </c>
      <c r="BC1139" s="3" t="s">
        <v>77</v>
      </c>
      <c r="BD1139" s="3" t="s">
        <v>78</v>
      </c>
      <c r="BE1139" s="3" t="s">
        <v>11430</v>
      </c>
      <c r="BF1139" s="3" t="s">
        <v>11434</v>
      </c>
      <c r="BG1139" s="3" t="s">
        <v>11435</v>
      </c>
      <c r="BH1139">
        <f t="shared" si="34"/>
        <v>0</v>
      </c>
    </row>
    <row r="1140" spans="1:60" ht="116" x14ac:dyDescent="0.35">
      <c r="A1140" s="2" t="s">
        <v>59</v>
      </c>
      <c r="B1140" s="2" t="s">
        <v>1183</v>
      </c>
      <c r="C1140" s="2" t="s">
        <v>11422</v>
      </c>
      <c r="D1140" s="2" t="s">
        <v>11423</v>
      </c>
      <c r="E1140" s="2" t="s">
        <v>11424</v>
      </c>
      <c r="F1140" s="3" t="s">
        <v>509</v>
      </c>
      <c r="G1140" s="3" t="s">
        <v>128</v>
      </c>
      <c r="I1140" s="3" t="s">
        <v>64</v>
      </c>
      <c r="J1140" s="3" t="s">
        <v>64</v>
      </c>
      <c r="K1140" s="3" t="s">
        <v>65</v>
      </c>
      <c r="M1140" s="2" t="s">
        <v>11425</v>
      </c>
      <c r="N1140" s="3" t="s">
        <v>144</v>
      </c>
      <c r="O1140" s="2" t="s">
        <v>1189</v>
      </c>
      <c r="P1140" s="3" t="s">
        <v>1190</v>
      </c>
      <c r="R1140" s="3" t="s">
        <v>70</v>
      </c>
      <c r="S1140" s="4">
        <v>1</v>
      </c>
      <c r="T1140" s="4">
        <v>3</v>
      </c>
      <c r="U1140" s="5" t="s">
        <v>11436</v>
      </c>
      <c r="V1140" s="5" t="s">
        <v>5038</v>
      </c>
      <c r="W1140" s="5" t="s">
        <v>72</v>
      </c>
      <c r="X1140" s="5" t="s">
        <v>72</v>
      </c>
      <c r="Y1140" s="4">
        <v>47</v>
      </c>
      <c r="Z1140" s="4">
        <v>5</v>
      </c>
      <c r="AA1140" s="4">
        <v>5</v>
      </c>
      <c r="AB1140" s="4">
        <v>1</v>
      </c>
      <c r="AC1140" s="4">
        <v>1</v>
      </c>
      <c r="AD1140" s="4">
        <v>31</v>
      </c>
      <c r="AE1140" s="4">
        <v>31</v>
      </c>
      <c r="AF1140" s="4">
        <v>0</v>
      </c>
      <c r="AG1140" s="4">
        <v>0</v>
      </c>
      <c r="AH1140" s="4">
        <v>30</v>
      </c>
      <c r="AI1140" s="4">
        <v>30</v>
      </c>
      <c r="AJ1140" s="4">
        <v>2</v>
      </c>
      <c r="AK1140" s="4">
        <v>2</v>
      </c>
      <c r="AL1140" s="4">
        <v>27</v>
      </c>
      <c r="AM1140" s="4">
        <v>27</v>
      </c>
      <c r="AN1140" s="4">
        <v>0</v>
      </c>
      <c r="AO1140" s="4">
        <v>0</v>
      </c>
      <c r="AP1140" s="4">
        <v>2</v>
      </c>
      <c r="AQ1140" s="4">
        <v>2</v>
      </c>
      <c r="AR1140" s="3" t="s">
        <v>64</v>
      </c>
      <c r="AS1140" s="3" t="s">
        <v>64</v>
      </c>
      <c r="AT1140" s="3" t="s">
        <v>128</v>
      </c>
      <c r="AU1140" s="6" t="str">
        <f t="shared" si="35"/>
        <v>HathiTrust Record</v>
      </c>
      <c r="AV1140" s="6" t="str">
        <f t="shared" si="36"/>
        <v>Catalog Record</v>
      </c>
      <c r="AW1140" s="6" t="str">
        <f t="shared" si="37"/>
        <v>WorldCat Record</v>
      </c>
      <c r="AX1140" s="3" t="s">
        <v>11426</v>
      </c>
      <c r="AY1140" s="3" t="s">
        <v>11427</v>
      </c>
      <c r="AZ1140" s="3" t="s">
        <v>11428</v>
      </c>
      <c r="BA1140" s="3" t="s">
        <v>11428</v>
      </c>
      <c r="BB1140" s="3" t="s">
        <v>11437</v>
      </c>
      <c r="BC1140" s="3" t="s">
        <v>77</v>
      </c>
      <c r="BD1140" s="3" t="s">
        <v>78</v>
      </c>
      <c r="BE1140" s="3" t="s">
        <v>11430</v>
      </c>
      <c r="BF1140" s="3" t="s">
        <v>11437</v>
      </c>
      <c r="BG1140" s="3" t="s">
        <v>11438</v>
      </c>
      <c r="BH1140">
        <f t="shared" si="34"/>
        <v>0</v>
      </c>
    </row>
    <row r="1141" spans="1:60" ht="116" x14ac:dyDescent="0.35">
      <c r="A1141" s="2" t="s">
        <v>59</v>
      </c>
      <c r="B1141" s="2" t="s">
        <v>1183</v>
      </c>
      <c r="C1141" s="2" t="s">
        <v>11422</v>
      </c>
      <c r="D1141" s="2" t="s">
        <v>11423</v>
      </c>
      <c r="E1141" s="2" t="s">
        <v>11424</v>
      </c>
      <c r="F1141" s="3" t="s">
        <v>525</v>
      </c>
      <c r="G1141" s="3" t="s">
        <v>128</v>
      </c>
      <c r="I1141" s="3" t="s">
        <v>64</v>
      </c>
      <c r="J1141" s="3" t="s">
        <v>64</v>
      </c>
      <c r="K1141" s="3" t="s">
        <v>65</v>
      </c>
      <c r="M1141" s="2" t="s">
        <v>11425</v>
      </c>
      <c r="N1141" s="3" t="s">
        <v>144</v>
      </c>
      <c r="O1141" s="2" t="s">
        <v>1189</v>
      </c>
      <c r="P1141" s="3" t="s">
        <v>1190</v>
      </c>
      <c r="R1141" s="3" t="s">
        <v>70</v>
      </c>
      <c r="S1141" s="4">
        <v>1</v>
      </c>
      <c r="T1141" s="4">
        <v>3</v>
      </c>
      <c r="U1141" s="5" t="s">
        <v>11415</v>
      </c>
      <c r="V1141" s="5" t="s">
        <v>5038</v>
      </c>
      <c r="W1141" s="5" t="s">
        <v>72</v>
      </c>
      <c r="X1141" s="5" t="s">
        <v>72</v>
      </c>
      <c r="Y1141" s="4">
        <v>47</v>
      </c>
      <c r="Z1141" s="4">
        <v>5</v>
      </c>
      <c r="AA1141" s="4">
        <v>5</v>
      </c>
      <c r="AB1141" s="4">
        <v>1</v>
      </c>
      <c r="AC1141" s="4">
        <v>1</v>
      </c>
      <c r="AD1141" s="4">
        <v>31</v>
      </c>
      <c r="AE1141" s="4">
        <v>31</v>
      </c>
      <c r="AF1141" s="4">
        <v>0</v>
      </c>
      <c r="AG1141" s="4">
        <v>0</v>
      </c>
      <c r="AH1141" s="4">
        <v>30</v>
      </c>
      <c r="AI1141" s="4">
        <v>30</v>
      </c>
      <c r="AJ1141" s="4">
        <v>2</v>
      </c>
      <c r="AK1141" s="4">
        <v>2</v>
      </c>
      <c r="AL1141" s="4">
        <v>27</v>
      </c>
      <c r="AM1141" s="4">
        <v>27</v>
      </c>
      <c r="AN1141" s="4">
        <v>0</v>
      </c>
      <c r="AO1141" s="4">
        <v>0</v>
      </c>
      <c r="AP1141" s="4">
        <v>2</v>
      </c>
      <c r="AQ1141" s="4">
        <v>2</v>
      </c>
      <c r="AR1141" s="3" t="s">
        <v>64</v>
      </c>
      <c r="AS1141" s="3" t="s">
        <v>64</v>
      </c>
      <c r="AT1141" s="3" t="s">
        <v>128</v>
      </c>
      <c r="AU1141" s="6" t="str">
        <f t="shared" si="35"/>
        <v>HathiTrust Record</v>
      </c>
      <c r="AV1141" s="6" t="str">
        <f t="shared" si="36"/>
        <v>Catalog Record</v>
      </c>
      <c r="AW1141" s="6" t="str">
        <f t="shared" si="37"/>
        <v>WorldCat Record</v>
      </c>
      <c r="AX1141" s="3" t="s">
        <v>11426</v>
      </c>
      <c r="AY1141" s="3" t="s">
        <v>11427</v>
      </c>
      <c r="AZ1141" s="3" t="s">
        <v>11428</v>
      </c>
      <c r="BA1141" s="3" t="s">
        <v>11428</v>
      </c>
      <c r="BB1141" s="3" t="s">
        <v>11439</v>
      </c>
      <c r="BC1141" s="3" t="s">
        <v>77</v>
      </c>
      <c r="BD1141" s="3" t="s">
        <v>78</v>
      </c>
      <c r="BE1141" s="3" t="s">
        <v>11430</v>
      </c>
      <c r="BF1141" s="3" t="s">
        <v>11439</v>
      </c>
      <c r="BG1141" s="3" t="s">
        <v>11440</v>
      </c>
      <c r="BH1141">
        <f t="shared" si="34"/>
        <v>0</v>
      </c>
    </row>
    <row r="1142" spans="1:60" ht="116" x14ac:dyDescent="0.35">
      <c r="A1142" s="2" t="s">
        <v>59</v>
      </c>
      <c r="B1142" s="2" t="s">
        <v>1183</v>
      </c>
      <c r="C1142" s="2" t="s">
        <v>11422</v>
      </c>
      <c r="D1142" s="2" t="s">
        <v>11423</v>
      </c>
      <c r="E1142" s="2" t="s">
        <v>11424</v>
      </c>
      <c r="F1142" s="3" t="s">
        <v>11441</v>
      </c>
      <c r="G1142" s="3" t="s">
        <v>128</v>
      </c>
      <c r="I1142" s="3" t="s">
        <v>64</v>
      </c>
      <c r="J1142" s="3" t="s">
        <v>64</v>
      </c>
      <c r="K1142" s="3" t="s">
        <v>65</v>
      </c>
      <c r="M1142" s="2" t="s">
        <v>11425</v>
      </c>
      <c r="N1142" s="3" t="s">
        <v>144</v>
      </c>
      <c r="O1142" s="2" t="s">
        <v>1189</v>
      </c>
      <c r="P1142" s="3" t="s">
        <v>1190</v>
      </c>
      <c r="R1142" s="3" t="s">
        <v>70</v>
      </c>
      <c r="S1142" s="4">
        <v>0</v>
      </c>
      <c r="T1142" s="4">
        <v>3</v>
      </c>
      <c r="V1142" s="5" t="s">
        <v>5038</v>
      </c>
      <c r="W1142" s="5" t="s">
        <v>72</v>
      </c>
      <c r="X1142" s="5" t="s">
        <v>72</v>
      </c>
      <c r="Y1142" s="4">
        <v>47</v>
      </c>
      <c r="Z1142" s="4">
        <v>5</v>
      </c>
      <c r="AA1142" s="4">
        <v>5</v>
      </c>
      <c r="AB1142" s="4">
        <v>1</v>
      </c>
      <c r="AC1142" s="4">
        <v>1</v>
      </c>
      <c r="AD1142" s="4">
        <v>31</v>
      </c>
      <c r="AE1142" s="4">
        <v>31</v>
      </c>
      <c r="AF1142" s="4">
        <v>0</v>
      </c>
      <c r="AG1142" s="4">
        <v>0</v>
      </c>
      <c r="AH1142" s="4">
        <v>30</v>
      </c>
      <c r="AI1142" s="4">
        <v>30</v>
      </c>
      <c r="AJ1142" s="4">
        <v>2</v>
      </c>
      <c r="AK1142" s="4">
        <v>2</v>
      </c>
      <c r="AL1142" s="4">
        <v>27</v>
      </c>
      <c r="AM1142" s="4">
        <v>27</v>
      </c>
      <c r="AN1142" s="4">
        <v>0</v>
      </c>
      <c r="AO1142" s="4">
        <v>0</v>
      </c>
      <c r="AP1142" s="4">
        <v>2</v>
      </c>
      <c r="AQ1142" s="4">
        <v>2</v>
      </c>
      <c r="AR1142" s="3" t="s">
        <v>64</v>
      </c>
      <c r="AS1142" s="3" t="s">
        <v>64</v>
      </c>
      <c r="AT1142" s="3" t="s">
        <v>128</v>
      </c>
      <c r="AU1142" s="6" t="str">
        <f t="shared" si="35"/>
        <v>HathiTrust Record</v>
      </c>
      <c r="AV1142" s="6" t="str">
        <f t="shared" si="36"/>
        <v>Catalog Record</v>
      </c>
      <c r="AW1142" s="6" t="str">
        <f t="shared" si="37"/>
        <v>WorldCat Record</v>
      </c>
      <c r="AX1142" s="3" t="s">
        <v>11426</v>
      </c>
      <c r="AY1142" s="3" t="s">
        <v>11427</v>
      </c>
      <c r="AZ1142" s="3" t="s">
        <v>11428</v>
      </c>
      <c r="BA1142" s="3" t="s">
        <v>11428</v>
      </c>
      <c r="BB1142" s="3" t="s">
        <v>11442</v>
      </c>
      <c r="BC1142" s="3" t="s">
        <v>77</v>
      </c>
      <c r="BD1142" s="3" t="s">
        <v>78</v>
      </c>
      <c r="BE1142" s="3" t="s">
        <v>11430</v>
      </c>
      <c r="BF1142" s="3" t="s">
        <v>11442</v>
      </c>
      <c r="BG1142" s="3" t="s">
        <v>11443</v>
      </c>
      <c r="BH1142">
        <f t="shared" si="34"/>
        <v>0</v>
      </c>
    </row>
    <row r="1143" spans="1:60" ht="116" x14ac:dyDescent="0.35">
      <c r="A1143" s="2" t="s">
        <v>59</v>
      </c>
      <c r="B1143" s="2" t="s">
        <v>1183</v>
      </c>
      <c r="C1143" s="2" t="s">
        <v>11422</v>
      </c>
      <c r="D1143" s="2" t="s">
        <v>11423</v>
      </c>
      <c r="E1143" s="2" t="s">
        <v>11424</v>
      </c>
      <c r="F1143" s="3" t="s">
        <v>11444</v>
      </c>
      <c r="G1143" s="3" t="s">
        <v>128</v>
      </c>
      <c r="I1143" s="3" t="s">
        <v>64</v>
      </c>
      <c r="J1143" s="3" t="s">
        <v>64</v>
      </c>
      <c r="K1143" s="3" t="s">
        <v>65</v>
      </c>
      <c r="M1143" s="2" t="s">
        <v>11425</v>
      </c>
      <c r="N1143" s="3" t="s">
        <v>144</v>
      </c>
      <c r="O1143" s="2" t="s">
        <v>1189</v>
      </c>
      <c r="P1143" s="3" t="s">
        <v>1190</v>
      </c>
      <c r="R1143" s="3" t="s">
        <v>70</v>
      </c>
      <c r="S1143" s="4">
        <v>0</v>
      </c>
      <c r="T1143" s="4">
        <v>3</v>
      </c>
      <c r="V1143" s="5" t="s">
        <v>5038</v>
      </c>
      <c r="W1143" s="5" t="s">
        <v>72</v>
      </c>
      <c r="X1143" s="5" t="s">
        <v>72</v>
      </c>
      <c r="Y1143" s="4">
        <v>47</v>
      </c>
      <c r="Z1143" s="4">
        <v>5</v>
      </c>
      <c r="AA1143" s="4">
        <v>5</v>
      </c>
      <c r="AB1143" s="4">
        <v>1</v>
      </c>
      <c r="AC1143" s="4">
        <v>1</v>
      </c>
      <c r="AD1143" s="4">
        <v>31</v>
      </c>
      <c r="AE1143" s="4">
        <v>31</v>
      </c>
      <c r="AF1143" s="4">
        <v>0</v>
      </c>
      <c r="AG1143" s="4">
        <v>0</v>
      </c>
      <c r="AH1143" s="4">
        <v>30</v>
      </c>
      <c r="AI1143" s="4">
        <v>30</v>
      </c>
      <c r="AJ1143" s="4">
        <v>2</v>
      </c>
      <c r="AK1143" s="4">
        <v>2</v>
      </c>
      <c r="AL1143" s="4">
        <v>27</v>
      </c>
      <c r="AM1143" s="4">
        <v>27</v>
      </c>
      <c r="AN1143" s="4">
        <v>0</v>
      </c>
      <c r="AO1143" s="4">
        <v>0</v>
      </c>
      <c r="AP1143" s="4">
        <v>2</v>
      </c>
      <c r="AQ1143" s="4">
        <v>2</v>
      </c>
      <c r="AR1143" s="3" t="s">
        <v>64</v>
      </c>
      <c r="AS1143" s="3" t="s">
        <v>64</v>
      </c>
      <c r="AT1143" s="3" t="s">
        <v>128</v>
      </c>
      <c r="AU1143" s="6" t="str">
        <f t="shared" si="35"/>
        <v>HathiTrust Record</v>
      </c>
      <c r="AV1143" s="6" t="str">
        <f t="shared" si="36"/>
        <v>Catalog Record</v>
      </c>
      <c r="AW1143" s="6" t="str">
        <f t="shared" si="37"/>
        <v>WorldCat Record</v>
      </c>
      <c r="AX1143" s="3" t="s">
        <v>11426</v>
      </c>
      <c r="AY1143" s="3" t="s">
        <v>11427</v>
      </c>
      <c r="AZ1143" s="3" t="s">
        <v>11428</v>
      </c>
      <c r="BA1143" s="3" t="s">
        <v>11428</v>
      </c>
      <c r="BB1143" s="3" t="s">
        <v>11445</v>
      </c>
      <c r="BC1143" s="3" t="s">
        <v>77</v>
      </c>
      <c r="BD1143" s="3" t="s">
        <v>78</v>
      </c>
      <c r="BE1143" s="3" t="s">
        <v>11430</v>
      </c>
      <c r="BF1143" s="3" t="s">
        <v>11445</v>
      </c>
      <c r="BG1143" s="3" t="s">
        <v>11446</v>
      </c>
      <c r="BH1143">
        <f t="shared" si="34"/>
        <v>0</v>
      </c>
    </row>
    <row r="1144" spans="1:60" ht="116" x14ac:dyDescent="0.35">
      <c r="A1144" s="2" t="s">
        <v>59</v>
      </c>
      <c r="B1144" s="2" t="s">
        <v>1183</v>
      </c>
      <c r="C1144" s="2" t="s">
        <v>11422</v>
      </c>
      <c r="D1144" s="2" t="s">
        <v>11423</v>
      </c>
      <c r="E1144" s="2" t="s">
        <v>11424</v>
      </c>
      <c r="F1144" s="3" t="s">
        <v>11447</v>
      </c>
      <c r="G1144" s="3" t="s">
        <v>128</v>
      </c>
      <c r="I1144" s="3" t="s">
        <v>64</v>
      </c>
      <c r="J1144" s="3" t="s">
        <v>64</v>
      </c>
      <c r="K1144" s="3" t="s">
        <v>65</v>
      </c>
      <c r="M1144" s="2" t="s">
        <v>11425</v>
      </c>
      <c r="N1144" s="3" t="s">
        <v>144</v>
      </c>
      <c r="O1144" s="2" t="s">
        <v>1189</v>
      </c>
      <c r="P1144" s="3" t="s">
        <v>1190</v>
      </c>
      <c r="R1144" s="3" t="s">
        <v>70</v>
      </c>
      <c r="S1144" s="4">
        <v>0</v>
      </c>
      <c r="T1144" s="4">
        <v>3</v>
      </c>
      <c r="V1144" s="5" t="s">
        <v>5038</v>
      </c>
      <c r="W1144" s="5" t="s">
        <v>72</v>
      </c>
      <c r="X1144" s="5" t="s">
        <v>72</v>
      </c>
      <c r="Y1144" s="4">
        <v>47</v>
      </c>
      <c r="Z1144" s="4">
        <v>5</v>
      </c>
      <c r="AA1144" s="4">
        <v>5</v>
      </c>
      <c r="AB1144" s="4">
        <v>1</v>
      </c>
      <c r="AC1144" s="4">
        <v>1</v>
      </c>
      <c r="AD1144" s="4">
        <v>31</v>
      </c>
      <c r="AE1144" s="4">
        <v>31</v>
      </c>
      <c r="AF1144" s="4">
        <v>0</v>
      </c>
      <c r="AG1144" s="4">
        <v>0</v>
      </c>
      <c r="AH1144" s="4">
        <v>30</v>
      </c>
      <c r="AI1144" s="4">
        <v>30</v>
      </c>
      <c r="AJ1144" s="4">
        <v>2</v>
      </c>
      <c r="AK1144" s="4">
        <v>2</v>
      </c>
      <c r="AL1144" s="4">
        <v>27</v>
      </c>
      <c r="AM1144" s="4">
        <v>27</v>
      </c>
      <c r="AN1144" s="4">
        <v>0</v>
      </c>
      <c r="AO1144" s="4">
        <v>0</v>
      </c>
      <c r="AP1144" s="4">
        <v>2</v>
      </c>
      <c r="AQ1144" s="4">
        <v>2</v>
      </c>
      <c r="AR1144" s="3" t="s">
        <v>64</v>
      </c>
      <c r="AS1144" s="3" t="s">
        <v>64</v>
      </c>
      <c r="AT1144" s="3" t="s">
        <v>128</v>
      </c>
      <c r="AU1144" s="6" t="str">
        <f t="shared" si="35"/>
        <v>HathiTrust Record</v>
      </c>
      <c r="AV1144" s="6" t="str">
        <f t="shared" si="36"/>
        <v>Catalog Record</v>
      </c>
      <c r="AW1144" s="6" t="str">
        <f t="shared" si="37"/>
        <v>WorldCat Record</v>
      </c>
      <c r="AX1144" s="3" t="s">
        <v>11426</v>
      </c>
      <c r="AY1144" s="3" t="s">
        <v>11427</v>
      </c>
      <c r="AZ1144" s="3" t="s">
        <v>11428</v>
      </c>
      <c r="BA1144" s="3" t="s">
        <v>11428</v>
      </c>
      <c r="BB1144" s="3" t="s">
        <v>11448</v>
      </c>
      <c r="BC1144" s="3" t="s">
        <v>77</v>
      </c>
      <c r="BD1144" s="3" t="s">
        <v>78</v>
      </c>
      <c r="BE1144" s="3" t="s">
        <v>11430</v>
      </c>
      <c r="BF1144" s="3" t="s">
        <v>11448</v>
      </c>
      <c r="BG1144" s="3" t="s">
        <v>11449</v>
      </c>
      <c r="BH1144">
        <f t="shared" si="34"/>
        <v>0</v>
      </c>
    </row>
    <row r="1145" spans="1:60" ht="116" x14ac:dyDescent="0.35">
      <c r="A1145" s="2" t="s">
        <v>59</v>
      </c>
      <c r="B1145" s="2" t="s">
        <v>1183</v>
      </c>
      <c r="C1145" s="2" t="s">
        <v>11422</v>
      </c>
      <c r="D1145" s="2" t="s">
        <v>11423</v>
      </c>
      <c r="E1145" s="2" t="s">
        <v>11424</v>
      </c>
      <c r="F1145" s="3" t="s">
        <v>10094</v>
      </c>
      <c r="G1145" s="3" t="s">
        <v>128</v>
      </c>
      <c r="I1145" s="3" t="s">
        <v>64</v>
      </c>
      <c r="J1145" s="3" t="s">
        <v>64</v>
      </c>
      <c r="K1145" s="3" t="s">
        <v>65</v>
      </c>
      <c r="M1145" s="2" t="s">
        <v>11425</v>
      </c>
      <c r="N1145" s="3" t="s">
        <v>144</v>
      </c>
      <c r="O1145" s="2" t="s">
        <v>1189</v>
      </c>
      <c r="P1145" s="3" t="s">
        <v>1190</v>
      </c>
      <c r="R1145" s="3" t="s">
        <v>70</v>
      </c>
      <c r="S1145" s="4">
        <v>0</v>
      </c>
      <c r="T1145" s="4">
        <v>3</v>
      </c>
      <c r="V1145" s="5" t="s">
        <v>5038</v>
      </c>
      <c r="W1145" s="5" t="s">
        <v>72</v>
      </c>
      <c r="X1145" s="5" t="s">
        <v>72</v>
      </c>
      <c r="Y1145" s="4">
        <v>47</v>
      </c>
      <c r="Z1145" s="4">
        <v>5</v>
      </c>
      <c r="AA1145" s="4">
        <v>5</v>
      </c>
      <c r="AB1145" s="4">
        <v>1</v>
      </c>
      <c r="AC1145" s="4">
        <v>1</v>
      </c>
      <c r="AD1145" s="4">
        <v>31</v>
      </c>
      <c r="AE1145" s="4">
        <v>31</v>
      </c>
      <c r="AF1145" s="4">
        <v>0</v>
      </c>
      <c r="AG1145" s="4">
        <v>0</v>
      </c>
      <c r="AH1145" s="4">
        <v>30</v>
      </c>
      <c r="AI1145" s="4">
        <v>30</v>
      </c>
      <c r="AJ1145" s="4">
        <v>2</v>
      </c>
      <c r="AK1145" s="4">
        <v>2</v>
      </c>
      <c r="AL1145" s="4">
        <v>27</v>
      </c>
      <c r="AM1145" s="4">
        <v>27</v>
      </c>
      <c r="AN1145" s="4">
        <v>0</v>
      </c>
      <c r="AO1145" s="4">
        <v>0</v>
      </c>
      <c r="AP1145" s="4">
        <v>2</v>
      </c>
      <c r="AQ1145" s="4">
        <v>2</v>
      </c>
      <c r="AR1145" s="3" t="s">
        <v>64</v>
      </c>
      <c r="AS1145" s="3" t="s">
        <v>64</v>
      </c>
      <c r="AT1145" s="3" t="s">
        <v>128</v>
      </c>
      <c r="AU1145" s="6" t="str">
        <f t="shared" si="35"/>
        <v>HathiTrust Record</v>
      </c>
      <c r="AV1145" s="6" t="str">
        <f t="shared" si="36"/>
        <v>Catalog Record</v>
      </c>
      <c r="AW1145" s="6" t="str">
        <f t="shared" si="37"/>
        <v>WorldCat Record</v>
      </c>
      <c r="AX1145" s="3" t="s">
        <v>11426</v>
      </c>
      <c r="AY1145" s="3" t="s">
        <v>11427</v>
      </c>
      <c r="AZ1145" s="3" t="s">
        <v>11428</v>
      </c>
      <c r="BA1145" s="3" t="s">
        <v>11428</v>
      </c>
      <c r="BB1145" s="3" t="s">
        <v>11450</v>
      </c>
      <c r="BC1145" s="3" t="s">
        <v>77</v>
      </c>
      <c r="BD1145" s="3" t="s">
        <v>78</v>
      </c>
      <c r="BE1145" s="3" t="s">
        <v>11430</v>
      </c>
      <c r="BF1145" s="3" t="s">
        <v>11450</v>
      </c>
      <c r="BG1145" s="3" t="s">
        <v>11451</v>
      </c>
      <c r="BH1145">
        <f t="shared" si="34"/>
        <v>0</v>
      </c>
    </row>
    <row r="1146" spans="1:60" ht="58" x14ac:dyDescent="0.35">
      <c r="A1146" s="2" t="s">
        <v>59</v>
      </c>
      <c r="B1146" s="2" t="s">
        <v>60</v>
      </c>
      <c r="C1146" s="2" t="s">
        <v>11452</v>
      </c>
      <c r="D1146" s="2" t="s">
        <v>11453</v>
      </c>
      <c r="E1146" s="2" t="s">
        <v>11454</v>
      </c>
      <c r="G1146" s="3" t="s">
        <v>64</v>
      </c>
      <c r="I1146" s="3" t="s">
        <v>64</v>
      </c>
      <c r="J1146" s="3" t="s">
        <v>64</v>
      </c>
      <c r="K1146" s="3" t="s">
        <v>65</v>
      </c>
      <c r="L1146" s="2" t="s">
        <v>11455</v>
      </c>
      <c r="M1146" s="2" t="s">
        <v>11456</v>
      </c>
      <c r="N1146" s="3" t="s">
        <v>1275</v>
      </c>
      <c r="P1146" s="3" t="s">
        <v>102</v>
      </c>
      <c r="Q1146" s="2" t="s">
        <v>11457</v>
      </c>
      <c r="R1146" s="3" t="s">
        <v>70</v>
      </c>
      <c r="S1146" s="4">
        <v>23</v>
      </c>
      <c r="T1146" s="4">
        <v>23</v>
      </c>
      <c r="U1146" s="5" t="s">
        <v>2789</v>
      </c>
      <c r="V1146" s="5" t="s">
        <v>2789</v>
      </c>
      <c r="W1146" s="5" t="s">
        <v>72</v>
      </c>
      <c r="X1146" s="5" t="s">
        <v>72</v>
      </c>
      <c r="Y1146" s="4">
        <v>165</v>
      </c>
      <c r="Z1146" s="4">
        <v>17</v>
      </c>
      <c r="AA1146" s="4">
        <v>109</v>
      </c>
      <c r="AB1146" s="4">
        <v>1</v>
      </c>
      <c r="AC1146" s="4">
        <v>19</v>
      </c>
      <c r="AD1146" s="4">
        <v>72</v>
      </c>
      <c r="AE1146" s="4">
        <v>152</v>
      </c>
      <c r="AF1146" s="4">
        <v>0</v>
      </c>
      <c r="AG1146" s="4">
        <v>9</v>
      </c>
      <c r="AH1146" s="4">
        <v>60</v>
      </c>
      <c r="AI1146" s="4">
        <v>103</v>
      </c>
      <c r="AJ1146" s="4">
        <v>13</v>
      </c>
      <c r="AK1146" s="4">
        <v>28</v>
      </c>
      <c r="AL1146" s="4">
        <v>35</v>
      </c>
      <c r="AM1146" s="4">
        <v>52</v>
      </c>
      <c r="AN1146" s="4">
        <v>0</v>
      </c>
      <c r="AO1146" s="4">
        <v>0</v>
      </c>
      <c r="AP1146" s="4">
        <v>14</v>
      </c>
      <c r="AQ1146" s="4">
        <v>55</v>
      </c>
      <c r="AR1146" s="3" t="s">
        <v>128</v>
      </c>
      <c r="AS1146" s="3" t="s">
        <v>64</v>
      </c>
      <c r="AT1146" s="3" t="s">
        <v>64</v>
      </c>
      <c r="AV1146" s="6" t="str">
        <f>HYPERLINK("http://mcgill.on.worldcat.org/oclc/52704669","Catalog Record")</f>
        <v>Catalog Record</v>
      </c>
      <c r="AW1146" s="6" t="str">
        <f>HYPERLINK("http://www.worldcat.org/oclc/52704669","WorldCat Record")</f>
        <v>WorldCat Record</v>
      </c>
      <c r="AX1146" s="3" t="s">
        <v>11458</v>
      </c>
      <c r="AY1146" s="3" t="s">
        <v>11459</v>
      </c>
      <c r="AZ1146" s="3" t="s">
        <v>11460</v>
      </c>
      <c r="BA1146" s="3" t="s">
        <v>11460</v>
      </c>
      <c r="BB1146" s="3" t="s">
        <v>11461</v>
      </c>
      <c r="BC1146" s="3" t="s">
        <v>77</v>
      </c>
      <c r="BD1146" s="3" t="s">
        <v>165</v>
      </c>
      <c r="BE1146" s="3" t="s">
        <v>11462</v>
      </c>
      <c r="BF1146" s="3" t="s">
        <v>11461</v>
      </c>
      <c r="BG1146" s="3" t="s">
        <v>11463</v>
      </c>
      <c r="BH1146">
        <f t="shared" si="34"/>
        <v>0</v>
      </c>
    </row>
    <row r="1147" spans="1:60" ht="58" x14ac:dyDescent="0.35">
      <c r="A1147" s="2" t="s">
        <v>59</v>
      </c>
      <c r="B1147" s="2" t="s">
        <v>60</v>
      </c>
      <c r="C1147" s="2" t="s">
        <v>11464</v>
      </c>
      <c r="D1147" s="2" t="s">
        <v>11465</v>
      </c>
      <c r="E1147" s="2" t="s">
        <v>11466</v>
      </c>
      <c r="G1147" s="3" t="s">
        <v>64</v>
      </c>
      <c r="I1147" s="3" t="s">
        <v>64</v>
      </c>
      <c r="J1147" s="3" t="s">
        <v>64</v>
      </c>
      <c r="K1147" s="3" t="s">
        <v>65</v>
      </c>
      <c r="L1147" s="2" t="s">
        <v>11467</v>
      </c>
      <c r="M1147" s="2" t="s">
        <v>11468</v>
      </c>
      <c r="N1147" s="3" t="s">
        <v>291</v>
      </c>
      <c r="P1147" s="3" t="s">
        <v>102</v>
      </c>
      <c r="Q1147" s="2" t="s">
        <v>11469</v>
      </c>
      <c r="R1147" s="3" t="s">
        <v>70</v>
      </c>
      <c r="S1147" s="4">
        <v>7</v>
      </c>
      <c r="T1147" s="4">
        <v>7</v>
      </c>
      <c r="U1147" s="5" t="s">
        <v>11346</v>
      </c>
      <c r="V1147" s="5" t="s">
        <v>11346</v>
      </c>
      <c r="W1147" s="5" t="s">
        <v>72</v>
      </c>
      <c r="X1147" s="5" t="s">
        <v>72</v>
      </c>
      <c r="Y1147" s="4">
        <v>244</v>
      </c>
      <c r="Z1147" s="4">
        <v>15</v>
      </c>
      <c r="AA1147" s="4">
        <v>19</v>
      </c>
      <c r="AB1147" s="4">
        <v>2</v>
      </c>
      <c r="AC1147" s="4">
        <v>5</v>
      </c>
      <c r="AD1147" s="4">
        <v>100</v>
      </c>
      <c r="AE1147" s="4">
        <v>101</v>
      </c>
      <c r="AF1147" s="4">
        <v>1</v>
      </c>
      <c r="AG1147" s="4">
        <v>1</v>
      </c>
      <c r="AH1147" s="4">
        <v>92</v>
      </c>
      <c r="AI1147" s="4">
        <v>92</v>
      </c>
      <c r="AJ1147" s="4">
        <v>11</v>
      </c>
      <c r="AK1147" s="4">
        <v>11</v>
      </c>
      <c r="AL1147" s="4">
        <v>53</v>
      </c>
      <c r="AM1147" s="4">
        <v>53</v>
      </c>
      <c r="AN1147" s="4">
        <v>5</v>
      </c>
      <c r="AO1147" s="4">
        <v>5</v>
      </c>
      <c r="AP1147" s="4">
        <v>12</v>
      </c>
      <c r="AQ1147" s="4">
        <v>13</v>
      </c>
      <c r="AR1147" s="3" t="s">
        <v>64</v>
      </c>
      <c r="AS1147" s="3" t="s">
        <v>64</v>
      </c>
      <c r="AT1147" s="3" t="s">
        <v>128</v>
      </c>
      <c r="AU1147" s="6" t="str">
        <f>HYPERLINK("http://catalog.hathitrust.org/Record/005558128","HathiTrust Record")</f>
        <v>HathiTrust Record</v>
      </c>
      <c r="AV1147" s="6" t="str">
        <f>HYPERLINK("http://mcgill.on.worldcat.org/oclc/82470669","Catalog Record")</f>
        <v>Catalog Record</v>
      </c>
      <c r="AW1147" s="6" t="str">
        <f>HYPERLINK("http://www.worldcat.org/oclc/82470669","WorldCat Record")</f>
        <v>WorldCat Record</v>
      </c>
      <c r="AX1147" s="3" t="s">
        <v>11470</v>
      </c>
      <c r="AY1147" s="3" t="s">
        <v>11471</v>
      </c>
      <c r="AZ1147" s="3" t="s">
        <v>11472</v>
      </c>
      <c r="BA1147" s="3" t="s">
        <v>11472</v>
      </c>
      <c r="BB1147" s="3" t="s">
        <v>11473</v>
      </c>
      <c r="BC1147" s="3" t="s">
        <v>77</v>
      </c>
      <c r="BD1147" s="3" t="s">
        <v>165</v>
      </c>
      <c r="BE1147" s="3" t="s">
        <v>11474</v>
      </c>
      <c r="BF1147" s="3" t="s">
        <v>11473</v>
      </c>
      <c r="BG1147" s="3" t="s">
        <v>11475</v>
      </c>
      <c r="BH1147">
        <f t="shared" si="34"/>
        <v>0</v>
      </c>
    </row>
    <row r="1148" spans="1:60" ht="116" x14ac:dyDescent="0.35">
      <c r="A1148" s="2" t="s">
        <v>59</v>
      </c>
      <c r="B1148" s="2" t="s">
        <v>1183</v>
      </c>
      <c r="C1148" s="2" t="s">
        <v>11476</v>
      </c>
      <c r="D1148" s="2" t="s">
        <v>11477</v>
      </c>
      <c r="E1148" s="2" t="s">
        <v>11478</v>
      </c>
      <c r="G1148" s="3" t="s">
        <v>64</v>
      </c>
      <c r="I1148" s="3" t="s">
        <v>64</v>
      </c>
      <c r="J1148" s="3" t="s">
        <v>64</v>
      </c>
      <c r="K1148" s="3" t="s">
        <v>65</v>
      </c>
      <c r="L1148" s="2" t="s">
        <v>11479</v>
      </c>
      <c r="M1148" s="2" t="s">
        <v>11480</v>
      </c>
      <c r="N1148" s="3" t="s">
        <v>190</v>
      </c>
      <c r="O1148" s="2" t="s">
        <v>8738</v>
      </c>
      <c r="P1148" s="3" t="s">
        <v>8739</v>
      </c>
      <c r="Q1148" s="2" t="s">
        <v>11481</v>
      </c>
      <c r="R1148" s="3" t="s">
        <v>70</v>
      </c>
      <c r="S1148" s="4">
        <v>0</v>
      </c>
      <c r="T1148" s="4">
        <v>0</v>
      </c>
      <c r="W1148" s="5" t="s">
        <v>72</v>
      </c>
      <c r="X1148" s="5" t="s">
        <v>72</v>
      </c>
      <c r="Y1148" s="4">
        <v>43</v>
      </c>
      <c r="Z1148" s="4">
        <v>4</v>
      </c>
      <c r="AA1148" s="4">
        <v>4</v>
      </c>
      <c r="AB1148" s="4">
        <v>1</v>
      </c>
      <c r="AC1148" s="4">
        <v>1</v>
      </c>
      <c r="AD1148" s="4">
        <v>33</v>
      </c>
      <c r="AE1148" s="4">
        <v>33</v>
      </c>
      <c r="AF1148" s="4">
        <v>0</v>
      </c>
      <c r="AG1148" s="4">
        <v>0</v>
      </c>
      <c r="AH1148" s="4">
        <v>31</v>
      </c>
      <c r="AI1148" s="4">
        <v>31</v>
      </c>
      <c r="AJ1148" s="4">
        <v>2</v>
      </c>
      <c r="AK1148" s="4">
        <v>2</v>
      </c>
      <c r="AL1148" s="4">
        <v>26</v>
      </c>
      <c r="AM1148" s="4">
        <v>26</v>
      </c>
      <c r="AN1148" s="4">
        <v>0</v>
      </c>
      <c r="AO1148" s="4">
        <v>0</v>
      </c>
      <c r="AP1148" s="4">
        <v>2</v>
      </c>
      <c r="AQ1148" s="4">
        <v>2</v>
      </c>
      <c r="AR1148" s="3" t="s">
        <v>64</v>
      </c>
      <c r="AS1148" s="3" t="s">
        <v>64</v>
      </c>
      <c r="AT1148" s="3" t="s">
        <v>64</v>
      </c>
      <c r="AV1148" s="6" t="str">
        <f>HYPERLINK("http://mcgill.on.worldcat.org/oclc/1048878799","Catalog Record")</f>
        <v>Catalog Record</v>
      </c>
      <c r="AW1148" s="6" t="str">
        <f>HYPERLINK("http://www.worldcat.org/oclc/1048878799","WorldCat Record")</f>
        <v>WorldCat Record</v>
      </c>
      <c r="AX1148" s="3" t="s">
        <v>11482</v>
      </c>
      <c r="AY1148" s="3" t="s">
        <v>11483</v>
      </c>
      <c r="AZ1148" s="3" t="s">
        <v>11484</v>
      </c>
      <c r="BA1148" s="3" t="s">
        <v>11484</v>
      </c>
      <c r="BB1148" s="3" t="s">
        <v>11485</v>
      </c>
      <c r="BC1148" s="3" t="s">
        <v>77</v>
      </c>
      <c r="BD1148" s="3" t="s">
        <v>78</v>
      </c>
      <c r="BE1148" s="3" t="s">
        <v>11486</v>
      </c>
      <c r="BF1148" s="3" t="s">
        <v>11485</v>
      </c>
      <c r="BG1148" s="3" t="s">
        <v>11487</v>
      </c>
      <c r="BH1148">
        <f t="shared" si="34"/>
        <v>0</v>
      </c>
    </row>
    <row r="1149" spans="1:60" ht="58" x14ac:dyDescent="0.35">
      <c r="A1149" s="2" t="s">
        <v>59</v>
      </c>
      <c r="B1149" s="2" t="s">
        <v>60</v>
      </c>
      <c r="C1149" s="2" t="s">
        <v>11488</v>
      </c>
      <c r="D1149" s="2" t="s">
        <v>11489</v>
      </c>
      <c r="E1149" s="2" t="s">
        <v>11490</v>
      </c>
      <c r="G1149" s="3" t="s">
        <v>64</v>
      </c>
      <c r="I1149" s="3" t="s">
        <v>64</v>
      </c>
      <c r="J1149" s="3" t="s">
        <v>64</v>
      </c>
      <c r="K1149" s="3" t="s">
        <v>65</v>
      </c>
      <c r="L1149" s="2" t="s">
        <v>11491</v>
      </c>
      <c r="M1149" s="2" t="s">
        <v>11492</v>
      </c>
      <c r="N1149" s="3" t="s">
        <v>6948</v>
      </c>
      <c r="P1149" s="3" t="s">
        <v>102</v>
      </c>
      <c r="R1149" s="3" t="s">
        <v>70</v>
      </c>
      <c r="S1149" s="4">
        <v>2</v>
      </c>
      <c r="T1149" s="4">
        <v>2</v>
      </c>
      <c r="U1149" s="5" t="s">
        <v>11493</v>
      </c>
      <c r="V1149" s="5" t="s">
        <v>11493</v>
      </c>
      <c r="W1149" s="5" t="s">
        <v>72</v>
      </c>
      <c r="X1149" s="5" t="s">
        <v>72</v>
      </c>
      <c r="Y1149" s="4">
        <v>93</v>
      </c>
      <c r="Z1149" s="4">
        <v>4</v>
      </c>
      <c r="AA1149" s="4">
        <v>4</v>
      </c>
      <c r="AB1149" s="4">
        <v>1</v>
      </c>
      <c r="AC1149" s="4">
        <v>1</v>
      </c>
      <c r="AD1149" s="4">
        <v>41</v>
      </c>
      <c r="AE1149" s="4">
        <v>41</v>
      </c>
      <c r="AF1149" s="4">
        <v>0</v>
      </c>
      <c r="AG1149" s="4">
        <v>0</v>
      </c>
      <c r="AH1149" s="4">
        <v>37</v>
      </c>
      <c r="AI1149" s="4">
        <v>37</v>
      </c>
      <c r="AJ1149" s="4">
        <v>2</v>
      </c>
      <c r="AK1149" s="4">
        <v>2</v>
      </c>
      <c r="AL1149" s="4">
        <v>21</v>
      </c>
      <c r="AM1149" s="4">
        <v>21</v>
      </c>
      <c r="AN1149" s="4">
        <v>0</v>
      </c>
      <c r="AO1149" s="4">
        <v>0</v>
      </c>
      <c r="AP1149" s="4">
        <v>1</v>
      </c>
      <c r="AQ1149" s="4">
        <v>1</v>
      </c>
      <c r="AR1149" s="3" t="s">
        <v>64</v>
      </c>
      <c r="AS1149" s="3" t="s">
        <v>64</v>
      </c>
      <c r="AT1149" s="3" t="s">
        <v>128</v>
      </c>
      <c r="AU1149" s="6" t="str">
        <f>HYPERLINK("http://catalog.hathitrust.org/Record/006758061","HathiTrust Record")</f>
        <v>HathiTrust Record</v>
      </c>
      <c r="AV1149" s="6" t="str">
        <f>HYPERLINK("http://mcgill.on.worldcat.org/oclc/729370","Catalog Record")</f>
        <v>Catalog Record</v>
      </c>
      <c r="AW1149" s="6" t="str">
        <f>HYPERLINK("http://www.worldcat.org/oclc/729370","WorldCat Record")</f>
        <v>WorldCat Record</v>
      </c>
      <c r="AX1149" s="3" t="s">
        <v>11494</v>
      </c>
      <c r="AY1149" s="3" t="s">
        <v>11495</v>
      </c>
      <c r="AZ1149" s="3" t="s">
        <v>11496</v>
      </c>
      <c r="BA1149" s="3" t="s">
        <v>11496</v>
      </c>
      <c r="BB1149" s="3" t="s">
        <v>11497</v>
      </c>
      <c r="BC1149" s="3" t="s">
        <v>77</v>
      </c>
      <c r="BD1149" s="3" t="s">
        <v>78</v>
      </c>
      <c r="BF1149" s="3" t="s">
        <v>11497</v>
      </c>
      <c r="BG1149" s="3" t="s">
        <v>11498</v>
      </c>
      <c r="BH1149">
        <f t="shared" si="34"/>
        <v>0</v>
      </c>
    </row>
    <row r="1150" spans="1:60" ht="58" x14ac:dyDescent="0.35">
      <c r="A1150" s="2" t="s">
        <v>59</v>
      </c>
      <c r="B1150" s="2" t="s">
        <v>60</v>
      </c>
      <c r="C1150" s="2" t="s">
        <v>11499</v>
      </c>
      <c r="D1150" s="2" t="s">
        <v>11500</v>
      </c>
      <c r="E1150" s="2" t="s">
        <v>11501</v>
      </c>
      <c r="G1150" s="3" t="s">
        <v>64</v>
      </c>
      <c r="I1150" s="3" t="s">
        <v>64</v>
      </c>
      <c r="J1150" s="3" t="s">
        <v>64</v>
      </c>
      <c r="K1150" s="3" t="s">
        <v>65</v>
      </c>
      <c r="L1150" s="2" t="s">
        <v>11502</v>
      </c>
      <c r="M1150" s="2" t="s">
        <v>11503</v>
      </c>
      <c r="N1150" s="3" t="s">
        <v>511</v>
      </c>
      <c r="P1150" s="3" t="s">
        <v>102</v>
      </c>
      <c r="Q1150" s="2" t="s">
        <v>11504</v>
      </c>
      <c r="R1150" s="3" t="s">
        <v>70</v>
      </c>
      <c r="S1150" s="4">
        <v>0</v>
      </c>
      <c r="T1150" s="4">
        <v>0</v>
      </c>
      <c r="W1150" s="5" t="s">
        <v>72</v>
      </c>
      <c r="X1150" s="5" t="s">
        <v>72</v>
      </c>
      <c r="Y1150" s="4">
        <v>143</v>
      </c>
      <c r="Z1150" s="4">
        <v>9</v>
      </c>
      <c r="AA1150" s="4">
        <v>23</v>
      </c>
      <c r="AB1150" s="4">
        <v>1</v>
      </c>
      <c r="AC1150" s="4">
        <v>5</v>
      </c>
      <c r="AD1150" s="4">
        <v>63</v>
      </c>
      <c r="AE1150" s="4">
        <v>79</v>
      </c>
      <c r="AF1150" s="4">
        <v>0</v>
      </c>
      <c r="AG1150" s="4">
        <v>1</v>
      </c>
      <c r="AH1150" s="4">
        <v>59</v>
      </c>
      <c r="AI1150" s="4">
        <v>68</v>
      </c>
      <c r="AJ1150" s="4">
        <v>6</v>
      </c>
      <c r="AK1150" s="4">
        <v>14</v>
      </c>
      <c r="AL1150" s="4">
        <v>39</v>
      </c>
      <c r="AM1150" s="4">
        <v>41</v>
      </c>
      <c r="AN1150" s="4">
        <v>0</v>
      </c>
      <c r="AO1150" s="4">
        <v>0</v>
      </c>
      <c r="AP1150" s="4">
        <v>7</v>
      </c>
      <c r="AQ1150" s="4">
        <v>17</v>
      </c>
      <c r="AR1150" s="3" t="s">
        <v>64</v>
      </c>
      <c r="AS1150" s="3" t="s">
        <v>64</v>
      </c>
      <c r="AT1150" s="3" t="s">
        <v>64</v>
      </c>
      <c r="AV1150" s="6" t="str">
        <f>HYPERLINK("http://mcgill.on.worldcat.org/oclc/529958009","Catalog Record")</f>
        <v>Catalog Record</v>
      </c>
      <c r="AW1150" s="6" t="str">
        <f>HYPERLINK("http://www.worldcat.org/oclc/529958009","WorldCat Record")</f>
        <v>WorldCat Record</v>
      </c>
      <c r="AX1150" s="3" t="s">
        <v>11505</v>
      </c>
      <c r="AY1150" s="3" t="s">
        <v>11506</v>
      </c>
      <c r="AZ1150" s="3" t="s">
        <v>11507</v>
      </c>
      <c r="BA1150" s="3" t="s">
        <v>11507</v>
      </c>
      <c r="BB1150" s="3" t="s">
        <v>11508</v>
      </c>
      <c r="BC1150" s="3" t="s">
        <v>77</v>
      </c>
      <c r="BD1150" s="3" t="s">
        <v>78</v>
      </c>
      <c r="BE1150" s="3" t="s">
        <v>11509</v>
      </c>
      <c r="BF1150" s="3" t="s">
        <v>11508</v>
      </c>
      <c r="BG1150" s="3" t="s">
        <v>11510</v>
      </c>
      <c r="BH1150">
        <f t="shared" si="34"/>
        <v>0</v>
      </c>
    </row>
    <row r="1151" spans="1:60" ht="116" x14ac:dyDescent="0.35">
      <c r="A1151" s="2" t="s">
        <v>59</v>
      </c>
      <c r="B1151" s="2" t="s">
        <v>1183</v>
      </c>
      <c r="C1151" s="2" t="s">
        <v>11511</v>
      </c>
      <c r="D1151" s="2" t="s">
        <v>11512</v>
      </c>
      <c r="E1151" s="2" t="s">
        <v>11513</v>
      </c>
      <c r="G1151" s="3" t="s">
        <v>64</v>
      </c>
      <c r="I1151" s="3" t="s">
        <v>64</v>
      </c>
      <c r="J1151" s="3" t="s">
        <v>64</v>
      </c>
      <c r="K1151" s="3" t="s">
        <v>65</v>
      </c>
      <c r="L1151" s="2" t="s">
        <v>11514</v>
      </c>
      <c r="M1151" s="2" t="s">
        <v>11515</v>
      </c>
      <c r="N1151" s="3" t="s">
        <v>537</v>
      </c>
      <c r="O1151" s="2" t="s">
        <v>5237</v>
      </c>
      <c r="P1151" s="3" t="s">
        <v>5238</v>
      </c>
      <c r="Q1151" s="2" t="s">
        <v>11516</v>
      </c>
      <c r="R1151" s="3" t="s">
        <v>70</v>
      </c>
      <c r="S1151" s="4">
        <v>0</v>
      </c>
      <c r="T1151" s="4">
        <v>0</v>
      </c>
      <c r="W1151" s="5" t="s">
        <v>72</v>
      </c>
      <c r="X1151" s="5" t="s">
        <v>72</v>
      </c>
      <c r="Y1151" s="4">
        <v>17</v>
      </c>
      <c r="Z1151" s="4">
        <v>4</v>
      </c>
      <c r="AA1151" s="4">
        <v>4</v>
      </c>
      <c r="AB1151" s="4">
        <v>1</v>
      </c>
      <c r="AC1151" s="4">
        <v>1</v>
      </c>
      <c r="AD1151" s="4">
        <v>15</v>
      </c>
      <c r="AE1151" s="4">
        <v>15</v>
      </c>
      <c r="AF1151" s="4">
        <v>0</v>
      </c>
      <c r="AG1151" s="4">
        <v>0</v>
      </c>
      <c r="AH1151" s="4">
        <v>14</v>
      </c>
      <c r="AI1151" s="4">
        <v>14</v>
      </c>
      <c r="AJ1151" s="4">
        <v>3</v>
      </c>
      <c r="AK1151" s="4">
        <v>3</v>
      </c>
      <c r="AL1151" s="4">
        <v>12</v>
      </c>
      <c r="AM1151" s="4">
        <v>12</v>
      </c>
      <c r="AN1151" s="4">
        <v>0</v>
      </c>
      <c r="AO1151" s="4">
        <v>0</v>
      </c>
      <c r="AP1151" s="4">
        <v>3</v>
      </c>
      <c r="AQ1151" s="4">
        <v>3</v>
      </c>
      <c r="AR1151" s="3" t="s">
        <v>64</v>
      </c>
      <c r="AS1151" s="3" t="s">
        <v>64</v>
      </c>
      <c r="AT1151" s="3" t="s">
        <v>64</v>
      </c>
      <c r="AV1151" s="6" t="str">
        <f>HYPERLINK("http://mcgill.on.worldcat.org/oclc/962225815","Catalog Record")</f>
        <v>Catalog Record</v>
      </c>
      <c r="AW1151" s="6" t="str">
        <f>HYPERLINK("http://www.worldcat.org/oclc/962225815","WorldCat Record")</f>
        <v>WorldCat Record</v>
      </c>
      <c r="AX1151" s="3" t="s">
        <v>11517</v>
      </c>
      <c r="AY1151" s="3" t="s">
        <v>11518</v>
      </c>
      <c r="AZ1151" s="3" t="s">
        <v>11519</v>
      </c>
      <c r="BA1151" s="3" t="s">
        <v>11519</v>
      </c>
      <c r="BB1151" s="3" t="s">
        <v>11520</v>
      </c>
      <c r="BC1151" s="3" t="s">
        <v>77</v>
      </c>
      <c r="BD1151" s="3" t="s">
        <v>78</v>
      </c>
      <c r="BE1151" s="3" t="s">
        <v>11521</v>
      </c>
      <c r="BF1151" s="3" t="s">
        <v>11520</v>
      </c>
      <c r="BG1151" s="3" t="s">
        <v>11522</v>
      </c>
      <c r="BH1151">
        <f t="shared" si="34"/>
        <v>0</v>
      </c>
    </row>
    <row r="1152" spans="1:60" ht="116" x14ac:dyDescent="0.35">
      <c r="A1152" s="2" t="s">
        <v>59</v>
      </c>
      <c r="B1152" s="2" t="s">
        <v>1183</v>
      </c>
      <c r="C1152" s="2" t="s">
        <v>11523</v>
      </c>
      <c r="D1152" s="2" t="s">
        <v>11524</v>
      </c>
      <c r="E1152" s="2" t="s">
        <v>11525</v>
      </c>
      <c r="G1152" s="3" t="s">
        <v>64</v>
      </c>
      <c r="I1152" s="3" t="s">
        <v>64</v>
      </c>
      <c r="J1152" s="3" t="s">
        <v>64</v>
      </c>
      <c r="K1152" s="3" t="s">
        <v>65</v>
      </c>
      <c r="L1152" s="2" t="s">
        <v>11526</v>
      </c>
      <c r="M1152" s="2" t="s">
        <v>11527</v>
      </c>
      <c r="N1152" s="3" t="s">
        <v>67</v>
      </c>
      <c r="O1152" s="2" t="s">
        <v>5237</v>
      </c>
      <c r="P1152" s="3" t="s">
        <v>5238</v>
      </c>
      <c r="R1152" s="3" t="s">
        <v>70</v>
      </c>
      <c r="S1152" s="4">
        <v>0</v>
      </c>
      <c r="T1152" s="4">
        <v>0</v>
      </c>
      <c r="W1152" s="5" t="s">
        <v>72</v>
      </c>
      <c r="X1152" s="5" t="s">
        <v>72</v>
      </c>
      <c r="Y1152" s="4">
        <v>29</v>
      </c>
      <c r="Z1152" s="4">
        <v>3</v>
      </c>
      <c r="AA1152" s="4">
        <v>3</v>
      </c>
      <c r="AB1152" s="4">
        <v>1</v>
      </c>
      <c r="AC1152" s="4">
        <v>1</v>
      </c>
      <c r="AD1152" s="4">
        <v>21</v>
      </c>
      <c r="AE1152" s="4">
        <v>22</v>
      </c>
      <c r="AF1152" s="4">
        <v>0</v>
      </c>
      <c r="AG1152" s="4">
        <v>0</v>
      </c>
      <c r="AH1152" s="4">
        <v>19</v>
      </c>
      <c r="AI1152" s="4">
        <v>20</v>
      </c>
      <c r="AJ1152" s="4">
        <v>1</v>
      </c>
      <c r="AK1152" s="4">
        <v>1</v>
      </c>
      <c r="AL1152" s="4">
        <v>16</v>
      </c>
      <c r="AM1152" s="4">
        <v>17</v>
      </c>
      <c r="AN1152" s="4">
        <v>0</v>
      </c>
      <c r="AO1152" s="4">
        <v>0</v>
      </c>
      <c r="AP1152" s="4">
        <v>1</v>
      </c>
      <c r="AQ1152" s="4">
        <v>1</v>
      </c>
      <c r="AR1152" s="3" t="s">
        <v>64</v>
      </c>
      <c r="AS1152" s="3" t="s">
        <v>64</v>
      </c>
      <c r="AT1152" s="3" t="s">
        <v>64</v>
      </c>
      <c r="AV1152" s="6" t="str">
        <f>HYPERLINK("http://mcgill.on.worldcat.org/oclc/879553176","Catalog Record")</f>
        <v>Catalog Record</v>
      </c>
      <c r="AW1152" s="6" t="str">
        <f>HYPERLINK("http://www.worldcat.org/oclc/879553176","WorldCat Record")</f>
        <v>WorldCat Record</v>
      </c>
      <c r="AX1152" s="3" t="s">
        <v>11528</v>
      </c>
      <c r="AY1152" s="3" t="s">
        <v>11529</v>
      </c>
      <c r="AZ1152" s="3" t="s">
        <v>11530</v>
      </c>
      <c r="BA1152" s="3" t="s">
        <v>11530</v>
      </c>
      <c r="BB1152" s="3" t="s">
        <v>11531</v>
      </c>
      <c r="BC1152" s="3" t="s">
        <v>77</v>
      </c>
      <c r="BD1152" s="3" t="s">
        <v>78</v>
      </c>
      <c r="BE1152" s="3" t="s">
        <v>11532</v>
      </c>
      <c r="BF1152" s="3" t="s">
        <v>11531</v>
      </c>
      <c r="BG1152" s="3" t="s">
        <v>11533</v>
      </c>
      <c r="BH1152">
        <f t="shared" si="34"/>
        <v>0</v>
      </c>
    </row>
    <row r="1153" spans="1:60" ht="145" x14ac:dyDescent="0.35">
      <c r="A1153" s="2" t="s">
        <v>59</v>
      </c>
      <c r="B1153" s="2" t="s">
        <v>60</v>
      </c>
      <c r="C1153" s="2" t="s">
        <v>11534</v>
      </c>
      <c r="D1153" s="2" t="s">
        <v>11535</v>
      </c>
      <c r="E1153" s="2" t="s">
        <v>11536</v>
      </c>
      <c r="G1153" s="3" t="s">
        <v>64</v>
      </c>
      <c r="I1153" s="3" t="s">
        <v>64</v>
      </c>
      <c r="J1153" s="3" t="s">
        <v>64</v>
      </c>
      <c r="K1153" s="3" t="s">
        <v>65</v>
      </c>
      <c r="L1153" s="2" t="s">
        <v>11537</v>
      </c>
      <c r="M1153" s="2" t="s">
        <v>11538</v>
      </c>
      <c r="N1153" s="3" t="s">
        <v>144</v>
      </c>
      <c r="P1153" s="3" t="s">
        <v>102</v>
      </c>
      <c r="Q1153" s="2" t="s">
        <v>11539</v>
      </c>
      <c r="R1153" s="3" t="s">
        <v>70</v>
      </c>
      <c r="S1153" s="4">
        <v>12</v>
      </c>
      <c r="T1153" s="4">
        <v>12</v>
      </c>
      <c r="U1153" s="5" t="s">
        <v>7193</v>
      </c>
      <c r="V1153" s="5" t="s">
        <v>7193</v>
      </c>
      <c r="W1153" s="5" t="s">
        <v>72</v>
      </c>
      <c r="X1153" s="5" t="s">
        <v>72</v>
      </c>
      <c r="Y1153" s="4">
        <v>40</v>
      </c>
      <c r="Z1153" s="4">
        <v>4</v>
      </c>
      <c r="AA1153" s="4">
        <v>4</v>
      </c>
      <c r="AB1153" s="4">
        <v>2</v>
      </c>
      <c r="AC1153" s="4">
        <v>2</v>
      </c>
      <c r="AD1153" s="4">
        <v>18</v>
      </c>
      <c r="AE1153" s="4">
        <v>18</v>
      </c>
      <c r="AF1153" s="4">
        <v>0</v>
      </c>
      <c r="AG1153" s="4">
        <v>0</v>
      </c>
      <c r="AH1153" s="4">
        <v>17</v>
      </c>
      <c r="AI1153" s="4">
        <v>17</v>
      </c>
      <c r="AJ1153" s="4">
        <v>1</v>
      </c>
      <c r="AK1153" s="4">
        <v>1</v>
      </c>
      <c r="AL1153" s="4">
        <v>15</v>
      </c>
      <c r="AM1153" s="4">
        <v>15</v>
      </c>
      <c r="AN1153" s="4">
        <v>0</v>
      </c>
      <c r="AO1153" s="4">
        <v>0</v>
      </c>
      <c r="AP1153" s="4">
        <v>1</v>
      </c>
      <c r="AQ1153" s="4">
        <v>1</v>
      </c>
      <c r="AR1153" s="3" t="s">
        <v>64</v>
      </c>
      <c r="AS1153" s="3" t="s">
        <v>64</v>
      </c>
      <c r="AT1153" s="3" t="s">
        <v>64</v>
      </c>
      <c r="AV1153" s="6" t="str">
        <f>HYPERLINK("http://mcgill.on.worldcat.org/oclc/303646631","Catalog Record")</f>
        <v>Catalog Record</v>
      </c>
      <c r="AW1153" s="6" t="str">
        <f>HYPERLINK("http://www.worldcat.org/oclc/303646631","WorldCat Record")</f>
        <v>WorldCat Record</v>
      </c>
      <c r="AX1153" s="3" t="s">
        <v>11540</v>
      </c>
      <c r="AY1153" s="3" t="s">
        <v>11541</v>
      </c>
      <c r="AZ1153" s="3" t="s">
        <v>11542</v>
      </c>
      <c r="BA1153" s="3" t="s">
        <v>11542</v>
      </c>
      <c r="BB1153" s="3" t="s">
        <v>11543</v>
      </c>
      <c r="BC1153" s="3" t="s">
        <v>77</v>
      </c>
      <c r="BD1153" s="3" t="s">
        <v>78</v>
      </c>
      <c r="BE1153" s="3" t="s">
        <v>11544</v>
      </c>
      <c r="BF1153" s="3" t="s">
        <v>11543</v>
      </c>
      <c r="BG1153" s="3" t="s">
        <v>11545</v>
      </c>
      <c r="BH1153">
        <f t="shared" si="34"/>
        <v>0</v>
      </c>
    </row>
    <row r="1154" spans="1:60" ht="58" x14ac:dyDescent="0.35">
      <c r="A1154" s="2" t="s">
        <v>59</v>
      </c>
      <c r="B1154" s="2" t="s">
        <v>60</v>
      </c>
      <c r="C1154" s="2" t="s">
        <v>11546</v>
      </c>
      <c r="D1154" s="2" t="s">
        <v>11547</v>
      </c>
      <c r="E1154" s="2" t="s">
        <v>11548</v>
      </c>
      <c r="G1154" s="3" t="s">
        <v>64</v>
      </c>
      <c r="I1154" s="3" t="s">
        <v>64</v>
      </c>
      <c r="J1154" s="3" t="s">
        <v>64</v>
      </c>
      <c r="K1154" s="3" t="s">
        <v>65</v>
      </c>
      <c r="L1154" s="2" t="s">
        <v>11549</v>
      </c>
      <c r="M1154" s="2" t="s">
        <v>11550</v>
      </c>
      <c r="N1154" s="3" t="s">
        <v>874</v>
      </c>
      <c r="P1154" s="3" t="s">
        <v>102</v>
      </c>
      <c r="Q1154" s="2" t="s">
        <v>11551</v>
      </c>
      <c r="R1154" s="3" t="s">
        <v>70</v>
      </c>
      <c r="S1154" s="4">
        <v>2</v>
      </c>
      <c r="T1154" s="4">
        <v>2</v>
      </c>
      <c r="U1154" s="5" t="s">
        <v>5872</v>
      </c>
      <c r="V1154" s="5" t="s">
        <v>5872</v>
      </c>
      <c r="W1154" s="5" t="s">
        <v>72</v>
      </c>
      <c r="X1154" s="5" t="s">
        <v>72</v>
      </c>
      <c r="Y1154" s="4">
        <v>215</v>
      </c>
      <c r="Z1154" s="4">
        <v>18</v>
      </c>
      <c r="AA1154" s="4">
        <v>19</v>
      </c>
      <c r="AB1154" s="4">
        <v>3</v>
      </c>
      <c r="AC1154" s="4">
        <v>3</v>
      </c>
      <c r="AD1154" s="4">
        <v>89</v>
      </c>
      <c r="AE1154" s="4">
        <v>90</v>
      </c>
      <c r="AF1154" s="4">
        <v>1</v>
      </c>
      <c r="AG1154" s="4">
        <v>1</v>
      </c>
      <c r="AH1154" s="4">
        <v>79</v>
      </c>
      <c r="AI1154" s="4">
        <v>80</v>
      </c>
      <c r="AJ1154" s="4">
        <v>12</v>
      </c>
      <c r="AK1154" s="4">
        <v>13</v>
      </c>
      <c r="AL1154" s="4">
        <v>44</v>
      </c>
      <c r="AM1154" s="4">
        <v>44</v>
      </c>
      <c r="AN1154" s="4">
        <v>0</v>
      </c>
      <c r="AO1154" s="4">
        <v>0</v>
      </c>
      <c r="AP1154" s="4">
        <v>13</v>
      </c>
      <c r="AQ1154" s="4">
        <v>14</v>
      </c>
      <c r="AR1154" s="3" t="s">
        <v>64</v>
      </c>
      <c r="AS1154" s="3" t="s">
        <v>64</v>
      </c>
      <c r="AT1154" s="3" t="s">
        <v>128</v>
      </c>
      <c r="AU1154" s="6" t="str">
        <f>HYPERLINK("http://catalog.hathitrust.org/Record/000223167","HathiTrust Record")</f>
        <v>HathiTrust Record</v>
      </c>
      <c r="AV1154" s="6" t="str">
        <f>HYPERLINK("http://mcgill.on.worldcat.org/oclc/7860064","Catalog Record")</f>
        <v>Catalog Record</v>
      </c>
      <c r="AW1154" s="6" t="str">
        <f>HYPERLINK("http://www.worldcat.org/oclc/7860064","WorldCat Record")</f>
        <v>WorldCat Record</v>
      </c>
      <c r="AX1154" s="3" t="s">
        <v>11552</v>
      </c>
      <c r="AY1154" s="3" t="s">
        <v>11553</v>
      </c>
      <c r="AZ1154" s="3" t="s">
        <v>11554</v>
      </c>
      <c r="BA1154" s="3" t="s">
        <v>11554</v>
      </c>
      <c r="BB1154" s="3" t="s">
        <v>11555</v>
      </c>
      <c r="BC1154" s="3" t="s">
        <v>77</v>
      </c>
      <c r="BD1154" s="3" t="s">
        <v>78</v>
      </c>
      <c r="BE1154" s="3" t="s">
        <v>11556</v>
      </c>
      <c r="BF1154" s="3" t="s">
        <v>11555</v>
      </c>
      <c r="BG1154" s="3" t="s">
        <v>11557</v>
      </c>
      <c r="BH1154">
        <f t="shared" ref="BH1154:BH1217" si="38">IF(COUNTIF($BF$1:$BF$5431,BF1154)=1,0,1)</f>
        <v>0</v>
      </c>
    </row>
    <row r="1155" spans="1:60" ht="58" x14ac:dyDescent="0.35">
      <c r="A1155" s="2" t="s">
        <v>59</v>
      </c>
      <c r="B1155" s="2" t="s">
        <v>60</v>
      </c>
      <c r="C1155" s="2" t="s">
        <v>11558</v>
      </c>
      <c r="D1155" s="2" t="s">
        <v>11559</v>
      </c>
      <c r="E1155" s="2" t="s">
        <v>11560</v>
      </c>
      <c r="G1155" s="3" t="s">
        <v>64</v>
      </c>
      <c r="I1155" s="3" t="s">
        <v>64</v>
      </c>
      <c r="J1155" s="3" t="s">
        <v>64</v>
      </c>
      <c r="K1155" s="3" t="s">
        <v>65</v>
      </c>
      <c r="M1155" s="2" t="s">
        <v>11561</v>
      </c>
      <c r="N1155" s="3" t="s">
        <v>1250</v>
      </c>
      <c r="P1155" s="3" t="s">
        <v>102</v>
      </c>
      <c r="R1155" s="3" t="s">
        <v>70</v>
      </c>
      <c r="S1155" s="4">
        <v>1</v>
      </c>
      <c r="T1155" s="4">
        <v>1</v>
      </c>
      <c r="U1155" s="5" t="s">
        <v>5872</v>
      </c>
      <c r="V1155" s="5" t="s">
        <v>5872</v>
      </c>
      <c r="W1155" s="5" t="s">
        <v>72</v>
      </c>
      <c r="X1155" s="5" t="s">
        <v>72</v>
      </c>
      <c r="Y1155" s="4">
        <v>21</v>
      </c>
      <c r="Z1155" s="4">
        <v>1</v>
      </c>
      <c r="AA1155" s="4">
        <v>1</v>
      </c>
      <c r="AB1155" s="4">
        <v>1</v>
      </c>
      <c r="AC1155" s="4">
        <v>1</v>
      </c>
      <c r="AD1155" s="4">
        <v>15</v>
      </c>
      <c r="AE1155" s="4">
        <v>15</v>
      </c>
      <c r="AF1155" s="4">
        <v>0</v>
      </c>
      <c r="AG1155" s="4">
        <v>0</v>
      </c>
      <c r="AH1155" s="4">
        <v>15</v>
      </c>
      <c r="AI1155" s="4">
        <v>15</v>
      </c>
      <c r="AJ1155" s="4">
        <v>0</v>
      </c>
      <c r="AK1155" s="4">
        <v>0</v>
      </c>
      <c r="AL1155" s="4">
        <v>12</v>
      </c>
      <c r="AM1155" s="4">
        <v>12</v>
      </c>
      <c r="AN1155" s="4">
        <v>0</v>
      </c>
      <c r="AO1155" s="4">
        <v>0</v>
      </c>
      <c r="AP1155" s="4">
        <v>0</v>
      </c>
      <c r="AQ1155" s="4">
        <v>0</v>
      </c>
      <c r="AR1155" s="3" t="s">
        <v>64</v>
      </c>
      <c r="AS1155" s="3" t="s">
        <v>64</v>
      </c>
      <c r="AT1155" s="3" t="s">
        <v>128</v>
      </c>
      <c r="AU1155" s="6" t="str">
        <f>HYPERLINK("http://catalog.hathitrust.org/Record/002914228","HathiTrust Record")</f>
        <v>HathiTrust Record</v>
      </c>
      <c r="AV1155" s="6" t="str">
        <f>HYPERLINK("http://mcgill.on.worldcat.org/oclc/30513299","Catalog Record")</f>
        <v>Catalog Record</v>
      </c>
      <c r="AW1155" s="6" t="str">
        <f>HYPERLINK("http://www.worldcat.org/oclc/30513299","WorldCat Record")</f>
        <v>WorldCat Record</v>
      </c>
      <c r="AX1155" s="3" t="s">
        <v>11562</v>
      </c>
      <c r="AY1155" s="3" t="s">
        <v>11563</v>
      </c>
      <c r="AZ1155" s="3" t="s">
        <v>11564</v>
      </c>
      <c r="BA1155" s="3" t="s">
        <v>11564</v>
      </c>
      <c r="BB1155" s="3" t="s">
        <v>11565</v>
      </c>
      <c r="BC1155" s="3" t="s">
        <v>77</v>
      </c>
      <c r="BD1155" s="3" t="s">
        <v>78</v>
      </c>
      <c r="BF1155" s="3" t="s">
        <v>11565</v>
      </c>
      <c r="BG1155" s="3" t="s">
        <v>11566</v>
      </c>
      <c r="BH1155">
        <f t="shared" si="38"/>
        <v>0</v>
      </c>
    </row>
    <row r="1156" spans="1:60" ht="58" x14ac:dyDescent="0.35">
      <c r="A1156" s="2" t="s">
        <v>59</v>
      </c>
      <c r="B1156" s="2" t="s">
        <v>60</v>
      </c>
      <c r="C1156" s="2" t="s">
        <v>11567</v>
      </c>
      <c r="D1156" s="2" t="s">
        <v>11568</v>
      </c>
      <c r="E1156" s="2" t="s">
        <v>11569</v>
      </c>
      <c r="G1156" s="3" t="s">
        <v>64</v>
      </c>
      <c r="I1156" s="3" t="s">
        <v>64</v>
      </c>
      <c r="J1156" s="3" t="s">
        <v>64</v>
      </c>
      <c r="K1156" s="3" t="s">
        <v>65</v>
      </c>
      <c r="M1156" s="2" t="s">
        <v>11570</v>
      </c>
      <c r="N1156" s="3" t="s">
        <v>171</v>
      </c>
      <c r="P1156" s="3" t="s">
        <v>102</v>
      </c>
      <c r="R1156" s="3" t="s">
        <v>70</v>
      </c>
      <c r="S1156" s="4">
        <v>3</v>
      </c>
      <c r="T1156" s="4">
        <v>3</v>
      </c>
      <c r="U1156" s="5" t="s">
        <v>5872</v>
      </c>
      <c r="V1156" s="5" t="s">
        <v>5872</v>
      </c>
      <c r="W1156" s="5" t="s">
        <v>72</v>
      </c>
      <c r="X1156" s="5" t="s">
        <v>72</v>
      </c>
      <c r="Y1156" s="4">
        <v>50</v>
      </c>
      <c r="Z1156" s="4">
        <v>1</v>
      </c>
      <c r="AA1156" s="4">
        <v>7</v>
      </c>
      <c r="AB1156" s="4">
        <v>1</v>
      </c>
      <c r="AC1156" s="4">
        <v>1</v>
      </c>
      <c r="AD1156" s="4">
        <v>30</v>
      </c>
      <c r="AE1156" s="4">
        <v>44</v>
      </c>
      <c r="AF1156" s="4">
        <v>0</v>
      </c>
      <c r="AG1156" s="4">
        <v>0</v>
      </c>
      <c r="AH1156" s="4">
        <v>29</v>
      </c>
      <c r="AI1156" s="4">
        <v>42</v>
      </c>
      <c r="AJ1156" s="4">
        <v>0</v>
      </c>
      <c r="AK1156" s="4">
        <v>5</v>
      </c>
      <c r="AL1156" s="4">
        <v>21</v>
      </c>
      <c r="AM1156" s="4">
        <v>29</v>
      </c>
      <c r="AN1156" s="4">
        <v>0</v>
      </c>
      <c r="AO1156" s="4">
        <v>0</v>
      </c>
      <c r="AP1156" s="4">
        <v>0</v>
      </c>
      <c r="AQ1156" s="4">
        <v>5</v>
      </c>
      <c r="AR1156" s="3" t="s">
        <v>64</v>
      </c>
      <c r="AS1156" s="3" t="s">
        <v>64</v>
      </c>
      <c r="AT1156" s="3" t="s">
        <v>64</v>
      </c>
      <c r="AV1156" s="6" t="str">
        <f>HYPERLINK("http://mcgill.on.worldcat.org/oclc/76853176","Catalog Record")</f>
        <v>Catalog Record</v>
      </c>
      <c r="AW1156" s="6" t="str">
        <f>HYPERLINK("http://www.worldcat.org/oclc/76853176","WorldCat Record")</f>
        <v>WorldCat Record</v>
      </c>
      <c r="AX1156" s="3" t="s">
        <v>11571</v>
      </c>
      <c r="AY1156" s="3" t="s">
        <v>11572</v>
      </c>
      <c r="AZ1156" s="3" t="s">
        <v>11573</v>
      </c>
      <c r="BA1156" s="3" t="s">
        <v>11573</v>
      </c>
      <c r="BB1156" s="3" t="s">
        <v>11574</v>
      </c>
      <c r="BC1156" s="3" t="s">
        <v>77</v>
      </c>
      <c r="BD1156" s="3" t="s">
        <v>78</v>
      </c>
      <c r="BE1156" s="3" t="s">
        <v>11575</v>
      </c>
      <c r="BF1156" s="3" t="s">
        <v>11574</v>
      </c>
      <c r="BG1156" s="3" t="s">
        <v>11576</v>
      </c>
      <c r="BH1156">
        <f t="shared" si="38"/>
        <v>0</v>
      </c>
    </row>
    <row r="1157" spans="1:60" ht="87" x14ac:dyDescent="0.35">
      <c r="A1157" s="2" t="s">
        <v>59</v>
      </c>
      <c r="B1157" s="2" t="s">
        <v>60</v>
      </c>
      <c r="C1157" s="2" t="s">
        <v>11577</v>
      </c>
      <c r="D1157" s="2" t="s">
        <v>11578</v>
      </c>
      <c r="E1157" s="2" t="s">
        <v>11579</v>
      </c>
      <c r="G1157" s="3" t="s">
        <v>64</v>
      </c>
      <c r="I1157" s="3" t="s">
        <v>64</v>
      </c>
      <c r="J1157" s="3" t="s">
        <v>64</v>
      </c>
      <c r="K1157" s="3" t="s">
        <v>65</v>
      </c>
      <c r="M1157" s="2" t="s">
        <v>11580</v>
      </c>
      <c r="N1157" s="3" t="s">
        <v>1750</v>
      </c>
      <c r="P1157" s="3" t="s">
        <v>102</v>
      </c>
      <c r="R1157" s="3" t="s">
        <v>70</v>
      </c>
      <c r="S1157" s="4">
        <v>1</v>
      </c>
      <c r="T1157" s="4">
        <v>1</v>
      </c>
      <c r="U1157" s="5" t="s">
        <v>5872</v>
      </c>
      <c r="V1157" s="5" t="s">
        <v>5872</v>
      </c>
      <c r="W1157" s="5" t="s">
        <v>72</v>
      </c>
      <c r="X1157" s="5" t="s">
        <v>72</v>
      </c>
      <c r="Y1157" s="4">
        <v>120</v>
      </c>
      <c r="Z1157" s="4">
        <v>12</v>
      </c>
      <c r="AA1157" s="4">
        <v>12</v>
      </c>
      <c r="AB1157" s="4">
        <v>1</v>
      </c>
      <c r="AC1157" s="4">
        <v>1</v>
      </c>
      <c r="AD1157" s="4">
        <v>64</v>
      </c>
      <c r="AE1157" s="4">
        <v>64</v>
      </c>
      <c r="AF1157" s="4">
        <v>0</v>
      </c>
      <c r="AG1157" s="4">
        <v>0</v>
      </c>
      <c r="AH1157" s="4">
        <v>58</v>
      </c>
      <c r="AI1157" s="4">
        <v>58</v>
      </c>
      <c r="AJ1157" s="4">
        <v>8</v>
      </c>
      <c r="AK1157" s="4">
        <v>8</v>
      </c>
      <c r="AL1157" s="4">
        <v>41</v>
      </c>
      <c r="AM1157" s="4">
        <v>41</v>
      </c>
      <c r="AN1157" s="4">
        <v>1</v>
      </c>
      <c r="AO1157" s="4">
        <v>1</v>
      </c>
      <c r="AP1157" s="4">
        <v>7</v>
      </c>
      <c r="AQ1157" s="4">
        <v>7</v>
      </c>
      <c r="AR1157" s="3" t="s">
        <v>64</v>
      </c>
      <c r="AS1157" s="3" t="s">
        <v>64</v>
      </c>
      <c r="AT1157" s="3" t="s">
        <v>128</v>
      </c>
      <c r="AU1157" s="6" t="str">
        <f>HYPERLINK("http://catalog.hathitrust.org/Record/000082956","HathiTrust Record")</f>
        <v>HathiTrust Record</v>
      </c>
      <c r="AV1157" s="6" t="str">
        <f>HYPERLINK("http://mcgill.on.worldcat.org/oclc/2508023","Catalog Record")</f>
        <v>Catalog Record</v>
      </c>
      <c r="AW1157" s="6" t="str">
        <f>HYPERLINK("http://www.worldcat.org/oclc/2508023","WorldCat Record")</f>
        <v>WorldCat Record</v>
      </c>
      <c r="AX1157" s="3" t="s">
        <v>11581</v>
      </c>
      <c r="AY1157" s="3" t="s">
        <v>11582</v>
      </c>
      <c r="AZ1157" s="3" t="s">
        <v>11583</v>
      </c>
      <c r="BA1157" s="3" t="s">
        <v>11583</v>
      </c>
      <c r="BB1157" s="3" t="s">
        <v>11584</v>
      </c>
      <c r="BC1157" s="3" t="s">
        <v>77</v>
      </c>
      <c r="BD1157" s="3" t="s">
        <v>78</v>
      </c>
      <c r="BF1157" s="3" t="s">
        <v>11584</v>
      </c>
      <c r="BG1157" s="3" t="s">
        <v>11585</v>
      </c>
      <c r="BH1157">
        <f t="shared" si="38"/>
        <v>0</v>
      </c>
    </row>
    <row r="1158" spans="1:60" ht="58" x14ac:dyDescent="0.35">
      <c r="A1158" s="2" t="s">
        <v>59</v>
      </c>
      <c r="B1158" s="2" t="s">
        <v>60</v>
      </c>
      <c r="C1158" s="2" t="s">
        <v>11586</v>
      </c>
      <c r="D1158" s="2" t="s">
        <v>11587</v>
      </c>
      <c r="E1158" s="2" t="s">
        <v>11588</v>
      </c>
      <c r="G1158" s="3" t="s">
        <v>64</v>
      </c>
      <c r="I1158" s="3" t="s">
        <v>64</v>
      </c>
      <c r="J1158" s="3" t="s">
        <v>64</v>
      </c>
      <c r="K1158" s="3" t="s">
        <v>65</v>
      </c>
      <c r="L1158" s="2" t="s">
        <v>11589</v>
      </c>
      <c r="M1158" s="2" t="s">
        <v>11590</v>
      </c>
      <c r="N1158" s="3" t="s">
        <v>578</v>
      </c>
      <c r="P1158" s="3" t="s">
        <v>68</v>
      </c>
      <c r="Q1158" s="2" t="s">
        <v>11591</v>
      </c>
      <c r="R1158" s="3" t="s">
        <v>70</v>
      </c>
      <c r="S1158" s="4">
        <v>0</v>
      </c>
      <c r="T1158" s="4">
        <v>0</v>
      </c>
      <c r="W1158" s="5" t="s">
        <v>72</v>
      </c>
      <c r="X1158" s="5" t="s">
        <v>72</v>
      </c>
      <c r="Y1158" s="4">
        <v>10</v>
      </c>
      <c r="Z1158" s="4">
        <v>1</v>
      </c>
      <c r="AA1158" s="4">
        <v>2</v>
      </c>
      <c r="AB1158" s="4">
        <v>1</v>
      </c>
      <c r="AC1158" s="4">
        <v>1</v>
      </c>
      <c r="AD1158" s="4">
        <v>7</v>
      </c>
      <c r="AE1158" s="4">
        <v>8</v>
      </c>
      <c r="AF1158" s="4">
        <v>0</v>
      </c>
      <c r="AG1158" s="4">
        <v>0</v>
      </c>
      <c r="AH1158" s="4">
        <v>6</v>
      </c>
      <c r="AI1158" s="4">
        <v>7</v>
      </c>
      <c r="AJ1158" s="4">
        <v>0</v>
      </c>
      <c r="AK1158" s="4">
        <v>1</v>
      </c>
      <c r="AL1158" s="4">
        <v>6</v>
      </c>
      <c r="AM1158" s="4">
        <v>6</v>
      </c>
      <c r="AN1158" s="4">
        <v>0</v>
      </c>
      <c r="AO1158" s="4">
        <v>0</v>
      </c>
      <c r="AP1158" s="4">
        <v>0</v>
      </c>
      <c r="AQ1158" s="4">
        <v>1</v>
      </c>
      <c r="AR1158" s="3" t="s">
        <v>64</v>
      </c>
      <c r="AS1158" s="3" t="s">
        <v>64</v>
      </c>
      <c r="AT1158" s="3" t="s">
        <v>64</v>
      </c>
      <c r="AV1158" s="6" t="str">
        <f>HYPERLINK("http://mcgill.on.worldcat.org/oclc/1001307317","Catalog Record")</f>
        <v>Catalog Record</v>
      </c>
      <c r="AW1158" s="6" t="str">
        <f>HYPERLINK("http://www.worldcat.org/oclc/1001307317","WorldCat Record")</f>
        <v>WorldCat Record</v>
      </c>
      <c r="AX1158" s="3" t="s">
        <v>11592</v>
      </c>
      <c r="AY1158" s="3" t="s">
        <v>11593</v>
      </c>
      <c r="AZ1158" s="3" t="s">
        <v>11594</v>
      </c>
      <c r="BA1158" s="3" t="s">
        <v>11594</v>
      </c>
      <c r="BB1158" s="3" t="s">
        <v>11595</v>
      </c>
      <c r="BC1158" s="3" t="s">
        <v>77</v>
      </c>
      <c r="BD1158" s="3" t="s">
        <v>78</v>
      </c>
      <c r="BE1158" s="3" t="s">
        <v>11596</v>
      </c>
      <c r="BF1158" s="3" t="s">
        <v>11595</v>
      </c>
      <c r="BG1158" s="3" t="s">
        <v>11597</v>
      </c>
      <c r="BH1158">
        <f t="shared" si="38"/>
        <v>0</v>
      </c>
    </row>
    <row r="1159" spans="1:60" ht="58" x14ac:dyDescent="0.35">
      <c r="A1159" s="2" t="s">
        <v>59</v>
      </c>
      <c r="B1159" s="2" t="s">
        <v>60</v>
      </c>
      <c r="C1159" s="2" t="s">
        <v>11598</v>
      </c>
      <c r="D1159" s="2" t="s">
        <v>11599</v>
      </c>
      <c r="E1159" s="2" t="s">
        <v>11600</v>
      </c>
      <c r="G1159" s="3" t="s">
        <v>64</v>
      </c>
      <c r="I1159" s="3" t="s">
        <v>128</v>
      </c>
      <c r="J1159" s="3" t="s">
        <v>128</v>
      </c>
      <c r="K1159" s="3" t="s">
        <v>65</v>
      </c>
      <c r="L1159" s="2" t="s">
        <v>11601</v>
      </c>
      <c r="M1159" s="2" t="s">
        <v>11602</v>
      </c>
      <c r="N1159" s="3" t="s">
        <v>551</v>
      </c>
      <c r="P1159" s="3" t="s">
        <v>102</v>
      </c>
      <c r="R1159" s="3" t="s">
        <v>70</v>
      </c>
      <c r="S1159" s="4">
        <v>19</v>
      </c>
      <c r="T1159" s="4">
        <v>73</v>
      </c>
      <c r="U1159" s="5" t="s">
        <v>11603</v>
      </c>
      <c r="V1159" s="5" t="s">
        <v>11603</v>
      </c>
      <c r="W1159" s="5" t="s">
        <v>72</v>
      </c>
      <c r="X1159" s="5" t="s">
        <v>72</v>
      </c>
      <c r="Y1159" s="4">
        <v>1199</v>
      </c>
      <c r="Z1159" s="4">
        <v>61</v>
      </c>
      <c r="AA1159" s="4">
        <v>79</v>
      </c>
      <c r="AB1159" s="4">
        <v>3</v>
      </c>
      <c r="AC1159" s="4">
        <v>13</v>
      </c>
      <c r="AD1159" s="4">
        <v>140</v>
      </c>
      <c r="AE1159" s="4">
        <v>151</v>
      </c>
      <c r="AF1159" s="4">
        <v>1</v>
      </c>
      <c r="AG1159" s="4">
        <v>9</v>
      </c>
      <c r="AH1159" s="4">
        <v>111</v>
      </c>
      <c r="AI1159" s="4">
        <v>113</v>
      </c>
      <c r="AJ1159" s="4">
        <v>22</v>
      </c>
      <c r="AK1159" s="4">
        <v>26</v>
      </c>
      <c r="AL1159" s="4">
        <v>61</v>
      </c>
      <c r="AM1159" s="4">
        <v>62</v>
      </c>
      <c r="AN1159" s="4">
        <v>0</v>
      </c>
      <c r="AO1159" s="4">
        <v>0</v>
      </c>
      <c r="AP1159" s="4">
        <v>37</v>
      </c>
      <c r="AQ1159" s="4">
        <v>45</v>
      </c>
      <c r="AR1159" s="3" t="s">
        <v>64</v>
      </c>
      <c r="AS1159" s="3" t="s">
        <v>64</v>
      </c>
      <c r="AT1159" s="3" t="s">
        <v>64</v>
      </c>
      <c r="AV1159" s="6" t="str">
        <f>HYPERLINK("http://mcgill.on.worldcat.org/oclc/233937614","Catalog Record")</f>
        <v>Catalog Record</v>
      </c>
      <c r="AW1159" s="6" t="str">
        <f>HYPERLINK("http://www.worldcat.org/oclc/233937614","WorldCat Record")</f>
        <v>WorldCat Record</v>
      </c>
      <c r="AX1159" s="3" t="s">
        <v>11604</v>
      </c>
      <c r="AY1159" s="3" t="s">
        <v>11605</v>
      </c>
      <c r="AZ1159" s="3" t="s">
        <v>11606</v>
      </c>
      <c r="BA1159" s="3" t="s">
        <v>11606</v>
      </c>
      <c r="BB1159" s="3" t="s">
        <v>11607</v>
      </c>
      <c r="BC1159" s="3" t="s">
        <v>77</v>
      </c>
      <c r="BD1159" s="3" t="s">
        <v>165</v>
      </c>
      <c r="BE1159" s="3" t="s">
        <v>11608</v>
      </c>
      <c r="BF1159" s="3" t="s">
        <v>11607</v>
      </c>
      <c r="BG1159" s="3" t="s">
        <v>11609</v>
      </c>
      <c r="BH1159">
        <f t="shared" si="38"/>
        <v>0</v>
      </c>
    </row>
    <row r="1160" spans="1:60" ht="58" x14ac:dyDescent="0.35">
      <c r="A1160" s="2" t="s">
        <v>59</v>
      </c>
      <c r="B1160" s="2" t="s">
        <v>60</v>
      </c>
      <c r="C1160" s="2" t="s">
        <v>11598</v>
      </c>
      <c r="D1160" s="2" t="s">
        <v>11599</v>
      </c>
      <c r="E1160" s="2" t="s">
        <v>11600</v>
      </c>
      <c r="G1160" s="3" t="s">
        <v>64</v>
      </c>
      <c r="I1160" s="3" t="s">
        <v>128</v>
      </c>
      <c r="J1160" s="3" t="s">
        <v>128</v>
      </c>
      <c r="K1160" s="3" t="s">
        <v>65</v>
      </c>
      <c r="L1160" s="2" t="s">
        <v>11601</v>
      </c>
      <c r="M1160" s="2" t="s">
        <v>11602</v>
      </c>
      <c r="N1160" s="3" t="s">
        <v>551</v>
      </c>
      <c r="P1160" s="3" t="s">
        <v>102</v>
      </c>
      <c r="R1160" s="3" t="s">
        <v>70</v>
      </c>
      <c r="S1160" s="4">
        <v>36</v>
      </c>
      <c r="T1160" s="4">
        <v>73</v>
      </c>
      <c r="U1160" s="5" t="s">
        <v>11610</v>
      </c>
      <c r="V1160" s="5" t="s">
        <v>11603</v>
      </c>
      <c r="W1160" s="5" t="s">
        <v>72</v>
      </c>
      <c r="X1160" s="5" t="s">
        <v>72</v>
      </c>
      <c r="Y1160" s="4">
        <v>1199</v>
      </c>
      <c r="Z1160" s="4">
        <v>61</v>
      </c>
      <c r="AA1160" s="4">
        <v>79</v>
      </c>
      <c r="AB1160" s="4">
        <v>3</v>
      </c>
      <c r="AC1160" s="4">
        <v>13</v>
      </c>
      <c r="AD1160" s="4">
        <v>140</v>
      </c>
      <c r="AE1160" s="4">
        <v>151</v>
      </c>
      <c r="AF1160" s="4">
        <v>1</v>
      </c>
      <c r="AG1160" s="4">
        <v>9</v>
      </c>
      <c r="AH1160" s="4">
        <v>111</v>
      </c>
      <c r="AI1160" s="4">
        <v>113</v>
      </c>
      <c r="AJ1160" s="4">
        <v>22</v>
      </c>
      <c r="AK1160" s="4">
        <v>26</v>
      </c>
      <c r="AL1160" s="4">
        <v>61</v>
      </c>
      <c r="AM1160" s="4">
        <v>62</v>
      </c>
      <c r="AN1160" s="4">
        <v>0</v>
      </c>
      <c r="AO1160" s="4">
        <v>0</v>
      </c>
      <c r="AP1160" s="4">
        <v>37</v>
      </c>
      <c r="AQ1160" s="4">
        <v>45</v>
      </c>
      <c r="AR1160" s="3" t="s">
        <v>64</v>
      </c>
      <c r="AS1160" s="3" t="s">
        <v>64</v>
      </c>
      <c r="AT1160" s="3" t="s">
        <v>64</v>
      </c>
      <c r="AV1160" s="6" t="str">
        <f>HYPERLINK("http://mcgill.on.worldcat.org/oclc/233937614","Catalog Record")</f>
        <v>Catalog Record</v>
      </c>
      <c r="AW1160" s="6" t="str">
        <f>HYPERLINK("http://www.worldcat.org/oclc/233937614","WorldCat Record")</f>
        <v>WorldCat Record</v>
      </c>
      <c r="AX1160" s="3" t="s">
        <v>11604</v>
      </c>
      <c r="AY1160" s="3" t="s">
        <v>11605</v>
      </c>
      <c r="AZ1160" s="3" t="s">
        <v>11606</v>
      </c>
      <c r="BA1160" s="3" t="s">
        <v>11606</v>
      </c>
      <c r="BB1160" s="3" t="s">
        <v>11611</v>
      </c>
      <c r="BC1160" s="3" t="s">
        <v>77</v>
      </c>
      <c r="BD1160" s="3" t="s">
        <v>165</v>
      </c>
      <c r="BE1160" s="3" t="s">
        <v>11608</v>
      </c>
      <c r="BF1160" s="3" t="s">
        <v>11611</v>
      </c>
      <c r="BG1160" s="3" t="s">
        <v>11612</v>
      </c>
      <c r="BH1160">
        <f t="shared" si="38"/>
        <v>0</v>
      </c>
    </row>
    <row r="1161" spans="1:60" ht="58" x14ac:dyDescent="0.35">
      <c r="A1161" s="2" t="s">
        <v>59</v>
      </c>
      <c r="B1161" s="2" t="s">
        <v>60</v>
      </c>
      <c r="C1161" s="2" t="s">
        <v>11598</v>
      </c>
      <c r="D1161" s="2" t="s">
        <v>11599</v>
      </c>
      <c r="E1161" s="2" t="s">
        <v>11600</v>
      </c>
      <c r="G1161" s="3" t="s">
        <v>64</v>
      </c>
      <c r="I1161" s="3" t="s">
        <v>128</v>
      </c>
      <c r="J1161" s="3" t="s">
        <v>128</v>
      </c>
      <c r="K1161" s="3" t="s">
        <v>65</v>
      </c>
      <c r="L1161" s="2" t="s">
        <v>11601</v>
      </c>
      <c r="M1161" s="2" t="s">
        <v>11602</v>
      </c>
      <c r="N1161" s="3" t="s">
        <v>551</v>
      </c>
      <c r="P1161" s="3" t="s">
        <v>102</v>
      </c>
      <c r="R1161" s="3" t="s">
        <v>70</v>
      </c>
      <c r="S1161" s="4">
        <v>18</v>
      </c>
      <c r="T1161" s="4">
        <v>73</v>
      </c>
      <c r="U1161" s="5" t="s">
        <v>11613</v>
      </c>
      <c r="V1161" s="5" t="s">
        <v>11603</v>
      </c>
      <c r="W1161" s="5" t="s">
        <v>72</v>
      </c>
      <c r="X1161" s="5" t="s">
        <v>72</v>
      </c>
      <c r="Y1161" s="4">
        <v>1199</v>
      </c>
      <c r="Z1161" s="4">
        <v>61</v>
      </c>
      <c r="AA1161" s="4">
        <v>79</v>
      </c>
      <c r="AB1161" s="4">
        <v>3</v>
      </c>
      <c r="AC1161" s="4">
        <v>13</v>
      </c>
      <c r="AD1161" s="4">
        <v>140</v>
      </c>
      <c r="AE1161" s="4">
        <v>151</v>
      </c>
      <c r="AF1161" s="4">
        <v>1</v>
      </c>
      <c r="AG1161" s="4">
        <v>9</v>
      </c>
      <c r="AH1161" s="4">
        <v>111</v>
      </c>
      <c r="AI1161" s="4">
        <v>113</v>
      </c>
      <c r="AJ1161" s="4">
        <v>22</v>
      </c>
      <c r="AK1161" s="4">
        <v>26</v>
      </c>
      <c r="AL1161" s="4">
        <v>61</v>
      </c>
      <c r="AM1161" s="4">
        <v>62</v>
      </c>
      <c r="AN1161" s="4">
        <v>0</v>
      </c>
      <c r="AO1161" s="4">
        <v>0</v>
      </c>
      <c r="AP1161" s="4">
        <v>37</v>
      </c>
      <c r="AQ1161" s="4">
        <v>45</v>
      </c>
      <c r="AR1161" s="3" t="s">
        <v>64</v>
      </c>
      <c r="AS1161" s="3" t="s">
        <v>64</v>
      </c>
      <c r="AT1161" s="3" t="s">
        <v>64</v>
      </c>
      <c r="AV1161" s="6" t="str">
        <f>HYPERLINK("http://mcgill.on.worldcat.org/oclc/233937614","Catalog Record")</f>
        <v>Catalog Record</v>
      </c>
      <c r="AW1161" s="6" t="str">
        <f>HYPERLINK("http://www.worldcat.org/oclc/233937614","WorldCat Record")</f>
        <v>WorldCat Record</v>
      </c>
      <c r="AX1161" s="3" t="s">
        <v>11604</v>
      </c>
      <c r="AY1161" s="3" t="s">
        <v>11605</v>
      </c>
      <c r="AZ1161" s="3" t="s">
        <v>11606</v>
      </c>
      <c r="BA1161" s="3" t="s">
        <v>11606</v>
      </c>
      <c r="BB1161" s="3" t="s">
        <v>11614</v>
      </c>
      <c r="BC1161" s="3" t="s">
        <v>77</v>
      </c>
      <c r="BD1161" s="3" t="s">
        <v>165</v>
      </c>
      <c r="BE1161" s="3" t="s">
        <v>11608</v>
      </c>
      <c r="BF1161" s="3" t="s">
        <v>11614</v>
      </c>
      <c r="BG1161" s="3" t="s">
        <v>11615</v>
      </c>
      <c r="BH1161">
        <f t="shared" si="38"/>
        <v>0</v>
      </c>
    </row>
    <row r="1162" spans="1:60" ht="58" x14ac:dyDescent="0.35">
      <c r="A1162" s="2" t="s">
        <v>59</v>
      </c>
      <c r="B1162" s="2" t="s">
        <v>60</v>
      </c>
      <c r="C1162" s="2" t="s">
        <v>11616</v>
      </c>
      <c r="D1162" s="2" t="s">
        <v>11617</v>
      </c>
      <c r="E1162" s="2" t="s">
        <v>11618</v>
      </c>
      <c r="G1162" s="3" t="s">
        <v>64</v>
      </c>
      <c r="H1162" s="3" t="s">
        <v>183</v>
      </c>
      <c r="I1162" s="3" t="s">
        <v>64</v>
      </c>
      <c r="J1162" s="3" t="s">
        <v>128</v>
      </c>
      <c r="K1162" s="3" t="s">
        <v>65</v>
      </c>
      <c r="L1162" s="2" t="s">
        <v>11601</v>
      </c>
      <c r="M1162" s="2" t="s">
        <v>11619</v>
      </c>
      <c r="N1162" s="3" t="s">
        <v>1492</v>
      </c>
      <c r="O1162" s="2" t="s">
        <v>3787</v>
      </c>
      <c r="P1162" s="3" t="s">
        <v>102</v>
      </c>
      <c r="Q1162" s="2" t="s">
        <v>11620</v>
      </c>
      <c r="R1162" s="3" t="s">
        <v>70</v>
      </c>
      <c r="S1162" s="4">
        <v>0</v>
      </c>
      <c r="T1162" s="4">
        <v>0</v>
      </c>
      <c r="W1162" s="5" t="s">
        <v>826</v>
      </c>
      <c r="X1162" s="5" t="s">
        <v>826</v>
      </c>
      <c r="Y1162" s="4">
        <v>247</v>
      </c>
      <c r="Z1162" s="4">
        <v>19</v>
      </c>
      <c r="AA1162" s="4">
        <v>79</v>
      </c>
      <c r="AB1162" s="4">
        <v>2</v>
      </c>
      <c r="AC1162" s="4">
        <v>13</v>
      </c>
      <c r="AD1162" s="4">
        <v>72</v>
      </c>
      <c r="AE1162" s="4">
        <v>151</v>
      </c>
      <c r="AF1162" s="4">
        <v>1</v>
      </c>
      <c r="AG1162" s="4">
        <v>9</v>
      </c>
      <c r="AH1162" s="4">
        <v>64</v>
      </c>
      <c r="AI1162" s="4">
        <v>113</v>
      </c>
      <c r="AJ1162" s="4">
        <v>10</v>
      </c>
      <c r="AK1162" s="4">
        <v>26</v>
      </c>
      <c r="AL1162" s="4">
        <v>38</v>
      </c>
      <c r="AM1162" s="4">
        <v>62</v>
      </c>
      <c r="AN1162" s="4">
        <v>0</v>
      </c>
      <c r="AO1162" s="4">
        <v>0</v>
      </c>
      <c r="AP1162" s="4">
        <v>13</v>
      </c>
      <c r="AQ1162" s="4">
        <v>45</v>
      </c>
      <c r="AR1162" s="3" t="s">
        <v>64</v>
      </c>
      <c r="AS1162" s="3" t="s">
        <v>64</v>
      </c>
      <c r="AT1162" s="3" t="s">
        <v>64</v>
      </c>
      <c r="AV1162" s="6" t="str">
        <f>HYPERLINK("http://mcgill.on.worldcat.org/oclc/1079401118","Catalog Record")</f>
        <v>Catalog Record</v>
      </c>
      <c r="AW1162" s="6" t="str">
        <f>HYPERLINK("http://www.worldcat.org/oclc/1079401118","WorldCat Record")</f>
        <v>WorldCat Record</v>
      </c>
      <c r="AX1162" s="3" t="s">
        <v>11604</v>
      </c>
      <c r="AY1162" s="3" t="s">
        <v>11621</v>
      </c>
      <c r="AZ1162" s="3" t="s">
        <v>11622</v>
      </c>
      <c r="BA1162" s="3" t="s">
        <v>11622</v>
      </c>
      <c r="BB1162" s="3" t="s">
        <v>11623</v>
      </c>
      <c r="BC1162" s="3" t="s">
        <v>77</v>
      </c>
      <c r="BD1162" s="3" t="s">
        <v>78</v>
      </c>
      <c r="BE1162" s="3" t="s">
        <v>11624</v>
      </c>
      <c r="BF1162" s="3" t="s">
        <v>11623</v>
      </c>
      <c r="BG1162" s="3" t="s">
        <v>11625</v>
      </c>
      <c r="BH1162">
        <f t="shared" si="38"/>
        <v>0</v>
      </c>
    </row>
    <row r="1163" spans="1:60" ht="58" x14ac:dyDescent="0.35">
      <c r="A1163" s="2" t="s">
        <v>59</v>
      </c>
      <c r="B1163" s="2" t="s">
        <v>60</v>
      </c>
      <c r="C1163" s="2" t="s">
        <v>11626</v>
      </c>
      <c r="D1163" s="2" t="s">
        <v>11627</v>
      </c>
      <c r="E1163" s="2" t="s">
        <v>11628</v>
      </c>
      <c r="G1163" s="3" t="s">
        <v>64</v>
      </c>
      <c r="I1163" s="3" t="s">
        <v>64</v>
      </c>
      <c r="J1163" s="3" t="s">
        <v>128</v>
      </c>
      <c r="K1163" s="3" t="s">
        <v>65</v>
      </c>
      <c r="L1163" s="2" t="s">
        <v>11629</v>
      </c>
      <c r="M1163" s="2" t="s">
        <v>11630</v>
      </c>
      <c r="N1163" s="3" t="s">
        <v>421</v>
      </c>
      <c r="P1163" s="3" t="s">
        <v>102</v>
      </c>
      <c r="R1163" s="3" t="s">
        <v>70</v>
      </c>
      <c r="S1163" s="4">
        <v>19</v>
      </c>
      <c r="T1163" s="4">
        <v>19</v>
      </c>
      <c r="U1163" s="5" t="s">
        <v>445</v>
      </c>
      <c r="V1163" s="5" t="s">
        <v>445</v>
      </c>
      <c r="W1163" s="5" t="s">
        <v>72</v>
      </c>
      <c r="X1163" s="5" t="s">
        <v>72</v>
      </c>
      <c r="Y1163" s="4">
        <v>209</v>
      </c>
      <c r="Z1163" s="4">
        <v>17</v>
      </c>
      <c r="AA1163" s="4">
        <v>40</v>
      </c>
      <c r="AB1163" s="4">
        <v>1</v>
      </c>
      <c r="AC1163" s="4">
        <v>8</v>
      </c>
      <c r="AD1163" s="4">
        <v>78</v>
      </c>
      <c r="AE1163" s="4">
        <v>113</v>
      </c>
      <c r="AF1163" s="4">
        <v>0</v>
      </c>
      <c r="AG1163" s="4">
        <v>3</v>
      </c>
      <c r="AH1163" s="4">
        <v>72</v>
      </c>
      <c r="AI1163" s="4">
        <v>100</v>
      </c>
      <c r="AJ1163" s="4">
        <v>10</v>
      </c>
      <c r="AK1163" s="4">
        <v>19</v>
      </c>
      <c r="AL1163" s="4">
        <v>37</v>
      </c>
      <c r="AM1163" s="4">
        <v>50</v>
      </c>
      <c r="AN1163" s="4">
        <v>0</v>
      </c>
      <c r="AO1163" s="4">
        <v>0</v>
      </c>
      <c r="AP1163" s="4">
        <v>11</v>
      </c>
      <c r="AQ1163" s="4">
        <v>22</v>
      </c>
      <c r="AR1163" s="3" t="s">
        <v>64</v>
      </c>
      <c r="AS1163" s="3" t="s">
        <v>64</v>
      </c>
      <c r="AT1163" s="3" t="s">
        <v>128</v>
      </c>
      <c r="AU1163" s="6" t="str">
        <f>HYPERLINK("http://catalog.hathitrust.org/Record/003094545","HathiTrust Record")</f>
        <v>HathiTrust Record</v>
      </c>
      <c r="AV1163" s="6" t="str">
        <f>HYPERLINK("http://mcgill.on.worldcat.org/oclc/34412658","Catalog Record")</f>
        <v>Catalog Record</v>
      </c>
      <c r="AW1163" s="6" t="str">
        <f>HYPERLINK("http://www.worldcat.org/oclc/34412658","WorldCat Record")</f>
        <v>WorldCat Record</v>
      </c>
      <c r="AX1163" s="3" t="s">
        <v>11631</v>
      </c>
      <c r="AY1163" s="3" t="s">
        <v>11632</v>
      </c>
      <c r="AZ1163" s="3" t="s">
        <v>11633</v>
      </c>
      <c r="BA1163" s="3" t="s">
        <v>11633</v>
      </c>
      <c r="BB1163" s="3" t="s">
        <v>11634</v>
      </c>
      <c r="BC1163" s="3" t="s">
        <v>77</v>
      </c>
      <c r="BD1163" s="3" t="s">
        <v>78</v>
      </c>
      <c r="BE1163" s="3" t="s">
        <v>11635</v>
      </c>
      <c r="BF1163" s="3" t="s">
        <v>11634</v>
      </c>
      <c r="BG1163" s="3" t="s">
        <v>11636</v>
      </c>
      <c r="BH1163">
        <f t="shared" si="38"/>
        <v>0</v>
      </c>
    </row>
    <row r="1164" spans="1:60" ht="58" x14ac:dyDescent="0.35">
      <c r="A1164" s="2" t="s">
        <v>59</v>
      </c>
      <c r="B1164" s="2" t="s">
        <v>60</v>
      </c>
      <c r="C1164" s="2" t="s">
        <v>11637</v>
      </c>
      <c r="D1164" s="2" t="s">
        <v>11638</v>
      </c>
      <c r="E1164" s="2" t="s">
        <v>11628</v>
      </c>
      <c r="G1164" s="3" t="s">
        <v>64</v>
      </c>
      <c r="I1164" s="3" t="s">
        <v>64</v>
      </c>
      <c r="J1164" s="3" t="s">
        <v>128</v>
      </c>
      <c r="K1164" s="3" t="s">
        <v>65</v>
      </c>
      <c r="L1164" s="2" t="s">
        <v>11629</v>
      </c>
      <c r="M1164" s="2" t="s">
        <v>11639</v>
      </c>
      <c r="N1164" s="3" t="s">
        <v>1275</v>
      </c>
      <c r="P1164" s="3" t="s">
        <v>102</v>
      </c>
      <c r="R1164" s="3" t="s">
        <v>70</v>
      </c>
      <c r="S1164" s="4">
        <v>22</v>
      </c>
      <c r="T1164" s="4">
        <v>22</v>
      </c>
      <c r="U1164" s="5" t="s">
        <v>11640</v>
      </c>
      <c r="V1164" s="5" t="s">
        <v>11640</v>
      </c>
      <c r="W1164" s="5" t="s">
        <v>72</v>
      </c>
      <c r="X1164" s="5" t="s">
        <v>72</v>
      </c>
      <c r="Y1164" s="4">
        <v>24</v>
      </c>
      <c r="Z1164" s="4">
        <v>1</v>
      </c>
      <c r="AA1164" s="4">
        <v>40</v>
      </c>
      <c r="AB1164" s="4">
        <v>1</v>
      </c>
      <c r="AC1164" s="4">
        <v>8</v>
      </c>
      <c r="AD1164" s="4">
        <v>5</v>
      </c>
      <c r="AE1164" s="4">
        <v>113</v>
      </c>
      <c r="AF1164" s="4">
        <v>0</v>
      </c>
      <c r="AG1164" s="4">
        <v>3</v>
      </c>
      <c r="AH1164" s="4">
        <v>5</v>
      </c>
      <c r="AI1164" s="4">
        <v>100</v>
      </c>
      <c r="AJ1164" s="4">
        <v>0</v>
      </c>
      <c r="AK1164" s="4">
        <v>19</v>
      </c>
      <c r="AL1164" s="4">
        <v>4</v>
      </c>
      <c r="AM1164" s="4">
        <v>50</v>
      </c>
      <c r="AN1164" s="4">
        <v>0</v>
      </c>
      <c r="AO1164" s="4">
        <v>0</v>
      </c>
      <c r="AP1164" s="4">
        <v>0</v>
      </c>
      <c r="AQ1164" s="4">
        <v>22</v>
      </c>
      <c r="AR1164" s="3" t="s">
        <v>64</v>
      </c>
      <c r="AS1164" s="3" t="s">
        <v>64</v>
      </c>
      <c r="AT1164" s="3" t="s">
        <v>64</v>
      </c>
      <c r="AV1164" s="6" t="str">
        <f>HYPERLINK("http://mcgill.on.worldcat.org/oclc/52429769","Catalog Record")</f>
        <v>Catalog Record</v>
      </c>
      <c r="AW1164" s="6" t="str">
        <f>HYPERLINK("http://www.worldcat.org/oclc/52429769","WorldCat Record")</f>
        <v>WorldCat Record</v>
      </c>
      <c r="AX1164" s="3" t="s">
        <v>11631</v>
      </c>
      <c r="AY1164" s="3" t="s">
        <v>11641</v>
      </c>
      <c r="AZ1164" s="3" t="s">
        <v>11642</v>
      </c>
      <c r="BA1164" s="3" t="s">
        <v>11642</v>
      </c>
      <c r="BB1164" s="3" t="s">
        <v>11643</v>
      </c>
      <c r="BC1164" s="3" t="s">
        <v>77</v>
      </c>
      <c r="BD1164" s="3" t="s">
        <v>78</v>
      </c>
      <c r="BE1164" s="3" t="s">
        <v>11644</v>
      </c>
      <c r="BF1164" s="3" t="s">
        <v>11643</v>
      </c>
      <c r="BG1164" s="3" t="s">
        <v>11645</v>
      </c>
      <c r="BH1164">
        <f t="shared" si="38"/>
        <v>0</v>
      </c>
    </row>
    <row r="1165" spans="1:60" ht="58" x14ac:dyDescent="0.35">
      <c r="A1165" s="2" t="s">
        <v>59</v>
      </c>
      <c r="B1165" s="2" t="s">
        <v>60</v>
      </c>
      <c r="C1165" s="2" t="s">
        <v>11646</v>
      </c>
      <c r="D1165" s="2" t="s">
        <v>11647</v>
      </c>
      <c r="E1165" s="2" t="s">
        <v>11648</v>
      </c>
      <c r="G1165" s="3" t="s">
        <v>64</v>
      </c>
      <c r="I1165" s="3" t="s">
        <v>64</v>
      </c>
      <c r="J1165" s="3" t="s">
        <v>64</v>
      </c>
      <c r="K1165" s="3" t="s">
        <v>65</v>
      </c>
      <c r="L1165" s="2" t="s">
        <v>11629</v>
      </c>
      <c r="M1165" s="2" t="s">
        <v>11649</v>
      </c>
      <c r="N1165" s="3" t="s">
        <v>291</v>
      </c>
      <c r="P1165" s="3" t="s">
        <v>102</v>
      </c>
      <c r="R1165" s="3" t="s">
        <v>70</v>
      </c>
      <c r="S1165" s="4">
        <v>18</v>
      </c>
      <c r="T1165" s="4">
        <v>18</v>
      </c>
      <c r="U1165" s="5" t="s">
        <v>11650</v>
      </c>
      <c r="V1165" s="5" t="s">
        <v>11650</v>
      </c>
      <c r="W1165" s="5" t="s">
        <v>72</v>
      </c>
      <c r="X1165" s="5" t="s">
        <v>72</v>
      </c>
      <c r="Y1165" s="4">
        <v>262</v>
      </c>
      <c r="Z1165" s="4">
        <v>25</v>
      </c>
      <c r="AA1165" s="4">
        <v>27</v>
      </c>
      <c r="AB1165" s="4">
        <v>2</v>
      </c>
      <c r="AC1165" s="4">
        <v>4</v>
      </c>
      <c r="AD1165" s="4">
        <v>95</v>
      </c>
      <c r="AE1165" s="4">
        <v>97</v>
      </c>
      <c r="AF1165" s="4">
        <v>0</v>
      </c>
      <c r="AG1165" s="4">
        <v>2</v>
      </c>
      <c r="AH1165" s="4">
        <v>87</v>
      </c>
      <c r="AI1165" s="4">
        <v>88</v>
      </c>
      <c r="AJ1165" s="4">
        <v>11</v>
      </c>
      <c r="AK1165" s="4">
        <v>12</v>
      </c>
      <c r="AL1165" s="4">
        <v>47</v>
      </c>
      <c r="AM1165" s="4">
        <v>47</v>
      </c>
      <c r="AN1165" s="4">
        <v>0</v>
      </c>
      <c r="AO1165" s="4">
        <v>0</v>
      </c>
      <c r="AP1165" s="4">
        <v>14</v>
      </c>
      <c r="AQ1165" s="4">
        <v>16</v>
      </c>
      <c r="AR1165" s="3" t="s">
        <v>64</v>
      </c>
      <c r="AS1165" s="3" t="s">
        <v>64</v>
      </c>
      <c r="AT1165" s="3" t="s">
        <v>64</v>
      </c>
      <c r="AV1165" s="6" t="str">
        <f>HYPERLINK("http://mcgill.on.worldcat.org/oclc/70207952","Catalog Record")</f>
        <v>Catalog Record</v>
      </c>
      <c r="AW1165" s="6" t="str">
        <f>HYPERLINK("http://www.worldcat.org/oclc/70207952","WorldCat Record")</f>
        <v>WorldCat Record</v>
      </c>
      <c r="AX1165" s="3" t="s">
        <v>11651</v>
      </c>
      <c r="AY1165" s="3" t="s">
        <v>11652</v>
      </c>
      <c r="AZ1165" s="3" t="s">
        <v>11653</v>
      </c>
      <c r="BA1165" s="3" t="s">
        <v>11653</v>
      </c>
      <c r="BB1165" s="3" t="s">
        <v>11654</v>
      </c>
      <c r="BC1165" s="3" t="s">
        <v>77</v>
      </c>
      <c r="BD1165" s="3" t="s">
        <v>78</v>
      </c>
      <c r="BE1165" s="3" t="s">
        <v>11655</v>
      </c>
      <c r="BF1165" s="3" t="s">
        <v>11654</v>
      </c>
      <c r="BG1165" s="3" t="s">
        <v>11656</v>
      </c>
      <c r="BH1165">
        <f t="shared" si="38"/>
        <v>0</v>
      </c>
    </row>
    <row r="1166" spans="1:60" ht="58" x14ac:dyDescent="0.35">
      <c r="A1166" s="2" t="s">
        <v>59</v>
      </c>
      <c r="B1166" s="2" t="s">
        <v>60</v>
      </c>
      <c r="C1166" s="2" t="s">
        <v>11657</v>
      </c>
      <c r="D1166" s="2" t="s">
        <v>11658</v>
      </c>
      <c r="E1166" s="2" t="s">
        <v>11659</v>
      </c>
      <c r="G1166" s="3" t="s">
        <v>64</v>
      </c>
      <c r="I1166" s="3" t="s">
        <v>64</v>
      </c>
      <c r="J1166" s="3" t="s">
        <v>64</v>
      </c>
      <c r="K1166" s="3" t="s">
        <v>65</v>
      </c>
      <c r="L1166" s="2" t="s">
        <v>11660</v>
      </c>
      <c r="M1166" s="2" t="s">
        <v>11661</v>
      </c>
      <c r="N1166" s="3" t="s">
        <v>326</v>
      </c>
      <c r="P1166" s="3" t="s">
        <v>102</v>
      </c>
      <c r="R1166" s="3" t="s">
        <v>70</v>
      </c>
      <c r="S1166" s="4">
        <v>2</v>
      </c>
      <c r="T1166" s="4">
        <v>2</v>
      </c>
      <c r="U1166" s="5" t="s">
        <v>11662</v>
      </c>
      <c r="V1166" s="5" t="s">
        <v>11662</v>
      </c>
      <c r="W1166" s="5" t="s">
        <v>72</v>
      </c>
      <c r="X1166" s="5" t="s">
        <v>72</v>
      </c>
      <c r="Y1166" s="4">
        <v>109</v>
      </c>
      <c r="Z1166" s="4">
        <v>11</v>
      </c>
      <c r="AA1166" s="4">
        <v>15</v>
      </c>
      <c r="AB1166" s="4">
        <v>2</v>
      </c>
      <c r="AC1166" s="4">
        <v>6</v>
      </c>
      <c r="AD1166" s="4">
        <v>47</v>
      </c>
      <c r="AE1166" s="4">
        <v>52</v>
      </c>
      <c r="AF1166" s="4">
        <v>1</v>
      </c>
      <c r="AG1166" s="4">
        <v>2</v>
      </c>
      <c r="AH1166" s="4">
        <v>44</v>
      </c>
      <c r="AI1166" s="4">
        <v>49</v>
      </c>
      <c r="AJ1166" s="4">
        <v>6</v>
      </c>
      <c r="AK1166" s="4">
        <v>7</v>
      </c>
      <c r="AL1166" s="4">
        <v>29</v>
      </c>
      <c r="AM1166" s="4">
        <v>32</v>
      </c>
      <c r="AN1166" s="4">
        <v>0</v>
      </c>
      <c r="AO1166" s="4">
        <v>0</v>
      </c>
      <c r="AP1166" s="4">
        <v>6</v>
      </c>
      <c r="AQ1166" s="4">
        <v>7</v>
      </c>
      <c r="AR1166" s="3" t="s">
        <v>64</v>
      </c>
      <c r="AS1166" s="3" t="s">
        <v>64</v>
      </c>
      <c r="AT1166" s="3" t="s">
        <v>64</v>
      </c>
      <c r="AV1166" s="6" t="str">
        <f>HYPERLINK("http://mcgill.on.worldcat.org/oclc/668986097","Catalog Record")</f>
        <v>Catalog Record</v>
      </c>
      <c r="AW1166" s="6" t="str">
        <f>HYPERLINK("http://www.worldcat.org/oclc/668986097","WorldCat Record")</f>
        <v>WorldCat Record</v>
      </c>
      <c r="AX1166" s="3" t="s">
        <v>11663</v>
      </c>
      <c r="AY1166" s="3" t="s">
        <v>11664</v>
      </c>
      <c r="AZ1166" s="3" t="s">
        <v>11665</v>
      </c>
      <c r="BA1166" s="3" t="s">
        <v>11665</v>
      </c>
      <c r="BB1166" s="3" t="s">
        <v>11666</v>
      </c>
      <c r="BC1166" s="3" t="s">
        <v>77</v>
      </c>
      <c r="BD1166" s="3" t="s">
        <v>78</v>
      </c>
      <c r="BE1166" s="3" t="s">
        <v>11667</v>
      </c>
      <c r="BF1166" s="3" t="s">
        <v>11666</v>
      </c>
      <c r="BG1166" s="3" t="s">
        <v>11668</v>
      </c>
      <c r="BH1166">
        <f t="shared" si="38"/>
        <v>0</v>
      </c>
    </row>
    <row r="1167" spans="1:60" ht="87" x14ac:dyDescent="0.35">
      <c r="A1167" s="2" t="s">
        <v>59</v>
      </c>
      <c r="B1167" s="2" t="s">
        <v>60</v>
      </c>
      <c r="C1167" s="2" t="s">
        <v>11669</v>
      </c>
      <c r="D1167" s="2" t="s">
        <v>11670</v>
      </c>
      <c r="E1167" s="2" t="s">
        <v>11671</v>
      </c>
      <c r="G1167" s="3" t="s">
        <v>64</v>
      </c>
      <c r="I1167" s="3" t="s">
        <v>64</v>
      </c>
      <c r="J1167" s="3" t="s">
        <v>128</v>
      </c>
      <c r="K1167" s="3" t="s">
        <v>65</v>
      </c>
      <c r="M1167" s="2" t="s">
        <v>11672</v>
      </c>
      <c r="N1167" s="3" t="s">
        <v>578</v>
      </c>
      <c r="O1167" s="2" t="s">
        <v>11673</v>
      </c>
      <c r="P1167" s="3" t="s">
        <v>102</v>
      </c>
      <c r="R1167" s="3" t="s">
        <v>70</v>
      </c>
      <c r="S1167" s="4">
        <v>0</v>
      </c>
      <c r="T1167" s="4">
        <v>0</v>
      </c>
      <c r="W1167" s="5" t="s">
        <v>11674</v>
      </c>
      <c r="X1167" s="5" t="s">
        <v>11674</v>
      </c>
      <c r="Y1167" s="4">
        <v>25</v>
      </c>
      <c r="Z1167" s="4">
        <v>2</v>
      </c>
      <c r="AA1167" s="4">
        <v>22</v>
      </c>
      <c r="AB1167" s="4">
        <v>1</v>
      </c>
      <c r="AC1167" s="4">
        <v>6</v>
      </c>
      <c r="AD1167" s="4">
        <v>1</v>
      </c>
      <c r="AE1167" s="4">
        <v>16</v>
      </c>
      <c r="AF1167" s="4">
        <v>0</v>
      </c>
      <c r="AG1167" s="4">
        <v>0</v>
      </c>
      <c r="AH1167" s="4">
        <v>1</v>
      </c>
      <c r="AI1167" s="4">
        <v>16</v>
      </c>
      <c r="AJ1167" s="4">
        <v>0</v>
      </c>
      <c r="AK1167" s="4">
        <v>1</v>
      </c>
      <c r="AL1167" s="4">
        <v>0</v>
      </c>
      <c r="AM1167" s="4">
        <v>10</v>
      </c>
      <c r="AN1167" s="4">
        <v>0</v>
      </c>
      <c r="AO1167" s="4">
        <v>0</v>
      </c>
      <c r="AP1167" s="4">
        <v>0</v>
      </c>
      <c r="AQ1167" s="4">
        <v>1</v>
      </c>
      <c r="AR1167" s="3" t="s">
        <v>64</v>
      </c>
      <c r="AS1167" s="3" t="s">
        <v>64</v>
      </c>
      <c r="AT1167" s="3" t="s">
        <v>64</v>
      </c>
      <c r="AV1167" s="6" t="str">
        <f>HYPERLINK("http://mcgill.on.worldcat.org/oclc/987276139","Catalog Record")</f>
        <v>Catalog Record</v>
      </c>
      <c r="AW1167" s="6" t="str">
        <f>HYPERLINK("http://www.worldcat.org/oclc/987276139","WorldCat Record")</f>
        <v>WorldCat Record</v>
      </c>
      <c r="AX1167" s="3" t="s">
        <v>11675</v>
      </c>
      <c r="AY1167" s="3" t="s">
        <v>11676</v>
      </c>
      <c r="AZ1167" s="3" t="s">
        <v>11677</v>
      </c>
      <c r="BA1167" s="3" t="s">
        <v>11677</v>
      </c>
      <c r="BB1167" s="3" t="s">
        <v>11678</v>
      </c>
      <c r="BC1167" s="3" t="s">
        <v>77</v>
      </c>
      <c r="BD1167" s="3" t="s">
        <v>78</v>
      </c>
      <c r="BE1167" s="3" t="s">
        <v>11679</v>
      </c>
      <c r="BF1167" s="3" t="s">
        <v>11678</v>
      </c>
      <c r="BG1167" s="3" t="s">
        <v>11680</v>
      </c>
      <c r="BH1167">
        <f t="shared" si="38"/>
        <v>0</v>
      </c>
    </row>
    <row r="1168" spans="1:60" ht="58" x14ac:dyDescent="0.35">
      <c r="A1168" s="2" t="s">
        <v>59</v>
      </c>
      <c r="B1168" s="2" t="s">
        <v>60</v>
      </c>
      <c r="C1168" s="2" t="s">
        <v>11681</v>
      </c>
      <c r="D1168" s="2" t="s">
        <v>11682</v>
      </c>
      <c r="E1168" s="2" t="s">
        <v>11683</v>
      </c>
      <c r="G1168" s="3" t="s">
        <v>64</v>
      </c>
      <c r="I1168" s="3" t="s">
        <v>64</v>
      </c>
      <c r="J1168" s="3" t="s">
        <v>64</v>
      </c>
      <c r="K1168" s="3" t="s">
        <v>65</v>
      </c>
      <c r="M1168" s="2" t="s">
        <v>11684</v>
      </c>
      <c r="N1168" s="3" t="s">
        <v>421</v>
      </c>
      <c r="P1168" s="3" t="s">
        <v>102</v>
      </c>
      <c r="R1168" s="3" t="s">
        <v>70</v>
      </c>
      <c r="S1168" s="4">
        <v>13</v>
      </c>
      <c r="T1168" s="4">
        <v>13</v>
      </c>
      <c r="U1168" s="5" t="s">
        <v>11685</v>
      </c>
      <c r="V1168" s="5" t="s">
        <v>11685</v>
      </c>
      <c r="W1168" s="5" t="s">
        <v>72</v>
      </c>
      <c r="X1168" s="5" t="s">
        <v>72</v>
      </c>
      <c r="Y1168" s="4">
        <v>104</v>
      </c>
      <c r="Z1168" s="4">
        <v>8</v>
      </c>
      <c r="AA1168" s="4">
        <v>8</v>
      </c>
      <c r="AB1168" s="4">
        <v>1</v>
      </c>
      <c r="AC1168" s="4">
        <v>1</v>
      </c>
      <c r="AD1168" s="4">
        <v>38</v>
      </c>
      <c r="AE1168" s="4">
        <v>38</v>
      </c>
      <c r="AF1168" s="4">
        <v>0</v>
      </c>
      <c r="AG1168" s="4">
        <v>0</v>
      </c>
      <c r="AH1168" s="4">
        <v>33</v>
      </c>
      <c r="AI1168" s="4">
        <v>33</v>
      </c>
      <c r="AJ1168" s="4">
        <v>6</v>
      </c>
      <c r="AK1168" s="4">
        <v>6</v>
      </c>
      <c r="AL1168" s="4">
        <v>20</v>
      </c>
      <c r="AM1168" s="4">
        <v>20</v>
      </c>
      <c r="AN1168" s="4">
        <v>0</v>
      </c>
      <c r="AO1168" s="4">
        <v>0</v>
      </c>
      <c r="AP1168" s="4">
        <v>6</v>
      </c>
      <c r="AQ1168" s="4">
        <v>6</v>
      </c>
      <c r="AR1168" s="3" t="s">
        <v>64</v>
      </c>
      <c r="AS1168" s="3" t="s">
        <v>64</v>
      </c>
      <c r="AT1168" s="3" t="s">
        <v>64</v>
      </c>
      <c r="AV1168" s="6" t="str">
        <f>HYPERLINK("http://mcgill.on.worldcat.org/oclc/35159217","Catalog Record")</f>
        <v>Catalog Record</v>
      </c>
      <c r="AW1168" s="6" t="str">
        <f>HYPERLINK("http://www.worldcat.org/oclc/35159217","WorldCat Record")</f>
        <v>WorldCat Record</v>
      </c>
      <c r="AX1168" s="3" t="s">
        <v>11686</v>
      </c>
      <c r="AY1168" s="3" t="s">
        <v>11687</v>
      </c>
      <c r="AZ1168" s="3" t="s">
        <v>11688</v>
      </c>
      <c r="BA1168" s="3" t="s">
        <v>11688</v>
      </c>
      <c r="BB1168" s="3" t="s">
        <v>11689</v>
      </c>
      <c r="BC1168" s="3" t="s">
        <v>77</v>
      </c>
      <c r="BD1168" s="3" t="s">
        <v>78</v>
      </c>
      <c r="BE1168" s="3" t="s">
        <v>11690</v>
      </c>
      <c r="BF1168" s="3" t="s">
        <v>11689</v>
      </c>
      <c r="BG1168" s="3" t="s">
        <v>11691</v>
      </c>
      <c r="BH1168">
        <f t="shared" si="38"/>
        <v>0</v>
      </c>
    </row>
    <row r="1169" spans="1:60" ht="101.5" x14ac:dyDescent="0.35">
      <c r="A1169" s="2" t="s">
        <v>59</v>
      </c>
      <c r="B1169" s="2" t="s">
        <v>60</v>
      </c>
      <c r="C1169" s="2" t="s">
        <v>11692</v>
      </c>
      <c r="D1169" s="2" t="s">
        <v>11693</v>
      </c>
      <c r="E1169" s="2" t="s">
        <v>11694</v>
      </c>
      <c r="G1169" s="3" t="s">
        <v>64</v>
      </c>
      <c r="I1169" s="3" t="s">
        <v>64</v>
      </c>
      <c r="J1169" s="3" t="s">
        <v>64</v>
      </c>
      <c r="K1169" s="3" t="s">
        <v>65</v>
      </c>
      <c r="L1169" s="2" t="s">
        <v>11695</v>
      </c>
      <c r="M1169" s="2" t="s">
        <v>11696</v>
      </c>
      <c r="N1169" s="3" t="s">
        <v>537</v>
      </c>
      <c r="O1169" s="2" t="s">
        <v>117</v>
      </c>
      <c r="P1169" s="3" t="s">
        <v>102</v>
      </c>
      <c r="Q1169" s="2" t="s">
        <v>11697</v>
      </c>
      <c r="R1169" s="3" t="s">
        <v>70</v>
      </c>
      <c r="S1169" s="4">
        <v>2</v>
      </c>
      <c r="T1169" s="4">
        <v>2</v>
      </c>
      <c r="U1169" s="5" t="s">
        <v>11346</v>
      </c>
      <c r="V1169" s="5" t="s">
        <v>11346</v>
      </c>
      <c r="W1169" s="5" t="s">
        <v>72</v>
      </c>
      <c r="X1169" s="5" t="s">
        <v>72</v>
      </c>
      <c r="Y1169" s="4">
        <v>67</v>
      </c>
      <c r="Z1169" s="4">
        <v>6</v>
      </c>
      <c r="AA1169" s="4">
        <v>27</v>
      </c>
      <c r="AB1169" s="4">
        <v>1</v>
      </c>
      <c r="AC1169" s="4">
        <v>10</v>
      </c>
      <c r="AD1169" s="4">
        <v>31</v>
      </c>
      <c r="AE1169" s="4">
        <v>66</v>
      </c>
      <c r="AF1169" s="4">
        <v>0</v>
      </c>
      <c r="AG1169" s="4">
        <v>5</v>
      </c>
      <c r="AH1169" s="4">
        <v>29</v>
      </c>
      <c r="AI1169" s="4">
        <v>51</v>
      </c>
      <c r="AJ1169" s="4">
        <v>2</v>
      </c>
      <c r="AK1169" s="4">
        <v>11</v>
      </c>
      <c r="AL1169" s="4">
        <v>20</v>
      </c>
      <c r="AM1169" s="4">
        <v>28</v>
      </c>
      <c r="AN1169" s="4">
        <v>0</v>
      </c>
      <c r="AO1169" s="4">
        <v>0</v>
      </c>
      <c r="AP1169" s="4">
        <v>2</v>
      </c>
      <c r="AQ1169" s="4">
        <v>19</v>
      </c>
      <c r="AR1169" s="3" t="s">
        <v>64</v>
      </c>
      <c r="AS1169" s="3" t="s">
        <v>64</v>
      </c>
      <c r="AT1169" s="3" t="s">
        <v>64</v>
      </c>
      <c r="AV1169" s="6" t="str">
        <f>HYPERLINK("http://mcgill.on.worldcat.org/oclc/933788471","Catalog Record")</f>
        <v>Catalog Record</v>
      </c>
      <c r="AW1169" s="6" t="str">
        <f>HYPERLINK("http://www.worldcat.org/oclc/933788471","WorldCat Record")</f>
        <v>WorldCat Record</v>
      </c>
      <c r="AX1169" s="3" t="s">
        <v>11698</v>
      </c>
      <c r="AY1169" s="3" t="s">
        <v>11699</v>
      </c>
      <c r="AZ1169" s="3" t="s">
        <v>11700</v>
      </c>
      <c r="BA1169" s="3" t="s">
        <v>11700</v>
      </c>
      <c r="BB1169" s="3" t="s">
        <v>11701</v>
      </c>
      <c r="BC1169" s="3" t="s">
        <v>77</v>
      </c>
      <c r="BD1169" s="3" t="s">
        <v>78</v>
      </c>
      <c r="BE1169" s="3" t="s">
        <v>11702</v>
      </c>
      <c r="BF1169" s="3" t="s">
        <v>11701</v>
      </c>
      <c r="BG1169" s="3" t="s">
        <v>11703</v>
      </c>
      <c r="BH1169">
        <f t="shared" si="38"/>
        <v>0</v>
      </c>
    </row>
    <row r="1170" spans="1:60" ht="58" x14ac:dyDescent="0.35">
      <c r="A1170" s="2" t="s">
        <v>59</v>
      </c>
      <c r="B1170" s="2" t="s">
        <v>60</v>
      </c>
      <c r="C1170" s="2" t="s">
        <v>11704</v>
      </c>
      <c r="D1170" s="2" t="s">
        <v>11705</v>
      </c>
      <c r="E1170" s="2" t="s">
        <v>11706</v>
      </c>
      <c r="G1170" s="3" t="s">
        <v>64</v>
      </c>
      <c r="I1170" s="3" t="s">
        <v>64</v>
      </c>
      <c r="J1170" s="3" t="s">
        <v>64</v>
      </c>
      <c r="K1170" s="3" t="s">
        <v>65</v>
      </c>
      <c r="L1170" s="2" t="s">
        <v>11707</v>
      </c>
      <c r="M1170" s="2" t="s">
        <v>9878</v>
      </c>
      <c r="N1170" s="3" t="s">
        <v>67</v>
      </c>
      <c r="P1170" s="3" t="s">
        <v>102</v>
      </c>
      <c r="Q1170" s="2" t="s">
        <v>3876</v>
      </c>
      <c r="R1170" s="3" t="s">
        <v>70</v>
      </c>
      <c r="S1170" s="4">
        <v>0</v>
      </c>
      <c r="T1170" s="4">
        <v>0</v>
      </c>
      <c r="W1170" s="5" t="s">
        <v>72</v>
      </c>
      <c r="X1170" s="5" t="s">
        <v>72</v>
      </c>
      <c r="Y1170" s="4">
        <v>129</v>
      </c>
      <c r="Z1170" s="4">
        <v>10</v>
      </c>
      <c r="AA1170" s="4">
        <v>95</v>
      </c>
      <c r="AB1170" s="4">
        <v>1</v>
      </c>
      <c r="AC1170" s="4">
        <v>15</v>
      </c>
      <c r="AD1170" s="4">
        <v>53</v>
      </c>
      <c r="AE1170" s="4">
        <v>115</v>
      </c>
      <c r="AF1170" s="4">
        <v>0</v>
      </c>
      <c r="AG1170" s="4">
        <v>8</v>
      </c>
      <c r="AH1170" s="4">
        <v>48</v>
      </c>
      <c r="AI1170" s="4">
        <v>79</v>
      </c>
      <c r="AJ1170" s="4">
        <v>6</v>
      </c>
      <c r="AK1170" s="4">
        <v>19</v>
      </c>
      <c r="AL1170" s="4">
        <v>33</v>
      </c>
      <c r="AM1170" s="4">
        <v>47</v>
      </c>
      <c r="AN1170" s="4">
        <v>0</v>
      </c>
      <c r="AO1170" s="4">
        <v>0</v>
      </c>
      <c r="AP1170" s="4">
        <v>6</v>
      </c>
      <c r="AQ1170" s="4">
        <v>39</v>
      </c>
      <c r="AR1170" s="3" t="s">
        <v>64</v>
      </c>
      <c r="AS1170" s="3" t="s">
        <v>64</v>
      </c>
      <c r="AT1170" s="3" t="s">
        <v>64</v>
      </c>
      <c r="AV1170" s="6" t="str">
        <f>HYPERLINK("http://mcgill.on.worldcat.org/oclc/867765675","Catalog Record")</f>
        <v>Catalog Record</v>
      </c>
      <c r="AW1170" s="6" t="str">
        <f>HYPERLINK("http://www.worldcat.org/oclc/867765675","WorldCat Record")</f>
        <v>WorldCat Record</v>
      </c>
      <c r="AX1170" s="3" t="s">
        <v>11708</v>
      </c>
      <c r="AY1170" s="3" t="s">
        <v>11709</v>
      </c>
      <c r="AZ1170" s="3" t="s">
        <v>11710</v>
      </c>
      <c r="BA1170" s="3" t="s">
        <v>11710</v>
      </c>
      <c r="BB1170" s="3" t="s">
        <v>11711</v>
      </c>
      <c r="BC1170" s="3" t="s">
        <v>77</v>
      </c>
      <c r="BD1170" s="3" t="s">
        <v>78</v>
      </c>
      <c r="BE1170" s="3" t="s">
        <v>11712</v>
      </c>
      <c r="BF1170" s="3" t="s">
        <v>11711</v>
      </c>
      <c r="BG1170" s="3" t="s">
        <v>11713</v>
      </c>
      <c r="BH1170">
        <f t="shared" si="38"/>
        <v>0</v>
      </c>
    </row>
    <row r="1171" spans="1:60" ht="72.5" x14ac:dyDescent="0.35">
      <c r="A1171" s="2" t="s">
        <v>59</v>
      </c>
      <c r="B1171" s="2" t="s">
        <v>60</v>
      </c>
      <c r="C1171" s="2" t="s">
        <v>11714</v>
      </c>
      <c r="D1171" s="2" t="s">
        <v>11715</v>
      </c>
      <c r="E1171" s="2" t="s">
        <v>11716</v>
      </c>
      <c r="G1171" s="3" t="s">
        <v>64</v>
      </c>
      <c r="I1171" s="3" t="s">
        <v>64</v>
      </c>
      <c r="J1171" s="3" t="s">
        <v>64</v>
      </c>
      <c r="K1171" s="3" t="s">
        <v>65</v>
      </c>
      <c r="L1171" s="2" t="s">
        <v>11717</v>
      </c>
      <c r="M1171" s="2" t="s">
        <v>11718</v>
      </c>
      <c r="N1171" s="3" t="s">
        <v>1275</v>
      </c>
      <c r="P1171" s="3" t="s">
        <v>102</v>
      </c>
      <c r="R1171" s="3" t="s">
        <v>70</v>
      </c>
      <c r="S1171" s="4">
        <v>3</v>
      </c>
      <c r="T1171" s="4">
        <v>3</v>
      </c>
      <c r="U1171" s="5" t="s">
        <v>11719</v>
      </c>
      <c r="V1171" s="5" t="s">
        <v>11719</v>
      </c>
      <c r="W1171" s="5" t="s">
        <v>72</v>
      </c>
      <c r="X1171" s="5" t="s">
        <v>72</v>
      </c>
      <c r="Y1171" s="4">
        <v>723</v>
      </c>
      <c r="Z1171" s="4">
        <v>26</v>
      </c>
      <c r="AA1171" s="4">
        <v>42</v>
      </c>
      <c r="AB1171" s="4">
        <v>3</v>
      </c>
      <c r="AC1171" s="4">
        <v>7</v>
      </c>
      <c r="AD1171" s="4">
        <v>76</v>
      </c>
      <c r="AE1171" s="4">
        <v>88</v>
      </c>
      <c r="AF1171" s="4">
        <v>0</v>
      </c>
      <c r="AG1171" s="4">
        <v>1</v>
      </c>
      <c r="AH1171" s="4">
        <v>69</v>
      </c>
      <c r="AI1171" s="4">
        <v>77</v>
      </c>
      <c r="AJ1171" s="4">
        <v>7</v>
      </c>
      <c r="AK1171" s="4">
        <v>13</v>
      </c>
      <c r="AL1171" s="4">
        <v>40</v>
      </c>
      <c r="AM1171" s="4">
        <v>43</v>
      </c>
      <c r="AN1171" s="4">
        <v>0</v>
      </c>
      <c r="AO1171" s="4">
        <v>0</v>
      </c>
      <c r="AP1171" s="4">
        <v>8</v>
      </c>
      <c r="AQ1171" s="4">
        <v>16</v>
      </c>
      <c r="AR1171" s="3" t="s">
        <v>64</v>
      </c>
      <c r="AS1171" s="3" t="s">
        <v>64</v>
      </c>
      <c r="AT1171" s="3" t="s">
        <v>64</v>
      </c>
      <c r="AV1171" s="6" t="str">
        <f>HYPERLINK("http://mcgill.on.worldcat.org/oclc/53330767","Catalog Record")</f>
        <v>Catalog Record</v>
      </c>
      <c r="AW1171" s="6" t="str">
        <f>HYPERLINK("http://www.worldcat.org/oclc/53330767","WorldCat Record")</f>
        <v>WorldCat Record</v>
      </c>
      <c r="AX1171" s="3" t="s">
        <v>11720</v>
      </c>
      <c r="AY1171" s="3" t="s">
        <v>11721</v>
      </c>
      <c r="AZ1171" s="3" t="s">
        <v>11722</v>
      </c>
      <c r="BA1171" s="3" t="s">
        <v>11722</v>
      </c>
      <c r="BB1171" s="3" t="s">
        <v>11723</v>
      </c>
      <c r="BC1171" s="3" t="s">
        <v>77</v>
      </c>
      <c r="BD1171" s="3" t="s">
        <v>78</v>
      </c>
      <c r="BE1171" s="3" t="s">
        <v>11724</v>
      </c>
      <c r="BF1171" s="3" t="s">
        <v>11723</v>
      </c>
      <c r="BG1171" s="3" t="s">
        <v>11725</v>
      </c>
      <c r="BH1171">
        <f t="shared" si="38"/>
        <v>0</v>
      </c>
    </row>
    <row r="1172" spans="1:60" ht="58" x14ac:dyDescent="0.35">
      <c r="A1172" s="2" t="s">
        <v>59</v>
      </c>
      <c r="B1172" s="2" t="s">
        <v>60</v>
      </c>
      <c r="C1172" s="2" t="s">
        <v>11726</v>
      </c>
      <c r="D1172" s="2" t="s">
        <v>11727</v>
      </c>
      <c r="E1172" s="2" t="s">
        <v>11728</v>
      </c>
      <c r="G1172" s="3" t="s">
        <v>64</v>
      </c>
      <c r="I1172" s="3" t="s">
        <v>64</v>
      </c>
      <c r="J1172" s="3" t="s">
        <v>64</v>
      </c>
      <c r="K1172" s="3" t="s">
        <v>65</v>
      </c>
      <c r="L1172" s="2" t="s">
        <v>11729</v>
      </c>
      <c r="M1172" s="2" t="s">
        <v>11730</v>
      </c>
      <c r="N1172" s="3" t="s">
        <v>1075</v>
      </c>
      <c r="P1172" s="3" t="s">
        <v>102</v>
      </c>
      <c r="R1172" s="3" t="s">
        <v>70</v>
      </c>
      <c r="S1172" s="4">
        <v>17</v>
      </c>
      <c r="T1172" s="4">
        <v>17</v>
      </c>
      <c r="U1172" s="5" t="s">
        <v>11731</v>
      </c>
      <c r="V1172" s="5" t="s">
        <v>11731</v>
      </c>
      <c r="W1172" s="5" t="s">
        <v>72</v>
      </c>
      <c r="X1172" s="5" t="s">
        <v>72</v>
      </c>
      <c r="Y1172" s="4">
        <v>1741</v>
      </c>
      <c r="Z1172" s="4">
        <v>63</v>
      </c>
      <c r="AA1172" s="4">
        <v>95</v>
      </c>
      <c r="AB1172" s="4">
        <v>4</v>
      </c>
      <c r="AC1172" s="4">
        <v>12</v>
      </c>
      <c r="AD1172" s="4">
        <v>105</v>
      </c>
      <c r="AE1172" s="4">
        <v>120</v>
      </c>
      <c r="AF1172" s="4">
        <v>0</v>
      </c>
      <c r="AG1172" s="4">
        <v>3</v>
      </c>
      <c r="AH1172" s="4">
        <v>90</v>
      </c>
      <c r="AI1172" s="4">
        <v>97</v>
      </c>
      <c r="AJ1172" s="4">
        <v>13</v>
      </c>
      <c r="AK1172" s="4">
        <v>18</v>
      </c>
      <c r="AL1172" s="4">
        <v>52</v>
      </c>
      <c r="AM1172" s="4">
        <v>55</v>
      </c>
      <c r="AN1172" s="4">
        <v>5</v>
      </c>
      <c r="AO1172" s="4">
        <v>5</v>
      </c>
      <c r="AP1172" s="4">
        <v>21</v>
      </c>
      <c r="AQ1172" s="4">
        <v>29</v>
      </c>
      <c r="AR1172" s="3" t="s">
        <v>64</v>
      </c>
      <c r="AS1172" s="3" t="s">
        <v>64</v>
      </c>
      <c r="AT1172" s="3" t="s">
        <v>128</v>
      </c>
      <c r="AU1172" s="6" t="str">
        <f>HYPERLINK("http://catalog.hathitrust.org/Record/101797277","HathiTrust Record")</f>
        <v>HathiTrust Record</v>
      </c>
      <c r="AV1172" s="6" t="str">
        <f>HYPERLINK("http://mcgill.on.worldcat.org/oclc/856249407","Catalog Record")</f>
        <v>Catalog Record</v>
      </c>
      <c r="AW1172" s="6" t="str">
        <f>HYPERLINK("http://www.worldcat.org/oclc/856249407","WorldCat Record")</f>
        <v>WorldCat Record</v>
      </c>
      <c r="AX1172" s="3" t="s">
        <v>11732</v>
      </c>
      <c r="AY1172" s="3" t="s">
        <v>11733</v>
      </c>
      <c r="AZ1172" s="3" t="s">
        <v>11734</v>
      </c>
      <c r="BA1172" s="3" t="s">
        <v>11734</v>
      </c>
      <c r="BB1172" s="3" t="s">
        <v>11735</v>
      </c>
      <c r="BC1172" s="3" t="s">
        <v>77</v>
      </c>
      <c r="BD1172" s="3" t="s">
        <v>78</v>
      </c>
      <c r="BE1172" s="3" t="s">
        <v>11736</v>
      </c>
      <c r="BF1172" s="3" t="s">
        <v>11735</v>
      </c>
      <c r="BG1172" s="3" t="s">
        <v>11737</v>
      </c>
      <c r="BH1172">
        <f t="shared" si="38"/>
        <v>0</v>
      </c>
    </row>
    <row r="1173" spans="1:60" ht="58" x14ac:dyDescent="0.35">
      <c r="A1173" s="2" t="s">
        <v>59</v>
      </c>
      <c r="B1173" s="2" t="s">
        <v>60</v>
      </c>
      <c r="C1173" s="2" t="s">
        <v>11738</v>
      </c>
      <c r="D1173" s="2" t="s">
        <v>11739</v>
      </c>
      <c r="E1173" s="2" t="s">
        <v>11740</v>
      </c>
      <c r="G1173" s="3" t="s">
        <v>64</v>
      </c>
      <c r="I1173" s="3" t="s">
        <v>64</v>
      </c>
      <c r="J1173" s="3" t="s">
        <v>64</v>
      </c>
      <c r="K1173" s="3" t="s">
        <v>65</v>
      </c>
      <c r="L1173" s="2" t="s">
        <v>11741</v>
      </c>
      <c r="M1173" s="2" t="s">
        <v>11742</v>
      </c>
      <c r="N1173" s="3" t="s">
        <v>511</v>
      </c>
      <c r="P1173" s="3" t="s">
        <v>102</v>
      </c>
      <c r="Q1173" s="2" t="s">
        <v>11743</v>
      </c>
      <c r="R1173" s="3" t="s">
        <v>70</v>
      </c>
      <c r="S1173" s="4">
        <v>3</v>
      </c>
      <c r="T1173" s="4">
        <v>3</v>
      </c>
      <c r="U1173" s="5" t="s">
        <v>11744</v>
      </c>
      <c r="V1173" s="5" t="s">
        <v>11744</v>
      </c>
      <c r="W1173" s="5" t="s">
        <v>72</v>
      </c>
      <c r="X1173" s="5" t="s">
        <v>72</v>
      </c>
      <c r="Y1173" s="4">
        <v>155</v>
      </c>
      <c r="Z1173" s="4">
        <v>15</v>
      </c>
      <c r="AA1173" s="4">
        <v>99</v>
      </c>
      <c r="AB1173" s="4">
        <v>2</v>
      </c>
      <c r="AC1173" s="4">
        <v>17</v>
      </c>
      <c r="AD1173" s="4">
        <v>65</v>
      </c>
      <c r="AE1173" s="4">
        <v>126</v>
      </c>
      <c r="AF1173" s="4">
        <v>1</v>
      </c>
      <c r="AG1173" s="4">
        <v>8</v>
      </c>
      <c r="AH1173" s="4">
        <v>59</v>
      </c>
      <c r="AI1173" s="4">
        <v>89</v>
      </c>
      <c r="AJ1173" s="4">
        <v>10</v>
      </c>
      <c r="AK1173" s="4">
        <v>23</v>
      </c>
      <c r="AL1173" s="4">
        <v>39</v>
      </c>
      <c r="AM1173" s="4">
        <v>47</v>
      </c>
      <c r="AN1173" s="4">
        <v>0</v>
      </c>
      <c r="AO1173" s="4">
        <v>0</v>
      </c>
      <c r="AP1173" s="4">
        <v>10</v>
      </c>
      <c r="AQ1173" s="4">
        <v>46</v>
      </c>
      <c r="AR1173" s="3" t="s">
        <v>64</v>
      </c>
      <c r="AS1173" s="3" t="s">
        <v>64</v>
      </c>
      <c r="AT1173" s="3" t="s">
        <v>64</v>
      </c>
      <c r="AV1173" s="6" t="str">
        <f>HYPERLINK("http://mcgill.on.worldcat.org/oclc/449860207","Catalog Record")</f>
        <v>Catalog Record</v>
      </c>
      <c r="AW1173" s="6" t="str">
        <f>HYPERLINK("http://www.worldcat.org/oclc/449860207","WorldCat Record")</f>
        <v>WorldCat Record</v>
      </c>
      <c r="AX1173" s="3" t="s">
        <v>11745</v>
      </c>
      <c r="AY1173" s="3" t="s">
        <v>11746</v>
      </c>
      <c r="AZ1173" s="3" t="s">
        <v>11747</v>
      </c>
      <c r="BA1173" s="3" t="s">
        <v>11747</v>
      </c>
      <c r="BB1173" s="3" t="s">
        <v>11748</v>
      </c>
      <c r="BC1173" s="3" t="s">
        <v>77</v>
      </c>
      <c r="BD1173" s="3" t="s">
        <v>78</v>
      </c>
      <c r="BE1173" s="3" t="s">
        <v>11749</v>
      </c>
      <c r="BF1173" s="3" t="s">
        <v>11748</v>
      </c>
      <c r="BG1173" s="3" t="s">
        <v>11750</v>
      </c>
      <c r="BH1173">
        <f t="shared" si="38"/>
        <v>0</v>
      </c>
    </row>
    <row r="1174" spans="1:60" ht="58" x14ac:dyDescent="0.35">
      <c r="A1174" s="2" t="s">
        <v>59</v>
      </c>
      <c r="B1174" s="2" t="s">
        <v>60</v>
      </c>
      <c r="C1174" s="2" t="s">
        <v>11751</v>
      </c>
      <c r="D1174" s="2" t="s">
        <v>11752</v>
      </c>
      <c r="E1174" s="2" t="s">
        <v>11753</v>
      </c>
      <c r="G1174" s="3" t="s">
        <v>64</v>
      </c>
      <c r="I1174" s="3" t="s">
        <v>64</v>
      </c>
      <c r="J1174" s="3" t="s">
        <v>64</v>
      </c>
      <c r="K1174" s="3" t="s">
        <v>65</v>
      </c>
      <c r="L1174" s="2" t="s">
        <v>11754</v>
      </c>
      <c r="M1174" s="2" t="s">
        <v>11755</v>
      </c>
      <c r="N1174" s="3" t="s">
        <v>171</v>
      </c>
      <c r="P1174" s="3" t="s">
        <v>102</v>
      </c>
      <c r="R1174" s="3" t="s">
        <v>70</v>
      </c>
      <c r="S1174" s="4">
        <v>2</v>
      </c>
      <c r="T1174" s="4">
        <v>2</v>
      </c>
      <c r="U1174" s="5" t="s">
        <v>7239</v>
      </c>
      <c r="V1174" s="5" t="s">
        <v>7239</v>
      </c>
      <c r="W1174" s="5" t="s">
        <v>72</v>
      </c>
      <c r="X1174" s="5" t="s">
        <v>72</v>
      </c>
      <c r="Y1174" s="4">
        <v>8</v>
      </c>
      <c r="Z1174" s="4">
        <v>2</v>
      </c>
      <c r="AA1174" s="4">
        <v>31</v>
      </c>
      <c r="AB1174" s="4">
        <v>1</v>
      </c>
      <c r="AC1174" s="4">
        <v>3</v>
      </c>
      <c r="AD1174" s="4">
        <v>0</v>
      </c>
      <c r="AE1174" s="4">
        <v>61</v>
      </c>
      <c r="AF1174" s="4">
        <v>0</v>
      </c>
      <c r="AG1174" s="4">
        <v>0</v>
      </c>
      <c r="AH1174" s="4">
        <v>0</v>
      </c>
      <c r="AI1174" s="4">
        <v>58</v>
      </c>
      <c r="AJ1174" s="4">
        <v>0</v>
      </c>
      <c r="AK1174" s="4">
        <v>6</v>
      </c>
      <c r="AL1174" s="4">
        <v>0</v>
      </c>
      <c r="AM1174" s="4">
        <v>37</v>
      </c>
      <c r="AN1174" s="4">
        <v>0</v>
      </c>
      <c r="AO1174" s="4">
        <v>0</v>
      </c>
      <c r="AP1174" s="4">
        <v>0</v>
      </c>
      <c r="AQ1174" s="4">
        <v>6</v>
      </c>
      <c r="AR1174" s="3" t="s">
        <v>64</v>
      </c>
      <c r="AS1174" s="3" t="s">
        <v>64</v>
      </c>
      <c r="AT1174" s="3" t="s">
        <v>64</v>
      </c>
      <c r="AV1174" s="6" t="str">
        <f>HYPERLINK("http://mcgill.on.worldcat.org/oclc/671272805","Catalog Record")</f>
        <v>Catalog Record</v>
      </c>
      <c r="AW1174" s="6" t="str">
        <f>HYPERLINK("http://www.worldcat.org/oclc/671272805","WorldCat Record")</f>
        <v>WorldCat Record</v>
      </c>
      <c r="AX1174" s="3" t="s">
        <v>11756</v>
      </c>
      <c r="AY1174" s="3" t="s">
        <v>11757</v>
      </c>
      <c r="AZ1174" s="3" t="s">
        <v>11758</v>
      </c>
      <c r="BA1174" s="3" t="s">
        <v>11758</v>
      </c>
      <c r="BB1174" s="3" t="s">
        <v>11759</v>
      </c>
      <c r="BC1174" s="3" t="s">
        <v>77</v>
      </c>
      <c r="BD1174" s="3" t="s">
        <v>78</v>
      </c>
      <c r="BE1174" s="3" t="s">
        <v>11760</v>
      </c>
      <c r="BF1174" s="3" t="s">
        <v>11759</v>
      </c>
      <c r="BG1174" s="3" t="s">
        <v>11761</v>
      </c>
      <c r="BH1174">
        <f t="shared" si="38"/>
        <v>0</v>
      </c>
    </row>
    <row r="1175" spans="1:60" ht="58" x14ac:dyDescent="0.35">
      <c r="A1175" s="2" t="s">
        <v>59</v>
      </c>
      <c r="B1175" s="2" t="s">
        <v>60</v>
      </c>
      <c r="C1175" s="2" t="s">
        <v>11762</v>
      </c>
      <c r="D1175" s="2" t="s">
        <v>11763</v>
      </c>
      <c r="E1175" s="2" t="s">
        <v>11764</v>
      </c>
      <c r="G1175" s="3" t="s">
        <v>64</v>
      </c>
      <c r="I1175" s="3" t="s">
        <v>64</v>
      </c>
      <c r="J1175" s="3" t="s">
        <v>64</v>
      </c>
      <c r="K1175" s="3" t="s">
        <v>65</v>
      </c>
      <c r="L1175" s="2" t="s">
        <v>11765</v>
      </c>
      <c r="M1175" s="2" t="s">
        <v>11766</v>
      </c>
      <c r="N1175" s="3" t="s">
        <v>67</v>
      </c>
      <c r="P1175" s="3" t="s">
        <v>102</v>
      </c>
      <c r="Q1175" s="2" t="s">
        <v>11767</v>
      </c>
      <c r="R1175" s="3" t="s">
        <v>70</v>
      </c>
      <c r="S1175" s="4">
        <v>0</v>
      </c>
      <c r="T1175" s="4">
        <v>0</v>
      </c>
      <c r="W1175" s="5" t="s">
        <v>72</v>
      </c>
      <c r="X1175" s="5" t="s">
        <v>72</v>
      </c>
      <c r="Y1175" s="4">
        <v>218</v>
      </c>
      <c r="Z1175" s="4">
        <v>15</v>
      </c>
      <c r="AA1175" s="4">
        <v>24</v>
      </c>
      <c r="AB1175" s="4">
        <v>1</v>
      </c>
      <c r="AC1175" s="4">
        <v>4</v>
      </c>
      <c r="AD1175" s="4">
        <v>60</v>
      </c>
      <c r="AE1175" s="4">
        <v>73</v>
      </c>
      <c r="AF1175" s="4">
        <v>0</v>
      </c>
      <c r="AG1175" s="4">
        <v>0</v>
      </c>
      <c r="AH1175" s="4">
        <v>54</v>
      </c>
      <c r="AI1175" s="4">
        <v>63</v>
      </c>
      <c r="AJ1175" s="4">
        <v>6</v>
      </c>
      <c r="AK1175" s="4">
        <v>10</v>
      </c>
      <c r="AL1175" s="4">
        <v>34</v>
      </c>
      <c r="AM1175" s="4">
        <v>37</v>
      </c>
      <c r="AN1175" s="4">
        <v>0</v>
      </c>
      <c r="AO1175" s="4">
        <v>0</v>
      </c>
      <c r="AP1175" s="4">
        <v>10</v>
      </c>
      <c r="AQ1175" s="4">
        <v>16</v>
      </c>
      <c r="AR1175" s="3" t="s">
        <v>64</v>
      </c>
      <c r="AS1175" s="3" t="s">
        <v>64</v>
      </c>
      <c r="AT1175" s="3" t="s">
        <v>64</v>
      </c>
      <c r="AV1175" s="6" t="str">
        <f>HYPERLINK("http://mcgill.on.worldcat.org/oclc/862399540","Catalog Record")</f>
        <v>Catalog Record</v>
      </c>
      <c r="AW1175" s="6" t="str">
        <f>HYPERLINK("http://www.worldcat.org/oclc/862399540","WorldCat Record")</f>
        <v>WorldCat Record</v>
      </c>
      <c r="AX1175" s="3" t="s">
        <v>11768</v>
      </c>
      <c r="AY1175" s="3" t="s">
        <v>11769</v>
      </c>
      <c r="AZ1175" s="3" t="s">
        <v>11770</v>
      </c>
      <c r="BA1175" s="3" t="s">
        <v>11770</v>
      </c>
      <c r="BB1175" s="3" t="s">
        <v>11771</v>
      </c>
      <c r="BC1175" s="3" t="s">
        <v>77</v>
      </c>
      <c r="BD1175" s="3" t="s">
        <v>78</v>
      </c>
      <c r="BE1175" s="3" t="s">
        <v>11772</v>
      </c>
      <c r="BF1175" s="3" t="s">
        <v>11771</v>
      </c>
      <c r="BG1175" s="3" t="s">
        <v>11773</v>
      </c>
      <c r="BH1175">
        <f t="shared" si="38"/>
        <v>0</v>
      </c>
    </row>
    <row r="1176" spans="1:60" ht="58" x14ac:dyDescent="0.35">
      <c r="A1176" s="2" t="s">
        <v>59</v>
      </c>
      <c r="B1176" s="2" t="s">
        <v>60</v>
      </c>
      <c r="C1176" s="2" t="s">
        <v>11774</v>
      </c>
      <c r="D1176" s="2" t="s">
        <v>11775</v>
      </c>
      <c r="E1176" s="2" t="s">
        <v>11776</v>
      </c>
      <c r="G1176" s="3" t="s">
        <v>64</v>
      </c>
      <c r="I1176" s="3" t="s">
        <v>64</v>
      </c>
      <c r="J1176" s="3" t="s">
        <v>64</v>
      </c>
      <c r="K1176" s="3" t="s">
        <v>65</v>
      </c>
      <c r="L1176" s="2" t="s">
        <v>11777</v>
      </c>
      <c r="M1176" s="2" t="s">
        <v>11778</v>
      </c>
      <c r="N1176" s="3" t="s">
        <v>578</v>
      </c>
      <c r="P1176" s="3" t="s">
        <v>102</v>
      </c>
      <c r="Q1176" s="2" t="s">
        <v>11779</v>
      </c>
      <c r="R1176" s="3" t="s">
        <v>70</v>
      </c>
      <c r="S1176" s="4">
        <v>0</v>
      </c>
      <c r="T1176" s="4">
        <v>0</v>
      </c>
      <c r="W1176" s="5" t="s">
        <v>72</v>
      </c>
      <c r="X1176" s="5" t="s">
        <v>72</v>
      </c>
      <c r="Y1176" s="4">
        <v>33</v>
      </c>
      <c r="Z1176" s="4">
        <v>4</v>
      </c>
      <c r="AA1176" s="4">
        <v>9</v>
      </c>
      <c r="AB1176" s="4">
        <v>1</v>
      </c>
      <c r="AC1176" s="4">
        <v>4</v>
      </c>
      <c r="AD1176" s="4">
        <v>21</v>
      </c>
      <c r="AE1176" s="4">
        <v>30</v>
      </c>
      <c r="AF1176" s="4">
        <v>0</v>
      </c>
      <c r="AG1176" s="4">
        <v>0</v>
      </c>
      <c r="AH1176" s="4">
        <v>19</v>
      </c>
      <c r="AI1176" s="4">
        <v>28</v>
      </c>
      <c r="AJ1176" s="4">
        <v>3</v>
      </c>
      <c r="AK1176" s="4">
        <v>5</v>
      </c>
      <c r="AL1176" s="4">
        <v>15</v>
      </c>
      <c r="AM1176" s="4">
        <v>20</v>
      </c>
      <c r="AN1176" s="4">
        <v>0</v>
      </c>
      <c r="AO1176" s="4">
        <v>0</v>
      </c>
      <c r="AP1176" s="4">
        <v>3</v>
      </c>
      <c r="AQ1176" s="4">
        <v>5</v>
      </c>
      <c r="AR1176" s="3" t="s">
        <v>64</v>
      </c>
      <c r="AS1176" s="3" t="s">
        <v>64</v>
      </c>
      <c r="AT1176" s="3" t="s">
        <v>64</v>
      </c>
      <c r="AV1176" s="6" t="str">
        <f>HYPERLINK("http://mcgill.on.worldcat.org/oclc/962325994","Catalog Record")</f>
        <v>Catalog Record</v>
      </c>
      <c r="AW1176" s="6" t="str">
        <f>HYPERLINK("http://www.worldcat.org/oclc/962325994","WorldCat Record")</f>
        <v>WorldCat Record</v>
      </c>
      <c r="AX1176" s="3" t="s">
        <v>11780</v>
      </c>
      <c r="AY1176" s="3" t="s">
        <v>11781</v>
      </c>
      <c r="AZ1176" s="3" t="s">
        <v>11782</v>
      </c>
      <c r="BA1176" s="3" t="s">
        <v>11782</v>
      </c>
      <c r="BB1176" s="3" t="s">
        <v>11783</v>
      </c>
      <c r="BC1176" s="3" t="s">
        <v>77</v>
      </c>
      <c r="BD1176" s="3" t="s">
        <v>78</v>
      </c>
      <c r="BE1176" s="3" t="s">
        <v>11784</v>
      </c>
      <c r="BF1176" s="3" t="s">
        <v>11783</v>
      </c>
      <c r="BG1176" s="3" t="s">
        <v>11785</v>
      </c>
      <c r="BH1176">
        <f t="shared" si="38"/>
        <v>0</v>
      </c>
    </row>
    <row r="1177" spans="1:60" ht="58" x14ac:dyDescent="0.35">
      <c r="A1177" s="2" t="s">
        <v>59</v>
      </c>
      <c r="B1177" s="2" t="s">
        <v>60</v>
      </c>
      <c r="C1177" s="2" t="s">
        <v>11786</v>
      </c>
      <c r="D1177" s="2" t="s">
        <v>11787</v>
      </c>
      <c r="E1177" s="2" t="s">
        <v>11788</v>
      </c>
      <c r="G1177" s="3" t="s">
        <v>64</v>
      </c>
      <c r="I1177" s="3" t="s">
        <v>64</v>
      </c>
      <c r="J1177" s="3" t="s">
        <v>64</v>
      </c>
      <c r="K1177" s="3" t="s">
        <v>65</v>
      </c>
      <c r="M1177" s="2" t="s">
        <v>11789</v>
      </c>
      <c r="N1177" s="3" t="s">
        <v>551</v>
      </c>
      <c r="P1177" s="3" t="s">
        <v>102</v>
      </c>
      <c r="Q1177" s="2" t="s">
        <v>11790</v>
      </c>
      <c r="R1177" s="3" t="s">
        <v>70</v>
      </c>
      <c r="S1177" s="4">
        <v>5</v>
      </c>
      <c r="T1177" s="4">
        <v>5</v>
      </c>
      <c r="U1177" s="5" t="s">
        <v>5340</v>
      </c>
      <c r="V1177" s="5" t="s">
        <v>5340</v>
      </c>
      <c r="W1177" s="5" t="s">
        <v>72</v>
      </c>
      <c r="X1177" s="5" t="s">
        <v>72</v>
      </c>
      <c r="Y1177" s="4">
        <v>446</v>
      </c>
      <c r="Z1177" s="4">
        <v>25</v>
      </c>
      <c r="AA1177" s="4">
        <v>37</v>
      </c>
      <c r="AB1177" s="4">
        <v>3</v>
      </c>
      <c r="AC1177" s="4">
        <v>6</v>
      </c>
      <c r="AD1177" s="4">
        <v>100</v>
      </c>
      <c r="AE1177" s="4">
        <v>107</v>
      </c>
      <c r="AF1177" s="4">
        <v>1</v>
      </c>
      <c r="AG1177" s="4">
        <v>3</v>
      </c>
      <c r="AH1177" s="4">
        <v>86</v>
      </c>
      <c r="AI1177" s="4">
        <v>88</v>
      </c>
      <c r="AJ1177" s="4">
        <v>12</v>
      </c>
      <c r="AK1177" s="4">
        <v>14</v>
      </c>
      <c r="AL1177" s="4">
        <v>50</v>
      </c>
      <c r="AM1177" s="4">
        <v>51</v>
      </c>
      <c r="AN1177" s="4">
        <v>0</v>
      </c>
      <c r="AO1177" s="4">
        <v>0</v>
      </c>
      <c r="AP1177" s="4">
        <v>17</v>
      </c>
      <c r="AQ1177" s="4">
        <v>21</v>
      </c>
      <c r="AR1177" s="3" t="s">
        <v>64</v>
      </c>
      <c r="AS1177" s="3" t="s">
        <v>64</v>
      </c>
      <c r="AT1177" s="3" t="s">
        <v>64</v>
      </c>
      <c r="AV1177" s="6" t="str">
        <f>HYPERLINK("http://mcgill.on.worldcat.org/oclc/261174626","Catalog Record")</f>
        <v>Catalog Record</v>
      </c>
      <c r="AW1177" s="6" t="str">
        <f>HYPERLINK("http://www.worldcat.org/oclc/261174626","WorldCat Record")</f>
        <v>WorldCat Record</v>
      </c>
      <c r="AX1177" s="3" t="s">
        <v>11791</v>
      </c>
      <c r="AY1177" s="3" t="s">
        <v>11792</v>
      </c>
      <c r="AZ1177" s="3" t="s">
        <v>11793</v>
      </c>
      <c r="BA1177" s="3" t="s">
        <v>11793</v>
      </c>
      <c r="BB1177" s="3" t="s">
        <v>11794</v>
      </c>
      <c r="BC1177" s="3" t="s">
        <v>77</v>
      </c>
      <c r="BD1177" s="3" t="s">
        <v>78</v>
      </c>
      <c r="BE1177" s="3" t="s">
        <v>11795</v>
      </c>
      <c r="BF1177" s="3" t="s">
        <v>11794</v>
      </c>
      <c r="BG1177" s="3" t="s">
        <v>11796</v>
      </c>
      <c r="BH1177">
        <f t="shared" si="38"/>
        <v>0</v>
      </c>
    </row>
    <row r="1178" spans="1:60" ht="58" x14ac:dyDescent="0.35">
      <c r="A1178" s="2" t="s">
        <v>59</v>
      </c>
      <c r="B1178" s="2" t="s">
        <v>60</v>
      </c>
      <c r="C1178" s="2" t="s">
        <v>11797</v>
      </c>
      <c r="D1178" s="2" t="s">
        <v>11798</v>
      </c>
      <c r="E1178" s="2" t="s">
        <v>11799</v>
      </c>
      <c r="G1178" s="3" t="s">
        <v>64</v>
      </c>
      <c r="I1178" s="3" t="s">
        <v>64</v>
      </c>
      <c r="J1178" s="3" t="s">
        <v>64</v>
      </c>
      <c r="K1178" s="3" t="s">
        <v>65</v>
      </c>
      <c r="L1178" s="2" t="s">
        <v>11800</v>
      </c>
      <c r="M1178" s="2" t="s">
        <v>11801</v>
      </c>
      <c r="N1178" s="3" t="s">
        <v>326</v>
      </c>
      <c r="P1178" s="3" t="s">
        <v>102</v>
      </c>
      <c r="R1178" s="3" t="s">
        <v>70</v>
      </c>
      <c r="S1178" s="4">
        <v>2</v>
      </c>
      <c r="T1178" s="4">
        <v>2</v>
      </c>
      <c r="U1178" s="5" t="s">
        <v>11802</v>
      </c>
      <c r="V1178" s="5" t="s">
        <v>11802</v>
      </c>
      <c r="W1178" s="5" t="s">
        <v>72</v>
      </c>
      <c r="X1178" s="5" t="s">
        <v>72</v>
      </c>
      <c r="Y1178" s="4">
        <v>136</v>
      </c>
      <c r="Z1178" s="4">
        <v>10</v>
      </c>
      <c r="AA1178" s="4">
        <v>18</v>
      </c>
      <c r="AB1178" s="4">
        <v>1</v>
      </c>
      <c r="AC1178" s="4">
        <v>5</v>
      </c>
      <c r="AD1178" s="4">
        <v>59</v>
      </c>
      <c r="AE1178" s="4">
        <v>69</v>
      </c>
      <c r="AF1178" s="4">
        <v>0</v>
      </c>
      <c r="AG1178" s="4">
        <v>1</v>
      </c>
      <c r="AH1178" s="4">
        <v>56</v>
      </c>
      <c r="AI1178" s="4">
        <v>63</v>
      </c>
      <c r="AJ1178" s="4">
        <v>7</v>
      </c>
      <c r="AK1178" s="4">
        <v>10</v>
      </c>
      <c r="AL1178" s="4">
        <v>36</v>
      </c>
      <c r="AM1178" s="4">
        <v>38</v>
      </c>
      <c r="AN1178" s="4">
        <v>0</v>
      </c>
      <c r="AO1178" s="4">
        <v>0</v>
      </c>
      <c r="AP1178" s="4">
        <v>7</v>
      </c>
      <c r="AQ1178" s="4">
        <v>12</v>
      </c>
      <c r="AR1178" s="3" t="s">
        <v>64</v>
      </c>
      <c r="AS1178" s="3" t="s">
        <v>64</v>
      </c>
      <c r="AT1178" s="3" t="s">
        <v>64</v>
      </c>
      <c r="AV1178" s="6" t="str">
        <f>HYPERLINK("http://mcgill.on.worldcat.org/oclc/664839088","Catalog Record")</f>
        <v>Catalog Record</v>
      </c>
      <c r="AW1178" s="6" t="str">
        <f>HYPERLINK("http://www.worldcat.org/oclc/664839088","WorldCat Record")</f>
        <v>WorldCat Record</v>
      </c>
      <c r="AX1178" s="3" t="s">
        <v>11803</v>
      </c>
      <c r="AY1178" s="3" t="s">
        <v>11804</v>
      </c>
      <c r="AZ1178" s="3" t="s">
        <v>11805</v>
      </c>
      <c r="BA1178" s="3" t="s">
        <v>11805</v>
      </c>
      <c r="BB1178" s="3" t="s">
        <v>11806</v>
      </c>
      <c r="BC1178" s="3" t="s">
        <v>77</v>
      </c>
      <c r="BD1178" s="3" t="s">
        <v>78</v>
      </c>
      <c r="BE1178" s="3" t="s">
        <v>11807</v>
      </c>
      <c r="BF1178" s="3" t="s">
        <v>11806</v>
      </c>
      <c r="BG1178" s="3" t="s">
        <v>11808</v>
      </c>
      <c r="BH1178">
        <f t="shared" si="38"/>
        <v>0</v>
      </c>
    </row>
    <row r="1179" spans="1:60" ht="58" x14ac:dyDescent="0.35">
      <c r="A1179" s="2" t="s">
        <v>59</v>
      </c>
      <c r="B1179" s="2" t="s">
        <v>60</v>
      </c>
      <c r="C1179" s="2" t="s">
        <v>11809</v>
      </c>
      <c r="D1179" s="2" t="s">
        <v>11810</v>
      </c>
      <c r="E1179" s="2" t="s">
        <v>11811</v>
      </c>
      <c r="G1179" s="3" t="s">
        <v>64</v>
      </c>
      <c r="I1179" s="3" t="s">
        <v>64</v>
      </c>
      <c r="J1179" s="3" t="s">
        <v>64</v>
      </c>
      <c r="K1179" s="3" t="s">
        <v>65</v>
      </c>
      <c r="M1179" s="2" t="s">
        <v>11812</v>
      </c>
      <c r="N1179" s="3" t="s">
        <v>511</v>
      </c>
      <c r="P1179" s="3" t="s">
        <v>102</v>
      </c>
      <c r="Q1179" s="2" t="s">
        <v>11813</v>
      </c>
      <c r="R1179" s="3" t="s">
        <v>70</v>
      </c>
      <c r="S1179" s="4">
        <v>12</v>
      </c>
      <c r="T1179" s="4">
        <v>12</v>
      </c>
      <c r="U1179" s="5" t="s">
        <v>11814</v>
      </c>
      <c r="V1179" s="5" t="s">
        <v>11814</v>
      </c>
      <c r="W1179" s="5" t="s">
        <v>72</v>
      </c>
      <c r="X1179" s="5" t="s">
        <v>72</v>
      </c>
      <c r="Y1179" s="4">
        <v>455</v>
      </c>
      <c r="Z1179" s="4">
        <v>25</v>
      </c>
      <c r="AA1179" s="4">
        <v>91</v>
      </c>
      <c r="AB1179" s="4">
        <v>2</v>
      </c>
      <c r="AC1179" s="4">
        <v>15</v>
      </c>
      <c r="AD1179" s="4">
        <v>100</v>
      </c>
      <c r="AE1179" s="4">
        <v>138</v>
      </c>
      <c r="AF1179" s="4">
        <v>1</v>
      </c>
      <c r="AG1179" s="4">
        <v>8</v>
      </c>
      <c r="AH1179" s="4">
        <v>85</v>
      </c>
      <c r="AI1179" s="4">
        <v>100</v>
      </c>
      <c r="AJ1179" s="4">
        <v>15</v>
      </c>
      <c r="AK1179" s="4">
        <v>25</v>
      </c>
      <c r="AL1179" s="4">
        <v>49</v>
      </c>
      <c r="AM1179" s="4">
        <v>54</v>
      </c>
      <c r="AN1179" s="4">
        <v>0</v>
      </c>
      <c r="AO1179" s="4">
        <v>0</v>
      </c>
      <c r="AP1179" s="4">
        <v>18</v>
      </c>
      <c r="AQ1179" s="4">
        <v>45</v>
      </c>
      <c r="AR1179" s="3" t="s">
        <v>64</v>
      </c>
      <c r="AS1179" s="3" t="s">
        <v>64</v>
      </c>
      <c r="AT1179" s="3" t="s">
        <v>64</v>
      </c>
      <c r="AV1179" s="6" t="str">
        <f>HYPERLINK("http://mcgill.on.worldcat.org/oclc/495597235","Catalog Record")</f>
        <v>Catalog Record</v>
      </c>
      <c r="AW1179" s="6" t="str">
        <f>HYPERLINK("http://www.worldcat.org/oclc/495597235","WorldCat Record")</f>
        <v>WorldCat Record</v>
      </c>
      <c r="AX1179" s="3" t="s">
        <v>11815</v>
      </c>
      <c r="AY1179" s="3" t="s">
        <v>11816</v>
      </c>
      <c r="AZ1179" s="3" t="s">
        <v>11817</v>
      </c>
      <c r="BA1179" s="3" t="s">
        <v>11817</v>
      </c>
      <c r="BB1179" s="3" t="s">
        <v>11818</v>
      </c>
      <c r="BC1179" s="3" t="s">
        <v>77</v>
      </c>
      <c r="BD1179" s="3" t="s">
        <v>78</v>
      </c>
      <c r="BE1179" s="3" t="s">
        <v>11819</v>
      </c>
      <c r="BF1179" s="3" t="s">
        <v>11818</v>
      </c>
      <c r="BG1179" s="3" t="s">
        <v>11820</v>
      </c>
      <c r="BH1179">
        <f t="shared" si="38"/>
        <v>0</v>
      </c>
    </row>
    <row r="1180" spans="1:60" ht="87" x14ac:dyDescent="0.35">
      <c r="A1180" s="2" t="s">
        <v>59</v>
      </c>
      <c r="B1180" s="2" t="s">
        <v>60</v>
      </c>
      <c r="C1180" s="2" t="s">
        <v>11821</v>
      </c>
      <c r="D1180" s="2" t="s">
        <v>11822</v>
      </c>
      <c r="E1180" s="2" t="s">
        <v>11823</v>
      </c>
      <c r="G1180" s="3" t="s">
        <v>64</v>
      </c>
      <c r="I1180" s="3" t="s">
        <v>64</v>
      </c>
      <c r="J1180" s="3" t="s">
        <v>64</v>
      </c>
      <c r="K1180" s="3" t="s">
        <v>65</v>
      </c>
      <c r="L1180" s="2" t="s">
        <v>11824</v>
      </c>
      <c r="M1180" s="2" t="s">
        <v>11825</v>
      </c>
      <c r="N1180" s="3" t="s">
        <v>67</v>
      </c>
      <c r="O1180" s="2" t="s">
        <v>11826</v>
      </c>
      <c r="P1180" s="3" t="s">
        <v>102</v>
      </c>
      <c r="R1180" s="3" t="s">
        <v>70</v>
      </c>
      <c r="S1180" s="4">
        <v>0</v>
      </c>
      <c r="T1180" s="4">
        <v>0</v>
      </c>
      <c r="W1180" s="5" t="s">
        <v>72</v>
      </c>
      <c r="X1180" s="5" t="s">
        <v>72</v>
      </c>
      <c r="Y1180" s="4">
        <v>3</v>
      </c>
      <c r="Z1180" s="4">
        <v>1</v>
      </c>
      <c r="AA1180" s="4">
        <v>24</v>
      </c>
      <c r="AB1180" s="4">
        <v>1</v>
      </c>
      <c r="AC1180" s="4">
        <v>4</v>
      </c>
      <c r="AD1180" s="4">
        <v>1</v>
      </c>
      <c r="AE1180" s="4">
        <v>73</v>
      </c>
      <c r="AF1180" s="4">
        <v>0</v>
      </c>
      <c r="AG1180" s="4">
        <v>0</v>
      </c>
      <c r="AH1180" s="4">
        <v>1</v>
      </c>
      <c r="AI1180" s="4">
        <v>66</v>
      </c>
      <c r="AJ1180" s="4">
        <v>0</v>
      </c>
      <c r="AK1180" s="4">
        <v>7</v>
      </c>
      <c r="AL1180" s="4">
        <v>0</v>
      </c>
      <c r="AM1180" s="4">
        <v>42</v>
      </c>
      <c r="AN1180" s="4">
        <v>0</v>
      </c>
      <c r="AO1180" s="4">
        <v>0</v>
      </c>
      <c r="AP1180" s="4">
        <v>0</v>
      </c>
      <c r="AQ1180" s="4">
        <v>8</v>
      </c>
      <c r="AR1180" s="3" t="s">
        <v>64</v>
      </c>
      <c r="AS1180" s="3" t="s">
        <v>64</v>
      </c>
      <c r="AT1180" s="3" t="s">
        <v>64</v>
      </c>
      <c r="AV1180" s="6" t="str">
        <f>HYPERLINK("http://mcgill.on.worldcat.org/oclc/885476522","Catalog Record")</f>
        <v>Catalog Record</v>
      </c>
      <c r="AW1180" s="6" t="str">
        <f>HYPERLINK("http://www.worldcat.org/oclc/885476522","WorldCat Record")</f>
        <v>WorldCat Record</v>
      </c>
      <c r="AX1180" s="3" t="s">
        <v>11827</v>
      </c>
      <c r="AY1180" s="3" t="s">
        <v>11828</v>
      </c>
      <c r="AZ1180" s="3" t="s">
        <v>11829</v>
      </c>
      <c r="BA1180" s="3" t="s">
        <v>11829</v>
      </c>
      <c r="BB1180" s="3" t="s">
        <v>11830</v>
      </c>
      <c r="BC1180" s="3" t="s">
        <v>77</v>
      </c>
      <c r="BD1180" s="3" t="s">
        <v>78</v>
      </c>
      <c r="BE1180" s="3" t="s">
        <v>11831</v>
      </c>
      <c r="BF1180" s="3" t="s">
        <v>11830</v>
      </c>
      <c r="BG1180" s="3" t="s">
        <v>11832</v>
      </c>
      <c r="BH1180">
        <f t="shared" si="38"/>
        <v>0</v>
      </c>
    </row>
    <row r="1181" spans="1:60" ht="58" x14ac:dyDescent="0.35">
      <c r="A1181" s="2" t="s">
        <v>59</v>
      </c>
      <c r="B1181" s="2" t="s">
        <v>60</v>
      </c>
      <c r="C1181" s="2" t="s">
        <v>11833</v>
      </c>
      <c r="D1181" s="2" t="s">
        <v>11834</v>
      </c>
      <c r="E1181" s="2" t="s">
        <v>11835</v>
      </c>
      <c r="G1181" s="3" t="s">
        <v>64</v>
      </c>
      <c r="I1181" s="3" t="s">
        <v>64</v>
      </c>
      <c r="J1181" s="3" t="s">
        <v>64</v>
      </c>
      <c r="K1181" s="3" t="s">
        <v>65</v>
      </c>
      <c r="L1181" s="2" t="s">
        <v>11836</v>
      </c>
      <c r="M1181" s="2" t="s">
        <v>11837</v>
      </c>
      <c r="N1181" s="3" t="s">
        <v>291</v>
      </c>
      <c r="P1181" s="3" t="s">
        <v>102</v>
      </c>
      <c r="R1181" s="3" t="s">
        <v>70</v>
      </c>
      <c r="S1181" s="4">
        <v>5</v>
      </c>
      <c r="T1181" s="4">
        <v>5</v>
      </c>
      <c r="U1181" s="5" t="s">
        <v>11138</v>
      </c>
      <c r="V1181" s="5" t="s">
        <v>11138</v>
      </c>
      <c r="W1181" s="5" t="s">
        <v>72</v>
      </c>
      <c r="X1181" s="5" t="s">
        <v>72</v>
      </c>
      <c r="Y1181" s="4">
        <v>927</v>
      </c>
      <c r="Z1181" s="4">
        <v>25</v>
      </c>
      <c r="AA1181" s="4">
        <v>27</v>
      </c>
      <c r="AB1181" s="4">
        <v>2</v>
      </c>
      <c r="AC1181" s="4">
        <v>4</v>
      </c>
      <c r="AD1181" s="4">
        <v>77</v>
      </c>
      <c r="AE1181" s="4">
        <v>79</v>
      </c>
      <c r="AF1181" s="4">
        <v>0</v>
      </c>
      <c r="AG1181" s="4">
        <v>1</v>
      </c>
      <c r="AH1181" s="4">
        <v>72</v>
      </c>
      <c r="AI1181" s="4">
        <v>73</v>
      </c>
      <c r="AJ1181" s="4">
        <v>7</v>
      </c>
      <c r="AK1181" s="4">
        <v>8</v>
      </c>
      <c r="AL1181" s="4">
        <v>35</v>
      </c>
      <c r="AM1181" s="4">
        <v>36</v>
      </c>
      <c r="AN1181" s="4">
        <v>0</v>
      </c>
      <c r="AO1181" s="4">
        <v>0</v>
      </c>
      <c r="AP1181" s="4">
        <v>12</v>
      </c>
      <c r="AQ1181" s="4">
        <v>13</v>
      </c>
      <c r="AR1181" s="3" t="s">
        <v>64</v>
      </c>
      <c r="AS1181" s="3" t="s">
        <v>64</v>
      </c>
      <c r="AT1181" s="3" t="s">
        <v>64</v>
      </c>
      <c r="AV1181" s="6" t="str">
        <f>HYPERLINK("http://mcgill.on.worldcat.org/oclc/176632736","Catalog Record")</f>
        <v>Catalog Record</v>
      </c>
      <c r="AW1181" s="6" t="str">
        <f>HYPERLINK("http://www.worldcat.org/oclc/176632736","WorldCat Record")</f>
        <v>WorldCat Record</v>
      </c>
      <c r="AX1181" s="3" t="s">
        <v>11838</v>
      </c>
      <c r="AY1181" s="3" t="s">
        <v>11839</v>
      </c>
      <c r="AZ1181" s="3" t="s">
        <v>11840</v>
      </c>
      <c r="BA1181" s="3" t="s">
        <v>11840</v>
      </c>
      <c r="BB1181" s="3" t="s">
        <v>11841</v>
      </c>
      <c r="BC1181" s="3" t="s">
        <v>77</v>
      </c>
      <c r="BD1181" s="3" t="s">
        <v>78</v>
      </c>
      <c r="BE1181" s="3" t="s">
        <v>11842</v>
      </c>
      <c r="BF1181" s="3" t="s">
        <v>11841</v>
      </c>
      <c r="BG1181" s="3" t="s">
        <v>11843</v>
      </c>
      <c r="BH1181">
        <f t="shared" si="38"/>
        <v>0</v>
      </c>
    </row>
    <row r="1182" spans="1:60" ht="72.5" x14ac:dyDescent="0.35">
      <c r="A1182" s="2" t="s">
        <v>59</v>
      </c>
      <c r="B1182" s="2" t="s">
        <v>60</v>
      </c>
      <c r="C1182" s="2" t="s">
        <v>11844</v>
      </c>
      <c r="D1182" s="2" t="s">
        <v>11845</v>
      </c>
      <c r="E1182" s="2" t="s">
        <v>11846</v>
      </c>
      <c r="G1182" s="3" t="s">
        <v>64</v>
      </c>
      <c r="H1182" s="3" t="s">
        <v>183</v>
      </c>
      <c r="I1182" s="3" t="s">
        <v>64</v>
      </c>
      <c r="J1182" s="3" t="s">
        <v>64</v>
      </c>
      <c r="K1182" s="3" t="s">
        <v>65</v>
      </c>
      <c r="M1182" s="2" t="s">
        <v>11847</v>
      </c>
      <c r="N1182" s="3" t="s">
        <v>1492</v>
      </c>
      <c r="O1182" s="2" t="s">
        <v>267</v>
      </c>
      <c r="P1182" s="3" t="s">
        <v>102</v>
      </c>
      <c r="R1182" s="3" t="s">
        <v>70</v>
      </c>
      <c r="S1182" s="4">
        <v>0</v>
      </c>
      <c r="T1182" s="4">
        <v>0</v>
      </c>
      <c r="W1182" s="5" t="s">
        <v>11848</v>
      </c>
      <c r="X1182" s="5" t="s">
        <v>11848</v>
      </c>
      <c r="Y1182" s="4">
        <v>24</v>
      </c>
      <c r="Z1182" s="4">
        <v>3</v>
      </c>
      <c r="AA1182" s="4">
        <v>3</v>
      </c>
      <c r="AB1182" s="4">
        <v>1</v>
      </c>
      <c r="AC1182" s="4">
        <v>1</v>
      </c>
      <c r="AD1182" s="4">
        <v>11</v>
      </c>
      <c r="AE1182" s="4">
        <v>11</v>
      </c>
      <c r="AF1182" s="4">
        <v>0</v>
      </c>
      <c r="AG1182" s="4">
        <v>0</v>
      </c>
      <c r="AH1182" s="4">
        <v>9</v>
      </c>
      <c r="AI1182" s="4">
        <v>9</v>
      </c>
      <c r="AJ1182" s="4">
        <v>1</v>
      </c>
      <c r="AK1182" s="4">
        <v>1</v>
      </c>
      <c r="AL1182" s="4">
        <v>7</v>
      </c>
      <c r="AM1182" s="4">
        <v>7</v>
      </c>
      <c r="AN1182" s="4">
        <v>0</v>
      </c>
      <c r="AO1182" s="4">
        <v>0</v>
      </c>
      <c r="AP1182" s="4">
        <v>1</v>
      </c>
      <c r="AQ1182" s="4">
        <v>1</v>
      </c>
      <c r="AR1182" s="3" t="s">
        <v>64</v>
      </c>
      <c r="AS1182" s="3" t="s">
        <v>64</v>
      </c>
      <c r="AT1182" s="3" t="s">
        <v>64</v>
      </c>
      <c r="AV1182" s="6" t="str">
        <f>HYPERLINK("http://mcgill.on.worldcat.org/oclc/1089694262","Catalog Record")</f>
        <v>Catalog Record</v>
      </c>
      <c r="AW1182" s="6" t="str">
        <f>HYPERLINK("http://www.worldcat.org/oclc/1089694262","WorldCat Record")</f>
        <v>WorldCat Record</v>
      </c>
      <c r="AX1182" s="3" t="s">
        <v>11849</v>
      </c>
      <c r="AY1182" s="3" t="s">
        <v>11850</v>
      </c>
      <c r="AZ1182" s="3" t="s">
        <v>11851</v>
      </c>
      <c r="BA1182" s="3" t="s">
        <v>11851</v>
      </c>
      <c r="BB1182" s="3" t="s">
        <v>11852</v>
      </c>
      <c r="BC1182" s="3" t="s">
        <v>77</v>
      </c>
      <c r="BD1182" s="3" t="s">
        <v>78</v>
      </c>
      <c r="BE1182" s="3" t="s">
        <v>11853</v>
      </c>
      <c r="BF1182" s="3" t="s">
        <v>11852</v>
      </c>
      <c r="BG1182" s="3" t="s">
        <v>11854</v>
      </c>
      <c r="BH1182">
        <f t="shared" si="38"/>
        <v>0</v>
      </c>
    </row>
    <row r="1183" spans="1:60" ht="58" x14ac:dyDescent="0.35">
      <c r="A1183" s="2" t="s">
        <v>59</v>
      </c>
      <c r="B1183" s="2" t="s">
        <v>60</v>
      </c>
      <c r="C1183" s="2" t="s">
        <v>11855</v>
      </c>
      <c r="D1183" s="2" t="s">
        <v>11856</v>
      </c>
      <c r="E1183" s="2" t="s">
        <v>11857</v>
      </c>
      <c r="G1183" s="3" t="s">
        <v>64</v>
      </c>
      <c r="I1183" s="3" t="s">
        <v>64</v>
      </c>
      <c r="J1183" s="3" t="s">
        <v>64</v>
      </c>
      <c r="K1183" s="3" t="s">
        <v>65</v>
      </c>
      <c r="L1183" s="2" t="s">
        <v>11858</v>
      </c>
      <c r="M1183" s="2" t="s">
        <v>11859</v>
      </c>
      <c r="N1183" s="3" t="s">
        <v>421</v>
      </c>
      <c r="O1183" s="2" t="s">
        <v>2149</v>
      </c>
      <c r="P1183" s="3" t="s">
        <v>102</v>
      </c>
      <c r="R1183" s="3" t="s">
        <v>70</v>
      </c>
      <c r="S1183" s="4">
        <v>17</v>
      </c>
      <c r="T1183" s="4">
        <v>17</v>
      </c>
      <c r="U1183" s="5" t="s">
        <v>11860</v>
      </c>
      <c r="V1183" s="5" t="s">
        <v>11860</v>
      </c>
      <c r="W1183" s="5" t="s">
        <v>72</v>
      </c>
      <c r="X1183" s="5" t="s">
        <v>72</v>
      </c>
      <c r="Y1183" s="4">
        <v>2659</v>
      </c>
      <c r="Z1183" s="4">
        <v>60</v>
      </c>
      <c r="AA1183" s="4">
        <v>78</v>
      </c>
      <c r="AB1183" s="4">
        <v>5</v>
      </c>
      <c r="AC1183" s="4">
        <v>9</v>
      </c>
      <c r="AD1183" s="4">
        <v>127</v>
      </c>
      <c r="AE1183" s="4">
        <v>135</v>
      </c>
      <c r="AF1183" s="4">
        <v>2</v>
      </c>
      <c r="AG1183" s="4">
        <v>3</v>
      </c>
      <c r="AH1183" s="4">
        <v>106</v>
      </c>
      <c r="AI1183" s="4">
        <v>111</v>
      </c>
      <c r="AJ1183" s="4">
        <v>14</v>
      </c>
      <c r="AK1183" s="4">
        <v>18</v>
      </c>
      <c r="AL1183" s="4">
        <v>60</v>
      </c>
      <c r="AM1183" s="4">
        <v>61</v>
      </c>
      <c r="AN1183" s="4">
        <v>0</v>
      </c>
      <c r="AO1183" s="4">
        <v>0</v>
      </c>
      <c r="AP1183" s="4">
        <v>23</v>
      </c>
      <c r="AQ1183" s="4">
        <v>30</v>
      </c>
      <c r="AR1183" s="3" t="s">
        <v>64</v>
      </c>
      <c r="AS1183" s="3" t="s">
        <v>64</v>
      </c>
      <c r="AT1183" s="3" t="s">
        <v>64</v>
      </c>
      <c r="AV1183" s="6" t="str">
        <f>HYPERLINK("http://mcgill.on.worldcat.org/oclc/36001300","Catalog Record")</f>
        <v>Catalog Record</v>
      </c>
      <c r="AW1183" s="6" t="str">
        <f>HYPERLINK("http://www.worldcat.org/oclc/36001300","WorldCat Record")</f>
        <v>WorldCat Record</v>
      </c>
      <c r="AX1183" s="3" t="s">
        <v>11861</v>
      </c>
      <c r="AY1183" s="3" t="s">
        <v>11862</v>
      </c>
      <c r="AZ1183" s="3" t="s">
        <v>11863</v>
      </c>
      <c r="BA1183" s="3" t="s">
        <v>11863</v>
      </c>
      <c r="BB1183" s="3" t="s">
        <v>11864</v>
      </c>
      <c r="BC1183" s="3" t="s">
        <v>77</v>
      </c>
      <c r="BD1183" s="3" t="s">
        <v>78</v>
      </c>
      <c r="BE1183" s="3" t="s">
        <v>11865</v>
      </c>
      <c r="BF1183" s="3" t="s">
        <v>11864</v>
      </c>
      <c r="BG1183" s="3" t="s">
        <v>11866</v>
      </c>
      <c r="BH1183">
        <f t="shared" si="38"/>
        <v>0</v>
      </c>
    </row>
    <row r="1184" spans="1:60" ht="58" x14ac:dyDescent="0.35">
      <c r="A1184" s="2" t="s">
        <v>59</v>
      </c>
      <c r="B1184" s="2" t="s">
        <v>60</v>
      </c>
      <c r="C1184" s="2" t="s">
        <v>11867</v>
      </c>
      <c r="D1184" s="2" t="s">
        <v>11868</v>
      </c>
      <c r="E1184" s="2" t="s">
        <v>11869</v>
      </c>
      <c r="G1184" s="3" t="s">
        <v>64</v>
      </c>
      <c r="I1184" s="3" t="s">
        <v>64</v>
      </c>
      <c r="J1184" s="3" t="s">
        <v>64</v>
      </c>
      <c r="K1184" s="3" t="s">
        <v>65</v>
      </c>
      <c r="L1184" s="2" t="s">
        <v>11870</v>
      </c>
      <c r="M1184" s="2" t="s">
        <v>11871</v>
      </c>
      <c r="N1184" s="3" t="s">
        <v>578</v>
      </c>
      <c r="O1184" s="2" t="s">
        <v>117</v>
      </c>
      <c r="P1184" s="3" t="s">
        <v>102</v>
      </c>
      <c r="R1184" s="3" t="s">
        <v>70</v>
      </c>
      <c r="S1184" s="4">
        <v>0</v>
      </c>
      <c r="T1184" s="4">
        <v>0</v>
      </c>
      <c r="W1184" s="5" t="s">
        <v>72</v>
      </c>
      <c r="X1184" s="5" t="s">
        <v>72</v>
      </c>
      <c r="Y1184" s="4">
        <v>99</v>
      </c>
      <c r="Z1184" s="4">
        <v>3</v>
      </c>
      <c r="AA1184" s="4">
        <v>5</v>
      </c>
      <c r="AB1184" s="4">
        <v>1</v>
      </c>
      <c r="AC1184" s="4">
        <v>2</v>
      </c>
      <c r="AD1184" s="4">
        <v>7</v>
      </c>
      <c r="AE1184" s="4">
        <v>9</v>
      </c>
      <c r="AF1184" s="4">
        <v>0</v>
      </c>
      <c r="AG1184" s="4">
        <v>0</v>
      </c>
      <c r="AH1184" s="4">
        <v>6</v>
      </c>
      <c r="AI1184" s="4">
        <v>7</v>
      </c>
      <c r="AJ1184" s="4">
        <v>0</v>
      </c>
      <c r="AK1184" s="4">
        <v>0</v>
      </c>
      <c r="AL1184" s="4">
        <v>4</v>
      </c>
      <c r="AM1184" s="4">
        <v>4</v>
      </c>
      <c r="AN1184" s="4">
        <v>0</v>
      </c>
      <c r="AO1184" s="4">
        <v>0</v>
      </c>
      <c r="AP1184" s="4">
        <v>0</v>
      </c>
      <c r="AQ1184" s="4">
        <v>1</v>
      </c>
      <c r="AR1184" s="3" t="s">
        <v>64</v>
      </c>
      <c r="AS1184" s="3" t="s">
        <v>64</v>
      </c>
      <c r="AT1184" s="3" t="s">
        <v>64</v>
      </c>
      <c r="AV1184" s="6" t="str">
        <f>HYPERLINK("http://mcgill.on.worldcat.org/oclc/956349354","Catalog Record")</f>
        <v>Catalog Record</v>
      </c>
      <c r="AW1184" s="6" t="str">
        <f>HYPERLINK("http://www.worldcat.org/oclc/956349354","WorldCat Record")</f>
        <v>WorldCat Record</v>
      </c>
      <c r="AX1184" s="3" t="s">
        <v>11872</v>
      </c>
      <c r="AY1184" s="3" t="s">
        <v>11873</v>
      </c>
      <c r="AZ1184" s="3" t="s">
        <v>11874</v>
      </c>
      <c r="BA1184" s="3" t="s">
        <v>11874</v>
      </c>
      <c r="BB1184" s="3" t="s">
        <v>11875</v>
      </c>
      <c r="BC1184" s="3" t="s">
        <v>77</v>
      </c>
      <c r="BD1184" s="3" t="s">
        <v>78</v>
      </c>
      <c r="BE1184" s="3" t="s">
        <v>11876</v>
      </c>
      <c r="BF1184" s="3" t="s">
        <v>11875</v>
      </c>
      <c r="BG1184" s="3" t="s">
        <v>11877</v>
      </c>
      <c r="BH1184">
        <f t="shared" si="38"/>
        <v>0</v>
      </c>
    </row>
    <row r="1185" spans="1:60" ht="58" x14ac:dyDescent="0.35">
      <c r="A1185" s="2" t="s">
        <v>59</v>
      </c>
      <c r="B1185" s="2" t="s">
        <v>60</v>
      </c>
      <c r="C1185" s="2" t="s">
        <v>11878</v>
      </c>
      <c r="D1185" s="2" t="s">
        <v>11879</v>
      </c>
      <c r="E1185" s="2" t="s">
        <v>11880</v>
      </c>
      <c r="G1185" s="3" t="s">
        <v>64</v>
      </c>
      <c r="I1185" s="3" t="s">
        <v>64</v>
      </c>
      <c r="J1185" s="3" t="s">
        <v>64</v>
      </c>
      <c r="K1185" s="3" t="s">
        <v>65</v>
      </c>
      <c r="L1185" s="2" t="s">
        <v>11881</v>
      </c>
      <c r="M1185" s="2" t="s">
        <v>11882</v>
      </c>
      <c r="N1185" s="3" t="s">
        <v>979</v>
      </c>
      <c r="P1185" s="3" t="s">
        <v>102</v>
      </c>
      <c r="Q1185" s="2" t="s">
        <v>11883</v>
      </c>
      <c r="R1185" s="3" t="s">
        <v>70</v>
      </c>
      <c r="S1185" s="4">
        <v>4</v>
      </c>
      <c r="T1185" s="4">
        <v>4</v>
      </c>
      <c r="U1185" s="5" t="s">
        <v>11884</v>
      </c>
      <c r="V1185" s="5" t="s">
        <v>11884</v>
      </c>
      <c r="W1185" s="5" t="s">
        <v>72</v>
      </c>
      <c r="X1185" s="5" t="s">
        <v>72</v>
      </c>
      <c r="Y1185" s="4">
        <v>93</v>
      </c>
      <c r="Z1185" s="4">
        <v>14</v>
      </c>
      <c r="AA1185" s="4">
        <v>15</v>
      </c>
      <c r="AB1185" s="4">
        <v>2</v>
      </c>
      <c r="AC1185" s="4">
        <v>3</v>
      </c>
      <c r="AD1185" s="4">
        <v>68</v>
      </c>
      <c r="AE1185" s="4">
        <v>69</v>
      </c>
      <c r="AF1185" s="4">
        <v>0</v>
      </c>
      <c r="AG1185" s="4">
        <v>1</v>
      </c>
      <c r="AH1185" s="4">
        <v>64</v>
      </c>
      <c r="AI1185" s="4">
        <v>65</v>
      </c>
      <c r="AJ1185" s="4">
        <v>10</v>
      </c>
      <c r="AK1185" s="4">
        <v>11</v>
      </c>
      <c r="AL1185" s="4">
        <v>34</v>
      </c>
      <c r="AM1185" s="4">
        <v>34</v>
      </c>
      <c r="AN1185" s="4">
        <v>0</v>
      </c>
      <c r="AO1185" s="4">
        <v>0</v>
      </c>
      <c r="AP1185" s="4">
        <v>9</v>
      </c>
      <c r="AQ1185" s="4">
        <v>10</v>
      </c>
      <c r="AR1185" s="3" t="s">
        <v>64</v>
      </c>
      <c r="AS1185" s="3" t="s">
        <v>64</v>
      </c>
      <c r="AT1185" s="3" t="s">
        <v>64</v>
      </c>
      <c r="AV1185" s="6" t="str">
        <f>HYPERLINK("http://mcgill.on.worldcat.org/oclc/46337496","Catalog Record")</f>
        <v>Catalog Record</v>
      </c>
      <c r="AW1185" s="6" t="str">
        <f>HYPERLINK("http://www.worldcat.org/oclc/46337496","WorldCat Record")</f>
        <v>WorldCat Record</v>
      </c>
      <c r="AX1185" s="3" t="s">
        <v>11885</v>
      </c>
      <c r="AY1185" s="3" t="s">
        <v>11886</v>
      </c>
      <c r="AZ1185" s="3" t="s">
        <v>11887</v>
      </c>
      <c r="BA1185" s="3" t="s">
        <v>11887</v>
      </c>
      <c r="BB1185" s="3" t="s">
        <v>11888</v>
      </c>
      <c r="BC1185" s="3" t="s">
        <v>77</v>
      </c>
      <c r="BD1185" s="3" t="s">
        <v>78</v>
      </c>
      <c r="BF1185" s="3" t="s">
        <v>11888</v>
      </c>
      <c r="BG1185" s="3" t="s">
        <v>11889</v>
      </c>
      <c r="BH1185">
        <f t="shared" si="38"/>
        <v>0</v>
      </c>
    </row>
    <row r="1186" spans="1:60" ht="58" x14ac:dyDescent="0.35">
      <c r="A1186" s="2" t="s">
        <v>59</v>
      </c>
      <c r="B1186" s="2" t="s">
        <v>60</v>
      </c>
      <c r="C1186" s="2" t="s">
        <v>11890</v>
      </c>
      <c r="D1186" s="2" t="s">
        <v>11891</v>
      </c>
      <c r="E1186" s="2" t="s">
        <v>11892</v>
      </c>
      <c r="G1186" s="3" t="s">
        <v>64</v>
      </c>
      <c r="I1186" s="3" t="s">
        <v>64</v>
      </c>
      <c r="J1186" s="3" t="s">
        <v>64</v>
      </c>
      <c r="K1186" s="3" t="s">
        <v>65</v>
      </c>
      <c r="L1186" s="2" t="s">
        <v>11893</v>
      </c>
      <c r="M1186" s="2" t="s">
        <v>11894</v>
      </c>
      <c r="N1186" s="3" t="s">
        <v>144</v>
      </c>
      <c r="P1186" s="3" t="s">
        <v>102</v>
      </c>
      <c r="Q1186" s="2" t="s">
        <v>351</v>
      </c>
      <c r="R1186" s="3" t="s">
        <v>70</v>
      </c>
      <c r="S1186" s="4">
        <v>1</v>
      </c>
      <c r="T1186" s="4">
        <v>1</v>
      </c>
      <c r="U1186" s="5" t="s">
        <v>11895</v>
      </c>
      <c r="V1186" s="5" t="s">
        <v>11895</v>
      </c>
      <c r="W1186" s="5" t="s">
        <v>72</v>
      </c>
      <c r="X1186" s="5" t="s">
        <v>72</v>
      </c>
      <c r="Y1186" s="4">
        <v>234</v>
      </c>
      <c r="Z1186" s="4">
        <v>15</v>
      </c>
      <c r="AA1186" s="4">
        <v>33</v>
      </c>
      <c r="AB1186" s="4">
        <v>1</v>
      </c>
      <c r="AC1186" s="4">
        <v>4</v>
      </c>
      <c r="AD1186" s="4">
        <v>88</v>
      </c>
      <c r="AE1186" s="4">
        <v>111</v>
      </c>
      <c r="AF1186" s="4">
        <v>0</v>
      </c>
      <c r="AG1186" s="4">
        <v>0</v>
      </c>
      <c r="AH1186" s="4">
        <v>82</v>
      </c>
      <c r="AI1186" s="4">
        <v>96</v>
      </c>
      <c r="AJ1186" s="4">
        <v>10</v>
      </c>
      <c r="AK1186" s="4">
        <v>13</v>
      </c>
      <c r="AL1186" s="4">
        <v>47</v>
      </c>
      <c r="AM1186" s="4">
        <v>54</v>
      </c>
      <c r="AN1186" s="4">
        <v>0</v>
      </c>
      <c r="AO1186" s="4">
        <v>0</v>
      </c>
      <c r="AP1186" s="4">
        <v>11</v>
      </c>
      <c r="AQ1186" s="4">
        <v>20</v>
      </c>
      <c r="AR1186" s="3" t="s">
        <v>64</v>
      </c>
      <c r="AS1186" s="3" t="s">
        <v>64</v>
      </c>
      <c r="AT1186" s="3" t="s">
        <v>64</v>
      </c>
      <c r="AV1186" s="6" t="str">
        <f>HYPERLINK("http://mcgill.on.worldcat.org/oclc/215171882","Catalog Record")</f>
        <v>Catalog Record</v>
      </c>
      <c r="AW1186" s="6" t="str">
        <f>HYPERLINK("http://www.worldcat.org/oclc/215171882","WorldCat Record")</f>
        <v>WorldCat Record</v>
      </c>
      <c r="AX1186" s="3" t="s">
        <v>11896</v>
      </c>
      <c r="AY1186" s="3" t="s">
        <v>11897</v>
      </c>
      <c r="AZ1186" s="3" t="s">
        <v>11898</v>
      </c>
      <c r="BA1186" s="3" t="s">
        <v>11898</v>
      </c>
      <c r="BB1186" s="3" t="s">
        <v>11899</v>
      </c>
      <c r="BC1186" s="3" t="s">
        <v>77</v>
      </c>
      <c r="BD1186" s="3" t="s">
        <v>78</v>
      </c>
      <c r="BE1186" s="3" t="s">
        <v>11900</v>
      </c>
      <c r="BF1186" s="3" t="s">
        <v>11899</v>
      </c>
      <c r="BG1186" s="3" t="s">
        <v>11901</v>
      </c>
      <c r="BH1186">
        <f t="shared" si="38"/>
        <v>0</v>
      </c>
    </row>
    <row r="1187" spans="1:60" ht="58" x14ac:dyDescent="0.35">
      <c r="A1187" s="2" t="s">
        <v>59</v>
      </c>
      <c r="B1187" s="2" t="s">
        <v>60</v>
      </c>
      <c r="C1187" s="2" t="s">
        <v>11902</v>
      </c>
      <c r="D1187" s="2" t="s">
        <v>11903</v>
      </c>
      <c r="E1187" s="2" t="s">
        <v>11904</v>
      </c>
      <c r="G1187" s="3" t="s">
        <v>64</v>
      </c>
      <c r="I1187" s="3" t="s">
        <v>64</v>
      </c>
      <c r="J1187" s="3" t="s">
        <v>64</v>
      </c>
      <c r="K1187" s="3" t="s">
        <v>65</v>
      </c>
      <c r="L1187" s="2" t="s">
        <v>11905</v>
      </c>
      <c r="M1187" s="2" t="s">
        <v>11906</v>
      </c>
      <c r="N1187" s="3" t="s">
        <v>266</v>
      </c>
      <c r="O1187" s="2" t="s">
        <v>8153</v>
      </c>
      <c r="P1187" s="3" t="s">
        <v>102</v>
      </c>
      <c r="R1187" s="3" t="s">
        <v>70</v>
      </c>
      <c r="S1187" s="4">
        <v>4</v>
      </c>
      <c r="T1187" s="4">
        <v>4</v>
      </c>
      <c r="U1187" s="5" t="s">
        <v>512</v>
      </c>
      <c r="V1187" s="5" t="s">
        <v>512</v>
      </c>
      <c r="W1187" s="5" t="s">
        <v>72</v>
      </c>
      <c r="X1187" s="5" t="s">
        <v>72</v>
      </c>
      <c r="Y1187" s="4">
        <v>550</v>
      </c>
      <c r="Z1187" s="4">
        <v>27</v>
      </c>
      <c r="AA1187" s="4">
        <v>28</v>
      </c>
      <c r="AB1187" s="4">
        <v>1</v>
      </c>
      <c r="AC1187" s="4">
        <v>2</v>
      </c>
      <c r="AD1187" s="4">
        <v>109</v>
      </c>
      <c r="AE1187" s="4">
        <v>110</v>
      </c>
      <c r="AF1187" s="4">
        <v>0</v>
      </c>
      <c r="AG1187" s="4">
        <v>1</v>
      </c>
      <c r="AH1187" s="4">
        <v>91</v>
      </c>
      <c r="AI1187" s="4">
        <v>91</v>
      </c>
      <c r="AJ1187" s="4">
        <v>18</v>
      </c>
      <c r="AK1187" s="4">
        <v>19</v>
      </c>
      <c r="AL1187" s="4">
        <v>55</v>
      </c>
      <c r="AM1187" s="4">
        <v>55</v>
      </c>
      <c r="AN1187" s="4">
        <v>0</v>
      </c>
      <c r="AO1187" s="4">
        <v>0</v>
      </c>
      <c r="AP1187" s="4">
        <v>18</v>
      </c>
      <c r="AQ1187" s="4">
        <v>18</v>
      </c>
      <c r="AR1187" s="3" t="s">
        <v>64</v>
      </c>
      <c r="AS1187" s="3" t="s">
        <v>64</v>
      </c>
      <c r="AT1187" s="3" t="s">
        <v>128</v>
      </c>
      <c r="AU1187" s="6" t="str">
        <f>HYPERLINK("http://catalog.hathitrust.org/Record/000768851","HathiTrust Record")</f>
        <v>HathiTrust Record</v>
      </c>
      <c r="AV1187" s="6" t="str">
        <f>HYPERLINK("http://mcgill.on.worldcat.org/oclc/586430","Catalog Record")</f>
        <v>Catalog Record</v>
      </c>
      <c r="AW1187" s="6" t="str">
        <f>HYPERLINK("http://www.worldcat.org/oclc/586430","WorldCat Record")</f>
        <v>WorldCat Record</v>
      </c>
      <c r="AX1187" s="3" t="s">
        <v>11907</v>
      </c>
      <c r="AY1187" s="3" t="s">
        <v>11908</v>
      </c>
      <c r="AZ1187" s="3" t="s">
        <v>11909</v>
      </c>
      <c r="BA1187" s="3" t="s">
        <v>11909</v>
      </c>
      <c r="BB1187" s="3" t="s">
        <v>11910</v>
      </c>
      <c r="BC1187" s="3" t="s">
        <v>77</v>
      </c>
      <c r="BD1187" s="3" t="s">
        <v>78</v>
      </c>
      <c r="BF1187" s="3" t="s">
        <v>11910</v>
      </c>
      <c r="BG1187" s="3" t="s">
        <v>11911</v>
      </c>
      <c r="BH1187">
        <f t="shared" si="38"/>
        <v>0</v>
      </c>
    </row>
    <row r="1188" spans="1:60" ht="58" x14ac:dyDescent="0.35">
      <c r="A1188" s="2" t="s">
        <v>59</v>
      </c>
      <c r="B1188" s="2" t="s">
        <v>60</v>
      </c>
      <c r="C1188" s="2" t="s">
        <v>11912</v>
      </c>
      <c r="D1188" s="2" t="s">
        <v>11913</v>
      </c>
      <c r="E1188" s="2" t="s">
        <v>11914</v>
      </c>
      <c r="G1188" s="3" t="s">
        <v>64</v>
      </c>
      <c r="I1188" s="3" t="s">
        <v>64</v>
      </c>
      <c r="J1188" s="3" t="s">
        <v>64</v>
      </c>
      <c r="K1188" s="3" t="s">
        <v>65</v>
      </c>
      <c r="L1188" s="2" t="s">
        <v>11915</v>
      </c>
      <c r="M1188" s="2" t="s">
        <v>11916</v>
      </c>
      <c r="N1188" s="3" t="s">
        <v>86</v>
      </c>
      <c r="P1188" s="3" t="s">
        <v>102</v>
      </c>
      <c r="Q1188" s="2" t="s">
        <v>4419</v>
      </c>
      <c r="R1188" s="3" t="s">
        <v>70</v>
      </c>
      <c r="S1188" s="4">
        <v>1</v>
      </c>
      <c r="T1188" s="4">
        <v>1</v>
      </c>
      <c r="U1188" s="5" t="s">
        <v>11917</v>
      </c>
      <c r="V1188" s="5" t="s">
        <v>11917</v>
      </c>
      <c r="W1188" s="5" t="s">
        <v>72</v>
      </c>
      <c r="X1188" s="5" t="s">
        <v>72</v>
      </c>
      <c r="Y1188" s="4">
        <v>204</v>
      </c>
      <c r="Z1188" s="4">
        <v>13</v>
      </c>
      <c r="AA1188" s="4">
        <v>79</v>
      </c>
      <c r="AB1188" s="4">
        <v>1</v>
      </c>
      <c r="AC1188" s="4">
        <v>14</v>
      </c>
      <c r="AD1188" s="4">
        <v>81</v>
      </c>
      <c r="AE1188" s="4">
        <v>127</v>
      </c>
      <c r="AF1188" s="4">
        <v>0</v>
      </c>
      <c r="AG1188" s="4">
        <v>8</v>
      </c>
      <c r="AH1188" s="4">
        <v>77</v>
      </c>
      <c r="AI1188" s="4">
        <v>93</v>
      </c>
      <c r="AJ1188" s="4">
        <v>9</v>
      </c>
      <c r="AK1188" s="4">
        <v>21</v>
      </c>
      <c r="AL1188" s="4">
        <v>48</v>
      </c>
      <c r="AM1188" s="4">
        <v>52</v>
      </c>
      <c r="AN1188" s="4">
        <v>0</v>
      </c>
      <c r="AO1188" s="4">
        <v>0</v>
      </c>
      <c r="AP1188" s="4">
        <v>10</v>
      </c>
      <c r="AQ1188" s="4">
        <v>42</v>
      </c>
      <c r="AR1188" s="3" t="s">
        <v>64</v>
      </c>
      <c r="AS1188" s="3" t="s">
        <v>64</v>
      </c>
      <c r="AT1188" s="3" t="s">
        <v>64</v>
      </c>
      <c r="AV1188" s="6" t="str">
        <f>HYPERLINK("http://mcgill.on.worldcat.org/oclc/732809778","Catalog Record")</f>
        <v>Catalog Record</v>
      </c>
      <c r="AW1188" s="6" t="str">
        <f>HYPERLINK("http://www.worldcat.org/oclc/732809778","WorldCat Record")</f>
        <v>WorldCat Record</v>
      </c>
      <c r="AX1188" s="3" t="s">
        <v>11918</v>
      </c>
      <c r="AY1188" s="3" t="s">
        <v>11919</v>
      </c>
      <c r="AZ1188" s="3" t="s">
        <v>11920</v>
      </c>
      <c r="BA1188" s="3" t="s">
        <v>11920</v>
      </c>
      <c r="BB1188" s="3" t="s">
        <v>11921</v>
      </c>
      <c r="BC1188" s="3" t="s">
        <v>77</v>
      </c>
      <c r="BD1188" s="3" t="s">
        <v>78</v>
      </c>
      <c r="BE1188" s="3" t="s">
        <v>11922</v>
      </c>
      <c r="BF1188" s="3" t="s">
        <v>11921</v>
      </c>
      <c r="BG1188" s="3" t="s">
        <v>11923</v>
      </c>
      <c r="BH1188">
        <f t="shared" si="38"/>
        <v>0</v>
      </c>
    </row>
    <row r="1189" spans="1:60" ht="58" x14ac:dyDescent="0.35">
      <c r="A1189" s="2" t="s">
        <v>59</v>
      </c>
      <c r="B1189" s="2" t="s">
        <v>60</v>
      </c>
      <c r="C1189" s="2" t="s">
        <v>11924</v>
      </c>
      <c r="D1189" s="2" t="s">
        <v>11925</v>
      </c>
      <c r="E1189" s="2" t="s">
        <v>11926</v>
      </c>
      <c r="G1189" s="3" t="s">
        <v>64</v>
      </c>
      <c r="I1189" s="3" t="s">
        <v>64</v>
      </c>
      <c r="J1189" s="3" t="s">
        <v>64</v>
      </c>
      <c r="K1189" s="3" t="s">
        <v>65</v>
      </c>
      <c r="M1189" s="2" t="s">
        <v>11927</v>
      </c>
      <c r="N1189" s="3" t="s">
        <v>291</v>
      </c>
      <c r="P1189" s="3" t="s">
        <v>102</v>
      </c>
      <c r="Q1189" s="2" t="s">
        <v>11928</v>
      </c>
      <c r="R1189" s="3" t="s">
        <v>70</v>
      </c>
      <c r="S1189" s="4">
        <v>6</v>
      </c>
      <c r="T1189" s="4">
        <v>6</v>
      </c>
      <c r="U1189" s="5" t="s">
        <v>11929</v>
      </c>
      <c r="V1189" s="5" t="s">
        <v>11929</v>
      </c>
      <c r="W1189" s="5" t="s">
        <v>72</v>
      </c>
      <c r="X1189" s="5" t="s">
        <v>72</v>
      </c>
      <c r="Y1189" s="4">
        <v>445</v>
      </c>
      <c r="Z1189" s="4">
        <v>25</v>
      </c>
      <c r="AA1189" s="4">
        <v>81</v>
      </c>
      <c r="AB1189" s="4">
        <v>2</v>
      </c>
      <c r="AC1189" s="4">
        <v>14</v>
      </c>
      <c r="AD1189" s="4">
        <v>109</v>
      </c>
      <c r="AE1189" s="4">
        <v>141</v>
      </c>
      <c r="AF1189" s="4">
        <v>1</v>
      </c>
      <c r="AG1189" s="4">
        <v>8</v>
      </c>
      <c r="AH1189" s="4">
        <v>94</v>
      </c>
      <c r="AI1189" s="4">
        <v>102</v>
      </c>
      <c r="AJ1189" s="4">
        <v>16</v>
      </c>
      <c r="AK1189" s="4">
        <v>24</v>
      </c>
      <c r="AL1189" s="4">
        <v>53</v>
      </c>
      <c r="AM1189" s="4">
        <v>56</v>
      </c>
      <c r="AN1189" s="4">
        <v>0</v>
      </c>
      <c r="AO1189" s="4">
        <v>0</v>
      </c>
      <c r="AP1189" s="4">
        <v>19</v>
      </c>
      <c r="AQ1189" s="4">
        <v>44</v>
      </c>
      <c r="AR1189" s="3" t="s">
        <v>64</v>
      </c>
      <c r="AS1189" s="3" t="s">
        <v>64</v>
      </c>
      <c r="AT1189" s="3" t="s">
        <v>64</v>
      </c>
      <c r="AV1189" s="6" t="str">
        <f>HYPERLINK("http://mcgill.on.worldcat.org/oclc/76901778","Catalog Record")</f>
        <v>Catalog Record</v>
      </c>
      <c r="AW1189" s="6" t="str">
        <f>HYPERLINK("http://www.worldcat.org/oclc/76901778","WorldCat Record")</f>
        <v>WorldCat Record</v>
      </c>
      <c r="AX1189" s="3" t="s">
        <v>11930</v>
      </c>
      <c r="AY1189" s="3" t="s">
        <v>11931</v>
      </c>
      <c r="AZ1189" s="3" t="s">
        <v>11932</v>
      </c>
      <c r="BA1189" s="3" t="s">
        <v>11932</v>
      </c>
      <c r="BB1189" s="3" t="s">
        <v>11933</v>
      </c>
      <c r="BC1189" s="3" t="s">
        <v>77</v>
      </c>
      <c r="BD1189" s="3" t="s">
        <v>78</v>
      </c>
      <c r="BE1189" s="3" t="s">
        <v>11934</v>
      </c>
      <c r="BF1189" s="3" t="s">
        <v>11933</v>
      </c>
      <c r="BG1189" s="3" t="s">
        <v>11935</v>
      </c>
      <c r="BH1189">
        <f t="shared" si="38"/>
        <v>0</v>
      </c>
    </row>
    <row r="1190" spans="1:60" ht="58" x14ac:dyDescent="0.35">
      <c r="A1190" s="2" t="s">
        <v>59</v>
      </c>
      <c r="B1190" s="2" t="s">
        <v>60</v>
      </c>
      <c r="C1190" s="2" t="s">
        <v>11936</v>
      </c>
      <c r="D1190" s="2" t="s">
        <v>11937</v>
      </c>
      <c r="E1190" s="2" t="s">
        <v>11938</v>
      </c>
      <c r="G1190" s="3" t="s">
        <v>64</v>
      </c>
      <c r="I1190" s="3" t="s">
        <v>64</v>
      </c>
      <c r="J1190" s="3" t="s">
        <v>64</v>
      </c>
      <c r="K1190" s="3" t="s">
        <v>65</v>
      </c>
      <c r="L1190" s="2" t="s">
        <v>11939</v>
      </c>
      <c r="M1190" s="2" t="s">
        <v>11940</v>
      </c>
      <c r="N1190" s="3" t="s">
        <v>86</v>
      </c>
      <c r="O1190" s="2" t="s">
        <v>117</v>
      </c>
      <c r="P1190" s="3" t="s">
        <v>102</v>
      </c>
      <c r="R1190" s="3" t="s">
        <v>70</v>
      </c>
      <c r="S1190" s="4">
        <v>0</v>
      </c>
      <c r="T1190" s="4">
        <v>0</v>
      </c>
      <c r="W1190" s="5" t="s">
        <v>72</v>
      </c>
      <c r="X1190" s="5" t="s">
        <v>72</v>
      </c>
      <c r="Y1190" s="4">
        <v>127</v>
      </c>
      <c r="Z1190" s="4">
        <v>6</v>
      </c>
      <c r="AA1190" s="4">
        <v>78</v>
      </c>
      <c r="AB1190" s="4">
        <v>1</v>
      </c>
      <c r="AC1190" s="4">
        <v>15</v>
      </c>
      <c r="AD1190" s="4">
        <v>53</v>
      </c>
      <c r="AE1190" s="4">
        <v>114</v>
      </c>
      <c r="AF1190" s="4">
        <v>0</v>
      </c>
      <c r="AG1190" s="4">
        <v>8</v>
      </c>
      <c r="AH1190" s="4">
        <v>51</v>
      </c>
      <c r="AI1190" s="4">
        <v>82</v>
      </c>
      <c r="AJ1190" s="4">
        <v>3</v>
      </c>
      <c r="AK1190" s="4">
        <v>17</v>
      </c>
      <c r="AL1190" s="4">
        <v>29</v>
      </c>
      <c r="AM1190" s="4">
        <v>43</v>
      </c>
      <c r="AN1190" s="4">
        <v>5</v>
      </c>
      <c r="AO1190" s="4">
        <v>5</v>
      </c>
      <c r="AP1190" s="4">
        <v>3</v>
      </c>
      <c r="AQ1190" s="4">
        <v>37</v>
      </c>
      <c r="AR1190" s="3" t="s">
        <v>64</v>
      </c>
      <c r="AS1190" s="3" t="s">
        <v>64</v>
      </c>
      <c r="AT1190" s="3" t="s">
        <v>128</v>
      </c>
      <c r="AU1190" s="6" t="str">
        <f>HYPERLINK("http://catalog.hathitrust.org/Record/012110648","HathiTrust Record")</f>
        <v>HathiTrust Record</v>
      </c>
      <c r="AV1190" s="6" t="str">
        <f>HYPERLINK("http://mcgill.on.worldcat.org/oclc/795164614","Catalog Record")</f>
        <v>Catalog Record</v>
      </c>
      <c r="AW1190" s="6" t="str">
        <f>HYPERLINK("http://www.worldcat.org/oclc/795164614","WorldCat Record")</f>
        <v>WorldCat Record</v>
      </c>
      <c r="AX1190" s="3" t="s">
        <v>11941</v>
      </c>
      <c r="AY1190" s="3" t="s">
        <v>11942</v>
      </c>
      <c r="AZ1190" s="3" t="s">
        <v>11943</v>
      </c>
      <c r="BA1190" s="3" t="s">
        <v>11943</v>
      </c>
      <c r="BB1190" s="3" t="s">
        <v>11944</v>
      </c>
      <c r="BC1190" s="3" t="s">
        <v>77</v>
      </c>
      <c r="BD1190" s="3" t="s">
        <v>78</v>
      </c>
      <c r="BE1190" s="3" t="s">
        <v>11945</v>
      </c>
      <c r="BF1190" s="3" t="s">
        <v>11944</v>
      </c>
      <c r="BG1190" s="3" t="s">
        <v>11946</v>
      </c>
      <c r="BH1190">
        <f t="shared" si="38"/>
        <v>0</v>
      </c>
    </row>
    <row r="1191" spans="1:60" ht="58" x14ac:dyDescent="0.35">
      <c r="A1191" s="2" t="s">
        <v>59</v>
      </c>
      <c r="B1191" s="2" t="s">
        <v>60</v>
      </c>
      <c r="C1191" s="2" t="s">
        <v>11947</v>
      </c>
      <c r="D1191" s="2" t="s">
        <v>11948</v>
      </c>
      <c r="E1191" s="2" t="s">
        <v>11949</v>
      </c>
      <c r="G1191" s="3" t="s">
        <v>64</v>
      </c>
      <c r="I1191" s="3" t="s">
        <v>64</v>
      </c>
      <c r="J1191" s="3" t="s">
        <v>64</v>
      </c>
      <c r="K1191" s="3" t="s">
        <v>65</v>
      </c>
      <c r="L1191" s="2" t="s">
        <v>11950</v>
      </c>
      <c r="M1191" s="2" t="s">
        <v>11951</v>
      </c>
      <c r="N1191" s="3" t="s">
        <v>537</v>
      </c>
      <c r="O1191" s="2" t="s">
        <v>117</v>
      </c>
      <c r="P1191" s="3" t="s">
        <v>102</v>
      </c>
      <c r="R1191" s="3" t="s">
        <v>70</v>
      </c>
      <c r="S1191" s="4">
        <v>0</v>
      </c>
      <c r="T1191" s="4">
        <v>0</v>
      </c>
      <c r="W1191" s="5" t="s">
        <v>72</v>
      </c>
      <c r="X1191" s="5" t="s">
        <v>72</v>
      </c>
      <c r="Y1191" s="4">
        <v>557</v>
      </c>
      <c r="Z1191" s="4">
        <v>14</v>
      </c>
      <c r="AA1191" s="4">
        <v>15</v>
      </c>
      <c r="AB1191" s="4">
        <v>1</v>
      </c>
      <c r="AC1191" s="4">
        <v>2</v>
      </c>
      <c r="AD1191" s="4">
        <v>50</v>
      </c>
      <c r="AE1191" s="4">
        <v>60</v>
      </c>
      <c r="AF1191" s="4">
        <v>0</v>
      </c>
      <c r="AG1191" s="4">
        <v>0</v>
      </c>
      <c r="AH1191" s="4">
        <v>47</v>
      </c>
      <c r="AI1191" s="4">
        <v>57</v>
      </c>
      <c r="AJ1191" s="4">
        <v>4</v>
      </c>
      <c r="AK1191" s="4">
        <v>4</v>
      </c>
      <c r="AL1191" s="4">
        <v>34</v>
      </c>
      <c r="AM1191" s="4">
        <v>40</v>
      </c>
      <c r="AN1191" s="4">
        <v>0</v>
      </c>
      <c r="AO1191" s="4">
        <v>0</v>
      </c>
      <c r="AP1191" s="4">
        <v>4</v>
      </c>
      <c r="AQ1191" s="4">
        <v>4</v>
      </c>
      <c r="AR1191" s="3" t="s">
        <v>64</v>
      </c>
      <c r="AS1191" s="3" t="s">
        <v>64</v>
      </c>
      <c r="AT1191" s="3" t="s">
        <v>64</v>
      </c>
      <c r="AV1191" s="6" t="str">
        <f>HYPERLINK("http://mcgill.on.worldcat.org/oclc/908176194","Catalog Record")</f>
        <v>Catalog Record</v>
      </c>
      <c r="AW1191" s="6" t="str">
        <f>HYPERLINK("http://www.worldcat.org/oclc/908176194","WorldCat Record")</f>
        <v>WorldCat Record</v>
      </c>
      <c r="AX1191" s="3" t="s">
        <v>11952</v>
      </c>
      <c r="AY1191" s="3" t="s">
        <v>11953</v>
      </c>
      <c r="AZ1191" s="3" t="s">
        <v>11954</v>
      </c>
      <c r="BA1191" s="3" t="s">
        <v>11954</v>
      </c>
      <c r="BB1191" s="3" t="s">
        <v>11955</v>
      </c>
      <c r="BC1191" s="3" t="s">
        <v>77</v>
      </c>
      <c r="BD1191" s="3" t="s">
        <v>78</v>
      </c>
      <c r="BE1191" s="3" t="s">
        <v>11956</v>
      </c>
      <c r="BF1191" s="3" t="s">
        <v>11955</v>
      </c>
      <c r="BG1191" s="3" t="s">
        <v>11957</v>
      </c>
      <c r="BH1191">
        <f t="shared" si="38"/>
        <v>0</v>
      </c>
    </row>
    <row r="1192" spans="1:60" ht="58" x14ac:dyDescent="0.35">
      <c r="A1192" s="2" t="s">
        <v>59</v>
      </c>
      <c r="B1192" s="2" t="s">
        <v>60</v>
      </c>
      <c r="C1192" s="2" t="s">
        <v>11958</v>
      </c>
      <c r="D1192" s="2" t="s">
        <v>11959</v>
      </c>
      <c r="E1192" s="2" t="s">
        <v>11960</v>
      </c>
      <c r="G1192" s="3" t="s">
        <v>64</v>
      </c>
      <c r="I1192" s="3" t="s">
        <v>64</v>
      </c>
      <c r="J1192" s="3" t="s">
        <v>64</v>
      </c>
      <c r="K1192" s="3" t="s">
        <v>65</v>
      </c>
      <c r="L1192" s="2" t="s">
        <v>11961</v>
      </c>
      <c r="M1192" s="2" t="s">
        <v>11962</v>
      </c>
      <c r="N1192" s="3" t="s">
        <v>1075</v>
      </c>
      <c r="P1192" s="3" t="s">
        <v>102</v>
      </c>
      <c r="R1192" s="3" t="s">
        <v>70</v>
      </c>
      <c r="S1192" s="4">
        <v>0</v>
      </c>
      <c r="T1192" s="4">
        <v>0</v>
      </c>
      <c r="W1192" s="5" t="s">
        <v>72</v>
      </c>
      <c r="X1192" s="5" t="s">
        <v>72</v>
      </c>
      <c r="Y1192" s="4">
        <v>111</v>
      </c>
      <c r="Z1192" s="4">
        <v>4</v>
      </c>
      <c r="AA1192" s="4">
        <v>121</v>
      </c>
      <c r="AB1192" s="4">
        <v>1</v>
      </c>
      <c r="AC1192" s="4">
        <v>17</v>
      </c>
      <c r="AD1192" s="4">
        <v>34</v>
      </c>
      <c r="AE1192" s="4">
        <v>114</v>
      </c>
      <c r="AF1192" s="4">
        <v>0</v>
      </c>
      <c r="AG1192" s="4">
        <v>8</v>
      </c>
      <c r="AH1192" s="4">
        <v>33</v>
      </c>
      <c r="AI1192" s="4">
        <v>75</v>
      </c>
      <c r="AJ1192" s="4">
        <v>1</v>
      </c>
      <c r="AK1192" s="4">
        <v>19</v>
      </c>
      <c r="AL1192" s="4">
        <v>21</v>
      </c>
      <c r="AM1192" s="4">
        <v>39</v>
      </c>
      <c r="AN1192" s="4">
        <v>0</v>
      </c>
      <c r="AO1192" s="4">
        <v>0</v>
      </c>
      <c r="AP1192" s="4">
        <v>1</v>
      </c>
      <c r="AQ1192" s="4">
        <v>43</v>
      </c>
      <c r="AR1192" s="3" t="s">
        <v>64</v>
      </c>
      <c r="AS1192" s="3" t="s">
        <v>64</v>
      </c>
      <c r="AT1192" s="3" t="s">
        <v>64</v>
      </c>
      <c r="AV1192" s="6" t="str">
        <f>HYPERLINK("http://mcgill.on.worldcat.org/oclc/817721816","Catalog Record")</f>
        <v>Catalog Record</v>
      </c>
      <c r="AW1192" s="6" t="str">
        <f>HYPERLINK("http://www.worldcat.org/oclc/817721816","WorldCat Record")</f>
        <v>WorldCat Record</v>
      </c>
      <c r="AX1192" s="3" t="s">
        <v>11963</v>
      </c>
      <c r="AY1192" s="3" t="s">
        <v>11964</v>
      </c>
      <c r="AZ1192" s="3" t="s">
        <v>11965</v>
      </c>
      <c r="BA1192" s="3" t="s">
        <v>11965</v>
      </c>
      <c r="BB1192" s="3" t="s">
        <v>11966</v>
      </c>
      <c r="BC1192" s="3" t="s">
        <v>77</v>
      </c>
      <c r="BD1192" s="3" t="s">
        <v>78</v>
      </c>
      <c r="BE1192" s="3" t="s">
        <v>11967</v>
      </c>
      <c r="BF1192" s="3" t="s">
        <v>11966</v>
      </c>
      <c r="BG1192" s="3" t="s">
        <v>11968</v>
      </c>
      <c r="BH1192">
        <f t="shared" si="38"/>
        <v>0</v>
      </c>
    </row>
    <row r="1193" spans="1:60" ht="87" x14ac:dyDescent="0.35">
      <c r="A1193" s="2" t="s">
        <v>59</v>
      </c>
      <c r="B1193" s="2" t="s">
        <v>60</v>
      </c>
      <c r="C1193" s="2" t="s">
        <v>11969</v>
      </c>
      <c r="D1193" s="2" t="s">
        <v>11970</v>
      </c>
      <c r="E1193" s="2" t="s">
        <v>11971</v>
      </c>
      <c r="G1193" s="3" t="s">
        <v>64</v>
      </c>
      <c r="I1193" s="3" t="s">
        <v>64</v>
      </c>
      <c r="J1193" s="3" t="s">
        <v>64</v>
      </c>
      <c r="K1193" s="3" t="s">
        <v>65</v>
      </c>
      <c r="L1193" s="2" t="s">
        <v>11972</v>
      </c>
      <c r="M1193" s="2" t="s">
        <v>11973</v>
      </c>
      <c r="N1193" s="3" t="s">
        <v>537</v>
      </c>
      <c r="P1193" s="3" t="s">
        <v>102</v>
      </c>
      <c r="R1193" s="3" t="s">
        <v>70</v>
      </c>
      <c r="S1193" s="4">
        <v>0</v>
      </c>
      <c r="T1193" s="4">
        <v>0</v>
      </c>
      <c r="W1193" s="5" t="s">
        <v>72</v>
      </c>
      <c r="X1193" s="5" t="s">
        <v>72</v>
      </c>
      <c r="Y1193" s="4">
        <v>37</v>
      </c>
      <c r="Z1193" s="4">
        <v>9</v>
      </c>
      <c r="AA1193" s="4">
        <v>9</v>
      </c>
      <c r="AB1193" s="4">
        <v>1</v>
      </c>
      <c r="AC1193" s="4">
        <v>1</v>
      </c>
      <c r="AD1193" s="4">
        <v>22</v>
      </c>
      <c r="AE1193" s="4">
        <v>22</v>
      </c>
      <c r="AF1193" s="4">
        <v>0</v>
      </c>
      <c r="AG1193" s="4">
        <v>0</v>
      </c>
      <c r="AH1193" s="4">
        <v>17</v>
      </c>
      <c r="AI1193" s="4">
        <v>17</v>
      </c>
      <c r="AJ1193" s="4">
        <v>6</v>
      </c>
      <c r="AK1193" s="4">
        <v>6</v>
      </c>
      <c r="AL1193" s="4">
        <v>7</v>
      </c>
      <c r="AM1193" s="4">
        <v>7</v>
      </c>
      <c r="AN1193" s="4">
        <v>0</v>
      </c>
      <c r="AO1193" s="4">
        <v>0</v>
      </c>
      <c r="AP1193" s="4">
        <v>7</v>
      </c>
      <c r="AQ1193" s="4">
        <v>7</v>
      </c>
      <c r="AR1193" s="3" t="s">
        <v>128</v>
      </c>
      <c r="AS1193" s="3" t="s">
        <v>64</v>
      </c>
      <c r="AT1193" s="3" t="s">
        <v>64</v>
      </c>
      <c r="AV1193" s="6" t="str">
        <f>HYPERLINK("http://mcgill.on.worldcat.org/oclc/958271798","Catalog Record")</f>
        <v>Catalog Record</v>
      </c>
      <c r="AW1193" s="6" t="str">
        <f>HYPERLINK("http://www.worldcat.org/oclc/958271798","WorldCat Record")</f>
        <v>WorldCat Record</v>
      </c>
      <c r="AX1193" s="3" t="s">
        <v>11974</v>
      </c>
      <c r="AY1193" s="3" t="s">
        <v>11975</v>
      </c>
      <c r="AZ1193" s="3" t="s">
        <v>11976</v>
      </c>
      <c r="BA1193" s="3" t="s">
        <v>11976</v>
      </c>
      <c r="BB1193" s="3" t="s">
        <v>11977</v>
      </c>
      <c r="BC1193" s="3" t="s">
        <v>77</v>
      </c>
      <c r="BD1193" s="3" t="s">
        <v>78</v>
      </c>
      <c r="BE1193" s="3" t="s">
        <v>11978</v>
      </c>
      <c r="BF1193" s="3" t="s">
        <v>11977</v>
      </c>
      <c r="BG1193" s="3" t="s">
        <v>11979</v>
      </c>
      <c r="BH1193">
        <f t="shared" si="38"/>
        <v>0</v>
      </c>
    </row>
    <row r="1194" spans="1:60" ht="72.5" x14ac:dyDescent="0.35">
      <c r="A1194" s="2" t="s">
        <v>59</v>
      </c>
      <c r="B1194" s="2" t="s">
        <v>60</v>
      </c>
      <c r="C1194" s="2" t="s">
        <v>11980</v>
      </c>
      <c r="D1194" s="2" t="s">
        <v>11981</v>
      </c>
      <c r="E1194" s="2" t="s">
        <v>11982</v>
      </c>
      <c r="G1194" s="3" t="s">
        <v>64</v>
      </c>
      <c r="I1194" s="3" t="s">
        <v>64</v>
      </c>
      <c r="J1194" s="3" t="s">
        <v>64</v>
      </c>
      <c r="K1194" s="3" t="s">
        <v>65</v>
      </c>
      <c r="L1194" s="2" t="s">
        <v>11983</v>
      </c>
      <c r="M1194" s="2" t="s">
        <v>11984</v>
      </c>
      <c r="N1194" s="3" t="s">
        <v>578</v>
      </c>
      <c r="O1194" s="2" t="s">
        <v>117</v>
      </c>
      <c r="P1194" s="3" t="s">
        <v>102</v>
      </c>
      <c r="R1194" s="3" t="s">
        <v>70</v>
      </c>
      <c r="S1194" s="4">
        <v>1</v>
      </c>
      <c r="T1194" s="4">
        <v>1</v>
      </c>
      <c r="U1194" s="5" t="s">
        <v>8367</v>
      </c>
      <c r="V1194" s="5" t="s">
        <v>8367</v>
      </c>
      <c r="W1194" s="5" t="s">
        <v>72</v>
      </c>
      <c r="X1194" s="5" t="s">
        <v>72</v>
      </c>
      <c r="Y1194" s="4">
        <v>103</v>
      </c>
      <c r="Z1194" s="4">
        <v>4</v>
      </c>
      <c r="AA1194" s="4">
        <v>5</v>
      </c>
      <c r="AB1194" s="4">
        <v>1</v>
      </c>
      <c r="AC1194" s="4">
        <v>2</v>
      </c>
      <c r="AD1194" s="4">
        <v>42</v>
      </c>
      <c r="AE1194" s="4">
        <v>43</v>
      </c>
      <c r="AF1194" s="4">
        <v>0</v>
      </c>
      <c r="AG1194" s="4">
        <v>1</v>
      </c>
      <c r="AH1194" s="4">
        <v>38</v>
      </c>
      <c r="AI1194" s="4">
        <v>38</v>
      </c>
      <c r="AJ1194" s="4">
        <v>3</v>
      </c>
      <c r="AK1194" s="4">
        <v>4</v>
      </c>
      <c r="AL1194" s="4">
        <v>29</v>
      </c>
      <c r="AM1194" s="4">
        <v>29</v>
      </c>
      <c r="AN1194" s="4">
        <v>0</v>
      </c>
      <c r="AO1194" s="4">
        <v>0</v>
      </c>
      <c r="AP1194" s="4">
        <v>3</v>
      </c>
      <c r="AQ1194" s="4">
        <v>4</v>
      </c>
      <c r="AR1194" s="3" t="s">
        <v>64</v>
      </c>
      <c r="AS1194" s="3" t="s">
        <v>64</v>
      </c>
      <c r="AT1194" s="3" t="s">
        <v>64</v>
      </c>
      <c r="AV1194" s="6" t="str">
        <f>HYPERLINK("http://mcgill.on.worldcat.org/oclc/974487345","Catalog Record")</f>
        <v>Catalog Record</v>
      </c>
      <c r="AW1194" s="6" t="str">
        <f>HYPERLINK("http://www.worldcat.org/oclc/974487345","WorldCat Record")</f>
        <v>WorldCat Record</v>
      </c>
      <c r="AX1194" s="3" t="s">
        <v>11985</v>
      </c>
      <c r="AY1194" s="3" t="s">
        <v>11986</v>
      </c>
      <c r="AZ1194" s="3" t="s">
        <v>11987</v>
      </c>
      <c r="BA1194" s="3" t="s">
        <v>11987</v>
      </c>
      <c r="BB1194" s="3" t="s">
        <v>11988</v>
      </c>
      <c r="BC1194" s="3" t="s">
        <v>77</v>
      </c>
      <c r="BD1194" s="3" t="s">
        <v>78</v>
      </c>
      <c r="BE1194" s="3" t="s">
        <v>11989</v>
      </c>
      <c r="BF1194" s="3" t="s">
        <v>11988</v>
      </c>
      <c r="BG1194" s="3" t="s">
        <v>11990</v>
      </c>
      <c r="BH1194">
        <f t="shared" si="38"/>
        <v>0</v>
      </c>
    </row>
    <row r="1195" spans="1:60" ht="58" x14ac:dyDescent="0.35">
      <c r="A1195" s="2" t="s">
        <v>59</v>
      </c>
      <c r="B1195" s="2" t="s">
        <v>60</v>
      </c>
      <c r="C1195" s="2" t="s">
        <v>11991</v>
      </c>
      <c r="D1195" s="2" t="s">
        <v>11992</v>
      </c>
      <c r="E1195" s="2" t="s">
        <v>11993</v>
      </c>
      <c r="G1195" s="3" t="s">
        <v>64</v>
      </c>
      <c r="I1195" s="3" t="s">
        <v>64</v>
      </c>
      <c r="J1195" s="3" t="s">
        <v>64</v>
      </c>
      <c r="K1195" s="3" t="s">
        <v>65</v>
      </c>
      <c r="L1195" s="2" t="s">
        <v>11994</v>
      </c>
      <c r="M1195" s="2" t="s">
        <v>11995</v>
      </c>
      <c r="N1195" s="3" t="s">
        <v>291</v>
      </c>
      <c r="P1195" s="3" t="s">
        <v>102</v>
      </c>
      <c r="R1195" s="3" t="s">
        <v>70</v>
      </c>
      <c r="S1195" s="4">
        <v>8</v>
      </c>
      <c r="T1195" s="4">
        <v>8</v>
      </c>
      <c r="U1195" s="5" t="s">
        <v>11996</v>
      </c>
      <c r="V1195" s="5" t="s">
        <v>11996</v>
      </c>
      <c r="W1195" s="5" t="s">
        <v>72</v>
      </c>
      <c r="X1195" s="5" t="s">
        <v>72</v>
      </c>
      <c r="Y1195" s="4">
        <v>353</v>
      </c>
      <c r="Z1195" s="4">
        <v>22</v>
      </c>
      <c r="AA1195" s="4">
        <v>84</v>
      </c>
      <c r="AB1195" s="4">
        <v>1</v>
      </c>
      <c r="AC1195" s="4">
        <v>15</v>
      </c>
      <c r="AD1195" s="4">
        <v>106</v>
      </c>
      <c r="AE1195" s="4">
        <v>143</v>
      </c>
      <c r="AF1195" s="4">
        <v>0</v>
      </c>
      <c r="AG1195" s="4">
        <v>8</v>
      </c>
      <c r="AH1195" s="4">
        <v>97</v>
      </c>
      <c r="AI1195" s="4">
        <v>108</v>
      </c>
      <c r="AJ1195" s="4">
        <v>14</v>
      </c>
      <c r="AK1195" s="4">
        <v>23</v>
      </c>
      <c r="AL1195" s="4">
        <v>56</v>
      </c>
      <c r="AM1195" s="4">
        <v>58</v>
      </c>
      <c r="AN1195" s="4">
        <v>0</v>
      </c>
      <c r="AO1195" s="4">
        <v>0</v>
      </c>
      <c r="AP1195" s="4">
        <v>18</v>
      </c>
      <c r="AQ1195" s="4">
        <v>45</v>
      </c>
      <c r="AR1195" s="3" t="s">
        <v>64</v>
      </c>
      <c r="AS1195" s="3" t="s">
        <v>64</v>
      </c>
      <c r="AT1195" s="3" t="s">
        <v>64</v>
      </c>
      <c r="AV1195" s="6" t="str">
        <f>HYPERLINK("http://mcgill.on.worldcat.org/oclc/78790285","Catalog Record")</f>
        <v>Catalog Record</v>
      </c>
      <c r="AW1195" s="6" t="str">
        <f>HYPERLINK("http://www.worldcat.org/oclc/78790285","WorldCat Record")</f>
        <v>WorldCat Record</v>
      </c>
      <c r="AX1195" s="3" t="s">
        <v>11997</v>
      </c>
      <c r="AY1195" s="3" t="s">
        <v>11998</v>
      </c>
      <c r="AZ1195" s="3" t="s">
        <v>11999</v>
      </c>
      <c r="BA1195" s="3" t="s">
        <v>11999</v>
      </c>
      <c r="BB1195" s="3" t="s">
        <v>12000</v>
      </c>
      <c r="BC1195" s="3" t="s">
        <v>77</v>
      </c>
      <c r="BD1195" s="3" t="s">
        <v>78</v>
      </c>
      <c r="BE1195" s="3" t="s">
        <v>12001</v>
      </c>
      <c r="BF1195" s="3" t="s">
        <v>12000</v>
      </c>
      <c r="BG1195" s="3" t="s">
        <v>12002</v>
      </c>
      <c r="BH1195">
        <f t="shared" si="38"/>
        <v>0</v>
      </c>
    </row>
    <row r="1196" spans="1:60" ht="58" x14ac:dyDescent="0.35">
      <c r="A1196" s="2" t="s">
        <v>59</v>
      </c>
      <c r="B1196" s="2" t="s">
        <v>60</v>
      </c>
      <c r="C1196" s="2" t="s">
        <v>12003</v>
      </c>
      <c r="D1196" s="2" t="s">
        <v>12004</v>
      </c>
      <c r="E1196" s="2" t="s">
        <v>12005</v>
      </c>
      <c r="G1196" s="3" t="s">
        <v>64</v>
      </c>
      <c r="I1196" s="3" t="s">
        <v>64</v>
      </c>
      <c r="J1196" s="3" t="s">
        <v>64</v>
      </c>
      <c r="K1196" s="3" t="s">
        <v>65</v>
      </c>
      <c r="L1196" s="2" t="s">
        <v>12006</v>
      </c>
      <c r="M1196" s="2" t="s">
        <v>12007</v>
      </c>
      <c r="N1196" s="3" t="s">
        <v>153</v>
      </c>
      <c r="O1196" s="2" t="s">
        <v>12008</v>
      </c>
      <c r="P1196" s="3" t="s">
        <v>102</v>
      </c>
      <c r="R1196" s="3" t="s">
        <v>70</v>
      </c>
      <c r="S1196" s="4">
        <v>3</v>
      </c>
      <c r="T1196" s="4">
        <v>3</v>
      </c>
      <c r="U1196" s="5" t="s">
        <v>12009</v>
      </c>
      <c r="V1196" s="5" t="s">
        <v>12009</v>
      </c>
      <c r="W1196" s="5" t="s">
        <v>72</v>
      </c>
      <c r="X1196" s="5" t="s">
        <v>72</v>
      </c>
      <c r="Y1196" s="4">
        <v>271</v>
      </c>
      <c r="Z1196" s="4">
        <v>10</v>
      </c>
      <c r="AA1196" s="4">
        <v>13</v>
      </c>
      <c r="AB1196" s="4">
        <v>2</v>
      </c>
      <c r="AC1196" s="4">
        <v>3</v>
      </c>
      <c r="AD1196" s="4">
        <v>69</v>
      </c>
      <c r="AE1196" s="4">
        <v>72</v>
      </c>
      <c r="AF1196" s="4">
        <v>0</v>
      </c>
      <c r="AG1196" s="4">
        <v>0</v>
      </c>
      <c r="AH1196" s="4">
        <v>66</v>
      </c>
      <c r="AI1196" s="4">
        <v>69</v>
      </c>
      <c r="AJ1196" s="4">
        <v>4</v>
      </c>
      <c r="AK1196" s="4">
        <v>5</v>
      </c>
      <c r="AL1196" s="4">
        <v>38</v>
      </c>
      <c r="AM1196" s="4">
        <v>40</v>
      </c>
      <c r="AN1196" s="4">
        <v>0</v>
      </c>
      <c r="AO1196" s="4">
        <v>0</v>
      </c>
      <c r="AP1196" s="4">
        <v>4</v>
      </c>
      <c r="AQ1196" s="4">
        <v>5</v>
      </c>
      <c r="AR1196" s="3" t="s">
        <v>64</v>
      </c>
      <c r="AS1196" s="3" t="s">
        <v>64</v>
      </c>
      <c r="AT1196" s="3" t="s">
        <v>64</v>
      </c>
      <c r="AV1196" s="6" t="str">
        <f>HYPERLINK("http://mcgill.on.worldcat.org/oclc/39458907","Catalog Record")</f>
        <v>Catalog Record</v>
      </c>
      <c r="AW1196" s="6" t="str">
        <f>HYPERLINK("http://www.worldcat.org/oclc/39458907","WorldCat Record")</f>
        <v>WorldCat Record</v>
      </c>
      <c r="AX1196" s="3" t="s">
        <v>12010</v>
      </c>
      <c r="AY1196" s="3" t="s">
        <v>12011</v>
      </c>
      <c r="AZ1196" s="3" t="s">
        <v>12012</v>
      </c>
      <c r="BA1196" s="3" t="s">
        <v>12012</v>
      </c>
      <c r="BB1196" s="3" t="s">
        <v>12013</v>
      </c>
      <c r="BC1196" s="3" t="s">
        <v>77</v>
      </c>
      <c r="BD1196" s="3" t="s">
        <v>78</v>
      </c>
      <c r="BE1196" s="3" t="s">
        <v>12014</v>
      </c>
      <c r="BF1196" s="3" t="s">
        <v>12013</v>
      </c>
      <c r="BG1196" s="3" t="s">
        <v>12015</v>
      </c>
      <c r="BH1196">
        <f t="shared" si="38"/>
        <v>0</v>
      </c>
    </row>
    <row r="1197" spans="1:60" ht="58" x14ac:dyDescent="0.35">
      <c r="A1197" s="2" t="s">
        <v>59</v>
      </c>
      <c r="B1197" s="2" t="s">
        <v>60</v>
      </c>
      <c r="C1197" s="2" t="s">
        <v>12016</v>
      </c>
      <c r="D1197" s="2" t="s">
        <v>12017</v>
      </c>
      <c r="E1197" s="2" t="s">
        <v>12018</v>
      </c>
      <c r="G1197" s="3" t="s">
        <v>64</v>
      </c>
      <c r="I1197" s="3" t="s">
        <v>64</v>
      </c>
      <c r="J1197" s="3" t="s">
        <v>64</v>
      </c>
      <c r="K1197" s="3" t="s">
        <v>65</v>
      </c>
      <c r="L1197" s="2" t="s">
        <v>12019</v>
      </c>
      <c r="M1197" s="2" t="s">
        <v>12020</v>
      </c>
      <c r="N1197" s="3" t="s">
        <v>153</v>
      </c>
      <c r="P1197" s="3" t="s">
        <v>102</v>
      </c>
      <c r="R1197" s="3" t="s">
        <v>70</v>
      </c>
      <c r="S1197" s="4">
        <v>4</v>
      </c>
      <c r="T1197" s="4">
        <v>4</v>
      </c>
      <c r="U1197" s="5" t="s">
        <v>10437</v>
      </c>
      <c r="V1197" s="5" t="s">
        <v>10437</v>
      </c>
      <c r="W1197" s="5" t="s">
        <v>72</v>
      </c>
      <c r="X1197" s="5" t="s">
        <v>72</v>
      </c>
      <c r="Y1197" s="4">
        <v>658</v>
      </c>
      <c r="Z1197" s="4">
        <v>19</v>
      </c>
      <c r="AA1197" s="4">
        <v>19</v>
      </c>
      <c r="AB1197" s="4">
        <v>2</v>
      </c>
      <c r="AC1197" s="4">
        <v>2</v>
      </c>
      <c r="AD1197" s="4">
        <v>83</v>
      </c>
      <c r="AE1197" s="4">
        <v>83</v>
      </c>
      <c r="AF1197" s="4">
        <v>0</v>
      </c>
      <c r="AG1197" s="4">
        <v>0</v>
      </c>
      <c r="AH1197" s="4">
        <v>77</v>
      </c>
      <c r="AI1197" s="4">
        <v>77</v>
      </c>
      <c r="AJ1197" s="4">
        <v>6</v>
      </c>
      <c r="AK1197" s="4">
        <v>6</v>
      </c>
      <c r="AL1197" s="4">
        <v>40</v>
      </c>
      <c r="AM1197" s="4">
        <v>40</v>
      </c>
      <c r="AN1197" s="4">
        <v>0</v>
      </c>
      <c r="AO1197" s="4">
        <v>0</v>
      </c>
      <c r="AP1197" s="4">
        <v>9</v>
      </c>
      <c r="AQ1197" s="4">
        <v>9</v>
      </c>
      <c r="AR1197" s="3" t="s">
        <v>64</v>
      </c>
      <c r="AS1197" s="3" t="s">
        <v>64</v>
      </c>
      <c r="AT1197" s="3" t="s">
        <v>128</v>
      </c>
      <c r="AU1197" s="6" t="str">
        <f>HYPERLINK("http://catalog.hathitrust.org/Record/003982523","HathiTrust Record")</f>
        <v>HathiTrust Record</v>
      </c>
      <c r="AV1197" s="6" t="str">
        <f>HYPERLINK("http://mcgill.on.worldcat.org/oclc/36858006","Catalog Record")</f>
        <v>Catalog Record</v>
      </c>
      <c r="AW1197" s="6" t="str">
        <f>HYPERLINK("http://www.worldcat.org/oclc/36858006","WorldCat Record")</f>
        <v>WorldCat Record</v>
      </c>
      <c r="AX1197" s="3" t="s">
        <v>12021</v>
      </c>
      <c r="AY1197" s="3" t="s">
        <v>12022</v>
      </c>
      <c r="AZ1197" s="3" t="s">
        <v>12023</v>
      </c>
      <c r="BA1197" s="3" t="s">
        <v>12023</v>
      </c>
      <c r="BB1197" s="3" t="s">
        <v>12024</v>
      </c>
      <c r="BC1197" s="3" t="s">
        <v>77</v>
      </c>
      <c r="BD1197" s="3" t="s">
        <v>78</v>
      </c>
      <c r="BE1197" s="3" t="s">
        <v>12025</v>
      </c>
      <c r="BF1197" s="3" t="s">
        <v>12024</v>
      </c>
      <c r="BG1197" s="3" t="s">
        <v>12026</v>
      </c>
      <c r="BH1197">
        <f t="shared" si="38"/>
        <v>0</v>
      </c>
    </row>
    <row r="1198" spans="1:60" ht="58" x14ac:dyDescent="0.35">
      <c r="A1198" s="2" t="s">
        <v>59</v>
      </c>
      <c r="B1198" s="2" t="s">
        <v>60</v>
      </c>
      <c r="C1198" s="2" t="s">
        <v>12027</v>
      </c>
      <c r="D1198" s="2" t="s">
        <v>12028</v>
      </c>
      <c r="E1198" s="2" t="s">
        <v>12029</v>
      </c>
      <c r="G1198" s="3" t="s">
        <v>64</v>
      </c>
      <c r="I1198" s="3" t="s">
        <v>64</v>
      </c>
      <c r="J1198" s="3" t="s">
        <v>64</v>
      </c>
      <c r="K1198" s="3" t="s">
        <v>65</v>
      </c>
      <c r="L1198" s="2" t="s">
        <v>12030</v>
      </c>
      <c r="M1198" s="2" t="s">
        <v>12031</v>
      </c>
      <c r="N1198" s="3" t="s">
        <v>171</v>
      </c>
      <c r="P1198" s="3" t="s">
        <v>102</v>
      </c>
      <c r="Q1198" s="2" t="s">
        <v>12032</v>
      </c>
      <c r="R1198" s="3" t="s">
        <v>70</v>
      </c>
      <c r="S1198" s="4">
        <v>1</v>
      </c>
      <c r="T1198" s="4">
        <v>1</v>
      </c>
      <c r="U1198" s="5" t="s">
        <v>1176</v>
      </c>
      <c r="V1198" s="5" t="s">
        <v>1176</v>
      </c>
      <c r="W1198" s="5" t="s">
        <v>72</v>
      </c>
      <c r="X1198" s="5" t="s">
        <v>72</v>
      </c>
      <c r="Y1198" s="4">
        <v>163</v>
      </c>
      <c r="Z1198" s="4">
        <v>17</v>
      </c>
      <c r="AA1198" s="4">
        <v>21</v>
      </c>
      <c r="AB1198" s="4">
        <v>1</v>
      </c>
      <c r="AC1198" s="4">
        <v>4</v>
      </c>
      <c r="AD1198" s="4">
        <v>72</v>
      </c>
      <c r="AE1198" s="4">
        <v>74</v>
      </c>
      <c r="AF1198" s="4">
        <v>0</v>
      </c>
      <c r="AG1198" s="4">
        <v>0</v>
      </c>
      <c r="AH1198" s="4">
        <v>65</v>
      </c>
      <c r="AI1198" s="4">
        <v>66</v>
      </c>
      <c r="AJ1198" s="4">
        <v>11</v>
      </c>
      <c r="AK1198" s="4">
        <v>12</v>
      </c>
      <c r="AL1198" s="4">
        <v>43</v>
      </c>
      <c r="AM1198" s="4">
        <v>43</v>
      </c>
      <c r="AN1198" s="4">
        <v>0</v>
      </c>
      <c r="AO1198" s="4">
        <v>0</v>
      </c>
      <c r="AP1198" s="4">
        <v>13</v>
      </c>
      <c r="AQ1198" s="4">
        <v>14</v>
      </c>
      <c r="AR1198" s="3" t="s">
        <v>64</v>
      </c>
      <c r="AS1198" s="3" t="s">
        <v>64</v>
      </c>
      <c r="AT1198" s="3" t="s">
        <v>64</v>
      </c>
      <c r="AV1198" s="6" t="str">
        <f>HYPERLINK("http://mcgill.on.worldcat.org/oclc/62804988","Catalog Record")</f>
        <v>Catalog Record</v>
      </c>
      <c r="AW1198" s="6" t="str">
        <f>HYPERLINK("http://www.worldcat.org/oclc/62804988","WorldCat Record")</f>
        <v>WorldCat Record</v>
      </c>
      <c r="AX1198" s="3" t="s">
        <v>12033</v>
      </c>
      <c r="AY1198" s="3" t="s">
        <v>12034</v>
      </c>
      <c r="AZ1198" s="3" t="s">
        <v>12035</v>
      </c>
      <c r="BA1198" s="3" t="s">
        <v>12035</v>
      </c>
      <c r="BB1198" s="3" t="s">
        <v>12036</v>
      </c>
      <c r="BC1198" s="3" t="s">
        <v>77</v>
      </c>
      <c r="BD1198" s="3" t="s">
        <v>78</v>
      </c>
      <c r="BE1198" s="3" t="s">
        <v>12037</v>
      </c>
      <c r="BF1198" s="3" t="s">
        <v>12036</v>
      </c>
      <c r="BG1198" s="3" t="s">
        <v>12038</v>
      </c>
      <c r="BH1198">
        <f t="shared" si="38"/>
        <v>0</v>
      </c>
    </row>
    <row r="1199" spans="1:60" ht="58" x14ac:dyDescent="0.35">
      <c r="A1199" s="2" t="s">
        <v>59</v>
      </c>
      <c r="B1199" s="2" t="s">
        <v>60</v>
      </c>
      <c r="C1199" s="2" t="s">
        <v>12039</v>
      </c>
      <c r="D1199" s="2" t="s">
        <v>12040</v>
      </c>
      <c r="E1199" s="2" t="s">
        <v>12041</v>
      </c>
      <c r="G1199" s="3" t="s">
        <v>64</v>
      </c>
      <c r="I1199" s="3" t="s">
        <v>64</v>
      </c>
      <c r="J1199" s="3" t="s">
        <v>64</v>
      </c>
      <c r="K1199" s="3" t="s">
        <v>65</v>
      </c>
      <c r="M1199" s="2" t="s">
        <v>11789</v>
      </c>
      <c r="N1199" s="3" t="s">
        <v>551</v>
      </c>
      <c r="P1199" s="3" t="s">
        <v>102</v>
      </c>
      <c r="Q1199" s="2" t="s">
        <v>12042</v>
      </c>
      <c r="R1199" s="3" t="s">
        <v>70</v>
      </c>
      <c r="S1199" s="4">
        <v>12</v>
      </c>
      <c r="T1199" s="4">
        <v>12</v>
      </c>
      <c r="U1199" s="5" t="s">
        <v>269</v>
      </c>
      <c r="V1199" s="5" t="s">
        <v>269</v>
      </c>
      <c r="W1199" s="5" t="s">
        <v>72</v>
      </c>
      <c r="X1199" s="5" t="s">
        <v>72</v>
      </c>
      <c r="Y1199" s="4">
        <v>416</v>
      </c>
      <c r="Z1199" s="4">
        <v>25</v>
      </c>
      <c r="AA1199" s="4">
        <v>92</v>
      </c>
      <c r="AB1199" s="4">
        <v>2</v>
      </c>
      <c r="AC1199" s="4">
        <v>15</v>
      </c>
      <c r="AD1199" s="4">
        <v>103</v>
      </c>
      <c r="AE1199" s="4">
        <v>143</v>
      </c>
      <c r="AF1199" s="4">
        <v>1</v>
      </c>
      <c r="AG1199" s="4">
        <v>8</v>
      </c>
      <c r="AH1199" s="4">
        <v>88</v>
      </c>
      <c r="AI1199" s="4">
        <v>103</v>
      </c>
      <c r="AJ1199" s="4">
        <v>14</v>
      </c>
      <c r="AK1199" s="4">
        <v>25</v>
      </c>
      <c r="AL1199" s="4">
        <v>49</v>
      </c>
      <c r="AM1199" s="4">
        <v>55</v>
      </c>
      <c r="AN1199" s="4">
        <v>5</v>
      </c>
      <c r="AO1199" s="4">
        <v>5</v>
      </c>
      <c r="AP1199" s="4">
        <v>19</v>
      </c>
      <c r="AQ1199" s="4">
        <v>47</v>
      </c>
      <c r="AR1199" s="3" t="s">
        <v>64</v>
      </c>
      <c r="AS1199" s="3" t="s">
        <v>64</v>
      </c>
      <c r="AT1199" s="3" t="s">
        <v>128</v>
      </c>
      <c r="AU1199" s="6" t="str">
        <f>HYPERLINK("http://catalog.hathitrust.org/Record/101797278","HathiTrust Record")</f>
        <v>HathiTrust Record</v>
      </c>
      <c r="AV1199" s="6" t="str">
        <f>HYPERLINK("http://mcgill.on.worldcat.org/oclc/221141654","Catalog Record")</f>
        <v>Catalog Record</v>
      </c>
      <c r="AW1199" s="6" t="str">
        <f>HYPERLINK("http://www.worldcat.org/oclc/221141654","WorldCat Record")</f>
        <v>WorldCat Record</v>
      </c>
      <c r="AX1199" s="3" t="s">
        <v>12043</v>
      </c>
      <c r="AY1199" s="3" t="s">
        <v>12044</v>
      </c>
      <c r="AZ1199" s="3" t="s">
        <v>12045</v>
      </c>
      <c r="BA1199" s="3" t="s">
        <v>12045</v>
      </c>
      <c r="BB1199" s="3" t="s">
        <v>12046</v>
      </c>
      <c r="BC1199" s="3" t="s">
        <v>77</v>
      </c>
      <c r="BD1199" s="3" t="s">
        <v>78</v>
      </c>
      <c r="BE1199" s="3" t="s">
        <v>12047</v>
      </c>
      <c r="BF1199" s="3" t="s">
        <v>12046</v>
      </c>
      <c r="BG1199" s="3" t="s">
        <v>12048</v>
      </c>
      <c r="BH1199">
        <f t="shared" si="38"/>
        <v>0</v>
      </c>
    </row>
    <row r="1200" spans="1:60" ht="58" x14ac:dyDescent="0.35">
      <c r="A1200" s="2" t="s">
        <v>59</v>
      </c>
      <c r="B1200" s="2" t="s">
        <v>60</v>
      </c>
      <c r="C1200" s="2" t="s">
        <v>12049</v>
      </c>
      <c r="D1200" s="2" t="s">
        <v>12050</v>
      </c>
      <c r="E1200" s="2" t="s">
        <v>12051</v>
      </c>
      <c r="G1200" s="3" t="s">
        <v>64</v>
      </c>
      <c r="I1200" s="3" t="s">
        <v>64</v>
      </c>
      <c r="J1200" s="3" t="s">
        <v>64</v>
      </c>
      <c r="K1200" s="3" t="s">
        <v>65</v>
      </c>
      <c r="L1200" s="2" t="s">
        <v>12052</v>
      </c>
      <c r="M1200" s="2" t="s">
        <v>12053</v>
      </c>
      <c r="N1200" s="3" t="s">
        <v>979</v>
      </c>
      <c r="P1200" s="3" t="s">
        <v>102</v>
      </c>
      <c r="Q1200" s="2" t="s">
        <v>4419</v>
      </c>
      <c r="R1200" s="3" t="s">
        <v>70</v>
      </c>
      <c r="S1200" s="4">
        <v>2</v>
      </c>
      <c r="T1200" s="4">
        <v>2</v>
      </c>
      <c r="U1200" s="5" t="s">
        <v>11860</v>
      </c>
      <c r="V1200" s="5" t="s">
        <v>11860</v>
      </c>
      <c r="W1200" s="5" t="s">
        <v>72</v>
      </c>
      <c r="X1200" s="5" t="s">
        <v>72</v>
      </c>
      <c r="Y1200" s="4">
        <v>298</v>
      </c>
      <c r="Z1200" s="4">
        <v>15</v>
      </c>
      <c r="AA1200" s="4">
        <v>15</v>
      </c>
      <c r="AB1200" s="4">
        <v>1</v>
      </c>
      <c r="AC1200" s="4">
        <v>1</v>
      </c>
      <c r="AD1200" s="4">
        <v>97</v>
      </c>
      <c r="AE1200" s="4">
        <v>97</v>
      </c>
      <c r="AF1200" s="4">
        <v>0</v>
      </c>
      <c r="AG1200" s="4">
        <v>0</v>
      </c>
      <c r="AH1200" s="4">
        <v>91</v>
      </c>
      <c r="AI1200" s="4">
        <v>91</v>
      </c>
      <c r="AJ1200" s="4">
        <v>8</v>
      </c>
      <c r="AK1200" s="4">
        <v>8</v>
      </c>
      <c r="AL1200" s="4">
        <v>51</v>
      </c>
      <c r="AM1200" s="4">
        <v>51</v>
      </c>
      <c r="AN1200" s="4">
        <v>0</v>
      </c>
      <c r="AO1200" s="4">
        <v>0</v>
      </c>
      <c r="AP1200" s="4">
        <v>10</v>
      </c>
      <c r="AQ1200" s="4">
        <v>10</v>
      </c>
      <c r="AR1200" s="3" t="s">
        <v>64</v>
      </c>
      <c r="AS1200" s="3" t="s">
        <v>64</v>
      </c>
      <c r="AT1200" s="3" t="s">
        <v>64</v>
      </c>
      <c r="AV1200" s="6" t="str">
        <f>HYPERLINK("http://mcgill.on.worldcat.org/oclc/41601292","Catalog Record")</f>
        <v>Catalog Record</v>
      </c>
      <c r="AW1200" s="6" t="str">
        <f>HYPERLINK("http://www.worldcat.org/oclc/41601292","WorldCat Record")</f>
        <v>WorldCat Record</v>
      </c>
      <c r="AX1200" s="3" t="s">
        <v>12054</v>
      </c>
      <c r="AY1200" s="3" t="s">
        <v>12055</v>
      </c>
      <c r="AZ1200" s="3" t="s">
        <v>12056</v>
      </c>
      <c r="BA1200" s="3" t="s">
        <v>12056</v>
      </c>
      <c r="BB1200" s="3" t="s">
        <v>12057</v>
      </c>
      <c r="BC1200" s="3" t="s">
        <v>77</v>
      </c>
      <c r="BD1200" s="3" t="s">
        <v>78</v>
      </c>
      <c r="BE1200" s="3" t="s">
        <v>12058</v>
      </c>
      <c r="BF1200" s="3" t="s">
        <v>12057</v>
      </c>
      <c r="BG1200" s="3" t="s">
        <v>12059</v>
      </c>
      <c r="BH1200">
        <f t="shared" si="38"/>
        <v>0</v>
      </c>
    </row>
    <row r="1201" spans="1:60" ht="58" x14ac:dyDescent="0.35">
      <c r="A1201" s="2" t="s">
        <v>59</v>
      </c>
      <c r="B1201" s="2" t="s">
        <v>60</v>
      </c>
      <c r="C1201" s="2" t="s">
        <v>12060</v>
      </c>
      <c r="D1201" s="2" t="s">
        <v>12061</v>
      </c>
      <c r="E1201" s="2" t="s">
        <v>12062</v>
      </c>
      <c r="G1201" s="3" t="s">
        <v>64</v>
      </c>
      <c r="I1201" s="3" t="s">
        <v>64</v>
      </c>
      <c r="J1201" s="3" t="s">
        <v>64</v>
      </c>
      <c r="K1201" s="3" t="s">
        <v>65</v>
      </c>
      <c r="M1201" s="2" t="s">
        <v>12063</v>
      </c>
      <c r="N1201" s="3" t="s">
        <v>253</v>
      </c>
      <c r="P1201" s="3" t="s">
        <v>102</v>
      </c>
      <c r="Q1201" s="2" t="s">
        <v>12064</v>
      </c>
      <c r="R1201" s="3" t="s">
        <v>70</v>
      </c>
      <c r="S1201" s="4">
        <v>1</v>
      </c>
      <c r="T1201" s="4">
        <v>1</v>
      </c>
      <c r="U1201" s="5" t="s">
        <v>5340</v>
      </c>
      <c r="V1201" s="5" t="s">
        <v>5340</v>
      </c>
      <c r="W1201" s="5" t="s">
        <v>72</v>
      </c>
      <c r="X1201" s="5" t="s">
        <v>72</v>
      </c>
      <c r="Y1201" s="4">
        <v>72</v>
      </c>
      <c r="Z1201" s="4">
        <v>5</v>
      </c>
      <c r="AA1201" s="4">
        <v>9</v>
      </c>
      <c r="AB1201" s="4">
        <v>1</v>
      </c>
      <c r="AC1201" s="4">
        <v>4</v>
      </c>
      <c r="AD1201" s="4">
        <v>25</v>
      </c>
      <c r="AE1201" s="4">
        <v>35</v>
      </c>
      <c r="AF1201" s="4">
        <v>0</v>
      </c>
      <c r="AG1201" s="4">
        <v>0</v>
      </c>
      <c r="AH1201" s="4">
        <v>22</v>
      </c>
      <c r="AI1201" s="4">
        <v>31</v>
      </c>
      <c r="AJ1201" s="4">
        <v>2</v>
      </c>
      <c r="AK1201" s="4">
        <v>3</v>
      </c>
      <c r="AL1201" s="4">
        <v>21</v>
      </c>
      <c r="AM1201" s="4">
        <v>26</v>
      </c>
      <c r="AN1201" s="4">
        <v>0</v>
      </c>
      <c r="AO1201" s="4">
        <v>0</v>
      </c>
      <c r="AP1201" s="4">
        <v>2</v>
      </c>
      <c r="AQ1201" s="4">
        <v>3</v>
      </c>
      <c r="AR1201" s="3" t="s">
        <v>64</v>
      </c>
      <c r="AS1201" s="3" t="s">
        <v>64</v>
      </c>
      <c r="AT1201" s="3" t="s">
        <v>64</v>
      </c>
      <c r="AV1201" s="6" t="str">
        <f>HYPERLINK("http://mcgill.on.worldcat.org/oclc/904528633","Catalog Record")</f>
        <v>Catalog Record</v>
      </c>
      <c r="AW1201" s="6" t="str">
        <f>HYPERLINK("http://www.worldcat.org/oclc/904528633","WorldCat Record")</f>
        <v>WorldCat Record</v>
      </c>
      <c r="AX1201" s="3" t="s">
        <v>12065</v>
      </c>
      <c r="AY1201" s="3" t="s">
        <v>12066</v>
      </c>
      <c r="AZ1201" s="3" t="s">
        <v>12067</v>
      </c>
      <c r="BA1201" s="3" t="s">
        <v>12067</v>
      </c>
      <c r="BB1201" s="3" t="s">
        <v>12068</v>
      </c>
      <c r="BC1201" s="3" t="s">
        <v>77</v>
      </c>
      <c r="BD1201" s="3" t="s">
        <v>78</v>
      </c>
      <c r="BE1201" s="3" t="s">
        <v>12069</v>
      </c>
      <c r="BF1201" s="3" t="s">
        <v>12068</v>
      </c>
      <c r="BG1201" s="3" t="s">
        <v>12070</v>
      </c>
      <c r="BH1201">
        <f t="shared" si="38"/>
        <v>0</v>
      </c>
    </row>
    <row r="1202" spans="1:60" ht="58" x14ac:dyDescent="0.35">
      <c r="A1202" s="2" t="s">
        <v>59</v>
      </c>
      <c r="B1202" s="2" t="s">
        <v>60</v>
      </c>
      <c r="C1202" s="2" t="s">
        <v>12071</v>
      </c>
      <c r="D1202" s="2" t="s">
        <v>12072</v>
      </c>
      <c r="E1202" s="2" t="s">
        <v>12073</v>
      </c>
      <c r="G1202" s="3" t="s">
        <v>64</v>
      </c>
      <c r="I1202" s="3" t="s">
        <v>64</v>
      </c>
      <c r="J1202" s="3" t="s">
        <v>64</v>
      </c>
      <c r="K1202" s="3" t="s">
        <v>65</v>
      </c>
      <c r="L1202" s="2" t="s">
        <v>12074</v>
      </c>
      <c r="M1202" s="2" t="s">
        <v>12075</v>
      </c>
      <c r="N1202" s="3" t="s">
        <v>537</v>
      </c>
      <c r="P1202" s="3" t="s">
        <v>102</v>
      </c>
      <c r="R1202" s="3" t="s">
        <v>70</v>
      </c>
      <c r="S1202" s="4">
        <v>0</v>
      </c>
      <c r="T1202" s="4">
        <v>0</v>
      </c>
      <c r="W1202" s="5" t="s">
        <v>72</v>
      </c>
      <c r="X1202" s="5" t="s">
        <v>72</v>
      </c>
      <c r="Y1202" s="4">
        <v>207</v>
      </c>
      <c r="Z1202" s="4">
        <v>9</v>
      </c>
      <c r="AA1202" s="4">
        <v>16</v>
      </c>
      <c r="AB1202" s="4">
        <v>2</v>
      </c>
      <c r="AC1202" s="4">
        <v>6</v>
      </c>
      <c r="AD1202" s="4">
        <v>38</v>
      </c>
      <c r="AE1202" s="4">
        <v>55</v>
      </c>
      <c r="AF1202" s="4">
        <v>0</v>
      </c>
      <c r="AG1202" s="4">
        <v>3</v>
      </c>
      <c r="AH1202" s="4">
        <v>35</v>
      </c>
      <c r="AI1202" s="4">
        <v>47</v>
      </c>
      <c r="AJ1202" s="4">
        <v>3</v>
      </c>
      <c r="AK1202" s="4">
        <v>7</v>
      </c>
      <c r="AL1202" s="4">
        <v>26</v>
      </c>
      <c r="AM1202" s="4">
        <v>32</v>
      </c>
      <c r="AN1202" s="4">
        <v>0</v>
      </c>
      <c r="AO1202" s="4">
        <v>0</v>
      </c>
      <c r="AP1202" s="4">
        <v>3</v>
      </c>
      <c r="AQ1202" s="4">
        <v>9</v>
      </c>
      <c r="AR1202" s="3" t="s">
        <v>64</v>
      </c>
      <c r="AS1202" s="3" t="s">
        <v>64</v>
      </c>
      <c r="AT1202" s="3" t="s">
        <v>64</v>
      </c>
      <c r="AV1202" s="6" t="str">
        <f>HYPERLINK("http://mcgill.on.worldcat.org/oclc/967392230","Catalog Record")</f>
        <v>Catalog Record</v>
      </c>
      <c r="AW1202" s="6" t="str">
        <f>HYPERLINK("http://www.worldcat.org/oclc/967392230","WorldCat Record")</f>
        <v>WorldCat Record</v>
      </c>
      <c r="AX1202" s="3" t="s">
        <v>12076</v>
      </c>
      <c r="AY1202" s="3" t="s">
        <v>12077</v>
      </c>
      <c r="AZ1202" s="3" t="s">
        <v>12078</v>
      </c>
      <c r="BA1202" s="3" t="s">
        <v>12078</v>
      </c>
      <c r="BB1202" s="3" t="s">
        <v>12079</v>
      </c>
      <c r="BC1202" s="3" t="s">
        <v>77</v>
      </c>
      <c r="BD1202" s="3" t="s">
        <v>78</v>
      </c>
      <c r="BE1202" s="3" t="s">
        <v>12080</v>
      </c>
      <c r="BF1202" s="3" t="s">
        <v>12079</v>
      </c>
      <c r="BG1202" s="3" t="s">
        <v>12081</v>
      </c>
      <c r="BH1202">
        <f t="shared" si="38"/>
        <v>0</v>
      </c>
    </row>
    <row r="1203" spans="1:60" ht="58" x14ac:dyDescent="0.35">
      <c r="A1203" s="2" t="s">
        <v>59</v>
      </c>
      <c r="B1203" s="2" t="s">
        <v>60</v>
      </c>
      <c r="C1203" s="2" t="s">
        <v>12082</v>
      </c>
      <c r="D1203" s="2" t="s">
        <v>12083</v>
      </c>
      <c r="E1203" s="2" t="s">
        <v>12084</v>
      </c>
      <c r="G1203" s="3" t="s">
        <v>64</v>
      </c>
      <c r="I1203" s="3" t="s">
        <v>64</v>
      </c>
      <c r="J1203" s="3" t="s">
        <v>64</v>
      </c>
      <c r="K1203" s="3" t="s">
        <v>65</v>
      </c>
      <c r="L1203" s="2" t="s">
        <v>12085</v>
      </c>
      <c r="M1203" s="2" t="s">
        <v>12086</v>
      </c>
      <c r="N1203" s="3" t="s">
        <v>86</v>
      </c>
      <c r="O1203" s="2" t="s">
        <v>2149</v>
      </c>
      <c r="P1203" s="3" t="s">
        <v>102</v>
      </c>
      <c r="R1203" s="3" t="s">
        <v>70</v>
      </c>
      <c r="S1203" s="4">
        <v>0</v>
      </c>
      <c r="T1203" s="4">
        <v>0</v>
      </c>
      <c r="W1203" s="5" t="s">
        <v>72</v>
      </c>
      <c r="X1203" s="5" t="s">
        <v>72</v>
      </c>
      <c r="Y1203" s="4">
        <v>422</v>
      </c>
      <c r="Z1203" s="4">
        <v>23</v>
      </c>
      <c r="AA1203" s="4">
        <v>23</v>
      </c>
      <c r="AB1203" s="4">
        <v>3</v>
      </c>
      <c r="AC1203" s="4">
        <v>3</v>
      </c>
      <c r="AD1203" s="4">
        <v>75</v>
      </c>
      <c r="AE1203" s="4">
        <v>75</v>
      </c>
      <c r="AF1203" s="4">
        <v>0</v>
      </c>
      <c r="AG1203" s="4">
        <v>0</v>
      </c>
      <c r="AH1203" s="4">
        <v>72</v>
      </c>
      <c r="AI1203" s="4">
        <v>72</v>
      </c>
      <c r="AJ1203" s="4">
        <v>9</v>
      </c>
      <c r="AK1203" s="4">
        <v>9</v>
      </c>
      <c r="AL1203" s="4">
        <v>43</v>
      </c>
      <c r="AM1203" s="4">
        <v>43</v>
      </c>
      <c r="AN1203" s="4">
        <v>0</v>
      </c>
      <c r="AO1203" s="4">
        <v>0</v>
      </c>
      <c r="AP1203" s="4">
        <v>9</v>
      </c>
      <c r="AQ1203" s="4">
        <v>9</v>
      </c>
      <c r="AR1203" s="3" t="s">
        <v>64</v>
      </c>
      <c r="AS1203" s="3" t="s">
        <v>64</v>
      </c>
      <c r="AT1203" s="3" t="s">
        <v>64</v>
      </c>
      <c r="AV1203" s="6" t="str">
        <f>HYPERLINK("http://mcgill.on.worldcat.org/oclc/733546674","Catalog Record")</f>
        <v>Catalog Record</v>
      </c>
      <c r="AW1203" s="6" t="str">
        <f>HYPERLINK("http://www.worldcat.org/oclc/733546674","WorldCat Record")</f>
        <v>WorldCat Record</v>
      </c>
      <c r="AX1203" s="3" t="s">
        <v>12087</v>
      </c>
      <c r="AY1203" s="3" t="s">
        <v>12088</v>
      </c>
      <c r="AZ1203" s="3" t="s">
        <v>12089</v>
      </c>
      <c r="BA1203" s="3" t="s">
        <v>12089</v>
      </c>
      <c r="BB1203" s="3" t="s">
        <v>12090</v>
      </c>
      <c r="BC1203" s="3" t="s">
        <v>77</v>
      </c>
      <c r="BD1203" s="3" t="s">
        <v>78</v>
      </c>
      <c r="BE1203" s="3" t="s">
        <v>12091</v>
      </c>
      <c r="BF1203" s="3" t="s">
        <v>12090</v>
      </c>
      <c r="BG1203" s="3" t="s">
        <v>12092</v>
      </c>
      <c r="BH1203">
        <f t="shared" si="38"/>
        <v>0</v>
      </c>
    </row>
    <row r="1204" spans="1:60" ht="58" x14ac:dyDescent="0.35">
      <c r="A1204" s="2" t="s">
        <v>59</v>
      </c>
      <c r="B1204" s="2" t="s">
        <v>60</v>
      </c>
      <c r="C1204" s="2" t="s">
        <v>12093</v>
      </c>
      <c r="D1204" s="2" t="s">
        <v>12094</v>
      </c>
      <c r="E1204" s="2" t="s">
        <v>12095</v>
      </c>
      <c r="G1204" s="3" t="s">
        <v>64</v>
      </c>
      <c r="I1204" s="3" t="s">
        <v>64</v>
      </c>
      <c r="J1204" s="3" t="s">
        <v>64</v>
      </c>
      <c r="K1204" s="3" t="s">
        <v>65</v>
      </c>
      <c r="L1204" s="2" t="s">
        <v>12096</v>
      </c>
      <c r="M1204" s="2" t="s">
        <v>12097</v>
      </c>
      <c r="N1204" s="3" t="s">
        <v>511</v>
      </c>
      <c r="O1204" s="2" t="s">
        <v>2149</v>
      </c>
      <c r="P1204" s="3" t="s">
        <v>102</v>
      </c>
      <c r="R1204" s="3" t="s">
        <v>70</v>
      </c>
      <c r="S1204" s="4">
        <v>0</v>
      </c>
      <c r="T1204" s="4">
        <v>0</v>
      </c>
      <c r="W1204" s="5" t="s">
        <v>72</v>
      </c>
      <c r="X1204" s="5" t="s">
        <v>72</v>
      </c>
      <c r="Y1204" s="4">
        <v>102</v>
      </c>
      <c r="Z1204" s="4">
        <v>5</v>
      </c>
      <c r="AA1204" s="4">
        <v>96</v>
      </c>
      <c r="AB1204" s="4">
        <v>1</v>
      </c>
      <c r="AC1204" s="4">
        <v>18</v>
      </c>
      <c r="AD1204" s="4">
        <v>52</v>
      </c>
      <c r="AE1204" s="4">
        <v>114</v>
      </c>
      <c r="AF1204" s="4">
        <v>0</v>
      </c>
      <c r="AG1204" s="4">
        <v>8</v>
      </c>
      <c r="AH1204" s="4">
        <v>50</v>
      </c>
      <c r="AI1204" s="4">
        <v>80</v>
      </c>
      <c r="AJ1204" s="4">
        <v>3</v>
      </c>
      <c r="AK1204" s="4">
        <v>17</v>
      </c>
      <c r="AL1204" s="4">
        <v>31</v>
      </c>
      <c r="AM1204" s="4">
        <v>44</v>
      </c>
      <c r="AN1204" s="4">
        <v>0</v>
      </c>
      <c r="AO1204" s="4">
        <v>0</v>
      </c>
      <c r="AP1204" s="4">
        <v>3</v>
      </c>
      <c r="AQ1204" s="4">
        <v>39</v>
      </c>
      <c r="AR1204" s="3" t="s">
        <v>64</v>
      </c>
      <c r="AS1204" s="3" t="s">
        <v>64</v>
      </c>
      <c r="AT1204" s="3" t="s">
        <v>64</v>
      </c>
      <c r="AV1204" s="6" t="str">
        <f>HYPERLINK("http://mcgill.on.worldcat.org/oclc/607977555","Catalog Record")</f>
        <v>Catalog Record</v>
      </c>
      <c r="AW1204" s="6" t="str">
        <f>HYPERLINK("http://www.worldcat.org/oclc/607977555","WorldCat Record")</f>
        <v>WorldCat Record</v>
      </c>
      <c r="AX1204" s="3" t="s">
        <v>12098</v>
      </c>
      <c r="AY1204" s="3" t="s">
        <v>12099</v>
      </c>
      <c r="AZ1204" s="3" t="s">
        <v>12100</v>
      </c>
      <c r="BA1204" s="3" t="s">
        <v>12100</v>
      </c>
      <c r="BB1204" s="3" t="s">
        <v>12101</v>
      </c>
      <c r="BC1204" s="3" t="s">
        <v>77</v>
      </c>
      <c r="BD1204" s="3" t="s">
        <v>78</v>
      </c>
      <c r="BE1204" s="3" t="s">
        <v>12102</v>
      </c>
      <c r="BF1204" s="3" t="s">
        <v>12101</v>
      </c>
      <c r="BG1204" s="3" t="s">
        <v>12103</v>
      </c>
      <c r="BH1204">
        <f t="shared" si="38"/>
        <v>0</v>
      </c>
    </row>
    <row r="1205" spans="1:60" ht="58" x14ac:dyDescent="0.35">
      <c r="A1205" s="2" t="s">
        <v>59</v>
      </c>
      <c r="B1205" s="2" t="s">
        <v>60</v>
      </c>
      <c r="C1205" s="2" t="s">
        <v>12104</v>
      </c>
      <c r="D1205" s="2" t="s">
        <v>12105</v>
      </c>
      <c r="E1205" s="2" t="s">
        <v>12106</v>
      </c>
      <c r="G1205" s="3" t="s">
        <v>64</v>
      </c>
      <c r="I1205" s="3" t="s">
        <v>64</v>
      </c>
      <c r="J1205" s="3" t="s">
        <v>64</v>
      </c>
      <c r="K1205" s="3" t="s">
        <v>65</v>
      </c>
      <c r="L1205" s="2" t="s">
        <v>12107</v>
      </c>
      <c r="M1205" s="2" t="s">
        <v>12108</v>
      </c>
      <c r="N1205" s="3" t="s">
        <v>3047</v>
      </c>
      <c r="P1205" s="3" t="s">
        <v>102</v>
      </c>
      <c r="R1205" s="3" t="s">
        <v>70</v>
      </c>
      <c r="S1205" s="4">
        <v>14</v>
      </c>
      <c r="T1205" s="4">
        <v>14</v>
      </c>
      <c r="U1205" s="5" t="s">
        <v>12109</v>
      </c>
      <c r="V1205" s="5" t="s">
        <v>12109</v>
      </c>
      <c r="W1205" s="5" t="s">
        <v>72</v>
      </c>
      <c r="X1205" s="5" t="s">
        <v>72</v>
      </c>
      <c r="Y1205" s="4">
        <v>657</v>
      </c>
      <c r="Z1205" s="4">
        <v>24</v>
      </c>
      <c r="AA1205" s="4">
        <v>25</v>
      </c>
      <c r="AB1205" s="4">
        <v>1</v>
      </c>
      <c r="AC1205" s="4">
        <v>2</v>
      </c>
      <c r="AD1205" s="4">
        <v>111</v>
      </c>
      <c r="AE1205" s="4">
        <v>113</v>
      </c>
      <c r="AF1205" s="4">
        <v>0</v>
      </c>
      <c r="AG1205" s="4">
        <v>0</v>
      </c>
      <c r="AH1205" s="4">
        <v>98</v>
      </c>
      <c r="AI1205" s="4">
        <v>100</v>
      </c>
      <c r="AJ1205" s="4">
        <v>15</v>
      </c>
      <c r="AK1205" s="4">
        <v>15</v>
      </c>
      <c r="AL1205" s="4">
        <v>56</v>
      </c>
      <c r="AM1205" s="4">
        <v>56</v>
      </c>
      <c r="AN1205" s="4">
        <v>0</v>
      </c>
      <c r="AO1205" s="4">
        <v>0</v>
      </c>
      <c r="AP1205" s="4">
        <v>17</v>
      </c>
      <c r="AQ1205" s="4">
        <v>17</v>
      </c>
      <c r="AR1205" s="3" t="s">
        <v>64</v>
      </c>
      <c r="AS1205" s="3" t="s">
        <v>64</v>
      </c>
      <c r="AT1205" s="3" t="s">
        <v>64</v>
      </c>
      <c r="AV1205" s="6" t="str">
        <f>HYPERLINK("http://mcgill.on.worldcat.org/oclc/13795376","Catalog Record")</f>
        <v>Catalog Record</v>
      </c>
      <c r="AW1205" s="6" t="str">
        <f>HYPERLINK("http://www.worldcat.org/oclc/13795376","WorldCat Record")</f>
        <v>WorldCat Record</v>
      </c>
      <c r="AX1205" s="3" t="s">
        <v>12110</v>
      </c>
      <c r="AY1205" s="3" t="s">
        <v>12111</v>
      </c>
      <c r="AZ1205" s="3" t="s">
        <v>12112</v>
      </c>
      <c r="BA1205" s="3" t="s">
        <v>12112</v>
      </c>
      <c r="BB1205" s="3" t="s">
        <v>12113</v>
      </c>
      <c r="BC1205" s="3" t="s">
        <v>77</v>
      </c>
      <c r="BD1205" s="3" t="s">
        <v>78</v>
      </c>
      <c r="BE1205" s="3" t="s">
        <v>12114</v>
      </c>
      <c r="BF1205" s="3" t="s">
        <v>12113</v>
      </c>
      <c r="BG1205" s="3" t="s">
        <v>12115</v>
      </c>
      <c r="BH1205">
        <f t="shared" si="38"/>
        <v>0</v>
      </c>
    </row>
    <row r="1206" spans="1:60" ht="58" x14ac:dyDescent="0.35">
      <c r="A1206" s="2" t="s">
        <v>59</v>
      </c>
      <c r="B1206" s="2" t="s">
        <v>60</v>
      </c>
      <c r="C1206" s="2" t="s">
        <v>12116</v>
      </c>
      <c r="D1206" s="2" t="s">
        <v>12117</v>
      </c>
      <c r="E1206" s="2" t="s">
        <v>12118</v>
      </c>
      <c r="F1206" s="3" t="s">
        <v>522</v>
      </c>
      <c r="G1206" s="3" t="s">
        <v>128</v>
      </c>
      <c r="I1206" s="3" t="s">
        <v>64</v>
      </c>
      <c r="J1206" s="3" t="s">
        <v>64</v>
      </c>
      <c r="K1206" s="3" t="s">
        <v>65</v>
      </c>
      <c r="L1206" s="2" t="s">
        <v>12107</v>
      </c>
      <c r="M1206" s="2" t="s">
        <v>12119</v>
      </c>
      <c r="N1206" s="3" t="s">
        <v>922</v>
      </c>
      <c r="P1206" s="3" t="s">
        <v>102</v>
      </c>
      <c r="R1206" s="3" t="s">
        <v>70</v>
      </c>
      <c r="S1206" s="4">
        <v>3</v>
      </c>
      <c r="T1206" s="4">
        <v>15</v>
      </c>
      <c r="U1206" s="5" t="s">
        <v>12120</v>
      </c>
      <c r="V1206" s="5" t="s">
        <v>457</v>
      </c>
      <c r="W1206" s="5" t="s">
        <v>72</v>
      </c>
      <c r="X1206" s="5" t="s">
        <v>72</v>
      </c>
      <c r="Y1206" s="4">
        <v>1147</v>
      </c>
      <c r="Z1206" s="4">
        <v>43</v>
      </c>
      <c r="AA1206" s="4">
        <v>49</v>
      </c>
      <c r="AB1206" s="4">
        <v>3</v>
      </c>
      <c r="AC1206" s="4">
        <v>7</v>
      </c>
      <c r="AD1206" s="4">
        <v>135</v>
      </c>
      <c r="AE1206" s="4">
        <v>139</v>
      </c>
      <c r="AF1206" s="4">
        <v>1</v>
      </c>
      <c r="AG1206" s="4">
        <v>4</v>
      </c>
      <c r="AH1206" s="4">
        <v>111</v>
      </c>
      <c r="AI1206" s="4">
        <v>111</v>
      </c>
      <c r="AJ1206" s="4">
        <v>21</v>
      </c>
      <c r="AK1206" s="4">
        <v>24</v>
      </c>
      <c r="AL1206" s="4">
        <v>58</v>
      </c>
      <c r="AM1206" s="4">
        <v>58</v>
      </c>
      <c r="AN1206" s="4">
        <v>0</v>
      </c>
      <c r="AO1206" s="4">
        <v>0</v>
      </c>
      <c r="AP1206" s="4">
        <v>30</v>
      </c>
      <c r="AQ1206" s="4">
        <v>33</v>
      </c>
      <c r="AR1206" s="3" t="s">
        <v>64</v>
      </c>
      <c r="AS1206" s="3" t="s">
        <v>64</v>
      </c>
      <c r="AT1206" s="3" t="s">
        <v>128</v>
      </c>
      <c r="AU1206" s="6" t="str">
        <f>HYPERLINK("http://catalog.hathitrust.org/Record/000307288","HathiTrust Record")</f>
        <v>HathiTrust Record</v>
      </c>
      <c r="AV1206" s="6" t="str">
        <f>HYPERLINK("http://mcgill.on.worldcat.org/oclc/354115","Catalog Record")</f>
        <v>Catalog Record</v>
      </c>
      <c r="AW1206" s="6" t="str">
        <f>HYPERLINK("http://www.worldcat.org/oclc/354115","WorldCat Record")</f>
        <v>WorldCat Record</v>
      </c>
      <c r="AX1206" s="3" t="s">
        <v>12121</v>
      </c>
      <c r="AY1206" s="3" t="s">
        <v>12122</v>
      </c>
      <c r="AZ1206" s="3" t="s">
        <v>12123</v>
      </c>
      <c r="BA1206" s="3" t="s">
        <v>12123</v>
      </c>
      <c r="BB1206" s="3" t="s">
        <v>12124</v>
      </c>
      <c r="BC1206" s="3" t="s">
        <v>77</v>
      </c>
      <c r="BD1206" s="3" t="s">
        <v>78</v>
      </c>
      <c r="BE1206" s="3" t="s">
        <v>12125</v>
      </c>
      <c r="BF1206" s="3" t="s">
        <v>12124</v>
      </c>
      <c r="BG1206" s="3" t="s">
        <v>12126</v>
      </c>
      <c r="BH1206">
        <f t="shared" si="38"/>
        <v>0</v>
      </c>
    </row>
    <row r="1207" spans="1:60" ht="58" x14ac:dyDescent="0.35">
      <c r="A1207" s="2" t="s">
        <v>59</v>
      </c>
      <c r="B1207" s="2" t="s">
        <v>60</v>
      </c>
      <c r="C1207" s="2" t="s">
        <v>12116</v>
      </c>
      <c r="D1207" s="2" t="s">
        <v>12117</v>
      </c>
      <c r="E1207" s="2" t="s">
        <v>12118</v>
      </c>
      <c r="F1207" s="3" t="s">
        <v>509</v>
      </c>
      <c r="G1207" s="3" t="s">
        <v>128</v>
      </c>
      <c r="I1207" s="3" t="s">
        <v>64</v>
      </c>
      <c r="J1207" s="3" t="s">
        <v>64</v>
      </c>
      <c r="K1207" s="3" t="s">
        <v>65</v>
      </c>
      <c r="L1207" s="2" t="s">
        <v>12107</v>
      </c>
      <c r="M1207" s="2" t="s">
        <v>12119</v>
      </c>
      <c r="N1207" s="3" t="s">
        <v>922</v>
      </c>
      <c r="P1207" s="3" t="s">
        <v>102</v>
      </c>
      <c r="R1207" s="3" t="s">
        <v>70</v>
      </c>
      <c r="S1207" s="4">
        <v>1</v>
      </c>
      <c r="T1207" s="4">
        <v>15</v>
      </c>
      <c r="U1207" s="5" t="s">
        <v>12127</v>
      </c>
      <c r="V1207" s="5" t="s">
        <v>457</v>
      </c>
      <c r="W1207" s="5" t="s">
        <v>72</v>
      </c>
      <c r="X1207" s="5" t="s">
        <v>72</v>
      </c>
      <c r="Y1207" s="4">
        <v>1147</v>
      </c>
      <c r="Z1207" s="4">
        <v>43</v>
      </c>
      <c r="AA1207" s="4">
        <v>49</v>
      </c>
      <c r="AB1207" s="4">
        <v>3</v>
      </c>
      <c r="AC1207" s="4">
        <v>7</v>
      </c>
      <c r="AD1207" s="4">
        <v>135</v>
      </c>
      <c r="AE1207" s="4">
        <v>139</v>
      </c>
      <c r="AF1207" s="4">
        <v>1</v>
      </c>
      <c r="AG1207" s="4">
        <v>4</v>
      </c>
      <c r="AH1207" s="4">
        <v>111</v>
      </c>
      <c r="AI1207" s="4">
        <v>111</v>
      </c>
      <c r="AJ1207" s="4">
        <v>21</v>
      </c>
      <c r="AK1207" s="4">
        <v>24</v>
      </c>
      <c r="AL1207" s="4">
        <v>58</v>
      </c>
      <c r="AM1207" s="4">
        <v>58</v>
      </c>
      <c r="AN1207" s="4">
        <v>0</v>
      </c>
      <c r="AO1207" s="4">
        <v>0</v>
      </c>
      <c r="AP1207" s="4">
        <v>30</v>
      </c>
      <c r="AQ1207" s="4">
        <v>33</v>
      </c>
      <c r="AR1207" s="3" t="s">
        <v>64</v>
      </c>
      <c r="AS1207" s="3" t="s">
        <v>64</v>
      </c>
      <c r="AT1207" s="3" t="s">
        <v>128</v>
      </c>
      <c r="AU1207" s="6" t="str">
        <f>HYPERLINK("http://catalog.hathitrust.org/Record/000307288","HathiTrust Record")</f>
        <v>HathiTrust Record</v>
      </c>
      <c r="AV1207" s="6" t="str">
        <f>HYPERLINK("http://mcgill.on.worldcat.org/oclc/354115","Catalog Record")</f>
        <v>Catalog Record</v>
      </c>
      <c r="AW1207" s="6" t="str">
        <f>HYPERLINK("http://www.worldcat.org/oclc/354115","WorldCat Record")</f>
        <v>WorldCat Record</v>
      </c>
      <c r="AX1207" s="3" t="s">
        <v>12121</v>
      </c>
      <c r="AY1207" s="3" t="s">
        <v>12122</v>
      </c>
      <c r="AZ1207" s="3" t="s">
        <v>12123</v>
      </c>
      <c r="BA1207" s="3" t="s">
        <v>12123</v>
      </c>
      <c r="BB1207" s="3" t="s">
        <v>12128</v>
      </c>
      <c r="BC1207" s="3" t="s">
        <v>77</v>
      </c>
      <c r="BD1207" s="3" t="s">
        <v>78</v>
      </c>
      <c r="BE1207" s="3" t="s">
        <v>12125</v>
      </c>
      <c r="BF1207" s="3" t="s">
        <v>12128</v>
      </c>
      <c r="BG1207" s="3" t="s">
        <v>12129</v>
      </c>
      <c r="BH1207">
        <f t="shared" si="38"/>
        <v>0</v>
      </c>
    </row>
    <row r="1208" spans="1:60" ht="58" x14ac:dyDescent="0.35">
      <c r="A1208" s="2" t="s">
        <v>59</v>
      </c>
      <c r="B1208" s="2" t="s">
        <v>60</v>
      </c>
      <c r="C1208" s="2" t="s">
        <v>12116</v>
      </c>
      <c r="D1208" s="2" t="s">
        <v>12117</v>
      </c>
      <c r="E1208" s="2" t="s">
        <v>12118</v>
      </c>
      <c r="F1208" s="3" t="s">
        <v>529</v>
      </c>
      <c r="G1208" s="3" t="s">
        <v>128</v>
      </c>
      <c r="I1208" s="3" t="s">
        <v>64</v>
      </c>
      <c r="J1208" s="3" t="s">
        <v>64</v>
      </c>
      <c r="K1208" s="3" t="s">
        <v>65</v>
      </c>
      <c r="L1208" s="2" t="s">
        <v>12107</v>
      </c>
      <c r="M1208" s="2" t="s">
        <v>12119</v>
      </c>
      <c r="N1208" s="3" t="s">
        <v>922</v>
      </c>
      <c r="P1208" s="3" t="s">
        <v>102</v>
      </c>
      <c r="R1208" s="3" t="s">
        <v>70</v>
      </c>
      <c r="S1208" s="4">
        <v>2</v>
      </c>
      <c r="T1208" s="4">
        <v>15</v>
      </c>
      <c r="U1208" s="5" t="s">
        <v>2784</v>
      </c>
      <c r="V1208" s="5" t="s">
        <v>457</v>
      </c>
      <c r="W1208" s="5" t="s">
        <v>72</v>
      </c>
      <c r="X1208" s="5" t="s">
        <v>72</v>
      </c>
      <c r="Y1208" s="4">
        <v>1147</v>
      </c>
      <c r="Z1208" s="4">
        <v>43</v>
      </c>
      <c r="AA1208" s="4">
        <v>49</v>
      </c>
      <c r="AB1208" s="4">
        <v>3</v>
      </c>
      <c r="AC1208" s="4">
        <v>7</v>
      </c>
      <c r="AD1208" s="4">
        <v>135</v>
      </c>
      <c r="AE1208" s="4">
        <v>139</v>
      </c>
      <c r="AF1208" s="4">
        <v>1</v>
      </c>
      <c r="AG1208" s="4">
        <v>4</v>
      </c>
      <c r="AH1208" s="4">
        <v>111</v>
      </c>
      <c r="AI1208" s="4">
        <v>111</v>
      </c>
      <c r="AJ1208" s="4">
        <v>21</v>
      </c>
      <c r="AK1208" s="4">
        <v>24</v>
      </c>
      <c r="AL1208" s="4">
        <v>58</v>
      </c>
      <c r="AM1208" s="4">
        <v>58</v>
      </c>
      <c r="AN1208" s="4">
        <v>0</v>
      </c>
      <c r="AO1208" s="4">
        <v>0</v>
      </c>
      <c r="AP1208" s="4">
        <v>30</v>
      </c>
      <c r="AQ1208" s="4">
        <v>33</v>
      </c>
      <c r="AR1208" s="3" t="s">
        <v>64</v>
      </c>
      <c r="AS1208" s="3" t="s">
        <v>64</v>
      </c>
      <c r="AT1208" s="3" t="s">
        <v>128</v>
      </c>
      <c r="AU1208" s="6" t="str">
        <f>HYPERLINK("http://catalog.hathitrust.org/Record/000307288","HathiTrust Record")</f>
        <v>HathiTrust Record</v>
      </c>
      <c r="AV1208" s="6" t="str">
        <f>HYPERLINK("http://mcgill.on.worldcat.org/oclc/354115","Catalog Record")</f>
        <v>Catalog Record</v>
      </c>
      <c r="AW1208" s="6" t="str">
        <f>HYPERLINK("http://www.worldcat.org/oclc/354115","WorldCat Record")</f>
        <v>WorldCat Record</v>
      </c>
      <c r="AX1208" s="3" t="s">
        <v>12121</v>
      </c>
      <c r="AY1208" s="3" t="s">
        <v>12122</v>
      </c>
      <c r="AZ1208" s="3" t="s">
        <v>12123</v>
      </c>
      <c r="BA1208" s="3" t="s">
        <v>12123</v>
      </c>
      <c r="BB1208" s="3" t="s">
        <v>12130</v>
      </c>
      <c r="BC1208" s="3" t="s">
        <v>77</v>
      </c>
      <c r="BD1208" s="3" t="s">
        <v>78</v>
      </c>
      <c r="BE1208" s="3" t="s">
        <v>12125</v>
      </c>
      <c r="BF1208" s="3" t="s">
        <v>12130</v>
      </c>
      <c r="BG1208" s="3" t="s">
        <v>12131</v>
      </c>
      <c r="BH1208">
        <f t="shared" si="38"/>
        <v>0</v>
      </c>
    </row>
    <row r="1209" spans="1:60" ht="58" x14ac:dyDescent="0.35">
      <c r="A1209" s="2" t="s">
        <v>59</v>
      </c>
      <c r="B1209" s="2" t="s">
        <v>60</v>
      </c>
      <c r="C1209" s="2" t="s">
        <v>12116</v>
      </c>
      <c r="D1209" s="2" t="s">
        <v>12117</v>
      </c>
      <c r="E1209" s="2" t="s">
        <v>12118</v>
      </c>
      <c r="F1209" s="3" t="s">
        <v>525</v>
      </c>
      <c r="G1209" s="3" t="s">
        <v>128</v>
      </c>
      <c r="I1209" s="3" t="s">
        <v>64</v>
      </c>
      <c r="J1209" s="3" t="s">
        <v>64</v>
      </c>
      <c r="K1209" s="3" t="s">
        <v>65</v>
      </c>
      <c r="L1209" s="2" t="s">
        <v>12107</v>
      </c>
      <c r="M1209" s="2" t="s">
        <v>12119</v>
      </c>
      <c r="N1209" s="3" t="s">
        <v>922</v>
      </c>
      <c r="P1209" s="3" t="s">
        <v>102</v>
      </c>
      <c r="R1209" s="3" t="s">
        <v>70</v>
      </c>
      <c r="S1209" s="4">
        <v>9</v>
      </c>
      <c r="T1209" s="4">
        <v>15</v>
      </c>
      <c r="U1209" s="5" t="s">
        <v>457</v>
      </c>
      <c r="V1209" s="5" t="s">
        <v>457</v>
      </c>
      <c r="W1209" s="5" t="s">
        <v>72</v>
      </c>
      <c r="X1209" s="5" t="s">
        <v>72</v>
      </c>
      <c r="Y1209" s="4">
        <v>1147</v>
      </c>
      <c r="Z1209" s="4">
        <v>43</v>
      </c>
      <c r="AA1209" s="4">
        <v>49</v>
      </c>
      <c r="AB1209" s="4">
        <v>3</v>
      </c>
      <c r="AC1209" s="4">
        <v>7</v>
      </c>
      <c r="AD1209" s="4">
        <v>135</v>
      </c>
      <c r="AE1209" s="4">
        <v>139</v>
      </c>
      <c r="AF1209" s="4">
        <v>1</v>
      </c>
      <c r="AG1209" s="4">
        <v>4</v>
      </c>
      <c r="AH1209" s="4">
        <v>111</v>
      </c>
      <c r="AI1209" s="4">
        <v>111</v>
      </c>
      <c r="AJ1209" s="4">
        <v>21</v>
      </c>
      <c r="AK1209" s="4">
        <v>24</v>
      </c>
      <c r="AL1209" s="4">
        <v>58</v>
      </c>
      <c r="AM1209" s="4">
        <v>58</v>
      </c>
      <c r="AN1209" s="4">
        <v>0</v>
      </c>
      <c r="AO1209" s="4">
        <v>0</v>
      </c>
      <c r="AP1209" s="4">
        <v>30</v>
      </c>
      <c r="AQ1209" s="4">
        <v>33</v>
      </c>
      <c r="AR1209" s="3" t="s">
        <v>64</v>
      </c>
      <c r="AS1209" s="3" t="s">
        <v>64</v>
      </c>
      <c r="AT1209" s="3" t="s">
        <v>128</v>
      </c>
      <c r="AU1209" s="6" t="str">
        <f>HYPERLINK("http://catalog.hathitrust.org/Record/000307288","HathiTrust Record")</f>
        <v>HathiTrust Record</v>
      </c>
      <c r="AV1209" s="6" t="str">
        <f>HYPERLINK("http://mcgill.on.worldcat.org/oclc/354115","Catalog Record")</f>
        <v>Catalog Record</v>
      </c>
      <c r="AW1209" s="6" t="str">
        <f>HYPERLINK("http://www.worldcat.org/oclc/354115","WorldCat Record")</f>
        <v>WorldCat Record</v>
      </c>
      <c r="AX1209" s="3" t="s">
        <v>12121</v>
      </c>
      <c r="AY1209" s="3" t="s">
        <v>12122</v>
      </c>
      <c r="AZ1209" s="3" t="s">
        <v>12123</v>
      </c>
      <c r="BA1209" s="3" t="s">
        <v>12123</v>
      </c>
      <c r="BB1209" s="3" t="s">
        <v>12132</v>
      </c>
      <c r="BC1209" s="3" t="s">
        <v>77</v>
      </c>
      <c r="BD1209" s="3" t="s">
        <v>165</v>
      </c>
      <c r="BE1209" s="3" t="s">
        <v>12125</v>
      </c>
      <c r="BF1209" s="3" t="s">
        <v>12132</v>
      </c>
      <c r="BG1209" s="3" t="s">
        <v>12133</v>
      </c>
      <c r="BH1209">
        <f t="shared" si="38"/>
        <v>0</v>
      </c>
    </row>
    <row r="1210" spans="1:60" ht="58" x14ac:dyDescent="0.35">
      <c r="A1210" s="2" t="s">
        <v>59</v>
      </c>
      <c r="B1210" s="2" t="s">
        <v>60</v>
      </c>
      <c r="C1210" s="2" t="s">
        <v>12134</v>
      </c>
      <c r="D1210" s="2" t="s">
        <v>12135</v>
      </c>
      <c r="E1210" s="2" t="s">
        <v>12136</v>
      </c>
      <c r="G1210" s="3" t="s">
        <v>64</v>
      </c>
      <c r="I1210" s="3" t="s">
        <v>64</v>
      </c>
      <c r="J1210" s="3" t="s">
        <v>64</v>
      </c>
      <c r="K1210" s="3" t="s">
        <v>65</v>
      </c>
      <c r="L1210" s="2" t="s">
        <v>12137</v>
      </c>
      <c r="M1210" s="2" t="s">
        <v>12138</v>
      </c>
      <c r="N1210" s="3" t="s">
        <v>511</v>
      </c>
      <c r="P1210" s="3" t="s">
        <v>102</v>
      </c>
      <c r="Q1210" s="2" t="s">
        <v>12139</v>
      </c>
      <c r="R1210" s="3" t="s">
        <v>70</v>
      </c>
      <c r="S1210" s="4">
        <v>2</v>
      </c>
      <c r="T1210" s="4">
        <v>2</v>
      </c>
      <c r="U1210" s="5" t="s">
        <v>12140</v>
      </c>
      <c r="V1210" s="5" t="s">
        <v>12140</v>
      </c>
      <c r="W1210" s="5" t="s">
        <v>72</v>
      </c>
      <c r="X1210" s="5" t="s">
        <v>72</v>
      </c>
      <c r="Y1210" s="4">
        <v>196</v>
      </c>
      <c r="Z1210" s="4">
        <v>13</v>
      </c>
      <c r="AA1210" s="4">
        <v>29</v>
      </c>
      <c r="AB1210" s="4">
        <v>2</v>
      </c>
      <c r="AC1210" s="4">
        <v>5</v>
      </c>
      <c r="AD1210" s="4">
        <v>77</v>
      </c>
      <c r="AE1210" s="4">
        <v>101</v>
      </c>
      <c r="AF1210" s="4">
        <v>1</v>
      </c>
      <c r="AG1210" s="4">
        <v>1</v>
      </c>
      <c r="AH1210" s="4">
        <v>71</v>
      </c>
      <c r="AI1210" s="4">
        <v>87</v>
      </c>
      <c r="AJ1210" s="4">
        <v>10</v>
      </c>
      <c r="AK1210" s="4">
        <v>13</v>
      </c>
      <c r="AL1210" s="4">
        <v>43</v>
      </c>
      <c r="AM1210" s="4">
        <v>49</v>
      </c>
      <c r="AN1210" s="4">
        <v>0</v>
      </c>
      <c r="AO1210" s="4">
        <v>0</v>
      </c>
      <c r="AP1210" s="4">
        <v>11</v>
      </c>
      <c r="AQ1210" s="4">
        <v>19</v>
      </c>
      <c r="AR1210" s="3" t="s">
        <v>64</v>
      </c>
      <c r="AS1210" s="3" t="s">
        <v>64</v>
      </c>
      <c r="AT1210" s="3" t="s">
        <v>64</v>
      </c>
      <c r="AV1210" s="6" t="str">
        <f>HYPERLINK("http://mcgill.on.worldcat.org/oclc/551718261","Catalog Record")</f>
        <v>Catalog Record</v>
      </c>
      <c r="AW1210" s="6" t="str">
        <f>HYPERLINK("http://www.worldcat.org/oclc/551718261","WorldCat Record")</f>
        <v>WorldCat Record</v>
      </c>
      <c r="AX1210" s="3" t="s">
        <v>12141</v>
      </c>
      <c r="AY1210" s="3" t="s">
        <v>12142</v>
      </c>
      <c r="AZ1210" s="3" t="s">
        <v>12143</v>
      </c>
      <c r="BA1210" s="3" t="s">
        <v>12143</v>
      </c>
      <c r="BB1210" s="3" t="s">
        <v>12144</v>
      </c>
      <c r="BC1210" s="3" t="s">
        <v>77</v>
      </c>
      <c r="BD1210" s="3" t="s">
        <v>78</v>
      </c>
      <c r="BE1210" s="3" t="s">
        <v>12145</v>
      </c>
      <c r="BF1210" s="3" t="s">
        <v>12144</v>
      </c>
      <c r="BG1210" s="3" t="s">
        <v>12146</v>
      </c>
      <c r="BH1210">
        <f t="shared" si="38"/>
        <v>0</v>
      </c>
    </row>
    <row r="1211" spans="1:60" ht="58" x14ac:dyDescent="0.35">
      <c r="A1211" s="2" t="s">
        <v>59</v>
      </c>
      <c r="B1211" s="2" t="s">
        <v>60</v>
      </c>
      <c r="C1211" s="2" t="s">
        <v>12147</v>
      </c>
      <c r="D1211" s="2" t="s">
        <v>12148</v>
      </c>
      <c r="E1211" s="2" t="s">
        <v>12149</v>
      </c>
      <c r="G1211" s="3" t="s">
        <v>64</v>
      </c>
      <c r="I1211" s="3" t="s">
        <v>128</v>
      </c>
      <c r="J1211" s="3" t="s">
        <v>64</v>
      </c>
      <c r="K1211" s="3" t="s">
        <v>65</v>
      </c>
      <c r="L1211" s="2" t="s">
        <v>12150</v>
      </c>
      <c r="M1211" s="2" t="s">
        <v>12151</v>
      </c>
      <c r="N1211" s="3" t="s">
        <v>1938</v>
      </c>
      <c r="P1211" s="3" t="s">
        <v>102</v>
      </c>
      <c r="R1211" s="3" t="s">
        <v>70</v>
      </c>
      <c r="S1211" s="4">
        <v>7</v>
      </c>
      <c r="T1211" s="4">
        <v>58</v>
      </c>
      <c r="U1211" s="5" t="s">
        <v>12152</v>
      </c>
      <c r="V1211" s="5" t="s">
        <v>12153</v>
      </c>
      <c r="W1211" s="5" t="s">
        <v>72</v>
      </c>
      <c r="X1211" s="5" t="s">
        <v>72</v>
      </c>
      <c r="Y1211" s="4">
        <v>582</v>
      </c>
      <c r="Z1211" s="4">
        <v>33</v>
      </c>
      <c r="AA1211" s="4">
        <v>33</v>
      </c>
      <c r="AB1211" s="4">
        <v>2</v>
      </c>
      <c r="AC1211" s="4">
        <v>2</v>
      </c>
      <c r="AD1211" s="4">
        <v>131</v>
      </c>
      <c r="AE1211" s="4">
        <v>131</v>
      </c>
      <c r="AF1211" s="4">
        <v>1</v>
      </c>
      <c r="AG1211" s="4">
        <v>1</v>
      </c>
      <c r="AH1211" s="4">
        <v>108</v>
      </c>
      <c r="AI1211" s="4">
        <v>108</v>
      </c>
      <c r="AJ1211" s="4">
        <v>20</v>
      </c>
      <c r="AK1211" s="4">
        <v>20</v>
      </c>
      <c r="AL1211" s="4">
        <v>58</v>
      </c>
      <c r="AM1211" s="4">
        <v>58</v>
      </c>
      <c r="AN1211" s="4">
        <v>0</v>
      </c>
      <c r="AO1211" s="4">
        <v>0</v>
      </c>
      <c r="AP1211" s="4">
        <v>29</v>
      </c>
      <c r="AQ1211" s="4">
        <v>29</v>
      </c>
      <c r="AR1211" s="3" t="s">
        <v>64</v>
      </c>
      <c r="AS1211" s="3" t="s">
        <v>64</v>
      </c>
      <c r="AT1211" s="3" t="s">
        <v>128</v>
      </c>
      <c r="AU1211" s="6" t="str">
        <f>HYPERLINK("http://catalog.hathitrust.org/Record/002214403","HathiTrust Record")</f>
        <v>HathiTrust Record</v>
      </c>
      <c r="AV1211" s="6" t="str">
        <f>HYPERLINK("http://mcgill.on.worldcat.org/oclc/20691540","Catalog Record")</f>
        <v>Catalog Record</v>
      </c>
      <c r="AW1211" s="6" t="str">
        <f>HYPERLINK("http://www.worldcat.org/oclc/20691540","WorldCat Record")</f>
        <v>WorldCat Record</v>
      </c>
      <c r="AX1211" s="3" t="s">
        <v>12154</v>
      </c>
      <c r="AY1211" s="3" t="s">
        <v>12155</v>
      </c>
      <c r="AZ1211" s="3" t="s">
        <v>12156</v>
      </c>
      <c r="BA1211" s="3" t="s">
        <v>12156</v>
      </c>
      <c r="BB1211" s="3" t="s">
        <v>12157</v>
      </c>
      <c r="BC1211" s="3" t="s">
        <v>77</v>
      </c>
      <c r="BD1211" s="3" t="s">
        <v>78</v>
      </c>
      <c r="BE1211" s="3" t="s">
        <v>12158</v>
      </c>
      <c r="BF1211" s="3" t="s">
        <v>12157</v>
      </c>
      <c r="BG1211" s="3" t="s">
        <v>12159</v>
      </c>
      <c r="BH1211">
        <f t="shared" si="38"/>
        <v>0</v>
      </c>
    </row>
    <row r="1212" spans="1:60" ht="58" x14ac:dyDescent="0.35">
      <c r="A1212" s="2" t="s">
        <v>59</v>
      </c>
      <c r="B1212" s="2" t="s">
        <v>60</v>
      </c>
      <c r="C1212" s="2" t="s">
        <v>12147</v>
      </c>
      <c r="D1212" s="2" t="s">
        <v>12148</v>
      </c>
      <c r="E1212" s="2" t="s">
        <v>12149</v>
      </c>
      <c r="G1212" s="3" t="s">
        <v>64</v>
      </c>
      <c r="I1212" s="3" t="s">
        <v>128</v>
      </c>
      <c r="J1212" s="3" t="s">
        <v>64</v>
      </c>
      <c r="K1212" s="3" t="s">
        <v>65</v>
      </c>
      <c r="L1212" s="2" t="s">
        <v>12150</v>
      </c>
      <c r="M1212" s="2" t="s">
        <v>12151</v>
      </c>
      <c r="N1212" s="3" t="s">
        <v>1938</v>
      </c>
      <c r="P1212" s="3" t="s">
        <v>102</v>
      </c>
      <c r="R1212" s="3" t="s">
        <v>70</v>
      </c>
      <c r="S1212" s="4">
        <v>14</v>
      </c>
      <c r="T1212" s="4">
        <v>58</v>
      </c>
      <c r="U1212" s="5" t="s">
        <v>12153</v>
      </c>
      <c r="V1212" s="5" t="s">
        <v>12153</v>
      </c>
      <c r="W1212" s="5" t="s">
        <v>72</v>
      </c>
      <c r="X1212" s="5" t="s">
        <v>72</v>
      </c>
      <c r="Y1212" s="4">
        <v>582</v>
      </c>
      <c r="Z1212" s="4">
        <v>33</v>
      </c>
      <c r="AA1212" s="4">
        <v>33</v>
      </c>
      <c r="AB1212" s="4">
        <v>2</v>
      </c>
      <c r="AC1212" s="4">
        <v>2</v>
      </c>
      <c r="AD1212" s="4">
        <v>131</v>
      </c>
      <c r="AE1212" s="4">
        <v>131</v>
      </c>
      <c r="AF1212" s="4">
        <v>1</v>
      </c>
      <c r="AG1212" s="4">
        <v>1</v>
      </c>
      <c r="AH1212" s="4">
        <v>108</v>
      </c>
      <c r="AI1212" s="4">
        <v>108</v>
      </c>
      <c r="AJ1212" s="4">
        <v>20</v>
      </c>
      <c r="AK1212" s="4">
        <v>20</v>
      </c>
      <c r="AL1212" s="4">
        <v>58</v>
      </c>
      <c r="AM1212" s="4">
        <v>58</v>
      </c>
      <c r="AN1212" s="4">
        <v>0</v>
      </c>
      <c r="AO1212" s="4">
        <v>0</v>
      </c>
      <c r="AP1212" s="4">
        <v>29</v>
      </c>
      <c r="AQ1212" s="4">
        <v>29</v>
      </c>
      <c r="AR1212" s="3" t="s">
        <v>64</v>
      </c>
      <c r="AS1212" s="3" t="s">
        <v>64</v>
      </c>
      <c r="AT1212" s="3" t="s">
        <v>128</v>
      </c>
      <c r="AU1212" s="6" t="str">
        <f>HYPERLINK("http://catalog.hathitrust.org/Record/002214403","HathiTrust Record")</f>
        <v>HathiTrust Record</v>
      </c>
      <c r="AV1212" s="6" t="str">
        <f>HYPERLINK("http://mcgill.on.worldcat.org/oclc/20691540","Catalog Record")</f>
        <v>Catalog Record</v>
      </c>
      <c r="AW1212" s="6" t="str">
        <f>HYPERLINK("http://www.worldcat.org/oclc/20691540","WorldCat Record")</f>
        <v>WorldCat Record</v>
      </c>
      <c r="AX1212" s="3" t="s">
        <v>12154</v>
      </c>
      <c r="AY1212" s="3" t="s">
        <v>12155</v>
      </c>
      <c r="AZ1212" s="3" t="s">
        <v>12156</v>
      </c>
      <c r="BA1212" s="3" t="s">
        <v>12156</v>
      </c>
      <c r="BB1212" s="3" t="s">
        <v>12160</v>
      </c>
      <c r="BC1212" s="3" t="s">
        <v>77</v>
      </c>
      <c r="BD1212" s="3" t="s">
        <v>78</v>
      </c>
      <c r="BE1212" s="3" t="s">
        <v>12158</v>
      </c>
      <c r="BF1212" s="3" t="s">
        <v>12160</v>
      </c>
      <c r="BG1212" s="3" t="s">
        <v>12161</v>
      </c>
      <c r="BH1212">
        <f t="shared" si="38"/>
        <v>0</v>
      </c>
    </row>
    <row r="1213" spans="1:60" ht="58" x14ac:dyDescent="0.35">
      <c r="A1213" s="2" t="s">
        <v>59</v>
      </c>
      <c r="B1213" s="2" t="s">
        <v>60</v>
      </c>
      <c r="C1213" s="2" t="s">
        <v>12147</v>
      </c>
      <c r="D1213" s="2" t="s">
        <v>12148</v>
      </c>
      <c r="E1213" s="2" t="s">
        <v>12149</v>
      </c>
      <c r="G1213" s="3" t="s">
        <v>64</v>
      </c>
      <c r="I1213" s="3" t="s">
        <v>128</v>
      </c>
      <c r="J1213" s="3" t="s">
        <v>64</v>
      </c>
      <c r="K1213" s="3" t="s">
        <v>65</v>
      </c>
      <c r="L1213" s="2" t="s">
        <v>12150</v>
      </c>
      <c r="M1213" s="2" t="s">
        <v>12151</v>
      </c>
      <c r="N1213" s="3" t="s">
        <v>1938</v>
      </c>
      <c r="P1213" s="3" t="s">
        <v>102</v>
      </c>
      <c r="R1213" s="3" t="s">
        <v>70</v>
      </c>
      <c r="S1213" s="4">
        <v>37</v>
      </c>
      <c r="T1213" s="4">
        <v>58</v>
      </c>
      <c r="U1213" s="5" t="s">
        <v>1049</v>
      </c>
      <c r="V1213" s="5" t="s">
        <v>12153</v>
      </c>
      <c r="W1213" s="5" t="s">
        <v>72</v>
      </c>
      <c r="X1213" s="5" t="s">
        <v>72</v>
      </c>
      <c r="Y1213" s="4">
        <v>582</v>
      </c>
      <c r="Z1213" s="4">
        <v>33</v>
      </c>
      <c r="AA1213" s="4">
        <v>33</v>
      </c>
      <c r="AB1213" s="4">
        <v>2</v>
      </c>
      <c r="AC1213" s="4">
        <v>2</v>
      </c>
      <c r="AD1213" s="4">
        <v>131</v>
      </c>
      <c r="AE1213" s="4">
        <v>131</v>
      </c>
      <c r="AF1213" s="4">
        <v>1</v>
      </c>
      <c r="AG1213" s="4">
        <v>1</v>
      </c>
      <c r="AH1213" s="4">
        <v>108</v>
      </c>
      <c r="AI1213" s="4">
        <v>108</v>
      </c>
      <c r="AJ1213" s="4">
        <v>20</v>
      </c>
      <c r="AK1213" s="4">
        <v>20</v>
      </c>
      <c r="AL1213" s="4">
        <v>58</v>
      </c>
      <c r="AM1213" s="4">
        <v>58</v>
      </c>
      <c r="AN1213" s="4">
        <v>0</v>
      </c>
      <c r="AO1213" s="4">
        <v>0</v>
      </c>
      <c r="AP1213" s="4">
        <v>29</v>
      </c>
      <c r="AQ1213" s="4">
        <v>29</v>
      </c>
      <c r="AR1213" s="3" t="s">
        <v>64</v>
      </c>
      <c r="AS1213" s="3" t="s">
        <v>64</v>
      </c>
      <c r="AT1213" s="3" t="s">
        <v>128</v>
      </c>
      <c r="AU1213" s="6" t="str">
        <f>HYPERLINK("http://catalog.hathitrust.org/Record/002214403","HathiTrust Record")</f>
        <v>HathiTrust Record</v>
      </c>
      <c r="AV1213" s="6" t="str">
        <f>HYPERLINK("http://mcgill.on.worldcat.org/oclc/20691540","Catalog Record")</f>
        <v>Catalog Record</v>
      </c>
      <c r="AW1213" s="6" t="str">
        <f>HYPERLINK("http://www.worldcat.org/oclc/20691540","WorldCat Record")</f>
        <v>WorldCat Record</v>
      </c>
      <c r="AX1213" s="3" t="s">
        <v>12154</v>
      </c>
      <c r="AY1213" s="3" t="s">
        <v>12155</v>
      </c>
      <c r="AZ1213" s="3" t="s">
        <v>12156</v>
      </c>
      <c r="BA1213" s="3" t="s">
        <v>12156</v>
      </c>
      <c r="BB1213" s="3" t="s">
        <v>12162</v>
      </c>
      <c r="BC1213" s="3" t="s">
        <v>77</v>
      </c>
      <c r="BD1213" s="3" t="s">
        <v>78</v>
      </c>
      <c r="BE1213" s="3" t="s">
        <v>12158</v>
      </c>
      <c r="BF1213" s="3" t="s">
        <v>12162</v>
      </c>
      <c r="BG1213" s="3" t="s">
        <v>12163</v>
      </c>
      <c r="BH1213">
        <f t="shared" si="38"/>
        <v>0</v>
      </c>
    </row>
    <row r="1214" spans="1:60" ht="72.5" x14ac:dyDescent="0.35">
      <c r="A1214" s="2" t="s">
        <v>59</v>
      </c>
      <c r="B1214" s="2" t="s">
        <v>60</v>
      </c>
      <c r="C1214" s="2" t="s">
        <v>12164</v>
      </c>
      <c r="D1214" s="2" t="s">
        <v>12165</v>
      </c>
      <c r="E1214" s="2" t="s">
        <v>12166</v>
      </c>
      <c r="G1214" s="3" t="s">
        <v>64</v>
      </c>
      <c r="I1214" s="3" t="s">
        <v>64</v>
      </c>
      <c r="J1214" s="3" t="s">
        <v>64</v>
      </c>
      <c r="K1214" s="3" t="s">
        <v>65</v>
      </c>
      <c r="M1214" s="2" t="s">
        <v>12167</v>
      </c>
      <c r="N1214" s="3" t="s">
        <v>171</v>
      </c>
      <c r="P1214" s="3" t="s">
        <v>102</v>
      </c>
      <c r="Q1214" s="2" t="s">
        <v>12168</v>
      </c>
      <c r="R1214" s="3" t="s">
        <v>70</v>
      </c>
      <c r="S1214" s="4">
        <v>3</v>
      </c>
      <c r="T1214" s="4">
        <v>3</v>
      </c>
      <c r="U1214" s="5" t="s">
        <v>12169</v>
      </c>
      <c r="V1214" s="5" t="s">
        <v>12169</v>
      </c>
      <c r="W1214" s="5" t="s">
        <v>72</v>
      </c>
      <c r="X1214" s="5" t="s">
        <v>72</v>
      </c>
      <c r="Y1214" s="4">
        <v>283</v>
      </c>
      <c r="Z1214" s="4">
        <v>24</v>
      </c>
      <c r="AA1214" s="4">
        <v>111</v>
      </c>
      <c r="AB1214" s="4">
        <v>2</v>
      </c>
      <c r="AC1214" s="4">
        <v>19</v>
      </c>
      <c r="AD1214" s="4">
        <v>107</v>
      </c>
      <c r="AE1214" s="4">
        <v>149</v>
      </c>
      <c r="AF1214" s="4">
        <v>1</v>
      </c>
      <c r="AG1214" s="4">
        <v>8</v>
      </c>
      <c r="AH1214" s="4">
        <v>92</v>
      </c>
      <c r="AI1214" s="4">
        <v>105</v>
      </c>
      <c r="AJ1214" s="4">
        <v>14</v>
      </c>
      <c r="AK1214" s="4">
        <v>24</v>
      </c>
      <c r="AL1214" s="4">
        <v>51</v>
      </c>
      <c r="AM1214" s="4">
        <v>55</v>
      </c>
      <c r="AN1214" s="4">
        <v>0</v>
      </c>
      <c r="AO1214" s="4">
        <v>0</v>
      </c>
      <c r="AP1214" s="4">
        <v>19</v>
      </c>
      <c r="AQ1214" s="4">
        <v>51</v>
      </c>
      <c r="AR1214" s="3" t="s">
        <v>64</v>
      </c>
      <c r="AS1214" s="3" t="s">
        <v>64</v>
      </c>
      <c r="AT1214" s="3" t="s">
        <v>64</v>
      </c>
      <c r="AV1214" s="6" t="str">
        <f>HYPERLINK("http://mcgill.on.worldcat.org/oclc/61211259","Catalog Record")</f>
        <v>Catalog Record</v>
      </c>
      <c r="AW1214" s="6" t="str">
        <f>HYPERLINK("http://www.worldcat.org/oclc/61211259","WorldCat Record")</f>
        <v>WorldCat Record</v>
      </c>
      <c r="AX1214" s="3" t="s">
        <v>12170</v>
      </c>
      <c r="AY1214" s="3" t="s">
        <v>12171</v>
      </c>
      <c r="AZ1214" s="3" t="s">
        <v>12172</v>
      </c>
      <c r="BA1214" s="3" t="s">
        <v>12172</v>
      </c>
      <c r="BB1214" s="3" t="s">
        <v>12173</v>
      </c>
      <c r="BC1214" s="3" t="s">
        <v>77</v>
      </c>
      <c r="BD1214" s="3" t="s">
        <v>78</v>
      </c>
      <c r="BE1214" s="3" t="s">
        <v>12174</v>
      </c>
      <c r="BF1214" s="3" t="s">
        <v>12173</v>
      </c>
      <c r="BG1214" s="3" t="s">
        <v>12175</v>
      </c>
      <c r="BH1214">
        <f t="shared" si="38"/>
        <v>0</v>
      </c>
    </row>
    <row r="1215" spans="1:60" ht="58" x14ac:dyDescent="0.35">
      <c r="A1215" s="2" t="s">
        <v>59</v>
      </c>
      <c r="B1215" s="2" t="s">
        <v>60</v>
      </c>
      <c r="C1215" s="2" t="s">
        <v>12176</v>
      </c>
      <c r="D1215" s="2" t="s">
        <v>12177</v>
      </c>
      <c r="E1215" s="2" t="s">
        <v>12178</v>
      </c>
      <c r="G1215" s="3" t="s">
        <v>64</v>
      </c>
      <c r="I1215" s="3" t="s">
        <v>64</v>
      </c>
      <c r="J1215" s="3" t="s">
        <v>64</v>
      </c>
      <c r="K1215" s="3" t="s">
        <v>65</v>
      </c>
      <c r="L1215" s="2" t="s">
        <v>977</v>
      </c>
      <c r="M1215" s="2" t="s">
        <v>433</v>
      </c>
      <c r="N1215" s="3" t="s">
        <v>434</v>
      </c>
      <c r="P1215" s="3" t="s">
        <v>102</v>
      </c>
      <c r="R1215" s="3" t="s">
        <v>70</v>
      </c>
      <c r="S1215" s="4">
        <v>4</v>
      </c>
      <c r="T1215" s="4">
        <v>4</v>
      </c>
      <c r="U1215" s="5" t="s">
        <v>12179</v>
      </c>
      <c r="V1215" s="5" t="s">
        <v>12179</v>
      </c>
      <c r="W1215" s="5" t="s">
        <v>72</v>
      </c>
      <c r="X1215" s="5" t="s">
        <v>72</v>
      </c>
      <c r="Y1215" s="4">
        <v>262</v>
      </c>
      <c r="Z1215" s="4">
        <v>21</v>
      </c>
      <c r="AA1215" s="4">
        <v>24</v>
      </c>
      <c r="AB1215" s="4">
        <v>1</v>
      </c>
      <c r="AC1215" s="4">
        <v>4</v>
      </c>
      <c r="AD1215" s="4">
        <v>97</v>
      </c>
      <c r="AE1215" s="4">
        <v>98</v>
      </c>
      <c r="AF1215" s="4">
        <v>0</v>
      </c>
      <c r="AG1215" s="4">
        <v>0</v>
      </c>
      <c r="AH1215" s="4">
        <v>87</v>
      </c>
      <c r="AI1215" s="4">
        <v>88</v>
      </c>
      <c r="AJ1215" s="4">
        <v>15</v>
      </c>
      <c r="AK1215" s="4">
        <v>15</v>
      </c>
      <c r="AL1215" s="4">
        <v>47</v>
      </c>
      <c r="AM1215" s="4">
        <v>47</v>
      </c>
      <c r="AN1215" s="4">
        <v>0</v>
      </c>
      <c r="AO1215" s="4">
        <v>0</v>
      </c>
      <c r="AP1215" s="4">
        <v>17</v>
      </c>
      <c r="AQ1215" s="4">
        <v>17</v>
      </c>
      <c r="AR1215" s="3" t="s">
        <v>64</v>
      </c>
      <c r="AS1215" s="3" t="s">
        <v>64</v>
      </c>
      <c r="AT1215" s="3" t="s">
        <v>64</v>
      </c>
      <c r="AV1215" s="6" t="str">
        <f>HYPERLINK("http://mcgill.on.worldcat.org/oclc/56920737","Catalog Record")</f>
        <v>Catalog Record</v>
      </c>
      <c r="AW1215" s="6" t="str">
        <f>HYPERLINK("http://www.worldcat.org/oclc/56920737","WorldCat Record")</f>
        <v>WorldCat Record</v>
      </c>
      <c r="AX1215" s="3" t="s">
        <v>12180</v>
      </c>
      <c r="AY1215" s="3" t="s">
        <v>12181</v>
      </c>
      <c r="AZ1215" s="3" t="s">
        <v>12182</v>
      </c>
      <c r="BA1215" s="3" t="s">
        <v>12182</v>
      </c>
      <c r="BB1215" s="3" t="s">
        <v>12183</v>
      </c>
      <c r="BC1215" s="3" t="s">
        <v>77</v>
      </c>
      <c r="BD1215" s="3" t="s">
        <v>78</v>
      </c>
      <c r="BE1215" s="3" t="s">
        <v>12184</v>
      </c>
      <c r="BF1215" s="3" t="s">
        <v>12183</v>
      </c>
      <c r="BG1215" s="3" t="s">
        <v>12185</v>
      </c>
      <c r="BH1215">
        <f t="shared" si="38"/>
        <v>0</v>
      </c>
    </row>
    <row r="1216" spans="1:60" ht="58" x14ac:dyDescent="0.35">
      <c r="A1216" s="2" t="s">
        <v>59</v>
      </c>
      <c r="B1216" s="2" t="s">
        <v>60</v>
      </c>
      <c r="C1216" s="2" t="s">
        <v>12186</v>
      </c>
      <c r="D1216" s="2" t="s">
        <v>12187</v>
      </c>
      <c r="E1216" s="2" t="s">
        <v>12188</v>
      </c>
      <c r="G1216" s="3" t="s">
        <v>64</v>
      </c>
      <c r="I1216" s="3" t="s">
        <v>64</v>
      </c>
      <c r="J1216" s="3" t="s">
        <v>64</v>
      </c>
      <c r="K1216" s="3" t="s">
        <v>65</v>
      </c>
      <c r="L1216" s="2" t="s">
        <v>12189</v>
      </c>
      <c r="M1216" s="2" t="s">
        <v>12190</v>
      </c>
      <c r="N1216" s="3" t="s">
        <v>3721</v>
      </c>
      <c r="O1216" s="2" t="s">
        <v>12191</v>
      </c>
      <c r="P1216" s="3" t="s">
        <v>102</v>
      </c>
      <c r="R1216" s="3" t="s">
        <v>70</v>
      </c>
      <c r="S1216" s="4">
        <v>1</v>
      </c>
      <c r="T1216" s="4">
        <v>1</v>
      </c>
      <c r="U1216" s="5" t="s">
        <v>12192</v>
      </c>
      <c r="V1216" s="5" t="s">
        <v>12192</v>
      </c>
      <c r="W1216" s="5" t="s">
        <v>72</v>
      </c>
      <c r="X1216" s="5" t="s">
        <v>72</v>
      </c>
      <c r="Y1216" s="4">
        <v>37</v>
      </c>
      <c r="Z1216" s="4">
        <v>3</v>
      </c>
      <c r="AA1216" s="4">
        <v>6</v>
      </c>
      <c r="AB1216" s="4">
        <v>1</v>
      </c>
      <c r="AC1216" s="4">
        <v>1</v>
      </c>
      <c r="AD1216" s="4">
        <v>6</v>
      </c>
      <c r="AE1216" s="4">
        <v>24</v>
      </c>
      <c r="AF1216" s="4">
        <v>0</v>
      </c>
      <c r="AG1216" s="4">
        <v>0</v>
      </c>
      <c r="AH1216" s="4">
        <v>6</v>
      </c>
      <c r="AI1216" s="4">
        <v>22</v>
      </c>
      <c r="AJ1216" s="4">
        <v>1</v>
      </c>
      <c r="AK1216" s="4">
        <v>4</v>
      </c>
      <c r="AL1216" s="4">
        <v>3</v>
      </c>
      <c r="AM1216" s="4">
        <v>12</v>
      </c>
      <c r="AN1216" s="4">
        <v>0</v>
      </c>
      <c r="AO1216" s="4">
        <v>0</v>
      </c>
      <c r="AP1216" s="4">
        <v>1</v>
      </c>
      <c r="AQ1216" s="4">
        <v>3</v>
      </c>
      <c r="AR1216" s="3" t="s">
        <v>64</v>
      </c>
      <c r="AS1216" s="3" t="s">
        <v>64</v>
      </c>
      <c r="AT1216" s="3" t="s">
        <v>64</v>
      </c>
      <c r="AV1216" s="6" t="str">
        <f>HYPERLINK("http://mcgill.on.worldcat.org/oclc/6908468","Catalog Record")</f>
        <v>Catalog Record</v>
      </c>
      <c r="AW1216" s="6" t="str">
        <f>HYPERLINK("http://www.worldcat.org/oclc/6908468","WorldCat Record")</f>
        <v>WorldCat Record</v>
      </c>
      <c r="AX1216" s="3" t="s">
        <v>12193</v>
      </c>
      <c r="AY1216" s="3" t="s">
        <v>12194</v>
      </c>
      <c r="AZ1216" s="3" t="s">
        <v>12195</v>
      </c>
      <c r="BA1216" s="3" t="s">
        <v>12195</v>
      </c>
      <c r="BB1216" s="3" t="s">
        <v>12196</v>
      </c>
      <c r="BC1216" s="3" t="s">
        <v>77</v>
      </c>
      <c r="BD1216" s="3" t="s">
        <v>78</v>
      </c>
      <c r="BF1216" s="3" t="s">
        <v>12196</v>
      </c>
      <c r="BG1216" s="3" t="s">
        <v>12197</v>
      </c>
      <c r="BH1216">
        <f t="shared" si="38"/>
        <v>0</v>
      </c>
    </row>
    <row r="1217" spans="1:60" ht="87" x14ac:dyDescent="0.35">
      <c r="A1217" s="2" t="s">
        <v>59</v>
      </c>
      <c r="B1217" s="2" t="s">
        <v>60</v>
      </c>
      <c r="C1217" s="2" t="s">
        <v>12198</v>
      </c>
      <c r="D1217" s="2" t="s">
        <v>12199</v>
      </c>
      <c r="E1217" s="2" t="s">
        <v>12200</v>
      </c>
      <c r="G1217" s="3" t="s">
        <v>64</v>
      </c>
      <c r="I1217" s="3" t="s">
        <v>64</v>
      </c>
      <c r="J1217" s="3" t="s">
        <v>128</v>
      </c>
      <c r="K1217" s="3" t="s">
        <v>65</v>
      </c>
      <c r="M1217" s="2" t="s">
        <v>12201</v>
      </c>
      <c r="N1217" s="3" t="s">
        <v>86</v>
      </c>
      <c r="P1217" s="3" t="s">
        <v>102</v>
      </c>
      <c r="R1217" s="3" t="s">
        <v>70</v>
      </c>
      <c r="S1217" s="4">
        <v>4</v>
      </c>
      <c r="T1217" s="4">
        <v>4</v>
      </c>
      <c r="U1217" s="5" t="s">
        <v>7239</v>
      </c>
      <c r="V1217" s="5" t="s">
        <v>7239</v>
      </c>
      <c r="W1217" s="5" t="s">
        <v>72</v>
      </c>
      <c r="X1217" s="5" t="s">
        <v>72</v>
      </c>
      <c r="Y1217" s="4">
        <v>596</v>
      </c>
      <c r="Z1217" s="4">
        <v>19</v>
      </c>
      <c r="AA1217" s="4">
        <v>22</v>
      </c>
      <c r="AB1217" s="4">
        <v>3</v>
      </c>
      <c r="AC1217" s="4">
        <v>6</v>
      </c>
      <c r="AD1217" s="4">
        <v>16</v>
      </c>
      <c r="AE1217" s="4">
        <v>16</v>
      </c>
      <c r="AF1217" s="4">
        <v>0</v>
      </c>
      <c r="AG1217" s="4">
        <v>0</v>
      </c>
      <c r="AH1217" s="4">
        <v>16</v>
      </c>
      <c r="AI1217" s="4">
        <v>16</v>
      </c>
      <c r="AJ1217" s="4">
        <v>1</v>
      </c>
      <c r="AK1217" s="4">
        <v>1</v>
      </c>
      <c r="AL1217" s="4">
        <v>10</v>
      </c>
      <c r="AM1217" s="4">
        <v>10</v>
      </c>
      <c r="AN1217" s="4">
        <v>0</v>
      </c>
      <c r="AO1217" s="4">
        <v>0</v>
      </c>
      <c r="AP1217" s="4">
        <v>1</v>
      </c>
      <c r="AQ1217" s="4">
        <v>1</v>
      </c>
      <c r="AR1217" s="3" t="s">
        <v>64</v>
      </c>
      <c r="AS1217" s="3" t="s">
        <v>64</v>
      </c>
      <c r="AT1217" s="3" t="s">
        <v>64</v>
      </c>
      <c r="AV1217" s="6" t="str">
        <f>HYPERLINK("http://mcgill.on.worldcat.org/oclc/781675833","Catalog Record")</f>
        <v>Catalog Record</v>
      </c>
      <c r="AW1217" s="6" t="str">
        <f>HYPERLINK("http://www.worldcat.org/oclc/781675833","WorldCat Record")</f>
        <v>WorldCat Record</v>
      </c>
      <c r="AX1217" s="3" t="s">
        <v>11675</v>
      </c>
      <c r="AY1217" s="3" t="s">
        <v>12202</v>
      </c>
      <c r="AZ1217" s="3" t="s">
        <v>12203</v>
      </c>
      <c r="BA1217" s="3" t="s">
        <v>12203</v>
      </c>
      <c r="BB1217" s="3" t="s">
        <v>12204</v>
      </c>
      <c r="BC1217" s="3" t="s">
        <v>77</v>
      </c>
      <c r="BD1217" s="3" t="s">
        <v>78</v>
      </c>
      <c r="BE1217" s="3" t="s">
        <v>12205</v>
      </c>
      <c r="BF1217" s="3" t="s">
        <v>12204</v>
      </c>
      <c r="BG1217" s="3" t="s">
        <v>12206</v>
      </c>
      <c r="BH1217">
        <f t="shared" si="38"/>
        <v>0</v>
      </c>
    </row>
    <row r="1218" spans="1:60" ht="58" x14ac:dyDescent="0.35">
      <c r="A1218" s="2" t="s">
        <v>59</v>
      </c>
      <c r="B1218" s="2" t="s">
        <v>60</v>
      </c>
      <c r="C1218" s="2" t="s">
        <v>12207</v>
      </c>
      <c r="D1218" s="2" t="s">
        <v>12208</v>
      </c>
      <c r="E1218" s="2" t="s">
        <v>12209</v>
      </c>
      <c r="G1218" s="3" t="s">
        <v>64</v>
      </c>
      <c r="I1218" s="3" t="s">
        <v>64</v>
      </c>
      <c r="J1218" s="3" t="s">
        <v>64</v>
      </c>
      <c r="K1218" s="3" t="s">
        <v>65</v>
      </c>
      <c r="L1218" s="2" t="s">
        <v>12210</v>
      </c>
      <c r="M1218" s="2" t="s">
        <v>12211</v>
      </c>
      <c r="N1218" s="3" t="s">
        <v>578</v>
      </c>
      <c r="P1218" s="3" t="s">
        <v>102</v>
      </c>
      <c r="Q1218" s="2" t="s">
        <v>4419</v>
      </c>
      <c r="R1218" s="3" t="s">
        <v>70</v>
      </c>
      <c r="S1218" s="4">
        <v>0</v>
      </c>
      <c r="T1218" s="4">
        <v>0</v>
      </c>
      <c r="W1218" s="5" t="s">
        <v>72</v>
      </c>
      <c r="X1218" s="5" t="s">
        <v>72</v>
      </c>
      <c r="Y1218" s="4">
        <v>137</v>
      </c>
      <c r="Z1218" s="4">
        <v>6</v>
      </c>
      <c r="AA1218" s="4">
        <v>73</v>
      </c>
      <c r="AB1218" s="4">
        <v>1</v>
      </c>
      <c r="AC1218" s="4">
        <v>14</v>
      </c>
      <c r="AD1218" s="4">
        <v>47</v>
      </c>
      <c r="AE1218" s="4">
        <v>105</v>
      </c>
      <c r="AF1218" s="4">
        <v>0</v>
      </c>
      <c r="AG1218" s="4">
        <v>8</v>
      </c>
      <c r="AH1218" s="4">
        <v>44</v>
      </c>
      <c r="AI1218" s="4">
        <v>74</v>
      </c>
      <c r="AJ1218" s="4">
        <v>3</v>
      </c>
      <c r="AK1218" s="4">
        <v>17</v>
      </c>
      <c r="AL1218" s="4">
        <v>31</v>
      </c>
      <c r="AM1218" s="4">
        <v>41</v>
      </c>
      <c r="AN1218" s="4">
        <v>0</v>
      </c>
      <c r="AO1218" s="4">
        <v>0</v>
      </c>
      <c r="AP1218" s="4">
        <v>5</v>
      </c>
      <c r="AQ1218" s="4">
        <v>36</v>
      </c>
      <c r="AR1218" s="3" t="s">
        <v>64</v>
      </c>
      <c r="AS1218" s="3" t="s">
        <v>64</v>
      </c>
      <c r="AT1218" s="3" t="s">
        <v>64</v>
      </c>
      <c r="AV1218" s="6" t="str">
        <f>HYPERLINK("http://mcgill.on.worldcat.org/oclc/964292172","Catalog Record")</f>
        <v>Catalog Record</v>
      </c>
      <c r="AW1218" s="6" t="str">
        <f>HYPERLINK("http://www.worldcat.org/oclc/964292172","WorldCat Record")</f>
        <v>WorldCat Record</v>
      </c>
      <c r="AX1218" s="3" t="s">
        <v>12212</v>
      </c>
      <c r="AY1218" s="3" t="s">
        <v>12213</v>
      </c>
      <c r="AZ1218" s="3" t="s">
        <v>12214</v>
      </c>
      <c r="BA1218" s="3" t="s">
        <v>12214</v>
      </c>
      <c r="BB1218" s="3" t="s">
        <v>12215</v>
      </c>
      <c r="BC1218" s="3" t="s">
        <v>77</v>
      </c>
      <c r="BD1218" s="3" t="s">
        <v>78</v>
      </c>
      <c r="BE1218" s="3" t="s">
        <v>12216</v>
      </c>
      <c r="BF1218" s="3" t="s">
        <v>12215</v>
      </c>
      <c r="BG1218" s="3" t="s">
        <v>12217</v>
      </c>
      <c r="BH1218">
        <f t="shared" ref="BH1218:BH1281" si="39">IF(COUNTIF($BF$1:$BF$5431,BF1218)=1,0,1)</f>
        <v>0</v>
      </c>
    </row>
    <row r="1219" spans="1:60" ht="58" x14ac:dyDescent="0.35">
      <c r="A1219" s="2" t="s">
        <v>59</v>
      </c>
      <c r="B1219" s="2" t="s">
        <v>60</v>
      </c>
      <c r="C1219" s="2" t="s">
        <v>12218</v>
      </c>
      <c r="D1219" s="2" t="s">
        <v>12219</v>
      </c>
      <c r="E1219" s="2" t="s">
        <v>12220</v>
      </c>
      <c r="G1219" s="3" t="s">
        <v>64</v>
      </c>
      <c r="I1219" s="3" t="s">
        <v>64</v>
      </c>
      <c r="J1219" s="3" t="s">
        <v>64</v>
      </c>
      <c r="K1219" s="3" t="s">
        <v>65</v>
      </c>
      <c r="L1219" s="2" t="s">
        <v>12221</v>
      </c>
      <c r="M1219" s="2" t="s">
        <v>12222</v>
      </c>
      <c r="N1219" s="3" t="s">
        <v>326</v>
      </c>
      <c r="P1219" s="3" t="s">
        <v>102</v>
      </c>
      <c r="Q1219" s="2" t="s">
        <v>12223</v>
      </c>
      <c r="R1219" s="3" t="s">
        <v>70</v>
      </c>
      <c r="S1219" s="4">
        <v>0</v>
      </c>
      <c r="T1219" s="4">
        <v>0</v>
      </c>
      <c r="W1219" s="5" t="s">
        <v>72</v>
      </c>
      <c r="X1219" s="5" t="s">
        <v>72</v>
      </c>
      <c r="Y1219" s="4">
        <v>151</v>
      </c>
      <c r="Z1219" s="4">
        <v>9</v>
      </c>
      <c r="AA1219" s="4">
        <v>9</v>
      </c>
      <c r="AB1219" s="4">
        <v>1</v>
      </c>
      <c r="AC1219" s="4">
        <v>1</v>
      </c>
      <c r="AD1219" s="4">
        <v>67</v>
      </c>
      <c r="AE1219" s="4">
        <v>68</v>
      </c>
      <c r="AF1219" s="4">
        <v>0</v>
      </c>
      <c r="AG1219" s="4">
        <v>0</v>
      </c>
      <c r="AH1219" s="4">
        <v>61</v>
      </c>
      <c r="AI1219" s="4">
        <v>62</v>
      </c>
      <c r="AJ1219" s="4">
        <v>7</v>
      </c>
      <c r="AK1219" s="4">
        <v>7</v>
      </c>
      <c r="AL1219" s="4">
        <v>39</v>
      </c>
      <c r="AM1219" s="4">
        <v>39</v>
      </c>
      <c r="AN1219" s="4">
        <v>0</v>
      </c>
      <c r="AO1219" s="4">
        <v>0</v>
      </c>
      <c r="AP1219" s="4">
        <v>8</v>
      </c>
      <c r="AQ1219" s="4">
        <v>8</v>
      </c>
      <c r="AR1219" s="3" t="s">
        <v>64</v>
      </c>
      <c r="AS1219" s="3" t="s">
        <v>64</v>
      </c>
      <c r="AT1219" s="3" t="s">
        <v>64</v>
      </c>
      <c r="AV1219" s="6" t="str">
        <f>HYPERLINK("http://mcgill.on.worldcat.org/oclc/721085541","Catalog Record")</f>
        <v>Catalog Record</v>
      </c>
      <c r="AW1219" s="6" t="str">
        <f>HYPERLINK("http://www.worldcat.org/oclc/721085541","WorldCat Record")</f>
        <v>WorldCat Record</v>
      </c>
      <c r="AX1219" s="3" t="s">
        <v>12224</v>
      </c>
      <c r="AY1219" s="3" t="s">
        <v>12225</v>
      </c>
      <c r="AZ1219" s="3" t="s">
        <v>12226</v>
      </c>
      <c r="BA1219" s="3" t="s">
        <v>12226</v>
      </c>
      <c r="BB1219" s="3" t="s">
        <v>12227</v>
      </c>
      <c r="BC1219" s="3" t="s">
        <v>77</v>
      </c>
      <c r="BD1219" s="3" t="s">
        <v>78</v>
      </c>
      <c r="BE1219" s="3" t="s">
        <v>12228</v>
      </c>
      <c r="BF1219" s="3" t="s">
        <v>12227</v>
      </c>
      <c r="BG1219" s="3" t="s">
        <v>12229</v>
      </c>
      <c r="BH1219">
        <f t="shared" si="39"/>
        <v>0</v>
      </c>
    </row>
    <row r="1220" spans="1:60" ht="58" x14ac:dyDescent="0.35">
      <c r="A1220" s="2" t="s">
        <v>59</v>
      </c>
      <c r="B1220" s="2" t="s">
        <v>60</v>
      </c>
      <c r="C1220" s="2" t="s">
        <v>12230</v>
      </c>
      <c r="D1220" s="2" t="s">
        <v>12231</v>
      </c>
      <c r="E1220" s="2" t="s">
        <v>12232</v>
      </c>
      <c r="G1220" s="3" t="s">
        <v>64</v>
      </c>
      <c r="I1220" s="3" t="s">
        <v>64</v>
      </c>
      <c r="J1220" s="3" t="s">
        <v>64</v>
      </c>
      <c r="K1220" s="3" t="s">
        <v>65</v>
      </c>
      <c r="L1220" s="2" t="s">
        <v>12233</v>
      </c>
      <c r="M1220" s="2" t="s">
        <v>12234</v>
      </c>
      <c r="N1220" s="3" t="s">
        <v>979</v>
      </c>
      <c r="P1220" s="3" t="s">
        <v>102</v>
      </c>
      <c r="Q1220" s="2" t="s">
        <v>12235</v>
      </c>
      <c r="R1220" s="3" t="s">
        <v>70</v>
      </c>
      <c r="S1220" s="4">
        <v>10</v>
      </c>
      <c r="T1220" s="4">
        <v>10</v>
      </c>
      <c r="U1220" s="5" t="s">
        <v>5884</v>
      </c>
      <c r="V1220" s="5" t="s">
        <v>5884</v>
      </c>
      <c r="W1220" s="5" t="s">
        <v>72</v>
      </c>
      <c r="X1220" s="5" t="s">
        <v>72</v>
      </c>
      <c r="Y1220" s="4">
        <v>436</v>
      </c>
      <c r="Z1220" s="4">
        <v>26</v>
      </c>
      <c r="AA1220" s="4">
        <v>26</v>
      </c>
      <c r="AB1220" s="4">
        <v>1</v>
      </c>
      <c r="AC1220" s="4">
        <v>1</v>
      </c>
      <c r="AD1220" s="4">
        <v>114</v>
      </c>
      <c r="AE1220" s="4">
        <v>114</v>
      </c>
      <c r="AF1220" s="4">
        <v>0</v>
      </c>
      <c r="AG1220" s="4">
        <v>0</v>
      </c>
      <c r="AH1220" s="4">
        <v>101</v>
      </c>
      <c r="AI1220" s="4">
        <v>101</v>
      </c>
      <c r="AJ1220" s="4">
        <v>13</v>
      </c>
      <c r="AK1220" s="4">
        <v>13</v>
      </c>
      <c r="AL1220" s="4">
        <v>56</v>
      </c>
      <c r="AM1220" s="4">
        <v>56</v>
      </c>
      <c r="AN1220" s="4">
        <v>0</v>
      </c>
      <c r="AO1220" s="4">
        <v>0</v>
      </c>
      <c r="AP1220" s="4">
        <v>16</v>
      </c>
      <c r="AQ1220" s="4">
        <v>16</v>
      </c>
      <c r="AR1220" s="3" t="s">
        <v>64</v>
      </c>
      <c r="AS1220" s="3" t="s">
        <v>64</v>
      </c>
      <c r="AT1220" s="3" t="s">
        <v>64</v>
      </c>
      <c r="AV1220" s="6" t="str">
        <f>HYPERLINK("http://mcgill.on.worldcat.org/oclc/41662612","Catalog Record")</f>
        <v>Catalog Record</v>
      </c>
      <c r="AW1220" s="6" t="str">
        <f>HYPERLINK("http://www.worldcat.org/oclc/41662612","WorldCat Record")</f>
        <v>WorldCat Record</v>
      </c>
      <c r="AX1220" s="3" t="s">
        <v>12236</v>
      </c>
      <c r="AY1220" s="3" t="s">
        <v>12237</v>
      </c>
      <c r="AZ1220" s="3" t="s">
        <v>12238</v>
      </c>
      <c r="BA1220" s="3" t="s">
        <v>12238</v>
      </c>
      <c r="BB1220" s="3" t="s">
        <v>12239</v>
      </c>
      <c r="BC1220" s="3" t="s">
        <v>77</v>
      </c>
      <c r="BD1220" s="3" t="s">
        <v>78</v>
      </c>
      <c r="BE1220" s="3" t="s">
        <v>12240</v>
      </c>
      <c r="BF1220" s="3" t="s">
        <v>12239</v>
      </c>
      <c r="BG1220" s="3" t="s">
        <v>12241</v>
      </c>
      <c r="BH1220">
        <f t="shared" si="39"/>
        <v>0</v>
      </c>
    </row>
    <row r="1221" spans="1:60" ht="58" x14ac:dyDescent="0.35">
      <c r="A1221" s="2" t="s">
        <v>59</v>
      </c>
      <c r="B1221" s="2" t="s">
        <v>60</v>
      </c>
      <c r="C1221" s="2" t="s">
        <v>12242</v>
      </c>
      <c r="D1221" s="2" t="s">
        <v>12243</v>
      </c>
      <c r="E1221" s="2" t="s">
        <v>12244</v>
      </c>
      <c r="G1221" s="3" t="s">
        <v>64</v>
      </c>
      <c r="I1221" s="3" t="s">
        <v>128</v>
      </c>
      <c r="J1221" s="3" t="s">
        <v>64</v>
      </c>
      <c r="K1221" s="3" t="s">
        <v>65</v>
      </c>
      <c r="L1221" s="2" t="s">
        <v>12245</v>
      </c>
      <c r="M1221" s="2" t="s">
        <v>12246</v>
      </c>
      <c r="N1221" s="3" t="s">
        <v>1047</v>
      </c>
      <c r="P1221" s="3" t="s">
        <v>102</v>
      </c>
      <c r="R1221" s="3" t="s">
        <v>70</v>
      </c>
      <c r="S1221" s="4">
        <v>8</v>
      </c>
      <c r="T1221" s="4">
        <v>8</v>
      </c>
      <c r="U1221" s="5" t="s">
        <v>8119</v>
      </c>
      <c r="V1221" s="5" t="s">
        <v>8119</v>
      </c>
      <c r="W1221" s="5" t="s">
        <v>72</v>
      </c>
      <c r="X1221" s="5" t="s">
        <v>72</v>
      </c>
      <c r="Y1221" s="4">
        <v>580</v>
      </c>
      <c r="Z1221" s="4">
        <v>27</v>
      </c>
      <c r="AA1221" s="4">
        <v>29</v>
      </c>
      <c r="AB1221" s="4">
        <v>1</v>
      </c>
      <c r="AC1221" s="4">
        <v>3</v>
      </c>
      <c r="AD1221" s="4">
        <v>112</v>
      </c>
      <c r="AE1221" s="4">
        <v>114</v>
      </c>
      <c r="AF1221" s="4">
        <v>0</v>
      </c>
      <c r="AG1221" s="4">
        <v>2</v>
      </c>
      <c r="AH1221" s="4">
        <v>95</v>
      </c>
      <c r="AI1221" s="4">
        <v>96</v>
      </c>
      <c r="AJ1221" s="4">
        <v>14</v>
      </c>
      <c r="AK1221" s="4">
        <v>16</v>
      </c>
      <c r="AL1221" s="4">
        <v>52</v>
      </c>
      <c r="AM1221" s="4">
        <v>52</v>
      </c>
      <c r="AN1221" s="4">
        <v>0</v>
      </c>
      <c r="AO1221" s="4">
        <v>0</v>
      </c>
      <c r="AP1221" s="4">
        <v>21</v>
      </c>
      <c r="AQ1221" s="4">
        <v>23</v>
      </c>
      <c r="AR1221" s="3" t="s">
        <v>64</v>
      </c>
      <c r="AS1221" s="3" t="s">
        <v>64</v>
      </c>
      <c r="AT1221" s="3" t="s">
        <v>128</v>
      </c>
      <c r="AU1221" s="6" t="str">
        <f>HYPERLINK("http://catalog.hathitrust.org/Record/000101377","HathiTrust Record")</f>
        <v>HathiTrust Record</v>
      </c>
      <c r="AV1221" s="6" t="str">
        <f>HYPERLINK("http://mcgill.on.worldcat.org/oclc/7999484","Catalog Record")</f>
        <v>Catalog Record</v>
      </c>
      <c r="AW1221" s="6" t="str">
        <f>HYPERLINK("http://www.worldcat.org/oclc/7999484","WorldCat Record")</f>
        <v>WorldCat Record</v>
      </c>
      <c r="AX1221" s="3" t="s">
        <v>12247</v>
      </c>
      <c r="AY1221" s="3" t="s">
        <v>12248</v>
      </c>
      <c r="AZ1221" s="3" t="s">
        <v>12249</v>
      </c>
      <c r="BA1221" s="3" t="s">
        <v>12249</v>
      </c>
      <c r="BB1221" s="3" t="s">
        <v>12250</v>
      </c>
      <c r="BC1221" s="3" t="s">
        <v>77</v>
      </c>
      <c r="BD1221" s="3" t="s">
        <v>78</v>
      </c>
      <c r="BE1221" s="3" t="s">
        <v>12251</v>
      </c>
      <c r="BF1221" s="3" t="s">
        <v>12250</v>
      </c>
      <c r="BG1221" s="3" t="s">
        <v>12252</v>
      </c>
      <c r="BH1221">
        <f t="shared" si="39"/>
        <v>0</v>
      </c>
    </row>
    <row r="1222" spans="1:60" ht="58" x14ac:dyDescent="0.35">
      <c r="A1222" s="2" t="s">
        <v>59</v>
      </c>
      <c r="B1222" s="2" t="s">
        <v>60</v>
      </c>
      <c r="C1222" s="2" t="s">
        <v>12253</v>
      </c>
      <c r="D1222" s="2" t="s">
        <v>12254</v>
      </c>
      <c r="E1222" s="2" t="s">
        <v>12255</v>
      </c>
      <c r="G1222" s="3" t="s">
        <v>64</v>
      </c>
      <c r="I1222" s="3" t="s">
        <v>64</v>
      </c>
      <c r="J1222" s="3" t="s">
        <v>64</v>
      </c>
      <c r="K1222" s="3" t="s">
        <v>65</v>
      </c>
      <c r="L1222" s="2" t="s">
        <v>12256</v>
      </c>
      <c r="M1222" s="2" t="s">
        <v>12257</v>
      </c>
      <c r="N1222" s="3" t="s">
        <v>1061</v>
      </c>
      <c r="P1222" s="3" t="s">
        <v>102</v>
      </c>
      <c r="R1222" s="3" t="s">
        <v>70</v>
      </c>
      <c r="S1222" s="4">
        <v>2</v>
      </c>
      <c r="T1222" s="4">
        <v>2</v>
      </c>
      <c r="U1222" s="5" t="s">
        <v>3796</v>
      </c>
      <c r="V1222" s="5" t="s">
        <v>3796</v>
      </c>
      <c r="W1222" s="5" t="s">
        <v>72</v>
      </c>
      <c r="X1222" s="5" t="s">
        <v>72</v>
      </c>
      <c r="Y1222" s="4">
        <v>388</v>
      </c>
      <c r="Z1222" s="4">
        <v>17</v>
      </c>
      <c r="AA1222" s="4">
        <v>17</v>
      </c>
      <c r="AB1222" s="4">
        <v>1</v>
      </c>
      <c r="AC1222" s="4">
        <v>1</v>
      </c>
      <c r="AD1222" s="4">
        <v>107</v>
      </c>
      <c r="AE1222" s="4">
        <v>107</v>
      </c>
      <c r="AF1222" s="4">
        <v>0</v>
      </c>
      <c r="AG1222" s="4">
        <v>0</v>
      </c>
      <c r="AH1222" s="4">
        <v>96</v>
      </c>
      <c r="AI1222" s="4">
        <v>96</v>
      </c>
      <c r="AJ1222" s="4">
        <v>13</v>
      </c>
      <c r="AK1222" s="4">
        <v>13</v>
      </c>
      <c r="AL1222" s="4">
        <v>52</v>
      </c>
      <c r="AM1222" s="4">
        <v>52</v>
      </c>
      <c r="AN1222" s="4">
        <v>0</v>
      </c>
      <c r="AO1222" s="4">
        <v>0</v>
      </c>
      <c r="AP1222" s="4">
        <v>12</v>
      </c>
      <c r="AQ1222" s="4">
        <v>12</v>
      </c>
      <c r="AR1222" s="3" t="s">
        <v>64</v>
      </c>
      <c r="AS1222" s="3" t="s">
        <v>64</v>
      </c>
      <c r="AT1222" s="3" t="s">
        <v>64</v>
      </c>
      <c r="AV1222" s="6" t="str">
        <f>HYPERLINK("http://mcgill.on.worldcat.org/oclc/11187913","Catalog Record")</f>
        <v>Catalog Record</v>
      </c>
      <c r="AW1222" s="6" t="str">
        <f>HYPERLINK("http://www.worldcat.org/oclc/11187913","WorldCat Record")</f>
        <v>WorldCat Record</v>
      </c>
      <c r="AX1222" s="3" t="s">
        <v>12258</v>
      </c>
      <c r="AY1222" s="3" t="s">
        <v>12259</v>
      </c>
      <c r="AZ1222" s="3" t="s">
        <v>12260</v>
      </c>
      <c r="BA1222" s="3" t="s">
        <v>12260</v>
      </c>
      <c r="BB1222" s="3" t="s">
        <v>12261</v>
      </c>
      <c r="BC1222" s="3" t="s">
        <v>77</v>
      </c>
      <c r="BD1222" s="3" t="s">
        <v>78</v>
      </c>
      <c r="BE1222" s="3" t="s">
        <v>12262</v>
      </c>
      <c r="BF1222" s="3" t="s">
        <v>12261</v>
      </c>
      <c r="BG1222" s="3" t="s">
        <v>12263</v>
      </c>
      <c r="BH1222">
        <f t="shared" si="39"/>
        <v>0</v>
      </c>
    </row>
    <row r="1223" spans="1:60" ht="58" x14ac:dyDescent="0.35">
      <c r="A1223" s="2" t="s">
        <v>59</v>
      </c>
      <c r="B1223" s="2" t="s">
        <v>60</v>
      </c>
      <c r="C1223" s="2" t="s">
        <v>12264</v>
      </c>
      <c r="D1223" s="2" t="s">
        <v>12265</v>
      </c>
      <c r="E1223" s="2" t="s">
        <v>12266</v>
      </c>
      <c r="G1223" s="3" t="s">
        <v>64</v>
      </c>
      <c r="I1223" s="3" t="s">
        <v>64</v>
      </c>
      <c r="J1223" s="3" t="s">
        <v>64</v>
      </c>
      <c r="K1223" s="3" t="s">
        <v>65</v>
      </c>
      <c r="L1223" s="2" t="s">
        <v>12267</v>
      </c>
      <c r="M1223" s="2" t="s">
        <v>12268</v>
      </c>
      <c r="N1223" s="3" t="s">
        <v>3330</v>
      </c>
      <c r="P1223" s="3" t="s">
        <v>102</v>
      </c>
      <c r="Q1223" s="2" t="s">
        <v>12269</v>
      </c>
      <c r="R1223" s="3" t="s">
        <v>70</v>
      </c>
      <c r="S1223" s="4">
        <v>5</v>
      </c>
      <c r="T1223" s="4">
        <v>5</v>
      </c>
      <c r="U1223" s="5" t="s">
        <v>12270</v>
      </c>
      <c r="V1223" s="5" t="s">
        <v>12270</v>
      </c>
      <c r="W1223" s="5" t="s">
        <v>72</v>
      </c>
      <c r="X1223" s="5" t="s">
        <v>72</v>
      </c>
      <c r="Y1223" s="4">
        <v>533</v>
      </c>
      <c r="Z1223" s="4">
        <v>24</v>
      </c>
      <c r="AA1223" s="4">
        <v>40</v>
      </c>
      <c r="AB1223" s="4">
        <v>1</v>
      </c>
      <c r="AC1223" s="4">
        <v>6</v>
      </c>
      <c r="AD1223" s="4">
        <v>113</v>
      </c>
      <c r="AE1223" s="4">
        <v>127</v>
      </c>
      <c r="AF1223" s="4">
        <v>0</v>
      </c>
      <c r="AG1223" s="4">
        <v>2</v>
      </c>
      <c r="AH1223" s="4">
        <v>100</v>
      </c>
      <c r="AI1223" s="4">
        <v>108</v>
      </c>
      <c r="AJ1223" s="4">
        <v>14</v>
      </c>
      <c r="AK1223" s="4">
        <v>16</v>
      </c>
      <c r="AL1223" s="4">
        <v>58</v>
      </c>
      <c r="AM1223" s="4">
        <v>60</v>
      </c>
      <c r="AN1223" s="4">
        <v>0</v>
      </c>
      <c r="AO1223" s="4">
        <v>0</v>
      </c>
      <c r="AP1223" s="4">
        <v>15</v>
      </c>
      <c r="AQ1223" s="4">
        <v>22</v>
      </c>
      <c r="AR1223" s="3" t="s">
        <v>64</v>
      </c>
      <c r="AS1223" s="3" t="s">
        <v>64</v>
      </c>
      <c r="AT1223" s="3" t="s">
        <v>128</v>
      </c>
      <c r="AU1223" s="6" t="str">
        <f>HYPERLINK("http://catalog.hathitrust.org/Record/001071247","HathiTrust Record")</f>
        <v>HathiTrust Record</v>
      </c>
      <c r="AV1223" s="6" t="str">
        <f>HYPERLINK("http://mcgill.on.worldcat.org/oclc/18257382","Catalog Record")</f>
        <v>Catalog Record</v>
      </c>
      <c r="AW1223" s="6" t="str">
        <f>HYPERLINK("http://www.worldcat.org/oclc/18257382","WorldCat Record")</f>
        <v>WorldCat Record</v>
      </c>
      <c r="AX1223" s="3" t="s">
        <v>12271</v>
      </c>
      <c r="AY1223" s="3" t="s">
        <v>12272</v>
      </c>
      <c r="AZ1223" s="3" t="s">
        <v>12273</v>
      </c>
      <c r="BA1223" s="3" t="s">
        <v>12273</v>
      </c>
      <c r="BB1223" s="3" t="s">
        <v>12274</v>
      </c>
      <c r="BC1223" s="3" t="s">
        <v>77</v>
      </c>
      <c r="BD1223" s="3" t="s">
        <v>78</v>
      </c>
      <c r="BE1223" s="3" t="s">
        <v>12275</v>
      </c>
      <c r="BF1223" s="3" t="s">
        <v>12274</v>
      </c>
      <c r="BG1223" s="3" t="s">
        <v>12276</v>
      </c>
      <c r="BH1223">
        <f t="shared" si="39"/>
        <v>0</v>
      </c>
    </row>
    <row r="1224" spans="1:60" ht="58" x14ac:dyDescent="0.35">
      <c r="A1224" s="2" t="s">
        <v>59</v>
      </c>
      <c r="B1224" s="2" t="s">
        <v>60</v>
      </c>
      <c r="C1224" s="2" t="s">
        <v>12277</v>
      </c>
      <c r="D1224" s="2" t="s">
        <v>12278</v>
      </c>
      <c r="E1224" s="2" t="s">
        <v>12279</v>
      </c>
      <c r="G1224" s="3" t="s">
        <v>64</v>
      </c>
      <c r="I1224" s="3" t="s">
        <v>64</v>
      </c>
      <c r="J1224" s="3" t="s">
        <v>64</v>
      </c>
      <c r="K1224" s="3" t="s">
        <v>65</v>
      </c>
      <c r="L1224" s="2" t="s">
        <v>12280</v>
      </c>
      <c r="M1224" s="2" t="s">
        <v>12281</v>
      </c>
      <c r="N1224" s="3" t="s">
        <v>511</v>
      </c>
      <c r="P1224" s="3" t="s">
        <v>102</v>
      </c>
      <c r="R1224" s="3" t="s">
        <v>70</v>
      </c>
      <c r="S1224" s="4">
        <v>5</v>
      </c>
      <c r="T1224" s="4">
        <v>5</v>
      </c>
      <c r="U1224" s="5" t="s">
        <v>12282</v>
      </c>
      <c r="V1224" s="5" t="s">
        <v>12282</v>
      </c>
      <c r="W1224" s="5" t="s">
        <v>72</v>
      </c>
      <c r="X1224" s="5" t="s">
        <v>72</v>
      </c>
      <c r="Y1224" s="4">
        <v>225</v>
      </c>
      <c r="Z1224" s="4">
        <v>9</v>
      </c>
      <c r="AA1224" s="4">
        <v>28</v>
      </c>
      <c r="AB1224" s="4">
        <v>1</v>
      </c>
      <c r="AC1224" s="4">
        <v>5</v>
      </c>
      <c r="AD1224" s="4">
        <v>82</v>
      </c>
      <c r="AE1224" s="4">
        <v>109</v>
      </c>
      <c r="AF1224" s="4">
        <v>0</v>
      </c>
      <c r="AG1224" s="4">
        <v>2</v>
      </c>
      <c r="AH1224" s="4">
        <v>77</v>
      </c>
      <c r="AI1224" s="4">
        <v>95</v>
      </c>
      <c r="AJ1224" s="4">
        <v>7</v>
      </c>
      <c r="AK1224" s="4">
        <v>13</v>
      </c>
      <c r="AL1224" s="4">
        <v>48</v>
      </c>
      <c r="AM1224" s="4">
        <v>58</v>
      </c>
      <c r="AN1224" s="4">
        <v>0</v>
      </c>
      <c r="AO1224" s="4">
        <v>0</v>
      </c>
      <c r="AP1224" s="4">
        <v>7</v>
      </c>
      <c r="AQ1224" s="4">
        <v>18</v>
      </c>
      <c r="AR1224" s="3" t="s">
        <v>64</v>
      </c>
      <c r="AS1224" s="3" t="s">
        <v>64</v>
      </c>
      <c r="AT1224" s="3" t="s">
        <v>64</v>
      </c>
      <c r="AV1224" s="6" t="str">
        <f>HYPERLINK("http://mcgill.on.worldcat.org/oclc/489001671","Catalog Record")</f>
        <v>Catalog Record</v>
      </c>
      <c r="AW1224" s="6" t="str">
        <f>HYPERLINK("http://www.worldcat.org/oclc/489001671","WorldCat Record")</f>
        <v>WorldCat Record</v>
      </c>
      <c r="AX1224" s="3" t="s">
        <v>12283</v>
      </c>
      <c r="AY1224" s="3" t="s">
        <v>12284</v>
      </c>
      <c r="AZ1224" s="3" t="s">
        <v>12285</v>
      </c>
      <c r="BA1224" s="3" t="s">
        <v>12285</v>
      </c>
      <c r="BB1224" s="3" t="s">
        <v>12286</v>
      </c>
      <c r="BC1224" s="3" t="s">
        <v>77</v>
      </c>
      <c r="BD1224" s="3" t="s">
        <v>78</v>
      </c>
      <c r="BE1224" s="3" t="s">
        <v>12287</v>
      </c>
      <c r="BF1224" s="3" t="s">
        <v>12286</v>
      </c>
      <c r="BG1224" s="3" t="s">
        <v>12288</v>
      </c>
      <c r="BH1224">
        <f t="shared" si="39"/>
        <v>0</v>
      </c>
    </row>
    <row r="1225" spans="1:60" ht="58" x14ac:dyDescent="0.35">
      <c r="A1225" s="2" t="s">
        <v>59</v>
      </c>
      <c r="B1225" s="2" t="s">
        <v>60</v>
      </c>
      <c r="C1225" s="2" t="s">
        <v>12289</v>
      </c>
      <c r="D1225" s="2" t="s">
        <v>12290</v>
      </c>
      <c r="E1225" s="2" t="s">
        <v>12291</v>
      </c>
      <c r="G1225" s="3" t="s">
        <v>64</v>
      </c>
      <c r="I1225" s="3" t="s">
        <v>64</v>
      </c>
      <c r="J1225" s="3" t="s">
        <v>64</v>
      </c>
      <c r="K1225" s="3" t="s">
        <v>65</v>
      </c>
      <c r="M1225" s="2" t="s">
        <v>12292</v>
      </c>
      <c r="N1225" s="3" t="s">
        <v>86</v>
      </c>
      <c r="O1225" s="2" t="s">
        <v>2149</v>
      </c>
      <c r="P1225" s="3" t="s">
        <v>102</v>
      </c>
      <c r="Q1225" s="2" t="s">
        <v>351</v>
      </c>
      <c r="R1225" s="3" t="s">
        <v>70</v>
      </c>
      <c r="S1225" s="4">
        <v>14</v>
      </c>
      <c r="T1225" s="4">
        <v>14</v>
      </c>
      <c r="W1225" s="5" t="s">
        <v>72</v>
      </c>
      <c r="X1225" s="5" t="s">
        <v>72</v>
      </c>
      <c r="Y1225" s="4">
        <v>437</v>
      </c>
      <c r="Z1225" s="4">
        <v>14</v>
      </c>
      <c r="AA1225" s="4">
        <v>32</v>
      </c>
      <c r="AB1225" s="4">
        <v>1</v>
      </c>
      <c r="AC1225" s="4">
        <v>4</v>
      </c>
      <c r="AD1225" s="4">
        <v>83</v>
      </c>
      <c r="AE1225" s="4">
        <v>109</v>
      </c>
      <c r="AF1225" s="4">
        <v>0</v>
      </c>
      <c r="AG1225" s="4">
        <v>1</v>
      </c>
      <c r="AH1225" s="4">
        <v>77</v>
      </c>
      <c r="AI1225" s="4">
        <v>93</v>
      </c>
      <c r="AJ1225" s="4">
        <v>9</v>
      </c>
      <c r="AK1225" s="4">
        <v>15</v>
      </c>
      <c r="AL1225" s="4">
        <v>46</v>
      </c>
      <c r="AM1225" s="4">
        <v>53</v>
      </c>
      <c r="AN1225" s="4">
        <v>0</v>
      </c>
      <c r="AO1225" s="4">
        <v>0</v>
      </c>
      <c r="AP1225" s="4">
        <v>10</v>
      </c>
      <c r="AQ1225" s="4">
        <v>21</v>
      </c>
      <c r="AR1225" s="3" t="s">
        <v>64</v>
      </c>
      <c r="AS1225" s="3" t="s">
        <v>64</v>
      </c>
      <c r="AT1225" s="3" t="s">
        <v>64</v>
      </c>
      <c r="AV1225" s="6" t="str">
        <f>HYPERLINK("http://mcgill.on.worldcat.org/oclc/768792994","Catalog Record")</f>
        <v>Catalog Record</v>
      </c>
      <c r="AW1225" s="6" t="str">
        <f>HYPERLINK("http://www.worldcat.org/oclc/768792994","WorldCat Record")</f>
        <v>WorldCat Record</v>
      </c>
      <c r="AX1225" s="3" t="s">
        <v>12293</v>
      </c>
      <c r="AY1225" s="3" t="s">
        <v>12294</v>
      </c>
      <c r="AZ1225" s="3" t="s">
        <v>12295</v>
      </c>
      <c r="BA1225" s="3" t="s">
        <v>12295</v>
      </c>
      <c r="BB1225" s="3" t="s">
        <v>12296</v>
      </c>
      <c r="BC1225" s="3" t="s">
        <v>77</v>
      </c>
      <c r="BD1225" s="3" t="s">
        <v>165</v>
      </c>
      <c r="BE1225" s="3" t="s">
        <v>12297</v>
      </c>
      <c r="BF1225" s="3" t="s">
        <v>12296</v>
      </c>
      <c r="BG1225" s="3" t="s">
        <v>12298</v>
      </c>
      <c r="BH1225">
        <f t="shared" si="39"/>
        <v>0</v>
      </c>
    </row>
    <row r="1226" spans="1:60" ht="58" x14ac:dyDescent="0.35">
      <c r="A1226" s="2" t="s">
        <v>59</v>
      </c>
      <c r="B1226" s="2" t="s">
        <v>60</v>
      </c>
      <c r="C1226" s="2" t="s">
        <v>12299</v>
      </c>
      <c r="D1226" s="2" t="s">
        <v>12300</v>
      </c>
      <c r="E1226" s="2" t="s">
        <v>12301</v>
      </c>
      <c r="G1226" s="3" t="s">
        <v>64</v>
      </c>
      <c r="I1226" s="3" t="s">
        <v>64</v>
      </c>
      <c r="J1226" s="3" t="s">
        <v>64</v>
      </c>
      <c r="K1226" s="3" t="s">
        <v>65</v>
      </c>
      <c r="M1226" s="2" t="s">
        <v>12302</v>
      </c>
      <c r="N1226" s="3" t="s">
        <v>537</v>
      </c>
      <c r="O1226" s="2" t="s">
        <v>117</v>
      </c>
      <c r="P1226" s="3" t="s">
        <v>102</v>
      </c>
      <c r="R1226" s="3" t="s">
        <v>70</v>
      </c>
      <c r="S1226" s="4">
        <v>1</v>
      </c>
      <c r="T1226" s="4">
        <v>1</v>
      </c>
      <c r="U1226" s="5" t="s">
        <v>1846</v>
      </c>
      <c r="V1226" s="5" t="s">
        <v>1846</v>
      </c>
      <c r="W1226" s="5" t="s">
        <v>72</v>
      </c>
      <c r="X1226" s="5" t="s">
        <v>72</v>
      </c>
      <c r="Y1226" s="4">
        <v>149</v>
      </c>
      <c r="Z1226" s="4">
        <v>7</v>
      </c>
      <c r="AA1226" s="4">
        <v>39</v>
      </c>
      <c r="AB1226" s="4">
        <v>1</v>
      </c>
      <c r="AC1226" s="4">
        <v>4</v>
      </c>
      <c r="AD1226" s="4">
        <v>43</v>
      </c>
      <c r="AE1226" s="4">
        <v>61</v>
      </c>
      <c r="AF1226" s="4">
        <v>0</v>
      </c>
      <c r="AG1226" s="4">
        <v>1</v>
      </c>
      <c r="AH1226" s="4">
        <v>40</v>
      </c>
      <c r="AI1226" s="4">
        <v>48</v>
      </c>
      <c r="AJ1226" s="4">
        <v>4</v>
      </c>
      <c r="AK1226" s="4">
        <v>8</v>
      </c>
      <c r="AL1226" s="4">
        <v>24</v>
      </c>
      <c r="AM1226" s="4">
        <v>28</v>
      </c>
      <c r="AN1226" s="4">
        <v>0</v>
      </c>
      <c r="AO1226" s="4">
        <v>0</v>
      </c>
      <c r="AP1226" s="4">
        <v>4</v>
      </c>
      <c r="AQ1226" s="4">
        <v>13</v>
      </c>
      <c r="AR1226" s="3" t="s">
        <v>64</v>
      </c>
      <c r="AS1226" s="3" t="s">
        <v>64</v>
      </c>
      <c r="AT1226" s="3" t="s">
        <v>64</v>
      </c>
      <c r="AV1226" s="6" t="str">
        <f>HYPERLINK("http://mcgill.on.worldcat.org/oclc/921865621","Catalog Record")</f>
        <v>Catalog Record</v>
      </c>
      <c r="AW1226" s="6" t="str">
        <f>HYPERLINK("http://www.worldcat.org/oclc/921865621","WorldCat Record")</f>
        <v>WorldCat Record</v>
      </c>
      <c r="AX1226" s="3" t="s">
        <v>12303</v>
      </c>
      <c r="AY1226" s="3" t="s">
        <v>12304</v>
      </c>
      <c r="AZ1226" s="3" t="s">
        <v>12305</v>
      </c>
      <c r="BA1226" s="3" t="s">
        <v>12305</v>
      </c>
      <c r="BB1226" s="3" t="s">
        <v>12306</v>
      </c>
      <c r="BC1226" s="3" t="s">
        <v>77</v>
      </c>
      <c r="BD1226" s="3" t="s">
        <v>78</v>
      </c>
      <c r="BE1226" s="3" t="s">
        <v>12307</v>
      </c>
      <c r="BF1226" s="3" t="s">
        <v>12306</v>
      </c>
      <c r="BG1226" s="3" t="s">
        <v>12308</v>
      </c>
      <c r="BH1226">
        <f t="shared" si="39"/>
        <v>0</v>
      </c>
    </row>
    <row r="1227" spans="1:60" ht="58" x14ac:dyDescent="0.35">
      <c r="A1227" s="2" t="s">
        <v>59</v>
      </c>
      <c r="B1227" s="2" t="s">
        <v>60</v>
      </c>
      <c r="C1227" s="2" t="s">
        <v>12309</v>
      </c>
      <c r="D1227" s="2" t="s">
        <v>12310</v>
      </c>
      <c r="E1227" s="2" t="s">
        <v>12311</v>
      </c>
      <c r="G1227" s="3" t="s">
        <v>64</v>
      </c>
      <c r="I1227" s="3" t="s">
        <v>64</v>
      </c>
      <c r="J1227" s="3" t="s">
        <v>64</v>
      </c>
      <c r="K1227" s="3" t="s">
        <v>65</v>
      </c>
      <c r="L1227" s="2" t="s">
        <v>12312</v>
      </c>
      <c r="M1227" s="2" t="s">
        <v>12313</v>
      </c>
      <c r="N1227" s="3" t="s">
        <v>101</v>
      </c>
      <c r="P1227" s="3" t="s">
        <v>102</v>
      </c>
      <c r="Q1227" s="2" t="s">
        <v>3876</v>
      </c>
      <c r="R1227" s="3" t="s">
        <v>70</v>
      </c>
      <c r="S1227" s="4">
        <v>11</v>
      </c>
      <c r="T1227" s="4">
        <v>11</v>
      </c>
      <c r="U1227" s="5" t="s">
        <v>1541</v>
      </c>
      <c r="V1227" s="5" t="s">
        <v>1541</v>
      </c>
      <c r="W1227" s="5" t="s">
        <v>72</v>
      </c>
      <c r="X1227" s="5" t="s">
        <v>72</v>
      </c>
      <c r="Y1227" s="4">
        <v>228</v>
      </c>
      <c r="Z1227" s="4">
        <v>12</v>
      </c>
      <c r="AA1227" s="4">
        <v>13</v>
      </c>
      <c r="AB1227" s="4">
        <v>2</v>
      </c>
      <c r="AC1227" s="4">
        <v>2</v>
      </c>
      <c r="AD1227" s="4">
        <v>91</v>
      </c>
      <c r="AE1227" s="4">
        <v>92</v>
      </c>
      <c r="AF1227" s="4">
        <v>1</v>
      </c>
      <c r="AG1227" s="4">
        <v>1</v>
      </c>
      <c r="AH1227" s="4">
        <v>83</v>
      </c>
      <c r="AI1227" s="4">
        <v>83</v>
      </c>
      <c r="AJ1227" s="4">
        <v>8</v>
      </c>
      <c r="AK1227" s="4">
        <v>8</v>
      </c>
      <c r="AL1227" s="4">
        <v>50</v>
      </c>
      <c r="AM1227" s="4">
        <v>50</v>
      </c>
      <c r="AN1227" s="4">
        <v>0</v>
      </c>
      <c r="AO1227" s="4">
        <v>0</v>
      </c>
      <c r="AP1227" s="4">
        <v>9</v>
      </c>
      <c r="AQ1227" s="4">
        <v>10</v>
      </c>
      <c r="AR1227" s="3" t="s">
        <v>64</v>
      </c>
      <c r="AS1227" s="3" t="s">
        <v>64</v>
      </c>
      <c r="AT1227" s="3" t="s">
        <v>64</v>
      </c>
      <c r="AV1227" s="6" t="str">
        <f>HYPERLINK("http://mcgill.on.worldcat.org/oclc/50803654","Catalog Record")</f>
        <v>Catalog Record</v>
      </c>
      <c r="AW1227" s="6" t="str">
        <f>HYPERLINK("http://www.worldcat.org/oclc/50803654","WorldCat Record")</f>
        <v>WorldCat Record</v>
      </c>
      <c r="AX1227" s="3" t="s">
        <v>12314</v>
      </c>
      <c r="AY1227" s="3" t="s">
        <v>12315</v>
      </c>
      <c r="AZ1227" s="3" t="s">
        <v>12316</v>
      </c>
      <c r="BA1227" s="3" t="s">
        <v>12316</v>
      </c>
      <c r="BB1227" s="3" t="s">
        <v>12317</v>
      </c>
      <c r="BC1227" s="3" t="s">
        <v>77</v>
      </c>
      <c r="BD1227" s="3" t="s">
        <v>78</v>
      </c>
      <c r="BE1227" s="3" t="s">
        <v>12318</v>
      </c>
      <c r="BF1227" s="3" t="s">
        <v>12317</v>
      </c>
      <c r="BG1227" s="3" t="s">
        <v>12319</v>
      </c>
      <c r="BH1227">
        <f t="shared" si="39"/>
        <v>0</v>
      </c>
    </row>
    <row r="1228" spans="1:60" ht="58" x14ac:dyDescent="0.35">
      <c r="A1228" s="2" t="s">
        <v>59</v>
      </c>
      <c r="B1228" s="2" t="s">
        <v>60</v>
      </c>
      <c r="C1228" s="2" t="s">
        <v>12320</v>
      </c>
      <c r="D1228" s="2" t="s">
        <v>12321</v>
      </c>
      <c r="E1228" s="2" t="s">
        <v>12322</v>
      </c>
      <c r="G1228" s="3" t="s">
        <v>64</v>
      </c>
      <c r="I1228" s="3" t="s">
        <v>64</v>
      </c>
      <c r="J1228" s="3" t="s">
        <v>64</v>
      </c>
      <c r="K1228" s="3" t="s">
        <v>65</v>
      </c>
      <c r="M1228" s="2" t="s">
        <v>1213</v>
      </c>
      <c r="N1228" s="3" t="s">
        <v>1075</v>
      </c>
      <c r="P1228" s="3" t="s">
        <v>102</v>
      </c>
      <c r="R1228" s="3" t="s">
        <v>70</v>
      </c>
      <c r="S1228" s="4">
        <v>0</v>
      </c>
      <c r="T1228" s="4">
        <v>0</v>
      </c>
      <c r="W1228" s="5" t="s">
        <v>72</v>
      </c>
      <c r="X1228" s="5" t="s">
        <v>72</v>
      </c>
      <c r="Y1228" s="4">
        <v>98</v>
      </c>
      <c r="Z1228" s="4">
        <v>9</v>
      </c>
      <c r="AA1228" s="4">
        <v>29</v>
      </c>
      <c r="AB1228" s="4">
        <v>1</v>
      </c>
      <c r="AC1228" s="4">
        <v>4</v>
      </c>
      <c r="AD1228" s="4">
        <v>38</v>
      </c>
      <c r="AE1228" s="4">
        <v>51</v>
      </c>
      <c r="AF1228" s="4">
        <v>0</v>
      </c>
      <c r="AG1228" s="4">
        <v>0</v>
      </c>
      <c r="AH1228" s="4">
        <v>34</v>
      </c>
      <c r="AI1228" s="4">
        <v>42</v>
      </c>
      <c r="AJ1228" s="4">
        <v>6</v>
      </c>
      <c r="AK1228" s="4">
        <v>7</v>
      </c>
      <c r="AL1228" s="4">
        <v>21</v>
      </c>
      <c r="AM1228" s="4">
        <v>26</v>
      </c>
      <c r="AN1228" s="4">
        <v>0</v>
      </c>
      <c r="AO1228" s="4">
        <v>0</v>
      </c>
      <c r="AP1228" s="4">
        <v>6</v>
      </c>
      <c r="AQ1228" s="4">
        <v>11</v>
      </c>
      <c r="AR1228" s="3" t="s">
        <v>64</v>
      </c>
      <c r="AS1228" s="3" t="s">
        <v>64</v>
      </c>
      <c r="AT1228" s="3" t="s">
        <v>64</v>
      </c>
      <c r="AV1228" s="6" t="str">
        <f>HYPERLINK("http://mcgill.on.worldcat.org/oclc/820665475","Catalog Record")</f>
        <v>Catalog Record</v>
      </c>
      <c r="AW1228" s="6" t="str">
        <f>HYPERLINK("http://www.worldcat.org/oclc/820665475","WorldCat Record")</f>
        <v>WorldCat Record</v>
      </c>
      <c r="AX1228" s="3" t="s">
        <v>12323</v>
      </c>
      <c r="AY1228" s="3" t="s">
        <v>12324</v>
      </c>
      <c r="AZ1228" s="3" t="s">
        <v>12325</v>
      </c>
      <c r="BA1228" s="3" t="s">
        <v>12325</v>
      </c>
      <c r="BB1228" s="3" t="s">
        <v>12326</v>
      </c>
      <c r="BC1228" s="3" t="s">
        <v>77</v>
      </c>
      <c r="BD1228" s="3" t="s">
        <v>78</v>
      </c>
      <c r="BE1228" s="3" t="s">
        <v>12327</v>
      </c>
      <c r="BF1228" s="3" t="s">
        <v>12326</v>
      </c>
      <c r="BG1228" s="3" t="s">
        <v>12328</v>
      </c>
      <c r="BH1228">
        <f t="shared" si="39"/>
        <v>0</v>
      </c>
    </row>
    <row r="1229" spans="1:60" ht="58" x14ac:dyDescent="0.35">
      <c r="A1229" s="2" t="s">
        <v>59</v>
      </c>
      <c r="B1229" s="2" t="s">
        <v>60</v>
      </c>
      <c r="C1229" s="2" t="s">
        <v>12329</v>
      </c>
      <c r="D1229" s="2" t="s">
        <v>12330</v>
      </c>
      <c r="E1229" s="2" t="s">
        <v>12331</v>
      </c>
      <c r="G1229" s="3" t="s">
        <v>64</v>
      </c>
      <c r="I1229" s="3" t="s">
        <v>64</v>
      </c>
      <c r="J1229" s="3" t="s">
        <v>64</v>
      </c>
      <c r="K1229" s="3" t="s">
        <v>65</v>
      </c>
      <c r="L1229" s="2" t="s">
        <v>12332</v>
      </c>
      <c r="M1229" s="2" t="s">
        <v>12333</v>
      </c>
      <c r="N1229" s="3" t="s">
        <v>898</v>
      </c>
      <c r="P1229" s="3" t="s">
        <v>102</v>
      </c>
      <c r="R1229" s="3" t="s">
        <v>70</v>
      </c>
      <c r="S1229" s="4">
        <v>18</v>
      </c>
      <c r="T1229" s="4">
        <v>18</v>
      </c>
      <c r="U1229" s="5" t="s">
        <v>5324</v>
      </c>
      <c r="V1229" s="5" t="s">
        <v>5324</v>
      </c>
      <c r="W1229" s="5" t="s">
        <v>72</v>
      </c>
      <c r="X1229" s="5" t="s">
        <v>72</v>
      </c>
      <c r="Y1229" s="4">
        <v>55</v>
      </c>
      <c r="Z1229" s="4">
        <v>38</v>
      </c>
      <c r="AA1229" s="4">
        <v>39</v>
      </c>
      <c r="AB1229" s="4">
        <v>4</v>
      </c>
      <c r="AC1229" s="4">
        <v>4</v>
      </c>
      <c r="AD1229" s="4">
        <v>35</v>
      </c>
      <c r="AE1229" s="4">
        <v>36</v>
      </c>
      <c r="AF1229" s="4">
        <v>1</v>
      </c>
      <c r="AG1229" s="4">
        <v>1</v>
      </c>
      <c r="AH1229" s="4">
        <v>21</v>
      </c>
      <c r="AI1229" s="4">
        <v>22</v>
      </c>
      <c r="AJ1229" s="4">
        <v>20</v>
      </c>
      <c r="AK1229" s="4">
        <v>21</v>
      </c>
      <c r="AL1229" s="4">
        <v>8</v>
      </c>
      <c r="AM1229" s="4">
        <v>8</v>
      </c>
      <c r="AN1229" s="4">
        <v>0</v>
      </c>
      <c r="AO1229" s="4">
        <v>0</v>
      </c>
      <c r="AP1229" s="4">
        <v>25</v>
      </c>
      <c r="AQ1229" s="4">
        <v>26</v>
      </c>
      <c r="AR1229" s="3" t="s">
        <v>128</v>
      </c>
      <c r="AS1229" s="3" t="s">
        <v>64</v>
      </c>
      <c r="AT1229" s="3" t="s">
        <v>128</v>
      </c>
      <c r="AU1229" s="6" t="str">
        <f>HYPERLINK("http://catalog.hathitrust.org/Record/000698741","HathiTrust Record")</f>
        <v>HathiTrust Record</v>
      </c>
      <c r="AV1229" s="6" t="str">
        <f>HYPERLINK("http://mcgill.on.worldcat.org/oclc/6531795","Catalog Record")</f>
        <v>Catalog Record</v>
      </c>
      <c r="AW1229" s="6" t="str">
        <f>HYPERLINK("http://www.worldcat.org/oclc/6531795","WorldCat Record")</f>
        <v>WorldCat Record</v>
      </c>
      <c r="AX1229" s="3" t="s">
        <v>12334</v>
      </c>
      <c r="AY1229" s="3" t="s">
        <v>12335</v>
      </c>
      <c r="AZ1229" s="3" t="s">
        <v>12336</v>
      </c>
      <c r="BA1229" s="3" t="s">
        <v>12336</v>
      </c>
      <c r="BB1229" s="3" t="s">
        <v>12337</v>
      </c>
      <c r="BC1229" s="3" t="s">
        <v>77</v>
      </c>
      <c r="BD1229" s="3" t="s">
        <v>78</v>
      </c>
      <c r="BE1229" s="3" t="s">
        <v>12338</v>
      </c>
      <c r="BF1229" s="3" t="s">
        <v>12337</v>
      </c>
      <c r="BG1229" s="3" t="s">
        <v>12339</v>
      </c>
      <c r="BH1229">
        <f t="shared" si="39"/>
        <v>0</v>
      </c>
    </row>
    <row r="1230" spans="1:60" ht="58" x14ac:dyDescent="0.35">
      <c r="A1230" s="2" t="s">
        <v>59</v>
      </c>
      <c r="B1230" s="2" t="s">
        <v>60</v>
      </c>
      <c r="C1230" s="2" t="s">
        <v>12340</v>
      </c>
      <c r="D1230" s="2" t="s">
        <v>12341</v>
      </c>
      <c r="E1230" s="2" t="s">
        <v>12342</v>
      </c>
      <c r="G1230" s="3" t="s">
        <v>64</v>
      </c>
      <c r="I1230" s="3" t="s">
        <v>64</v>
      </c>
      <c r="J1230" s="3" t="s">
        <v>64</v>
      </c>
      <c r="K1230" s="3" t="s">
        <v>65</v>
      </c>
      <c r="L1230" s="2" t="s">
        <v>12343</v>
      </c>
      <c r="N1230" s="3" t="s">
        <v>364</v>
      </c>
      <c r="P1230" s="3" t="s">
        <v>102</v>
      </c>
      <c r="R1230" s="3" t="s">
        <v>70</v>
      </c>
      <c r="S1230" s="4">
        <v>3</v>
      </c>
      <c r="T1230" s="4">
        <v>3</v>
      </c>
      <c r="U1230" s="5" t="s">
        <v>12344</v>
      </c>
      <c r="V1230" s="5" t="s">
        <v>12344</v>
      </c>
      <c r="W1230" s="5" t="s">
        <v>72</v>
      </c>
      <c r="X1230" s="5" t="s">
        <v>72</v>
      </c>
      <c r="Y1230" s="4">
        <v>25</v>
      </c>
      <c r="Z1230" s="4">
        <v>12</v>
      </c>
      <c r="AA1230" s="4">
        <v>13</v>
      </c>
      <c r="AB1230" s="4">
        <v>1</v>
      </c>
      <c r="AC1230" s="4">
        <v>2</v>
      </c>
      <c r="AD1230" s="4">
        <v>17</v>
      </c>
      <c r="AE1230" s="4">
        <v>18</v>
      </c>
      <c r="AF1230" s="4">
        <v>0</v>
      </c>
      <c r="AG1230" s="4">
        <v>1</v>
      </c>
      <c r="AH1230" s="4">
        <v>14</v>
      </c>
      <c r="AI1230" s="4">
        <v>14</v>
      </c>
      <c r="AJ1230" s="4">
        <v>8</v>
      </c>
      <c r="AK1230" s="4">
        <v>9</v>
      </c>
      <c r="AL1230" s="4">
        <v>7</v>
      </c>
      <c r="AM1230" s="4">
        <v>7</v>
      </c>
      <c r="AN1230" s="4">
        <v>0</v>
      </c>
      <c r="AO1230" s="4">
        <v>0</v>
      </c>
      <c r="AP1230" s="4">
        <v>8</v>
      </c>
      <c r="AQ1230" s="4">
        <v>8</v>
      </c>
      <c r="AR1230" s="3" t="s">
        <v>128</v>
      </c>
      <c r="AS1230" s="3" t="s">
        <v>64</v>
      </c>
      <c r="AT1230" s="3" t="s">
        <v>128</v>
      </c>
      <c r="AU1230" s="6" t="str">
        <f>HYPERLINK("http://catalog.hathitrust.org/Record/001162139","HathiTrust Record")</f>
        <v>HathiTrust Record</v>
      </c>
      <c r="AV1230" s="6" t="str">
        <f>HYPERLINK("http://mcgill.on.worldcat.org/oclc/1086070","Catalog Record")</f>
        <v>Catalog Record</v>
      </c>
      <c r="AW1230" s="6" t="str">
        <f>HYPERLINK("http://www.worldcat.org/oclc/1086070","WorldCat Record")</f>
        <v>WorldCat Record</v>
      </c>
      <c r="AX1230" s="3" t="s">
        <v>12345</v>
      </c>
      <c r="AY1230" s="3" t="s">
        <v>12346</v>
      </c>
      <c r="AZ1230" s="3" t="s">
        <v>12347</v>
      </c>
      <c r="BA1230" s="3" t="s">
        <v>12347</v>
      </c>
      <c r="BB1230" s="3" t="s">
        <v>12348</v>
      </c>
      <c r="BC1230" s="3" t="s">
        <v>77</v>
      </c>
      <c r="BD1230" s="3" t="s">
        <v>78</v>
      </c>
      <c r="BF1230" s="3" t="s">
        <v>12348</v>
      </c>
      <c r="BG1230" s="3" t="s">
        <v>12349</v>
      </c>
      <c r="BH1230">
        <f t="shared" si="39"/>
        <v>0</v>
      </c>
    </row>
    <row r="1231" spans="1:60" ht="58" x14ac:dyDescent="0.35">
      <c r="A1231" s="2" t="s">
        <v>59</v>
      </c>
      <c r="B1231" s="2" t="s">
        <v>60</v>
      </c>
      <c r="C1231" s="2" t="s">
        <v>12350</v>
      </c>
      <c r="D1231" s="2" t="s">
        <v>12351</v>
      </c>
      <c r="E1231" s="2" t="s">
        <v>12352</v>
      </c>
      <c r="G1231" s="3" t="s">
        <v>64</v>
      </c>
      <c r="I1231" s="3" t="s">
        <v>64</v>
      </c>
      <c r="J1231" s="3" t="s">
        <v>64</v>
      </c>
      <c r="K1231" s="3" t="s">
        <v>65</v>
      </c>
      <c r="M1231" s="2" t="s">
        <v>12353</v>
      </c>
      <c r="N1231" s="3" t="s">
        <v>67</v>
      </c>
      <c r="P1231" s="3" t="s">
        <v>102</v>
      </c>
      <c r="Q1231" s="2" t="s">
        <v>12354</v>
      </c>
      <c r="R1231" s="3" t="s">
        <v>70</v>
      </c>
      <c r="S1231" s="4">
        <v>0</v>
      </c>
      <c r="T1231" s="4">
        <v>0</v>
      </c>
      <c r="W1231" s="5" t="s">
        <v>72</v>
      </c>
      <c r="X1231" s="5" t="s">
        <v>72</v>
      </c>
      <c r="Y1231" s="4">
        <v>5</v>
      </c>
      <c r="Z1231" s="4">
        <v>3</v>
      </c>
      <c r="AA1231" s="4">
        <v>8</v>
      </c>
      <c r="AB1231" s="4">
        <v>1</v>
      </c>
      <c r="AC1231" s="4">
        <v>1</v>
      </c>
      <c r="AD1231" s="4">
        <v>3</v>
      </c>
      <c r="AE1231" s="4">
        <v>9</v>
      </c>
      <c r="AF1231" s="4">
        <v>0</v>
      </c>
      <c r="AG1231" s="4">
        <v>0</v>
      </c>
      <c r="AH1231" s="4">
        <v>2</v>
      </c>
      <c r="AI1231" s="4">
        <v>7</v>
      </c>
      <c r="AJ1231" s="4">
        <v>2</v>
      </c>
      <c r="AK1231" s="4">
        <v>6</v>
      </c>
      <c r="AL1231" s="4">
        <v>1</v>
      </c>
      <c r="AM1231" s="4">
        <v>3</v>
      </c>
      <c r="AN1231" s="4">
        <v>0</v>
      </c>
      <c r="AO1231" s="4">
        <v>0</v>
      </c>
      <c r="AP1231" s="4">
        <v>2</v>
      </c>
      <c r="AQ1231" s="4">
        <v>5</v>
      </c>
      <c r="AR1231" s="3" t="s">
        <v>128</v>
      </c>
      <c r="AS1231" s="3" t="s">
        <v>64</v>
      </c>
      <c r="AT1231" s="3" t="s">
        <v>64</v>
      </c>
      <c r="AV1231" s="6" t="str">
        <f>HYPERLINK("http://mcgill.on.worldcat.org/oclc/867897539","Catalog Record")</f>
        <v>Catalog Record</v>
      </c>
      <c r="AW1231" s="6" t="str">
        <f>HYPERLINK("http://www.worldcat.org/oclc/867897539","WorldCat Record")</f>
        <v>WorldCat Record</v>
      </c>
      <c r="AX1231" s="3" t="s">
        <v>12355</v>
      </c>
      <c r="AY1231" s="3" t="s">
        <v>12356</v>
      </c>
      <c r="AZ1231" s="3" t="s">
        <v>12357</v>
      </c>
      <c r="BA1231" s="3" t="s">
        <v>12357</v>
      </c>
      <c r="BB1231" s="3" t="s">
        <v>12358</v>
      </c>
      <c r="BC1231" s="3" t="s">
        <v>77</v>
      </c>
      <c r="BD1231" s="3" t="s">
        <v>78</v>
      </c>
      <c r="BE1231" s="3" t="s">
        <v>12359</v>
      </c>
      <c r="BF1231" s="3" t="s">
        <v>12358</v>
      </c>
      <c r="BG1231" s="3" t="s">
        <v>12360</v>
      </c>
      <c r="BH1231">
        <f t="shared" si="39"/>
        <v>0</v>
      </c>
    </row>
    <row r="1232" spans="1:60" ht="58" x14ac:dyDescent="0.35">
      <c r="A1232" s="2" t="s">
        <v>59</v>
      </c>
      <c r="B1232" s="2" t="s">
        <v>60</v>
      </c>
      <c r="C1232" s="2" t="s">
        <v>12361</v>
      </c>
      <c r="D1232" s="2" t="s">
        <v>12362</v>
      </c>
      <c r="E1232" s="2" t="s">
        <v>12363</v>
      </c>
      <c r="G1232" s="3" t="s">
        <v>64</v>
      </c>
      <c r="I1232" s="3" t="s">
        <v>64</v>
      </c>
      <c r="J1232" s="3" t="s">
        <v>64</v>
      </c>
      <c r="K1232" s="3" t="s">
        <v>65</v>
      </c>
      <c r="L1232" s="2" t="s">
        <v>12364</v>
      </c>
      <c r="M1232" s="2" t="s">
        <v>12365</v>
      </c>
      <c r="N1232" s="3" t="s">
        <v>86</v>
      </c>
      <c r="P1232" s="3" t="s">
        <v>102</v>
      </c>
      <c r="R1232" s="3" t="s">
        <v>70</v>
      </c>
      <c r="S1232" s="4">
        <v>6</v>
      </c>
      <c r="T1232" s="4">
        <v>6</v>
      </c>
      <c r="U1232" s="5" t="s">
        <v>11884</v>
      </c>
      <c r="V1232" s="5" t="s">
        <v>11884</v>
      </c>
      <c r="W1232" s="5" t="s">
        <v>72</v>
      </c>
      <c r="X1232" s="5" t="s">
        <v>72</v>
      </c>
      <c r="Y1232" s="4">
        <v>74</v>
      </c>
      <c r="Z1232" s="4">
        <v>41</v>
      </c>
      <c r="AA1232" s="4">
        <v>66</v>
      </c>
      <c r="AB1232" s="4">
        <v>3</v>
      </c>
      <c r="AC1232" s="4">
        <v>9</v>
      </c>
      <c r="AD1232" s="4">
        <v>38</v>
      </c>
      <c r="AE1232" s="4">
        <v>50</v>
      </c>
      <c r="AF1232" s="4">
        <v>0</v>
      </c>
      <c r="AG1232" s="4">
        <v>2</v>
      </c>
      <c r="AH1232" s="4">
        <v>27</v>
      </c>
      <c r="AI1232" s="4">
        <v>31</v>
      </c>
      <c r="AJ1232" s="4">
        <v>19</v>
      </c>
      <c r="AK1232" s="4">
        <v>22</v>
      </c>
      <c r="AL1232" s="4">
        <v>13</v>
      </c>
      <c r="AM1232" s="4">
        <v>16</v>
      </c>
      <c r="AN1232" s="4">
        <v>0</v>
      </c>
      <c r="AO1232" s="4">
        <v>0</v>
      </c>
      <c r="AP1232" s="4">
        <v>22</v>
      </c>
      <c r="AQ1232" s="4">
        <v>31</v>
      </c>
      <c r="AR1232" s="3" t="s">
        <v>128</v>
      </c>
      <c r="AS1232" s="3" t="s">
        <v>64</v>
      </c>
      <c r="AT1232" s="3" t="s">
        <v>64</v>
      </c>
      <c r="AV1232" s="6" t="str">
        <f>HYPERLINK("http://mcgill.on.worldcat.org/oclc/783156276","Catalog Record")</f>
        <v>Catalog Record</v>
      </c>
      <c r="AW1232" s="6" t="str">
        <f>HYPERLINK("http://www.worldcat.org/oclc/783156276","WorldCat Record")</f>
        <v>WorldCat Record</v>
      </c>
      <c r="AX1232" s="3" t="s">
        <v>12366</v>
      </c>
      <c r="AY1232" s="3" t="s">
        <v>12367</v>
      </c>
      <c r="AZ1232" s="3" t="s">
        <v>12368</v>
      </c>
      <c r="BA1232" s="3" t="s">
        <v>12368</v>
      </c>
      <c r="BB1232" s="3" t="s">
        <v>12369</v>
      </c>
      <c r="BC1232" s="3" t="s">
        <v>77</v>
      </c>
      <c r="BD1232" s="3" t="s">
        <v>78</v>
      </c>
      <c r="BE1232" s="3" t="s">
        <v>12370</v>
      </c>
      <c r="BF1232" s="3" t="s">
        <v>12369</v>
      </c>
      <c r="BG1232" s="3" t="s">
        <v>12371</v>
      </c>
      <c r="BH1232">
        <f t="shared" si="39"/>
        <v>0</v>
      </c>
    </row>
    <row r="1233" spans="1:60" ht="58" x14ac:dyDescent="0.35">
      <c r="A1233" s="2" t="s">
        <v>59</v>
      </c>
      <c r="B1233" s="2" t="s">
        <v>60</v>
      </c>
      <c r="C1233" s="2" t="s">
        <v>12372</v>
      </c>
      <c r="D1233" s="2" t="s">
        <v>12373</v>
      </c>
      <c r="E1233" s="2" t="s">
        <v>12374</v>
      </c>
      <c r="G1233" s="3" t="s">
        <v>64</v>
      </c>
      <c r="I1233" s="3" t="s">
        <v>64</v>
      </c>
      <c r="J1233" s="3" t="s">
        <v>64</v>
      </c>
      <c r="K1233" s="3" t="s">
        <v>65</v>
      </c>
      <c r="L1233" s="2" t="s">
        <v>12375</v>
      </c>
      <c r="M1233" s="2" t="s">
        <v>12376</v>
      </c>
      <c r="N1233" s="3" t="s">
        <v>101</v>
      </c>
      <c r="P1233" s="3" t="s">
        <v>102</v>
      </c>
      <c r="R1233" s="3" t="s">
        <v>70</v>
      </c>
      <c r="S1233" s="4">
        <v>28</v>
      </c>
      <c r="T1233" s="4">
        <v>28</v>
      </c>
      <c r="U1233" s="5" t="s">
        <v>269</v>
      </c>
      <c r="V1233" s="5" t="s">
        <v>269</v>
      </c>
      <c r="W1233" s="5" t="s">
        <v>72</v>
      </c>
      <c r="X1233" s="5" t="s">
        <v>72</v>
      </c>
      <c r="Y1233" s="4">
        <v>101</v>
      </c>
      <c r="Z1233" s="4">
        <v>76</v>
      </c>
      <c r="AA1233" s="4">
        <v>77</v>
      </c>
      <c r="AB1233" s="4">
        <v>6</v>
      </c>
      <c r="AC1233" s="4">
        <v>7</v>
      </c>
      <c r="AD1233" s="4">
        <v>42</v>
      </c>
      <c r="AE1233" s="4">
        <v>43</v>
      </c>
      <c r="AF1233" s="4">
        <v>1</v>
      </c>
      <c r="AG1233" s="4">
        <v>2</v>
      </c>
      <c r="AH1233" s="4">
        <v>20</v>
      </c>
      <c r="AI1233" s="4">
        <v>20</v>
      </c>
      <c r="AJ1233" s="4">
        <v>22</v>
      </c>
      <c r="AK1233" s="4">
        <v>23</v>
      </c>
      <c r="AL1233" s="4">
        <v>4</v>
      </c>
      <c r="AM1233" s="4">
        <v>4</v>
      </c>
      <c r="AN1233" s="4">
        <v>0</v>
      </c>
      <c r="AO1233" s="4">
        <v>0</v>
      </c>
      <c r="AP1233" s="4">
        <v>34</v>
      </c>
      <c r="AQ1233" s="4">
        <v>34</v>
      </c>
      <c r="AR1233" s="3" t="s">
        <v>128</v>
      </c>
      <c r="AS1233" s="3" t="s">
        <v>64</v>
      </c>
      <c r="AT1233" s="3" t="s">
        <v>64</v>
      </c>
      <c r="AV1233" s="6" t="str">
        <f>HYPERLINK("http://mcgill.on.worldcat.org/oclc/55962178","Catalog Record")</f>
        <v>Catalog Record</v>
      </c>
      <c r="AW1233" s="6" t="str">
        <f>HYPERLINK("http://www.worldcat.org/oclc/55962178","WorldCat Record")</f>
        <v>WorldCat Record</v>
      </c>
      <c r="AX1233" s="3" t="s">
        <v>12377</v>
      </c>
      <c r="AY1233" s="3" t="s">
        <v>12378</v>
      </c>
      <c r="AZ1233" s="3" t="s">
        <v>12379</v>
      </c>
      <c r="BA1233" s="3" t="s">
        <v>12379</v>
      </c>
      <c r="BB1233" s="3" t="s">
        <v>12380</v>
      </c>
      <c r="BC1233" s="3" t="s">
        <v>77</v>
      </c>
      <c r="BD1233" s="3" t="s">
        <v>78</v>
      </c>
      <c r="BE1233" s="3" t="s">
        <v>12381</v>
      </c>
      <c r="BF1233" s="3" t="s">
        <v>12380</v>
      </c>
      <c r="BG1233" s="3" t="s">
        <v>12382</v>
      </c>
      <c r="BH1233">
        <f t="shared" si="39"/>
        <v>0</v>
      </c>
    </row>
    <row r="1234" spans="1:60" ht="58" x14ac:dyDescent="0.35">
      <c r="A1234" s="2" t="s">
        <v>59</v>
      </c>
      <c r="B1234" s="2" t="s">
        <v>60</v>
      </c>
      <c r="C1234" s="2" t="s">
        <v>12383</v>
      </c>
      <c r="D1234" s="2" t="s">
        <v>12384</v>
      </c>
      <c r="E1234" s="2" t="s">
        <v>12385</v>
      </c>
      <c r="G1234" s="3" t="s">
        <v>64</v>
      </c>
      <c r="I1234" s="3" t="s">
        <v>64</v>
      </c>
      <c r="J1234" s="3" t="s">
        <v>64</v>
      </c>
      <c r="K1234" s="3" t="s">
        <v>65</v>
      </c>
      <c r="L1234" s="2" t="s">
        <v>12375</v>
      </c>
      <c r="M1234" s="2" t="s">
        <v>12386</v>
      </c>
      <c r="N1234" s="3" t="s">
        <v>291</v>
      </c>
      <c r="O1234" s="2" t="s">
        <v>12387</v>
      </c>
      <c r="P1234" s="3" t="s">
        <v>102</v>
      </c>
      <c r="R1234" s="3" t="s">
        <v>70</v>
      </c>
      <c r="S1234" s="4">
        <v>22</v>
      </c>
      <c r="T1234" s="4">
        <v>22</v>
      </c>
      <c r="U1234" s="5" t="s">
        <v>1192</v>
      </c>
      <c r="V1234" s="5" t="s">
        <v>1192</v>
      </c>
      <c r="W1234" s="5" t="s">
        <v>72</v>
      </c>
      <c r="X1234" s="5" t="s">
        <v>72</v>
      </c>
      <c r="Y1234" s="4">
        <v>67</v>
      </c>
      <c r="Z1234" s="4">
        <v>46</v>
      </c>
      <c r="AA1234" s="4">
        <v>54</v>
      </c>
      <c r="AB1234" s="4">
        <v>4</v>
      </c>
      <c r="AC1234" s="4">
        <v>5</v>
      </c>
      <c r="AD1234" s="4">
        <v>30</v>
      </c>
      <c r="AE1234" s="4">
        <v>35</v>
      </c>
      <c r="AF1234" s="4">
        <v>1</v>
      </c>
      <c r="AG1234" s="4">
        <v>1</v>
      </c>
      <c r="AH1234" s="4">
        <v>17</v>
      </c>
      <c r="AI1234" s="4">
        <v>18</v>
      </c>
      <c r="AJ1234" s="4">
        <v>15</v>
      </c>
      <c r="AK1234" s="4">
        <v>18</v>
      </c>
      <c r="AL1234" s="4">
        <v>8</v>
      </c>
      <c r="AM1234" s="4">
        <v>8</v>
      </c>
      <c r="AN1234" s="4">
        <v>0</v>
      </c>
      <c r="AO1234" s="4">
        <v>0</v>
      </c>
      <c r="AP1234" s="4">
        <v>21</v>
      </c>
      <c r="AQ1234" s="4">
        <v>25</v>
      </c>
      <c r="AR1234" s="3" t="s">
        <v>128</v>
      </c>
      <c r="AS1234" s="3" t="s">
        <v>64</v>
      </c>
      <c r="AT1234" s="3" t="s">
        <v>64</v>
      </c>
      <c r="AV1234" s="6" t="str">
        <f>HYPERLINK("http://mcgill.on.worldcat.org/oclc/67860030","Catalog Record")</f>
        <v>Catalog Record</v>
      </c>
      <c r="AW1234" s="6" t="str">
        <f>HYPERLINK("http://www.worldcat.org/oclc/67860030","WorldCat Record")</f>
        <v>WorldCat Record</v>
      </c>
      <c r="AX1234" s="3" t="s">
        <v>12388</v>
      </c>
      <c r="AY1234" s="3" t="s">
        <v>12389</v>
      </c>
      <c r="AZ1234" s="3" t="s">
        <v>12390</v>
      </c>
      <c r="BA1234" s="3" t="s">
        <v>12390</v>
      </c>
      <c r="BB1234" s="3" t="s">
        <v>12391</v>
      </c>
      <c r="BC1234" s="3" t="s">
        <v>77</v>
      </c>
      <c r="BD1234" s="3" t="s">
        <v>78</v>
      </c>
      <c r="BE1234" s="3" t="s">
        <v>12392</v>
      </c>
      <c r="BF1234" s="3" t="s">
        <v>12391</v>
      </c>
      <c r="BG1234" s="3" t="s">
        <v>12393</v>
      </c>
      <c r="BH1234">
        <f t="shared" si="39"/>
        <v>0</v>
      </c>
    </row>
    <row r="1235" spans="1:60" ht="58" x14ac:dyDescent="0.35">
      <c r="A1235" s="2" t="s">
        <v>59</v>
      </c>
      <c r="B1235" s="2" t="s">
        <v>60</v>
      </c>
      <c r="C1235" s="2" t="s">
        <v>12394</v>
      </c>
      <c r="D1235" s="2" t="s">
        <v>12395</v>
      </c>
      <c r="E1235" s="2" t="s">
        <v>12396</v>
      </c>
      <c r="G1235" s="3" t="s">
        <v>64</v>
      </c>
      <c r="I1235" s="3" t="s">
        <v>128</v>
      </c>
      <c r="J1235" s="3" t="s">
        <v>64</v>
      </c>
      <c r="K1235" s="3" t="s">
        <v>65</v>
      </c>
      <c r="M1235" s="2" t="s">
        <v>12397</v>
      </c>
      <c r="N1235" s="3" t="s">
        <v>364</v>
      </c>
      <c r="P1235" s="3" t="s">
        <v>102</v>
      </c>
      <c r="R1235" s="3" t="s">
        <v>70</v>
      </c>
      <c r="S1235" s="4">
        <v>3</v>
      </c>
      <c r="T1235" s="4">
        <v>5</v>
      </c>
      <c r="U1235" s="5" t="s">
        <v>12344</v>
      </c>
      <c r="V1235" s="5" t="s">
        <v>12344</v>
      </c>
      <c r="W1235" s="5" t="s">
        <v>72</v>
      </c>
      <c r="X1235" s="5" t="s">
        <v>72</v>
      </c>
      <c r="Y1235" s="4">
        <v>98</v>
      </c>
      <c r="Z1235" s="4">
        <v>45</v>
      </c>
      <c r="AA1235" s="4">
        <v>78</v>
      </c>
      <c r="AB1235" s="4">
        <v>3</v>
      </c>
      <c r="AC1235" s="4">
        <v>10</v>
      </c>
      <c r="AD1235" s="4">
        <v>50</v>
      </c>
      <c r="AE1235" s="4">
        <v>71</v>
      </c>
      <c r="AF1235" s="4">
        <v>1</v>
      </c>
      <c r="AG1235" s="4">
        <v>5</v>
      </c>
      <c r="AH1235" s="4">
        <v>32</v>
      </c>
      <c r="AI1235" s="4">
        <v>38</v>
      </c>
      <c r="AJ1235" s="4">
        <v>13</v>
      </c>
      <c r="AK1235" s="4">
        <v>24</v>
      </c>
      <c r="AL1235" s="4">
        <v>15</v>
      </c>
      <c r="AM1235" s="4">
        <v>16</v>
      </c>
      <c r="AN1235" s="4">
        <v>0</v>
      </c>
      <c r="AO1235" s="4">
        <v>0</v>
      </c>
      <c r="AP1235" s="4">
        <v>23</v>
      </c>
      <c r="AQ1235" s="4">
        <v>40</v>
      </c>
      <c r="AR1235" s="3" t="s">
        <v>128</v>
      </c>
      <c r="AS1235" s="3" t="s">
        <v>64</v>
      </c>
      <c r="AT1235" s="3" t="s">
        <v>128</v>
      </c>
      <c r="AU1235" s="6" t="str">
        <f>HYPERLINK("http://catalog.hathitrust.org/Record/001162140","HathiTrust Record")</f>
        <v>HathiTrust Record</v>
      </c>
      <c r="AV1235" s="6" t="str">
        <f>HYPERLINK("http://mcgill.on.worldcat.org/oclc/723259","Catalog Record")</f>
        <v>Catalog Record</v>
      </c>
      <c r="AW1235" s="6" t="str">
        <f>HYPERLINK("http://www.worldcat.org/oclc/723259","WorldCat Record")</f>
        <v>WorldCat Record</v>
      </c>
      <c r="AX1235" s="3" t="s">
        <v>12398</v>
      </c>
      <c r="AY1235" s="3" t="s">
        <v>12399</v>
      </c>
      <c r="AZ1235" s="3" t="s">
        <v>12400</v>
      </c>
      <c r="BA1235" s="3" t="s">
        <v>12400</v>
      </c>
      <c r="BB1235" s="3" t="s">
        <v>12401</v>
      </c>
      <c r="BC1235" s="3" t="s">
        <v>77</v>
      </c>
      <c r="BD1235" s="3" t="s">
        <v>78</v>
      </c>
      <c r="BE1235" s="3" t="s">
        <v>12402</v>
      </c>
      <c r="BF1235" s="3" t="s">
        <v>12401</v>
      </c>
      <c r="BG1235" s="3" t="s">
        <v>12403</v>
      </c>
      <c r="BH1235">
        <f t="shared" si="39"/>
        <v>0</v>
      </c>
    </row>
    <row r="1236" spans="1:60" ht="58" x14ac:dyDescent="0.35">
      <c r="A1236" s="2" t="s">
        <v>59</v>
      </c>
      <c r="B1236" s="2" t="s">
        <v>60</v>
      </c>
      <c r="C1236" s="2" t="s">
        <v>12404</v>
      </c>
      <c r="D1236" s="2" t="s">
        <v>12405</v>
      </c>
      <c r="E1236" s="2" t="s">
        <v>12396</v>
      </c>
      <c r="G1236" s="3" t="s">
        <v>64</v>
      </c>
      <c r="I1236" s="3" t="s">
        <v>128</v>
      </c>
      <c r="J1236" s="3" t="s">
        <v>64</v>
      </c>
      <c r="K1236" s="3" t="s">
        <v>65</v>
      </c>
      <c r="M1236" s="2" t="s">
        <v>12397</v>
      </c>
      <c r="N1236" s="3" t="s">
        <v>364</v>
      </c>
      <c r="P1236" s="3" t="s">
        <v>102</v>
      </c>
      <c r="R1236" s="3" t="s">
        <v>70</v>
      </c>
      <c r="S1236" s="4">
        <v>2</v>
      </c>
      <c r="T1236" s="4">
        <v>5</v>
      </c>
      <c r="U1236" s="5" t="s">
        <v>8344</v>
      </c>
      <c r="V1236" s="5" t="s">
        <v>12344</v>
      </c>
      <c r="W1236" s="5" t="s">
        <v>72</v>
      </c>
      <c r="X1236" s="5" t="s">
        <v>72</v>
      </c>
      <c r="Y1236" s="4">
        <v>98</v>
      </c>
      <c r="Z1236" s="4">
        <v>45</v>
      </c>
      <c r="AA1236" s="4">
        <v>78</v>
      </c>
      <c r="AB1236" s="4">
        <v>3</v>
      </c>
      <c r="AC1236" s="4">
        <v>10</v>
      </c>
      <c r="AD1236" s="4">
        <v>50</v>
      </c>
      <c r="AE1236" s="4">
        <v>71</v>
      </c>
      <c r="AF1236" s="4">
        <v>1</v>
      </c>
      <c r="AG1236" s="4">
        <v>5</v>
      </c>
      <c r="AH1236" s="4">
        <v>32</v>
      </c>
      <c r="AI1236" s="4">
        <v>38</v>
      </c>
      <c r="AJ1236" s="4">
        <v>13</v>
      </c>
      <c r="AK1236" s="4">
        <v>24</v>
      </c>
      <c r="AL1236" s="4">
        <v>15</v>
      </c>
      <c r="AM1236" s="4">
        <v>16</v>
      </c>
      <c r="AN1236" s="4">
        <v>0</v>
      </c>
      <c r="AO1236" s="4">
        <v>0</v>
      </c>
      <c r="AP1236" s="4">
        <v>23</v>
      </c>
      <c r="AQ1236" s="4">
        <v>40</v>
      </c>
      <c r="AR1236" s="3" t="s">
        <v>128</v>
      </c>
      <c r="AS1236" s="3" t="s">
        <v>64</v>
      </c>
      <c r="AT1236" s="3" t="s">
        <v>128</v>
      </c>
      <c r="AU1236" s="6" t="str">
        <f>HYPERLINK("http://catalog.hathitrust.org/Record/001162140","HathiTrust Record")</f>
        <v>HathiTrust Record</v>
      </c>
      <c r="AV1236" s="6" t="str">
        <f>HYPERLINK("http://mcgill.on.worldcat.org/oclc/723259","Catalog Record")</f>
        <v>Catalog Record</v>
      </c>
      <c r="AW1236" s="6" t="str">
        <f>HYPERLINK("http://www.worldcat.org/oclc/723259","WorldCat Record")</f>
        <v>WorldCat Record</v>
      </c>
      <c r="AX1236" s="3" t="s">
        <v>12398</v>
      </c>
      <c r="AY1236" s="3" t="s">
        <v>12399</v>
      </c>
      <c r="AZ1236" s="3" t="s">
        <v>12400</v>
      </c>
      <c r="BA1236" s="3" t="s">
        <v>12400</v>
      </c>
      <c r="BB1236" s="3" t="s">
        <v>12406</v>
      </c>
      <c r="BC1236" s="3" t="s">
        <v>77</v>
      </c>
      <c r="BD1236" s="3" t="s">
        <v>78</v>
      </c>
      <c r="BE1236" s="3" t="s">
        <v>12402</v>
      </c>
      <c r="BF1236" s="3" t="s">
        <v>12406</v>
      </c>
      <c r="BG1236" s="3" t="s">
        <v>12407</v>
      </c>
      <c r="BH1236">
        <f t="shared" si="39"/>
        <v>0</v>
      </c>
    </row>
    <row r="1237" spans="1:60" ht="58" x14ac:dyDescent="0.35">
      <c r="A1237" s="2" t="s">
        <v>59</v>
      </c>
      <c r="B1237" s="2" t="s">
        <v>60</v>
      </c>
      <c r="C1237" s="2" t="s">
        <v>12408</v>
      </c>
      <c r="D1237" s="2" t="s">
        <v>12409</v>
      </c>
      <c r="E1237" s="2" t="s">
        <v>12410</v>
      </c>
      <c r="G1237" s="3" t="s">
        <v>64</v>
      </c>
      <c r="I1237" s="3" t="s">
        <v>64</v>
      </c>
      <c r="J1237" s="3" t="s">
        <v>64</v>
      </c>
      <c r="K1237" s="3" t="s">
        <v>65</v>
      </c>
      <c r="L1237" s="2" t="s">
        <v>12411</v>
      </c>
      <c r="M1237" s="2" t="s">
        <v>12412</v>
      </c>
      <c r="N1237" s="3" t="s">
        <v>1075</v>
      </c>
      <c r="P1237" s="3" t="s">
        <v>102</v>
      </c>
      <c r="R1237" s="3" t="s">
        <v>70</v>
      </c>
      <c r="S1237" s="4">
        <v>1</v>
      </c>
      <c r="T1237" s="4">
        <v>1</v>
      </c>
      <c r="U1237" s="5" t="s">
        <v>12413</v>
      </c>
      <c r="V1237" s="5" t="s">
        <v>12413</v>
      </c>
      <c r="W1237" s="5" t="s">
        <v>72</v>
      </c>
      <c r="X1237" s="5" t="s">
        <v>72</v>
      </c>
      <c r="Y1237" s="4">
        <v>28</v>
      </c>
      <c r="Z1237" s="4">
        <v>19</v>
      </c>
      <c r="AA1237" s="4">
        <v>19</v>
      </c>
      <c r="AB1237" s="4">
        <v>2</v>
      </c>
      <c r="AC1237" s="4">
        <v>2</v>
      </c>
      <c r="AD1237" s="4">
        <v>14</v>
      </c>
      <c r="AE1237" s="4">
        <v>14</v>
      </c>
      <c r="AF1237" s="4">
        <v>1</v>
      </c>
      <c r="AG1237" s="4">
        <v>1</v>
      </c>
      <c r="AH1237" s="4">
        <v>9</v>
      </c>
      <c r="AI1237" s="4">
        <v>9</v>
      </c>
      <c r="AJ1237" s="4">
        <v>9</v>
      </c>
      <c r="AK1237" s="4">
        <v>9</v>
      </c>
      <c r="AL1237" s="4">
        <v>5</v>
      </c>
      <c r="AM1237" s="4">
        <v>5</v>
      </c>
      <c r="AN1237" s="4">
        <v>0</v>
      </c>
      <c r="AO1237" s="4">
        <v>0</v>
      </c>
      <c r="AP1237" s="4">
        <v>9</v>
      </c>
      <c r="AQ1237" s="4">
        <v>9</v>
      </c>
      <c r="AR1237" s="3" t="s">
        <v>128</v>
      </c>
      <c r="AS1237" s="3" t="s">
        <v>64</v>
      </c>
      <c r="AT1237" s="3" t="s">
        <v>64</v>
      </c>
      <c r="AV1237" s="6" t="str">
        <f>HYPERLINK("http://mcgill.on.worldcat.org/oclc/842523877","Catalog Record")</f>
        <v>Catalog Record</v>
      </c>
      <c r="AW1237" s="6" t="str">
        <f>HYPERLINK("http://www.worldcat.org/oclc/842523877","WorldCat Record")</f>
        <v>WorldCat Record</v>
      </c>
      <c r="AX1237" s="3" t="s">
        <v>12414</v>
      </c>
      <c r="AY1237" s="3" t="s">
        <v>12415</v>
      </c>
      <c r="AZ1237" s="3" t="s">
        <v>12416</v>
      </c>
      <c r="BA1237" s="3" t="s">
        <v>12416</v>
      </c>
      <c r="BB1237" s="3" t="s">
        <v>12417</v>
      </c>
      <c r="BC1237" s="3" t="s">
        <v>77</v>
      </c>
      <c r="BD1237" s="3" t="s">
        <v>78</v>
      </c>
      <c r="BE1237" s="3" t="s">
        <v>12418</v>
      </c>
      <c r="BF1237" s="3" t="s">
        <v>12417</v>
      </c>
      <c r="BG1237" s="3" t="s">
        <v>12419</v>
      </c>
      <c r="BH1237">
        <f t="shared" si="39"/>
        <v>0</v>
      </c>
    </row>
    <row r="1238" spans="1:60" ht="58" x14ac:dyDescent="0.35">
      <c r="A1238" s="2" t="s">
        <v>59</v>
      </c>
      <c r="B1238" s="2" t="s">
        <v>60</v>
      </c>
      <c r="C1238" s="2" t="s">
        <v>12420</v>
      </c>
      <c r="D1238" s="2" t="s">
        <v>12421</v>
      </c>
      <c r="E1238" s="2" t="s">
        <v>12422</v>
      </c>
      <c r="G1238" s="3" t="s">
        <v>64</v>
      </c>
      <c r="I1238" s="3" t="s">
        <v>128</v>
      </c>
      <c r="J1238" s="3" t="s">
        <v>64</v>
      </c>
      <c r="K1238" s="3" t="s">
        <v>65</v>
      </c>
      <c r="L1238" s="2" t="s">
        <v>12423</v>
      </c>
      <c r="M1238" s="2" t="s">
        <v>12424</v>
      </c>
      <c r="N1238" s="3" t="s">
        <v>3047</v>
      </c>
      <c r="P1238" s="3" t="s">
        <v>102</v>
      </c>
      <c r="R1238" s="3" t="s">
        <v>70</v>
      </c>
      <c r="S1238" s="4">
        <v>4</v>
      </c>
      <c r="T1238" s="4">
        <v>4</v>
      </c>
      <c r="U1238" s="5" t="s">
        <v>12425</v>
      </c>
      <c r="V1238" s="5" t="s">
        <v>12425</v>
      </c>
      <c r="W1238" s="5" t="s">
        <v>72</v>
      </c>
      <c r="X1238" s="5" t="s">
        <v>72</v>
      </c>
      <c r="Y1238" s="4">
        <v>36</v>
      </c>
      <c r="Z1238" s="4">
        <v>24</v>
      </c>
      <c r="AA1238" s="4">
        <v>27</v>
      </c>
      <c r="AB1238" s="4">
        <v>2</v>
      </c>
      <c r="AC1238" s="4">
        <v>5</v>
      </c>
      <c r="AD1238" s="4">
        <v>23</v>
      </c>
      <c r="AE1238" s="4">
        <v>25</v>
      </c>
      <c r="AF1238" s="4">
        <v>1</v>
      </c>
      <c r="AG1238" s="4">
        <v>3</v>
      </c>
      <c r="AH1238" s="4">
        <v>13</v>
      </c>
      <c r="AI1238" s="4">
        <v>14</v>
      </c>
      <c r="AJ1238" s="4">
        <v>15</v>
      </c>
      <c r="AK1238" s="4">
        <v>17</v>
      </c>
      <c r="AL1238" s="4">
        <v>3</v>
      </c>
      <c r="AM1238" s="4">
        <v>3</v>
      </c>
      <c r="AN1238" s="4">
        <v>0</v>
      </c>
      <c r="AO1238" s="4">
        <v>0</v>
      </c>
      <c r="AP1238" s="4">
        <v>19</v>
      </c>
      <c r="AQ1238" s="4">
        <v>20</v>
      </c>
      <c r="AR1238" s="3" t="s">
        <v>128</v>
      </c>
      <c r="AS1238" s="3" t="s">
        <v>64</v>
      </c>
      <c r="AT1238" s="3" t="s">
        <v>64</v>
      </c>
      <c r="AV1238" s="6" t="str">
        <f>HYPERLINK("http://mcgill.on.worldcat.org/oclc/17209078","Catalog Record")</f>
        <v>Catalog Record</v>
      </c>
      <c r="AW1238" s="6" t="str">
        <f>HYPERLINK("http://www.worldcat.org/oclc/17209078","WorldCat Record")</f>
        <v>WorldCat Record</v>
      </c>
      <c r="AX1238" s="3" t="s">
        <v>12426</v>
      </c>
      <c r="AY1238" s="3" t="s">
        <v>12427</v>
      </c>
      <c r="AZ1238" s="3" t="s">
        <v>12428</v>
      </c>
      <c r="BA1238" s="3" t="s">
        <v>12428</v>
      </c>
      <c r="BB1238" s="3" t="s">
        <v>12429</v>
      </c>
      <c r="BC1238" s="3" t="s">
        <v>77</v>
      </c>
      <c r="BD1238" s="3" t="s">
        <v>78</v>
      </c>
      <c r="BF1238" s="3" t="s">
        <v>12429</v>
      </c>
      <c r="BG1238" s="3" t="s">
        <v>12430</v>
      </c>
      <c r="BH1238">
        <f t="shared" si="39"/>
        <v>0</v>
      </c>
    </row>
    <row r="1239" spans="1:60" ht="58" x14ac:dyDescent="0.35">
      <c r="A1239" s="2" t="s">
        <v>59</v>
      </c>
      <c r="B1239" s="2" t="s">
        <v>60</v>
      </c>
      <c r="C1239" s="2" t="s">
        <v>12431</v>
      </c>
      <c r="D1239" s="2" t="s">
        <v>12432</v>
      </c>
      <c r="E1239" s="2" t="s">
        <v>12433</v>
      </c>
      <c r="G1239" s="3" t="s">
        <v>64</v>
      </c>
      <c r="I1239" s="3" t="s">
        <v>64</v>
      </c>
      <c r="J1239" s="3" t="s">
        <v>64</v>
      </c>
      <c r="K1239" s="3" t="s">
        <v>65</v>
      </c>
      <c r="L1239" s="2" t="s">
        <v>12434</v>
      </c>
      <c r="M1239" s="2" t="s">
        <v>12435</v>
      </c>
      <c r="N1239" s="3" t="s">
        <v>421</v>
      </c>
      <c r="P1239" s="3" t="s">
        <v>102</v>
      </c>
      <c r="R1239" s="3" t="s">
        <v>70</v>
      </c>
      <c r="S1239" s="4">
        <v>9</v>
      </c>
      <c r="T1239" s="4">
        <v>9</v>
      </c>
      <c r="U1239" s="5" t="s">
        <v>5146</v>
      </c>
      <c r="V1239" s="5" t="s">
        <v>5146</v>
      </c>
      <c r="W1239" s="5" t="s">
        <v>72</v>
      </c>
      <c r="X1239" s="5" t="s">
        <v>72</v>
      </c>
      <c r="Y1239" s="4">
        <v>21</v>
      </c>
      <c r="Z1239" s="4">
        <v>8</v>
      </c>
      <c r="AA1239" s="4">
        <v>8</v>
      </c>
      <c r="AB1239" s="4">
        <v>3</v>
      </c>
      <c r="AC1239" s="4">
        <v>3</v>
      </c>
      <c r="AD1239" s="4">
        <v>12</v>
      </c>
      <c r="AE1239" s="4">
        <v>13</v>
      </c>
      <c r="AF1239" s="4">
        <v>1</v>
      </c>
      <c r="AG1239" s="4">
        <v>1</v>
      </c>
      <c r="AH1239" s="4">
        <v>8</v>
      </c>
      <c r="AI1239" s="4">
        <v>9</v>
      </c>
      <c r="AJ1239" s="4">
        <v>5</v>
      </c>
      <c r="AK1239" s="4">
        <v>5</v>
      </c>
      <c r="AL1239" s="4">
        <v>3</v>
      </c>
      <c r="AM1239" s="4">
        <v>3</v>
      </c>
      <c r="AN1239" s="4">
        <v>0</v>
      </c>
      <c r="AO1239" s="4">
        <v>0</v>
      </c>
      <c r="AP1239" s="4">
        <v>6</v>
      </c>
      <c r="AQ1239" s="4">
        <v>6</v>
      </c>
      <c r="AR1239" s="3" t="s">
        <v>128</v>
      </c>
      <c r="AS1239" s="3" t="s">
        <v>64</v>
      </c>
      <c r="AT1239" s="3" t="s">
        <v>64</v>
      </c>
      <c r="AV1239" s="6" t="str">
        <f>HYPERLINK("http://mcgill.on.worldcat.org/oclc/37371710","Catalog Record")</f>
        <v>Catalog Record</v>
      </c>
      <c r="AW1239" s="6" t="str">
        <f>HYPERLINK("http://www.worldcat.org/oclc/37371710","WorldCat Record")</f>
        <v>WorldCat Record</v>
      </c>
      <c r="AX1239" s="3" t="s">
        <v>12436</v>
      </c>
      <c r="AY1239" s="3" t="s">
        <v>12437</v>
      </c>
      <c r="AZ1239" s="3" t="s">
        <v>12438</v>
      </c>
      <c r="BA1239" s="3" t="s">
        <v>12438</v>
      </c>
      <c r="BB1239" s="3" t="s">
        <v>12439</v>
      </c>
      <c r="BC1239" s="3" t="s">
        <v>77</v>
      </c>
      <c r="BD1239" s="3" t="s">
        <v>78</v>
      </c>
      <c r="BE1239" s="3" t="s">
        <v>12440</v>
      </c>
      <c r="BF1239" s="3" t="s">
        <v>12439</v>
      </c>
      <c r="BG1239" s="3" t="s">
        <v>12441</v>
      </c>
      <c r="BH1239">
        <f t="shared" si="39"/>
        <v>0</v>
      </c>
    </row>
    <row r="1240" spans="1:60" ht="58" x14ac:dyDescent="0.35">
      <c r="A1240" s="2" t="s">
        <v>59</v>
      </c>
      <c r="B1240" s="2" t="s">
        <v>60</v>
      </c>
      <c r="C1240" s="2" t="s">
        <v>12442</v>
      </c>
      <c r="D1240" s="2" t="s">
        <v>12443</v>
      </c>
      <c r="E1240" s="2" t="s">
        <v>12444</v>
      </c>
      <c r="G1240" s="3" t="s">
        <v>64</v>
      </c>
      <c r="I1240" s="3" t="s">
        <v>64</v>
      </c>
      <c r="J1240" s="3" t="s">
        <v>64</v>
      </c>
      <c r="K1240" s="3" t="s">
        <v>65</v>
      </c>
      <c r="L1240" s="2" t="s">
        <v>12445</v>
      </c>
      <c r="M1240" s="2" t="s">
        <v>12446</v>
      </c>
      <c r="N1240" s="3" t="s">
        <v>578</v>
      </c>
      <c r="P1240" s="3" t="s">
        <v>102</v>
      </c>
      <c r="R1240" s="3" t="s">
        <v>70</v>
      </c>
      <c r="S1240" s="4">
        <v>0</v>
      </c>
      <c r="T1240" s="4">
        <v>0</v>
      </c>
      <c r="W1240" s="5" t="s">
        <v>72</v>
      </c>
      <c r="X1240" s="5" t="s">
        <v>72</v>
      </c>
      <c r="Y1240" s="4">
        <v>25</v>
      </c>
      <c r="Z1240" s="4">
        <v>12</v>
      </c>
      <c r="AA1240" s="4">
        <v>12</v>
      </c>
      <c r="AB1240" s="4">
        <v>2</v>
      </c>
      <c r="AC1240" s="4">
        <v>2</v>
      </c>
      <c r="AD1240" s="4">
        <v>17</v>
      </c>
      <c r="AE1240" s="4">
        <v>17</v>
      </c>
      <c r="AF1240" s="4">
        <v>1</v>
      </c>
      <c r="AG1240" s="4">
        <v>1</v>
      </c>
      <c r="AH1240" s="4">
        <v>12</v>
      </c>
      <c r="AI1240" s="4">
        <v>12</v>
      </c>
      <c r="AJ1240" s="4">
        <v>7</v>
      </c>
      <c r="AK1240" s="4">
        <v>7</v>
      </c>
      <c r="AL1240" s="4">
        <v>7</v>
      </c>
      <c r="AM1240" s="4">
        <v>7</v>
      </c>
      <c r="AN1240" s="4">
        <v>0</v>
      </c>
      <c r="AO1240" s="4">
        <v>0</v>
      </c>
      <c r="AP1240" s="4">
        <v>7</v>
      </c>
      <c r="AQ1240" s="4">
        <v>7</v>
      </c>
      <c r="AR1240" s="3" t="s">
        <v>128</v>
      </c>
      <c r="AS1240" s="3" t="s">
        <v>64</v>
      </c>
      <c r="AT1240" s="3" t="s">
        <v>64</v>
      </c>
      <c r="AV1240" s="6" t="str">
        <f>HYPERLINK("http://mcgill.on.worldcat.org/oclc/1005097207","Catalog Record")</f>
        <v>Catalog Record</v>
      </c>
      <c r="AW1240" s="6" t="str">
        <f>HYPERLINK("http://www.worldcat.org/oclc/1005097207","WorldCat Record")</f>
        <v>WorldCat Record</v>
      </c>
      <c r="AX1240" s="3" t="s">
        <v>12447</v>
      </c>
      <c r="AY1240" s="3" t="s">
        <v>12448</v>
      </c>
      <c r="AZ1240" s="3" t="s">
        <v>12449</v>
      </c>
      <c r="BA1240" s="3" t="s">
        <v>12449</v>
      </c>
      <c r="BB1240" s="3" t="s">
        <v>12450</v>
      </c>
      <c r="BC1240" s="3" t="s">
        <v>77</v>
      </c>
      <c r="BD1240" s="3" t="s">
        <v>78</v>
      </c>
      <c r="BE1240" s="3" t="s">
        <v>12451</v>
      </c>
      <c r="BF1240" s="3" t="s">
        <v>12450</v>
      </c>
      <c r="BG1240" s="3" t="s">
        <v>12452</v>
      </c>
      <c r="BH1240">
        <f t="shared" si="39"/>
        <v>0</v>
      </c>
    </row>
    <row r="1241" spans="1:60" ht="58" x14ac:dyDescent="0.35">
      <c r="A1241" s="2" t="s">
        <v>59</v>
      </c>
      <c r="B1241" s="2" t="s">
        <v>60</v>
      </c>
      <c r="C1241" s="2" t="s">
        <v>12453</v>
      </c>
      <c r="D1241" s="2" t="s">
        <v>12454</v>
      </c>
      <c r="E1241" s="2" t="s">
        <v>12455</v>
      </c>
      <c r="G1241" s="3" t="s">
        <v>64</v>
      </c>
      <c r="I1241" s="3" t="s">
        <v>64</v>
      </c>
      <c r="J1241" s="3" t="s">
        <v>64</v>
      </c>
      <c r="K1241" s="3" t="s">
        <v>65</v>
      </c>
      <c r="L1241" s="2" t="s">
        <v>12456</v>
      </c>
      <c r="M1241" s="2" t="s">
        <v>12457</v>
      </c>
      <c r="N1241" s="3" t="s">
        <v>144</v>
      </c>
      <c r="P1241" s="3" t="s">
        <v>102</v>
      </c>
      <c r="Q1241" s="2" t="s">
        <v>12458</v>
      </c>
      <c r="R1241" s="3" t="s">
        <v>70</v>
      </c>
      <c r="S1241" s="4">
        <v>8</v>
      </c>
      <c r="T1241" s="4">
        <v>8</v>
      </c>
      <c r="U1241" s="5" t="s">
        <v>980</v>
      </c>
      <c r="V1241" s="5" t="s">
        <v>980</v>
      </c>
      <c r="W1241" s="5" t="s">
        <v>72</v>
      </c>
      <c r="X1241" s="5" t="s">
        <v>72</v>
      </c>
      <c r="Y1241" s="4">
        <v>126</v>
      </c>
      <c r="Z1241" s="4">
        <v>61</v>
      </c>
      <c r="AA1241" s="4">
        <v>62</v>
      </c>
      <c r="AB1241" s="4">
        <v>3</v>
      </c>
      <c r="AC1241" s="4">
        <v>4</v>
      </c>
      <c r="AD1241" s="4">
        <v>59</v>
      </c>
      <c r="AE1241" s="4">
        <v>60</v>
      </c>
      <c r="AF1241" s="4">
        <v>1</v>
      </c>
      <c r="AG1241" s="4">
        <v>2</v>
      </c>
      <c r="AH1241" s="4">
        <v>38</v>
      </c>
      <c r="AI1241" s="4">
        <v>38</v>
      </c>
      <c r="AJ1241" s="4">
        <v>21</v>
      </c>
      <c r="AK1241" s="4">
        <v>22</v>
      </c>
      <c r="AL1241" s="4">
        <v>16</v>
      </c>
      <c r="AM1241" s="4">
        <v>16</v>
      </c>
      <c r="AN1241" s="4">
        <v>0</v>
      </c>
      <c r="AO1241" s="4">
        <v>0</v>
      </c>
      <c r="AP1241" s="4">
        <v>31</v>
      </c>
      <c r="AQ1241" s="4">
        <v>32</v>
      </c>
      <c r="AR1241" s="3" t="s">
        <v>128</v>
      </c>
      <c r="AS1241" s="3" t="s">
        <v>64</v>
      </c>
      <c r="AT1241" s="3" t="s">
        <v>128</v>
      </c>
      <c r="AU1241" s="6" t="str">
        <f>HYPERLINK("http://catalog.hathitrust.org/Record/005933899","HathiTrust Record")</f>
        <v>HathiTrust Record</v>
      </c>
      <c r="AV1241" s="6" t="str">
        <f>HYPERLINK("http://mcgill.on.worldcat.org/oclc/213103354","Catalog Record")</f>
        <v>Catalog Record</v>
      </c>
      <c r="AW1241" s="6" t="str">
        <f>HYPERLINK("http://www.worldcat.org/oclc/213103354","WorldCat Record")</f>
        <v>WorldCat Record</v>
      </c>
      <c r="AX1241" s="3" t="s">
        <v>12459</v>
      </c>
      <c r="AY1241" s="3" t="s">
        <v>12460</v>
      </c>
      <c r="AZ1241" s="3" t="s">
        <v>12461</v>
      </c>
      <c r="BA1241" s="3" t="s">
        <v>12461</v>
      </c>
      <c r="BB1241" s="3" t="s">
        <v>12462</v>
      </c>
      <c r="BC1241" s="3" t="s">
        <v>77</v>
      </c>
      <c r="BD1241" s="3" t="s">
        <v>78</v>
      </c>
      <c r="BE1241" s="3" t="s">
        <v>12463</v>
      </c>
      <c r="BF1241" s="3" t="s">
        <v>12462</v>
      </c>
      <c r="BG1241" s="3" t="s">
        <v>12464</v>
      </c>
      <c r="BH1241">
        <f t="shared" si="39"/>
        <v>0</v>
      </c>
    </row>
    <row r="1242" spans="1:60" ht="101.5" x14ac:dyDescent="0.35">
      <c r="A1242" s="2" t="s">
        <v>59</v>
      </c>
      <c r="B1242" s="2" t="s">
        <v>60</v>
      </c>
      <c r="C1242" s="2" t="s">
        <v>12465</v>
      </c>
      <c r="D1242" s="2" t="s">
        <v>12466</v>
      </c>
      <c r="E1242" s="2" t="s">
        <v>12467</v>
      </c>
      <c r="G1242" s="3" t="s">
        <v>64</v>
      </c>
      <c r="I1242" s="3" t="s">
        <v>64</v>
      </c>
      <c r="J1242" s="3" t="s">
        <v>64</v>
      </c>
      <c r="K1242" s="3" t="s">
        <v>65</v>
      </c>
      <c r="M1242" s="2" t="s">
        <v>12468</v>
      </c>
      <c r="N1242" s="3" t="s">
        <v>253</v>
      </c>
      <c r="O1242" s="2" t="s">
        <v>12469</v>
      </c>
      <c r="P1242" s="3" t="s">
        <v>102</v>
      </c>
      <c r="R1242" s="3" t="s">
        <v>70</v>
      </c>
      <c r="S1242" s="4">
        <v>1</v>
      </c>
      <c r="T1242" s="4">
        <v>1</v>
      </c>
      <c r="U1242" s="5" t="s">
        <v>9939</v>
      </c>
      <c r="V1242" s="5" t="s">
        <v>9939</v>
      </c>
      <c r="W1242" s="5" t="s">
        <v>72</v>
      </c>
      <c r="X1242" s="5" t="s">
        <v>72</v>
      </c>
      <c r="Y1242" s="4">
        <v>495</v>
      </c>
      <c r="Z1242" s="4">
        <v>39</v>
      </c>
      <c r="AA1242" s="4">
        <v>47</v>
      </c>
      <c r="AB1242" s="4">
        <v>3</v>
      </c>
      <c r="AC1242" s="4">
        <v>8</v>
      </c>
      <c r="AD1242" s="4">
        <v>65</v>
      </c>
      <c r="AE1242" s="4">
        <v>72</v>
      </c>
      <c r="AF1242" s="4">
        <v>1</v>
      </c>
      <c r="AG1242" s="4">
        <v>3</v>
      </c>
      <c r="AH1242" s="4">
        <v>53</v>
      </c>
      <c r="AI1242" s="4">
        <v>56</v>
      </c>
      <c r="AJ1242" s="4">
        <v>12</v>
      </c>
      <c r="AK1242" s="4">
        <v>14</v>
      </c>
      <c r="AL1242" s="4">
        <v>36</v>
      </c>
      <c r="AM1242" s="4">
        <v>38</v>
      </c>
      <c r="AN1242" s="4">
        <v>0</v>
      </c>
      <c r="AO1242" s="4">
        <v>0</v>
      </c>
      <c r="AP1242" s="4">
        <v>16</v>
      </c>
      <c r="AQ1242" s="4">
        <v>19</v>
      </c>
      <c r="AR1242" s="3" t="s">
        <v>128</v>
      </c>
      <c r="AS1242" s="3" t="s">
        <v>64</v>
      </c>
      <c r="AT1242" s="3" t="s">
        <v>64</v>
      </c>
      <c r="AV1242" s="6" t="str">
        <f>HYPERLINK("http://mcgill.on.worldcat.org/oclc/894141106","Catalog Record")</f>
        <v>Catalog Record</v>
      </c>
      <c r="AW1242" s="6" t="str">
        <f>HYPERLINK("http://www.worldcat.org/oclc/894141106","WorldCat Record")</f>
        <v>WorldCat Record</v>
      </c>
      <c r="AX1242" s="3" t="s">
        <v>12470</v>
      </c>
      <c r="AY1242" s="3" t="s">
        <v>12471</v>
      </c>
      <c r="AZ1242" s="3" t="s">
        <v>12472</v>
      </c>
      <c r="BA1242" s="3" t="s">
        <v>12472</v>
      </c>
      <c r="BB1242" s="3" t="s">
        <v>12473</v>
      </c>
      <c r="BC1242" s="3" t="s">
        <v>77</v>
      </c>
      <c r="BD1242" s="3" t="s">
        <v>78</v>
      </c>
      <c r="BE1242" s="3" t="s">
        <v>12474</v>
      </c>
      <c r="BF1242" s="3" t="s">
        <v>12473</v>
      </c>
      <c r="BG1242" s="3" t="s">
        <v>12475</v>
      </c>
      <c r="BH1242">
        <f t="shared" si="39"/>
        <v>0</v>
      </c>
    </row>
    <row r="1243" spans="1:60" ht="58" x14ac:dyDescent="0.35">
      <c r="A1243" s="2" t="s">
        <v>59</v>
      </c>
      <c r="B1243" s="2" t="s">
        <v>60</v>
      </c>
      <c r="C1243" s="2" t="s">
        <v>12476</v>
      </c>
      <c r="D1243" s="2" t="s">
        <v>12477</v>
      </c>
      <c r="E1243" s="2" t="s">
        <v>12478</v>
      </c>
      <c r="G1243" s="3" t="s">
        <v>64</v>
      </c>
      <c r="I1243" s="3" t="s">
        <v>64</v>
      </c>
      <c r="J1243" s="3" t="s">
        <v>64</v>
      </c>
      <c r="K1243" s="3" t="s">
        <v>65</v>
      </c>
      <c r="M1243" s="2" t="s">
        <v>12479</v>
      </c>
      <c r="N1243" s="3" t="s">
        <v>537</v>
      </c>
      <c r="P1243" s="3" t="s">
        <v>68</v>
      </c>
      <c r="R1243" s="3" t="s">
        <v>70</v>
      </c>
      <c r="S1243" s="4">
        <v>0</v>
      </c>
      <c r="T1243" s="4">
        <v>0</v>
      </c>
      <c r="W1243" s="5" t="s">
        <v>72</v>
      </c>
      <c r="X1243" s="5" t="s">
        <v>72</v>
      </c>
      <c r="Y1243" s="4">
        <v>12</v>
      </c>
      <c r="Z1243" s="4">
        <v>9</v>
      </c>
      <c r="AA1243" s="4">
        <v>17</v>
      </c>
      <c r="AB1243" s="4">
        <v>1</v>
      </c>
      <c r="AC1243" s="4">
        <v>7</v>
      </c>
      <c r="AD1243" s="4">
        <v>10</v>
      </c>
      <c r="AE1243" s="4">
        <v>14</v>
      </c>
      <c r="AF1243" s="4">
        <v>0</v>
      </c>
      <c r="AG1243" s="4">
        <v>3</v>
      </c>
      <c r="AH1243" s="4">
        <v>8</v>
      </c>
      <c r="AI1243" s="4">
        <v>9</v>
      </c>
      <c r="AJ1243" s="4">
        <v>7</v>
      </c>
      <c r="AK1243" s="4">
        <v>11</v>
      </c>
      <c r="AL1243" s="4">
        <v>3</v>
      </c>
      <c r="AM1243" s="4">
        <v>3</v>
      </c>
      <c r="AN1243" s="4">
        <v>0</v>
      </c>
      <c r="AO1243" s="4">
        <v>0</v>
      </c>
      <c r="AP1243" s="4">
        <v>6</v>
      </c>
      <c r="AQ1243" s="4">
        <v>9</v>
      </c>
      <c r="AR1243" s="3" t="s">
        <v>128</v>
      </c>
      <c r="AS1243" s="3" t="s">
        <v>64</v>
      </c>
      <c r="AT1243" s="3" t="s">
        <v>64</v>
      </c>
      <c r="AV1243" s="6" t="str">
        <f>HYPERLINK("http://mcgill.on.worldcat.org/oclc/957590285","Catalog Record")</f>
        <v>Catalog Record</v>
      </c>
      <c r="AW1243" s="6" t="str">
        <f>HYPERLINK("http://www.worldcat.org/oclc/957590285","WorldCat Record")</f>
        <v>WorldCat Record</v>
      </c>
      <c r="AX1243" s="3" t="s">
        <v>12480</v>
      </c>
      <c r="AY1243" s="3" t="s">
        <v>12481</v>
      </c>
      <c r="AZ1243" s="3" t="s">
        <v>12482</v>
      </c>
      <c r="BA1243" s="3" t="s">
        <v>12482</v>
      </c>
      <c r="BB1243" s="3" t="s">
        <v>12483</v>
      </c>
      <c r="BC1243" s="3" t="s">
        <v>77</v>
      </c>
      <c r="BD1243" s="3" t="s">
        <v>78</v>
      </c>
      <c r="BE1243" s="3" t="s">
        <v>12484</v>
      </c>
      <c r="BF1243" s="3" t="s">
        <v>12483</v>
      </c>
      <c r="BG1243" s="3" t="s">
        <v>12485</v>
      </c>
      <c r="BH1243">
        <f t="shared" si="39"/>
        <v>0</v>
      </c>
    </row>
    <row r="1244" spans="1:60" ht="72.5" x14ac:dyDescent="0.35">
      <c r="A1244" s="2" t="s">
        <v>59</v>
      </c>
      <c r="B1244" s="2" t="s">
        <v>60</v>
      </c>
      <c r="C1244" s="2" t="s">
        <v>12486</v>
      </c>
      <c r="D1244" s="2" t="s">
        <v>12487</v>
      </c>
      <c r="E1244" s="2" t="s">
        <v>12488</v>
      </c>
      <c r="G1244" s="3" t="s">
        <v>64</v>
      </c>
      <c r="I1244" s="3" t="s">
        <v>64</v>
      </c>
      <c r="J1244" s="3" t="s">
        <v>64</v>
      </c>
      <c r="K1244" s="3" t="s">
        <v>65</v>
      </c>
      <c r="L1244" s="2" t="s">
        <v>12489</v>
      </c>
      <c r="M1244" s="2" t="s">
        <v>12490</v>
      </c>
      <c r="N1244" s="3" t="s">
        <v>190</v>
      </c>
      <c r="P1244" s="3" t="s">
        <v>68</v>
      </c>
      <c r="R1244" s="3" t="s">
        <v>70</v>
      </c>
      <c r="S1244" s="4">
        <v>0</v>
      </c>
      <c r="T1244" s="4">
        <v>0</v>
      </c>
      <c r="W1244" s="5" t="s">
        <v>72</v>
      </c>
      <c r="X1244" s="5" t="s">
        <v>72</v>
      </c>
      <c r="Y1244" s="4">
        <v>5</v>
      </c>
      <c r="Z1244" s="4">
        <v>4</v>
      </c>
      <c r="AA1244" s="4">
        <v>7</v>
      </c>
      <c r="AB1244" s="4">
        <v>1</v>
      </c>
      <c r="AC1244" s="4">
        <v>3</v>
      </c>
      <c r="AD1244" s="4">
        <v>3</v>
      </c>
      <c r="AE1244" s="4">
        <v>4</v>
      </c>
      <c r="AF1244" s="4">
        <v>0</v>
      </c>
      <c r="AG1244" s="4">
        <v>0</v>
      </c>
      <c r="AH1244" s="4">
        <v>3</v>
      </c>
      <c r="AI1244" s="4">
        <v>3</v>
      </c>
      <c r="AJ1244" s="4">
        <v>2</v>
      </c>
      <c r="AK1244" s="4">
        <v>3</v>
      </c>
      <c r="AL1244" s="4">
        <v>1</v>
      </c>
      <c r="AM1244" s="4">
        <v>1</v>
      </c>
      <c r="AN1244" s="4">
        <v>0</v>
      </c>
      <c r="AO1244" s="4">
        <v>0</v>
      </c>
      <c r="AP1244" s="4">
        <v>2</v>
      </c>
      <c r="AQ1244" s="4">
        <v>2</v>
      </c>
      <c r="AR1244" s="3" t="s">
        <v>128</v>
      </c>
      <c r="AS1244" s="3" t="s">
        <v>64</v>
      </c>
      <c r="AT1244" s="3" t="s">
        <v>64</v>
      </c>
      <c r="AV1244" s="6" t="str">
        <f>HYPERLINK("http://mcgill.on.worldcat.org/oclc/1055272249","Catalog Record")</f>
        <v>Catalog Record</v>
      </c>
      <c r="AW1244" s="6" t="str">
        <f>HYPERLINK("http://www.worldcat.org/oclc/1055272249","WorldCat Record")</f>
        <v>WorldCat Record</v>
      </c>
      <c r="AX1244" s="3" t="s">
        <v>12491</v>
      </c>
      <c r="AY1244" s="3" t="s">
        <v>12492</v>
      </c>
      <c r="AZ1244" s="3" t="s">
        <v>12493</v>
      </c>
      <c r="BA1244" s="3" t="s">
        <v>12493</v>
      </c>
      <c r="BB1244" s="3" t="s">
        <v>12494</v>
      </c>
      <c r="BC1244" s="3" t="s">
        <v>77</v>
      </c>
      <c r="BD1244" s="3" t="s">
        <v>78</v>
      </c>
      <c r="BE1244" s="3" t="s">
        <v>12495</v>
      </c>
      <c r="BF1244" s="3" t="s">
        <v>12494</v>
      </c>
      <c r="BG1244" s="3" t="s">
        <v>12496</v>
      </c>
      <c r="BH1244">
        <f t="shared" si="39"/>
        <v>0</v>
      </c>
    </row>
    <row r="1245" spans="1:60" ht="58" x14ac:dyDescent="0.35">
      <c r="A1245" s="2" t="s">
        <v>59</v>
      </c>
      <c r="B1245" s="2" t="s">
        <v>60</v>
      </c>
      <c r="C1245" s="2" t="s">
        <v>12497</v>
      </c>
      <c r="D1245" s="2" t="s">
        <v>12498</v>
      </c>
      <c r="E1245" s="2" t="s">
        <v>12499</v>
      </c>
      <c r="G1245" s="3" t="s">
        <v>64</v>
      </c>
      <c r="I1245" s="3" t="s">
        <v>64</v>
      </c>
      <c r="J1245" s="3" t="s">
        <v>64</v>
      </c>
      <c r="K1245" s="3" t="s">
        <v>65</v>
      </c>
      <c r="L1245" s="2" t="s">
        <v>12500</v>
      </c>
      <c r="M1245" s="2" t="s">
        <v>12501</v>
      </c>
      <c r="N1245" s="3" t="s">
        <v>1004</v>
      </c>
      <c r="P1245" s="3" t="s">
        <v>68</v>
      </c>
      <c r="Q1245" s="2" t="s">
        <v>12502</v>
      </c>
      <c r="R1245" s="3" t="s">
        <v>70</v>
      </c>
      <c r="S1245" s="4">
        <v>5</v>
      </c>
      <c r="T1245" s="4">
        <v>5</v>
      </c>
      <c r="U1245" s="5" t="s">
        <v>12503</v>
      </c>
      <c r="V1245" s="5" t="s">
        <v>12503</v>
      </c>
      <c r="W1245" s="5" t="s">
        <v>72</v>
      </c>
      <c r="X1245" s="5" t="s">
        <v>72</v>
      </c>
      <c r="Y1245" s="4">
        <v>56</v>
      </c>
      <c r="Z1245" s="4">
        <v>25</v>
      </c>
      <c r="AA1245" s="4">
        <v>40</v>
      </c>
      <c r="AB1245" s="4">
        <v>3</v>
      </c>
      <c r="AC1245" s="4">
        <v>12</v>
      </c>
      <c r="AD1245" s="4">
        <v>38</v>
      </c>
      <c r="AE1245" s="4">
        <v>48</v>
      </c>
      <c r="AF1245" s="4">
        <v>1</v>
      </c>
      <c r="AG1245" s="4">
        <v>6</v>
      </c>
      <c r="AH1245" s="4">
        <v>27</v>
      </c>
      <c r="AI1245" s="4">
        <v>30</v>
      </c>
      <c r="AJ1245" s="4">
        <v>17</v>
      </c>
      <c r="AK1245" s="4">
        <v>25</v>
      </c>
      <c r="AL1245" s="4">
        <v>13</v>
      </c>
      <c r="AM1245" s="4">
        <v>14</v>
      </c>
      <c r="AN1245" s="4">
        <v>5</v>
      </c>
      <c r="AO1245" s="4">
        <v>5</v>
      </c>
      <c r="AP1245" s="4">
        <v>20</v>
      </c>
      <c r="AQ1245" s="4">
        <v>27</v>
      </c>
      <c r="AR1245" s="3" t="s">
        <v>128</v>
      </c>
      <c r="AS1245" s="3" t="s">
        <v>64</v>
      </c>
      <c r="AT1245" s="3" t="s">
        <v>128</v>
      </c>
      <c r="AU1245" s="6" t="str">
        <f>HYPERLINK("http://catalog.hathitrust.org/Record/006183947","HathiTrust Record")</f>
        <v>HathiTrust Record</v>
      </c>
      <c r="AV1245" s="6" t="str">
        <f>HYPERLINK("http://mcgill.on.worldcat.org/oclc/11290240","Catalog Record")</f>
        <v>Catalog Record</v>
      </c>
      <c r="AW1245" s="6" t="str">
        <f>HYPERLINK("http://www.worldcat.org/oclc/11290240","WorldCat Record")</f>
        <v>WorldCat Record</v>
      </c>
      <c r="AX1245" s="3" t="s">
        <v>12504</v>
      </c>
      <c r="AY1245" s="3" t="s">
        <v>12505</v>
      </c>
      <c r="AZ1245" s="3" t="s">
        <v>12506</v>
      </c>
      <c r="BA1245" s="3" t="s">
        <v>12506</v>
      </c>
      <c r="BB1245" s="3" t="s">
        <v>12507</v>
      </c>
      <c r="BC1245" s="3" t="s">
        <v>77</v>
      </c>
      <c r="BD1245" s="3" t="s">
        <v>78</v>
      </c>
      <c r="BE1245" s="3" t="s">
        <v>12508</v>
      </c>
      <c r="BF1245" s="3" t="s">
        <v>12507</v>
      </c>
      <c r="BG1245" s="3" t="s">
        <v>12509</v>
      </c>
      <c r="BH1245">
        <f t="shared" si="39"/>
        <v>0</v>
      </c>
    </row>
    <row r="1246" spans="1:60" ht="58" x14ac:dyDescent="0.35">
      <c r="A1246" s="2" t="s">
        <v>59</v>
      </c>
      <c r="B1246" s="2" t="s">
        <v>60</v>
      </c>
      <c r="C1246" s="2" t="s">
        <v>12510</v>
      </c>
      <c r="D1246" s="2" t="s">
        <v>12511</v>
      </c>
      <c r="E1246" s="2" t="s">
        <v>12512</v>
      </c>
      <c r="G1246" s="3" t="s">
        <v>64</v>
      </c>
      <c r="I1246" s="3" t="s">
        <v>64</v>
      </c>
      <c r="J1246" s="3" t="s">
        <v>64</v>
      </c>
      <c r="K1246" s="3" t="s">
        <v>65</v>
      </c>
      <c r="L1246" s="2" t="s">
        <v>12513</v>
      </c>
      <c r="M1246" s="2" t="s">
        <v>12514</v>
      </c>
      <c r="N1246" s="3" t="s">
        <v>511</v>
      </c>
      <c r="P1246" s="3" t="s">
        <v>102</v>
      </c>
      <c r="Q1246" s="2" t="s">
        <v>565</v>
      </c>
      <c r="R1246" s="3" t="s">
        <v>70</v>
      </c>
      <c r="S1246" s="4">
        <v>12</v>
      </c>
      <c r="T1246" s="4">
        <v>12</v>
      </c>
      <c r="U1246" s="5" t="s">
        <v>4900</v>
      </c>
      <c r="V1246" s="5" t="s">
        <v>4900</v>
      </c>
      <c r="W1246" s="5" t="s">
        <v>72</v>
      </c>
      <c r="X1246" s="5" t="s">
        <v>72</v>
      </c>
      <c r="Y1246" s="4">
        <v>203</v>
      </c>
      <c r="Z1246" s="4">
        <v>86</v>
      </c>
      <c r="AA1246" s="4">
        <v>106</v>
      </c>
      <c r="AB1246" s="4">
        <v>5</v>
      </c>
      <c r="AC1246" s="4">
        <v>13</v>
      </c>
      <c r="AD1246" s="4">
        <v>83</v>
      </c>
      <c r="AE1246" s="4">
        <v>98</v>
      </c>
      <c r="AF1246" s="4">
        <v>1</v>
      </c>
      <c r="AG1246" s="4">
        <v>4</v>
      </c>
      <c r="AH1246" s="4">
        <v>54</v>
      </c>
      <c r="AI1246" s="4">
        <v>63</v>
      </c>
      <c r="AJ1246" s="4">
        <v>20</v>
      </c>
      <c r="AK1246" s="4">
        <v>25</v>
      </c>
      <c r="AL1246" s="4">
        <v>30</v>
      </c>
      <c r="AM1246" s="4">
        <v>34</v>
      </c>
      <c r="AN1246" s="4">
        <v>0</v>
      </c>
      <c r="AO1246" s="4">
        <v>0</v>
      </c>
      <c r="AP1246" s="4">
        <v>39</v>
      </c>
      <c r="AQ1246" s="4">
        <v>47</v>
      </c>
      <c r="AR1246" s="3" t="s">
        <v>128</v>
      </c>
      <c r="AS1246" s="3" t="s">
        <v>64</v>
      </c>
      <c r="AT1246" s="3" t="s">
        <v>64</v>
      </c>
      <c r="AV1246" s="6" t="str">
        <f>HYPERLINK("http://mcgill.on.worldcat.org/oclc/466429803","Catalog Record")</f>
        <v>Catalog Record</v>
      </c>
      <c r="AW1246" s="6" t="str">
        <f>HYPERLINK("http://www.worldcat.org/oclc/466429803","WorldCat Record")</f>
        <v>WorldCat Record</v>
      </c>
      <c r="AX1246" s="3" t="s">
        <v>12515</v>
      </c>
      <c r="AY1246" s="3" t="s">
        <v>12516</v>
      </c>
      <c r="AZ1246" s="3" t="s">
        <v>12517</v>
      </c>
      <c r="BA1246" s="3" t="s">
        <v>12517</v>
      </c>
      <c r="BB1246" s="3" t="s">
        <v>12518</v>
      </c>
      <c r="BC1246" s="3" t="s">
        <v>77</v>
      </c>
      <c r="BD1246" s="3" t="s">
        <v>78</v>
      </c>
      <c r="BE1246" s="3" t="s">
        <v>12519</v>
      </c>
      <c r="BF1246" s="3" t="s">
        <v>12518</v>
      </c>
      <c r="BG1246" s="3" t="s">
        <v>12520</v>
      </c>
      <c r="BH1246">
        <f t="shared" si="39"/>
        <v>0</v>
      </c>
    </row>
    <row r="1247" spans="1:60" ht="58" x14ac:dyDescent="0.35">
      <c r="A1247" s="2" t="s">
        <v>59</v>
      </c>
      <c r="B1247" s="2" t="s">
        <v>60</v>
      </c>
      <c r="C1247" s="2" t="s">
        <v>12521</v>
      </c>
      <c r="D1247" s="2" t="s">
        <v>12522</v>
      </c>
      <c r="E1247" s="2" t="s">
        <v>12523</v>
      </c>
      <c r="G1247" s="3" t="s">
        <v>64</v>
      </c>
      <c r="I1247" s="3" t="s">
        <v>64</v>
      </c>
      <c r="J1247" s="3" t="s">
        <v>64</v>
      </c>
      <c r="K1247" s="3" t="s">
        <v>65</v>
      </c>
      <c r="L1247" s="2" t="s">
        <v>12524</v>
      </c>
      <c r="M1247" s="2" t="s">
        <v>12525</v>
      </c>
      <c r="N1247" s="3" t="s">
        <v>326</v>
      </c>
      <c r="P1247" s="3" t="s">
        <v>102</v>
      </c>
      <c r="R1247" s="3" t="s">
        <v>70</v>
      </c>
      <c r="S1247" s="4">
        <v>0</v>
      </c>
      <c r="T1247" s="4">
        <v>0</v>
      </c>
      <c r="W1247" s="5" t="s">
        <v>72</v>
      </c>
      <c r="X1247" s="5" t="s">
        <v>72</v>
      </c>
      <c r="Y1247" s="4">
        <v>100</v>
      </c>
      <c r="Z1247" s="4">
        <v>61</v>
      </c>
      <c r="AA1247" s="4">
        <v>92</v>
      </c>
      <c r="AB1247" s="4">
        <v>4</v>
      </c>
      <c r="AC1247" s="4">
        <v>11</v>
      </c>
      <c r="AD1247" s="4">
        <v>35</v>
      </c>
      <c r="AE1247" s="4">
        <v>52</v>
      </c>
      <c r="AF1247" s="4">
        <v>1</v>
      </c>
      <c r="AG1247" s="4">
        <v>2</v>
      </c>
      <c r="AH1247" s="4">
        <v>22</v>
      </c>
      <c r="AI1247" s="4">
        <v>35</v>
      </c>
      <c r="AJ1247" s="4">
        <v>14</v>
      </c>
      <c r="AK1247" s="4">
        <v>17</v>
      </c>
      <c r="AL1247" s="4">
        <v>8</v>
      </c>
      <c r="AM1247" s="4">
        <v>15</v>
      </c>
      <c r="AN1247" s="4">
        <v>0</v>
      </c>
      <c r="AO1247" s="4">
        <v>0</v>
      </c>
      <c r="AP1247" s="4">
        <v>22</v>
      </c>
      <c r="AQ1247" s="4">
        <v>28</v>
      </c>
      <c r="AR1247" s="3" t="s">
        <v>128</v>
      </c>
      <c r="AS1247" s="3" t="s">
        <v>64</v>
      </c>
      <c r="AT1247" s="3" t="s">
        <v>64</v>
      </c>
      <c r="AV1247" s="6" t="str">
        <f>HYPERLINK("http://mcgill.on.worldcat.org/oclc/712124499","Catalog Record")</f>
        <v>Catalog Record</v>
      </c>
      <c r="AW1247" s="6" t="str">
        <f>HYPERLINK("http://www.worldcat.org/oclc/712124499","WorldCat Record")</f>
        <v>WorldCat Record</v>
      </c>
      <c r="AX1247" s="3" t="s">
        <v>12526</v>
      </c>
      <c r="AY1247" s="3" t="s">
        <v>12527</v>
      </c>
      <c r="AZ1247" s="3" t="s">
        <v>12528</v>
      </c>
      <c r="BA1247" s="3" t="s">
        <v>12528</v>
      </c>
      <c r="BB1247" s="3" t="s">
        <v>12529</v>
      </c>
      <c r="BC1247" s="3" t="s">
        <v>77</v>
      </c>
      <c r="BD1247" s="3" t="s">
        <v>78</v>
      </c>
      <c r="BE1247" s="3" t="s">
        <v>12530</v>
      </c>
      <c r="BF1247" s="3" t="s">
        <v>12529</v>
      </c>
      <c r="BG1247" s="3" t="s">
        <v>12531</v>
      </c>
      <c r="BH1247">
        <f t="shared" si="39"/>
        <v>0</v>
      </c>
    </row>
    <row r="1248" spans="1:60" ht="58" x14ac:dyDescent="0.35">
      <c r="A1248" s="2" t="s">
        <v>59</v>
      </c>
      <c r="B1248" s="2" t="s">
        <v>60</v>
      </c>
      <c r="C1248" s="2" t="s">
        <v>12532</v>
      </c>
      <c r="D1248" s="2" t="s">
        <v>12533</v>
      </c>
      <c r="E1248" s="2" t="s">
        <v>12534</v>
      </c>
      <c r="G1248" s="3" t="s">
        <v>64</v>
      </c>
      <c r="I1248" s="3" t="s">
        <v>64</v>
      </c>
      <c r="J1248" s="3" t="s">
        <v>64</v>
      </c>
      <c r="K1248" s="3" t="s">
        <v>65</v>
      </c>
      <c r="L1248" s="2" t="s">
        <v>12535</v>
      </c>
      <c r="M1248" s="2" t="s">
        <v>12536</v>
      </c>
      <c r="N1248" s="3" t="s">
        <v>253</v>
      </c>
      <c r="P1248" s="3" t="s">
        <v>102</v>
      </c>
      <c r="R1248" s="3" t="s">
        <v>70</v>
      </c>
      <c r="S1248" s="4">
        <v>1</v>
      </c>
      <c r="T1248" s="4">
        <v>1</v>
      </c>
      <c r="U1248" s="5" t="s">
        <v>7670</v>
      </c>
      <c r="V1248" s="5" t="s">
        <v>7670</v>
      </c>
      <c r="W1248" s="5" t="s">
        <v>72</v>
      </c>
      <c r="X1248" s="5" t="s">
        <v>72</v>
      </c>
      <c r="Y1248" s="4">
        <v>54</v>
      </c>
      <c r="Z1248" s="4">
        <v>32</v>
      </c>
      <c r="AA1248" s="4">
        <v>53</v>
      </c>
      <c r="AB1248" s="4">
        <v>2</v>
      </c>
      <c r="AC1248" s="4">
        <v>6</v>
      </c>
      <c r="AD1248" s="4">
        <v>18</v>
      </c>
      <c r="AE1248" s="4">
        <v>28</v>
      </c>
      <c r="AF1248" s="4">
        <v>0</v>
      </c>
      <c r="AG1248" s="4">
        <v>2</v>
      </c>
      <c r="AH1248" s="4">
        <v>12</v>
      </c>
      <c r="AI1248" s="4">
        <v>15</v>
      </c>
      <c r="AJ1248" s="4">
        <v>8</v>
      </c>
      <c r="AK1248" s="4">
        <v>12</v>
      </c>
      <c r="AL1248" s="4">
        <v>4</v>
      </c>
      <c r="AM1248" s="4">
        <v>5</v>
      </c>
      <c r="AN1248" s="4">
        <v>0</v>
      </c>
      <c r="AO1248" s="4">
        <v>0</v>
      </c>
      <c r="AP1248" s="4">
        <v>11</v>
      </c>
      <c r="AQ1248" s="4">
        <v>20</v>
      </c>
      <c r="AR1248" s="3" t="s">
        <v>128</v>
      </c>
      <c r="AS1248" s="3" t="s">
        <v>64</v>
      </c>
      <c r="AT1248" s="3" t="s">
        <v>64</v>
      </c>
      <c r="AV1248" s="6" t="str">
        <f>HYPERLINK("http://mcgill.on.worldcat.org/oclc/908654792","Catalog Record")</f>
        <v>Catalog Record</v>
      </c>
      <c r="AW1248" s="6" t="str">
        <f>HYPERLINK("http://www.worldcat.org/oclc/908654792","WorldCat Record")</f>
        <v>WorldCat Record</v>
      </c>
      <c r="AX1248" s="3" t="s">
        <v>12537</v>
      </c>
      <c r="AY1248" s="3" t="s">
        <v>12538</v>
      </c>
      <c r="AZ1248" s="3" t="s">
        <v>12539</v>
      </c>
      <c r="BA1248" s="3" t="s">
        <v>12539</v>
      </c>
      <c r="BB1248" s="3" t="s">
        <v>12540</v>
      </c>
      <c r="BC1248" s="3" t="s">
        <v>77</v>
      </c>
      <c r="BD1248" s="3" t="s">
        <v>78</v>
      </c>
      <c r="BE1248" s="3" t="s">
        <v>12541</v>
      </c>
      <c r="BF1248" s="3" t="s">
        <v>12540</v>
      </c>
      <c r="BG1248" s="3" t="s">
        <v>12542</v>
      </c>
      <c r="BH1248">
        <f t="shared" si="39"/>
        <v>0</v>
      </c>
    </row>
    <row r="1249" spans="1:60" ht="58" x14ac:dyDescent="0.35">
      <c r="A1249" s="2" t="s">
        <v>59</v>
      </c>
      <c r="B1249" s="2" t="s">
        <v>60</v>
      </c>
      <c r="C1249" s="2" t="s">
        <v>12543</v>
      </c>
      <c r="D1249" s="2" t="s">
        <v>12544</v>
      </c>
      <c r="E1249" s="2" t="s">
        <v>12545</v>
      </c>
      <c r="G1249" s="3" t="s">
        <v>64</v>
      </c>
      <c r="I1249" s="3" t="s">
        <v>64</v>
      </c>
      <c r="J1249" s="3" t="s">
        <v>64</v>
      </c>
      <c r="K1249" s="3" t="s">
        <v>65</v>
      </c>
      <c r="L1249" s="2" t="s">
        <v>5285</v>
      </c>
      <c r="M1249" s="2" t="s">
        <v>12546</v>
      </c>
      <c r="N1249" s="3" t="s">
        <v>4548</v>
      </c>
      <c r="P1249" s="3" t="s">
        <v>102</v>
      </c>
      <c r="R1249" s="3" t="s">
        <v>70</v>
      </c>
      <c r="S1249" s="4">
        <v>9</v>
      </c>
      <c r="T1249" s="4">
        <v>9</v>
      </c>
      <c r="U1249" s="5" t="s">
        <v>5273</v>
      </c>
      <c r="V1249" s="5" t="s">
        <v>5273</v>
      </c>
      <c r="W1249" s="5" t="s">
        <v>72</v>
      </c>
      <c r="X1249" s="5" t="s">
        <v>72</v>
      </c>
      <c r="Y1249" s="4">
        <v>130</v>
      </c>
      <c r="Z1249" s="4">
        <v>43</v>
      </c>
      <c r="AA1249" s="4">
        <v>56</v>
      </c>
      <c r="AB1249" s="4">
        <v>4</v>
      </c>
      <c r="AC1249" s="4">
        <v>9</v>
      </c>
      <c r="AD1249" s="4">
        <v>67</v>
      </c>
      <c r="AE1249" s="4">
        <v>87</v>
      </c>
      <c r="AF1249" s="4">
        <v>2</v>
      </c>
      <c r="AG1249" s="4">
        <v>6</v>
      </c>
      <c r="AH1249" s="4">
        <v>52</v>
      </c>
      <c r="AI1249" s="4">
        <v>64</v>
      </c>
      <c r="AJ1249" s="4">
        <v>18</v>
      </c>
      <c r="AK1249" s="4">
        <v>27</v>
      </c>
      <c r="AL1249" s="4">
        <v>30</v>
      </c>
      <c r="AM1249" s="4">
        <v>37</v>
      </c>
      <c r="AN1249" s="4">
        <v>0</v>
      </c>
      <c r="AO1249" s="4">
        <v>0</v>
      </c>
      <c r="AP1249" s="4">
        <v>21</v>
      </c>
      <c r="AQ1249" s="4">
        <v>31</v>
      </c>
      <c r="AR1249" s="3" t="s">
        <v>128</v>
      </c>
      <c r="AS1249" s="3" t="s">
        <v>64</v>
      </c>
      <c r="AT1249" s="3" t="s">
        <v>128</v>
      </c>
      <c r="AU1249" s="6" t="str">
        <f>HYPERLINK("http://catalog.hathitrust.org/Record/009982585","HathiTrust Record")</f>
        <v>HathiTrust Record</v>
      </c>
      <c r="AV1249" s="6" t="str">
        <f>HYPERLINK("http://mcgill.on.worldcat.org/oclc/855850","Catalog Record")</f>
        <v>Catalog Record</v>
      </c>
      <c r="AW1249" s="6" t="str">
        <f>HYPERLINK("http://www.worldcat.org/oclc/855850","WorldCat Record")</f>
        <v>WorldCat Record</v>
      </c>
      <c r="AX1249" s="3" t="s">
        <v>12547</v>
      </c>
      <c r="AY1249" s="3" t="s">
        <v>12548</v>
      </c>
      <c r="AZ1249" s="3" t="s">
        <v>12549</v>
      </c>
      <c r="BA1249" s="3" t="s">
        <v>12549</v>
      </c>
      <c r="BB1249" s="3" t="s">
        <v>12550</v>
      </c>
      <c r="BC1249" s="3" t="s">
        <v>77</v>
      </c>
      <c r="BD1249" s="3" t="s">
        <v>78</v>
      </c>
      <c r="BF1249" s="3" t="s">
        <v>12550</v>
      </c>
      <c r="BG1249" s="3" t="s">
        <v>12551</v>
      </c>
      <c r="BH1249">
        <f t="shared" si="39"/>
        <v>0</v>
      </c>
    </row>
    <row r="1250" spans="1:60" ht="58" x14ac:dyDescent="0.35">
      <c r="A1250" s="2" t="s">
        <v>59</v>
      </c>
      <c r="B1250" s="2" t="s">
        <v>60</v>
      </c>
      <c r="C1250" s="2" t="s">
        <v>12552</v>
      </c>
      <c r="D1250" s="2" t="s">
        <v>12553</v>
      </c>
      <c r="E1250" s="2" t="s">
        <v>12554</v>
      </c>
      <c r="G1250" s="3" t="s">
        <v>64</v>
      </c>
      <c r="I1250" s="3" t="s">
        <v>64</v>
      </c>
      <c r="J1250" s="3" t="s">
        <v>64</v>
      </c>
      <c r="K1250" s="3" t="s">
        <v>65</v>
      </c>
      <c r="L1250" s="2" t="s">
        <v>12555</v>
      </c>
      <c r="M1250" s="2" t="s">
        <v>12556</v>
      </c>
      <c r="N1250" s="3" t="s">
        <v>86</v>
      </c>
      <c r="P1250" s="3" t="s">
        <v>68</v>
      </c>
      <c r="Q1250" s="2" t="s">
        <v>12557</v>
      </c>
      <c r="R1250" s="3" t="s">
        <v>70</v>
      </c>
      <c r="S1250" s="4">
        <v>2</v>
      </c>
      <c r="T1250" s="4">
        <v>2</v>
      </c>
      <c r="U1250" s="5" t="s">
        <v>7309</v>
      </c>
      <c r="V1250" s="5" t="s">
        <v>7309</v>
      </c>
      <c r="W1250" s="5" t="s">
        <v>72</v>
      </c>
      <c r="X1250" s="5" t="s">
        <v>72</v>
      </c>
      <c r="Y1250" s="4">
        <v>17</v>
      </c>
      <c r="Z1250" s="4">
        <v>7</v>
      </c>
      <c r="AA1250" s="4">
        <v>13</v>
      </c>
      <c r="AB1250" s="4">
        <v>3</v>
      </c>
      <c r="AC1250" s="4">
        <v>8</v>
      </c>
      <c r="AD1250" s="4">
        <v>8</v>
      </c>
      <c r="AE1250" s="4">
        <v>13</v>
      </c>
      <c r="AF1250" s="4">
        <v>1</v>
      </c>
      <c r="AG1250" s="4">
        <v>5</v>
      </c>
      <c r="AH1250" s="4">
        <v>7</v>
      </c>
      <c r="AI1250" s="4">
        <v>8</v>
      </c>
      <c r="AJ1250" s="4">
        <v>2</v>
      </c>
      <c r="AK1250" s="4">
        <v>6</v>
      </c>
      <c r="AL1250" s="4">
        <v>5</v>
      </c>
      <c r="AM1250" s="4">
        <v>5</v>
      </c>
      <c r="AN1250" s="4">
        <v>0</v>
      </c>
      <c r="AO1250" s="4">
        <v>0</v>
      </c>
      <c r="AP1250" s="4">
        <v>1</v>
      </c>
      <c r="AQ1250" s="4">
        <v>5</v>
      </c>
      <c r="AR1250" s="3" t="s">
        <v>128</v>
      </c>
      <c r="AS1250" s="3" t="s">
        <v>64</v>
      </c>
      <c r="AT1250" s="3" t="s">
        <v>64</v>
      </c>
      <c r="AV1250" s="6" t="str">
        <f>HYPERLINK("http://mcgill.on.worldcat.org/oclc/841051115","Catalog Record")</f>
        <v>Catalog Record</v>
      </c>
      <c r="AW1250" s="6" t="str">
        <f>HYPERLINK("http://www.worldcat.org/oclc/841051115","WorldCat Record")</f>
        <v>WorldCat Record</v>
      </c>
      <c r="AX1250" s="3" t="s">
        <v>12558</v>
      </c>
      <c r="AY1250" s="3" t="s">
        <v>12559</v>
      </c>
      <c r="AZ1250" s="3" t="s">
        <v>12560</v>
      </c>
      <c r="BA1250" s="3" t="s">
        <v>12560</v>
      </c>
      <c r="BB1250" s="3" t="s">
        <v>12561</v>
      </c>
      <c r="BC1250" s="3" t="s">
        <v>77</v>
      </c>
      <c r="BD1250" s="3" t="s">
        <v>78</v>
      </c>
      <c r="BE1250" s="3" t="s">
        <v>12562</v>
      </c>
      <c r="BF1250" s="3" t="s">
        <v>12561</v>
      </c>
      <c r="BG1250" s="3" t="s">
        <v>12563</v>
      </c>
      <c r="BH1250">
        <f t="shared" si="39"/>
        <v>0</v>
      </c>
    </row>
    <row r="1251" spans="1:60" ht="58" x14ac:dyDescent="0.35">
      <c r="A1251" s="2" t="s">
        <v>59</v>
      </c>
      <c r="B1251" s="2" t="s">
        <v>60</v>
      </c>
      <c r="C1251" s="2" t="s">
        <v>12564</v>
      </c>
      <c r="D1251" s="2" t="s">
        <v>12565</v>
      </c>
      <c r="E1251" s="2" t="s">
        <v>12566</v>
      </c>
      <c r="G1251" s="3" t="s">
        <v>64</v>
      </c>
      <c r="I1251" s="3" t="s">
        <v>64</v>
      </c>
      <c r="J1251" s="3" t="s">
        <v>64</v>
      </c>
      <c r="K1251" s="3" t="s">
        <v>65</v>
      </c>
      <c r="L1251" s="2" t="s">
        <v>12567</v>
      </c>
      <c r="M1251" s="2" t="s">
        <v>12568</v>
      </c>
      <c r="N1251" s="3" t="s">
        <v>1615</v>
      </c>
      <c r="P1251" s="3" t="s">
        <v>102</v>
      </c>
      <c r="R1251" s="3" t="s">
        <v>70</v>
      </c>
      <c r="S1251" s="4">
        <v>7</v>
      </c>
      <c r="T1251" s="4">
        <v>7</v>
      </c>
      <c r="U1251" s="5" t="s">
        <v>7143</v>
      </c>
      <c r="V1251" s="5" t="s">
        <v>7143</v>
      </c>
      <c r="W1251" s="5" t="s">
        <v>72</v>
      </c>
      <c r="X1251" s="5" t="s">
        <v>72</v>
      </c>
      <c r="Y1251" s="4">
        <v>104</v>
      </c>
      <c r="Z1251" s="4">
        <v>47</v>
      </c>
      <c r="AA1251" s="4">
        <v>50</v>
      </c>
      <c r="AB1251" s="4">
        <v>3</v>
      </c>
      <c r="AC1251" s="4">
        <v>5</v>
      </c>
      <c r="AD1251" s="4">
        <v>41</v>
      </c>
      <c r="AE1251" s="4">
        <v>43</v>
      </c>
      <c r="AF1251" s="4">
        <v>1</v>
      </c>
      <c r="AG1251" s="4">
        <v>3</v>
      </c>
      <c r="AH1251" s="4">
        <v>25</v>
      </c>
      <c r="AI1251" s="4">
        <v>26</v>
      </c>
      <c r="AJ1251" s="4">
        <v>14</v>
      </c>
      <c r="AK1251" s="4">
        <v>16</v>
      </c>
      <c r="AL1251" s="4">
        <v>7</v>
      </c>
      <c r="AM1251" s="4">
        <v>7</v>
      </c>
      <c r="AN1251" s="4">
        <v>0</v>
      </c>
      <c r="AO1251" s="4">
        <v>0</v>
      </c>
      <c r="AP1251" s="4">
        <v>22</v>
      </c>
      <c r="AQ1251" s="4">
        <v>24</v>
      </c>
      <c r="AR1251" s="3" t="s">
        <v>128</v>
      </c>
      <c r="AS1251" s="3" t="s">
        <v>64</v>
      </c>
      <c r="AT1251" s="3" t="s">
        <v>64</v>
      </c>
      <c r="AV1251" s="6" t="str">
        <f>HYPERLINK("http://mcgill.on.worldcat.org/oclc/35945671","Catalog Record")</f>
        <v>Catalog Record</v>
      </c>
      <c r="AW1251" s="6" t="str">
        <f>HYPERLINK("http://www.worldcat.org/oclc/35945671","WorldCat Record")</f>
        <v>WorldCat Record</v>
      </c>
      <c r="AX1251" s="3" t="s">
        <v>12569</v>
      </c>
      <c r="AY1251" s="3" t="s">
        <v>12570</v>
      </c>
      <c r="AZ1251" s="3" t="s">
        <v>12571</v>
      </c>
      <c r="BA1251" s="3" t="s">
        <v>12571</v>
      </c>
      <c r="BB1251" s="3" t="s">
        <v>12572</v>
      </c>
      <c r="BC1251" s="3" t="s">
        <v>77</v>
      </c>
      <c r="BD1251" s="3" t="s">
        <v>78</v>
      </c>
      <c r="BE1251" s="3" t="s">
        <v>12573</v>
      </c>
      <c r="BF1251" s="3" t="s">
        <v>12572</v>
      </c>
      <c r="BG1251" s="3" t="s">
        <v>12574</v>
      </c>
      <c r="BH1251">
        <f t="shared" si="39"/>
        <v>0</v>
      </c>
    </row>
    <row r="1252" spans="1:60" ht="58" x14ac:dyDescent="0.35">
      <c r="A1252" s="2" t="s">
        <v>59</v>
      </c>
      <c r="B1252" s="2" t="s">
        <v>60</v>
      </c>
      <c r="C1252" s="2" t="s">
        <v>12575</v>
      </c>
      <c r="D1252" s="2" t="s">
        <v>12576</v>
      </c>
      <c r="E1252" s="2" t="s">
        <v>12577</v>
      </c>
      <c r="G1252" s="3" t="s">
        <v>64</v>
      </c>
      <c r="I1252" s="3" t="s">
        <v>64</v>
      </c>
      <c r="J1252" s="3" t="s">
        <v>128</v>
      </c>
      <c r="K1252" s="3" t="s">
        <v>65</v>
      </c>
      <c r="L1252" s="2" t="s">
        <v>12578</v>
      </c>
      <c r="M1252" s="2" t="s">
        <v>12579</v>
      </c>
      <c r="N1252" s="3" t="s">
        <v>1763</v>
      </c>
      <c r="P1252" s="3" t="s">
        <v>102</v>
      </c>
      <c r="R1252" s="3" t="s">
        <v>70</v>
      </c>
      <c r="S1252" s="4">
        <v>33</v>
      </c>
      <c r="T1252" s="4">
        <v>33</v>
      </c>
      <c r="U1252" s="5" t="s">
        <v>2069</v>
      </c>
      <c r="V1252" s="5" t="s">
        <v>2069</v>
      </c>
      <c r="W1252" s="5" t="s">
        <v>72</v>
      </c>
      <c r="X1252" s="5" t="s">
        <v>72</v>
      </c>
      <c r="Y1252" s="4">
        <v>234</v>
      </c>
      <c r="Z1252" s="4">
        <v>11</v>
      </c>
      <c r="AA1252" s="4">
        <v>62</v>
      </c>
      <c r="AB1252" s="4">
        <v>1</v>
      </c>
      <c r="AC1252" s="4">
        <v>7</v>
      </c>
      <c r="AD1252" s="4">
        <v>76</v>
      </c>
      <c r="AE1252" s="4">
        <v>124</v>
      </c>
      <c r="AF1252" s="4">
        <v>0</v>
      </c>
      <c r="AG1252" s="4">
        <v>5</v>
      </c>
      <c r="AH1252" s="4">
        <v>70</v>
      </c>
      <c r="AI1252" s="4">
        <v>95</v>
      </c>
      <c r="AJ1252" s="4">
        <v>2</v>
      </c>
      <c r="AK1252" s="4">
        <v>25</v>
      </c>
      <c r="AL1252" s="4">
        <v>40</v>
      </c>
      <c r="AM1252" s="4">
        <v>52</v>
      </c>
      <c r="AN1252" s="4">
        <v>0</v>
      </c>
      <c r="AO1252" s="4">
        <v>0</v>
      </c>
      <c r="AP1252" s="4">
        <v>5</v>
      </c>
      <c r="AQ1252" s="4">
        <v>38</v>
      </c>
      <c r="AR1252" s="3" t="s">
        <v>64</v>
      </c>
      <c r="AS1252" s="3" t="s">
        <v>64</v>
      </c>
      <c r="AT1252" s="3" t="s">
        <v>64</v>
      </c>
      <c r="AV1252" s="6" t="str">
        <f>HYPERLINK("http://mcgill.on.worldcat.org/oclc/11484539","Catalog Record")</f>
        <v>Catalog Record</v>
      </c>
      <c r="AW1252" s="6" t="str">
        <f>HYPERLINK("http://www.worldcat.org/oclc/11484539","WorldCat Record")</f>
        <v>WorldCat Record</v>
      </c>
      <c r="AX1252" s="3" t="s">
        <v>12580</v>
      </c>
      <c r="AY1252" s="3" t="s">
        <v>12581</v>
      </c>
      <c r="AZ1252" s="3" t="s">
        <v>12582</v>
      </c>
      <c r="BA1252" s="3" t="s">
        <v>12582</v>
      </c>
      <c r="BB1252" s="3" t="s">
        <v>12583</v>
      </c>
      <c r="BC1252" s="3" t="s">
        <v>77</v>
      </c>
      <c r="BD1252" s="3" t="s">
        <v>78</v>
      </c>
      <c r="BE1252" s="3" t="s">
        <v>12584</v>
      </c>
      <c r="BF1252" s="3" t="s">
        <v>12583</v>
      </c>
      <c r="BG1252" s="3" t="s">
        <v>12585</v>
      </c>
      <c r="BH1252">
        <f t="shared" si="39"/>
        <v>0</v>
      </c>
    </row>
    <row r="1253" spans="1:60" ht="58" x14ac:dyDescent="0.35">
      <c r="A1253" s="2" t="s">
        <v>59</v>
      </c>
      <c r="B1253" s="2" t="s">
        <v>60</v>
      </c>
      <c r="C1253" s="2" t="s">
        <v>12575</v>
      </c>
      <c r="D1253" s="2" t="s">
        <v>12576</v>
      </c>
      <c r="E1253" s="2" t="s">
        <v>12586</v>
      </c>
      <c r="G1253" s="3" t="s">
        <v>64</v>
      </c>
      <c r="I1253" s="3" t="s">
        <v>64</v>
      </c>
      <c r="J1253" s="3" t="s">
        <v>128</v>
      </c>
      <c r="K1253" s="3" t="s">
        <v>65</v>
      </c>
      <c r="L1253" s="2" t="s">
        <v>12578</v>
      </c>
      <c r="M1253" s="2" t="s">
        <v>12587</v>
      </c>
      <c r="N1253" s="3" t="s">
        <v>1763</v>
      </c>
      <c r="P1253" s="3" t="s">
        <v>102</v>
      </c>
      <c r="R1253" s="3" t="s">
        <v>70</v>
      </c>
      <c r="S1253" s="4">
        <v>14</v>
      </c>
      <c r="T1253" s="4">
        <v>14</v>
      </c>
      <c r="U1253" s="5" t="s">
        <v>7143</v>
      </c>
      <c r="V1253" s="5" t="s">
        <v>7143</v>
      </c>
      <c r="W1253" s="5" t="s">
        <v>72</v>
      </c>
      <c r="X1253" s="5" t="s">
        <v>72</v>
      </c>
      <c r="Y1253" s="4">
        <v>117</v>
      </c>
      <c r="Z1253" s="4">
        <v>51</v>
      </c>
      <c r="AA1253" s="4">
        <v>62</v>
      </c>
      <c r="AB1253" s="4">
        <v>3</v>
      </c>
      <c r="AC1253" s="4">
        <v>7</v>
      </c>
      <c r="AD1253" s="4">
        <v>59</v>
      </c>
      <c r="AE1253" s="4">
        <v>124</v>
      </c>
      <c r="AF1253" s="4">
        <v>2</v>
      </c>
      <c r="AG1253" s="4">
        <v>5</v>
      </c>
      <c r="AH1253" s="4">
        <v>37</v>
      </c>
      <c r="AI1253" s="4">
        <v>95</v>
      </c>
      <c r="AJ1253" s="4">
        <v>22</v>
      </c>
      <c r="AK1253" s="4">
        <v>25</v>
      </c>
      <c r="AL1253" s="4">
        <v>22</v>
      </c>
      <c r="AM1253" s="4">
        <v>52</v>
      </c>
      <c r="AN1253" s="4">
        <v>0</v>
      </c>
      <c r="AO1253" s="4">
        <v>0</v>
      </c>
      <c r="AP1253" s="4">
        <v>32</v>
      </c>
      <c r="AQ1253" s="4">
        <v>38</v>
      </c>
      <c r="AR1253" s="3" t="s">
        <v>128</v>
      </c>
      <c r="AS1253" s="3" t="s">
        <v>64</v>
      </c>
      <c r="AT1253" s="3" t="s">
        <v>64</v>
      </c>
      <c r="AV1253" s="6" t="str">
        <f>HYPERLINK("http://mcgill.on.worldcat.org/oclc/15952968","Catalog Record")</f>
        <v>Catalog Record</v>
      </c>
      <c r="AW1253" s="6" t="str">
        <f>HYPERLINK("http://www.worldcat.org/oclc/15952968","WorldCat Record")</f>
        <v>WorldCat Record</v>
      </c>
      <c r="AX1253" s="3" t="s">
        <v>12580</v>
      </c>
      <c r="AY1253" s="3" t="s">
        <v>12588</v>
      </c>
      <c r="AZ1253" s="3" t="s">
        <v>12589</v>
      </c>
      <c r="BA1253" s="3" t="s">
        <v>12589</v>
      </c>
      <c r="BB1253" s="3" t="s">
        <v>12590</v>
      </c>
      <c r="BC1253" s="3" t="s">
        <v>77</v>
      </c>
      <c r="BD1253" s="3" t="s">
        <v>78</v>
      </c>
      <c r="BE1253" s="3" t="s">
        <v>12591</v>
      </c>
      <c r="BF1253" s="3" t="s">
        <v>12590</v>
      </c>
      <c r="BG1253" s="3" t="s">
        <v>12592</v>
      </c>
      <c r="BH1253">
        <f t="shared" si="39"/>
        <v>0</v>
      </c>
    </row>
    <row r="1254" spans="1:60" ht="58" x14ac:dyDescent="0.35">
      <c r="A1254" s="2" t="s">
        <v>59</v>
      </c>
      <c r="B1254" s="2" t="s">
        <v>60</v>
      </c>
      <c r="C1254" s="2" t="s">
        <v>12593</v>
      </c>
      <c r="D1254" s="2" t="s">
        <v>12594</v>
      </c>
      <c r="E1254" s="2" t="s">
        <v>12595</v>
      </c>
      <c r="F1254" s="3" t="s">
        <v>529</v>
      </c>
      <c r="G1254" s="3" t="s">
        <v>128</v>
      </c>
      <c r="I1254" s="3" t="s">
        <v>128</v>
      </c>
      <c r="J1254" s="3" t="s">
        <v>64</v>
      </c>
      <c r="K1254" s="3" t="s">
        <v>65</v>
      </c>
      <c r="M1254" s="2" t="s">
        <v>12596</v>
      </c>
      <c r="N1254" s="3" t="s">
        <v>1275</v>
      </c>
      <c r="P1254" s="3" t="s">
        <v>68</v>
      </c>
      <c r="R1254" s="3" t="s">
        <v>70</v>
      </c>
      <c r="S1254" s="4">
        <v>6</v>
      </c>
      <c r="T1254" s="4">
        <v>18</v>
      </c>
      <c r="U1254" s="5" t="s">
        <v>12597</v>
      </c>
      <c r="V1254" s="5" t="s">
        <v>280</v>
      </c>
      <c r="W1254" s="5" t="s">
        <v>72</v>
      </c>
      <c r="X1254" s="5" t="s">
        <v>72</v>
      </c>
      <c r="Y1254" s="4">
        <v>52</v>
      </c>
      <c r="Z1254" s="4">
        <v>35</v>
      </c>
      <c r="AA1254" s="4">
        <v>41</v>
      </c>
      <c r="AB1254" s="4">
        <v>16</v>
      </c>
      <c r="AC1254" s="4">
        <v>16</v>
      </c>
      <c r="AD1254" s="4">
        <v>25</v>
      </c>
      <c r="AE1254" s="4">
        <v>31</v>
      </c>
      <c r="AF1254" s="4">
        <v>7</v>
      </c>
      <c r="AG1254" s="4">
        <v>7</v>
      </c>
      <c r="AH1254" s="4">
        <v>12</v>
      </c>
      <c r="AI1254" s="4">
        <v>15</v>
      </c>
      <c r="AJ1254" s="4">
        <v>12</v>
      </c>
      <c r="AK1254" s="4">
        <v>15</v>
      </c>
      <c r="AL1254" s="4">
        <v>6</v>
      </c>
      <c r="AM1254" s="4">
        <v>6</v>
      </c>
      <c r="AN1254" s="4">
        <v>0</v>
      </c>
      <c r="AO1254" s="4">
        <v>0</v>
      </c>
      <c r="AP1254" s="4">
        <v>15</v>
      </c>
      <c r="AQ1254" s="4">
        <v>21</v>
      </c>
      <c r="AR1254" s="3" t="s">
        <v>128</v>
      </c>
      <c r="AS1254" s="3" t="s">
        <v>64</v>
      </c>
      <c r="AT1254" s="3" t="s">
        <v>64</v>
      </c>
      <c r="AV1254" s="6" t="str">
        <f>HYPERLINK("http://mcgill.on.worldcat.org/oclc/55015914","Catalog Record")</f>
        <v>Catalog Record</v>
      </c>
      <c r="AW1254" s="6" t="str">
        <f>HYPERLINK("http://www.worldcat.org/oclc/55015914","WorldCat Record")</f>
        <v>WorldCat Record</v>
      </c>
      <c r="AX1254" s="3" t="s">
        <v>12598</v>
      </c>
      <c r="AY1254" s="3" t="s">
        <v>12599</v>
      </c>
      <c r="AZ1254" s="3" t="s">
        <v>12600</v>
      </c>
      <c r="BA1254" s="3" t="s">
        <v>12600</v>
      </c>
      <c r="BB1254" s="3" t="s">
        <v>12601</v>
      </c>
      <c r="BC1254" s="3" t="s">
        <v>77</v>
      </c>
      <c r="BD1254" s="3" t="s">
        <v>78</v>
      </c>
      <c r="BE1254" s="3" t="s">
        <v>12602</v>
      </c>
      <c r="BF1254" s="3" t="s">
        <v>12601</v>
      </c>
      <c r="BG1254" s="3" t="s">
        <v>12603</v>
      </c>
      <c r="BH1254">
        <f t="shared" si="39"/>
        <v>0</v>
      </c>
    </row>
    <row r="1255" spans="1:60" ht="58" x14ac:dyDescent="0.35">
      <c r="A1255" s="2" t="s">
        <v>59</v>
      </c>
      <c r="B1255" s="2" t="s">
        <v>60</v>
      </c>
      <c r="C1255" s="2" t="s">
        <v>12593</v>
      </c>
      <c r="D1255" s="2" t="s">
        <v>12594</v>
      </c>
      <c r="E1255" s="2" t="s">
        <v>12595</v>
      </c>
      <c r="F1255" s="3" t="s">
        <v>509</v>
      </c>
      <c r="G1255" s="3" t="s">
        <v>128</v>
      </c>
      <c r="I1255" s="3" t="s">
        <v>128</v>
      </c>
      <c r="J1255" s="3" t="s">
        <v>64</v>
      </c>
      <c r="K1255" s="3" t="s">
        <v>65</v>
      </c>
      <c r="M1255" s="2" t="s">
        <v>12596</v>
      </c>
      <c r="N1255" s="3" t="s">
        <v>1275</v>
      </c>
      <c r="P1255" s="3" t="s">
        <v>68</v>
      </c>
      <c r="R1255" s="3" t="s">
        <v>70</v>
      </c>
      <c r="S1255" s="4">
        <v>3</v>
      </c>
      <c r="T1255" s="4">
        <v>18</v>
      </c>
      <c r="U1255" s="5" t="s">
        <v>280</v>
      </c>
      <c r="V1255" s="5" t="s">
        <v>280</v>
      </c>
      <c r="W1255" s="5" t="s">
        <v>72</v>
      </c>
      <c r="X1255" s="5" t="s">
        <v>72</v>
      </c>
      <c r="Y1255" s="4">
        <v>52</v>
      </c>
      <c r="Z1255" s="4">
        <v>35</v>
      </c>
      <c r="AA1255" s="4">
        <v>41</v>
      </c>
      <c r="AB1255" s="4">
        <v>16</v>
      </c>
      <c r="AC1255" s="4">
        <v>16</v>
      </c>
      <c r="AD1255" s="4">
        <v>25</v>
      </c>
      <c r="AE1255" s="4">
        <v>31</v>
      </c>
      <c r="AF1255" s="4">
        <v>7</v>
      </c>
      <c r="AG1255" s="4">
        <v>7</v>
      </c>
      <c r="AH1255" s="4">
        <v>12</v>
      </c>
      <c r="AI1255" s="4">
        <v>15</v>
      </c>
      <c r="AJ1255" s="4">
        <v>12</v>
      </c>
      <c r="AK1255" s="4">
        <v>15</v>
      </c>
      <c r="AL1255" s="4">
        <v>6</v>
      </c>
      <c r="AM1255" s="4">
        <v>6</v>
      </c>
      <c r="AN1255" s="4">
        <v>0</v>
      </c>
      <c r="AO1255" s="4">
        <v>0</v>
      </c>
      <c r="AP1255" s="4">
        <v>15</v>
      </c>
      <c r="AQ1255" s="4">
        <v>21</v>
      </c>
      <c r="AR1255" s="3" t="s">
        <v>128</v>
      </c>
      <c r="AS1255" s="3" t="s">
        <v>64</v>
      </c>
      <c r="AT1255" s="3" t="s">
        <v>64</v>
      </c>
      <c r="AV1255" s="6" t="str">
        <f>HYPERLINK("http://mcgill.on.worldcat.org/oclc/55015914","Catalog Record")</f>
        <v>Catalog Record</v>
      </c>
      <c r="AW1255" s="6" t="str">
        <f>HYPERLINK("http://www.worldcat.org/oclc/55015914","WorldCat Record")</f>
        <v>WorldCat Record</v>
      </c>
      <c r="AX1255" s="3" t="s">
        <v>12598</v>
      </c>
      <c r="AY1255" s="3" t="s">
        <v>12599</v>
      </c>
      <c r="AZ1255" s="3" t="s">
        <v>12600</v>
      </c>
      <c r="BA1255" s="3" t="s">
        <v>12600</v>
      </c>
      <c r="BB1255" s="3" t="s">
        <v>12604</v>
      </c>
      <c r="BC1255" s="3" t="s">
        <v>77</v>
      </c>
      <c r="BD1255" s="3" t="s">
        <v>78</v>
      </c>
      <c r="BE1255" s="3" t="s">
        <v>12602</v>
      </c>
      <c r="BF1255" s="3" t="s">
        <v>12604</v>
      </c>
      <c r="BG1255" s="3" t="s">
        <v>12605</v>
      </c>
      <c r="BH1255">
        <f t="shared" si="39"/>
        <v>0</v>
      </c>
    </row>
    <row r="1256" spans="1:60" ht="58" x14ac:dyDescent="0.35">
      <c r="A1256" s="2" t="s">
        <v>59</v>
      </c>
      <c r="B1256" s="2" t="s">
        <v>60</v>
      </c>
      <c r="C1256" s="2" t="s">
        <v>12593</v>
      </c>
      <c r="D1256" s="2" t="s">
        <v>12594</v>
      </c>
      <c r="E1256" s="2" t="s">
        <v>12595</v>
      </c>
      <c r="F1256" s="3" t="s">
        <v>525</v>
      </c>
      <c r="G1256" s="3" t="s">
        <v>128</v>
      </c>
      <c r="I1256" s="3" t="s">
        <v>128</v>
      </c>
      <c r="J1256" s="3" t="s">
        <v>64</v>
      </c>
      <c r="K1256" s="3" t="s">
        <v>65</v>
      </c>
      <c r="M1256" s="2" t="s">
        <v>12596</v>
      </c>
      <c r="N1256" s="3" t="s">
        <v>1275</v>
      </c>
      <c r="P1256" s="3" t="s">
        <v>68</v>
      </c>
      <c r="R1256" s="3" t="s">
        <v>70</v>
      </c>
      <c r="S1256" s="4">
        <v>9</v>
      </c>
      <c r="T1256" s="4">
        <v>18</v>
      </c>
      <c r="U1256" s="5" t="s">
        <v>5263</v>
      </c>
      <c r="V1256" s="5" t="s">
        <v>280</v>
      </c>
      <c r="W1256" s="5" t="s">
        <v>72</v>
      </c>
      <c r="X1256" s="5" t="s">
        <v>72</v>
      </c>
      <c r="Y1256" s="4">
        <v>52</v>
      </c>
      <c r="Z1256" s="4">
        <v>35</v>
      </c>
      <c r="AA1256" s="4">
        <v>41</v>
      </c>
      <c r="AB1256" s="4">
        <v>16</v>
      </c>
      <c r="AC1256" s="4">
        <v>16</v>
      </c>
      <c r="AD1256" s="4">
        <v>25</v>
      </c>
      <c r="AE1256" s="4">
        <v>31</v>
      </c>
      <c r="AF1256" s="4">
        <v>7</v>
      </c>
      <c r="AG1256" s="4">
        <v>7</v>
      </c>
      <c r="AH1256" s="4">
        <v>12</v>
      </c>
      <c r="AI1256" s="4">
        <v>15</v>
      </c>
      <c r="AJ1256" s="4">
        <v>12</v>
      </c>
      <c r="AK1256" s="4">
        <v>15</v>
      </c>
      <c r="AL1256" s="4">
        <v>6</v>
      </c>
      <c r="AM1256" s="4">
        <v>6</v>
      </c>
      <c r="AN1256" s="4">
        <v>0</v>
      </c>
      <c r="AO1256" s="4">
        <v>0</v>
      </c>
      <c r="AP1256" s="4">
        <v>15</v>
      </c>
      <c r="AQ1256" s="4">
        <v>21</v>
      </c>
      <c r="AR1256" s="3" t="s">
        <v>128</v>
      </c>
      <c r="AS1256" s="3" t="s">
        <v>64</v>
      </c>
      <c r="AT1256" s="3" t="s">
        <v>64</v>
      </c>
      <c r="AV1256" s="6" t="str">
        <f>HYPERLINK("http://mcgill.on.worldcat.org/oclc/55015914","Catalog Record")</f>
        <v>Catalog Record</v>
      </c>
      <c r="AW1256" s="6" t="str">
        <f>HYPERLINK("http://www.worldcat.org/oclc/55015914","WorldCat Record")</f>
        <v>WorldCat Record</v>
      </c>
      <c r="AX1256" s="3" t="s">
        <v>12598</v>
      </c>
      <c r="AY1256" s="3" t="s">
        <v>12599</v>
      </c>
      <c r="AZ1256" s="3" t="s">
        <v>12600</v>
      </c>
      <c r="BA1256" s="3" t="s">
        <v>12600</v>
      </c>
      <c r="BB1256" s="3" t="s">
        <v>12606</v>
      </c>
      <c r="BC1256" s="3" t="s">
        <v>77</v>
      </c>
      <c r="BD1256" s="3" t="s">
        <v>78</v>
      </c>
      <c r="BE1256" s="3" t="s">
        <v>12602</v>
      </c>
      <c r="BF1256" s="3" t="s">
        <v>12606</v>
      </c>
      <c r="BG1256" s="3" t="s">
        <v>12607</v>
      </c>
      <c r="BH1256">
        <f t="shared" si="39"/>
        <v>0</v>
      </c>
    </row>
    <row r="1257" spans="1:60" ht="58" x14ac:dyDescent="0.35">
      <c r="A1257" s="2" t="s">
        <v>59</v>
      </c>
      <c r="B1257" s="2" t="s">
        <v>60</v>
      </c>
      <c r="C1257" s="2" t="s">
        <v>12608</v>
      </c>
      <c r="D1257" s="2" t="s">
        <v>12609</v>
      </c>
      <c r="E1257" s="2" t="s">
        <v>12610</v>
      </c>
      <c r="G1257" s="3" t="s">
        <v>64</v>
      </c>
      <c r="I1257" s="3" t="s">
        <v>128</v>
      </c>
      <c r="J1257" s="3" t="s">
        <v>64</v>
      </c>
      <c r="K1257" s="3" t="s">
        <v>65</v>
      </c>
      <c r="L1257" s="2" t="s">
        <v>12611</v>
      </c>
      <c r="M1257" s="2" t="s">
        <v>12612</v>
      </c>
      <c r="N1257" s="3" t="s">
        <v>304</v>
      </c>
      <c r="P1257" s="3" t="s">
        <v>102</v>
      </c>
      <c r="R1257" s="3" t="s">
        <v>70</v>
      </c>
      <c r="S1257" s="4">
        <v>4</v>
      </c>
      <c r="T1257" s="4">
        <v>4</v>
      </c>
      <c r="U1257" s="5" t="s">
        <v>3035</v>
      </c>
      <c r="V1257" s="5" t="s">
        <v>3035</v>
      </c>
      <c r="W1257" s="5" t="s">
        <v>72</v>
      </c>
      <c r="X1257" s="5" t="s">
        <v>72</v>
      </c>
      <c r="Y1257" s="4">
        <v>108</v>
      </c>
      <c r="Z1257" s="4">
        <v>41</v>
      </c>
      <c r="AA1257" s="4">
        <v>42</v>
      </c>
      <c r="AB1257" s="4">
        <v>2</v>
      </c>
      <c r="AC1257" s="4">
        <v>3</v>
      </c>
      <c r="AD1257" s="4">
        <v>56</v>
      </c>
      <c r="AE1257" s="4">
        <v>56</v>
      </c>
      <c r="AF1257" s="4">
        <v>1</v>
      </c>
      <c r="AG1257" s="4">
        <v>1</v>
      </c>
      <c r="AH1257" s="4">
        <v>38</v>
      </c>
      <c r="AI1257" s="4">
        <v>38</v>
      </c>
      <c r="AJ1257" s="4">
        <v>23</v>
      </c>
      <c r="AK1257" s="4">
        <v>23</v>
      </c>
      <c r="AL1257" s="4">
        <v>21</v>
      </c>
      <c r="AM1257" s="4">
        <v>21</v>
      </c>
      <c r="AN1257" s="4">
        <v>0</v>
      </c>
      <c r="AO1257" s="4">
        <v>0</v>
      </c>
      <c r="AP1257" s="4">
        <v>28</v>
      </c>
      <c r="AQ1257" s="4">
        <v>28</v>
      </c>
      <c r="AR1257" s="3" t="s">
        <v>128</v>
      </c>
      <c r="AS1257" s="3" t="s">
        <v>64</v>
      </c>
      <c r="AT1257" s="3" t="s">
        <v>128</v>
      </c>
      <c r="AU1257" s="6" t="str">
        <f>HYPERLINK("http://catalog.hathitrust.org/Record/001175640","HathiTrust Record")</f>
        <v>HathiTrust Record</v>
      </c>
      <c r="AV1257" s="6" t="str">
        <f>HYPERLINK("http://mcgill.on.worldcat.org/oclc/971151","Catalog Record")</f>
        <v>Catalog Record</v>
      </c>
      <c r="AW1257" s="6" t="str">
        <f>HYPERLINK("http://www.worldcat.org/oclc/971151","WorldCat Record")</f>
        <v>WorldCat Record</v>
      </c>
      <c r="AX1257" s="3" t="s">
        <v>12613</v>
      </c>
      <c r="AY1257" s="3" t="s">
        <v>12614</v>
      </c>
      <c r="AZ1257" s="3" t="s">
        <v>12615</v>
      </c>
      <c r="BA1257" s="3" t="s">
        <v>12615</v>
      </c>
      <c r="BB1257" s="3" t="s">
        <v>12616</v>
      </c>
      <c r="BC1257" s="3" t="s">
        <v>77</v>
      </c>
      <c r="BD1257" s="3" t="s">
        <v>78</v>
      </c>
      <c r="BF1257" s="3" t="s">
        <v>12616</v>
      </c>
      <c r="BG1257" s="3" t="s">
        <v>12617</v>
      </c>
      <c r="BH1257">
        <f t="shared" si="39"/>
        <v>0</v>
      </c>
    </row>
    <row r="1258" spans="1:60" ht="58" x14ac:dyDescent="0.35">
      <c r="A1258" s="2" t="s">
        <v>59</v>
      </c>
      <c r="B1258" s="2" t="s">
        <v>60</v>
      </c>
      <c r="C1258" s="2" t="s">
        <v>12618</v>
      </c>
      <c r="D1258" s="2" t="s">
        <v>12619</v>
      </c>
      <c r="E1258" s="2" t="s">
        <v>12620</v>
      </c>
      <c r="G1258" s="3" t="s">
        <v>64</v>
      </c>
      <c r="I1258" s="3" t="s">
        <v>64</v>
      </c>
      <c r="J1258" s="3" t="s">
        <v>64</v>
      </c>
      <c r="K1258" s="3" t="s">
        <v>65</v>
      </c>
      <c r="L1258" s="2" t="s">
        <v>12621</v>
      </c>
      <c r="M1258" s="2" t="s">
        <v>12622</v>
      </c>
      <c r="N1258" s="3" t="s">
        <v>171</v>
      </c>
      <c r="P1258" s="3" t="s">
        <v>102</v>
      </c>
      <c r="R1258" s="3" t="s">
        <v>70</v>
      </c>
      <c r="S1258" s="4">
        <v>26</v>
      </c>
      <c r="T1258" s="4">
        <v>26</v>
      </c>
      <c r="U1258" s="5" t="s">
        <v>12623</v>
      </c>
      <c r="V1258" s="5" t="s">
        <v>12623</v>
      </c>
      <c r="W1258" s="5" t="s">
        <v>72</v>
      </c>
      <c r="X1258" s="5" t="s">
        <v>72</v>
      </c>
      <c r="Y1258" s="4">
        <v>64</v>
      </c>
      <c r="Z1258" s="4">
        <v>42</v>
      </c>
      <c r="AA1258" s="4">
        <v>42</v>
      </c>
      <c r="AB1258" s="4">
        <v>4</v>
      </c>
      <c r="AC1258" s="4">
        <v>4</v>
      </c>
      <c r="AD1258" s="4">
        <v>35</v>
      </c>
      <c r="AE1258" s="4">
        <v>35</v>
      </c>
      <c r="AF1258" s="4">
        <v>1</v>
      </c>
      <c r="AG1258" s="4">
        <v>1</v>
      </c>
      <c r="AH1258" s="4">
        <v>20</v>
      </c>
      <c r="AI1258" s="4">
        <v>20</v>
      </c>
      <c r="AJ1258" s="4">
        <v>18</v>
      </c>
      <c r="AK1258" s="4">
        <v>18</v>
      </c>
      <c r="AL1258" s="4">
        <v>8</v>
      </c>
      <c r="AM1258" s="4">
        <v>8</v>
      </c>
      <c r="AN1258" s="4">
        <v>0</v>
      </c>
      <c r="AO1258" s="4">
        <v>0</v>
      </c>
      <c r="AP1258" s="4">
        <v>25</v>
      </c>
      <c r="AQ1258" s="4">
        <v>25</v>
      </c>
      <c r="AR1258" s="3" t="s">
        <v>128</v>
      </c>
      <c r="AS1258" s="3" t="s">
        <v>64</v>
      </c>
      <c r="AT1258" s="3" t="s">
        <v>64</v>
      </c>
      <c r="AV1258" s="6" t="str">
        <f>HYPERLINK("http://mcgill.on.worldcat.org/oclc/62535591","Catalog Record")</f>
        <v>Catalog Record</v>
      </c>
      <c r="AW1258" s="6" t="str">
        <f>HYPERLINK("http://www.worldcat.org/oclc/62535591","WorldCat Record")</f>
        <v>WorldCat Record</v>
      </c>
      <c r="AX1258" s="3" t="s">
        <v>12624</v>
      </c>
      <c r="AY1258" s="3" t="s">
        <v>12625</v>
      </c>
      <c r="AZ1258" s="3" t="s">
        <v>12626</v>
      </c>
      <c r="BA1258" s="3" t="s">
        <v>12626</v>
      </c>
      <c r="BB1258" s="3" t="s">
        <v>12627</v>
      </c>
      <c r="BC1258" s="3" t="s">
        <v>77</v>
      </c>
      <c r="BD1258" s="3" t="s">
        <v>78</v>
      </c>
      <c r="BE1258" s="3" t="s">
        <v>12628</v>
      </c>
      <c r="BF1258" s="3" t="s">
        <v>12627</v>
      </c>
      <c r="BG1258" s="3" t="s">
        <v>12629</v>
      </c>
      <c r="BH1258">
        <f t="shared" si="39"/>
        <v>0</v>
      </c>
    </row>
    <row r="1259" spans="1:60" ht="58" x14ac:dyDescent="0.35">
      <c r="A1259" s="2" t="s">
        <v>59</v>
      </c>
      <c r="B1259" s="2" t="s">
        <v>60</v>
      </c>
      <c r="C1259" s="2" t="s">
        <v>12630</v>
      </c>
      <c r="D1259" s="2" t="s">
        <v>12631</v>
      </c>
      <c r="E1259" s="2" t="s">
        <v>12632</v>
      </c>
      <c r="G1259" s="3" t="s">
        <v>64</v>
      </c>
      <c r="I1259" s="3" t="s">
        <v>64</v>
      </c>
      <c r="J1259" s="3" t="s">
        <v>64</v>
      </c>
      <c r="K1259" s="3" t="s">
        <v>65</v>
      </c>
      <c r="L1259" s="2" t="s">
        <v>12633</v>
      </c>
      <c r="M1259" s="2" t="s">
        <v>12634</v>
      </c>
      <c r="N1259" s="3" t="s">
        <v>86</v>
      </c>
      <c r="P1259" s="3" t="s">
        <v>102</v>
      </c>
      <c r="Q1259" s="2" t="s">
        <v>565</v>
      </c>
      <c r="R1259" s="3" t="s">
        <v>70</v>
      </c>
      <c r="S1259" s="4">
        <v>9</v>
      </c>
      <c r="T1259" s="4">
        <v>9</v>
      </c>
      <c r="U1259" s="5" t="s">
        <v>12635</v>
      </c>
      <c r="V1259" s="5" t="s">
        <v>12635</v>
      </c>
      <c r="W1259" s="5" t="s">
        <v>72</v>
      </c>
      <c r="X1259" s="5" t="s">
        <v>72</v>
      </c>
      <c r="Y1259" s="4">
        <v>112</v>
      </c>
      <c r="Z1259" s="4">
        <v>39</v>
      </c>
      <c r="AA1259" s="4">
        <v>104</v>
      </c>
      <c r="AB1259" s="4">
        <v>1</v>
      </c>
      <c r="AC1259" s="4">
        <v>17</v>
      </c>
      <c r="AD1259" s="4">
        <v>67</v>
      </c>
      <c r="AE1259" s="4">
        <v>128</v>
      </c>
      <c r="AF1259" s="4">
        <v>0</v>
      </c>
      <c r="AG1259" s="4">
        <v>8</v>
      </c>
      <c r="AH1259" s="4">
        <v>49</v>
      </c>
      <c r="AI1259" s="4">
        <v>85</v>
      </c>
      <c r="AJ1259" s="4">
        <v>21</v>
      </c>
      <c r="AK1259" s="4">
        <v>27</v>
      </c>
      <c r="AL1259" s="4">
        <v>28</v>
      </c>
      <c r="AM1259" s="4">
        <v>44</v>
      </c>
      <c r="AN1259" s="4">
        <v>0</v>
      </c>
      <c r="AO1259" s="4">
        <v>0</v>
      </c>
      <c r="AP1259" s="4">
        <v>28</v>
      </c>
      <c r="AQ1259" s="4">
        <v>52</v>
      </c>
      <c r="AR1259" s="3" t="s">
        <v>128</v>
      </c>
      <c r="AS1259" s="3" t="s">
        <v>64</v>
      </c>
      <c r="AT1259" s="3" t="s">
        <v>64</v>
      </c>
      <c r="AV1259" s="6" t="str">
        <f>HYPERLINK("http://mcgill.on.worldcat.org/oclc/727326109","Catalog Record")</f>
        <v>Catalog Record</v>
      </c>
      <c r="AW1259" s="6" t="str">
        <f>HYPERLINK("http://www.worldcat.org/oclc/727326109","WorldCat Record")</f>
        <v>WorldCat Record</v>
      </c>
      <c r="AX1259" s="3" t="s">
        <v>12636</v>
      </c>
      <c r="AY1259" s="3" t="s">
        <v>12637</v>
      </c>
      <c r="AZ1259" s="3" t="s">
        <v>12638</v>
      </c>
      <c r="BA1259" s="3" t="s">
        <v>12638</v>
      </c>
      <c r="BB1259" s="3" t="s">
        <v>12639</v>
      </c>
      <c r="BC1259" s="3" t="s">
        <v>77</v>
      </c>
      <c r="BD1259" s="3" t="s">
        <v>78</v>
      </c>
      <c r="BE1259" s="3" t="s">
        <v>12640</v>
      </c>
      <c r="BF1259" s="3" t="s">
        <v>12639</v>
      </c>
      <c r="BG1259" s="3" t="s">
        <v>12641</v>
      </c>
      <c r="BH1259">
        <f t="shared" si="39"/>
        <v>0</v>
      </c>
    </row>
    <row r="1260" spans="1:60" ht="58" x14ac:dyDescent="0.35">
      <c r="A1260" s="2" t="s">
        <v>59</v>
      </c>
      <c r="B1260" s="2" t="s">
        <v>60</v>
      </c>
      <c r="C1260" s="2" t="s">
        <v>12642</v>
      </c>
      <c r="D1260" s="2" t="s">
        <v>12643</v>
      </c>
      <c r="E1260" s="2" t="s">
        <v>12644</v>
      </c>
      <c r="G1260" s="3" t="s">
        <v>64</v>
      </c>
      <c r="I1260" s="3" t="s">
        <v>128</v>
      </c>
      <c r="J1260" s="3" t="s">
        <v>64</v>
      </c>
      <c r="K1260" s="3" t="s">
        <v>65</v>
      </c>
      <c r="L1260" s="2" t="s">
        <v>12645</v>
      </c>
      <c r="M1260" s="2" t="s">
        <v>8220</v>
      </c>
      <c r="N1260" s="3" t="s">
        <v>578</v>
      </c>
      <c r="O1260" s="2" t="s">
        <v>117</v>
      </c>
      <c r="P1260" s="3" t="s">
        <v>102</v>
      </c>
      <c r="R1260" s="3" t="s">
        <v>70</v>
      </c>
      <c r="S1260" s="4">
        <v>1</v>
      </c>
      <c r="T1260" s="4">
        <v>5</v>
      </c>
      <c r="U1260" s="5" t="s">
        <v>3572</v>
      </c>
      <c r="V1260" s="5" t="s">
        <v>3572</v>
      </c>
      <c r="W1260" s="5" t="s">
        <v>72</v>
      </c>
      <c r="X1260" s="5" t="s">
        <v>72</v>
      </c>
      <c r="Y1260" s="4">
        <v>75</v>
      </c>
      <c r="Z1260" s="4">
        <v>33</v>
      </c>
      <c r="AA1260" s="4">
        <v>43</v>
      </c>
      <c r="AB1260" s="4">
        <v>3</v>
      </c>
      <c r="AC1260" s="4">
        <v>9</v>
      </c>
      <c r="AD1260" s="4">
        <v>37</v>
      </c>
      <c r="AE1260" s="4">
        <v>42</v>
      </c>
      <c r="AF1260" s="4">
        <v>1</v>
      </c>
      <c r="AG1260" s="4">
        <v>2</v>
      </c>
      <c r="AH1260" s="4">
        <v>24</v>
      </c>
      <c r="AI1260" s="4">
        <v>26</v>
      </c>
      <c r="AJ1260" s="4">
        <v>15</v>
      </c>
      <c r="AK1260" s="4">
        <v>18</v>
      </c>
      <c r="AL1260" s="4">
        <v>12</v>
      </c>
      <c r="AM1260" s="4">
        <v>13</v>
      </c>
      <c r="AN1260" s="4">
        <v>0</v>
      </c>
      <c r="AO1260" s="4">
        <v>0</v>
      </c>
      <c r="AP1260" s="4">
        <v>19</v>
      </c>
      <c r="AQ1260" s="4">
        <v>21</v>
      </c>
      <c r="AR1260" s="3" t="s">
        <v>128</v>
      </c>
      <c r="AS1260" s="3" t="s">
        <v>64</v>
      </c>
      <c r="AT1260" s="3" t="s">
        <v>64</v>
      </c>
      <c r="AV1260" s="6" t="str">
        <f>HYPERLINK("http://mcgill.on.worldcat.org/oclc/959038143","Catalog Record")</f>
        <v>Catalog Record</v>
      </c>
      <c r="AW1260" s="6" t="str">
        <f>HYPERLINK("http://www.worldcat.org/oclc/959038143","WorldCat Record")</f>
        <v>WorldCat Record</v>
      </c>
      <c r="AX1260" s="3" t="s">
        <v>12646</v>
      </c>
      <c r="AY1260" s="3" t="s">
        <v>12647</v>
      </c>
      <c r="AZ1260" s="3" t="s">
        <v>12648</v>
      </c>
      <c r="BA1260" s="3" t="s">
        <v>12648</v>
      </c>
      <c r="BB1260" s="3" t="s">
        <v>12649</v>
      </c>
      <c r="BC1260" s="3" t="s">
        <v>77</v>
      </c>
      <c r="BD1260" s="3" t="s">
        <v>78</v>
      </c>
      <c r="BE1260" s="3" t="s">
        <v>12650</v>
      </c>
      <c r="BF1260" s="3" t="s">
        <v>12649</v>
      </c>
      <c r="BG1260" s="3" t="s">
        <v>12651</v>
      </c>
      <c r="BH1260">
        <f t="shared" si="39"/>
        <v>0</v>
      </c>
    </row>
    <row r="1261" spans="1:60" ht="58" x14ac:dyDescent="0.35">
      <c r="A1261" s="2" t="s">
        <v>59</v>
      </c>
      <c r="B1261" s="2" t="s">
        <v>60</v>
      </c>
      <c r="C1261" s="2" t="s">
        <v>12642</v>
      </c>
      <c r="D1261" s="2" t="s">
        <v>12643</v>
      </c>
      <c r="E1261" s="2" t="s">
        <v>12644</v>
      </c>
      <c r="G1261" s="3" t="s">
        <v>64</v>
      </c>
      <c r="I1261" s="3" t="s">
        <v>128</v>
      </c>
      <c r="J1261" s="3" t="s">
        <v>64</v>
      </c>
      <c r="K1261" s="3" t="s">
        <v>65</v>
      </c>
      <c r="L1261" s="2" t="s">
        <v>12645</v>
      </c>
      <c r="M1261" s="2" t="s">
        <v>8220</v>
      </c>
      <c r="N1261" s="3" t="s">
        <v>578</v>
      </c>
      <c r="O1261" s="2" t="s">
        <v>117</v>
      </c>
      <c r="P1261" s="3" t="s">
        <v>102</v>
      </c>
      <c r="R1261" s="3" t="s">
        <v>70</v>
      </c>
      <c r="S1261" s="4">
        <v>4</v>
      </c>
      <c r="T1261" s="4">
        <v>5</v>
      </c>
      <c r="U1261" s="5" t="s">
        <v>12009</v>
      </c>
      <c r="V1261" s="5" t="s">
        <v>3572</v>
      </c>
      <c r="W1261" s="5" t="s">
        <v>72</v>
      </c>
      <c r="X1261" s="5" t="s">
        <v>72</v>
      </c>
      <c r="Y1261" s="4">
        <v>75</v>
      </c>
      <c r="Z1261" s="4">
        <v>33</v>
      </c>
      <c r="AA1261" s="4">
        <v>43</v>
      </c>
      <c r="AB1261" s="4">
        <v>3</v>
      </c>
      <c r="AC1261" s="4">
        <v>9</v>
      </c>
      <c r="AD1261" s="4">
        <v>37</v>
      </c>
      <c r="AE1261" s="4">
        <v>42</v>
      </c>
      <c r="AF1261" s="4">
        <v>1</v>
      </c>
      <c r="AG1261" s="4">
        <v>2</v>
      </c>
      <c r="AH1261" s="4">
        <v>24</v>
      </c>
      <c r="AI1261" s="4">
        <v>26</v>
      </c>
      <c r="AJ1261" s="4">
        <v>15</v>
      </c>
      <c r="AK1261" s="4">
        <v>18</v>
      </c>
      <c r="AL1261" s="4">
        <v>12</v>
      </c>
      <c r="AM1261" s="4">
        <v>13</v>
      </c>
      <c r="AN1261" s="4">
        <v>0</v>
      </c>
      <c r="AO1261" s="4">
        <v>0</v>
      </c>
      <c r="AP1261" s="4">
        <v>19</v>
      </c>
      <c r="AQ1261" s="4">
        <v>21</v>
      </c>
      <c r="AR1261" s="3" t="s">
        <v>128</v>
      </c>
      <c r="AS1261" s="3" t="s">
        <v>64</v>
      </c>
      <c r="AT1261" s="3" t="s">
        <v>64</v>
      </c>
      <c r="AV1261" s="6" t="str">
        <f>HYPERLINK("http://mcgill.on.worldcat.org/oclc/959038143","Catalog Record")</f>
        <v>Catalog Record</v>
      </c>
      <c r="AW1261" s="6" t="str">
        <f>HYPERLINK("http://www.worldcat.org/oclc/959038143","WorldCat Record")</f>
        <v>WorldCat Record</v>
      </c>
      <c r="AX1261" s="3" t="s">
        <v>12646</v>
      </c>
      <c r="AY1261" s="3" t="s">
        <v>12647</v>
      </c>
      <c r="AZ1261" s="3" t="s">
        <v>12648</v>
      </c>
      <c r="BA1261" s="3" t="s">
        <v>12648</v>
      </c>
      <c r="BB1261" s="3" t="s">
        <v>12652</v>
      </c>
      <c r="BC1261" s="3" t="s">
        <v>77</v>
      </c>
      <c r="BD1261" s="3" t="s">
        <v>78</v>
      </c>
      <c r="BE1261" s="3" t="s">
        <v>12650</v>
      </c>
      <c r="BF1261" s="3" t="s">
        <v>12652</v>
      </c>
      <c r="BG1261" s="3" t="s">
        <v>12653</v>
      </c>
      <c r="BH1261">
        <f t="shared" si="39"/>
        <v>0</v>
      </c>
    </row>
    <row r="1262" spans="1:60" ht="58" x14ac:dyDescent="0.35">
      <c r="A1262" s="2" t="s">
        <v>59</v>
      </c>
      <c r="B1262" s="2" t="s">
        <v>60</v>
      </c>
      <c r="C1262" s="2" t="s">
        <v>12654</v>
      </c>
      <c r="D1262" s="2" t="s">
        <v>12655</v>
      </c>
      <c r="E1262" s="2" t="s">
        <v>12656</v>
      </c>
      <c r="G1262" s="3" t="s">
        <v>64</v>
      </c>
      <c r="I1262" s="3" t="s">
        <v>64</v>
      </c>
      <c r="J1262" s="3" t="s">
        <v>64</v>
      </c>
      <c r="K1262" s="3" t="s">
        <v>65</v>
      </c>
      <c r="L1262" s="2" t="s">
        <v>12657</v>
      </c>
      <c r="M1262" s="2" t="s">
        <v>12658</v>
      </c>
      <c r="N1262" s="3" t="s">
        <v>291</v>
      </c>
      <c r="P1262" s="3" t="s">
        <v>102</v>
      </c>
      <c r="Q1262" s="2" t="s">
        <v>565</v>
      </c>
      <c r="R1262" s="3" t="s">
        <v>70</v>
      </c>
      <c r="S1262" s="4">
        <v>15</v>
      </c>
      <c r="T1262" s="4">
        <v>15</v>
      </c>
      <c r="U1262" s="5" t="s">
        <v>10149</v>
      </c>
      <c r="V1262" s="5" t="s">
        <v>10149</v>
      </c>
      <c r="W1262" s="5" t="s">
        <v>72</v>
      </c>
      <c r="X1262" s="5" t="s">
        <v>72</v>
      </c>
      <c r="Y1262" s="4">
        <v>124</v>
      </c>
      <c r="Z1262" s="4">
        <v>50</v>
      </c>
      <c r="AA1262" s="4">
        <v>130</v>
      </c>
      <c r="AB1262" s="4">
        <v>4</v>
      </c>
      <c r="AC1262" s="4">
        <v>20</v>
      </c>
      <c r="AD1262" s="4">
        <v>77</v>
      </c>
      <c r="AE1262" s="4">
        <v>130</v>
      </c>
      <c r="AF1262" s="4">
        <v>2</v>
      </c>
      <c r="AG1262" s="4">
        <v>8</v>
      </c>
      <c r="AH1262" s="4">
        <v>53</v>
      </c>
      <c r="AI1262" s="4">
        <v>84</v>
      </c>
      <c r="AJ1262" s="4">
        <v>21</v>
      </c>
      <c r="AK1262" s="4">
        <v>28</v>
      </c>
      <c r="AL1262" s="4">
        <v>25</v>
      </c>
      <c r="AM1262" s="4">
        <v>44</v>
      </c>
      <c r="AN1262" s="4">
        <v>0</v>
      </c>
      <c r="AO1262" s="4">
        <v>0</v>
      </c>
      <c r="AP1262" s="4">
        <v>33</v>
      </c>
      <c r="AQ1262" s="4">
        <v>56</v>
      </c>
      <c r="AR1262" s="3" t="s">
        <v>128</v>
      </c>
      <c r="AS1262" s="3" t="s">
        <v>64</v>
      </c>
      <c r="AT1262" s="3" t="s">
        <v>64</v>
      </c>
      <c r="AV1262" s="6" t="str">
        <f>HYPERLINK("http://mcgill.on.worldcat.org/oclc/145429165","Catalog Record")</f>
        <v>Catalog Record</v>
      </c>
      <c r="AW1262" s="6" t="str">
        <f>HYPERLINK("http://www.worldcat.org/oclc/145429165","WorldCat Record")</f>
        <v>WorldCat Record</v>
      </c>
      <c r="AX1262" s="3" t="s">
        <v>12659</v>
      </c>
      <c r="AY1262" s="3" t="s">
        <v>12660</v>
      </c>
      <c r="AZ1262" s="3" t="s">
        <v>12661</v>
      </c>
      <c r="BA1262" s="3" t="s">
        <v>12661</v>
      </c>
      <c r="BB1262" s="3" t="s">
        <v>12662</v>
      </c>
      <c r="BC1262" s="3" t="s">
        <v>77</v>
      </c>
      <c r="BD1262" s="3" t="s">
        <v>78</v>
      </c>
      <c r="BE1262" s="3" t="s">
        <v>12663</v>
      </c>
      <c r="BF1262" s="3" t="s">
        <v>12662</v>
      </c>
      <c r="BG1262" s="3" t="s">
        <v>12664</v>
      </c>
      <c r="BH1262">
        <f t="shared" si="39"/>
        <v>0</v>
      </c>
    </row>
    <row r="1263" spans="1:60" ht="58" x14ac:dyDescent="0.35">
      <c r="A1263" s="2" t="s">
        <v>59</v>
      </c>
      <c r="B1263" s="2" t="s">
        <v>60</v>
      </c>
      <c r="C1263" s="2" t="s">
        <v>12665</v>
      </c>
      <c r="D1263" s="2" t="s">
        <v>12666</v>
      </c>
      <c r="E1263" s="2" t="s">
        <v>12667</v>
      </c>
      <c r="G1263" s="3" t="s">
        <v>64</v>
      </c>
      <c r="I1263" s="3" t="s">
        <v>64</v>
      </c>
      <c r="J1263" s="3" t="s">
        <v>64</v>
      </c>
      <c r="K1263" s="3" t="s">
        <v>65</v>
      </c>
      <c r="L1263" s="2" t="s">
        <v>12668</v>
      </c>
      <c r="M1263" s="2" t="s">
        <v>12669</v>
      </c>
      <c r="N1263" s="3" t="s">
        <v>392</v>
      </c>
      <c r="O1263" s="2" t="s">
        <v>2149</v>
      </c>
      <c r="P1263" s="3" t="s">
        <v>102</v>
      </c>
      <c r="R1263" s="3" t="s">
        <v>70</v>
      </c>
      <c r="S1263" s="4">
        <v>12</v>
      </c>
      <c r="T1263" s="4">
        <v>12</v>
      </c>
      <c r="U1263" s="5" t="s">
        <v>9617</v>
      </c>
      <c r="V1263" s="5" t="s">
        <v>9617</v>
      </c>
      <c r="W1263" s="5" t="s">
        <v>72</v>
      </c>
      <c r="X1263" s="5" t="s">
        <v>72</v>
      </c>
      <c r="Y1263" s="4">
        <v>109</v>
      </c>
      <c r="Z1263" s="4">
        <v>81</v>
      </c>
      <c r="AA1263" s="4">
        <v>88</v>
      </c>
      <c r="AB1263" s="4">
        <v>5</v>
      </c>
      <c r="AC1263" s="4">
        <v>8</v>
      </c>
      <c r="AD1263" s="4">
        <v>48</v>
      </c>
      <c r="AE1263" s="4">
        <v>49</v>
      </c>
      <c r="AF1263" s="4">
        <v>2</v>
      </c>
      <c r="AG1263" s="4">
        <v>3</v>
      </c>
      <c r="AH1263" s="4">
        <v>22</v>
      </c>
      <c r="AI1263" s="4">
        <v>22</v>
      </c>
      <c r="AJ1263" s="4">
        <v>23</v>
      </c>
      <c r="AK1263" s="4">
        <v>24</v>
      </c>
      <c r="AL1263" s="4">
        <v>8</v>
      </c>
      <c r="AM1263" s="4">
        <v>8</v>
      </c>
      <c r="AN1263" s="4">
        <v>0</v>
      </c>
      <c r="AO1263" s="4">
        <v>0</v>
      </c>
      <c r="AP1263" s="4">
        <v>34</v>
      </c>
      <c r="AQ1263" s="4">
        <v>35</v>
      </c>
      <c r="AR1263" s="3" t="s">
        <v>128</v>
      </c>
      <c r="AS1263" s="3" t="s">
        <v>64</v>
      </c>
      <c r="AT1263" s="3" t="s">
        <v>64</v>
      </c>
      <c r="AV1263" s="6" t="str">
        <f>HYPERLINK("http://mcgill.on.worldcat.org/oclc/45446373","Catalog Record")</f>
        <v>Catalog Record</v>
      </c>
      <c r="AW1263" s="6" t="str">
        <f>HYPERLINK("http://www.worldcat.org/oclc/45446373","WorldCat Record")</f>
        <v>WorldCat Record</v>
      </c>
      <c r="AX1263" s="3" t="s">
        <v>12670</v>
      </c>
      <c r="AY1263" s="3" t="s">
        <v>12671</v>
      </c>
      <c r="AZ1263" s="3" t="s">
        <v>12672</v>
      </c>
      <c r="BA1263" s="3" t="s">
        <v>12672</v>
      </c>
      <c r="BB1263" s="3" t="s">
        <v>12673</v>
      </c>
      <c r="BC1263" s="3" t="s">
        <v>77</v>
      </c>
      <c r="BD1263" s="3" t="s">
        <v>78</v>
      </c>
      <c r="BE1263" s="3" t="s">
        <v>12674</v>
      </c>
      <c r="BF1263" s="3" t="s">
        <v>12673</v>
      </c>
      <c r="BG1263" s="3" t="s">
        <v>12675</v>
      </c>
      <c r="BH1263">
        <f t="shared" si="39"/>
        <v>0</v>
      </c>
    </row>
    <row r="1264" spans="1:60" ht="58" x14ac:dyDescent="0.35">
      <c r="A1264" s="2" t="s">
        <v>59</v>
      </c>
      <c r="B1264" s="2" t="s">
        <v>60</v>
      </c>
      <c r="C1264" s="2" t="s">
        <v>12676</v>
      </c>
      <c r="D1264" s="2" t="s">
        <v>12677</v>
      </c>
      <c r="E1264" s="2" t="s">
        <v>12678</v>
      </c>
      <c r="G1264" s="3" t="s">
        <v>64</v>
      </c>
      <c r="I1264" s="3" t="s">
        <v>64</v>
      </c>
      <c r="J1264" s="3" t="s">
        <v>64</v>
      </c>
      <c r="K1264" s="3" t="s">
        <v>65</v>
      </c>
      <c r="L1264" s="2" t="s">
        <v>12679</v>
      </c>
      <c r="M1264" s="2" t="s">
        <v>12680</v>
      </c>
      <c r="N1264" s="3" t="s">
        <v>1075</v>
      </c>
      <c r="P1264" s="3" t="s">
        <v>102</v>
      </c>
      <c r="R1264" s="3" t="s">
        <v>70</v>
      </c>
      <c r="S1264" s="4">
        <v>4</v>
      </c>
      <c r="T1264" s="4">
        <v>4</v>
      </c>
      <c r="U1264" s="5" t="s">
        <v>1301</v>
      </c>
      <c r="V1264" s="5" t="s">
        <v>1301</v>
      </c>
      <c r="W1264" s="5" t="s">
        <v>72</v>
      </c>
      <c r="X1264" s="5" t="s">
        <v>72</v>
      </c>
      <c r="Y1264" s="4">
        <v>143</v>
      </c>
      <c r="Z1264" s="4">
        <v>36</v>
      </c>
      <c r="AA1264" s="4">
        <v>52</v>
      </c>
      <c r="AB1264" s="4">
        <v>3</v>
      </c>
      <c r="AC1264" s="4">
        <v>7</v>
      </c>
      <c r="AD1264" s="4">
        <v>30</v>
      </c>
      <c r="AE1264" s="4">
        <v>40</v>
      </c>
      <c r="AF1264" s="4">
        <v>0</v>
      </c>
      <c r="AG1264" s="4">
        <v>0</v>
      </c>
      <c r="AH1264" s="4">
        <v>24</v>
      </c>
      <c r="AI1264" s="4">
        <v>32</v>
      </c>
      <c r="AJ1264" s="4">
        <v>13</v>
      </c>
      <c r="AK1264" s="4">
        <v>14</v>
      </c>
      <c r="AL1264" s="4">
        <v>12</v>
      </c>
      <c r="AM1264" s="4">
        <v>17</v>
      </c>
      <c r="AN1264" s="4">
        <v>0</v>
      </c>
      <c r="AO1264" s="4">
        <v>0</v>
      </c>
      <c r="AP1264" s="4">
        <v>13</v>
      </c>
      <c r="AQ1264" s="4">
        <v>15</v>
      </c>
      <c r="AR1264" s="3" t="s">
        <v>128</v>
      </c>
      <c r="AS1264" s="3" t="s">
        <v>64</v>
      </c>
      <c r="AT1264" s="3" t="s">
        <v>64</v>
      </c>
      <c r="AV1264" s="6" t="str">
        <f>HYPERLINK("http://mcgill.on.worldcat.org/oclc/847237681","Catalog Record")</f>
        <v>Catalog Record</v>
      </c>
      <c r="AW1264" s="6" t="str">
        <f>HYPERLINK("http://www.worldcat.org/oclc/847237681","WorldCat Record")</f>
        <v>WorldCat Record</v>
      </c>
      <c r="AX1264" s="3" t="s">
        <v>12681</v>
      </c>
      <c r="AY1264" s="3" t="s">
        <v>12682</v>
      </c>
      <c r="AZ1264" s="3" t="s">
        <v>12683</v>
      </c>
      <c r="BA1264" s="3" t="s">
        <v>12683</v>
      </c>
      <c r="BB1264" s="3" t="s">
        <v>12684</v>
      </c>
      <c r="BC1264" s="3" t="s">
        <v>77</v>
      </c>
      <c r="BD1264" s="3" t="s">
        <v>78</v>
      </c>
      <c r="BE1264" s="3" t="s">
        <v>12685</v>
      </c>
      <c r="BF1264" s="3" t="s">
        <v>12684</v>
      </c>
      <c r="BG1264" s="3" t="s">
        <v>12686</v>
      </c>
      <c r="BH1264">
        <f t="shared" si="39"/>
        <v>0</v>
      </c>
    </row>
    <row r="1265" spans="1:60" ht="58" x14ac:dyDescent="0.35">
      <c r="A1265" s="2" t="s">
        <v>59</v>
      </c>
      <c r="B1265" s="2" t="s">
        <v>60</v>
      </c>
      <c r="C1265" s="2" t="s">
        <v>12687</v>
      </c>
      <c r="D1265" s="2" t="s">
        <v>12688</v>
      </c>
      <c r="E1265" s="2" t="s">
        <v>12689</v>
      </c>
      <c r="G1265" s="3" t="s">
        <v>64</v>
      </c>
      <c r="I1265" s="3" t="s">
        <v>64</v>
      </c>
      <c r="J1265" s="3" t="s">
        <v>128</v>
      </c>
      <c r="K1265" s="3" t="s">
        <v>65</v>
      </c>
      <c r="L1265" s="2" t="s">
        <v>12690</v>
      </c>
      <c r="M1265" s="2" t="s">
        <v>12691</v>
      </c>
      <c r="N1265" s="3" t="s">
        <v>67</v>
      </c>
      <c r="P1265" s="3" t="s">
        <v>102</v>
      </c>
      <c r="Q1265" s="2" t="s">
        <v>12692</v>
      </c>
      <c r="R1265" s="3" t="s">
        <v>70</v>
      </c>
      <c r="S1265" s="4">
        <v>1</v>
      </c>
      <c r="T1265" s="4">
        <v>1</v>
      </c>
      <c r="U1265" s="5" t="s">
        <v>12693</v>
      </c>
      <c r="V1265" s="5" t="s">
        <v>12693</v>
      </c>
      <c r="W1265" s="5" t="s">
        <v>72</v>
      </c>
      <c r="X1265" s="5" t="s">
        <v>72</v>
      </c>
      <c r="Y1265" s="4">
        <v>32</v>
      </c>
      <c r="Z1265" s="4">
        <v>7</v>
      </c>
      <c r="AA1265" s="4">
        <v>58</v>
      </c>
      <c r="AB1265" s="4">
        <v>1</v>
      </c>
      <c r="AC1265" s="4">
        <v>7</v>
      </c>
      <c r="AD1265" s="4">
        <v>16</v>
      </c>
      <c r="AE1265" s="4">
        <v>55</v>
      </c>
      <c r="AF1265" s="4">
        <v>0</v>
      </c>
      <c r="AG1265" s="4">
        <v>4</v>
      </c>
      <c r="AH1265" s="4">
        <v>13</v>
      </c>
      <c r="AI1265" s="4">
        <v>35</v>
      </c>
      <c r="AJ1265" s="4">
        <v>4</v>
      </c>
      <c r="AK1265" s="4">
        <v>22</v>
      </c>
      <c r="AL1265" s="4">
        <v>6</v>
      </c>
      <c r="AM1265" s="4">
        <v>14</v>
      </c>
      <c r="AN1265" s="4">
        <v>0</v>
      </c>
      <c r="AO1265" s="4">
        <v>0</v>
      </c>
      <c r="AP1265" s="4">
        <v>3</v>
      </c>
      <c r="AQ1265" s="4">
        <v>32</v>
      </c>
      <c r="AR1265" s="3" t="s">
        <v>128</v>
      </c>
      <c r="AS1265" s="3" t="s">
        <v>64</v>
      </c>
      <c r="AT1265" s="3" t="s">
        <v>64</v>
      </c>
      <c r="AV1265" s="6" t="str">
        <f>HYPERLINK("http://mcgill.on.worldcat.org/oclc/883940069","Catalog Record")</f>
        <v>Catalog Record</v>
      </c>
      <c r="AW1265" s="6" t="str">
        <f>HYPERLINK("http://www.worldcat.org/oclc/883940069","WorldCat Record")</f>
        <v>WorldCat Record</v>
      </c>
      <c r="AX1265" s="3" t="s">
        <v>12694</v>
      </c>
      <c r="AY1265" s="3" t="s">
        <v>12695</v>
      </c>
      <c r="AZ1265" s="3" t="s">
        <v>12696</v>
      </c>
      <c r="BA1265" s="3" t="s">
        <v>12696</v>
      </c>
      <c r="BB1265" s="3" t="s">
        <v>12697</v>
      </c>
      <c r="BC1265" s="3" t="s">
        <v>77</v>
      </c>
      <c r="BD1265" s="3" t="s">
        <v>78</v>
      </c>
      <c r="BE1265" s="3" t="s">
        <v>12698</v>
      </c>
      <c r="BF1265" s="3" t="s">
        <v>12697</v>
      </c>
      <c r="BG1265" s="3" t="s">
        <v>12699</v>
      </c>
      <c r="BH1265">
        <f t="shared" si="39"/>
        <v>0</v>
      </c>
    </row>
    <row r="1266" spans="1:60" ht="58" x14ac:dyDescent="0.35">
      <c r="A1266" s="2" t="s">
        <v>59</v>
      </c>
      <c r="B1266" s="2" t="s">
        <v>60</v>
      </c>
      <c r="C1266" s="2" t="s">
        <v>12700</v>
      </c>
      <c r="D1266" s="2" t="s">
        <v>12701</v>
      </c>
      <c r="E1266" s="2" t="s">
        <v>12702</v>
      </c>
      <c r="G1266" s="3" t="s">
        <v>64</v>
      </c>
      <c r="I1266" s="3" t="s">
        <v>64</v>
      </c>
      <c r="J1266" s="3" t="s">
        <v>64</v>
      </c>
      <c r="K1266" s="3" t="s">
        <v>65</v>
      </c>
      <c r="L1266" s="2" t="s">
        <v>12703</v>
      </c>
      <c r="M1266" s="2" t="s">
        <v>12704</v>
      </c>
      <c r="N1266" s="3" t="s">
        <v>922</v>
      </c>
      <c r="P1266" s="3" t="s">
        <v>102</v>
      </c>
      <c r="R1266" s="3" t="s">
        <v>70</v>
      </c>
      <c r="S1266" s="4">
        <v>1</v>
      </c>
      <c r="T1266" s="4">
        <v>1</v>
      </c>
      <c r="U1266" s="5" t="s">
        <v>8944</v>
      </c>
      <c r="V1266" s="5" t="s">
        <v>8944</v>
      </c>
      <c r="W1266" s="5" t="s">
        <v>72</v>
      </c>
      <c r="X1266" s="5" t="s">
        <v>72</v>
      </c>
      <c r="Y1266" s="4">
        <v>25</v>
      </c>
      <c r="Z1266" s="4">
        <v>22</v>
      </c>
      <c r="AA1266" s="4">
        <v>33</v>
      </c>
      <c r="AB1266" s="4">
        <v>1</v>
      </c>
      <c r="AC1266" s="4">
        <v>1</v>
      </c>
      <c r="AD1266" s="4">
        <v>18</v>
      </c>
      <c r="AE1266" s="4">
        <v>27</v>
      </c>
      <c r="AF1266" s="4">
        <v>0</v>
      </c>
      <c r="AG1266" s="4">
        <v>0</v>
      </c>
      <c r="AH1266" s="4">
        <v>9</v>
      </c>
      <c r="AI1266" s="4">
        <v>12</v>
      </c>
      <c r="AJ1266" s="4">
        <v>13</v>
      </c>
      <c r="AK1266" s="4">
        <v>19</v>
      </c>
      <c r="AL1266" s="4">
        <v>3</v>
      </c>
      <c r="AM1266" s="4">
        <v>3</v>
      </c>
      <c r="AN1266" s="4">
        <v>0</v>
      </c>
      <c r="AO1266" s="4">
        <v>0</v>
      </c>
      <c r="AP1266" s="4">
        <v>13</v>
      </c>
      <c r="AQ1266" s="4">
        <v>22</v>
      </c>
      <c r="AR1266" s="3" t="s">
        <v>128</v>
      </c>
      <c r="AS1266" s="3" t="s">
        <v>64</v>
      </c>
      <c r="AT1266" s="3" t="s">
        <v>64</v>
      </c>
      <c r="AV1266" s="6" t="str">
        <f>HYPERLINK("http://mcgill.on.worldcat.org/oclc/1256443","Catalog Record")</f>
        <v>Catalog Record</v>
      </c>
      <c r="AW1266" s="6" t="str">
        <f>HYPERLINK("http://www.worldcat.org/oclc/1256443","WorldCat Record")</f>
        <v>WorldCat Record</v>
      </c>
      <c r="AX1266" s="3" t="s">
        <v>12705</v>
      </c>
      <c r="AY1266" s="3" t="s">
        <v>12706</v>
      </c>
      <c r="AZ1266" s="3" t="s">
        <v>12707</v>
      </c>
      <c r="BA1266" s="3" t="s">
        <v>12707</v>
      </c>
      <c r="BB1266" s="3" t="s">
        <v>12708</v>
      </c>
      <c r="BC1266" s="3" t="s">
        <v>77</v>
      </c>
      <c r="BD1266" s="3" t="s">
        <v>78</v>
      </c>
      <c r="BF1266" s="3" t="s">
        <v>12708</v>
      </c>
      <c r="BG1266" s="3" t="s">
        <v>12709</v>
      </c>
      <c r="BH1266">
        <f t="shared" si="39"/>
        <v>0</v>
      </c>
    </row>
    <row r="1267" spans="1:60" ht="58" x14ac:dyDescent="0.35">
      <c r="A1267" s="2" t="s">
        <v>59</v>
      </c>
      <c r="B1267" s="2" t="s">
        <v>60</v>
      </c>
      <c r="C1267" s="2" t="s">
        <v>12710</v>
      </c>
      <c r="D1267" s="2" t="s">
        <v>12711</v>
      </c>
      <c r="E1267" s="2" t="s">
        <v>12712</v>
      </c>
      <c r="G1267" s="3" t="s">
        <v>64</v>
      </c>
      <c r="I1267" s="3" t="s">
        <v>64</v>
      </c>
      <c r="J1267" s="3" t="s">
        <v>64</v>
      </c>
      <c r="K1267" s="3" t="s">
        <v>65</v>
      </c>
      <c r="L1267" s="2" t="s">
        <v>12713</v>
      </c>
      <c r="M1267" s="2" t="s">
        <v>12714</v>
      </c>
      <c r="N1267" s="3" t="s">
        <v>1061</v>
      </c>
      <c r="P1267" s="3" t="s">
        <v>102</v>
      </c>
      <c r="R1267" s="3" t="s">
        <v>70</v>
      </c>
      <c r="S1267" s="4">
        <v>68</v>
      </c>
      <c r="T1267" s="4">
        <v>68</v>
      </c>
      <c r="U1267" s="5" t="s">
        <v>5146</v>
      </c>
      <c r="V1267" s="5" t="s">
        <v>5146</v>
      </c>
      <c r="W1267" s="5" t="s">
        <v>72</v>
      </c>
      <c r="X1267" s="5" t="s">
        <v>72</v>
      </c>
      <c r="Y1267" s="4">
        <v>258</v>
      </c>
      <c r="Z1267" s="4">
        <v>81</v>
      </c>
      <c r="AA1267" s="4">
        <v>101</v>
      </c>
      <c r="AB1267" s="4">
        <v>4</v>
      </c>
      <c r="AC1267" s="4">
        <v>14</v>
      </c>
      <c r="AD1267" s="4">
        <v>119</v>
      </c>
      <c r="AE1267" s="4">
        <v>128</v>
      </c>
      <c r="AF1267" s="4">
        <v>1</v>
      </c>
      <c r="AG1267" s="4">
        <v>6</v>
      </c>
      <c r="AH1267" s="4">
        <v>85</v>
      </c>
      <c r="AI1267" s="4">
        <v>88</v>
      </c>
      <c r="AJ1267" s="4">
        <v>24</v>
      </c>
      <c r="AK1267" s="4">
        <v>28</v>
      </c>
      <c r="AL1267" s="4">
        <v>47</v>
      </c>
      <c r="AM1267" s="4">
        <v>48</v>
      </c>
      <c r="AN1267" s="4">
        <v>0</v>
      </c>
      <c r="AO1267" s="4">
        <v>0</v>
      </c>
      <c r="AP1267" s="4">
        <v>42</v>
      </c>
      <c r="AQ1267" s="4">
        <v>48</v>
      </c>
      <c r="AR1267" s="3" t="s">
        <v>128</v>
      </c>
      <c r="AS1267" s="3" t="s">
        <v>64</v>
      </c>
      <c r="AT1267" s="3" t="s">
        <v>64</v>
      </c>
      <c r="AV1267" s="6" t="str">
        <f>HYPERLINK("http://mcgill.on.worldcat.org/oclc/12373033","Catalog Record")</f>
        <v>Catalog Record</v>
      </c>
      <c r="AW1267" s="6" t="str">
        <f>HYPERLINK("http://www.worldcat.org/oclc/12373033","WorldCat Record")</f>
        <v>WorldCat Record</v>
      </c>
      <c r="AX1267" s="3" t="s">
        <v>12715</v>
      </c>
      <c r="AY1267" s="3" t="s">
        <v>12716</v>
      </c>
      <c r="AZ1267" s="3" t="s">
        <v>12717</v>
      </c>
      <c r="BA1267" s="3" t="s">
        <v>12717</v>
      </c>
      <c r="BB1267" s="3" t="s">
        <v>12718</v>
      </c>
      <c r="BC1267" s="3" t="s">
        <v>77</v>
      </c>
      <c r="BD1267" s="3" t="s">
        <v>78</v>
      </c>
      <c r="BE1267" s="3" t="s">
        <v>12719</v>
      </c>
      <c r="BF1267" s="3" t="s">
        <v>12718</v>
      </c>
      <c r="BG1267" s="3" t="s">
        <v>12720</v>
      </c>
      <c r="BH1267">
        <f t="shared" si="39"/>
        <v>0</v>
      </c>
    </row>
    <row r="1268" spans="1:60" ht="58" x14ac:dyDescent="0.35">
      <c r="A1268" s="2" t="s">
        <v>59</v>
      </c>
      <c r="B1268" s="2" t="s">
        <v>60</v>
      </c>
      <c r="C1268" s="2" t="s">
        <v>12721</v>
      </c>
      <c r="D1268" s="2" t="s">
        <v>12722</v>
      </c>
      <c r="E1268" s="2" t="s">
        <v>12723</v>
      </c>
      <c r="G1268" s="3" t="s">
        <v>64</v>
      </c>
      <c r="I1268" s="3" t="s">
        <v>64</v>
      </c>
      <c r="J1268" s="3" t="s">
        <v>64</v>
      </c>
      <c r="K1268" s="3" t="s">
        <v>65</v>
      </c>
      <c r="L1268" s="2" t="s">
        <v>12724</v>
      </c>
      <c r="M1268" s="2" t="s">
        <v>12725</v>
      </c>
      <c r="N1268" s="3" t="s">
        <v>1075</v>
      </c>
      <c r="P1268" s="3" t="s">
        <v>102</v>
      </c>
      <c r="R1268" s="3" t="s">
        <v>70</v>
      </c>
      <c r="S1268" s="4">
        <v>8</v>
      </c>
      <c r="T1268" s="4">
        <v>8</v>
      </c>
      <c r="U1268" s="5" t="s">
        <v>6972</v>
      </c>
      <c r="V1268" s="5" t="s">
        <v>6972</v>
      </c>
      <c r="W1268" s="5" t="s">
        <v>72</v>
      </c>
      <c r="X1268" s="5" t="s">
        <v>72</v>
      </c>
      <c r="Y1268" s="4">
        <v>70</v>
      </c>
      <c r="Z1268" s="4">
        <v>25</v>
      </c>
      <c r="AA1268" s="4">
        <v>95</v>
      </c>
      <c r="AB1268" s="4">
        <v>3</v>
      </c>
      <c r="AC1268" s="4">
        <v>19</v>
      </c>
      <c r="AD1268" s="4">
        <v>37</v>
      </c>
      <c r="AE1268" s="4">
        <v>111</v>
      </c>
      <c r="AF1268" s="4">
        <v>1</v>
      </c>
      <c r="AG1268" s="4">
        <v>8</v>
      </c>
      <c r="AH1268" s="4">
        <v>29</v>
      </c>
      <c r="AI1268" s="4">
        <v>75</v>
      </c>
      <c r="AJ1268" s="4">
        <v>13</v>
      </c>
      <c r="AK1268" s="4">
        <v>25</v>
      </c>
      <c r="AL1268" s="4">
        <v>17</v>
      </c>
      <c r="AM1268" s="4">
        <v>37</v>
      </c>
      <c r="AN1268" s="4">
        <v>0</v>
      </c>
      <c r="AO1268" s="4">
        <v>0</v>
      </c>
      <c r="AP1268" s="4">
        <v>14</v>
      </c>
      <c r="AQ1268" s="4">
        <v>45</v>
      </c>
      <c r="AR1268" s="3" t="s">
        <v>128</v>
      </c>
      <c r="AS1268" s="3" t="s">
        <v>64</v>
      </c>
      <c r="AT1268" s="3" t="s">
        <v>64</v>
      </c>
      <c r="AV1268" s="6" t="str">
        <f>HYPERLINK("http://mcgill.on.worldcat.org/oclc/818414611","Catalog Record")</f>
        <v>Catalog Record</v>
      </c>
      <c r="AW1268" s="6" t="str">
        <f>HYPERLINK("http://www.worldcat.org/oclc/818414611","WorldCat Record")</f>
        <v>WorldCat Record</v>
      </c>
      <c r="AX1268" s="3" t="s">
        <v>12726</v>
      </c>
      <c r="AY1268" s="3" t="s">
        <v>12727</v>
      </c>
      <c r="AZ1268" s="3" t="s">
        <v>12728</v>
      </c>
      <c r="BA1268" s="3" t="s">
        <v>12728</v>
      </c>
      <c r="BB1268" s="3" t="s">
        <v>12729</v>
      </c>
      <c r="BC1268" s="3" t="s">
        <v>77</v>
      </c>
      <c r="BD1268" s="3" t="s">
        <v>78</v>
      </c>
      <c r="BE1268" s="3" t="s">
        <v>12730</v>
      </c>
      <c r="BF1268" s="3" t="s">
        <v>12729</v>
      </c>
      <c r="BG1268" s="3" t="s">
        <v>12731</v>
      </c>
      <c r="BH1268">
        <f t="shared" si="39"/>
        <v>0</v>
      </c>
    </row>
    <row r="1269" spans="1:60" ht="58" x14ac:dyDescent="0.35">
      <c r="A1269" s="2" t="s">
        <v>59</v>
      </c>
      <c r="B1269" s="2" t="s">
        <v>60</v>
      </c>
      <c r="C1269" s="2" t="s">
        <v>12732</v>
      </c>
      <c r="D1269" s="2" t="s">
        <v>12733</v>
      </c>
      <c r="E1269" s="2" t="s">
        <v>12734</v>
      </c>
      <c r="G1269" s="3" t="s">
        <v>64</v>
      </c>
      <c r="I1269" s="3" t="s">
        <v>128</v>
      </c>
      <c r="J1269" s="3" t="s">
        <v>64</v>
      </c>
      <c r="K1269" s="3" t="s">
        <v>65</v>
      </c>
      <c r="L1269" s="2" t="s">
        <v>12735</v>
      </c>
      <c r="M1269" s="2" t="s">
        <v>12736</v>
      </c>
      <c r="N1269" s="3" t="s">
        <v>922</v>
      </c>
      <c r="P1269" s="3" t="s">
        <v>68</v>
      </c>
      <c r="Q1269" s="2" t="s">
        <v>12737</v>
      </c>
      <c r="R1269" s="3" t="s">
        <v>70</v>
      </c>
      <c r="S1269" s="4">
        <v>12</v>
      </c>
      <c r="T1269" s="4">
        <v>12</v>
      </c>
      <c r="U1269" s="5" t="s">
        <v>12738</v>
      </c>
      <c r="V1269" s="5" t="s">
        <v>12738</v>
      </c>
      <c r="W1269" s="5" t="s">
        <v>72</v>
      </c>
      <c r="X1269" s="5" t="s">
        <v>72</v>
      </c>
      <c r="Y1269" s="4">
        <v>41</v>
      </c>
      <c r="Z1269" s="4">
        <v>17</v>
      </c>
      <c r="AA1269" s="4">
        <v>32</v>
      </c>
      <c r="AB1269" s="4">
        <v>2</v>
      </c>
      <c r="AC1269" s="4">
        <v>10</v>
      </c>
      <c r="AD1269" s="4">
        <v>28</v>
      </c>
      <c r="AE1269" s="4">
        <v>38</v>
      </c>
      <c r="AF1269" s="4">
        <v>1</v>
      </c>
      <c r="AG1269" s="4">
        <v>6</v>
      </c>
      <c r="AH1269" s="4">
        <v>20</v>
      </c>
      <c r="AI1269" s="4">
        <v>23</v>
      </c>
      <c r="AJ1269" s="4">
        <v>13</v>
      </c>
      <c r="AK1269" s="4">
        <v>21</v>
      </c>
      <c r="AL1269" s="4">
        <v>12</v>
      </c>
      <c r="AM1269" s="4">
        <v>13</v>
      </c>
      <c r="AN1269" s="4">
        <v>0</v>
      </c>
      <c r="AO1269" s="4">
        <v>0</v>
      </c>
      <c r="AP1269" s="4">
        <v>15</v>
      </c>
      <c r="AQ1269" s="4">
        <v>22</v>
      </c>
      <c r="AR1269" s="3" t="s">
        <v>128</v>
      </c>
      <c r="AS1269" s="3" t="s">
        <v>64</v>
      </c>
      <c r="AT1269" s="3" t="s">
        <v>64</v>
      </c>
      <c r="AU1269" s="6" t="str">
        <f>HYPERLINK("http://catalog.hathitrust.org/Record/010098396","HathiTrust Record")</f>
        <v>HathiTrust Record</v>
      </c>
      <c r="AV1269" s="6" t="str">
        <f>HYPERLINK("http://mcgill.on.worldcat.org/oclc/2311024","Catalog Record")</f>
        <v>Catalog Record</v>
      </c>
      <c r="AW1269" s="6" t="str">
        <f>HYPERLINK("http://www.worldcat.org/oclc/2311024","WorldCat Record")</f>
        <v>WorldCat Record</v>
      </c>
      <c r="AX1269" s="3" t="s">
        <v>12739</v>
      </c>
      <c r="AY1269" s="3" t="s">
        <v>12740</v>
      </c>
      <c r="AZ1269" s="3" t="s">
        <v>12741</v>
      </c>
      <c r="BA1269" s="3" t="s">
        <v>12741</v>
      </c>
      <c r="BB1269" s="3" t="s">
        <v>12742</v>
      </c>
      <c r="BC1269" s="3" t="s">
        <v>77</v>
      </c>
      <c r="BD1269" s="3" t="s">
        <v>78</v>
      </c>
      <c r="BF1269" s="3" t="s">
        <v>12742</v>
      </c>
      <c r="BG1269" s="3" t="s">
        <v>12743</v>
      </c>
      <c r="BH1269">
        <f t="shared" si="39"/>
        <v>0</v>
      </c>
    </row>
    <row r="1270" spans="1:60" ht="58" x14ac:dyDescent="0.35">
      <c r="A1270" s="2" t="s">
        <v>59</v>
      </c>
      <c r="B1270" s="2" t="s">
        <v>60</v>
      </c>
      <c r="C1270" s="2" t="s">
        <v>12744</v>
      </c>
      <c r="D1270" s="2" t="s">
        <v>12745</v>
      </c>
      <c r="E1270" s="2" t="s">
        <v>12746</v>
      </c>
      <c r="G1270" s="3" t="s">
        <v>64</v>
      </c>
      <c r="I1270" s="3" t="s">
        <v>64</v>
      </c>
      <c r="J1270" s="3" t="s">
        <v>64</v>
      </c>
      <c r="K1270" s="3" t="s">
        <v>65</v>
      </c>
      <c r="L1270" s="2" t="s">
        <v>12747</v>
      </c>
      <c r="M1270" s="2" t="s">
        <v>12748</v>
      </c>
      <c r="N1270" s="3" t="s">
        <v>874</v>
      </c>
      <c r="P1270" s="3" t="s">
        <v>68</v>
      </c>
      <c r="Q1270" s="2" t="s">
        <v>12749</v>
      </c>
      <c r="R1270" s="3" t="s">
        <v>70</v>
      </c>
      <c r="S1270" s="4">
        <v>11</v>
      </c>
      <c r="T1270" s="4">
        <v>11</v>
      </c>
      <c r="U1270" s="5" t="s">
        <v>10149</v>
      </c>
      <c r="V1270" s="5" t="s">
        <v>10149</v>
      </c>
      <c r="W1270" s="5" t="s">
        <v>72</v>
      </c>
      <c r="X1270" s="5" t="s">
        <v>72</v>
      </c>
      <c r="Y1270" s="4">
        <v>30</v>
      </c>
      <c r="Z1270" s="4">
        <v>19</v>
      </c>
      <c r="AA1270" s="4">
        <v>38</v>
      </c>
      <c r="AB1270" s="4">
        <v>4</v>
      </c>
      <c r="AC1270" s="4">
        <v>17</v>
      </c>
      <c r="AD1270" s="4">
        <v>19</v>
      </c>
      <c r="AE1270" s="4">
        <v>28</v>
      </c>
      <c r="AF1270" s="4">
        <v>1</v>
      </c>
      <c r="AG1270" s="4">
        <v>7</v>
      </c>
      <c r="AH1270" s="4">
        <v>12</v>
      </c>
      <c r="AI1270" s="4">
        <v>15</v>
      </c>
      <c r="AJ1270" s="4">
        <v>12</v>
      </c>
      <c r="AK1270" s="4">
        <v>19</v>
      </c>
      <c r="AL1270" s="4">
        <v>5</v>
      </c>
      <c r="AM1270" s="4">
        <v>5</v>
      </c>
      <c r="AN1270" s="4">
        <v>0</v>
      </c>
      <c r="AO1270" s="4">
        <v>0</v>
      </c>
      <c r="AP1270" s="4">
        <v>12</v>
      </c>
      <c r="AQ1270" s="4">
        <v>19</v>
      </c>
      <c r="AR1270" s="3" t="s">
        <v>128</v>
      </c>
      <c r="AS1270" s="3" t="s">
        <v>64</v>
      </c>
      <c r="AT1270" s="3" t="s">
        <v>128</v>
      </c>
      <c r="AU1270" s="6" t="str">
        <f>HYPERLINK("http://catalog.hathitrust.org/Record/006761860","HathiTrust Record")</f>
        <v>HathiTrust Record</v>
      </c>
      <c r="AV1270" s="6" t="str">
        <f>HYPERLINK("http://mcgill.on.worldcat.org/oclc/9732289","Catalog Record")</f>
        <v>Catalog Record</v>
      </c>
      <c r="AW1270" s="6" t="str">
        <f>HYPERLINK("http://www.worldcat.org/oclc/9732289","WorldCat Record")</f>
        <v>WorldCat Record</v>
      </c>
      <c r="AX1270" s="3" t="s">
        <v>12750</v>
      </c>
      <c r="AY1270" s="3" t="s">
        <v>12751</v>
      </c>
      <c r="AZ1270" s="3" t="s">
        <v>12752</v>
      </c>
      <c r="BA1270" s="3" t="s">
        <v>12752</v>
      </c>
      <c r="BB1270" s="3" t="s">
        <v>12753</v>
      </c>
      <c r="BC1270" s="3" t="s">
        <v>77</v>
      </c>
      <c r="BD1270" s="3" t="s">
        <v>78</v>
      </c>
      <c r="BE1270" s="3" t="s">
        <v>12754</v>
      </c>
      <c r="BF1270" s="3" t="s">
        <v>12753</v>
      </c>
      <c r="BG1270" s="3" t="s">
        <v>12755</v>
      </c>
      <c r="BH1270">
        <f t="shared" si="39"/>
        <v>0</v>
      </c>
    </row>
    <row r="1271" spans="1:60" ht="72.5" x14ac:dyDescent="0.35">
      <c r="A1271" s="2" t="s">
        <v>59</v>
      </c>
      <c r="B1271" s="2" t="s">
        <v>60</v>
      </c>
      <c r="C1271" s="2" t="s">
        <v>12756</v>
      </c>
      <c r="D1271" s="2" t="s">
        <v>12757</v>
      </c>
      <c r="E1271" s="2" t="s">
        <v>12758</v>
      </c>
      <c r="G1271" s="3" t="s">
        <v>64</v>
      </c>
      <c r="I1271" s="3" t="s">
        <v>64</v>
      </c>
      <c r="J1271" s="3" t="s">
        <v>64</v>
      </c>
      <c r="K1271" s="3" t="s">
        <v>65</v>
      </c>
      <c r="M1271" s="2" t="s">
        <v>12759</v>
      </c>
      <c r="N1271" s="3" t="s">
        <v>1087</v>
      </c>
      <c r="P1271" s="3" t="s">
        <v>68</v>
      </c>
      <c r="Q1271" s="2" t="s">
        <v>12760</v>
      </c>
      <c r="R1271" s="3" t="s">
        <v>70</v>
      </c>
      <c r="S1271" s="4">
        <v>11</v>
      </c>
      <c r="T1271" s="4">
        <v>11</v>
      </c>
      <c r="U1271" s="5" t="s">
        <v>12738</v>
      </c>
      <c r="V1271" s="5" t="s">
        <v>12738</v>
      </c>
      <c r="W1271" s="5" t="s">
        <v>72</v>
      </c>
      <c r="X1271" s="5" t="s">
        <v>72</v>
      </c>
      <c r="Y1271" s="4">
        <v>16</v>
      </c>
      <c r="Z1271" s="4">
        <v>12</v>
      </c>
      <c r="AA1271" s="4">
        <v>22</v>
      </c>
      <c r="AB1271" s="4">
        <v>3</v>
      </c>
      <c r="AC1271" s="4">
        <v>9</v>
      </c>
      <c r="AD1271" s="4">
        <v>13</v>
      </c>
      <c r="AE1271" s="4">
        <v>21</v>
      </c>
      <c r="AF1271" s="4">
        <v>2</v>
      </c>
      <c r="AG1271" s="4">
        <v>6</v>
      </c>
      <c r="AH1271" s="4">
        <v>6</v>
      </c>
      <c r="AI1271" s="4">
        <v>10</v>
      </c>
      <c r="AJ1271" s="4">
        <v>9</v>
      </c>
      <c r="AK1271" s="4">
        <v>16</v>
      </c>
      <c r="AL1271" s="4">
        <v>1</v>
      </c>
      <c r="AM1271" s="4">
        <v>3</v>
      </c>
      <c r="AN1271" s="4">
        <v>0</v>
      </c>
      <c r="AO1271" s="4">
        <v>0</v>
      </c>
      <c r="AP1271" s="4">
        <v>10</v>
      </c>
      <c r="AQ1271" s="4">
        <v>16</v>
      </c>
      <c r="AR1271" s="3" t="s">
        <v>128</v>
      </c>
      <c r="AS1271" s="3" t="s">
        <v>64</v>
      </c>
      <c r="AT1271" s="3" t="s">
        <v>64</v>
      </c>
      <c r="AV1271" s="6" t="str">
        <f>HYPERLINK("http://mcgill.on.worldcat.org/oclc/30039007","Catalog Record")</f>
        <v>Catalog Record</v>
      </c>
      <c r="AW1271" s="6" t="str">
        <f>HYPERLINK("http://www.worldcat.org/oclc/30039007","WorldCat Record")</f>
        <v>WorldCat Record</v>
      </c>
      <c r="AX1271" s="3" t="s">
        <v>12761</v>
      </c>
      <c r="AY1271" s="3" t="s">
        <v>12762</v>
      </c>
      <c r="AZ1271" s="3" t="s">
        <v>12763</v>
      </c>
      <c r="BA1271" s="3" t="s">
        <v>12763</v>
      </c>
      <c r="BB1271" s="3" t="s">
        <v>12764</v>
      </c>
      <c r="BC1271" s="3" t="s">
        <v>77</v>
      </c>
      <c r="BD1271" s="3" t="s">
        <v>78</v>
      </c>
      <c r="BE1271" s="3" t="s">
        <v>12765</v>
      </c>
      <c r="BF1271" s="3" t="s">
        <v>12764</v>
      </c>
      <c r="BG1271" s="3" t="s">
        <v>12766</v>
      </c>
      <c r="BH1271">
        <f t="shared" si="39"/>
        <v>0</v>
      </c>
    </row>
    <row r="1272" spans="1:60" ht="58" x14ac:dyDescent="0.35">
      <c r="A1272" s="2" t="s">
        <v>59</v>
      </c>
      <c r="B1272" s="2" t="s">
        <v>60</v>
      </c>
      <c r="C1272" s="2" t="s">
        <v>12767</v>
      </c>
      <c r="D1272" s="2" t="s">
        <v>12768</v>
      </c>
      <c r="E1272" s="2" t="s">
        <v>12769</v>
      </c>
      <c r="G1272" s="3" t="s">
        <v>64</v>
      </c>
      <c r="I1272" s="3" t="s">
        <v>128</v>
      </c>
      <c r="J1272" s="3" t="s">
        <v>64</v>
      </c>
      <c r="K1272" s="3" t="s">
        <v>65</v>
      </c>
      <c r="M1272" s="2" t="s">
        <v>12770</v>
      </c>
      <c r="N1272" s="3" t="s">
        <v>3330</v>
      </c>
      <c r="P1272" s="3" t="s">
        <v>68</v>
      </c>
      <c r="Q1272" s="2" t="s">
        <v>5406</v>
      </c>
      <c r="R1272" s="3" t="s">
        <v>70</v>
      </c>
      <c r="S1272" s="4">
        <v>11</v>
      </c>
      <c r="T1272" s="4">
        <v>11</v>
      </c>
      <c r="U1272" s="5" t="s">
        <v>10149</v>
      </c>
      <c r="V1272" s="5" t="s">
        <v>10149</v>
      </c>
      <c r="W1272" s="5" t="s">
        <v>72</v>
      </c>
      <c r="X1272" s="5" t="s">
        <v>72</v>
      </c>
      <c r="Y1272" s="4">
        <v>12</v>
      </c>
      <c r="Z1272" s="4">
        <v>9</v>
      </c>
      <c r="AA1272" s="4">
        <v>18</v>
      </c>
      <c r="AB1272" s="4">
        <v>5</v>
      </c>
      <c r="AC1272" s="4">
        <v>6</v>
      </c>
      <c r="AD1272" s="4">
        <v>7</v>
      </c>
      <c r="AE1272" s="4">
        <v>23</v>
      </c>
      <c r="AF1272" s="4">
        <v>3</v>
      </c>
      <c r="AG1272" s="4">
        <v>4</v>
      </c>
      <c r="AH1272" s="4">
        <v>3</v>
      </c>
      <c r="AI1272" s="4">
        <v>16</v>
      </c>
      <c r="AJ1272" s="4">
        <v>6</v>
      </c>
      <c r="AK1272" s="4">
        <v>12</v>
      </c>
      <c r="AL1272" s="4">
        <v>0</v>
      </c>
      <c r="AM1272" s="4">
        <v>7</v>
      </c>
      <c r="AN1272" s="4">
        <v>0</v>
      </c>
      <c r="AO1272" s="4">
        <v>0</v>
      </c>
      <c r="AP1272" s="4">
        <v>5</v>
      </c>
      <c r="AQ1272" s="4">
        <v>12</v>
      </c>
      <c r="AR1272" s="3" t="s">
        <v>128</v>
      </c>
      <c r="AS1272" s="3" t="s">
        <v>64</v>
      </c>
      <c r="AT1272" s="3" t="s">
        <v>64</v>
      </c>
      <c r="AV1272" s="6" t="str">
        <f>HYPERLINK("http://mcgill.on.worldcat.org/oclc/18258416","Catalog Record")</f>
        <v>Catalog Record</v>
      </c>
      <c r="AW1272" s="6" t="str">
        <f>HYPERLINK("http://www.worldcat.org/oclc/18258416","WorldCat Record")</f>
        <v>WorldCat Record</v>
      </c>
      <c r="AX1272" s="3" t="s">
        <v>12771</v>
      </c>
      <c r="AY1272" s="3" t="s">
        <v>12772</v>
      </c>
      <c r="AZ1272" s="3" t="s">
        <v>12773</v>
      </c>
      <c r="BA1272" s="3" t="s">
        <v>12773</v>
      </c>
      <c r="BB1272" s="3" t="s">
        <v>12774</v>
      </c>
      <c r="BC1272" s="3" t="s">
        <v>77</v>
      </c>
      <c r="BD1272" s="3" t="s">
        <v>78</v>
      </c>
      <c r="BE1272" s="3" t="s">
        <v>12775</v>
      </c>
      <c r="BF1272" s="3" t="s">
        <v>12774</v>
      </c>
      <c r="BG1272" s="3" t="s">
        <v>12776</v>
      </c>
      <c r="BH1272">
        <f t="shared" si="39"/>
        <v>0</v>
      </c>
    </row>
    <row r="1273" spans="1:60" ht="58" x14ac:dyDescent="0.35">
      <c r="A1273" s="2" t="s">
        <v>59</v>
      </c>
      <c r="B1273" s="2" t="s">
        <v>60</v>
      </c>
      <c r="C1273" s="2" t="s">
        <v>12777</v>
      </c>
      <c r="D1273" s="2" t="s">
        <v>12778</v>
      </c>
      <c r="E1273" s="2" t="s">
        <v>12779</v>
      </c>
      <c r="G1273" s="3" t="s">
        <v>64</v>
      </c>
      <c r="I1273" s="3" t="s">
        <v>64</v>
      </c>
      <c r="J1273" s="3" t="s">
        <v>64</v>
      </c>
      <c r="K1273" s="3" t="s">
        <v>65</v>
      </c>
      <c r="M1273" s="2" t="s">
        <v>12780</v>
      </c>
      <c r="N1273" s="3" t="s">
        <v>1061</v>
      </c>
      <c r="P1273" s="3" t="s">
        <v>68</v>
      </c>
      <c r="Q1273" s="2" t="s">
        <v>12781</v>
      </c>
      <c r="R1273" s="3" t="s">
        <v>70</v>
      </c>
      <c r="S1273" s="4">
        <v>18</v>
      </c>
      <c r="T1273" s="4">
        <v>18</v>
      </c>
      <c r="U1273" s="5" t="s">
        <v>12782</v>
      </c>
      <c r="V1273" s="5" t="s">
        <v>12782</v>
      </c>
      <c r="W1273" s="5" t="s">
        <v>72</v>
      </c>
      <c r="X1273" s="5" t="s">
        <v>72</v>
      </c>
      <c r="Y1273" s="4">
        <v>18</v>
      </c>
      <c r="Z1273" s="4">
        <v>18</v>
      </c>
      <c r="AA1273" s="4">
        <v>35</v>
      </c>
      <c r="AB1273" s="4">
        <v>9</v>
      </c>
      <c r="AC1273" s="4">
        <v>10</v>
      </c>
      <c r="AD1273" s="4">
        <v>11</v>
      </c>
      <c r="AE1273" s="4">
        <v>41</v>
      </c>
      <c r="AF1273" s="4">
        <v>4</v>
      </c>
      <c r="AG1273" s="4">
        <v>5</v>
      </c>
      <c r="AH1273" s="4">
        <v>5</v>
      </c>
      <c r="AI1273" s="4">
        <v>25</v>
      </c>
      <c r="AJ1273" s="4">
        <v>10</v>
      </c>
      <c r="AK1273" s="4">
        <v>24</v>
      </c>
      <c r="AL1273" s="4">
        <v>1</v>
      </c>
      <c r="AM1273" s="4">
        <v>13</v>
      </c>
      <c r="AN1273" s="4">
        <v>0</v>
      </c>
      <c r="AO1273" s="4">
        <v>0</v>
      </c>
      <c r="AP1273" s="4">
        <v>9</v>
      </c>
      <c r="AQ1273" s="4">
        <v>25</v>
      </c>
      <c r="AR1273" s="3" t="s">
        <v>128</v>
      </c>
      <c r="AS1273" s="3" t="s">
        <v>64</v>
      </c>
      <c r="AT1273" s="3" t="s">
        <v>128</v>
      </c>
      <c r="AU1273" s="6" t="str">
        <f>HYPERLINK("http://catalog.hathitrust.org/Record/006183946","HathiTrust Record")</f>
        <v>HathiTrust Record</v>
      </c>
      <c r="AV1273" s="6" t="str">
        <f>HYPERLINK("http://mcgill.on.worldcat.org/oclc/243537317","Catalog Record")</f>
        <v>Catalog Record</v>
      </c>
      <c r="AW1273" s="6" t="str">
        <f>HYPERLINK("http://www.worldcat.org/oclc/243537317","WorldCat Record")</f>
        <v>WorldCat Record</v>
      </c>
      <c r="AX1273" s="3" t="s">
        <v>12783</v>
      </c>
      <c r="AY1273" s="3" t="s">
        <v>12784</v>
      </c>
      <c r="AZ1273" s="3" t="s">
        <v>12785</v>
      </c>
      <c r="BA1273" s="3" t="s">
        <v>12785</v>
      </c>
      <c r="BB1273" s="3" t="s">
        <v>12786</v>
      </c>
      <c r="BC1273" s="3" t="s">
        <v>77</v>
      </c>
      <c r="BD1273" s="3" t="s">
        <v>78</v>
      </c>
      <c r="BE1273" s="3" t="s">
        <v>12787</v>
      </c>
      <c r="BF1273" s="3" t="s">
        <v>12786</v>
      </c>
      <c r="BG1273" s="3" t="s">
        <v>12788</v>
      </c>
      <c r="BH1273">
        <f t="shared" si="39"/>
        <v>0</v>
      </c>
    </row>
    <row r="1274" spans="1:60" ht="58" x14ac:dyDescent="0.35">
      <c r="A1274" s="2" t="s">
        <v>59</v>
      </c>
      <c r="B1274" s="2" t="s">
        <v>60</v>
      </c>
      <c r="C1274" s="2" t="s">
        <v>12789</v>
      </c>
      <c r="D1274" s="2" t="s">
        <v>12790</v>
      </c>
      <c r="E1274" s="2" t="s">
        <v>12791</v>
      </c>
      <c r="G1274" s="3" t="s">
        <v>64</v>
      </c>
      <c r="I1274" s="3" t="s">
        <v>64</v>
      </c>
      <c r="J1274" s="3" t="s">
        <v>64</v>
      </c>
      <c r="K1274" s="3" t="s">
        <v>65</v>
      </c>
      <c r="M1274" s="2" t="s">
        <v>12792</v>
      </c>
      <c r="N1274" s="3" t="s">
        <v>1250</v>
      </c>
      <c r="P1274" s="3" t="s">
        <v>68</v>
      </c>
      <c r="R1274" s="3" t="s">
        <v>70</v>
      </c>
      <c r="S1274" s="4">
        <v>8</v>
      </c>
      <c r="T1274" s="4">
        <v>8</v>
      </c>
      <c r="U1274" s="5" t="s">
        <v>12793</v>
      </c>
      <c r="V1274" s="5" t="s">
        <v>12793</v>
      </c>
      <c r="W1274" s="5" t="s">
        <v>72</v>
      </c>
      <c r="X1274" s="5" t="s">
        <v>72</v>
      </c>
      <c r="Y1274" s="4">
        <v>46</v>
      </c>
      <c r="Z1274" s="4">
        <v>16</v>
      </c>
      <c r="AA1274" s="4">
        <v>28</v>
      </c>
      <c r="AB1274" s="4">
        <v>2</v>
      </c>
      <c r="AC1274" s="4">
        <v>9</v>
      </c>
      <c r="AD1274" s="4">
        <v>33</v>
      </c>
      <c r="AE1274" s="4">
        <v>45</v>
      </c>
      <c r="AF1274" s="4">
        <v>1</v>
      </c>
      <c r="AG1274" s="4">
        <v>5</v>
      </c>
      <c r="AH1274" s="4">
        <v>24</v>
      </c>
      <c r="AI1274" s="4">
        <v>31</v>
      </c>
      <c r="AJ1274" s="4">
        <v>13</v>
      </c>
      <c r="AK1274" s="4">
        <v>21</v>
      </c>
      <c r="AL1274" s="4">
        <v>16</v>
      </c>
      <c r="AM1274" s="4">
        <v>19</v>
      </c>
      <c r="AN1274" s="4">
        <v>0</v>
      </c>
      <c r="AO1274" s="4">
        <v>0</v>
      </c>
      <c r="AP1274" s="4">
        <v>13</v>
      </c>
      <c r="AQ1274" s="4">
        <v>20</v>
      </c>
      <c r="AR1274" s="3" t="s">
        <v>128</v>
      </c>
      <c r="AS1274" s="3" t="s">
        <v>64</v>
      </c>
      <c r="AT1274" s="3" t="s">
        <v>64</v>
      </c>
      <c r="AV1274" s="6" t="str">
        <f>HYPERLINK("http://mcgill.on.worldcat.org/oclc/32205238","Catalog Record")</f>
        <v>Catalog Record</v>
      </c>
      <c r="AW1274" s="6" t="str">
        <f>HYPERLINK("http://www.worldcat.org/oclc/32205238","WorldCat Record")</f>
        <v>WorldCat Record</v>
      </c>
      <c r="AX1274" s="3" t="s">
        <v>12794</v>
      </c>
      <c r="AY1274" s="3" t="s">
        <v>12795</v>
      </c>
      <c r="AZ1274" s="3" t="s">
        <v>12796</v>
      </c>
      <c r="BA1274" s="3" t="s">
        <v>12796</v>
      </c>
      <c r="BB1274" s="3" t="s">
        <v>12797</v>
      </c>
      <c r="BC1274" s="3" t="s">
        <v>77</v>
      </c>
      <c r="BD1274" s="3" t="s">
        <v>78</v>
      </c>
      <c r="BE1274" s="3" t="s">
        <v>12798</v>
      </c>
      <c r="BF1274" s="3" t="s">
        <v>12797</v>
      </c>
      <c r="BG1274" s="3" t="s">
        <v>12799</v>
      </c>
      <c r="BH1274">
        <f t="shared" si="39"/>
        <v>0</v>
      </c>
    </row>
    <row r="1275" spans="1:60" ht="58" x14ac:dyDescent="0.35">
      <c r="A1275" s="2" t="s">
        <v>59</v>
      </c>
      <c r="B1275" s="2" t="s">
        <v>60</v>
      </c>
      <c r="C1275" s="2" t="s">
        <v>12800</v>
      </c>
      <c r="D1275" s="2" t="s">
        <v>12801</v>
      </c>
      <c r="E1275" s="2" t="s">
        <v>12802</v>
      </c>
      <c r="F1275" s="3" t="s">
        <v>529</v>
      </c>
      <c r="G1275" s="3" t="s">
        <v>128</v>
      </c>
      <c r="I1275" s="3" t="s">
        <v>64</v>
      </c>
      <c r="J1275" s="3" t="s">
        <v>64</v>
      </c>
      <c r="K1275" s="3" t="s">
        <v>65</v>
      </c>
      <c r="M1275" s="2" t="s">
        <v>12803</v>
      </c>
      <c r="N1275" s="3" t="s">
        <v>392</v>
      </c>
      <c r="P1275" s="3" t="s">
        <v>68</v>
      </c>
      <c r="R1275" s="3" t="s">
        <v>70</v>
      </c>
      <c r="S1275" s="4">
        <v>19</v>
      </c>
      <c r="T1275" s="4">
        <v>51</v>
      </c>
      <c r="U1275" s="5" t="s">
        <v>5158</v>
      </c>
      <c r="V1275" s="5" t="s">
        <v>5158</v>
      </c>
      <c r="W1275" s="5" t="s">
        <v>72</v>
      </c>
      <c r="X1275" s="5" t="s">
        <v>72</v>
      </c>
      <c r="Y1275" s="4">
        <v>62</v>
      </c>
      <c r="Z1275" s="4">
        <v>39</v>
      </c>
      <c r="AA1275" s="4">
        <v>39</v>
      </c>
      <c r="AB1275" s="4">
        <v>20</v>
      </c>
      <c r="AC1275" s="4">
        <v>20</v>
      </c>
      <c r="AD1275" s="4">
        <v>36</v>
      </c>
      <c r="AE1275" s="4">
        <v>36</v>
      </c>
      <c r="AF1275" s="4">
        <v>8</v>
      </c>
      <c r="AG1275" s="4">
        <v>8</v>
      </c>
      <c r="AH1275" s="4">
        <v>20</v>
      </c>
      <c r="AI1275" s="4">
        <v>20</v>
      </c>
      <c r="AJ1275" s="4">
        <v>17</v>
      </c>
      <c r="AK1275" s="4">
        <v>17</v>
      </c>
      <c r="AL1275" s="4">
        <v>6</v>
      </c>
      <c r="AM1275" s="4">
        <v>6</v>
      </c>
      <c r="AN1275" s="4">
        <v>0</v>
      </c>
      <c r="AO1275" s="4">
        <v>0</v>
      </c>
      <c r="AP1275" s="4">
        <v>21</v>
      </c>
      <c r="AQ1275" s="4">
        <v>21</v>
      </c>
      <c r="AR1275" s="3" t="s">
        <v>128</v>
      </c>
      <c r="AS1275" s="3" t="s">
        <v>64</v>
      </c>
      <c r="AT1275" s="3" t="s">
        <v>64</v>
      </c>
      <c r="AV1275" s="6" t="str">
        <f>HYPERLINK("http://mcgill.on.worldcat.org/oclc/41467866","Catalog Record")</f>
        <v>Catalog Record</v>
      </c>
      <c r="AW1275" s="6" t="str">
        <f>HYPERLINK("http://www.worldcat.org/oclc/41467866","WorldCat Record")</f>
        <v>WorldCat Record</v>
      </c>
      <c r="AX1275" s="3" t="s">
        <v>12804</v>
      </c>
      <c r="AY1275" s="3" t="s">
        <v>12805</v>
      </c>
      <c r="AZ1275" s="3" t="s">
        <v>12806</v>
      </c>
      <c r="BA1275" s="3" t="s">
        <v>12806</v>
      </c>
      <c r="BB1275" s="3" t="s">
        <v>12807</v>
      </c>
      <c r="BC1275" s="3" t="s">
        <v>77</v>
      </c>
      <c r="BD1275" s="3" t="s">
        <v>78</v>
      </c>
      <c r="BE1275" s="3" t="s">
        <v>12808</v>
      </c>
      <c r="BF1275" s="3" t="s">
        <v>12807</v>
      </c>
      <c r="BG1275" s="3" t="s">
        <v>12809</v>
      </c>
      <c r="BH1275">
        <f t="shared" si="39"/>
        <v>0</v>
      </c>
    </row>
    <row r="1276" spans="1:60" ht="58" x14ac:dyDescent="0.35">
      <c r="A1276" s="2" t="s">
        <v>59</v>
      </c>
      <c r="B1276" s="2" t="s">
        <v>60</v>
      </c>
      <c r="C1276" s="2" t="s">
        <v>12800</v>
      </c>
      <c r="D1276" s="2" t="s">
        <v>12801</v>
      </c>
      <c r="E1276" s="2" t="s">
        <v>12802</v>
      </c>
      <c r="F1276" s="3" t="s">
        <v>525</v>
      </c>
      <c r="G1276" s="3" t="s">
        <v>128</v>
      </c>
      <c r="I1276" s="3" t="s">
        <v>64</v>
      </c>
      <c r="J1276" s="3" t="s">
        <v>64</v>
      </c>
      <c r="K1276" s="3" t="s">
        <v>65</v>
      </c>
      <c r="M1276" s="2" t="s">
        <v>12803</v>
      </c>
      <c r="N1276" s="3" t="s">
        <v>392</v>
      </c>
      <c r="P1276" s="3" t="s">
        <v>68</v>
      </c>
      <c r="R1276" s="3" t="s">
        <v>70</v>
      </c>
      <c r="S1276" s="4">
        <v>20</v>
      </c>
      <c r="T1276" s="4">
        <v>51</v>
      </c>
      <c r="U1276" s="5" t="s">
        <v>5158</v>
      </c>
      <c r="V1276" s="5" t="s">
        <v>5158</v>
      </c>
      <c r="W1276" s="5" t="s">
        <v>72</v>
      </c>
      <c r="X1276" s="5" t="s">
        <v>72</v>
      </c>
      <c r="Y1276" s="4">
        <v>62</v>
      </c>
      <c r="Z1276" s="4">
        <v>39</v>
      </c>
      <c r="AA1276" s="4">
        <v>39</v>
      </c>
      <c r="AB1276" s="4">
        <v>20</v>
      </c>
      <c r="AC1276" s="4">
        <v>20</v>
      </c>
      <c r="AD1276" s="4">
        <v>36</v>
      </c>
      <c r="AE1276" s="4">
        <v>36</v>
      </c>
      <c r="AF1276" s="4">
        <v>8</v>
      </c>
      <c r="AG1276" s="4">
        <v>8</v>
      </c>
      <c r="AH1276" s="4">
        <v>20</v>
      </c>
      <c r="AI1276" s="4">
        <v>20</v>
      </c>
      <c r="AJ1276" s="4">
        <v>17</v>
      </c>
      <c r="AK1276" s="4">
        <v>17</v>
      </c>
      <c r="AL1276" s="4">
        <v>6</v>
      </c>
      <c r="AM1276" s="4">
        <v>6</v>
      </c>
      <c r="AN1276" s="4">
        <v>0</v>
      </c>
      <c r="AO1276" s="4">
        <v>0</v>
      </c>
      <c r="AP1276" s="4">
        <v>21</v>
      </c>
      <c r="AQ1276" s="4">
        <v>21</v>
      </c>
      <c r="AR1276" s="3" t="s">
        <v>128</v>
      </c>
      <c r="AS1276" s="3" t="s">
        <v>64</v>
      </c>
      <c r="AT1276" s="3" t="s">
        <v>64</v>
      </c>
      <c r="AV1276" s="6" t="str">
        <f>HYPERLINK("http://mcgill.on.worldcat.org/oclc/41467866","Catalog Record")</f>
        <v>Catalog Record</v>
      </c>
      <c r="AW1276" s="6" t="str">
        <f>HYPERLINK("http://www.worldcat.org/oclc/41467866","WorldCat Record")</f>
        <v>WorldCat Record</v>
      </c>
      <c r="AX1276" s="3" t="s">
        <v>12804</v>
      </c>
      <c r="AY1276" s="3" t="s">
        <v>12805</v>
      </c>
      <c r="AZ1276" s="3" t="s">
        <v>12806</v>
      </c>
      <c r="BA1276" s="3" t="s">
        <v>12806</v>
      </c>
      <c r="BB1276" s="3" t="s">
        <v>12810</v>
      </c>
      <c r="BC1276" s="3" t="s">
        <v>77</v>
      </c>
      <c r="BD1276" s="3" t="s">
        <v>78</v>
      </c>
      <c r="BE1276" s="3" t="s">
        <v>12808</v>
      </c>
      <c r="BF1276" s="3" t="s">
        <v>12810</v>
      </c>
      <c r="BG1276" s="3" t="s">
        <v>12811</v>
      </c>
      <c r="BH1276">
        <f t="shared" si="39"/>
        <v>0</v>
      </c>
    </row>
    <row r="1277" spans="1:60" ht="58" x14ac:dyDescent="0.35">
      <c r="A1277" s="2" t="s">
        <v>59</v>
      </c>
      <c r="B1277" s="2" t="s">
        <v>60</v>
      </c>
      <c r="C1277" s="2" t="s">
        <v>12800</v>
      </c>
      <c r="D1277" s="2" t="s">
        <v>12801</v>
      </c>
      <c r="E1277" s="2" t="s">
        <v>12802</v>
      </c>
      <c r="F1277" s="3" t="s">
        <v>509</v>
      </c>
      <c r="G1277" s="3" t="s">
        <v>128</v>
      </c>
      <c r="I1277" s="3" t="s">
        <v>64</v>
      </c>
      <c r="J1277" s="3" t="s">
        <v>64</v>
      </c>
      <c r="K1277" s="3" t="s">
        <v>65</v>
      </c>
      <c r="M1277" s="2" t="s">
        <v>12803</v>
      </c>
      <c r="N1277" s="3" t="s">
        <v>392</v>
      </c>
      <c r="P1277" s="3" t="s">
        <v>68</v>
      </c>
      <c r="R1277" s="3" t="s">
        <v>70</v>
      </c>
      <c r="S1277" s="4">
        <v>12</v>
      </c>
      <c r="T1277" s="4">
        <v>51</v>
      </c>
      <c r="U1277" s="5" t="s">
        <v>5158</v>
      </c>
      <c r="V1277" s="5" t="s">
        <v>5158</v>
      </c>
      <c r="W1277" s="5" t="s">
        <v>72</v>
      </c>
      <c r="X1277" s="5" t="s">
        <v>72</v>
      </c>
      <c r="Y1277" s="4">
        <v>62</v>
      </c>
      <c r="Z1277" s="4">
        <v>39</v>
      </c>
      <c r="AA1277" s="4">
        <v>39</v>
      </c>
      <c r="AB1277" s="4">
        <v>20</v>
      </c>
      <c r="AC1277" s="4">
        <v>20</v>
      </c>
      <c r="AD1277" s="4">
        <v>36</v>
      </c>
      <c r="AE1277" s="4">
        <v>36</v>
      </c>
      <c r="AF1277" s="4">
        <v>8</v>
      </c>
      <c r="AG1277" s="4">
        <v>8</v>
      </c>
      <c r="AH1277" s="4">
        <v>20</v>
      </c>
      <c r="AI1277" s="4">
        <v>20</v>
      </c>
      <c r="AJ1277" s="4">
        <v>17</v>
      </c>
      <c r="AK1277" s="4">
        <v>17</v>
      </c>
      <c r="AL1277" s="4">
        <v>6</v>
      </c>
      <c r="AM1277" s="4">
        <v>6</v>
      </c>
      <c r="AN1277" s="4">
        <v>0</v>
      </c>
      <c r="AO1277" s="4">
        <v>0</v>
      </c>
      <c r="AP1277" s="4">
        <v>21</v>
      </c>
      <c r="AQ1277" s="4">
        <v>21</v>
      </c>
      <c r="AR1277" s="3" t="s">
        <v>128</v>
      </c>
      <c r="AS1277" s="3" t="s">
        <v>64</v>
      </c>
      <c r="AT1277" s="3" t="s">
        <v>64</v>
      </c>
      <c r="AV1277" s="6" t="str">
        <f>HYPERLINK("http://mcgill.on.worldcat.org/oclc/41467866","Catalog Record")</f>
        <v>Catalog Record</v>
      </c>
      <c r="AW1277" s="6" t="str">
        <f>HYPERLINK("http://www.worldcat.org/oclc/41467866","WorldCat Record")</f>
        <v>WorldCat Record</v>
      </c>
      <c r="AX1277" s="3" t="s">
        <v>12804</v>
      </c>
      <c r="AY1277" s="3" t="s">
        <v>12805</v>
      </c>
      <c r="AZ1277" s="3" t="s">
        <v>12806</v>
      </c>
      <c r="BA1277" s="3" t="s">
        <v>12806</v>
      </c>
      <c r="BB1277" s="3" t="s">
        <v>12812</v>
      </c>
      <c r="BC1277" s="3" t="s">
        <v>77</v>
      </c>
      <c r="BD1277" s="3" t="s">
        <v>78</v>
      </c>
      <c r="BE1277" s="3" t="s">
        <v>12808</v>
      </c>
      <c r="BF1277" s="3" t="s">
        <v>12812</v>
      </c>
      <c r="BG1277" s="3" t="s">
        <v>12813</v>
      </c>
      <c r="BH1277">
        <f t="shared" si="39"/>
        <v>0</v>
      </c>
    </row>
    <row r="1278" spans="1:60" ht="58" x14ac:dyDescent="0.35">
      <c r="A1278" s="2" t="s">
        <v>59</v>
      </c>
      <c r="B1278" s="2" t="s">
        <v>60</v>
      </c>
      <c r="C1278" s="2" t="s">
        <v>12814</v>
      </c>
      <c r="D1278" s="2" t="s">
        <v>12815</v>
      </c>
      <c r="E1278" s="2" t="s">
        <v>12816</v>
      </c>
      <c r="G1278" s="3" t="s">
        <v>64</v>
      </c>
      <c r="I1278" s="3" t="s">
        <v>128</v>
      </c>
      <c r="J1278" s="3" t="s">
        <v>64</v>
      </c>
      <c r="K1278" s="3" t="s">
        <v>65</v>
      </c>
      <c r="L1278" s="2" t="s">
        <v>12817</v>
      </c>
      <c r="M1278" s="2" t="s">
        <v>12818</v>
      </c>
      <c r="N1278" s="3" t="s">
        <v>116</v>
      </c>
      <c r="P1278" s="3" t="s">
        <v>68</v>
      </c>
      <c r="Q1278" s="2" t="s">
        <v>12819</v>
      </c>
      <c r="R1278" s="3" t="s">
        <v>70</v>
      </c>
      <c r="S1278" s="4">
        <v>5</v>
      </c>
      <c r="T1278" s="4">
        <v>5</v>
      </c>
      <c r="U1278" s="5" t="s">
        <v>4697</v>
      </c>
      <c r="V1278" s="5" t="s">
        <v>4697</v>
      </c>
      <c r="W1278" s="5" t="s">
        <v>72</v>
      </c>
      <c r="X1278" s="5" t="s">
        <v>72</v>
      </c>
      <c r="Y1278" s="4">
        <v>33</v>
      </c>
      <c r="Z1278" s="4">
        <v>33</v>
      </c>
      <c r="AA1278" s="4">
        <v>38</v>
      </c>
      <c r="AB1278" s="4">
        <v>23</v>
      </c>
      <c r="AC1278" s="4">
        <v>26</v>
      </c>
      <c r="AD1278" s="4">
        <v>16</v>
      </c>
      <c r="AE1278" s="4">
        <v>21</v>
      </c>
      <c r="AF1278" s="4">
        <v>8</v>
      </c>
      <c r="AG1278" s="4">
        <v>10</v>
      </c>
      <c r="AH1278" s="4">
        <v>5</v>
      </c>
      <c r="AI1278" s="4">
        <v>7</v>
      </c>
      <c r="AJ1278" s="4">
        <v>12</v>
      </c>
      <c r="AK1278" s="4">
        <v>14</v>
      </c>
      <c r="AL1278" s="4">
        <v>1</v>
      </c>
      <c r="AM1278" s="4">
        <v>1</v>
      </c>
      <c r="AN1278" s="4">
        <v>0</v>
      </c>
      <c r="AO1278" s="4">
        <v>0</v>
      </c>
      <c r="AP1278" s="4">
        <v>13</v>
      </c>
      <c r="AQ1278" s="4">
        <v>17</v>
      </c>
      <c r="AR1278" s="3" t="s">
        <v>128</v>
      </c>
      <c r="AS1278" s="3" t="s">
        <v>64</v>
      </c>
      <c r="AT1278" s="3" t="s">
        <v>64</v>
      </c>
      <c r="AV1278" s="6" t="str">
        <f>HYPERLINK("http://mcgill.on.worldcat.org/oclc/49007184","Catalog Record")</f>
        <v>Catalog Record</v>
      </c>
      <c r="AW1278" s="6" t="str">
        <f>HYPERLINK("http://www.worldcat.org/oclc/49007184","WorldCat Record")</f>
        <v>WorldCat Record</v>
      </c>
      <c r="AX1278" s="3" t="s">
        <v>12820</v>
      </c>
      <c r="AY1278" s="3" t="s">
        <v>12821</v>
      </c>
      <c r="AZ1278" s="3" t="s">
        <v>12822</v>
      </c>
      <c r="BA1278" s="3" t="s">
        <v>12822</v>
      </c>
      <c r="BB1278" s="3" t="s">
        <v>12823</v>
      </c>
      <c r="BC1278" s="3" t="s">
        <v>77</v>
      </c>
      <c r="BD1278" s="3" t="s">
        <v>78</v>
      </c>
      <c r="BE1278" s="3" t="s">
        <v>12824</v>
      </c>
      <c r="BF1278" s="3" t="s">
        <v>12823</v>
      </c>
      <c r="BG1278" s="3" t="s">
        <v>12825</v>
      </c>
      <c r="BH1278">
        <f t="shared" si="39"/>
        <v>0</v>
      </c>
    </row>
    <row r="1279" spans="1:60" ht="58" x14ac:dyDescent="0.35">
      <c r="A1279" s="2" t="s">
        <v>59</v>
      </c>
      <c r="B1279" s="2" t="s">
        <v>60</v>
      </c>
      <c r="C1279" s="2" t="s">
        <v>12826</v>
      </c>
      <c r="D1279" s="2" t="s">
        <v>12827</v>
      </c>
      <c r="E1279" s="2" t="s">
        <v>12828</v>
      </c>
      <c r="G1279" s="3" t="s">
        <v>64</v>
      </c>
      <c r="I1279" s="3" t="s">
        <v>64</v>
      </c>
      <c r="J1279" s="3" t="s">
        <v>64</v>
      </c>
      <c r="K1279" s="3" t="s">
        <v>65</v>
      </c>
      <c r="M1279" s="2" t="s">
        <v>12829</v>
      </c>
      <c r="N1279" s="3" t="s">
        <v>551</v>
      </c>
      <c r="P1279" s="3" t="s">
        <v>68</v>
      </c>
      <c r="R1279" s="3" t="s">
        <v>70</v>
      </c>
      <c r="S1279" s="4">
        <v>2</v>
      </c>
      <c r="T1279" s="4">
        <v>2</v>
      </c>
      <c r="U1279" s="5" t="s">
        <v>9593</v>
      </c>
      <c r="V1279" s="5" t="s">
        <v>9593</v>
      </c>
      <c r="W1279" s="5" t="s">
        <v>72</v>
      </c>
      <c r="X1279" s="5" t="s">
        <v>72</v>
      </c>
      <c r="Y1279" s="4">
        <v>20</v>
      </c>
      <c r="Z1279" s="4">
        <v>17</v>
      </c>
      <c r="AA1279" s="4">
        <v>26</v>
      </c>
      <c r="AB1279" s="4">
        <v>11</v>
      </c>
      <c r="AC1279" s="4">
        <v>13</v>
      </c>
      <c r="AD1279" s="4">
        <v>11</v>
      </c>
      <c r="AE1279" s="4">
        <v>24</v>
      </c>
      <c r="AF1279" s="4">
        <v>6</v>
      </c>
      <c r="AG1279" s="4">
        <v>7</v>
      </c>
      <c r="AH1279" s="4">
        <v>3</v>
      </c>
      <c r="AI1279" s="4">
        <v>12</v>
      </c>
      <c r="AJ1279" s="4">
        <v>9</v>
      </c>
      <c r="AK1279" s="4">
        <v>15</v>
      </c>
      <c r="AL1279" s="4">
        <v>0</v>
      </c>
      <c r="AM1279" s="4">
        <v>6</v>
      </c>
      <c r="AN1279" s="4">
        <v>0</v>
      </c>
      <c r="AO1279" s="4">
        <v>0</v>
      </c>
      <c r="AP1279" s="4">
        <v>9</v>
      </c>
      <c r="AQ1279" s="4">
        <v>16</v>
      </c>
      <c r="AR1279" s="3" t="s">
        <v>128</v>
      </c>
      <c r="AS1279" s="3" t="s">
        <v>64</v>
      </c>
      <c r="AT1279" s="3" t="s">
        <v>64</v>
      </c>
      <c r="AV1279" s="6" t="str">
        <f>HYPERLINK("http://mcgill.on.worldcat.org/oclc/473576345","Catalog Record")</f>
        <v>Catalog Record</v>
      </c>
      <c r="AW1279" s="6" t="str">
        <f>HYPERLINK("http://www.worldcat.org/oclc/1017556139","WorldCat Record")</f>
        <v>WorldCat Record</v>
      </c>
      <c r="AX1279" s="3" t="s">
        <v>12830</v>
      </c>
      <c r="AY1279" s="3" t="s">
        <v>12831</v>
      </c>
      <c r="AZ1279" s="3" t="s">
        <v>12832</v>
      </c>
      <c r="BA1279" s="3" t="s">
        <v>12832</v>
      </c>
      <c r="BB1279" s="3" t="s">
        <v>12833</v>
      </c>
      <c r="BC1279" s="3" t="s">
        <v>77</v>
      </c>
      <c r="BD1279" s="3" t="s">
        <v>78</v>
      </c>
      <c r="BE1279" s="3" t="s">
        <v>12834</v>
      </c>
      <c r="BF1279" s="3" t="s">
        <v>12833</v>
      </c>
      <c r="BG1279" s="3" t="s">
        <v>12835</v>
      </c>
      <c r="BH1279">
        <f t="shared" si="39"/>
        <v>0</v>
      </c>
    </row>
    <row r="1280" spans="1:60" ht="58" x14ac:dyDescent="0.35">
      <c r="A1280" s="2" t="s">
        <v>59</v>
      </c>
      <c r="B1280" s="2" t="s">
        <v>60</v>
      </c>
      <c r="C1280" s="2" t="s">
        <v>12836</v>
      </c>
      <c r="D1280" s="2" t="s">
        <v>12837</v>
      </c>
      <c r="E1280" s="2" t="s">
        <v>12838</v>
      </c>
      <c r="G1280" s="3" t="s">
        <v>64</v>
      </c>
      <c r="I1280" s="3" t="s">
        <v>64</v>
      </c>
      <c r="J1280" s="3" t="s">
        <v>64</v>
      </c>
      <c r="K1280" s="3" t="s">
        <v>65</v>
      </c>
      <c r="L1280" s="2" t="s">
        <v>12839</v>
      </c>
      <c r="M1280" s="2" t="s">
        <v>12840</v>
      </c>
      <c r="N1280" s="3" t="s">
        <v>979</v>
      </c>
      <c r="P1280" s="3" t="s">
        <v>68</v>
      </c>
      <c r="R1280" s="3" t="s">
        <v>70</v>
      </c>
      <c r="S1280" s="4">
        <v>13</v>
      </c>
      <c r="T1280" s="4">
        <v>13</v>
      </c>
      <c r="U1280" s="5" t="s">
        <v>12841</v>
      </c>
      <c r="V1280" s="5" t="s">
        <v>12841</v>
      </c>
      <c r="W1280" s="5" t="s">
        <v>72</v>
      </c>
      <c r="X1280" s="5" t="s">
        <v>72</v>
      </c>
      <c r="Y1280" s="4">
        <v>39</v>
      </c>
      <c r="Z1280" s="4">
        <v>29</v>
      </c>
      <c r="AA1280" s="4">
        <v>36</v>
      </c>
      <c r="AB1280" s="4">
        <v>15</v>
      </c>
      <c r="AC1280" s="4">
        <v>16</v>
      </c>
      <c r="AD1280" s="4">
        <v>21</v>
      </c>
      <c r="AE1280" s="4">
        <v>27</v>
      </c>
      <c r="AF1280" s="4">
        <v>5</v>
      </c>
      <c r="AG1280" s="4">
        <v>5</v>
      </c>
      <c r="AH1280" s="4">
        <v>12</v>
      </c>
      <c r="AI1280" s="4">
        <v>14</v>
      </c>
      <c r="AJ1280" s="4">
        <v>15</v>
      </c>
      <c r="AK1280" s="4">
        <v>17</v>
      </c>
      <c r="AL1280" s="4">
        <v>4</v>
      </c>
      <c r="AM1280" s="4">
        <v>4</v>
      </c>
      <c r="AN1280" s="4">
        <v>0</v>
      </c>
      <c r="AO1280" s="4">
        <v>0</v>
      </c>
      <c r="AP1280" s="4">
        <v>13</v>
      </c>
      <c r="AQ1280" s="4">
        <v>18</v>
      </c>
      <c r="AR1280" s="3" t="s">
        <v>128</v>
      </c>
      <c r="AS1280" s="3" t="s">
        <v>64</v>
      </c>
      <c r="AT1280" s="3" t="s">
        <v>64</v>
      </c>
      <c r="AV1280" s="6" t="str">
        <f>HYPERLINK("http://mcgill.on.worldcat.org/oclc/45191010","Catalog Record")</f>
        <v>Catalog Record</v>
      </c>
      <c r="AW1280" s="6" t="str">
        <f>HYPERLINK("http://www.worldcat.org/oclc/45191010","WorldCat Record")</f>
        <v>WorldCat Record</v>
      </c>
      <c r="AX1280" s="3" t="s">
        <v>12842</v>
      </c>
      <c r="AY1280" s="3" t="s">
        <v>12843</v>
      </c>
      <c r="AZ1280" s="3" t="s">
        <v>12844</v>
      </c>
      <c r="BA1280" s="3" t="s">
        <v>12844</v>
      </c>
      <c r="BB1280" s="3" t="s">
        <v>12845</v>
      </c>
      <c r="BC1280" s="3" t="s">
        <v>77</v>
      </c>
      <c r="BD1280" s="3" t="s">
        <v>78</v>
      </c>
      <c r="BE1280" s="3" t="s">
        <v>12846</v>
      </c>
      <c r="BF1280" s="3" t="s">
        <v>12845</v>
      </c>
      <c r="BG1280" s="3" t="s">
        <v>12847</v>
      </c>
      <c r="BH1280">
        <f t="shared" si="39"/>
        <v>0</v>
      </c>
    </row>
    <row r="1281" spans="1:60" ht="58" x14ac:dyDescent="0.35">
      <c r="A1281" s="2" t="s">
        <v>59</v>
      </c>
      <c r="B1281" s="2" t="s">
        <v>60</v>
      </c>
      <c r="C1281" s="2" t="s">
        <v>12848</v>
      </c>
      <c r="D1281" s="2" t="s">
        <v>12849</v>
      </c>
      <c r="E1281" s="2" t="s">
        <v>12850</v>
      </c>
      <c r="G1281" s="3" t="s">
        <v>64</v>
      </c>
      <c r="I1281" s="3" t="s">
        <v>64</v>
      </c>
      <c r="J1281" s="3" t="s">
        <v>64</v>
      </c>
      <c r="K1281" s="3" t="s">
        <v>65</v>
      </c>
      <c r="L1281" s="2" t="s">
        <v>12851</v>
      </c>
      <c r="M1281" s="2" t="s">
        <v>12852</v>
      </c>
      <c r="N1281" s="3" t="s">
        <v>144</v>
      </c>
      <c r="P1281" s="3" t="s">
        <v>68</v>
      </c>
      <c r="Q1281" s="2" t="s">
        <v>12853</v>
      </c>
      <c r="R1281" s="3" t="s">
        <v>70</v>
      </c>
      <c r="S1281" s="4">
        <v>3</v>
      </c>
      <c r="T1281" s="4">
        <v>3</v>
      </c>
      <c r="U1281" s="5" t="s">
        <v>9593</v>
      </c>
      <c r="V1281" s="5" t="s">
        <v>9593</v>
      </c>
      <c r="W1281" s="5" t="s">
        <v>72</v>
      </c>
      <c r="X1281" s="5" t="s">
        <v>72</v>
      </c>
      <c r="Y1281" s="4">
        <v>24</v>
      </c>
      <c r="Z1281" s="4">
        <v>6</v>
      </c>
      <c r="AA1281" s="4">
        <v>13</v>
      </c>
      <c r="AB1281" s="4">
        <v>2</v>
      </c>
      <c r="AC1281" s="4">
        <v>7</v>
      </c>
      <c r="AD1281" s="4">
        <v>13</v>
      </c>
      <c r="AE1281" s="4">
        <v>20</v>
      </c>
      <c r="AF1281" s="4">
        <v>0</v>
      </c>
      <c r="AG1281" s="4">
        <v>4</v>
      </c>
      <c r="AH1281" s="4">
        <v>12</v>
      </c>
      <c r="AI1281" s="4">
        <v>15</v>
      </c>
      <c r="AJ1281" s="4">
        <v>3</v>
      </c>
      <c r="AK1281" s="4">
        <v>9</v>
      </c>
      <c r="AL1281" s="4">
        <v>10</v>
      </c>
      <c r="AM1281" s="4">
        <v>10</v>
      </c>
      <c r="AN1281" s="4">
        <v>0</v>
      </c>
      <c r="AO1281" s="4">
        <v>0</v>
      </c>
      <c r="AP1281" s="4">
        <v>3</v>
      </c>
      <c r="AQ1281" s="4">
        <v>7</v>
      </c>
      <c r="AR1281" s="3" t="s">
        <v>64</v>
      </c>
      <c r="AS1281" s="3" t="s">
        <v>64</v>
      </c>
      <c r="AT1281" s="3" t="s">
        <v>64</v>
      </c>
      <c r="AV1281" s="6" t="str">
        <f>HYPERLINK("http://mcgill.on.worldcat.org/oclc/234041099","Catalog Record")</f>
        <v>Catalog Record</v>
      </c>
      <c r="AW1281" s="6" t="str">
        <f>HYPERLINK("http://www.worldcat.org/oclc/234041099","WorldCat Record")</f>
        <v>WorldCat Record</v>
      </c>
      <c r="AX1281" s="3" t="s">
        <v>12854</v>
      </c>
      <c r="AY1281" s="3" t="s">
        <v>12855</v>
      </c>
      <c r="AZ1281" s="3" t="s">
        <v>12856</v>
      </c>
      <c r="BA1281" s="3" t="s">
        <v>12856</v>
      </c>
      <c r="BB1281" s="3" t="s">
        <v>12857</v>
      </c>
      <c r="BC1281" s="3" t="s">
        <v>77</v>
      </c>
      <c r="BD1281" s="3" t="s">
        <v>78</v>
      </c>
      <c r="BE1281" s="3" t="s">
        <v>12858</v>
      </c>
      <c r="BF1281" s="3" t="s">
        <v>12857</v>
      </c>
      <c r="BG1281" s="3" t="s">
        <v>12859</v>
      </c>
      <c r="BH1281">
        <f t="shared" si="39"/>
        <v>0</v>
      </c>
    </row>
    <row r="1282" spans="1:60" ht="58" x14ac:dyDescent="0.35">
      <c r="A1282" s="2" t="s">
        <v>59</v>
      </c>
      <c r="B1282" s="2" t="s">
        <v>60</v>
      </c>
      <c r="C1282" s="2" t="s">
        <v>12860</v>
      </c>
      <c r="D1282" s="2" t="s">
        <v>12861</v>
      </c>
      <c r="E1282" s="2" t="s">
        <v>12862</v>
      </c>
      <c r="G1282" s="3" t="s">
        <v>64</v>
      </c>
      <c r="I1282" s="3" t="s">
        <v>64</v>
      </c>
      <c r="J1282" s="3" t="s">
        <v>64</v>
      </c>
      <c r="K1282" s="3" t="s">
        <v>65</v>
      </c>
      <c r="M1282" s="2" t="s">
        <v>12863</v>
      </c>
      <c r="N1282" s="3" t="s">
        <v>116</v>
      </c>
      <c r="P1282" s="3" t="s">
        <v>102</v>
      </c>
      <c r="Q1282" s="2" t="s">
        <v>12864</v>
      </c>
      <c r="R1282" s="3" t="s">
        <v>70</v>
      </c>
      <c r="S1282" s="4">
        <v>1</v>
      </c>
      <c r="T1282" s="4">
        <v>1</v>
      </c>
      <c r="U1282" s="5" t="s">
        <v>12865</v>
      </c>
      <c r="V1282" s="5" t="s">
        <v>12865</v>
      </c>
      <c r="W1282" s="5" t="s">
        <v>72</v>
      </c>
      <c r="X1282" s="5" t="s">
        <v>72</v>
      </c>
      <c r="Y1282" s="4">
        <v>180</v>
      </c>
      <c r="Z1282" s="4">
        <v>8</v>
      </c>
      <c r="AA1282" s="4">
        <v>9</v>
      </c>
      <c r="AB1282" s="4">
        <v>2</v>
      </c>
      <c r="AC1282" s="4">
        <v>3</v>
      </c>
      <c r="AD1282" s="4">
        <v>57</v>
      </c>
      <c r="AE1282" s="4">
        <v>58</v>
      </c>
      <c r="AF1282" s="4">
        <v>0</v>
      </c>
      <c r="AG1282" s="4">
        <v>1</v>
      </c>
      <c r="AH1282" s="4">
        <v>53</v>
      </c>
      <c r="AI1282" s="4">
        <v>53</v>
      </c>
      <c r="AJ1282" s="4">
        <v>5</v>
      </c>
      <c r="AK1282" s="4">
        <v>6</v>
      </c>
      <c r="AL1282" s="4">
        <v>31</v>
      </c>
      <c r="AM1282" s="4">
        <v>31</v>
      </c>
      <c r="AN1282" s="4">
        <v>0</v>
      </c>
      <c r="AO1282" s="4">
        <v>0</v>
      </c>
      <c r="AP1282" s="4">
        <v>6</v>
      </c>
      <c r="AQ1282" s="4">
        <v>7</v>
      </c>
      <c r="AR1282" s="3" t="s">
        <v>64</v>
      </c>
      <c r="AS1282" s="3" t="s">
        <v>64</v>
      </c>
      <c r="AT1282" s="3" t="s">
        <v>64</v>
      </c>
      <c r="AV1282" s="6" t="str">
        <f>HYPERLINK("http://mcgill.on.worldcat.org/oclc/48968227","Catalog Record")</f>
        <v>Catalog Record</v>
      </c>
      <c r="AW1282" s="6" t="str">
        <f>HYPERLINK("http://www.worldcat.org/oclc/48968227","WorldCat Record")</f>
        <v>WorldCat Record</v>
      </c>
      <c r="AX1282" s="3" t="s">
        <v>12866</v>
      </c>
      <c r="AY1282" s="3" t="s">
        <v>12867</v>
      </c>
      <c r="AZ1282" s="3" t="s">
        <v>12868</v>
      </c>
      <c r="BA1282" s="3" t="s">
        <v>12868</v>
      </c>
      <c r="BB1282" s="3" t="s">
        <v>12869</v>
      </c>
      <c r="BC1282" s="3" t="s">
        <v>77</v>
      </c>
      <c r="BD1282" s="3" t="s">
        <v>78</v>
      </c>
      <c r="BE1282" s="3" t="s">
        <v>12870</v>
      </c>
      <c r="BF1282" s="3" t="s">
        <v>12869</v>
      </c>
      <c r="BG1282" s="3" t="s">
        <v>12871</v>
      </c>
      <c r="BH1282">
        <f t="shared" ref="BH1282:BH1345" si="40">IF(COUNTIF($BF$1:$BF$5431,BF1282)=1,0,1)</f>
        <v>0</v>
      </c>
    </row>
    <row r="1283" spans="1:60" ht="58" x14ac:dyDescent="0.35">
      <c r="A1283" s="2" t="s">
        <v>59</v>
      </c>
      <c r="B1283" s="2" t="s">
        <v>60</v>
      </c>
      <c r="C1283" s="2" t="s">
        <v>12872</v>
      </c>
      <c r="D1283" s="2" t="s">
        <v>12873</v>
      </c>
      <c r="E1283" s="2" t="s">
        <v>12874</v>
      </c>
      <c r="G1283" s="3" t="s">
        <v>64</v>
      </c>
      <c r="I1283" s="3" t="s">
        <v>64</v>
      </c>
      <c r="J1283" s="3" t="s">
        <v>64</v>
      </c>
      <c r="K1283" s="3" t="s">
        <v>65</v>
      </c>
      <c r="M1283" s="2" t="s">
        <v>12875</v>
      </c>
      <c r="N1283" s="3" t="s">
        <v>171</v>
      </c>
      <c r="P1283" s="3" t="s">
        <v>102</v>
      </c>
      <c r="Q1283" s="2" t="s">
        <v>12864</v>
      </c>
      <c r="R1283" s="3" t="s">
        <v>70</v>
      </c>
      <c r="S1283" s="4">
        <v>2</v>
      </c>
      <c r="T1283" s="4">
        <v>2</v>
      </c>
      <c r="U1283" s="5" t="s">
        <v>12865</v>
      </c>
      <c r="V1283" s="5" t="s">
        <v>12865</v>
      </c>
      <c r="W1283" s="5" t="s">
        <v>72</v>
      </c>
      <c r="X1283" s="5" t="s">
        <v>72</v>
      </c>
      <c r="Y1283" s="4">
        <v>134</v>
      </c>
      <c r="Z1283" s="4">
        <v>8</v>
      </c>
      <c r="AA1283" s="4">
        <v>52</v>
      </c>
      <c r="AB1283" s="4">
        <v>2</v>
      </c>
      <c r="AC1283" s="4">
        <v>8</v>
      </c>
      <c r="AD1283" s="4">
        <v>39</v>
      </c>
      <c r="AE1283" s="4">
        <v>76</v>
      </c>
      <c r="AF1283" s="4">
        <v>0</v>
      </c>
      <c r="AG1283" s="4">
        <v>1</v>
      </c>
      <c r="AH1283" s="4">
        <v>34</v>
      </c>
      <c r="AI1283" s="4">
        <v>58</v>
      </c>
      <c r="AJ1283" s="4">
        <v>4</v>
      </c>
      <c r="AK1283" s="4">
        <v>9</v>
      </c>
      <c r="AL1283" s="4">
        <v>24</v>
      </c>
      <c r="AM1283" s="4">
        <v>36</v>
      </c>
      <c r="AN1283" s="4">
        <v>0</v>
      </c>
      <c r="AO1283" s="4">
        <v>0</v>
      </c>
      <c r="AP1283" s="4">
        <v>6</v>
      </c>
      <c r="AQ1283" s="4">
        <v>19</v>
      </c>
      <c r="AR1283" s="3" t="s">
        <v>64</v>
      </c>
      <c r="AS1283" s="3" t="s">
        <v>64</v>
      </c>
      <c r="AT1283" s="3" t="s">
        <v>64</v>
      </c>
      <c r="AV1283" s="6" t="str">
        <f>HYPERLINK("http://mcgill.on.worldcat.org/oclc/70818980","Catalog Record")</f>
        <v>Catalog Record</v>
      </c>
      <c r="AW1283" s="6" t="str">
        <f>HYPERLINK("http://www.worldcat.org/oclc/70818980","WorldCat Record")</f>
        <v>WorldCat Record</v>
      </c>
      <c r="AX1283" s="3" t="s">
        <v>12876</v>
      </c>
      <c r="AY1283" s="3" t="s">
        <v>12877</v>
      </c>
      <c r="AZ1283" s="3" t="s">
        <v>12878</v>
      </c>
      <c r="BA1283" s="3" t="s">
        <v>12878</v>
      </c>
      <c r="BB1283" s="3" t="s">
        <v>12879</v>
      </c>
      <c r="BC1283" s="3" t="s">
        <v>77</v>
      </c>
      <c r="BD1283" s="3" t="s">
        <v>78</v>
      </c>
      <c r="BE1283" s="3" t="s">
        <v>12880</v>
      </c>
      <c r="BF1283" s="3" t="s">
        <v>12879</v>
      </c>
      <c r="BG1283" s="3" t="s">
        <v>12881</v>
      </c>
      <c r="BH1283">
        <f t="shared" si="40"/>
        <v>0</v>
      </c>
    </row>
    <row r="1284" spans="1:60" ht="58" x14ac:dyDescent="0.35">
      <c r="A1284" s="2" t="s">
        <v>59</v>
      </c>
      <c r="B1284" s="2" t="s">
        <v>60</v>
      </c>
      <c r="C1284" s="2" t="s">
        <v>12882</v>
      </c>
      <c r="D1284" s="2" t="s">
        <v>12883</v>
      </c>
      <c r="E1284" s="2" t="s">
        <v>12884</v>
      </c>
      <c r="G1284" s="3" t="s">
        <v>64</v>
      </c>
      <c r="I1284" s="3" t="s">
        <v>64</v>
      </c>
      <c r="J1284" s="3" t="s">
        <v>64</v>
      </c>
      <c r="K1284" s="3" t="s">
        <v>65</v>
      </c>
      <c r="L1284" s="2" t="s">
        <v>12885</v>
      </c>
      <c r="M1284" s="2" t="s">
        <v>12886</v>
      </c>
      <c r="N1284" s="3" t="s">
        <v>12887</v>
      </c>
      <c r="P1284" s="3" t="s">
        <v>102</v>
      </c>
      <c r="R1284" s="3" t="s">
        <v>70</v>
      </c>
      <c r="S1284" s="4">
        <v>1</v>
      </c>
      <c r="T1284" s="4">
        <v>1</v>
      </c>
      <c r="U1284" s="5" t="s">
        <v>12888</v>
      </c>
      <c r="V1284" s="5" t="s">
        <v>12888</v>
      </c>
      <c r="W1284" s="5" t="s">
        <v>72</v>
      </c>
      <c r="X1284" s="5" t="s">
        <v>72</v>
      </c>
      <c r="Y1284" s="4">
        <v>10</v>
      </c>
      <c r="Z1284" s="4">
        <v>2</v>
      </c>
      <c r="AA1284" s="4">
        <v>12</v>
      </c>
      <c r="AB1284" s="4">
        <v>1</v>
      </c>
      <c r="AC1284" s="4">
        <v>1</v>
      </c>
      <c r="AD1284" s="4">
        <v>3</v>
      </c>
      <c r="AE1284" s="4">
        <v>42</v>
      </c>
      <c r="AF1284" s="4">
        <v>0</v>
      </c>
      <c r="AG1284" s="4">
        <v>0</v>
      </c>
      <c r="AH1284" s="4">
        <v>3</v>
      </c>
      <c r="AI1284" s="4">
        <v>39</v>
      </c>
      <c r="AJ1284" s="4">
        <v>1</v>
      </c>
      <c r="AK1284" s="4">
        <v>5</v>
      </c>
      <c r="AL1284" s="4">
        <v>1</v>
      </c>
      <c r="AM1284" s="4">
        <v>28</v>
      </c>
      <c r="AN1284" s="4">
        <v>0</v>
      </c>
      <c r="AO1284" s="4">
        <v>5</v>
      </c>
      <c r="AP1284" s="4">
        <v>1</v>
      </c>
      <c r="AQ1284" s="4">
        <v>6</v>
      </c>
      <c r="AR1284" s="3" t="s">
        <v>64</v>
      </c>
      <c r="AS1284" s="3" t="s">
        <v>64</v>
      </c>
      <c r="AT1284" s="3" t="s">
        <v>128</v>
      </c>
      <c r="AU1284" s="6" t="str">
        <f>HYPERLINK("http://catalog.hathitrust.org/Record/001517957","HathiTrust Record")</f>
        <v>HathiTrust Record</v>
      </c>
      <c r="AV1284" s="6" t="str">
        <f>HYPERLINK("http://mcgill.on.worldcat.org/oclc/427209712","Catalog Record")</f>
        <v>Catalog Record</v>
      </c>
      <c r="AW1284" s="6" t="str">
        <f>HYPERLINK("http://www.worldcat.org/oclc/427209712","WorldCat Record")</f>
        <v>WorldCat Record</v>
      </c>
      <c r="AX1284" s="3" t="s">
        <v>12889</v>
      </c>
      <c r="AY1284" s="3" t="s">
        <v>12890</v>
      </c>
      <c r="AZ1284" s="3" t="s">
        <v>12891</v>
      </c>
      <c r="BA1284" s="3" t="s">
        <v>12891</v>
      </c>
      <c r="BB1284" s="3" t="s">
        <v>12892</v>
      </c>
      <c r="BC1284" s="3" t="s">
        <v>77</v>
      </c>
      <c r="BD1284" s="3" t="s">
        <v>78</v>
      </c>
      <c r="BF1284" s="3" t="s">
        <v>12892</v>
      </c>
      <c r="BG1284" s="3" t="s">
        <v>12893</v>
      </c>
      <c r="BH1284">
        <f t="shared" si="40"/>
        <v>0</v>
      </c>
    </row>
    <row r="1285" spans="1:60" ht="58" x14ac:dyDescent="0.35">
      <c r="A1285" s="2" t="s">
        <v>59</v>
      </c>
      <c r="B1285" s="2" t="s">
        <v>60</v>
      </c>
      <c r="C1285" s="2" t="s">
        <v>12894</v>
      </c>
      <c r="D1285" s="2" t="s">
        <v>12895</v>
      </c>
      <c r="E1285" s="2" t="s">
        <v>12896</v>
      </c>
      <c r="G1285" s="3" t="s">
        <v>64</v>
      </c>
      <c r="I1285" s="3" t="s">
        <v>64</v>
      </c>
      <c r="J1285" s="3" t="s">
        <v>64</v>
      </c>
      <c r="K1285" s="3" t="s">
        <v>65</v>
      </c>
      <c r="L1285" s="2" t="s">
        <v>12897</v>
      </c>
      <c r="M1285" s="2" t="s">
        <v>12898</v>
      </c>
      <c r="N1285" s="3" t="s">
        <v>1275</v>
      </c>
      <c r="P1285" s="3" t="s">
        <v>102</v>
      </c>
      <c r="Q1285" s="2" t="s">
        <v>565</v>
      </c>
      <c r="R1285" s="3" t="s">
        <v>70</v>
      </c>
      <c r="S1285" s="4">
        <v>11</v>
      </c>
      <c r="T1285" s="4">
        <v>11</v>
      </c>
      <c r="U1285" s="5" t="s">
        <v>11685</v>
      </c>
      <c r="V1285" s="5" t="s">
        <v>11685</v>
      </c>
      <c r="W1285" s="5" t="s">
        <v>3035</v>
      </c>
      <c r="X1285" s="5" t="s">
        <v>3035</v>
      </c>
      <c r="Y1285" s="4">
        <v>355</v>
      </c>
      <c r="Z1285" s="4">
        <v>48</v>
      </c>
      <c r="AA1285" s="4">
        <v>81</v>
      </c>
      <c r="AB1285" s="4">
        <v>2</v>
      </c>
      <c r="AC1285" s="4">
        <v>11</v>
      </c>
      <c r="AD1285" s="4">
        <v>129</v>
      </c>
      <c r="AE1285" s="4">
        <v>148</v>
      </c>
      <c r="AF1285" s="4">
        <v>1</v>
      </c>
      <c r="AG1285" s="4">
        <v>4</v>
      </c>
      <c r="AH1285" s="4">
        <v>100</v>
      </c>
      <c r="AI1285" s="4">
        <v>108</v>
      </c>
      <c r="AJ1285" s="4">
        <v>22</v>
      </c>
      <c r="AK1285" s="4">
        <v>26</v>
      </c>
      <c r="AL1285" s="4">
        <v>56</v>
      </c>
      <c r="AM1285" s="4">
        <v>57</v>
      </c>
      <c r="AN1285" s="4">
        <v>0</v>
      </c>
      <c r="AO1285" s="4">
        <v>0</v>
      </c>
      <c r="AP1285" s="4">
        <v>35</v>
      </c>
      <c r="AQ1285" s="4">
        <v>47</v>
      </c>
      <c r="AR1285" s="3" t="s">
        <v>128</v>
      </c>
      <c r="AS1285" s="3" t="s">
        <v>64</v>
      </c>
      <c r="AT1285" s="3" t="s">
        <v>64</v>
      </c>
      <c r="AV1285" s="6" t="str">
        <f>HYPERLINK("http://mcgill.on.worldcat.org/oclc/52574776","Catalog Record")</f>
        <v>Catalog Record</v>
      </c>
      <c r="AW1285" s="6" t="str">
        <f>HYPERLINK("http://www.worldcat.org/oclc/52574776","WorldCat Record")</f>
        <v>WorldCat Record</v>
      </c>
      <c r="AX1285" s="3" t="s">
        <v>12899</v>
      </c>
      <c r="AY1285" s="3" t="s">
        <v>12900</v>
      </c>
      <c r="AZ1285" s="3" t="s">
        <v>12901</v>
      </c>
      <c r="BA1285" s="3" t="s">
        <v>12901</v>
      </c>
      <c r="BB1285" s="3" t="s">
        <v>12902</v>
      </c>
      <c r="BC1285" s="3" t="s">
        <v>77</v>
      </c>
      <c r="BD1285" s="3" t="s">
        <v>78</v>
      </c>
      <c r="BE1285" s="3" t="s">
        <v>12903</v>
      </c>
      <c r="BF1285" s="3" t="s">
        <v>12902</v>
      </c>
      <c r="BG1285" s="3" t="s">
        <v>12904</v>
      </c>
      <c r="BH1285">
        <f t="shared" si="40"/>
        <v>0</v>
      </c>
    </row>
    <row r="1286" spans="1:60" ht="58" x14ac:dyDescent="0.35">
      <c r="A1286" s="2" t="s">
        <v>59</v>
      </c>
      <c r="B1286" s="2" t="s">
        <v>60</v>
      </c>
      <c r="C1286" s="2" t="s">
        <v>12905</v>
      </c>
      <c r="D1286" s="2" t="s">
        <v>12906</v>
      </c>
      <c r="E1286" s="2" t="s">
        <v>12907</v>
      </c>
      <c r="G1286" s="3" t="s">
        <v>64</v>
      </c>
      <c r="I1286" s="3" t="s">
        <v>128</v>
      </c>
      <c r="J1286" s="3" t="s">
        <v>64</v>
      </c>
      <c r="K1286" s="3" t="s">
        <v>65</v>
      </c>
      <c r="L1286" s="2" t="s">
        <v>12908</v>
      </c>
      <c r="M1286" s="2" t="s">
        <v>12909</v>
      </c>
      <c r="N1286" s="3" t="s">
        <v>315</v>
      </c>
      <c r="O1286" s="2" t="s">
        <v>12910</v>
      </c>
      <c r="P1286" s="3" t="s">
        <v>102</v>
      </c>
      <c r="R1286" s="3" t="s">
        <v>70</v>
      </c>
      <c r="S1286" s="4">
        <v>0</v>
      </c>
      <c r="T1286" s="4">
        <v>1</v>
      </c>
      <c r="V1286" s="5" t="s">
        <v>12911</v>
      </c>
      <c r="W1286" s="5" t="s">
        <v>72</v>
      </c>
      <c r="X1286" s="5" t="s">
        <v>72</v>
      </c>
      <c r="Y1286" s="4">
        <v>410</v>
      </c>
      <c r="Z1286" s="4">
        <v>19</v>
      </c>
      <c r="AA1286" s="4">
        <v>44</v>
      </c>
      <c r="AB1286" s="4">
        <v>1</v>
      </c>
      <c r="AC1286" s="4">
        <v>9</v>
      </c>
      <c r="AD1286" s="4">
        <v>102</v>
      </c>
      <c r="AE1286" s="4">
        <v>135</v>
      </c>
      <c r="AF1286" s="4">
        <v>0</v>
      </c>
      <c r="AG1286" s="4">
        <v>4</v>
      </c>
      <c r="AH1286" s="4">
        <v>90</v>
      </c>
      <c r="AI1286" s="4">
        <v>113</v>
      </c>
      <c r="AJ1286" s="4">
        <v>12</v>
      </c>
      <c r="AK1286" s="4">
        <v>23</v>
      </c>
      <c r="AL1286" s="4">
        <v>52</v>
      </c>
      <c r="AM1286" s="4">
        <v>61</v>
      </c>
      <c r="AN1286" s="4">
        <v>0</v>
      </c>
      <c r="AO1286" s="4">
        <v>0</v>
      </c>
      <c r="AP1286" s="4">
        <v>15</v>
      </c>
      <c r="AQ1286" s="4">
        <v>28</v>
      </c>
      <c r="AR1286" s="3" t="s">
        <v>64</v>
      </c>
      <c r="AS1286" s="3" t="s">
        <v>64</v>
      </c>
      <c r="AT1286" s="3" t="s">
        <v>128</v>
      </c>
      <c r="AU1286" s="6" t="str">
        <f>HYPERLINK("http://catalog.hathitrust.org/Record/001175650","HathiTrust Record")</f>
        <v>HathiTrust Record</v>
      </c>
      <c r="AV1286" s="6" t="str">
        <f>HYPERLINK("http://mcgill.on.worldcat.org/oclc/38168","Catalog Record")</f>
        <v>Catalog Record</v>
      </c>
      <c r="AW1286" s="6" t="str">
        <f>HYPERLINK("http://www.worldcat.org/oclc/38168","WorldCat Record")</f>
        <v>WorldCat Record</v>
      </c>
      <c r="AX1286" s="3" t="s">
        <v>12912</v>
      </c>
      <c r="AY1286" s="3" t="s">
        <v>12913</v>
      </c>
      <c r="AZ1286" s="3" t="s">
        <v>12914</v>
      </c>
      <c r="BA1286" s="3" t="s">
        <v>12914</v>
      </c>
      <c r="BB1286" s="3" t="s">
        <v>12915</v>
      </c>
      <c r="BC1286" s="3" t="s">
        <v>77</v>
      </c>
      <c r="BD1286" s="3" t="s">
        <v>78</v>
      </c>
      <c r="BF1286" s="3" t="s">
        <v>12915</v>
      </c>
      <c r="BG1286" s="3" t="s">
        <v>12916</v>
      </c>
      <c r="BH1286">
        <f t="shared" si="40"/>
        <v>0</v>
      </c>
    </row>
    <row r="1287" spans="1:60" ht="58" x14ac:dyDescent="0.35">
      <c r="A1287" s="2" t="s">
        <v>59</v>
      </c>
      <c r="B1287" s="2" t="s">
        <v>60</v>
      </c>
      <c r="C1287" s="2" t="s">
        <v>12917</v>
      </c>
      <c r="D1287" s="2" t="s">
        <v>12918</v>
      </c>
      <c r="E1287" s="2" t="s">
        <v>12919</v>
      </c>
      <c r="F1287" s="3" t="s">
        <v>478</v>
      </c>
      <c r="G1287" s="3" t="s">
        <v>128</v>
      </c>
      <c r="I1287" s="3" t="s">
        <v>128</v>
      </c>
      <c r="J1287" s="3" t="s">
        <v>64</v>
      </c>
      <c r="K1287" s="3" t="s">
        <v>65</v>
      </c>
      <c r="L1287" s="2" t="s">
        <v>12920</v>
      </c>
      <c r="M1287" s="2" t="s">
        <v>12921</v>
      </c>
      <c r="N1287" s="3" t="s">
        <v>7204</v>
      </c>
      <c r="P1287" s="3" t="s">
        <v>102</v>
      </c>
      <c r="Q1287" s="2" t="s">
        <v>12922</v>
      </c>
      <c r="R1287" s="3" t="s">
        <v>70</v>
      </c>
      <c r="S1287" s="4">
        <v>2</v>
      </c>
      <c r="T1287" s="4">
        <v>3</v>
      </c>
      <c r="U1287" s="5" t="s">
        <v>12888</v>
      </c>
      <c r="V1287" s="5" t="s">
        <v>12888</v>
      </c>
      <c r="W1287" s="5" t="s">
        <v>72</v>
      </c>
      <c r="X1287" s="5" t="s">
        <v>72</v>
      </c>
      <c r="Y1287" s="4">
        <v>251</v>
      </c>
      <c r="Z1287" s="4">
        <v>12</v>
      </c>
      <c r="AA1287" s="4">
        <v>12</v>
      </c>
      <c r="AB1287" s="4">
        <v>1</v>
      </c>
      <c r="AC1287" s="4">
        <v>1</v>
      </c>
      <c r="AD1287" s="4">
        <v>83</v>
      </c>
      <c r="AE1287" s="4">
        <v>83</v>
      </c>
      <c r="AF1287" s="4">
        <v>0</v>
      </c>
      <c r="AG1287" s="4">
        <v>0</v>
      </c>
      <c r="AH1287" s="4">
        <v>75</v>
      </c>
      <c r="AI1287" s="4">
        <v>75</v>
      </c>
      <c r="AJ1287" s="4">
        <v>7</v>
      </c>
      <c r="AK1287" s="4">
        <v>7</v>
      </c>
      <c r="AL1287" s="4">
        <v>49</v>
      </c>
      <c r="AM1287" s="4">
        <v>49</v>
      </c>
      <c r="AN1287" s="4">
        <v>0</v>
      </c>
      <c r="AO1287" s="4">
        <v>0</v>
      </c>
      <c r="AP1287" s="4">
        <v>7</v>
      </c>
      <c r="AQ1287" s="4">
        <v>7</v>
      </c>
      <c r="AR1287" s="3" t="s">
        <v>64</v>
      </c>
      <c r="AS1287" s="3" t="s">
        <v>64</v>
      </c>
      <c r="AT1287" s="3" t="s">
        <v>128</v>
      </c>
      <c r="AU1287" s="6" t="str">
        <f>HYPERLINK("http://catalog.hathitrust.org/Record/006680080","HathiTrust Record")</f>
        <v>HathiTrust Record</v>
      </c>
      <c r="AV1287" s="6" t="str">
        <f>HYPERLINK("http://mcgill.on.worldcat.org/oclc/570118","Catalog Record")</f>
        <v>Catalog Record</v>
      </c>
      <c r="AW1287" s="6" t="str">
        <f>HYPERLINK("http://www.worldcat.org/oclc/570118","WorldCat Record")</f>
        <v>WorldCat Record</v>
      </c>
      <c r="AX1287" s="3" t="s">
        <v>12923</v>
      </c>
      <c r="AY1287" s="3" t="s">
        <v>12924</v>
      </c>
      <c r="AZ1287" s="3" t="s">
        <v>12925</v>
      </c>
      <c r="BA1287" s="3" t="s">
        <v>12925</v>
      </c>
      <c r="BB1287" s="3" t="s">
        <v>12926</v>
      </c>
      <c r="BC1287" s="3" t="s">
        <v>77</v>
      </c>
      <c r="BD1287" s="3" t="s">
        <v>78</v>
      </c>
      <c r="BF1287" s="3" t="s">
        <v>12926</v>
      </c>
      <c r="BG1287" s="3" t="s">
        <v>12927</v>
      </c>
      <c r="BH1287">
        <f t="shared" si="40"/>
        <v>0</v>
      </c>
    </row>
    <row r="1288" spans="1:60" ht="58" x14ac:dyDescent="0.35">
      <c r="A1288" s="2" t="s">
        <v>59</v>
      </c>
      <c r="B1288" s="2" t="s">
        <v>60</v>
      </c>
      <c r="C1288" s="2" t="s">
        <v>12917</v>
      </c>
      <c r="D1288" s="2" t="s">
        <v>12918</v>
      </c>
      <c r="E1288" s="2" t="s">
        <v>12919</v>
      </c>
      <c r="F1288" s="3" t="s">
        <v>489</v>
      </c>
      <c r="G1288" s="3" t="s">
        <v>128</v>
      </c>
      <c r="I1288" s="3" t="s">
        <v>128</v>
      </c>
      <c r="J1288" s="3" t="s">
        <v>64</v>
      </c>
      <c r="K1288" s="3" t="s">
        <v>65</v>
      </c>
      <c r="L1288" s="2" t="s">
        <v>12920</v>
      </c>
      <c r="M1288" s="2" t="s">
        <v>12921</v>
      </c>
      <c r="N1288" s="3" t="s">
        <v>7204</v>
      </c>
      <c r="P1288" s="3" t="s">
        <v>102</v>
      </c>
      <c r="Q1288" s="2" t="s">
        <v>12922</v>
      </c>
      <c r="R1288" s="3" t="s">
        <v>70</v>
      </c>
      <c r="S1288" s="4">
        <v>1</v>
      </c>
      <c r="T1288" s="4">
        <v>3</v>
      </c>
      <c r="U1288" s="5" t="s">
        <v>12928</v>
      </c>
      <c r="V1288" s="5" t="s">
        <v>12888</v>
      </c>
      <c r="W1288" s="5" t="s">
        <v>72</v>
      </c>
      <c r="X1288" s="5" t="s">
        <v>72</v>
      </c>
      <c r="Y1288" s="4">
        <v>251</v>
      </c>
      <c r="Z1288" s="4">
        <v>12</v>
      </c>
      <c r="AA1288" s="4">
        <v>12</v>
      </c>
      <c r="AB1288" s="4">
        <v>1</v>
      </c>
      <c r="AC1288" s="4">
        <v>1</v>
      </c>
      <c r="AD1288" s="4">
        <v>83</v>
      </c>
      <c r="AE1288" s="4">
        <v>83</v>
      </c>
      <c r="AF1288" s="4">
        <v>0</v>
      </c>
      <c r="AG1288" s="4">
        <v>0</v>
      </c>
      <c r="AH1288" s="4">
        <v>75</v>
      </c>
      <c r="AI1288" s="4">
        <v>75</v>
      </c>
      <c r="AJ1288" s="4">
        <v>7</v>
      </c>
      <c r="AK1288" s="4">
        <v>7</v>
      </c>
      <c r="AL1288" s="4">
        <v>49</v>
      </c>
      <c r="AM1288" s="4">
        <v>49</v>
      </c>
      <c r="AN1288" s="4">
        <v>0</v>
      </c>
      <c r="AO1288" s="4">
        <v>0</v>
      </c>
      <c r="AP1288" s="4">
        <v>7</v>
      </c>
      <c r="AQ1288" s="4">
        <v>7</v>
      </c>
      <c r="AR1288" s="3" t="s">
        <v>64</v>
      </c>
      <c r="AS1288" s="3" t="s">
        <v>64</v>
      </c>
      <c r="AT1288" s="3" t="s">
        <v>128</v>
      </c>
      <c r="AU1288" s="6" t="str">
        <f>HYPERLINK("http://catalog.hathitrust.org/Record/006680080","HathiTrust Record")</f>
        <v>HathiTrust Record</v>
      </c>
      <c r="AV1288" s="6" t="str">
        <f>HYPERLINK("http://mcgill.on.worldcat.org/oclc/570118","Catalog Record")</f>
        <v>Catalog Record</v>
      </c>
      <c r="AW1288" s="6" t="str">
        <f>HYPERLINK("http://www.worldcat.org/oclc/570118","WorldCat Record")</f>
        <v>WorldCat Record</v>
      </c>
      <c r="AX1288" s="3" t="s">
        <v>12923</v>
      </c>
      <c r="AY1288" s="3" t="s">
        <v>12924</v>
      </c>
      <c r="AZ1288" s="3" t="s">
        <v>12925</v>
      </c>
      <c r="BA1288" s="3" t="s">
        <v>12925</v>
      </c>
      <c r="BB1288" s="3" t="s">
        <v>12929</v>
      </c>
      <c r="BC1288" s="3" t="s">
        <v>77</v>
      </c>
      <c r="BD1288" s="3" t="s">
        <v>78</v>
      </c>
      <c r="BF1288" s="3" t="s">
        <v>12929</v>
      </c>
      <c r="BG1288" s="3" t="s">
        <v>12930</v>
      </c>
      <c r="BH1288">
        <f t="shared" si="40"/>
        <v>0</v>
      </c>
    </row>
    <row r="1289" spans="1:60" ht="58" x14ac:dyDescent="0.35">
      <c r="A1289" s="2" t="s">
        <v>59</v>
      </c>
      <c r="B1289" s="2" t="s">
        <v>60</v>
      </c>
      <c r="C1289" s="2" t="s">
        <v>12931</v>
      </c>
      <c r="D1289" s="2" t="s">
        <v>12932</v>
      </c>
      <c r="E1289" s="2" t="s">
        <v>12907</v>
      </c>
      <c r="G1289" s="3" t="s">
        <v>64</v>
      </c>
      <c r="I1289" s="3" t="s">
        <v>128</v>
      </c>
      <c r="J1289" s="3" t="s">
        <v>64</v>
      </c>
      <c r="K1289" s="3" t="s">
        <v>65</v>
      </c>
      <c r="L1289" s="2" t="s">
        <v>12908</v>
      </c>
      <c r="M1289" s="2" t="s">
        <v>12909</v>
      </c>
      <c r="N1289" s="3" t="s">
        <v>315</v>
      </c>
      <c r="O1289" s="2" t="s">
        <v>12910</v>
      </c>
      <c r="P1289" s="3" t="s">
        <v>102</v>
      </c>
      <c r="R1289" s="3" t="s">
        <v>70</v>
      </c>
      <c r="S1289" s="4">
        <v>1</v>
      </c>
      <c r="T1289" s="4">
        <v>1</v>
      </c>
      <c r="U1289" s="5" t="s">
        <v>12911</v>
      </c>
      <c r="V1289" s="5" t="s">
        <v>12911</v>
      </c>
      <c r="W1289" s="5" t="s">
        <v>72</v>
      </c>
      <c r="X1289" s="5" t="s">
        <v>72</v>
      </c>
      <c r="Y1289" s="4">
        <v>410</v>
      </c>
      <c r="Z1289" s="4">
        <v>19</v>
      </c>
      <c r="AA1289" s="4">
        <v>44</v>
      </c>
      <c r="AB1289" s="4">
        <v>1</v>
      </c>
      <c r="AC1289" s="4">
        <v>9</v>
      </c>
      <c r="AD1289" s="4">
        <v>102</v>
      </c>
      <c r="AE1289" s="4">
        <v>135</v>
      </c>
      <c r="AF1289" s="4">
        <v>0</v>
      </c>
      <c r="AG1289" s="4">
        <v>4</v>
      </c>
      <c r="AH1289" s="4">
        <v>90</v>
      </c>
      <c r="AI1289" s="4">
        <v>113</v>
      </c>
      <c r="AJ1289" s="4">
        <v>12</v>
      </c>
      <c r="AK1289" s="4">
        <v>23</v>
      </c>
      <c r="AL1289" s="4">
        <v>52</v>
      </c>
      <c r="AM1289" s="4">
        <v>61</v>
      </c>
      <c r="AN1289" s="4">
        <v>0</v>
      </c>
      <c r="AO1289" s="4">
        <v>0</v>
      </c>
      <c r="AP1289" s="4">
        <v>15</v>
      </c>
      <c r="AQ1289" s="4">
        <v>28</v>
      </c>
      <c r="AR1289" s="3" t="s">
        <v>64</v>
      </c>
      <c r="AS1289" s="3" t="s">
        <v>64</v>
      </c>
      <c r="AT1289" s="3" t="s">
        <v>128</v>
      </c>
      <c r="AU1289" s="6" t="str">
        <f>HYPERLINK("http://catalog.hathitrust.org/Record/001175650","HathiTrust Record")</f>
        <v>HathiTrust Record</v>
      </c>
      <c r="AV1289" s="6" t="str">
        <f>HYPERLINK("http://mcgill.on.worldcat.org/oclc/38168","Catalog Record")</f>
        <v>Catalog Record</v>
      </c>
      <c r="AW1289" s="6" t="str">
        <f>HYPERLINK("http://www.worldcat.org/oclc/38168","WorldCat Record")</f>
        <v>WorldCat Record</v>
      </c>
      <c r="AX1289" s="3" t="s">
        <v>12912</v>
      </c>
      <c r="AY1289" s="3" t="s">
        <v>12913</v>
      </c>
      <c r="AZ1289" s="3" t="s">
        <v>12914</v>
      </c>
      <c r="BA1289" s="3" t="s">
        <v>12914</v>
      </c>
      <c r="BB1289" s="3" t="s">
        <v>12933</v>
      </c>
      <c r="BC1289" s="3" t="s">
        <v>77</v>
      </c>
      <c r="BD1289" s="3" t="s">
        <v>78</v>
      </c>
      <c r="BF1289" s="3" t="s">
        <v>12933</v>
      </c>
      <c r="BG1289" s="3" t="s">
        <v>12934</v>
      </c>
      <c r="BH1289">
        <f t="shared" si="40"/>
        <v>0</v>
      </c>
    </row>
    <row r="1290" spans="1:60" ht="58" x14ac:dyDescent="0.35">
      <c r="A1290" s="2" t="s">
        <v>59</v>
      </c>
      <c r="B1290" s="2" t="s">
        <v>60</v>
      </c>
      <c r="C1290" s="2" t="s">
        <v>12935</v>
      </c>
      <c r="D1290" s="2" t="s">
        <v>12936</v>
      </c>
      <c r="E1290" s="2" t="s">
        <v>12937</v>
      </c>
      <c r="G1290" s="3" t="s">
        <v>64</v>
      </c>
      <c r="I1290" s="3" t="s">
        <v>128</v>
      </c>
      <c r="J1290" s="3" t="s">
        <v>64</v>
      </c>
      <c r="K1290" s="3" t="s">
        <v>65</v>
      </c>
      <c r="M1290" s="2" t="s">
        <v>12938</v>
      </c>
      <c r="N1290" s="3" t="s">
        <v>1763</v>
      </c>
      <c r="P1290" s="3" t="s">
        <v>102</v>
      </c>
      <c r="R1290" s="3" t="s">
        <v>70</v>
      </c>
      <c r="S1290" s="4">
        <v>0</v>
      </c>
      <c r="T1290" s="4">
        <v>16</v>
      </c>
      <c r="V1290" s="5" t="s">
        <v>12939</v>
      </c>
      <c r="W1290" s="5" t="s">
        <v>72</v>
      </c>
      <c r="X1290" s="5" t="s">
        <v>72</v>
      </c>
      <c r="Y1290" s="4">
        <v>168</v>
      </c>
      <c r="Z1290" s="4">
        <v>83</v>
      </c>
      <c r="AA1290" s="4">
        <v>90</v>
      </c>
      <c r="AB1290" s="4">
        <v>4</v>
      </c>
      <c r="AC1290" s="4">
        <v>7</v>
      </c>
      <c r="AD1290" s="4">
        <v>80</v>
      </c>
      <c r="AE1290" s="4">
        <v>83</v>
      </c>
      <c r="AF1290" s="4">
        <v>1</v>
      </c>
      <c r="AG1290" s="4">
        <v>2</v>
      </c>
      <c r="AH1290" s="4">
        <v>51</v>
      </c>
      <c r="AI1290" s="4">
        <v>53</v>
      </c>
      <c r="AJ1290" s="4">
        <v>22</v>
      </c>
      <c r="AK1290" s="4">
        <v>24</v>
      </c>
      <c r="AL1290" s="4">
        <v>32</v>
      </c>
      <c r="AM1290" s="4">
        <v>32</v>
      </c>
      <c r="AN1290" s="4">
        <v>0</v>
      </c>
      <c r="AO1290" s="4">
        <v>0</v>
      </c>
      <c r="AP1290" s="4">
        <v>34</v>
      </c>
      <c r="AQ1290" s="4">
        <v>37</v>
      </c>
      <c r="AR1290" s="3" t="s">
        <v>128</v>
      </c>
      <c r="AS1290" s="3" t="s">
        <v>64</v>
      </c>
      <c r="AT1290" s="3" t="s">
        <v>128</v>
      </c>
      <c r="AU1290" s="6" t="str">
        <f>HYPERLINK("http://catalog.hathitrust.org/Record/000121528","HathiTrust Record")</f>
        <v>HathiTrust Record</v>
      </c>
      <c r="AV1290" s="6" t="str">
        <f>HYPERLINK("http://mcgill.on.worldcat.org/oclc/11400504","Catalog Record")</f>
        <v>Catalog Record</v>
      </c>
      <c r="AW1290" s="6" t="str">
        <f>HYPERLINK("http://www.worldcat.org/oclc/11400504","WorldCat Record")</f>
        <v>WorldCat Record</v>
      </c>
      <c r="AX1290" s="3" t="s">
        <v>12940</v>
      </c>
      <c r="AY1290" s="3" t="s">
        <v>12941</v>
      </c>
      <c r="AZ1290" s="3" t="s">
        <v>12942</v>
      </c>
      <c r="BA1290" s="3" t="s">
        <v>12942</v>
      </c>
      <c r="BB1290" s="3" t="s">
        <v>12943</v>
      </c>
      <c r="BC1290" s="3" t="s">
        <v>77</v>
      </c>
      <c r="BD1290" s="3" t="s">
        <v>78</v>
      </c>
      <c r="BE1290" s="3" t="s">
        <v>12944</v>
      </c>
      <c r="BF1290" s="3" t="s">
        <v>12943</v>
      </c>
      <c r="BG1290" s="3" t="s">
        <v>12945</v>
      </c>
      <c r="BH1290">
        <f t="shared" si="40"/>
        <v>0</v>
      </c>
    </row>
    <row r="1291" spans="1:60" ht="58" x14ac:dyDescent="0.35">
      <c r="A1291" s="2" t="s">
        <v>59</v>
      </c>
      <c r="B1291" s="2" t="s">
        <v>60</v>
      </c>
      <c r="C1291" s="2" t="s">
        <v>12946</v>
      </c>
      <c r="D1291" s="2" t="s">
        <v>12947</v>
      </c>
      <c r="E1291" s="2" t="s">
        <v>12948</v>
      </c>
      <c r="G1291" s="3" t="s">
        <v>64</v>
      </c>
      <c r="I1291" s="3" t="s">
        <v>64</v>
      </c>
      <c r="J1291" s="3" t="s">
        <v>64</v>
      </c>
      <c r="K1291" s="3" t="s">
        <v>65</v>
      </c>
      <c r="L1291" s="2" t="s">
        <v>12949</v>
      </c>
      <c r="M1291" s="2" t="s">
        <v>12950</v>
      </c>
      <c r="N1291" s="3" t="s">
        <v>498</v>
      </c>
      <c r="P1291" s="3" t="s">
        <v>4873</v>
      </c>
      <c r="Q1291" s="2" t="s">
        <v>12951</v>
      </c>
      <c r="R1291" s="3" t="s">
        <v>70</v>
      </c>
      <c r="S1291" s="4">
        <v>1</v>
      </c>
      <c r="T1291" s="4">
        <v>1</v>
      </c>
      <c r="U1291" s="5" t="s">
        <v>12911</v>
      </c>
      <c r="V1291" s="5" t="s">
        <v>12911</v>
      </c>
      <c r="W1291" s="5" t="s">
        <v>72</v>
      </c>
      <c r="X1291" s="5" t="s">
        <v>72</v>
      </c>
      <c r="Y1291" s="4">
        <v>46</v>
      </c>
      <c r="Z1291" s="4">
        <v>5</v>
      </c>
      <c r="AA1291" s="4">
        <v>5</v>
      </c>
      <c r="AB1291" s="4">
        <v>1</v>
      </c>
      <c r="AC1291" s="4">
        <v>1</v>
      </c>
      <c r="AD1291" s="4">
        <v>30</v>
      </c>
      <c r="AE1291" s="4">
        <v>30</v>
      </c>
      <c r="AF1291" s="4">
        <v>0</v>
      </c>
      <c r="AG1291" s="4">
        <v>0</v>
      </c>
      <c r="AH1291" s="4">
        <v>28</v>
      </c>
      <c r="AI1291" s="4">
        <v>28</v>
      </c>
      <c r="AJ1291" s="4">
        <v>3</v>
      </c>
      <c r="AK1291" s="4">
        <v>3</v>
      </c>
      <c r="AL1291" s="4">
        <v>23</v>
      </c>
      <c r="AM1291" s="4">
        <v>23</v>
      </c>
      <c r="AN1291" s="4">
        <v>0</v>
      </c>
      <c r="AO1291" s="4">
        <v>0</v>
      </c>
      <c r="AP1291" s="4">
        <v>3</v>
      </c>
      <c r="AQ1291" s="4">
        <v>3</v>
      </c>
      <c r="AR1291" s="3" t="s">
        <v>64</v>
      </c>
      <c r="AS1291" s="3" t="s">
        <v>64</v>
      </c>
      <c r="AT1291" s="3" t="s">
        <v>128</v>
      </c>
      <c r="AU1291" s="6" t="str">
        <f>HYPERLINK("http://catalog.hathitrust.org/Record/001759251","HathiTrust Record")</f>
        <v>HathiTrust Record</v>
      </c>
      <c r="AV1291" s="6" t="str">
        <f>HYPERLINK("http://mcgill.on.worldcat.org/oclc/4632816","Catalog Record")</f>
        <v>Catalog Record</v>
      </c>
      <c r="AW1291" s="6" t="str">
        <f>HYPERLINK("http://www.worldcat.org/oclc/4632816","WorldCat Record")</f>
        <v>WorldCat Record</v>
      </c>
      <c r="AX1291" s="3" t="s">
        <v>12952</v>
      </c>
      <c r="AY1291" s="3" t="s">
        <v>12953</v>
      </c>
      <c r="AZ1291" s="3" t="s">
        <v>12954</v>
      </c>
      <c r="BA1291" s="3" t="s">
        <v>12954</v>
      </c>
      <c r="BB1291" s="3" t="s">
        <v>12955</v>
      </c>
      <c r="BC1291" s="3" t="s">
        <v>77</v>
      </c>
      <c r="BD1291" s="3" t="s">
        <v>78</v>
      </c>
      <c r="BF1291" s="3" t="s">
        <v>12955</v>
      </c>
      <c r="BG1291" s="3" t="s">
        <v>12956</v>
      </c>
      <c r="BH1291">
        <f t="shared" si="40"/>
        <v>0</v>
      </c>
    </row>
    <row r="1292" spans="1:60" ht="58" x14ac:dyDescent="0.35">
      <c r="A1292" s="2" t="s">
        <v>59</v>
      </c>
      <c r="B1292" s="2" t="s">
        <v>60</v>
      </c>
      <c r="C1292" s="2" t="s">
        <v>12957</v>
      </c>
      <c r="D1292" s="2" t="s">
        <v>12958</v>
      </c>
      <c r="E1292" s="2" t="s">
        <v>12959</v>
      </c>
      <c r="G1292" s="3" t="s">
        <v>64</v>
      </c>
      <c r="I1292" s="3" t="s">
        <v>128</v>
      </c>
      <c r="J1292" s="3" t="s">
        <v>64</v>
      </c>
      <c r="K1292" s="3" t="s">
        <v>65</v>
      </c>
      <c r="L1292" s="2" t="s">
        <v>12960</v>
      </c>
      <c r="M1292" s="2" t="s">
        <v>12961</v>
      </c>
      <c r="N1292" s="3" t="s">
        <v>266</v>
      </c>
      <c r="P1292" s="3" t="s">
        <v>102</v>
      </c>
      <c r="Q1292" s="2" t="s">
        <v>12962</v>
      </c>
      <c r="R1292" s="3" t="s">
        <v>70</v>
      </c>
      <c r="S1292" s="4">
        <v>16</v>
      </c>
      <c r="T1292" s="4">
        <v>20</v>
      </c>
      <c r="U1292" s="5" t="s">
        <v>12963</v>
      </c>
      <c r="V1292" s="5" t="s">
        <v>12963</v>
      </c>
      <c r="W1292" s="5" t="s">
        <v>72</v>
      </c>
      <c r="X1292" s="5" t="s">
        <v>72</v>
      </c>
      <c r="Y1292" s="4">
        <v>620</v>
      </c>
      <c r="Z1292" s="4">
        <v>37</v>
      </c>
      <c r="AA1292" s="4">
        <v>40</v>
      </c>
      <c r="AB1292" s="4">
        <v>2</v>
      </c>
      <c r="AC1292" s="4">
        <v>5</v>
      </c>
      <c r="AD1292" s="4">
        <v>121</v>
      </c>
      <c r="AE1292" s="4">
        <v>127</v>
      </c>
      <c r="AF1292" s="4">
        <v>1</v>
      </c>
      <c r="AG1292" s="4">
        <v>4</v>
      </c>
      <c r="AH1292" s="4">
        <v>101</v>
      </c>
      <c r="AI1292" s="4">
        <v>105</v>
      </c>
      <c r="AJ1292" s="4">
        <v>17</v>
      </c>
      <c r="AK1292" s="4">
        <v>20</v>
      </c>
      <c r="AL1292" s="4">
        <v>59</v>
      </c>
      <c r="AM1292" s="4">
        <v>61</v>
      </c>
      <c r="AN1292" s="4">
        <v>0</v>
      </c>
      <c r="AO1292" s="4">
        <v>0</v>
      </c>
      <c r="AP1292" s="4">
        <v>20</v>
      </c>
      <c r="AQ1292" s="4">
        <v>22</v>
      </c>
      <c r="AR1292" s="3" t="s">
        <v>64</v>
      </c>
      <c r="AS1292" s="3" t="s">
        <v>64</v>
      </c>
      <c r="AT1292" s="3" t="s">
        <v>128</v>
      </c>
      <c r="AU1292" s="6" t="str">
        <f>HYPERLINK("http://catalog.hathitrust.org/Record/001162227","HathiTrust Record")</f>
        <v>HathiTrust Record</v>
      </c>
      <c r="AV1292" s="6" t="str">
        <f>HYPERLINK("http://mcgill.on.worldcat.org/oclc/546426","Catalog Record")</f>
        <v>Catalog Record</v>
      </c>
      <c r="AW1292" s="6" t="str">
        <f>HYPERLINK("http://www.worldcat.org/oclc/546426","WorldCat Record")</f>
        <v>WorldCat Record</v>
      </c>
      <c r="AX1292" s="3" t="s">
        <v>12964</v>
      </c>
      <c r="AY1292" s="3" t="s">
        <v>12965</v>
      </c>
      <c r="AZ1292" s="3" t="s">
        <v>12966</v>
      </c>
      <c r="BA1292" s="3" t="s">
        <v>12966</v>
      </c>
      <c r="BB1292" s="3" t="s">
        <v>12967</v>
      </c>
      <c r="BC1292" s="3" t="s">
        <v>77</v>
      </c>
      <c r="BD1292" s="3" t="s">
        <v>78</v>
      </c>
      <c r="BF1292" s="3" t="s">
        <v>12967</v>
      </c>
      <c r="BG1292" s="3" t="s">
        <v>12968</v>
      </c>
      <c r="BH1292">
        <f t="shared" si="40"/>
        <v>0</v>
      </c>
    </row>
    <row r="1293" spans="1:60" ht="58" x14ac:dyDescent="0.35">
      <c r="A1293" s="2" t="s">
        <v>59</v>
      </c>
      <c r="B1293" s="2" t="s">
        <v>60</v>
      </c>
      <c r="C1293" s="2" t="s">
        <v>12969</v>
      </c>
      <c r="D1293" s="2" t="s">
        <v>12970</v>
      </c>
      <c r="E1293" s="2" t="s">
        <v>12971</v>
      </c>
      <c r="G1293" s="3" t="s">
        <v>64</v>
      </c>
      <c r="I1293" s="3" t="s">
        <v>64</v>
      </c>
      <c r="J1293" s="3" t="s">
        <v>64</v>
      </c>
      <c r="K1293" s="3" t="s">
        <v>65</v>
      </c>
      <c r="L1293" s="2" t="s">
        <v>12972</v>
      </c>
      <c r="M1293" s="2" t="s">
        <v>12973</v>
      </c>
      <c r="N1293" s="3" t="s">
        <v>266</v>
      </c>
      <c r="P1293" s="3" t="s">
        <v>102</v>
      </c>
      <c r="R1293" s="3" t="s">
        <v>70</v>
      </c>
      <c r="S1293" s="4">
        <v>4</v>
      </c>
      <c r="T1293" s="4">
        <v>4</v>
      </c>
      <c r="U1293" s="5" t="s">
        <v>12888</v>
      </c>
      <c r="V1293" s="5" t="s">
        <v>12888</v>
      </c>
      <c r="W1293" s="5" t="s">
        <v>72</v>
      </c>
      <c r="X1293" s="5" t="s">
        <v>72</v>
      </c>
      <c r="Y1293" s="4">
        <v>489</v>
      </c>
      <c r="Z1293" s="4">
        <v>23</v>
      </c>
      <c r="AA1293" s="4">
        <v>27</v>
      </c>
      <c r="AB1293" s="4">
        <v>1</v>
      </c>
      <c r="AC1293" s="4">
        <v>3</v>
      </c>
      <c r="AD1293" s="4">
        <v>106</v>
      </c>
      <c r="AE1293" s="4">
        <v>109</v>
      </c>
      <c r="AF1293" s="4">
        <v>0</v>
      </c>
      <c r="AG1293" s="4">
        <v>2</v>
      </c>
      <c r="AH1293" s="4">
        <v>89</v>
      </c>
      <c r="AI1293" s="4">
        <v>90</v>
      </c>
      <c r="AJ1293" s="4">
        <v>13</v>
      </c>
      <c r="AK1293" s="4">
        <v>16</v>
      </c>
      <c r="AL1293" s="4">
        <v>57</v>
      </c>
      <c r="AM1293" s="4">
        <v>57</v>
      </c>
      <c r="AN1293" s="4">
        <v>0</v>
      </c>
      <c r="AO1293" s="4">
        <v>0</v>
      </c>
      <c r="AP1293" s="4">
        <v>15</v>
      </c>
      <c r="AQ1293" s="4">
        <v>17</v>
      </c>
      <c r="AR1293" s="3" t="s">
        <v>64</v>
      </c>
      <c r="AS1293" s="3" t="s">
        <v>64</v>
      </c>
      <c r="AT1293" s="3" t="s">
        <v>128</v>
      </c>
      <c r="AU1293" s="6" t="str">
        <f>HYPERLINK("http://catalog.hathitrust.org/Record/001162229","HathiTrust Record")</f>
        <v>HathiTrust Record</v>
      </c>
      <c r="AV1293" s="6" t="str">
        <f>HYPERLINK("http://mcgill.on.worldcat.org/oclc/1022168","Catalog Record")</f>
        <v>Catalog Record</v>
      </c>
      <c r="AW1293" s="6" t="str">
        <f>HYPERLINK("http://www.worldcat.org/oclc/1022168","WorldCat Record")</f>
        <v>WorldCat Record</v>
      </c>
      <c r="AX1293" s="3" t="s">
        <v>12974</v>
      </c>
      <c r="AY1293" s="3" t="s">
        <v>12975</v>
      </c>
      <c r="AZ1293" s="3" t="s">
        <v>12976</v>
      </c>
      <c r="BA1293" s="3" t="s">
        <v>12976</v>
      </c>
      <c r="BB1293" s="3" t="s">
        <v>12977</v>
      </c>
      <c r="BC1293" s="3" t="s">
        <v>77</v>
      </c>
      <c r="BD1293" s="3" t="s">
        <v>78</v>
      </c>
      <c r="BF1293" s="3" t="s">
        <v>12977</v>
      </c>
      <c r="BG1293" s="3" t="s">
        <v>12978</v>
      </c>
      <c r="BH1293">
        <f t="shared" si="40"/>
        <v>0</v>
      </c>
    </row>
    <row r="1294" spans="1:60" ht="58" x14ac:dyDescent="0.35">
      <c r="A1294" s="2" t="s">
        <v>59</v>
      </c>
      <c r="B1294" s="2" t="s">
        <v>60</v>
      </c>
      <c r="C1294" s="2" t="s">
        <v>12979</v>
      </c>
      <c r="D1294" s="2" t="s">
        <v>12980</v>
      </c>
      <c r="E1294" s="2" t="s">
        <v>12981</v>
      </c>
      <c r="G1294" s="3" t="s">
        <v>64</v>
      </c>
      <c r="I1294" s="3" t="s">
        <v>64</v>
      </c>
      <c r="J1294" s="3" t="s">
        <v>64</v>
      </c>
      <c r="K1294" s="3" t="s">
        <v>65</v>
      </c>
      <c r="L1294" s="2" t="s">
        <v>12982</v>
      </c>
      <c r="M1294" s="2" t="s">
        <v>12983</v>
      </c>
      <c r="N1294" s="3" t="s">
        <v>315</v>
      </c>
      <c r="P1294" s="3" t="s">
        <v>102</v>
      </c>
      <c r="R1294" s="3" t="s">
        <v>70</v>
      </c>
      <c r="S1294" s="4">
        <v>31</v>
      </c>
      <c r="T1294" s="4">
        <v>31</v>
      </c>
      <c r="U1294" s="5" t="s">
        <v>12963</v>
      </c>
      <c r="V1294" s="5" t="s">
        <v>12963</v>
      </c>
      <c r="W1294" s="5" t="s">
        <v>72</v>
      </c>
      <c r="X1294" s="5" t="s">
        <v>72</v>
      </c>
      <c r="Y1294" s="4">
        <v>602</v>
      </c>
      <c r="Z1294" s="4">
        <v>33</v>
      </c>
      <c r="AA1294" s="4">
        <v>55</v>
      </c>
      <c r="AB1294" s="4">
        <v>3</v>
      </c>
      <c r="AC1294" s="4">
        <v>8</v>
      </c>
      <c r="AD1294" s="4">
        <v>127</v>
      </c>
      <c r="AE1294" s="4">
        <v>132</v>
      </c>
      <c r="AF1294" s="4">
        <v>1</v>
      </c>
      <c r="AG1294" s="4">
        <v>2</v>
      </c>
      <c r="AH1294" s="4">
        <v>108</v>
      </c>
      <c r="AI1294" s="4">
        <v>111</v>
      </c>
      <c r="AJ1294" s="4">
        <v>18</v>
      </c>
      <c r="AK1294" s="4">
        <v>19</v>
      </c>
      <c r="AL1294" s="4">
        <v>63</v>
      </c>
      <c r="AM1294" s="4">
        <v>63</v>
      </c>
      <c r="AN1294" s="4">
        <v>0</v>
      </c>
      <c r="AO1294" s="4">
        <v>0</v>
      </c>
      <c r="AP1294" s="4">
        <v>20</v>
      </c>
      <c r="AQ1294" s="4">
        <v>23</v>
      </c>
      <c r="AR1294" s="3" t="s">
        <v>64</v>
      </c>
      <c r="AS1294" s="3" t="s">
        <v>64</v>
      </c>
      <c r="AT1294" s="3" t="s">
        <v>64</v>
      </c>
      <c r="AV1294" s="6" t="str">
        <f>HYPERLINK("http://mcgill.on.worldcat.org/oclc/442447","Catalog Record")</f>
        <v>Catalog Record</v>
      </c>
      <c r="AW1294" s="6" t="str">
        <f>HYPERLINK("http://www.worldcat.org/oclc/442447","WorldCat Record")</f>
        <v>WorldCat Record</v>
      </c>
      <c r="AX1294" s="3" t="s">
        <v>12984</v>
      </c>
      <c r="AY1294" s="3" t="s">
        <v>12985</v>
      </c>
      <c r="AZ1294" s="3" t="s">
        <v>12986</v>
      </c>
      <c r="BA1294" s="3" t="s">
        <v>12986</v>
      </c>
      <c r="BB1294" s="3" t="s">
        <v>12987</v>
      </c>
      <c r="BC1294" s="3" t="s">
        <v>77</v>
      </c>
      <c r="BD1294" s="3" t="s">
        <v>78</v>
      </c>
      <c r="BE1294" s="3" t="s">
        <v>12988</v>
      </c>
      <c r="BF1294" s="3" t="s">
        <v>12987</v>
      </c>
      <c r="BG1294" s="3" t="s">
        <v>12989</v>
      </c>
      <c r="BH1294">
        <f t="shared" si="40"/>
        <v>0</v>
      </c>
    </row>
    <row r="1295" spans="1:60" ht="58" x14ac:dyDescent="0.35">
      <c r="A1295" s="2" t="s">
        <v>59</v>
      </c>
      <c r="B1295" s="2" t="s">
        <v>60</v>
      </c>
      <c r="C1295" s="2" t="s">
        <v>12990</v>
      </c>
      <c r="D1295" s="2" t="s">
        <v>12991</v>
      </c>
      <c r="E1295" s="2" t="s">
        <v>12992</v>
      </c>
      <c r="G1295" s="3" t="s">
        <v>64</v>
      </c>
      <c r="I1295" s="3" t="s">
        <v>64</v>
      </c>
      <c r="J1295" s="3" t="s">
        <v>64</v>
      </c>
      <c r="K1295" s="3" t="s">
        <v>65</v>
      </c>
      <c r="L1295" s="2" t="s">
        <v>12993</v>
      </c>
      <c r="M1295" s="2" t="s">
        <v>12994</v>
      </c>
      <c r="N1295" s="3" t="s">
        <v>144</v>
      </c>
      <c r="P1295" s="3" t="s">
        <v>102</v>
      </c>
      <c r="Q1295" s="2" t="s">
        <v>8981</v>
      </c>
      <c r="R1295" s="3" t="s">
        <v>70</v>
      </c>
      <c r="S1295" s="4">
        <v>10</v>
      </c>
      <c r="T1295" s="4">
        <v>10</v>
      </c>
      <c r="U1295" s="5" t="s">
        <v>12995</v>
      </c>
      <c r="V1295" s="5" t="s">
        <v>12995</v>
      </c>
      <c r="W1295" s="5" t="s">
        <v>72</v>
      </c>
      <c r="X1295" s="5" t="s">
        <v>72</v>
      </c>
      <c r="Y1295" s="4">
        <v>248</v>
      </c>
      <c r="Z1295" s="4">
        <v>20</v>
      </c>
      <c r="AA1295" s="4">
        <v>30</v>
      </c>
      <c r="AB1295" s="4">
        <v>3</v>
      </c>
      <c r="AC1295" s="4">
        <v>11</v>
      </c>
      <c r="AD1295" s="4">
        <v>55</v>
      </c>
      <c r="AE1295" s="4">
        <v>62</v>
      </c>
      <c r="AF1295" s="4">
        <v>1</v>
      </c>
      <c r="AG1295" s="4">
        <v>5</v>
      </c>
      <c r="AH1295" s="4">
        <v>48</v>
      </c>
      <c r="AI1295" s="4">
        <v>51</v>
      </c>
      <c r="AJ1295" s="4">
        <v>11</v>
      </c>
      <c r="AK1295" s="4">
        <v>15</v>
      </c>
      <c r="AL1295" s="4">
        <v>30</v>
      </c>
      <c r="AM1295" s="4">
        <v>31</v>
      </c>
      <c r="AN1295" s="4">
        <v>0</v>
      </c>
      <c r="AO1295" s="4">
        <v>0</v>
      </c>
      <c r="AP1295" s="4">
        <v>12</v>
      </c>
      <c r="AQ1295" s="4">
        <v>16</v>
      </c>
      <c r="AR1295" s="3" t="s">
        <v>64</v>
      </c>
      <c r="AS1295" s="3" t="s">
        <v>64</v>
      </c>
      <c r="AT1295" s="3" t="s">
        <v>64</v>
      </c>
      <c r="AV1295" s="6" t="str">
        <f>HYPERLINK("http://mcgill.on.worldcat.org/oclc/62715356","Catalog Record")</f>
        <v>Catalog Record</v>
      </c>
      <c r="AW1295" s="6" t="str">
        <f>HYPERLINK("http://www.worldcat.org/oclc/62715356","WorldCat Record")</f>
        <v>WorldCat Record</v>
      </c>
      <c r="AX1295" s="3" t="s">
        <v>12996</v>
      </c>
      <c r="AY1295" s="3" t="s">
        <v>12997</v>
      </c>
      <c r="AZ1295" s="3" t="s">
        <v>12998</v>
      </c>
      <c r="BA1295" s="3" t="s">
        <v>12998</v>
      </c>
      <c r="BB1295" s="3" t="s">
        <v>12999</v>
      </c>
      <c r="BC1295" s="3" t="s">
        <v>77</v>
      </c>
      <c r="BD1295" s="3" t="s">
        <v>78</v>
      </c>
      <c r="BE1295" s="3" t="s">
        <v>13000</v>
      </c>
      <c r="BF1295" s="3" t="s">
        <v>12999</v>
      </c>
      <c r="BG1295" s="3" t="s">
        <v>13001</v>
      </c>
      <c r="BH1295">
        <f t="shared" si="40"/>
        <v>0</v>
      </c>
    </row>
    <row r="1296" spans="1:60" ht="58" x14ac:dyDescent="0.35">
      <c r="A1296" s="2" t="s">
        <v>59</v>
      </c>
      <c r="B1296" s="2" t="s">
        <v>60</v>
      </c>
      <c r="C1296" s="2" t="s">
        <v>13002</v>
      </c>
      <c r="D1296" s="2" t="s">
        <v>13003</v>
      </c>
      <c r="E1296" s="2" t="s">
        <v>13004</v>
      </c>
      <c r="G1296" s="3" t="s">
        <v>64</v>
      </c>
      <c r="I1296" s="3" t="s">
        <v>64</v>
      </c>
      <c r="J1296" s="3" t="s">
        <v>64</v>
      </c>
      <c r="K1296" s="3" t="s">
        <v>65</v>
      </c>
      <c r="L1296" s="2" t="s">
        <v>13005</v>
      </c>
      <c r="M1296" s="2" t="s">
        <v>13006</v>
      </c>
      <c r="N1296" s="3" t="s">
        <v>144</v>
      </c>
      <c r="P1296" s="3" t="s">
        <v>102</v>
      </c>
      <c r="Q1296" s="2" t="s">
        <v>8981</v>
      </c>
      <c r="R1296" s="3" t="s">
        <v>70</v>
      </c>
      <c r="S1296" s="4">
        <v>4</v>
      </c>
      <c r="T1296" s="4">
        <v>4</v>
      </c>
      <c r="U1296" s="5" t="s">
        <v>12995</v>
      </c>
      <c r="V1296" s="5" t="s">
        <v>12995</v>
      </c>
      <c r="W1296" s="5" t="s">
        <v>72</v>
      </c>
      <c r="X1296" s="5" t="s">
        <v>72</v>
      </c>
      <c r="Y1296" s="4">
        <v>235</v>
      </c>
      <c r="Z1296" s="4">
        <v>20</v>
      </c>
      <c r="AA1296" s="4">
        <v>26</v>
      </c>
      <c r="AB1296" s="4">
        <v>2</v>
      </c>
      <c r="AC1296" s="4">
        <v>6</v>
      </c>
      <c r="AD1296" s="4">
        <v>53</v>
      </c>
      <c r="AE1296" s="4">
        <v>60</v>
      </c>
      <c r="AF1296" s="4">
        <v>0</v>
      </c>
      <c r="AG1296" s="4">
        <v>2</v>
      </c>
      <c r="AH1296" s="4">
        <v>47</v>
      </c>
      <c r="AI1296" s="4">
        <v>53</v>
      </c>
      <c r="AJ1296" s="4">
        <v>10</v>
      </c>
      <c r="AK1296" s="4">
        <v>12</v>
      </c>
      <c r="AL1296" s="4">
        <v>27</v>
      </c>
      <c r="AM1296" s="4">
        <v>29</v>
      </c>
      <c r="AN1296" s="4">
        <v>0</v>
      </c>
      <c r="AO1296" s="4">
        <v>0</v>
      </c>
      <c r="AP1296" s="4">
        <v>11</v>
      </c>
      <c r="AQ1296" s="4">
        <v>12</v>
      </c>
      <c r="AR1296" s="3" t="s">
        <v>64</v>
      </c>
      <c r="AS1296" s="3" t="s">
        <v>64</v>
      </c>
      <c r="AT1296" s="3" t="s">
        <v>128</v>
      </c>
      <c r="AU1296" s="6" t="str">
        <f>HYPERLINK("http://catalog.hathitrust.org/Record/005930821","HathiTrust Record")</f>
        <v>HathiTrust Record</v>
      </c>
      <c r="AV1296" s="6" t="str">
        <f>HYPERLINK("http://mcgill.on.worldcat.org/oclc/195722935","Catalog Record")</f>
        <v>Catalog Record</v>
      </c>
      <c r="AW1296" s="6" t="str">
        <f>HYPERLINK("http://www.worldcat.org/oclc/195722935","WorldCat Record")</f>
        <v>WorldCat Record</v>
      </c>
      <c r="AX1296" s="3" t="s">
        <v>13007</v>
      </c>
      <c r="AY1296" s="3" t="s">
        <v>13008</v>
      </c>
      <c r="AZ1296" s="3" t="s">
        <v>13009</v>
      </c>
      <c r="BA1296" s="3" t="s">
        <v>13009</v>
      </c>
      <c r="BB1296" s="3" t="s">
        <v>13010</v>
      </c>
      <c r="BC1296" s="3" t="s">
        <v>77</v>
      </c>
      <c r="BD1296" s="3" t="s">
        <v>78</v>
      </c>
      <c r="BE1296" s="3" t="s">
        <v>13011</v>
      </c>
      <c r="BF1296" s="3" t="s">
        <v>13010</v>
      </c>
      <c r="BG1296" s="3" t="s">
        <v>13012</v>
      </c>
      <c r="BH1296">
        <f t="shared" si="40"/>
        <v>0</v>
      </c>
    </row>
    <row r="1297" spans="1:60" ht="58" x14ac:dyDescent="0.35">
      <c r="A1297" s="2" t="s">
        <v>59</v>
      </c>
      <c r="B1297" s="2" t="s">
        <v>60</v>
      </c>
      <c r="C1297" s="2" t="s">
        <v>13013</v>
      </c>
      <c r="D1297" s="2" t="s">
        <v>13014</v>
      </c>
      <c r="E1297" s="2" t="s">
        <v>13015</v>
      </c>
      <c r="G1297" s="3" t="s">
        <v>64</v>
      </c>
      <c r="I1297" s="3" t="s">
        <v>64</v>
      </c>
      <c r="J1297" s="3" t="s">
        <v>64</v>
      </c>
      <c r="K1297" s="3" t="s">
        <v>65</v>
      </c>
      <c r="L1297" s="2" t="s">
        <v>13016</v>
      </c>
      <c r="M1297" s="2" t="s">
        <v>13017</v>
      </c>
      <c r="N1297" s="3" t="s">
        <v>86</v>
      </c>
      <c r="P1297" s="3" t="s">
        <v>102</v>
      </c>
      <c r="R1297" s="3" t="s">
        <v>70</v>
      </c>
      <c r="S1297" s="4">
        <v>2</v>
      </c>
      <c r="T1297" s="4">
        <v>2</v>
      </c>
      <c r="U1297" s="5" t="s">
        <v>13018</v>
      </c>
      <c r="V1297" s="5" t="s">
        <v>13018</v>
      </c>
      <c r="W1297" s="5" t="s">
        <v>72</v>
      </c>
      <c r="X1297" s="5" t="s">
        <v>72</v>
      </c>
      <c r="Y1297" s="4">
        <v>326</v>
      </c>
      <c r="Z1297" s="4">
        <v>11</v>
      </c>
      <c r="AA1297" s="4">
        <v>12</v>
      </c>
      <c r="AB1297" s="4">
        <v>1</v>
      </c>
      <c r="AC1297" s="4">
        <v>2</v>
      </c>
      <c r="AD1297" s="4">
        <v>54</v>
      </c>
      <c r="AE1297" s="4">
        <v>54</v>
      </c>
      <c r="AF1297" s="4">
        <v>0</v>
      </c>
      <c r="AG1297" s="4">
        <v>0</v>
      </c>
      <c r="AH1297" s="4">
        <v>48</v>
      </c>
      <c r="AI1297" s="4">
        <v>48</v>
      </c>
      <c r="AJ1297" s="4">
        <v>6</v>
      </c>
      <c r="AK1297" s="4">
        <v>6</v>
      </c>
      <c r="AL1297" s="4">
        <v>30</v>
      </c>
      <c r="AM1297" s="4">
        <v>30</v>
      </c>
      <c r="AN1297" s="4">
        <v>0</v>
      </c>
      <c r="AO1297" s="4">
        <v>0</v>
      </c>
      <c r="AP1297" s="4">
        <v>7</v>
      </c>
      <c r="AQ1297" s="4">
        <v>7</v>
      </c>
      <c r="AR1297" s="3" t="s">
        <v>64</v>
      </c>
      <c r="AS1297" s="3" t="s">
        <v>64</v>
      </c>
      <c r="AT1297" s="3" t="s">
        <v>64</v>
      </c>
      <c r="AV1297" s="6" t="str">
        <f>HYPERLINK("http://mcgill.on.worldcat.org/oclc/811247058","Catalog Record")</f>
        <v>Catalog Record</v>
      </c>
      <c r="AW1297" s="6" t="str">
        <f>HYPERLINK("http://www.worldcat.org/oclc/811247058","WorldCat Record")</f>
        <v>WorldCat Record</v>
      </c>
      <c r="AX1297" s="3" t="s">
        <v>13019</v>
      </c>
      <c r="AY1297" s="3" t="s">
        <v>13020</v>
      </c>
      <c r="AZ1297" s="3" t="s">
        <v>13021</v>
      </c>
      <c r="BA1297" s="3" t="s">
        <v>13021</v>
      </c>
      <c r="BB1297" s="3" t="s">
        <v>13022</v>
      </c>
      <c r="BC1297" s="3" t="s">
        <v>77</v>
      </c>
      <c r="BD1297" s="3" t="s">
        <v>78</v>
      </c>
      <c r="BE1297" s="3" t="s">
        <v>13023</v>
      </c>
      <c r="BF1297" s="3" t="s">
        <v>13022</v>
      </c>
      <c r="BG1297" s="3" t="s">
        <v>13024</v>
      </c>
      <c r="BH1297">
        <f t="shared" si="40"/>
        <v>0</v>
      </c>
    </row>
    <row r="1298" spans="1:60" ht="58" x14ac:dyDescent="0.35">
      <c r="A1298" s="2" t="s">
        <v>59</v>
      </c>
      <c r="B1298" s="2" t="s">
        <v>60</v>
      </c>
      <c r="C1298" s="2" t="s">
        <v>13025</v>
      </c>
      <c r="D1298" s="2" t="s">
        <v>13026</v>
      </c>
      <c r="E1298" s="2" t="s">
        <v>13027</v>
      </c>
      <c r="G1298" s="3" t="s">
        <v>64</v>
      </c>
      <c r="I1298" s="3" t="s">
        <v>64</v>
      </c>
      <c r="J1298" s="3" t="s">
        <v>64</v>
      </c>
      <c r="K1298" s="3" t="s">
        <v>65</v>
      </c>
      <c r="L1298" s="2" t="s">
        <v>13028</v>
      </c>
      <c r="M1298" s="2" t="s">
        <v>13029</v>
      </c>
      <c r="N1298" s="3" t="s">
        <v>291</v>
      </c>
      <c r="P1298" s="3" t="s">
        <v>102</v>
      </c>
      <c r="R1298" s="3" t="s">
        <v>70</v>
      </c>
      <c r="S1298" s="4">
        <v>14</v>
      </c>
      <c r="T1298" s="4">
        <v>14</v>
      </c>
      <c r="U1298" s="5" t="s">
        <v>13030</v>
      </c>
      <c r="V1298" s="5" t="s">
        <v>13030</v>
      </c>
      <c r="W1298" s="5" t="s">
        <v>72</v>
      </c>
      <c r="X1298" s="5" t="s">
        <v>72</v>
      </c>
      <c r="Y1298" s="4">
        <v>61</v>
      </c>
      <c r="Z1298" s="4">
        <v>29</v>
      </c>
      <c r="AA1298" s="4">
        <v>68</v>
      </c>
      <c r="AB1298" s="4">
        <v>2</v>
      </c>
      <c r="AC1298" s="4">
        <v>5</v>
      </c>
      <c r="AD1298" s="4">
        <v>17</v>
      </c>
      <c r="AE1298" s="4">
        <v>27</v>
      </c>
      <c r="AF1298" s="4">
        <v>1</v>
      </c>
      <c r="AG1298" s="4">
        <v>1</v>
      </c>
      <c r="AH1298" s="4">
        <v>10</v>
      </c>
      <c r="AI1298" s="4">
        <v>14</v>
      </c>
      <c r="AJ1298" s="4">
        <v>8</v>
      </c>
      <c r="AK1298" s="4">
        <v>15</v>
      </c>
      <c r="AL1298" s="4">
        <v>5</v>
      </c>
      <c r="AM1298" s="4">
        <v>6</v>
      </c>
      <c r="AN1298" s="4">
        <v>0</v>
      </c>
      <c r="AO1298" s="4">
        <v>0</v>
      </c>
      <c r="AP1298" s="4">
        <v>11</v>
      </c>
      <c r="AQ1298" s="4">
        <v>20</v>
      </c>
      <c r="AR1298" s="3" t="s">
        <v>128</v>
      </c>
      <c r="AS1298" s="3" t="s">
        <v>64</v>
      </c>
      <c r="AT1298" s="3" t="s">
        <v>64</v>
      </c>
      <c r="AV1298" s="6" t="str">
        <f>HYPERLINK("http://mcgill.on.worldcat.org/oclc/165871318","Catalog Record")</f>
        <v>Catalog Record</v>
      </c>
      <c r="AW1298" s="6" t="str">
        <f>HYPERLINK("http://www.worldcat.org/oclc/165871318","WorldCat Record")</f>
        <v>WorldCat Record</v>
      </c>
      <c r="AX1298" s="3" t="s">
        <v>13031</v>
      </c>
      <c r="AY1298" s="3" t="s">
        <v>13032</v>
      </c>
      <c r="AZ1298" s="3" t="s">
        <v>13033</v>
      </c>
      <c r="BA1298" s="3" t="s">
        <v>13033</v>
      </c>
      <c r="BB1298" s="3" t="s">
        <v>13034</v>
      </c>
      <c r="BC1298" s="3" t="s">
        <v>77</v>
      </c>
      <c r="BD1298" s="3" t="s">
        <v>78</v>
      </c>
      <c r="BE1298" s="3" t="s">
        <v>13035</v>
      </c>
      <c r="BF1298" s="3" t="s">
        <v>13034</v>
      </c>
      <c r="BG1298" s="3" t="s">
        <v>13036</v>
      </c>
      <c r="BH1298">
        <f t="shared" si="40"/>
        <v>0</v>
      </c>
    </row>
    <row r="1299" spans="1:60" ht="58" x14ac:dyDescent="0.35">
      <c r="A1299" s="2" t="s">
        <v>59</v>
      </c>
      <c r="B1299" s="2" t="s">
        <v>60</v>
      </c>
      <c r="C1299" s="2" t="s">
        <v>13037</v>
      </c>
      <c r="D1299" s="2" t="s">
        <v>13038</v>
      </c>
      <c r="E1299" s="2" t="s">
        <v>13039</v>
      </c>
      <c r="G1299" s="3" t="s">
        <v>64</v>
      </c>
      <c r="I1299" s="3" t="s">
        <v>64</v>
      </c>
      <c r="J1299" s="3" t="s">
        <v>64</v>
      </c>
      <c r="K1299" s="3" t="s">
        <v>65</v>
      </c>
      <c r="L1299" s="2" t="s">
        <v>13040</v>
      </c>
      <c r="M1299" s="2" t="s">
        <v>13041</v>
      </c>
      <c r="N1299" s="3" t="s">
        <v>144</v>
      </c>
      <c r="P1299" s="3" t="s">
        <v>102</v>
      </c>
      <c r="Q1299" s="2" t="s">
        <v>13042</v>
      </c>
      <c r="R1299" s="3" t="s">
        <v>70</v>
      </c>
      <c r="S1299" s="4">
        <v>8</v>
      </c>
      <c r="T1299" s="4">
        <v>8</v>
      </c>
      <c r="U1299" s="5" t="s">
        <v>10104</v>
      </c>
      <c r="V1299" s="5" t="s">
        <v>10104</v>
      </c>
      <c r="W1299" s="5" t="s">
        <v>72</v>
      </c>
      <c r="X1299" s="5" t="s">
        <v>72</v>
      </c>
      <c r="Y1299" s="4">
        <v>352</v>
      </c>
      <c r="Z1299" s="4">
        <v>11</v>
      </c>
      <c r="AA1299" s="4">
        <v>15</v>
      </c>
      <c r="AB1299" s="4">
        <v>1</v>
      </c>
      <c r="AC1299" s="4">
        <v>4</v>
      </c>
      <c r="AD1299" s="4">
        <v>54</v>
      </c>
      <c r="AE1299" s="4">
        <v>65</v>
      </c>
      <c r="AF1299" s="4">
        <v>0</v>
      </c>
      <c r="AG1299" s="4">
        <v>1</v>
      </c>
      <c r="AH1299" s="4">
        <v>49</v>
      </c>
      <c r="AI1299" s="4">
        <v>59</v>
      </c>
      <c r="AJ1299" s="4">
        <v>6</v>
      </c>
      <c r="AK1299" s="4">
        <v>7</v>
      </c>
      <c r="AL1299" s="4">
        <v>26</v>
      </c>
      <c r="AM1299" s="4">
        <v>31</v>
      </c>
      <c r="AN1299" s="4">
        <v>0</v>
      </c>
      <c r="AO1299" s="4">
        <v>0</v>
      </c>
      <c r="AP1299" s="4">
        <v>7</v>
      </c>
      <c r="AQ1299" s="4">
        <v>7</v>
      </c>
      <c r="AR1299" s="3" t="s">
        <v>64</v>
      </c>
      <c r="AS1299" s="3" t="s">
        <v>64</v>
      </c>
      <c r="AT1299" s="3" t="s">
        <v>64</v>
      </c>
      <c r="AV1299" s="6" t="str">
        <f>HYPERLINK("http://mcgill.on.worldcat.org/oclc/181862718","Catalog Record")</f>
        <v>Catalog Record</v>
      </c>
      <c r="AW1299" s="6" t="str">
        <f>HYPERLINK("http://www.worldcat.org/oclc/181862718","WorldCat Record")</f>
        <v>WorldCat Record</v>
      </c>
      <c r="AX1299" s="3" t="s">
        <v>13043</v>
      </c>
      <c r="AY1299" s="3" t="s">
        <v>13044</v>
      </c>
      <c r="AZ1299" s="3" t="s">
        <v>13045</v>
      </c>
      <c r="BA1299" s="3" t="s">
        <v>13045</v>
      </c>
      <c r="BB1299" s="3" t="s">
        <v>13046</v>
      </c>
      <c r="BC1299" s="3" t="s">
        <v>77</v>
      </c>
      <c r="BD1299" s="3" t="s">
        <v>78</v>
      </c>
      <c r="BE1299" s="3" t="s">
        <v>13047</v>
      </c>
      <c r="BF1299" s="3" t="s">
        <v>13046</v>
      </c>
      <c r="BG1299" s="3" t="s">
        <v>13048</v>
      </c>
      <c r="BH1299">
        <f t="shared" si="40"/>
        <v>0</v>
      </c>
    </row>
    <row r="1300" spans="1:60" ht="58" x14ac:dyDescent="0.35">
      <c r="A1300" s="2" t="s">
        <v>59</v>
      </c>
      <c r="B1300" s="2" t="s">
        <v>60</v>
      </c>
      <c r="C1300" s="2" t="s">
        <v>13049</v>
      </c>
      <c r="D1300" s="2" t="s">
        <v>13050</v>
      </c>
      <c r="E1300" s="2" t="s">
        <v>13051</v>
      </c>
      <c r="G1300" s="3" t="s">
        <v>64</v>
      </c>
      <c r="I1300" s="3" t="s">
        <v>64</v>
      </c>
      <c r="J1300" s="3" t="s">
        <v>64</v>
      </c>
      <c r="K1300" s="3" t="s">
        <v>65</v>
      </c>
      <c r="M1300" s="2" t="s">
        <v>13052</v>
      </c>
      <c r="N1300" s="3" t="s">
        <v>768</v>
      </c>
      <c r="P1300" s="3" t="s">
        <v>102</v>
      </c>
      <c r="Q1300" s="2" t="s">
        <v>13053</v>
      </c>
      <c r="R1300" s="3" t="s">
        <v>70</v>
      </c>
      <c r="S1300" s="4">
        <v>6</v>
      </c>
      <c r="T1300" s="4">
        <v>6</v>
      </c>
      <c r="U1300" s="5" t="s">
        <v>4526</v>
      </c>
      <c r="V1300" s="5" t="s">
        <v>4526</v>
      </c>
      <c r="W1300" s="5" t="s">
        <v>72</v>
      </c>
      <c r="X1300" s="5" t="s">
        <v>72</v>
      </c>
      <c r="Y1300" s="4">
        <v>159</v>
      </c>
      <c r="Z1300" s="4">
        <v>21</v>
      </c>
      <c r="AA1300" s="4">
        <v>48</v>
      </c>
      <c r="AB1300" s="4">
        <v>2</v>
      </c>
      <c r="AC1300" s="4">
        <v>6</v>
      </c>
      <c r="AD1300" s="4">
        <v>41</v>
      </c>
      <c r="AE1300" s="4">
        <v>109</v>
      </c>
      <c r="AF1300" s="4">
        <v>0</v>
      </c>
      <c r="AG1300" s="4">
        <v>4</v>
      </c>
      <c r="AH1300" s="4">
        <v>34</v>
      </c>
      <c r="AI1300" s="4">
        <v>88</v>
      </c>
      <c r="AJ1300" s="4">
        <v>11</v>
      </c>
      <c r="AK1300" s="4">
        <v>22</v>
      </c>
      <c r="AL1300" s="4">
        <v>16</v>
      </c>
      <c r="AM1300" s="4">
        <v>44</v>
      </c>
      <c r="AN1300" s="4">
        <v>0</v>
      </c>
      <c r="AO1300" s="4">
        <v>0</v>
      </c>
      <c r="AP1300" s="4">
        <v>13</v>
      </c>
      <c r="AQ1300" s="4">
        <v>30</v>
      </c>
      <c r="AR1300" s="3" t="s">
        <v>64</v>
      </c>
      <c r="AS1300" s="3" t="s">
        <v>64</v>
      </c>
      <c r="AT1300" s="3" t="s">
        <v>64</v>
      </c>
      <c r="AV1300" s="6" t="str">
        <f>HYPERLINK("http://mcgill.on.worldcat.org/oclc/4465389","Catalog Record")</f>
        <v>Catalog Record</v>
      </c>
      <c r="AW1300" s="6" t="str">
        <f>HYPERLINK("http://www.worldcat.org/oclc/4465389","WorldCat Record")</f>
        <v>WorldCat Record</v>
      </c>
      <c r="AX1300" s="3" t="s">
        <v>13054</v>
      </c>
      <c r="AY1300" s="3" t="s">
        <v>13055</v>
      </c>
      <c r="AZ1300" s="3" t="s">
        <v>13056</v>
      </c>
      <c r="BA1300" s="3" t="s">
        <v>13056</v>
      </c>
      <c r="BB1300" s="3" t="s">
        <v>13057</v>
      </c>
      <c r="BC1300" s="3" t="s">
        <v>77</v>
      </c>
      <c r="BD1300" s="3" t="s">
        <v>78</v>
      </c>
      <c r="BE1300" s="3" t="s">
        <v>13058</v>
      </c>
      <c r="BF1300" s="3" t="s">
        <v>13057</v>
      </c>
      <c r="BG1300" s="3" t="s">
        <v>13059</v>
      </c>
      <c r="BH1300">
        <f t="shared" si="40"/>
        <v>0</v>
      </c>
    </row>
    <row r="1301" spans="1:60" ht="58" x14ac:dyDescent="0.35">
      <c r="A1301" s="2" t="s">
        <v>59</v>
      </c>
      <c r="B1301" s="2" t="s">
        <v>60</v>
      </c>
      <c r="C1301" s="2" t="s">
        <v>13060</v>
      </c>
      <c r="D1301" s="2" t="s">
        <v>13061</v>
      </c>
      <c r="E1301" s="2" t="s">
        <v>13062</v>
      </c>
      <c r="G1301" s="3" t="s">
        <v>64</v>
      </c>
      <c r="I1301" s="3" t="s">
        <v>64</v>
      </c>
      <c r="J1301" s="3" t="s">
        <v>64</v>
      </c>
      <c r="K1301" s="3" t="s">
        <v>65</v>
      </c>
      <c r="M1301" s="2" t="s">
        <v>13063</v>
      </c>
      <c r="N1301" s="3" t="s">
        <v>326</v>
      </c>
      <c r="P1301" s="3" t="s">
        <v>68</v>
      </c>
      <c r="Q1301" s="2" t="s">
        <v>13064</v>
      </c>
      <c r="R1301" s="3" t="s">
        <v>70</v>
      </c>
      <c r="S1301" s="4">
        <v>1</v>
      </c>
      <c r="T1301" s="4">
        <v>1</v>
      </c>
      <c r="U1301" s="5" t="s">
        <v>13065</v>
      </c>
      <c r="V1301" s="5" t="s">
        <v>13065</v>
      </c>
      <c r="W1301" s="5" t="s">
        <v>72</v>
      </c>
      <c r="X1301" s="5" t="s">
        <v>72</v>
      </c>
      <c r="Y1301" s="4">
        <v>17</v>
      </c>
      <c r="Z1301" s="4">
        <v>4</v>
      </c>
      <c r="AA1301" s="4">
        <v>7</v>
      </c>
      <c r="AB1301" s="4">
        <v>1</v>
      </c>
      <c r="AC1301" s="4">
        <v>3</v>
      </c>
      <c r="AD1301" s="4">
        <v>9</v>
      </c>
      <c r="AE1301" s="4">
        <v>11</v>
      </c>
      <c r="AF1301" s="4">
        <v>0</v>
      </c>
      <c r="AG1301" s="4">
        <v>1</v>
      </c>
      <c r="AH1301" s="4">
        <v>9</v>
      </c>
      <c r="AI1301" s="4">
        <v>11</v>
      </c>
      <c r="AJ1301" s="4">
        <v>2</v>
      </c>
      <c r="AK1301" s="4">
        <v>4</v>
      </c>
      <c r="AL1301" s="4">
        <v>7</v>
      </c>
      <c r="AM1301" s="4">
        <v>7</v>
      </c>
      <c r="AN1301" s="4">
        <v>0</v>
      </c>
      <c r="AO1301" s="4">
        <v>0</v>
      </c>
      <c r="AP1301" s="4">
        <v>2</v>
      </c>
      <c r="AQ1301" s="4">
        <v>4</v>
      </c>
      <c r="AR1301" s="3" t="s">
        <v>64</v>
      </c>
      <c r="AS1301" s="3" t="s">
        <v>64</v>
      </c>
      <c r="AT1301" s="3" t="s">
        <v>64</v>
      </c>
      <c r="AV1301" s="6" t="str">
        <f>HYPERLINK("http://mcgill.on.worldcat.org/oclc/743989718","Catalog Record")</f>
        <v>Catalog Record</v>
      </c>
      <c r="AW1301" s="6" t="str">
        <f>HYPERLINK("http://www.worldcat.org/oclc/743989718","WorldCat Record")</f>
        <v>WorldCat Record</v>
      </c>
      <c r="AX1301" s="3" t="s">
        <v>13066</v>
      </c>
      <c r="AY1301" s="3" t="s">
        <v>13067</v>
      </c>
      <c r="AZ1301" s="3" t="s">
        <v>13068</v>
      </c>
      <c r="BA1301" s="3" t="s">
        <v>13068</v>
      </c>
      <c r="BB1301" s="3" t="s">
        <v>13069</v>
      </c>
      <c r="BC1301" s="3" t="s">
        <v>77</v>
      </c>
      <c r="BD1301" s="3" t="s">
        <v>78</v>
      </c>
      <c r="BE1301" s="3" t="s">
        <v>13070</v>
      </c>
      <c r="BF1301" s="3" t="s">
        <v>13069</v>
      </c>
      <c r="BG1301" s="3" t="s">
        <v>13071</v>
      </c>
      <c r="BH1301">
        <f t="shared" si="40"/>
        <v>0</v>
      </c>
    </row>
    <row r="1302" spans="1:60" ht="58" x14ac:dyDescent="0.35">
      <c r="A1302" s="2" t="s">
        <v>59</v>
      </c>
      <c r="B1302" s="2" t="s">
        <v>60</v>
      </c>
      <c r="C1302" s="2" t="s">
        <v>13072</v>
      </c>
      <c r="D1302" s="2" t="s">
        <v>13073</v>
      </c>
      <c r="E1302" s="2" t="s">
        <v>13074</v>
      </c>
      <c r="G1302" s="3" t="s">
        <v>64</v>
      </c>
      <c r="I1302" s="3" t="s">
        <v>64</v>
      </c>
      <c r="J1302" s="3" t="s">
        <v>64</v>
      </c>
      <c r="K1302" s="3" t="s">
        <v>65</v>
      </c>
      <c r="L1302" s="2" t="s">
        <v>13075</v>
      </c>
      <c r="M1302" s="2" t="s">
        <v>13076</v>
      </c>
      <c r="N1302" s="3" t="s">
        <v>4972</v>
      </c>
      <c r="P1302" s="3" t="s">
        <v>102</v>
      </c>
      <c r="Q1302" s="2" t="s">
        <v>13077</v>
      </c>
      <c r="R1302" s="3" t="s">
        <v>70</v>
      </c>
      <c r="S1302" s="4">
        <v>4</v>
      </c>
      <c r="T1302" s="4">
        <v>4</v>
      </c>
      <c r="U1302" s="5" t="s">
        <v>13078</v>
      </c>
      <c r="V1302" s="5" t="s">
        <v>13078</v>
      </c>
      <c r="W1302" s="5" t="s">
        <v>72</v>
      </c>
      <c r="X1302" s="5" t="s">
        <v>72</v>
      </c>
      <c r="Y1302" s="4">
        <v>30</v>
      </c>
      <c r="Z1302" s="4">
        <v>27</v>
      </c>
      <c r="AA1302" s="4">
        <v>27</v>
      </c>
      <c r="AB1302" s="4">
        <v>3</v>
      </c>
      <c r="AC1302" s="4">
        <v>3</v>
      </c>
      <c r="AD1302" s="4">
        <v>25</v>
      </c>
      <c r="AE1302" s="4">
        <v>25</v>
      </c>
      <c r="AF1302" s="4">
        <v>1</v>
      </c>
      <c r="AG1302" s="4">
        <v>1</v>
      </c>
      <c r="AH1302" s="4">
        <v>10</v>
      </c>
      <c r="AI1302" s="4">
        <v>10</v>
      </c>
      <c r="AJ1302" s="4">
        <v>16</v>
      </c>
      <c r="AK1302" s="4">
        <v>16</v>
      </c>
      <c r="AL1302" s="4">
        <v>3</v>
      </c>
      <c r="AM1302" s="4">
        <v>3</v>
      </c>
      <c r="AN1302" s="4">
        <v>0</v>
      </c>
      <c r="AO1302" s="4">
        <v>0</v>
      </c>
      <c r="AP1302" s="4">
        <v>22</v>
      </c>
      <c r="AQ1302" s="4">
        <v>22</v>
      </c>
      <c r="AR1302" s="3" t="s">
        <v>128</v>
      </c>
      <c r="AS1302" s="3" t="s">
        <v>64</v>
      </c>
      <c r="AT1302" s="3" t="s">
        <v>64</v>
      </c>
      <c r="AU1302" s="6" t="str">
        <f>HYPERLINK("http://catalog.hathitrust.org/Record/001901438","HathiTrust Record")</f>
        <v>HathiTrust Record</v>
      </c>
      <c r="AV1302" s="6" t="str">
        <f>HYPERLINK("http://mcgill.on.worldcat.org/oclc/61596949","Catalog Record")</f>
        <v>Catalog Record</v>
      </c>
      <c r="AW1302" s="6" t="str">
        <f>HYPERLINK("http://www.worldcat.org/oclc/61596949","WorldCat Record")</f>
        <v>WorldCat Record</v>
      </c>
      <c r="AX1302" s="3" t="s">
        <v>13079</v>
      </c>
      <c r="AY1302" s="3" t="s">
        <v>13080</v>
      </c>
      <c r="AZ1302" s="3" t="s">
        <v>13081</v>
      </c>
      <c r="BA1302" s="3" t="s">
        <v>13081</v>
      </c>
      <c r="BB1302" s="3" t="s">
        <v>13082</v>
      </c>
      <c r="BC1302" s="3" t="s">
        <v>77</v>
      </c>
      <c r="BD1302" s="3" t="s">
        <v>78</v>
      </c>
      <c r="BF1302" s="3" t="s">
        <v>13082</v>
      </c>
      <c r="BG1302" s="3" t="s">
        <v>13083</v>
      </c>
      <c r="BH1302">
        <f t="shared" si="40"/>
        <v>0</v>
      </c>
    </row>
    <row r="1303" spans="1:60" ht="58" x14ac:dyDescent="0.35">
      <c r="A1303" s="2" t="s">
        <v>59</v>
      </c>
      <c r="B1303" s="2" t="s">
        <v>60</v>
      </c>
      <c r="C1303" s="2" t="s">
        <v>13084</v>
      </c>
      <c r="D1303" s="2" t="s">
        <v>13085</v>
      </c>
      <c r="E1303" s="2" t="s">
        <v>13086</v>
      </c>
      <c r="G1303" s="3" t="s">
        <v>64</v>
      </c>
      <c r="I1303" s="3" t="s">
        <v>64</v>
      </c>
      <c r="J1303" s="3" t="s">
        <v>64</v>
      </c>
      <c r="K1303" s="3" t="s">
        <v>183</v>
      </c>
      <c r="M1303" s="2" t="s">
        <v>13087</v>
      </c>
      <c r="N1303" s="3" t="s">
        <v>456</v>
      </c>
      <c r="O1303" s="2" t="s">
        <v>2149</v>
      </c>
      <c r="P1303" s="3" t="s">
        <v>102</v>
      </c>
      <c r="R1303" s="3" t="s">
        <v>70</v>
      </c>
      <c r="S1303" s="4">
        <v>1</v>
      </c>
      <c r="T1303" s="4">
        <v>1</v>
      </c>
      <c r="U1303" s="5" t="s">
        <v>13088</v>
      </c>
      <c r="V1303" s="5" t="s">
        <v>13088</v>
      </c>
      <c r="W1303" s="5" t="s">
        <v>72</v>
      </c>
      <c r="X1303" s="5" t="s">
        <v>72</v>
      </c>
      <c r="Y1303" s="4">
        <v>244</v>
      </c>
      <c r="Z1303" s="4">
        <v>10</v>
      </c>
      <c r="AA1303" s="4">
        <v>21</v>
      </c>
      <c r="AB1303" s="4">
        <v>1</v>
      </c>
      <c r="AC1303" s="4">
        <v>2</v>
      </c>
      <c r="AD1303" s="4">
        <v>82</v>
      </c>
      <c r="AE1303" s="4">
        <v>105</v>
      </c>
      <c r="AF1303" s="4">
        <v>0</v>
      </c>
      <c r="AG1303" s="4">
        <v>1</v>
      </c>
      <c r="AH1303" s="4">
        <v>74</v>
      </c>
      <c r="AI1303" s="4">
        <v>94</v>
      </c>
      <c r="AJ1303" s="4">
        <v>6</v>
      </c>
      <c r="AK1303" s="4">
        <v>12</v>
      </c>
      <c r="AL1303" s="4">
        <v>53</v>
      </c>
      <c r="AM1303" s="4">
        <v>54</v>
      </c>
      <c r="AN1303" s="4">
        <v>0</v>
      </c>
      <c r="AO1303" s="4">
        <v>0</v>
      </c>
      <c r="AP1303" s="4">
        <v>7</v>
      </c>
      <c r="AQ1303" s="4">
        <v>14</v>
      </c>
      <c r="AR1303" s="3" t="s">
        <v>64</v>
      </c>
      <c r="AS1303" s="3" t="s">
        <v>128</v>
      </c>
      <c r="AT1303" s="3" t="s">
        <v>64</v>
      </c>
      <c r="AU1303" s="6" t="str">
        <f>HYPERLINK("http://catalog.hathitrust.org/Record/001426147","HathiTrust Record")</f>
        <v>HathiTrust Record</v>
      </c>
      <c r="AV1303" s="6" t="str">
        <f>HYPERLINK("http://mcgill.on.worldcat.org/oclc/1576999","Catalog Record")</f>
        <v>Catalog Record</v>
      </c>
      <c r="AW1303" s="6" t="str">
        <f>HYPERLINK("http://www.worldcat.org/oclc/1576999","WorldCat Record")</f>
        <v>WorldCat Record</v>
      </c>
      <c r="AX1303" s="3" t="s">
        <v>13089</v>
      </c>
      <c r="AY1303" s="3" t="s">
        <v>13090</v>
      </c>
      <c r="AZ1303" s="3" t="s">
        <v>13091</v>
      </c>
      <c r="BA1303" s="3" t="s">
        <v>13091</v>
      </c>
      <c r="BB1303" s="3" t="s">
        <v>13092</v>
      </c>
      <c r="BC1303" s="3" t="s">
        <v>77</v>
      </c>
      <c r="BD1303" s="3" t="s">
        <v>78</v>
      </c>
      <c r="BE1303" s="3" t="s">
        <v>13093</v>
      </c>
      <c r="BF1303" s="3" t="s">
        <v>13092</v>
      </c>
      <c r="BG1303" s="3" t="s">
        <v>13094</v>
      </c>
      <c r="BH1303">
        <f t="shared" si="40"/>
        <v>0</v>
      </c>
    </row>
    <row r="1304" spans="1:60" ht="58" x14ac:dyDescent="0.35">
      <c r="A1304" s="2" t="s">
        <v>59</v>
      </c>
      <c r="B1304" s="2" t="s">
        <v>60</v>
      </c>
      <c r="C1304" s="2" t="s">
        <v>13095</v>
      </c>
      <c r="D1304" s="2" t="s">
        <v>13096</v>
      </c>
      <c r="E1304" s="2" t="s">
        <v>13097</v>
      </c>
      <c r="G1304" s="3" t="s">
        <v>64</v>
      </c>
      <c r="I1304" s="3" t="s">
        <v>64</v>
      </c>
      <c r="J1304" s="3" t="s">
        <v>64</v>
      </c>
      <c r="K1304" s="3" t="s">
        <v>65</v>
      </c>
      <c r="L1304" s="2" t="s">
        <v>13098</v>
      </c>
      <c r="M1304" s="2" t="s">
        <v>13099</v>
      </c>
      <c r="N1304" s="3" t="s">
        <v>1250</v>
      </c>
      <c r="P1304" s="3" t="s">
        <v>102</v>
      </c>
      <c r="Q1304" s="2" t="s">
        <v>13100</v>
      </c>
      <c r="R1304" s="3" t="s">
        <v>70</v>
      </c>
      <c r="S1304" s="4">
        <v>38</v>
      </c>
      <c r="T1304" s="4">
        <v>38</v>
      </c>
      <c r="U1304" s="5" t="s">
        <v>13101</v>
      </c>
      <c r="V1304" s="5" t="s">
        <v>13101</v>
      </c>
      <c r="W1304" s="5" t="s">
        <v>72</v>
      </c>
      <c r="X1304" s="5" t="s">
        <v>72</v>
      </c>
      <c r="Y1304" s="4">
        <v>1353</v>
      </c>
      <c r="Z1304" s="4">
        <v>56</v>
      </c>
      <c r="AA1304" s="4">
        <v>133</v>
      </c>
      <c r="AB1304" s="4">
        <v>2</v>
      </c>
      <c r="AC1304" s="4">
        <v>22</v>
      </c>
      <c r="AD1304" s="4">
        <v>144</v>
      </c>
      <c r="AE1304" s="4">
        <v>173</v>
      </c>
      <c r="AF1304" s="4">
        <v>1</v>
      </c>
      <c r="AG1304" s="4">
        <v>9</v>
      </c>
      <c r="AH1304" s="4">
        <v>110</v>
      </c>
      <c r="AI1304" s="4">
        <v>115</v>
      </c>
      <c r="AJ1304" s="4">
        <v>21</v>
      </c>
      <c r="AK1304" s="4">
        <v>29</v>
      </c>
      <c r="AL1304" s="4">
        <v>64</v>
      </c>
      <c r="AM1304" s="4">
        <v>65</v>
      </c>
      <c r="AN1304" s="4">
        <v>0</v>
      </c>
      <c r="AO1304" s="4">
        <v>0</v>
      </c>
      <c r="AP1304" s="4">
        <v>34</v>
      </c>
      <c r="AQ1304" s="4">
        <v>59</v>
      </c>
      <c r="AR1304" s="3" t="s">
        <v>64</v>
      </c>
      <c r="AS1304" s="3" t="s">
        <v>64</v>
      </c>
      <c r="AT1304" s="3" t="s">
        <v>64</v>
      </c>
      <c r="AV1304" s="6" t="str">
        <f>HYPERLINK("http://mcgill.on.worldcat.org/oclc/28063095","Catalog Record")</f>
        <v>Catalog Record</v>
      </c>
      <c r="AW1304" s="6" t="str">
        <f>HYPERLINK("http://www.worldcat.org/oclc/28063095","WorldCat Record")</f>
        <v>WorldCat Record</v>
      </c>
      <c r="AX1304" s="3" t="s">
        <v>13102</v>
      </c>
      <c r="AY1304" s="3" t="s">
        <v>13103</v>
      </c>
      <c r="AZ1304" s="3" t="s">
        <v>13104</v>
      </c>
      <c r="BA1304" s="3" t="s">
        <v>13104</v>
      </c>
      <c r="BB1304" s="3" t="s">
        <v>13105</v>
      </c>
      <c r="BC1304" s="3" t="s">
        <v>77</v>
      </c>
      <c r="BD1304" s="3" t="s">
        <v>78</v>
      </c>
      <c r="BE1304" s="3" t="s">
        <v>13106</v>
      </c>
      <c r="BF1304" s="3" t="s">
        <v>13105</v>
      </c>
      <c r="BG1304" s="3" t="s">
        <v>13107</v>
      </c>
      <c r="BH1304">
        <f t="shared" si="40"/>
        <v>0</v>
      </c>
    </row>
    <row r="1305" spans="1:60" ht="58" x14ac:dyDescent="0.35">
      <c r="A1305" s="2" t="s">
        <v>59</v>
      </c>
      <c r="B1305" s="2" t="s">
        <v>60</v>
      </c>
      <c r="C1305" s="2" t="s">
        <v>13108</v>
      </c>
      <c r="D1305" s="2" t="s">
        <v>13109</v>
      </c>
      <c r="E1305" s="2" t="s">
        <v>13110</v>
      </c>
      <c r="G1305" s="3" t="s">
        <v>64</v>
      </c>
      <c r="I1305" s="3" t="s">
        <v>64</v>
      </c>
      <c r="J1305" s="3" t="s">
        <v>64</v>
      </c>
      <c r="K1305" s="3" t="s">
        <v>65</v>
      </c>
      <c r="L1305" s="2" t="s">
        <v>13111</v>
      </c>
      <c r="M1305" s="2" t="s">
        <v>13112</v>
      </c>
      <c r="N1305" s="3" t="s">
        <v>13113</v>
      </c>
      <c r="O1305" s="2" t="s">
        <v>13114</v>
      </c>
      <c r="P1305" s="3" t="s">
        <v>944</v>
      </c>
      <c r="R1305" s="3" t="s">
        <v>70</v>
      </c>
      <c r="S1305" s="4">
        <v>1</v>
      </c>
      <c r="T1305" s="4">
        <v>1</v>
      </c>
      <c r="U1305" s="5" t="s">
        <v>500</v>
      </c>
      <c r="V1305" s="5" t="s">
        <v>500</v>
      </c>
      <c r="W1305" s="5" t="s">
        <v>72</v>
      </c>
      <c r="X1305" s="5" t="s">
        <v>72</v>
      </c>
      <c r="Y1305" s="4">
        <v>4</v>
      </c>
      <c r="Z1305" s="4">
        <v>1</v>
      </c>
      <c r="AA1305" s="4">
        <v>4</v>
      </c>
      <c r="AB1305" s="4">
        <v>1</v>
      </c>
      <c r="AC1305" s="4">
        <v>1</v>
      </c>
      <c r="AD1305" s="4">
        <v>3</v>
      </c>
      <c r="AE1305" s="4">
        <v>11</v>
      </c>
      <c r="AF1305" s="4">
        <v>0</v>
      </c>
      <c r="AG1305" s="4">
        <v>0</v>
      </c>
      <c r="AH1305" s="4">
        <v>2</v>
      </c>
      <c r="AI1305" s="4">
        <v>9</v>
      </c>
      <c r="AJ1305" s="4">
        <v>0</v>
      </c>
      <c r="AK1305" s="4">
        <v>2</v>
      </c>
      <c r="AL1305" s="4">
        <v>3</v>
      </c>
      <c r="AM1305" s="4">
        <v>7</v>
      </c>
      <c r="AN1305" s="4">
        <v>0</v>
      </c>
      <c r="AO1305" s="4">
        <v>0</v>
      </c>
      <c r="AP1305" s="4">
        <v>0</v>
      </c>
      <c r="AQ1305" s="4">
        <v>2</v>
      </c>
      <c r="AR1305" s="3" t="s">
        <v>64</v>
      </c>
      <c r="AS1305" s="3" t="s">
        <v>64</v>
      </c>
      <c r="AT1305" s="3" t="s">
        <v>64</v>
      </c>
      <c r="AV1305" s="6" t="str">
        <f>HYPERLINK("http://mcgill.on.worldcat.org/oclc/51746293","Catalog Record")</f>
        <v>Catalog Record</v>
      </c>
      <c r="AW1305" s="6" t="str">
        <f>HYPERLINK("http://www.worldcat.org/oclc/51746293","WorldCat Record")</f>
        <v>WorldCat Record</v>
      </c>
      <c r="AX1305" s="3" t="s">
        <v>13115</v>
      </c>
      <c r="AY1305" s="3" t="s">
        <v>13116</v>
      </c>
      <c r="AZ1305" s="3" t="s">
        <v>13117</v>
      </c>
      <c r="BA1305" s="3" t="s">
        <v>13117</v>
      </c>
      <c r="BB1305" s="3" t="s">
        <v>13118</v>
      </c>
      <c r="BC1305" s="3" t="s">
        <v>77</v>
      </c>
      <c r="BD1305" s="3" t="s">
        <v>78</v>
      </c>
      <c r="BF1305" s="3" t="s">
        <v>13118</v>
      </c>
      <c r="BG1305" s="3" t="s">
        <v>13119</v>
      </c>
      <c r="BH1305">
        <f t="shared" si="40"/>
        <v>0</v>
      </c>
    </row>
    <row r="1306" spans="1:60" ht="58" x14ac:dyDescent="0.35">
      <c r="A1306" s="2" t="s">
        <v>59</v>
      </c>
      <c r="B1306" s="2" t="s">
        <v>60</v>
      </c>
      <c r="C1306" s="2" t="s">
        <v>13120</v>
      </c>
      <c r="D1306" s="2" t="s">
        <v>13121</v>
      </c>
      <c r="E1306" s="2" t="s">
        <v>13122</v>
      </c>
      <c r="G1306" s="3" t="s">
        <v>64</v>
      </c>
      <c r="I1306" s="3" t="s">
        <v>64</v>
      </c>
      <c r="J1306" s="3" t="s">
        <v>128</v>
      </c>
      <c r="K1306" s="3" t="s">
        <v>65</v>
      </c>
      <c r="L1306" s="2" t="s">
        <v>13123</v>
      </c>
      <c r="M1306" s="2" t="s">
        <v>13124</v>
      </c>
      <c r="N1306" s="3" t="s">
        <v>1087</v>
      </c>
      <c r="P1306" s="3" t="s">
        <v>102</v>
      </c>
      <c r="R1306" s="3" t="s">
        <v>70</v>
      </c>
      <c r="S1306" s="4">
        <v>37</v>
      </c>
      <c r="T1306" s="4">
        <v>37</v>
      </c>
      <c r="U1306" s="5" t="s">
        <v>8209</v>
      </c>
      <c r="V1306" s="5" t="s">
        <v>8209</v>
      </c>
      <c r="W1306" s="5" t="s">
        <v>72</v>
      </c>
      <c r="X1306" s="5" t="s">
        <v>72</v>
      </c>
      <c r="Y1306" s="4">
        <v>237</v>
      </c>
      <c r="Z1306" s="4">
        <v>17</v>
      </c>
      <c r="AA1306" s="4">
        <v>59</v>
      </c>
      <c r="AB1306" s="4">
        <v>1</v>
      </c>
      <c r="AC1306" s="4">
        <v>6</v>
      </c>
      <c r="AD1306" s="4">
        <v>26</v>
      </c>
      <c r="AE1306" s="4">
        <v>142</v>
      </c>
      <c r="AF1306" s="4">
        <v>0</v>
      </c>
      <c r="AG1306" s="4">
        <v>5</v>
      </c>
      <c r="AH1306" s="4">
        <v>20</v>
      </c>
      <c r="AI1306" s="4">
        <v>113</v>
      </c>
      <c r="AJ1306" s="4">
        <v>9</v>
      </c>
      <c r="AK1306" s="4">
        <v>25</v>
      </c>
      <c r="AL1306" s="4">
        <v>6</v>
      </c>
      <c r="AM1306" s="4">
        <v>61</v>
      </c>
      <c r="AN1306" s="4">
        <v>0</v>
      </c>
      <c r="AO1306" s="4">
        <v>0</v>
      </c>
      <c r="AP1306" s="4">
        <v>12</v>
      </c>
      <c r="AQ1306" s="4">
        <v>36</v>
      </c>
      <c r="AR1306" s="3" t="s">
        <v>64</v>
      </c>
      <c r="AS1306" s="3" t="s">
        <v>64</v>
      </c>
      <c r="AT1306" s="3" t="s">
        <v>64</v>
      </c>
      <c r="AV1306" s="6" t="str">
        <f>HYPERLINK("http://mcgill.on.worldcat.org/oclc/23733172","Catalog Record")</f>
        <v>Catalog Record</v>
      </c>
      <c r="AW1306" s="6" t="str">
        <f>HYPERLINK("http://www.worldcat.org/oclc/23733172","WorldCat Record")</f>
        <v>WorldCat Record</v>
      </c>
      <c r="AX1306" s="3" t="s">
        <v>13125</v>
      </c>
      <c r="AY1306" s="3" t="s">
        <v>13126</v>
      </c>
      <c r="AZ1306" s="3" t="s">
        <v>13127</v>
      </c>
      <c r="BA1306" s="3" t="s">
        <v>13127</v>
      </c>
      <c r="BB1306" s="3" t="s">
        <v>13128</v>
      </c>
      <c r="BC1306" s="3" t="s">
        <v>77</v>
      </c>
      <c r="BD1306" s="3" t="s">
        <v>78</v>
      </c>
      <c r="BE1306" s="3" t="s">
        <v>13129</v>
      </c>
      <c r="BF1306" s="3" t="s">
        <v>13128</v>
      </c>
      <c r="BG1306" s="3" t="s">
        <v>13130</v>
      </c>
      <c r="BH1306">
        <f t="shared" si="40"/>
        <v>0</v>
      </c>
    </row>
    <row r="1307" spans="1:60" ht="58" x14ac:dyDescent="0.35">
      <c r="A1307" s="2" t="s">
        <v>59</v>
      </c>
      <c r="B1307" s="2" t="s">
        <v>60</v>
      </c>
      <c r="C1307" s="2" t="s">
        <v>13131</v>
      </c>
      <c r="D1307" s="2" t="s">
        <v>13132</v>
      </c>
      <c r="E1307" s="2" t="s">
        <v>13133</v>
      </c>
      <c r="G1307" s="3" t="s">
        <v>64</v>
      </c>
      <c r="I1307" s="3" t="s">
        <v>64</v>
      </c>
      <c r="J1307" s="3" t="s">
        <v>64</v>
      </c>
      <c r="K1307" s="3" t="s">
        <v>65</v>
      </c>
      <c r="L1307" s="2" t="s">
        <v>13134</v>
      </c>
      <c r="M1307" s="2" t="s">
        <v>13135</v>
      </c>
      <c r="N1307" s="3" t="s">
        <v>3072</v>
      </c>
      <c r="P1307" s="3" t="s">
        <v>944</v>
      </c>
      <c r="Q1307" s="2" t="s">
        <v>13136</v>
      </c>
      <c r="R1307" s="3" t="s">
        <v>70</v>
      </c>
      <c r="S1307" s="4">
        <v>3</v>
      </c>
      <c r="T1307" s="4">
        <v>3</v>
      </c>
      <c r="U1307" s="5" t="s">
        <v>10460</v>
      </c>
      <c r="V1307" s="5" t="s">
        <v>10460</v>
      </c>
      <c r="W1307" s="5" t="s">
        <v>72</v>
      </c>
      <c r="X1307" s="5" t="s">
        <v>72</v>
      </c>
      <c r="Y1307" s="4">
        <v>72</v>
      </c>
      <c r="Z1307" s="4">
        <v>2</v>
      </c>
      <c r="AA1307" s="4">
        <v>7</v>
      </c>
      <c r="AB1307" s="4">
        <v>1</v>
      </c>
      <c r="AC1307" s="4">
        <v>2</v>
      </c>
      <c r="AD1307" s="4">
        <v>28</v>
      </c>
      <c r="AE1307" s="4">
        <v>51</v>
      </c>
      <c r="AF1307" s="4">
        <v>0</v>
      </c>
      <c r="AG1307" s="4">
        <v>0</v>
      </c>
      <c r="AH1307" s="4">
        <v>25</v>
      </c>
      <c r="AI1307" s="4">
        <v>47</v>
      </c>
      <c r="AJ1307" s="4">
        <v>1</v>
      </c>
      <c r="AK1307" s="4">
        <v>5</v>
      </c>
      <c r="AL1307" s="4">
        <v>20</v>
      </c>
      <c r="AM1307" s="4">
        <v>34</v>
      </c>
      <c r="AN1307" s="4">
        <v>0</v>
      </c>
      <c r="AO1307" s="4">
        <v>0</v>
      </c>
      <c r="AP1307" s="4">
        <v>1</v>
      </c>
      <c r="AQ1307" s="4">
        <v>5</v>
      </c>
      <c r="AR1307" s="3" t="s">
        <v>64</v>
      </c>
      <c r="AS1307" s="3" t="s">
        <v>64</v>
      </c>
      <c r="AT1307" s="3" t="s">
        <v>64</v>
      </c>
      <c r="AV1307" s="6" t="str">
        <f>HYPERLINK("http://mcgill.on.worldcat.org/oclc/378607","Catalog Record")</f>
        <v>Catalog Record</v>
      </c>
      <c r="AW1307" s="6" t="str">
        <f>HYPERLINK("http://www.worldcat.org/oclc/378607","WorldCat Record")</f>
        <v>WorldCat Record</v>
      </c>
      <c r="AX1307" s="3" t="s">
        <v>13137</v>
      </c>
      <c r="AY1307" s="3" t="s">
        <v>13138</v>
      </c>
      <c r="AZ1307" s="3" t="s">
        <v>13139</v>
      </c>
      <c r="BA1307" s="3" t="s">
        <v>13139</v>
      </c>
      <c r="BB1307" s="3" t="s">
        <v>13140</v>
      </c>
      <c r="BC1307" s="3" t="s">
        <v>77</v>
      </c>
      <c r="BD1307" s="3" t="s">
        <v>78</v>
      </c>
      <c r="BF1307" s="3" t="s">
        <v>13140</v>
      </c>
      <c r="BG1307" s="3" t="s">
        <v>13141</v>
      </c>
      <c r="BH1307">
        <f t="shared" si="40"/>
        <v>0</v>
      </c>
    </row>
    <row r="1308" spans="1:60" ht="58" x14ac:dyDescent="0.35">
      <c r="A1308" s="2" t="s">
        <v>59</v>
      </c>
      <c r="B1308" s="2" t="s">
        <v>60</v>
      </c>
      <c r="C1308" s="2" t="s">
        <v>13142</v>
      </c>
      <c r="D1308" s="2" t="s">
        <v>13143</v>
      </c>
      <c r="E1308" s="2" t="s">
        <v>13144</v>
      </c>
      <c r="G1308" s="3" t="s">
        <v>64</v>
      </c>
      <c r="I1308" s="3" t="s">
        <v>64</v>
      </c>
      <c r="J1308" s="3" t="s">
        <v>64</v>
      </c>
      <c r="K1308" s="3" t="s">
        <v>65</v>
      </c>
      <c r="L1308" s="2" t="s">
        <v>13145</v>
      </c>
      <c r="M1308" s="2" t="s">
        <v>13146</v>
      </c>
      <c r="N1308" s="3" t="s">
        <v>551</v>
      </c>
      <c r="P1308" s="3" t="s">
        <v>102</v>
      </c>
      <c r="Q1308" s="2" t="s">
        <v>13147</v>
      </c>
      <c r="R1308" s="3" t="s">
        <v>70</v>
      </c>
      <c r="S1308" s="4">
        <v>3</v>
      </c>
      <c r="T1308" s="4">
        <v>3</v>
      </c>
      <c r="U1308" s="5" t="s">
        <v>13065</v>
      </c>
      <c r="V1308" s="5" t="s">
        <v>13065</v>
      </c>
      <c r="W1308" s="5" t="s">
        <v>72</v>
      </c>
      <c r="X1308" s="5" t="s">
        <v>72</v>
      </c>
      <c r="Y1308" s="4">
        <v>259</v>
      </c>
      <c r="Z1308" s="4">
        <v>13</v>
      </c>
      <c r="AA1308" s="4">
        <v>16</v>
      </c>
      <c r="AB1308" s="4">
        <v>2</v>
      </c>
      <c r="AC1308" s="4">
        <v>4</v>
      </c>
      <c r="AD1308" s="4">
        <v>49</v>
      </c>
      <c r="AE1308" s="4">
        <v>52</v>
      </c>
      <c r="AF1308" s="4">
        <v>0</v>
      </c>
      <c r="AG1308" s="4">
        <v>0</v>
      </c>
      <c r="AH1308" s="4">
        <v>47</v>
      </c>
      <c r="AI1308" s="4">
        <v>49</v>
      </c>
      <c r="AJ1308" s="4">
        <v>5</v>
      </c>
      <c r="AK1308" s="4">
        <v>6</v>
      </c>
      <c r="AL1308" s="4">
        <v>28</v>
      </c>
      <c r="AM1308" s="4">
        <v>29</v>
      </c>
      <c r="AN1308" s="4">
        <v>5</v>
      </c>
      <c r="AO1308" s="4">
        <v>5</v>
      </c>
      <c r="AP1308" s="4">
        <v>5</v>
      </c>
      <c r="AQ1308" s="4">
        <v>6</v>
      </c>
      <c r="AR1308" s="3" t="s">
        <v>64</v>
      </c>
      <c r="AS1308" s="3" t="s">
        <v>64</v>
      </c>
      <c r="AT1308" s="3" t="s">
        <v>128</v>
      </c>
      <c r="AU1308" s="6" t="str">
        <f>HYPERLINK("http://catalog.hathitrust.org/Record/101797280","HathiTrust Record")</f>
        <v>HathiTrust Record</v>
      </c>
      <c r="AV1308" s="6" t="str">
        <f>HYPERLINK("http://mcgill.on.worldcat.org/oclc/319211327","Catalog Record")</f>
        <v>Catalog Record</v>
      </c>
      <c r="AW1308" s="6" t="str">
        <f>HYPERLINK("http://www.worldcat.org/oclc/319211327","WorldCat Record")</f>
        <v>WorldCat Record</v>
      </c>
      <c r="AX1308" s="3" t="s">
        <v>13148</v>
      </c>
      <c r="AY1308" s="3" t="s">
        <v>13149</v>
      </c>
      <c r="AZ1308" s="3" t="s">
        <v>13150</v>
      </c>
      <c r="BA1308" s="3" t="s">
        <v>13150</v>
      </c>
      <c r="BB1308" s="3" t="s">
        <v>13151</v>
      </c>
      <c r="BC1308" s="3" t="s">
        <v>77</v>
      </c>
      <c r="BD1308" s="3" t="s">
        <v>78</v>
      </c>
      <c r="BE1308" s="3" t="s">
        <v>13152</v>
      </c>
      <c r="BF1308" s="3" t="s">
        <v>13151</v>
      </c>
      <c r="BG1308" s="3" t="s">
        <v>13153</v>
      </c>
      <c r="BH1308">
        <f t="shared" si="40"/>
        <v>0</v>
      </c>
    </row>
    <row r="1309" spans="1:60" ht="58" x14ac:dyDescent="0.35">
      <c r="A1309" s="2" t="s">
        <v>59</v>
      </c>
      <c r="B1309" s="2" t="s">
        <v>60</v>
      </c>
      <c r="C1309" s="2" t="s">
        <v>13154</v>
      </c>
      <c r="D1309" s="2" t="s">
        <v>13155</v>
      </c>
      <c r="E1309" s="2" t="s">
        <v>13156</v>
      </c>
      <c r="G1309" s="3" t="s">
        <v>64</v>
      </c>
      <c r="I1309" s="3" t="s">
        <v>64</v>
      </c>
      <c r="J1309" s="3" t="s">
        <v>64</v>
      </c>
      <c r="K1309" s="3" t="s">
        <v>65</v>
      </c>
      <c r="M1309" s="2" t="s">
        <v>13157</v>
      </c>
      <c r="N1309" s="3" t="s">
        <v>578</v>
      </c>
      <c r="P1309" s="3" t="s">
        <v>944</v>
      </c>
      <c r="Q1309" s="2" t="s">
        <v>13158</v>
      </c>
      <c r="R1309" s="3" t="s">
        <v>70</v>
      </c>
      <c r="S1309" s="4">
        <v>0</v>
      </c>
      <c r="T1309" s="4">
        <v>0</v>
      </c>
      <c r="W1309" s="5" t="s">
        <v>72</v>
      </c>
      <c r="X1309" s="5" t="s">
        <v>72</v>
      </c>
      <c r="Y1309" s="4">
        <v>4</v>
      </c>
      <c r="Z1309" s="4">
        <v>1</v>
      </c>
      <c r="AA1309" s="4">
        <v>1</v>
      </c>
      <c r="AB1309" s="4">
        <v>1</v>
      </c>
      <c r="AC1309" s="4">
        <v>1</v>
      </c>
      <c r="AD1309" s="4">
        <v>1</v>
      </c>
      <c r="AE1309" s="4">
        <v>1</v>
      </c>
      <c r="AF1309" s="4">
        <v>0</v>
      </c>
      <c r="AG1309" s="4">
        <v>0</v>
      </c>
      <c r="AH1309" s="4">
        <v>0</v>
      </c>
      <c r="AI1309" s="4">
        <v>0</v>
      </c>
      <c r="AJ1309" s="4">
        <v>0</v>
      </c>
      <c r="AK1309" s="4">
        <v>0</v>
      </c>
      <c r="AL1309" s="4">
        <v>1</v>
      </c>
      <c r="AM1309" s="4">
        <v>1</v>
      </c>
      <c r="AN1309" s="4">
        <v>0</v>
      </c>
      <c r="AO1309" s="4">
        <v>0</v>
      </c>
      <c r="AP1309" s="4">
        <v>0</v>
      </c>
      <c r="AQ1309" s="4">
        <v>0</v>
      </c>
      <c r="AR1309" s="3" t="s">
        <v>64</v>
      </c>
      <c r="AS1309" s="3" t="s">
        <v>64</v>
      </c>
      <c r="AT1309" s="3" t="s">
        <v>64</v>
      </c>
      <c r="AV1309" s="6" t="str">
        <f>HYPERLINK("http://mcgill.on.worldcat.org/oclc/1015838430","Catalog Record")</f>
        <v>Catalog Record</v>
      </c>
      <c r="AW1309" s="6" t="str">
        <f>HYPERLINK("http://www.worldcat.org/oclc/1015838430","WorldCat Record")</f>
        <v>WorldCat Record</v>
      </c>
      <c r="AX1309" s="3" t="s">
        <v>13159</v>
      </c>
      <c r="AY1309" s="3" t="s">
        <v>13160</v>
      </c>
      <c r="AZ1309" s="3" t="s">
        <v>13161</v>
      </c>
      <c r="BA1309" s="3" t="s">
        <v>13161</v>
      </c>
      <c r="BB1309" s="3" t="s">
        <v>13162</v>
      </c>
      <c r="BC1309" s="3" t="s">
        <v>77</v>
      </c>
      <c r="BD1309" s="3" t="s">
        <v>78</v>
      </c>
      <c r="BE1309" s="3" t="s">
        <v>13163</v>
      </c>
      <c r="BF1309" s="3" t="s">
        <v>13162</v>
      </c>
      <c r="BG1309" s="3" t="s">
        <v>13164</v>
      </c>
      <c r="BH1309">
        <f t="shared" si="40"/>
        <v>0</v>
      </c>
    </row>
    <row r="1310" spans="1:60" ht="58" x14ac:dyDescent="0.35">
      <c r="A1310" s="2" t="s">
        <v>59</v>
      </c>
      <c r="B1310" s="2" t="s">
        <v>60</v>
      </c>
      <c r="C1310" s="2" t="s">
        <v>13165</v>
      </c>
      <c r="D1310" s="2" t="s">
        <v>13166</v>
      </c>
      <c r="E1310" s="2" t="s">
        <v>13167</v>
      </c>
      <c r="G1310" s="3" t="s">
        <v>64</v>
      </c>
      <c r="I1310" s="3" t="s">
        <v>64</v>
      </c>
      <c r="J1310" s="3" t="s">
        <v>64</v>
      </c>
      <c r="K1310" s="3" t="s">
        <v>65</v>
      </c>
      <c r="M1310" s="2" t="s">
        <v>13168</v>
      </c>
      <c r="N1310" s="3" t="s">
        <v>171</v>
      </c>
      <c r="P1310" s="3" t="s">
        <v>68</v>
      </c>
      <c r="R1310" s="3" t="s">
        <v>70</v>
      </c>
      <c r="S1310" s="4">
        <v>5</v>
      </c>
      <c r="T1310" s="4">
        <v>5</v>
      </c>
      <c r="U1310" s="5" t="s">
        <v>13169</v>
      </c>
      <c r="V1310" s="5" t="s">
        <v>13169</v>
      </c>
      <c r="W1310" s="5" t="s">
        <v>72</v>
      </c>
      <c r="X1310" s="5" t="s">
        <v>72</v>
      </c>
      <c r="Y1310" s="4">
        <v>23</v>
      </c>
      <c r="Z1310" s="4">
        <v>11</v>
      </c>
      <c r="AA1310" s="4">
        <v>38</v>
      </c>
      <c r="AB1310" s="4">
        <v>3</v>
      </c>
      <c r="AC1310" s="4">
        <v>16</v>
      </c>
      <c r="AD1310" s="4">
        <v>16</v>
      </c>
      <c r="AE1310" s="4">
        <v>33</v>
      </c>
      <c r="AF1310" s="4">
        <v>2</v>
      </c>
      <c r="AG1310" s="4">
        <v>7</v>
      </c>
      <c r="AH1310" s="4">
        <v>10</v>
      </c>
      <c r="AI1310" s="4">
        <v>17</v>
      </c>
      <c r="AJ1310" s="4">
        <v>6</v>
      </c>
      <c r="AK1310" s="4">
        <v>18</v>
      </c>
      <c r="AL1310" s="4">
        <v>6</v>
      </c>
      <c r="AM1310" s="4">
        <v>9</v>
      </c>
      <c r="AN1310" s="4">
        <v>0</v>
      </c>
      <c r="AO1310" s="4">
        <v>0</v>
      </c>
      <c r="AP1310" s="4">
        <v>9</v>
      </c>
      <c r="AQ1310" s="4">
        <v>21</v>
      </c>
      <c r="AR1310" s="3" t="s">
        <v>128</v>
      </c>
      <c r="AS1310" s="3" t="s">
        <v>64</v>
      </c>
      <c r="AT1310" s="3" t="s">
        <v>64</v>
      </c>
      <c r="AV1310" s="6" t="str">
        <f>HYPERLINK("http://mcgill.on.worldcat.org/oclc/70292364","Catalog Record")</f>
        <v>Catalog Record</v>
      </c>
      <c r="AW1310" s="6" t="str">
        <f>HYPERLINK("http://www.worldcat.org/oclc/70292364","WorldCat Record")</f>
        <v>WorldCat Record</v>
      </c>
      <c r="AX1310" s="3" t="s">
        <v>13170</v>
      </c>
      <c r="AY1310" s="3" t="s">
        <v>13171</v>
      </c>
      <c r="AZ1310" s="3" t="s">
        <v>13172</v>
      </c>
      <c r="BA1310" s="3" t="s">
        <v>13172</v>
      </c>
      <c r="BB1310" s="3" t="s">
        <v>13173</v>
      </c>
      <c r="BC1310" s="3" t="s">
        <v>77</v>
      </c>
      <c r="BD1310" s="3" t="s">
        <v>78</v>
      </c>
      <c r="BE1310" s="3" t="s">
        <v>13174</v>
      </c>
      <c r="BF1310" s="3" t="s">
        <v>13173</v>
      </c>
      <c r="BG1310" s="3" t="s">
        <v>13175</v>
      </c>
      <c r="BH1310">
        <f t="shared" si="40"/>
        <v>0</v>
      </c>
    </row>
    <row r="1311" spans="1:60" ht="58" x14ac:dyDescent="0.35">
      <c r="A1311" s="2" t="s">
        <v>59</v>
      </c>
      <c r="B1311" s="2" t="s">
        <v>60</v>
      </c>
      <c r="C1311" s="2" t="s">
        <v>13176</v>
      </c>
      <c r="D1311" s="2" t="s">
        <v>13177</v>
      </c>
      <c r="E1311" s="2" t="s">
        <v>13178</v>
      </c>
      <c r="G1311" s="3" t="s">
        <v>64</v>
      </c>
      <c r="I1311" s="3" t="s">
        <v>64</v>
      </c>
      <c r="J1311" s="3" t="s">
        <v>64</v>
      </c>
      <c r="K1311" s="3" t="s">
        <v>65</v>
      </c>
      <c r="L1311" s="2" t="s">
        <v>13179</v>
      </c>
      <c r="M1311" s="2" t="s">
        <v>13180</v>
      </c>
      <c r="N1311" s="3" t="s">
        <v>768</v>
      </c>
      <c r="P1311" s="3" t="s">
        <v>102</v>
      </c>
      <c r="R1311" s="3" t="s">
        <v>70</v>
      </c>
      <c r="S1311" s="4">
        <v>20</v>
      </c>
      <c r="T1311" s="4">
        <v>20</v>
      </c>
      <c r="U1311" s="5" t="s">
        <v>2874</v>
      </c>
      <c r="V1311" s="5" t="s">
        <v>2874</v>
      </c>
      <c r="W1311" s="5" t="s">
        <v>72</v>
      </c>
      <c r="X1311" s="5" t="s">
        <v>72</v>
      </c>
      <c r="Y1311" s="4">
        <v>73</v>
      </c>
      <c r="Z1311" s="4">
        <v>51</v>
      </c>
      <c r="AA1311" s="4">
        <v>54</v>
      </c>
      <c r="AB1311" s="4">
        <v>2</v>
      </c>
      <c r="AC1311" s="4">
        <v>2</v>
      </c>
      <c r="AD1311" s="4">
        <v>46</v>
      </c>
      <c r="AE1311" s="4">
        <v>47</v>
      </c>
      <c r="AF1311" s="4">
        <v>0</v>
      </c>
      <c r="AG1311" s="4">
        <v>0</v>
      </c>
      <c r="AH1311" s="4">
        <v>22</v>
      </c>
      <c r="AI1311" s="4">
        <v>23</v>
      </c>
      <c r="AJ1311" s="4">
        <v>22</v>
      </c>
      <c r="AK1311" s="4">
        <v>23</v>
      </c>
      <c r="AL1311" s="4">
        <v>10</v>
      </c>
      <c r="AM1311" s="4">
        <v>11</v>
      </c>
      <c r="AN1311" s="4">
        <v>0</v>
      </c>
      <c r="AO1311" s="4">
        <v>0</v>
      </c>
      <c r="AP1311" s="4">
        <v>32</v>
      </c>
      <c r="AQ1311" s="4">
        <v>33</v>
      </c>
      <c r="AR1311" s="3" t="s">
        <v>128</v>
      </c>
      <c r="AS1311" s="3" t="s">
        <v>64</v>
      </c>
      <c r="AT1311" s="3" t="s">
        <v>128</v>
      </c>
      <c r="AU1311" s="6" t="str">
        <f>HYPERLINK("http://catalog.hathitrust.org/Record/000707310","HathiTrust Record")</f>
        <v>HathiTrust Record</v>
      </c>
      <c r="AV1311" s="6" t="str">
        <f>HYPERLINK("http://mcgill.on.worldcat.org/oclc/6041487","Catalog Record")</f>
        <v>Catalog Record</v>
      </c>
      <c r="AW1311" s="6" t="str">
        <f>HYPERLINK("http://www.worldcat.org/oclc/6041487","WorldCat Record")</f>
        <v>WorldCat Record</v>
      </c>
      <c r="AX1311" s="3" t="s">
        <v>13181</v>
      </c>
      <c r="AY1311" s="3" t="s">
        <v>13182</v>
      </c>
      <c r="AZ1311" s="3" t="s">
        <v>13183</v>
      </c>
      <c r="BA1311" s="3" t="s">
        <v>13183</v>
      </c>
      <c r="BB1311" s="3" t="s">
        <v>13184</v>
      </c>
      <c r="BC1311" s="3" t="s">
        <v>77</v>
      </c>
      <c r="BD1311" s="3" t="s">
        <v>78</v>
      </c>
      <c r="BE1311" s="3" t="s">
        <v>13185</v>
      </c>
      <c r="BF1311" s="3" t="s">
        <v>13184</v>
      </c>
      <c r="BG1311" s="3" t="s">
        <v>13186</v>
      </c>
      <c r="BH1311">
        <f t="shared" si="40"/>
        <v>0</v>
      </c>
    </row>
    <row r="1312" spans="1:60" ht="58" x14ac:dyDescent="0.35">
      <c r="A1312" s="2" t="s">
        <v>59</v>
      </c>
      <c r="B1312" s="2" t="s">
        <v>60</v>
      </c>
      <c r="C1312" s="2" t="s">
        <v>13187</v>
      </c>
      <c r="D1312" s="2" t="s">
        <v>13188</v>
      </c>
      <c r="E1312" s="2" t="s">
        <v>13189</v>
      </c>
      <c r="G1312" s="3" t="s">
        <v>64</v>
      </c>
      <c r="I1312" s="3" t="s">
        <v>64</v>
      </c>
      <c r="J1312" s="3" t="s">
        <v>64</v>
      </c>
      <c r="K1312" s="3" t="s">
        <v>65</v>
      </c>
      <c r="L1312" s="2" t="s">
        <v>13190</v>
      </c>
      <c r="M1312" s="2" t="s">
        <v>13191</v>
      </c>
      <c r="N1312" s="3" t="s">
        <v>1615</v>
      </c>
      <c r="O1312" s="2" t="s">
        <v>172</v>
      </c>
      <c r="P1312" s="3" t="s">
        <v>102</v>
      </c>
      <c r="R1312" s="3" t="s">
        <v>70</v>
      </c>
      <c r="S1312" s="4">
        <v>28</v>
      </c>
      <c r="T1312" s="4">
        <v>28</v>
      </c>
      <c r="U1312" s="5" t="s">
        <v>13192</v>
      </c>
      <c r="V1312" s="5" t="s">
        <v>13192</v>
      </c>
      <c r="W1312" s="5" t="s">
        <v>72</v>
      </c>
      <c r="X1312" s="5" t="s">
        <v>72</v>
      </c>
      <c r="Y1312" s="4">
        <v>161</v>
      </c>
      <c r="Z1312" s="4">
        <v>34</v>
      </c>
      <c r="AA1312" s="4">
        <v>66</v>
      </c>
      <c r="AB1312" s="4">
        <v>1</v>
      </c>
      <c r="AC1312" s="4">
        <v>4</v>
      </c>
      <c r="AD1312" s="4">
        <v>71</v>
      </c>
      <c r="AE1312" s="4">
        <v>112</v>
      </c>
      <c r="AF1312" s="4">
        <v>0</v>
      </c>
      <c r="AG1312" s="4">
        <v>3</v>
      </c>
      <c r="AH1312" s="4">
        <v>59</v>
      </c>
      <c r="AI1312" s="4">
        <v>82</v>
      </c>
      <c r="AJ1312" s="4">
        <v>15</v>
      </c>
      <c r="AK1312" s="4">
        <v>22</v>
      </c>
      <c r="AL1312" s="4">
        <v>35</v>
      </c>
      <c r="AM1312" s="4">
        <v>45</v>
      </c>
      <c r="AN1312" s="4">
        <v>0</v>
      </c>
      <c r="AO1312" s="4">
        <v>0</v>
      </c>
      <c r="AP1312" s="4">
        <v>18</v>
      </c>
      <c r="AQ1312" s="4">
        <v>34</v>
      </c>
      <c r="AR1312" s="3" t="s">
        <v>128</v>
      </c>
      <c r="AS1312" s="3" t="s">
        <v>64</v>
      </c>
      <c r="AT1312" s="3" t="s">
        <v>64</v>
      </c>
      <c r="AV1312" s="6" t="str">
        <f>HYPERLINK("http://mcgill.on.worldcat.org/oclc/35924970","Catalog Record")</f>
        <v>Catalog Record</v>
      </c>
      <c r="AW1312" s="6" t="str">
        <f>HYPERLINK("http://www.worldcat.org/oclc/35924970","WorldCat Record")</f>
        <v>WorldCat Record</v>
      </c>
      <c r="AX1312" s="3" t="s">
        <v>13193</v>
      </c>
      <c r="AY1312" s="3" t="s">
        <v>13194</v>
      </c>
      <c r="AZ1312" s="3" t="s">
        <v>13195</v>
      </c>
      <c r="BA1312" s="3" t="s">
        <v>13195</v>
      </c>
      <c r="BB1312" s="3" t="s">
        <v>13196</v>
      </c>
      <c r="BC1312" s="3" t="s">
        <v>77</v>
      </c>
      <c r="BD1312" s="3" t="s">
        <v>78</v>
      </c>
      <c r="BE1312" s="3" t="s">
        <v>13197</v>
      </c>
      <c r="BF1312" s="3" t="s">
        <v>13196</v>
      </c>
      <c r="BG1312" s="3" t="s">
        <v>13198</v>
      </c>
      <c r="BH1312">
        <f t="shared" si="40"/>
        <v>0</v>
      </c>
    </row>
    <row r="1313" spans="1:60" ht="58" x14ac:dyDescent="0.35">
      <c r="A1313" s="2" t="s">
        <v>59</v>
      </c>
      <c r="B1313" s="2" t="s">
        <v>60</v>
      </c>
      <c r="C1313" s="2" t="s">
        <v>13199</v>
      </c>
      <c r="D1313" s="2" t="s">
        <v>13200</v>
      </c>
      <c r="E1313" s="2" t="s">
        <v>13201</v>
      </c>
      <c r="F1313" s="3" t="s">
        <v>525</v>
      </c>
      <c r="G1313" s="3" t="s">
        <v>128</v>
      </c>
      <c r="I1313" s="3" t="s">
        <v>64</v>
      </c>
      <c r="J1313" s="3" t="s">
        <v>64</v>
      </c>
      <c r="K1313" s="3" t="s">
        <v>65</v>
      </c>
      <c r="L1313" s="2" t="s">
        <v>13202</v>
      </c>
      <c r="M1313" s="2" t="s">
        <v>13203</v>
      </c>
      <c r="N1313" s="3" t="s">
        <v>1615</v>
      </c>
      <c r="P1313" s="3" t="s">
        <v>68</v>
      </c>
      <c r="R1313" s="3" t="s">
        <v>70</v>
      </c>
      <c r="S1313" s="4">
        <v>38</v>
      </c>
      <c r="T1313" s="4">
        <v>60</v>
      </c>
      <c r="U1313" s="5" t="s">
        <v>13204</v>
      </c>
      <c r="V1313" s="5" t="s">
        <v>13204</v>
      </c>
      <c r="W1313" s="5" t="s">
        <v>72</v>
      </c>
      <c r="X1313" s="5" t="s">
        <v>72</v>
      </c>
      <c r="Y1313" s="4">
        <v>3</v>
      </c>
      <c r="Z1313" s="4">
        <v>3</v>
      </c>
      <c r="AA1313" s="4">
        <v>38</v>
      </c>
      <c r="AB1313" s="4">
        <v>2</v>
      </c>
      <c r="AC1313" s="4">
        <v>15</v>
      </c>
      <c r="AD1313" s="4">
        <v>2</v>
      </c>
      <c r="AE1313" s="4">
        <v>22</v>
      </c>
      <c r="AF1313" s="4">
        <v>1</v>
      </c>
      <c r="AG1313" s="4">
        <v>5</v>
      </c>
      <c r="AH1313" s="4">
        <v>0</v>
      </c>
      <c r="AI1313" s="4">
        <v>8</v>
      </c>
      <c r="AJ1313" s="4">
        <v>1</v>
      </c>
      <c r="AK1313" s="4">
        <v>17</v>
      </c>
      <c r="AL1313" s="4">
        <v>0</v>
      </c>
      <c r="AM1313" s="4">
        <v>1</v>
      </c>
      <c r="AN1313" s="4">
        <v>0</v>
      </c>
      <c r="AO1313" s="4">
        <v>0</v>
      </c>
      <c r="AP1313" s="4">
        <v>2</v>
      </c>
      <c r="AQ1313" s="4">
        <v>19</v>
      </c>
      <c r="AR1313" s="3" t="s">
        <v>128</v>
      </c>
      <c r="AS1313" s="3" t="s">
        <v>64</v>
      </c>
      <c r="AT1313" s="3" t="s">
        <v>128</v>
      </c>
      <c r="AU1313" s="6" t="str">
        <f>HYPERLINK("http://catalog.hathitrust.org/Record/101986606","HathiTrust Record")</f>
        <v>HathiTrust Record</v>
      </c>
      <c r="AV1313" s="6" t="str">
        <f>HYPERLINK("http://mcgill.on.worldcat.org/oclc/428013087","Catalog Record")</f>
        <v>Catalog Record</v>
      </c>
      <c r="AW1313" s="6" t="str">
        <f>HYPERLINK("http://www.worldcat.org/oclc/428013087","WorldCat Record")</f>
        <v>WorldCat Record</v>
      </c>
      <c r="AX1313" s="3" t="s">
        <v>13205</v>
      </c>
      <c r="AY1313" s="3" t="s">
        <v>13206</v>
      </c>
      <c r="AZ1313" s="3" t="s">
        <v>13207</v>
      </c>
      <c r="BA1313" s="3" t="s">
        <v>13207</v>
      </c>
      <c r="BB1313" s="3" t="s">
        <v>13208</v>
      </c>
      <c r="BC1313" s="3" t="s">
        <v>77</v>
      </c>
      <c r="BD1313" s="3" t="s">
        <v>78</v>
      </c>
      <c r="BE1313" s="3" t="s">
        <v>13209</v>
      </c>
      <c r="BF1313" s="3" t="s">
        <v>13208</v>
      </c>
      <c r="BG1313" s="3" t="s">
        <v>13210</v>
      </c>
      <c r="BH1313">
        <f t="shared" si="40"/>
        <v>0</v>
      </c>
    </row>
    <row r="1314" spans="1:60" ht="58" x14ac:dyDescent="0.35">
      <c r="A1314" s="2" t="s">
        <v>59</v>
      </c>
      <c r="B1314" s="2" t="s">
        <v>60</v>
      </c>
      <c r="C1314" s="2" t="s">
        <v>13199</v>
      </c>
      <c r="D1314" s="2" t="s">
        <v>13200</v>
      </c>
      <c r="E1314" s="2" t="s">
        <v>13201</v>
      </c>
      <c r="F1314" s="3" t="s">
        <v>529</v>
      </c>
      <c r="G1314" s="3" t="s">
        <v>128</v>
      </c>
      <c r="I1314" s="3" t="s">
        <v>64</v>
      </c>
      <c r="J1314" s="3" t="s">
        <v>64</v>
      </c>
      <c r="K1314" s="3" t="s">
        <v>65</v>
      </c>
      <c r="L1314" s="2" t="s">
        <v>13202</v>
      </c>
      <c r="M1314" s="2" t="s">
        <v>13203</v>
      </c>
      <c r="N1314" s="3" t="s">
        <v>1615</v>
      </c>
      <c r="P1314" s="3" t="s">
        <v>68</v>
      </c>
      <c r="R1314" s="3" t="s">
        <v>70</v>
      </c>
      <c r="S1314" s="4">
        <v>22</v>
      </c>
      <c r="T1314" s="4">
        <v>60</v>
      </c>
      <c r="U1314" s="5" t="s">
        <v>13204</v>
      </c>
      <c r="V1314" s="5" t="s">
        <v>13204</v>
      </c>
      <c r="W1314" s="5" t="s">
        <v>72</v>
      </c>
      <c r="X1314" s="5" t="s">
        <v>72</v>
      </c>
      <c r="Y1314" s="4">
        <v>3</v>
      </c>
      <c r="Z1314" s="4">
        <v>3</v>
      </c>
      <c r="AA1314" s="4">
        <v>38</v>
      </c>
      <c r="AB1314" s="4">
        <v>2</v>
      </c>
      <c r="AC1314" s="4">
        <v>15</v>
      </c>
      <c r="AD1314" s="4">
        <v>2</v>
      </c>
      <c r="AE1314" s="4">
        <v>22</v>
      </c>
      <c r="AF1314" s="4">
        <v>1</v>
      </c>
      <c r="AG1314" s="4">
        <v>5</v>
      </c>
      <c r="AH1314" s="4">
        <v>0</v>
      </c>
      <c r="AI1314" s="4">
        <v>8</v>
      </c>
      <c r="AJ1314" s="4">
        <v>1</v>
      </c>
      <c r="AK1314" s="4">
        <v>17</v>
      </c>
      <c r="AL1314" s="4">
        <v>0</v>
      </c>
      <c r="AM1314" s="4">
        <v>1</v>
      </c>
      <c r="AN1314" s="4">
        <v>0</v>
      </c>
      <c r="AO1314" s="4">
        <v>0</v>
      </c>
      <c r="AP1314" s="4">
        <v>2</v>
      </c>
      <c r="AQ1314" s="4">
        <v>19</v>
      </c>
      <c r="AR1314" s="3" t="s">
        <v>128</v>
      </c>
      <c r="AS1314" s="3" t="s">
        <v>64</v>
      </c>
      <c r="AT1314" s="3" t="s">
        <v>128</v>
      </c>
      <c r="AU1314" s="6" t="str">
        <f>HYPERLINK("http://catalog.hathitrust.org/Record/101986606","HathiTrust Record")</f>
        <v>HathiTrust Record</v>
      </c>
      <c r="AV1314" s="6" t="str">
        <f>HYPERLINK("http://mcgill.on.worldcat.org/oclc/428013087","Catalog Record")</f>
        <v>Catalog Record</v>
      </c>
      <c r="AW1314" s="6" t="str">
        <f>HYPERLINK("http://www.worldcat.org/oclc/428013087","WorldCat Record")</f>
        <v>WorldCat Record</v>
      </c>
      <c r="AX1314" s="3" t="s">
        <v>13205</v>
      </c>
      <c r="AY1314" s="3" t="s">
        <v>13206</v>
      </c>
      <c r="AZ1314" s="3" t="s">
        <v>13207</v>
      </c>
      <c r="BA1314" s="3" t="s">
        <v>13207</v>
      </c>
      <c r="BB1314" s="3" t="s">
        <v>13211</v>
      </c>
      <c r="BC1314" s="3" t="s">
        <v>77</v>
      </c>
      <c r="BD1314" s="3" t="s">
        <v>78</v>
      </c>
      <c r="BE1314" s="3" t="s">
        <v>13209</v>
      </c>
      <c r="BF1314" s="3" t="s">
        <v>13211</v>
      </c>
      <c r="BG1314" s="3" t="s">
        <v>13212</v>
      </c>
      <c r="BH1314">
        <f t="shared" si="40"/>
        <v>0</v>
      </c>
    </row>
    <row r="1315" spans="1:60" ht="58" x14ac:dyDescent="0.35">
      <c r="A1315" s="2" t="s">
        <v>59</v>
      </c>
      <c r="B1315" s="2" t="s">
        <v>60</v>
      </c>
      <c r="C1315" s="2" t="s">
        <v>13213</v>
      </c>
      <c r="D1315" s="2" t="s">
        <v>13214</v>
      </c>
      <c r="E1315" s="2" t="s">
        <v>13215</v>
      </c>
      <c r="G1315" s="3" t="s">
        <v>64</v>
      </c>
      <c r="I1315" s="3" t="s">
        <v>64</v>
      </c>
      <c r="J1315" s="3" t="s">
        <v>64</v>
      </c>
      <c r="K1315" s="3" t="s">
        <v>65</v>
      </c>
      <c r="L1315" s="2" t="s">
        <v>13202</v>
      </c>
      <c r="M1315" s="2" t="s">
        <v>13216</v>
      </c>
      <c r="N1315" s="3" t="s">
        <v>511</v>
      </c>
      <c r="P1315" s="3" t="s">
        <v>68</v>
      </c>
      <c r="Q1315" s="2" t="s">
        <v>13217</v>
      </c>
      <c r="R1315" s="3" t="s">
        <v>70</v>
      </c>
      <c r="S1315" s="4">
        <v>6</v>
      </c>
      <c r="T1315" s="4">
        <v>6</v>
      </c>
      <c r="U1315" s="5" t="s">
        <v>13204</v>
      </c>
      <c r="V1315" s="5" t="s">
        <v>13204</v>
      </c>
      <c r="W1315" s="5" t="s">
        <v>72</v>
      </c>
      <c r="X1315" s="5" t="s">
        <v>72</v>
      </c>
      <c r="Y1315" s="4">
        <v>21</v>
      </c>
      <c r="Z1315" s="4">
        <v>18</v>
      </c>
      <c r="AA1315" s="4">
        <v>27</v>
      </c>
      <c r="AB1315" s="4">
        <v>10</v>
      </c>
      <c r="AC1315" s="4">
        <v>11</v>
      </c>
      <c r="AD1315" s="4">
        <v>9</v>
      </c>
      <c r="AE1315" s="4">
        <v>21</v>
      </c>
      <c r="AF1315" s="4">
        <v>3</v>
      </c>
      <c r="AG1315" s="4">
        <v>4</v>
      </c>
      <c r="AH1315" s="4">
        <v>3</v>
      </c>
      <c r="AI1315" s="4">
        <v>11</v>
      </c>
      <c r="AJ1315" s="4">
        <v>8</v>
      </c>
      <c r="AK1315" s="4">
        <v>13</v>
      </c>
      <c r="AL1315" s="4">
        <v>0</v>
      </c>
      <c r="AM1315" s="4">
        <v>4</v>
      </c>
      <c r="AN1315" s="4">
        <v>0</v>
      </c>
      <c r="AO1315" s="4">
        <v>0</v>
      </c>
      <c r="AP1315" s="4">
        <v>7</v>
      </c>
      <c r="AQ1315" s="4">
        <v>15</v>
      </c>
      <c r="AR1315" s="3" t="s">
        <v>128</v>
      </c>
      <c r="AS1315" s="3" t="s">
        <v>64</v>
      </c>
      <c r="AT1315" s="3" t="s">
        <v>64</v>
      </c>
      <c r="AV1315" s="6" t="str">
        <f>HYPERLINK("http://mcgill.on.worldcat.org/oclc/499432003","Catalog Record")</f>
        <v>Catalog Record</v>
      </c>
      <c r="AW1315" s="6" t="str">
        <f>HYPERLINK("http://www.worldcat.org/oclc/499432003","WorldCat Record")</f>
        <v>WorldCat Record</v>
      </c>
      <c r="AX1315" s="3" t="s">
        <v>13218</v>
      </c>
      <c r="AY1315" s="3" t="s">
        <v>13219</v>
      </c>
      <c r="AZ1315" s="3" t="s">
        <v>13220</v>
      </c>
      <c r="BA1315" s="3" t="s">
        <v>13220</v>
      </c>
      <c r="BB1315" s="3" t="s">
        <v>13221</v>
      </c>
      <c r="BC1315" s="3" t="s">
        <v>77</v>
      </c>
      <c r="BD1315" s="3" t="s">
        <v>78</v>
      </c>
      <c r="BE1315" s="3" t="s">
        <v>13222</v>
      </c>
      <c r="BF1315" s="3" t="s">
        <v>13221</v>
      </c>
      <c r="BG1315" s="3" t="s">
        <v>13223</v>
      </c>
      <c r="BH1315">
        <f t="shared" si="40"/>
        <v>0</v>
      </c>
    </row>
    <row r="1316" spans="1:60" ht="58" x14ac:dyDescent="0.35">
      <c r="A1316" s="2" t="s">
        <v>59</v>
      </c>
      <c r="B1316" s="2" t="s">
        <v>60</v>
      </c>
      <c r="C1316" s="2" t="s">
        <v>13224</v>
      </c>
      <c r="D1316" s="2" t="s">
        <v>13225</v>
      </c>
      <c r="E1316" s="2" t="s">
        <v>13226</v>
      </c>
      <c r="G1316" s="3" t="s">
        <v>64</v>
      </c>
      <c r="I1316" s="3" t="s">
        <v>64</v>
      </c>
      <c r="J1316" s="3" t="s">
        <v>64</v>
      </c>
      <c r="K1316" s="3" t="s">
        <v>65</v>
      </c>
      <c r="M1316" s="2" t="s">
        <v>13227</v>
      </c>
      <c r="N1316" s="3" t="s">
        <v>392</v>
      </c>
      <c r="P1316" s="3" t="s">
        <v>102</v>
      </c>
      <c r="R1316" s="3" t="s">
        <v>70</v>
      </c>
      <c r="S1316" s="4">
        <v>62</v>
      </c>
      <c r="T1316" s="4">
        <v>62</v>
      </c>
      <c r="U1316" s="5" t="s">
        <v>13169</v>
      </c>
      <c r="V1316" s="5" t="s">
        <v>13169</v>
      </c>
      <c r="W1316" s="5" t="s">
        <v>72</v>
      </c>
      <c r="X1316" s="5" t="s">
        <v>72</v>
      </c>
      <c r="Y1316" s="4">
        <v>223</v>
      </c>
      <c r="Z1316" s="4">
        <v>80</v>
      </c>
      <c r="AA1316" s="4">
        <v>154</v>
      </c>
      <c r="AB1316" s="4">
        <v>3</v>
      </c>
      <c r="AC1316" s="4">
        <v>24</v>
      </c>
      <c r="AD1316" s="4">
        <v>108</v>
      </c>
      <c r="AE1316" s="4">
        <v>154</v>
      </c>
      <c r="AF1316" s="4">
        <v>1</v>
      </c>
      <c r="AG1316" s="4">
        <v>9</v>
      </c>
      <c r="AH1316" s="4">
        <v>79</v>
      </c>
      <c r="AI1316" s="4">
        <v>102</v>
      </c>
      <c r="AJ1316" s="4">
        <v>25</v>
      </c>
      <c r="AK1316" s="4">
        <v>30</v>
      </c>
      <c r="AL1316" s="4">
        <v>39</v>
      </c>
      <c r="AM1316" s="4">
        <v>53</v>
      </c>
      <c r="AN1316" s="4">
        <v>0</v>
      </c>
      <c r="AO1316" s="4">
        <v>0</v>
      </c>
      <c r="AP1316" s="4">
        <v>39</v>
      </c>
      <c r="AQ1316" s="4">
        <v>60</v>
      </c>
      <c r="AR1316" s="3" t="s">
        <v>128</v>
      </c>
      <c r="AS1316" s="3" t="s">
        <v>64</v>
      </c>
      <c r="AT1316" s="3" t="s">
        <v>64</v>
      </c>
      <c r="AV1316" s="6" t="str">
        <f>HYPERLINK("http://mcgill.on.worldcat.org/oclc/41026779","Catalog Record")</f>
        <v>Catalog Record</v>
      </c>
      <c r="AW1316" s="6" t="str">
        <f>HYPERLINK("http://www.worldcat.org/oclc/41026779","WorldCat Record")</f>
        <v>WorldCat Record</v>
      </c>
      <c r="AX1316" s="3" t="s">
        <v>13228</v>
      </c>
      <c r="AY1316" s="3" t="s">
        <v>13229</v>
      </c>
      <c r="AZ1316" s="3" t="s">
        <v>13230</v>
      </c>
      <c r="BA1316" s="3" t="s">
        <v>13230</v>
      </c>
      <c r="BB1316" s="3" t="s">
        <v>13231</v>
      </c>
      <c r="BC1316" s="3" t="s">
        <v>77</v>
      </c>
      <c r="BD1316" s="3" t="s">
        <v>78</v>
      </c>
      <c r="BE1316" s="3" t="s">
        <v>13232</v>
      </c>
      <c r="BF1316" s="3" t="s">
        <v>13231</v>
      </c>
      <c r="BG1316" s="3" t="s">
        <v>13233</v>
      </c>
      <c r="BH1316">
        <f t="shared" si="40"/>
        <v>0</v>
      </c>
    </row>
    <row r="1317" spans="1:60" ht="58" x14ac:dyDescent="0.35">
      <c r="A1317" s="2" t="s">
        <v>59</v>
      </c>
      <c r="B1317" s="2" t="s">
        <v>60</v>
      </c>
      <c r="C1317" s="2" t="s">
        <v>13234</v>
      </c>
      <c r="D1317" s="2" t="s">
        <v>13235</v>
      </c>
      <c r="E1317" s="2" t="s">
        <v>13236</v>
      </c>
      <c r="G1317" s="3" t="s">
        <v>64</v>
      </c>
      <c r="I1317" s="3" t="s">
        <v>64</v>
      </c>
      <c r="J1317" s="3" t="s">
        <v>64</v>
      </c>
      <c r="K1317" s="3" t="s">
        <v>65</v>
      </c>
      <c r="L1317" s="2" t="s">
        <v>13237</v>
      </c>
      <c r="M1317" s="2" t="s">
        <v>13238</v>
      </c>
      <c r="N1317" s="3" t="s">
        <v>3428</v>
      </c>
      <c r="P1317" s="3" t="s">
        <v>102</v>
      </c>
      <c r="R1317" s="3" t="s">
        <v>70</v>
      </c>
      <c r="S1317" s="4">
        <v>24</v>
      </c>
      <c r="T1317" s="4">
        <v>24</v>
      </c>
      <c r="U1317" s="5" t="s">
        <v>13239</v>
      </c>
      <c r="V1317" s="5" t="s">
        <v>13239</v>
      </c>
      <c r="W1317" s="5" t="s">
        <v>72</v>
      </c>
      <c r="X1317" s="5" t="s">
        <v>72</v>
      </c>
      <c r="Y1317" s="4">
        <v>105</v>
      </c>
      <c r="Z1317" s="4">
        <v>60</v>
      </c>
      <c r="AA1317" s="4">
        <v>63</v>
      </c>
      <c r="AB1317" s="4">
        <v>2</v>
      </c>
      <c r="AC1317" s="4">
        <v>4</v>
      </c>
      <c r="AD1317" s="4">
        <v>51</v>
      </c>
      <c r="AE1317" s="4">
        <v>53</v>
      </c>
      <c r="AF1317" s="4">
        <v>1</v>
      </c>
      <c r="AG1317" s="4">
        <v>2</v>
      </c>
      <c r="AH1317" s="4">
        <v>31</v>
      </c>
      <c r="AI1317" s="4">
        <v>31</v>
      </c>
      <c r="AJ1317" s="4">
        <v>19</v>
      </c>
      <c r="AK1317" s="4">
        <v>20</v>
      </c>
      <c r="AL1317" s="4">
        <v>14</v>
      </c>
      <c r="AM1317" s="4">
        <v>14</v>
      </c>
      <c r="AN1317" s="4">
        <v>0</v>
      </c>
      <c r="AO1317" s="4">
        <v>0</v>
      </c>
      <c r="AP1317" s="4">
        <v>28</v>
      </c>
      <c r="AQ1317" s="4">
        <v>29</v>
      </c>
      <c r="AR1317" s="3" t="s">
        <v>128</v>
      </c>
      <c r="AS1317" s="3" t="s">
        <v>64</v>
      </c>
      <c r="AT1317" s="3" t="s">
        <v>128</v>
      </c>
      <c r="AU1317" s="6" t="str">
        <f>HYPERLINK("http://catalog.hathitrust.org/Record/004353204","HathiTrust Record")</f>
        <v>HathiTrust Record</v>
      </c>
      <c r="AV1317" s="6" t="str">
        <f>HYPERLINK("http://mcgill.on.worldcat.org/oclc/34001117","Catalog Record")</f>
        <v>Catalog Record</v>
      </c>
      <c r="AW1317" s="6" t="str">
        <f>HYPERLINK("http://www.worldcat.org/oclc/34001117","WorldCat Record")</f>
        <v>WorldCat Record</v>
      </c>
      <c r="AX1317" s="3" t="s">
        <v>13240</v>
      </c>
      <c r="AY1317" s="3" t="s">
        <v>13241</v>
      </c>
      <c r="AZ1317" s="3" t="s">
        <v>13242</v>
      </c>
      <c r="BA1317" s="3" t="s">
        <v>13242</v>
      </c>
      <c r="BB1317" s="3" t="s">
        <v>13243</v>
      </c>
      <c r="BC1317" s="3" t="s">
        <v>77</v>
      </c>
      <c r="BD1317" s="3" t="s">
        <v>78</v>
      </c>
      <c r="BE1317" s="3" t="s">
        <v>13244</v>
      </c>
      <c r="BF1317" s="3" t="s">
        <v>13243</v>
      </c>
      <c r="BG1317" s="3" t="s">
        <v>13245</v>
      </c>
      <c r="BH1317">
        <f t="shared" si="40"/>
        <v>0</v>
      </c>
    </row>
    <row r="1318" spans="1:60" ht="58" x14ac:dyDescent="0.35">
      <c r="A1318" s="2" t="s">
        <v>59</v>
      </c>
      <c r="B1318" s="2" t="s">
        <v>60</v>
      </c>
      <c r="C1318" s="2" t="s">
        <v>13246</v>
      </c>
      <c r="D1318" s="2" t="s">
        <v>13247</v>
      </c>
      <c r="E1318" s="2" t="s">
        <v>13248</v>
      </c>
      <c r="G1318" s="3" t="s">
        <v>64</v>
      </c>
      <c r="H1318" s="3" t="s">
        <v>183</v>
      </c>
      <c r="I1318" s="3" t="s">
        <v>64</v>
      </c>
      <c r="J1318" s="3" t="s">
        <v>64</v>
      </c>
      <c r="K1318" s="3" t="s">
        <v>65</v>
      </c>
      <c r="L1318" s="2" t="s">
        <v>13249</v>
      </c>
      <c r="M1318" s="2" t="s">
        <v>13250</v>
      </c>
      <c r="N1318" s="3" t="s">
        <v>1492</v>
      </c>
      <c r="P1318" s="3" t="s">
        <v>102</v>
      </c>
      <c r="R1318" s="3" t="s">
        <v>70</v>
      </c>
      <c r="S1318" s="4">
        <v>0</v>
      </c>
      <c r="T1318" s="4">
        <v>0</v>
      </c>
      <c r="W1318" s="5" t="s">
        <v>13251</v>
      </c>
      <c r="X1318" s="5" t="s">
        <v>13251</v>
      </c>
      <c r="Y1318" s="4">
        <v>260</v>
      </c>
      <c r="Z1318" s="4">
        <v>13</v>
      </c>
      <c r="AA1318" s="4">
        <v>24</v>
      </c>
      <c r="AB1318" s="4">
        <v>2</v>
      </c>
      <c r="AC1318" s="4">
        <v>6</v>
      </c>
      <c r="AD1318" s="4">
        <v>57</v>
      </c>
      <c r="AE1318" s="4">
        <v>66</v>
      </c>
      <c r="AF1318" s="4">
        <v>1</v>
      </c>
      <c r="AG1318" s="4">
        <v>2</v>
      </c>
      <c r="AH1318" s="4">
        <v>50</v>
      </c>
      <c r="AI1318" s="4">
        <v>57</v>
      </c>
      <c r="AJ1318" s="4">
        <v>5</v>
      </c>
      <c r="AK1318" s="4">
        <v>7</v>
      </c>
      <c r="AL1318" s="4">
        <v>31</v>
      </c>
      <c r="AM1318" s="4">
        <v>36</v>
      </c>
      <c r="AN1318" s="4">
        <v>0</v>
      </c>
      <c r="AO1318" s="4">
        <v>0</v>
      </c>
      <c r="AP1318" s="4">
        <v>8</v>
      </c>
      <c r="AQ1318" s="4">
        <v>11</v>
      </c>
      <c r="AR1318" s="3" t="s">
        <v>64</v>
      </c>
      <c r="AS1318" s="3" t="s">
        <v>64</v>
      </c>
      <c r="AT1318" s="3" t="s">
        <v>64</v>
      </c>
      <c r="AV1318" s="6" t="str">
        <f>HYPERLINK("http://mcgill.on.worldcat.org/oclc/1040998629","Catalog Record")</f>
        <v>Catalog Record</v>
      </c>
      <c r="AW1318" s="6" t="str">
        <f>HYPERLINK("http://www.worldcat.org/oclc/1040998629","WorldCat Record")</f>
        <v>WorldCat Record</v>
      </c>
      <c r="AX1318" s="3" t="s">
        <v>13252</v>
      </c>
      <c r="AY1318" s="3" t="s">
        <v>13253</v>
      </c>
      <c r="AZ1318" s="3" t="s">
        <v>13254</v>
      </c>
      <c r="BA1318" s="3" t="s">
        <v>13254</v>
      </c>
      <c r="BB1318" s="3" t="s">
        <v>13255</v>
      </c>
      <c r="BC1318" s="3" t="s">
        <v>77</v>
      </c>
      <c r="BD1318" s="3" t="s">
        <v>78</v>
      </c>
      <c r="BE1318" s="3" t="s">
        <v>13256</v>
      </c>
      <c r="BF1318" s="3" t="s">
        <v>13255</v>
      </c>
      <c r="BG1318" s="3" t="s">
        <v>13257</v>
      </c>
      <c r="BH1318">
        <f t="shared" si="40"/>
        <v>0</v>
      </c>
    </row>
    <row r="1319" spans="1:60" ht="58" x14ac:dyDescent="0.35">
      <c r="A1319" s="2" t="s">
        <v>59</v>
      </c>
      <c r="B1319" s="2" t="s">
        <v>60</v>
      </c>
      <c r="C1319" s="2" t="s">
        <v>13258</v>
      </c>
      <c r="D1319" s="2" t="s">
        <v>13259</v>
      </c>
      <c r="E1319" s="2" t="s">
        <v>13260</v>
      </c>
      <c r="G1319" s="3" t="s">
        <v>64</v>
      </c>
      <c r="I1319" s="3" t="s">
        <v>64</v>
      </c>
      <c r="J1319" s="3" t="s">
        <v>64</v>
      </c>
      <c r="K1319" s="3" t="s">
        <v>65</v>
      </c>
      <c r="L1319" s="2" t="s">
        <v>13261</v>
      </c>
      <c r="M1319" s="2" t="s">
        <v>13262</v>
      </c>
      <c r="N1319" s="3" t="s">
        <v>2067</v>
      </c>
      <c r="P1319" s="3" t="s">
        <v>102</v>
      </c>
      <c r="R1319" s="3" t="s">
        <v>70</v>
      </c>
      <c r="S1319" s="4">
        <v>18</v>
      </c>
      <c r="T1319" s="4">
        <v>18</v>
      </c>
      <c r="U1319" s="5" t="s">
        <v>11731</v>
      </c>
      <c r="V1319" s="5" t="s">
        <v>11731</v>
      </c>
      <c r="W1319" s="5" t="s">
        <v>72</v>
      </c>
      <c r="X1319" s="5" t="s">
        <v>72</v>
      </c>
      <c r="Y1319" s="4">
        <v>324</v>
      </c>
      <c r="Z1319" s="4">
        <v>18</v>
      </c>
      <c r="AA1319" s="4">
        <v>28</v>
      </c>
      <c r="AB1319" s="4">
        <v>2</v>
      </c>
      <c r="AC1319" s="4">
        <v>4</v>
      </c>
      <c r="AD1319" s="4">
        <v>85</v>
      </c>
      <c r="AE1319" s="4">
        <v>113</v>
      </c>
      <c r="AF1319" s="4">
        <v>1</v>
      </c>
      <c r="AG1319" s="4">
        <v>3</v>
      </c>
      <c r="AH1319" s="4">
        <v>75</v>
      </c>
      <c r="AI1319" s="4">
        <v>97</v>
      </c>
      <c r="AJ1319" s="4">
        <v>9</v>
      </c>
      <c r="AK1319" s="4">
        <v>16</v>
      </c>
      <c r="AL1319" s="4">
        <v>43</v>
      </c>
      <c r="AM1319" s="4">
        <v>56</v>
      </c>
      <c r="AN1319" s="4">
        <v>0</v>
      </c>
      <c r="AO1319" s="4">
        <v>0</v>
      </c>
      <c r="AP1319" s="4">
        <v>13</v>
      </c>
      <c r="AQ1319" s="4">
        <v>21</v>
      </c>
      <c r="AR1319" s="3" t="s">
        <v>64</v>
      </c>
      <c r="AS1319" s="3" t="s">
        <v>64</v>
      </c>
      <c r="AT1319" s="3" t="s">
        <v>64</v>
      </c>
      <c r="AV1319" s="6" t="str">
        <f>HYPERLINK("http://mcgill.on.worldcat.org/oclc/18290820","Catalog Record")</f>
        <v>Catalog Record</v>
      </c>
      <c r="AW1319" s="6" t="str">
        <f>HYPERLINK("http://www.worldcat.org/oclc/18290820","WorldCat Record")</f>
        <v>WorldCat Record</v>
      </c>
      <c r="AX1319" s="3" t="s">
        <v>13263</v>
      </c>
      <c r="AY1319" s="3" t="s">
        <v>13264</v>
      </c>
      <c r="AZ1319" s="3" t="s">
        <v>13265</v>
      </c>
      <c r="BA1319" s="3" t="s">
        <v>13265</v>
      </c>
      <c r="BB1319" s="3" t="s">
        <v>13266</v>
      </c>
      <c r="BC1319" s="3" t="s">
        <v>77</v>
      </c>
      <c r="BD1319" s="3" t="s">
        <v>78</v>
      </c>
      <c r="BE1319" s="3" t="s">
        <v>13267</v>
      </c>
      <c r="BF1319" s="3" t="s">
        <v>13266</v>
      </c>
      <c r="BG1319" s="3" t="s">
        <v>13268</v>
      </c>
      <c r="BH1319">
        <f t="shared" si="40"/>
        <v>0</v>
      </c>
    </row>
    <row r="1320" spans="1:60" ht="58" x14ac:dyDescent="0.35">
      <c r="A1320" s="2" t="s">
        <v>59</v>
      </c>
      <c r="B1320" s="2" t="s">
        <v>60</v>
      </c>
      <c r="C1320" s="2" t="s">
        <v>13269</v>
      </c>
      <c r="D1320" s="2" t="s">
        <v>13270</v>
      </c>
      <c r="E1320" s="2" t="s">
        <v>13271</v>
      </c>
      <c r="G1320" s="3" t="s">
        <v>64</v>
      </c>
      <c r="I1320" s="3" t="s">
        <v>64</v>
      </c>
      <c r="J1320" s="3" t="s">
        <v>64</v>
      </c>
      <c r="K1320" s="3" t="s">
        <v>65</v>
      </c>
      <c r="M1320" s="2" t="s">
        <v>13272</v>
      </c>
      <c r="N1320" s="3" t="s">
        <v>551</v>
      </c>
      <c r="P1320" s="3" t="s">
        <v>102</v>
      </c>
      <c r="Q1320" s="2" t="s">
        <v>13273</v>
      </c>
      <c r="R1320" s="3" t="s">
        <v>70</v>
      </c>
      <c r="S1320" s="4">
        <v>2</v>
      </c>
      <c r="T1320" s="4">
        <v>2</v>
      </c>
      <c r="U1320" s="5" t="s">
        <v>6817</v>
      </c>
      <c r="V1320" s="5" t="s">
        <v>6817</v>
      </c>
      <c r="W1320" s="5" t="s">
        <v>72</v>
      </c>
      <c r="X1320" s="5" t="s">
        <v>72</v>
      </c>
      <c r="Y1320" s="4">
        <v>93</v>
      </c>
      <c r="Z1320" s="4">
        <v>12</v>
      </c>
      <c r="AA1320" s="4">
        <v>99</v>
      </c>
      <c r="AB1320" s="4">
        <v>1</v>
      </c>
      <c r="AC1320" s="4">
        <v>17</v>
      </c>
      <c r="AD1320" s="4">
        <v>44</v>
      </c>
      <c r="AE1320" s="4">
        <v>119</v>
      </c>
      <c r="AF1320" s="4">
        <v>0</v>
      </c>
      <c r="AG1320" s="4">
        <v>8</v>
      </c>
      <c r="AH1320" s="4">
        <v>41</v>
      </c>
      <c r="AI1320" s="4">
        <v>81</v>
      </c>
      <c r="AJ1320" s="4">
        <v>8</v>
      </c>
      <c r="AK1320" s="4">
        <v>23</v>
      </c>
      <c r="AL1320" s="4">
        <v>27</v>
      </c>
      <c r="AM1320" s="4">
        <v>42</v>
      </c>
      <c r="AN1320" s="4">
        <v>0</v>
      </c>
      <c r="AO1320" s="4">
        <v>0</v>
      </c>
      <c r="AP1320" s="4">
        <v>9</v>
      </c>
      <c r="AQ1320" s="4">
        <v>44</v>
      </c>
      <c r="AR1320" s="3" t="s">
        <v>64</v>
      </c>
      <c r="AS1320" s="3" t="s">
        <v>64</v>
      </c>
      <c r="AT1320" s="3" t="s">
        <v>64</v>
      </c>
      <c r="AV1320" s="6" t="str">
        <f>HYPERLINK("http://mcgill.on.worldcat.org/oclc/310392863","Catalog Record")</f>
        <v>Catalog Record</v>
      </c>
      <c r="AW1320" s="6" t="str">
        <f>HYPERLINK("http://www.worldcat.org/oclc/310392863","WorldCat Record")</f>
        <v>WorldCat Record</v>
      </c>
      <c r="AX1320" s="3" t="s">
        <v>13274</v>
      </c>
      <c r="AY1320" s="3" t="s">
        <v>13275</v>
      </c>
      <c r="AZ1320" s="3" t="s">
        <v>13276</v>
      </c>
      <c r="BA1320" s="3" t="s">
        <v>13276</v>
      </c>
      <c r="BB1320" s="3" t="s">
        <v>13277</v>
      </c>
      <c r="BC1320" s="3" t="s">
        <v>77</v>
      </c>
      <c r="BD1320" s="3" t="s">
        <v>78</v>
      </c>
      <c r="BE1320" s="3" t="s">
        <v>13278</v>
      </c>
      <c r="BF1320" s="3" t="s">
        <v>13277</v>
      </c>
      <c r="BG1320" s="3" t="s">
        <v>13279</v>
      </c>
      <c r="BH1320">
        <f t="shared" si="40"/>
        <v>0</v>
      </c>
    </row>
    <row r="1321" spans="1:60" ht="58" x14ac:dyDescent="0.35">
      <c r="A1321" s="2" t="s">
        <v>59</v>
      </c>
      <c r="B1321" s="2" t="s">
        <v>60</v>
      </c>
      <c r="C1321" s="2" t="s">
        <v>13280</v>
      </c>
      <c r="D1321" s="2" t="s">
        <v>13281</v>
      </c>
      <c r="E1321" s="2" t="s">
        <v>13282</v>
      </c>
      <c r="G1321" s="3" t="s">
        <v>64</v>
      </c>
      <c r="I1321" s="3" t="s">
        <v>64</v>
      </c>
      <c r="J1321" s="3" t="s">
        <v>64</v>
      </c>
      <c r="K1321" s="3" t="s">
        <v>65</v>
      </c>
      <c r="M1321" s="2" t="s">
        <v>13283</v>
      </c>
      <c r="N1321" s="3" t="s">
        <v>171</v>
      </c>
      <c r="P1321" s="3" t="s">
        <v>944</v>
      </c>
      <c r="Q1321" s="2" t="s">
        <v>13284</v>
      </c>
      <c r="R1321" s="3" t="s">
        <v>70</v>
      </c>
      <c r="S1321" s="4">
        <v>1</v>
      </c>
      <c r="T1321" s="4">
        <v>1</v>
      </c>
      <c r="U1321" s="5" t="s">
        <v>10460</v>
      </c>
      <c r="V1321" s="5" t="s">
        <v>10460</v>
      </c>
      <c r="W1321" s="5" t="s">
        <v>72</v>
      </c>
      <c r="X1321" s="5" t="s">
        <v>72</v>
      </c>
      <c r="Y1321" s="4">
        <v>18</v>
      </c>
      <c r="Z1321" s="4">
        <v>2</v>
      </c>
      <c r="AA1321" s="4">
        <v>5</v>
      </c>
      <c r="AB1321" s="4">
        <v>1</v>
      </c>
      <c r="AC1321" s="4">
        <v>1</v>
      </c>
      <c r="AD1321" s="4">
        <v>13</v>
      </c>
      <c r="AE1321" s="4">
        <v>25</v>
      </c>
      <c r="AF1321" s="4">
        <v>0</v>
      </c>
      <c r="AG1321" s="4">
        <v>0</v>
      </c>
      <c r="AH1321" s="4">
        <v>12</v>
      </c>
      <c r="AI1321" s="4">
        <v>23</v>
      </c>
      <c r="AJ1321" s="4">
        <v>1</v>
      </c>
      <c r="AK1321" s="4">
        <v>3</v>
      </c>
      <c r="AL1321" s="4">
        <v>9</v>
      </c>
      <c r="AM1321" s="4">
        <v>18</v>
      </c>
      <c r="AN1321" s="4">
        <v>0</v>
      </c>
      <c r="AO1321" s="4">
        <v>0</v>
      </c>
      <c r="AP1321" s="4">
        <v>1</v>
      </c>
      <c r="AQ1321" s="4">
        <v>3</v>
      </c>
      <c r="AR1321" s="3" t="s">
        <v>64</v>
      </c>
      <c r="AS1321" s="3" t="s">
        <v>64</v>
      </c>
      <c r="AT1321" s="3" t="s">
        <v>64</v>
      </c>
      <c r="AV1321" s="6" t="str">
        <f>HYPERLINK("http://mcgill.on.worldcat.org/oclc/124066009","Catalog Record")</f>
        <v>Catalog Record</v>
      </c>
      <c r="AW1321" s="6" t="str">
        <f>HYPERLINK("http://www.worldcat.org/oclc/124066009","WorldCat Record")</f>
        <v>WorldCat Record</v>
      </c>
      <c r="AX1321" s="3" t="s">
        <v>13285</v>
      </c>
      <c r="AY1321" s="3" t="s">
        <v>13286</v>
      </c>
      <c r="AZ1321" s="3" t="s">
        <v>13287</v>
      </c>
      <c r="BA1321" s="3" t="s">
        <v>13287</v>
      </c>
      <c r="BB1321" s="3" t="s">
        <v>13288</v>
      </c>
      <c r="BC1321" s="3" t="s">
        <v>77</v>
      </c>
      <c r="BD1321" s="3" t="s">
        <v>78</v>
      </c>
      <c r="BE1321" s="3" t="s">
        <v>13289</v>
      </c>
      <c r="BF1321" s="3" t="s">
        <v>13288</v>
      </c>
      <c r="BG1321" s="3" t="s">
        <v>13290</v>
      </c>
      <c r="BH1321">
        <f t="shared" si="40"/>
        <v>0</v>
      </c>
    </row>
    <row r="1322" spans="1:60" ht="58" x14ac:dyDescent="0.35">
      <c r="A1322" s="2" t="s">
        <v>59</v>
      </c>
      <c r="B1322" s="2" t="s">
        <v>60</v>
      </c>
      <c r="C1322" s="2" t="s">
        <v>13291</v>
      </c>
      <c r="D1322" s="2" t="s">
        <v>13292</v>
      </c>
      <c r="E1322" s="2" t="s">
        <v>13293</v>
      </c>
      <c r="G1322" s="3" t="s">
        <v>64</v>
      </c>
      <c r="I1322" s="3" t="s">
        <v>64</v>
      </c>
      <c r="J1322" s="3" t="s">
        <v>64</v>
      </c>
      <c r="K1322" s="3" t="s">
        <v>65</v>
      </c>
      <c r="L1322" s="2" t="s">
        <v>13294</v>
      </c>
      <c r="M1322" s="2" t="s">
        <v>13295</v>
      </c>
      <c r="N1322" s="3" t="s">
        <v>291</v>
      </c>
      <c r="P1322" s="3" t="s">
        <v>68</v>
      </c>
      <c r="Q1322" s="2" t="s">
        <v>13296</v>
      </c>
      <c r="R1322" s="3" t="s">
        <v>70</v>
      </c>
      <c r="S1322" s="4">
        <v>5</v>
      </c>
      <c r="T1322" s="4">
        <v>5</v>
      </c>
      <c r="U1322" s="5" t="s">
        <v>6817</v>
      </c>
      <c r="V1322" s="5" t="s">
        <v>6817</v>
      </c>
      <c r="W1322" s="5" t="s">
        <v>72</v>
      </c>
      <c r="X1322" s="5" t="s">
        <v>72</v>
      </c>
      <c r="Y1322" s="4">
        <v>53</v>
      </c>
      <c r="Z1322" s="4">
        <v>6</v>
      </c>
      <c r="AA1322" s="4">
        <v>12</v>
      </c>
      <c r="AB1322" s="4">
        <v>1</v>
      </c>
      <c r="AC1322" s="4">
        <v>6</v>
      </c>
      <c r="AD1322" s="4">
        <v>28</v>
      </c>
      <c r="AE1322" s="4">
        <v>31</v>
      </c>
      <c r="AF1322" s="4">
        <v>0</v>
      </c>
      <c r="AG1322" s="4">
        <v>2</v>
      </c>
      <c r="AH1322" s="4">
        <v>26</v>
      </c>
      <c r="AI1322" s="4">
        <v>27</v>
      </c>
      <c r="AJ1322" s="4">
        <v>4</v>
      </c>
      <c r="AK1322" s="4">
        <v>7</v>
      </c>
      <c r="AL1322" s="4">
        <v>19</v>
      </c>
      <c r="AM1322" s="4">
        <v>19</v>
      </c>
      <c r="AN1322" s="4">
        <v>0</v>
      </c>
      <c r="AO1322" s="4">
        <v>0</v>
      </c>
      <c r="AP1322" s="4">
        <v>5</v>
      </c>
      <c r="AQ1322" s="4">
        <v>7</v>
      </c>
      <c r="AR1322" s="3" t="s">
        <v>64</v>
      </c>
      <c r="AS1322" s="3" t="s">
        <v>64</v>
      </c>
      <c r="AT1322" s="3" t="s">
        <v>64</v>
      </c>
      <c r="AV1322" s="6" t="str">
        <f>HYPERLINK("http://mcgill.on.worldcat.org/oclc/85335580","Catalog Record")</f>
        <v>Catalog Record</v>
      </c>
      <c r="AW1322" s="6" t="str">
        <f>HYPERLINK("http://www.worldcat.org/oclc/85335580","WorldCat Record")</f>
        <v>WorldCat Record</v>
      </c>
      <c r="AX1322" s="3" t="s">
        <v>13297</v>
      </c>
      <c r="AY1322" s="3" t="s">
        <v>13298</v>
      </c>
      <c r="AZ1322" s="3" t="s">
        <v>13299</v>
      </c>
      <c r="BA1322" s="3" t="s">
        <v>13299</v>
      </c>
      <c r="BB1322" s="3" t="s">
        <v>13300</v>
      </c>
      <c r="BC1322" s="3" t="s">
        <v>77</v>
      </c>
      <c r="BD1322" s="3" t="s">
        <v>78</v>
      </c>
      <c r="BE1322" s="3" t="s">
        <v>13301</v>
      </c>
      <c r="BF1322" s="3" t="s">
        <v>13300</v>
      </c>
      <c r="BG1322" s="3" t="s">
        <v>13302</v>
      </c>
      <c r="BH1322">
        <f t="shared" si="40"/>
        <v>0</v>
      </c>
    </row>
    <row r="1323" spans="1:60" ht="58" x14ac:dyDescent="0.35">
      <c r="A1323" s="2" t="s">
        <v>59</v>
      </c>
      <c r="B1323" s="2" t="s">
        <v>60</v>
      </c>
      <c r="C1323" s="2" t="s">
        <v>13303</v>
      </c>
      <c r="D1323" s="2" t="s">
        <v>13304</v>
      </c>
      <c r="E1323" s="2" t="s">
        <v>13305</v>
      </c>
      <c r="G1323" s="3" t="s">
        <v>64</v>
      </c>
      <c r="I1323" s="3" t="s">
        <v>64</v>
      </c>
      <c r="J1323" s="3" t="s">
        <v>64</v>
      </c>
      <c r="K1323" s="3" t="s">
        <v>65</v>
      </c>
      <c r="L1323" s="2" t="s">
        <v>13306</v>
      </c>
      <c r="M1323" s="2" t="s">
        <v>13307</v>
      </c>
      <c r="N1323" s="3" t="s">
        <v>86</v>
      </c>
      <c r="P1323" s="3" t="s">
        <v>102</v>
      </c>
      <c r="R1323" s="3" t="s">
        <v>70</v>
      </c>
      <c r="S1323" s="4">
        <v>5</v>
      </c>
      <c r="T1323" s="4">
        <v>5</v>
      </c>
      <c r="U1323" s="5" t="s">
        <v>4433</v>
      </c>
      <c r="V1323" s="5" t="s">
        <v>4433</v>
      </c>
      <c r="W1323" s="5" t="s">
        <v>72</v>
      </c>
      <c r="X1323" s="5" t="s">
        <v>72</v>
      </c>
      <c r="Y1323" s="4">
        <v>191</v>
      </c>
      <c r="Z1323" s="4">
        <v>17</v>
      </c>
      <c r="AA1323" s="4">
        <v>19</v>
      </c>
      <c r="AB1323" s="4">
        <v>1</v>
      </c>
      <c r="AC1323" s="4">
        <v>2</v>
      </c>
      <c r="AD1323" s="4">
        <v>75</v>
      </c>
      <c r="AE1323" s="4">
        <v>77</v>
      </c>
      <c r="AF1323" s="4">
        <v>0</v>
      </c>
      <c r="AG1323" s="4">
        <v>1</v>
      </c>
      <c r="AH1323" s="4">
        <v>69</v>
      </c>
      <c r="AI1323" s="4">
        <v>71</v>
      </c>
      <c r="AJ1323" s="4">
        <v>13</v>
      </c>
      <c r="AK1323" s="4">
        <v>15</v>
      </c>
      <c r="AL1323" s="4">
        <v>47</v>
      </c>
      <c r="AM1323" s="4">
        <v>47</v>
      </c>
      <c r="AN1323" s="4">
        <v>0</v>
      </c>
      <c r="AO1323" s="4">
        <v>0</v>
      </c>
      <c r="AP1323" s="4">
        <v>13</v>
      </c>
      <c r="AQ1323" s="4">
        <v>15</v>
      </c>
      <c r="AR1323" s="3" t="s">
        <v>64</v>
      </c>
      <c r="AS1323" s="3" t="s">
        <v>64</v>
      </c>
      <c r="AT1323" s="3" t="s">
        <v>64</v>
      </c>
      <c r="AV1323" s="6" t="str">
        <f>HYPERLINK("http://mcgill.on.worldcat.org/oclc/704908476","Catalog Record")</f>
        <v>Catalog Record</v>
      </c>
      <c r="AW1323" s="6" t="str">
        <f>HYPERLINK("http://www.worldcat.org/oclc/704908476","WorldCat Record")</f>
        <v>WorldCat Record</v>
      </c>
      <c r="AX1323" s="3" t="s">
        <v>13308</v>
      </c>
      <c r="AY1323" s="3" t="s">
        <v>13309</v>
      </c>
      <c r="AZ1323" s="3" t="s">
        <v>13310</v>
      </c>
      <c r="BA1323" s="3" t="s">
        <v>13310</v>
      </c>
      <c r="BB1323" s="3" t="s">
        <v>13311</v>
      </c>
      <c r="BC1323" s="3" t="s">
        <v>77</v>
      </c>
      <c r="BD1323" s="3" t="s">
        <v>78</v>
      </c>
      <c r="BE1323" s="3" t="s">
        <v>13312</v>
      </c>
      <c r="BF1323" s="3" t="s">
        <v>13311</v>
      </c>
      <c r="BG1323" s="3" t="s">
        <v>13313</v>
      </c>
      <c r="BH1323">
        <f t="shared" si="40"/>
        <v>0</v>
      </c>
    </row>
    <row r="1324" spans="1:60" ht="58" x14ac:dyDescent="0.35">
      <c r="A1324" s="2" t="s">
        <v>59</v>
      </c>
      <c r="B1324" s="2" t="s">
        <v>60</v>
      </c>
      <c r="C1324" s="2" t="s">
        <v>13314</v>
      </c>
      <c r="D1324" s="2" t="s">
        <v>13315</v>
      </c>
      <c r="E1324" s="2" t="s">
        <v>13316</v>
      </c>
      <c r="G1324" s="3" t="s">
        <v>64</v>
      </c>
      <c r="I1324" s="3" t="s">
        <v>64</v>
      </c>
      <c r="J1324" s="3" t="s">
        <v>64</v>
      </c>
      <c r="K1324" s="3" t="s">
        <v>65</v>
      </c>
      <c r="L1324" s="2" t="s">
        <v>13317</v>
      </c>
      <c r="M1324" s="2" t="s">
        <v>13318</v>
      </c>
      <c r="N1324" s="3" t="s">
        <v>3428</v>
      </c>
      <c r="P1324" s="3" t="s">
        <v>68</v>
      </c>
      <c r="Q1324" s="2" t="s">
        <v>13319</v>
      </c>
      <c r="R1324" s="3" t="s">
        <v>70</v>
      </c>
      <c r="S1324" s="4">
        <v>8</v>
      </c>
      <c r="T1324" s="4">
        <v>8</v>
      </c>
      <c r="U1324" s="5" t="s">
        <v>4433</v>
      </c>
      <c r="V1324" s="5" t="s">
        <v>4433</v>
      </c>
      <c r="W1324" s="5" t="s">
        <v>72</v>
      </c>
      <c r="X1324" s="5" t="s">
        <v>72</v>
      </c>
      <c r="Y1324" s="4">
        <v>88</v>
      </c>
      <c r="Z1324" s="4">
        <v>8</v>
      </c>
      <c r="AA1324" s="4">
        <v>13</v>
      </c>
      <c r="AB1324" s="4">
        <v>1</v>
      </c>
      <c r="AC1324" s="4">
        <v>6</v>
      </c>
      <c r="AD1324" s="4">
        <v>48</v>
      </c>
      <c r="AE1324" s="4">
        <v>53</v>
      </c>
      <c r="AF1324" s="4">
        <v>0</v>
      </c>
      <c r="AG1324" s="4">
        <v>4</v>
      </c>
      <c r="AH1324" s="4">
        <v>45</v>
      </c>
      <c r="AI1324" s="4">
        <v>47</v>
      </c>
      <c r="AJ1324" s="4">
        <v>6</v>
      </c>
      <c r="AK1324" s="4">
        <v>10</v>
      </c>
      <c r="AL1324" s="4">
        <v>33</v>
      </c>
      <c r="AM1324" s="4">
        <v>34</v>
      </c>
      <c r="AN1324" s="4">
        <v>0</v>
      </c>
      <c r="AO1324" s="4">
        <v>0</v>
      </c>
      <c r="AP1324" s="4">
        <v>6</v>
      </c>
      <c r="AQ1324" s="4">
        <v>9</v>
      </c>
      <c r="AR1324" s="3" t="s">
        <v>64</v>
      </c>
      <c r="AS1324" s="3" t="s">
        <v>64</v>
      </c>
      <c r="AT1324" s="3" t="s">
        <v>128</v>
      </c>
      <c r="AU1324" s="6" t="str">
        <f>HYPERLINK("http://catalog.hathitrust.org/Record/003090599","HathiTrust Record")</f>
        <v>HathiTrust Record</v>
      </c>
      <c r="AV1324" s="6" t="str">
        <f>HYPERLINK("http://mcgill.on.worldcat.org/oclc/35184195","Catalog Record")</f>
        <v>Catalog Record</v>
      </c>
      <c r="AW1324" s="6" t="str">
        <f>HYPERLINK("http://www.worldcat.org/oclc/35184195","WorldCat Record")</f>
        <v>WorldCat Record</v>
      </c>
      <c r="AX1324" s="3" t="s">
        <v>13320</v>
      </c>
      <c r="AY1324" s="3" t="s">
        <v>13321</v>
      </c>
      <c r="AZ1324" s="3" t="s">
        <v>13322</v>
      </c>
      <c r="BA1324" s="3" t="s">
        <v>13322</v>
      </c>
      <c r="BB1324" s="3" t="s">
        <v>13323</v>
      </c>
      <c r="BC1324" s="3" t="s">
        <v>77</v>
      </c>
      <c r="BD1324" s="3" t="s">
        <v>78</v>
      </c>
      <c r="BE1324" s="3" t="s">
        <v>13324</v>
      </c>
      <c r="BF1324" s="3" t="s">
        <v>13323</v>
      </c>
      <c r="BG1324" s="3" t="s">
        <v>13325</v>
      </c>
      <c r="BH1324">
        <f t="shared" si="40"/>
        <v>0</v>
      </c>
    </row>
    <row r="1325" spans="1:60" ht="58" x14ac:dyDescent="0.35">
      <c r="A1325" s="2" t="s">
        <v>59</v>
      </c>
      <c r="B1325" s="2" t="s">
        <v>60</v>
      </c>
      <c r="C1325" s="2" t="s">
        <v>13326</v>
      </c>
      <c r="D1325" s="2" t="s">
        <v>13327</v>
      </c>
      <c r="E1325" s="2" t="s">
        <v>13328</v>
      </c>
      <c r="G1325" s="3" t="s">
        <v>64</v>
      </c>
      <c r="I1325" s="3" t="s">
        <v>64</v>
      </c>
      <c r="J1325" s="3" t="s">
        <v>64</v>
      </c>
      <c r="K1325" s="3" t="s">
        <v>65</v>
      </c>
      <c r="L1325" s="2" t="s">
        <v>13329</v>
      </c>
      <c r="M1325" s="2" t="s">
        <v>13330</v>
      </c>
      <c r="N1325" s="3" t="s">
        <v>1250</v>
      </c>
      <c r="P1325" s="3" t="s">
        <v>68</v>
      </c>
      <c r="R1325" s="3" t="s">
        <v>70</v>
      </c>
      <c r="S1325" s="4">
        <v>17</v>
      </c>
      <c r="T1325" s="4">
        <v>17</v>
      </c>
      <c r="U1325" s="5" t="s">
        <v>13331</v>
      </c>
      <c r="V1325" s="5" t="s">
        <v>13331</v>
      </c>
      <c r="W1325" s="5" t="s">
        <v>72</v>
      </c>
      <c r="X1325" s="5" t="s">
        <v>72</v>
      </c>
      <c r="Y1325" s="4">
        <v>55</v>
      </c>
      <c r="Z1325" s="4">
        <v>3</v>
      </c>
      <c r="AA1325" s="4">
        <v>3</v>
      </c>
      <c r="AB1325" s="4">
        <v>1</v>
      </c>
      <c r="AC1325" s="4">
        <v>1</v>
      </c>
      <c r="AD1325" s="4">
        <v>30</v>
      </c>
      <c r="AE1325" s="4">
        <v>30</v>
      </c>
      <c r="AF1325" s="4">
        <v>0</v>
      </c>
      <c r="AG1325" s="4">
        <v>0</v>
      </c>
      <c r="AH1325" s="4">
        <v>28</v>
      </c>
      <c r="AI1325" s="4">
        <v>28</v>
      </c>
      <c r="AJ1325" s="4">
        <v>1</v>
      </c>
      <c r="AK1325" s="4">
        <v>1</v>
      </c>
      <c r="AL1325" s="4">
        <v>23</v>
      </c>
      <c r="AM1325" s="4">
        <v>23</v>
      </c>
      <c r="AN1325" s="4">
        <v>5</v>
      </c>
      <c r="AO1325" s="4">
        <v>5</v>
      </c>
      <c r="AP1325" s="4">
        <v>1</v>
      </c>
      <c r="AQ1325" s="4">
        <v>1</v>
      </c>
      <c r="AR1325" s="3" t="s">
        <v>64</v>
      </c>
      <c r="AS1325" s="3" t="s">
        <v>64</v>
      </c>
      <c r="AT1325" s="3" t="s">
        <v>128</v>
      </c>
      <c r="AU1325" s="6" t="str">
        <f>HYPERLINK("http://catalog.hathitrust.org/Record/002908938","HathiTrust Record")</f>
        <v>HathiTrust Record</v>
      </c>
      <c r="AV1325" s="6" t="str">
        <f>HYPERLINK("http://mcgill.on.worldcat.org/oclc/33405610","Catalog Record")</f>
        <v>Catalog Record</v>
      </c>
      <c r="AW1325" s="6" t="str">
        <f>HYPERLINK("http://www.worldcat.org/oclc/33405610","WorldCat Record")</f>
        <v>WorldCat Record</v>
      </c>
      <c r="AX1325" s="3" t="s">
        <v>13332</v>
      </c>
      <c r="AY1325" s="3" t="s">
        <v>13333</v>
      </c>
      <c r="AZ1325" s="3" t="s">
        <v>13334</v>
      </c>
      <c r="BA1325" s="3" t="s">
        <v>13334</v>
      </c>
      <c r="BB1325" s="3" t="s">
        <v>13335</v>
      </c>
      <c r="BC1325" s="3" t="s">
        <v>77</v>
      </c>
      <c r="BD1325" s="3" t="s">
        <v>78</v>
      </c>
      <c r="BE1325" s="3" t="s">
        <v>13336</v>
      </c>
      <c r="BF1325" s="3" t="s">
        <v>13335</v>
      </c>
      <c r="BG1325" s="3" t="s">
        <v>13337</v>
      </c>
      <c r="BH1325">
        <f t="shared" si="40"/>
        <v>0</v>
      </c>
    </row>
    <row r="1326" spans="1:60" ht="58" x14ac:dyDescent="0.35">
      <c r="A1326" s="2" t="s">
        <v>59</v>
      </c>
      <c r="B1326" s="2" t="s">
        <v>60</v>
      </c>
      <c r="C1326" s="2" t="s">
        <v>13338</v>
      </c>
      <c r="D1326" s="2" t="s">
        <v>13339</v>
      </c>
      <c r="E1326" s="2" t="s">
        <v>13340</v>
      </c>
      <c r="G1326" s="3" t="s">
        <v>64</v>
      </c>
      <c r="I1326" s="3" t="s">
        <v>64</v>
      </c>
      <c r="J1326" s="3" t="s">
        <v>64</v>
      </c>
      <c r="K1326" s="3" t="s">
        <v>65</v>
      </c>
      <c r="L1326" s="2" t="s">
        <v>13341</v>
      </c>
      <c r="M1326" s="2" t="s">
        <v>13342</v>
      </c>
      <c r="N1326" s="3" t="s">
        <v>1750</v>
      </c>
      <c r="P1326" s="3" t="s">
        <v>102</v>
      </c>
      <c r="Q1326" s="2" t="s">
        <v>13343</v>
      </c>
      <c r="R1326" s="3" t="s">
        <v>70</v>
      </c>
      <c r="S1326" s="4">
        <v>15</v>
      </c>
      <c r="T1326" s="4">
        <v>15</v>
      </c>
      <c r="U1326" s="5" t="s">
        <v>13344</v>
      </c>
      <c r="V1326" s="5" t="s">
        <v>13344</v>
      </c>
      <c r="W1326" s="5" t="s">
        <v>72</v>
      </c>
      <c r="X1326" s="5" t="s">
        <v>72</v>
      </c>
      <c r="Y1326" s="4">
        <v>148</v>
      </c>
      <c r="Z1326" s="4">
        <v>17</v>
      </c>
      <c r="AA1326" s="4">
        <v>17</v>
      </c>
      <c r="AB1326" s="4">
        <v>1</v>
      </c>
      <c r="AC1326" s="4">
        <v>1</v>
      </c>
      <c r="AD1326" s="4">
        <v>67</v>
      </c>
      <c r="AE1326" s="4">
        <v>67</v>
      </c>
      <c r="AF1326" s="4">
        <v>0</v>
      </c>
      <c r="AG1326" s="4">
        <v>0</v>
      </c>
      <c r="AH1326" s="4">
        <v>59</v>
      </c>
      <c r="AI1326" s="4">
        <v>59</v>
      </c>
      <c r="AJ1326" s="4">
        <v>10</v>
      </c>
      <c r="AK1326" s="4">
        <v>10</v>
      </c>
      <c r="AL1326" s="4">
        <v>33</v>
      </c>
      <c r="AM1326" s="4">
        <v>33</v>
      </c>
      <c r="AN1326" s="4">
        <v>0</v>
      </c>
      <c r="AO1326" s="4">
        <v>0</v>
      </c>
      <c r="AP1326" s="4">
        <v>11</v>
      </c>
      <c r="AQ1326" s="4">
        <v>11</v>
      </c>
      <c r="AR1326" s="3" t="s">
        <v>64</v>
      </c>
      <c r="AS1326" s="3" t="s">
        <v>64</v>
      </c>
      <c r="AT1326" s="3" t="s">
        <v>64</v>
      </c>
      <c r="AU1326" s="6" t="str">
        <f>HYPERLINK("http://catalog.hathitrust.org/Record/000682697","HathiTrust Record")</f>
        <v>HathiTrust Record</v>
      </c>
      <c r="AV1326" s="6" t="str">
        <f>HYPERLINK("http://mcgill.on.worldcat.org/oclc/2071068","Catalog Record")</f>
        <v>Catalog Record</v>
      </c>
      <c r="AW1326" s="6" t="str">
        <f>HYPERLINK("http://www.worldcat.org/oclc/2071068","WorldCat Record")</f>
        <v>WorldCat Record</v>
      </c>
      <c r="AX1326" s="3" t="s">
        <v>13345</v>
      </c>
      <c r="AY1326" s="3" t="s">
        <v>13346</v>
      </c>
      <c r="AZ1326" s="3" t="s">
        <v>13347</v>
      </c>
      <c r="BA1326" s="3" t="s">
        <v>13347</v>
      </c>
      <c r="BB1326" s="3" t="s">
        <v>13348</v>
      </c>
      <c r="BC1326" s="3" t="s">
        <v>77</v>
      </c>
      <c r="BD1326" s="3" t="s">
        <v>78</v>
      </c>
      <c r="BF1326" s="3" t="s">
        <v>13348</v>
      </c>
      <c r="BG1326" s="3" t="s">
        <v>13349</v>
      </c>
      <c r="BH1326">
        <f t="shared" si="40"/>
        <v>0</v>
      </c>
    </row>
    <row r="1327" spans="1:60" ht="58" x14ac:dyDescent="0.35">
      <c r="A1327" s="2" t="s">
        <v>6202</v>
      </c>
      <c r="B1327" s="2" t="s">
        <v>6203</v>
      </c>
      <c r="C1327" s="2" t="s">
        <v>13350</v>
      </c>
      <c r="D1327" s="2" t="s">
        <v>13351</v>
      </c>
      <c r="E1327" s="2" t="s">
        <v>13352</v>
      </c>
      <c r="G1327" s="3" t="s">
        <v>64</v>
      </c>
      <c r="I1327" s="3" t="s">
        <v>64</v>
      </c>
      <c r="J1327" s="3" t="s">
        <v>64</v>
      </c>
      <c r="K1327" s="3" t="s">
        <v>65</v>
      </c>
      <c r="L1327" s="2" t="s">
        <v>13353</v>
      </c>
      <c r="M1327" s="2" t="s">
        <v>13354</v>
      </c>
      <c r="N1327" s="3" t="s">
        <v>392</v>
      </c>
      <c r="P1327" s="3" t="s">
        <v>68</v>
      </c>
      <c r="Q1327" s="2" t="s">
        <v>13355</v>
      </c>
      <c r="R1327" s="3" t="s">
        <v>70</v>
      </c>
      <c r="S1327" s="4">
        <v>1</v>
      </c>
      <c r="T1327" s="4">
        <v>1</v>
      </c>
      <c r="U1327" s="5" t="s">
        <v>4433</v>
      </c>
      <c r="V1327" s="5" t="s">
        <v>4433</v>
      </c>
      <c r="W1327" s="5" t="s">
        <v>72</v>
      </c>
      <c r="X1327" s="5" t="s">
        <v>72</v>
      </c>
      <c r="Y1327" s="4">
        <v>92</v>
      </c>
      <c r="Z1327" s="4">
        <v>10</v>
      </c>
      <c r="AA1327" s="4">
        <v>12</v>
      </c>
      <c r="AB1327" s="4">
        <v>2</v>
      </c>
      <c r="AC1327" s="4">
        <v>4</v>
      </c>
      <c r="AD1327" s="4">
        <v>45</v>
      </c>
      <c r="AE1327" s="4">
        <v>47</v>
      </c>
      <c r="AF1327" s="4">
        <v>0</v>
      </c>
      <c r="AG1327" s="4">
        <v>2</v>
      </c>
      <c r="AH1327" s="4">
        <v>41</v>
      </c>
      <c r="AI1327" s="4">
        <v>41</v>
      </c>
      <c r="AJ1327" s="4">
        <v>6</v>
      </c>
      <c r="AK1327" s="4">
        <v>8</v>
      </c>
      <c r="AL1327" s="4">
        <v>31</v>
      </c>
      <c r="AM1327" s="4">
        <v>31</v>
      </c>
      <c r="AN1327" s="4">
        <v>0</v>
      </c>
      <c r="AO1327" s="4">
        <v>0</v>
      </c>
      <c r="AP1327" s="4">
        <v>8</v>
      </c>
      <c r="AQ1327" s="4">
        <v>9</v>
      </c>
      <c r="AR1327" s="3" t="s">
        <v>64</v>
      </c>
      <c r="AS1327" s="3" t="s">
        <v>64</v>
      </c>
      <c r="AT1327" s="3" t="s">
        <v>128</v>
      </c>
      <c r="AU1327" s="6" t="str">
        <f>HYPERLINK("http://catalog.hathitrust.org/Record/004055184","HathiTrust Record")</f>
        <v>HathiTrust Record</v>
      </c>
      <c r="AV1327" s="6" t="str">
        <f>HYPERLINK("http://mcgill.on.worldcat.org/oclc/41890533","Catalog Record")</f>
        <v>Catalog Record</v>
      </c>
      <c r="AW1327" s="6" t="str">
        <f>HYPERLINK("http://www.worldcat.org/oclc/41890533","WorldCat Record")</f>
        <v>WorldCat Record</v>
      </c>
      <c r="AX1327" s="3" t="s">
        <v>13356</v>
      </c>
      <c r="AY1327" s="3" t="s">
        <v>13357</v>
      </c>
      <c r="AZ1327" s="3" t="s">
        <v>13358</v>
      </c>
      <c r="BA1327" s="3" t="s">
        <v>13358</v>
      </c>
      <c r="BB1327" s="3" t="s">
        <v>13359</v>
      </c>
      <c r="BC1327" s="3" t="s">
        <v>77</v>
      </c>
      <c r="BD1327" s="3" t="s">
        <v>78</v>
      </c>
      <c r="BE1327" s="3" t="s">
        <v>13360</v>
      </c>
      <c r="BF1327" s="3" t="s">
        <v>13359</v>
      </c>
      <c r="BG1327" s="3" t="s">
        <v>13361</v>
      </c>
      <c r="BH1327">
        <f t="shared" si="40"/>
        <v>0</v>
      </c>
    </row>
    <row r="1328" spans="1:60" ht="58" x14ac:dyDescent="0.35">
      <c r="A1328" s="2" t="s">
        <v>59</v>
      </c>
      <c r="B1328" s="2" t="s">
        <v>60</v>
      </c>
      <c r="C1328" s="2" t="s">
        <v>13362</v>
      </c>
      <c r="D1328" s="2" t="s">
        <v>13363</v>
      </c>
      <c r="E1328" s="2" t="s">
        <v>13364</v>
      </c>
      <c r="G1328" s="3" t="s">
        <v>64</v>
      </c>
      <c r="I1328" s="3" t="s">
        <v>64</v>
      </c>
      <c r="J1328" s="3" t="s">
        <v>64</v>
      </c>
      <c r="K1328" s="3" t="s">
        <v>65</v>
      </c>
      <c r="M1328" s="2" t="s">
        <v>13365</v>
      </c>
      <c r="N1328" s="3" t="s">
        <v>253</v>
      </c>
      <c r="P1328" s="3" t="s">
        <v>68</v>
      </c>
      <c r="Q1328" s="2" t="s">
        <v>13366</v>
      </c>
      <c r="R1328" s="3" t="s">
        <v>70</v>
      </c>
      <c r="S1328" s="4">
        <v>0</v>
      </c>
      <c r="T1328" s="4">
        <v>0</v>
      </c>
      <c r="W1328" s="5" t="s">
        <v>72</v>
      </c>
      <c r="X1328" s="5" t="s">
        <v>72</v>
      </c>
      <c r="Y1328" s="4">
        <v>56</v>
      </c>
      <c r="Z1328" s="4">
        <v>10</v>
      </c>
      <c r="AA1328" s="4">
        <v>16</v>
      </c>
      <c r="AB1328" s="4">
        <v>1</v>
      </c>
      <c r="AC1328" s="4">
        <v>5</v>
      </c>
      <c r="AD1328" s="4">
        <v>45</v>
      </c>
      <c r="AE1328" s="4">
        <v>49</v>
      </c>
      <c r="AF1328" s="4">
        <v>0</v>
      </c>
      <c r="AG1328" s="4">
        <v>2</v>
      </c>
      <c r="AH1328" s="4">
        <v>42</v>
      </c>
      <c r="AI1328" s="4">
        <v>43</v>
      </c>
      <c r="AJ1328" s="4">
        <v>8</v>
      </c>
      <c r="AK1328" s="4">
        <v>12</v>
      </c>
      <c r="AL1328" s="4">
        <v>29</v>
      </c>
      <c r="AM1328" s="4">
        <v>29</v>
      </c>
      <c r="AN1328" s="4">
        <v>0</v>
      </c>
      <c r="AO1328" s="4">
        <v>0</v>
      </c>
      <c r="AP1328" s="4">
        <v>8</v>
      </c>
      <c r="AQ1328" s="4">
        <v>11</v>
      </c>
      <c r="AR1328" s="3" t="s">
        <v>64</v>
      </c>
      <c r="AS1328" s="3" t="s">
        <v>64</v>
      </c>
      <c r="AT1328" s="3" t="s">
        <v>64</v>
      </c>
      <c r="AV1328" s="6" t="str">
        <f>HYPERLINK("http://mcgill.on.worldcat.org/oclc/945734426","Catalog Record")</f>
        <v>Catalog Record</v>
      </c>
      <c r="AW1328" s="6" t="str">
        <f>HYPERLINK("http://www.worldcat.org/oclc/945734426","WorldCat Record")</f>
        <v>WorldCat Record</v>
      </c>
      <c r="AX1328" s="3" t="s">
        <v>13367</v>
      </c>
      <c r="AY1328" s="3" t="s">
        <v>13368</v>
      </c>
      <c r="AZ1328" s="3" t="s">
        <v>13369</v>
      </c>
      <c r="BA1328" s="3" t="s">
        <v>13369</v>
      </c>
      <c r="BB1328" s="3" t="s">
        <v>13370</v>
      </c>
      <c r="BC1328" s="3" t="s">
        <v>77</v>
      </c>
      <c r="BD1328" s="3" t="s">
        <v>78</v>
      </c>
      <c r="BE1328" s="3" t="s">
        <v>13371</v>
      </c>
      <c r="BF1328" s="3" t="s">
        <v>13370</v>
      </c>
      <c r="BG1328" s="3" t="s">
        <v>13372</v>
      </c>
      <c r="BH1328">
        <f t="shared" si="40"/>
        <v>0</v>
      </c>
    </row>
    <row r="1329" spans="1:60" ht="58" x14ac:dyDescent="0.35">
      <c r="A1329" s="2" t="s">
        <v>59</v>
      </c>
      <c r="B1329" s="2" t="s">
        <v>60</v>
      </c>
      <c r="C1329" s="2" t="s">
        <v>13373</v>
      </c>
      <c r="D1329" s="2" t="s">
        <v>13374</v>
      </c>
      <c r="E1329" s="2" t="s">
        <v>13375</v>
      </c>
      <c r="G1329" s="3" t="s">
        <v>64</v>
      </c>
      <c r="I1329" s="3" t="s">
        <v>64</v>
      </c>
      <c r="J1329" s="3" t="s">
        <v>64</v>
      </c>
      <c r="K1329" s="3" t="s">
        <v>65</v>
      </c>
      <c r="L1329" s="2" t="s">
        <v>13376</v>
      </c>
      <c r="M1329" s="2" t="s">
        <v>13377</v>
      </c>
      <c r="N1329" s="3" t="s">
        <v>537</v>
      </c>
      <c r="P1329" s="3" t="s">
        <v>68</v>
      </c>
      <c r="Q1329" s="2" t="s">
        <v>13378</v>
      </c>
      <c r="R1329" s="3" t="s">
        <v>70</v>
      </c>
      <c r="S1329" s="4">
        <v>0</v>
      </c>
      <c r="T1329" s="4">
        <v>0</v>
      </c>
      <c r="W1329" s="5" t="s">
        <v>72</v>
      </c>
      <c r="X1329" s="5" t="s">
        <v>72</v>
      </c>
      <c r="Y1329" s="4">
        <v>6</v>
      </c>
      <c r="Z1329" s="4">
        <v>2</v>
      </c>
      <c r="AA1329" s="4">
        <v>4</v>
      </c>
      <c r="AB1329" s="4">
        <v>1</v>
      </c>
      <c r="AC1329" s="4">
        <v>2</v>
      </c>
      <c r="AD1329" s="4">
        <v>2</v>
      </c>
      <c r="AE1329" s="4">
        <v>3</v>
      </c>
      <c r="AF1329" s="4">
        <v>0</v>
      </c>
      <c r="AG1329" s="4">
        <v>0</v>
      </c>
      <c r="AH1329" s="4">
        <v>2</v>
      </c>
      <c r="AI1329" s="4">
        <v>3</v>
      </c>
      <c r="AJ1329" s="4">
        <v>1</v>
      </c>
      <c r="AK1329" s="4">
        <v>2</v>
      </c>
      <c r="AL1329" s="4">
        <v>1</v>
      </c>
      <c r="AM1329" s="4">
        <v>1</v>
      </c>
      <c r="AN1329" s="4">
        <v>0</v>
      </c>
      <c r="AO1329" s="4">
        <v>0</v>
      </c>
      <c r="AP1329" s="4">
        <v>1</v>
      </c>
      <c r="AQ1329" s="4">
        <v>2</v>
      </c>
      <c r="AR1329" s="3" t="s">
        <v>64</v>
      </c>
      <c r="AS1329" s="3" t="s">
        <v>64</v>
      </c>
      <c r="AT1329" s="3" t="s">
        <v>64</v>
      </c>
      <c r="AV1329" s="6" t="str">
        <f>HYPERLINK("http://mcgill.on.worldcat.org/oclc/962247723","Catalog Record")</f>
        <v>Catalog Record</v>
      </c>
      <c r="AW1329" s="6" t="str">
        <f>HYPERLINK("http://www.worldcat.org/oclc/962247723","WorldCat Record")</f>
        <v>WorldCat Record</v>
      </c>
      <c r="AX1329" s="3" t="s">
        <v>13379</v>
      </c>
      <c r="AY1329" s="3" t="s">
        <v>13380</v>
      </c>
      <c r="AZ1329" s="3" t="s">
        <v>13381</v>
      </c>
      <c r="BA1329" s="3" t="s">
        <v>13381</v>
      </c>
      <c r="BB1329" s="3" t="s">
        <v>13382</v>
      </c>
      <c r="BC1329" s="3" t="s">
        <v>77</v>
      </c>
      <c r="BD1329" s="3" t="s">
        <v>78</v>
      </c>
      <c r="BE1329" s="3" t="s">
        <v>13383</v>
      </c>
      <c r="BF1329" s="3" t="s">
        <v>13382</v>
      </c>
      <c r="BG1329" s="3" t="s">
        <v>13384</v>
      </c>
      <c r="BH1329">
        <f t="shared" si="40"/>
        <v>0</v>
      </c>
    </row>
    <row r="1330" spans="1:60" ht="58" x14ac:dyDescent="0.35">
      <c r="A1330" s="2" t="s">
        <v>59</v>
      </c>
      <c r="B1330" s="2" t="s">
        <v>60</v>
      </c>
      <c r="C1330" s="2" t="s">
        <v>13385</v>
      </c>
      <c r="D1330" s="2" t="s">
        <v>13386</v>
      </c>
      <c r="E1330" s="2" t="s">
        <v>13387</v>
      </c>
      <c r="G1330" s="3" t="s">
        <v>128</v>
      </c>
      <c r="I1330" s="3" t="s">
        <v>64</v>
      </c>
      <c r="J1330" s="3" t="s">
        <v>64</v>
      </c>
      <c r="K1330" s="3" t="s">
        <v>65</v>
      </c>
      <c r="L1330" s="2" t="s">
        <v>13388</v>
      </c>
      <c r="M1330" s="2" t="s">
        <v>13389</v>
      </c>
      <c r="N1330" s="3" t="s">
        <v>7285</v>
      </c>
      <c r="P1330" s="3" t="s">
        <v>68</v>
      </c>
      <c r="R1330" s="3" t="s">
        <v>70</v>
      </c>
      <c r="S1330" s="4">
        <v>6</v>
      </c>
      <c r="T1330" s="4">
        <v>6</v>
      </c>
      <c r="U1330" s="5" t="s">
        <v>7584</v>
      </c>
      <c r="V1330" s="5" t="s">
        <v>7584</v>
      </c>
      <c r="W1330" s="5" t="s">
        <v>72</v>
      </c>
      <c r="X1330" s="5" t="s">
        <v>72</v>
      </c>
      <c r="Y1330" s="4">
        <v>3</v>
      </c>
      <c r="Z1330" s="4">
        <v>2</v>
      </c>
      <c r="AA1330" s="4">
        <v>7</v>
      </c>
      <c r="AB1330" s="4">
        <v>1</v>
      </c>
      <c r="AC1330" s="4">
        <v>4</v>
      </c>
      <c r="AD1330" s="4">
        <v>1</v>
      </c>
      <c r="AE1330" s="4">
        <v>23</v>
      </c>
      <c r="AF1330" s="4">
        <v>0</v>
      </c>
      <c r="AG1330" s="4">
        <v>3</v>
      </c>
      <c r="AH1330" s="4">
        <v>1</v>
      </c>
      <c r="AI1330" s="4">
        <v>20</v>
      </c>
      <c r="AJ1330" s="4">
        <v>1</v>
      </c>
      <c r="AK1330" s="4">
        <v>6</v>
      </c>
      <c r="AL1330" s="4">
        <v>0</v>
      </c>
      <c r="AM1330" s="4">
        <v>13</v>
      </c>
      <c r="AN1330" s="4">
        <v>0</v>
      </c>
      <c r="AO1330" s="4">
        <v>0</v>
      </c>
      <c r="AP1330" s="4">
        <v>1</v>
      </c>
      <c r="AQ1330" s="4">
        <v>5</v>
      </c>
      <c r="AR1330" s="3" t="s">
        <v>64</v>
      </c>
      <c r="AS1330" s="3" t="s">
        <v>64</v>
      </c>
      <c r="AT1330" s="3" t="s">
        <v>64</v>
      </c>
      <c r="AV1330" s="6" t="str">
        <f>HYPERLINK("http://mcgill.on.worldcat.org/oclc/427349921","Catalog Record")</f>
        <v>Catalog Record</v>
      </c>
      <c r="AW1330" s="6" t="str">
        <f>HYPERLINK("http://www.worldcat.org/oclc/427349921","WorldCat Record")</f>
        <v>WorldCat Record</v>
      </c>
      <c r="AX1330" s="3" t="s">
        <v>13390</v>
      </c>
      <c r="AY1330" s="3" t="s">
        <v>13391</v>
      </c>
      <c r="AZ1330" s="3" t="s">
        <v>13392</v>
      </c>
      <c r="BA1330" s="3" t="s">
        <v>13392</v>
      </c>
      <c r="BB1330" s="3" t="s">
        <v>13393</v>
      </c>
      <c r="BC1330" s="3" t="s">
        <v>77</v>
      </c>
      <c r="BD1330" s="3" t="s">
        <v>78</v>
      </c>
      <c r="BF1330" s="3" t="s">
        <v>13393</v>
      </c>
      <c r="BG1330" s="3" t="s">
        <v>13394</v>
      </c>
      <c r="BH1330">
        <f t="shared" si="40"/>
        <v>0</v>
      </c>
    </row>
    <row r="1331" spans="1:60" ht="58" x14ac:dyDescent="0.35">
      <c r="A1331" s="2" t="s">
        <v>59</v>
      </c>
      <c r="B1331" s="2" t="s">
        <v>60</v>
      </c>
      <c r="C1331" s="2" t="s">
        <v>13395</v>
      </c>
      <c r="D1331" s="2" t="s">
        <v>13396</v>
      </c>
      <c r="E1331" s="2" t="s">
        <v>13397</v>
      </c>
      <c r="G1331" s="3" t="s">
        <v>64</v>
      </c>
      <c r="I1331" s="3" t="s">
        <v>64</v>
      </c>
      <c r="J1331" s="3" t="s">
        <v>64</v>
      </c>
      <c r="K1331" s="3" t="s">
        <v>65</v>
      </c>
      <c r="L1331" s="2" t="s">
        <v>13398</v>
      </c>
      <c r="M1331" s="2" t="s">
        <v>13399</v>
      </c>
      <c r="N1331" s="3" t="s">
        <v>537</v>
      </c>
      <c r="P1331" s="3" t="s">
        <v>102</v>
      </c>
      <c r="R1331" s="3" t="s">
        <v>70</v>
      </c>
      <c r="S1331" s="4">
        <v>1</v>
      </c>
      <c r="T1331" s="4">
        <v>1</v>
      </c>
      <c r="U1331" s="5" t="s">
        <v>7789</v>
      </c>
      <c r="V1331" s="5" t="s">
        <v>7789</v>
      </c>
      <c r="W1331" s="5" t="s">
        <v>72</v>
      </c>
      <c r="X1331" s="5" t="s">
        <v>72</v>
      </c>
      <c r="Y1331" s="4">
        <v>254</v>
      </c>
      <c r="Z1331" s="4">
        <v>11</v>
      </c>
      <c r="AA1331" s="4">
        <v>15</v>
      </c>
      <c r="AB1331" s="4">
        <v>1</v>
      </c>
      <c r="AC1331" s="4">
        <v>3</v>
      </c>
      <c r="AD1331" s="4">
        <v>68</v>
      </c>
      <c r="AE1331" s="4">
        <v>70</v>
      </c>
      <c r="AF1331" s="4">
        <v>0</v>
      </c>
      <c r="AG1331" s="4">
        <v>0</v>
      </c>
      <c r="AH1331" s="4">
        <v>65</v>
      </c>
      <c r="AI1331" s="4">
        <v>65</v>
      </c>
      <c r="AJ1331" s="4">
        <v>6</v>
      </c>
      <c r="AK1331" s="4">
        <v>7</v>
      </c>
      <c r="AL1331" s="4">
        <v>43</v>
      </c>
      <c r="AM1331" s="4">
        <v>43</v>
      </c>
      <c r="AN1331" s="4">
        <v>0</v>
      </c>
      <c r="AO1331" s="4">
        <v>0</v>
      </c>
      <c r="AP1331" s="4">
        <v>7</v>
      </c>
      <c r="AQ1331" s="4">
        <v>9</v>
      </c>
      <c r="AR1331" s="3" t="s">
        <v>64</v>
      </c>
      <c r="AS1331" s="3" t="s">
        <v>64</v>
      </c>
      <c r="AT1331" s="3" t="s">
        <v>64</v>
      </c>
      <c r="AV1331" s="6" t="str">
        <f>HYPERLINK("http://mcgill.on.worldcat.org/oclc/945693481","Catalog Record")</f>
        <v>Catalog Record</v>
      </c>
      <c r="AW1331" s="6" t="str">
        <f>HYPERLINK("http://www.worldcat.org/oclc/945693481","WorldCat Record")</f>
        <v>WorldCat Record</v>
      </c>
      <c r="AX1331" s="3" t="s">
        <v>13400</v>
      </c>
      <c r="AY1331" s="3" t="s">
        <v>13401</v>
      </c>
      <c r="AZ1331" s="3" t="s">
        <v>13402</v>
      </c>
      <c r="BA1331" s="3" t="s">
        <v>13402</v>
      </c>
      <c r="BB1331" s="3" t="s">
        <v>13403</v>
      </c>
      <c r="BC1331" s="3" t="s">
        <v>77</v>
      </c>
      <c r="BD1331" s="3" t="s">
        <v>78</v>
      </c>
      <c r="BE1331" s="3" t="s">
        <v>13404</v>
      </c>
      <c r="BF1331" s="3" t="s">
        <v>13403</v>
      </c>
      <c r="BG1331" s="3" t="s">
        <v>13405</v>
      </c>
      <c r="BH1331">
        <f t="shared" si="40"/>
        <v>0</v>
      </c>
    </row>
    <row r="1332" spans="1:60" ht="58" x14ac:dyDescent="0.35">
      <c r="A1332" s="2" t="s">
        <v>59</v>
      </c>
      <c r="B1332" s="2" t="s">
        <v>60</v>
      </c>
      <c r="C1332" s="2" t="s">
        <v>13406</v>
      </c>
      <c r="D1332" s="2" t="s">
        <v>13407</v>
      </c>
      <c r="E1332" s="2" t="s">
        <v>13408</v>
      </c>
      <c r="G1332" s="3" t="s">
        <v>64</v>
      </c>
      <c r="I1332" s="3" t="s">
        <v>64</v>
      </c>
      <c r="J1332" s="3" t="s">
        <v>64</v>
      </c>
      <c r="K1332" s="3" t="s">
        <v>65</v>
      </c>
      <c r="L1332" s="2" t="s">
        <v>13409</v>
      </c>
      <c r="M1332" s="2" t="s">
        <v>13410</v>
      </c>
      <c r="N1332" s="3" t="s">
        <v>1031</v>
      </c>
      <c r="P1332" s="3" t="s">
        <v>102</v>
      </c>
      <c r="R1332" s="3" t="s">
        <v>70</v>
      </c>
      <c r="S1332" s="4">
        <v>7</v>
      </c>
      <c r="T1332" s="4">
        <v>7</v>
      </c>
      <c r="U1332" s="5" t="s">
        <v>13411</v>
      </c>
      <c r="V1332" s="5" t="s">
        <v>13411</v>
      </c>
      <c r="W1332" s="5" t="s">
        <v>72</v>
      </c>
      <c r="X1332" s="5" t="s">
        <v>72</v>
      </c>
      <c r="Y1332" s="4">
        <v>406</v>
      </c>
      <c r="Z1332" s="4">
        <v>24</v>
      </c>
      <c r="AA1332" s="4">
        <v>24</v>
      </c>
      <c r="AB1332" s="4">
        <v>1</v>
      </c>
      <c r="AC1332" s="4">
        <v>1</v>
      </c>
      <c r="AD1332" s="4">
        <v>113</v>
      </c>
      <c r="AE1332" s="4">
        <v>113</v>
      </c>
      <c r="AF1332" s="4">
        <v>0</v>
      </c>
      <c r="AG1332" s="4">
        <v>0</v>
      </c>
      <c r="AH1332" s="4">
        <v>98</v>
      </c>
      <c r="AI1332" s="4">
        <v>98</v>
      </c>
      <c r="AJ1332" s="4">
        <v>13</v>
      </c>
      <c r="AK1332" s="4">
        <v>13</v>
      </c>
      <c r="AL1332" s="4">
        <v>58</v>
      </c>
      <c r="AM1332" s="4">
        <v>58</v>
      </c>
      <c r="AN1332" s="4">
        <v>0</v>
      </c>
      <c r="AO1332" s="4">
        <v>0</v>
      </c>
      <c r="AP1332" s="4">
        <v>20</v>
      </c>
      <c r="AQ1332" s="4">
        <v>20</v>
      </c>
      <c r="AR1332" s="3" t="s">
        <v>64</v>
      </c>
      <c r="AS1332" s="3" t="s">
        <v>64</v>
      </c>
      <c r="AT1332" s="3" t="s">
        <v>64</v>
      </c>
      <c r="AV1332" s="6" t="str">
        <f>HYPERLINK("http://mcgill.on.worldcat.org/oclc/25200719","Catalog Record")</f>
        <v>Catalog Record</v>
      </c>
      <c r="AW1332" s="6" t="str">
        <f>HYPERLINK("http://www.worldcat.org/oclc/25200719","WorldCat Record")</f>
        <v>WorldCat Record</v>
      </c>
      <c r="AX1332" s="3" t="s">
        <v>13412</v>
      </c>
      <c r="AY1332" s="3" t="s">
        <v>13413</v>
      </c>
      <c r="AZ1332" s="3" t="s">
        <v>13414</v>
      </c>
      <c r="BA1332" s="3" t="s">
        <v>13414</v>
      </c>
      <c r="BB1332" s="3" t="s">
        <v>13415</v>
      </c>
      <c r="BC1332" s="3" t="s">
        <v>77</v>
      </c>
      <c r="BD1332" s="3" t="s">
        <v>78</v>
      </c>
      <c r="BE1332" s="3" t="s">
        <v>13416</v>
      </c>
      <c r="BF1332" s="3" t="s">
        <v>13415</v>
      </c>
      <c r="BG1332" s="3" t="s">
        <v>13417</v>
      </c>
      <c r="BH1332">
        <f t="shared" si="40"/>
        <v>0</v>
      </c>
    </row>
    <row r="1333" spans="1:60" ht="58" x14ac:dyDescent="0.35">
      <c r="A1333" s="2" t="s">
        <v>59</v>
      </c>
      <c r="B1333" s="2" t="s">
        <v>60</v>
      </c>
      <c r="C1333" s="2" t="s">
        <v>13418</v>
      </c>
      <c r="D1333" s="2" t="s">
        <v>13419</v>
      </c>
      <c r="E1333" s="2" t="s">
        <v>13420</v>
      </c>
      <c r="G1333" s="3" t="s">
        <v>64</v>
      </c>
      <c r="I1333" s="3" t="s">
        <v>64</v>
      </c>
      <c r="J1333" s="3" t="s">
        <v>64</v>
      </c>
      <c r="K1333" s="3" t="s">
        <v>65</v>
      </c>
      <c r="M1333" s="2" t="s">
        <v>4199</v>
      </c>
      <c r="N1333" s="3" t="s">
        <v>1075</v>
      </c>
      <c r="P1333" s="3" t="s">
        <v>102</v>
      </c>
      <c r="Q1333" s="2" t="s">
        <v>13421</v>
      </c>
      <c r="R1333" s="3" t="s">
        <v>70</v>
      </c>
      <c r="S1333" s="4">
        <v>1</v>
      </c>
      <c r="T1333" s="4">
        <v>1</v>
      </c>
      <c r="U1333" s="5" t="s">
        <v>13422</v>
      </c>
      <c r="V1333" s="5" t="s">
        <v>13422</v>
      </c>
      <c r="W1333" s="5" t="s">
        <v>72</v>
      </c>
      <c r="X1333" s="5" t="s">
        <v>72</v>
      </c>
      <c r="Y1333" s="4">
        <v>135</v>
      </c>
      <c r="Z1333" s="4">
        <v>10</v>
      </c>
      <c r="AA1333" s="4">
        <v>31</v>
      </c>
      <c r="AB1333" s="4">
        <v>1</v>
      </c>
      <c r="AC1333" s="4">
        <v>3</v>
      </c>
      <c r="AD1333" s="4">
        <v>53</v>
      </c>
      <c r="AE1333" s="4">
        <v>86</v>
      </c>
      <c r="AF1333" s="4">
        <v>0</v>
      </c>
      <c r="AG1333" s="4">
        <v>0</v>
      </c>
      <c r="AH1333" s="4">
        <v>51</v>
      </c>
      <c r="AI1333" s="4">
        <v>74</v>
      </c>
      <c r="AJ1333" s="4">
        <v>7</v>
      </c>
      <c r="AK1333" s="4">
        <v>12</v>
      </c>
      <c r="AL1333" s="4">
        <v>35</v>
      </c>
      <c r="AM1333" s="4">
        <v>44</v>
      </c>
      <c r="AN1333" s="4">
        <v>0</v>
      </c>
      <c r="AO1333" s="4">
        <v>0</v>
      </c>
      <c r="AP1333" s="4">
        <v>7</v>
      </c>
      <c r="AQ1333" s="4">
        <v>19</v>
      </c>
      <c r="AR1333" s="3" t="s">
        <v>64</v>
      </c>
      <c r="AS1333" s="3" t="s">
        <v>64</v>
      </c>
      <c r="AT1333" s="3" t="s">
        <v>64</v>
      </c>
      <c r="AV1333" s="6" t="str">
        <f>HYPERLINK("http://mcgill.on.worldcat.org/oclc/808628394","Catalog Record")</f>
        <v>Catalog Record</v>
      </c>
      <c r="AW1333" s="6" t="str">
        <f>HYPERLINK("http://www.worldcat.org/oclc/808628394","WorldCat Record")</f>
        <v>WorldCat Record</v>
      </c>
      <c r="AX1333" s="3" t="s">
        <v>13423</v>
      </c>
      <c r="AY1333" s="3" t="s">
        <v>13424</v>
      </c>
      <c r="AZ1333" s="3" t="s">
        <v>13425</v>
      </c>
      <c r="BA1333" s="3" t="s">
        <v>13425</v>
      </c>
      <c r="BB1333" s="3" t="s">
        <v>13426</v>
      </c>
      <c r="BC1333" s="3" t="s">
        <v>77</v>
      </c>
      <c r="BD1333" s="3" t="s">
        <v>78</v>
      </c>
      <c r="BE1333" s="3" t="s">
        <v>13427</v>
      </c>
      <c r="BF1333" s="3" t="s">
        <v>13426</v>
      </c>
      <c r="BG1333" s="3" t="s">
        <v>13428</v>
      </c>
      <c r="BH1333">
        <f t="shared" si="40"/>
        <v>0</v>
      </c>
    </row>
    <row r="1334" spans="1:60" ht="58" x14ac:dyDescent="0.35">
      <c r="A1334" s="2" t="s">
        <v>59</v>
      </c>
      <c r="B1334" s="2" t="s">
        <v>60</v>
      </c>
      <c r="C1334" s="2" t="s">
        <v>13429</v>
      </c>
      <c r="D1334" s="2" t="s">
        <v>13430</v>
      </c>
      <c r="E1334" s="2" t="s">
        <v>13431</v>
      </c>
      <c r="G1334" s="3" t="s">
        <v>64</v>
      </c>
      <c r="I1334" s="3" t="s">
        <v>128</v>
      </c>
      <c r="J1334" s="3" t="s">
        <v>64</v>
      </c>
      <c r="K1334" s="3" t="s">
        <v>65</v>
      </c>
      <c r="M1334" s="2" t="s">
        <v>13432</v>
      </c>
      <c r="N1334" s="3" t="s">
        <v>1031</v>
      </c>
      <c r="P1334" s="3" t="s">
        <v>102</v>
      </c>
      <c r="Q1334" s="2" t="s">
        <v>8484</v>
      </c>
      <c r="R1334" s="3" t="s">
        <v>70</v>
      </c>
      <c r="S1334" s="4">
        <v>17</v>
      </c>
      <c r="T1334" s="4">
        <v>17</v>
      </c>
      <c r="U1334" s="5" t="s">
        <v>7584</v>
      </c>
      <c r="V1334" s="5" t="s">
        <v>7584</v>
      </c>
      <c r="W1334" s="5" t="s">
        <v>72</v>
      </c>
      <c r="X1334" s="5" t="s">
        <v>72</v>
      </c>
      <c r="Y1334" s="4">
        <v>339</v>
      </c>
      <c r="Z1334" s="4">
        <v>29</v>
      </c>
      <c r="AA1334" s="4">
        <v>31</v>
      </c>
      <c r="AB1334" s="4">
        <v>1</v>
      </c>
      <c r="AC1334" s="4">
        <v>3</v>
      </c>
      <c r="AD1334" s="4">
        <v>104</v>
      </c>
      <c r="AE1334" s="4">
        <v>106</v>
      </c>
      <c r="AF1334" s="4">
        <v>0</v>
      </c>
      <c r="AG1334" s="4">
        <v>2</v>
      </c>
      <c r="AH1334" s="4">
        <v>88</v>
      </c>
      <c r="AI1334" s="4">
        <v>89</v>
      </c>
      <c r="AJ1334" s="4">
        <v>14</v>
      </c>
      <c r="AK1334" s="4">
        <v>16</v>
      </c>
      <c r="AL1334" s="4">
        <v>51</v>
      </c>
      <c r="AM1334" s="4">
        <v>51</v>
      </c>
      <c r="AN1334" s="4">
        <v>0</v>
      </c>
      <c r="AO1334" s="4">
        <v>0</v>
      </c>
      <c r="AP1334" s="4">
        <v>21</v>
      </c>
      <c r="AQ1334" s="4">
        <v>22</v>
      </c>
      <c r="AR1334" s="3" t="s">
        <v>64</v>
      </c>
      <c r="AS1334" s="3" t="s">
        <v>64</v>
      </c>
      <c r="AT1334" s="3" t="s">
        <v>128</v>
      </c>
      <c r="AU1334" s="6" t="str">
        <f>HYPERLINK("http://catalog.hathitrust.org/Record/002655034","HathiTrust Record")</f>
        <v>HathiTrust Record</v>
      </c>
      <c r="AV1334" s="6" t="str">
        <f>HYPERLINK("http://mcgill.on.worldcat.org/oclc/27769186","Catalog Record")</f>
        <v>Catalog Record</v>
      </c>
      <c r="AW1334" s="6" t="str">
        <f>HYPERLINK("http://www.worldcat.org/oclc/27769186","WorldCat Record")</f>
        <v>WorldCat Record</v>
      </c>
      <c r="AX1334" s="3" t="s">
        <v>13433</v>
      </c>
      <c r="AY1334" s="3" t="s">
        <v>13434</v>
      </c>
      <c r="AZ1334" s="3" t="s">
        <v>13435</v>
      </c>
      <c r="BA1334" s="3" t="s">
        <v>13435</v>
      </c>
      <c r="BB1334" s="3" t="s">
        <v>13436</v>
      </c>
      <c r="BC1334" s="3" t="s">
        <v>77</v>
      </c>
      <c r="BD1334" s="3" t="s">
        <v>78</v>
      </c>
      <c r="BE1334" s="3" t="s">
        <v>13437</v>
      </c>
      <c r="BF1334" s="3" t="s">
        <v>13436</v>
      </c>
      <c r="BG1334" s="3" t="s">
        <v>13438</v>
      </c>
      <c r="BH1334">
        <f t="shared" si="40"/>
        <v>0</v>
      </c>
    </row>
    <row r="1335" spans="1:60" ht="58" x14ac:dyDescent="0.35">
      <c r="A1335" s="2" t="s">
        <v>59</v>
      </c>
      <c r="B1335" s="2" t="s">
        <v>60</v>
      </c>
      <c r="C1335" s="2" t="s">
        <v>13439</v>
      </c>
      <c r="D1335" s="2" t="s">
        <v>13440</v>
      </c>
      <c r="E1335" s="2" t="s">
        <v>13441</v>
      </c>
      <c r="G1335" s="3" t="s">
        <v>64</v>
      </c>
      <c r="I1335" s="3" t="s">
        <v>128</v>
      </c>
      <c r="J1335" s="3" t="s">
        <v>128</v>
      </c>
      <c r="K1335" s="3" t="s">
        <v>65</v>
      </c>
      <c r="L1335" s="2" t="s">
        <v>13442</v>
      </c>
      <c r="M1335" s="2" t="s">
        <v>13443</v>
      </c>
      <c r="N1335" s="3" t="s">
        <v>1938</v>
      </c>
      <c r="P1335" s="3" t="s">
        <v>102</v>
      </c>
      <c r="R1335" s="3" t="s">
        <v>70</v>
      </c>
      <c r="S1335" s="4">
        <v>20</v>
      </c>
      <c r="T1335" s="4">
        <v>29</v>
      </c>
      <c r="U1335" s="5" t="s">
        <v>13444</v>
      </c>
      <c r="V1335" s="5" t="s">
        <v>13444</v>
      </c>
      <c r="W1335" s="5" t="s">
        <v>72</v>
      </c>
      <c r="X1335" s="5" t="s">
        <v>72</v>
      </c>
      <c r="Y1335" s="4">
        <v>49</v>
      </c>
      <c r="Z1335" s="4">
        <v>4</v>
      </c>
      <c r="AA1335" s="4">
        <v>52</v>
      </c>
      <c r="AB1335" s="4">
        <v>1</v>
      </c>
      <c r="AC1335" s="4">
        <v>7</v>
      </c>
      <c r="AD1335" s="4">
        <v>11</v>
      </c>
      <c r="AE1335" s="4">
        <v>143</v>
      </c>
      <c r="AF1335" s="4">
        <v>0</v>
      </c>
      <c r="AG1335" s="4">
        <v>5</v>
      </c>
      <c r="AH1335" s="4">
        <v>11</v>
      </c>
      <c r="AI1335" s="4">
        <v>112</v>
      </c>
      <c r="AJ1335" s="4">
        <v>2</v>
      </c>
      <c r="AK1335" s="4">
        <v>25</v>
      </c>
      <c r="AL1335" s="4">
        <v>8</v>
      </c>
      <c r="AM1335" s="4">
        <v>61</v>
      </c>
      <c r="AN1335" s="4">
        <v>0</v>
      </c>
      <c r="AO1335" s="4">
        <v>0</v>
      </c>
      <c r="AP1335" s="4">
        <v>2</v>
      </c>
      <c r="AQ1335" s="4">
        <v>38</v>
      </c>
      <c r="AR1335" s="3" t="s">
        <v>64</v>
      </c>
      <c r="AS1335" s="3" t="s">
        <v>64</v>
      </c>
      <c r="AT1335" s="3" t="s">
        <v>64</v>
      </c>
      <c r="AV1335" s="6" t="str">
        <f>HYPERLINK("http://mcgill.on.worldcat.org/oclc/22308831","Catalog Record")</f>
        <v>Catalog Record</v>
      </c>
      <c r="AW1335" s="6" t="str">
        <f>HYPERLINK("http://www.worldcat.org/oclc/22308831","WorldCat Record")</f>
        <v>WorldCat Record</v>
      </c>
      <c r="AX1335" s="3" t="s">
        <v>13445</v>
      </c>
      <c r="AY1335" s="3" t="s">
        <v>13446</v>
      </c>
      <c r="AZ1335" s="3" t="s">
        <v>13447</v>
      </c>
      <c r="BA1335" s="3" t="s">
        <v>13447</v>
      </c>
      <c r="BB1335" s="3" t="s">
        <v>13448</v>
      </c>
      <c r="BC1335" s="3" t="s">
        <v>77</v>
      </c>
      <c r="BD1335" s="3" t="s">
        <v>78</v>
      </c>
      <c r="BE1335" s="3" t="s">
        <v>13449</v>
      </c>
      <c r="BF1335" s="3" t="s">
        <v>13448</v>
      </c>
      <c r="BG1335" s="3" t="s">
        <v>13450</v>
      </c>
      <c r="BH1335">
        <f t="shared" si="40"/>
        <v>0</v>
      </c>
    </row>
    <row r="1336" spans="1:60" ht="58" x14ac:dyDescent="0.35">
      <c r="A1336" s="2" t="s">
        <v>59</v>
      </c>
      <c r="B1336" s="2" t="s">
        <v>60</v>
      </c>
      <c r="C1336" s="2" t="s">
        <v>13439</v>
      </c>
      <c r="D1336" s="2" t="s">
        <v>13440</v>
      </c>
      <c r="E1336" s="2" t="s">
        <v>13441</v>
      </c>
      <c r="G1336" s="3" t="s">
        <v>64</v>
      </c>
      <c r="I1336" s="3" t="s">
        <v>128</v>
      </c>
      <c r="J1336" s="3" t="s">
        <v>128</v>
      </c>
      <c r="K1336" s="3" t="s">
        <v>65</v>
      </c>
      <c r="L1336" s="2" t="s">
        <v>13442</v>
      </c>
      <c r="M1336" s="2" t="s">
        <v>13443</v>
      </c>
      <c r="N1336" s="3" t="s">
        <v>1938</v>
      </c>
      <c r="P1336" s="3" t="s">
        <v>102</v>
      </c>
      <c r="R1336" s="3" t="s">
        <v>70</v>
      </c>
      <c r="S1336" s="4">
        <v>9</v>
      </c>
      <c r="T1336" s="4">
        <v>29</v>
      </c>
      <c r="U1336" s="5" t="s">
        <v>3456</v>
      </c>
      <c r="V1336" s="5" t="s">
        <v>13444</v>
      </c>
      <c r="W1336" s="5" t="s">
        <v>72</v>
      </c>
      <c r="X1336" s="5" t="s">
        <v>72</v>
      </c>
      <c r="Y1336" s="4">
        <v>49</v>
      </c>
      <c r="Z1336" s="4">
        <v>4</v>
      </c>
      <c r="AA1336" s="4">
        <v>52</v>
      </c>
      <c r="AB1336" s="4">
        <v>1</v>
      </c>
      <c r="AC1336" s="4">
        <v>7</v>
      </c>
      <c r="AD1336" s="4">
        <v>11</v>
      </c>
      <c r="AE1336" s="4">
        <v>143</v>
      </c>
      <c r="AF1336" s="4">
        <v>0</v>
      </c>
      <c r="AG1336" s="4">
        <v>5</v>
      </c>
      <c r="AH1336" s="4">
        <v>11</v>
      </c>
      <c r="AI1336" s="4">
        <v>112</v>
      </c>
      <c r="AJ1336" s="4">
        <v>2</v>
      </c>
      <c r="AK1336" s="4">
        <v>25</v>
      </c>
      <c r="AL1336" s="4">
        <v>8</v>
      </c>
      <c r="AM1336" s="4">
        <v>61</v>
      </c>
      <c r="AN1336" s="4">
        <v>0</v>
      </c>
      <c r="AO1336" s="4">
        <v>0</v>
      </c>
      <c r="AP1336" s="4">
        <v>2</v>
      </c>
      <c r="AQ1336" s="4">
        <v>38</v>
      </c>
      <c r="AR1336" s="3" t="s">
        <v>64</v>
      </c>
      <c r="AS1336" s="3" t="s">
        <v>64</v>
      </c>
      <c r="AT1336" s="3" t="s">
        <v>64</v>
      </c>
      <c r="AV1336" s="6" t="str">
        <f>HYPERLINK("http://mcgill.on.worldcat.org/oclc/22308831","Catalog Record")</f>
        <v>Catalog Record</v>
      </c>
      <c r="AW1336" s="6" t="str">
        <f>HYPERLINK("http://www.worldcat.org/oclc/22308831","WorldCat Record")</f>
        <v>WorldCat Record</v>
      </c>
      <c r="AX1336" s="3" t="s">
        <v>13445</v>
      </c>
      <c r="AY1336" s="3" t="s">
        <v>13446</v>
      </c>
      <c r="AZ1336" s="3" t="s">
        <v>13447</v>
      </c>
      <c r="BA1336" s="3" t="s">
        <v>13447</v>
      </c>
      <c r="BB1336" s="3" t="s">
        <v>13451</v>
      </c>
      <c r="BC1336" s="3" t="s">
        <v>77</v>
      </c>
      <c r="BD1336" s="3" t="s">
        <v>78</v>
      </c>
      <c r="BE1336" s="3" t="s">
        <v>13449</v>
      </c>
      <c r="BF1336" s="3" t="s">
        <v>13451</v>
      </c>
      <c r="BG1336" s="3" t="s">
        <v>13452</v>
      </c>
      <c r="BH1336">
        <f t="shared" si="40"/>
        <v>0</v>
      </c>
    </row>
    <row r="1337" spans="1:60" ht="58" x14ac:dyDescent="0.35">
      <c r="A1337" s="2" t="s">
        <v>59</v>
      </c>
      <c r="B1337" s="2" t="s">
        <v>60</v>
      </c>
      <c r="C1337" s="2" t="s">
        <v>13453</v>
      </c>
      <c r="D1337" s="2" t="s">
        <v>13454</v>
      </c>
      <c r="E1337" s="2" t="s">
        <v>13455</v>
      </c>
      <c r="G1337" s="3" t="s">
        <v>64</v>
      </c>
      <c r="I1337" s="3" t="s">
        <v>64</v>
      </c>
      <c r="J1337" s="3" t="s">
        <v>64</v>
      </c>
      <c r="K1337" s="3" t="s">
        <v>65</v>
      </c>
      <c r="L1337" s="2" t="s">
        <v>13456</v>
      </c>
      <c r="M1337" s="2" t="s">
        <v>13457</v>
      </c>
      <c r="N1337" s="3" t="s">
        <v>551</v>
      </c>
      <c r="P1337" s="3" t="s">
        <v>102</v>
      </c>
      <c r="Q1337" s="2" t="s">
        <v>4419</v>
      </c>
      <c r="R1337" s="3" t="s">
        <v>70</v>
      </c>
      <c r="S1337" s="4">
        <v>5</v>
      </c>
      <c r="T1337" s="4">
        <v>5</v>
      </c>
      <c r="U1337" s="5" t="s">
        <v>3456</v>
      </c>
      <c r="V1337" s="5" t="s">
        <v>3456</v>
      </c>
      <c r="W1337" s="5" t="s">
        <v>72</v>
      </c>
      <c r="X1337" s="5" t="s">
        <v>72</v>
      </c>
      <c r="Y1337" s="4">
        <v>183</v>
      </c>
      <c r="Z1337" s="4">
        <v>18</v>
      </c>
      <c r="AA1337" s="4">
        <v>80</v>
      </c>
      <c r="AB1337" s="4">
        <v>2</v>
      </c>
      <c r="AC1337" s="4">
        <v>15</v>
      </c>
      <c r="AD1337" s="4">
        <v>80</v>
      </c>
      <c r="AE1337" s="4">
        <v>126</v>
      </c>
      <c r="AF1337" s="4">
        <v>0</v>
      </c>
      <c r="AG1337" s="4">
        <v>8</v>
      </c>
      <c r="AH1337" s="4">
        <v>70</v>
      </c>
      <c r="AI1337" s="4">
        <v>91</v>
      </c>
      <c r="AJ1337" s="4">
        <v>14</v>
      </c>
      <c r="AK1337" s="4">
        <v>22</v>
      </c>
      <c r="AL1337" s="4">
        <v>43</v>
      </c>
      <c r="AM1337" s="4">
        <v>51</v>
      </c>
      <c r="AN1337" s="4">
        <v>0</v>
      </c>
      <c r="AO1337" s="4">
        <v>0</v>
      </c>
      <c r="AP1337" s="4">
        <v>14</v>
      </c>
      <c r="AQ1337" s="4">
        <v>42</v>
      </c>
      <c r="AR1337" s="3" t="s">
        <v>64</v>
      </c>
      <c r="AS1337" s="3" t="s">
        <v>64</v>
      </c>
      <c r="AT1337" s="3" t="s">
        <v>64</v>
      </c>
      <c r="AV1337" s="6" t="str">
        <f>HYPERLINK("http://mcgill.on.worldcat.org/oclc/259754302","Catalog Record")</f>
        <v>Catalog Record</v>
      </c>
      <c r="AW1337" s="6" t="str">
        <f>HYPERLINK("http://www.worldcat.org/oclc/259754302","WorldCat Record")</f>
        <v>WorldCat Record</v>
      </c>
      <c r="AX1337" s="3" t="s">
        <v>13458</v>
      </c>
      <c r="AY1337" s="3" t="s">
        <v>13459</v>
      </c>
      <c r="AZ1337" s="3" t="s">
        <v>13460</v>
      </c>
      <c r="BA1337" s="3" t="s">
        <v>13460</v>
      </c>
      <c r="BB1337" s="3" t="s">
        <v>13461</v>
      </c>
      <c r="BC1337" s="3" t="s">
        <v>77</v>
      </c>
      <c r="BD1337" s="3" t="s">
        <v>78</v>
      </c>
      <c r="BE1337" s="3" t="s">
        <v>13462</v>
      </c>
      <c r="BF1337" s="3" t="s">
        <v>13461</v>
      </c>
      <c r="BG1337" s="3" t="s">
        <v>13463</v>
      </c>
      <c r="BH1337">
        <f t="shared" si="40"/>
        <v>0</v>
      </c>
    </row>
    <row r="1338" spans="1:60" ht="58" x14ac:dyDescent="0.35">
      <c r="A1338" s="2" t="s">
        <v>59</v>
      </c>
      <c r="B1338" s="2" t="s">
        <v>60</v>
      </c>
      <c r="C1338" s="2" t="s">
        <v>13464</v>
      </c>
      <c r="D1338" s="2" t="s">
        <v>13465</v>
      </c>
      <c r="E1338" s="2" t="s">
        <v>13466</v>
      </c>
      <c r="G1338" s="3" t="s">
        <v>64</v>
      </c>
      <c r="I1338" s="3" t="s">
        <v>64</v>
      </c>
      <c r="J1338" s="3" t="s">
        <v>64</v>
      </c>
      <c r="K1338" s="3" t="s">
        <v>65</v>
      </c>
      <c r="L1338" s="2" t="s">
        <v>10125</v>
      </c>
      <c r="M1338" s="2" t="s">
        <v>13467</v>
      </c>
      <c r="N1338" s="3" t="s">
        <v>1047</v>
      </c>
      <c r="P1338" s="3" t="s">
        <v>102</v>
      </c>
      <c r="R1338" s="3" t="s">
        <v>70</v>
      </c>
      <c r="S1338" s="4">
        <v>12</v>
      </c>
      <c r="T1338" s="4">
        <v>12</v>
      </c>
      <c r="U1338" s="5" t="s">
        <v>8119</v>
      </c>
      <c r="V1338" s="5" t="s">
        <v>8119</v>
      </c>
      <c r="W1338" s="5" t="s">
        <v>72</v>
      </c>
      <c r="X1338" s="5" t="s">
        <v>72</v>
      </c>
      <c r="Y1338" s="4">
        <v>152</v>
      </c>
      <c r="Z1338" s="4">
        <v>17</v>
      </c>
      <c r="AA1338" s="4">
        <v>36</v>
      </c>
      <c r="AB1338" s="4">
        <v>1</v>
      </c>
      <c r="AC1338" s="4">
        <v>3</v>
      </c>
      <c r="AD1338" s="4">
        <v>39</v>
      </c>
      <c r="AE1338" s="4">
        <v>111</v>
      </c>
      <c r="AF1338" s="4">
        <v>0</v>
      </c>
      <c r="AG1338" s="4">
        <v>2</v>
      </c>
      <c r="AH1338" s="4">
        <v>32</v>
      </c>
      <c r="AI1338" s="4">
        <v>93</v>
      </c>
      <c r="AJ1338" s="4">
        <v>10</v>
      </c>
      <c r="AK1338" s="4">
        <v>19</v>
      </c>
      <c r="AL1338" s="4">
        <v>19</v>
      </c>
      <c r="AM1338" s="4">
        <v>49</v>
      </c>
      <c r="AN1338" s="4">
        <v>0</v>
      </c>
      <c r="AO1338" s="4">
        <v>0</v>
      </c>
      <c r="AP1338" s="4">
        <v>13</v>
      </c>
      <c r="AQ1338" s="4">
        <v>28</v>
      </c>
      <c r="AR1338" s="3" t="s">
        <v>64</v>
      </c>
      <c r="AS1338" s="3" t="s">
        <v>64</v>
      </c>
      <c r="AT1338" s="3" t="s">
        <v>128</v>
      </c>
      <c r="AU1338" s="6" t="str">
        <f>HYPERLINK("http://catalog.hathitrust.org/Record/000312077","HathiTrust Record")</f>
        <v>HathiTrust Record</v>
      </c>
      <c r="AV1338" s="6" t="str">
        <f>HYPERLINK("http://mcgill.on.worldcat.org/oclc/9118177","Catalog Record")</f>
        <v>Catalog Record</v>
      </c>
      <c r="AW1338" s="6" t="str">
        <f>HYPERLINK("http://www.worldcat.org/oclc/9118177","WorldCat Record")</f>
        <v>WorldCat Record</v>
      </c>
      <c r="AX1338" s="3" t="s">
        <v>13468</v>
      </c>
      <c r="AY1338" s="3" t="s">
        <v>13469</v>
      </c>
      <c r="AZ1338" s="3" t="s">
        <v>13470</v>
      </c>
      <c r="BA1338" s="3" t="s">
        <v>13470</v>
      </c>
      <c r="BB1338" s="3" t="s">
        <v>13471</v>
      </c>
      <c r="BC1338" s="3" t="s">
        <v>77</v>
      </c>
      <c r="BD1338" s="3" t="s">
        <v>78</v>
      </c>
      <c r="BE1338" s="3" t="s">
        <v>13472</v>
      </c>
      <c r="BF1338" s="3" t="s">
        <v>13471</v>
      </c>
      <c r="BG1338" s="3" t="s">
        <v>13473</v>
      </c>
      <c r="BH1338">
        <f t="shared" si="40"/>
        <v>0</v>
      </c>
    </row>
    <row r="1339" spans="1:60" ht="58" x14ac:dyDescent="0.35">
      <c r="A1339" s="2" t="s">
        <v>59</v>
      </c>
      <c r="B1339" s="2" t="s">
        <v>60</v>
      </c>
      <c r="C1339" s="2" t="s">
        <v>13474</v>
      </c>
      <c r="D1339" s="2" t="s">
        <v>13475</v>
      </c>
      <c r="E1339" s="2" t="s">
        <v>13476</v>
      </c>
      <c r="G1339" s="3" t="s">
        <v>64</v>
      </c>
      <c r="I1339" s="3" t="s">
        <v>64</v>
      </c>
      <c r="J1339" s="3" t="s">
        <v>64</v>
      </c>
      <c r="K1339" s="3" t="s">
        <v>65</v>
      </c>
      <c r="M1339" s="2" t="s">
        <v>13477</v>
      </c>
      <c r="N1339" s="3" t="s">
        <v>1031</v>
      </c>
      <c r="P1339" s="3" t="s">
        <v>102</v>
      </c>
      <c r="R1339" s="3" t="s">
        <v>70</v>
      </c>
      <c r="S1339" s="4">
        <v>20</v>
      </c>
      <c r="T1339" s="4">
        <v>20</v>
      </c>
      <c r="U1339" s="5" t="s">
        <v>13478</v>
      </c>
      <c r="V1339" s="5" t="s">
        <v>13478</v>
      </c>
      <c r="W1339" s="5" t="s">
        <v>72</v>
      </c>
      <c r="X1339" s="5" t="s">
        <v>72</v>
      </c>
      <c r="Y1339" s="4">
        <v>215</v>
      </c>
      <c r="Z1339" s="4">
        <v>16</v>
      </c>
      <c r="AA1339" s="4">
        <v>16</v>
      </c>
      <c r="AB1339" s="4">
        <v>1</v>
      </c>
      <c r="AC1339" s="4">
        <v>1</v>
      </c>
      <c r="AD1339" s="4">
        <v>83</v>
      </c>
      <c r="AE1339" s="4">
        <v>83</v>
      </c>
      <c r="AF1339" s="4">
        <v>0</v>
      </c>
      <c r="AG1339" s="4">
        <v>0</v>
      </c>
      <c r="AH1339" s="4">
        <v>76</v>
      </c>
      <c r="AI1339" s="4">
        <v>76</v>
      </c>
      <c r="AJ1339" s="4">
        <v>11</v>
      </c>
      <c r="AK1339" s="4">
        <v>11</v>
      </c>
      <c r="AL1339" s="4">
        <v>47</v>
      </c>
      <c r="AM1339" s="4">
        <v>47</v>
      </c>
      <c r="AN1339" s="4">
        <v>0</v>
      </c>
      <c r="AO1339" s="4">
        <v>0</v>
      </c>
      <c r="AP1339" s="4">
        <v>13</v>
      </c>
      <c r="AQ1339" s="4">
        <v>13</v>
      </c>
      <c r="AR1339" s="3" t="s">
        <v>64</v>
      </c>
      <c r="AS1339" s="3" t="s">
        <v>64</v>
      </c>
      <c r="AT1339" s="3" t="s">
        <v>64</v>
      </c>
      <c r="AV1339" s="6" t="str">
        <f>HYPERLINK("http://mcgill.on.worldcat.org/oclc/25130944","Catalog Record")</f>
        <v>Catalog Record</v>
      </c>
      <c r="AW1339" s="6" t="str">
        <f>HYPERLINK("http://www.worldcat.org/oclc/25130944","WorldCat Record")</f>
        <v>WorldCat Record</v>
      </c>
      <c r="AX1339" s="3" t="s">
        <v>13479</v>
      </c>
      <c r="AY1339" s="3" t="s">
        <v>13480</v>
      </c>
      <c r="AZ1339" s="3" t="s">
        <v>13481</v>
      </c>
      <c r="BA1339" s="3" t="s">
        <v>13481</v>
      </c>
      <c r="BB1339" s="3" t="s">
        <v>13482</v>
      </c>
      <c r="BC1339" s="3" t="s">
        <v>77</v>
      </c>
      <c r="BD1339" s="3" t="s">
        <v>78</v>
      </c>
      <c r="BE1339" s="3" t="s">
        <v>13483</v>
      </c>
      <c r="BF1339" s="3" t="s">
        <v>13482</v>
      </c>
      <c r="BG1339" s="3" t="s">
        <v>13484</v>
      </c>
      <c r="BH1339">
        <f t="shared" si="40"/>
        <v>0</v>
      </c>
    </row>
    <row r="1340" spans="1:60" ht="58" x14ac:dyDescent="0.35">
      <c r="A1340" s="2" t="s">
        <v>59</v>
      </c>
      <c r="B1340" s="2" t="s">
        <v>60</v>
      </c>
      <c r="C1340" s="2" t="s">
        <v>13485</v>
      </c>
      <c r="D1340" s="2" t="s">
        <v>13486</v>
      </c>
      <c r="E1340" s="2" t="s">
        <v>13487</v>
      </c>
      <c r="G1340" s="3" t="s">
        <v>64</v>
      </c>
      <c r="I1340" s="3" t="s">
        <v>64</v>
      </c>
      <c r="J1340" s="3" t="s">
        <v>64</v>
      </c>
      <c r="K1340" s="3" t="s">
        <v>65</v>
      </c>
      <c r="L1340" s="2" t="s">
        <v>13488</v>
      </c>
      <c r="M1340" s="2" t="s">
        <v>13489</v>
      </c>
      <c r="N1340" s="3" t="s">
        <v>498</v>
      </c>
      <c r="P1340" s="3" t="s">
        <v>102</v>
      </c>
      <c r="Q1340" s="2" t="s">
        <v>13490</v>
      </c>
      <c r="R1340" s="3" t="s">
        <v>70</v>
      </c>
      <c r="S1340" s="4">
        <v>1</v>
      </c>
      <c r="T1340" s="4">
        <v>1</v>
      </c>
      <c r="U1340" s="5" t="s">
        <v>8766</v>
      </c>
      <c r="V1340" s="5" t="s">
        <v>8766</v>
      </c>
      <c r="W1340" s="5" t="s">
        <v>72</v>
      </c>
      <c r="X1340" s="5" t="s">
        <v>72</v>
      </c>
      <c r="Y1340" s="4">
        <v>377</v>
      </c>
      <c r="Z1340" s="4">
        <v>25</v>
      </c>
      <c r="AA1340" s="4">
        <v>27</v>
      </c>
      <c r="AB1340" s="4">
        <v>2</v>
      </c>
      <c r="AC1340" s="4">
        <v>3</v>
      </c>
      <c r="AD1340" s="4">
        <v>111</v>
      </c>
      <c r="AE1340" s="4">
        <v>113</v>
      </c>
      <c r="AF1340" s="4">
        <v>1</v>
      </c>
      <c r="AG1340" s="4">
        <v>2</v>
      </c>
      <c r="AH1340" s="4">
        <v>96</v>
      </c>
      <c r="AI1340" s="4">
        <v>97</v>
      </c>
      <c r="AJ1340" s="4">
        <v>18</v>
      </c>
      <c r="AK1340" s="4">
        <v>19</v>
      </c>
      <c r="AL1340" s="4">
        <v>53</v>
      </c>
      <c r="AM1340" s="4">
        <v>53</v>
      </c>
      <c r="AN1340" s="4">
        <v>0</v>
      </c>
      <c r="AO1340" s="4">
        <v>0</v>
      </c>
      <c r="AP1340" s="4">
        <v>22</v>
      </c>
      <c r="AQ1340" s="4">
        <v>24</v>
      </c>
      <c r="AR1340" s="3" t="s">
        <v>64</v>
      </c>
      <c r="AS1340" s="3" t="s">
        <v>64</v>
      </c>
      <c r="AT1340" s="3" t="s">
        <v>128</v>
      </c>
      <c r="AU1340" s="6" t="str">
        <f>HYPERLINK("http://catalog.hathitrust.org/Record/001683824","HathiTrust Record")</f>
        <v>HathiTrust Record</v>
      </c>
      <c r="AV1340" s="6" t="str">
        <f>HYPERLINK("http://mcgill.on.worldcat.org/oclc/1127499","Catalog Record")</f>
        <v>Catalog Record</v>
      </c>
      <c r="AW1340" s="6" t="str">
        <f>HYPERLINK("http://www.worldcat.org/oclc/1127499","WorldCat Record")</f>
        <v>WorldCat Record</v>
      </c>
      <c r="AX1340" s="3" t="s">
        <v>13491</v>
      </c>
      <c r="AY1340" s="3" t="s">
        <v>13492</v>
      </c>
      <c r="AZ1340" s="3" t="s">
        <v>13493</v>
      </c>
      <c r="BA1340" s="3" t="s">
        <v>13493</v>
      </c>
      <c r="BB1340" s="3" t="s">
        <v>13494</v>
      </c>
      <c r="BC1340" s="3" t="s">
        <v>77</v>
      </c>
      <c r="BD1340" s="3" t="s">
        <v>78</v>
      </c>
      <c r="BE1340" s="3" t="s">
        <v>13495</v>
      </c>
      <c r="BF1340" s="3" t="s">
        <v>13494</v>
      </c>
      <c r="BG1340" s="3" t="s">
        <v>13496</v>
      </c>
      <c r="BH1340">
        <f t="shared" si="40"/>
        <v>0</v>
      </c>
    </row>
    <row r="1341" spans="1:60" ht="58" x14ac:dyDescent="0.35">
      <c r="A1341" s="2" t="s">
        <v>59</v>
      </c>
      <c r="B1341" s="2" t="s">
        <v>60</v>
      </c>
      <c r="C1341" s="2" t="s">
        <v>13497</v>
      </c>
      <c r="D1341" s="2" t="s">
        <v>13498</v>
      </c>
      <c r="E1341" s="2" t="s">
        <v>13499</v>
      </c>
      <c r="G1341" s="3" t="s">
        <v>64</v>
      </c>
      <c r="I1341" s="3" t="s">
        <v>64</v>
      </c>
      <c r="J1341" s="3" t="s">
        <v>64</v>
      </c>
      <c r="K1341" s="3" t="s">
        <v>65</v>
      </c>
      <c r="M1341" s="2" t="s">
        <v>13500</v>
      </c>
      <c r="N1341" s="3" t="s">
        <v>551</v>
      </c>
      <c r="P1341" s="3" t="s">
        <v>102</v>
      </c>
      <c r="R1341" s="3" t="s">
        <v>70</v>
      </c>
      <c r="S1341" s="4">
        <v>3</v>
      </c>
      <c r="T1341" s="4">
        <v>3</v>
      </c>
      <c r="U1341" s="5" t="s">
        <v>8766</v>
      </c>
      <c r="V1341" s="5" t="s">
        <v>8766</v>
      </c>
      <c r="W1341" s="5" t="s">
        <v>72</v>
      </c>
      <c r="X1341" s="5" t="s">
        <v>72</v>
      </c>
      <c r="Y1341" s="4">
        <v>172</v>
      </c>
      <c r="Z1341" s="4">
        <v>19</v>
      </c>
      <c r="AA1341" s="4">
        <v>103</v>
      </c>
      <c r="AB1341" s="4">
        <v>3</v>
      </c>
      <c r="AC1341" s="4">
        <v>18</v>
      </c>
      <c r="AD1341" s="4">
        <v>72</v>
      </c>
      <c r="AE1341" s="4">
        <v>132</v>
      </c>
      <c r="AF1341" s="4">
        <v>1</v>
      </c>
      <c r="AG1341" s="4">
        <v>8</v>
      </c>
      <c r="AH1341" s="4">
        <v>65</v>
      </c>
      <c r="AI1341" s="4">
        <v>92</v>
      </c>
      <c r="AJ1341" s="4">
        <v>12</v>
      </c>
      <c r="AK1341" s="4">
        <v>23</v>
      </c>
      <c r="AL1341" s="4">
        <v>37</v>
      </c>
      <c r="AM1341" s="4">
        <v>51</v>
      </c>
      <c r="AN1341" s="4">
        <v>0</v>
      </c>
      <c r="AO1341" s="4">
        <v>0</v>
      </c>
      <c r="AP1341" s="4">
        <v>14</v>
      </c>
      <c r="AQ1341" s="4">
        <v>46</v>
      </c>
      <c r="AR1341" s="3" t="s">
        <v>64</v>
      </c>
      <c r="AS1341" s="3" t="s">
        <v>64</v>
      </c>
      <c r="AT1341" s="3" t="s">
        <v>64</v>
      </c>
      <c r="AV1341" s="6" t="str">
        <f>HYPERLINK("http://mcgill.on.worldcat.org/oclc/261176960","Catalog Record")</f>
        <v>Catalog Record</v>
      </c>
      <c r="AW1341" s="6" t="str">
        <f>HYPERLINK("http://www.worldcat.org/oclc/261176960","WorldCat Record")</f>
        <v>WorldCat Record</v>
      </c>
      <c r="AX1341" s="3" t="s">
        <v>13501</v>
      </c>
      <c r="AY1341" s="3" t="s">
        <v>13502</v>
      </c>
      <c r="AZ1341" s="3" t="s">
        <v>13503</v>
      </c>
      <c r="BA1341" s="3" t="s">
        <v>13503</v>
      </c>
      <c r="BB1341" s="3" t="s">
        <v>13504</v>
      </c>
      <c r="BC1341" s="3" t="s">
        <v>77</v>
      </c>
      <c r="BD1341" s="3" t="s">
        <v>78</v>
      </c>
      <c r="BE1341" s="3" t="s">
        <v>13505</v>
      </c>
      <c r="BF1341" s="3" t="s">
        <v>13504</v>
      </c>
      <c r="BG1341" s="3" t="s">
        <v>13506</v>
      </c>
      <c r="BH1341">
        <f t="shared" si="40"/>
        <v>0</v>
      </c>
    </row>
    <row r="1342" spans="1:60" ht="58" x14ac:dyDescent="0.35">
      <c r="A1342" s="2" t="s">
        <v>59</v>
      </c>
      <c r="B1342" s="2" t="s">
        <v>60</v>
      </c>
      <c r="C1342" s="2" t="s">
        <v>13507</v>
      </c>
      <c r="D1342" s="2" t="s">
        <v>13508</v>
      </c>
      <c r="E1342" s="2" t="s">
        <v>13509</v>
      </c>
      <c r="G1342" s="3" t="s">
        <v>64</v>
      </c>
      <c r="I1342" s="3" t="s">
        <v>64</v>
      </c>
      <c r="J1342" s="3" t="s">
        <v>64</v>
      </c>
      <c r="K1342" s="3" t="s">
        <v>65</v>
      </c>
      <c r="L1342" s="2" t="s">
        <v>13510</v>
      </c>
      <c r="M1342" s="2" t="s">
        <v>13511</v>
      </c>
      <c r="N1342" s="3" t="s">
        <v>768</v>
      </c>
      <c r="O1342" s="2" t="s">
        <v>8077</v>
      </c>
      <c r="P1342" s="3" t="s">
        <v>102</v>
      </c>
      <c r="R1342" s="3" t="s">
        <v>70</v>
      </c>
      <c r="S1342" s="4">
        <v>2</v>
      </c>
      <c r="T1342" s="4">
        <v>2</v>
      </c>
      <c r="U1342" s="5" t="s">
        <v>8766</v>
      </c>
      <c r="V1342" s="5" t="s">
        <v>8766</v>
      </c>
      <c r="W1342" s="5" t="s">
        <v>72</v>
      </c>
      <c r="X1342" s="5" t="s">
        <v>72</v>
      </c>
      <c r="Y1342" s="4">
        <v>43</v>
      </c>
      <c r="Z1342" s="4">
        <v>8</v>
      </c>
      <c r="AA1342" s="4">
        <v>10</v>
      </c>
      <c r="AB1342" s="4">
        <v>1</v>
      </c>
      <c r="AC1342" s="4">
        <v>1</v>
      </c>
      <c r="AD1342" s="4">
        <v>33</v>
      </c>
      <c r="AE1342" s="4">
        <v>35</v>
      </c>
      <c r="AF1342" s="4">
        <v>0</v>
      </c>
      <c r="AG1342" s="4">
        <v>0</v>
      </c>
      <c r="AH1342" s="4">
        <v>30</v>
      </c>
      <c r="AI1342" s="4">
        <v>31</v>
      </c>
      <c r="AJ1342" s="4">
        <v>6</v>
      </c>
      <c r="AK1342" s="4">
        <v>8</v>
      </c>
      <c r="AL1342" s="4">
        <v>23</v>
      </c>
      <c r="AM1342" s="4">
        <v>23</v>
      </c>
      <c r="AN1342" s="4">
        <v>0</v>
      </c>
      <c r="AO1342" s="4">
        <v>0</v>
      </c>
      <c r="AP1342" s="4">
        <v>5</v>
      </c>
      <c r="AQ1342" s="4">
        <v>7</v>
      </c>
      <c r="AR1342" s="3" t="s">
        <v>64</v>
      </c>
      <c r="AS1342" s="3" t="s">
        <v>64</v>
      </c>
      <c r="AT1342" s="3" t="s">
        <v>128</v>
      </c>
      <c r="AU1342" s="6" t="str">
        <f>HYPERLINK("http://catalog.hathitrust.org/Record/000259413","HathiTrust Record")</f>
        <v>HathiTrust Record</v>
      </c>
      <c r="AV1342" s="6" t="str">
        <f>HYPERLINK("http://mcgill.on.worldcat.org/oclc/4596227","Catalog Record")</f>
        <v>Catalog Record</v>
      </c>
      <c r="AW1342" s="6" t="str">
        <f>HYPERLINK("http://www.worldcat.org/oclc/4596227","WorldCat Record")</f>
        <v>WorldCat Record</v>
      </c>
      <c r="AX1342" s="3" t="s">
        <v>13512</v>
      </c>
      <c r="AY1342" s="3" t="s">
        <v>13513</v>
      </c>
      <c r="AZ1342" s="3" t="s">
        <v>13514</v>
      </c>
      <c r="BA1342" s="3" t="s">
        <v>13514</v>
      </c>
      <c r="BB1342" s="3" t="s">
        <v>13515</v>
      </c>
      <c r="BC1342" s="3" t="s">
        <v>77</v>
      </c>
      <c r="BD1342" s="3" t="s">
        <v>78</v>
      </c>
      <c r="BF1342" s="3" t="s">
        <v>13515</v>
      </c>
      <c r="BG1342" s="3" t="s">
        <v>13516</v>
      </c>
      <c r="BH1342">
        <f t="shared" si="40"/>
        <v>0</v>
      </c>
    </row>
    <row r="1343" spans="1:60" ht="58" x14ac:dyDescent="0.35">
      <c r="A1343" s="2" t="s">
        <v>59</v>
      </c>
      <c r="B1343" s="2" t="s">
        <v>60</v>
      </c>
      <c r="C1343" s="2" t="s">
        <v>13517</v>
      </c>
      <c r="D1343" s="2" t="s">
        <v>13518</v>
      </c>
      <c r="E1343" s="2" t="s">
        <v>13519</v>
      </c>
      <c r="G1343" s="3" t="s">
        <v>64</v>
      </c>
      <c r="I1343" s="3" t="s">
        <v>64</v>
      </c>
      <c r="J1343" s="3" t="s">
        <v>64</v>
      </c>
      <c r="K1343" s="3" t="s">
        <v>65</v>
      </c>
      <c r="L1343" s="2" t="s">
        <v>13520</v>
      </c>
      <c r="M1343" s="2" t="s">
        <v>11801</v>
      </c>
      <c r="N1343" s="3" t="s">
        <v>326</v>
      </c>
      <c r="P1343" s="3" t="s">
        <v>102</v>
      </c>
      <c r="R1343" s="3" t="s">
        <v>70</v>
      </c>
      <c r="S1343" s="4">
        <v>3</v>
      </c>
      <c r="T1343" s="4">
        <v>3</v>
      </c>
      <c r="U1343" s="5" t="s">
        <v>13521</v>
      </c>
      <c r="V1343" s="5" t="s">
        <v>13521</v>
      </c>
      <c r="W1343" s="5" t="s">
        <v>72</v>
      </c>
      <c r="X1343" s="5" t="s">
        <v>72</v>
      </c>
      <c r="Y1343" s="4">
        <v>363</v>
      </c>
      <c r="Z1343" s="4">
        <v>25</v>
      </c>
      <c r="AA1343" s="4">
        <v>35</v>
      </c>
      <c r="AB1343" s="4">
        <v>2</v>
      </c>
      <c r="AC1343" s="4">
        <v>8</v>
      </c>
      <c r="AD1343" s="4">
        <v>84</v>
      </c>
      <c r="AE1343" s="4">
        <v>94</v>
      </c>
      <c r="AF1343" s="4">
        <v>1</v>
      </c>
      <c r="AG1343" s="4">
        <v>3</v>
      </c>
      <c r="AH1343" s="4">
        <v>75</v>
      </c>
      <c r="AI1343" s="4">
        <v>80</v>
      </c>
      <c r="AJ1343" s="4">
        <v>12</v>
      </c>
      <c r="AK1343" s="4">
        <v>16</v>
      </c>
      <c r="AL1343" s="4">
        <v>44</v>
      </c>
      <c r="AM1343" s="4">
        <v>46</v>
      </c>
      <c r="AN1343" s="4">
        <v>0</v>
      </c>
      <c r="AO1343" s="4">
        <v>0</v>
      </c>
      <c r="AP1343" s="4">
        <v>15</v>
      </c>
      <c r="AQ1343" s="4">
        <v>20</v>
      </c>
      <c r="AR1343" s="3" t="s">
        <v>64</v>
      </c>
      <c r="AS1343" s="3" t="s">
        <v>64</v>
      </c>
      <c r="AT1343" s="3" t="s">
        <v>64</v>
      </c>
      <c r="AV1343" s="6" t="str">
        <f>HYPERLINK("http://mcgill.on.worldcat.org/oclc/700468603","Catalog Record")</f>
        <v>Catalog Record</v>
      </c>
      <c r="AW1343" s="6" t="str">
        <f>HYPERLINK("http://www.worldcat.org/oclc/700468603","WorldCat Record")</f>
        <v>WorldCat Record</v>
      </c>
      <c r="AX1343" s="3" t="s">
        <v>13522</v>
      </c>
      <c r="AY1343" s="3" t="s">
        <v>13523</v>
      </c>
      <c r="AZ1343" s="3" t="s">
        <v>13524</v>
      </c>
      <c r="BA1343" s="3" t="s">
        <v>13524</v>
      </c>
      <c r="BB1343" s="3" t="s">
        <v>13525</v>
      </c>
      <c r="BC1343" s="3" t="s">
        <v>77</v>
      </c>
      <c r="BD1343" s="3" t="s">
        <v>78</v>
      </c>
      <c r="BE1343" s="3" t="s">
        <v>13526</v>
      </c>
      <c r="BF1343" s="3" t="s">
        <v>13525</v>
      </c>
      <c r="BG1343" s="3" t="s">
        <v>13527</v>
      </c>
      <c r="BH1343">
        <f t="shared" si="40"/>
        <v>0</v>
      </c>
    </row>
    <row r="1344" spans="1:60" ht="58" x14ac:dyDescent="0.35">
      <c r="A1344" s="2" t="s">
        <v>59</v>
      </c>
      <c r="B1344" s="2" t="s">
        <v>60</v>
      </c>
      <c r="C1344" s="2" t="s">
        <v>13528</v>
      </c>
      <c r="D1344" s="2" t="s">
        <v>13529</v>
      </c>
      <c r="E1344" s="2" t="s">
        <v>13530</v>
      </c>
      <c r="G1344" s="3" t="s">
        <v>64</v>
      </c>
      <c r="I1344" s="3" t="s">
        <v>64</v>
      </c>
      <c r="J1344" s="3" t="s">
        <v>64</v>
      </c>
      <c r="K1344" s="3" t="s">
        <v>65</v>
      </c>
      <c r="L1344" s="2" t="s">
        <v>13531</v>
      </c>
      <c r="M1344" s="2" t="s">
        <v>13532</v>
      </c>
      <c r="N1344" s="3" t="s">
        <v>86</v>
      </c>
      <c r="P1344" s="3" t="s">
        <v>102</v>
      </c>
      <c r="Q1344" s="2" t="s">
        <v>13533</v>
      </c>
      <c r="R1344" s="3" t="s">
        <v>70</v>
      </c>
      <c r="S1344" s="4">
        <v>1</v>
      </c>
      <c r="T1344" s="4">
        <v>1</v>
      </c>
      <c r="U1344" s="5" t="s">
        <v>13534</v>
      </c>
      <c r="V1344" s="5" t="s">
        <v>13534</v>
      </c>
      <c r="W1344" s="5" t="s">
        <v>72</v>
      </c>
      <c r="X1344" s="5" t="s">
        <v>72</v>
      </c>
      <c r="Y1344" s="4">
        <v>218</v>
      </c>
      <c r="Z1344" s="4">
        <v>17</v>
      </c>
      <c r="AA1344" s="4">
        <v>86</v>
      </c>
      <c r="AB1344" s="4">
        <v>2</v>
      </c>
      <c r="AC1344" s="4">
        <v>16</v>
      </c>
      <c r="AD1344" s="4">
        <v>77</v>
      </c>
      <c r="AE1344" s="4">
        <v>132</v>
      </c>
      <c r="AF1344" s="4">
        <v>1</v>
      </c>
      <c r="AG1344" s="4">
        <v>8</v>
      </c>
      <c r="AH1344" s="4">
        <v>68</v>
      </c>
      <c r="AI1344" s="4">
        <v>96</v>
      </c>
      <c r="AJ1344" s="4">
        <v>10</v>
      </c>
      <c r="AK1344" s="4">
        <v>20</v>
      </c>
      <c r="AL1344" s="4">
        <v>50</v>
      </c>
      <c r="AM1344" s="4">
        <v>56</v>
      </c>
      <c r="AN1344" s="4">
        <v>5</v>
      </c>
      <c r="AO1344" s="4">
        <v>5</v>
      </c>
      <c r="AP1344" s="4">
        <v>12</v>
      </c>
      <c r="AQ1344" s="4">
        <v>41</v>
      </c>
      <c r="AR1344" s="3" t="s">
        <v>64</v>
      </c>
      <c r="AS1344" s="3" t="s">
        <v>64</v>
      </c>
      <c r="AT1344" s="3" t="s">
        <v>128</v>
      </c>
      <c r="AU1344" s="6" t="str">
        <f>HYPERLINK("http://catalog.hathitrust.org/Record/011982489","HathiTrust Record")</f>
        <v>HathiTrust Record</v>
      </c>
      <c r="AV1344" s="6" t="str">
        <f>HYPERLINK("http://mcgill.on.worldcat.org/oclc/786447142","Catalog Record")</f>
        <v>Catalog Record</v>
      </c>
      <c r="AW1344" s="6" t="str">
        <f>HYPERLINK("http://www.worldcat.org/oclc/786447142","WorldCat Record")</f>
        <v>WorldCat Record</v>
      </c>
      <c r="AX1344" s="3" t="s">
        <v>13535</v>
      </c>
      <c r="AY1344" s="3" t="s">
        <v>13536</v>
      </c>
      <c r="AZ1344" s="3" t="s">
        <v>13537</v>
      </c>
      <c r="BA1344" s="3" t="s">
        <v>13537</v>
      </c>
      <c r="BB1344" s="3" t="s">
        <v>13538</v>
      </c>
      <c r="BC1344" s="3" t="s">
        <v>77</v>
      </c>
      <c r="BD1344" s="3" t="s">
        <v>78</v>
      </c>
      <c r="BE1344" s="3" t="s">
        <v>13539</v>
      </c>
      <c r="BF1344" s="3" t="s">
        <v>13538</v>
      </c>
      <c r="BG1344" s="3" t="s">
        <v>13540</v>
      </c>
      <c r="BH1344">
        <f t="shared" si="40"/>
        <v>0</v>
      </c>
    </row>
    <row r="1345" spans="1:60" ht="116" x14ac:dyDescent="0.35">
      <c r="A1345" s="2" t="s">
        <v>59</v>
      </c>
      <c r="B1345" s="2" t="s">
        <v>1183</v>
      </c>
      <c r="C1345" s="2" t="s">
        <v>13541</v>
      </c>
      <c r="D1345" s="2" t="s">
        <v>13542</v>
      </c>
      <c r="E1345" s="2" t="s">
        <v>13543</v>
      </c>
      <c r="G1345" s="3" t="s">
        <v>64</v>
      </c>
      <c r="I1345" s="3" t="s">
        <v>64</v>
      </c>
      <c r="J1345" s="3" t="s">
        <v>64</v>
      </c>
      <c r="K1345" s="3" t="s">
        <v>65</v>
      </c>
      <c r="M1345" s="2" t="s">
        <v>13544</v>
      </c>
      <c r="N1345" s="3" t="s">
        <v>86</v>
      </c>
      <c r="O1345" s="2" t="s">
        <v>8738</v>
      </c>
      <c r="P1345" s="3" t="s">
        <v>8739</v>
      </c>
      <c r="R1345" s="3" t="s">
        <v>70</v>
      </c>
      <c r="S1345" s="4">
        <v>1</v>
      </c>
      <c r="T1345" s="4">
        <v>1</v>
      </c>
      <c r="U1345" s="5" t="s">
        <v>13545</v>
      </c>
      <c r="V1345" s="5" t="s">
        <v>13545</v>
      </c>
      <c r="W1345" s="5" t="s">
        <v>72</v>
      </c>
      <c r="X1345" s="5" t="s">
        <v>72</v>
      </c>
      <c r="Y1345" s="4">
        <v>81</v>
      </c>
      <c r="Z1345" s="4">
        <v>7</v>
      </c>
      <c r="AA1345" s="4">
        <v>7</v>
      </c>
      <c r="AB1345" s="4">
        <v>1</v>
      </c>
      <c r="AC1345" s="4">
        <v>1</v>
      </c>
      <c r="AD1345" s="4">
        <v>56</v>
      </c>
      <c r="AE1345" s="4">
        <v>56</v>
      </c>
      <c r="AF1345" s="4">
        <v>0</v>
      </c>
      <c r="AG1345" s="4">
        <v>0</v>
      </c>
      <c r="AH1345" s="4">
        <v>53</v>
      </c>
      <c r="AI1345" s="4">
        <v>53</v>
      </c>
      <c r="AJ1345" s="4">
        <v>4</v>
      </c>
      <c r="AK1345" s="4">
        <v>4</v>
      </c>
      <c r="AL1345" s="4">
        <v>42</v>
      </c>
      <c r="AM1345" s="4">
        <v>42</v>
      </c>
      <c r="AN1345" s="4">
        <v>0</v>
      </c>
      <c r="AO1345" s="4">
        <v>0</v>
      </c>
      <c r="AP1345" s="4">
        <v>4</v>
      </c>
      <c r="AQ1345" s="4">
        <v>4</v>
      </c>
      <c r="AR1345" s="3" t="s">
        <v>64</v>
      </c>
      <c r="AS1345" s="3" t="s">
        <v>64</v>
      </c>
      <c r="AT1345" s="3" t="s">
        <v>64</v>
      </c>
      <c r="AV1345" s="6" t="str">
        <f>HYPERLINK("http://mcgill.on.worldcat.org/oclc/785066988","Catalog Record")</f>
        <v>Catalog Record</v>
      </c>
      <c r="AW1345" s="6" t="str">
        <f>HYPERLINK("http://www.worldcat.org/oclc/785066988","WorldCat Record")</f>
        <v>WorldCat Record</v>
      </c>
      <c r="AX1345" s="3" t="s">
        <v>13546</v>
      </c>
      <c r="AY1345" s="3" t="s">
        <v>13547</v>
      </c>
      <c r="AZ1345" s="3" t="s">
        <v>13548</v>
      </c>
      <c r="BA1345" s="3" t="s">
        <v>13548</v>
      </c>
      <c r="BB1345" s="3" t="s">
        <v>13549</v>
      </c>
      <c r="BC1345" s="3" t="s">
        <v>77</v>
      </c>
      <c r="BD1345" s="3" t="s">
        <v>78</v>
      </c>
      <c r="BE1345" s="3" t="s">
        <v>13550</v>
      </c>
      <c r="BF1345" s="3" t="s">
        <v>13549</v>
      </c>
      <c r="BG1345" s="3" t="s">
        <v>13551</v>
      </c>
      <c r="BH1345">
        <f t="shared" si="40"/>
        <v>0</v>
      </c>
    </row>
    <row r="1346" spans="1:60" ht="116" x14ac:dyDescent="0.35">
      <c r="A1346" s="2" t="s">
        <v>59</v>
      </c>
      <c r="B1346" s="2" t="s">
        <v>1183</v>
      </c>
      <c r="C1346" s="2" t="s">
        <v>13552</v>
      </c>
      <c r="D1346" s="2" t="s">
        <v>13553</v>
      </c>
      <c r="E1346" s="2" t="s">
        <v>13554</v>
      </c>
      <c r="G1346" s="3" t="s">
        <v>64</v>
      </c>
      <c r="H1346" s="3" t="s">
        <v>183</v>
      </c>
      <c r="I1346" s="3" t="s">
        <v>64</v>
      </c>
      <c r="J1346" s="3" t="s">
        <v>64</v>
      </c>
      <c r="K1346" s="3" t="s">
        <v>65</v>
      </c>
      <c r="L1346" s="2" t="s">
        <v>13555</v>
      </c>
      <c r="M1346" s="2" t="s">
        <v>13556</v>
      </c>
      <c r="N1346" s="3" t="s">
        <v>578</v>
      </c>
      <c r="O1346" s="2" t="s">
        <v>5237</v>
      </c>
      <c r="P1346" s="3" t="s">
        <v>5238</v>
      </c>
      <c r="Q1346" s="2" t="s">
        <v>13557</v>
      </c>
      <c r="R1346" s="3" t="s">
        <v>70</v>
      </c>
      <c r="S1346" s="4">
        <v>0</v>
      </c>
      <c r="T1346" s="4">
        <v>0</v>
      </c>
      <c r="W1346" s="5" t="s">
        <v>3633</v>
      </c>
      <c r="X1346" s="5" t="s">
        <v>3633</v>
      </c>
      <c r="Y1346" s="4">
        <v>17</v>
      </c>
      <c r="Z1346" s="4">
        <v>1</v>
      </c>
      <c r="AA1346" s="4">
        <v>1</v>
      </c>
      <c r="AB1346" s="4">
        <v>1</v>
      </c>
      <c r="AC1346" s="4">
        <v>1</v>
      </c>
      <c r="AD1346" s="4">
        <v>15</v>
      </c>
      <c r="AE1346" s="4">
        <v>15</v>
      </c>
      <c r="AF1346" s="4">
        <v>0</v>
      </c>
      <c r="AG1346" s="4">
        <v>0</v>
      </c>
      <c r="AH1346" s="4">
        <v>14</v>
      </c>
      <c r="AI1346" s="4">
        <v>14</v>
      </c>
      <c r="AJ1346" s="4">
        <v>0</v>
      </c>
      <c r="AK1346" s="4">
        <v>0</v>
      </c>
      <c r="AL1346" s="4">
        <v>11</v>
      </c>
      <c r="AM1346" s="4">
        <v>11</v>
      </c>
      <c r="AN1346" s="4">
        <v>0</v>
      </c>
      <c r="AO1346" s="4">
        <v>0</v>
      </c>
      <c r="AP1346" s="4">
        <v>0</v>
      </c>
      <c r="AQ1346" s="4">
        <v>0</v>
      </c>
      <c r="AR1346" s="3" t="s">
        <v>64</v>
      </c>
      <c r="AS1346" s="3" t="s">
        <v>64</v>
      </c>
      <c r="AT1346" s="3" t="s">
        <v>64</v>
      </c>
      <c r="AV1346" s="6" t="str">
        <f>HYPERLINK("http://mcgill.on.worldcat.org/oclc/1004204355","Catalog Record")</f>
        <v>Catalog Record</v>
      </c>
      <c r="AW1346" s="6" t="str">
        <f>HYPERLINK("http://www.worldcat.org/oclc/1004204355","WorldCat Record")</f>
        <v>WorldCat Record</v>
      </c>
      <c r="AX1346" s="3" t="s">
        <v>13558</v>
      </c>
      <c r="AY1346" s="3" t="s">
        <v>13559</v>
      </c>
      <c r="AZ1346" s="3" t="s">
        <v>13560</v>
      </c>
      <c r="BA1346" s="3" t="s">
        <v>13560</v>
      </c>
      <c r="BB1346" s="3" t="s">
        <v>13561</v>
      </c>
      <c r="BC1346" s="3" t="s">
        <v>77</v>
      </c>
      <c r="BD1346" s="3" t="s">
        <v>78</v>
      </c>
      <c r="BE1346" s="3" t="s">
        <v>13562</v>
      </c>
      <c r="BF1346" s="3" t="s">
        <v>13561</v>
      </c>
      <c r="BG1346" s="3" t="s">
        <v>13563</v>
      </c>
      <c r="BH1346">
        <f t="shared" ref="BH1346:BH1409" si="41">IF(COUNTIF($BF$1:$BF$5431,BF1346)=1,0,1)</f>
        <v>0</v>
      </c>
    </row>
    <row r="1347" spans="1:60" ht="58" x14ac:dyDescent="0.35">
      <c r="A1347" s="2" t="s">
        <v>59</v>
      </c>
      <c r="B1347" s="2" t="s">
        <v>60</v>
      </c>
      <c r="C1347" s="2" t="s">
        <v>13564</v>
      </c>
      <c r="D1347" s="2" t="s">
        <v>13565</v>
      </c>
      <c r="E1347" s="2" t="s">
        <v>13566</v>
      </c>
      <c r="G1347" s="3" t="s">
        <v>64</v>
      </c>
      <c r="I1347" s="3" t="s">
        <v>64</v>
      </c>
      <c r="J1347" s="3" t="s">
        <v>64</v>
      </c>
      <c r="K1347" s="3" t="s">
        <v>65</v>
      </c>
      <c r="L1347" s="2" t="s">
        <v>13567</v>
      </c>
      <c r="M1347" s="2" t="s">
        <v>13568</v>
      </c>
      <c r="N1347" s="3" t="s">
        <v>551</v>
      </c>
      <c r="P1347" s="3" t="s">
        <v>102</v>
      </c>
      <c r="R1347" s="3" t="s">
        <v>70</v>
      </c>
      <c r="S1347" s="4">
        <v>5</v>
      </c>
      <c r="T1347" s="4">
        <v>5</v>
      </c>
      <c r="U1347" s="5" t="s">
        <v>13569</v>
      </c>
      <c r="V1347" s="5" t="s">
        <v>13569</v>
      </c>
      <c r="W1347" s="5" t="s">
        <v>72</v>
      </c>
      <c r="X1347" s="5" t="s">
        <v>72</v>
      </c>
      <c r="Y1347" s="4">
        <v>357</v>
      </c>
      <c r="Z1347" s="4">
        <v>20</v>
      </c>
      <c r="AA1347" s="4">
        <v>97</v>
      </c>
      <c r="AB1347" s="4">
        <v>2</v>
      </c>
      <c r="AC1347" s="4">
        <v>18</v>
      </c>
      <c r="AD1347" s="4">
        <v>102</v>
      </c>
      <c r="AE1347" s="4">
        <v>146</v>
      </c>
      <c r="AF1347" s="4">
        <v>0</v>
      </c>
      <c r="AG1347" s="4">
        <v>8</v>
      </c>
      <c r="AH1347" s="4">
        <v>92</v>
      </c>
      <c r="AI1347" s="4">
        <v>107</v>
      </c>
      <c r="AJ1347" s="4">
        <v>13</v>
      </c>
      <c r="AK1347" s="4">
        <v>26</v>
      </c>
      <c r="AL1347" s="4">
        <v>56</v>
      </c>
      <c r="AM1347" s="4">
        <v>59</v>
      </c>
      <c r="AN1347" s="4">
        <v>0</v>
      </c>
      <c r="AO1347" s="4">
        <v>0</v>
      </c>
      <c r="AP1347" s="4">
        <v>15</v>
      </c>
      <c r="AQ1347" s="4">
        <v>48</v>
      </c>
      <c r="AR1347" s="3" t="s">
        <v>64</v>
      </c>
      <c r="AS1347" s="3" t="s">
        <v>64</v>
      </c>
      <c r="AT1347" s="3" t="s">
        <v>64</v>
      </c>
      <c r="AV1347" s="6" t="str">
        <f>HYPERLINK("http://mcgill.on.worldcat.org/oclc/243545879","Catalog Record")</f>
        <v>Catalog Record</v>
      </c>
      <c r="AW1347" s="6" t="str">
        <f>HYPERLINK("http://www.worldcat.org/oclc/243545879","WorldCat Record")</f>
        <v>WorldCat Record</v>
      </c>
      <c r="AX1347" s="3" t="s">
        <v>13570</v>
      </c>
      <c r="AY1347" s="3" t="s">
        <v>13571</v>
      </c>
      <c r="AZ1347" s="3" t="s">
        <v>13572</v>
      </c>
      <c r="BA1347" s="3" t="s">
        <v>13572</v>
      </c>
      <c r="BB1347" s="3" t="s">
        <v>13573</v>
      </c>
      <c r="BC1347" s="3" t="s">
        <v>77</v>
      </c>
      <c r="BD1347" s="3" t="s">
        <v>78</v>
      </c>
      <c r="BE1347" s="3" t="s">
        <v>13574</v>
      </c>
      <c r="BF1347" s="3" t="s">
        <v>13573</v>
      </c>
      <c r="BG1347" s="3" t="s">
        <v>13575</v>
      </c>
      <c r="BH1347">
        <f t="shared" si="41"/>
        <v>0</v>
      </c>
    </row>
    <row r="1348" spans="1:60" ht="58" x14ac:dyDescent="0.35">
      <c r="A1348" s="2" t="s">
        <v>59</v>
      </c>
      <c r="B1348" s="2" t="s">
        <v>60</v>
      </c>
      <c r="C1348" s="2" t="s">
        <v>13576</v>
      </c>
      <c r="D1348" s="2" t="s">
        <v>13577</v>
      </c>
      <c r="E1348" s="2" t="s">
        <v>13578</v>
      </c>
      <c r="G1348" s="3" t="s">
        <v>64</v>
      </c>
      <c r="I1348" s="3" t="s">
        <v>64</v>
      </c>
      <c r="J1348" s="3" t="s">
        <v>64</v>
      </c>
      <c r="K1348" s="3" t="s">
        <v>65</v>
      </c>
      <c r="L1348" s="2" t="s">
        <v>13579</v>
      </c>
      <c r="M1348" s="2" t="s">
        <v>13580</v>
      </c>
      <c r="N1348" s="3" t="s">
        <v>326</v>
      </c>
      <c r="O1348" s="2" t="s">
        <v>2149</v>
      </c>
      <c r="P1348" s="3" t="s">
        <v>102</v>
      </c>
      <c r="R1348" s="3" t="s">
        <v>70</v>
      </c>
      <c r="S1348" s="4">
        <v>1</v>
      </c>
      <c r="T1348" s="4">
        <v>1</v>
      </c>
      <c r="U1348" s="5" t="s">
        <v>13581</v>
      </c>
      <c r="V1348" s="5" t="s">
        <v>13581</v>
      </c>
      <c r="W1348" s="5" t="s">
        <v>72</v>
      </c>
      <c r="X1348" s="5" t="s">
        <v>72</v>
      </c>
      <c r="Y1348" s="4">
        <v>76</v>
      </c>
      <c r="Z1348" s="4">
        <v>4</v>
      </c>
      <c r="AA1348" s="4">
        <v>4</v>
      </c>
      <c r="AB1348" s="4">
        <v>1</v>
      </c>
      <c r="AC1348" s="4">
        <v>1</v>
      </c>
      <c r="AD1348" s="4">
        <v>29</v>
      </c>
      <c r="AE1348" s="4">
        <v>29</v>
      </c>
      <c r="AF1348" s="4">
        <v>0</v>
      </c>
      <c r="AG1348" s="4">
        <v>0</v>
      </c>
      <c r="AH1348" s="4">
        <v>26</v>
      </c>
      <c r="AI1348" s="4">
        <v>26</v>
      </c>
      <c r="AJ1348" s="4">
        <v>3</v>
      </c>
      <c r="AK1348" s="4">
        <v>3</v>
      </c>
      <c r="AL1348" s="4">
        <v>21</v>
      </c>
      <c r="AM1348" s="4">
        <v>21</v>
      </c>
      <c r="AN1348" s="4">
        <v>0</v>
      </c>
      <c r="AO1348" s="4">
        <v>0</v>
      </c>
      <c r="AP1348" s="4">
        <v>3</v>
      </c>
      <c r="AQ1348" s="4">
        <v>3</v>
      </c>
      <c r="AR1348" s="3" t="s">
        <v>64</v>
      </c>
      <c r="AS1348" s="3" t="s">
        <v>64</v>
      </c>
      <c r="AT1348" s="3" t="s">
        <v>64</v>
      </c>
      <c r="AV1348" s="6" t="str">
        <f>HYPERLINK("http://mcgill.on.worldcat.org/oclc/743290905","Catalog Record")</f>
        <v>Catalog Record</v>
      </c>
      <c r="AW1348" s="6" t="str">
        <f>HYPERLINK("http://www.worldcat.org/oclc/743290905","WorldCat Record")</f>
        <v>WorldCat Record</v>
      </c>
      <c r="AX1348" s="3" t="s">
        <v>13582</v>
      </c>
      <c r="AY1348" s="3" t="s">
        <v>13583</v>
      </c>
      <c r="AZ1348" s="3" t="s">
        <v>13584</v>
      </c>
      <c r="BA1348" s="3" t="s">
        <v>13584</v>
      </c>
      <c r="BB1348" s="3" t="s">
        <v>13585</v>
      </c>
      <c r="BC1348" s="3" t="s">
        <v>77</v>
      </c>
      <c r="BD1348" s="3" t="s">
        <v>78</v>
      </c>
      <c r="BE1348" s="3" t="s">
        <v>13586</v>
      </c>
      <c r="BF1348" s="3" t="s">
        <v>13585</v>
      </c>
      <c r="BG1348" s="3" t="s">
        <v>13587</v>
      </c>
      <c r="BH1348">
        <f t="shared" si="41"/>
        <v>0</v>
      </c>
    </row>
    <row r="1349" spans="1:60" ht="58" x14ac:dyDescent="0.35">
      <c r="A1349" s="2" t="s">
        <v>59</v>
      </c>
      <c r="B1349" s="2" t="s">
        <v>60</v>
      </c>
      <c r="C1349" s="2" t="s">
        <v>13588</v>
      </c>
      <c r="D1349" s="2" t="s">
        <v>13589</v>
      </c>
      <c r="E1349" s="2" t="s">
        <v>13590</v>
      </c>
      <c r="G1349" s="3" t="s">
        <v>64</v>
      </c>
      <c r="I1349" s="3" t="s">
        <v>64</v>
      </c>
      <c r="J1349" s="3" t="s">
        <v>64</v>
      </c>
      <c r="K1349" s="3" t="s">
        <v>65</v>
      </c>
      <c r="L1349" s="2" t="s">
        <v>13591</v>
      </c>
      <c r="M1349" s="2" t="s">
        <v>13592</v>
      </c>
      <c r="N1349" s="3" t="s">
        <v>434</v>
      </c>
      <c r="P1349" s="3" t="s">
        <v>4873</v>
      </c>
      <c r="R1349" s="3" t="s">
        <v>70</v>
      </c>
      <c r="S1349" s="4">
        <v>1</v>
      </c>
      <c r="T1349" s="4">
        <v>1</v>
      </c>
      <c r="U1349" s="5" t="s">
        <v>13593</v>
      </c>
      <c r="V1349" s="5" t="s">
        <v>13593</v>
      </c>
      <c r="W1349" s="5" t="s">
        <v>72</v>
      </c>
      <c r="X1349" s="5" t="s">
        <v>72</v>
      </c>
      <c r="Y1349" s="4">
        <v>64</v>
      </c>
      <c r="Z1349" s="4">
        <v>6</v>
      </c>
      <c r="AA1349" s="4">
        <v>6</v>
      </c>
      <c r="AB1349" s="4">
        <v>1</v>
      </c>
      <c r="AC1349" s="4">
        <v>1</v>
      </c>
      <c r="AD1349" s="4">
        <v>46</v>
      </c>
      <c r="AE1349" s="4">
        <v>46</v>
      </c>
      <c r="AF1349" s="4">
        <v>0</v>
      </c>
      <c r="AG1349" s="4">
        <v>0</v>
      </c>
      <c r="AH1349" s="4">
        <v>44</v>
      </c>
      <c r="AI1349" s="4">
        <v>44</v>
      </c>
      <c r="AJ1349" s="4">
        <v>4</v>
      </c>
      <c r="AK1349" s="4">
        <v>4</v>
      </c>
      <c r="AL1349" s="4">
        <v>36</v>
      </c>
      <c r="AM1349" s="4">
        <v>36</v>
      </c>
      <c r="AN1349" s="4">
        <v>0</v>
      </c>
      <c r="AO1349" s="4">
        <v>0</v>
      </c>
      <c r="AP1349" s="4">
        <v>4</v>
      </c>
      <c r="AQ1349" s="4">
        <v>4</v>
      </c>
      <c r="AR1349" s="3" t="s">
        <v>64</v>
      </c>
      <c r="AS1349" s="3" t="s">
        <v>64</v>
      </c>
      <c r="AT1349" s="3" t="s">
        <v>64</v>
      </c>
      <c r="AV1349" s="6" t="str">
        <f>HYPERLINK("http://mcgill.on.worldcat.org/oclc/70213914","Catalog Record")</f>
        <v>Catalog Record</v>
      </c>
      <c r="AW1349" s="6" t="str">
        <f>HYPERLINK("http://www.worldcat.org/oclc/70213914","WorldCat Record")</f>
        <v>WorldCat Record</v>
      </c>
      <c r="AX1349" s="3" t="s">
        <v>13594</v>
      </c>
      <c r="AY1349" s="3" t="s">
        <v>13595</v>
      </c>
      <c r="AZ1349" s="3" t="s">
        <v>13596</v>
      </c>
      <c r="BA1349" s="3" t="s">
        <v>13596</v>
      </c>
      <c r="BB1349" s="3" t="s">
        <v>13597</v>
      </c>
      <c r="BC1349" s="3" t="s">
        <v>77</v>
      </c>
      <c r="BD1349" s="3" t="s">
        <v>78</v>
      </c>
      <c r="BE1349" s="3" t="s">
        <v>13598</v>
      </c>
      <c r="BF1349" s="3" t="s">
        <v>13597</v>
      </c>
      <c r="BG1349" s="3" t="s">
        <v>13599</v>
      </c>
      <c r="BH1349">
        <f t="shared" si="41"/>
        <v>0</v>
      </c>
    </row>
    <row r="1350" spans="1:60" ht="58" x14ac:dyDescent="0.35">
      <c r="A1350" s="2" t="s">
        <v>59</v>
      </c>
      <c r="B1350" s="2" t="s">
        <v>60</v>
      </c>
      <c r="C1350" s="2" t="s">
        <v>13600</v>
      </c>
      <c r="D1350" s="2" t="s">
        <v>13601</v>
      </c>
      <c r="E1350" s="2" t="s">
        <v>13602</v>
      </c>
      <c r="G1350" s="3" t="s">
        <v>64</v>
      </c>
      <c r="I1350" s="3" t="s">
        <v>64</v>
      </c>
      <c r="J1350" s="3" t="s">
        <v>64</v>
      </c>
      <c r="K1350" s="3" t="s">
        <v>65</v>
      </c>
      <c r="L1350" s="2" t="s">
        <v>13591</v>
      </c>
      <c r="M1350" s="2" t="s">
        <v>13603</v>
      </c>
      <c r="N1350" s="3" t="s">
        <v>979</v>
      </c>
      <c r="P1350" s="3" t="s">
        <v>4873</v>
      </c>
      <c r="R1350" s="3" t="s">
        <v>70</v>
      </c>
      <c r="S1350" s="4">
        <v>1</v>
      </c>
      <c r="T1350" s="4">
        <v>1</v>
      </c>
      <c r="U1350" s="5" t="s">
        <v>13593</v>
      </c>
      <c r="V1350" s="5" t="s">
        <v>13593</v>
      </c>
      <c r="W1350" s="5" t="s">
        <v>72</v>
      </c>
      <c r="X1350" s="5" t="s">
        <v>72</v>
      </c>
      <c r="Y1350" s="4">
        <v>84</v>
      </c>
      <c r="Z1350" s="4">
        <v>5</v>
      </c>
      <c r="AA1350" s="4">
        <v>7</v>
      </c>
      <c r="AB1350" s="4">
        <v>1</v>
      </c>
      <c r="AC1350" s="4">
        <v>3</v>
      </c>
      <c r="AD1350" s="4">
        <v>55</v>
      </c>
      <c r="AE1350" s="4">
        <v>56</v>
      </c>
      <c r="AF1350" s="4">
        <v>0</v>
      </c>
      <c r="AG1350" s="4">
        <v>1</v>
      </c>
      <c r="AH1350" s="4">
        <v>54</v>
      </c>
      <c r="AI1350" s="4">
        <v>54</v>
      </c>
      <c r="AJ1350" s="4">
        <v>3</v>
      </c>
      <c r="AK1350" s="4">
        <v>4</v>
      </c>
      <c r="AL1350" s="4">
        <v>41</v>
      </c>
      <c r="AM1350" s="4">
        <v>41</v>
      </c>
      <c r="AN1350" s="4">
        <v>0</v>
      </c>
      <c r="AO1350" s="4">
        <v>0</v>
      </c>
      <c r="AP1350" s="4">
        <v>3</v>
      </c>
      <c r="AQ1350" s="4">
        <v>3</v>
      </c>
      <c r="AR1350" s="3" t="s">
        <v>64</v>
      </c>
      <c r="AS1350" s="3" t="s">
        <v>64</v>
      </c>
      <c r="AT1350" s="3" t="s">
        <v>128</v>
      </c>
      <c r="AU1350" s="6" t="str">
        <f>HYPERLINK("http://catalog.hathitrust.org/Record/004141779","HathiTrust Record")</f>
        <v>HathiTrust Record</v>
      </c>
      <c r="AV1350" s="6" t="str">
        <f>HYPERLINK("http://mcgill.on.worldcat.org/oclc/44830885","Catalog Record")</f>
        <v>Catalog Record</v>
      </c>
      <c r="AW1350" s="6" t="str">
        <f>HYPERLINK("http://www.worldcat.org/oclc/44830885","WorldCat Record")</f>
        <v>WorldCat Record</v>
      </c>
      <c r="AX1350" s="3" t="s">
        <v>13604</v>
      </c>
      <c r="AY1350" s="3" t="s">
        <v>13605</v>
      </c>
      <c r="AZ1350" s="3" t="s">
        <v>13606</v>
      </c>
      <c r="BA1350" s="3" t="s">
        <v>13606</v>
      </c>
      <c r="BB1350" s="3" t="s">
        <v>13607</v>
      </c>
      <c r="BC1350" s="3" t="s">
        <v>77</v>
      </c>
      <c r="BD1350" s="3" t="s">
        <v>78</v>
      </c>
      <c r="BE1350" s="3" t="s">
        <v>13608</v>
      </c>
      <c r="BF1350" s="3" t="s">
        <v>13607</v>
      </c>
      <c r="BG1350" s="3" t="s">
        <v>13609</v>
      </c>
      <c r="BH1350">
        <f t="shared" si="41"/>
        <v>0</v>
      </c>
    </row>
    <row r="1351" spans="1:60" ht="58" x14ac:dyDescent="0.35">
      <c r="A1351" s="2" t="s">
        <v>59</v>
      </c>
      <c r="B1351" s="2" t="s">
        <v>60</v>
      </c>
      <c r="C1351" s="2" t="s">
        <v>13610</v>
      </c>
      <c r="D1351" s="2" t="s">
        <v>13611</v>
      </c>
      <c r="E1351" s="2" t="s">
        <v>13612</v>
      </c>
      <c r="G1351" s="3" t="s">
        <v>64</v>
      </c>
      <c r="I1351" s="3" t="s">
        <v>64</v>
      </c>
      <c r="J1351" s="3" t="s">
        <v>64</v>
      </c>
      <c r="K1351" s="3" t="s">
        <v>65</v>
      </c>
      <c r="L1351" s="2" t="s">
        <v>13613</v>
      </c>
      <c r="M1351" s="2" t="s">
        <v>13614</v>
      </c>
      <c r="N1351" s="3" t="s">
        <v>1061</v>
      </c>
      <c r="P1351" s="3" t="s">
        <v>102</v>
      </c>
      <c r="Q1351" s="2" t="s">
        <v>13615</v>
      </c>
      <c r="R1351" s="3" t="s">
        <v>70</v>
      </c>
      <c r="S1351" s="4">
        <v>14</v>
      </c>
      <c r="T1351" s="4">
        <v>14</v>
      </c>
      <c r="U1351" s="5" t="s">
        <v>12911</v>
      </c>
      <c r="V1351" s="5" t="s">
        <v>12911</v>
      </c>
      <c r="W1351" s="5" t="s">
        <v>72</v>
      </c>
      <c r="X1351" s="5" t="s">
        <v>72</v>
      </c>
      <c r="Y1351" s="4">
        <v>426</v>
      </c>
      <c r="Z1351" s="4">
        <v>28</v>
      </c>
      <c r="AA1351" s="4">
        <v>30</v>
      </c>
      <c r="AB1351" s="4">
        <v>1</v>
      </c>
      <c r="AC1351" s="4">
        <v>3</v>
      </c>
      <c r="AD1351" s="4">
        <v>124</v>
      </c>
      <c r="AE1351" s="4">
        <v>126</v>
      </c>
      <c r="AF1351" s="4">
        <v>0</v>
      </c>
      <c r="AG1351" s="4">
        <v>2</v>
      </c>
      <c r="AH1351" s="4">
        <v>107</v>
      </c>
      <c r="AI1351" s="4">
        <v>108</v>
      </c>
      <c r="AJ1351" s="4">
        <v>18</v>
      </c>
      <c r="AK1351" s="4">
        <v>20</v>
      </c>
      <c r="AL1351" s="4">
        <v>59</v>
      </c>
      <c r="AM1351" s="4">
        <v>59</v>
      </c>
      <c r="AN1351" s="4">
        <v>0</v>
      </c>
      <c r="AO1351" s="4">
        <v>0</v>
      </c>
      <c r="AP1351" s="4">
        <v>23</v>
      </c>
      <c r="AQ1351" s="4">
        <v>24</v>
      </c>
      <c r="AR1351" s="3" t="s">
        <v>64</v>
      </c>
      <c r="AS1351" s="3" t="s">
        <v>64</v>
      </c>
      <c r="AT1351" s="3" t="s">
        <v>64</v>
      </c>
      <c r="AV1351" s="6" t="str">
        <f>HYPERLINK("http://mcgill.on.worldcat.org/oclc/11865880","Catalog Record")</f>
        <v>Catalog Record</v>
      </c>
      <c r="AW1351" s="6" t="str">
        <f>HYPERLINK("http://www.worldcat.org/oclc/11865880","WorldCat Record")</f>
        <v>WorldCat Record</v>
      </c>
      <c r="AX1351" s="3" t="s">
        <v>13616</v>
      </c>
      <c r="AY1351" s="3" t="s">
        <v>13617</v>
      </c>
      <c r="AZ1351" s="3" t="s">
        <v>13618</v>
      </c>
      <c r="BA1351" s="3" t="s">
        <v>13618</v>
      </c>
      <c r="BB1351" s="3" t="s">
        <v>13619</v>
      </c>
      <c r="BC1351" s="3" t="s">
        <v>77</v>
      </c>
      <c r="BD1351" s="3" t="s">
        <v>78</v>
      </c>
      <c r="BE1351" s="3" t="s">
        <v>13620</v>
      </c>
      <c r="BF1351" s="3" t="s">
        <v>13619</v>
      </c>
      <c r="BG1351" s="3" t="s">
        <v>13621</v>
      </c>
      <c r="BH1351">
        <f t="shared" si="41"/>
        <v>0</v>
      </c>
    </row>
    <row r="1352" spans="1:60" ht="58" x14ac:dyDescent="0.35">
      <c r="A1352" s="2" t="s">
        <v>59</v>
      </c>
      <c r="B1352" s="2" t="s">
        <v>60</v>
      </c>
      <c r="C1352" s="2" t="s">
        <v>13622</v>
      </c>
      <c r="D1352" s="2" t="s">
        <v>13623</v>
      </c>
      <c r="E1352" s="2" t="s">
        <v>13624</v>
      </c>
      <c r="G1352" s="3" t="s">
        <v>64</v>
      </c>
      <c r="I1352" s="3" t="s">
        <v>64</v>
      </c>
      <c r="J1352" s="3" t="s">
        <v>64</v>
      </c>
      <c r="K1352" s="3" t="s">
        <v>65</v>
      </c>
      <c r="L1352" s="2" t="s">
        <v>13625</v>
      </c>
      <c r="M1352" s="2" t="s">
        <v>13626</v>
      </c>
      <c r="N1352" s="3" t="s">
        <v>253</v>
      </c>
      <c r="P1352" s="3" t="s">
        <v>102</v>
      </c>
      <c r="Q1352" s="2" t="s">
        <v>13627</v>
      </c>
      <c r="R1352" s="3" t="s">
        <v>70</v>
      </c>
      <c r="S1352" s="4">
        <v>3</v>
      </c>
      <c r="T1352" s="4">
        <v>3</v>
      </c>
      <c r="U1352" s="5" t="s">
        <v>7670</v>
      </c>
      <c r="V1352" s="5" t="s">
        <v>7670</v>
      </c>
      <c r="W1352" s="5" t="s">
        <v>72</v>
      </c>
      <c r="X1352" s="5" t="s">
        <v>72</v>
      </c>
      <c r="Y1352" s="4">
        <v>78</v>
      </c>
      <c r="Z1352" s="4">
        <v>11</v>
      </c>
      <c r="AA1352" s="4">
        <v>81</v>
      </c>
      <c r="AB1352" s="4">
        <v>1</v>
      </c>
      <c r="AC1352" s="4">
        <v>15</v>
      </c>
      <c r="AD1352" s="4">
        <v>50</v>
      </c>
      <c r="AE1352" s="4">
        <v>112</v>
      </c>
      <c r="AF1352" s="4">
        <v>0</v>
      </c>
      <c r="AG1352" s="4">
        <v>8</v>
      </c>
      <c r="AH1352" s="4">
        <v>46</v>
      </c>
      <c r="AI1352" s="4">
        <v>79</v>
      </c>
      <c r="AJ1352" s="4">
        <v>8</v>
      </c>
      <c r="AK1352" s="4">
        <v>22</v>
      </c>
      <c r="AL1352" s="4">
        <v>31</v>
      </c>
      <c r="AM1352" s="4">
        <v>44</v>
      </c>
      <c r="AN1352" s="4">
        <v>0</v>
      </c>
      <c r="AO1352" s="4">
        <v>0</v>
      </c>
      <c r="AP1352" s="4">
        <v>8</v>
      </c>
      <c r="AQ1352" s="4">
        <v>41</v>
      </c>
      <c r="AR1352" s="3" t="s">
        <v>64</v>
      </c>
      <c r="AS1352" s="3" t="s">
        <v>64</v>
      </c>
      <c r="AT1352" s="3" t="s">
        <v>64</v>
      </c>
      <c r="AV1352" s="6" t="str">
        <f>HYPERLINK("http://mcgill.on.worldcat.org/oclc/900445645","Catalog Record")</f>
        <v>Catalog Record</v>
      </c>
      <c r="AW1352" s="6" t="str">
        <f>HYPERLINK("http://www.worldcat.org/oclc/900445645","WorldCat Record")</f>
        <v>WorldCat Record</v>
      </c>
      <c r="AX1352" s="3" t="s">
        <v>13628</v>
      </c>
      <c r="AY1352" s="3" t="s">
        <v>13629</v>
      </c>
      <c r="AZ1352" s="3" t="s">
        <v>13630</v>
      </c>
      <c r="BA1352" s="3" t="s">
        <v>13630</v>
      </c>
      <c r="BB1352" s="3" t="s">
        <v>13631</v>
      </c>
      <c r="BC1352" s="3" t="s">
        <v>77</v>
      </c>
      <c r="BD1352" s="3" t="s">
        <v>78</v>
      </c>
      <c r="BE1352" s="3" t="s">
        <v>13632</v>
      </c>
      <c r="BF1352" s="3" t="s">
        <v>13631</v>
      </c>
      <c r="BG1352" s="3" t="s">
        <v>13633</v>
      </c>
      <c r="BH1352">
        <f t="shared" si="41"/>
        <v>0</v>
      </c>
    </row>
    <row r="1353" spans="1:60" ht="58" x14ac:dyDescent="0.35">
      <c r="A1353" s="2" t="s">
        <v>59</v>
      </c>
      <c r="B1353" s="2" t="s">
        <v>60</v>
      </c>
      <c r="C1353" s="2" t="s">
        <v>13634</v>
      </c>
      <c r="D1353" s="2" t="s">
        <v>13635</v>
      </c>
      <c r="E1353" s="2" t="s">
        <v>13636</v>
      </c>
      <c r="G1353" s="3" t="s">
        <v>64</v>
      </c>
      <c r="I1353" s="3" t="s">
        <v>64</v>
      </c>
      <c r="J1353" s="3" t="s">
        <v>64</v>
      </c>
      <c r="K1353" s="3" t="s">
        <v>65</v>
      </c>
      <c r="L1353" s="2" t="s">
        <v>13637</v>
      </c>
      <c r="M1353" s="2" t="s">
        <v>13638</v>
      </c>
      <c r="N1353" s="3" t="s">
        <v>159</v>
      </c>
      <c r="P1353" s="3" t="s">
        <v>1479</v>
      </c>
      <c r="Q1353" s="2" t="s">
        <v>13639</v>
      </c>
      <c r="R1353" s="3" t="s">
        <v>70</v>
      </c>
      <c r="S1353" s="4">
        <v>7</v>
      </c>
      <c r="T1353" s="4">
        <v>7</v>
      </c>
      <c r="U1353" s="5" t="s">
        <v>13640</v>
      </c>
      <c r="V1353" s="5" t="s">
        <v>13640</v>
      </c>
      <c r="W1353" s="5" t="s">
        <v>72</v>
      </c>
      <c r="X1353" s="5" t="s">
        <v>72</v>
      </c>
      <c r="Y1353" s="4">
        <v>66</v>
      </c>
      <c r="Z1353" s="4">
        <v>4</v>
      </c>
      <c r="AA1353" s="4">
        <v>4</v>
      </c>
      <c r="AB1353" s="4">
        <v>1</v>
      </c>
      <c r="AC1353" s="4">
        <v>1</v>
      </c>
      <c r="AD1353" s="4">
        <v>33</v>
      </c>
      <c r="AE1353" s="4">
        <v>33</v>
      </c>
      <c r="AF1353" s="4">
        <v>0</v>
      </c>
      <c r="AG1353" s="4">
        <v>0</v>
      </c>
      <c r="AH1353" s="4">
        <v>32</v>
      </c>
      <c r="AI1353" s="4">
        <v>32</v>
      </c>
      <c r="AJ1353" s="4">
        <v>2</v>
      </c>
      <c r="AK1353" s="4">
        <v>2</v>
      </c>
      <c r="AL1353" s="4">
        <v>26</v>
      </c>
      <c r="AM1353" s="4">
        <v>26</v>
      </c>
      <c r="AN1353" s="4">
        <v>0</v>
      </c>
      <c r="AO1353" s="4">
        <v>0</v>
      </c>
      <c r="AP1353" s="4">
        <v>2</v>
      </c>
      <c r="AQ1353" s="4">
        <v>2</v>
      </c>
      <c r="AR1353" s="3" t="s">
        <v>64</v>
      </c>
      <c r="AS1353" s="3" t="s">
        <v>64</v>
      </c>
      <c r="AT1353" s="3" t="s">
        <v>64</v>
      </c>
      <c r="AV1353" s="6" t="str">
        <f>HYPERLINK("http://mcgill.on.worldcat.org/oclc/52429784","Catalog Record")</f>
        <v>Catalog Record</v>
      </c>
      <c r="AW1353" s="6" t="str">
        <f>HYPERLINK("http://www.worldcat.org/oclc/52429784","WorldCat Record")</f>
        <v>WorldCat Record</v>
      </c>
      <c r="AX1353" s="3" t="s">
        <v>13641</v>
      </c>
      <c r="AY1353" s="3" t="s">
        <v>13642</v>
      </c>
      <c r="AZ1353" s="3" t="s">
        <v>13643</v>
      </c>
      <c r="BA1353" s="3" t="s">
        <v>13643</v>
      </c>
      <c r="BB1353" s="3" t="s">
        <v>13644</v>
      </c>
      <c r="BC1353" s="3" t="s">
        <v>77</v>
      </c>
      <c r="BD1353" s="3" t="s">
        <v>78</v>
      </c>
      <c r="BE1353" s="3" t="s">
        <v>13645</v>
      </c>
      <c r="BF1353" s="3" t="s">
        <v>13644</v>
      </c>
      <c r="BG1353" s="3" t="s">
        <v>13646</v>
      </c>
      <c r="BH1353">
        <f t="shared" si="41"/>
        <v>0</v>
      </c>
    </row>
    <row r="1354" spans="1:60" ht="87" x14ac:dyDescent="0.35">
      <c r="A1354" s="2" t="s">
        <v>59</v>
      </c>
      <c r="B1354" s="2" t="s">
        <v>60</v>
      </c>
      <c r="C1354" s="2" t="s">
        <v>13647</v>
      </c>
      <c r="D1354" s="2" t="s">
        <v>13648</v>
      </c>
      <c r="E1354" s="2" t="s">
        <v>13649</v>
      </c>
      <c r="G1354" s="3" t="s">
        <v>64</v>
      </c>
      <c r="I1354" s="3" t="s">
        <v>64</v>
      </c>
      <c r="J1354" s="3" t="s">
        <v>64</v>
      </c>
      <c r="K1354" s="3" t="s">
        <v>65</v>
      </c>
      <c r="M1354" s="2" t="s">
        <v>13650</v>
      </c>
      <c r="N1354" s="3" t="s">
        <v>537</v>
      </c>
      <c r="P1354" s="3" t="s">
        <v>1479</v>
      </c>
      <c r="Q1354" s="2" t="s">
        <v>13651</v>
      </c>
      <c r="R1354" s="3" t="s">
        <v>70</v>
      </c>
      <c r="S1354" s="4">
        <v>1</v>
      </c>
      <c r="T1354" s="4">
        <v>1</v>
      </c>
      <c r="U1354" s="5" t="s">
        <v>13652</v>
      </c>
      <c r="V1354" s="5" t="s">
        <v>13652</v>
      </c>
      <c r="W1354" s="5" t="s">
        <v>72</v>
      </c>
      <c r="X1354" s="5" t="s">
        <v>72</v>
      </c>
      <c r="Y1354" s="4">
        <v>35</v>
      </c>
      <c r="Z1354" s="4">
        <v>4</v>
      </c>
      <c r="AA1354" s="4">
        <v>4</v>
      </c>
      <c r="AB1354" s="4">
        <v>1</v>
      </c>
      <c r="AC1354" s="4">
        <v>1</v>
      </c>
      <c r="AD1354" s="4">
        <v>25</v>
      </c>
      <c r="AE1354" s="4">
        <v>29</v>
      </c>
      <c r="AF1354" s="4">
        <v>0</v>
      </c>
      <c r="AG1354" s="4">
        <v>0</v>
      </c>
      <c r="AH1354" s="4">
        <v>24</v>
      </c>
      <c r="AI1354" s="4">
        <v>28</v>
      </c>
      <c r="AJ1354" s="4">
        <v>2</v>
      </c>
      <c r="AK1354" s="4">
        <v>2</v>
      </c>
      <c r="AL1354" s="4">
        <v>20</v>
      </c>
      <c r="AM1354" s="4">
        <v>21</v>
      </c>
      <c r="AN1354" s="4">
        <v>0</v>
      </c>
      <c r="AO1354" s="4">
        <v>0</v>
      </c>
      <c r="AP1354" s="4">
        <v>2</v>
      </c>
      <c r="AQ1354" s="4">
        <v>2</v>
      </c>
      <c r="AR1354" s="3" t="s">
        <v>64</v>
      </c>
      <c r="AS1354" s="3" t="s">
        <v>64</v>
      </c>
      <c r="AT1354" s="3" t="s">
        <v>64</v>
      </c>
      <c r="AV1354" s="6" t="str">
        <f>HYPERLINK("http://mcgill.on.worldcat.org/oclc/951392273","Catalog Record")</f>
        <v>Catalog Record</v>
      </c>
      <c r="AW1354" s="6" t="str">
        <f>HYPERLINK("http://www.worldcat.org/oclc/951392273","WorldCat Record")</f>
        <v>WorldCat Record</v>
      </c>
      <c r="AX1354" s="3" t="s">
        <v>13653</v>
      </c>
      <c r="AY1354" s="3" t="s">
        <v>13654</v>
      </c>
      <c r="AZ1354" s="3" t="s">
        <v>13655</v>
      </c>
      <c r="BA1354" s="3" t="s">
        <v>13655</v>
      </c>
      <c r="BB1354" s="3" t="s">
        <v>13656</v>
      </c>
      <c r="BC1354" s="3" t="s">
        <v>77</v>
      </c>
      <c r="BD1354" s="3" t="s">
        <v>78</v>
      </c>
      <c r="BE1354" s="3" t="s">
        <v>13657</v>
      </c>
      <c r="BF1354" s="3" t="s">
        <v>13656</v>
      </c>
      <c r="BG1354" s="3" t="s">
        <v>13658</v>
      </c>
      <c r="BH1354">
        <f t="shared" si="41"/>
        <v>0</v>
      </c>
    </row>
    <row r="1355" spans="1:60" ht="58" x14ac:dyDescent="0.35">
      <c r="A1355" s="2" t="s">
        <v>59</v>
      </c>
      <c r="B1355" s="2" t="s">
        <v>60</v>
      </c>
      <c r="C1355" s="2" t="s">
        <v>13659</v>
      </c>
      <c r="D1355" s="2" t="s">
        <v>13660</v>
      </c>
      <c r="E1355" s="2" t="s">
        <v>13661</v>
      </c>
      <c r="G1355" s="3" t="s">
        <v>64</v>
      </c>
      <c r="I1355" s="3" t="s">
        <v>64</v>
      </c>
      <c r="J1355" s="3" t="s">
        <v>64</v>
      </c>
      <c r="K1355" s="3" t="s">
        <v>65</v>
      </c>
      <c r="L1355" s="2" t="s">
        <v>13662</v>
      </c>
      <c r="M1355" s="2" t="s">
        <v>13663</v>
      </c>
      <c r="N1355" s="3" t="s">
        <v>1250</v>
      </c>
      <c r="O1355" s="2" t="s">
        <v>4790</v>
      </c>
      <c r="P1355" s="3" t="s">
        <v>1479</v>
      </c>
      <c r="Q1355" s="2" t="s">
        <v>13664</v>
      </c>
      <c r="R1355" s="3" t="s">
        <v>70</v>
      </c>
      <c r="S1355" s="4">
        <v>9</v>
      </c>
      <c r="T1355" s="4">
        <v>9</v>
      </c>
      <c r="U1355" s="5" t="s">
        <v>13665</v>
      </c>
      <c r="V1355" s="5" t="s">
        <v>13665</v>
      </c>
      <c r="W1355" s="5" t="s">
        <v>72</v>
      </c>
      <c r="X1355" s="5" t="s">
        <v>72</v>
      </c>
      <c r="Y1355" s="4">
        <v>93</v>
      </c>
      <c r="Z1355" s="4">
        <v>6</v>
      </c>
      <c r="AA1355" s="4">
        <v>7</v>
      </c>
      <c r="AB1355" s="4">
        <v>1</v>
      </c>
      <c r="AC1355" s="4">
        <v>2</v>
      </c>
      <c r="AD1355" s="4">
        <v>35</v>
      </c>
      <c r="AE1355" s="4">
        <v>36</v>
      </c>
      <c r="AF1355" s="4">
        <v>0</v>
      </c>
      <c r="AG1355" s="4">
        <v>1</v>
      </c>
      <c r="AH1355" s="4">
        <v>34</v>
      </c>
      <c r="AI1355" s="4">
        <v>34</v>
      </c>
      <c r="AJ1355" s="4">
        <v>4</v>
      </c>
      <c r="AK1355" s="4">
        <v>5</v>
      </c>
      <c r="AL1355" s="4">
        <v>24</v>
      </c>
      <c r="AM1355" s="4">
        <v>24</v>
      </c>
      <c r="AN1355" s="4">
        <v>0</v>
      </c>
      <c r="AO1355" s="4">
        <v>0</v>
      </c>
      <c r="AP1355" s="4">
        <v>4</v>
      </c>
      <c r="AQ1355" s="4">
        <v>4</v>
      </c>
      <c r="AR1355" s="3" t="s">
        <v>64</v>
      </c>
      <c r="AS1355" s="3" t="s">
        <v>64</v>
      </c>
      <c r="AT1355" s="3" t="s">
        <v>64</v>
      </c>
      <c r="AV1355" s="6" t="str">
        <f>HYPERLINK("http://mcgill.on.worldcat.org/oclc/32920891","Catalog Record")</f>
        <v>Catalog Record</v>
      </c>
      <c r="AW1355" s="6" t="str">
        <f>HYPERLINK("http://www.worldcat.org/oclc/32920891","WorldCat Record")</f>
        <v>WorldCat Record</v>
      </c>
      <c r="AX1355" s="3" t="s">
        <v>13666</v>
      </c>
      <c r="AY1355" s="3" t="s">
        <v>13667</v>
      </c>
      <c r="AZ1355" s="3" t="s">
        <v>13668</v>
      </c>
      <c r="BA1355" s="3" t="s">
        <v>13668</v>
      </c>
      <c r="BB1355" s="3" t="s">
        <v>13669</v>
      </c>
      <c r="BC1355" s="3" t="s">
        <v>77</v>
      </c>
      <c r="BD1355" s="3" t="s">
        <v>78</v>
      </c>
      <c r="BE1355" s="3" t="s">
        <v>13670</v>
      </c>
      <c r="BF1355" s="3" t="s">
        <v>13669</v>
      </c>
      <c r="BG1355" s="3" t="s">
        <v>13671</v>
      </c>
      <c r="BH1355">
        <f t="shared" si="41"/>
        <v>0</v>
      </c>
    </row>
    <row r="1356" spans="1:60" ht="58" x14ac:dyDescent="0.35">
      <c r="A1356" s="2" t="s">
        <v>59</v>
      </c>
      <c r="B1356" s="2" t="s">
        <v>60</v>
      </c>
      <c r="C1356" s="2" t="s">
        <v>13672</v>
      </c>
      <c r="D1356" s="2" t="s">
        <v>13673</v>
      </c>
      <c r="E1356" s="2" t="s">
        <v>13674</v>
      </c>
      <c r="G1356" s="3" t="s">
        <v>64</v>
      </c>
      <c r="I1356" s="3" t="s">
        <v>64</v>
      </c>
      <c r="J1356" s="3" t="s">
        <v>64</v>
      </c>
      <c r="K1356" s="3" t="s">
        <v>65</v>
      </c>
      <c r="M1356" s="2" t="s">
        <v>13675</v>
      </c>
      <c r="N1356" s="3" t="s">
        <v>190</v>
      </c>
      <c r="P1356" s="3" t="s">
        <v>1479</v>
      </c>
      <c r="Q1356" s="2" t="s">
        <v>13676</v>
      </c>
      <c r="R1356" s="3" t="s">
        <v>70</v>
      </c>
      <c r="S1356" s="4">
        <v>0</v>
      </c>
      <c r="T1356" s="4">
        <v>0</v>
      </c>
      <c r="W1356" s="5" t="s">
        <v>72</v>
      </c>
      <c r="X1356" s="5" t="s">
        <v>72</v>
      </c>
      <c r="Y1356" s="4">
        <v>48</v>
      </c>
      <c r="Z1356" s="4">
        <v>4</v>
      </c>
      <c r="AA1356" s="4">
        <v>6</v>
      </c>
      <c r="AB1356" s="4">
        <v>1</v>
      </c>
      <c r="AC1356" s="4">
        <v>3</v>
      </c>
      <c r="AD1356" s="4">
        <v>35</v>
      </c>
      <c r="AE1356" s="4">
        <v>35</v>
      </c>
      <c r="AF1356" s="4">
        <v>0</v>
      </c>
      <c r="AG1356" s="4">
        <v>0</v>
      </c>
      <c r="AH1356" s="4">
        <v>34</v>
      </c>
      <c r="AI1356" s="4">
        <v>34</v>
      </c>
      <c r="AJ1356" s="4">
        <v>3</v>
      </c>
      <c r="AK1356" s="4">
        <v>3</v>
      </c>
      <c r="AL1356" s="4">
        <v>23</v>
      </c>
      <c r="AM1356" s="4">
        <v>23</v>
      </c>
      <c r="AN1356" s="4">
        <v>0</v>
      </c>
      <c r="AO1356" s="4">
        <v>0</v>
      </c>
      <c r="AP1356" s="4">
        <v>3</v>
      </c>
      <c r="AQ1356" s="4">
        <v>3</v>
      </c>
      <c r="AR1356" s="3" t="s">
        <v>64</v>
      </c>
      <c r="AS1356" s="3" t="s">
        <v>64</v>
      </c>
      <c r="AT1356" s="3" t="s">
        <v>64</v>
      </c>
      <c r="AV1356" s="6" t="str">
        <f>HYPERLINK("http://mcgill.on.worldcat.org/oclc/1031459911","Catalog Record")</f>
        <v>Catalog Record</v>
      </c>
      <c r="AW1356" s="6" t="str">
        <f>HYPERLINK("http://www.worldcat.org/oclc/1031459911","WorldCat Record")</f>
        <v>WorldCat Record</v>
      </c>
      <c r="AX1356" s="3" t="s">
        <v>13677</v>
      </c>
      <c r="AY1356" s="3" t="s">
        <v>13678</v>
      </c>
      <c r="AZ1356" s="3" t="s">
        <v>13679</v>
      </c>
      <c r="BA1356" s="3" t="s">
        <v>13679</v>
      </c>
      <c r="BB1356" s="3" t="s">
        <v>13680</v>
      </c>
      <c r="BC1356" s="3" t="s">
        <v>77</v>
      </c>
      <c r="BD1356" s="3" t="s">
        <v>78</v>
      </c>
      <c r="BE1356" s="3" t="s">
        <v>13681</v>
      </c>
      <c r="BF1356" s="3" t="s">
        <v>13680</v>
      </c>
      <c r="BG1356" s="3" t="s">
        <v>13682</v>
      </c>
      <c r="BH1356">
        <f t="shared" si="41"/>
        <v>0</v>
      </c>
    </row>
    <row r="1357" spans="1:60" ht="58" x14ac:dyDescent="0.35">
      <c r="A1357" s="2" t="s">
        <v>59</v>
      </c>
      <c r="B1357" s="2" t="s">
        <v>60</v>
      </c>
      <c r="C1357" s="2" t="s">
        <v>13683</v>
      </c>
      <c r="D1357" s="2" t="s">
        <v>13684</v>
      </c>
      <c r="E1357" s="2" t="s">
        <v>13685</v>
      </c>
      <c r="G1357" s="3" t="s">
        <v>64</v>
      </c>
      <c r="I1357" s="3" t="s">
        <v>64</v>
      </c>
      <c r="J1357" s="3" t="s">
        <v>128</v>
      </c>
      <c r="K1357" s="3" t="s">
        <v>65</v>
      </c>
      <c r="L1357" s="2" t="s">
        <v>13686</v>
      </c>
      <c r="M1357" s="2" t="s">
        <v>13687</v>
      </c>
      <c r="N1357" s="3" t="s">
        <v>3330</v>
      </c>
      <c r="P1357" s="3" t="s">
        <v>102</v>
      </c>
      <c r="R1357" s="3" t="s">
        <v>70</v>
      </c>
      <c r="S1357" s="4">
        <v>11</v>
      </c>
      <c r="T1357" s="4">
        <v>11</v>
      </c>
      <c r="U1357" s="5" t="s">
        <v>13331</v>
      </c>
      <c r="V1357" s="5" t="s">
        <v>13331</v>
      </c>
      <c r="W1357" s="5" t="s">
        <v>72</v>
      </c>
      <c r="X1357" s="5" t="s">
        <v>72</v>
      </c>
      <c r="Y1357" s="4">
        <v>930</v>
      </c>
      <c r="Z1357" s="4">
        <v>34</v>
      </c>
      <c r="AA1357" s="4">
        <v>49</v>
      </c>
      <c r="AB1357" s="4">
        <v>2</v>
      </c>
      <c r="AC1357" s="4">
        <v>4</v>
      </c>
      <c r="AD1357" s="4">
        <v>114</v>
      </c>
      <c r="AE1357" s="4">
        <v>139</v>
      </c>
      <c r="AF1357" s="4">
        <v>1</v>
      </c>
      <c r="AG1357" s="4">
        <v>3</v>
      </c>
      <c r="AH1357" s="4">
        <v>95</v>
      </c>
      <c r="AI1357" s="4">
        <v>111</v>
      </c>
      <c r="AJ1357" s="4">
        <v>14</v>
      </c>
      <c r="AK1357" s="4">
        <v>24</v>
      </c>
      <c r="AL1357" s="4">
        <v>56</v>
      </c>
      <c r="AM1357" s="4">
        <v>62</v>
      </c>
      <c r="AN1357" s="4">
        <v>0</v>
      </c>
      <c r="AO1357" s="4">
        <v>0</v>
      </c>
      <c r="AP1357" s="4">
        <v>21</v>
      </c>
      <c r="AQ1357" s="4">
        <v>33</v>
      </c>
      <c r="AR1357" s="3" t="s">
        <v>64</v>
      </c>
      <c r="AS1357" s="3" t="s">
        <v>64</v>
      </c>
      <c r="AT1357" s="3" t="s">
        <v>128</v>
      </c>
      <c r="AU1357" s="6" t="str">
        <f>HYPERLINK("http://catalog.hathitrust.org/Record/007474448","HathiTrust Record")</f>
        <v>HathiTrust Record</v>
      </c>
      <c r="AV1357" s="6" t="str">
        <f>HYPERLINK("http://mcgill.on.worldcat.org/oclc/18072057","Catalog Record")</f>
        <v>Catalog Record</v>
      </c>
      <c r="AW1357" s="6" t="str">
        <f>HYPERLINK("http://www.worldcat.org/oclc/18072057","WorldCat Record")</f>
        <v>WorldCat Record</v>
      </c>
      <c r="AX1357" s="3" t="s">
        <v>13688</v>
      </c>
      <c r="AY1357" s="3" t="s">
        <v>13689</v>
      </c>
      <c r="AZ1357" s="3" t="s">
        <v>13690</v>
      </c>
      <c r="BA1357" s="3" t="s">
        <v>13690</v>
      </c>
      <c r="BB1357" s="3" t="s">
        <v>13691</v>
      </c>
      <c r="BC1357" s="3" t="s">
        <v>77</v>
      </c>
      <c r="BD1357" s="3" t="s">
        <v>78</v>
      </c>
      <c r="BE1357" s="3" t="s">
        <v>13692</v>
      </c>
      <c r="BF1357" s="3" t="s">
        <v>13691</v>
      </c>
      <c r="BG1357" s="3" t="s">
        <v>13693</v>
      </c>
      <c r="BH1357">
        <f t="shared" si="41"/>
        <v>0</v>
      </c>
    </row>
    <row r="1358" spans="1:60" ht="58" x14ac:dyDescent="0.35">
      <c r="A1358" s="2" t="s">
        <v>59</v>
      </c>
      <c r="B1358" s="2" t="s">
        <v>60</v>
      </c>
      <c r="C1358" s="2" t="s">
        <v>13694</v>
      </c>
      <c r="D1358" s="2" t="s">
        <v>13695</v>
      </c>
      <c r="E1358" s="2" t="s">
        <v>13696</v>
      </c>
      <c r="G1358" s="3" t="s">
        <v>64</v>
      </c>
      <c r="I1358" s="3" t="s">
        <v>64</v>
      </c>
      <c r="J1358" s="3" t="s">
        <v>64</v>
      </c>
      <c r="K1358" s="3" t="s">
        <v>65</v>
      </c>
      <c r="L1358" s="2" t="s">
        <v>13697</v>
      </c>
      <c r="M1358" s="2" t="s">
        <v>13698</v>
      </c>
      <c r="N1358" s="3" t="s">
        <v>116</v>
      </c>
      <c r="O1358" s="2" t="s">
        <v>2149</v>
      </c>
      <c r="P1358" s="3" t="s">
        <v>102</v>
      </c>
      <c r="R1358" s="3" t="s">
        <v>70</v>
      </c>
      <c r="S1358" s="4">
        <v>18</v>
      </c>
      <c r="T1358" s="4">
        <v>18</v>
      </c>
      <c r="U1358" s="5" t="s">
        <v>11238</v>
      </c>
      <c r="V1358" s="5" t="s">
        <v>11238</v>
      </c>
      <c r="W1358" s="5" t="s">
        <v>72</v>
      </c>
      <c r="X1358" s="5" t="s">
        <v>72</v>
      </c>
      <c r="Y1358" s="4">
        <v>1251</v>
      </c>
      <c r="Z1358" s="4">
        <v>38</v>
      </c>
      <c r="AA1358" s="4">
        <v>131</v>
      </c>
      <c r="AB1358" s="4">
        <v>1</v>
      </c>
      <c r="AC1358" s="4">
        <v>18</v>
      </c>
      <c r="AD1358" s="4">
        <v>113</v>
      </c>
      <c r="AE1358" s="4">
        <v>154</v>
      </c>
      <c r="AF1358" s="4">
        <v>0</v>
      </c>
      <c r="AG1358" s="4">
        <v>8</v>
      </c>
      <c r="AH1358" s="4">
        <v>99</v>
      </c>
      <c r="AI1358" s="4">
        <v>112</v>
      </c>
      <c r="AJ1358" s="4">
        <v>11</v>
      </c>
      <c r="AK1358" s="4">
        <v>24</v>
      </c>
      <c r="AL1358" s="4">
        <v>53</v>
      </c>
      <c r="AM1358" s="4">
        <v>58</v>
      </c>
      <c r="AN1358" s="4">
        <v>0</v>
      </c>
      <c r="AO1358" s="4">
        <v>0</v>
      </c>
      <c r="AP1358" s="4">
        <v>16</v>
      </c>
      <c r="AQ1358" s="4">
        <v>49</v>
      </c>
      <c r="AR1358" s="3" t="s">
        <v>64</v>
      </c>
      <c r="AS1358" s="3" t="s">
        <v>64</v>
      </c>
      <c r="AT1358" s="3" t="s">
        <v>64</v>
      </c>
      <c r="AV1358" s="6" t="str">
        <f>HYPERLINK("http://mcgill.on.worldcat.org/oclc/45080058","Catalog Record")</f>
        <v>Catalog Record</v>
      </c>
      <c r="AW1358" s="6" t="str">
        <f>HYPERLINK("http://www.worldcat.org/oclc/45080058","WorldCat Record")</f>
        <v>WorldCat Record</v>
      </c>
      <c r="AX1358" s="3" t="s">
        <v>13699</v>
      </c>
      <c r="AY1358" s="3" t="s">
        <v>13700</v>
      </c>
      <c r="AZ1358" s="3" t="s">
        <v>13701</v>
      </c>
      <c r="BA1358" s="3" t="s">
        <v>13701</v>
      </c>
      <c r="BB1358" s="3" t="s">
        <v>13702</v>
      </c>
      <c r="BC1358" s="3" t="s">
        <v>77</v>
      </c>
      <c r="BD1358" s="3" t="s">
        <v>78</v>
      </c>
      <c r="BE1358" s="3" t="s">
        <v>13703</v>
      </c>
      <c r="BF1358" s="3" t="s">
        <v>13702</v>
      </c>
      <c r="BG1358" s="3" t="s">
        <v>13704</v>
      </c>
      <c r="BH1358">
        <f t="shared" si="41"/>
        <v>0</v>
      </c>
    </row>
    <row r="1359" spans="1:60" ht="58" x14ac:dyDescent="0.35">
      <c r="A1359" s="2" t="s">
        <v>59</v>
      </c>
      <c r="B1359" s="2" t="s">
        <v>60</v>
      </c>
      <c r="C1359" s="2" t="s">
        <v>13705</v>
      </c>
      <c r="D1359" s="2" t="s">
        <v>13706</v>
      </c>
      <c r="E1359" s="2" t="s">
        <v>13707</v>
      </c>
      <c r="G1359" s="3" t="s">
        <v>64</v>
      </c>
      <c r="I1359" s="3" t="s">
        <v>64</v>
      </c>
      <c r="J1359" s="3" t="s">
        <v>64</v>
      </c>
      <c r="K1359" s="3" t="s">
        <v>65</v>
      </c>
      <c r="L1359" s="2" t="s">
        <v>13708</v>
      </c>
      <c r="M1359" s="2" t="s">
        <v>13709</v>
      </c>
      <c r="N1359" s="3" t="s">
        <v>153</v>
      </c>
      <c r="P1359" s="3" t="s">
        <v>102</v>
      </c>
      <c r="Q1359" s="2" t="s">
        <v>13710</v>
      </c>
      <c r="R1359" s="3" t="s">
        <v>70</v>
      </c>
      <c r="S1359" s="4">
        <v>20</v>
      </c>
      <c r="T1359" s="4">
        <v>20</v>
      </c>
      <c r="U1359" s="5" t="s">
        <v>4502</v>
      </c>
      <c r="V1359" s="5" t="s">
        <v>4502</v>
      </c>
      <c r="W1359" s="5" t="s">
        <v>72</v>
      </c>
      <c r="X1359" s="5" t="s">
        <v>72</v>
      </c>
      <c r="Y1359" s="4">
        <v>897</v>
      </c>
      <c r="Z1359" s="4">
        <v>23</v>
      </c>
      <c r="AA1359" s="4">
        <v>54</v>
      </c>
      <c r="AB1359" s="4">
        <v>2</v>
      </c>
      <c r="AC1359" s="4">
        <v>6</v>
      </c>
      <c r="AD1359" s="4">
        <v>95</v>
      </c>
      <c r="AE1359" s="4">
        <v>126</v>
      </c>
      <c r="AF1359" s="4">
        <v>1</v>
      </c>
      <c r="AG1359" s="4">
        <v>3</v>
      </c>
      <c r="AH1359" s="4">
        <v>83</v>
      </c>
      <c r="AI1359" s="4">
        <v>104</v>
      </c>
      <c r="AJ1359" s="4">
        <v>8</v>
      </c>
      <c r="AK1359" s="4">
        <v>20</v>
      </c>
      <c r="AL1359" s="4">
        <v>45</v>
      </c>
      <c r="AM1359" s="4">
        <v>53</v>
      </c>
      <c r="AN1359" s="4">
        <v>0</v>
      </c>
      <c r="AO1359" s="4">
        <v>0</v>
      </c>
      <c r="AP1359" s="4">
        <v>13</v>
      </c>
      <c r="AQ1359" s="4">
        <v>28</v>
      </c>
      <c r="AR1359" s="3" t="s">
        <v>64</v>
      </c>
      <c r="AS1359" s="3" t="s">
        <v>64</v>
      </c>
      <c r="AT1359" s="3" t="s">
        <v>64</v>
      </c>
      <c r="AV1359" s="6" t="str">
        <f>HYPERLINK("http://mcgill.on.worldcat.org/oclc/37675656","Catalog Record")</f>
        <v>Catalog Record</v>
      </c>
      <c r="AW1359" s="6" t="str">
        <f>HYPERLINK("http://www.worldcat.org/oclc/37675656","WorldCat Record")</f>
        <v>WorldCat Record</v>
      </c>
      <c r="AX1359" s="3" t="s">
        <v>13711</v>
      </c>
      <c r="AY1359" s="3" t="s">
        <v>13712</v>
      </c>
      <c r="AZ1359" s="3" t="s">
        <v>13713</v>
      </c>
      <c r="BA1359" s="3" t="s">
        <v>13713</v>
      </c>
      <c r="BB1359" s="3" t="s">
        <v>13714</v>
      </c>
      <c r="BC1359" s="3" t="s">
        <v>77</v>
      </c>
      <c r="BD1359" s="3" t="s">
        <v>78</v>
      </c>
      <c r="BE1359" s="3" t="s">
        <v>13715</v>
      </c>
      <c r="BF1359" s="3" t="s">
        <v>13714</v>
      </c>
      <c r="BG1359" s="3" t="s">
        <v>13716</v>
      </c>
      <c r="BH1359">
        <f t="shared" si="41"/>
        <v>0</v>
      </c>
    </row>
    <row r="1360" spans="1:60" ht="58" x14ac:dyDescent="0.35">
      <c r="A1360" s="2" t="s">
        <v>59</v>
      </c>
      <c r="B1360" s="2" t="s">
        <v>60</v>
      </c>
      <c r="C1360" s="2" t="s">
        <v>13717</v>
      </c>
      <c r="D1360" s="2" t="s">
        <v>13718</v>
      </c>
      <c r="E1360" s="2" t="s">
        <v>13719</v>
      </c>
      <c r="G1360" s="3" t="s">
        <v>64</v>
      </c>
      <c r="I1360" s="3" t="s">
        <v>64</v>
      </c>
      <c r="J1360" s="3" t="s">
        <v>128</v>
      </c>
      <c r="K1360" s="3" t="s">
        <v>65</v>
      </c>
      <c r="L1360" s="2" t="s">
        <v>13720</v>
      </c>
      <c r="M1360" s="2" t="s">
        <v>13721</v>
      </c>
      <c r="N1360" s="3" t="s">
        <v>153</v>
      </c>
      <c r="P1360" s="3" t="s">
        <v>102</v>
      </c>
      <c r="Q1360" s="2" t="s">
        <v>13710</v>
      </c>
      <c r="R1360" s="3" t="s">
        <v>70</v>
      </c>
      <c r="S1360" s="4">
        <v>24</v>
      </c>
      <c r="T1360" s="4">
        <v>24</v>
      </c>
      <c r="U1360" s="5" t="s">
        <v>13030</v>
      </c>
      <c r="V1360" s="5" t="s">
        <v>13030</v>
      </c>
      <c r="W1360" s="5" t="s">
        <v>72</v>
      </c>
      <c r="X1360" s="5" t="s">
        <v>72</v>
      </c>
      <c r="Y1360" s="4">
        <v>897</v>
      </c>
      <c r="Z1360" s="4">
        <v>24</v>
      </c>
      <c r="AA1360" s="4">
        <v>56</v>
      </c>
      <c r="AB1360" s="4">
        <v>2</v>
      </c>
      <c r="AC1360" s="4">
        <v>6</v>
      </c>
      <c r="AD1360" s="4">
        <v>96</v>
      </c>
      <c r="AE1360" s="4">
        <v>125</v>
      </c>
      <c r="AF1360" s="4">
        <v>1</v>
      </c>
      <c r="AG1360" s="4">
        <v>3</v>
      </c>
      <c r="AH1360" s="4">
        <v>81</v>
      </c>
      <c r="AI1360" s="4">
        <v>101</v>
      </c>
      <c r="AJ1360" s="4">
        <v>10</v>
      </c>
      <c r="AK1360" s="4">
        <v>21</v>
      </c>
      <c r="AL1360" s="4">
        <v>42</v>
      </c>
      <c r="AM1360" s="4">
        <v>51</v>
      </c>
      <c r="AN1360" s="4">
        <v>0</v>
      </c>
      <c r="AO1360" s="4">
        <v>0</v>
      </c>
      <c r="AP1360" s="4">
        <v>16</v>
      </c>
      <c r="AQ1360" s="4">
        <v>30</v>
      </c>
      <c r="AR1360" s="3" t="s">
        <v>64</v>
      </c>
      <c r="AS1360" s="3" t="s">
        <v>64</v>
      </c>
      <c r="AT1360" s="3" t="s">
        <v>64</v>
      </c>
      <c r="AV1360" s="6" t="str">
        <f>HYPERLINK("http://mcgill.on.worldcat.org/oclc/37935163","Catalog Record")</f>
        <v>Catalog Record</v>
      </c>
      <c r="AW1360" s="6" t="str">
        <f>HYPERLINK("http://www.worldcat.org/oclc/37935163","WorldCat Record")</f>
        <v>WorldCat Record</v>
      </c>
      <c r="AX1360" s="3" t="s">
        <v>13722</v>
      </c>
      <c r="AY1360" s="3" t="s">
        <v>13723</v>
      </c>
      <c r="AZ1360" s="3" t="s">
        <v>13724</v>
      </c>
      <c r="BA1360" s="3" t="s">
        <v>13724</v>
      </c>
      <c r="BB1360" s="3" t="s">
        <v>13725</v>
      </c>
      <c r="BC1360" s="3" t="s">
        <v>77</v>
      </c>
      <c r="BD1360" s="3" t="s">
        <v>78</v>
      </c>
      <c r="BE1360" s="3" t="s">
        <v>13726</v>
      </c>
      <c r="BF1360" s="3" t="s">
        <v>13725</v>
      </c>
      <c r="BG1360" s="3" t="s">
        <v>13727</v>
      </c>
      <c r="BH1360">
        <f t="shared" si="41"/>
        <v>0</v>
      </c>
    </row>
    <row r="1361" spans="1:60" ht="58" x14ac:dyDescent="0.35">
      <c r="A1361" s="2" t="s">
        <v>59</v>
      </c>
      <c r="B1361" s="2" t="s">
        <v>60</v>
      </c>
      <c r="C1361" s="2" t="s">
        <v>13728</v>
      </c>
      <c r="D1361" s="2" t="s">
        <v>13729</v>
      </c>
      <c r="E1361" s="2" t="s">
        <v>13730</v>
      </c>
      <c r="G1361" s="3" t="s">
        <v>64</v>
      </c>
      <c r="I1361" s="3" t="s">
        <v>64</v>
      </c>
      <c r="J1361" s="3" t="s">
        <v>128</v>
      </c>
      <c r="K1361" s="3" t="s">
        <v>65</v>
      </c>
      <c r="L1361" s="2" t="s">
        <v>13720</v>
      </c>
      <c r="M1361" s="2" t="s">
        <v>13731</v>
      </c>
      <c r="N1361" s="3" t="s">
        <v>326</v>
      </c>
      <c r="O1361" s="2" t="s">
        <v>2994</v>
      </c>
      <c r="P1361" s="3" t="s">
        <v>102</v>
      </c>
      <c r="Q1361" s="2" t="s">
        <v>13710</v>
      </c>
      <c r="R1361" s="3" t="s">
        <v>70</v>
      </c>
      <c r="S1361" s="4">
        <v>4</v>
      </c>
      <c r="T1361" s="4">
        <v>4</v>
      </c>
      <c r="U1361" s="5" t="s">
        <v>3797</v>
      </c>
      <c r="V1361" s="5" t="s">
        <v>3797</v>
      </c>
      <c r="W1361" s="5" t="s">
        <v>72</v>
      </c>
      <c r="X1361" s="5" t="s">
        <v>72</v>
      </c>
      <c r="Y1361" s="4">
        <v>333</v>
      </c>
      <c r="Z1361" s="4">
        <v>20</v>
      </c>
      <c r="AA1361" s="4">
        <v>56</v>
      </c>
      <c r="AB1361" s="4">
        <v>2</v>
      </c>
      <c r="AC1361" s="4">
        <v>6</v>
      </c>
      <c r="AD1361" s="4">
        <v>42</v>
      </c>
      <c r="AE1361" s="4">
        <v>125</v>
      </c>
      <c r="AF1361" s="4">
        <v>1</v>
      </c>
      <c r="AG1361" s="4">
        <v>3</v>
      </c>
      <c r="AH1361" s="4">
        <v>36</v>
      </c>
      <c r="AI1361" s="4">
        <v>101</v>
      </c>
      <c r="AJ1361" s="4">
        <v>10</v>
      </c>
      <c r="AK1361" s="4">
        <v>21</v>
      </c>
      <c r="AL1361" s="4">
        <v>19</v>
      </c>
      <c r="AM1361" s="4">
        <v>51</v>
      </c>
      <c r="AN1361" s="4">
        <v>0</v>
      </c>
      <c r="AO1361" s="4">
        <v>0</v>
      </c>
      <c r="AP1361" s="4">
        <v>13</v>
      </c>
      <c r="AQ1361" s="4">
        <v>30</v>
      </c>
      <c r="AR1361" s="3" t="s">
        <v>64</v>
      </c>
      <c r="AS1361" s="3" t="s">
        <v>64</v>
      </c>
      <c r="AT1361" s="3" t="s">
        <v>64</v>
      </c>
      <c r="AV1361" s="6" t="str">
        <f>HYPERLINK("http://mcgill.on.worldcat.org/oclc/664353195","Catalog Record")</f>
        <v>Catalog Record</v>
      </c>
      <c r="AW1361" s="6" t="str">
        <f>HYPERLINK("http://www.worldcat.org/oclc/664353195","WorldCat Record")</f>
        <v>WorldCat Record</v>
      </c>
      <c r="AX1361" s="3" t="s">
        <v>13722</v>
      </c>
      <c r="AY1361" s="3" t="s">
        <v>13732</v>
      </c>
      <c r="AZ1361" s="3" t="s">
        <v>13733</v>
      </c>
      <c r="BA1361" s="3" t="s">
        <v>13733</v>
      </c>
      <c r="BB1361" s="3" t="s">
        <v>13734</v>
      </c>
      <c r="BC1361" s="3" t="s">
        <v>77</v>
      </c>
      <c r="BD1361" s="3" t="s">
        <v>78</v>
      </c>
      <c r="BE1361" s="3" t="s">
        <v>13735</v>
      </c>
      <c r="BF1361" s="3" t="s">
        <v>13734</v>
      </c>
      <c r="BG1361" s="3" t="s">
        <v>13736</v>
      </c>
      <c r="BH1361">
        <f t="shared" si="41"/>
        <v>0</v>
      </c>
    </row>
    <row r="1362" spans="1:60" ht="58" x14ac:dyDescent="0.35">
      <c r="A1362" s="2" t="s">
        <v>59</v>
      </c>
      <c r="B1362" s="2" t="s">
        <v>60</v>
      </c>
      <c r="C1362" s="2" t="s">
        <v>13737</v>
      </c>
      <c r="D1362" s="2" t="s">
        <v>13738</v>
      </c>
      <c r="E1362" s="2" t="s">
        <v>13739</v>
      </c>
      <c r="G1362" s="3" t="s">
        <v>64</v>
      </c>
      <c r="I1362" s="3" t="s">
        <v>64</v>
      </c>
      <c r="J1362" s="3" t="s">
        <v>64</v>
      </c>
      <c r="K1362" s="3" t="s">
        <v>65</v>
      </c>
      <c r="L1362" s="2" t="s">
        <v>13740</v>
      </c>
      <c r="M1362" s="2" t="s">
        <v>13741</v>
      </c>
      <c r="N1362" s="3" t="s">
        <v>511</v>
      </c>
      <c r="P1362" s="3" t="s">
        <v>102</v>
      </c>
      <c r="R1362" s="3" t="s">
        <v>70</v>
      </c>
      <c r="S1362" s="4">
        <v>2</v>
      </c>
      <c r="T1362" s="4">
        <v>2</v>
      </c>
      <c r="U1362" s="5" t="s">
        <v>5132</v>
      </c>
      <c r="V1362" s="5" t="s">
        <v>5132</v>
      </c>
      <c r="W1362" s="5" t="s">
        <v>72</v>
      </c>
      <c r="X1362" s="5" t="s">
        <v>72</v>
      </c>
      <c r="Y1362" s="4">
        <v>306</v>
      </c>
      <c r="Z1362" s="4">
        <v>11</v>
      </c>
      <c r="AA1362" s="4">
        <v>18</v>
      </c>
      <c r="AB1362" s="4">
        <v>1</v>
      </c>
      <c r="AC1362" s="4">
        <v>1</v>
      </c>
      <c r="AD1362" s="4">
        <v>32</v>
      </c>
      <c r="AE1362" s="4">
        <v>49</v>
      </c>
      <c r="AF1362" s="4">
        <v>0</v>
      </c>
      <c r="AG1362" s="4">
        <v>0</v>
      </c>
      <c r="AH1362" s="4">
        <v>30</v>
      </c>
      <c r="AI1362" s="4">
        <v>45</v>
      </c>
      <c r="AJ1362" s="4">
        <v>4</v>
      </c>
      <c r="AK1362" s="4">
        <v>6</v>
      </c>
      <c r="AL1362" s="4">
        <v>17</v>
      </c>
      <c r="AM1362" s="4">
        <v>26</v>
      </c>
      <c r="AN1362" s="4">
        <v>0</v>
      </c>
      <c r="AO1362" s="4">
        <v>0</v>
      </c>
      <c r="AP1362" s="4">
        <v>6</v>
      </c>
      <c r="AQ1362" s="4">
        <v>8</v>
      </c>
      <c r="AR1362" s="3" t="s">
        <v>64</v>
      </c>
      <c r="AS1362" s="3" t="s">
        <v>64</v>
      </c>
      <c r="AT1362" s="3" t="s">
        <v>64</v>
      </c>
      <c r="AV1362" s="6" t="str">
        <f>HYPERLINK("http://mcgill.on.worldcat.org/oclc/652123098","Catalog Record")</f>
        <v>Catalog Record</v>
      </c>
      <c r="AW1362" s="6" t="str">
        <f>HYPERLINK("http://www.worldcat.org/oclc/652123098","WorldCat Record")</f>
        <v>WorldCat Record</v>
      </c>
      <c r="AX1362" s="3" t="s">
        <v>13742</v>
      </c>
      <c r="AY1362" s="3" t="s">
        <v>13743</v>
      </c>
      <c r="AZ1362" s="3" t="s">
        <v>13744</v>
      </c>
      <c r="BA1362" s="3" t="s">
        <v>13744</v>
      </c>
      <c r="BB1362" s="3" t="s">
        <v>13745</v>
      </c>
      <c r="BC1362" s="3" t="s">
        <v>77</v>
      </c>
      <c r="BD1362" s="3" t="s">
        <v>78</v>
      </c>
      <c r="BE1362" s="3" t="s">
        <v>13746</v>
      </c>
      <c r="BF1362" s="3" t="s">
        <v>13745</v>
      </c>
      <c r="BG1362" s="3" t="s">
        <v>13747</v>
      </c>
      <c r="BH1362">
        <f t="shared" si="41"/>
        <v>0</v>
      </c>
    </row>
    <row r="1363" spans="1:60" ht="58" x14ac:dyDescent="0.35">
      <c r="A1363" s="2" t="s">
        <v>59</v>
      </c>
      <c r="B1363" s="2" t="s">
        <v>60</v>
      </c>
      <c r="C1363" s="2" t="s">
        <v>13748</v>
      </c>
      <c r="D1363" s="2" t="s">
        <v>13749</v>
      </c>
      <c r="E1363" s="2" t="s">
        <v>13750</v>
      </c>
      <c r="G1363" s="3" t="s">
        <v>64</v>
      </c>
      <c r="I1363" s="3" t="s">
        <v>64</v>
      </c>
      <c r="J1363" s="3" t="s">
        <v>64</v>
      </c>
      <c r="K1363" s="3" t="s">
        <v>65</v>
      </c>
      <c r="L1363" s="2" t="s">
        <v>13751</v>
      </c>
      <c r="M1363" s="2" t="s">
        <v>13752</v>
      </c>
      <c r="N1363" s="3" t="s">
        <v>144</v>
      </c>
      <c r="P1363" s="3" t="s">
        <v>102</v>
      </c>
      <c r="R1363" s="3" t="s">
        <v>70</v>
      </c>
      <c r="S1363" s="4">
        <v>5</v>
      </c>
      <c r="T1363" s="4">
        <v>5</v>
      </c>
      <c r="U1363" s="5" t="s">
        <v>8511</v>
      </c>
      <c r="V1363" s="5" t="s">
        <v>8511</v>
      </c>
      <c r="W1363" s="5" t="s">
        <v>72</v>
      </c>
      <c r="X1363" s="5" t="s">
        <v>72</v>
      </c>
      <c r="Y1363" s="4">
        <v>170</v>
      </c>
      <c r="Z1363" s="4">
        <v>3</v>
      </c>
      <c r="AA1363" s="4">
        <v>55</v>
      </c>
      <c r="AB1363" s="4">
        <v>1</v>
      </c>
      <c r="AC1363" s="4">
        <v>4</v>
      </c>
      <c r="AD1363" s="4">
        <v>15</v>
      </c>
      <c r="AE1363" s="4">
        <v>105</v>
      </c>
      <c r="AF1363" s="4">
        <v>0</v>
      </c>
      <c r="AG1363" s="4">
        <v>1</v>
      </c>
      <c r="AH1363" s="4">
        <v>15</v>
      </c>
      <c r="AI1363" s="4">
        <v>85</v>
      </c>
      <c r="AJ1363" s="4">
        <v>1</v>
      </c>
      <c r="AK1363" s="4">
        <v>14</v>
      </c>
      <c r="AL1363" s="4">
        <v>7</v>
      </c>
      <c r="AM1363" s="4">
        <v>48</v>
      </c>
      <c r="AN1363" s="4">
        <v>0</v>
      </c>
      <c r="AO1363" s="4">
        <v>0</v>
      </c>
      <c r="AP1363" s="4">
        <v>1</v>
      </c>
      <c r="AQ1363" s="4">
        <v>23</v>
      </c>
      <c r="AR1363" s="3" t="s">
        <v>64</v>
      </c>
      <c r="AS1363" s="3" t="s">
        <v>64</v>
      </c>
      <c r="AT1363" s="3" t="s">
        <v>128</v>
      </c>
      <c r="AU1363" s="6" t="str">
        <f>HYPERLINK("http://catalog.hathitrust.org/Record/005934449","HathiTrust Record")</f>
        <v>HathiTrust Record</v>
      </c>
      <c r="AV1363" s="6" t="str">
        <f>HYPERLINK("http://mcgill.on.worldcat.org/oclc/233265548","Catalog Record")</f>
        <v>Catalog Record</v>
      </c>
      <c r="AW1363" s="6" t="str">
        <f>HYPERLINK("http://www.worldcat.org/oclc/233265548","WorldCat Record")</f>
        <v>WorldCat Record</v>
      </c>
      <c r="AX1363" s="3" t="s">
        <v>13753</v>
      </c>
      <c r="AY1363" s="3" t="s">
        <v>13754</v>
      </c>
      <c r="AZ1363" s="3" t="s">
        <v>13755</v>
      </c>
      <c r="BA1363" s="3" t="s">
        <v>13755</v>
      </c>
      <c r="BB1363" s="3" t="s">
        <v>13756</v>
      </c>
      <c r="BC1363" s="3" t="s">
        <v>77</v>
      </c>
      <c r="BD1363" s="3" t="s">
        <v>78</v>
      </c>
      <c r="BE1363" s="3" t="s">
        <v>13757</v>
      </c>
      <c r="BF1363" s="3" t="s">
        <v>13756</v>
      </c>
      <c r="BG1363" s="3" t="s">
        <v>13758</v>
      </c>
      <c r="BH1363">
        <f t="shared" si="41"/>
        <v>0</v>
      </c>
    </row>
    <row r="1364" spans="1:60" ht="58" x14ac:dyDescent="0.35">
      <c r="A1364" s="2" t="s">
        <v>59</v>
      </c>
      <c r="B1364" s="2" t="s">
        <v>60</v>
      </c>
      <c r="C1364" s="2" t="s">
        <v>13759</v>
      </c>
      <c r="D1364" s="2" t="s">
        <v>13760</v>
      </c>
      <c r="E1364" s="2" t="s">
        <v>13761</v>
      </c>
      <c r="G1364" s="3" t="s">
        <v>64</v>
      </c>
      <c r="I1364" s="3" t="s">
        <v>64</v>
      </c>
      <c r="J1364" s="3" t="s">
        <v>64</v>
      </c>
      <c r="K1364" s="3" t="s">
        <v>65</v>
      </c>
      <c r="L1364" s="2" t="s">
        <v>13762</v>
      </c>
      <c r="M1364" s="2" t="s">
        <v>13763</v>
      </c>
      <c r="N1364" s="3" t="s">
        <v>537</v>
      </c>
      <c r="P1364" s="3" t="s">
        <v>102</v>
      </c>
      <c r="R1364" s="3" t="s">
        <v>70</v>
      </c>
      <c r="S1364" s="4">
        <v>0</v>
      </c>
      <c r="T1364" s="4">
        <v>0</v>
      </c>
      <c r="W1364" s="5" t="s">
        <v>72</v>
      </c>
      <c r="X1364" s="5" t="s">
        <v>72</v>
      </c>
      <c r="Y1364" s="4">
        <v>41</v>
      </c>
      <c r="Z1364" s="4">
        <v>2</v>
      </c>
      <c r="AA1364" s="4">
        <v>14</v>
      </c>
      <c r="AB1364" s="4">
        <v>1</v>
      </c>
      <c r="AC1364" s="4">
        <v>6</v>
      </c>
      <c r="AD1364" s="4">
        <v>19</v>
      </c>
      <c r="AE1364" s="4">
        <v>51</v>
      </c>
      <c r="AF1364" s="4">
        <v>0</v>
      </c>
      <c r="AG1364" s="4">
        <v>2</v>
      </c>
      <c r="AH1364" s="4">
        <v>19</v>
      </c>
      <c r="AI1364" s="4">
        <v>45</v>
      </c>
      <c r="AJ1364" s="4">
        <v>1</v>
      </c>
      <c r="AK1364" s="4">
        <v>6</v>
      </c>
      <c r="AL1364" s="4">
        <v>14</v>
      </c>
      <c r="AM1364" s="4">
        <v>30</v>
      </c>
      <c r="AN1364" s="4">
        <v>0</v>
      </c>
      <c r="AO1364" s="4">
        <v>0</v>
      </c>
      <c r="AP1364" s="4">
        <v>1</v>
      </c>
      <c r="AQ1364" s="4">
        <v>6</v>
      </c>
      <c r="AR1364" s="3" t="s">
        <v>64</v>
      </c>
      <c r="AS1364" s="3" t="s">
        <v>64</v>
      </c>
      <c r="AT1364" s="3" t="s">
        <v>64</v>
      </c>
      <c r="AV1364" s="6" t="str">
        <f>HYPERLINK("http://mcgill.on.worldcat.org/oclc/951611208","Catalog Record")</f>
        <v>Catalog Record</v>
      </c>
      <c r="AW1364" s="6" t="str">
        <f>HYPERLINK("http://www.worldcat.org/oclc/951611208","WorldCat Record")</f>
        <v>WorldCat Record</v>
      </c>
      <c r="AX1364" s="3" t="s">
        <v>13764</v>
      </c>
      <c r="AY1364" s="3" t="s">
        <v>13765</v>
      </c>
      <c r="AZ1364" s="3" t="s">
        <v>13766</v>
      </c>
      <c r="BA1364" s="3" t="s">
        <v>13766</v>
      </c>
      <c r="BB1364" s="3" t="s">
        <v>13767</v>
      </c>
      <c r="BC1364" s="3" t="s">
        <v>77</v>
      </c>
      <c r="BD1364" s="3" t="s">
        <v>78</v>
      </c>
      <c r="BE1364" s="3" t="s">
        <v>13768</v>
      </c>
      <c r="BF1364" s="3" t="s">
        <v>13767</v>
      </c>
      <c r="BG1364" s="3" t="s">
        <v>13769</v>
      </c>
      <c r="BH1364">
        <f t="shared" si="41"/>
        <v>0</v>
      </c>
    </row>
    <row r="1365" spans="1:60" ht="58" x14ac:dyDescent="0.35">
      <c r="A1365" s="2" t="s">
        <v>59</v>
      </c>
      <c r="B1365" s="2" t="s">
        <v>60</v>
      </c>
      <c r="C1365" s="2" t="s">
        <v>13770</v>
      </c>
      <c r="D1365" s="2" t="s">
        <v>13771</v>
      </c>
      <c r="E1365" s="2" t="s">
        <v>13772</v>
      </c>
      <c r="G1365" s="3" t="s">
        <v>64</v>
      </c>
      <c r="I1365" s="3" t="s">
        <v>64</v>
      </c>
      <c r="J1365" s="3" t="s">
        <v>64</v>
      </c>
      <c r="K1365" s="3" t="s">
        <v>65</v>
      </c>
      <c r="M1365" s="2" t="s">
        <v>13773</v>
      </c>
      <c r="N1365" s="3" t="s">
        <v>67</v>
      </c>
      <c r="P1365" s="3" t="s">
        <v>102</v>
      </c>
      <c r="Q1365" s="2" t="s">
        <v>4886</v>
      </c>
      <c r="R1365" s="3" t="s">
        <v>70</v>
      </c>
      <c r="S1365" s="4">
        <v>1</v>
      </c>
      <c r="T1365" s="4">
        <v>1</v>
      </c>
      <c r="U1365" s="5" t="s">
        <v>13774</v>
      </c>
      <c r="V1365" s="5" t="s">
        <v>13774</v>
      </c>
      <c r="W1365" s="5" t="s">
        <v>72</v>
      </c>
      <c r="X1365" s="5" t="s">
        <v>72</v>
      </c>
      <c r="Y1365" s="4">
        <v>132</v>
      </c>
      <c r="Z1365" s="4">
        <v>9</v>
      </c>
      <c r="AA1365" s="4">
        <v>19</v>
      </c>
      <c r="AB1365" s="4">
        <v>1</v>
      </c>
      <c r="AC1365" s="4">
        <v>4</v>
      </c>
      <c r="AD1365" s="4">
        <v>54</v>
      </c>
      <c r="AE1365" s="4">
        <v>67</v>
      </c>
      <c r="AF1365" s="4">
        <v>0</v>
      </c>
      <c r="AG1365" s="4">
        <v>1</v>
      </c>
      <c r="AH1365" s="4">
        <v>47</v>
      </c>
      <c r="AI1365" s="4">
        <v>56</v>
      </c>
      <c r="AJ1365" s="4">
        <v>4</v>
      </c>
      <c r="AK1365" s="4">
        <v>11</v>
      </c>
      <c r="AL1365" s="4">
        <v>36</v>
      </c>
      <c r="AM1365" s="4">
        <v>39</v>
      </c>
      <c r="AN1365" s="4">
        <v>0</v>
      </c>
      <c r="AO1365" s="4">
        <v>0</v>
      </c>
      <c r="AP1365" s="4">
        <v>6</v>
      </c>
      <c r="AQ1365" s="4">
        <v>14</v>
      </c>
      <c r="AR1365" s="3" t="s">
        <v>64</v>
      </c>
      <c r="AS1365" s="3" t="s">
        <v>64</v>
      </c>
      <c r="AT1365" s="3" t="s">
        <v>64</v>
      </c>
      <c r="AV1365" s="6" t="str">
        <f>HYPERLINK("http://mcgill.on.worldcat.org/oclc/881655933","Catalog Record")</f>
        <v>Catalog Record</v>
      </c>
      <c r="AW1365" s="6" t="str">
        <f>HYPERLINK("http://www.worldcat.org/oclc/881655933","WorldCat Record")</f>
        <v>WorldCat Record</v>
      </c>
      <c r="AX1365" s="3" t="s">
        <v>13775</v>
      </c>
      <c r="AY1365" s="3" t="s">
        <v>13776</v>
      </c>
      <c r="AZ1365" s="3" t="s">
        <v>13777</v>
      </c>
      <c r="BA1365" s="3" t="s">
        <v>13777</v>
      </c>
      <c r="BB1365" s="3" t="s">
        <v>13778</v>
      </c>
      <c r="BC1365" s="3" t="s">
        <v>77</v>
      </c>
      <c r="BD1365" s="3" t="s">
        <v>78</v>
      </c>
      <c r="BE1365" s="3" t="s">
        <v>13779</v>
      </c>
      <c r="BF1365" s="3" t="s">
        <v>13778</v>
      </c>
      <c r="BG1365" s="3" t="s">
        <v>13780</v>
      </c>
      <c r="BH1365">
        <f t="shared" si="41"/>
        <v>0</v>
      </c>
    </row>
    <row r="1366" spans="1:60" ht="58" x14ac:dyDescent="0.35">
      <c r="A1366" s="2" t="s">
        <v>59</v>
      </c>
      <c r="B1366" s="2" t="s">
        <v>60</v>
      </c>
      <c r="C1366" s="2" t="s">
        <v>13781</v>
      </c>
      <c r="D1366" s="2" t="s">
        <v>13782</v>
      </c>
      <c r="E1366" s="2" t="s">
        <v>13783</v>
      </c>
      <c r="G1366" s="3" t="s">
        <v>64</v>
      </c>
      <c r="I1366" s="3" t="s">
        <v>64</v>
      </c>
      <c r="J1366" s="3" t="s">
        <v>64</v>
      </c>
      <c r="K1366" s="3" t="s">
        <v>65</v>
      </c>
      <c r="L1366" s="2" t="s">
        <v>13784</v>
      </c>
      <c r="M1366" s="2" t="s">
        <v>13785</v>
      </c>
      <c r="N1366" s="3" t="s">
        <v>171</v>
      </c>
      <c r="P1366" s="3" t="s">
        <v>102</v>
      </c>
      <c r="R1366" s="3" t="s">
        <v>70</v>
      </c>
      <c r="S1366" s="4">
        <v>7</v>
      </c>
      <c r="T1366" s="4">
        <v>7</v>
      </c>
      <c r="U1366" s="5" t="s">
        <v>7579</v>
      </c>
      <c r="V1366" s="5" t="s">
        <v>7579</v>
      </c>
      <c r="W1366" s="5" t="s">
        <v>72</v>
      </c>
      <c r="X1366" s="5" t="s">
        <v>72</v>
      </c>
      <c r="Y1366" s="4">
        <v>615</v>
      </c>
      <c r="Z1366" s="4">
        <v>25</v>
      </c>
      <c r="AA1366" s="4">
        <v>26</v>
      </c>
      <c r="AB1366" s="4">
        <v>1</v>
      </c>
      <c r="AC1366" s="4">
        <v>2</v>
      </c>
      <c r="AD1366" s="4">
        <v>95</v>
      </c>
      <c r="AE1366" s="4">
        <v>96</v>
      </c>
      <c r="AF1366" s="4">
        <v>0</v>
      </c>
      <c r="AG1366" s="4">
        <v>1</v>
      </c>
      <c r="AH1366" s="4">
        <v>85</v>
      </c>
      <c r="AI1366" s="4">
        <v>85</v>
      </c>
      <c r="AJ1366" s="4">
        <v>11</v>
      </c>
      <c r="AK1366" s="4">
        <v>12</v>
      </c>
      <c r="AL1366" s="4">
        <v>48</v>
      </c>
      <c r="AM1366" s="4">
        <v>48</v>
      </c>
      <c r="AN1366" s="4">
        <v>0</v>
      </c>
      <c r="AO1366" s="4">
        <v>0</v>
      </c>
      <c r="AP1366" s="4">
        <v>14</v>
      </c>
      <c r="AQ1366" s="4">
        <v>14</v>
      </c>
      <c r="AR1366" s="3" t="s">
        <v>64</v>
      </c>
      <c r="AS1366" s="3" t="s">
        <v>64</v>
      </c>
      <c r="AT1366" s="3" t="s">
        <v>64</v>
      </c>
      <c r="AV1366" s="6" t="str">
        <f>HYPERLINK("http://mcgill.on.worldcat.org/oclc/62697065","Catalog Record")</f>
        <v>Catalog Record</v>
      </c>
      <c r="AW1366" s="6" t="str">
        <f>HYPERLINK("http://www.worldcat.org/oclc/62697065","WorldCat Record")</f>
        <v>WorldCat Record</v>
      </c>
      <c r="AX1366" s="3" t="s">
        <v>13786</v>
      </c>
      <c r="AY1366" s="3" t="s">
        <v>13787</v>
      </c>
      <c r="AZ1366" s="3" t="s">
        <v>13788</v>
      </c>
      <c r="BA1366" s="3" t="s">
        <v>13788</v>
      </c>
      <c r="BB1366" s="3" t="s">
        <v>13789</v>
      </c>
      <c r="BC1366" s="3" t="s">
        <v>77</v>
      </c>
      <c r="BD1366" s="3" t="s">
        <v>78</v>
      </c>
      <c r="BE1366" s="3" t="s">
        <v>13790</v>
      </c>
      <c r="BF1366" s="3" t="s">
        <v>13789</v>
      </c>
      <c r="BG1366" s="3" t="s">
        <v>13791</v>
      </c>
      <c r="BH1366">
        <f t="shared" si="41"/>
        <v>0</v>
      </c>
    </row>
    <row r="1367" spans="1:60" ht="58" x14ac:dyDescent="0.35">
      <c r="A1367" s="2" t="s">
        <v>59</v>
      </c>
      <c r="B1367" s="2" t="s">
        <v>60</v>
      </c>
      <c r="C1367" s="2" t="s">
        <v>13792</v>
      </c>
      <c r="D1367" s="2" t="s">
        <v>13793</v>
      </c>
      <c r="E1367" s="2" t="s">
        <v>13794</v>
      </c>
      <c r="G1367" s="3" t="s">
        <v>64</v>
      </c>
      <c r="I1367" s="3" t="s">
        <v>64</v>
      </c>
      <c r="J1367" s="3" t="s">
        <v>64</v>
      </c>
      <c r="K1367" s="3" t="s">
        <v>65</v>
      </c>
      <c r="L1367" s="2" t="s">
        <v>13795</v>
      </c>
      <c r="M1367" s="2" t="s">
        <v>13796</v>
      </c>
      <c r="N1367" s="3" t="s">
        <v>3584</v>
      </c>
      <c r="P1367" s="3" t="s">
        <v>102</v>
      </c>
      <c r="R1367" s="3" t="s">
        <v>70</v>
      </c>
      <c r="S1367" s="4">
        <v>4</v>
      </c>
      <c r="T1367" s="4">
        <v>4</v>
      </c>
      <c r="U1367" s="5" t="s">
        <v>1702</v>
      </c>
      <c r="V1367" s="5" t="s">
        <v>1702</v>
      </c>
      <c r="W1367" s="5" t="s">
        <v>72</v>
      </c>
      <c r="X1367" s="5" t="s">
        <v>72</v>
      </c>
      <c r="Y1367" s="4">
        <v>472</v>
      </c>
      <c r="Z1367" s="4">
        <v>20</v>
      </c>
      <c r="AA1367" s="4">
        <v>22</v>
      </c>
      <c r="AB1367" s="4">
        <v>2</v>
      </c>
      <c r="AC1367" s="4">
        <v>3</v>
      </c>
      <c r="AD1367" s="4">
        <v>88</v>
      </c>
      <c r="AE1367" s="4">
        <v>89</v>
      </c>
      <c r="AF1367" s="4">
        <v>1</v>
      </c>
      <c r="AG1367" s="4">
        <v>2</v>
      </c>
      <c r="AH1367" s="4">
        <v>77</v>
      </c>
      <c r="AI1367" s="4">
        <v>77</v>
      </c>
      <c r="AJ1367" s="4">
        <v>12</v>
      </c>
      <c r="AK1367" s="4">
        <v>13</v>
      </c>
      <c r="AL1367" s="4">
        <v>43</v>
      </c>
      <c r="AM1367" s="4">
        <v>43</v>
      </c>
      <c r="AN1367" s="4">
        <v>0</v>
      </c>
      <c r="AO1367" s="4">
        <v>0</v>
      </c>
      <c r="AP1367" s="4">
        <v>13</v>
      </c>
      <c r="AQ1367" s="4">
        <v>13</v>
      </c>
      <c r="AR1367" s="3" t="s">
        <v>64</v>
      </c>
      <c r="AS1367" s="3" t="s">
        <v>64</v>
      </c>
      <c r="AT1367" s="3" t="s">
        <v>128</v>
      </c>
      <c r="AU1367" s="6" t="str">
        <f>HYPERLINK("http://catalog.hathitrust.org/Record/000250379","HathiTrust Record")</f>
        <v>HathiTrust Record</v>
      </c>
      <c r="AV1367" s="6" t="str">
        <f>HYPERLINK("http://mcgill.on.worldcat.org/oclc/2984228","Catalog Record")</f>
        <v>Catalog Record</v>
      </c>
      <c r="AW1367" s="6" t="str">
        <f>HYPERLINK("http://www.worldcat.org/oclc/2984228","WorldCat Record")</f>
        <v>WorldCat Record</v>
      </c>
      <c r="AX1367" s="3" t="s">
        <v>13797</v>
      </c>
      <c r="AY1367" s="3" t="s">
        <v>13798</v>
      </c>
      <c r="AZ1367" s="3" t="s">
        <v>13799</v>
      </c>
      <c r="BA1367" s="3" t="s">
        <v>13799</v>
      </c>
      <c r="BB1367" s="3" t="s">
        <v>13800</v>
      </c>
      <c r="BC1367" s="3" t="s">
        <v>77</v>
      </c>
      <c r="BD1367" s="3" t="s">
        <v>78</v>
      </c>
      <c r="BE1367" s="3" t="s">
        <v>13801</v>
      </c>
      <c r="BF1367" s="3" t="s">
        <v>13800</v>
      </c>
      <c r="BG1367" s="3" t="s">
        <v>13802</v>
      </c>
      <c r="BH1367">
        <f t="shared" si="41"/>
        <v>0</v>
      </c>
    </row>
    <row r="1368" spans="1:60" ht="58" x14ac:dyDescent="0.35">
      <c r="A1368" s="2" t="s">
        <v>59</v>
      </c>
      <c r="B1368" s="2" t="s">
        <v>60</v>
      </c>
      <c r="C1368" s="2" t="s">
        <v>13803</v>
      </c>
      <c r="D1368" s="2" t="s">
        <v>13804</v>
      </c>
      <c r="E1368" s="2" t="s">
        <v>13805</v>
      </c>
      <c r="G1368" s="3" t="s">
        <v>64</v>
      </c>
      <c r="I1368" s="3" t="s">
        <v>64</v>
      </c>
      <c r="J1368" s="3" t="s">
        <v>64</v>
      </c>
      <c r="K1368" s="3" t="s">
        <v>65</v>
      </c>
      <c r="M1368" s="2" t="s">
        <v>13806</v>
      </c>
      <c r="N1368" s="3" t="s">
        <v>1061</v>
      </c>
      <c r="P1368" s="3" t="s">
        <v>102</v>
      </c>
      <c r="Q1368" s="2" t="s">
        <v>13807</v>
      </c>
      <c r="R1368" s="3" t="s">
        <v>70</v>
      </c>
      <c r="S1368" s="4">
        <v>36</v>
      </c>
      <c r="T1368" s="4">
        <v>36</v>
      </c>
      <c r="U1368" s="5" t="s">
        <v>1702</v>
      </c>
      <c r="V1368" s="5" t="s">
        <v>1702</v>
      </c>
      <c r="W1368" s="5" t="s">
        <v>72</v>
      </c>
      <c r="X1368" s="5" t="s">
        <v>72</v>
      </c>
      <c r="Y1368" s="4">
        <v>923</v>
      </c>
      <c r="Z1368" s="4">
        <v>19</v>
      </c>
      <c r="AA1368" s="4">
        <v>19</v>
      </c>
      <c r="AB1368" s="4">
        <v>1</v>
      </c>
      <c r="AC1368" s="4">
        <v>1</v>
      </c>
      <c r="AD1368" s="4">
        <v>53</v>
      </c>
      <c r="AE1368" s="4">
        <v>53</v>
      </c>
      <c r="AF1368" s="4">
        <v>0</v>
      </c>
      <c r="AG1368" s="4">
        <v>0</v>
      </c>
      <c r="AH1368" s="4">
        <v>48</v>
      </c>
      <c r="AI1368" s="4">
        <v>48</v>
      </c>
      <c r="AJ1368" s="4">
        <v>5</v>
      </c>
      <c r="AK1368" s="4">
        <v>5</v>
      </c>
      <c r="AL1368" s="4">
        <v>25</v>
      </c>
      <c r="AM1368" s="4">
        <v>25</v>
      </c>
      <c r="AN1368" s="4">
        <v>0</v>
      </c>
      <c r="AO1368" s="4">
        <v>0</v>
      </c>
      <c r="AP1368" s="4">
        <v>6</v>
      </c>
      <c r="AQ1368" s="4">
        <v>6</v>
      </c>
      <c r="AR1368" s="3" t="s">
        <v>64</v>
      </c>
      <c r="AS1368" s="3" t="s">
        <v>64</v>
      </c>
      <c r="AT1368" s="3" t="s">
        <v>64</v>
      </c>
      <c r="AV1368" s="6" t="str">
        <f>HYPERLINK("http://mcgill.on.worldcat.org/oclc/12313728","Catalog Record")</f>
        <v>Catalog Record</v>
      </c>
      <c r="AW1368" s="6" t="str">
        <f>HYPERLINK("http://www.worldcat.org/oclc/12313728","WorldCat Record")</f>
        <v>WorldCat Record</v>
      </c>
      <c r="AX1368" s="3" t="s">
        <v>13808</v>
      </c>
      <c r="AY1368" s="3" t="s">
        <v>13809</v>
      </c>
      <c r="AZ1368" s="3" t="s">
        <v>13810</v>
      </c>
      <c r="BA1368" s="3" t="s">
        <v>13810</v>
      </c>
      <c r="BB1368" s="3" t="s">
        <v>13811</v>
      </c>
      <c r="BC1368" s="3" t="s">
        <v>77</v>
      </c>
      <c r="BD1368" s="3" t="s">
        <v>78</v>
      </c>
      <c r="BE1368" s="3" t="s">
        <v>13812</v>
      </c>
      <c r="BF1368" s="3" t="s">
        <v>13811</v>
      </c>
      <c r="BG1368" s="3" t="s">
        <v>13813</v>
      </c>
      <c r="BH1368">
        <f t="shared" si="41"/>
        <v>0</v>
      </c>
    </row>
    <row r="1369" spans="1:60" ht="58" x14ac:dyDescent="0.35">
      <c r="A1369" s="2" t="s">
        <v>59</v>
      </c>
      <c r="B1369" s="2" t="s">
        <v>60</v>
      </c>
      <c r="C1369" s="2" t="s">
        <v>13814</v>
      </c>
      <c r="D1369" s="2" t="s">
        <v>13815</v>
      </c>
      <c r="E1369" s="2" t="s">
        <v>13816</v>
      </c>
      <c r="G1369" s="3" t="s">
        <v>64</v>
      </c>
      <c r="I1369" s="3" t="s">
        <v>128</v>
      </c>
      <c r="J1369" s="3" t="s">
        <v>64</v>
      </c>
      <c r="K1369" s="3" t="s">
        <v>65</v>
      </c>
      <c r="L1369" s="2" t="s">
        <v>13817</v>
      </c>
      <c r="M1369" s="2" t="s">
        <v>13818</v>
      </c>
      <c r="N1369" s="3" t="s">
        <v>4167</v>
      </c>
      <c r="P1369" s="3" t="s">
        <v>102</v>
      </c>
      <c r="R1369" s="3" t="s">
        <v>70</v>
      </c>
      <c r="S1369" s="4">
        <v>4</v>
      </c>
      <c r="T1369" s="4">
        <v>6</v>
      </c>
      <c r="U1369" s="5" t="s">
        <v>13819</v>
      </c>
      <c r="V1369" s="5" t="s">
        <v>13820</v>
      </c>
      <c r="W1369" s="5" t="s">
        <v>72</v>
      </c>
      <c r="X1369" s="5" t="s">
        <v>72</v>
      </c>
      <c r="Y1369" s="4">
        <v>337</v>
      </c>
      <c r="Z1369" s="4">
        <v>17</v>
      </c>
      <c r="AA1369" s="4">
        <v>40</v>
      </c>
      <c r="AB1369" s="4">
        <v>1</v>
      </c>
      <c r="AC1369" s="4">
        <v>5</v>
      </c>
      <c r="AD1369" s="4">
        <v>91</v>
      </c>
      <c r="AE1369" s="4">
        <v>128</v>
      </c>
      <c r="AF1369" s="4">
        <v>0</v>
      </c>
      <c r="AG1369" s="4">
        <v>4</v>
      </c>
      <c r="AH1369" s="4">
        <v>80</v>
      </c>
      <c r="AI1369" s="4">
        <v>104</v>
      </c>
      <c r="AJ1369" s="4">
        <v>10</v>
      </c>
      <c r="AK1369" s="4">
        <v>21</v>
      </c>
      <c r="AL1369" s="4">
        <v>48</v>
      </c>
      <c r="AM1369" s="4">
        <v>59</v>
      </c>
      <c r="AN1369" s="4">
        <v>0</v>
      </c>
      <c r="AO1369" s="4">
        <v>3</v>
      </c>
      <c r="AP1369" s="4">
        <v>13</v>
      </c>
      <c r="AQ1369" s="4">
        <v>28</v>
      </c>
      <c r="AR1369" s="3" t="s">
        <v>64</v>
      </c>
      <c r="AS1369" s="3" t="s">
        <v>64</v>
      </c>
      <c r="AT1369" s="3" t="s">
        <v>64</v>
      </c>
      <c r="AV1369" s="6" t="str">
        <f>HYPERLINK("http://mcgill.on.worldcat.org/oclc/972798","Catalog Record")</f>
        <v>Catalog Record</v>
      </c>
      <c r="AW1369" s="6" t="str">
        <f>HYPERLINK("http://www.worldcat.org/oclc/972798","WorldCat Record")</f>
        <v>WorldCat Record</v>
      </c>
      <c r="AX1369" s="3" t="s">
        <v>13821</v>
      </c>
      <c r="AY1369" s="3" t="s">
        <v>13822</v>
      </c>
      <c r="AZ1369" s="3" t="s">
        <v>13823</v>
      </c>
      <c r="BA1369" s="3" t="s">
        <v>13823</v>
      </c>
      <c r="BB1369" s="3" t="s">
        <v>13824</v>
      </c>
      <c r="BC1369" s="3" t="s">
        <v>77</v>
      </c>
      <c r="BD1369" s="3" t="s">
        <v>78</v>
      </c>
      <c r="BF1369" s="3" t="s">
        <v>13824</v>
      </c>
      <c r="BG1369" s="3" t="s">
        <v>13825</v>
      </c>
      <c r="BH1369">
        <f t="shared" si="41"/>
        <v>0</v>
      </c>
    </row>
    <row r="1370" spans="1:60" ht="72.5" x14ac:dyDescent="0.35">
      <c r="A1370" s="2" t="s">
        <v>59</v>
      </c>
      <c r="B1370" s="2" t="s">
        <v>60</v>
      </c>
      <c r="C1370" s="2" t="s">
        <v>13826</v>
      </c>
      <c r="D1370" s="2" t="s">
        <v>13827</v>
      </c>
      <c r="E1370" s="2" t="s">
        <v>13828</v>
      </c>
      <c r="G1370" s="3" t="s">
        <v>64</v>
      </c>
      <c r="I1370" s="3" t="s">
        <v>64</v>
      </c>
      <c r="J1370" s="3" t="s">
        <v>64</v>
      </c>
      <c r="K1370" s="3" t="s">
        <v>65</v>
      </c>
      <c r="L1370" s="2" t="s">
        <v>13829</v>
      </c>
      <c r="M1370" s="2" t="s">
        <v>13830</v>
      </c>
      <c r="N1370" s="3" t="s">
        <v>537</v>
      </c>
      <c r="O1370" s="2" t="s">
        <v>13831</v>
      </c>
      <c r="P1370" s="3" t="s">
        <v>102</v>
      </c>
      <c r="R1370" s="3" t="s">
        <v>70</v>
      </c>
      <c r="S1370" s="4">
        <v>10</v>
      </c>
      <c r="T1370" s="4">
        <v>10</v>
      </c>
      <c r="U1370" s="5" t="s">
        <v>7591</v>
      </c>
      <c r="V1370" s="5" t="s">
        <v>7591</v>
      </c>
      <c r="W1370" s="5" t="s">
        <v>72</v>
      </c>
      <c r="X1370" s="5" t="s">
        <v>72</v>
      </c>
      <c r="Y1370" s="4">
        <v>1914</v>
      </c>
      <c r="Z1370" s="4">
        <v>35</v>
      </c>
      <c r="AA1370" s="4">
        <v>54</v>
      </c>
      <c r="AB1370" s="4">
        <v>3</v>
      </c>
      <c r="AC1370" s="4">
        <v>7</v>
      </c>
      <c r="AD1370" s="4">
        <v>84</v>
      </c>
      <c r="AE1370" s="4">
        <v>97</v>
      </c>
      <c r="AF1370" s="4">
        <v>0</v>
      </c>
      <c r="AG1370" s="4">
        <v>0</v>
      </c>
      <c r="AH1370" s="4">
        <v>78</v>
      </c>
      <c r="AI1370" s="4">
        <v>86</v>
      </c>
      <c r="AJ1370" s="4">
        <v>6</v>
      </c>
      <c r="AK1370" s="4">
        <v>10</v>
      </c>
      <c r="AL1370" s="4">
        <v>45</v>
      </c>
      <c r="AM1370" s="4">
        <v>51</v>
      </c>
      <c r="AN1370" s="4">
        <v>0</v>
      </c>
      <c r="AO1370" s="4">
        <v>0</v>
      </c>
      <c r="AP1370" s="4">
        <v>9</v>
      </c>
      <c r="AQ1370" s="4">
        <v>15</v>
      </c>
      <c r="AR1370" s="3" t="s">
        <v>64</v>
      </c>
      <c r="AS1370" s="3" t="s">
        <v>64</v>
      </c>
      <c r="AT1370" s="3" t="s">
        <v>64</v>
      </c>
      <c r="AV1370" s="6" t="str">
        <f>HYPERLINK("http://mcgill.on.worldcat.org/oclc/913303671","Catalog Record")</f>
        <v>Catalog Record</v>
      </c>
      <c r="AW1370" s="6" t="str">
        <f>HYPERLINK("http://www.worldcat.org/oclc/913303671","WorldCat Record")</f>
        <v>WorldCat Record</v>
      </c>
      <c r="AX1370" s="3" t="s">
        <v>13832</v>
      </c>
      <c r="AY1370" s="3" t="s">
        <v>13833</v>
      </c>
      <c r="AZ1370" s="3" t="s">
        <v>13834</v>
      </c>
      <c r="BA1370" s="3" t="s">
        <v>13834</v>
      </c>
      <c r="BB1370" s="3" t="s">
        <v>13835</v>
      </c>
      <c r="BC1370" s="3" t="s">
        <v>77</v>
      </c>
      <c r="BD1370" s="3" t="s">
        <v>78</v>
      </c>
      <c r="BE1370" s="3" t="s">
        <v>13836</v>
      </c>
      <c r="BF1370" s="3" t="s">
        <v>13835</v>
      </c>
      <c r="BG1370" s="3" t="s">
        <v>13837</v>
      </c>
      <c r="BH1370">
        <f t="shared" si="41"/>
        <v>0</v>
      </c>
    </row>
    <row r="1371" spans="1:60" ht="58" x14ac:dyDescent="0.35">
      <c r="A1371" s="2" t="s">
        <v>59</v>
      </c>
      <c r="B1371" s="2" t="s">
        <v>60</v>
      </c>
      <c r="C1371" s="2" t="s">
        <v>13838</v>
      </c>
      <c r="D1371" s="2" t="s">
        <v>13839</v>
      </c>
      <c r="E1371" s="2" t="s">
        <v>13840</v>
      </c>
      <c r="G1371" s="3" t="s">
        <v>64</v>
      </c>
      <c r="I1371" s="3" t="s">
        <v>64</v>
      </c>
      <c r="J1371" s="3" t="s">
        <v>64</v>
      </c>
      <c r="K1371" s="3" t="s">
        <v>65</v>
      </c>
      <c r="M1371" s="2" t="s">
        <v>13841</v>
      </c>
      <c r="N1371" s="3" t="s">
        <v>1075</v>
      </c>
      <c r="P1371" s="3" t="s">
        <v>944</v>
      </c>
      <c r="R1371" s="3" t="s">
        <v>70</v>
      </c>
      <c r="S1371" s="4">
        <v>0</v>
      </c>
      <c r="T1371" s="4">
        <v>0</v>
      </c>
      <c r="W1371" s="5" t="s">
        <v>72</v>
      </c>
      <c r="X1371" s="5" t="s">
        <v>72</v>
      </c>
      <c r="Y1371" s="4">
        <v>70</v>
      </c>
      <c r="Z1371" s="4">
        <v>1</v>
      </c>
      <c r="AA1371" s="4">
        <v>1</v>
      </c>
      <c r="AB1371" s="4">
        <v>1</v>
      </c>
      <c r="AC1371" s="4">
        <v>1</v>
      </c>
      <c r="AD1371" s="4">
        <v>0</v>
      </c>
      <c r="AE1371" s="4">
        <v>0</v>
      </c>
      <c r="AF1371" s="4">
        <v>0</v>
      </c>
      <c r="AG1371" s="4">
        <v>0</v>
      </c>
      <c r="AH1371" s="4">
        <v>0</v>
      </c>
      <c r="AI1371" s="4">
        <v>0</v>
      </c>
      <c r="AJ1371" s="4">
        <v>0</v>
      </c>
      <c r="AK1371" s="4">
        <v>0</v>
      </c>
      <c r="AL1371" s="4">
        <v>0</v>
      </c>
      <c r="AM1371" s="4">
        <v>0</v>
      </c>
      <c r="AN1371" s="4">
        <v>0</v>
      </c>
      <c r="AO1371" s="4">
        <v>0</v>
      </c>
      <c r="AP1371" s="4">
        <v>0</v>
      </c>
      <c r="AQ1371" s="4">
        <v>0</v>
      </c>
      <c r="AR1371" s="3" t="s">
        <v>64</v>
      </c>
      <c r="AS1371" s="3" t="s">
        <v>64</v>
      </c>
      <c r="AT1371" s="3" t="s">
        <v>64</v>
      </c>
      <c r="AV1371" s="6" t="str">
        <f>HYPERLINK("http://mcgill.on.worldcat.org/oclc/861740137","Catalog Record")</f>
        <v>Catalog Record</v>
      </c>
      <c r="AW1371" s="6" t="str">
        <f>HYPERLINK("http://www.worldcat.org/oclc/861740137","WorldCat Record")</f>
        <v>WorldCat Record</v>
      </c>
      <c r="AX1371" s="3" t="s">
        <v>13842</v>
      </c>
      <c r="AY1371" s="3" t="s">
        <v>13843</v>
      </c>
      <c r="AZ1371" s="3" t="s">
        <v>13844</v>
      </c>
      <c r="BA1371" s="3" t="s">
        <v>13844</v>
      </c>
      <c r="BB1371" s="3" t="s">
        <v>13845</v>
      </c>
      <c r="BC1371" s="3" t="s">
        <v>77</v>
      </c>
      <c r="BD1371" s="3" t="s">
        <v>78</v>
      </c>
      <c r="BE1371" s="3" t="s">
        <v>13846</v>
      </c>
      <c r="BF1371" s="3" t="s">
        <v>13845</v>
      </c>
      <c r="BG1371" s="3" t="s">
        <v>13847</v>
      </c>
      <c r="BH1371">
        <f t="shared" si="41"/>
        <v>0</v>
      </c>
    </row>
    <row r="1372" spans="1:60" ht="58" x14ac:dyDescent="0.35">
      <c r="A1372" s="2" t="s">
        <v>59</v>
      </c>
      <c r="B1372" s="2" t="s">
        <v>60</v>
      </c>
      <c r="C1372" s="2" t="s">
        <v>13848</v>
      </c>
      <c r="D1372" s="2" t="s">
        <v>13849</v>
      </c>
      <c r="E1372" s="2" t="s">
        <v>13850</v>
      </c>
      <c r="G1372" s="3" t="s">
        <v>64</v>
      </c>
      <c r="I1372" s="3" t="s">
        <v>64</v>
      </c>
      <c r="J1372" s="3" t="s">
        <v>64</v>
      </c>
      <c r="K1372" s="3" t="s">
        <v>65</v>
      </c>
      <c r="L1372" s="2" t="s">
        <v>13851</v>
      </c>
      <c r="M1372" s="2" t="s">
        <v>13852</v>
      </c>
      <c r="N1372" s="3" t="s">
        <v>1075</v>
      </c>
      <c r="O1372" s="2" t="s">
        <v>2149</v>
      </c>
      <c r="P1372" s="3" t="s">
        <v>102</v>
      </c>
      <c r="Q1372" s="2" t="s">
        <v>13853</v>
      </c>
      <c r="R1372" s="3" t="s">
        <v>70</v>
      </c>
      <c r="S1372" s="4">
        <v>3</v>
      </c>
      <c r="T1372" s="4">
        <v>3</v>
      </c>
      <c r="U1372" s="5" t="s">
        <v>13854</v>
      </c>
      <c r="V1372" s="5" t="s">
        <v>13854</v>
      </c>
      <c r="W1372" s="5" t="s">
        <v>72</v>
      </c>
      <c r="X1372" s="5" t="s">
        <v>72</v>
      </c>
      <c r="Y1372" s="4">
        <v>148</v>
      </c>
      <c r="Z1372" s="4">
        <v>72</v>
      </c>
      <c r="AA1372" s="4">
        <v>133</v>
      </c>
      <c r="AB1372" s="4">
        <v>4</v>
      </c>
      <c r="AC1372" s="4">
        <v>17</v>
      </c>
      <c r="AD1372" s="4">
        <v>59</v>
      </c>
      <c r="AE1372" s="4">
        <v>128</v>
      </c>
      <c r="AF1372" s="4">
        <v>2</v>
      </c>
      <c r="AG1372" s="4">
        <v>8</v>
      </c>
      <c r="AH1372" s="4">
        <v>38</v>
      </c>
      <c r="AI1372" s="4">
        <v>81</v>
      </c>
      <c r="AJ1372" s="4">
        <v>18</v>
      </c>
      <c r="AK1372" s="4">
        <v>27</v>
      </c>
      <c r="AL1372" s="4">
        <v>20</v>
      </c>
      <c r="AM1372" s="4">
        <v>42</v>
      </c>
      <c r="AN1372" s="4">
        <v>0</v>
      </c>
      <c r="AO1372" s="4">
        <v>0</v>
      </c>
      <c r="AP1372" s="4">
        <v>31</v>
      </c>
      <c r="AQ1372" s="4">
        <v>55</v>
      </c>
      <c r="AR1372" s="3" t="s">
        <v>128</v>
      </c>
      <c r="AS1372" s="3" t="s">
        <v>64</v>
      </c>
      <c r="AT1372" s="3" t="s">
        <v>64</v>
      </c>
      <c r="AV1372" s="6" t="str">
        <f>HYPERLINK("http://mcgill.on.worldcat.org/oclc/818451019","Catalog Record")</f>
        <v>Catalog Record</v>
      </c>
      <c r="AW1372" s="6" t="str">
        <f>HYPERLINK("http://www.worldcat.org/oclc/818451019","WorldCat Record")</f>
        <v>WorldCat Record</v>
      </c>
      <c r="AX1372" s="3" t="s">
        <v>13855</v>
      </c>
      <c r="AY1372" s="3" t="s">
        <v>13856</v>
      </c>
      <c r="AZ1372" s="3" t="s">
        <v>13857</v>
      </c>
      <c r="BA1372" s="3" t="s">
        <v>13857</v>
      </c>
      <c r="BB1372" s="3" t="s">
        <v>13858</v>
      </c>
      <c r="BC1372" s="3" t="s">
        <v>77</v>
      </c>
      <c r="BD1372" s="3" t="s">
        <v>78</v>
      </c>
      <c r="BE1372" s="3" t="s">
        <v>13859</v>
      </c>
      <c r="BF1372" s="3" t="s">
        <v>13858</v>
      </c>
      <c r="BG1372" s="3" t="s">
        <v>13860</v>
      </c>
      <c r="BH1372">
        <f t="shared" si="41"/>
        <v>0</v>
      </c>
    </row>
    <row r="1373" spans="1:60" ht="58" x14ac:dyDescent="0.35">
      <c r="A1373" s="2" t="s">
        <v>59</v>
      </c>
      <c r="B1373" s="2" t="s">
        <v>60</v>
      </c>
      <c r="C1373" s="2" t="s">
        <v>13861</v>
      </c>
      <c r="D1373" s="2" t="s">
        <v>13862</v>
      </c>
      <c r="E1373" s="2" t="s">
        <v>13863</v>
      </c>
      <c r="G1373" s="3" t="s">
        <v>64</v>
      </c>
      <c r="I1373" s="3" t="s">
        <v>64</v>
      </c>
      <c r="J1373" s="3" t="s">
        <v>64</v>
      </c>
      <c r="K1373" s="3" t="s">
        <v>65</v>
      </c>
      <c r="L1373" s="2" t="s">
        <v>13864</v>
      </c>
      <c r="M1373" s="2" t="s">
        <v>13865</v>
      </c>
      <c r="N1373" s="3" t="s">
        <v>171</v>
      </c>
      <c r="P1373" s="3" t="s">
        <v>102</v>
      </c>
      <c r="R1373" s="3" t="s">
        <v>70</v>
      </c>
      <c r="S1373" s="4">
        <v>11</v>
      </c>
      <c r="T1373" s="4">
        <v>11</v>
      </c>
      <c r="U1373" s="5" t="s">
        <v>13774</v>
      </c>
      <c r="V1373" s="5" t="s">
        <v>13774</v>
      </c>
      <c r="W1373" s="5" t="s">
        <v>72</v>
      </c>
      <c r="X1373" s="5" t="s">
        <v>72</v>
      </c>
      <c r="Y1373" s="4">
        <v>705</v>
      </c>
      <c r="Z1373" s="4">
        <v>41</v>
      </c>
      <c r="AA1373" s="4">
        <v>67</v>
      </c>
      <c r="AB1373" s="4">
        <v>3</v>
      </c>
      <c r="AC1373" s="4">
        <v>9</v>
      </c>
      <c r="AD1373" s="4">
        <v>114</v>
      </c>
      <c r="AE1373" s="4">
        <v>117</v>
      </c>
      <c r="AF1373" s="4">
        <v>1</v>
      </c>
      <c r="AG1373" s="4">
        <v>3</v>
      </c>
      <c r="AH1373" s="4">
        <v>97</v>
      </c>
      <c r="AI1373" s="4">
        <v>98</v>
      </c>
      <c r="AJ1373" s="4">
        <v>16</v>
      </c>
      <c r="AK1373" s="4">
        <v>18</v>
      </c>
      <c r="AL1373" s="4">
        <v>51</v>
      </c>
      <c r="AM1373" s="4">
        <v>51</v>
      </c>
      <c r="AN1373" s="4">
        <v>0</v>
      </c>
      <c r="AO1373" s="4">
        <v>0</v>
      </c>
      <c r="AP1373" s="4">
        <v>25</v>
      </c>
      <c r="AQ1373" s="4">
        <v>27</v>
      </c>
      <c r="AR1373" s="3" t="s">
        <v>64</v>
      </c>
      <c r="AS1373" s="3" t="s">
        <v>64</v>
      </c>
      <c r="AT1373" s="3" t="s">
        <v>64</v>
      </c>
      <c r="AV1373" s="6" t="str">
        <f>HYPERLINK("http://mcgill.on.worldcat.org/oclc/63703782","Catalog Record")</f>
        <v>Catalog Record</v>
      </c>
      <c r="AW1373" s="6" t="str">
        <f>HYPERLINK("http://www.worldcat.org/oclc/63703782","WorldCat Record")</f>
        <v>WorldCat Record</v>
      </c>
      <c r="AX1373" s="3" t="s">
        <v>13866</v>
      </c>
      <c r="AY1373" s="3" t="s">
        <v>13867</v>
      </c>
      <c r="AZ1373" s="3" t="s">
        <v>13868</v>
      </c>
      <c r="BA1373" s="3" t="s">
        <v>13868</v>
      </c>
      <c r="BB1373" s="3" t="s">
        <v>13869</v>
      </c>
      <c r="BC1373" s="3" t="s">
        <v>77</v>
      </c>
      <c r="BD1373" s="3" t="s">
        <v>78</v>
      </c>
      <c r="BE1373" s="3" t="s">
        <v>13870</v>
      </c>
      <c r="BF1373" s="3" t="s">
        <v>13869</v>
      </c>
      <c r="BG1373" s="3" t="s">
        <v>13871</v>
      </c>
      <c r="BH1373">
        <f t="shared" si="41"/>
        <v>0</v>
      </c>
    </row>
    <row r="1374" spans="1:60" ht="58" x14ac:dyDescent="0.35">
      <c r="A1374" s="2" t="s">
        <v>59</v>
      </c>
      <c r="B1374" s="2" t="s">
        <v>60</v>
      </c>
      <c r="C1374" s="2" t="s">
        <v>13872</v>
      </c>
      <c r="D1374" s="2" t="s">
        <v>13873</v>
      </c>
      <c r="E1374" s="2" t="s">
        <v>13874</v>
      </c>
      <c r="G1374" s="3" t="s">
        <v>64</v>
      </c>
      <c r="I1374" s="3" t="s">
        <v>64</v>
      </c>
      <c r="J1374" s="3" t="s">
        <v>64</v>
      </c>
      <c r="K1374" s="3" t="s">
        <v>65</v>
      </c>
      <c r="L1374" s="2" t="s">
        <v>13875</v>
      </c>
      <c r="M1374" s="2" t="s">
        <v>7119</v>
      </c>
      <c r="N1374" s="3" t="s">
        <v>253</v>
      </c>
      <c r="P1374" s="3" t="s">
        <v>102</v>
      </c>
      <c r="R1374" s="3" t="s">
        <v>70</v>
      </c>
      <c r="S1374" s="4">
        <v>3</v>
      </c>
      <c r="T1374" s="4">
        <v>3</v>
      </c>
      <c r="U1374" s="5" t="s">
        <v>13876</v>
      </c>
      <c r="V1374" s="5" t="s">
        <v>13876</v>
      </c>
      <c r="W1374" s="5" t="s">
        <v>72</v>
      </c>
      <c r="X1374" s="5" t="s">
        <v>72</v>
      </c>
      <c r="Y1374" s="4">
        <v>145</v>
      </c>
      <c r="Z1374" s="4">
        <v>2</v>
      </c>
      <c r="AA1374" s="4">
        <v>26</v>
      </c>
      <c r="AB1374" s="4">
        <v>1</v>
      </c>
      <c r="AC1374" s="4">
        <v>2</v>
      </c>
      <c r="AD1374" s="4">
        <v>5</v>
      </c>
      <c r="AE1374" s="4">
        <v>67</v>
      </c>
      <c r="AF1374" s="4">
        <v>0</v>
      </c>
      <c r="AG1374" s="4">
        <v>1</v>
      </c>
      <c r="AH1374" s="4">
        <v>5</v>
      </c>
      <c r="AI1374" s="4">
        <v>58</v>
      </c>
      <c r="AJ1374" s="4">
        <v>1</v>
      </c>
      <c r="AK1374" s="4">
        <v>10</v>
      </c>
      <c r="AL1374" s="4">
        <v>3</v>
      </c>
      <c r="AM1374" s="4">
        <v>40</v>
      </c>
      <c r="AN1374" s="4">
        <v>0</v>
      </c>
      <c r="AO1374" s="4">
        <v>0</v>
      </c>
      <c r="AP1374" s="4">
        <v>1</v>
      </c>
      <c r="AQ1374" s="4">
        <v>13</v>
      </c>
      <c r="AR1374" s="3" t="s">
        <v>64</v>
      </c>
      <c r="AS1374" s="3" t="s">
        <v>64</v>
      </c>
      <c r="AT1374" s="3" t="s">
        <v>64</v>
      </c>
      <c r="AV1374" s="6" t="str">
        <f>HYPERLINK("http://mcgill.on.worldcat.org/oclc/904541619","Catalog Record")</f>
        <v>Catalog Record</v>
      </c>
      <c r="AW1374" s="6" t="str">
        <f>HYPERLINK("http://www.worldcat.org/oclc/904541619","WorldCat Record")</f>
        <v>WorldCat Record</v>
      </c>
      <c r="AX1374" s="3" t="s">
        <v>13877</v>
      </c>
      <c r="AY1374" s="3" t="s">
        <v>13878</v>
      </c>
      <c r="AZ1374" s="3" t="s">
        <v>13879</v>
      </c>
      <c r="BA1374" s="3" t="s">
        <v>13879</v>
      </c>
      <c r="BB1374" s="3" t="s">
        <v>13880</v>
      </c>
      <c r="BC1374" s="3" t="s">
        <v>77</v>
      </c>
      <c r="BD1374" s="3" t="s">
        <v>78</v>
      </c>
      <c r="BE1374" s="3" t="s">
        <v>13881</v>
      </c>
      <c r="BF1374" s="3" t="s">
        <v>13880</v>
      </c>
      <c r="BG1374" s="3" t="s">
        <v>13882</v>
      </c>
      <c r="BH1374">
        <f t="shared" si="41"/>
        <v>0</v>
      </c>
    </row>
    <row r="1375" spans="1:60" ht="58" x14ac:dyDescent="0.35">
      <c r="A1375" s="2" t="s">
        <v>59</v>
      </c>
      <c r="B1375" s="2" t="s">
        <v>60</v>
      </c>
      <c r="C1375" s="2" t="s">
        <v>13883</v>
      </c>
      <c r="D1375" s="2" t="s">
        <v>13884</v>
      </c>
      <c r="E1375" s="2" t="s">
        <v>13885</v>
      </c>
      <c r="G1375" s="3" t="s">
        <v>64</v>
      </c>
      <c r="I1375" s="3" t="s">
        <v>64</v>
      </c>
      <c r="J1375" s="3" t="s">
        <v>64</v>
      </c>
      <c r="K1375" s="3" t="s">
        <v>65</v>
      </c>
      <c r="L1375" s="2" t="s">
        <v>13886</v>
      </c>
      <c r="M1375" s="2" t="s">
        <v>13887</v>
      </c>
      <c r="N1375" s="3" t="s">
        <v>1061</v>
      </c>
      <c r="P1375" s="3" t="s">
        <v>102</v>
      </c>
      <c r="Q1375" s="2" t="s">
        <v>13888</v>
      </c>
      <c r="R1375" s="3" t="s">
        <v>70</v>
      </c>
      <c r="S1375" s="4">
        <v>2</v>
      </c>
      <c r="T1375" s="4">
        <v>2</v>
      </c>
      <c r="U1375" s="5" t="s">
        <v>13889</v>
      </c>
      <c r="V1375" s="5" t="s">
        <v>13889</v>
      </c>
      <c r="W1375" s="5" t="s">
        <v>72</v>
      </c>
      <c r="X1375" s="5" t="s">
        <v>72</v>
      </c>
      <c r="Y1375" s="4">
        <v>28</v>
      </c>
      <c r="Z1375" s="4">
        <v>4</v>
      </c>
      <c r="AA1375" s="4">
        <v>6</v>
      </c>
      <c r="AB1375" s="4">
        <v>1</v>
      </c>
      <c r="AC1375" s="4">
        <v>3</v>
      </c>
      <c r="AD1375" s="4">
        <v>18</v>
      </c>
      <c r="AE1375" s="4">
        <v>20</v>
      </c>
      <c r="AF1375" s="4">
        <v>0</v>
      </c>
      <c r="AG1375" s="4">
        <v>2</v>
      </c>
      <c r="AH1375" s="4">
        <v>17</v>
      </c>
      <c r="AI1375" s="4">
        <v>18</v>
      </c>
      <c r="AJ1375" s="4">
        <v>2</v>
      </c>
      <c r="AK1375" s="4">
        <v>4</v>
      </c>
      <c r="AL1375" s="4">
        <v>12</v>
      </c>
      <c r="AM1375" s="4">
        <v>12</v>
      </c>
      <c r="AN1375" s="4">
        <v>0</v>
      </c>
      <c r="AO1375" s="4">
        <v>0</v>
      </c>
      <c r="AP1375" s="4">
        <v>1</v>
      </c>
      <c r="AQ1375" s="4">
        <v>2</v>
      </c>
      <c r="AR1375" s="3" t="s">
        <v>64</v>
      </c>
      <c r="AS1375" s="3" t="s">
        <v>64</v>
      </c>
      <c r="AT1375" s="3" t="s">
        <v>64</v>
      </c>
      <c r="AV1375" s="6" t="str">
        <f>HYPERLINK("http://mcgill.on.worldcat.org/oclc/12944363","Catalog Record")</f>
        <v>Catalog Record</v>
      </c>
      <c r="AW1375" s="6" t="str">
        <f>HYPERLINK("http://www.worldcat.org/oclc/12944363","WorldCat Record")</f>
        <v>WorldCat Record</v>
      </c>
      <c r="AX1375" s="3" t="s">
        <v>13890</v>
      </c>
      <c r="AY1375" s="3" t="s">
        <v>13891</v>
      </c>
      <c r="AZ1375" s="3" t="s">
        <v>13892</v>
      </c>
      <c r="BA1375" s="3" t="s">
        <v>13892</v>
      </c>
      <c r="BB1375" s="3" t="s">
        <v>13893</v>
      </c>
      <c r="BC1375" s="3" t="s">
        <v>77</v>
      </c>
      <c r="BD1375" s="3" t="s">
        <v>78</v>
      </c>
      <c r="BF1375" s="3" t="s">
        <v>13893</v>
      </c>
      <c r="BG1375" s="3" t="s">
        <v>13894</v>
      </c>
      <c r="BH1375">
        <f t="shared" si="41"/>
        <v>0</v>
      </c>
    </row>
    <row r="1376" spans="1:60" ht="58" x14ac:dyDescent="0.35">
      <c r="A1376" s="2" t="s">
        <v>59</v>
      </c>
      <c r="B1376" s="2" t="s">
        <v>60</v>
      </c>
      <c r="C1376" s="2" t="s">
        <v>13895</v>
      </c>
      <c r="D1376" s="2" t="s">
        <v>13896</v>
      </c>
      <c r="E1376" s="2" t="s">
        <v>13897</v>
      </c>
      <c r="G1376" s="3" t="s">
        <v>64</v>
      </c>
      <c r="I1376" s="3" t="s">
        <v>64</v>
      </c>
      <c r="J1376" s="3" t="s">
        <v>64</v>
      </c>
      <c r="K1376" s="3" t="s">
        <v>65</v>
      </c>
      <c r="L1376" s="2" t="s">
        <v>13898</v>
      </c>
      <c r="M1376" s="2" t="s">
        <v>13899</v>
      </c>
      <c r="N1376" s="3" t="s">
        <v>5262</v>
      </c>
      <c r="P1376" s="3" t="s">
        <v>102</v>
      </c>
      <c r="R1376" s="3" t="s">
        <v>70</v>
      </c>
      <c r="S1376" s="4">
        <v>3</v>
      </c>
      <c r="T1376" s="4">
        <v>3</v>
      </c>
      <c r="U1376" s="5" t="s">
        <v>13889</v>
      </c>
      <c r="V1376" s="5" t="s">
        <v>13889</v>
      </c>
      <c r="W1376" s="5" t="s">
        <v>72</v>
      </c>
      <c r="X1376" s="5" t="s">
        <v>72</v>
      </c>
      <c r="Y1376" s="4">
        <v>609</v>
      </c>
      <c r="Z1376" s="4">
        <v>30</v>
      </c>
      <c r="AA1376" s="4">
        <v>32</v>
      </c>
      <c r="AB1376" s="4">
        <v>2</v>
      </c>
      <c r="AC1376" s="4">
        <v>4</v>
      </c>
      <c r="AD1376" s="4">
        <v>114</v>
      </c>
      <c r="AE1376" s="4">
        <v>116</v>
      </c>
      <c r="AF1376" s="4">
        <v>1</v>
      </c>
      <c r="AG1376" s="4">
        <v>2</v>
      </c>
      <c r="AH1376" s="4">
        <v>96</v>
      </c>
      <c r="AI1376" s="4">
        <v>98</v>
      </c>
      <c r="AJ1376" s="4">
        <v>16</v>
      </c>
      <c r="AK1376" s="4">
        <v>17</v>
      </c>
      <c r="AL1376" s="4">
        <v>55</v>
      </c>
      <c r="AM1376" s="4">
        <v>55</v>
      </c>
      <c r="AN1376" s="4">
        <v>0</v>
      </c>
      <c r="AO1376" s="4">
        <v>0</v>
      </c>
      <c r="AP1376" s="4">
        <v>22</v>
      </c>
      <c r="AQ1376" s="4">
        <v>23</v>
      </c>
      <c r="AR1376" s="3" t="s">
        <v>64</v>
      </c>
      <c r="AS1376" s="3" t="s">
        <v>128</v>
      </c>
      <c r="AT1376" s="3" t="s">
        <v>64</v>
      </c>
      <c r="AU1376" s="6" t="str">
        <f>HYPERLINK("http://catalog.hathitrust.org/Record/001107340","HathiTrust Record")</f>
        <v>HathiTrust Record</v>
      </c>
      <c r="AV1376" s="6" t="str">
        <f>HYPERLINK("http://mcgill.on.worldcat.org/oclc/574413","Catalog Record")</f>
        <v>Catalog Record</v>
      </c>
      <c r="AW1376" s="6" t="str">
        <f>HYPERLINK("http://www.worldcat.org/oclc/574413","WorldCat Record")</f>
        <v>WorldCat Record</v>
      </c>
      <c r="AX1376" s="3" t="s">
        <v>13900</v>
      </c>
      <c r="AY1376" s="3" t="s">
        <v>13901</v>
      </c>
      <c r="AZ1376" s="3" t="s">
        <v>13902</v>
      </c>
      <c r="BA1376" s="3" t="s">
        <v>13902</v>
      </c>
      <c r="BB1376" s="3" t="s">
        <v>13903</v>
      </c>
      <c r="BC1376" s="3" t="s">
        <v>77</v>
      </c>
      <c r="BD1376" s="3" t="s">
        <v>78</v>
      </c>
      <c r="BF1376" s="3" t="s">
        <v>13903</v>
      </c>
      <c r="BG1376" s="3" t="s">
        <v>13904</v>
      </c>
      <c r="BH1376">
        <f t="shared" si="41"/>
        <v>0</v>
      </c>
    </row>
    <row r="1377" spans="1:60" ht="58" x14ac:dyDescent="0.35">
      <c r="A1377" s="2" t="s">
        <v>59</v>
      </c>
      <c r="B1377" s="2" t="s">
        <v>60</v>
      </c>
      <c r="C1377" s="2" t="s">
        <v>13905</v>
      </c>
      <c r="D1377" s="2" t="s">
        <v>13906</v>
      </c>
      <c r="E1377" s="2" t="s">
        <v>13907</v>
      </c>
      <c r="G1377" s="3" t="s">
        <v>64</v>
      </c>
      <c r="I1377" s="3" t="s">
        <v>64</v>
      </c>
      <c r="J1377" s="3" t="s">
        <v>64</v>
      </c>
      <c r="K1377" s="3" t="s">
        <v>65</v>
      </c>
      <c r="L1377" s="2" t="s">
        <v>13908</v>
      </c>
      <c r="M1377" s="2" t="s">
        <v>13909</v>
      </c>
      <c r="N1377" s="3" t="s">
        <v>326</v>
      </c>
      <c r="P1377" s="3" t="s">
        <v>365</v>
      </c>
      <c r="Q1377" s="2" t="s">
        <v>13910</v>
      </c>
      <c r="R1377" s="3" t="s">
        <v>70</v>
      </c>
      <c r="S1377" s="4">
        <v>0</v>
      </c>
      <c r="T1377" s="4">
        <v>0</v>
      </c>
      <c r="W1377" s="5" t="s">
        <v>72</v>
      </c>
      <c r="X1377" s="5" t="s">
        <v>72</v>
      </c>
      <c r="Y1377" s="4">
        <v>2</v>
      </c>
      <c r="Z1377" s="4">
        <v>1</v>
      </c>
      <c r="AA1377" s="4">
        <v>1</v>
      </c>
      <c r="AB1377" s="4">
        <v>1</v>
      </c>
      <c r="AC1377" s="4">
        <v>1</v>
      </c>
      <c r="AD1377" s="4">
        <v>0</v>
      </c>
      <c r="AE1377" s="4">
        <v>0</v>
      </c>
      <c r="AF1377" s="4">
        <v>0</v>
      </c>
      <c r="AG1377" s="4">
        <v>0</v>
      </c>
      <c r="AH1377" s="4">
        <v>0</v>
      </c>
      <c r="AI1377" s="4">
        <v>0</v>
      </c>
      <c r="AJ1377" s="4">
        <v>0</v>
      </c>
      <c r="AK1377" s="4">
        <v>0</v>
      </c>
      <c r="AL1377" s="4">
        <v>0</v>
      </c>
      <c r="AM1377" s="4">
        <v>0</v>
      </c>
      <c r="AN1377" s="4">
        <v>0</v>
      </c>
      <c r="AO1377" s="4">
        <v>0</v>
      </c>
      <c r="AP1377" s="4">
        <v>0</v>
      </c>
      <c r="AQ1377" s="4">
        <v>0</v>
      </c>
      <c r="AR1377" s="3" t="s">
        <v>64</v>
      </c>
      <c r="AS1377" s="3" t="s">
        <v>64</v>
      </c>
      <c r="AT1377" s="3" t="s">
        <v>64</v>
      </c>
      <c r="AV1377" s="6" t="str">
        <f>HYPERLINK("http://mcgill.on.worldcat.org/oclc/732280737","Catalog Record")</f>
        <v>Catalog Record</v>
      </c>
      <c r="AW1377" s="6" t="str">
        <f>HYPERLINK("http://www.worldcat.org/oclc/732280737","WorldCat Record")</f>
        <v>WorldCat Record</v>
      </c>
      <c r="AX1377" s="3" t="s">
        <v>13911</v>
      </c>
      <c r="AY1377" s="3" t="s">
        <v>13912</v>
      </c>
      <c r="AZ1377" s="3" t="s">
        <v>13913</v>
      </c>
      <c r="BA1377" s="3" t="s">
        <v>13913</v>
      </c>
      <c r="BB1377" s="3" t="s">
        <v>13914</v>
      </c>
      <c r="BC1377" s="3" t="s">
        <v>77</v>
      </c>
      <c r="BD1377" s="3" t="s">
        <v>78</v>
      </c>
      <c r="BF1377" s="3" t="s">
        <v>13914</v>
      </c>
      <c r="BG1377" s="3" t="s">
        <v>13915</v>
      </c>
      <c r="BH1377">
        <f t="shared" si="41"/>
        <v>0</v>
      </c>
    </row>
    <row r="1378" spans="1:60" ht="58" x14ac:dyDescent="0.35">
      <c r="A1378" s="2" t="s">
        <v>59</v>
      </c>
      <c r="B1378" s="2" t="s">
        <v>60</v>
      </c>
      <c r="C1378" s="2" t="s">
        <v>13916</v>
      </c>
      <c r="D1378" s="2" t="s">
        <v>13917</v>
      </c>
      <c r="E1378" s="2" t="s">
        <v>13918</v>
      </c>
      <c r="G1378" s="3" t="s">
        <v>64</v>
      </c>
      <c r="I1378" s="3" t="s">
        <v>64</v>
      </c>
      <c r="J1378" s="3" t="s">
        <v>64</v>
      </c>
      <c r="K1378" s="3" t="s">
        <v>65</v>
      </c>
      <c r="L1378" s="2" t="s">
        <v>13919</v>
      </c>
      <c r="M1378" s="2" t="s">
        <v>13920</v>
      </c>
      <c r="N1378" s="3" t="s">
        <v>1075</v>
      </c>
      <c r="P1378" s="3" t="s">
        <v>102</v>
      </c>
      <c r="R1378" s="3" t="s">
        <v>70</v>
      </c>
      <c r="S1378" s="4">
        <v>39</v>
      </c>
      <c r="T1378" s="4">
        <v>39</v>
      </c>
      <c r="U1378" s="5" t="s">
        <v>8704</v>
      </c>
      <c r="V1378" s="5" t="s">
        <v>8704</v>
      </c>
      <c r="W1378" s="5" t="s">
        <v>72</v>
      </c>
      <c r="X1378" s="5" t="s">
        <v>72</v>
      </c>
      <c r="Y1378" s="4">
        <v>119</v>
      </c>
      <c r="Z1378" s="4">
        <v>7</v>
      </c>
      <c r="AA1378" s="4">
        <v>22</v>
      </c>
      <c r="AB1378" s="4">
        <v>1</v>
      </c>
      <c r="AC1378" s="4">
        <v>6</v>
      </c>
      <c r="AD1378" s="4">
        <v>29</v>
      </c>
      <c r="AE1378" s="4">
        <v>39</v>
      </c>
      <c r="AF1378" s="4">
        <v>0</v>
      </c>
      <c r="AG1378" s="4">
        <v>1</v>
      </c>
      <c r="AH1378" s="4">
        <v>27</v>
      </c>
      <c r="AI1378" s="4">
        <v>33</v>
      </c>
      <c r="AJ1378" s="4">
        <v>3</v>
      </c>
      <c r="AK1378" s="4">
        <v>11</v>
      </c>
      <c r="AL1378" s="4">
        <v>15</v>
      </c>
      <c r="AM1378" s="4">
        <v>18</v>
      </c>
      <c r="AN1378" s="4">
        <v>0</v>
      </c>
      <c r="AO1378" s="4">
        <v>0</v>
      </c>
      <c r="AP1378" s="4">
        <v>4</v>
      </c>
      <c r="AQ1378" s="4">
        <v>11</v>
      </c>
      <c r="AR1378" s="3" t="s">
        <v>64</v>
      </c>
      <c r="AS1378" s="3" t="s">
        <v>64</v>
      </c>
      <c r="AT1378" s="3" t="s">
        <v>64</v>
      </c>
      <c r="AV1378" s="6" t="str">
        <f>HYPERLINK("http://mcgill.on.worldcat.org/oclc/816519170","Catalog Record")</f>
        <v>Catalog Record</v>
      </c>
      <c r="AW1378" s="6" t="str">
        <f>HYPERLINK("http://www.worldcat.org/oclc/816519170","WorldCat Record")</f>
        <v>WorldCat Record</v>
      </c>
      <c r="AX1378" s="3" t="s">
        <v>13921</v>
      </c>
      <c r="AY1378" s="3" t="s">
        <v>13922</v>
      </c>
      <c r="AZ1378" s="3" t="s">
        <v>13923</v>
      </c>
      <c r="BA1378" s="3" t="s">
        <v>13923</v>
      </c>
      <c r="BB1378" s="3" t="s">
        <v>13924</v>
      </c>
      <c r="BC1378" s="3" t="s">
        <v>77</v>
      </c>
      <c r="BD1378" s="3" t="s">
        <v>78</v>
      </c>
      <c r="BE1378" s="3" t="s">
        <v>13925</v>
      </c>
      <c r="BF1378" s="3" t="s">
        <v>13924</v>
      </c>
      <c r="BG1378" s="3" t="s">
        <v>13926</v>
      </c>
      <c r="BH1378">
        <f t="shared" si="41"/>
        <v>0</v>
      </c>
    </row>
    <row r="1379" spans="1:60" ht="58" x14ac:dyDescent="0.35">
      <c r="A1379" s="2" t="s">
        <v>59</v>
      </c>
      <c r="B1379" s="2" t="s">
        <v>60</v>
      </c>
      <c r="C1379" s="2" t="s">
        <v>13927</v>
      </c>
      <c r="D1379" s="2" t="s">
        <v>13928</v>
      </c>
      <c r="E1379" s="2" t="s">
        <v>13929</v>
      </c>
      <c r="G1379" s="3" t="s">
        <v>64</v>
      </c>
      <c r="I1379" s="3" t="s">
        <v>64</v>
      </c>
      <c r="J1379" s="3" t="s">
        <v>64</v>
      </c>
      <c r="K1379" s="3" t="s">
        <v>65</v>
      </c>
      <c r="L1379" s="2" t="s">
        <v>13930</v>
      </c>
      <c r="M1379" s="2" t="s">
        <v>13931</v>
      </c>
      <c r="N1379" s="3" t="s">
        <v>144</v>
      </c>
      <c r="P1379" s="3" t="s">
        <v>102</v>
      </c>
      <c r="Q1379" s="2" t="s">
        <v>13932</v>
      </c>
      <c r="R1379" s="3" t="s">
        <v>70</v>
      </c>
      <c r="S1379" s="4">
        <v>8</v>
      </c>
      <c r="T1379" s="4">
        <v>8</v>
      </c>
      <c r="U1379" s="5" t="s">
        <v>13933</v>
      </c>
      <c r="V1379" s="5" t="s">
        <v>13933</v>
      </c>
      <c r="W1379" s="5" t="s">
        <v>72</v>
      </c>
      <c r="X1379" s="5" t="s">
        <v>72</v>
      </c>
      <c r="Y1379" s="4">
        <v>350</v>
      </c>
      <c r="Z1379" s="4">
        <v>21</v>
      </c>
      <c r="AA1379" s="4">
        <v>57</v>
      </c>
      <c r="AB1379" s="4">
        <v>3</v>
      </c>
      <c r="AC1379" s="4">
        <v>8</v>
      </c>
      <c r="AD1379" s="4">
        <v>80</v>
      </c>
      <c r="AE1379" s="4">
        <v>87</v>
      </c>
      <c r="AF1379" s="4">
        <v>1</v>
      </c>
      <c r="AG1379" s="4">
        <v>1</v>
      </c>
      <c r="AH1379" s="4">
        <v>74</v>
      </c>
      <c r="AI1379" s="4">
        <v>78</v>
      </c>
      <c r="AJ1379" s="4">
        <v>10</v>
      </c>
      <c r="AK1379" s="4">
        <v>10</v>
      </c>
      <c r="AL1379" s="4">
        <v>43</v>
      </c>
      <c r="AM1379" s="4">
        <v>43</v>
      </c>
      <c r="AN1379" s="4">
        <v>0</v>
      </c>
      <c r="AO1379" s="4">
        <v>0</v>
      </c>
      <c r="AP1379" s="4">
        <v>13</v>
      </c>
      <c r="AQ1379" s="4">
        <v>16</v>
      </c>
      <c r="AR1379" s="3" t="s">
        <v>64</v>
      </c>
      <c r="AS1379" s="3" t="s">
        <v>64</v>
      </c>
      <c r="AT1379" s="3" t="s">
        <v>64</v>
      </c>
      <c r="AV1379" s="6" t="str">
        <f>HYPERLINK("http://mcgill.on.worldcat.org/oclc/133465477","Catalog Record")</f>
        <v>Catalog Record</v>
      </c>
      <c r="AW1379" s="6" t="str">
        <f>HYPERLINK("http://www.worldcat.org/oclc/133465477","WorldCat Record")</f>
        <v>WorldCat Record</v>
      </c>
      <c r="AX1379" s="3" t="s">
        <v>13934</v>
      </c>
      <c r="AY1379" s="3" t="s">
        <v>13935</v>
      </c>
      <c r="AZ1379" s="3" t="s">
        <v>13936</v>
      </c>
      <c r="BA1379" s="3" t="s">
        <v>13936</v>
      </c>
      <c r="BB1379" s="3" t="s">
        <v>13937</v>
      </c>
      <c r="BC1379" s="3" t="s">
        <v>77</v>
      </c>
      <c r="BD1379" s="3" t="s">
        <v>78</v>
      </c>
      <c r="BE1379" s="3" t="s">
        <v>13938</v>
      </c>
      <c r="BF1379" s="3" t="s">
        <v>13937</v>
      </c>
      <c r="BG1379" s="3" t="s">
        <v>13939</v>
      </c>
      <c r="BH1379">
        <f t="shared" si="41"/>
        <v>0</v>
      </c>
    </row>
    <row r="1380" spans="1:60" ht="58" x14ac:dyDescent="0.35">
      <c r="A1380" s="2" t="s">
        <v>59</v>
      </c>
      <c r="B1380" s="2" t="s">
        <v>60</v>
      </c>
      <c r="C1380" s="2" t="s">
        <v>13940</v>
      </c>
      <c r="D1380" s="2" t="s">
        <v>13941</v>
      </c>
      <c r="E1380" s="2" t="s">
        <v>13942</v>
      </c>
      <c r="G1380" s="3" t="s">
        <v>64</v>
      </c>
      <c r="I1380" s="3" t="s">
        <v>64</v>
      </c>
      <c r="J1380" s="3" t="s">
        <v>128</v>
      </c>
      <c r="K1380" s="3" t="s">
        <v>183</v>
      </c>
      <c r="L1380" s="2" t="s">
        <v>13943</v>
      </c>
      <c r="M1380" s="2" t="s">
        <v>13944</v>
      </c>
      <c r="N1380" s="3" t="s">
        <v>456</v>
      </c>
      <c r="P1380" s="3" t="s">
        <v>102</v>
      </c>
      <c r="Q1380" s="2" t="s">
        <v>13945</v>
      </c>
      <c r="R1380" s="3" t="s">
        <v>70</v>
      </c>
      <c r="S1380" s="4">
        <v>2</v>
      </c>
      <c r="T1380" s="4">
        <v>2</v>
      </c>
      <c r="U1380" s="5" t="s">
        <v>243</v>
      </c>
      <c r="V1380" s="5" t="s">
        <v>243</v>
      </c>
      <c r="W1380" s="5" t="s">
        <v>72</v>
      </c>
      <c r="X1380" s="5" t="s">
        <v>72</v>
      </c>
      <c r="Y1380" s="4">
        <v>272</v>
      </c>
      <c r="Z1380" s="4">
        <v>18</v>
      </c>
      <c r="AA1380" s="4">
        <v>27</v>
      </c>
      <c r="AB1380" s="4">
        <v>4</v>
      </c>
      <c r="AC1380" s="4">
        <v>6</v>
      </c>
      <c r="AD1380" s="4">
        <v>64</v>
      </c>
      <c r="AE1380" s="4">
        <v>107</v>
      </c>
      <c r="AF1380" s="4">
        <v>1</v>
      </c>
      <c r="AG1380" s="4">
        <v>3</v>
      </c>
      <c r="AH1380" s="4">
        <v>56</v>
      </c>
      <c r="AI1380" s="4">
        <v>90</v>
      </c>
      <c r="AJ1380" s="4">
        <v>9</v>
      </c>
      <c r="AK1380" s="4">
        <v>13</v>
      </c>
      <c r="AL1380" s="4">
        <v>29</v>
      </c>
      <c r="AM1380" s="4">
        <v>48</v>
      </c>
      <c r="AN1380" s="4">
        <v>0</v>
      </c>
      <c r="AO1380" s="4">
        <v>0</v>
      </c>
      <c r="AP1380" s="4">
        <v>13</v>
      </c>
      <c r="AQ1380" s="4">
        <v>21</v>
      </c>
      <c r="AR1380" s="3" t="s">
        <v>64</v>
      </c>
      <c r="AS1380" s="3" t="s">
        <v>128</v>
      </c>
      <c r="AT1380" s="3" t="s">
        <v>64</v>
      </c>
      <c r="AU1380" s="6" t="str">
        <f>HYPERLINK("http://catalog.hathitrust.org/Record/001107735","HathiTrust Record")</f>
        <v>HathiTrust Record</v>
      </c>
      <c r="AV1380" s="6" t="str">
        <f>HYPERLINK("http://mcgill.on.worldcat.org/oclc/574401","Catalog Record")</f>
        <v>Catalog Record</v>
      </c>
      <c r="AW1380" s="6" t="str">
        <f>HYPERLINK("http://www.worldcat.org/oclc/574401","WorldCat Record")</f>
        <v>WorldCat Record</v>
      </c>
      <c r="AX1380" s="3" t="s">
        <v>13946</v>
      </c>
      <c r="AY1380" s="3" t="s">
        <v>13947</v>
      </c>
      <c r="AZ1380" s="3" t="s">
        <v>13948</v>
      </c>
      <c r="BA1380" s="3" t="s">
        <v>13948</v>
      </c>
      <c r="BB1380" s="3" t="s">
        <v>13949</v>
      </c>
      <c r="BC1380" s="3" t="s">
        <v>77</v>
      </c>
      <c r="BD1380" s="3" t="s">
        <v>78</v>
      </c>
      <c r="BF1380" s="3" t="s">
        <v>13949</v>
      </c>
      <c r="BG1380" s="3" t="s">
        <v>13950</v>
      </c>
      <c r="BH1380">
        <f t="shared" si="41"/>
        <v>0</v>
      </c>
    </row>
    <row r="1381" spans="1:60" ht="58" x14ac:dyDescent="0.35">
      <c r="A1381" s="2" t="s">
        <v>59</v>
      </c>
      <c r="B1381" s="2" t="s">
        <v>60</v>
      </c>
      <c r="C1381" s="2" t="s">
        <v>13951</v>
      </c>
      <c r="D1381" s="2" t="s">
        <v>13952</v>
      </c>
      <c r="E1381" s="2" t="s">
        <v>13953</v>
      </c>
      <c r="G1381" s="3" t="s">
        <v>64</v>
      </c>
      <c r="I1381" s="3" t="s">
        <v>64</v>
      </c>
      <c r="J1381" s="3" t="s">
        <v>64</v>
      </c>
      <c r="K1381" s="3" t="s">
        <v>65</v>
      </c>
      <c r="L1381" s="2" t="s">
        <v>13954</v>
      </c>
      <c r="M1381" s="2" t="s">
        <v>13955</v>
      </c>
      <c r="N1381" s="3" t="s">
        <v>578</v>
      </c>
      <c r="O1381" s="2" t="s">
        <v>13956</v>
      </c>
      <c r="P1381" s="3" t="s">
        <v>68</v>
      </c>
      <c r="Q1381" s="2" t="s">
        <v>13957</v>
      </c>
      <c r="R1381" s="3" t="s">
        <v>70</v>
      </c>
      <c r="S1381" s="4">
        <v>0</v>
      </c>
      <c r="T1381" s="4">
        <v>0</v>
      </c>
      <c r="W1381" s="5" t="s">
        <v>72</v>
      </c>
      <c r="X1381" s="5" t="s">
        <v>72</v>
      </c>
      <c r="Y1381" s="4">
        <v>2</v>
      </c>
      <c r="Z1381" s="4">
        <v>1</v>
      </c>
      <c r="AA1381" s="4">
        <v>14</v>
      </c>
      <c r="AB1381" s="4">
        <v>1</v>
      </c>
      <c r="AC1381" s="4">
        <v>10</v>
      </c>
      <c r="AD1381" s="4">
        <v>0</v>
      </c>
      <c r="AE1381" s="4">
        <v>9</v>
      </c>
      <c r="AF1381" s="4">
        <v>0</v>
      </c>
      <c r="AG1381" s="4">
        <v>4</v>
      </c>
      <c r="AH1381" s="4">
        <v>0</v>
      </c>
      <c r="AI1381" s="4">
        <v>5</v>
      </c>
      <c r="AJ1381" s="4">
        <v>0</v>
      </c>
      <c r="AK1381" s="4">
        <v>6</v>
      </c>
      <c r="AL1381" s="4">
        <v>0</v>
      </c>
      <c r="AM1381" s="4">
        <v>1</v>
      </c>
      <c r="AN1381" s="4">
        <v>0</v>
      </c>
      <c r="AO1381" s="4">
        <v>0</v>
      </c>
      <c r="AP1381" s="4">
        <v>0</v>
      </c>
      <c r="AQ1381" s="4">
        <v>7</v>
      </c>
      <c r="AR1381" s="3" t="s">
        <v>64</v>
      </c>
      <c r="AS1381" s="3" t="s">
        <v>64</v>
      </c>
      <c r="AT1381" s="3" t="s">
        <v>64</v>
      </c>
      <c r="AV1381" s="6" t="str">
        <f>HYPERLINK("http://mcgill.on.worldcat.org/oclc/971043810","Catalog Record")</f>
        <v>Catalog Record</v>
      </c>
      <c r="AW1381" s="6" t="str">
        <f>HYPERLINK("http://www.worldcat.org/oclc/971043810","WorldCat Record")</f>
        <v>WorldCat Record</v>
      </c>
      <c r="AX1381" s="3" t="s">
        <v>13958</v>
      </c>
      <c r="AY1381" s="3" t="s">
        <v>13959</v>
      </c>
      <c r="AZ1381" s="3" t="s">
        <v>13960</v>
      </c>
      <c r="BA1381" s="3" t="s">
        <v>13960</v>
      </c>
      <c r="BB1381" s="3" t="s">
        <v>13961</v>
      </c>
      <c r="BC1381" s="3" t="s">
        <v>77</v>
      </c>
      <c r="BD1381" s="3" t="s">
        <v>78</v>
      </c>
      <c r="BE1381" s="3" t="s">
        <v>13962</v>
      </c>
      <c r="BF1381" s="3" t="s">
        <v>13961</v>
      </c>
      <c r="BG1381" s="3" t="s">
        <v>13963</v>
      </c>
      <c r="BH1381">
        <f t="shared" si="41"/>
        <v>0</v>
      </c>
    </row>
    <row r="1382" spans="1:60" ht="58" x14ac:dyDescent="0.35">
      <c r="A1382" s="2" t="s">
        <v>59</v>
      </c>
      <c r="B1382" s="2" t="s">
        <v>60</v>
      </c>
      <c r="C1382" s="2" t="s">
        <v>13964</v>
      </c>
      <c r="D1382" s="2" t="s">
        <v>13965</v>
      </c>
      <c r="E1382" s="2" t="s">
        <v>13966</v>
      </c>
      <c r="G1382" s="3" t="s">
        <v>64</v>
      </c>
      <c r="I1382" s="3" t="s">
        <v>64</v>
      </c>
      <c r="J1382" s="3" t="s">
        <v>64</v>
      </c>
      <c r="K1382" s="3" t="s">
        <v>65</v>
      </c>
      <c r="L1382" s="2" t="s">
        <v>13967</v>
      </c>
      <c r="M1382" s="2" t="s">
        <v>13968</v>
      </c>
      <c r="N1382" s="3" t="s">
        <v>511</v>
      </c>
      <c r="P1382" s="3" t="s">
        <v>102</v>
      </c>
      <c r="R1382" s="3" t="s">
        <v>70</v>
      </c>
      <c r="S1382" s="4">
        <v>0</v>
      </c>
      <c r="T1382" s="4">
        <v>0</v>
      </c>
      <c r="W1382" s="5" t="s">
        <v>72</v>
      </c>
      <c r="X1382" s="5" t="s">
        <v>72</v>
      </c>
      <c r="Y1382" s="4">
        <v>141</v>
      </c>
      <c r="Z1382" s="4">
        <v>10</v>
      </c>
      <c r="AA1382" s="4">
        <v>79</v>
      </c>
      <c r="AB1382" s="4">
        <v>2</v>
      </c>
      <c r="AC1382" s="4">
        <v>15</v>
      </c>
      <c r="AD1382" s="4">
        <v>30</v>
      </c>
      <c r="AE1382" s="4">
        <v>93</v>
      </c>
      <c r="AF1382" s="4">
        <v>1</v>
      </c>
      <c r="AG1382" s="4">
        <v>8</v>
      </c>
      <c r="AH1382" s="4">
        <v>26</v>
      </c>
      <c r="AI1382" s="4">
        <v>60</v>
      </c>
      <c r="AJ1382" s="4">
        <v>5</v>
      </c>
      <c r="AK1382" s="4">
        <v>19</v>
      </c>
      <c r="AL1382" s="4">
        <v>18</v>
      </c>
      <c r="AM1382" s="4">
        <v>31</v>
      </c>
      <c r="AN1382" s="4">
        <v>0</v>
      </c>
      <c r="AO1382" s="4">
        <v>0</v>
      </c>
      <c r="AP1382" s="4">
        <v>7</v>
      </c>
      <c r="AQ1382" s="4">
        <v>40</v>
      </c>
      <c r="AR1382" s="3" t="s">
        <v>64</v>
      </c>
      <c r="AS1382" s="3" t="s">
        <v>64</v>
      </c>
      <c r="AT1382" s="3" t="s">
        <v>64</v>
      </c>
      <c r="AV1382" s="6" t="str">
        <f>HYPERLINK("http://mcgill.on.worldcat.org/oclc/359240316","Catalog Record")</f>
        <v>Catalog Record</v>
      </c>
      <c r="AW1382" s="6" t="str">
        <f>HYPERLINK("http://www.worldcat.org/oclc/359240316","WorldCat Record")</f>
        <v>WorldCat Record</v>
      </c>
      <c r="AX1382" s="3" t="s">
        <v>13969</v>
      </c>
      <c r="AY1382" s="3" t="s">
        <v>13970</v>
      </c>
      <c r="AZ1382" s="3" t="s">
        <v>13971</v>
      </c>
      <c r="BA1382" s="3" t="s">
        <v>13971</v>
      </c>
      <c r="BB1382" s="3" t="s">
        <v>13972</v>
      </c>
      <c r="BC1382" s="3" t="s">
        <v>77</v>
      </c>
      <c r="BD1382" s="3" t="s">
        <v>78</v>
      </c>
      <c r="BE1382" s="3" t="s">
        <v>13973</v>
      </c>
      <c r="BF1382" s="3" t="s">
        <v>13972</v>
      </c>
      <c r="BG1382" s="3" t="s">
        <v>13974</v>
      </c>
      <c r="BH1382">
        <f t="shared" si="41"/>
        <v>0</v>
      </c>
    </row>
    <row r="1383" spans="1:60" ht="58" x14ac:dyDescent="0.35">
      <c r="A1383" s="2" t="s">
        <v>59</v>
      </c>
      <c r="B1383" s="2" t="s">
        <v>60</v>
      </c>
      <c r="C1383" s="2" t="s">
        <v>13975</v>
      </c>
      <c r="D1383" s="2" t="s">
        <v>13976</v>
      </c>
      <c r="E1383" s="2" t="s">
        <v>13977</v>
      </c>
      <c r="G1383" s="3" t="s">
        <v>64</v>
      </c>
      <c r="I1383" s="3" t="s">
        <v>64</v>
      </c>
      <c r="J1383" s="3" t="s">
        <v>64</v>
      </c>
      <c r="K1383" s="3" t="s">
        <v>65</v>
      </c>
      <c r="M1383" s="2" t="s">
        <v>13978</v>
      </c>
      <c r="N1383" s="3" t="s">
        <v>1031</v>
      </c>
      <c r="P1383" s="3" t="s">
        <v>102</v>
      </c>
      <c r="R1383" s="3" t="s">
        <v>70</v>
      </c>
      <c r="S1383" s="4">
        <v>19</v>
      </c>
      <c r="T1383" s="4">
        <v>19</v>
      </c>
      <c r="U1383" s="5" t="s">
        <v>7584</v>
      </c>
      <c r="V1383" s="5" t="s">
        <v>7584</v>
      </c>
      <c r="W1383" s="5" t="s">
        <v>72</v>
      </c>
      <c r="X1383" s="5" t="s">
        <v>72</v>
      </c>
      <c r="Y1383" s="4">
        <v>86</v>
      </c>
      <c r="Z1383" s="4">
        <v>8</v>
      </c>
      <c r="AA1383" s="4">
        <v>9</v>
      </c>
      <c r="AB1383" s="4">
        <v>1</v>
      </c>
      <c r="AC1383" s="4">
        <v>2</v>
      </c>
      <c r="AD1383" s="4">
        <v>38</v>
      </c>
      <c r="AE1383" s="4">
        <v>39</v>
      </c>
      <c r="AF1383" s="4">
        <v>0</v>
      </c>
      <c r="AG1383" s="4">
        <v>1</v>
      </c>
      <c r="AH1383" s="4">
        <v>37</v>
      </c>
      <c r="AI1383" s="4">
        <v>37</v>
      </c>
      <c r="AJ1383" s="4">
        <v>6</v>
      </c>
      <c r="AK1383" s="4">
        <v>7</v>
      </c>
      <c r="AL1383" s="4">
        <v>16</v>
      </c>
      <c r="AM1383" s="4">
        <v>16</v>
      </c>
      <c r="AN1383" s="4">
        <v>0</v>
      </c>
      <c r="AO1383" s="4">
        <v>0</v>
      </c>
      <c r="AP1383" s="4">
        <v>5</v>
      </c>
      <c r="AQ1383" s="4">
        <v>5</v>
      </c>
      <c r="AR1383" s="3" t="s">
        <v>64</v>
      </c>
      <c r="AS1383" s="3" t="s">
        <v>64</v>
      </c>
      <c r="AT1383" s="3" t="s">
        <v>128</v>
      </c>
      <c r="AU1383" s="6" t="str">
        <f>HYPERLINK("http://catalog.hathitrust.org/Record/002566948","HathiTrust Record")</f>
        <v>HathiTrust Record</v>
      </c>
      <c r="AV1383" s="6" t="str">
        <f>HYPERLINK("http://mcgill.on.worldcat.org/oclc/29223133","Catalog Record")</f>
        <v>Catalog Record</v>
      </c>
      <c r="AW1383" s="6" t="str">
        <f>HYPERLINK("http://www.worldcat.org/oclc/29223133","WorldCat Record")</f>
        <v>WorldCat Record</v>
      </c>
      <c r="AX1383" s="3" t="s">
        <v>13979</v>
      </c>
      <c r="AY1383" s="3" t="s">
        <v>13980</v>
      </c>
      <c r="AZ1383" s="3" t="s">
        <v>13981</v>
      </c>
      <c r="BA1383" s="3" t="s">
        <v>13981</v>
      </c>
      <c r="BB1383" s="3" t="s">
        <v>13982</v>
      </c>
      <c r="BC1383" s="3" t="s">
        <v>77</v>
      </c>
      <c r="BD1383" s="3" t="s">
        <v>78</v>
      </c>
      <c r="BE1383" s="3" t="s">
        <v>13983</v>
      </c>
      <c r="BF1383" s="3" t="s">
        <v>13982</v>
      </c>
      <c r="BG1383" s="3" t="s">
        <v>13984</v>
      </c>
      <c r="BH1383">
        <f t="shared" si="41"/>
        <v>0</v>
      </c>
    </row>
    <row r="1384" spans="1:60" ht="58" x14ac:dyDescent="0.35">
      <c r="A1384" s="2" t="s">
        <v>59</v>
      </c>
      <c r="B1384" s="2" t="s">
        <v>60</v>
      </c>
      <c r="C1384" s="2" t="s">
        <v>13985</v>
      </c>
      <c r="D1384" s="2" t="s">
        <v>13986</v>
      </c>
      <c r="E1384" s="2" t="s">
        <v>13987</v>
      </c>
      <c r="G1384" s="3" t="s">
        <v>64</v>
      </c>
      <c r="I1384" s="3" t="s">
        <v>64</v>
      </c>
      <c r="J1384" s="3" t="s">
        <v>64</v>
      </c>
      <c r="K1384" s="3" t="s">
        <v>65</v>
      </c>
      <c r="L1384" s="2" t="s">
        <v>13967</v>
      </c>
      <c r="M1384" s="2" t="s">
        <v>13988</v>
      </c>
      <c r="N1384" s="3" t="s">
        <v>1615</v>
      </c>
      <c r="P1384" s="3" t="s">
        <v>102</v>
      </c>
      <c r="Q1384" s="2" t="s">
        <v>13989</v>
      </c>
      <c r="R1384" s="3" t="s">
        <v>70</v>
      </c>
      <c r="S1384" s="4">
        <v>9</v>
      </c>
      <c r="T1384" s="4">
        <v>9</v>
      </c>
      <c r="U1384" s="5" t="s">
        <v>13990</v>
      </c>
      <c r="V1384" s="5" t="s">
        <v>13990</v>
      </c>
      <c r="W1384" s="5" t="s">
        <v>72</v>
      </c>
      <c r="X1384" s="5" t="s">
        <v>72</v>
      </c>
      <c r="Y1384" s="4">
        <v>160</v>
      </c>
      <c r="Z1384" s="4">
        <v>9</v>
      </c>
      <c r="AA1384" s="4">
        <v>10</v>
      </c>
      <c r="AB1384" s="4">
        <v>2</v>
      </c>
      <c r="AC1384" s="4">
        <v>3</v>
      </c>
      <c r="AD1384" s="4">
        <v>61</v>
      </c>
      <c r="AE1384" s="4">
        <v>62</v>
      </c>
      <c r="AF1384" s="4">
        <v>1</v>
      </c>
      <c r="AG1384" s="4">
        <v>2</v>
      </c>
      <c r="AH1384" s="4">
        <v>57</v>
      </c>
      <c r="AI1384" s="4">
        <v>57</v>
      </c>
      <c r="AJ1384" s="4">
        <v>6</v>
      </c>
      <c r="AK1384" s="4">
        <v>7</v>
      </c>
      <c r="AL1384" s="4">
        <v>32</v>
      </c>
      <c r="AM1384" s="4">
        <v>32</v>
      </c>
      <c r="AN1384" s="4">
        <v>0</v>
      </c>
      <c r="AO1384" s="4">
        <v>0</v>
      </c>
      <c r="AP1384" s="4">
        <v>7</v>
      </c>
      <c r="AQ1384" s="4">
        <v>7</v>
      </c>
      <c r="AR1384" s="3" t="s">
        <v>64</v>
      </c>
      <c r="AS1384" s="3" t="s">
        <v>64</v>
      </c>
      <c r="AT1384" s="3" t="s">
        <v>64</v>
      </c>
      <c r="AV1384" s="6" t="str">
        <f>HYPERLINK("http://mcgill.on.worldcat.org/oclc/34618102","Catalog Record")</f>
        <v>Catalog Record</v>
      </c>
      <c r="AW1384" s="6" t="str">
        <f>HYPERLINK("http://www.worldcat.org/oclc/34618102","WorldCat Record")</f>
        <v>WorldCat Record</v>
      </c>
      <c r="AX1384" s="3" t="s">
        <v>13991</v>
      </c>
      <c r="AY1384" s="3" t="s">
        <v>13992</v>
      </c>
      <c r="AZ1384" s="3" t="s">
        <v>13993</v>
      </c>
      <c r="BA1384" s="3" t="s">
        <v>13993</v>
      </c>
      <c r="BB1384" s="3" t="s">
        <v>13994</v>
      </c>
      <c r="BC1384" s="3" t="s">
        <v>77</v>
      </c>
      <c r="BD1384" s="3" t="s">
        <v>78</v>
      </c>
      <c r="BE1384" s="3" t="s">
        <v>13995</v>
      </c>
      <c r="BF1384" s="3" t="s">
        <v>13994</v>
      </c>
      <c r="BG1384" s="3" t="s">
        <v>13996</v>
      </c>
      <c r="BH1384">
        <f t="shared" si="41"/>
        <v>0</v>
      </c>
    </row>
    <row r="1385" spans="1:60" ht="58" x14ac:dyDescent="0.35">
      <c r="A1385" s="2" t="s">
        <v>59</v>
      </c>
      <c r="B1385" s="2" t="s">
        <v>60</v>
      </c>
      <c r="C1385" s="2" t="s">
        <v>13997</v>
      </c>
      <c r="D1385" s="2" t="s">
        <v>13998</v>
      </c>
      <c r="E1385" s="2" t="s">
        <v>13999</v>
      </c>
      <c r="G1385" s="3" t="s">
        <v>64</v>
      </c>
      <c r="I1385" s="3" t="s">
        <v>64</v>
      </c>
      <c r="J1385" s="3" t="s">
        <v>64</v>
      </c>
      <c r="K1385" s="3" t="s">
        <v>65</v>
      </c>
      <c r="L1385" s="2" t="s">
        <v>14000</v>
      </c>
      <c r="M1385" s="2" t="s">
        <v>14001</v>
      </c>
      <c r="N1385" s="3" t="s">
        <v>551</v>
      </c>
      <c r="P1385" s="3" t="s">
        <v>102</v>
      </c>
      <c r="R1385" s="3" t="s">
        <v>70</v>
      </c>
      <c r="S1385" s="4">
        <v>3</v>
      </c>
      <c r="T1385" s="4">
        <v>3</v>
      </c>
      <c r="U1385" s="5" t="s">
        <v>1238</v>
      </c>
      <c r="V1385" s="5" t="s">
        <v>1238</v>
      </c>
      <c r="W1385" s="5" t="s">
        <v>72</v>
      </c>
      <c r="X1385" s="5" t="s">
        <v>72</v>
      </c>
      <c r="Y1385" s="4">
        <v>132</v>
      </c>
      <c r="Z1385" s="4">
        <v>15</v>
      </c>
      <c r="AA1385" s="4">
        <v>99</v>
      </c>
      <c r="AB1385" s="4">
        <v>3</v>
      </c>
      <c r="AC1385" s="4">
        <v>18</v>
      </c>
      <c r="AD1385" s="4">
        <v>50</v>
      </c>
      <c r="AE1385" s="4">
        <v>117</v>
      </c>
      <c r="AF1385" s="4">
        <v>1</v>
      </c>
      <c r="AG1385" s="4">
        <v>8</v>
      </c>
      <c r="AH1385" s="4">
        <v>46</v>
      </c>
      <c r="AI1385" s="4">
        <v>80</v>
      </c>
      <c r="AJ1385" s="4">
        <v>8</v>
      </c>
      <c r="AK1385" s="4">
        <v>21</v>
      </c>
      <c r="AL1385" s="4">
        <v>36</v>
      </c>
      <c r="AM1385" s="4">
        <v>47</v>
      </c>
      <c r="AN1385" s="4">
        <v>0</v>
      </c>
      <c r="AO1385" s="4">
        <v>0</v>
      </c>
      <c r="AP1385" s="4">
        <v>9</v>
      </c>
      <c r="AQ1385" s="4">
        <v>42</v>
      </c>
      <c r="AR1385" s="3" t="s">
        <v>64</v>
      </c>
      <c r="AS1385" s="3" t="s">
        <v>64</v>
      </c>
      <c r="AT1385" s="3" t="s">
        <v>64</v>
      </c>
      <c r="AV1385" s="6" t="str">
        <f>HYPERLINK("http://mcgill.on.worldcat.org/oclc/449283795","Catalog Record")</f>
        <v>Catalog Record</v>
      </c>
      <c r="AW1385" s="6" t="str">
        <f>HYPERLINK("http://www.worldcat.org/oclc/449283795","WorldCat Record")</f>
        <v>WorldCat Record</v>
      </c>
      <c r="AX1385" s="3" t="s">
        <v>14002</v>
      </c>
      <c r="AY1385" s="3" t="s">
        <v>14003</v>
      </c>
      <c r="AZ1385" s="3" t="s">
        <v>14004</v>
      </c>
      <c r="BA1385" s="3" t="s">
        <v>14004</v>
      </c>
      <c r="BB1385" s="3" t="s">
        <v>14005</v>
      </c>
      <c r="BC1385" s="3" t="s">
        <v>77</v>
      </c>
      <c r="BD1385" s="3" t="s">
        <v>165</v>
      </c>
      <c r="BE1385" s="3" t="s">
        <v>14006</v>
      </c>
      <c r="BF1385" s="3" t="s">
        <v>14005</v>
      </c>
      <c r="BG1385" s="3" t="s">
        <v>14007</v>
      </c>
      <c r="BH1385">
        <f t="shared" si="41"/>
        <v>0</v>
      </c>
    </row>
    <row r="1386" spans="1:60" ht="58" x14ac:dyDescent="0.35">
      <c r="A1386" s="2" t="s">
        <v>59</v>
      </c>
      <c r="B1386" s="2" t="s">
        <v>60</v>
      </c>
      <c r="C1386" s="2" t="s">
        <v>14008</v>
      </c>
      <c r="D1386" s="2" t="s">
        <v>14009</v>
      </c>
      <c r="E1386" s="2" t="s">
        <v>14010</v>
      </c>
      <c r="G1386" s="3" t="s">
        <v>64</v>
      </c>
      <c r="I1386" s="3" t="s">
        <v>64</v>
      </c>
      <c r="J1386" s="3" t="s">
        <v>64</v>
      </c>
      <c r="K1386" s="3" t="s">
        <v>65</v>
      </c>
      <c r="L1386" s="2" t="s">
        <v>14000</v>
      </c>
      <c r="M1386" s="2" t="s">
        <v>14011</v>
      </c>
      <c r="N1386" s="3" t="s">
        <v>405</v>
      </c>
      <c r="P1386" s="3" t="s">
        <v>68</v>
      </c>
      <c r="Q1386" s="2" t="s">
        <v>14012</v>
      </c>
      <c r="R1386" s="3" t="s">
        <v>70</v>
      </c>
      <c r="S1386" s="4">
        <v>2</v>
      </c>
      <c r="T1386" s="4">
        <v>2</v>
      </c>
      <c r="U1386" s="5" t="s">
        <v>8822</v>
      </c>
      <c r="V1386" s="5" t="s">
        <v>8822</v>
      </c>
      <c r="W1386" s="5" t="s">
        <v>72</v>
      </c>
      <c r="X1386" s="5" t="s">
        <v>72</v>
      </c>
      <c r="Y1386" s="4">
        <v>16</v>
      </c>
      <c r="Z1386" s="4">
        <v>8</v>
      </c>
      <c r="AA1386" s="4">
        <v>16</v>
      </c>
      <c r="AB1386" s="4">
        <v>2</v>
      </c>
      <c r="AC1386" s="4">
        <v>6</v>
      </c>
      <c r="AD1386" s="4">
        <v>12</v>
      </c>
      <c r="AE1386" s="4">
        <v>18</v>
      </c>
      <c r="AF1386" s="4">
        <v>1</v>
      </c>
      <c r="AG1386" s="4">
        <v>4</v>
      </c>
      <c r="AH1386" s="4">
        <v>9</v>
      </c>
      <c r="AI1386" s="4">
        <v>11</v>
      </c>
      <c r="AJ1386" s="4">
        <v>5</v>
      </c>
      <c r="AK1386" s="4">
        <v>11</v>
      </c>
      <c r="AL1386" s="4">
        <v>5</v>
      </c>
      <c r="AM1386" s="4">
        <v>6</v>
      </c>
      <c r="AN1386" s="4">
        <v>0</v>
      </c>
      <c r="AO1386" s="4">
        <v>0</v>
      </c>
      <c r="AP1386" s="4">
        <v>6</v>
      </c>
      <c r="AQ1386" s="4">
        <v>10</v>
      </c>
      <c r="AR1386" s="3" t="s">
        <v>128</v>
      </c>
      <c r="AS1386" s="3" t="s">
        <v>64</v>
      </c>
      <c r="AT1386" s="3" t="s">
        <v>64</v>
      </c>
      <c r="AV1386" s="6" t="str">
        <f>HYPERLINK("http://mcgill.on.worldcat.org/oclc/2964349","Catalog Record")</f>
        <v>Catalog Record</v>
      </c>
      <c r="AW1386" s="6" t="str">
        <f>HYPERLINK("http://www.worldcat.org/oclc/2964349","WorldCat Record")</f>
        <v>WorldCat Record</v>
      </c>
      <c r="AX1386" s="3" t="s">
        <v>14013</v>
      </c>
      <c r="AY1386" s="3" t="s">
        <v>14014</v>
      </c>
      <c r="AZ1386" s="3" t="s">
        <v>14015</v>
      </c>
      <c r="BA1386" s="3" t="s">
        <v>14015</v>
      </c>
      <c r="BB1386" s="3" t="s">
        <v>14016</v>
      </c>
      <c r="BC1386" s="3" t="s">
        <v>77</v>
      </c>
      <c r="BD1386" s="3" t="s">
        <v>165</v>
      </c>
      <c r="BF1386" s="3" t="s">
        <v>14016</v>
      </c>
      <c r="BG1386" s="3" t="s">
        <v>14017</v>
      </c>
      <c r="BH1386">
        <f t="shared" si="41"/>
        <v>0</v>
      </c>
    </row>
    <row r="1387" spans="1:60" ht="58" x14ac:dyDescent="0.35">
      <c r="A1387" s="2" t="s">
        <v>59</v>
      </c>
      <c r="B1387" s="2" t="s">
        <v>60</v>
      </c>
      <c r="C1387" s="2" t="s">
        <v>14018</v>
      </c>
      <c r="D1387" s="2" t="s">
        <v>14019</v>
      </c>
      <c r="E1387" s="2" t="s">
        <v>14020</v>
      </c>
      <c r="G1387" s="3" t="s">
        <v>64</v>
      </c>
      <c r="I1387" s="3" t="s">
        <v>64</v>
      </c>
      <c r="J1387" s="3" t="s">
        <v>64</v>
      </c>
      <c r="K1387" s="3" t="s">
        <v>65</v>
      </c>
      <c r="M1387" s="2" t="s">
        <v>14021</v>
      </c>
      <c r="N1387" s="3" t="s">
        <v>253</v>
      </c>
      <c r="P1387" s="3" t="s">
        <v>102</v>
      </c>
      <c r="Q1387" s="2" t="s">
        <v>14022</v>
      </c>
      <c r="R1387" s="3" t="s">
        <v>70</v>
      </c>
      <c r="S1387" s="4">
        <v>0</v>
      </c>
      <c r="T1387" s="4">
        <v>0</v>
      </c>
      <c r="W1387" s="5" t="s">
        <v>72</v>
      </c>
      <c r="X1387" s="5" t="s">
        <v>72</v>
      </c>
      <c r="Y1387" s="4">
        <v>100</v>
      </c>
      <c r="Z1387" s="4">
        <v>10</v>
      </c>
      <c r="AA1387" s="4">
        <v>13</v>
      </c>
      <c r="AB1387" s="4">
        <v>1</v>
      </c>
      <c r="AC1387" s="4">
        <v>4</v>
      </c>
      <c r="AD1387" s="4">
        <v>43</v>
      </c>
      <c r="AE1387" s="4">
        <v>45</v>
      </c>
      <c r="AF1387" s="4">
        <v>0</v>
      </c>
      <c r="AG1387" s="4">
        <v>2</v>
      </c>
      <c r="AH1387" s="4">
        <v>40</v>
      </c>
      <c r="AI1387" s="4">
        <v>40</v>
      </c>
      <c r="AJ1387" s="4">
        <v>8</v>
      </c>
      <c r="AK1387" s="4">
        <v>10</v>
      </c>
      <c r="AL1387" s="4">
        <v>27</v>
      </c>
      <c r="AM1387" s="4">
        <v>27</v>
      </c>
      <c r="AN1387" s="4">
        <v>0</v>
      </c>
      <c r="AO1387" s="4">
        <v>0</v>
      </c>
      <c r="AP1387" s="4">
        <v>8</v>
      </c>
      <c r="AQ1387" s="4">
        <v>9</v>
      </c>
      <c r="AR1387" s="3" t="s">
        <v>64</v>
      </c>
      <c r="AS1387" s="3" t="s">
        <v>64</v>
      </c>
      <c r="AT1387" s="3" t="s">
        <v>64</v>
      </c>
      <c r="AV1387" s="6" t="str">
        <f>HYPERLINK("http://mcgill.on.worldcat.org/oclc/903687909","Catalog Record")</f>
        <v>Catalog Record</v>
      </c>
      <c r="AW1387" s="6" t="str">
        <f>HYPERLINK("http://www.worldcat.org/oclc/903687909","WorldCat Record")</f>
        <v>WorldCat Record</v>
      </c>
      <c r="AX1387" s="3" t="s">
        <v>14023</v>
      </c>
      <c r="AY1387" s="3" t="s">
        <v>14024</v>
      </c>
      <c r="AZ1387" s="3" t="s">
        <v>14025</v>
      </c>
      <c r="BA1387" s="3" t="s">
        <v>14025</v>
      </c>
      <c r="BB1387" s="3" t="s">
        <v>14026</v>
      </c>
      <c r="BC1387" s="3" t="s">
        <v>77</v>
      </c>
      <c r="BD1387" s="3" t="s">
        <v>78</v>
      </c>
      <c r="BE1387" s="3" t="s">
        <v>14027</v>
      </c>
      <c r="BF1387" s="3" t="s">
        <v>14026</v>
      </c>
      <c r="BG1387" s="3" t="s">
        <v>14028</v>
      </c>
      <c r="BH1387">
        <f t="shared" si="41"/>
        <v>0</v>
      </c>
    </row>
    <row r="1388" spans="1:60" ht="58" x14ac:dyDescent="0.35">
      <c r="A1388" s="2" t="s">
        <v>59</v>
      </c>
      <c r="B1388" s="2" t="s">
        <v>60</v>
      </c>
      <c r="C1388" s="2" t="s">
        <v>14029</v>
      </c>
      <c r="D1388" s="2" t="s">
        <v>14030</v>
      </c>
      <c r="E1388" s="2" t="s">
        <v>14031</v>
      </c>
      <c r="G1388" s="3" t="s">
        <v>64</v>
      </c>
      <c r="I1388" s="3" t="s">
        <v>64</v>
      </c>
      <c r="J1388" s="3" t="s">
        <v>64</v>
      </c>
      <c r="K1388" s="3" t="s">
        <v>65</v>
      </c>
      <c r="L1388" s="2" t="s">
        <v>14032</v>
      </c>
      <c r="M1388" s="2" t="s">
        <v>14033</v>
      </c>
      <c r="N1388" s="3" t="s">
        <v>434</v>
      </c>
      <c r="P1388" s="3" t="s">
        <v>102</v>
      </c>
      <c r="R1388" s="3" t="s">
        <v>70</v>
      </c>
      <c r="S1388" s="4">
        <v>10</v>
      </c>
      <c r="T1388" s="4">
        <v>10</v>
      </c>
      <c r="U1388" s="5" t="s">
        <v>7206</v>
      </c>
      <c r="V1388" s="5" t="s">
        <v>7206</v>
      </c>
      <c r="W1388" s="5" t="s">
        <v>72</v>
      </c>
      <c r="X1388" s="5" t="s">
        <v>72</v>
      </c>
      <c r="Y1388" s="4">
        <v>227</v>
      </c>
      <c r="Z1388" s="4">
        <v>17</v>
      </c>
      <c r="AA1388" s="4">
        <v>18</v>
      </c>
      <c r="AB1388" s="4">
        <v>2</v>
      </c>
      <c r="AC1388" s="4">
        <v>3</v>
      </c>
      <c r="AD1388" s="4">
        <v>73</v>
      </c>
      <c r="AE1388" s="4">
        <v>74</v>
      </c>
      <c r="AF1388" s="4">
        <v>1</v>
      </c>
      <c r="AG1388" s="4">
        <v>2</v>
      </c>
      <c r="AH1388" s="4">
        <v>66</v>
      </c>
      <c r="AI1388" s="4">
        <v>66</v>
      </c>
      <c r="AJ1388" s="4">
        <v>12</v>
      </c>
      <c r="AK1388" s="4">
        <v>13</v>
      </c>
      <c r="AL1388" s="4">
        <v>32</v>
      </c>
      <c r="AM1388" s="4">
        <v>32</v>
      </c>
      <c r="AN1388" s="4">
        <v>0</v>
      </c>
      <c r="AO1388" s="4">
        <v>0</v>
      </c>
      <c r="AP1388" s="4">
        <v>15</v>
      </c>
      <c r="AQ1388" s="4">
        <v>15</v>
      </c>
      <c r="AR1388" s="3" t="s">
        <v>64</v>
      </c>
      <c r="AS1388" s="3" t="s">
        <v>64</v>
      </c>
      <c r="AT1388" s="3" t="s">
        <v>64</v>
      </c>
      <c r="AV1388" s="6" t="str">
        <f>HYPERLINK("http://mcgill.on.worldcat.org/oclc/55800763","Catalog Record")</f>
        <v>Catalog Record</v>
      </c>
      <c r="AW1388" s="6" t="str">
        <f>HYPERLINK("http://www.worldcat.org/oclc/55800763","WorldCat Record")</f>
        <v>WorldCat Record</v>
      </c>
      <c r="AX1388" s="3" t="s">
        <v>14034</v>
      </c>
      <c r="AY1388" s="3" t="s">
        <v>14035</v>
      </c>
      <c r="AZ1388" s="3" t="s">
        <v>14036</v>
      </c>
      <c r="BA1388" s="3" t="s">
        <v>14036</v>
      </c>
      <c r="BB1388" s="3" t="s">
        <v>14037</v>
      </c>
      <c r="BC1388" s="3" t="s">
        <v>77</v>
      </c>
      <c r="BD1388" s="3" t="s">
        <v>78</v>
      </c>
      <c r="BE1388" s="3" t="s">
        <v>14038</v>
      </c>
      <c r="BF1388" s="3" t="s">
        <v>14037</v>
      </c>
      <c r="BG1388" s="3" t="s">
        <v>14039</v>
      </c>
      <c r="BH1388">
        <f t="shared" si="41"/>
        <v>0</v>
      </c>
    </row>
    <row r="1389" spans="1:60" ht="58" x14ac:dyDescent="0.35">
      <c r="A1389" s="2" t="s">
        <v>59</v>
      </c>
      <c r="B1389" s="2" t="s">
        <v>60</v>
      </c>
      <c r="C1389" s="2" t="s">
        <v>14040</v>
      </c>
      <c r="D1389" s="2" t="s">
        <v>14041</v>
      </c>
      <c r="E1389" s="2" t="s">
        <v>14042</v>
      </c>
      <c r="G1389" s="3" t="s">
        <v>64</v>
      </c>
      <c r="I1389" s="3" t="s">
        <v>64</v>
      </c>
      <c r="J1389" s="3" t="s">
        <v>64</v>
      </c>
      <c r="K1389" s="3" t="s">
        <v>65</v>
      </c>
      <c r="L1389" s="2" t="s">
        <v>14043</v>
      </c>
      <c r="M1389" s="2" t="s">
        <v>14044</v>
      </c>
      <c r="N1389" s="3" t="s">
        <v>326</v>
      </c>
      <c r="P1389" s="3" t="s">
        <v>102</v>
      </c>
      <c r="Q1389" s="2" t="s">
        <v>14045</v>
      </c>
      <c r="R1389" s="3" t="s">
        <v>70</v>
      </c>
      <c r="S1389" s="4">
        <v>9</v>
      </c>
      <c r="T1389" s="4">
        <v>9</v>
      </c>
      <c r="U1389" s="5" t="s">
        <v>14046</v>
      </c>
      <c r="V1389" s="5" t="s">
        <v>14046</v>
      </c>
      <c r="W1389" s="5" t="s">
        <v>72</v>
      </c>
      <c r="X1389" s="5" t="s">
        <v>72</v>
      </c>
      <c r="Y1389" s="4">
        <v>537</v>
      </c>
      <c r="Z1389" s="4">
        <v>25</v>
      </c>
      <c r="AA1389" s="4">
        <v>124</v>
      </c>
      <c r="AB1389" s="4">
        <v>3</v>
      </c>
      <c r="AC1389" s="4">
        <v>18</v>
      </c>
      <c r="AD1389" s="4">
        <v>69</v>
      </c>
      <c r="AE1389" s="4">
        <v>127</v>
      </c>
      <c r="AF1389" s="4">
        <v>1</v>
      </c>
      <c r="AG1389" s="4">
        <v>8</v>
      </c>
      <c r="AH1389" s="4">
        <v>64</v>
      </c>
      <c r="AI1389" s="4">
        <v>89</v>
      </c>
      <c r="AJ1389" s="4">
        <v>9</v>
      </c>
      <c r="AK1389" s="4">
        <v>20</v>
      </c>
      <c r="AL1389" s="4">
        <v>32</v>
      </c>
      <c r="AM1389" s="4">
        <v>44</v>
      </c>
      <c r="AN1389" s="4">
        <v>0</v>
      </c>
      <c r="AO1389" s="4">
        <v>0</v>
      </c>
      <c r="AP1389" s="4">
        <v>9</v>
      </c>
      <c r="AQ1389" s="4">
        <v>43</v>
      </c>
      <c r="AR1389" s="3" t="s">
        <v>64</v>
      </c>
      <c r="AS1389" s="3" t="s">
        <v>64</v>
      </c>
      <c r="AT1389" s="3" t="s">
        <v>64</v>
      </c>
      <c r="AV1389" s="6" t="str">
        <f>HYPERLINK("http://mcgill.on.worldcat.org/oclc/601086615","Catalog Record")</f>
        <v>Catalog Record</v>
      </c>
      <c r="AW1389" s="6" t="str">
        <f>HYPERLINK("http://www.worldcat.org/oclc/601086615","WorldCat Record")</f>
        <v>WorldCat Record</v>
      </c>
      <c r="AX1389" s="3" t="s">
        <v>14047</v>
      </c>
      <c r="AY1389" s="3" t="s">
        <v>14048</v>
      </c>
      <c r="AZ1389" s="3" t="s">
        <v>14049</v>
      </c>
      <c r="BA1389" s="3" t="s">
        <v>14049</v>
      </c>
      <c r="BB1389" s="3" t="s">
        <v>14050</v>
      </c>
      <c r="BC1389" s="3" t="s">
        <v>77</v>
      </c>
      <c r="BD1389" s="3" t="s">
        <v>78</v>
      </c>
      <c r="BE1389" s="3" t="s">
        <v>14051</v>
      </c>
      <c r="BF1389" s="3" t="s">
        <v>14050</v>
      </c>
      <c r="BG1389" s="3" t="s">
        <v>14052</v>
      </c>
      <c r="BH1389">
        <f t="shared" si="41"/>
        <v>0</v>
      </c>
    </row>
    <row r="1390" spans="1:60" ht="58" x14ac:dyDescent="0.35">
      <c r="A1390" s="2" t="s">
        <v>1040</v>
      </c>
      <c r="B1390" s="2" t="s">
        <v>60</v>
      </c>
      <c r="C1390" s="2" t="s">
        <v>14053</v>
      </c>
      <c r="D1390" s="2" t="s">
        <v>14054</v>
      </c>
      <c r="E1390" s="2" t="s">
        <v>14055</v>
      </c>
      <c r="G1390" s="3" t="s">
        <v>64</v>
      </c>
      <c r="I1390" s="3" t="s">
        <v>64</v>
      </c>
      <c r="J1390" s="3" t="s">
        <v>64</v>
      </c>
      <c r="K1390" s="3" t="s">
        <v>65</v>
      </c>
      <c r="M1390" s="2" t="s">
        <v>14056</v>
      </c>
      <c r="N1390" s="3" t="s">
        <v>1275</v>
      </c>
      <c r="P1390" s="3" t="s">
        <v>102</v>
      </c>
      <c r="R1390" s="3" t="s">
        <v>70</v>
      </c>
      <c r="S1390" s="4">
        <v>17</v>
      </c>
      <c r="T1390" s="4">
        <v>17</v>
      </c>
      <c r="U1390" s="5" t="s">
        <v>14057</v>
      </c>
      <c r="V1390" s="5" t="s">
        <v>14057</v>
      </c>
      <c r="W1390" s="5" t="s">
        <v>72</v>
      </c>
      <c r="X1390" s="5" t="s">
        <v>72</v>
      </c>
      <c r="Y1390" s="4">
        <v>405</v>
      </c>
      <c r="Z1390" s="4">
        <v>38</v>
      </c>
      <c r="AA1390" s="4">
        <v>44</v>
      </c>
      <c r="AB1390" s="4">
        <v>1</v>
      </c>
      <c r="AC1390" s="4">
        <v>5</v>
      </c>
      <c r="AD1390" s="4">
        <v>89</v>
      </c>
      <c r="AE1390" s="4">
        <v>94</v>
      </c>
      <c r="AF1390" s="4">
        <v>0</v>
      </c>
      <c r="AG1390" s="4">
        <v>2</v>
      </c>
      <c r="AH1390" s="4">
        <v>75</v>
      </c>
      <c r="AI1390" s="4">
        <v>77</v>
      </c>
      <c r="AJ1390" s="4">
        <v>17</v>
      </c>
      <c r="AK1390" s="4">
        <v>21</v>
      </c>
      <c r="AL1390" s="4">
        <v>36</v>
      </c>
      <c r="AM1390" s="4">
        <v>37</v>
      </c>
      <c r="AN1390" s="4">
        <v>0</v>
      </c>
      <c r="AO1390" s="4">
        <v>0</v>
      </c>
      <c r="AP1390" s="4">
        <v>24</v>
      </c>
      <c r="AQ1390" s="4">
        <v>27</v>
      </c>
      <c r="AR1390" s="3" t="s">
        <v>64</v>
      </c>
      <c r="AS1390" s="3" t="s">
        <v>64</v>
      </c>
      <c r="AT1390" s="3" t="s">
        <v>128</v>
      </c>
      <c r="AU1390" s="6" t="str">
        <f>HYPERLINK("http://catalog.hathitrust.org/Record/004379200","HathiTrust Record")</f>
        <v>HathiTrust Record</v>
      </c>
      <c r="AV1390" s="6" t="str">
        <f>HYPERLINK("http://mcgill.on.worldcat.org/oclc/52396668","Catalog Record")</f>
        <v>Catalog Record</v>
      </c>
      <c r="AW1390" s="6" t="str">
        <f>HYPERLINK("http://www.worldcat.org/oclc/52396668","WorldCat Record")</f>
        <v>WorldCat Record</v>
      </c>
      <c r="AX1390" s="3" t="s">
        <v>14058</v>
      </c>
      <c r="AY1390" s="3" t="s">
        <v>14059</v>
      </c>
      <c r="AZ1390" s="3" t="s">
        <v>14060</v>
      </c>
      <c r="BA1390" s="3" t="s">
        <v>14060</v>
      </c>
      <c r="BB1390" s="3" t="s">
        <v>14061</v>
      </c>
      <c r="BC1390" s="3" t="s">
        <v>77</v>
      </c>
      <c r="BD1390" s="3" t="s">
        <v>78</v>
      </c>
      <c r="BE1390" s="3" t="s">
        <v>14062</v>
      </c>
      <c r="BF1390" s="3" t="s">
        <v>14061</v>
      </c>
      <c r="BG1390" s="3" t="s">
        <v>14063</v>
      </c>
      <c r="BH1390">
        <f t="shared" si="41"/>
        <v>0</v>
      </c>
    </row>
    <row r="1391" spans="1:60" ht="58" x14ac:dyDescent="0.35">
      <c r="A1391" s="2" t="s">
        <v>59</v>
      </c>
      <c r="B1391" s="2" t="s">
        <v>60</v>
      </c>
      <c r="C1391" s="2" t="s">
        <v>14064</v>
      </c>
      <c r="D1391" s="2" t="s">
        <v>14065</v>
      </c>
      <c r="E1391" s="2" t="s">
        <v>14066</v>
      </c>
      <c r="G1391" s="3" t="s">
        <v>64</v>
      </c>
      <c r="I1391" s="3" t="s">
        <v>64</v>
      </c>
      <c r="J1391" s="3" t="s">
        <v>64</v>
      </c>
      <c r="K1391" s="3" t="s">
        <v>65</v>
      </c>
      <c r="L1391" s="2" t="s">
        <v>14067</v>
      </c>
      <c r="M1391" s="2" t="s">
        <v>14068</v>
      </c>
      <c r="N1391" s="3" t="s">
        <v>326</v>
      </c>
      <c r="P1391" s="3" t="s">
        <v>102</v>
      </c>
      <c r="R1391" s="3" t="s">
        <v>70</v>
      </c>
      <c r="S1391" s="4">
        <v>11</v>
      </c>
      <c r="T1391" s="4">
        <v>11</v>
      </c>
      <c r="U1391" s="5" t="s">
        <v>4130</v>
      </c>
      <c r="V1391" s="5" t="s">
        <v>4130</v>
      </c>
      <c r="W1391" s="5" t="s">
        <v>72</v>
      </c>
      <c r="X1391" s="5" t="s">
        <v>72</v>
      </c>
      <c r="Y1391" s="4">
        <v>349</v>
      </c>
      <c r="Z1391" s="4">
        <v>27</v>
      </c>
      <c r="AA1391" s="4">
        <v>35</v>
      </c>
      <c r="AB1391" s="4">
        <v>3</v>
      </c>
      <c r="AC1391" s="4">
        <v>9</v>
      </c>
      <c r="AD1391" s="4">
        <v>104</v>
      </c>
      <c r="AE1391" s="4">
        <v>115</v>
      </c>
      <c r="AF1391" s="4">
        <v>1</v>
      </c>
      <c r="AG1391" s="4">
        <v>4</v>
      </c>
      <c r="AH1391" s="4">
        <v>89</v>
      </c>
      <c r="AI1391" s="4">
        <v>96</v>
      </c>
      <c r="AJ1391" s="4">
        <v>19</v>
      </c>
      <c r="AK1391" s="4">
        <v>23</v>
      </c>
      <c r="AL1391" s="4">
        <v>50</v>
      </c>
      <c r="AM1391" s="4">
        <v>53</v>
      </c>
      <c r="AN1391" s="4">
        <v>0</v>
      </c>
      <c r="AO1391" s="4">
        <v>0</v>
      </c>
      <c r="AP1391" s="4">
        <v>23</v>
      </c>
      <c r="AQ1391" s="4">
        <v>28</v>
      </c>
      <c r="AR1391" s="3" t="s">
        <v>64</v>
      </c>
      <c r="AS1391" s="3" t="s">
        <v>64</v>
      </c>
      <c r="AT1391" s="3" t="s">
        <v>64</v>
      </c>
      <c r="AV1391" s="6" t="str">
        <f>HYPERLINK("http://mcgill.on.worldcat.org/oclc/646111446","Catalog Record")</f>
        <v>Catalog Record</v>
      </c>
      <c r="AW1391" s="6" t="str">
        <f>HYPERLINK("http://www.worldcat.org/oclc/646111446","WorldCat Record")</f>
        <v>WorldCat Record</v>
      </c>
      <c r="AX1391" s="3" t="s">
        <v>14069</v>
      </c>
      <c r="AY1391" s="3" t="s">
        <v>14070</v>
      </c>
      <c r="AZ1391" s="3" t="s">
        <v>14071</v>
      </c>
      <c r="BA1391" s="3" t="s">
        <v>14071</v>
      </c>
      <c r="BB1391" s="3" t="s">
        <v>14072</v>
      </c>
      <c r="BC1391" s="3" t="s">
        <v>77</v>
      </c>
      <c r="BD1391" s="3" t="s">
        <v>78</v>
      </c>
      <c r="BE1391" s="3" t="s">
        <v>14073</v>
      </c>
      <c r="BF1391" s="3" t="s">
        <v>14072</v>
      </c>
      <c r="BG1391" s="3" t="s">
        <v>14074</v>
      </c>
      <c r="BH1391">
        <f t="shared" si="41"/>
        <v>0</v>
      </c>
    </row>
    <row r="1392" spans="1:60" ht="58" x14ac:dyDescent="0.35">
      <c r="A1392" s="2" t="s">
        <v>59</v>
      </c>
      <c r="B1392" s="2" t="s">
        <v>60</v>
      </c>
      <c r="C1392" s="2" t="s">
        <v>14075</v>
      </c>
      <c r="D1392" s="2" t="s">
        <v>14076</v>
      </c>
      <c r="E1392" s="2" t="s">
        <v>14077</v>
      </c>
      <c r="G1392" s="3" t="s">
        <v>64</v>
      </c>
      <c r="I1392" s="3" t="s">
        <v>128</v>
      </c>
      <c r="J1392" s="3" t="s">
        <v>64</v>
      </c>
      <c r="K1392" s="3" t="s">
        <v>65</v>
      </c>
      <c r="L1392" s="2" t="s">
        <v>14078</v>
      </c>
      <c r="M1392" s="2" t="s">
        <v>14079</v>
      </c>
      <c r="N1392" s="3" t="s">
        <v>326</v>
      </c>
      <c r="O1392" s="2" t="s">
        <v>2149</v>
      </c>
      <c r="P1392" s="3" t="s">
        <v>102</v>
      </c>
      <c r="R1392" s="3" t="s">
        <v>70</v>
      </c>
      <c r="S1392" s="4">
        <v>24</v>
      </c>
      <c r="T1392" s="4">
        <v>62</v>
      </c>
      <c r="U1392" s="5" t="s">
        <v>14080</v>
      </c>
      <c r="V1392" s="5" t="s">
        <v>14080</v>
      </c>
      <c r="W1392" s="5" t="s">
        <v>72</v>
      </c>
      <c r="X1392" s="5" t="s">
        <v>72</v>
      </c>
      <c r="Y1392" s="4">
        <v>2582</v>
      </c>
      <c r="Z1392" s="4">
        <v>99</v>
      </c>
      <c r="AA1392" s="4">
        <v>121</v>
      </c>
      <c r="AB1392" s="4">
        <v>6</v>
      </c>
      <c r="AC1392" s="4">
        <v>12</v>
      </c>
      <c r="AD1392" s="4">
        <v>143</v>
      </c>
      <c r="AE1392" s="4">
        <v>146</v>
      </c>
      <c r="AF1392" s="4">
        <v>2</v>
      </c>
      <c r="AG1392" s="4">
        <v>5</v>
      </c>
      <c r="AH1392" s="4">
        <v>107</v>
      </c>
      <c r="AI1392" s="4">
        <v>108</v>
      </c>
      <c r="AJ1392" s="4">
        <v>20</v>
      </c>
      <c r="AK1392" s="4">
        <v>22</v>
      </c>
      <c r="AL1392" s="4">
        <v>60</v>
      </c>
      <c r="AM1392" s="4">
        <v>60</v>
      </c>
      <c r="AN1392" s="4">
        <v>0</v>
      </c>
      <c r="AO1392" s="4">
        <v>0</v>
      </c>
      <c r="AP1392" s="4">
        <v>41</v>
      </c>
      <c r="AQ1392" s="4">
        <v>43</v>
      </c>
      <c r="AR1392" s="3" t="s">
        <v>64</v>
      </c>
      <c r="AS1392" s="3" t="s">
        <v>64</v>
      </c>
      <c r="AT1392" s="3" t="s">
        <v>64</v>
      </c>
      <c r="AV1392" s="6" t="str">
        <f>HYPERLINK("http://mcgill.on.worldcat.org/oclc/607975727","Catalog Record")</f>
        <v>Catalog Record</v>
      </c>
      <c r="AW1392" s="6" t="str">
        <f>HYPERLINK("http://www.worldcat.org/oclc/607975727","WorldCat Record")</f>
        <v>WorldCat Record</v>
      </c>
      <c r="AX1392" s="3" t="s">
        <v>14081</v>
      </c>
      <c r="AY1392" s="3" t="s">
        <v>14082</v>
      </c>
      <c r="AZ1392" s="3" t="s">
        <v>14083</v>
      </c>
      <c r="BA1392" s="3" t="s">
        <v>14083</v>
      </c>
      <c r="BB1392" s="3" t="s">
        <v>14084</v>
      </c>
      <c r="BC1392" s="3" t="s">
        <v>77</v>
      </c>
      <c r="BD1392" s="3" t="s">
        <v>78</v>
      </c>
      <c r="BE1392" s="3" t="s">
        <v>14085</v>
      </c>
      <c r="BF1392" s="3" t="s">
        <v>14084</v>
      </c>
      <c r="BG1392" s="3" t="s">
        <v>14086</v>
      </c>
      <c r="BH1392">
        <f t="shared" si="41"/>
        <v>0</v>
      </c>
    </row>
    <row r="1393" spans="1:60" ht="58" x14ac:dyDescent="0.35">
      <c r="A1393" s="2" t="s">
        <v>59</v>
      </c>
      <c r="B1393" s="2" t="s">
        <v>60</v>
      </c>
      <c r="C1393" s="2" t="s">
        <v>14075</v>
      </c>
      <c r="D1393" s="2" t="s">
        <v>14076</v>
      </c>
      <c r="E1393" s="2" t="s">
        <v>14077</v>
      </c>
      <c r="G1393" s="3" t="s">
        <v>64</v>
      </c>
      <c r="I1393" s="3" t="s">
        <v>128</v>
      </c>
      <c r="J1393" s="3" t="s">
        <v>64</v>
      </c>
      <c r="K1393" s="3" t="s">
        <v>65</v>
      </c>
      <c r="L1393" s="2" t="s">
        <v>14078</v>
      </c>
      <c r="M1393" s="2" t="s">
        <v>14079</v>
      </c>
      <c r="N1393" s="3" t="s">
        <v>326</v>
      </c>
      <c r="O1393" s="2" t="s">
        <v>2149</v>
      </c>
      <c r="P1393" s="3" t="s">
        <v>102</v>
      </c>
      <c r="R1393" s="3" t="s">
        <v>70</v>
      </c>
      <c r="S1393" s="4">
        <v>27</v>
      </c>
      <c r="T1393" s="4">
        <v>62</v>
      </c>
      <c r="U1393" s="5" t="s">
        <v>11403</v>
      </c>
      <c r="V1393" s="5" t="s">
        <v>14080</v>
      </c>
      <c r="W1393" s="5" t="s">
        <v>72</v>
      </c>
      <c r="X1393" s="5" t="s">
        <v>72</v>
      </c>
      <c r="Y1393" s="4">
        <v>2582</v>
      </c>
      <c r="Z1393" s="4">
        <v>99</v>
      </c>
      <c r="AA1393" s="4">
        <v>121</v>
      </c>
      <c r="AB1393" s="4">
        <v>6</v>
      </c>
      <c r="AC1393" s="4">
        <v>12</v>
      </c>
      <c r="AD1393" s="4">
        <v>143</v>
      </c>
      <c r="AE1393" s="4">
        <v>146</v>
      </c>
      <c r="AF1393" s="4">
        <v>2</v>
      </c>
      <c r="AG1393" s="4">
        <v>5</v>
      </c>
      <c r="AH1393" s="4">
        <v>107</v>
      </c>
      <c r="AI1393" s="4">
        <v>108</v>
      </c>
      <c r="AJ1393" s="4">
        <v>20</v>
      </c>
      <c r="AK1393" s="4">
        <v>22</v>
      </c>
      <c r="AL1393" s="4">
        <v>60</v>
      </c>
      <c r="AM1393" s="4">
        <v>60</v>
      </c>
      <c r="AN1393" s="4">
        <v>0</v>
      </c>
      <c r="AO1393" s="4">
        <v>0</v>
      </c>
      <c r="AP1393" s="4">
        <v>41</v>
      </c>
      <c r="AQ1393" s="4">
        <v>43</v>
      </c>
      <c r="AR1393" s="3" t="s">
        <v>64</v>
      </c>
      <c r="AS1393" s="3" t="s">
        <v>64</v>
      </c>
      <c r="AT1393" s="3" t="s">
        <v>64</v>
      </c>
      <c r="AV1393" s="6" t="str">
        <f>HYPERLINK("http://mcgill.on.worldcat.org/oclc/607975727","Catalog Record")</f>
        <v>Catalog Record</v>
      </c>
      <c r="AW1393" s="6" t="str">
        <f>HYPERLINK("http://www.worldcat.org/oclc/607975727","WorldCat Record")</f>
        <v>WorldCat Record</v>
      </c>
      <c r="AX1393" s="3" t="s">
        <v>14081</v>
      </c>
      <c r="AY1393" s="3" t="s">
        <v>14082</v>
      </c>
      <c r="AZ1393" s="3" t="s">
        <v>14083</v>
      </c>
      <c r="BA1393" s="3" t="s">
        <v>14083</v>
      </c>
      <c r="BB1393" s="3" t="s">
        <v>14087</v>
      </c>
      <c r="BC1393" s="3" t="s">
        <v>77</v>
      </c>
      <c r="BD1393" s="3" t="s">
        <v>165</v>
      </c>
      <c r="BE1393" s="3" t="s">
        <v>14085</v>
      </c>
      <c r="BF1393" s="3" t="s">
        <v>14087</v>
      </c>
      <c r="BG1393" s="3" t="s">
        <v>14088</v>
      </c>
      <c r="BH1393">
        <f t="shared" si="41"/>
        <v>0</v>
      </c>
    </row>
    <row r="1394" spans="1:60" ht="58" x14ac:dyDescent="0.35">
      <c r="A1394" s="2" t="s">
        <v>1040</v>
      </c>
      <c r="B1394" s="2" t="s">
        <v>60</v>
      </c>
      <c r="C1394" s="2" t="s">
        <v>14075</v>
      </c>
      <c r="D1394" s="2" t="s">
        <v>14076</v>
      </c>
      <c r="E1394" s="2" t="s">
        <v>14077</v>
      </c>
      <c r="G1394" s="3" t="s">
        <v>64</v>
      </c>
      <c r="I1394" s="3" t="s">
        <v>128</v>
      </c>
      <c r="J1394" s="3" t="s">
        <v>64</v>
      </c>
      <c r="K1394" s="3" t="s">
        <v>65</v>
      </c>
      <c r="L1394" s="2" t="s">
        <v>14078</v>
      </c>
      <c r="M1394" s="2" t="s">
        <v>14079</v>
      </c>
      <c r="N1394" s="3" t="s">
        <v>326</v>
      </c>
      <c r="O1394" s="2" t="s">
        <v>2149</v>
      </c>
      <c r="P1394" s="3" t="s">
        <v>102</v>
      </c>
      <c r="R1394" s="3" t="s">
        <v>70</v>
      </c>
      <c r="S1394" s="4">
        <v>5</v>
      </c>
      <c r="T1394" s="4">
        <v>62</v>
      </c>
      <c r="U1394" s="5" t="s">
        <v>10295</v>
      </c>
      <c r="V1394" s="5" t="s">
        <v>14080</v>
      </c>
      <c r="W1394" s="5" t="s">
        <v>72</v>
      </c>
      <c r="X1394" s="5" t="s">
        <v>72</v>
      </c>
      <c r="Y1394" s="4">
        <v>2582</v>
      </c>
      <c r="Z1394" s="4">
        <v>99</v>
      </c>
      <c r="AA1394" s="4">
        <v>121</v>
      </c>
      <c r="AB1394" s="4">
        <v>6</v>
      </c>
      <c r="AC1394" s="4">
        <v>12</v>
      </c>
      <c r="AD1394" s="4">
        <v>143</v>
      </c>
      <c r="AE1394" s="4">
        <v>146</v>
      </c>
      <c r="AF1394" s="4">
        <v>2</v>
      </c>
      <c r="AG1394" s="4">
        <v>5</v>
      </c>
      <c r="AH1394" s="4">
        <v>107</v>
      </c>
      <c r="AI1394" s="4">
        <v>108</v>
      </c>
      <c r="AJ1394" s="4">
        <v>20</v>
      </c>
      <c r="AK1394" s="4">
        <v>22</v>
      </c>
      <c r="AL1394" s="4">
        <v>60</v>
      </c>
      <c r="AM1394" s="4">
        <v>60</v>
      </c>
      <c r="AN1394" s="4">
        <v>0</v>
      </c>
      <c r="AO1394" s="4">
        <v>0</v>
      </c>
      <c r="AP1394" s="4">
        <v>41</v>
      </c>
      <c r="AQ1394" s="4">
        <v>43</v>
      </c>
      <c r="AR1394" s="3" t="s">
        <v>64</v>
      </c>
      <c r="AS1394" s="3" t="s">
        <v>64</v>
      </c>
      <c r="AT1394" s="3" t="s">
        <v>64</v>
      </c>
      <c r="AV1394" s="6" t="str">
        <f>HYPERLINK("http://mcgill.on.worldcat.org/oclc/607975727","Catalog Record")</f>
        <v>Catalog Record</v>
      </c>
      <c r="AW1394" s="6" t="str">
        <f>HYPERLINK("http://www.worldcat.org/oclc/607975727","WorldCat Record")</f>
        <v>WorldCat Record</v>
      </c>
      <c r="AX1394" s="3" t="s">
        <v>14081</v>
      </c>
      <c r="AY1394" s="3" t="s">
        <v>14082</v>
      </c>
      <c r="AZ1394" s="3" t="s">
        <v>14083</v>
      </c>
      <c r="BA1394" s="3" t="s">
        <v>14083</v>
      </c>
      <c r="BB1394" s="3" t="s">
        <v>14089</v>
      </c>
      <c r="BC1394" s="3" t="s">
        <v>77</v>
      </c>
      <c r="BD1394" s="3" t="s">
        <v>78</v>
      </c>
      <c r="BE1394" s="3" t="s">
        <v>14085</v>
      </c>
      <c r="BF1394" s="3" t="s">
        <v>14089</v>
      </c>
      <c r="BG1394" s="3" t="s">
        <v>14090</v>
      </c>
      <c r="BH1394">
        <f t="shared" si="41"/>
        <v>0</v>
      </c>
    </row>
    <row r="1395" spans="1:60" ht="58" x14ac:dyDescent="0.35">
      <c r="A1395" s="2" t="s">
        <v>1040</v>
      </c>
      <c r="B1395" s="2" t="s">
        <v>60</v>
      </c>
      <c r="C1395" s="2" t="s">
        <v>14075</v>
      </c>
      <c r="D1395" s="2" t="s">
        <v>14076</v>
      </c>
      <c r="E1395" s="2" t="s">
        <v>14077</v>
      </c>
      <c r="G1395" s="3" t="s">
        <v>64</v>
      </c>
      <c r="I1395" s="3" t="s">
        <v>128</v>
      </c>
      <c r="J1395" s="3" t="s">
        <v>64</v>
      </c>
      <c r="K1395" s="3" t="s">
        <v>65</v>
      </c>
      <c r="L1395" s="2" t="s">
        <v>14078</v>
      </c>
      <c r="M1395" s="2" t="s">
        <v>14079</v>
      </c>
      <c r="N1395" s="3" t="s">
        <v>326</v>
      </c>
      <c r="O1395" s="2" t="s">
        <v>2149</v>
      </c>
      <c r="P1395" s="3" t="s">
        <v>102</v>
      </c>
      <c r="R1395" s="3" t="s">
        <v>70</v>
      </c>
      <c r="S1395" s="4">
        <v>6</v>
      </c>
      <c r="T1395" s="4">
        <v>62</v>
      </c>
      <c r="U1395" s="5" t="s">
        <v>12623</v>
      </c>
      <c r="V1395" s="5" t="s">
        <v>14080</v>
      </c>
      <c r="W1395" s="5" t="s">
        <v>72</v>
      </c>
      <c r="X1395" s="5" t="s">
        <v>72</v>
      </c>
      <c r="Y1395" s="4">
        <v>2582</v>
      </c>
      <c r="Z1395" s="4">
        <v>99</v>
      </c>
      <c r="AA1395" s="4">
        <v>121</v>
      </c>
      <c r="AB1395" s="4">
        <v>6</v>
      </c>
      <c r="AC1395" s="4">
        <v>12</v>
      </c>
      <c r="AD1395" s="4">
        <v>143</v>
      </c>
      <c r="AE1395" s="4">
        <v>146</v>
      </c>
      <c r="AF1395" s="4">
        <v>2</v>
      </c>
      <c r="AG1395" s="4">
        <v>5</v>
      </c>
      <c r="AH1395" s="4">
        <v>107</v>
      </c>
      <c r="AI1395" s="4">
        <v>108</v>
      </c>
      <c r="AJ1395" s="4">
        <v>20</v>
      </c>
      <c r="AK1395" s="4">
        <v>22</v>
      </c>
      <c r="AL1395" s="4">
        <v>60</v>
      </c>
      <c r="AM1395" s="4">
        <v>60</v>
      </c>
      <c r="AN1395" s="4">
        <v>0</v>
      </c>
      <c r="AO1395" s="4">
        <v>0</v>
      </c>
      <c r="AP1395" s="4">
        <v>41</v>
      </c>
      <c r="AQ1395" s="4">
        <v>43</v>
      </c>
      <c r="AR1395" s="3" t="s">
        <v>64</v>
      </c>
      <c r="AS1395" s="3" t="s">
        <v>64</v>
      </c>
      <c r="AT1395" s="3" t="s">
        <v>64</v>
      </c>
      <c r="AV1395" s="6" t="str">
        <f>HYPERLINK("http://mcgill.on.worldcat.org/oclc/607975727","Catalog Record")</f>
        <v>Catalog Record</v>
      </c>
      <c r="AW1395" s="6" t="str">
        <f>HYPERLINK("http://www.worldcat.org/oclc/607975727","WorldCat Record")</f>
        <v>WorldCat Record</v>
      </c>
      <c r="AX1395" s="3" t="s">
        <v>14081</v>
      </c>
      <c r="AY1395" s="3" t="s">
        <v>14082</v>
      </c>
      <c r="AZ1395" s="3" t="s">
        <v>14083</v>
      </c>
      <c r="BA1395" s="3" t="s">
        <v>14083</v>
      </c>
      <c r="BB1395" s="3" t="s">
        <v>14091</v>
      </c>
      <c r="BC1395" s="3" t="s">
        <v>77</v>
      </c>
      <c r="BD1395" s="3" t="s">
        <v>165</v>
      </c>
      <c r="BE1395" s="3" t="s">
        <v>14085</v>
      </c>
      <c r="BF1395" s="3" t="s">
        <v>14091</v>
      </c>
      <c r="BG1395" s="3" t="s">
        <v>14092</v>
      </c>
      <c r="BH1395">
        <f t="shared" si="41"/>
        <v>0</v>
      </c>
    </row>
    <row r="1396" spans="1:60" ht="58" x14ac:dyDescent="0.35">
      <c r="A1396" s="2" t="s">
        <v>59</v>
      </c>
      <c r="B1396" s="2" t="s">
        <v>60</v>
      </c>
      <c r="C1396" s="2" t="s">
        <v>14093</v>
      </c>
      <c r="D1396" s="2" t="s">
        <v>14094</v>
      </c>
      <c r="E1396" s="2" t="s">
        <v>14095</v>
      </c>
      <c r="G1396" s="3" t="s">
        <v>64</v>
      </c>
      <c r="I1396" s="3" t="s">
        <v>64</v>
      </c>
      <c r="J1396" s="3" t="s">
        <v>128</v>
      </c>
      <c r="K1396" s="3" t="s">
        <v>65</v>
      </c>
      <c r="L1396" s="2" t="s">
        <v>14096</v>
      </c>
      <c r="M1396" s="2" t="s">
        <v>14097</v>
      </c>
      <c r="N1396" s="3" t="s">
        <v>1075</v>
      </c>
      <c r="O1396" s="2" t="s">
        <v>3787</v>
      </c>
      <c r="P1396" s="3" t="s">
        <v>102</v>
      </c>
      <c r="R1396" s="3" t="s">
        <v>70</v>
      </c>
      <c r="S1396" s="4">
        <v>1</v>
      </c>
      <c r="T1396" s="4">
        <v>1</v>
      </c>
      <c r="U1396" s="5" t="s">
        <v>14098</v>
      </c>
      <c r="V1396" s="5" t="s">
        <v>14098</v>
      </c>
      <c r="W1396" s="5" t="s">
        <v>72</v>
      </c>
      <c r="X1396" s="5" t="s">
        <v>72</v>
      </c>
      <c r="Y1396" s="4">
        <v>100</v>
      </c>
      <c r="Z1396" s="4">
        <v>8</v>
      </c>
      <c r="AA1396" s="4">
        <v>71</v>
      </c>
      <c r="AB1396" s="4">
        <v>1</v>
      </c>
      <c r="AC1396" s="4">
        <v>8</v>
      </c>
      <c r="AD1396" s="4">
        <v>19</v>
      </c>
      <c r="AE1396" s="4">
        <v>76</v>
      </c>
      <c r="AF1396" s="4">
        <v>0</v>
      </c>
      <c r="AG1396" s="4">
        <v>1</v>
      </c>
      <c r="AH1396" s="4">
        <v>18</v>
      </c>
      <c r="AI1396" s="4">
        <v>63</v>
      </c>
      <c r="AJ1396" s="4">
        <v>3</v>
      </c>
      <c r="AK1396" s="4">
        <v>9</v>
      </c>
      <c r="AL1396" s="4">
        <v>10</v>
      </c>
      <c r="AM1396" s="4">
        <v>33</v>
      </c>
      <c r="AN1396" s="4">
        <v>0</v>
      </c>
      <c r="AO1396" s="4">
        <v>0</v>
      </c>
      <c r="AP1396" s="4">
        <v>4</v>
      </c>
      <c r="AQ1396" s="4">
        <v>16</v>
      </c>
      <c r="AR1396" s="3" t="s">
        <v>64</v>
      </c>
      <c r="AS1396" s="3" t="s">
        <v>64</v>
      </c>
      <c r="AT1396" s="3" t="s">
        <v>64</v>
      </c>
      <c r="AV1396" s="6" t="str">
        <f>HYPERLINK("http://mcgill.on.worldcat.org/oclc/810111242","Catalog Record")</f>
        <v>Catalog Record</v>
      </c>
      <c r="AW1396" s="6" t="str">
        <f>HYPERLINK("http://www.worldcat.org/oclc/810111242","WorldCat Record")</f>
        <v>WorldCat Record</v>
      </c>
      <c r="AX1396" s="3" t="s">
        <v>14099</v>
      </c>
      <c r="AY1396" s="3" t="s">
        <v>14100</v>
      </c>
      <c r="AZ1396" s="3" t="s">
        <v>14101</v>
      </c>
      <c r="BA1396" s="3" t="s">
        <v>14101</v>
      </c>
      <c r="BB1396" s="3" t="s">
        <v>14102</v>
      </c>
      <c r="BC1396" s="3" t="s">
        <v>77</v>
      </c>
      <c r="BD1396" s="3" t="s">
        <v>78</v>
      </c>
      <c r="BE1396" s="3" t="s">
        <v>14103</v>
      </c>
      <c r="BF1396" s="3" t="s">
        <v>14102</v>
      </c>
      <c r="BG1396" s="3" t="s">
        <v>14104</v>
      </c>
      <c r="BH1396">
        <f t="shared" si="41"/>
        <v>0</v>
      </c>
    </row>
    <row r="1397" spans="1:60" ht="58" x14ac:dyDescent="0.35">
      <c r="A1397" s="2" t="s">
        <v>59</v>
      </c>
      <c r="B1397" s="2" t="s">
        <v>60</v>
      </c>
      <c r="C1397" s="2" t="s">
        <v>14105</v>
      </c>
      <c r="D1397" s="2" t="s">
        <v>14106</v>
      </c>
      <c r="E1397" s="2" t="s">
        <v>14107</v>
      </c>
      <c r="G1397" s="3" t="s">
        <v>64</v>
      </c>
      <c r="I1397" s="3" t="s">
        <v>64</v>
      </c>
      <c r="J1397" s="3" t="s">
        <v>128</v>
      </c>
      <c r="K1397" s="3" t="s">
        <v>65</v>
      </c>
      <c r="L1397" s="2" t="s">
        <v>14108</v>
      </c>
      <c r="M1397" s="2" t="s">
        <v>14109</v>
      </c>
      <c r="N1397" s="3" t="s">
        <v>153</v>
      </c>
      <c r="O1397" s="2" t="s">
        <v>172</v>
      </c>
      <c r="P1397" s="3" t="s">
        <v>102</v>
      </c>
      <c r="Q1397" s="2" t="s">
        <v>14110</v>
      </c>
      <c r="R1397" s="3" t="s">
        <v>70</v>
      </c>
      <c r="S1397" s="4">
        <v>14</v>
      </c>
      <c r="T1397" s="4">
        <v>14</v>
      </c>
      <c r="U1397" s="5" t="s">
        <v>14111</v>
      </c>
      <c r="V1397" s="5" t="s">
        <v>14111</v>
      </c>
      <c r="W1397" s="5" t="s">
        <v>72</v>
      </c>
      <c r="X1397" s="5" t="s">
        <v>72</v>
      </c>
      <c r="Y1397" s="4">
        <v>228</v>
      </c>
      <c r="Z1397" s="4">
        <v>17</v>
      </c>
      <c r="AA1397" s="4">
        <v>27</v>
      </c>
      <c r="AB1397" s="4">
        <v>3</v>
      </c>
      <c r="AC1397" s="4">
        <v>4</v>
      </c>
      <c r="AD1397" s="4">
        <v>75</v>
      </c>
      <c r="AE1397" s="4">
        <v>105</v>
      </c>
      <c r="AF1397" s="4">
        <v>1</v>
      </c>
      <c r="AG1397" s="4">
        <v>2</v>
      </c>
      <c r="AH1397" s="4">
        <v>69</v>
      </c>
      <c r="AI1397" s="4">
        <v>91</v>
      </c>
      <c r="AJ1397" s="4">
        <v>11</v>
      </c>
      <c r="AK1397" s="4">
        <v>17</v>
      </c>
      <c r="AL1397" s="4">
        <v>34</v>
      </c>
      <c r="AM1397" s="4">
        <v>43</v>
      </c>
      <c r="AN1397" s="4">
        <v>0</v>
      </c>
      <c r="AO1397" s="4">
        <v>0</v>
      </c>
      <c r="AP1397" s="4">
        <v>12</v>
      </c>
      <c r="AQ1397" s="4">
        <v>20</v>
      </c>
      <c r="AR1397" s="3" t="s">
        <v>64</v>
      </c>
      <c r="AS1397" s="3" t="s">
        <v>64</v>
      </c>
      <c r="AT1397" s="3" t="s">
        <v>64</v>
      </c>
      <c r="AV1397" s="6" t="str">
        <f>HYPERLINK("http://mcgill.on.worldcat.org/oclc/37211169","Catalog Record")</f>
        <v>Catalog Record</v>
      </c>
      <c r="AW1397" s="6" t="str">
        <f>HYPERLINK("http://www.worldcat.org/oclc/37211169","WorldCat Record")</f>
        <v>WorldCat Record</v>
      </c>
      <c r="AX1397" s="3" t="s">
        <v>14112</v>
      </c>
      <c r="AY1397" s="3" t="s">
        <v>14113</v>
      </c>
      <c r="AZ1397" s="3" t="s">
        <v>14114</v>
      </c>
      <c r="BA1397" s="3" t="s">
        <v>14114</v>
      </c>
      <c r="BB1397" s="3" t="s">
        <v>14115</v>
      </c>
      <c r="BC1397" s="3" t="s">
        <v>77</v>
      </c>
      <c r="BD1397" s="3" t="s">
        <v>78</v>
      </c>
      <c r="BE1397" s="3" t="s">
        <v>14116</v>
      </c>
      <c r="BF1397" s="3" t="s">
        <v>14115</v>
      </c>
      <c r="BG1397" s="3" t="s">
        <v>14117</v>
      </c>
      <c r="BH1397">
        <f t="shared" si="41"/>
        <v>0</v>
      </c>
    </row>
    <row r="1398" spans="1:60" ht="58" x14ac:dyDescent="0.35">
      <c r="A1398" s="2" t="s">
        <v>59</v>
      </c>
      <c r="B1398" s="2" t="s">
        <v>60</v>
      </c>
      <c r="C1398" s="2" t="s">
        <v>14118</v>
      </c>
      <c r="D1398" s="2" t="s">
        <v>14119</v>
      </c>
      <c r="E1398" s="2" t="s">
        <v>14120</v>
      </c>
      <c r="G1398" s="3" t="s">
        <v>64</v>
      </c>
      <c r="I1398" s="3" t="s">
        <v>64</v>
      </c>
      <c r="J1398" s="3" t="s">
        <v>64</v>
      </c>
      <c r="K1398" s="3" t="s">
        <v>65</v>
      </c>
      <c r="L1398" s="2" t="s">
        <v>14121</v>
      </c>
      <c r="M1398" s="2" t="s">
        <v>8991</v>
      </c>
      <c r="N1398" s="3" t="s">
        <v>171</v>
      </c>
      <c r="P1398" s="3" t="s">
        <v>102</v>
      </c>
      <c r="Q1398" s="2" t="s">
        <v>8981</v>
      </c>
      <c r="R1398" s="3" t="s">
        <v>70</v>
      </c>
      <c r="S1398" s="4">
        <v>4</v>
      </c>
      <c r="T1398" s="4">
        <v>4</v>
      </c>
      <c r="U1398" s="5" t="s">
        <v>5624</v>
      </c>
      <c r="V1398" s="5" t="s">
        <v>5624</v>
      </c>
      <c r="W1398" s="5" t="s">
        <v>72</v>
      </c>
      <c r="X1398" s="5" t="s">
        <v>72</v>
      </c>
      <c r="Y1398" s="4">
        <v>181</v>
      </c>
      <c r="Z1398" s="4">
        <v>10</v>
      </c>
      <c r="AA1398" s="4">
        <v>14</v>
      </c>
      <c r="AB1398" s="4">
        <v>3</v>
      </c>
      <c r="AC1398" s="4">
        <v>5</v>
      </c>
      <c r="AD1398" s="4">
        <v>35</v>
      </c>
      <c r="AE1398" s="4">
        <v>42</v>
      </c>
      <c r="AF1398" s="4">
        <v>1</v>
      </c>
      <c r="AG1398" s="4">
        <v>1</v>
      </c>
      <c r="AH1398" s="4">
        <v>31</v>
      </c>
      <c r="AI1398" s="4">
        <v>37</v>
      </c>
      <c r="AJ1398" s="4">
        <v>6</v>
      </c>
      <c r="AK1398" s="4">
        <v>6</v>
      </c>
      <c r="AL1398" s="4">
        <v>17</v>
      </c>
      <c r="AM1398" s="4">
        <v>21</v>
      </c>
      <c r="AN1398" s="4">
        <v>0</v>
      </c>
      <c r="AO1398" s="4">
        <v>0</v>
      </c>
      <c r="AP1398" s="4">
        <v>7</v>
      </c>
      <c r="AQ1398" s="4">
        <v>8</v>
      </c>
      <c r="AR1398" s="3" t="s">
        <v>64</v>
      </c>
      <c r="AS1398" s="3" t="s">
        <v>64</v>
      </c>
      <c r="AT1398" s="3" t="s">
        <v>64</v>
      </c>
      <c r="AV1398" s="6" t="str">
        <f>HYPERLINK("http://mcgill.on.worldcat.org/oclc/64097870","Catalog Record")</f>
        <v>Catalog Record</v>
      </c>
      <c r="AW1398" s="6" t="str">
        <f>HYPERLINK("http://www.worldcat.org/oclc/64097870","WorldCat Record")</f>
        <v>WorldCat Record</v>
      </c>
      <c r="AX1398" s="3" t="s">
        <v>14122</v>
      </c>
      <c r="AY1398" s="3" t="s">
        <v>14123</v>
      </c>
      <c r="AZ1398" s="3" t="s">
        <v>14124</v>
      </c>
      <c r="BA1398" s="3" t="s">
        <v>14124</v>
      </c>
      <c r="BB1398" s="3" t="s">
        <v>14125</v>
      </c>
      <c r="BC1398" s="3" t="s">
        <v>77</v>
      </c>
      <c r="BD1398" s="3" t="s">
        <v>78</v>
      </c>
      <c r="BE1398" s="3" t="s">
        <v>14126</v>
      </c>
      <c r="BF1398" s="3" t="s">
        <v>14125</v>
      </c>
      <c r="BG1398" s="3" t="s">
        <v>14127</v>
      </c>
      <c r="BH1398">
        <f t="shared" si="41"/>
        <v>0</v>
      </c>
    </row>
    <row r="1399" spans="1:60" ht="58" x14ac:dyDescent="0.35">
      <c r="A1399" s="2" t="s">
        <v>59</v>
      </c>
      <c r="B1399" s="2" t="s">
        <v>60</v>
      </c>
      <c r="C1399" s="2" t="s">
        <v>14128</v>
      </c>
      <c r="D1399" s="2" t="s">
        <v>14129</v>
      </c>
      <c r="E1399" s="2" t="s">
        <v>14130</v>
      </c>
      <c r="G1399" s="3" t="s">
        <v>64</v>
      </c>
      <c r="I1399" s="3" t="s">
        <v>64</v>
      </c>
      <c r="J1399" s="3" t="s">
        <v>64</v>
      </c>
      <c r="K1399" s="3" t="s">
        <v>65</v>
      </c>
      <c r="M1399" s="2" t="s">
        <v>14131</v>
      </c>
      <c r="N1399" s="3" t="s">
        <v>153</v>
      </c>
      <c r="P1399" s="3" t="s">
        <v>102</v>
      </c>
      <c r="Q1399" s="2" t="s">
        <v>14132</v>
      </c>
      <c r="R1399" s="3" t="s">
        <v>70</v>
      </c>
      <c r="S1399" s="4">
        <v>20</v>
      </c>
      <c r="T1399" s="4">
        <v>20</v>
      </c>
      <c r="U1399" s="5" t="s">
        <v>14133</v>
      </c>
      <c r="V1399" s="5" t="s">
        <v>14133</v>
      </c>
      <c r="W1399" s="5" t="s">
        <v>72</v>
      </c>
      <c r="X1399" s="5" t="s">
        <v>72</v>
      </c>
      <c r="Y1399" s="4">
        <v>132</v>
      </c>
      <c r="Z1399" s="4">
        <v>4</v>
      </c>
      <c r="AA1399" s="4">
        <v>8</v>
      </c>
      <c r="AB1399" s="4">
        <v>1</v>
      </c>
      <c r="AC1399" s="4">
        <v>2</v>
      </c>
      <c r="AD1399" s="4">
        <v>53</v>
      </c>
      <c r="AE1399" s="4">
        <v>57</v>
      </c>
      <c r="AF1399" s="4">
        <v>0</v>
      </c>
      <c r="AG1399" s="4">
        <v>1</v>
      </c>
      <c r="AH1399" s="4">
        <v>51</v>
      </c>
      <c r="AI1399" s="4">
        <v>54</v>
      </c>
      <c r="AJ1399" s="4">
        <v>2</v>
      </c>
      <c r="AK1399" s="4">
        <v>4</v>
      </c>
      <c r="AL1399" s="4">
        <v>33</v>
      </c>
      <c r="AM1399" s="4">
        <v>33</v>
      </c>
      <c r="AN1399" s="4">
        <v>0</v>
      </c>
      <c r="AO1399" s="4">
        <v>0</v>
      </c>
      <c r="AP1399" s="4">
        <v>2</v>
      </c>
      <c r="AQ1399" s="4">
        <v>3</v>
      </c>
      <c r="AR1399" s="3" t="s">
        <v>64</v>
      </c>
      <c r="AS1399" s="3" t="s">
        <v>64</v>
      </c>
      <c r="AT1399" s="3" t="s">
        <v>64</v>
      </c>
      <c r="AV1399" s="6" t="str">
        <f>HYPERLINK("http://mcgill.on.worldcat.org/oclc/39765449","Catalog Record")</f>
        <v>Catalog Record</v>
      </c>
      <c r="AW1399" s="6" t="str">
        <f>HYPERLINK("http://www.worldcat.org/oclc/39765449","WorldCat Record")</f>
        <v>WorldCat Record</v>
      </c>
      <c r="AX1399" s="3" t="s">
        <v>14134</v>
      </c>
      <c r="AY1399" s="3" t="s">
        <v>14135</v>
      </c>
      <c r="AZ1399" s="3" t="s">
        <v>14136</v>
      </c>
      <c r="BA1399" s="3" t="s">
        <v>14136</v>
      </c>
      <c r="BB1399" s="3" t="s">
        <v>14137</v>
      </c>
      <c r="BC1399" s="3" t="s">
        <v>77</v>
      </c>
      <c r="BD1399" s="3" t="s">
        <v>78</v>
      </c>
      <c r="BE1399" s="3" t="s">
        <v>14138</v>
      </c>
      <c r="BF1399" s="3" t="s">
        <v>14137</v>
      </c>
      <c r="BG1399" s="3" t="s">
        <v>14139</v>
      </c>
      <c r="BH1399">
        <f t="shared" si="41"/>
        <v>0</v>
      </c>
    </row>
    <row r="1400" spans="1:60" ht="58" x14ac:dyDescent="0.35">
      <c r="A1400" s="2" t="s">
        <v>59</v>
      </c>
      <c r="B1400" s="2" t="s">
        <v>60</v>
      </c>
      <c r="C1400" s="2" t="s">
        <v>14140</v>
      </c>
      <c r="D1400" s="2" t="s">
        <v>14141</v>
      </c>
      <c r="E1400" s="2" t="s">
        <v>14142</v>
      </c>
      <c r="G1400" s="3" t="s">
        <v>64</v>
      </c>
      <c r="I1400" s="3" t="s">
        <v>64</v>
      </c>
      <c r="J1400" s="3" t="s">
        <v>64</v>
      </c>
      <c r="K1400" s="3" t="s">
        <v>65</v>
      </c>
      <c r="M1400" s="2" t="s">
        <v>14143</v>
      </c>
      <c r="N1400" s="3" t="s">
        <v>551</v>
      </c>
      <c r="P1400" s="3" t="s">
        <v>68</v>
      </c>
      <c r="Q1400" s="2" t="s">
        <v>14144</v>
      </c>
      <c r="R1400" s="3" t="s">
        <v>70</v>
      </c>
      <c r="S1400" s="4">
        <v>6</v>
      </c>
      <c r="T1400" s="4">
        <v>6</v>
      </c>
      <c r="U1400" s="5" t="s">
        <v>14145</v>
      </c>
      <c r="V1400" s="5" t="s">
        <v>14145</v>
      </c>
      <c r="W1400" s="5" t="s">
        <v>72</v>
      </c>
      <c r="X1400" s="5" t="s">
        <v>72</v>
      </c>
      <c r="Y1400" s="4">
        <v>80</v>
      </c>
      <c r="Z1400" s="4">
        <v>37</v>
      </c>
      <c r="AA1400" s="4">
        <v>68</v>
      </c>
      <c r="AB1400" s="4">
        <v>26</v>
      </c>
      <c r="AC1400" s="4">
        <v>29</v>
      </c>
      <c r="AD1400" s="4">
        <v>13</v>
      </c>
      <c r="AE1400" s="4">
        <v>33</v>
      </c>
      <c r="AF1400" s="4">
        <v>6</v>
      </c>
      <c r="AG1400" s="4">
        <v>7</v>
      </c>
      <c r="AH1400" s="4">
        <v>4</v>
      </c>
      <c r="AI1400" s="4">
        <v>13</v>
      </c>
      <c r="AJ1400" s="4">
        <v>10</v>
      </c>
      <c r="AK1400" s="4">
        <v>18</v>
      </c>
      <c r="AL1400" s="4">
        <v>1</v>
      </c>
      <c r="AM1400" s="4">
        <v>4</v>
      </c>
      <c r="AN1400" s="4">
        <v>0</v>
      </c>
      <c r="AO1400" s="4">
        <v>0</v>
      </c>
      <c r="AP1400" s="4">
        <v>10</v>
      </c>
      <c r="AQ1400" s="4">
        <v>25</v>
      </c>
      <c r="AR1400" s="3" t="s">
        <v>128</v>
      </c>
      <c r="AS1400" s="3" t="s">
        <v>64</v>
      </c>
      <c r="AT1400" s="3" t="s">
        <v>64</v>
      </c>
      <c r="AV1400" s="6" t="str">
        <f>HYPERLINK("http://mcgill.on.worldcat.org/oclc/320584406","Catalog Record")</f>
        <v>Catalog Record</v>
      </c>
      <c r="AW1400" s="6" t="str">
        <f>HYPERLINK("http://www.worldcat.org/oclc/320584406","WorldCat Record")</f>
        <v>WorldCat Record</v>
      </c>
      <c r="AX1400" s="3" t="s">
        <v>14146</v>
      </c>
      <c r="AY1400" s="3" t="s">
        <v>14147</v>
      </c>
      <c r="AZ1400" s="3" t="s">
        <v>14148</v>
      </c>
      <c r="BA1400" s="3" t="s">
        <v>14148</v>
      </c>
      <c r="BB1400" s="3" t="s">
        <v>14149</v>
      </c>
      <c r="BC1400" s="3" t="s">
        <v>77</v>
      </c>
      <c r="BD1400" s="3" t="s">
        <v>78</v>
      </c>
      <c r="BE1400" s="3" t="s">
        <v>14150</v>
      </c>
      <c r="BF1400" s="3" t="s">
        <v>14149</v>
      </c>
      <c r="BG1400" s="3" t="s">
        <v>14151</v>
      </c>
      <c r="BH1400">
        <f t="shared" si="41"/>
        <v>0</v>
      </c>
    </row>
    <row r="1401" spans="1:60" ht="58" x14ac:dyDescent="0.35">
      <c r="A1401" s="2" t="s">
        <v>59</v>
      </c>
      <c r="B1401" s="2" t="s">
        <v>60</v>
      </c>
      <c r="C1401" s="2" t="s">
        <v>14152</v>
      </c>
      <c r="D1401" s="2" t="s">
        <v>14153</v>
      </c>
      <c r="E1401" s="2" t="s">
        <v>14154</v>
      </c>
      <c r="G1401" s="3" t="s">
        <v>64</v>
      </c>
      <c r="I1401" s="3" t="s">
        <v>64</v>
      </c>
      <c r="J1401" s="3" t="s">
        <v>64</v>
      </c>
      <c r="K1401" s="3" t="s">
        <v>65</v>
      </c>
      <c r="M1401" s="2" t="s">
        <v>14155</v>
      </c>
      <c r="N1401" s="3" t="s">
        <v>326</v>
      </c>
      <c r="P1401" s="3" t="s">
        <v>102</v>
      </c>
      <c r="Q1401" s="2" t="s">
        <v>14156</v>
      </c>
      <c r="R1401" s="3" t="s">
        <v>70</v>
      </c>
      <c r="S1401" s="4">
        <v>9</v>
      </c>
      <c r="T1401" s="4">
        <v>9</v>
      </c>
      <c r="U1401" s="5" t="s">
        <v>14157</v>
      </c>
      <c r="V1401" s="5" t="s">
        <v>14157</v>
      </c>
      <c r="W1401" s="5" t="s">
        <v>72</v>
      </c>
      <c r="X1401" s="5" t="s">
        <v>72</v>
      </c>
      <c r="Y1401" s="4">
        <v>177</v>
      </c>
      <c r="Z1401" s="4">
        <v>18</v>
      </c>
      <c r="AA1401" s="4">
        <v>21</v>
      </c>
      <c r="AB1401" s="4">
        <v>2</v>
      </c>
      <c r="AC1401" s="4">
        <v>5</v>
      </c>
      <c r="AD1401" s="4">
        <v>76</v>
      </c>
      <c r="AE1401" s="4">
        <v>77</v>
      </c>
      <c r="AF1401" s="4">
        <v>1</v>
      </c>
      <c r="AG1401" s="4">
        <v>2</v>
      </c>
      <c r="AH1401" s="4">
        <v>69</v>
      </c>
      <c r="AI1401" s="4">
        <v>69</v>
      </c>
      <c r="AJ1401" s="4">
        <v>11</v>
      </c>
      <c r="AK1401" s="4">
        <v>12</v>
      </c>
      <c r="AL1401" s="4">
        <v>42</v>
      </c>
      <c r="AM1401" s="4">
        <v>42</v>
      </c>
      <c r="AN1401" s="4">
        <v>0</v>
      </c>
      <c r="AO1401" s="4">
        <v>0</v>
      </c>
      <c r="AP1401" s="4">
        <v>12</v>
      </c>
      <c r="AQ1401" s="4">
        <v>13</v>
      </c>
      <c r="AR1401" s="3" t="s">
        <v>64</v>
      </c>
      <c r="AS1401" s="3" t="s">
        <v>64</v>
      </c>
      <c r="AT1401" s="3" t="s">
        <v>64</v>
      </c>
      <c r="AV1401" s="6" t="str">
        <f>HYPERLINK("http://mcgill.on.worldcat.org/oclc/610852832","Catalog Record")</f>
        <v>Catalog Record</v>
      </c>
      <c r="AW1401" s="6" t="str">
        <f>HYPERLINK("http://www.worldcat.org/oclc/610852832","WorldCat Record")</f>
        <v>WorldCat Record</v>
      </c>
      <c r="AX1401" s="3" t="s">
        <v>14158</v>
      </c>
      <c r="AY1401" s="3" t="s">
        <v>14159</v>
      </c>
      <c r="AZ1401" s="3" t="s">
        <v>14160</v>
      </c>
      <c r="BA1401" s="3" t="s">
        <v>14160</v>
      </c>
      <c r="BB1401" s="3" t="s">
        <v>14161</v>
      </c>
      <c r="BC1401" s="3" t="s">
        <v>77</v>
      </c>
      <c r="BD1401" s="3" t="s">
        <v>78</v>
      </c>
      <c r="BE1401" s="3" t="s">
        <v>14162</v>
      </c>
      <c r="BF1401" s="3" t="s">
        <v>14161</v>
      </c>
      <c r="BG1401" s="3" t="s">
        <v>14163</v>
      </c>
      <c r="BH1401">
        <f t="shared" si="41"/>
        <v>0</v>
      </c>
    </row>
    <row r="1402" spans="1:60" ht="58" x14ac:dyDescent="0.35">
      <c r="A1402" s="2" t="s">
        <v>59</v>
      </c>
      <c r="B1402" s="2" t="s">
        <v>60</v>
      </c>
      <c r="C1402" s="2" t="s">
        <v>14164</v>
      </c>
      <c r="D1402" s="2" t="s">
        <v>14165</v>
      </c>
      <c r="E1402" s="2" t="s">
        <v>14166</v>
      </c>
      <c r="G1402" s="3" t="s">
        <v>64</v>
      </c>
      <c r="I1402" s="3" t="s">
        <v>64</v>
      </c>
      <c r="J1402" s="3" t="s">
        <v>64</v>
      </c>
      <c r="K1402" s="3" t="s">
        <v>65</v>
      </c>
      <c r="M1402" s="2" t="s">
        <v>14167</v>
      </c>
      <c r="N1402" s="3" t="s">
        <v>326</v>
      </c>
      <c r="P1402" s="3" t="s">
        <v>102</v>
      </c>
      <c r="Q1402" s="2" t="s">
        <v>9205</v>
      </c>
      <c r="R1402" s="3" t="s">
        <v>70</v>
      </c>
      <c r="S1402" s="4">
        <v>17</v>
      </c>
      <c r="T1402" s="4">
        <v>17</v>
      </c>
      <c r="U1402" s="5" t="s">
        <v>14168</v>
      </c>
      <c r="V1402" s="5" t="s">
        <v>14168</v>
      </c>
      <c r="W1402" s="5" t="s">
        <v>72</v>
      </c>
      <c r="X1402" s="5" t="s">
        <v>72</v>
      </c>
      <c r="Y1402" s="4">
        <v>142</v>
      </c>
      <c r="Z1402" s="4">
        <v>13</v>
      </c>
      <c r="AA1402" s="4">
        <v>15</v>
      </c>
      <c r="AB1402" s="4">
        <v>2</v>
      </c>
      <c r="AC1402" s="4">
        <v>3</v>
      </c>
      <c r="AD1402" s="4">
        <v>43</v>
      </c>
      <c r="AE1402" s="4">
        <v>44</v>
      </c>
      <c r="AF1402" s="4">
        <v>0</v>
      </c>
      <c r="AG1402" s="4">
        <v>1</v>
      </c>
      <c r="AH1402" s="4">
        <v>39</v>
      </c>
      <c r="AI1402" s="4">
        <v>39</v>
      </c>
      <c r="AJ1402" s="4">
        <v>7</v>
      </c>
      <c r="AK1402" s="4">
        <v>8</v>
      </c>
      <c r="AL1402" s="4">
        <v>25</v>
      </c>
      <c r="AM1402" s="4">
        <v>25</v>
      </c>
      <c r="AN1402" s="4">
        <v>0</v>
      </c>
      <c r="AO1402" s="4">
        <v>0</v>
      </c>
      <c r="AP1402" s="4">
        <v>9</v>
      </c>
      <c r="AQ1402" s="4">
        <v>9</v>
      </c>
      <c r="AR1402" s="3" t="s">
        <v>64</v>
      </c>
      <c r="AS1402" s="3" t="s">
        <v>64</v>
      </c>
      <c r="AT1402" s="3" t="s">
        <v>64</v>
      </c>
      <c r="AV1402" s="6" t="str">
        <f>HYPERLINK("http://mcgill.on.worldcat.org/oclc/731009662","Catalog Record")</f>
        <v>Catalog Record</v>
      </c>
      <c r="AW1402" s="6" t="str">
        <f>HYPERLINK("http://www.worldcat.org/oclc/731009662","WorldCat Record")</f>
        <v>WorldCat Record</v>
      </c>
      <c r="AX1402" s="3" t="s">
        <v>14169</v>
      </c>
      <c r="AY1402" s="3" t="s">
        <v>14170</v>
      </c>
      <c r="AZ1402" s="3" t="s">
        <v>14171</v>
      </c>
      <c r="BA1402" s="3" t="s">
        <v>14171</v>
      </c>
      <c r="BB1402" s="3" t="s">
        <v>14172</v>
      </c>
      <c r="BC1402" s="3" t="s">
        <v>77</v>
      </c>
      <c r="BD1402" s="3" t="s">
        <v>78</v>
      </c>
      <c r="BE1402" s="3" t="s">
        <v>14173</v>
      </c>
      <c r="BF1402" s="3" t="s">
        <v>14172</v>
      </c>
      <c r="BG1402" s="3" t="s">
        <v>14174</v>
      </c>
      <c r="BH1402">
        <f t="shared" si="41"/>
        <v>0</v>
      </c>
    </row>
    <row r="1403" spans="1:60" ht="58" x14ac:dyDescent="0.35">
      <c r="A1403" s="2" t="s">
        <v>59</v>
      </c>
      <c r="B1403" s="2" t="s">
        <v>60</v>
      </c>
      <c r="C1403" s="2" t="s">
        <v>14175</v>
      </c>
      <c r="D1403" s="2" t="s">
        <v>14176</v>
      </c>
      <c r="E1403" s="2" t="s">
        <v>14177</v>
      </c>
      <c r="G1403" s="3" t="s">
        <v>64</v>
      </c>
      <c r="I1403" s="3" t="s">
        <v>64</v>
      </c>
      <c r="J1403" s="3" t="s">
        <v>64</v>
      </c>
      <c r="K1403" s="3" t="s">
        <v>65</v>
      </c>
      <c r="M1403" s="2" t="s">
        <v>14178</v>
      </c>
      <c r="N1403" s="3" t="s">
        <v>511</v>
      </c>
      <c r="O1403" s="2" t="s">
        <v>172</v>
      </c>
      <c r="P1403" s="3" t="s">
        <v>102</v>
      </c>
      <c r="Q1403" s="2" t="s">
        <v>14179</v>
      </c>
      <c r="R1403" s="3" t="s">
        <v>70</v>
      </c>
      <c r="S1403" s="4">
        <v>2</v>
      </c>
      <c r="T1403" s="4">
        <v>2</v>
      </c>
      <c r="U1403" s="5" t="s">
        <v>8810</v>
      </c>
      <c r="V1403" s="5" t="s">
        <v>8810</v>
      </c>
      <c r="W1403" s="5" t="s">
        <v>72</v>
      </c>
      <c r="X1403" s="5" t="s">
        <v>72</v>
      </c>
      <c r="Y1403" s="4">
        <v>109</v>
      </c>
      <c r="Z1403" s="4">
        <v>11</v>
      </c>
      <c r="AA1403" s="4">
        <v>15</v>
      </c>
      <c r="AB1403" s="4">
        <v>2</v>
      </c>
      <c r="AC1403" s="4">
        <v>4</v>
      </c>
      <c r="AD1403" s="4">
        <v>37</v>
      </c>
      <c r="AE1403" s="4">
        <v>39</v>
      </c>
      <c r="AF1403" s="4">
        <v>0</v>
      </c>
      <c r="AG1403" s="4">
        <v>2</v>
      </c>
      <c r="AH1403" s="4">
        <v>35</v>
      </c>
      <c r="AI1403" s="4">
        <v>36</v>
      </c>
      <c r="AJ1403" s="4">
        <v>5</v>
      </c>
      <c r="AK1403" s="4">
        <v>7</v>
      </c>
      <c r="AL1403" s="4">
        <v>22</v>
      </c>
      <c r="AM1403" s="4">
        <v>22</v>
      </c>
      <c r="AN1403" s="4">
        <v>0</v>
      </c>
      <c r="AO1403" s="4">
        <v>0</v>
      </c>
      <c r="AP1403" s="4">
        <v>7</v>
      </c>
      <c r="AQ1403" s="4">
        <v>8</v>
      </c>
      <c r="AR1403" s="3" t="s">
        <v>64</v>
      </c>
      <c r="AS1403" s="3" t="s">
        <v>64</v>
      </c>
      <c r="AT1403" s="3" t="s">
        <v>64</v>
      </c>
      <c r="AV1403" s="6" t="str">
        <f>HYPERLINK("http://mcgill.on.worldcat.org/oclc/609871817","Catalog Record")</f>
        <v>Catalog Record</v>
      </c>
      <c r="AW1403" s="6" t="str">
        <f>HYPERLINK("http://www.worldcat.org/oclc/609871817","WorldCat Record")</f>
        <v>WorldCat Record</v>
      </c>
      <c r="AX1403" s="3" t="s">
        <v>14180</v>
      </c>
      <c r="AY1403" s="3" t="s">
        <v>14181</v>
      </c>
      <c r="AZ1403" s="3" t="s">
        <v>14182</v>
      </c>
      <c r="BA1403" s="3" t="s">
        <v>14182</v>
      </c>
      <c r="BB1403" s="3" t="s">
        <v>14183</v>
      </c>
      <c r="BC1403" s="3" t="s">
        <v>77</v>
      </c>
      <c r="BD1403" s="3" t="s">
        <v>78</v>
      </c>
      <c r="BE1403" s="3" t="s">
        <v>14184</v>
      </c>
      <c r="BF1403" s="3" t="s">
        <v>14183</v>
      </c>
      <c r="BG1403" s="3" t="s">
        <v>14185</v>
      </c>
      <c r="BH1403">
        <f t="shared" si="41"/>
        <v>0</v>
      </c>
    </row>
    <row r="1404" spans="1:60" ht="58" x14ac:dyDescent="0.35">
      <c r="A1404" s="2" t="s">
        <v>59</v>
      </c>
      <c r="B1404" s="2" t="s">
        <v>60</v>
      </c>
      <c r="C1404" s="2" t="s">
        <v>14186</v>
      </c>
      <c r="D1404" s="2" t="s">
        <v>14187</v>
      </c>
      <c r="E1404" s="2" t="s">
        <v>14188</v>
      </c>
      <c r="G1404" s="3" t="s">
        <v>64</v>
      </c>
      <c r="H1404" s="3" t="s">
        <v>7955</v>
      </c>
      <c r="I1404" s="3" t="s">
        <v>128</v>
      </c>
      <c r="J1404" s="3" t="s">
        <v>64</v>
      </c>
      <c r="K1404" s="3" t="s">
        <v>65</v>
      </c>
      <c r="L1404" s="2" t="s">
        <v>14189</v>
      </c>
      <c r="M1404" s="2" t="s">
        <v>11619</v>
      </c>
      <c r="N1404" s="3" t="s">
        <v>1492</v>
      </c>
      <c r="P1404" s="3" t="s">
        <v>102</v>
      </c>
      <c r="R1404" s="3" t="s">
        <v>70</v>
      </c>
      <c r="S1404" s="4">
        <v>3</v>
      </c>
      <c r="T1404" s="4">
        <v>3</v>
      </c>
      <c r="W1404" s="5" t="s">
        <v>14190</v>
      </c>
      <c r="X1404" s="5" t="s">
        <v>14190</v>
      </c>
      <c r="Y1404" s="4">
        <v>110</v>
      </c>
      <c r="Z1404" s="4">
        <v>8</v>
      </c>
      <c r="AA1404" s="4">
        <v>17</v>
      </c>
      <c r="AB1404" s="4">
        <v>2</v>
      </c>
      <c r="AC1404" s="4">
        <v>7</v>
      </c>
      <c r="AD1404" s="4">
        <v>46</v>
      </c>
      <c r="AE1404" s="4">
        <v>62</v>
      </c>
      <c r="AF1404" s="4">
        <v>1</v>
      </c>
      <c r="AG1404" s="4">
        <v>3</v>
      </c>
      <c r="AH1404" s="4">
        <v>39</v>
      </c>
      <c r="AI1404" s="4">
        <v>51</v>
      </c>
      <c r="AJ1404" s="4">
        <v>4</v>
      </c>
      <c r="AK1404" s="4">
        <v>9</v>
      </c>
      <c r="AL1404" s="4">
        <v>28</v>
      </c>
      <c r="AM1404" s="4">
        <v>34</v>
      </c>
      <c r="AN1404" s="4">
        <v>0</v>
      </c>
      <c r="AO1404" s="4">
        <v>0</v>
      </c>
      <c r="AP1404" s="4">
        <v>6</v>
      </c>
      <c r="AQ1404" s="4">
        <v>11</v>
      </c>
      <c r="AR1404" s="3" t="s">
        <v>64</v>
      </c>
      <c r="AS1404" s="3" t="s">
        <v>64</v>
      </c>
      <c r="AT1404" s="3" t="s">
        <v>64</v>
      </c>
      <c r="AV1404" s="6" t="str">
        <f>HYPERLINK("http://mcgill.on.worldcat.org/oclc/1051697173","Catalog Record")</f>
        <v>Catalog Record</v>
      </c>
      <c r="AW1404" s="6" t="str">
        <f>HYPERLINK("http://www.worldcat.org/oclc/1051697173","WorldCat Record")</f>
        <v>WorldCat Record</v>
      </c>
      <c r="AX1404" s="3" t="s">
        <v>14191</v>
      </c>
      <c r="AY1404" s="3" t="s">
        <v>14192</v>
      </c>
      <c r="AZ1404" s="3" t="s">
        <v>14193</v>
      </c>
      <c r="BA1404" s="3" t="s">
        <v>14193</v>
      </c>
      <c r="BB1404" s="3" t="s">
        <v>14194</v>
      </c>
      <c r="BC1404" s="3" t="s">
        <v>77</v>
      </c>
      <c r="BD1404" s="3" t="s">
        <v>165</v>
      </c>
      <c r="BE1404" s="3" t="s">
        <v>14195</v>
      </c>
      <c r="BF1404" s="3" t="s">
        <v>14194</v>
      </c>
      <c r="BG1404" s="3" t="s">
        <v>14196</v>
      </c>
      <c r="BH1404">
        <f t="shared" si="41"/>
        <v>0</v>
      </c>
    </row>
    <row r="1405" spans="1:60" ht="58" x14ac:dyDescent="0.35">
      <c r="A1405" s="2" t="s">
        <v>59</v>
      </c>
      <c r="B1405" s="2" t="s">
        <v>60</v>
      </c>
      <c r="C1405" s="2" t="s">
        <v>14186</v>
      </c>
      <c r="D1405" s="2" t="s">
        <v>14187</v>
      </c>
      <c r="E1405" s="2" t="s">
        <v>14188</v>
      </c>
      <c r="G1405" s="3" t="s">
        <v>64</v>
      </c>
      <c r="H1405" s="3" t="s">
        <v>183</v>
      </c>
      <c r="I1405" s="3" t="s">
        <v>128</v>
      </c>
      <c r="J1405" s="3" t="s">
        <v>64</v>
      </c>
      <c r="K1405" s="3" t="s">
        <v>65</v>
      </c>
      <c r="L1405" s="2" t="s">
        <v>14189</v>
      </c>
      <c r="M1405" s="2" t="s">
        <v>11619</v>
      </c>
      <c r="N1405" s="3" t="s">
        <v>1492</v>
      </c>
      <c r="P1405" s="3" t="s">
        <v>102</v>
      </c>
      <c r="R1405" s="3" t="s">
        <v>70</v>
      </c>
      <c r="S1405" s="4">
        <v>0</v>
      </c>
      <c r="T1405" s="4">
        <v>3</v>
      </c>
      <c r="W1405" s="5" t="s">
        <v>14197</v>
      </c>
      <c r="X1405" s="5" t="s">
        <v>14190</v>
      </c>
      <c r="Y1405" s="4">
        <v>110</v>
      </c>
      <c r="Z1405" s="4">
        <v>8</v>
      </c>
      <c r="AA1405" s="4">
        <v>17</v>
      </c>
      <c r="AB1405" s="4">
        <v>2</v>
      </c>
      <c r="AC1405" s="4">
        <v>7</v>
      </c>
      <c r="AD1405" s="4">
        <v>46</v>
      </c>
      <c r="AE1405" s="4">
        <v>62</v>
      </c>
      <c r="AF1405" s="4">
        <v>1</v>
      </c>
      <c r="AG1405" s="4">
        <v>3</v>
      </c>
      <c r="AH1405" s="4">
        <v>39</v>
      </c>
      <c r="AI1405" s="4">
        <v>51</v>
      </c>
      <c r="AJ1405" s="4">
        <v>4</v>
      </c>
      <c r="AK1405" s="4">
        <v>9</v>
      </c>
      <c r="AL1405" s="4">
        <v>28</v>
      </c>
      <c r="AM1405" s="4">
        <v>34</v>
      </c>
      <c r="AN1405" s="4">
        <v>0</v>
      </c>
      <c r="AO1405" s="4">
        <v>0</v>
      </c>
      <c r="AP1405" s="4">
        <v>6</v>
      </c>
      <c r="AQ1405" s="4">
        <v>11</v>
      </c>
      <c r="AR1405" s="3" t="s">
        <v>64</v>
      </c>
      <c r="AS1405" s="3" t="s">
        <v>64</v>
      </c>
      <c r="AT1405" s="3" t="s">
        <v>64</v>
      </c>
      <c r="AV1405" s="6" t="str">
        <f>HYPERLINK("http://mcgill.on.worldcat.org/oclc/1051697173","Catalog Record")</f>
        <v>Catalog Record</v>
      </c>
      <c r="AW1405" s="6" t="str">
        <f>HYPERLINK("http://www.worldcat.org/oclc/1051697173","WorldCat Record")</f>
        <v>WorldCat Record</v>
      </c>
      <c r="AX1405" s="3" t="s">
        <v>14191</v>
      </c>
      <c r="AY1405" s="3" t="s">
        <v>14192</v>
      </c>
      <c r="AZ1405" s="3" t="s">
        <v>14193</v>
      </c>
      <c r="BA1405" s="3" t="s">
        <v>14193</v>
      </c>
      <c r="BB1405" s="3" t="s">
        <v>14198</v>
      </c>
      <c r="BC1405" s="3" t="s">
        <v>77</v>
      </c>
      <c r="BD1405" s="3" t="s">
        <v>78</v>
      </c>
      <c r="BE1405" s="3" t="s">
        <v>14195</v>
      </c>
      <c r="BF1405" s="3" t="s">
        <v>14198</v>
      </c>
      <c r="BG1405" s="3" t="s">
        <v>14199</v>
      </c>
      <c r="BH1405">
        <f t="shared" si="41"/>
        <v>0</v>
      </c>
    </row>
    <row r="1406" spans="1:60" ht="58" x14ac:dyDescent="0.35">
      <c r="A1406" s="2" t="s">
        <v>59</v>
      </c>
      <c r="B1406" s="2" t="s">
        <v>60</v>
      </c>
      <c r="C1406" s="2" t="s">
        <v>14200</v>
      </c>
      <c r="D1406" s="2" t="s">
        <v>14201</v>
      </c>
      <c r="E1406" s="2" t="s">
        <v>14202</v>
      </c>
      <c r="G1406" s="3" t="s">
        <v>64</v>
      </c>
      <c r="I1406" s="3" t="s">
        <v>128</v>
      </c>
      <c r="J1406" s="3" t="s">
        <v>64</v>
      </c>
      <c r="K1406" s="3" t="s">
        <v>65</v>
      </c>
      <c r="L1406" s="2" t="s">
        <v>14203</v>
      </c>
      <c r="M1406" s="2" t="s">
        <v>14204</v>
      </c>
      <c r="N1406" s="3" t="s">
        <v>326</v>
      </c>
      <c r="P1406" s="3" t="s">
        <v>102</v>
      </c>
      <c r="R1406" s="3" t="s">
        <v>70</v>
      </c>
      <c r="S1406" s="4">
        <v>24</v>
      </c>
      <c r="T1406" s="4">
        <v>25</v>
      </c>
      <c r="U1406" s="5" t="s">
        <v>5906</v>
      </c>
      <c r="V1406" s="5" t="s">
        <v>5906</v>
      </c>
      <c r="W1406" s="5" t="s">
        <v>72</v>
      </c>
      <c r="X1406" s="5" t="s">
        <v>72</v>
      </c>
      <c r="Y1406" s="4">
        <v>1369</v>
      </c>
      <c r="Z1406" s="4">
        <v>77</v>
      </c>
      <c r="AA1406" s="4">
        <v>91</v>
      </c>
      <c r="AB1406" s="4">
        <v>6</v>
      </c>
      <c r="AC1406" s="4">
        <v>14</v>
      </c>
      <c r="AD1406" s="4">
        <v>134</v>
      </c>
      <c r="AE1406" s="4">
        <v>143</v>
      </c>
      <c r="AF1406" s="4">
        <v>1</v>
      </c>
      <c r="AG1406" s="4">
        <v>6</v>
      </c>
      <c r="AH1406" s="4">
        <v>108</v>
      </c>
      <c r="AI1406" s="4">
        <v>111</v>
      </c>
      <c r="AJ1406" s="4">
        <v>20</v>
      </c>
      <c r="AK1406" s="4">
        <v>23</v>
      </c>
      <c r="AL1406" s="4">
        <v>56</v>
      </c>
      <c r="AM1406" s="4">
        <v>58</v>
      </c>
      <c r="AN1406" s="4">
        <v>0</v>
      </c>
      <c r="AO1406" s="4">
        <v>0</v>
      </c>
      <c r="AP1406" s="4">
        <v>36</v>
      </c>
      <c r="AQ1406" s="4">
        <v>41</v>
      </c>
      <c r="AR1406" s="3" t="s">
        <v>64</v>
      </c>
      <c r="AS1406" s="3" t="s">
        <v>64</v>
      </c>
      <c r="AT1406" s="3" t="s">
        <v>64</v>
      </c>
      <c r="AV1406" s="6" t="str">
        <f>HYPERLINK("http://mcgill.on.worldcat.org/oclc/641998875","Catalog Record")</f>
        <v>Catalog Record</v>
      </c>
      <c r="AW1406" s="6" t="str">
        <f>HYPERLINK("http://www.worldcat.org/oclc/641998875","WorldCat Record")</f>
        <v>WorldCat Record</v>
      </c>
      <c r="AX1406" s="3" t="s">
        <v>14205</v>
      </c>
      <c r="AY1406" s="3" t="s">
        <v>14206</v>
      </c>
      <c r="AZ1406" s="3" t="s">
        <v>14207</v>
      </c>
      <c r="BA1406" s="3" t="s">
        <v>14207</v>
      </c>
      <c r="BB1406" s="3" t="s">
        <v>14208</v>
      </c>
      <c r="BC1406" s="3" t="s">
        <v>77</v>
      </c>
      <c r="BD1406" s="3" t="s">
        <v>78</v>
      </c>
      <c r="BE1406" s="3" t="s">
        <v>14209</v>
      </c>
      <c r="BF1406" s="3" t="s">
        <v>14208</v>
      </c>
      <c r="BG1406" s="3" t="s">
        <v>14210</v>
      </c>
      <c r="BH1406">
        <f t="shared" si="41"/>
        <v>0</v>
      </c>
    </row>
    <row r="1407" spans="1:60" ht="58" x14ac:dyDescent="0.35">
      <c r="A1407" s="2" t="s">
        <v>59</v>
      </c>
      <c r="B1407" s="2" t="s">
        <v>60</v>
      </c>
      <c r="C1407" s="2" t="s">
        <v>14211</v>
      </c>
      <c r="D1407" s="2" t="s">
        <v>14212</v>
      </c>
      <c r="E1407" s="2" t="s">
        <v>14213</v>
      </c>
      <c r="G1407" s="3" t="s">
        <v>64</v>
      </c>
      <c r="I1407" s="3" t="s">
        <v>64</v>
      </c>
      <c r="J1407" s="3" t="s">
        <v>64</v>
      </c>
      <c r="K1407" s="3" t="s">
        <v>65</v>
      </c>
      <c r="M1407" s="2" t="s">
        <v>14214</v>
      </c>
      <c r="N1407" s="3" t="s">
        <v>171</v>
      </c>
      <c r="P1407" s="3" t="s">
        <v>102</v>
      </c>
      <c r="R1407" s="3" t="s">
        <v>70</v>
      </c>
      <c r="S1407" s="4">
        <v>14</v>
      </c>
      <c r="T1407" s="4">
        <v>14</v>
      </c>
      <c r="U1407" s="5" t="s">
        <v>11334</v>
      </c>
      <c r="V1407" s="5" t="s">
        <v>11334</v>
      </c>
      <c r="W1407" s="5" t="s">
        <v>72</v>
      </c>
      <c r="X1407" s="5" t="s">
        <v>72</v>
      </c>
      <c r="Y1407" s="4">
        <v>116</v>
      </c>
      <c r="Z1407" s="4">
        <v>10</v>
      </c>
      <c r="AA1407" s="4">
        <v>51</v>
      </c>
      <c r="AB1407" s="4">
        <v>1</v>
      </c>
      <c r="AC1407" s="4">
        <v>7</v>
      </c>
      <c r="AD1407" s="4">
        <v>40</v>
      </c>
      <c r="AE1407" s="4">
        <v>73</v>
      </c>
      <c r="AF1407" s="4">
        <v>0</v>
      </c>
      <c r="AG1407" s="4">
        <v>1</v>
      </c>
      <c r="AH1407" s="4">
        <v>40</v>
      </c>
      <c r="AI1407" s="4">
        <v>60</v>
      </c>
      <c r="AJ1407" s="4">
        <v>5</v>
      </c>
      <c r="AK1407" s="4">
        <v>11</v>
      </c>
      <c r="AL1407" s="4">
        <v>25</v>
      </c>
      <c r="AM1407" s="4">
        <v>33</v>
      </c>
      <c r="AN1407" s="4">
        <v>0</v>
      </c>
      <c r="AO1407" s="4">
        <v>0</v>
      </c>
      <c r="AP1407" s="4">
        <v>5</v>
      </c>
      <c r="AQ1407" s="4">
        <v>18</v>
      </c>
      <c r="AR1407" s="3" t="s">
        <v>64</v>
      </c>
      <c r="AS1407" s="3" t="s">
        <v>64</v>
      </c>
      <c r="AT1407" s="3" t="s">
        <v>64</v>
      </c>
      <c r="AV1407" s="6" t="str">
        <f>HYPERLINK("http://mcgill.on.worldcat.org/oclc/81249221","Catalog Record")</f>
        <v>Catalog Record</v>
      </c>
      <c r="AW1407" s="6" t="str">
        <f>HYPERLINK("http://www.worldcat.org/oclc/81249221","WorldCat Record")</f>
        <v>WorldCat Record</v>
      </c>
      <c r="AX1407" s="3" t="s">
        <v>14215</v>
      </c>
      <c r="AY1407" s="3" t="s">
        <v>14216</v>
      </c>
      <c r="AZ1407" s="3" t="s">
        <v>14217</v>
      </c>
      <c r="BA1407" s="3" t="s">
        <v>14217</v>
      </c>
      <c r="BB1407" s="3" t="s">
        <v>14218</v>
      </c>
      <c r="BC1407" s="3" t="s">
        <v>77</v>
      </c>
      <c r="BD1407" s="3" t="s">
        <v>78</v>
      </c>
      <c r="BE1407" s="3" t="s">
        <v>14219</v>
      </c>
      <c r="BF1407" s="3" t="s">
        <v>14218</v>
      </c>
      <c r="BG1407" s="3" t="s">
        <v>14220</v>
      </c>
      <c r="BH1407">
        <f t="shared" si="41"/>
        <v>0</v>
      </c>
    </row>
    <row r="1408" spans="1:60" ht="58" x14ac:dyDescent="0.35">
      <c r="A1408" s="2" t="s">
        <v>59</v>
      </c>
      <c r="B1408" s="2" t="s">
        <v>60</v>
      </c>
      <c r="C1408" s="2" t="s">
        <v>14221</v>
      </c>
      <c r="D1408" s="2" t="s">
        <v>14222</v>
      </c>
      <c r="E1408" s="2" t="s">
        <v>14223</v>
      </c>
      <c r="G1408" s="3" t="s">
        <v>64</v>
      </c>
      <c r="I1408" s="3" t="s">
        <v>64</v>
      </c>
      <c r="J1408" s="3" t="s">
        <v>64</v>
      </c>
      <c r="K1408" s="3" t="s">
        <v>65</v>
      </c>
      <c r="L1408" s="2" t="s">
        <v>14224</v>
      </c>
      <c r="M1408" s="2" t="s">
        <v>14225</v>
      </c>
      <c r="N1408" s="3" t="s">
        <v>144</v>
      </c>
      <c r="P1408" s="3" t="s">
        <v>102</v>
      </c>
      <c r="R1408" s="3" t="s">
        <v>70</v>
      </c>
      <c r="S1408" s="4">
        <v>4</v>
      </c>
      <c r="T1408" s="4">
        <v>4</v>
      </c>
      <c r="U1408" s="5" t="s">
        <v>5906</v>
      </c>
      <c r="V1408" s="5" t="s">
        <v>5906</v>
      </c>
      <c r="W1408" s="5" t="s">
        <v>72</v>
      </c>
      <c r="X1408" s="5" t="s">
        <v>72</v>
      </c>
      <c r="Y1408" s="4">
        <v>175</v>
      </c>
      <c r="Z1408" s="4">
        <v>7</v>
      </c>
      <c r="AA1408" s="4">
        <v>16</v>
      </c>
      <c r="AB1408" s="4">
        <v>1</v>
      </c>
      <c r="AC1408" s="4">
        <v>4</v>
      </c>
      <c r="AD1408" s="4">
        <v>17</v>
      </c>
      <c r="AE1408" s="4">
        <v>23</v>
      </c>
      <c r="AF1408" s="4">
        <v>0</v>
      </c>
      <c r="AG1408" s="4">
        <v>1</v>
      </c>
      <c r="AH1408" s="4">
        <v>16</v>
      </c>
      <c r="AI1408" s="4">
        <v>20</v>
      </c>
      <c r="AJ1408" s="4">
        <v>4</v>
      </c>
      <c r="AK1408" s="4">
        <v>6</v>
      </c>
      <c r="AL1408" s="4">
        <v>10</v>
      </c>
      <c r="AM1408" s="4">
        <v>13</v>
      </c>
      <c r="AN1408" s="4">
        <v>0</v>
      </c>
      <c r="AO1408" s="4">
        <v>0</v>
      </c>
      <c r="AP1408" s="4">
        <v>4</v>
      </c>
      <c r="AQ1408" s="4">
        <v>5</v>
      </c>
      <c r="AR1408" s="3" t="s">
        <v>64</v>
      </c>
      <c r="AS1408" s="3" t="s">
        <v>64</v>
      </c>
      <c r="AT1408" s="3" t="s">
        <v>64</v>
      </c>
      <c r="AV1408" s="6" t="str">
        <f>HYPERLINK("http://mcgill.on.worldcat.org/oclc/137313678","Catalog Record")</f>
        <v>Catalog Record</v>
      </c>
      <c r="AW1408" s="6" t="str">
        <f>HYPERLINK("http://www.worldcat.org/oclc/137313678","WorldCat Record")</f>
        <v>WorldCat Record</v>
      </c>
      <c r="AX1408" s="3" t="s">
        <v>14226</v>
      </c>
      <c r="AY1408" s="3" t="s">
        <v>14227</v>
      </c>
      <c r="AZ1408" s="3" t="s">
        <v>14228</v>
      </c>
      <c r="BA1408" s="3" t="s">
        <v>14228</v>
      </c>
      <c r="BB1408" s="3" t="s">
        <v>14229</v>
      </c>
      <c r="BC1408" s="3" t="s">
        <v>77</v>
      </c>
      <c r="BD1408" s="3" t="s">
        <v>78</v>
      </c>
      <c r="BE1408" s="3" t="s">
        <v>14230</v>
      </c>
      <c r="BF1408" s="3" t="s">
        <v>14229</v>
      </c>
      <c r="BG1408" s="3" t="s">
        <v>14231</v>
      </c>
      <c r="BH1408">
        <f t="shared" si="41"/>
        <v>0</v>
      </c>
    </row>
    <row r="1409" spans="1:60" ht="58" x14ac:dyDescent="0.35">
      <c r="A1409" s="2" t="s">
        <v>59</v>
      </c>
      <c r="B1409" s="2" t="s">
        <v>60</v>
      </c>
      <c r="C1409" s="2" t="s">
        <v>14232</v>
      </c>
      <c r="D1409" s="2" t="s">
        <v>14233</v>
      </c>
      <c r="E1409" s="2" t="s">
        <v>14234</v>
      </c>
      <c r="G1409" s="3" t="s">
        <v>64</v>
      </c>
      <c r="I1409" s="3" t="s">
        <v>64</v>
      </c>
      <c r="J1409" s="3" t="s">
        <v>64</v>
      </c>
      <c r="K1409" s="3" t="s">
        <v>65</v>
      </c>
      <c r="M1409" s="2" t="s">
        <v>14235</v>
      </c>
      <c r="N1409" s="3" t="s">
        <v>511</v>
      </c>
      <c r="P1409" s="3" t="s">
        <v>102</v>
      </c>
      <c r="R1409" s="3" t="s">
        <v>70</v>
      </c>
      <c r="S1409" s="4">
        <v>2</v>
      </c>
      <c r="T1409" s="4">
        <v>2</v>
      </c>
      <c r="U1409" s="5" t="s">
        <v>14236</v>
      </c>
      <c r="V1409" s="5" t="s">
        <v>14236</v>
      </c>
      <c r="W1409" s="5" t="s">
        <v>72</v>
      </c>
      <c r="X1409" s="5" t="s">
        <v>72</v>
      </c>
      <c r="Y1409" s="4">
        <v>273</v>
      </c>
      <c r="Z1409" s="4">
        <v>17</v>
      </c>
      <c r="AA1409" s="4">
        <v>111</v>
      </c>
      <c r="AB1409" s="4">
        <v>2</v>
      </c>
      <c r="AC1409" s="4">
        <v>18</v>
      </c>
      <c r="AD1409" s="4">
        <v>34</v>
      </c>
      <c r="AE1409" s="4">
        <v>116</v>
      </c>
      <c r="AF1409" s="4">
        <v>0</v>
      </c>
      <c r="AG1409" s="4">
        <v>8</v>
      </c>
      <c r="AH1409" s="4">
        <v>30</v>
      </c>
      <c r="AI1409" s="4">
        <v>78</v>
      </c>
      <c r="AJ1409" s="4">
        <v>6</v>
      </c>
      <c r="AK1409" s="4">
        <v>22</v>
      </c>
      <c r="AL1409" s="4">
        <v>15</v>
      </c>
      <c r="AM1409" s="4">
        <v>39</v>
      </c>
      <c r="AN1409" s="4">
        <v>0</v>
      </c>
      <c r="AO1409" s="4">
        <v>0</v>
      </c>
      <c r="AP1409" s="4">
        <v>9</v>
      </c>
      <c r="AQ1409" s="4">
        <v>45</v>
      </c>
      <c r="AR1409" s="3" t="s">
        <v>64</v>
      </c>
      <c r="AS1409" s="3" t="s">
        <v>64</v>
      </c>
      <c r="AT1409" s="3" t="s">
        <v>64</v>
      </c>
      <c r="AV1409" s="6" t="str">
        <f>HYPERLINK("http://mcgill.on.worldcat.org/oclc/496595556","Catalog Record")</f>
        <v>Catalog Record</v>
      </c>
      <c r="AW1409" s="6" t="str">
        <f>HYPERLINK("http://www.worldcat.org/oclc/496595556","WorldCat Record")</f>
        <v>WorldCat Record</v>
      </c>
      <c r="AX1409" s="3" t="s">
        <v>14237</v>
      </c>
      <c r="AY1409" s="3" t="s">
        <v>14238</v>
      </c>
      <c r="AZ1409" s="3" t="s">
        <v>14239</v>
      </c>
      <c r="BA1409" s="3" t="s">
        <v>14239</v>
      </c>
      <c r="BB1409" s="3" t="s">
        <v>14240</v>
      </c>
      <c r="BC1409" s="3" t="s">
        <v>77</v>
      </c>
      <c r="BD1409" s="3" t="s">
        <v>78</v>
      </c>
      <c r="BE1409" s="3" t="s">
        <v>14241</v>
      </c>
      <c r="BF1409" s="3" t="s">
        <v>14240</v>
      </c>
      <c r="BG1409" s="3" t="s">
        <v>14242</v>
      </c>
      <c r="BH1409">
        <f t="shared" si="41"/>
        <v>0</v>
      </c>
    </row>
    <row r="1410" spans="1:60" ht="58" x14ac:dyDescent="0.35">
      <c r="A1410" s="2" t="s">
        <v>59</v>
      </c>
      <c r="B1410" s="2" t="s">
        <v>60</v>
      </c>
      <c r="C1410" s="2" t="s">
        <v>14243</v>
      </c>
      <c r="D1410" s="2" t="s">
        <v>14244</v>
      </c>
      <c r="E1410" s="2" t="s">
        <v>14245</v>
      </c>
      <c r="F1410" s="3" t="s">
        <v>489</v>
      </c>
      <c r="G1410" s="3" t="s">
        <v>128</v>
      </c>
      <c r="I1410" s="3" t="s">
        <v>64</v>
      </c>
      <c r="J1410" s="3" t="s">
        <v>64</v>
      </c>
      <c r="K1410" s="3" t="s">
        <v>65</v>
      </c>
      <c r="M1410" s="2" t="s">
        <v>14246</v>
      </c>
      <c r="N1410" s="3" t="s">
        <v>3584</v>
      </c>
      <c r="P1410" s="3" t="s">
        <v>68</v>
      </c>
      <c r="R1410" s="3" t="s">
        <v>70</v>
      </c>
      <c r="S1410" s="4">
        <v>5</v>
      </c>
      <c r="T1410" s="4">
        <v>11</v>
      </c>
      <c r="U1410" s="5" t="s">
        <v>14247</v>
      </c>
      <c r="V1410" s="5" t="s">
        <v>14247</v>
      </c>
      <c r="W1410" s="5" t="s">
        <v>72</v>
      </c>
      <c r="X1410" s="5" t="s">
        <v>72</v>
      </c>
      <c r="Y1410" s="4">
        <v>45</v>
      </c>
      <c r="Z1410" s="4">
        <v>15</v>
      </c>
      <c r="AA1410" s="4">
        <v>30</v>
      </c>
      <c r="AB1410" s="4">
        <v>3</v>
      </c>
      <c r="AC1410" s="4">
        <v>12</v>
      </c>
      <c r="AD1410" s="4">
        <v>31</v>
      </c>
      <c r="AE1410" s="4">
        <v>41</v>
      </c>
      <c r="AF1410" s="4">
        <v>1</v>
      </c>
      <c r="AG1410" s="4">
        <v>6</v>
      </c>
      <c r="AH1410" s="4">
        <v>24</v>
      </c>
      <c r="AI1410" s="4">
        <v>29</v>
      </c>
      <c r="AJ1410" s="4">
        <v>9</v>
      </c>
      <c r="AK1410" s="4">
        <v>19</v>
      </c>
      <c r="AL1410" s="4">
        <v>17</v>
      </c>
      <c r="AM1410" s="4">
        <v>18</v>
      </c>
      <c r="AN1410" s="4">
        <v>0</v>
      </c>
      <c r="AO1410" s="4">
        <v>0</v>
      </c>
      <c r="AP1410" s="4">
        <v>9</v>
      </c>
      <c r="AQ1410" s="4">
        <v>18</v>
      </c>
      <c r="AR1410" s="3" t="s">
        <v>128</v>
      </c>
      <c r="AS1410" s="3" t="s">
        <v>64</v>
      </c>
      <c r="AT1410" s="3" t="s">
        <v>128</v>
      </c>
      <c r="AU1410" s="6" t="str">
        <f>HYPERLINK("http://catalog.hathitrust.org/Record/006192902","HathiTrust Record")</f>
        <v>HathiTrust Record</v>
      </c>
      <c r="AV1410" s="6" t="str">
        <f>HYPERLINK("http://mcgill.on.worldcat.org/oclc/3706227","Catalog Record")</f>
        <v>Catalog Record</v>
      </c>
      <c r="AW1410" s="6" t="str">
        <f>HYPERLINK("http://www.worldcat.org/oclc/3706227","WorldCat Record")</f>
        <v>WorldCat Record</v>
      </c>
      <c r="AX1410" s="3" t="s">
        <v>14248</v>
      </c>
      <c r="AY1410" s="3" t="s">
        <v>14249</v>
      </c>
      <c r="AZ1410" s="3" t="s">
        <v>14250</v>
      </c>
      <c r="BA1410" s="3" t="s">
        <v>14250</v>
      </c>
      <c r="BB1410" s="3" t="s">
        <v>14251</v>
      </c>
      <c r="BC1410" s="3" t="s">
        <v>77</v>
      </c>
      <c r="BD1410" s="3" t="s">
        <v>78</v>
      </c>
      <c r="BE1410" s="3" t="s">
        <v>14252</v>
      </c>
      <c r="BF1410" s="3" t="s">
        <v>14251</v>
      </c>
      <c r="BG1410" s="3" t="s">
        <v>14253</v>
      </c>
      <c r="BH1410">
        <f t="shared" ref="BH1410:BH1473" si="42">IF(COUNTIF($BF$1:$BF$5431,BF1410)=1,0,1)</f>
        <v>0</v>
      </c>
    </row>
    <row r="1411" spans="1:60" ht="58" x14ac:dyDescent="0.35">
      <c r="A1411" s="2" t="s">
        <v>59</v>
      </c>
      <c r="B1411" s="2" t="s">
        <v>60</v>
      </c>
      <c r="C1411" s="2" t="s">
        <v>14243</v>
      </c>
      <c r="D1411" s="2" t="s">
        <v>14244</v>
      </c>
      <c r="E1411" s="2" t="s">
        <v>14245</v>
      </c>
      <c r="F1411" s="3" t="s">
        <v>478</v>
      </c>
      <c r="G1411" s="3" t="s">
        <v>128</v>
      </c>
      <c r="I1411" s="3" t="s">
        <v>64</v>
      </c>
      <c r="J1411" s="3" t="s">
        <v>64</v>
      </c>
      <c r="K1411" s="3" t="s">
        <v>65</v>
      </c>
      <c r="M1411" s="2" t="s">
        <v>14246</v>
      </c>
      <c r="N1411" s="3" t="s">
        <v>3584</v>
      </c>
      <c r="P1411" s="3" t="s">
        <v>68</v>
      </c>
      <c r="R1411" s="3" t="s">
        <v>70</v>
      </c>
      <c r="S1411" s="4">
        <v>6</v>
      </c>
      <c r="T1411" s="4">
        <v>11</v>
      </c>
      <c r="U1411" s="5" t="s">
        <v>14247</v>
      </c>
      <c r="V1411" s="5" t="s">
        <v>14247</v>
      </c>
      <c r="W1411" s="5" t="s">
        <v>72</v>
      </c>
      <c r="X1411" s="5" t="s">
        <v>72</v>
      </c>
      <c r="Y1411" s="4">
        <v>45</v>
      </c>
      <c r="Z1411" s="4">
        <v>15</v>
      </c>
      <c r="AA1411" s="4">
        <v>30</v>
      </c>
      <c r="AB1411" s="4">
        <v>3</v>
      </c>
      <c r="AC1411" s="4">
        <v>12</v>
      </c>
      <c r="AD1411" s="4">
        <v>31</v>
      </c>
      <c r="AE1411" s="4">
        <v>41</v>
      </c>
      <c r="AF1411" s="4">
        <v>1</v>
      </c>
      <c r="AG1411" s="4">
        <v>6</v>
      </c>
      <c r="AH1411" s="4">
        <v>24</v>
      </c>
      <c r="AI1411" s="4">
        <v>29</v>
      </c>
      <c r="AJ1411" s="4">
        <v>9</v>
      </c>
      <c r="AK1411" s="4">
        <v>19</v>
      </c>
      <c r="AL1411" s="4">
        <v>17</v>
      </c>
      <c r="AM1411" s="4">
        <v>18</v>
      </c>
      <c r="AN1411" s="4">
        <v>0</v>
      </c>
      <c r="AO1411" s="4">
        <v>0</v>
      </c>
      <c r="AP1411" s="4">
        <v>9</v>
      </c>
      <c r="AQ1411" s="4">
        <v>18</v>
      </c>
      <c r="AR1411" s="3" t="s">
        <v>128</v>
      </c>
      <c r="AS1411" s="3" t="s">
        <v>64</v>
      </c>
      <c r="AT1411" s="3" t="s">
        <v>128</v>
      </c>
      <c r="AU1411" s="6" t="str">
        <f>HYPERLINK("http://catalog.hathitrust.org/Record/006192902","HathiTrust Record")</f>
        <v>HathiTrust Record</v>
      </c>
      <c r="AV1411" s="6" t="str">
        <f>HYPERLINK("http://mcgill.on.worldcat.org/oclc/3706227","Catalog Record")</f>
        <v>Catalog Record</v>
      </c>
      <c r="AW1411" s="6" t="str">
        <f>HYPERLINK("http://www.worldcat.org/oclc/3706227","WorldCat Record")</f>
        <v>WorldCat Record</v>
      </c>
      <c r="AX1411" s="3" t="s">
        <v>14248</v>
      </c>
      <c r="AY1411" s="3" t="s">
        <v>14249</v>
      </c>
      <c r="AZ1411" s="3" t="s">
        <v>14250</v>
      </c>
      <c r="BA1411" s="3" t="s">
        <v>14250</v>
      </c>
      <c r="BB1411" s="3" t="s">
        <v>14254</v>
      </c>
      <c r="BC1411" s="3" t="s">
        <v>77</v>
      </c>
      <c r="BD1411" s="3" t="s">
        <v>78</v>
      </c>
      <c r="BE1411" s="3" t="s">
        <v>14252</v>
      </c>
      <c r="BF1411" s="3" t="s">
        <v>14254</v>
      </c>
      <c r="BG1411" s="3" t="s">
        <v>14255</v>
      </c>
      <c r="BH1411">
        <f t="shared" si="42"/>
        <v>0</v>
      </c>
    </row>
    <row r="1412" spans="1:60" ht="58" x14ac:dyDescent="0.35">
      <c r="A1412" s="2" t="s">
        <v>59</v>
      </c>
      <c r="B1412" s="2" t="s">
        <v>60</v>
      </c>
      <c r="C1412" s="2" t="s">
        <v>14256</v>
      </c>
      <c r="D1412" s="2" t="s">
        <v>14257</v>
      </c>
      <c r="E1412" s="2" t="s">
        <v>14258</v>
      </c>
      <c r="G1412" s="3" t="s">
        <v>64</v>
      </c>
      <c r="I1412" s="3" t="s">
        <v>64</v>
      </c>
      <c r="J1412" s="3" t="s">
        <v>64</v>
      </c>
      <c r="K1412" s="3" t="s">
        <v>65</v>
      </c>
      <c r="M1412" s="2" t="s">
        <v>14259</v>
      </c>
      <c r="N1412" s="3" t="s">
        <v>86</v>
      </c>
      <c r="P1412" s="3" t="s">
        <v>102</v>
      </c>
      <c r="R1412" s="3" t="s">
        <v>70</v>
      </c>
      <c r="S1412" s="4">
        <v>5</v>
      </c>
      <c r="T1412" s="4">
        <v>5</v>
      </c>
      <c r="U1412" s="5" t="s">
        <v>14260</v>
      </c>
      <c r="V1412" s="5" t="s">
        <v>14260</v>
      </c>
      <c r="W1412" s="5" t="s">
        <v>72</v>
      </c>
      <c r="X1412" s="5" t="s">
        <v>72</v>
      </c>
      <c r="Y1412" s="4">
        <v>295</v>
      </c>
      <c r="Z1412" s="4">
        <v>13</v>
      </c>
      <c r="AA1412" s="4">
        <v>13</v>
      </c>
      <c r="AB1412" s="4">
        <v>1</v>
      </c>
      <c r="AC1412" s="4">
        <v>1</v>
      </c>
      <c r="AD1412" s="4">
        <v>20</v>
      </c>
      <c r="AE1412" s="4">
        <v>20</v>
      </c>
      <c r="AF1412" s="4">
        <v>0</v>
      </c>
      <c r="AG1412" s="4">
        <v>0</v>
      </c>
      <c r="AH1412" s="4">
        <v>19</v>
      </c>
      <c r="AI1412" s="4">
        <v>19</v>
      </c>
      <c r="AJ1412" s="4">
        <v>4</v>
      </c>
      <c r="AK1412" s="4">
        <v>4</v>
      </c>
      <c r="AL1412" s="4">
        <v>10</v>
      </c>
      <c r="AM1412" s="4">
        <v>10</v>
      </c>
      <c r="AN1412" s="4">
        <v>0</v>
      </c>
      <c r="AO1412" s="4">
        <v>0</v>
      </c>
      <c r="AP1412" s="4">
        <v>5</v>
      </c>
      <c r="AQ1412" s="4">
        <v>5</v>
      </c>
      <c r="AR1412" s="3" t="s">
        <v>64</v>
      </c>
      <c r="AS1412" s="3" t="s">
        <v>64</v>
      </c>
      <c r="AT1412" s="3" t="s">
        <v>64</v>
      </c>
      <c r="AV1412" s="6" t="str">
        <f>HYPERLINK("http://mcgill.on.worldcat.org/oclc/769546834","Catalog Record")</f>
        <v>Catalog Record</v>
      </c>
      <c r="AW1412" s="6" t="str">
        <f>HYPERLINK("http://www.worldcat.org/oclc/769546834","WorldCat Record")</f>
        <v>WorldCat Record</v>
      </c>
      <c r="AX1412" s="3" t="s">
        <v>14261</v>
      </c>
      <c r="AY1412" s="3" t="s">
        <v>14262</v>
      </c>
      <c r="AZ1412" s="3" t="s">
        <v>14263</v>
      </c>
      <c r="BA1412" s="3" t="s">
        <v>14263</v>
      </c>
      <c r="BB1412" s="3" t="s">
        <v>14264</v>
      </c>
      <c r="BC1412" s="3" t="s">
        <v>77</v>
      </c>
      <c r="BD1412" s="3" t="s">
        <v>165</v>
      </c>
      <c r="BE1412" s="3" t="s">
        <v>14265</v>
      </c>
      <c r="BF1412" s="3" t="s">
        <v>14264</v>
      </c>
      <c r="BG1412" s="3" t="s">
        <v>14266</v>
      </c>
      <c r="BH1412">
        <f t="shared" si="42"/>
        <v>0</v>
      </c>
    </row>
    <row r="1413" spans="1:60" ht="58" x14ac:dyDescent="0.35">
      <c r="A1413" s="2" t="s">
        <v>59</v>
      </c>
      <c r="B1413" s="2" t="s">
        <v>60</v>
      </c>
      <c r="C1413" s="2" t="s">
        <v>14267</v>
      </c>
      <c r="D1413" s="2" t="s">
        <v>14268</v>
      </c>
      <c r="E1413" s="2" t="s">
        <v>14269</v>
      </c>
      <c r="G1413" s="3" t="s">
        <v>64</v>
      </c>
      <c r="I1413" s="3" t="s">
        <v>64</v>
      </c>
      <c r="J1413" s="3" t="s">
        <v>64</v>
      </c>
      <c r="K1413" s="3" t="s">
        <v>65</v>
      </c>
      <c r="L1413" s="2" t="s">
        <v>8590</v>
      </c>
      <c r="M1413" s="2" t="s">
        <v>14270</v>
      </c>
      <c r="N1413" s="3" t="s">
        <v>291</v>
      </c>
      <c r="P1413" s="3" t="s">
        <v>102</v>
      </c>
      <c r="R1413" s="3" t="s">
        <v>70</v>
      </c>
      <c r="S1413" s="4">
        <v>5</v>
      </c>
      <c r="T1413" s="4">
        <v>5</v>
      </c>
      <c r="U1413" s="5" t="s">
        <v>4300</v>
      </c>
      <c r="V1413" s="5" t="s">
        <v>4300</v>
      </c>
      <c r="W1413" s="5" t="s">
        <v>72</v>
      </c>
      <c r="X1413" s="5" t="s">
        <v>72</v>
      </c>
      <c r="Y1413" s="4">
        <v>226</v>
      </c>
      <c r="Z1413" s="4">
        <v>14</v>
      </c>
      <c r="AA1413" s="4">
        <v>17</v>
      </c>
      <c r="AB1413" s="4">
        <v>2</v>
      </c>
      <c r="AC1413" s="4">
        <v>4</v>
      </c>
      <c r="AD1413" s="4">
        <v>49</v>
      </c>
      <c r="AE1413" s="4">
        <v>49</v>
      </c>
      <c r="AF1413" s="4">
        <v>0</v>
      </c>
      <c r="AG1413" s="4">
        <v>0</v>
      </c>
      <c r="AH1413" s="4">
        <v>48</v>
      </c>
      <c r="AI1413" s="4">
        <v>48</v>
      </c>
      <c r="AJ1413" s="4">
        <v>5</v>
      </c>
      <c r="AK1413" s="4">
        <v>5</v>
      </c>
      <c r="AL1413" s="4">
        <v>28</v>
      </c>
      <c r="AM1413" s="4">
        <v>28</v>
      </c>
      <c r="AN1413" s="4">
        <v>0</v>
      </c>
      <c r="AO1413" s="4">
        <v>0</v>
      </c>
      <c r="AP1413" s="4">
        <v>5</v>
      </c>
      <c r="AQ1413" s="4">
        <v>5</v>
      </c>
      <c r="AR1413" s="3" t="s">
        <v>64</v>
      </c>
      <c r="AS1413" s="3" t="s">
        <v>64</v>
      </c>
      <c r="AT1413" s="3" t="s">
        <v>64</v>
      </c>
      <c r="AV1413" s="6" t="str">
        <f>HYPERLINK("http://mcgill.on.worldcat.org/oclc/85018199","Catalog Record")</f>
        <v>Catalog Record</v>
      </c>
      <c r="AW1413" s="6" t="str">
        <f>HYPERLINK("http://www.worldcat.org/oclc/85018199","WorldCat Record")</f>
        <v>WorldCat Record</v>
      </c>
      <c r="AX1413" s="3" t="s">
        <v>14271</v>
      </c>
      <c r="AY1413" s="3" t="s">
        <v>14272</v>
      </c>
      <c r="AZ1413" s="3" t="s">
        <v>14273</v>
      </c>
      <c r="BA1413" s="3" t="s">
        <v>14273</v>
      </c>
      <c r="BB1413" s="3" t="s">
        <v>14274</v>
      </c>
      <c r="BC1413" s="3" t="s">
        <v>77</v>
      </c>
      <c r="BD1413" s="3" t="s">
        <v>78</v>
      </c>
      <c r="BE1413" s="3" t="s">
        <v>14275</v>
      </c>
      <c r="BF1413" s="3" t="s">
        <v>14274</v>
      </c>
      <c r="BG1413" s="3" t="s">
        <v>14276</v>
      </c>
      <c r="BH1413">
        <f t="shared" si="42"/>
        <v>0</v>
      </c>
    </row>
    <row r="1414" spans="1:60" ht="58" x14ac:dyDescent="0.35">
      <c r="A1414" s="2" t="s">
        <v>59</v>
      </c>
      <c r="B1414" s="2" t="s">
        <v>60</v>
      </c>
      <c r="C1414" s="2" t="s">
        <v>14277</v>
      </c>
      <c r="D1414" s="2" t="s">
        <v>14278</v>
      </c>
      <c r="E1414" s="2" t="s">
        <v>14279</v>
      </c>
      <c r="G1414" s="3" t="s">
        <v>64</v>
      </c>
      <c r="I1414" s="3" t="s">
        <v>64</v>
      </c>
      <c r="J1414" s="3" t="s">
        <v>64</v>
      </c>
      <c r="K1414" s="3" t="s">
        <v>65</v>
      </c>
      <c r="L1414" s="2" t="s">
        <v>14280</v>
      </c>
      <c r="M1414" s="2" t="s">
        <v>14281</v>
      </c>
      <c r="N1414" s="3" t="s">
        <v>537</v>
      </c>
      <c r="P1414" s="3" t="s">
        <v>102</v>
      </c>
      <c r="Q1414" s="2" t="s">
        <v>14282</v>
      </c>
      <c r="R1414" s="3" t="s">
        <v>70</v>
      </c>
      <c r="S1414" s="4">
        <v>4</v>
      </c>
      <c r="T1414" s="4">
        <v>4</v>
      </c>
      <c r="U1414" s="5" t="s">
        <v>12635</v>
      </c>
      <c r="V1414" s="5" t="s">
        <v>12635</v>
      </c>
      <c r="W1414" s="5" t="s">
        <v>72</v>
      </c>
      <c r="X1414" s="5" t="s">
        <v>72</v>
      </c>
      <c r="Y1414" s="4">
        <v>117</v>
      </c>
      <c r="Z1414" s="4">
        <v>10</v>
      </c>
      <c r="AA1414" s="4">
        <v>10</v>
      </c>
      <c r="AB1414" s="4">
        <v>1</v>
      </c>
      <c r="AC1414" s="4">
        <v>1</v>
      </c>
      <c r="AD1414" s="4">
        <v>34</v>
      </c>
      <c r="AE1414" s="4">
        <v>34</v>
      </c>
      <c r="AF1414" s="4">
        <v>0</v>
      </c>
      <c r="AG1414" s="4">
        <v>0</v>
      </c>
      <c r="AH1414" s="4">
        <v>32</v>
      </c>
      <c r="AI1414" s="4">
        <v>32</v>
      </c>
      <c r="AJ1414" s="4">
        <v>5</v>
      </c>
      <c r="AK1414" s="4">
        <v>5</v>
      </c>
      <c r="AL1414" s="4">
        <v>19</v>
      </c>
      <c r="AM1414" s="4">
        <v>19</v>
      </c>
      <c r="AN1414" s="4">
        <v>0</v>
      </c>
      <c r="AO1414" s="4">
        <v>0</v>
      </c>
      <c r="AP1414" s="4">
        <v>5</v>
      </c>
      <c r="AQ1414" s="4">
        <v>5</v>
      </c>
      <c r="AR1414" s="3" t="s">
        <v>64</v>
      </c>
      <c r="AS1414" s="3" t="s">
        <v>64</v>
      </c>
      <c r="AT1414" s="3" t="s">
        <v>64</v>
      </c>
      <c r="AV1414" s="6" t="str">
        <f>HYPERLINK("http://mcgill.on.worldcat.org/oclc/932003490","Catalog Record")</f>
        <v>Catalog Record</v>
      </c>
      <c r="AW1414" s="6" t="str">
        <f>HYPERLINK("http://www.worldcat.org/oclc/932003490","WorldCat Record")</f>
        <v>WorldCat Record</v>
      </c>
      <c r="AX1414" s="3" t="s">
        <v>14283</v>
      </c>
      <c r="AY1414" s="3" t="s">
        <v>14284</v>
      </c>
      <c r="AZ1414" s="3" t="s">
        <v>14285</v>
      </c>
      <c r="BA1414" s="3" t="s">
        <v>14285</v>
      </c>
      <c r="BB1414" s="3" t="s">
        <v>14286</v>
      </c>
      <c r="BC1414" s="3" t="s">
        <v>77</v>
      </c>
      <c r="BD1414" s="3" t="s">
        <v>78</v>
      </c>
      <c r="BE1414" s="3" t="s">
        <v>14287</v>
      </c>
      <c r="BF1414" s="3" t="s">
        <v>14286</v>
      </c>
      <c r="BG1414" s="3" t="s">
        <v>14288</v>
      </c>
      <c r="BH1414">
        <f t="shared" si="42"/>
        <v>0</v>
      </c>
    </row>
    <row r="1415" spans="1:60" ht="58" x14ac:dyDescent="0.35">
      <c r="A1415" s="2" t="s">
        <v>59</v>
      </c>
      <c r="B1415" s="2" t="s">
        <v>60</v>
      </c>
      <c r="C1415" s="2" t="s">
        <v>14289</v>
      </c>
      <c r="D1415" s="2" t="s">
        <v>14290</v>
      </c>
      <c r="E1415" s="2" t="s">
        <v>14291</v>
      </c>
      <c r="G1415" s="3" t="s">
        <v>64</v>
      </c>
      <c r="I1415" s="3" t="s">
        <v>128</v>
      </c>
      <c r="J1415" s="3" t="s">
        <v>128</v>
      </c>
      <c r="K1415" s="3" t="s">
        <v>65</v>
      </c>
      <c r="L1415" s="2" t="s">
        <v>14292</v>
      </c>
      <c r="M1415" s="2" t="s">
        <v>14293</v>
      </c>
      <c r="N1415" s="3" t="s">
        <v>171</v>
      </c>
      <c r="O1415" s="2" t="s">
        <v>2149</v>
      </c>
      <c r="P1415" s="3" t="s">
        <v>102</v>
      </c>
      <c r="R1415" s="3" t="s">
        <v>70</v>
      </c>
      <c r="S1415" s="4">
        <v>22</v>
      </c>
      <c r="T1415" s="4">
        <v>45</v>
      </c>
      <c r="U1415" s="5" t="s">
        <v>14294</v>
      </c>
      <c r="V1415" s="5" t="s">
        <v>14294</v>
      </c>
      <c r="W1415" s="5" t="s">
        <v>72</v>
      </c>
      <c r="X1415" s="5" t="s">
        <v>72</v>
      </c>
      <c r="Y1415" s="4">
        <v>214</v>
      </c>
      <c r="Z1415" s="4">
        <v>99</v>
      </c>
      <c r="AA1415" s="4">
        <v>187</v>
      </c>
      <c r="AB1415" s="4">
        <v>6</v>
      </c>
      <c r="AC1415" s="4">
        <v>22</v>
      </c>
      <c r="AD1415" s="4">
        <v>73</v>
      </c>
      <c r="AE1415" s="4">
        <v>160</v>
      </c>
      <c r="AF1415" s="4">
        <v>2</v>
      </c>
      <c r="AG1415" s="4">
        <v>8</v>
      </c>
      <c r="AH1415" s="4">
        <v>47</v>
      </c>
      <c r="AI1415" s="4">
        <v>112</v>
      </c>
      <c r="AJ1415" s="4">
        <v>20</v>
      </c>
      <c r="AK1415" s="4">
        <v>29</v>
      </c>
      <c r="AL1415" s="4">
        <v>26</v>
      </c>
      <c r="AM1415" s="4">
        <v>60</v>
      </c>
      <c r="AN1415" s="4">
        <v>0</v>
      </c>
      <c r="AO1415" s="4">
        <v>0</v>
      </c>
      <c r="AP1415" s="4">
        <v>34</v>
      </c>
      <c r="AQ1415" s="4">
        <v>55</v>
      </c>
      <c r="AR1415" s="3" t="s">
        <v>128</v>
      </c>
      <c r="AS1415" s="3" t="s">
        <v>64</v>
      </c>
      <c r="AT1415" s="3" t="s">
        <v>64</v>
      </c>
      <c r="AV1415" s="6" t="str">
        <f>HYPERLINK("http://mcgill.on.worldcat.org/oclc/69186546","Catalog Record")</f>
        <v>Catalog Record</v>
      </c>
      <c r="AW1415" s="6" t="str">
        <f>HYPERLINK("http://www.worldcat.org/oclc/69186546","WorldCat Record")</f>
        <v>WorldCat Record</v>
      </c>
      <c r="AX1415" s="3" t="s">
        <v>14295</v>
      </c>
      <c r="AY1415" s="3" t="s">
        <v>14296</v>
      </c>
      <c r="AZ1415" s="3" t="s">
        <v>14297</v>
      </c>
      <c r="BA1415" s="3" t="s">
        <v>14297</v>
      </c>
      <c r="BB1415" s="3" t="s">
        <v>14298</v>
      </c>
      <c r="BC1415" s="3" t="s">
        <v>77</v>
      </c>
      <c r="BD1415" s="3" t="s">
        <v>78</v>
      </c>
      <c r="BE1415" s="3" t="s">
        <v>14299</v>
      </c>
      <c r="BF1415" s="3" t="s">
        <v>14298</v>
      </c>
      <c r="BG1415" s="3" t="s">
        <v>14300</v>
      </c>
      <c r="BH1415">
        <f t="shared" si="42"/>
        <v>0</v>
      </c>
    </row>
    <row r="1416" spans="1:60" ht="58" x14ac:dyDescent="0.35">
      <c r="A1416" s="2" t="s">
        <v>59</v>
      </c>
      <c r="B1416" s="2" t="s">
        <v>60</v>
      </c>
      <c r="C1416" s="2" t="s">
        <v>14289</v>
      </c>
      <c r="D1416" s="2" t="s">
        <v>14290</v>
      </c>
      <c r="E1416" s="2" t="s">
        <v>14291</v>
      </c>
      <c r="G1416" s="3" t="s">
        <v>64</v>
      </c>
      <c r="I1416" s="3" t="s">
        <v>128</v>
      </c>
      <c r="J1416" s="3" t="s">
        <v>128</v>
      </c>
      <c r="K1416" s="3" t="s">
        <v>65</v>
      </c>
      <c r="L1416" s="2" t="s">
        <v>14292</v>
      </c>
      <c r="M1416" s="2" t="s">
        <v>14293</v>
      </c>
      <c r="N1416" s="3" t="s">
        <v>171</v>
      </c>
      <c r="O1416" s="2" t="s">
        <v>2149</v>
      </c>
      <c r="P1416" s="3" t="s">
        <v>102</v>
      </c>
      <c r="R1416" s="3" t="s">
        <v>70</v>
      </c>
      <c r="S1416" s="4">
        <v>23</v>
      </c>
      <c r="T1416" s="4">
        <v>45</v>
      </c>
      <c r="U1416" s="5" t="s">
        <v>14301</v>
      </c>
      <c r="V1416" s="5" t="s">
        <v>14294</v>
      </c>
      <c r="W1416" s="5" t="s">
        <v>72</v>
      </c>
      <c r="X1416" s="5" t="s">
        <v>72</v>
      </c>
      <c r="Y1416" s="4">
        <v>214</v>
      </c>
      <c r="Z1416" s="4">
        <v>99</v>
      </c>
      <c r="AA1416" s="4">
        <v>187</v>
      </c>
      <c r="AB1416" s="4">
        <v>6</v>
      </c>
      <c r="AC1416" s="4">
        <v>22</v>
      </c>
      <c r="AD1416" s="4">
        <v>73</v>
      </c>
      <c r="AE1416" s="4">
        <v>160</v>
      </c>
      <c r="AF1416" s="4">
        <v>2</v>
      </c>
      <c r="AG1416" s="4">
        <v>8</v>
      </c>
      <c r="AH1416" s="4">
        <v>47</v>
      </c>
      <c r="AI1416" s="4">
        <v>112</v>
      </c>
      <c r="AJ1416" s="4">
        <v>20</v>
      </c>
      <c r="AK1416" s="4">
        <v>29</v>
      </c>
      <c r="AL1416" s="4">
        <v>26</v>
      </c>
      <c r="AM1416" s="4">
        <v>60</v>
      </c>
      <c r="AN1416" s="4">
        <v>0</v>
      </c>
      <c r="AO1416" s="4">
        <v>0</v>
      </c>
      <c r="AP1416" s="4">
        <v>34</v>
      </c>
      <c r="AQ1416" s="4">
        <v>55</v>
      </c>
      <c r="AR1416" s="3" t="s">
        <v>128</v>
      </c>
      <c r="AS1416" s="3" t="s">
        <v>64</v>
      </c>
      <c r="AT1416" s="3" t="s">
        <v>64</v>
      </c>
      <c r="AV1416" s="6" t="str">
        <f>HYPERLINK("http://mcgill.on.worldcat.org/oclc/69186546","Catalog Record")</f>
        <v>Catalog Record</v>
      </c>
      <c r="AW1416" s="6" t="str">
        <f>HYPERLINK("http://www.worldcat.org/oclc/69186546","WorldCat Record")</f>
        <v>WorldCat Record</v>
      </c>
      <c r="AX1416" s="3" t="s">
        <v>14295</v>
      </c>
      <c r="AY1416" s="3" t="s">
        <v>14296</v>
      </c>
      <c r="AZ1416" s="3" t="s">
        <v>14297</v>
      </c>
      <c r="BA1416" s="3" t="s">
        <v>14297</v>
      </c>
      <c r="BB1416" s="3" t="s">
        <v>14302</v>
      </c>
      <c r="BC1416" s="3" t="s">
        <v>77</v>
      </c>
      <c r="BD1416" s="3" t="s">
        <v>78</v>
      </c>
      <c r="BE1416" s="3" t="s">
        <v>14299</v>
      </c>
      <c r="BF1416" s="3" t="s">
        <v>14302</v>
      </c>
      <c r="BG1416" s="3" t="s">
        <v>14303</v>
      </c>
      <c r="BH1416">
        <f t="shared" si="42"/>
        <v>0</v>
      </c>
    </row>
    <row r="1417" spans="1:60" ht="58" x14ac:dyDescent="0.35">
      <c r="A1417" s="2" t="s">
        <v>59</v>
      </c>
      <c r="B1417" s="2" t="s">
        <v>60</v>
      </c>
      <c r="C1417" s="2" t="s">
        <v>14304</v>
      </c>
      <c r="D1417" s="2" t="s">
        <v>14305</v>
      </c>
      <c r="E1417" s="2" t="s">
        <v>14306</v>
      </c>
      <c r="G1417" s="3" t="s">
        <v>64</v>
      </c>
      <c r="I1417" s="3" t="s">
        <v>64</v>
      </c>
      <c r="J1417" s="3" t="s">
        <v>64</v>
      </c>
      <c r="K1417" s="3" t="s">
        <v>65</v>
      </c>
      <c r="M1417" s="2" t="s">
        <v>14307</v>
      </c>
      <c r="N1417" s="3" t="s">
        <v>291</v>
      </c>
      <c r="O1417" s="2" t="s">
        <v>14308</v>
      </c>
      <c r="P1417" s="3" t="s">
        <v>68</v>
      </c>
      <c r="R1417" s="3" t="s">
        <v>70</v>
      </c>
      <c r="S1417" s="4">
        <v>2</v>
      </c>
      <c r="T1417" s="4">
        <v>2</v>
      </c>
      <c r="U1417" s="5" t="s">
        <v>9096</v>
      </c>
      <c r="V1417" s="5" t="s">
        <v>9096</v>
      </c>
      <c r="W1417" s="5" t="s">
        <v>72</v>
      </c>
      <c r="X1417" s="5" t="s">
        <v>72</v>
      </c>
      <c r="Y1417" s="4">
        <v>4</v>
      </c>
      <c r="Z1417" s="4">
        <v>1</v>
      </c>
      <c r="AA1417" s="4">
        <v>9</v>
      </c>
      <c r="AB1417" s="4">
        <v>1</v>
      </c>
      <c r="AC1417" s="4">
        <v>6</v>
      </c>
      <c r="AD1417" s="4">
        <v>1</v>
      </c>
      <c r="AE1417" s="4">
        <v>10</v>
      </c>
      <c r="AF1417" s="4">
        <v>0</v>
      </c>
      <c r="AG1417" s="4">
        <v>3</v>
      </c>
      <c r="AH1417" s="4">
        <v>1</v>
      </c>
      <c r="AI1417" s="4">
        <v>8</v>
      </c>
      <c r="AJ1417" s="4">
        <v>0</v>
      </c>
      <c r="AK1417" s="4">
        <v>5</v>
      </c>
      <c r="AL1417" s="4">
        <v>1</v>
      </c>
      <c r="AM1417" s="4">
        <v>4</v>
      </c>
      <c r="AN1417" s="4">
        <v>0</v>
      </c>
      <c r="AO1417" s="4">
        <v>0</v>
      </c>
      <c r="AP1417" s="4">
        <v>0</v>
      </c>
      <c r="AQ1417" s="4">
        <v>4</v>
      </c>
      <c r="AR1417" s="3" t="s">
        <v>64</v>
      </c>
      <c r="AS1417" s="3" t="s">
        <v>64</v>
      </c>
      <c r="AT1417" s="3" t="s">
        <v>64</v>
      </c>
      <c r="AV1417" s="6" t="str">
        <f>HYPERLINK("http://mcgill.on.worldcat.org/oclc/427840692","Catalog Record")</f>
        <v>Catalog Record</v>
      </c>
      <c r="AW1417" s="6" t="str">
        <f>HYPERLINK("http://www.worldcat.org/oclc/427840692","WorldCat Record")</f>
        <v>WorldCat Record</v>
      </c>
      <c r="AX1417" s="3" t="s">
        <v>14309</v>
      </c>
      <c r="AY1417" s="3" t="s">
        <v>14310</v>
      </c>
      <c r="AZ1417" s="3" t="s">
        <v>14311</v>
      </c>
      <c r="BA1417" s="3" t="s">
        <v>14311</v>
      </c>
      <c r="BB1417" s="3" t="s">
        <v>14312</v>
      </c>
      <c r="BC1417" s="3" t="s">
        <v>77</v>
      </c>
      <c r="BD1417" s="3" t="s">
        <v>78</v>
      </c>
      <c r="BE1417" s="3" t="s">
        <v>14313</v>
      </c>
      <c r="BF1417" s="3" t="s">
        <v>14312</v>
      </c>
      <c r="BG1417" s="3" t="s">
        <v>14314</v>
      </c>
      <c r="BH1417">
        <f t="shared" si="42"/>
        <v>0</v>
      </c>
    </row>
    <row r="1418" spans="1:60" ht="72.5" x14ac:dyDescent="0.35">
      <c r="A1418" s="2" t="s">
        <v>59</v>
      </c>
      <c r="B1418" s="2" t="s">
        <v>60</v>
      </c>
      <c r="C1418" s="2" t="s">
        <v>14315</v>
      </c>
      <c r="D1418" s="2" t="s">
        <v>14316</v>
      </c>
      <c r="E1418" s="2" t="s">
        <v>14317</v>
      </c>
      <c r="G1418" s="3" t="s">
        <v>64</v>
      </c>
      <c r="I1418" s="3" t="s">
        <v>64</v>
      </c>
      <c r="J1418" s="3" t="s">
        <v>64</v>
      </c>
      <c r="K1418" s="3" t="s">
        <v>65</v>
      </c>
      <c r="M1418" s="2" t="s">
        <v>14318</v>
      </c>
      <c r="N1418" s="3" t="s">
        <v>1492</v>
      </c>
      <c r="O1418" s="2" t="s">
        <v>14319</v>
      </c>
      <c r="P1418" s="3" t="s">
        <v>68</v>
      </c>
      <c r="R1418" s="3" t="s">
        <v>70</v>
      </c>
      <c r="S1418" s="4">
        <v>1</v>
      </c>
      <c r="T1418" s="4">
        <v>1</v>
      </c>
      <c r="W1418" s="5" t="s">
        <v>14320</v>
      </c>
      <c r="X1418" s="5" t="s">
        <v>14320</v>
      </c>
      <c r="Y1418" s="4">
        <v>1</v>
      </c>
      <c r="Z1418" s="4">
        <v>1</v>
      </c>
      <c r="AA1418" s="4">
        <v>1</v>
      </c>
      <c r="AB1418" s="4">
        <v>1</v>
      </c>
      <c r="AC1418" s="4">
        <v>1</v>
      </c>
      <c r="AD1418" s="4">
        <v>0</v>
      </c>
      <c r="AE1418" s="4">
        <v>0</v>
      </c>
      <c r="AF1418" s="4">
        <v>0</v>
      </c>
      <c r="AG1418" s="4">
        <v>0</v>
      </c>
      <c r="AH1418" s="4">
        <v>0</v>
      </c>
      <c r="AI1418" s="4">
        <v>0</v>
      </c>
      <c r="AJ1418" s="4">
        <v>0</v>
      </c>
      <c r="AK1418" s="4">
        <v>0</v>
      </c>
      <c r="AL1418" s="4">
        <v>0</v>
      </c>
      <c r="AM1418" s="4">
        <v>0</v>
      </c>
      <c r="AN1418" s="4">
        <v>0</v>
      </c>
      <c r="AO1418" s="4">
        <v>0</v>
      </c>
      <c r="AP1418" s="4">
        <v>0</v>
      </c>
      <c r="AQ1418" s="4">
        <v>0</v>
      </c>
      <c r="AR1418" s="3" t="s">
        <v>64</v>
      </c>
      <c r="AS1418" s="3" t="s">
        <v>64</v>
      </c>
      <c r="AT1418" s="3" t="s">
        <v>64</v>
      </c>
      <c r="AV1418" s="6" t="str">
        <f>HYPERLINK("http://mcgill.on.worldcat.org/oclc/1129251901","Catalog Record")</f>
        <v>Catalog Record</v>
      </c>
      <c r="AW1418" s="6" t="str">
        <f>HYPERLINK("http://www.worldcat.org/oclc/1129251901","WorldCat Record")</f>
        <v>WorldCat Record</v>
      </c>
      <c r="AX1418" s="3" t="s">
        <v>14321</v>
      </c>
      <c r="AY1418" s="3" t="s">
        <v>14322</v>
      </c>
      <c r="AZ1418" s="3" t="s">
        <v>14323</v>
      </c>
      <c r="BA1418" s="3" t="s">
        <v>14323</v>
      </c>
      <c r="BB1418" s="3" t="s">
        <v>14324</v>
      </c>
      <c r="BC1418" s="3" t="s">
        <v>77</v>
      </c>
      <c r="BD1418" s="3" t="s">
        <v>165</v>
      </c>
      <c r="BE1418" s="3" t="s">
        <v>14325</v>
      </c>
      <c r="BF1418" s="3" t="s">
        <v>14324</v>
      </c>
      <c r="BG1418" s="3" t="s">
        <v>14326</v>
      </c>
      <c r="BH1418">
        <f t="shared" si="42"/>
        <v>0</v>
      </c>
    </row>
    <row r="1419" spans="1:60" ht="58" x14ac:dyDescent="0.35">
      <c r="A1419" s="2" t="s">
        <v>59</v>
      </c>
      <c r="B1419" s="2" t="s">
        <v>60</v>
      </c>
      <c r="C1419" s="2" t="s">
        <v>14327</v>
      </c>
      <c r="D1419" s="2" t="s">
        <v>14328</v>
      </c>
      <c r="E1419" s="2" t="s">
        <v>14329</v>
      </c>
      <c r="G1419" s="3" t="s">
        <v>64</v>
      </c>
      <c r="I1419" s="3" t="s">
        <v>64</v>
      </c>
      <c r="J1419" s="3" t="s">
        <v>64</v>
      </c>
      <c r="K1419" s="3" t="s">
        <v>65</v>
      </c>
      <c r="L1419" s="2" t="s">
        <v>14330</v>
      </c>
      <c r="M1419" s="2" t="s">
        <v>14331</v>
      </c>
      <c r="N1419" s="3" t="s">
        <v>5986</v>
      </c>
      <c r="P1419" s="3" t="s">
        <v>102</v>
      </c>
      <c r="R1419" s="3" t="s">
        <v>70</v>
      </c>
      <c r="S1419" s="4">
        <v>11</v>
      </c>
      <c r="T1419" s="4">
        <v>11</v>
      </c>
      <c r="U1419" s="5" t="s">
        <v>1088</v>
      </c>
      <c r="V1419" s="5" t="s">
        <v>1088</v>
      </c>
      <c r="W1419" s="5" t="s">
        <v>72</v>
      </c>
      <c r="X1419" s="5" t="s">
        <v>72</v>
      </c>
      <c r="Y1419" s="4">
        <v>207</v>
      </c>
      <c r="Z1419" s="4">
        <v>14</v>
      </c>
      <c r="AA1419" s="4">
        <v>16</v>
      </c>
      <c r="AB1419" s="4">
        <v>1</v>
      </c>
      <c r="AC1419" s="4">
        <v>2</v>
      </c>
      <c r="AD1419" s="4">
        <v>71</v>
      </c>
      <c r="AE1419" s="4">
        <v>73</v>
      </c>
      <c r="AF1419" s="4">
        <v>0</v>
      </c>
      <c r="AG1419" s="4">
        <v>1</v>
      </c>
      <c r="AH1419" s="4">
        <v>66</v>
      </c>
      <c r="AI1419" s="4">
        <v>66</v>
      </c>
      <c r="AJ1419" s="4">
        <v>8</v>
      </c>
      <c r="AK1419" s="4">
        <v>10</v>
      </c>
      <c r="AL1419" s="4">
        <v>38</v>
      </c>
      <c r="AM1419" s="4">
        <v>38</v>
      </c>
      <c r="AN1419" s="4">
        <v>0</v>
      </c>
      <c r="AO1419" s="4">
        <v>0</v>
      </c>
      <c r="AP1419" s="4">
        <v>9</v>
      </c>
      <c r="AQ1419" s="4">
        <v>9</v>
      </c>
      <c r="AR1419" s="3" t="s">
        <v>64</v>
      </c>
      <c r="AS1419" s="3" t="s">
        <v>64</v>
      </c>
      <c r="AT1419" s="3" t="s">
        <v>128</v>
      </c>
      <c r="AU1419" s="6" t="str">
        <f>HYPERLINK("http://catalog.hathitrust.org/Record/000961494","HathiTrust Record")</f>
        <v>HathiTrust Record</v>
      </c>
      <c r="AV1419" s="6" t="str">
        <f>HYPERLINK("http://mcgill.on.worldcat.org/oclc/574495","Catalog Record")</f>
        <v>Catalog Record</v>
      </c>
      <c r="AW1419" s="6" t="str">
        <f>HYPERLINK("http://www.worldcat.org/oclc/574495","WorldCat Record")</f>
        <v>WorldCat Record</v>
      </c>
      <c r="AX1419" s="3" t="s">
        <v>14332</v>
      </c>
      <c r="AY1419" s="3" t="s">
        <v>14333</v>
      </c>
      <c r="AZ1419" s="3" t="s">
        <v>14334</v>
      </c>
      <c r="BA1419" s="3" t="s">
        <v>14334</v>
      </c>
      <c r="BB1419" s="3" t="s">
        <v>14335</v>
      </c>
      <c r="BC1419" s="3" t="s">
        <v>77</v>
      </c>
      <c r="BD1419" s="3" t="s">
        <v>78</v>
      </c>
      <c r="BF1419" s="3" t="s">
        <v>14335</v>
      </c>
      <c r="BG1419" s="3" t="s">
        <v>14336</v>
      </c>
      <c r="BH1419">
        <f t="shared" si="42"/>
        <v>0</v>
      </c>
    </row>
    <row r="1420" spans="1:60" ht="58" x14ac:dyDescent="0.35">
      <c r="A1420" s="2" t="s">
        <v>59</v>
      </c>
      <c r="B1420" s="2" t="s">
        <v>60</v>
      </c>
      <c r="C1420" s="2" t="s">
        <v>14337</v>
      </c>
      <c r="D1420" s="2" t="s">
        <v>14338</v>
      </c>
      <c r="E1420" s="2" t="s">
        <v>14339</v>
      </c>
      <c r="G1420" s="3" t="s">
        <v>64</v>
      </c>
      <c r="I1420" s="3" t="s">
        <v>64</v>
      </c>
      <c r="J1420" s="3" t="s">
        <v>64</v>
      </c>
      <c r="K1420" s="3" t="s">
        <v>65</v>
      </c>
      <c r="L1420" s="2" t="s">
        <v>14340</v>
      </c>
      <c r="M1420" s="2" t="s">
        <v>14341</v>
      </c>
      <c r="N1420" s="3" t="s">
        <v>2067</v>
      </c>
      <c r="P1420" s="3" t="s">
        <v>102</v>
      </c>
      <c r="R1420" s="3" t="s">
        <v>70</v>
      </c>
      <c r="S1420" s="4">
        <v>7</v>
      </c>
      <c r="T1420" s="4">
        <v>7</v>
      </c>
      <c r="U1420" s="5" t="s">
        <v>14342</v>
      </c>
      <c r="V1420" s="5" t="s">
        <v>14342</v>
      </c>
      <c r="W1420" s="5" t="s">
        <v>72</v>
      </c>
      <c r="X1420" s="5" t="s">
        <v>72</v>
      </c>
      <c r="Y1420" s="4">
        <v>314</v>
      </c>
      <c r="Z1420" s="4">
        <v>18</v>
      </c>
      <c r="AA1420" s="4">
        <v>19</v>
      </c>
      <c r="AB1420" s="4">
        <v>1</v>
      </c>
      <c r="AC1420" s="4">
        <v>2</v>
      </c>
      <c r="AD1420" s="4">
        <v>63</v>
      </c>
      <c r="AE1420" s="4">
        <v>64</v>
      </c>
      <c r="AF1420" s="4">
        <v>0</v>
      </c>
      <c r="AG1420" s="4">
        <v>1</v>
      </c>
      <c r="AH1420" s="4">
        <v>55</v>
      </c>
      <c r="AI1420" s="4">
        <v>55</v>
      </c>
      <c r="AJ1420" s="4">
        <v>9</v>
      </c>
      <c r="AK1420" s="4">
        <v>10</v>
      </c>
      <c r="AL1420" s="4">
        <v>29</v>
      </c>
      <c r="AM1420" s="4">
        <v>29</v>
      </c>
      <c r="AN1420" s="4">
        <v>0</v>
      </c>
      <c r="AO1420" s="4">
        <v>0</v>
      </c>
      <c r="AP1420" s="4">
        <v>10</v>
      </c>
      <c r="AQ1420" s="4">
        <v>10</v>
      </c>
      <c r="AR1420" s="3" t="s">
        <v>64</v>
      </c>
      <c r="AS1420" s="3" t="s">
        <v>64</v>
      </c>
      <c r="AT1420" s="3" t="s">
        <v>128</v>
      </c>
      <c r="AU1420" s="6" t="str">
        <f>HYPERLINK("http://catalog.hathitrust.org/Record/001093548","HathiTrust Record")</f>
        <v>HathiTrust Record</v>
      </c>
      <c r="AV1420" s="6" t="str">
        <f>HYPERLINK("http://mcgill.on.worldcat.org/oclc/18961863","Catalog Record")</f>
        <v>Catalog Record</v>
      </c>
      <c r="AW1420" s="6" t="str">
        <f>HYPERLINK("http://www.worldcat.org/oclc/18961863","WorldCat Record")</f>
        <v>WorldCat Record</v>
      </c>
      <c r="AX1420" s="3" t="s">
        <v>14343</v>
      </c>
      <c r="AY1420" s="3" t="s">
        <v>14344</v>
      </c>
      <c r="AZ1420" s="3" t="s">
        <v>14345</v>
      </c>
      <c r="BA1420" s="3" t="s">
        <v>14345</v>
      </c>
      <c r="BB1420" s="3" t="s">
        <v>14346</v>
      </c>
      <c r="BC1420" s="3" t="s">
        <v>77</v>
      </c>
      <c r="BD1420" s="3" t="s">
        <v>78</v>
      </c>
      <c r="BE1420" s="3" t="s">
        <v>14347</v>
      </c>
      <c r="BF1420" s="3" t="s">
        <v>14346</v>
      </c>
      <c r="BG1420" s="3" t="s">
        <v>14348</v>
      </c>
      <c r="BH1420">
        <f t="shared" si="42"/>
        <v>0</v>
      </c>
    </row>
    <row r="1421" spans="1:60" ht="58" x14ac:dyDescent="0.35">
      <c r="A1421" s="2" t="s">
        <v>59</v>
      </c>
      <c r="B1421" s="2" t="s">
        <v>60</v>
      </c>
      <c r="C1421" s="2" t="s">
        <v>14349</v>
      </c>
      <c r="D1421" s="2" t="s">
        <v>14350</v>
      </c>
      <c r="E1421" s="2" t="s">
        <v>14351</v>
      </c>
      <c r="G1421" s="3" t="s">
        <v>64</v>
      </c>
      <c r="I1421" s="3" t="s">
        <v>64</v>
      </c>
      <c r="J1421" s="3" t="s">
        <v>64</v>
      </c>
      <c r="K1421" s="3" t="s">
        <v>65</v>
      </c>
      <c r="L1421" s="2" t="s">
        <v>14352</v>
      </c>
      <c r="M1421" s="2" t="s">
        <v>14353</v>
      </c>
      <c r="N1421" s="3" t="s">
        <v>11182</v>
      </c>
      <c r="P1421" s="3" t="s">
        <v>102</v>
      </c>
      <c r="R1421" s="3" t="s">
        <v>70</v>
      </c>
      <c r="S1421" s="4">
        <v>1</v>
      </c>
      <c r="T1421" s="4">
        <v>1</v>
      </c>
      <c r="U1421" s="5" t="s">
        <v>14342</v>
      </c>
      <c r="V1421" s="5" t="s">
        <v>14342</v>
      </c>
      <c r="W1421" s="5" t="s">
        <v>72</v>
      </c>
      <c r="X1421" s="5" t="s">
        <v>72</v>
      </c>
      <c r="Y1421" s="4">
        <v>2</v>
      </c>
      <c r="Z1421" s="4">
        <v>2</v>
      </c>
      <c r="AA1421" s="4">
        <v>14</v>
      </c>
      <c r="AB1421" s="4">
        <v>1</v>
      </c>
      <c r="AC1421" s="4">
        <v>2</v>
      </c>
      <c r="AD1421" s="4">
        <v>1</v>
      </c>
      <c r="AE1421" s="4">
        <v>25</v>
      </c>
      <c r="AF1421" s="4">
        <v>0</v>
      </c>
      <c r="AG1421" s="4">
        <v>0</v>
      </c>
      <c r="AH1421" s="4">
        <v>1</v>
      </c>
      <c r="AI1421" s="4">
        <v>22</v>
      </c>
      <c r="AJ1421" s="4">
        <v>1</v>
      </c>
      <c r="AK1421" s="4">
        <v>9</v>
      </c>
      <c r="AL1421" s="4">
        <v>0</v>
      </c>
      <c r="AM1421" s="4">
        <v>11</v>
      </c>
      <c r="AN1421" s="4">
        <v>0</v>
      </c>
      <c r="AO1421" s="4">
        <v>0</v>
      </c>
      <c r="AP1421" s="4">
        <v>1</v>
      </c>
      <c r="AQ1421" s="4">
        <v>8</v>
      </c>
      <c r="AR1421" s="3" t="s">
        <v>128</v>
      </c>
      <c r="AS1421" s="3" t="s">
        <v>64</v>
      </c>
      <c r="AT1421" s="3" t="s">
        <v>64</v>
      </c>
      <c r="AV1421" s="6" t="str">
        <f>HYPERLINK("http://mcgill.on.worldcat.org/oclc/61610039","Catalog Record")</f>
        <v>Catalog Record</v>
      </c>
      <c r="AW1421" s="6" t="str">
        <f>HYPERLINK("http://www.worldcat.org/oclc/61610039","WorldCat Record")</f>
        <v>WorldCat Record</v>
      </c>
      <c r="AX1421" s="3" t="s">
        <v>14354</v>
      </c>
      <c r="AY1421" s="3" t="s">
        <v>14355</v>
      </c>
      <c r="AZ1421" s="3" t="s">
        <v>14356</v>
      </c>
      <c r="BA1421" s="3" t="s">
        <v>14356</v>
      </c>
      <c r="BB1421" s="3" t="s">
        <v>14357</v>
      </c>
      <c r="BC1421" s="3" t="s">
        <v>77</v>
      </c>
      <c r="BD1421" s="3" t="s">
        <v>78</v>
      </c>
      <c r="BF1421" s="3" t="s">
        <v>14357</v>
      </c>
      <c r="BG1421" s="3" t="s">
        <v>14358</v>
      </c>
      <c r="BH1421">
        <f t="shared" si="42"/>
        <v>0</v>
      </c>
    </row>
    <row r="1422" spans="1:60" ht="58" x14ac:dyDescent="0.35">
      <c r="A1422" s="2" t="s">
        <v>59</v>
      </c>
      <c r="B1422" s="2" t="s">
        <v>60</v>
      </c>
      <c r="C1422" s="2" t="s">
        <v>14359</v>
      </c>
      <c r="D1422" s="2" t="s">
        <v>14360</v>
      </c>
      <c r="E1422" s="2" t="s">
        <v>14361</v>
      </c>
      <c r="G1422" s="3" t="s">
        <v>64</v>
      </c>
      <c r="I1422" s="3" t="s">
        <v>64</v>
      </c>
      <c r="J1422" s="3" t="s">
        <v>64</v>
      </c>
      <c r="K1422" s="3" t="s">
        <v>65</v>
      </c>
      <c r="L1422" s="2" t="s">
        <v>14362</v>
      </c>
      <c r="M1422" s="2" t="s">
        <v>14363</v>
      </c>
      <c r="N1422" s="3" t="s">
        <v>1031</v>
      </c>
      <c r="P1422" s="3" t="s">
        <v>102</v>
      </c>
      <c r="Q1422" s="2" t="s">
        <v>14364</v>
      </c>
      <c r="R1422" s="3" t="s">
        <v>70</v>
      </c>
      <c r="S1422" s="4">
        <v>3</v>
      </c>
      <c r="T1422" s="4">
        <v>3</v>
      </c>
      <c r="U1422" s="5" t="s">
        <v>14365</v>
      </c>
      <c r="V1422" s="5" t="s">
        <v>14365</v>
      </c>
      <c r="W1422" s="5" t="s">
        <v>72</v>
      </c>
      <c r="X1422" s="5" t="s">
        <v>72</v>
      </c>
      <c r="Y1422" s="4">
        <v>268</v>
      </c>
      <c r="Z1422" s="4">
        <v>21</v>
      </c>
      <c r="AA1422" s="4">
        <v>23</v>
      </c>
      <c r="AB1422" s="4">
        <v>3</v>
      </c>
      <c r="AC1422" s="4">
        <v>5</v>
      </c>
      <c r="AD1422" s="4">
        <v>96</v>
      </c>
      <c r="AE1422" s="4">
        <v>97</v>
      </c>
      <c r="AF1422" s="4">
        <v>2</v>
      </c>
      <c r="AG1422" s="4">
        <v>3</v>
      </c>
      <c r="AH1422" s="4">
        <v>84</v>
      </c>
      <c r="AI1422" s="4">
        <v>84</v>
      </c>
      <c r="AJ1422" s="4">
        <v>14</v>
      </c>
      <c r="AK1422" s="4">
        <v>15</v>
      </c>
      <c r="AL1422" s="4">
        <v>47</v>
      </c>
      <c r="AM1422" s="4">
        <v>47</v>
      </c>
      <c r="AN1422" s="4">
        <v>0</v>
      </c>
      <c r="AO1422" s="4">
        <v>0</v>
      </c>
      <c r="AP1422" s="4">
        <v>16</v>
      </c>
      <c r="AQ1422" s="4">
        <v>16</v>
      </c>
      <c r="AR1422" s="3" t="s">
        <v>64</v>
      </c>
      <c r="AS1422" s="3" t="s">
        <v>64</v>
      </c>
      <c r="AT1422" s="3" t="s">
        <v>64</v>
      </c>
      <c r="AV1422" s="6" t="str">
        <f>HYPERLINK("http://mcgill.on.worldcat.org/oclc/24067069","Catalog Record")</f>
        <v>Catalog Record</v>
      </c>
      <c r="AW1422" s="6" t="str">
        <f>HYPERLINK("http://www.worldcat.org/oclc/24067069","WorldCat Record")</f>
        <v>WorldCat Record</v>
      </c>
      <c r="AX1422" s="3" t="s">
        <v>14366</v>
      </c>
      <c r="AY1422" s="3" t="s">
        <v>14367</v>
      </c>
      <c r="AZ1422" s="3" t="s">
        <v>14368</v>
      </c>
      <c r="BA1422" s="3" t="s">
        <v>14368</v>
      </c>
      <c r="BB1422" s="3" t="s">
        <v>14369</v>
      </c>
      <c r="BC1422" s="3" t="s">
        <v>77</v>
      </c>
      <c r="BD1422" s="3" t="s">
        <v>78</v>
      </c>
      <c r="BE1422" s="3" t="s">
        <v>14370</v>
      </c>
      <c r="BF1422" s="3" t="s">
        <v>14369</v>
      </c>
      <c r="BG1422" s="3" t="s">
        <v>14371</v>
      </c>
      <c r="BH1422">
        <f t="shared" si="42"/>
        <v>0</v>
      </c>
    </row>
    <row r="1423" spans="1:60" ht="58" x14ac:dyDescent="0.35">
      <c r="A1423" s="2" t="s">
        <v>59</v>
      </c>
      <c r="B1423" s="2" t="s">
        <v>60</v>
      </c>
      <c r="C1423" s="2" t="s">
        <v>14372</v>
      </c>
      <c r="D1423" s="2" t="s">
        <v>14373</v>
      </c>
      <c r="E1423" s="2" t="s">
        <v>14374</v>
      </c>
      <c r="G1423" s="3" t="s">
        <v>64</v>
      </c>
      <c r="I1423" s="3" t="s">
        <v>64</v>
      </c>
      <c r="J1423" s="3" t="s">
        <v>64</v>
      </c>
      <c r="K1423" s="3" t="s">
        <v>65</v>
      </c>
      <c r="L1423" s="2" t="s">
        <v>14375</v>
      </c>
      <c r="M1423" s="2" t="s">
        <v>14376</v>
      </c>
      <c r="N1423" s="3" t="s">
        <v>551</v>
      </c>
      <c r="P1423" s="3" t="s">
        <v>102</v>
      </c>
      <c r="Q1423" s="2" t="s">
        <v>13932</v>
      </c>
      <c r="R1423" s="3" t="s">
        <v>70</v>
      </c>
      <c r="S1423" s="4">
        <v>2</v>
      </c>
      <c r="T1423" s="4">
        <v>2</v>
      </c>
      <c r="U1423" s="5" t="s">
        <v>14377</v>
      </c>
      <c r="V1423" s="5" t="s">
        <v>14377</v>
      </c>
      <c r="W1423" s="5" t="s">
        <v>72</v>
      </c>
      <c r="X1423" s="5" t="s">
        <v>72</v>
      </c>
      <c r="Y1423" s="4">
        <v>187</v>
      </c>
      <c r="Z1423" s="4">
        <v>14</v>
      </c>
      <c r="AA1423" s="4">
        <v>17</v>
      </c>
      <c r="AB1423" s="4">
        <v>2</v>
      </c>
      <c r="AC1423" s="4">
        <v>3</v>
      </c>
      <c r="AD1423" s="4">
        <v>65</v>
      </c>
      <c r="AE1423" s="4">
        <v>67</v>
      </c>
      <c r="AF1423" s="4">
        <v>0</v>
      </c>
      <c r="AG1423" s="4">
        <v>1</v>
      </c>
      <c r="AH1423" s="4">
        <v>59</v>
      </c>
      <c r="AI1423" s="4">
        <v>60</v>
      </c>
      <c r="AJ1423" s="4">
        <v>8</v>
      </c>
      <c r="AK1423" s="4">
        <v>10</v>
      </c>
      <c r="AL1423" s="4">
        <v>36</v>
      </c>
      <c r="AM1423" s="4">
        <v>36</v>
      </c>
      <c r="AN1423" s="4">
        <v>0</v>
      </c>
      <c r="AO1423" s="4">
        <v>0</v>
      </c>
      <c r="AP1423" s="4">
        <v>10</v>
      </c>
      <c r="AQ1423" s="4">
        <v>11</v>
      </c>
      <c r="AR1423" s="3" t="s">
        <v>64</v>
      </c>
      <c r="AS1423" s="3" t="s">
        <v>64</v>
      </c>
      <c r="AT1423" s="3" t="s">
        <v>128</v>
      </c>
      <c r="AU1423" s="6" t="str">
        <f>HYPERLINK("http://catalog.hathitrust.org/Record/005930593","HathiTrust Record")</f>
        <v>HathiTrust Record</v>
      </c>
      <c r="AV1423" s="6" t="str">
        <f>HYPERLINK("http://mcgill.on.worldcat.org/oclc/236082411","Catalog Record")</f>
        <v>Catalog Record</v>
      </c>
      <c r="AW1423" s="6" t="str">
        <f>HYPERLINK("http://www.worldcat.org/oclc/236082411","WorldCat Record")</f>
        <v>WorldCat Record</v>
      </c>
      <c r="AX1423" s="3" t="s">
        <v>14378</v>
      </c>
      <c r="AY1423" s="3" t="s">
        <v>14379</v>
      </c>
      <c r="AZ1423" s="3" t="s">
        <v>14380</v>
      </c>
      <c r="BA1423" s="3" t="s">
        <v>14380</v>
      </c>
      <c r="BB1423" s="3" t="s">
        <v>14381</v>
      </c>
      <c r="BC1423" s="3" t="s">
        <v>77</v>
      </c>
      <c r="BD1423" s="3" t="s">
        <v>78</v>
      </c>
      <c r="BE1423" s="3" t="s">
        <v>14382</v>
      </c>
      <c r="BF1423" s="3" t="s">
        <v>14381</v>
      </c>
      <c r="BG1423" s="3" t="s">
        <v>14383</v>
      </c>
      <c r="BH1423">
        <f t="shared" si="42"/>
        <v>0</v>
      </c>
    </row>
    <row r="1424" spans="1:60" ht="58" x14ac:dyDescent="0.35">
      <c r="A1424" s="2" t="s">
        <v>59</v>
      </c>
      <c r="B1424" s="2" t="s">
        <v>60</v>
      </c>
      <c r="C1424" s="2" t="s">
        <v>14384</v>
      </c>
      <c r="D1424" s="2" t="s">
        <v>14385</v>
      </c>
      <c r="E1424" s="2" t="s">
        <v>14386</v>
      </c>
      <c r="G1424" s="3" t="s">
        <v>64</v>
      </c>
      <c r="I1424" s="3" t="s">
        <v>64</v>
      </c>
      <c r="J1424" s="3" t="s">
        <v>64</v>
      </c>
      <c r="K1424" s="3" t="s">
        <v>65</v>
      </c>
      <c r="M1424" s="2" t="s">
        <v>14387</v>
      </c>
      <c r="N1424" s="3" t="s">
        <v>190</v>
      </c>
      <c r="P1424" s="3" t="s">
        <v>102</v>
      </c>
      <c r="R1424" s="3" t="s">
        <v>70</v>
      </c>
      <c r="S1424" s="4">
        <v>3</v>
      </c>
      <c r="T1424" s="4">
        <v>3</v>
      </c>
      <c r="U1424" s="5" t="s">
        <v>8822</v>
      </c>
      <c r="V1424" s="5" t="s">
        <v>8822</v>
      </c>
      <c r="W1424" s="5" t="s">
        <v>72</v>
      </c>
      <c r="X1424" s="5" t="s">
        <v>72</v>
      </c>
      <c r="Y1424" s="4">
        <v>215</v>
      </c>
      <c r="Z1424" s="4">
        <v>33</v>
      </c>
      <c r="AA1424" s="4">
        <v>37</v>
      </c>
      <c r="AB1424" s="4">
        <v>2</v>
      </c>
      <c r="AC1424" s="4">
        <v>5</v>
      </c>
      <c r="AD1424" s="4">
        <v>78</v>
      </c>
      <c r="AE1424" s="4">
        <v>83</v>
      </c>
      <c r="AF1424" s="4">
        <v>1</v>
      </c>
      <c r="AG1424" s="4">
        <v>2</v>
      </c>
      <c r="AH1424" s="4">
        <v>58</v>
      </c>
      <c r="AI1424" s="4">
        <v>61</v>
      </c>
      <c r="AJ1424" s="4">
        <v>18</v>
      </c>
      <c r="AK1424" s="4">
        <v>20</v>
      </c>
      <c r="AL1424" s="4">
        <v>36</v>
      </c>
      <c r="AM1424" s="4">
        <v>37</v>
      </c>
      <c r="AN1424" s="4">
        <v>0</v>
      </c>
      <c r="AO1424" s="4">
        <v>0</v>
      </c>
      <c r="AP1424" s="4">
        <v>25</v>
      </c>
      <c r="AQ1424" s="4">
        <v>26</v>
      </c>
      <c r="AR1424" s="3" t="s">
        <v>64</v>
      </c>
      <c r="AS1424" s="3" t="s">
        <v>64</v>
      </c>
      <c r="AT1424" s="3" t="s">
        <v>64</v>
      </c>
      <c r="AV1424" s="6" t="str">
        <f>HYPERLINK("http://mcgill.on.worldcat.org/oclc/992307225","Catalog Record")</f>
        <v>Catalog Record</v>
      </c>
      <c r="AW1424" s="6" t="str">
        <f>HYPERLINK("http://www.worldcat.org/oclc/992307225","WorldCat Record")</f>
        <v>WorldCat Record</v>
      </c>
      <c r="AX1424" s="3" t="s">
        <v>14388</v>
      </c>
      <c r="AY1424" s="3" t="s">
        <v>14389</v>
      </c>
      <c r="AZ1424" s="3" t="s">
        <v>14390</v>
      </c>
      <c r="BA1424" s="3" t="s">
        <v>14390</v>
      </c>
      <c r="BB1424" s="3" t="s">
        <v>14391</v>
      </c>
      <c r="BC1424" s="3" t="s">
        <v>77</v>
      </c>
      <c r="BD1424" s="3" t="s">
        <v>165</v>
      </c>
      <c r="BE1424" s="3" t="s">
        <v>14392</v>
      </c>
      <c r="BF1424" s="3" t="s">
        <v>14391</v>
      </c>
      <c r="BG1424" s="3" t="s">
        <v>14393</v>
      </c>
      <c r="BH1424">
        <f t="shared" si="42"/>
        <v>0</v>
      </c>
    </row>
    <row r="1425" spans="1:60" ht="58" x14ac:dyDescent="0.35">
      <c r="A1425" s="2" t="s">
        <v>59</v>
      </c>
      <c r="B1425" s="2" t="s">
        <v>60</v>
      </c>
      <c r="C1425" s="2" t="s">
        <v>14394</v>
      </c>
      <c r="D1425" s="2" t="s">
        <v>14395</v>
      </c>
      <c r="E1425" s="2" t="s">
        <v>14396</v>
      </c>
      <c r="G1425" s="3" t="s">
        <v>64</v>
      </c>
      <c r="I1425" s="3" t="s">
        <v>64</v>
      </c>
      <c r="J1425" s="3" t="s">
        <v>64</v>
      </c>
      <c r="K1425" s="3" t="s">
        <v>65</v>
      </c>
      <c r="M1425" s="2" t="s">
        <v>14397</v>
      </c>
      <c r="N1425" s="3" t="s">
        <v>551</v>
      </c>
      <c r="P1425" s="3" t="s">
        <v>102</v>
      </c>
      <c r="Q1425" s="2" t="s">
        <v>8981</v>
      </c>
      <c r="R1425" s="3" t="s">
        <v>70</v>
      </c>
      <c r="S1425" s="4">
        <v>2</v>
      </c>
      <c r="T1425" s="4">
        <v>2</v>
      </c>
      <c r="U1425" s="5" t="s">
        <v>14398</v>
      </c>
      <c r="V1425" s="5" t="s">
        <v>14398</v>
      </c>
      <c r="W1425" s="5" t="s">
        <v>72</v>
      </c>
      <c r="X1425" s="5" t="s">
        <v>72</v>
      </c>
      <c r="Y1425" s="4">
        <v>112</v>
      </c>
      <c r="Z1425" s="4">
        <v>11</v>
      </c>
      <c r="AA1425" s="4">
        <v>16</v>
      </c>
      <c r="AB1425" s="4">
        <v>2</v>
      </c>
      <c r="AC1425" s="4">
        <v>5</v>
      </c>
      <c r="AD1425" s="4">
        <v>34</v>
      </c>
      <c r="AE1425" s="4">
        <v>41</v>
      </c>
      <c r="AF1425" s="4">
        <v>0</v>
      </c>
      <c r="AG1425" s="4">
        <v>1</v>
      </c>
      <c r="AH1425" s="4">
        <v>29</v>
      </c>
      <c r="AI1425" s="4">
        <v>34</v>
      </c>
      <c r="AJ1425" s="4">
        <v>7</v>
      </c>
      <c r="AK1425" s="4">
        <v>8</v>
      </c>
      <c r="AL1425" s="4">
        <v>18</v>
      </c>
      <c r="AM1425" s="4">
        <v>21</v>
      </c>
      <c r="AN1425" s="4">
        <v>0</v>
      </c>
      <c r="AO1425" s="4">
        <v>0</v>
      </c>
      <c r="AP1425" s="4">
        <v>8</v>
      </c>
      <c r="AQ1425" s="4">
        <v>9</v>
      </c>
      <c r="AR1425" s="3" t="s">
        <v>64</v>
      </c>
      <c r="AS1425" s="3" t="s">
        <v>64</v>
      </c>
      <c r="AT1425" s="3" t="s">
        <v>64</v>
      </c>
      <c r="AV1425" s="6" t="str">
        <f>HYPERLINK("http://mcgill.on.worldcat.org/oclc/170039429","Catalog Record")</f>
        <v>Catalog Record</v>
      </c>
      <c r="AW1425" s="6" t="str">
        <f>HYPERLINK("http://www.worldcat.org/oclc/170039429","WorldCat Record")</f>
        <v>WorldCat Record</v>
      </c>
      <c r="AX1425" s="3" t="s">
        <v>14399</v>
      </c>
      <c r="AY1425" s="3" t="s">
        <v>14400</v>
      </c>
      <c r="AZ1425" s="3" t="s">
        <v>14401</v>
      </c>
      <c r="BA1425" s="3" t="s">
        <v>14401</v>
      </c>
      <c r="BB1425" s="3" t="s">
        <v>14402</v>
      </c>
      <c r="BC1425" s="3" t="s">
        <v>77</v>
      </c>
      <c r="BD1425" s="3" t="s">
        <v>78</v>
      </c>
      <c r="BE1425" s="3" t="s">
        <v>14403</v>
      </c>
      <c r="BF1425" s="3" t="s">
        <v>14402</v>
      </c>
      <c r="BG1425" s="3" t="s">
        <v>14404</v>
      </c>
      <c r="BH1425">
        <f t="shared" si="42"/>
        <v>0</v>
      </c>
    </row>
    <row r="1426" spans="1:60" ht="58" x14ac:dyDescent="0.35">
      <c r="A1426" s="2" t="s">
        <v>59</v>
      </c>
      <c r="B1426" s="2" t="s">
        <v>60</v>
      </c>
      <c r="C1426" s="2" t="s">
        <v>14405</v>
      </c>
      <c r="D1426" s="2" t="s">
        <v>14406</v>
      </c>
      <c r="E1426" s="2" t="s">
        <v>14407</v>
      </c>
      <c r="G1426" s="3" t="s">
        <v>64</v>
      </c>
      <c r="I1426" s="3" t="s">
        <v>64</v>
      </c>
      <c r="J1426" s="3" t="s">
        <v>64</v>
      </c>
      <c r="K1426" s="3" t="s">
        <v>65</v>
      </c>
      <c r="M1426" s="2" t="s">
        <v>14408</v>
      </c>
      <c r="N1426" s="3" t="s">
        <v>144</v>
      </c>
      <c r="P1426" s="3" t="s">
        <v>102</v>
      </c>
      <c r="R1426" s="3" t="s">
        <v>70</v>
      </c>
      <c r="S1426" s="4">
        <v>28</v>
      </c>
      <c r="T1426" s="4">
        <v>28</v>
      </c>
      <c r="U1426" s="5" t="s">
        <v>14409</v>
      </c>
      <c r="V1426" s="5" t="s">
        <v>14409</v>
      </c>
      <c r="W1426" s="5" t="s">
        <v>72</v>
      </c>
      <c r="X1426" s="5" t="s">
        <v>72</v>
      </c>
      <c r="Y1426" s="4">
        <v>398</v>
      </c>
      <c r="Z1426" s="4">
        <v>28</v>
      </c>
      <c r="AA1426" s="4">
        <v>34</v>
      </c>
      <c r="AB1426" s="4">
        <v>3</v>
      </c>
      <c r="AC1426" s="4">
        <v>6</v>
      </c>
      <c r="AD1426" s="4">
        <v>72</v>
      </c>
      <c r="AE1426" s="4">
        <v>78</v>
      </c>
      <c r="AF1426" s="4">
        <v>0</v>
      </c>
      <c r="AG1426" s="4">
        <v>1</v>
      </c>
      <c r="AH1426" s="4">
        <v>67</v>
      </c>
      <c r="AI1426" s="4">
        <v>70</v>
      </c>
      <c r="AJ1426" s="4">
        <v>14</v>
      </c>
      <c r="AK1426" s="4">
        <v>15</v>
      </c>
      <c r="AL1426" s="4">
        <v>35</v>
      </c>
      <c r="AM1426" s="4">
        <v>36</v>
      </c>
      <c r="AN1426" s="4">
        <v>0</v>
      </c>
      <c r="AO1426" s="4">
        <v>0</v>
      </c>
      <c r="AP1426" s="4">
        <v>14</v>
      </c>
      <c r="AQ1426" s="4">
        <v>16</v>
      </c>
      <c r="AR1426" s="3" t="s">
        <v>64</v>
      </c>
      <c r="AS1426" s="3" t="s">
        <v>64</v>
      </c>
      <c r="AT1426" s="3" t="s">
        <v>64</v>
      </c>
      <c r="AV1426" s="6" t="str">
        <f>HYPERLINK("http://mcgill.on.worldcat.org/oclc/213599204","Catalog Record")</f>
        <v>Catalog Record</v>
      </c>
      <c r="AW1426" s="6" t="str">
        <f>HYPERLINK("http://www.worldcat.org/oclc/213599204","WorldCat Record")</f>
        <v>WorldCat Record</v>
      </c>
      <c r="AX1426" s="3" t="s">
        <v>14410</v>
      </c>
      <c r="AY1426" s="3" t="s">
        <v>14411</v>
      </c>
      <c r="AZ1426" s="3" t="s">
        <v>14412</v>
      </c>
      <c r="BA1426" s="3" t="s">
        <v>14412</v>
      </c>
      <c r="BB1426" s="3" t="s">
        <v>14413</v>
      </c>
      <c r="BC1426" s="3" t="s">
        <v>77</v>
      </c>
      <c r="BD1426" s="3" t="s">
        <v>78</v>
      </c>
      <c r="BE1426" s="3" t="s">
        <v>14414</v>
      </c>
      <c r="BF1426" s="3" t="s">
        <v>14413</v>
      </c>
      <c r="BG1426" s="3" t="s">
        <v>14415</v>
      </c>
      <c r="BH1426">
        <f t="shared" si="42"/>
        <v>0</v>
      </c>
    </row>
    <row r="1427" spans="1:60" ht="58" x14ac:dyDescent="0.35">
      <c r="A1427" s="2" t="s">
        <v>59</v>
      </c>
      <c r="B1427" s="2" t="s">
        <v>60</v>
      </c>
      <c r="C1427" s="2" t="s">
        <v>14416</v>
      </c>
      <c r="D1427" s="2" t="s">
        <v>14417</v>
      </c>
      <c r="E1427" s="2" t="s">
        <v>14418</v>
      </c>
      <c r="G1427" s="3" t="s">
        <v>64</v>
      </c>
      <c r="I1427" s="3" t="s">
        <v>64</v>
      </c>
      <c r="J1427" s="3" t="s">
        <v>64</v>
      </c>
      <c r="K1427" s="3" t="s">
        <v>65</v>
      </c>
      <c r="L1427" s="2" t="s">
        <v>14419</v>
      </c>
      <c r="M1427" s="2" t="s">
        <v>14420</v>
      </c>
      <c r="N1427" s="3" t="s">
        <v>511</v>
      </c>
      <c r="P1427" s="3" t="s">
        <v>102</v>
      </c>
      <c r="R1427" s="3" t="s">
        <v>70</v>
      </c>
      <c r="S1427" s="4">
        <v>2</v>
      </c>
      <c r="T1427" s="4">
        <v>2</v>
      </c>
      <c r="U1427" s="5" t="s">
        <v>8810</v>
      </c>
      <c r="V1427" s="5" t="s">
        <v>8810</v>
      </c>
      <c r="W1427" s="5" t="s">
        <v>72</v>
      </c>
      <c r="X1427" s="5" t="s">
        <v>72</v>
      </c>
      <c r="Y1427" s="4">
        <v>70</v>
      </c>
      <c r="Z1427" s="4">
        <v>3</v>
      </c>
      <c r="AA1427" s="4">
        <v>4</v>
      </c>
      <c r="AB1427" s="4">
        <v>2</v>
      </c>
      <c r="AC1427" s="4">
        <v>3</v>
      </c>
      <c r="AD1427" s="4">
        <v>17</v>
      </c>
      <c r="AE1427" s="4">
        <v>18</v>
      </c>
      <c r="AF1427" s="4">
        <v>1</v>
      </c>
      <c r="AG1427" s="4">
        <v>2</v>
      </c>
      <c r="AH1427" s="4">
        <v>16</v>
      </c>
      <c r="AI1427" s="4">
        <v>16</v>
      </c>
      <c r="AJ1427" s="4">
        <v>2</v>
      </c>
      <c r="AK1427" s="4">
        <v>3</v>
      </c>
      <c r="AL1427" s="4">
        <v>11</v>
      </c>
      <c r="AM1427" s="4">
        <v>11</v>
      </c>
      <c r="AN1427" s="4">
        <v>0</v>
      </c>
      <c r="AO1427" s="4">
        <v>0</v>
      </c>
      <c r="AP1427" s="4">
        <v>2</v>
      </c>
      <c r="AQ1427" s="4">
        <v>3</v>
      </c>
      <c r="AR1427" s="3" t="s">
        <v>64</v>
      </c>
      <c r="AS1427" s="3" t="s">
        <v>64</v>
      </c>
      <c r="AT1427" s="3" t="s">
        <v>64</v>
      </c>
      <c r="AV1427" s="6" t="str">
        <f>HYPERLINK("http://mcgill.on.worldcat.org/oclc/440562940","Catalog Record")</f>
        <v>Catalog Record</v>
      </c>
      <c r="AW1427" s="6" t="str">
        <f>HYPERLINK("http://www.worldcat.org/oclc/440562940","WorldCat Record")</f>
        <v>WorldCat Record</v>
      </c>
      <c r="AX1427" s="3" t="s">
        <v>14421</v>
      </c>
      <c r="AY1427" s="3" t="s">
        <v>14422</v>
      </c>
      <c r="AZ1427" s="3" t="s">
        <v>14423</v>
      </c>
      <c r="BA1427" s="3" t="s">
        <v>14423</v>
      </c>
      <c r="BB1427" s="3" t="s">
        <v>14424</v>
      </c>
      <c r="BC1427" s="3" t="s">
        <v>77</v>
      </c>
      <c r="BD1427" s="3" t="s">
        <v>78</v>
      </c>
      <c r="BE1427" s="3" t="s">
        <v>14425</v>
      </c>
      <c r="BF1427" s="3" t="s">
        <v>14424</v>
      </c>
      <c r="BG1427" s="3" t="s">
        <v>14426</v>
      </c>
      <c r="BH1427">
        <f t="shared" si="42"/>
        <v>0</v>
      </c>
    </row>
    <row r="1428" spans="1:60" ht="58" x14ac:dyDescent="0.35">
      <c r="A1428" s="2" t="s">
        <v>59</v>
      </c>
      <c r="B1428" s="2" t="s">
        <v>60</v>
      </c>
      <c r="C1428" s="2" t="s">
        <v>14427</v>
      </c>
      <c r="D1428" s="2" t="s">
        <v>14428</v>
      </c>
      <c r="E1428" s="2" t="s">
        <v>14429</v>
      </c>
      <c r="G1428" s="3" t="s">
        <v>64</v>
      </c>
      <c r="I1428" s="3" t="s">
        <v>64</v>
      </c>
      <c r="J1428" s="3" t="s">
        <v>64</v>
      </c>
      <c r="K1428" s="3" t="s">
        <v>65</v>
      </c>
      <c r="M1428" s="2" t="s">
        <v>14430</v>
      </c>
      <c r="N1428" s="3" t="s">
        <v>768</v>
      </c>
      <c r="P1428" s="3" t="s">
        <v>102</v>
      </c>
      <c r="R1428" s="3" t="s">
        <v>70</v>
      </c>
      <c r="S1428" s="4">
        <v>6</v>
      </c>
      <c r="T1428" s="4">
        <v>6</v>
      </c>
      <c r="U1428" s="5" t="s">
        <v>14431</v>
      </c>
      <c r="V1428" s="5" t="s">
        <v>14431</v>
      </c>
      <c r="W1428" s="5" t="s">
        <v>72</v>
      </c>
      <c r="X1428" s="5" t="s">
        <v>72</v>
      </c>
      <c r="Y1428" s="4">
        <v>234</v>
      </c>
      <c r="Z1428" s="4">
        <v>15</v>
      </c>
      <c r="AA1428" s="4">
        <v>16</v>
      </c>
      <c r="AB1428" s="4">
        <v>2</v>
      </c>
      <c r="AC1428" s="4">
        <v>3</v>
      </c>
      <c r="AD1428" s="4">
        <v>51</v>
      </c>
      <c r="AE1428" s="4">
        <v>52</v>
      </c>
      <c r="AF1428" s="4">
        <v>1</v>
      </c>
      <c r="AG1428" s="4">
        <v>2</v>
      </c>
      <c r="AH1428" s="4">
        <v>46</v>
      </c>
      <c r="AI1428" s="4">
        <v>46</v>
      </c>
      <c r="AJ1428" s="4">
        <v>10</v>
      </c>
      <c r="AK1428" s="4">
        <v>11</v>
      </c>
      <c r="AL1428" s="4">
        <v>22</v>
      </c>
      <c r="AM1428" s="4">
        <v>22</v>
      </c>
      <c r="AN1428" s="4">
        <v>0</v>
      </c>
      <c r="AO1428" s="4">
        <v>0</v>
      </c>
      <c r="AP1428" s="4">
        <v>9</v>
      </c>
      <c r="AQ1428" s="4">
        <v>9</v>
      </c>
      <c r="AR1428" s="3" t="s">
        <v>64</v>
      </c>
      <c r="AS1428" s="3" t="s">
        <v>64</v>
      </c>
      <c r="AT1428" s="3" t="s">
        <v>128</v>
      </c>
      <c r="AU1428" s="6" t="str">
        <f>HYPERLINK("http://catalog.hathitrust.org/Record/000750815","HathiTrust Record")</f>
        <v>HathiTrust Record</v>
      </c>
      <c r="AV1428" s="6" t="str">
        <f>HYPERLINK("http://mcgill.on.worldcat.org/oclc/3380195","Catalog Record")</f>
        <v>Catalog Record</v>
      </c>
      <c r="AW1428" s="6" t="str">
        <f>HYPERLINK("http://www.worldcat.org/oclc/3380195","WorldCat Record")</f>
        <v>WorldCat Record</v>
      </c>
      <c r="AX1428" s="3" t="s">
        <v>14432</v>
      </c>
      <c r="AY1428" s="3" t="s">
        <v>14433</v>
      </c>
      <c r="AZ1428" s="3" t="s">
        <v>14434</v>
      </c>
      <c r="BA1428" s="3" t="s">
        <v>14434</v>
      </c>
      <c r="BB1428" s="3" t="s">
        <v>14435</v>
      </c>
      <c r="BC1428" s="3" t="s">
        <v>77</v>
      </c>
      <c r="BD1428" s="3" t="s">
        <v>78</v>
      </c>
      <c r="BE1428" s="3" t="s">
        <v>14436</v>
      </c>
      <c r="BF1428" s="3" t="s">
        <v>14435</v>
      </c>
      <c r="BG1428" s="3" t="s">
        <v>14437</v>
      </c>
      <c r="BH1428">
        <f t="shared" si="42"/>
        <v>0</v>
      </c>
    </row>
    <row r="1429" spans="1:60" ht="58" x14ac:dyDescent="0.35">
      <c r="A1429" s="2" t="s">
        <v>59</v>
      </c>
      <c r="B1429" s="2" t="s">
        <v>60</v>
      </c>
      <c r="C1429" s="2" t="s">
        <v>14438</v>
      </c>
      <c r="D1429" s="2" t="s">
        <v>14439</v>
      </c>
      <c r="E1429" s="2" t="s">
        <v>14440</v>
      </c>
      <c r="G1429" s="3" t="s">
        <v>64</v>
      </c>
      <c r="I1429" s="3" t="s">
        <v>64</v>
      </c>
      <c r="J1429" s="3" t="s">
        <v>64</v>
      </c>
      <c r="K1429" s="3" t="s">
        <v>65</v>
      </c>
      <c r="L1429" s="2" t="s">
        <v>14441</v>
      </c>
      <c r="M1429" s="2" t="s">
        <v>14442</v>
      </c>
      <c r="N1429" s="3" t="s">
        <v>578</v>
      </c>
      <c r="P1429" s="3" t="s">
        <v>102</v>
      </c>
      <c r="R1429" s="3" t="s">
        <v>70</v>
      </c>
      <c r="S1429" s="4">
        <v>1</v>
      </c>
      <c r="T1429" s="4">
        <v>1</v>
      </c>
      <c r="U1429" s="5" t="s">
        <v>8379</v>
      </c>
      <c r="V1429" s="5" t="s">
        <v>8379</v>
      </c>
      <c r="W1429" s="5" t="s">
        <v>72</v>
      </c>
      <c r="X1429" s="5" t="s">
        <v>72</v>
      </c>
      <c r="Y1429" s="4">
        <v>212</v>
      </c>
      <c r="Z1429" s="4">
        <v>9</v>
      </c>
      <c r="AA1429" s="4">
        <v>11</v>
      </c>
      <c r="AB1429" s="4">
        <v>2</v>
      </c>
      <c r="AC1429" s="4">
        <v>4</v>
      </c>
      <c r="AD1429" s="4">
        <v>52</v>
      </c>
      <c r="AE1429" s="4">
        <v>53</v>
      </c>
      <c r="AF1429" s="4">
        <v>1</v>
      </c>
      <c r="AG1429" s="4">
        <v>2</v>
      </c>
      <c r="AH1429" s="4">
        <v>49</v>
      </c>
      <c r="AI1429" s="4">
        <v>49</v>
      </c>
      <c r="AJ1429" s="4">
        <v>5</v>
      </c>
      <c r="AK1429" s="4">
        <v>6</v>
      </c>
      <c r="AL1429" s="4">
        <v>27</v>
      </c>
      <c r="AM1429" s="4">
        <v>27</v>
      </c>
      <c r="AN1429" s="4">
        <v>0</v>
      </c>
      <c r="AO1429" s="4">
        <v>0</v>
      </c>
      <c r="AP1429" s="4">
        <v>6</v>
      </c>
      <c r="AQ1429" s="4">
        <v>6</v>
      </c>
      <c r="AR1429" s="3" t="s">
        <v>64</v>
      </c>
      <c r="AS1429" s="3" t="s">
        <v>64</v>
      </c>
      <c r="AT1429" s="3" t="s">
        <v>64</v>
      </c>
      <c r="AV1429" s="6" t="str">
        <f>HYPERLINK("http://mcgill.on.worldcat.org/oclc/957134152","Catalog Record")</f>
        <v>Catalog Record</v>
      </c>
      <c r="AW1429" s="6" t="str">
        <f>HYPERLINK("http://www.worldcat.org/oclc/957134152","WorldCat Record")</f>
        <v>WorldCat Record</v>
      </c>
      <c r="AX1429" s="3" t="s">
        <v>14443</v>
      </c>
      <c r="AY1429" s="3" t="s">
        <v>14444</v>
      </c>
      <c r="AZ1429" s="3" t="s">
        <v>14445</v>
      </c>
      <c r="BA1429" s="3" t="s">
        <v>14445</v>
      </c>
      <c r="BB1429" s="3" t="s">
        <v>14446</v>
      </c>
      <c r="BC1429" s="3" t="s">
        <v>77</v>
      </c>
      <c r="BD1429" s="3" t="s">
        <v>78</v>
      </c>
      <c r="BE1429" s="3" t="s">
        <v>14447</v>
      </c>
      <c r="BF1429" s="3" t="s">
        <v>14446</v>
      </c>
      <c r="BG1429" s="3" t="s">
        <v>14448</v>
      </c>
      <c r="BH1429">
        <f t="shared" si="42"/>
        <v>0</v>
      </c>
    </row>
    <row r="1430" spans="1:60" ht="58" x14ac:dyDescent="0.35">
      <c r="A1430" s="2" t="s">
        <v>59</v>
      </c>
      <c r="B1430" s="2" t="s">
        <v>60</v>
      </c>
      <c r="C1430" s="2" t="s">
        <v>14449</v>
      </c>
      <c r="D1430" s="2" t="s">
        <v>14450</v>
      </c>
      <c r="E1430" s="2" t="s">
        <v>14451</v>
      </c>
      <c r="G1430" s="3" t="s">
        <v>64</v>
      </c>
      <c r="I1430" s="3" t="s">
        <v>64</v>
      </c>
      <c r="J1430" s="3" t="s">
        <v>64</v>
      </c>
      <c r="K1430" s="3" t="s">
        <v>65</v>
      </c>
      <c r="L1430" s="2" t="s">
        <v>14452</v>
      </c>
      <c r="M1430" s="2" t="s">
        <v>14453</v>
      </c>
      <c r="N1430" s="3" t="s">
        <v>11182</v>
      </c>
      <c r="P1430" s="3" t="s">
        <v>102</v>
      </c>
      <c r="R1430" s="3" t="s">
        <v>70</v>
      </c>
      <c r="S1430" s="4">
        <v>1</v>
      </c>
      <c r="T1430" s="4">
        <v>1</v>
      </c>
      <c r="U1430" s="5" t="s">
        <v>14454</v>
      </c>
      <c r="V1430" s="5" t="s">
        <v>14454</v>
      </c>
      <c r="W1430" s="5" t="s">
        <v>72</v>
      </c>
      <c r="X1430" s="5" t="s">
        <v>72</v>
      </c>
      <c r="Y1430" s="4">
        <v>14</v>
      </c>
      <c r="Z1430" s="4">
        <v>1</v>
      </c>
      <c r="AA1430" s="4">
        <v>4</v>
      </c>
      <c r="AB1430" s="4">
        <v>1</v>
      </c>
      <c r="AC1430" s="4">
        <v>1</v>
      </c>
      <c r="AD1430" s="4">
        <v>1</v>
      </c>
      <c r="AE1430" s="4">
        <v>28</v>
      </c>
      <c r="AF1430" s="4">
        <v>0</v>
      </c>
      <c r="AG1430" s="4">
        <v>0</v>
      </c>
      <c r="AH1430" s="4">
        <v>1</v>
      </c>
      <c r="AI1430" s="4">
        <v>26</v>
      </c>
      <c r="AJ1430" s="4">
        <v>0</v>
      </c>
      <c r="AK1430" s="4">
        <v>2</v>
      </c>
      <c r="AL1430" s="4">
        <v>1</v>
      </c>
      <c r="AM1430" s="4">
        <v>20</v>
      </c>
      <c r="AN1430" s="4">
        <v>0</v>
      </c>
      <c r="AO1430" s="4">
        <v>0</v>
      </c>
      <c r="AP1430" s="4">
        <v>0</v>
      </c>
      <c r="AQ1430" s="4">
        <v>2</v>
      </c>
      <c r="AR1430" s="3" t="s">
        <v>64</v>
      </c>
      <c r="AS1430" s="3" t="s">
        <v>64</v>
      </c>
      <c r="AT1430" s="3" t="s">
        <v>64</v>
      </c>
      <c r="AV1430" s="6" t="str">
        <f>HYPERLINK("http://mcgill.on.worldcat.org/oclc/59188808","Catalog Record")</f>
        <v>Catalog Record</v>
      </c>
      <c r="AW1430" s="6" t="str">
        <f>HYPERLINK("http://www.worldcat.org/oclc/59188808","WorldCat Record")</f>
        <v>WorldCat Record</v>
      </c>
      <c r="AX1430" s="3" t="s">
        <v>14455</v>
      </c>
      <c r="AY1430" s="3" t="s">
        <v>14456</v>
      </c>
      <c r="AZ1430" s="3" t="s">
        <v>14457</v>
      </c>
      <c r="BA1430" s="3" t="s">
        <v>14457</v>
      </c>
      <c r="BB1430" s="3" t="s">
        <v>14458</v>
      </c>
      <c r="BC1430" s="3" t="s">
        <v>77</v>
      </c>
      <c r="BD1430" s="3" t="s">
        <v>78</v>
      </c>
      <c r="BF1430" s="3" t="s">
        <v>14458</v>
      </c>
      <c r="BG1430" s="3" t="s">
        <v>14459</v>
      </c>
      <c r="BH1430">
        <f t="shared" si="42"/>
        <v>0</v>
      </c>
    </row>
    <row r="1431" spans="1:60" ht="58" x14ac:dyDescent="0.35">
      <c r="A1431" s="2" t="s">
        <v>59</v>
      </c>
      <c r="B1431" s="2" t="s">
        <v>60</v>
      </c>
      <c r="C1431" s="2" t="s">
        <v>14460</v>
      </c>
      <c r="D1431" s="2" t="s">
        <v>14461</v>
      </c>
      <c r="E1431" s="2" t="s">
        <v>14462</v>
      </c>
      <c r="G1431" s="3" t="s">
        <v>64</v>
      </c>
      <c r="I1431" s="3" t="s">
        <v>64</v>
      </c>
      <c r="J1431" s="3" t="s">
        <v>64</v>
      </c>
      <c r="K1431" s="3" t="s">
        <v>65</v>
      </c>
      <c r="M1431" s="2" t="s">
        <v>14463</v>
      </c>
      <c r="N1431" s="3" t="s">
        <v>101</v>
      </c>
      <c r="P1431" s="3" t="s">
        <v>102</v>
      </c>
      <c r="R1431" s="3" t="s">
        <v>70</v>
      </c>
      <c r="S1431" s="4">
        <v>29</v>
      </c>
      <c r="T1431" s="4">
        <v>29</v>
      </c>
      <c r="U1431" s="5" t="s">
        <v>14464</v>
      </c>
      <c r="V1431" s="5" t="s">
        <v>14464</v>
      </c>
      <c r="W1431" s="5" t="s">
        <v>72</v>
      </c>
      <c r="X1431" s="5" t="s">
        <v>72</v>
      </c>
      <c r="Y1431" s="4">
        <v>476</v>
      </c>
      <c r="Z1431" s="4">
        <v>35</v>
      </c>
      <c r="AA1431" s="4">
        <v>36</v>
      </c>
      <c r="AB1431" s="4">
        <v>2</v>
      </c>
      <c r="AC1431" s="4">
        <v>3</v>
      </c>
      <c r="AD1431" s="4">
        <v>100</v>
      </c>
      <c r="AE1431" s="4">
        <v>101</v>
      </c>
      <c r="AF1431" s="4">
        <v>0</v>
      </c>
      <c r="AG1431" s="4">
        <v>1</v>
      </c>
      <c r="AH1431" s="4">
        <v>88</v>
      </c>
      <c r="AI1431" s="4">
        <v>88</v>
      </c>
      <c r="AJ1431" s="4">
        <v>15</v>
      </c>
      <c r="AK1431" s="4">
        <v>16</v>
      </c>
      <c r="AL1431" s="4">
        <v>48</v>
      </c>
      <c r="AM1431" s="4">
        <v>48</v>
      </c>
      <c r="AN1431" s="4">
        <v>0</v>
      </c>
      <c r="AO1431" s="4">
        <v>0</v>
      </c>
      <c r="AP1431" s="4">
        <v>20</v>
      </c>
      <c r="AQ1431" s="4">
        <v>20</v>
      </c>
      <c r="AR1431" s="3" t="s">
        <v>64</v>
      </c>
      <c r="AS1431" s="3" t="s">
        <v>64</v>
      </c>
      <c r="AT1431" s="3" t="s">
        <v>128</v>
      </c>
      <c r="AU1431" s="6" t="str">
        <f>HYPERLINK("http://catalog.hathitrust.org/Record/004324052","HathiTrust Record")</f>
        <v>HathiTrust Record</v>
      </c>
      <c r="AV1431" s="6" t="str">
        <f>HYPERLINK("http://mcgill.on.worldcat.org/oclc/52055828","Catalog Record")</f>
        <v>Catalog Record</v>
      </c>
      <c r="AW1431" s="6" t="str">
        <f>HYPERLINK("http://www.worldcat.org/oclc/52055828","WorldCat Record")</f>
        <v>WorldCat Record</v>
      </c>
      <c r="AX1431" s="3" t="s">
        <v>14465</v>
      </c>
      <c r="AY1431" s="3" t="s">
        <v>14466</v>
      </c>
      <c r="AZ1431" s="3" t="s">
        <v>14467</v>
      </c>
      <c r="BA1431" s="3" t="s">
        <v>14467</v>
      </c>
      <c r="BB1431" s="3" t="s">
        <v>14468</v>
      </c>
      <c r="BC1431" s="3" t="s">
        <v>77</v>
      </c>
      <c r="BD1431" s="3" t="s">
        <v>78</v>
      </c>
      <c r="BE1431" s="3" t="s">
        <v>14469</v>
      </c>
      <c r="BF1431" s="3" t="s">
        <v>14468</v>
      </c>
      <c r="BG1431" s="3" t="s">
        <v>14470</v>
      </c>
      <c r="BH1431">
        <f t="shared" si="42"/>
        <v>0</v>
      </c>
    </row>
    <row r="1432" spans="1:60" ht="58" x14ac:dyDescent="0.35">
      <c r="A1432" s="2" t="s">
        <v>59</v>
      </c>
      <c r="B1432" s="2" t="s">
        <v>60</v>
      </c>
      <c r="C1432" s="2" t="s">
        <v>14471</v>
      </c>
      <c r="D1432" s="2" t="s">
        <v>14472</v>
      </c>
      <c r="E1432" s="2" t="s">
        <v>14473</v>
      </c>
      <c r="G1432" s="3" t="s">
        <v>64</v>
      </c>
      <c r="I1432" s="3" t="s">
        <v>64</v>
      </c>
      <c r="J1432" s="3" t="s">
        <v>64</v>
      </c>
      <c r="K1432" s="3" t="s">
        <v>65</v>
      </c>
      <c r="L1432" s="2" t="s">
        <v>14474</v>
      </c>
      <c r="M1432" s="2" t="s">
        <v>14475</v>
      </c>
      <c r="N1432" s="3" t="s">
        <v>364</v>
      </c>
      <c r="P1432" s="3" t="s">
        <v>102</v>
      </c>
      <c r="R1432" s="3" t="s">
        <v>70</v>
      </c>
      <c r="S1432" s="4">
        <v>2</v>
      </c>
      <c r="T1432" s="4">
        <v>2</v>
      </c>
      <c r="U1432" s="5" t="s">
        <v>14476</v>
      </c>
      <c r="V1432" s="5" t="s">
        <v>14476</v>
      </c>
      <c r="W1432" s="5" t="s">
        <v>72</v>
      </c>
      <c r="X1432" s="5" t="s">
        <v>72</v>
      </c>
      <c r="Y1432" s="4">
        <v>226</v>
      </c>
      <c r="Z1432" s="4">
        <v>11</v>
      </c>
      <c r="AA1432" s="4">
        <v>12</v>
      </c>
      <c r="AB1432" s="4">
        <v>1</v>
      </c>
      <c r="AC1432" s="4">
        <v>2</v>
      </c>
      <c r="AD1432" s="4">
        <v>87</v>
      </c>
      <c r="AE1432" s="4">
        <v>88</v>
      </c>
      <c r="AF1432" s="4">
        <v>0</v>
      </c>
      <c r="AG1432" s="4">
        <v>1</v>
      </c>
      <c r="AH1432" s="4">
        <v>83</v>
      </c>
      <c r="AI1432" s="4">
        <v>83</v>
      </c>
      <c r="AJ1432" s="4">
        <v>8</v>
      </c>
      <c r="AK1432" s="4">
        <v>9</v>
      </c>
      <c r="AL1432" s="4">
        <v>48</v>
      </c>
      <c r="AM1432" s="4">
        <v>48</v>
      </c>
      <c r="AN1432" s="4">
        <v>0</v>
      </c>
      <c r="AO1432" s="4">
        <v>0</v>
      </c>
      <c r="AP1432" s="4">
        <v>7</v>
      </c>
      <c r="AQ1432" s="4">
        <v>7</v>
      </c>
      <c r="AR1432" s="3" t="s">
        <v>64</v>
      </c>
      <c r="AS1432" s="3" t="s">
        <v>64</v>
      </c>
      <c r="AT1432" s="3" t="s">
        <v>128</v>
      </c>
      <c r="AU1432" s="6" t="str">
        <f>HYPERLINK("http://catalog.hathitrust.org/Record/000961509","HathiTrust Record")</f>
        <v>HathiTrust Record</v>
      </c>
      <c r="AV1432" s="6" t="str">
        <f>HYPERLINK("http://mcgill.on.worldcat.org/oclc/609785","Catalog Record")</f>
        <v>Catalog Record</v>
      </c>
      <c r="AW1432" s="6" t="str">
        <f>HYPERLINK("http://www.worldcat.org/oclc/609785","WorldCat Record")</f>
        <v>WorldCat Record</v>
      </c>
      <c r="AX1432" s="3" t="s">
        <v>14477</v>
      </c>
      <c r="AY1432" s="3" t="s">
        <v>14478</v>
      </c>
      <c r="AZ1432" s="3" t="s">
        <v>14479</v>
      </c>
      <c r="BA1432" s="3" t="s">
        <v>14479</v>
      </c>
      <c r="BB1432" s="3" t="s">
        <v>14480</v>
      </c>
      <c r="BC1432" s="3" t="s">
        <v>77</v>
      </c>
      <c r="BD1432" s="3" t="s">
        <v>78</v>
      </c>
      <c r="BE1432" s="3" t="s">
        <v>14481</v>
      </c>
      <c r="BF1432" s="3" t="s">
        <v>14480</v>
      </c>
      <c r="BG1432" s="3" t="s">
        <v>14482</v>
      </c>
      <c r="BH1432">
        <f t="shared" si="42"/>
        <v>0</v>
      </c>
    </row>
    <row r="1433" spans="1:60" ht="58" x14ac:dyDescent="0.35">
      <c r="A1433" s="2" t="s">
        <v>59</v>
      </c>
      <c r="B1433" s="2" t="s">
        <v>60</v>
      </c>
      <c r="C1433" s="2" t="s">
        <v>14483</v>
      </c>
      <c r="D1433" s="2" t="s">
        <v>14484</v>
      </c>
      <c r="E1433" s="2" t="s">
        <v>14485</v>
      </c>
      <c r="G1433" s="3" t="s">
        <v>64</v>
      </c>
      <c r="I1433" s="3" t="s">
        <v>64</v>
      </c>
      <c r="J1433" s="3" t="s">
        <v>64</v>
      </c>
      <c r="K1433" s="3" t="s">
        <v>65</v>
      </c>
      <c r="L1433" s="2" t="s">
        <v>14486</v>
      </c>
      <c r="M1433" s="2" t="s">
        <v>14487</v>
      </c>
      <c r="N1433" s="3" t="s">
        <v>67</v>
      </c>
      <c r="P1433" s="3" t="s">
        <v>102</v>
      </c>
      <c r="R1433" s="3" t="s">
        <v>70</v>
      </c>
      <c r="S1433" s="4">
        <v>2</v>
      </c>
      <c r="T1433" s="4">
        <v>2</v>
      </c>
      <c r="U1433" s="5" t="s">
        <v>14488</v>
      </c>
      <c r="V1433" s="5" t="s">
        <v>14488</v>
      </c>
      <c r="W1433" s="5" t="s">
        <v>72</v>
      </c>
      <c r="X1433" s="5" t="s">
        <v>72</v>
      </c>
      <c r="Y1433" s="4">
        <v>131</v>
      </c>
      <c r="Z1433" s="4">
        <v>18</v>
      </c>
      <c r="AA1433" s="4">
        <v>21</v>
      </c>
      <c r="AB1433" s="4">
        <v>1</v>
      </c>
      <c r="AC1433" s="4">
        <v>3</v>
      </c>
      <c r="AD1433" s="4">
        <v>45</v>
      </c>
      <c r="AE1433" s="4">
        <v>48</v>
      </c>
      <c r="AF1433" s="4">
        <v>0</v>
      </c>
      <c r="AG1433" s="4">
        <v>0</v>
      </c>
      <c r="AH1433" s="4">
        <v>37</v>
      </c>
      <c r="AI1433" s="4">
        <v>40</v>
      </c>
      <c r="AJ1433" s="4">
        <v>12</v>
      </c>
      <c r="AK1433" s="4">
        <v>13</v>
      </c>
      <c r="AL1433" s="4">
        <v>20</v>
      </c>
      <c r="AM1433" s="4">
        <v>21</v>
      </c>
      <c r="AN1433" s="4">
        <v>0</v>
      </c>
      <c r="AO1433" s="4">
        <v>0</v>
      </c>
      <c r="AP1433" s="4">
        <v>14</v>
      </c>
      <c r="AQ1433" s="4">
        <v>15</v>
      </c>
      <c r="AR1433" s="3" t="s">
        <v>64</v>
      </c>
      <c r="AS1433" s="3" t="s">
        <v>64</v>
      </c>
      <c r="AT1433" s="3" t="s">
        <v>64</v>
      </c>
      <c r="AV1433" s="6" t="str">
        <f>HYPERLINK("http://mcgill.on.worldcat.org/oclc/881318139","Catalog Record")</f>
        <v>Catalog Record</v>
      </c>
      <c r="AW1433" s="6" t="str">
        <f>HYPERLINK("http://www.worldcat.org/oclc/881318139","WorldCat Record")</f>
        <v>WorldCat Record</v>
      </c>
      <c r="AX1433" s="3" t="s">
        <v>14489</v>
      </c>
      <c r="AY1433" s="3" t="s">
        <v>14490</v>
      </c>
      <c r="AZ1433" s="3" t="s">
        <v>14491</v>
      </c>
      <c r="BA1433" s="3" t="s">
        <v>14491</v>
      </c>
      <c r="BB1433" s="3" t="s">
        <v>14492</v>
      </c>
      <c r="BC1433" s="3" t="s">
        <v>77</v>
      </c>
      <c r="BD1433" s="3" t="s">
        <v>78</v>
      </c>
      <c r="BE1433" s="3" t="s">
        <v>14493</v>
      </c>
      <c r="BF1433" s="3" t="s">
        <v>14492</v>
      </c>
      <c r="BG1433" s="3" t="s">
        <v>14494</v>
      </c>
      <c r="BH1433">
        <f t="shared" si="42"/>
        <v>0</v>
      </c>
    </row>
    <row r="1434" spans="1:60" ht="58" x14ac:dyDescent="0.35">
      <c r="A1434" s="2" t="s">
        <v>59</v>
      </c>
      <c r="B1434" s="2" t="s">
        <v>60</v>
      </c>
      <c r="C1434" s="2" t="s">
        <v>14495</v>
      </c>
      <c r="D1434" s="2" t="s">
        <v>14496</v>
      </c>
      <c r="E1434" s="2" t="s">
        <v>14497</v>
      </c>
      <c r="G1434" s="3" t="s">
        <v>64</v>
      </c>
      <c r="I1434" s="3" t="s">
        <v>64</v>
      </c>
      <c r="J1434" s="3" t="s">
        <v>64</v>
      </c>
      <c r="K1434" s="3" t="s">
        <v>65</v>
      </c>
      <c r="L1434" s="2" t="s">
        <v>14498</v>
      </c>
      <c r="M1434" s="2" t="s">
        <v>14499</v>
      </c>
      <c r="N1434" s="3" t="s">
        <v>7285</v>
      </c>
      <c r="P1434" s="3" t="s">
        <v>102</v>
      </c>
      <c r="R1434" s="3" t="s">
        <v>70</v>
      </c>
      <c r="S1434" s="4">
        <v>7</v>
      </c>
      <c r="T1434" s="4">
        <v>7</v>
      </c>
      <c r="U1434" s="5" t="s">
        <v>539</v>
      </c>
      <c r="V1434" s="5" t="s">
        <v>539</v>
      </c>
      <c r="W1434" s="5" t="s">
        <v>72</v>
      </c>
      <c r="X1434" s="5" t="s">
        <v>72</v>
      </c>
      <c r="Y1434" s="4">
        <v>369</v>
      </c>
      <c r="Z1434" s="4">
        <v>17</v>
      </c>
      <c r="AA1434" s="4">
        <v>18</v>
      </c>
      <c r="AB1434" s="4">
        <v>1</v>
      </c>
      <c r="AC1434" s="4">
        <v>2</v>
      </c>
      <c r="AD1434" s="4">
        <v>99</v>
      </c>
      <c r="AE1434" s="4">
        <v>100</v>
      </c>
      <c r="AF1434" s="4">
        <v>0</v>
      </c>
      <c r="AG1434" s="4">
        <v>1</v>
      </c>
      <c r="AH1434" s="4">
        <v>89</v>
      </c>
      <c r="AI1434" s="4">
        <v>89</v>
      </c>
      <c r="AJ1434" s="4">
        <v>10</v>
      </c>
      <c r="AK1434" s="4">
        <v>11</v>
      </c>
      <c r="AL1434" s="4">
        <v>48</v>
      </c>
      <c r="AM1434" s="4">
        <v>48</v>
      </c>
      <c r="AN1434" s="4">
        <v>0</v>
      </c>
      <c r="AO1434" s="4">
        <v>0</v>
      </c>
      <c r="AP1434" s="4">
        <v>12</v>
      </c>
      <c r="AQ1434" s="4">
        <v>12</v>
      </c>
      <c r="AR1434" s="3" t="s">
        <v>64</v>
      </c>
      <c r="AS1434" s="3" t="s">
        <v>64</v>
      </c>
      <c r="AT1434" s="3" t="s">
        <v>128</v>
      </c>
      <c r="AU1434" s="6" t="str">
        <f>HYPERLINK("http://catalog.hathitrust.org/Record/001344138","HathiTrust Record")</f>
        <v>HathiTrust Record</v>
      </c>
      <c r="AV1434" s="6" t="str">
        <f>HYPERLINK("http://mcgill.on.worldcat.org/oclc/124654","Catalog Record")</f>
        <v>Catalog Record</v>
      </c>
      <c r="AW1434" s="6" t="str">
        <f>HYPERLINK("http://www.worldcat.org/oclc/124654","WorldCat Record")</f>
        <v>WorldCat Record</v>
      </c>
      <c r="AX1434" s="3" t="s">
        <v>14500</v>
      </c>
      <c r="AY1434" s="3" t="s">
        <v>14501</v>
      </c>
      <c r="AZ1434" s="3" t="s">
        <v>14502</v>
      </c>
      <c r="BA1434" s="3" t="s">
        <v>14502</v>
      </c>
      <c r="BB1434" s="3" t="s">
        <v>14503</v>
      </c>
      <c r="BC1434" s="3" t="s">
        <v>77</v>
      </c>
      <c r="BD1434" s="3" t="s">
        <v>78</v>
      </c>
      <c r="BE1434" s="3" t="s">
        <v>14504</v>
      </c>
      <c r="BF1434" s="3" t="s">
        <v>14503</v>
      </c>
      <c r="BG1434" s="3" t="s">
        <v>14505</v>
      </c>
      <c r="BH1434">
        <f t="shared" si="42"/>
        <v>0</v>
      </c>
    </row>
    <row r="1435" spans="1:60" ht="58" x14ac:dyDescent="0.35">
      <c r="A1435" s="2" t="s">
        <v>59</v>
      </c>
      <c r="B1435" s="2" t="s">
        <v>60</v>
      </c>
      <c r="C1435" s="2" t="s">
        <v>14506</v>
      </c>
      <c r="D1435" s="2" t="s">
        <v>14507</v>
      </c>
      <c r="E1435" s="2" t="s">
        <v>14508</v>
      </c>
      <c r="G1435" s="3" t="s">
        <v>64</v>
      </c>
      <c r="I1435" s="3" t="s">
        <v>64</v>
      </c>
      <c r="J1435" s="3" t="s">
        <v>64</v>
      </c>
      <c r="K1435" s="3" t="s">
        <v>65</v>
      </c>
      <c r="L1435" s="2" t="s">
        <v>14498</v>
      </c>
      <c r="M1435" s="2" t="s">
        <v>11296</v>
      </c>
      <c r="N1435" s="3" t="s">
        <v>364</v>
      </c>
      <c r="P1435" s="3" t="s">
        <v>102</v>
      </c>
      <c r="R1435" s="3" t="s">
        <v>70</v>
      </c>
      <c r="S1435" s="4">
        <v>8</v>
      </c>
      <c r="T1435" s="4">
        <v>8</v>
      </c>
      <c r="U1435" s="5" t="s">
        <v>14509</v>
      </c>
      <c r="V1435" s="5" t="s">
        <v>14509</v>
      </c>
      <c r="W1435" s="5" t="s">
        <v>72</v>
      </c>
      <c r="X1435" s="5" t="s">
        <v>72</v>
      </c>
      <c r="Y1435" s="4">
        <v>477</v>
      </c>
      <c r="Z1435" s="4">
        <v>26</v>
      </c>
      <c r="AA1435" s="4">
        <v>29</v>
      </c>
      <c r="AB1435" s="4">
        <v>4</v>
      </c>
      <c r="AC1435" s="4">
        <v>7</v>
      </c>
      <c r="AD1435" s="4">
        <v>105</v>
      </c>
      <c r="AE1435" s="4">
        <v>107</v>
      </c>
      <c r="AF1435" s="4">
        <v>1</v>
      </c>
      <c r="AG1435" s="4">
        <v>3</v>
      </c>
      <c r="AH1435" s="4">
        <v>91</v>
      </c>
      <c r="AI1435" s="4">
        <v>92</v>
      </c>
      <c r="AJ1435" s="4">
        <v>15</v>
      </c>
      <c r="AK1435" s="4">
        <v>17</v>
      </c>
      <c r="AL1435" s="4">
        <v>49</v>
      </c>
      <c r="AM1435" s="4">
        <v>49</v>
      </c>
      <c r="AN1435" s="4">
        <v>0</v>
      </c>
      <c r="AO1435" s="4">
        <v>0</v>
      </c>
      <c r="AP1435" s="4">
        <v>17</v>
      </c>
      <c r="AQ1435" s="4">
        <v>18</v>
      </c>
      <c r="AR1435" s="3" t="s">
        <v>64</v>
      </c>
      <c r="AS1435" s="3" t="s">
        <v>64</v>
      </c>
      <c r="AT1435" s="3" t="s">
        <v>128</v>
      </c>
      <c r="AU1435" s="6" t="str">
        <f>HYPERLINK("http://catalog.hathitrust.org/Record/000961512","HathiTrust Record")</f>
        <v>HathiTrust Record</v>
      </c>
      <c r="AV1435" s="6" t="str">
        <f>HYPERLINK("http://mcgill.on.worldcat.org/oclc/762802","Catalog Record")</f>
        <v>Catalog Record</v>
      </c>
      <c r="AW1435" s="6" t="str">
        <f>HYPERLINK("http://www.worldcat.org/oclc/762802","WorldCat Record")</f>
        <v>WorldCat Record</v>
      </c>
      <c r="AX1435" s="3" t="s">
        <v>14510</v>
      </c>
      <c r="AY1435" s="3" t="s">
        <v>14511</v>
      </c>
      <c r="AZ1435" s="3" t="s">
        <v>14512</v>
      </c>
      <c r="BA1435" s="3" t="s">
        <v>14512</v>
      </c>
      <c r="BB1435" s="3" t="s">
        <v>14513</v>
      </c>
      <c r="BC1435" s="3" t="s">
        <v>77</v>
      </c>
      <c r="BD1435" s="3" t="s">
        <v>78</v>
      </c>
      <c r="BE1435" s="3" t="s">
        <v>14514</v>
      </c>
      <c r="BF1435" s="3" t="s">
        <v>14513</v>
      </c>
      <c r="BG1435" s="3" t="s">
        <v>14515</v>
      </c>
      <c r="BH1435">
        <f t="shared" si="42"/>
        <v>0</v>
      </c>
    </row>
    <row r="1436" spans="1:60" ht="58" x14ac:dyDescent="0.35">
      <c r="A1436" s="2" t="s">
        <v>59</v>
      </c>
      <c r="B1436" s="2" t="s">
        <v>60</v>
      </c>
      <c r="C1436" s="2" t="s">
        <v>14516</v>
      </c>
      <c r="D1436" s="2" t="s">
        <v>14517</v>
      </c>
      <c r="E1436" s="2" t="s">
        <v>14518</v>
      </c>
      <c r="G1436" s="3" t="s">
        <v>64</v>
      </c>
      <c r="I1436" s="3" t="s">
        <v>64</v>
      </c>
      <c r="J1436" s="3" t="s">
        <v>64</v>
      </c>
      <c r="K1436" s="3" t="s">
        <v>65</v>
      </c>
      <c r="L1436" s="2" t="s">
        <v>14498</v>
      </c>
      <c r="M1436" s="2" t="s">
        <v>14519</v>
      </c>
      <c r="N1436" s="3" t="s">
        <v>4548</v>
      </c>
      <c r="P1436" s="3" t="s">
        <v>102</v>
      </c>
      <c r="R1436" s="3" t="s">
        <v>70</v>
      </c>
      <c r="S1436" s="4">
        <v>7</v>
      </c>
      <c r="T1436" s="4">
        <v>7</v>
      </c>
      <c r="U1436" s="5" t="s">
        <v>14520</v>
      </c>
      <c r="V1436" s="5" t="s">
        <v>14520</v>
      </c>
      <c r="W1436" s="5" t="s">
        <v>72</v>
      </c>
      <c r="X1436" s="5" t="s">
        <v>72</v>
      </c>
      <c r="Y1436" s="4">
        <v>52</v>
      </c>
      <c r="Z1436" s="4">
        <v>14</v>
      </c>
      <c r="AA1436" s="4">
        <v>26</v>
      </c>
      <c r="AB1436" s="4">
        <v>1</v>
      </c>
      <c r="AC1436" s="4">
        <v>3</v>
      </c>
      <c r="AD1436" s="4">
        <v>20</v>
      </c>
      <c r="AE1436" s="4">
        <v>104</v>
      </c>
      <c r="AF1436" s="4">
        <v>0</v>
      </c>
      <c r="AG1436" s="4">
        <v>1</v>
      </c>
      <c r="AH1436" s="4">
        <v>14</v>
      </c>
      <c r="AI1436" s="4">
        <v>87</v>
      </c>
      <c r="AJ1436" s="4">
        <v>10</v>
      </c>
      <c r="AK1436" s="4">
        <v>17</v>
      </c>
      <c r="AL1436" s="4">
        <v>6</v>
      </c>
      <c r="AM1436" s="4">
        <v>49</v>
      </c>
      <c r="AN1436" s="4">
        <v>0</v>
      </c>
      <c r="AO1436" s="4">
        <v>0</v>
      </c>
      <c r="AP1436" s="4">
        <v>10</v>
      </c>
      <c r="AQ1436" s="4">
        <v>20</v>
      </c>
      <c r="AR1436" s="3" t="s">
        <v>64</v>
      </c>
      <c r="AS1436" s="3" t="s">
        <v>64</v>
      </c>
      <c r="AT1436" s="3" t="s">
        <v>128</v>
      </c>
      <c r="AU1436" s="6" t="str">
        <f>HYPERLINK("http://catalog.hathitrust.org/Record/001107368","HathiTrust Record")</f>
        <v>HathiTrust Record</v>
      </c>
      <c r="AV1436" s="6" t="str">
        <f>HYPERLINK("http://mcgill.on.worldcat.org/oclc/221376467","Catalog Record")</f>
        <v>Catalog Record</v>
      </c>
      <c r="AW1436" s="6" t="str">
        <f>HYPERLINK("http://www.worldcat.org/oclc/221376467","WorldCat Record")</f>
        <v>WorldCat Record</v>
      </c>
      <c r="AX1436" s="3" t="s">
        <v>14521</v>
      </c>
      <c r="AY1436" s="3" t="s">
        <v>14522</v>
      </c>
      <c r="AZ1436" s="3" t="s">
        <v>14523</v>
      </c>
      <c r="BA1436" s="3" t="s">
        <v>14523</v>
      </c>
      <c r="BB1436" s="3" t="s">
        <v>14524</v>
      </c>
      <c r="BC1436" s="3" t="s">
        <v>77</v>
      </c>
      <c r="BD1436" s="3" t="s">
        <v>78</v>
      </c>
      <c r="BF1436" s="3" t="s">
        <v>14524</v>
      </c>
      <c r="BG1436" s="3" t="s">
        <v>14525</v>
      </c>
      <c r="BH1436">
        <f t="shared" si="42"/>
        <v>0</v>
      </c>
    </row>
    <row r="1437" spans="1:60" ht="58" x14ac:dyDescent="0.35">
      <c r="A1437" s="2" t="s">
        <v>59</v>
      </c>
      <c r="B1437" s="2" t="s">
        <v>60</v>
      </c>
      <c r="C1437" s="2" t="s">
        <v>14526</v>
      </c>
      <c r="D1437" s="2" t="s">
        <v>14527</v>
      </c>
      <c r="E1437" s="2" t="s">
        <v>14528</v>
      </c>
      <c r="G1437" s="3" t="s">
        <v>64</v>
      </c>
      <c r="I1437" s="3" t="s">
        <v>64</v>
      </c>
      <c r="J1437" s="3" t="s">
        <v>64</v>
      </c>
      <c r="K1437" s="3" t="s">
        <v>65</v>
      </c>
      <c r="L1437" s="2" t="s">
        <v>14529</v>
      </c>
      <c r="M1437" s="2" t="s">
        <v>14530</v>
      </c>
      <c r="N1437" s="3" t="s">
        <v>537</v>
      </c>
      <c r="P1437" s="3" t="s">
        <v>102</v>
      </c>
      <c r="R1437" s="3" t="s">
        <v>70</v>
      </c>
      <c r="S1437" s="4">
        <v>1</v>
      </c>
      <c r="T1437" s="4">
        <v>1</v>
      </c>
      <c r="U1437" s="5" t="s">
        <v>14531</v>
      </c>
      <c r="V1437" s="5" t="s">
        <v>14531</v>
      </c>
      <c r="W1437" s="5" t="s">
        <v>72</v>
      </c>
      <c r="X1437" s="5" t="s">
        <v>72</v>
      </c>
      <c r="Y1437" s="4">
        <v>847</v>
      </c>
      <c r="Z1437" s="4">
        <v>17</v>
      </c>
      <c r="AA1437" s="4">
        <v>24</v>
      </c>
      <c r="AB1437" s="4">
        <v>1</v>
      </c>
      <c r="AC1437" s="4">
        <v>6</v>
      </c>
      <c r="AD1437" s="4">
        <v>85</v>
      </c>
      <c r="AE1437" s="4">
        <v>87</v>
      </c>
      <c r="AF1437" s="4">
        <v>0</v>
      </c>
      <c r="AG1437" s="4">
        <v>1</v>
      </c>
      <c r="AH1437" s="4">
        <v>81</v>
      </c>
      <c r="AI1437" s="4">
        <v>81</v>
      </c>
      <c r="AJ1437" s="4">
        <v>6</v>
      </c>
      <c r="AK1437" s="4">
        <v>8</v>
      </c>
      <c r="AL1437" s="4">
        <v>49</v>
      </c>
      <c r="AM1437" s="4">
        <v>49</v>
      </c>
      <c r="AN1437" s="4">
        <v>0</v>
      </c>
      <c r="AO1437" s="4">
        <v>0</v>
      </c>
      <c r="AP1437" s="4">
        <v>6</v>
      </c>
      <c r="AQ1437" s="4">
        <v>7</v>
      </c>
      <c r="AR1437" s="3" t="s">
        <v>64</v>
      </c>
      <c r="AS1437" s="3" t="s">
        <v>64</v>
      </c>
      <c r="AT1437" s="3" t="s">
        <v>64</v>
      </c>
      <c r="AV1437" s="6" t="str">
        <f>HYPERLINK("http://mcgill.on.worldcat.org/oclc/889164325","Catalog Record")</f>
        <v>Catalog Record</v>
      </c>
      <c r="AW1437" s="6" t="str">
        <f>HYPERLINK("http://www.worldcat.org/oclc/889164325","WorldCat Record")</f>
        <v>WorldCat Record</v>
      </c>
      <c r="AX1437" s="3" t="s">
        <v>14532</v>
      </c>
      <c r="AY1437" s="3" t="s">
        <v>14533</v>
      </c>
      <c r="AZ1437" s="3" t="s">
        <v>14534</v>
      </c>
      <c r="BA1437" s="3" t="s">
        <v>14534</v>
      </c>
      <c r="BB1437" s="3" t="s">
        <v>14535</v>
      </c>
      <c r="BC1437" s="3" t="s">
        <v>77</v>
      </c>
      <c r="BD1437" s="3" t="s">
        <v>78</v>
      </c>
      <c r="BE1437" s="3" t="s">
        <v>14536</v>
      </c>
      <c r="BF1437" s="3" t="s">
        <v>14535</v>
      </c>
      <c r="BG1437" s="3" t="s">
        <v>14537</v>
      </c>
      <c r="BH1437">
        <f t="shared" si="42"/>
        <v>0</v>
      </c>
    </row>
    <row r="1438" spans="1:60" ht="58" x14ac:dyDescent="0.35">
      <c r="A1438" s="2" t="s">
        <v>59</v>
      </c>
      <c r="B1438" s="2" t="s">
        <v>60</v>
      </c>
      <c r="C1438" s="2" t="s">
        <v>14538</v>
      </c>
      <c r="D1438" s="2" t="s">
        <v>14539</v>
      </c>
      <c r="E1438" s="2" t="s">
        <v>14540</v>
      </c>
      <c r="G1438" s="3" t="s">
        <v>64</v>
      </c>
      <c r="I1438" s="3" t="s">
        <v>64</v>
      </c>
      <c r="J1438" s="3" t="s">
        <v>64</v>
      </c>
      <c r="K1438" s="3" t="s">
        <v>65</v>
      </c>
      <c r="L1438" s="2" t="s">
        <v>14541</v>
      </c>
      <c r="M1438" s="2" t="s">
        <v>14542</v>
      </c>
      <c r="N1438" s="3" t="s">
        <v>315</v>
      </c>
      <c r="P1438" s="3" t="s">
        <v>102</v>
      </c>
      <c r="R1438" s="3" t="s">
        <v>70</v>
      </c>
      <c r="S1438" s="4">
        <v>6</v>
      </c>
      <c r="T1438" s="4">
        <v>6</v>
      </c>
      <c r="U1438" s="5" t="s">
        <v>14476</v>
      </c>
      <c r="V1438" s="5" t="s">
        <v>14476</v>
      </c>
      <c r="W1438" s="5" t="s">
        <v>72</v>
      </c>
      <c r="X1438" s="5" t="s">
        <v>72</v>
      </c>
      <c r="Y1438" s="4">
        <v>484</v>
      </c>
      <c r="Z1438" s="4">
        <v>20</v>
      </c>
      <c r="AA1438" s="4">
        <v>21</v>
      </c>
      <c r="AB1438" s="4">
        <v>3</v>
      </c>
      <c r="AC1438" s="4">
        <v>4</v>
      </c>
      <c r="AD1438" s="4">
        <v>101</v>
      </c>
      <c r="AE1438" s="4">
        <v>102</v>
      </c>
      <c r="AF1438" s="4">
        <v>1</v>
      </c>
      <c r="AG1438" s="4">
        <v>2</v>
      </c>
      <c r="AH1438" s="4">
        <v>90</v>
      </c>
      <c r="AI1438" s="4">
        <v>90</v>
      </c>
      <c r="AJ1438" s="4">
        <v>13</v>
      </c>
      <c r="AK1438" s="4">
        <v>14</v>
      </c>
      <c r="AL1438" s="4">
        <v>52</v>
      </c>
      <c r="AM1438" s="4">
        <v>52</v>
      </c>
      <c r="AN1438" s="4">
        <v>0</v>
      </c>
      <c r="AO1438" s="4">
        <v>0</v>
      </c>
      <c r="AP1438" s="4">
        <v>14</v>
      </c>
      <c r="AQ1438" s="4">
        <v>14</v>
      </c>
      <c r="AR1438" s="3" t="s">
        <v>64</v>
      </c>
      <c r="AS1438" s="3" t="s">
        <v>64</v>
      </c>
      <c r="AT1438" s="3" t="s">
        <v>128</v>
      </c>
      <c r="AU1438" s="6" t="str">
        <f>HYPERLINK("http://catalog.hathitrust.org/Record/003484556","HathiTrust Record")</f>
        <v>HathiTrust Record</v>
      </c>
      <c r="AV1438" s="6" t="str">
        <f>HYPERLINK("http://mcgill.on.worldcat.org/oclc/574277","Catalog Record")</f>
        <v>Catalog Record</v>
      </c>
      <c r="AW1438" s="6" t="str">
        <f>HYPERLINK("http://www.worldcat.org/oclc/574277","WorldCat Record")</f>
        <v>WorldCat Record</v>
      </c>
      <c r="AX1438" s="3" t="s">
        <v>14543</v>
      </c>
      <c r="AY1438" s="3" t="s">
        <v>14544</v>
      </c>
      <c r="AZ1438" s="3" t="s">
        <v>14545</v>
      </c>
      <c r="BA1438" s="3" t="s">
        <v>14545</v>
      </c>
      <c r="BB1438" s="3" t="s">
        <v>14546</v>
      </c>
      <c r="BC1438" s="3" t="s">
        <v>77</v>
      </c>
      <c r="BD1438" s="3" t="s">
        <v>78</v>
      </c>
      <c r="BF1438" s="3" t="s">
        <v>14546</v>
      </c>
      <c r="BG1438" s="3" t="s">
        <v>14547</v>
      </c>
      <c r="BH1438">
        <f t="shared" si="42"/>
        <v>0</v>
      </c>
    </row>
    <row r="1439" spans="1:60" ht="58" x14ac:dyDescent="0.35">
      <c r="A1439" s="2" t="s">
        <v>59</v>
      </c>
      <c r="B1439" s="2" t="s">
        <v>60</v>
      </c>
      <c r="C1439" s="2" t="s">
        <v>14548</v>
      </c>
      <c r="D1439" s="2" t="s">
        <v>14549</v>
      </c>
      <c r="E1439" s="2" t="s">
        <v>14550</v>
      </c>
      <c r="G1439" s="3" t="s">
        <v>64</v>
      </c>
      <c r="I1439" s="3" t="s">
        <v>64</v>
      </c>
      <c r="J1439" s="3" t="s">
        <v>64</v>
      </c>
      <c r="K1439" s="3" t="s">
        <v>65</v>
      </c>
      <c r="L1439" s="2" t="s">
        <v>14551</v>
      </c>
      <c r="M1439" s="2" t="s">
        <v>14552</v>
      </c>
      <c r="N1439" s="3" t="s">
        <v>537</v>
      </c>
      <c r="P1439" s="3" t="s">
        <v>102</v>
      </c>
      <c r="R1439" s="3" t="s">
        <v>70</v>
      </c>
      <c r="S1439" s="4">
        <v>1</v>
      </c>
      <c r="T1439" s="4">
        <v>1</v>
      </c>
      <c r="U1439" s="5" t="s">
        <v>14553</v>
      </c>
      <c r="V1439" s="5" t="s">
        <v>14553</v>
      </c>
      <c r="W1439" s="5" t="s">
        <v>72</v>
      </c>
      <c r="X1439" s="5" t="s">
        <v>72</v>
      </c>
      <c r="Y1439" s="4">
        <v>277</v>
      </c>
      <c r="Z1439" s="4">
        <v>8</v>
      </c>
      <c r="AA1439" s="4">
        <v>73</v>
      </c>
      <c r="AB1439" s="4">
        <v>1</v>
      </c>
      <c r="AC1439" s="4">
        <v>14</v>
      </c>
      <c r="AD1439" s="4">
        <v>48</v>
      </c>
      <c r="AE1439" s="4">
        <v>104</v>
      </c>
      <c r="AF1439" s="4">
        <v>0</v>
      </c>
      <c r="AG1439" s="4">
        <v>8</v>
      </c>
      <c r="AH1439" s="4">
        <v>47</v>
      </c>
      <c r="AI1439" s="4">
        <v>73</v>
      </c>
      <c r="AJ1439" s="4">
        <v>3</v>
      </c>
      <c r="AK1439" s="4">
        <v>17</v>
      </c>
      <c r="AL1439" s="4">
        <v>22</v>
      </c>
      <c r="AM1439" s="4">
        <v>36</v>
      </c>
      <c r="AN1439" s="4">
        <v>0</v>
      </c>
      <c r="AO1439" s="4">
        <v>0</v>
      </c>
      <c r="AP1439" s="4">
        <v>4</v>
      </c>
      <c r="AQ1439" s="4">
        <v>36</v>
      </c>
      <c r="AR1439" s="3" t="s">
        <v>64</v>
      </c>
      <c r="AS1439" s="3" t="s">
        <v>64</v>
      </c>
      <c r="AT1439" s="3" t="s">
        <v>64</v>
      </c>
      <c r="AV1439" s="6" t="str">
        <f>HYPERLINK("http://mcgill.on.worldcat.org/oclc/945582440","Catalog Record")</f>
        <v>Catalog Record</v>
      </c>
      <c r="AW1439" s="6" t="str">
        <f>HYPERLINK("http://www.worldcat.org/oclc/945582440","WorldCat Record")</f>
        <v>WorldCat Record</v>
      </c>
      <c r="AX1439" s="3" t="s">
        <v>14554</v>
      </c>
      <c r="AY1439" s="3" t="s">
        <v>14555</v>
      </c>
      <c r="AZ1439" s="3" t="s">
        <v>14556</v>
      </c>
      <c r="BA1439" s="3" t="s">
        <v>14556</v>
      </c>
      <c r="BB1439" s="3" t="s">
        <v>14557</v>
      </c>
      <c r="BC1439" s="3" t="s">
        <v>77</v>
      </c>
      <c r="BD1439" s="3" t="s">
        <v>78</v>
      </c>
      <c r="BE1439" s="3" t="s">
        <v>14558</v>
      </c>
      <c r="BF1439" s="3" t="s">
        <v>14557</v>
      </c>
      <c r="BG1439" s="3" t="s">
        <v>14559</v>
      </c>
      <c r="BH1439">
        <f t="shared" si="42"/>
        <v>0</v>
      </c>
    </row>
    <row r="1440" spans="1:60" ht="58" x14ac:dyDescent="0.35">
      <c r="A1440" s="2" t="s">
        <v>59</v>
      </c>
      <c r="B1440" s="2" t="s">
        <v>60</v>
      </c>
      <c r="C1440" s="2" t="s">
        <v>14560</v>
      </c>
      <c r="D1440" s="2" t="s">
        <v>14561</v>
      </c>
      <c r="E1440" s="2" t="s">
        <v>14562</v>
      </c>
      <c r="G1440" s="3" t="s">
        <v>64</v>
      </c>
      <c r="I1440" s="3" t="s">
        <v>64</v>
      </c>
      <c r="J1440" s="3" t="s">
        <v>64</v>
      </c>
      <c r="K1440" s="3" t="s">
        <v>65</v>
      </c>
      <c r="M1440" s="2" t="s">
        <v>14563</v>
      </c>
      <c r="N1440" s="3" t="s">
        <v>1004</v>
      </c>
      <c r="P1440" s="3" t="s">
        <v>102</v>
      </c>
      <c r="R1440" s="3" t="s">
        <v>70</v>
      </c>
      <c r="S1440" s="4">
        <v>17</v>
      </c>
      <c r="T1440" s="4">
        <v>17</v>
      </c>
      <c r="U1440" s="5" t="s">
        <v>3734</v>
      </c>
      <c r="V1440" s="5" t="s">
        <v>3734</v>
      </c>
      <c r="W1440" s="5" t="s">
        <v>72</v>
      </c>
      <c r="X1440" s="5" t="s">
        <v>72</v>
      </c>
      <c r="Y1440" s="4">
        <v>428</v>
      </c>
      <c r="Z1440" s="4">
        <v>28</v>
      </c>
      <c r="AA1440" s="4">
        <v>30</v>
      </c>
      <c r="AB1440" s="4">
        <v>1</v>
      </c>
      <c r="AC1440" s="4">
        <v>3</v>
      </c>
      <c r="AD1440" s="4">
        <v>110</v>
      </c>
      <c r="AE1440" s="4">
        <v>112</v>
      </c>
      <c r="AF1440" s="4">
        <v>0</v>
      </c>
      <c r="AG1440" s="4">
        <v>2</v>
      </c>
      <c r="AH1440" s="4">
        <v>94</v>
      </c>
      <c r="AI1440" s="4">
        <v>95</v>
      </c>
      <c r="AJ1440" s="4">
        <v>19</v>
      </c>
      <c r="AK1440" s="4">
        <v>21</v>
      </c>
      <c r="AL1440" s="4">
        <v>53</v>
      </c>
      <c r="AM1440" s="4">
        <v>53</v>
      </c>
      <c r="AN1440" s="4">
        <v>0</v>
      </c>
      <c r="AO1440" s="4">
        <v>0</v>
      </c>
      <c r="AP1440" s="4">
        <v>20</v>
      </c>
      <c r="AQ1440" s="4">
        <v>21</v>
      </c>
      <c r="AR1440" s="3" t="s">
        <v>64</v>
      </c>
      <c r="AS1440" s="3" t="s">
        <v>64</v>
      </c>
      <c r="AT1440" s="3" t="s">
        <v>128</v>
      </c>
      <c r="AU1440" s="6" t="str">
        <f>HYPERLINK("http://catalog.hathitrust.org/Record/000201596","HathiTrust Record")</f>
        <v>HathiTrust Record</v>
      </c>
      <c r="AV1440" s="6" t="str">
        <f>HYPERLINK("http://mcgill.on.worldcat.org/oclc/9644618","Catalog Record")</f>
        <v>Catalog Record</v>
      </c>
      <c r="AW1440" s="6" t="str">
        <f>HYPERLINK("http://www.worldcat.org/oclc/9644618","WorldCat Record")</f>
        <v>WorldCat Record</v>
      </c>
      <c r="AX1440" s="3" t="s">
        <v>14564</v>
      </c>
      <c r="AY1440" s="3" t="s">
        <v>14565</v>
      </c>
      <c r="AZ1440" s="3" t="s">
        <v>14566</v>
      </c>
      <c r="BA1440" s="3" t="s">
        <v>14566</v>
      </c>
      <c r="BB1440" s="3" t="s">
        <v>14567</v>
      </c>
      <c r="BC1440" s="3" t="s">
        <v>77</v>
      </c>
      <c r="BD1440" s="3" t="s">
        <v>78</v>
      </c>
      <c r="BE1440" s="3" t="s">
        <v>14568</v>
      </c>
      <c r="BF1440" s="3" t="s">
        <v>14567</v>
      </c>
      <c r="BG1440" s="3" t="s">
        <v>14569</v>
      </c>
      <c r="BH1440">
        <f t="shared" si="42"/>
        <v>0</v>
      </c>
    </row>
    <row r="1441" spans="1:60" ht="58" x14ac:dyDescent="0.35">
      <c r="A1441" s="2" t="s">
        <v>59</v>
      </c>
      <c r="B1441" s="2" t="s">
        <v>60</v>
      </c>
      <c r="C1441" s="2" t="s">
        <v>14570</v>
      </c>
      <c r="D1441" s="2" t="s">
        <v>14571</v>
      </c>
      <c r="E1441" s="2" t="s">
        <v>14572</v>
      </c>
      <c r="G1441" s="3" t="s">
        <v>64</v>
      </c>
      <c r="I1441" s="3" t="s">
        <v>64</v>
      </c>
      <c r="J1441" s="3" t="s">
        <v>64</v>
      </c>
      <c r="K1441" s="3" t="s">
        <v>65</v>
      </c>
      <c r="M1441" s="2" t="s">
        <v>14573</v>
      </c>
      <c r="N1441" s="3" t="s">
        <v>86</v>
      </c>
      <c r="P1441" s="3" t="s">
        <v>102</v>
      </c>
      <c r="R1441" s="3" t="s">
        <v>70</v>
      </c>
      <c r="S1441" s="4">
        <v>0</v>
      </c>
      <c r="T1441" s="4">
        <v>0</v>
      </c>
      <c r="W1441" s="5" t="s">
        <v>72</v>
      </c>
      <c r="X1441" s="5" t="s">
        <v>72</v>
      </c>
      <c r="Y1441" s="4">
        <v>34</v>
      </c>
      <c r="Z1441" s="4">
        <v>4</v>
      </c>
      <c r="AA1441" s="4">
        <v>11</v>
      </c>
      <c r="AB1441" s="4">
        <v>1</v>
      </c>
      <c r="AC1441" s="4">
        <v>5</v>
      </c>
      <c r="AD1441" s="4">
        <v>11</v>
      </c>
      <c r="AE1441" s="4">
        <v>19</v>
      </c>
      <c r="AF1441" s="4">
        <v>0</v>
      </c>
      <c r="AG1441" s="4">
        <v>1</v>
      </c>
      <c r="AH1441" s="4">
        <v>10</v>
      </c>
      <c r="AI1441" s="4">
        <v>15</v>
      </c>
      <c r="AJ1441" s="4">
        <v>3</v>
      </c>
      <c r="AK1441" s="4">
        <v>6</v>
      </c>
      <c r="AL1441" s="4">
        <v>3</v>
      </c>
      <c r="AM1441" s="4">
        <v>7</v>
      </c>
      <c r="AN1441" s="4">
        <v>0</v>
      </c>
      <c r="AO1441" s="4">
        <v>0</v>
      </c>
      <c r="AP1441" s="4">
        <v>3</v>
      </c>
      <c r="AQ1441" s="4">
        <v>6</v>
      </c>
      <c r="AR1441" s="3" t="s">
        <v>64</v>
      </c>
      <c r="AS1441" s="3" t="s">
        <v>64</v>
      </c>
      <c r="AT1441" s="3" t="s">
        <v>64</v>
      </c>
      <c r="AV1441" s="6" t="str">
        <f>HYPERLINK("http://mcgill.on.worldcat.org/oclc/754712701","Catalog Record")</f>
        <v>Catalog Record</v>
      </c>
      <c r="AW1441" s="6" t="str">
        <f>HYPERLINK("http://www.worldcat.org/oclc/754712701","WorldCat Record")</f>
        <v>WorldCat Record</v>
      </c>
      <c r="AX1441" s="3" t="s">
        <v>14574</v>
      </c>
      <c r="AY1441" s="3" t="s">
        <v>14575</v>
      </c>
      <c r="AZ1441" s="3" t="s">
        <v>14576</v>
      </c>
      <c r="BA1441" s="3" t="s">
        <v>14576</v>
      </c>
      <c r="BB1441" s="3" t="s">
        <v>14577</v>
      </c>
      <c r="BC1441" s="3" t="s">
        <v>77</v>
      </c>
      <c r="BD1441" s="3" t="s">
        <v>78</v>
      </c>
      <c r="BE1441" s="3" t="s">
        <v>14578</v>
      </c>
      <c r="BF1441" s="3" t="s">
        <v>14577</v>
      </c>
      <c r="BG1441" s="3" t="s">
        <v>14579</v>
      </c>
      <c r="BH1441">
        <f t="shared" si="42"/>
        <v>0</v>
      </c>
    </row>
    <row r="1442" spans="1:60" ht="58" x14ac:dyDescent="0.35">
      <c r="A1442" s="2" t="s">
        <v>59</v>
      </c>
      <c r="B1442" s="2" t="s">
        <v>60</v>
      </c>
      <c r="C1442" s="2" t="s">
        <v>14580</v>
      </c>
      <c r="D1442" s="2" t="s">
        <v>14581</v>
      </c>
      <c r="E1442" s="2" t="s">
        <v>14582</v>
      </c>
      <c r="G1442" s="3" t="s">
        <v>64</v>
      </c>
      <c r="I1442" s="3" t="s">
        <v>64</v>
      </c>
      <c r="J1442" s="3" t="s">
        <v>64</v>
      </c>
      <c r="K1442" s="3" t="s">
        <v>65</v>
      </c>
      <c r="M1442" s="2" t="s">
        <v>14583</v>
      </c>
      <c r="N1442" s="3" t="s">
        <v>144</v>
      </c>
      <c r="P1442" s="3" t="s">
        <v>102</v>
      </c>
      <c r="R1442" s="3" t="s">
        <v>70</v>
      </c>
      <c r="S1442" s="4">
        <v>18</v>
      </c>
      <c r="T1442" s="4">
        <v>18</v>
      </c>
      <c r="U1442" s="5" t="s">
        <v>4758</v>
      </c>
      <c r="V1442" s="5" t="s">
        <v>4758</v>
      </c>
      <c r="W1442" s="5" t="s">
        <v>72</v>
      </c>
      <c r="X1442" s="5" t="s">
        <v>72</v>
      </c>
      <c r="Y1442" s="4">
        <v>298</v>
      </c>
      <c r="Z1442" s="4">
        <v>26</v>
      </c>
      <c r="AA1442" s="4">
        <v>29</v>
      </c>
      <c r="AB1442" s="4">
        <v>3</v>
      </c>
      <c r="AC1442" s="4">
        <v>5</v>
      </c>
      <c r="AD1442" s="4">
        <v>61</v>
      </c>
      <c r="AE1442" s="4">
        <v>61</v>
      </c>
      <c r="AF1442" s="4">
        <v>1</v>
      </c>
      <c r="AG1442" s="4">
        <v>1</v>
      </c>
      <c r="AH1442" s="4">
        <v>55</v>
      </c>
      <c r="AI1442" s="4">
        <v>55</v>
      </c>
      <c r="AJ1442" s="4">
        <v>12</v>
      </c>
      <c r="AK1442" s="4">
        <v>12</v>
      </c>
      <c r="AL1442" s="4">
        <v>29</v>
      </c>
      <c r="AM1442" s="4">
        <v>29</v>
      </c>
      <c r="AN1442" s="4">
        <v>0</v>
      </c>
      <c r="AO1442" s="4">
        <v>0</v>
      </c>
      <c r="AP1442" s="4">
        <v>14</v>
      </c>
      <c r="AQ1442" s="4">
        <v>14</v>
      </c>
      <c r="AR1442" s="3" t="s">
        <v>64</v>
      </c>
      <c r="AS1442" s="3" t="s">
        <v>64</v>
      </c>
      <c r="AT1442" s="3" t="s">
        <v>64</v>
      </c>
      <c r="AV1442" s="6" t="str">
        <f>HYPERLINK("http://mcgill.on.worldcat.org/oclc/173241128","Catalog Record")</f>
        <v>Catalog Record</v>
      </c>
      <c r="AW1442" s="6" t="str">
        <f>HYPERLINK("http://www.worldcat.org/oclc/173241128","WorldCat Record")</f>
        <v>WorldCat Record</v>
      </c>
      <c r="AX1442" s="3" t="s">
        <v>14584</v>
      </c>
      <c r="AY1442" s="3" t="s">
        <v>14585</v>
      </c>
      <c r="AZ1442" s="3" t="s">
        <v>14586</v>
      </c>
      <c r="BA1442" s="3" t="s">
        <v>14586</v>
      </c>
      <c r="BB1442" s="3" t="s">
        <v>14587</v>
      </c>
      <c r="BC1442" s="3" t="s">
        <v>77</v>
      </c>
      <c r="BD1442" s="3" t="s">
        <v>78</v>
      </c>
      <c r="BE1442" s="3" t="s">
        <v>14588</v>
      </c>
      <c r="BF1442" s="3" t="s">
        <v>14587</v>
      </c>
      <c r="BG1442" s="3" t="s">
        <v>14589</v>
      </c>
      <c r="BH1442">
        <f t="shared" si="42"/>
        <v>0</v>
      </c>
    </row>
    <row r="1443" spans="1:60" ht="58" x14ac:dyDescent="0.35">
      <c r="A1443" s="2" t="s">
        <v>59</v>
      </c>
      <c r="B1443" s="2" t="s">
        <v>60</v>
      </c>
      <c r="C1443" s="2" t="s">
        <v>14590</v>
      </c>
      <c r="D1443" s="2" t="s">
        <v>14591</v>
      </c>
      <c r="E1443" s="2" t="s">
        <v>14592</v>
      </c>
      <c r="G1443" s="3" t="s">
        <v>64</v>
      </c>
      <c r="I1443" s="3" t="s">
        <v>64</v>
      </c>
      <c r="J1443" s="3" t="s">
        <v>64</v>
      </c>
      <c r="K1443" s="3" t="s">
        <v>65</v>
      </c>
      <c r="L1443" s="2" t="s">
        <v>14593</v>
      </c>
      <c r="M1443" s="2" t="s">
        <v>14594</v>
      </c>
      <c r="N1443" s="3" t="s">
        <v>3584</v>
      </c>
      <c r="P1443" s="3" t="s">
        <v>102</v>
      </c>
      <c r="R1443" s="3" t="s">
        <v>70</v>
      </c>
      <c r="S1443" s="4">
        <v>3</v>
      </c>
      <c r="T1443" s="4">
        <v>3</v>
      </c>
      <c r="U1443" s="5" t="s">
        <v>14454</v>
      </c>
      <c r="V1443" s="5" t="s">
        <v>14454</v>
      </c>
      <c r="W1443" s="5" t="s">
        <v>72</v>
      </c>
      <c r="X1443" s="5" t="s">
        <v>72</v>
      </c>
      <c r="Y1443" s="4">
        <v>420</v>
      </c>
      <c r="Z1443" s="4">
        <v>29</v>
      </c>
      <c r="AA1443" s="4">
        <v>32</v>
      </c>
      <c r="AB1443" s="4">
        <v>3</v>
      </c>
      <c r="AC1443" s="4">
        <v>6</v>
      </c>
      <c r="AD1443" s="4">
        <v>97</v>
      </c>
      <c r="AE1443" s="4">
        <v>99</v>
      </c>
      <c r="AF1443" s="4">
        <v>1</v>
      </c>
      <c r="AG1443" s="4">
        <v>3</v>
      </c>
      <c r="AH1443" s="4">
        <v>84</v>
      </c>
      <c r="AI1443" s="4">
        <v>84</v>
      </c>
      <c r="AJ1443" s="4">
        <v>14</v>
      </c>
      <c r="AK1443" s="4">
        <v>16</v>
      </c>
      <c r="AL1443" s="4">
        <v>41</v>
      </c>
      <c r="AM1443" s="4">
        <v>41</v>
      </c>
      <c r="AN1443" s="4">
        <v>0</v>
      </c>
      <c r="AO1443" s="4">
        <v>0</v>
      </c>
      <c r="AP1443" s="4">
        <v>18</v>
      </c>
      <c r="AQ1443" s="4">
        <v>19</v>
      </c>
      <c r="AR1443" s="3" t="s">
        <v>64</v>
      </c>
      <c r="AS1443" s="3" t="s">
        <v>64</v>
      </c>
      <c r="AT1443" s="3" t="s">
        <v>128</v>
      </c>
      <c r="AU1443" s="6" t="str">
        <f>HYPERLINK("http://catalog.hathitrust.org/Record/000211379","HathiTrust Record")</f>
        <v>HathiTrust Record</v>
      </c>
      <c r="AV1443" s="6" t="str">
        <f>HYPERLINK("http://mcgill.on.worldcat.org/oclc/2837395","Catalog Record")</f>
        <v>Catalog Record</v>
      </c>
      <c r="AW1443" s="6" t="str">
        <f>HYPERLINK("http://www.worldcat.org/oclc/2837395","WorldCat Record")</f>
        <v>WorldCat Record</v>
      </c>
      <c r="AX1443" s="3" t="s">
        <v>14595</v>
      </c>
      <c r="AY1443" s="3" t="s">
        <v>14596</v>
      </c>
      <c r="AZ1443" s="3" t="s">
        <v>14597</v>
      </c>
      <c r="BA1443" s="3" t="s">
        <v>14597</v>
      </c>
      <c r="BB1443" s="3" t="s">
        <v>14598</v>
      </c>
      <c r="BC1443" s="3" t="s">
        <v>77</v>
      </c>
      <c r="BD1443" s="3" t="s">
        <v>78</v>
      </c>
      <c r="BE1443" s="3" t="s">
        <v>14599</v>
      </c>
      <c r="BF1443" s="3" t="s">
        <v>14598</v>
      </c>
      <c r="BG1443" s="3" t="s">
        <v>14600</v>
      </c>
      <c r="BH1443">
        <f t="shared" si="42"/>
        <v>0</v>
      </c>
    </row>
    <row r="1444" spans="1:60" ht="58" x14ac:dyDescent="0.35">
      <c r="A1444" s="2" t="s">
        <v>59</v>
      </c>
      <c r="B1444" s="2" t="s">
        <v>60</v>
      </c>
      <c r="C1444" s="2" t="s">
        <v>14601</v>
      </c>
      <c r="D1444" s="2" t="s">
        <v>14602</v>
      </c>
      <c r="E1444" s="2" t="s">
        <v>14603</v>
      </c>
      <c r="G1444" s="3" t="s">
        <v>64</v>
      </c>
      <c r="I1444" s="3" t="s">
        <v>64</v>
      </c>
      <c r="J1444" s="3" t="s">
        <v>64</v>
      </c>
      <c r="K1444" s="3" t="s">
        <v>65</v>
      </c>
      <c r="L1444" s="2" t="s">
        <v>14593</v>
      </c>
      <c r="M1444" s="2" t="s">
        <v>14604</v>
      </c>
      <c r="N1444" s="3" t="s">
        <v>498</v>
      </c>
      <c r="P1444" s="3" t="s">
        <v>102</v>
      </c>
      <c r="R1444" s="3" t="s">
        <v>70</v>
      </c>
      <c r="S1444" s="4">
        <v>7</v>
      </c>
      <c r="T1444" s="4">
        <v>7</v>
      </c>
      <c r="U1444" s="5" t="s">
        <v>14454</v>
      </c>
      <c r="V1444" s="5" t="s">
        <v>14454</v>
      </c>
      <c r="W1444" s="5" t="s">
        <v>72</v>
      </c>
      <c r="X1444" s="5" t="s">
        <v>72</v>
      </c>
      <c r="Y1444" s="4">
        <v>165</v>
      </c>
      <c r="Z1444" s="4">
        <v>7</v>
      </c>
      <c r="AA1444" s="4">
        <v>18</v>
      </c>
      <c r="AB1444" s="4">
        <v>1</v>
      </c>
      <c r="AC1444" s="4">
        <v>4</v>
      </c>
      <c r="AD1444" s="4">
        <v>30</v>
      </c>
      <c r="AE1444" s="4">
        <v>91</v>
      </c>
      <c r="AF1444" s="4">
        <v>0</v>
      </c>
      <c r="AG1444" s="4">
        <v>2</v>
      </c>
      <c r="AH1444" s="4">
        <v>26</v>
      </c>
      <c r="AI1444" s="4">
        <v>81</v>
      </c>
      <c r="AJ1444" s="4">
        <v>4</v>
      </c>
      <c r="AK1444" s="4">
        <v>13</v>
      </c>
      <c r="AL1444" s="4">
        <v>16</v>
      </c>
      <c r="AM1444" s="4">
        <v>43</v>
      </c>
      <c r="AN1444" s="4">
        <v>0</v>
      </c>
      <c r="AO1444" s="4">
        <v>0</v>
      </c>
      <c r="AP1444" s="4">
        <v>5</v>
      </c>
      <c r="AQ1444" s="4">
        <v>13</v>
      </c>
      <c r="AR1444" s="3" t="s">
        <v>64</v>
      </c>
      <c r="AS1444" s="3" t="s">
        <v>64</v>
      </c>
      <c r="AT1444" s="3" t="s">
        <v>128</v>
      </c>
      <c r="AU1444" s="6" t="str">
        <f>HYPERLINK("http://catalog.hathitrust.org/Record/000961519","HathiTrust Record")</f>
        <v>HathiTrust Record</v>
      </c>
      <c r="AV1444" s="6" t="str">
        <f>HYPERLINK("http://mcgill.on.worldcat.org/oclc/1033593","Catalog Record")</f>
        <v>Catalog Record</v>
      </c>
      <c r="AW1444" s="6" t="str">
        <f>HYPERLINK("http://www.worldcat.org/oclc/1033593","WorldCat Record")</f>
        <v>WorldCat Record</v>
      </c>
      <c r="AX1444" s="3" t="s">
        <v>14605</v>
      </c>
      <c r="AY1444" s="3" t="s">
        <v>14606</v>
      </c>
      <c r="AZ1444" s="3" t="s">
        <v>14607</v>
      </c>
      <c r="BA1444" s="3" t="s">
        <v>14607</v>
      </c>
      <c r="BB1444" s="3" t="s">
        <v>14608</v>
      </c>
      <c r="BC1444" s="3" t="s">
        <v>77</v>
      </c>
      <c r="BD1444" s="3" t="s">
        <v>78</v>
      </c>
      <c r="BE1444" s="3" t="s">
        <v>14609</v>
      </c>
      <c r="BF1444" s="3" t="s">
        <v>14608</v>
      </c>
      <c r="BG1444" s="3" t="s">
        <v>14610</v>
      </c>
      <c r="BH1444">
        <f t="shared" si="42"/>
        <v>0</v>
      </c>
    </row>
    <row r="1445" spans="1:60" ht="58" x14ac:dyDescent="0.35">
      <c r="A1445" s="2" t="s">
        <v>59</v>
      </c>
      <c r="B1445" s="2" t="s">
        <v>60</v>
      </c>
      <c r="C1445" s="2" t="s">
        <v>14611</v>
      </c>
      <c r="D1445" s="2" t="s">
        <v>14612</v>
      </c>
      <c r="E1445" s="2" t="s">
        <v>14613</v>
      </c>
      <c r="G1445" s="3" t="s">
        <v>64</v>
      </c>
      <c r="I1445" s="3" t="s">
        <v>64</v>
      </c>
      <c r="J1445" s="3" t="s">
        <v>64</v>
      </c>
      <c r="K1445" s="3" t="s">
        <v>65</v>
      </c>
      <c r="L1445" s="2" t="s">
        <v>14614</v>
      </c>
      <c r="M1445" s="2" t="s">
        <v>14615</v>
      </c>
      <c r="N1445" s="3" t="s">
        <v>3047</v>
      </c>
      <c r="P1445" s="3" t="s">
        <v>102</v>
      </c>
      <c r="R1445" s="3" t="s">
        <v>70</v>
      </c>
      <c r="S1445" s="4">
        <v>1</v>
      </c>
      <c r="T1445" s="4">
        <v>1</v>
      </c>
      <c r="U1445" s="5" t="s">
        <v>6045</v>
      </c>
      <c r="V1445" s="5" t="s">
        <v>6045</v>
      </c>
      <c r="W1445" s="5" t="s">
        <v>72</v>
      </c>
      <c r="X1445" s="5" t="s">
        <v>72</v>
      </c>
      <c r="Y1445" s="4">
        <v>216</v>
      </c>
      <c r="Z1445" s="4">
        <v>11</v>
      </c>
      <c r="AA1445" s="4">
        <v>12</v>
      </c>
      <c r="AB1445" s="4">
        <v>3</v>
      </c>
      <c r="AC1445" s="4">
        <v>4</v>
      </c>
      <c r="AD1445" s="4">
        <v>46</v>
      </c>
      <c r="AE1445" s="4">
        <v>47</v>
      </c>
      <c r="AF1445" s="4">
        <v>1</v>
      </c>
      <c r="AG1445" s="4">
        <v>2</v>
      </c>
      <c r="AH1445" s="4">
        <v>41</v>
      </c>
      <c r="AI1445" s="4">
        <v>41</v>
      </c>
      <c r="AJ1445" s="4">
        <v>7</v>
      </c>
      <c r="AK1445" s="4">
        <v>8</v>
      </c>
      <c r="AL1445" s="4">
        <v>23</v>
      </c>
      <c r="AM1445" s="4">
        <v>23</v>
      </c>
      <c r="AN1445" s="4">
        <v>2</v>
      </c>
      <c r="AO1445" s="4">
        <v>2</v>
      </c>
      <c r="AP1445" s="4">
        <v>5</v>
      </c>
      <c r="AQ1445" s="4">
        <v>5</v>
      </c>
      <c r="AR1445" s="3" t="s">
        <v>64</v>
      </c>
      <c r="AS1445" s="3" t="s">
        <v>64</v>
      </c>
      <c r="AT1445" s="3" t="s">
        <v>128</v>
      </c>
      <c r="AU1445" s="6" t="str">
        <f>HYPERLINK("http://catalog.hathitrust.org/Record/000819299","HathiTrust Record")</f>
        <v>HathiTrust Record</v>
      </c>
      <c r="AV1445" s="6" t="str">
        <f>HYPERLINK("http://mcgill.on.worldcat.org/oclc/14588528","Catalog Record")</f>
        <v>Catalog Record</v>
      </c>
      <c r="AW1445" s="6" t="str">
        <f>HYPERLINK("http://www.worldcat.org/oclc/14588528","WorldCat Record")</f>
        <v>WorldCat Record</v>
      </c>
      <c r="AX1445" s="3" t="s">
        <v>14616</v>
      </c>
      <c r="AY1445" s="3" t="s">
        <v>14617</v>
      </c>
      <c r="AZ1445" s="3" t="s">
        <v>14618</v>
      </c>
      <c r="BA1445" s="3" t="s">
        <v>14618</v>
      </c>
      <c r="BB1445" s="3" t="s">
        <v>14619</v>
      </c>
      <c r="BC1445" s="3" t="s">
        <v>77</v>
      </c>
      <c r="BD1445" s="3" t="s">
        <v>78</v>
      </c>
      <c r="BE1445" s="3" t="s">
        <v>14620</v>
      </c>
      <c r="BF1445" s="3" t="s">
        <v>14619</v>
      </c>
      <c r="BG1445" s="3" t="s">
        <v>14621</v>
      </c>
      <c r="BH1445">
        <f t="shared" si="42"/>
        <v>0</v>
      </c>
    </row>
    <row r="1446" spans="1:60" ht="130.5" x14ac:dyDescent="0.35">
      <c r="A1446" s="2" t="s">
        <v>59</v>
      </c>
      <c r="B1446" s="2" t="s">
        <v>60</v>
      </c>
      <c r="C1446" s="2" t="s">
        <v>14622</v>
      </c>
      <c r="D1446" s="2" t="s">
        <v>14623</v>
      </c>
      <c r="E1446" s="2" t="s">
        <v>14624</v>
      </c>
      <c r="G1446" s="3" t="s">
        <v>64</v>
      </c>
      <c r="I1446" s="3" t="s">
        <v>64</v>
      </c>
      <c r="J1446" s="3" t="s">
        <v>64</v>
      </c>
      <c r="K1446" s="3" t="s">
        <v>65</v>
      </c>
      <c r="L1446" s="2" t="s">
        <v>14625</v>
      </c>
      <c r="M1446" s="2" t="s">
        <v>14626</v>
      </c>
      <c r="N1446" s="3" t="s">
        <v>434</v>
      </c>
      <c r="O1446" s="2" t="s">
        <v>14627</v>
      </c>
      <c r="P1446" s="3" t="s">
        <v>102</v>
      </c>
      <c r="R1446" s="3" t="s">
        <v>70</v>
      </c>
      <c r="S1446" s="4">
        <v>4</v>
      </c>
      <c r="T1446" s="4">
        <v>4</v>
      </c>
      <c r="U1446" s="5" t="s">
        <v>1846</v>
      </c>
      <c r="V1446" s="5" t="s">
        <v>1846</v>
      </c>
      <c r="W1446" s="5" t="s">
        <v>72</v>
      </c>
      <c r="X1446" s="5" t="s">
        <v>72</v>
      </c>
      <c r="Y1446" s="4">
        <v>104</v>
      </c>
      <c r="Z1446" s="4">
        <v>3</v>
      </c>
      <c r="AA1446" s="4">
        <v>6</v>
      </c>
      <c r="AB1446" s="4">
        <v>1</v>
      </c>
      <c r="AC1446" s="4">
        <v>2</v>
      </c>
      <c r="AD1446" s="4">
        <v>6</v>
      </c>
      <c r="AE1446" s="4">
        <v>8</v>
      </c>
      <c r="AF1446" s="4">
        <v>0</v>
      </c>
      <c r="AG1446" s="4">
        <v>1</v>
      </c>
      <c r="AH1446" s="4">
        <v>5</v>
      </c>
      <c r="AI1446" s="4">
        <v>6</v>
      </c>
      <c r="AJ1446" s="4">
        <v>2</v>
      </c>
      <c r="AK1446" s="4">
        <v>4</v>
      </c>
      <c r="AL1446" s="4">
        <v>2</v>
      </c>
      <c r="AM1446" s="4">
        <v>3</v>
      </c>
      <c r="AN1446" s="4">
        <v>0</v>
      </c>
      <c r="AO1446" s="4">
        <v>0</v>
      </c>
      <c r="AP1446" s="4">
        <v>2</v>
      </c>
      <c r="AQ1446" s="4">
        <v>3</v>
      </c>
      <c r="AR1446" s="3" t="s">
        <v>64</v>
      </c>
      <c r="AS1446" s="3" t="s">
        <v>64</v>
      </c>
      <c r="AT1446" s="3" t="s">
        <v>64</v>
      </c>
      <c r="AV1446" s="6" t="str">
        <f>HYPERLINK("http://mcgill.on.worldcat.org/oclc/61128854","Catalog Record")</f>
        <v>Catalog Record</v>
      </c>
      <c r="AW1446" s="6" t="str">
        <f>HYPERLINK("http://www.worldcat.org/oclc/61128854","WorldCat Record")</f>
        <v>WorldCat Record</v>
      </c>
      <c r="AX1446" s="3" t="s">
        <v>14628</v>
      </c>
      <c r="AY1446" s="3" t="s">
        <v>14629</v>
      </c>
      <c r="AZ1446" s="3" t="s">
        <v>14630</v>
      </c>
      <c r="BA1446" s="3" t="s">
        <v>14630</v>
      </c>
      <c r="BB1446" s="3" t="s">
        <v>14631</v>
      </c>
      <c r="BC1446" s="3" t="s">
        <v>77</v>
      </c>
      <c r="BD1446" s="3" t="s">
        <v>78</v>
      </c>
      <c r="BE1446" s="3" t="s">
        <v>14632</v>
      </c>
      <c r="BF1446" s="3" t="s">
        <v>14631</v>
      </c>
      <c r="BG1446" s="3" t="s">
        <v>14633</v>
      </c>
      <c r="BH1446">
        <f t="shared" si="42"/>
        <v>0</v>
      </c>
    </row>
    <row r="1447" spans="1:60" ht="58" x14ac:dyDescent="0.35">
      <c r="A1447" s="2" t="s">
        <v>59</v>
      </c>
      <c r="B1447" s="2" t="s">
        <v>60</v>
      </c>
      <c r="C1447" s="2" t="s">
        <v>14634</v>
      </c>
      <c r="D1447" s="2" t="s">
        <v>14635</v>
      </c>
      <c r="E1447" s="2" t="s">
        <v>14636</v>
      </c>
      <c r="G1447" s="3" t="s">
        <v>64</v>
      </c>
      <c r="I1447" s="3" t="s">
        <v>64</v>
      </c>
      <c r="J1447" s="3" t="s">
        <v>128</v>
      </c>
      <c r="K1447" s="3" t="s">
        <v>65</v>
      </c>
      <c r="L1447" s="2" t="s">
        <v>14637</v>
      </c>
      <c r="M1447" s="2" t="s">
        <v>14638</v>
      </c>
      <c r="N1447" s="3" t="s">
        <v>1275</v>
      </c>
      <c r="O1447" s="2" t="s">
        <v>14639</v>
      </c>
      <c r="P1447" s="3" t="s">
        <v>102</v>
      </c>
      <c r="R1447" s="3" t="s">
        <v>70</v>
      </c>
      <c r="S1447" s="4">
        <v>6</v>
      </c>
      <c r="T1447" s="4">
        <v>6</v>
      </c>
      <c r="U1447" s="5" t="s">
        <v>13990</v>
      </c>
      <c r="V1447" s="5" t="s">
        <v>13990</v>
      </c>
      <c r="W1447" s="5" t="s">
        <v>72</v>
      </c>
      <c r="X1447" s="5" t="s">
        <v>72</v>
      </c>
      <c r="Y1447" s="4">
        <v>100</v>
      </c>
      <c r="Z1447" s="4">
        <v>3</v>
      </c>
      <c r="AA1447" s="4">
        <v>96</v>
      </c>
      <c r="AB1447" s="4">
        <v>1</v>
      </c>
      <c r="AC1447" s="4">
        <v>18</v>
      </c>
      <c r="AD1447" s="4">
        <v>28</v>
      </c>
      <c r="AE1447" s="4">
        <v>133</v>
      </c>
      <c r="AF1447" s="4">
        <v>0</v>
      </c>
      <c r="AG1447" s="4">
        <v>8</v>
      </c>
      <c r="AH1447" s="4">
        <v>28</v>
      </c>
      <c r="AI1447" s="4">
        <v>92</v>
      </c>
      <c r="AJ1447" s="4">
        <v>1</v>
      </c>
      <c r="AK1447" s="4">
        <v>24</v>
      </c>
      <c r="AL1447" s="4">
        <v>14</v>
      </c>
      <c r="AM1447" s="4">
        <v>47</v>
      </c>
      <c r="AN1447" s="4">
        <v>0</v>
      </c>
      <c r="AO1447" s="4">
        <v>2</v>
      </c>
      <c r="AP1447" s="4">
        <v>1</v>
      </c>
      <c r="AQ1447" s="4">
        <v>44</v>
      </c>
      <c r="AR1447" s="3" t="s">
        <v>64</v>
      </c>
      <c r="AS1447" s="3" t="s">
        <v>64</v>
      </c>
      <c r="AT1447" s="3" t="s">
        <v>128</v>
      </c>
      <c r="AU1447" s="6" t="str">
        <f>HYPERLINK("http://catalog.hathitrust.org/Record/004937937","HathiTrust Record")</f>
        <v>HathiTrust Record</v>
      </c>
      <c r="AV1447" s="6" t="str">
        <f>HYPERLINK("http://mcgill.on.worldcat.org/oclc/55979006","Catalog Record")</f>
        <v>Catalog Record</v>
      </c>
      <c r="AW1447" s="6" t="str">
        <f>HYPERLINK("http://www.worldcat.org/oclc/55979006","WorldCat Record")</f>
        <v>WorldCat Record</v>
      </c>
      <c r="AX1447" s="3" t="s">
        <v>14640</v>
      </c>
      <c r="AY1447" s="3" t="s">
        <v>14641</v>
      </c>
      <c r="AZ1447" s="3" t="s">
        <v>14642</v>
      </c>
      <c r="BA1447" s="3" t="s">
        <v>14642</v>
      </c>
      <c r="BB1447" s="3" t="s">
        <v>14643</v>
      </c>
      <c r="BC1447" s="3" t="s">
        <v>77</v>
      </c>
      <c r="BD1447" s="3" t="s">
        <v>78</v>
      </c>
      <c r="BE1447" s="3" t="s">
        <v>14644</v>
      </c>
      <c r="BF1447" s="3" t="s">
        <v>14643</v>
      </c>
      <c r="BG1447" s="3" t="s">
        <v>14645</v>
      </c>
      <c r="BH1447">
        <f t="shared" si="42"/>
        <v>0</v>
      </c>
    </row>
    <row r="1448" spans="1:60" ht="58" x14ac:dyDescent="0.35">
      <c r="A1448" s="2" t="s">
        <v>59</v>
      </c>
      <c r="B1448" s="2" t="s">
        <v>60</v>
      </c>
      <c r="C1448" s="2" t="s">
        <v>14646</v>
      </c>
      <c r="D1448" s="2" t="s">
        <v>14647</v>
      </c>
      <c r="E1448" s="2" t="s">
        <v>14648</v>
      </c>
      <c r="G1448" s="3" t="s">
        <v>64</v>
      </c>
      <c r="I1448" s="3" t="s">
        <v>64</v>
      </c>
      <c r="J1448" s="3" t="s">
        <v>64</v>
      </c>
      <c r="K1448" s="3" t="s">
        <v>65</v>
      </c>
      <c r="L1448" s="2" t="s">
        <v>14649</v>
      </c>
      <c r="M1448" s="2" t="s">
        <v>14650</v>
      </c>
      <c r="N1448" s="3" t="s">
        <v>144</v>
      </c>
      <c r="P1448" s="3" t="s">
        <v>102</v>
      </c>
      <c r="Q1448" s="2" t="s">
        <v>8981</v>
      </c>
      <c r="R1448" s="3" t="s">
        <v>70</v>
      </c>
      <c r="S1448" s="4">
        <v>3</v>
      </c>
      <c r="T1448" s="4">
        <v>3</v>
      </c>
      <c r="U1448" s="5" t="s">
        <v>14651</v>
      </c>
      <c r="V1448" s="5" t="s">
        <v>14651</v>
      </c>
      <c r="W1448" s="5" t="s">
        <v>72</v>
      </c>
      <c r="X1448" s="5" t="s">
        <v>72</v>
      </c>
      <c r="Y1448" s="4">
        <v>143</v>
      </c>
      <c r="Z1448" s="4">
        <v>16</v>
      </c>
      <c r="AA1448" s="4">
        <v>22</v>
      </c>
      <c r="AB1448" s="4">
        <v>1</v>
      </c>
      <c r="AC1448" s="4">
        <v>5</v>
      </c>
      <c r="AD1448" s="4">
        <v>42</v>
      </c>
      <c r="AE1448" s="4">
        <v>52</v>
      </c>
      <c r="AF1448" s="4">
        <v>0</v>
      </c>
      <c r="AG1448" s="4">
        <v>1</v>
      </c>
      <c r="AH1448" s="4">
        <v>37</v>
      </c>
      <c r="AI1448" s="4">
        <v>45</v>
      </c>
      <c r="AJ1448" s="4">
        <v>9</v>
      </c>
      <c r="AK1448" s="4">
        <v>10</v>
      </c>
      <c r="AL1448" s="4">
        <v>25</v>
      </c>
      <c r="AM1448" s="4">
        <v>29</v>
      </c>
      <c r="AN1448" s="4">
        <v>0</v>
      </c>
      <c r="AO1448" s="4">
        <v>0</v>
      </c>
      <c r="AP1448" s="4">
        <v>12</v>
      </c>
      <c r="AQ1448" s="4">
        <v>13</v>
      </c>
      <c r="AR1448" s="3" t="s">
        <v>64</v>
      </c>
      <c r="AS1448" s="3" t="s">
        <v>64</v>
      </c>
      <c r="AT1448" s="3" t="s">
        <v>64</v>
      </c>
      <c r="AV1448" s="6" t="str">
        <f>HYPERLINK("http://mcgill.on.worldcat.org/oclc/237289933","Catalog Record")</f>
        <v>Catalog Record</v>
      </c>
      <c r="AW1448" s="6" t="str">
        <f>HYPERLINK("http://www.worldcat.org/oclc/237289933","WorldCat Record")</f>
        <v>WorldCat Record</v>
      </c>
      <c r="AX1448" s="3" t="s">
        <v>14652</v>
      </c>
      <c r="AY1448" s="3" t="s">
        <v>14653</v>
      </c>
      <c r="AZ1448" s="3" t="s">
        <v>14654</v>
      </c>
      <c r="BA1448" s="3" t="s">
        <v>14654</v>
      </c>
      <c r="BB1448" s="3" t="s">
        <v>14655</v>
      </c>
      <c r="BC1448" s="3" t="s">
        <v>77</v>
      </c>
      <c r="BD1448" s="3" t="s">
        <v>78</v>
      </c>
      <c r="BE1448" s="3" t="s">
        <v>14656</v>
      </c>
      <c r="BF1448" s="3" t="s">
        <v>14655</v>
      </c>
      <c r="BG1448" s="3" t="s">
        <v>14657</v>
      </c>
      <c r="BH1448">
        <f t="shared" si="42"/>
        <v>0</v>
      </c>
    </row>
    <row r="1449" spans="1:60" ht="58" x14ac:dyDescent="0.35">
      <c r="A1449" s="2" t="s">
        <v>59</v>
      </c>
      <c r="B1449" s="2" t="s">
        <v>60</v>
      </c>
      <c r="C1449" s="2" t="s">
        <v>14658</v>
      </c>
      <c r="D1449" s="2" t="s">
        <v>14659</v>
      </c>
      <c r="E1449" s="2" t="s">
        <v>14660</v>
      </c>
      <c r="G1449" s="3" t="s">
        <v>64</v>
      </c>
      <c r="I1449" s="3" t="s">
        <v>64</v>
      </c>
      <c r="J1449" s="3" t="s">
        <v>64</v>
      </c>
      <c r="K1449" s="3" t="s">
        <v>65</v>
      </c>
      <c r="L1449" s="2" t="s">
        <v>14661</v>
      </c>
      <c r="M1449" s="2" t="s">
        <v>14662</v>
      </c>
      <c r="N1449" s="3" t="s">
        <v>551</v>
      </c>
      <c r="P1449" s="3" t="s">
        <v>102</v>
      </c>
      <c r="R1449" s="3" t="s">
        <v>70</v>
      </c>
      <c r="S1449" s="4">
        <v>2</v>
      </c>
      <c r="T1449" s="4">
        <v>2</v>
      </c>
      <c r="U1449" s="5" t="s">
        <v>14663</v>
      </c>
      <c r="V1449" s="5" t="s">
        <v>14663</v>
      </c>
      <c r="W1449" s="5" t="s">
        <v>72</v>
      </c>
      <c r="X1449" s="5" t="s">
        <v>72</v>
      </c>
      <c r="Y1449" s="4">
        <v>182</v>
      </c>
      <c r="Z1449" s="4">
        <v>13</v>
      </c>
      <c r="AA1449" s="4">
        <v>15</v>
      </c>
      <c r="AB1449" s="4">
        <v>3</v>
      </c>
      <c r="AC1449" s="4">
        <v>5</v>
      </c>
      <c r="AD1449" s="4">
        <v>57</v>
      </c>
      <c r="AE1449" s="4">
        <v>57</v>
      </c>
      <c r="AF1449" s="4">
        <v>1</v>
      </c>
      <c r="AG1449" s="4">
        <v>1</v>
      </c>
      <c r="AH1449" s="4">
        <v>52</v>
      </c>
      <c r="AI1449" s="4">
        <v>52</v>
      </c>
      <c r="AJ1449" s="4">
        <v>9</v>
      </c>
      <c r="AK1449" s="4">
        <v>9</v>
      </c>
      <c r="AL1449" s="4">
        <v>31</v>
      </c>
      <c r="AM1449" s="4">
        <v>31</v>
      </c>
      <c r="AN1449" s="4">
        <v>0</v>
      </c>
      <c r="AO1449" s="4">
        <v>0</v>
      </c>
      <c r="AP1449" s="4">
        <v>9</v>
      </c>
      <c r="AQ1449" s="4">
        <v>9</v>
      </c>
      <c r="AR1449" s="3" t="s">
        <v>64</v>
      </c>
      <c r="AS1449" s="3" t="s">
        <v>64</v>
      </c>
      <c r="AT1449" s="3" t="s">
        <v>128</v>
      </c>
      <c r="AU1449" s="6" t="str">
        <f>HYPERLINK("http://catalog.hathitrust.org/Record/006860851","HathiTrust Record")</f>
        <v>HathiTrust Record</v>
      </c>
      <c r="AV1449" s="6" t="str">
        <f>HYPERLINK("http://mcgill.on.worldcat.org/oclc/312416402","Catalog Record")</f>
        <v>Catalog Record</v>
      </c>
      <c r="AW1449" s="6" t="str">
        <f>HYPERLINK("http://www.worldcat.org/oclc/312416402","WorldCat Record")</f>
        <v>WorldCat Record</v>
      </c>
      <c r="AX1449" s="3" t="s">
        <v>14664</v>
      </c>
      <c r="AY1449" s="3" t="s">
        <v>14665</v>
      </c>
      <c r="AZ1449" s="3" t="s">
        <v>14666</v>
      </c>
      <c r="BA1449" s="3" t="s">
        <v>14666</v>
      </c>
      <c r="BB1449" s="3" t="s">
        <v>14667</v>
      </c>
      <c r="BC1449" s="3" t="s">
        <v>77</v>
      </c>
      <c r="BD1449" s="3" t="s">
        <v>78</v>
      </c>
      <c r="BE1449" s="3" t="s">
        <v>14668</v>
      </c>
      <c r="BF1449" s="3" t="s">
        <v>14667</v>
      </c>
      <c r="BG1449" s="3" t="s">
        <v>14669</v>
      </c>
      <c r="BH1449">
        <f t="shared" si="42"/>
        <v>0</v>
      </c>
    </row>
    <row r="1450" spans="1:60" ht="58" x14ac:dyDescent="0.35">
      <c r="A1450" s="2" t="s">
        <v>59</v>
      </c>
      <c r="B1450" s="2" t="s">
        <v>60</v>
      </c>
      <c r="C1450" s="2" t="s">
        <v>14670</v>
      </c>
      <c r="D1450" s="2" t="s">
        <v>14671</v>
      </c>
      <c r="E1450" s="2" t="s">
        <v>14672</v>
      </c>
      <c r="G1450" s="3" t="s">
        <v>64</v>
      </c>
      <c r="I1450" s="3" t="s">
        <v>64</v>
      </c>
      <c r="J1450" s="3" t="s">
        <v>64</v>
      </c>
      <c r="K1450" s="3" t="s">
        <v>65</v>
      </c>
      <c r="L1450" s="2" t="s">
        <v>14673</v>
      </c>
      <c r="M1450" s="2" t="s">
        <v>9226</v>
      </c>
      <c r="N1450" s="3" t="s">
        <v>511</v>
      </c>
      <c r="P1450" s="3" t="s">
        <v>102</v>
      </c>
      <c r="R1450" s="3" t="s">
        <v>70</v>
      </c>
      <c r="S1450" s="4">
        <v>1</v>
      </c>
      <c r="T1450" s="4">
        <v>1</v>
      </c>
      <c r="U1450" s="5" t="s">
        <v>14674</v>
      </c>
      <c r="V1450" s="5" t="s">
        <v>14674</v>
      </c>
      <c r="W1450" s="5" t="s">
        <v>72</v>
      </c>
      <c r="X1450" s="5" t="s">
        <v>72</v>
      </c>
      <c r="Y1450" s="4">
        <v>140</v>
      </c>
      <c r="Z1450" s="4">
        <v>13</v>
      </c>
      <c r="AA1450" s="4">
        <v>27</v>
      </c>
      <c r="AB1450" s="4">
        <v>2</v>
      </c>
      <c r="AC1450" s="4">
        <v>6</v>
      </c>
      <c r="AD1450" s="4">
        <v>45</v>
      </c>
      <c r="AE1450" s="4">
        <v>70</v>
      </c>
      <c r="AF1450" s="4">
        <v>1</v>
      </c>
      <c r="AG1450" s="4">
        <v>3</v>
      </c>
      <c r="AH1450" s="4">
        <v>40</v>
      </c>
      <c r="AI1450" s="4">
        <v>59</v>
      </c>
      <c r="AJ1450" s="4">
        <v>8</v>
      </c>
      <c r="AK1450" s="4">
        <v>14</v>
      </c>
      <c r="AL1450" s="4">
        <v>26</v>
      </c>
      <c r="AM1450" s="4">
        <v>33</v>
      </c>
      <c r="AN1450" s="4">
        <v>0</v>
      </c>
      <c r="AO1450" s="4">
        <v>0</v>
      </c>
      <c r="AP1450" s="4">
        <v>8</v>
      </c>
      <c r="AQ1450" s="4">
        <v>14</v>
      </c>
      <c r="AR1450" s="3" t="s">
        <v>64</v>
      </c>
      <c r="AS1450" s="3" t="s">
        <v>64</v>
      </c>
      <c r="AT1450" s="3" t="s">
        <v>64</v>
      </c>
      <c r="AV1450" s="6" t="str">
        <f>HYPERLINK("http://mcgill.on.worldcat.org/oclc/573302261","Catalog Record")</f>
        <v>Catalog Record</v>
      </c>
      <c r="AW1450" s="6" t="str">
        <f>HYPERLINK("http://www.worldcat.org/oclc/573302261","WorldCat Record")</f>
        <v>WorldCat Record</v>
      </c>
      <c r="AX1450" s="3" t="s">
        <v>14675</v>
      </c>
      <c r="AY1450" s="3" t="s">
        <v>14676</v>
      </c>
      <c r="AZ1450" s="3" t="s">
        <v>14677</v>
      </c>
      <c r="BA1450" s="3" t="s">
        <v>14677</v>
      </c>
      <c r="BB1450" s="3" t="s">
        <v>14678</v>
      </c>
      <c r="BC1450" s="3" t="s">
        <v>77</v>
      </c>
      <c r="BD1450" s="3" t="s">
        <v>78</v>
      </c>
      <c r="BE1450" s="3" t="s">
        <v>14679</v>
      </c>
      <c r="BF1450" s="3" t="s">
        <v>14678</v>
      </c>
      <c r="BG1450" s="3" t="s">
        <v>14680</v>
      </c>
      <c r="BH1450">
        <f t="shared" si="42"/>
        <v>0</v>
      </c>
    </row>
    <row r="1451" spans="1:60" ht="58" x14ac:dyDescent="0.35">
      <c r="A1451" s="2" t="s">
        <v>59</v>
      </c>
      <c r="B1451" s="2" t="s">
        <v>60</v>
      </c>
      <c r="C1451" s="2" t="s">
        <v>14681</v>
      </c>
      <c r="D1451" s="2" t="s">
        <v>14682</v>
      </c>
      <c r="E1451" s="2" t="s">
        <v>14683</v>
      </c>
      <c r="G1451" s="3" t="s">
        <v>64</v>
      </c>
      <c r="I1451" s="3" t="s">
        <v>64</v>
      </c>
      <c r="J1451" s="3" t="s">
        <v>64</v>
      </c>
      <c r="K1451" s="3" t="s">
        <v>65</v>
      </c>
      <c r="M1451" s="2" t="s">
        <v>14684</v>
      </c>
      <c r="N1451" s="3" t="s">
        <v>86</v>
      </c>
      <c r="P1451" s="3" t="s">
        <v>102</v>
      </c>
      <c r="Q1451" s="2" t="s">
        <v>14685</v>
      </c>
      <c r="R1451" s="3" t="s">
        <v>70</v>
      </c>
      <c r="S1451" s="4">
        <v>0</v>
      </c>
      <c r="T1451" s="4">
        <v>0</v>
      </c>
      <c r="W1451" s="5" t="s">
        <v>72</v>
      </c>
      <c r="X1451" s="5" t="s">
        <v>72</v>
      </c>
      <c r="Y1451" s="4">
        <v>50</v>
      </c>
      <c r="Z1451" s="4">
        <v>4</v>
      </c>
      <c r="AA1451" s="4">
        <v>76</v>
      </c>
      <c r="AB1451" s="4">
        <v>1</v>
      </c>
      <c r="AC1451" s="4">
        <v>14</v>
      </c>
      <c r="AD1451" s="4">
        <v>9</v>
      </c>
      <c r="AE1451" s="4">
        <v>96</v>
      </c>
      <c r="AF1451" s="4">
        <v>0</v>
      </c>
      <c r="AG1451" s="4">
        <v>8</v>
      </c>
      <c r="AH1451" s="4">
        <v>8</v>
      </c>
      <c r="AI1451" s="4">
        <v>62</v>
      </c>
      <c r="AJ1451" s="4">
        <v>3</v>
      </c>
      <c r="AK1451" s="4">
        <v>19</v>
      </c>
      <c r="AL1451" s="4">
        <v>4</v>
      </c>
      <c r="AM1451" s="4">
        <v>30</v>
      </c>
      <c r="AN1451" s="4">
        <v>0</v>
      </c>
      <c r="AO1451" s="4">
        <v>0</v>
      </c>
      <c r="AP1451" s="4">
        <v>3</v>
      </c>
      <c r="AQ1451" s="4">
        <v>40</v>
      </c>
      <c r="AR1451" s="3" t="s">
        <v>64</v>
      </c>
      <c r="AS1451" s="3" t="s">
        <v>64</v>
      </c>
      <c r="AT1451" s="3" t="s">
        <v>64</v>
      </c>
      <c r="AV1451" s="6" t="str">
        <f>HYPERLINK("http://mcgill.on.worldcat.org/oclc/778917050","Catalog Record")</f>
        <v>Catalog Record</v>
      </c>
      <c r="AW1451" s="6" t="str">
        <f>HYPERLINK("http://www.worldcat.org/oclc/778917050","WorldCat Record")</f>
        <v>WorldCat Record</v>
      </c>
      <c r="AX1451" s="3" t="s">
        <v>14686</v>
      </c>
      <c r="AY1451" s="3" t="s">
        <v>14687</v>
      </c>
      <c r="AZ1451" s="3" t="s">
        <v>14688</v>
      </c>
      <c r="BA1451" s="3" t="s">
        <v>14688</v>
      </c>
      <c r="BB1451" s="3" t="s">
        <v>14689</v>
      </c>
      <c r="BC1451" s="3" t="s">
        <v>77</v>
      </c>
      <c r="BD1451" s="3" t="s">
        <v>78</v>
      </c>
      <c r="BE1451" s="3" t="s">
        <v>14690</v>
      </c>
      <c r="BF1451" s="3" t="s">
        <v>14689</v>
      </c>
      <c r="BG1451" s="3" t="s">
        <v>14691</v>
      </c>
      <c r="BH1451">
        <f t="shared" si="42"/>
        <v>0</v>
      </c>
    </row>
    <row r="1452" spans="1:60" ht="116" x14ac:dyDescent="0.35">
      <c r="A1452" s="2" t="s">
        <v>59</v>
      </c>
      <c r="B1452" s="2" t="s">
        <v>1183</v>
      </c>
      <c r="C1452" s="2" t="s">
        <v>14692</v>
      </c>
      <c r="D1452" s="2" t="s">
        <v>14693</v>
      </c>
      <c r="E1452" s="2" t="s">
        <v>14694</v>
      </c>
      <c r="G1452" s="3" t="s">
        <v>64</v>
      </c>
      <c r="I1452" s="3" t="s">
        <v>64</v>
      </c>
      <c r="J1452" s="3" t="s">
        <v>64</v>
      </c>
      <c r="K1452" s="3" t="s">
        <v>65</v>
      </c>
      <c r="L1452" s="2" t="s">
        <v>14695</v>
      </c>
      <c r="M1452" s="2" t="s">
        <v>14696</v>
      </c>
      <c r="N1452" s="3" t="s">
        <v>253</v>
      </c>
      <c r="O1452" s="2" t="s">
        <v>1189</v>
      </c>
      <c r="P1452" s="3" t="s">
        <v>1190</v>
      </c>
      <c r="R1452" s="3" t="s">
        <v>70</v>
      </c>
      <c r="S1452" s="4">
        <v>0</v>
      </c>
      <c r="T1452" s="4">
        <v>0</v>
      </c>
      <c r="W1452" s="5" t="s">
        <v>72</v>
      </c>
      <c r="X1452" s="5" t="s">
        <v>72</v>
      </c>
      <c r="Y1452" s="4">
        <v>11</v>
      </c>
      <c r="Z1452" s="4">
        <v>1</v>
      </c>
      <c r="AA1452" s="4">
        <v>1</v>
      </c>
      <c r="AB1452" s="4">
        <v>1</v>
      </c>
      <c r="AC1452" s="4">
        <v>1</v>
      </c>
      <c r="AD1452" s="4">
        <v>6</v>
      </c>
      <c r="AE1452" s="4">
        <v>6</v>
      </c>
      <c r="AF1452" s="4">
        <v>0</v>
      </c>
      <c r="AG1452" s="4">
        <v>0</v>
      </c>
      <c r="AH1452" s="4">
        <v>6</v>
      </c>
      <c r="AI1452" s="4">
        <v>6</v>
      </c>
      <c r="AJ1452" s="4">
        <v>0</v>
      </c>
      <c r="AK1452" s="4">
        <v>0</v>
      </c>
      <c r="AL1452" s="4">
        <v>5</v>
      </c>
      <c r="AM1452" s="4">
        <v>5</v>
      </c>
      <c r="AN1452" s="4">
        <v>0</v>
      </c>
      <c r="AO1452" s="4">
        <v>0</v>
      </c>
      <c r="AP1452" s="4">
        <v>0</v>
      </c>
      <c r="AQ1452" s="4">
        <v>0</v>
      </c>
      <c r="AR1452" s="3" t="s">
        <v>64</v>
      </c>
      <c r="AS1452" s="3" t="s">
        <v>64</v>
      </c>
      <c r="AT1452" s="3" t="s">
        <v>64</v>
      </c>
      <c r="AV1452" s="6" t="str">
        <f>HYPERLINK("http://mcgill.on.worldcat.org/oclc/935981815","Catalog Record")</f>
        <v>Catalog Record</v>
      </c>
      <c r="AW1452" s="6" t="str">
        <f>HYPERLINK("http://www.worldcat.org/oclc/935981815","WorldCat Record")</f>
        <v>WorldCat Record</v>
      </c>
      <c r="AX1452" s="3" t="s">
        <v>14697</v>
      </c>
      <c r="AY1452" s="3" t="s">
        <v>14698</v>
      </c>
      <c r="AZ1452" s="3" t="s">
        <v>14699</v>
      </c>
      <c r="BA1452" s="3" t="s">
        <v>14699</v>
      </c>
      <c r="BB1452" s="3" t="s">
        <v>14700</v>
      </c>
      <c r="BC1452" s="3" t="s">
        <v>77</v>
      </c>
      <c r="BD1452" s="3" t="s">
        <v>78</v>
      </c>
      <c r="BE1452" s="3" t="s">
        <v>14701</v>
      </c>
      <c r="BF1452" s="3" t="s">
        <v>14700</v>
      </c>
      <c r="BG1452" s="3" t="s">
        <v>14702</v>
      </c>
      <c r="BH1452">
        <f t="shared" si="42"/>
        <v>0</v>
      </c>
    </row>
    <row r="1453" spans="1:60" ht="58" x14ac:dyDescent="0.35">
      <c r="A1453" s="2" t="s">
        <v>59</v>
      </c>
      <c r="B1453" s="2" t="s">
        <v>60</v>
      </c>
      <c r="C1453" s="2" t="s">
        <v>14703</v>
      </c>
      <c r="D1453" s="2" t="s">
        <v>14704</v>
      </c>
      <c r="E1453" s="2" t="s">
        <v>14705</v>
      </c>
      <c r="G1453" s="3" t="s">
        <v>64</v>
      </c>
      <c r="I1453" s="3" t="s">
        <v>64</v>
      </c>
      <c r="J1453" s="3" t="s">
        <v>64</v>
      </c>
      <c r="K1453" s="3" t="s">
        <v>65</v>
      </c>
      <c r="M1453" s="2" t="s">
        <v>14706</v>
      </c>
      <c r="N1453" s="3" t="s">
        <v>86</v>
      </c>
      <c r="P1453" s="3" t="s">
        <v>102</v>
      </c>
      <c r="R1453" s="3" t="s">
        <v>70</v>
      </c>
      <c r="S1453" s="4">
        <v>0</v>
      </c>
      <c r="T1453" s="4">
        <v>0</v>
      </c>
      <c r="W1453" s="5" t="s">
        <v>72</v>
      </c>
      <c r="X1453" s="5" t="s">
        <v>72</v>
      </c>
      <c r="Y1453" s="4">
        <v>50</v>
      </c>
      <c r="Z1453" s="4">
        <v>8</v>
      </c>
      <c r="AA1453" s="4">
        <v>16</v>
      </c>
      <c r="AB1453" s="4">
        <v>1</v>
      </c>
      <c r="AC1453" s="4">
        <v>5</v>
      </c>
      <c r="AD1453" s="4">
        <v>18</v>
      </c>
      <c r="AE1453" s="4">
        <v>25</v>
      </c>
      <c r="AF1453" s="4">
        <v>0</v>
      </c>
      <c r="AG1453" s="4">
        <v>1</v>
      </c>
      <c r="AH1453" s="4">
        <v>16</v>
      </c>
      <c r="AI1453" s="4">
        <v>20</v>
      </c>
      <c r="AJ1453" s="4">
        <v>6</v>
      </c>
      <c r="AK1453" s="4">
        <v>9</v>
      </c>
      <c r="AL1453" s="4">
        <v>10</v>
      </c>
      <c r="AM1453" s="4">
        <v>13</v>
      </c>
      <c r="AN1453" s="4">
        <v>0</v>
      </c>
      <c r="AO1453" s="4">
        <v>0</v>
      </c>
      <c r="AP1453" s="4">
        <v>6</v>
      </c>
      <c r="AQ1453" s="4">
        <v>9</v>
      </c>
      <c r="AR1453" s="3" t="s">
        <v>64</v>
      </c>
      <c r="AS1453" s="3" t="s">
        <v>64</v>
      </c>
      <c r="AT1453" s="3" t="s">
        <v>64</v>
      </c>
      <c r="AV1453" s="6" t="str">
        <f>HYPERLINK("http://mcgill.on.worldcat.org/oclc/754712691","Catalog Record")</f>
        <v>Catalog Record</v>
      </c>
      <c r="AW1453" s="6" t="str">
        <f>HYPERLINK("http://www.worldcat.org/oclc/754712691","WorldCat Record")</f>
        <v>WorldCat Record</v>
      </c>
      <c r="AX1453" s="3" t="s">
        <v>14707</v>
      </c>
      <c r="AY1453" s="3" t="s">
        <v>14708</v>
      </c>
      <c r="AZ1453" s="3" t="s">
        <v>14709</v>
      </c>
      <c r="BA1453" s="3" t="s">
        <v>14709</v>
      </c>
      <c r="BB1453" s="3" t="s">
        <v>14710</v>
      </c>
      <c r="BC1453" s="3" t="s">
        <v>77</v>
      </c>
      <c r="BD1453" s="3" t="s">
        <v>78</v>
      </c>
      <c r="BE1453" s="3" t="s">
        <v>14711</v>
      </c>
      <c r="BF1453" s="3" t="s">
        <v>14710</v>
      </c>
      <c r="BG1453" s="3" t="s">
        <v>14712</v>
      </c>
      <c r="BH1453">
        <f t="shared" si="42"/>
        <v>0</v>
      </c>
    </row>
    <row r="1454" spans="1:60" ht="58" x14ac:dyDescent="0.35">
      <c r="A1454" s="2" t="s">
        <v>59</v>
      </c>
      <c r="B1454" s="2" t="s">
        <v>60</v>
      </c>
      <c r="C1454" s="2" t="s">
        <v>14713</v>
      </c>
      <c r="D1454" s="2" t="s">
        <v>14714</v>
      </c>
      <c r="E1454" s="2" t="s">
        <v>14715</v>
      </c>
      <c r="G1454" s="3" t="s">
        <v>64</v>
      </c>
      <c r="I1454" s="3" t="s">
        <v>64</v>
      </c>
      <c r="J1454" s="3" t="s">
        <v>64</v>
      </c>
      <c r="K1454" s="3" t="s">
        <v>65</v>
      </c>
      <c r="M1454" s="2" t="s">
        <v>14716</v>
      </c>
      <c r="N1454" s="3" t="s">
        <v>144</v>
      </c>
      <c r="P1454" s="3" t="s">
        <v>102</v>
      </c>
      <c r="R1454" s="3" t="s">
        <v>70</v>
      </c>
      <c r="S1454" s="4">
        <v>8</v>
      </c>
      <c r="T1454" s="4">
        <v>8</v>
      </c>
      <c r="U1454" s="5" t="s">
        <v>14717</v>
      </c>
      <c r="V1454" s="5" t="s">
        <v>14717</v>
      </c>
      <c r="W1454" s="5" t="s">
        <v>72</v>
      </c>
      <c r="X1454" s="5" t="s">
        <v>72</v>
      </c>
      <c r="Y1454" s="4">
        <v>136</v>
      </c>
      <c r="Z1454" s="4">
        <v>13</v>
      </c>
      <c r="AA1454" s="4">
        <v>18</v>
      </c>
      <c r="AB1454" s="4">
        <v>1</v>
      </c>
      <c r="AC1454" s="4">
        <v>5</v>
      </c>
      <c r="AD1454" s="4">
        <v>50</v>
      </c>
      <c r="AE1454" s="4">
        <v>55</v>
      </c>
      <c r="AF1454" s="4">
        <v>0</v>
      </c>
      <c r="AG1454" s="4">
        <v>1</v>
      </c>
      <c r="AH1454" s="4">
        <v>46</v>
      </c>
      <c r="AI1454" s="4">
        <v>51</v>
      </c>
      <c r="AJ1454" s="4">
        <v>6</v>
      </c>
      <c r="AK1454" s="4">
        <v>8</v>
      </c>
      <c r="AL1454" s="4">
        <v>30</v>
      </c>
      <c r="AM1454" s="4">
        <v>32</v>
      </c>
      <c r="AN1454" s="4">
        <v>0</v>
      </c>
      <c r="AO1454" s="4">
        <v>0</v>
      </c>
      <c r="AP1454" s="4">
        <v>8</v>
      </c>
      <c r="AQ1454" s="4">
        <v>10</v>
      </c>
      <c r="AR1454" s="3" t="s">
        <v>64</v>
      </c>
      <c r="AS1454" s="3" t="s">
        <v>64</v>
      </c>
      <c r="AT1454" s="3" t="s">
        <v>64</v>
      </c>
      <c r="AV1454" s="6" t="str">
        <f>HYPERLINK("http://mcgill.on.worldcat.org/oclc/145379605","Catalog Record")</f>
        <v>Catalog Record</v>
      </c>
      <c r="AW1454" s="6" t="str">
        <f>HYPERLINK("http://www.worldcat.org/oclc/145379605","WorldCat Record")</f>
        <v>WorldCat Record</v>
      </c>
      <c r="AX1454" s="3" t="s">
        <v>14718</v>
      </c>
      <c r="AY1454" s="3" t="s">
        <v>14719</v>
      </c>
      <c r="AZ1454" s="3" t="s">
        <v>14720</v>
      </c>
      <c r="BA1454" s="3" t="s">
        <v>14720</v>
      </c>
      <c r="BB1454" s="3" t="s">
        <v>14721</v>
      </c>
      <c r="BC1454" s="3" t="s">
        <v>77</v>
      </c>
      <c r="BD1454" s="3" t="s">
        <v>78</v>
      </c>
      <c r="BE1454" s="3" t="s">
        <v>14722</v>
      </c>
      <c r="BF1454" s="3" t="s">
        <v>14721</v>
      </c>
      <c r="BG1454" s="3" t="s">
        <v>14723</v>
      </c>
      <c r="BH1454">
        <f t="shared" si="42"/>
        <v>0</v>
      </c>
    </row>
    <row r="1455" spans="1:60" ht="58" x14ac:dyDescent="0.35">
      <c r="A1455" s="2" t="s">
        <v>59</v>
      </c>
      <c r="B1455" s="2" t="s">
        <v>60</v>
      </c>
      <c r="C1455" s="2" t="s">
        <v>14724</v>
      </c>
      <c r="D1455" s="2" t="s">
        <v>14725</v>
      </c>
      <c r="E1455" s="2" t="s">
        <v>14726</v>
      </c>
      <c r="G1455" s="3" t="s">
        <v>64</v>
      </c>
      <c r="I1455" s="3" t="s">
        <v>64</v>
      </c>
      <c r="J1455" s="3" t="s">
        <v>64</v>
      </c>
      <c r="K1455" s="3" t="s">
        <v>65</v>
      </c>
      <c r="M1455" s="2" t="s">
        <v>14684</v>
      </c>
      <c r="N1455" s="3" t="s">
        <v>86</v>
      </c>
      <c r="O1455" s="2" t="s">
        <v>2149</v>
      </c>
      <c r="P1455" s="3" t="s">
        <v>102</v>
      </c>
      <c r="Q1455" s="2" t="s">
        <v>14727</v>
      </c>
      <c r="R1455" s="3" t="s">
        <v>70</v>
      </c>
      <c r="S1455" s="4">
        <v>1</v>
      </c>
      <c r="T1455" s="4">
        <v>1</v>
      </c>
      <c r="U1455" s="5" t="s">
        <v>14728</v>
      </c>
      <c r="V1455" s="5" t="s">
        <v>14728</v>
      </c>
      <c r="W1455" s="5" t="s">
        <v>72</v>
      </c>
      <c r="X1455" s="5" t="s">
        <v>72</v>
      </c>
      <c r="Y1455" s="4">
        <v>55</v>
      </c>
      <c r="Z1455" s="4">
        <v>2</v>
      </c>
      <c r="AA1455" s="4">
        <v>72</v>
      </c>
      <c r="AB1455" s="4">
        <v>1</v>
      </c>
      <c r="AC1455" s="4">
        <v>14</v>
      </c>
      <c r="AD1455" s="4">
        <v>13</v>
      </c>
      <c r="AE1455" s="4">
        <v>81</v>
      </c>
      <c r="AF1455" s="4">
        <v>0</v>
      </c>
      <c r="AG1455" s="4">
        <v>8</v>
      </c>
      <c r="AH1455" s="4">
        <v>12</v>
      </c>
      <c r="AI1455" s="4">
        <v>50</v>
      </c>
      <c r="AJ1455" s="4">
        <v>1</v>
      </c>
      <c r="AK1455" s="4">
        <v>15</v>
      </c>
      <c r="AL1455" s="4">
        <v>8</v>
      </c>
      <c r="AM1455" s="4">
        <v>25</v>
      </c>
      <c r="AN1455" s="4">
        <v>0</v>
      </c>
      <c r="AO1455" s="4">
        <v>0</v>
      </c>
      <c r="AP1455" s="4">
        <v>1</v>
      </c>
      <c r="AQ1455" s="4">
        <v>36</v>
      </c>
      <c r="AR1455" s="3" t="s">
        <v>64</v>
      </c>
      <c r="AS1455" s="3" t="s">
        <v>64</v>
      </c>
      <c r="AT1455" s="3" t="s">
        <v>64</v>
      </c>
      <c r="AV1455" s="6" t="str">
        <f>HYPERLINK("http://mcgill.on.worldcat.org/oclc/779877498","Catalog Record")</f>
        <v>Catalog Record</v>
      </c>
      <c r="AW1455" s="6" t="str">
        <f>HYPERLINK("http://www.worldcat.org/oclc/779877498","WorldCat Record")</f>
        <v>WorldCat Record</v>
      </c>
      <c r="AX1455" s="3" t="s">
        <v>14729</v>
      </c>
      <c r="AY1455" s="3" t="s">
        <v>14730</v>
      </c>
      <c r="AZ1455" s="3" t="s">
        <v>14731</v>
      </c>
      <c r="BA1455" s="3" t="s">
        <v>14731</v>
      </c>
      <c r="BB1455" s="3" t="s">
        <v>14732</v>
      </c>
      <c r="BC1455" s="3" t="s">
        <v>77</v>
      </c>
      <c r="BD1455" s="3" t="s">
        <v>78</v>
      </c>
      <c r="BE1455" s="3" t="s">
        <v>14733</v>
      </c>
      <c r="BF1455" s="3" t="s">
        <v>14732</v>
      </c>
      <c r="BG1455" s="3" t="s">
        <v>14734</v>
      </c>
      <c r="BH1455">
        <f t="shared" si="42"/>
        <v>0</v>
      </c>
    </row>
    <row r="1456" spans="1:60" ht="58" x14ac:dyDescent="0.35">
      <c r="A1456" s="2" t="s">
        <v>59</v>
      </c>
      <c r="B1456" s="2" t="s">
        <v>60</v>
      </c>
      <c r="C1456" s="2" t="s">
        <v>14735</v>
      </c>
      <c r="D1456" s="2" t="s">
        <v>14736</v>
      </c>
      <c r="E1456" s="2" t="s">
        <v>14737</v>
      </c>
      <c r="G1456" s="3" t="s">
        <v>64</v>
      </c>
      <c r="I1456" s="3" t="s">
        <v>64</v>
      </c>
      <c r="J1456" s="3" t="s">
        <v>64</v>
      </c>
      <c r="K1456" s="3" t="s">
        <v>65</v>
      </c>
      <c r="L1456" s="2" t="s">
        <v>14738</v>
      </c>
      <c r="M1456" s="2" t="s">
        <v>14739</v>
      </c>
      <c r="N1456" s="3" t="s">
        <v>551</v>
      </c>
      <c r="P1456" s="3" t="s">
        <v>68</v>
      </c>
      <c r="R1456" s="3" t="s">
        <v>70</v>
      </c>
      <c r="S1456" s="4">
        <v>2</v>
      </c>
      <c r="T1456" s="4">
        <v>2</v>
      </c>
      <c r="U1456" s="5" t="s">
        <v>14740</v>
      </c>
      <c r="V1456" s="5" t="s">
        <v>14740</v>
      </c>
      <c r="W1456" s="5" t="s">
        <v>72</v>
      </c>
      <c r="X1456" s="5" t="s">
        <v>72</v>
      </c>
      <c r="Y1456" s="4">
        <v>16</v>
      </c>
      <c r="Z1456" s="4">
        <v>15</v>
      </c>
      <c r="AA1456" s="4">
        <v>19</v>
      </c>
      <c r="AB1456" s="4">
        <v>11</v>
      </c>
      <c r="AC1456" s="4">
        <v>13</v>
      </c>
      <c r="AD1456" s="4">
        <v>11</v>
      </c>
      <c r="AE1456" s="4">
        <v>15</v>
      </c>
      <c r="AF1456" s="4">
        <v>7</v>
      </c>
      <c r="AG1456" s="4">
        <v>7</v>
      </c>
      <c r="AH1456" s="4">
        <v>4</v>
      </c>
      <c r="AI1456" s="4">
        <v>8</v>
      </c>
      <c r="AJ1456" s="4">
        <v>9</v>
      </c>
      <c r="AK1456" s="4">
        <v>11</v>
      </c>
      <c r="AL1456" s="4">
        <v>0</v>
      </c>
      <c r="AM1456" s="4">
        <v>1</v>
      </c>
      <c r="AN1456" s="4">
        <v>0</v>
      </c>
      <c r="AO1456" s="4">
        <v>0</v>
      </c>
      <c r="AP1456" s="4">
        <v>9</v>
      </c>
      <c r="AQ1456" s="4">
        <v>11</v>
      </c>
      <c r="AR1456" s="3" t="s">
        <v>128</v>
      </c>
      <c r="AS1456" s="3" t="s">
        <v>64</v>
      </c>
      <c r="AT1456" s="3" t="s">
        <v>64</v>
      </c>
      <c r="AV1456" s="6" t="str">
        <f>HYPERLINK("http://mcgill.on.worldcat.org/oclc/429478551","Catalog Record")</f>
        <v>Catalog Record</v>
      </c>
      <c r="AW1456" s="6" t="str">
        <f>HYPERLINK("http://www.worldcat.org/oclc/429478551","WorldCat Record")</f>
        <v>WorldCat Record</v>
      </c>
      <c r="AX1456" s="3" t="s">
        <v>14741</v>
      </c>
      <c r="AY1456" s="3" t="s">
        <v>14742</v>
      </c>
      <c r="AZ1456" s="3" t="s">
        <v>14743</v>
      </c>
      <c r="BA1456" s="3" t="s">
        <v>14743</v>
      </c>
      <c r="BB1456" s="3" t="s">
        <v>14744</v>
      </c>
      <c r="BC1456" s="3" t="s">
        <v>77</v>
      </c>
      <c r="BD1456" s="3" t="s">
        <v>78</v>
      </c>
      <c r="BE1456" s="3" t="s">
        <v>14745</v>
      </c>
      <c r="BF1456" s="3" t="s">
        <v>14744</v>
      </c>
      <c r="BG1456" s="3" t="s">
        <v>14746</v>
      </c>
      <c r="BH1456">
        <f t="shared" si="42"/>
        <v>0</v>
      </c>
    </row>
    <row r="1457" spans="1:60" ht="58" x14ac:dyDescent="0.35">
      <c r="A1457" s="2" t="s">
        <v>59</v>
      </c>
      <c r="B1457" s="2" t="s">
        <v>60</v>
      </c>
      <c r="C1457" s="2" t="s">
        <v>14747</v>
      </c>
      <c r="D1457" s="2" t="s">
        <v>14748</v>
      </c>
      <c r="E1457" s="2" t="s">
        <v>14749</v>
      </c>
      <c r="G1457" s="3" t="s">
        <v>64</v>
      </c>
      <c r="I1457" s="3" t="s">
        <v>64</v>
      </c>
      <c r="J1457" s="3" t="s">
        <v>64</v>
      </c>
      <c r="K1457" s="3" t="s">
        <v>65</v>
      </c>
      <c r="L1457" s="2" t="s">
        <v>14750</v>
      </c>
      <c r="M1457" s="2" t="s">
        <v>14751</v>
      </c>
      <c r="N1457" s="3" t="s">
        <v>291</v>
      </c>
      <c r="P1457" s="3" t="s">
        <v>102</v>
      </c>
      <c r="R1457" s="3" t="s">
        <v>70</v>
      </c>
      <c r="S1457" s="4">
        <v>7</v>
      </c>
      <c r="T1457" s="4">
        <v>7</v>
      </c>
      <c r="U1457" s="5" t="s">
        <v>2091</v>
      </c>
      <c r="V1457" s="5" t="s">
        <v>2091</v>
      </c>
      <c r="W1457" s="5" t="s">
        <v>72</v>
      </c>
      <c r="X1457" s="5" t="s">
        <v>72</v>
      </c>
      <c r="Y1457" s="4">
        <v>267</v>
      </c>
      <c r="Z1457" s="4">
        <v>13</v>
      </c>
      <c r="AA1457" s="4">
        <v>16</v>
      </c>
      <c r="AB1457" s="4">
        <v>2</v>
      </c>
      <c r="AC1457" s="4">
        <v>5</v>
      </c>
      <c r="AD1457" s="4">
        <v>69</v>
      </c>
      <c r="AE1457" s="4">
        <v>72</v>
      </c>
      <c r="AF1457" s="4">
        <v>1</v>
      </c>
      <c r="AG1457" s="4">
        <v>2</v>
      </c>
      <c r="AH1457" s="4">
        <v>64</v>
      </c>
      <c r="AI1457" s="4">
        <v>66</v>
      </c>
      <c r="AJ1457" s="4">
        <v>10</v>
      </c>
      <c r="AK1457" s="4">
        <v>11</v>
      </c>
      <c r="AL1457" s="4">
        <v>37</v>
      </c>
      <c r="AM1457" s="4">
        <v>38</v>
      </c>
      <c r="AN1457" s="4">
        <v>5</v>
      </c>
      <c r="AO1457" s="4">
        <v>5</v>
      </c>
      <c r="AP1457" s="4">
        <v>10</v>
      </c>
      <c r="AQ1457" s="4">
        <v>10</v>
      </c>
      <c r="AR1457" s="3" t="s">
        <v>64</v>
      </c>
      <c r="AS1457" s="3" t="s">
        <v>64</v>
      </c>
      <c r="AT1457" s="3" t="s">
        <v>128</v>
      </c>
      <c r="AU1457" s="6" t="str">
        <f>HYPERLINK("http://catalog.hathitrust.org/Record/102053872","HathiTrust Record")</f>
        <v>HathiTrust Record</v>
      </c>
      <c r="AV1457" s="6" t="str">
        <f>HYPERLINK("http://mcgill.on.worldcat.org/oclc/74029187","Catalog Record")</f>
        <v>Catalog Record</v>
      </c>
      <c r="AW1457" s="6" t="str">
        <f>HYPERLINK("http://www.worldcat.org/oclc/74029187","WorldCat Record")</f>
        <v>WorldCat Record</v>
      </c>
      <c r="AX1457" s="3" t="s">
        <v>14752</v>
      </c>
      <c r="AY1457" s="3" t="s">
        <v>14753</v>
      </c>
      <c r="AZ1457" s="3" t="s">
        <v>14754</v>
      </c>
      <c r="BA1457" s="3" t="s">
        <v>14754</v>
      </c>
      <c r="BB1457" s="3" t="s">
        <v>14755</v>
      </c>
      <c r="BC1457" s="3" t="s">
        <v>77</v>
      </c>
      <c r="BD1457" s="3" t="s">
        <v>78</v>
      </c>
      <c r="BE1457" s="3" t="s">
        <v>14756</v>
      </c>
      <c r="BF1457" s="3" t="s">
        <v>14755</v>
      </c>
      <c r="BG1457" s="3" t="s">
        <v>14757</v>
      </c>
      <c r="BH1457">
        <f t="shared" si="42"/>
        <v>0</v>
      </c>
    </row>
    <row r="1458" spans="1:60" ht="58" x14ac:dyDescent="0.35">
      <c r="A1458" s="2" t="s">
        <v>59</v>
      </c>
      <c r="B1458" s="2" t="s">
        <v>60</v>
      </c>
      <c r="C1458" s="2" t="s">
        <v>14758</v>
      </c>
      <c r="D1458" s="2" t="s">
        <v>14759</v>
      </c>
      <c r="E1458" s="2" t="s">
        <v>14760</v>
      </c>
      <c r="G1458" s="3" t="s">
        <v>64</v>
      </c>
      <c r="I1458" s="3" t="s">
        <v>64</v>
      </c>
      <c r="J1458" s="3" t="s">
        <v>64</v>
      </c>
      <c r="K1458" s="3" t="s">
        <v>65</v>
      </c>
      <c r="M1458" s="2" t="s">
        <v>14761</v>
      </c>
      <c r="N1458" s="3" t="s">
        <v>326</v>
      </c>
      <c r="O1458" s="2" t="s">
        <v>2149</v>
      </c>
      <c r="P1458" s="3" t="s">
        <v>102</v>
      </c>
      <c r="R1458" s="3" t="s">
        <v>70</v>
      </c>
      <c r="S1458" s="4">
        <v>0</v>
      </c>
      <c r="T1458" s="4">
        <v>0</v>
      </c>
      <c r="W1458" s="5" t="s">
        <v>72</v>
      </c>
      <c r="X1458" s="5" t="s">
        <v>72</v>
      </c>
      <c r="Y1458" s="4">
        <v>175</v>
      </c>
      <c r="Z1458" s="4">
        <v>11</v>
      </c>
      <c r="AA1458" s="4">
        <v>86</v>
      </c>
      <c r="AB1458" s="4">
        <v>1</v>
      </c>
      <c r="AC1458" s="4">
        <v>17</v>
      </c>
      <c r="AD1458" s="4">
        <v>45</v>
      </c>
      <c r="AE1458" s="4">
        <v>115</v>
      </c>
      <c r="AF1458" s="4">
        <v>0</v>
      </c>
      <c r="AG1458" s="4">
        <v>8</v>
      </c>
      <c r="AH1458" s="4">
        <v>42</v>
      </c>
      <c r="AI1458" s="4">
        <v>81</v>
      </c>
      <c r="AJ1458" s="4">
        <v>7</v>
      </c>
      <c r="AK1458" s="4">
        <v>20</v>
      </c>
      <c r="AL1458" s="4">
        <v>24</v>
      </c>
      <c r="AM1458" s="4">
        <v>42</v>
      </c>
      <c r="AN1458" s="4">
        <v>0</v>
      </c>
      <c r="AO1458" s="4">
        <v>0</v>
      </c>
      <c r="AP1458" s="4">
        <v>9</v>
      </c>
      <c r="AQ1458" s="4">
        <v>41</v>
      </c>
      <c r="AR1458" s="3" t="s">
        <v>64</v>
      </c>
      <c r="AS1458" s="3" t="s">
        <v>64</v>
      </c>
      <c r="AT1458" s="3" t="s">
        <v>64</v>
      </c>
      <c r="AV1458" s="6" t="str">
        <f>HYPERLINK("http://mcgill.on.worldcat.org/oclc/609538393","Catalog Record")</f>
        <v>Catalog Record</v>
      </c>
      <c r="AW1458" s="6" t="str">
        <f>HYPERLINK("http://www.worldcat.org/oclc/609538393","WorldCat Record")</f>
        <v>WorldCat Record</v>
      </c>
      <c r="AX1458" s="3" t="s">
        <v>14762</v>
      </c>
      <c r="AY1458" s="3" t="s">
        <v>14763</v>
      </c>
      <c r="AZ1458" s="3" t="s">
        <v>14764</v>
      </c>
      <c r="BA1458" s="3" t="s">
        <v>14764</v>
      </c>
      <c r="BB1458" s="3" t="s">
        <v>14765</v>
      </c>
      <c r="BC1458" s="3" t="s">
        <v>77</v>
      </c>
      <c r="BD1458" s="3" t="s">
        <v>78</v>
      </c>
      <c r="BE1458" s="3" t="s">
        <v>14766</v>
      </c>
      <c r="BF1458" s="3" t="s">
        <v>14765</v>
      </c>
      <c r="BG1458" s="3" t="s">
        <v>14767</v>
      </c>
      <c r="BH1458">
        <f t="shared" si="42"/>
        <v>0</v>
      </c>
    </row>
    <row r="1459" spans="1:60" ht="58" x14ac:dyDescent="0.35">
      <c r="A1459" s="2" t="s">
        <v>59</v>
      </c>
      <c r="B1459" s="2" t="s">
        <v>60</v>
      </c>
      <c r="C1459" s="2" t="s">
        <v>14768</v>
      </c>
      <c r="D1459" s="2" t="s">
        <v>14769</v>
      </c>
      <c r="E1459" s="2" t="s">
        <v>14770</v>
      </c>
      <c r="G1459" s="3" t="s">
        <v>64</v>
      </c>
      <c r="I1459" s="3" t="s">
        <v>64</v>
      </c>
      <c r="J1459" s="3" t="s">
        <v>64</v>
      </c>
      <c r="K1459" s="3" t="s">
        <v>65</v>
      </c>
      <c r="L1459" s="2" t="s">
        <v>14771</v>
      </c>
      <c r="M1459" s="2" t="s">
        <v>14772</v>
      </c>
      <c r="N1459" s="3" t="s">
        <v>1087</v>
      </c>
      <c r="P1459" s="3" t="s">
        <v>102</v>
      </c>
      <c r="R1459" s="3" t="s">
        <v>70</v>
      </c>
      <c r="S1459" s="4">
        <v>11</v>
      </c>
      <c r="T1459" s="4">
        <v>11</v>
      </c>
      <c r="U1459" s="5" t="s">
        <v>1846</v>
      </c>
      <c r="V1459" s="5" t="s">
        <v>1846</v>
      </c>
      <c r="W1459" s="5" t="s">
        <v>72</v>
      </c>
      <c r="X1459" s="5" t="s">
        <v>72</v>
      </c>
      <c r="Y1459" s="4">
        <v>656</v>
      </c>
      <c r="Z1459" s="4">
        <v>20</v>
      </c>
      <c r="AA1459" s="4">
        <v>24</v>
      </c>
      <c r="AB1459" s="4">
        <v>2</v>
      </c>
      <c r="AC1459" s="4">
        <v>3</v>
      </c>
      <c r="AD1459" s="4">
        <v>93</v>
      </c>
      <c r="AE1459" s="4">
        <v>96</v>
      </c>
      <c r="AF1459" s="4">
        <v>1</v>
      </c>
      <c r="AG1459" s="4">
        <v>2</v>
      </c>
      <c r="AH1459" s="4">
        <v>83</v>
      </c>
      <c r="AI1459" s="4">
        <v>84</v>
      </c>
      <c r="AJ1459" s="4">
        <v>11</v>
      </c>
      <c r="AK1459" s="4">
        <v>13</v>
      </c>
      <c r="AL1459" s="4">
        <v>48</v>
      </c>
      <c r="AM1459" s="4">
        <v>48</v>
      </c>
      <c r="AN1459" s="4">
        <v>0</v>
      </c>
      <c r="AO1459" s="4">
        <v>0</v>
      </c>
      <c r="AP1459" s="4">
        <v>12</v>
      </c>
      <c r="AQ1459" s="4">
        <v>14</v>
      </c>
      <c r="AR1459" s="3" t="s">
        <v>64</v>
      </c>
      <c r="AS1459" s="3" t="s">
        <v>64</v>
      </c>
      <c r="AT1459" s="3" t="s">
        <v>64</v>
      </c>
      <c r="AV1459" s="6" t="str">
        <f>HYPERLINK("http://mcgill.on.worldcat.org/oclc/23651404","Catalog Record")</f>
        <v>Catalog Record</v>
      </c>
      <c r="AW1459" s="6" t="str">
        <f>HYPERLINK("http://www.worldcat.org/oclc/23651404","WorldCat Record")</f>
        <v>WorldCat Record</v>
      </c>
      <c r="AX1459" s="3" t="s">
        <v>14773</v>
      </c>
      <c r="AY1459" s="3" t="s">
        <v>14774</v>
      </c>
      <c r="AZ1459" s="3" t="s">
        <v>14775</v>
      </c>
      <c r="BA1459" s="3" t="s">
        <v>14775</v>
      </c>
      <c r="BB1459" s="3" t="s">
        <v>14776</v>
      </c>
      <c r="BC1459" s="3" t="s">
        <v>77</v>
      </c>
      <c r="BD1459" s="3" t="s">
        <v>78</v>
      </c>
      <c r="BE1459" s="3" t="s">
        <v>14777</v>
      </c>
      <c r="BF1459" s="3" t="s">
        <v>14776</v>
      </c>
      <c r="BG1459" s="3" t="s">
        <v>14778</v>
      </c>
      <c r="BH1459">
        <f t="shared" si="42"/>
        <v>0</v>
      </c>
    </row>
    <row r="1460" spans="1:60" ht="58" x14ac:dyDescent="0.35">
      <c r="A1460" s="2" t="s">
        <v>59</v>
      </c>
      <c r="B1460" s="2" t="s">
        <v>60</v>
      </c>
      <c r="C1460" s="2" t="s">
        <v>14779</v>
      </c>
      <c r="D1460" s="2" t="s">
        <v>14780</v>
      </c>
      <c r="E1460" s="2" t="s">
        <v>14781</v>
      </c>
      <c r="G1460" s="3" t="s">
        <v>64</v>
      </c>
      <c r="I1460" s="3" t="s">
        <v>64</v>
      </c>
      <c r="J1460" s="3" t="s">
        <v>64</v>
      </c>
      <c r="K1460" s="3" t="s">
        <v>65</v>
      </c>
      <c r="L1460" s="2" t="s">
        <v>14771</v>
      </c>
      <c r="M1460" s="2" t="s">
        <v>14782</v>
      </c>
      <c r="N1460" s="3" t="s">
        <v>979</v>
      </c>
      <c r="P1460" s="3" t="s">
        <v>102</v>
      </c>
      <c r="R1460" s="3" t="s">
        <v>70</v>
      </c>
      <c r="S1460" s="4">
        <v>19</v>
      </c>
      <c r="T1460" s="4">
        <v>19</v>
      </c>
      <c r="U1460" s="5" t="s">
        <v>2091</v>
      </c>
      <c r="V1460" s="5" t="s">
        <v>2091</v>
      </c>
      <c r="W1460" s="5" t="s">
        <v>72</v>
      </c>
      <c r="X1460" s="5" t="s">
        <v>72</v>
      </c>
      <c r="Y1460" s="4">
        <v>608</v>
      </c>
      <c r="Z1460" s="4">
        <v>18</v>
      </c>
      <c r="AA1460" s="4">
        <v>24</v>
      </c>
      <c r="AB1460" s="4">
        <v>1</v>
      </c>
      <c r="AC1460" s="4">
        <v>2</v>
      </c>
      <c r="AD1460" s="4">
        <v>82</v>
      </c>
      <c r="AE1460" s="4">
        <v>92</v>
      </c>
      <c r="AF1460" s="4">
        <v>0</v>
      </c>
      <c r="AG1460" s="4">
        <v>1</v>
      </c>
      <c r="AH1460" s="4">
        <v>77</v>
      </c>
      <c r="AI1460" s="4">
        <v>84</v>
      </c>
      <c r="AJ1460" s="4">
        <v>5</v>
      </c>
      <c r="AK1460" s="4">
        <v>11</v>
      </c>
      <c r="AL1460" s="4">
        <v>43</v>
      </c>
      <c r="AM1460" s="4">
        <v>43</v>
      </c>
      <c r="AN1460" s="4">
        <v>0</v>
      </c>
      <c r="AO1460" s="4">
        <v>0</v>
      </c>
      <c r="AP1460" s="4">
        <v>6</v>
      </c>
      <c r="AQ1460" s="4">
        <v>11</v>
      </c>
      <c r="AR1460" s="3" t="s">
        <v>64</v>
      </c>
      <c r="AS1460" s="3" t="s">
        <v>64</v>
      </c>
      <c r="AT1460" s="3" t="s">
        <v>128</v>
      </c>
      <c r="AU1460" s="6" t="str">
        <f>HYPERLINK("http://catalog.hathitrust.org/Record/004167246","HathiTrust Record")</f>
        <v>HathiTrust Record</v>
      </c>
      <c r="AV1460" s="6" t="str">
        <f>HYPERLINK("http://mcgill.on.worldcat.org/oclc/43114342","Catalog Record")</f>
        <v>Catalog Record</v>
      </c>
      <c r="AW1460" s="6" t="str">
        <f>HYPERLINK("http://www.worldcat.org/oclc/43114342","WorldCat Record")</f>
        <v>WorldCat Record</v>
      </c>
      <c r="AX1460" s="3" t="s">
        <v>14783</v>
      </c>
      <c r="AY1460" s="3" t="s">
        <v>14784</v>
      </c>
      <c r="AZ1460" s="3" t="s">
        <v>14785</v>
      </c>
      <c r="BA1460" s="3" t="s">
        <v>14785</v>
      </c>
      <c r="BB1460" s="3" t="s">
        <v>14786</v>
      </c>
      <c r="BC1460" s="3" t="s">
        <v>77</v>
      </c>
      <c r="BD1460" s="3" t="s">
        <v>78</v>
      </c>
      <c r="BE1460" s="3" t="s">
        <v>14787</v>
      </c>
      <c r="BF1460" s="3" t="s">
        <v>14786</v>
      </c>
      <c r="BG1460" s="3" t="s">
        <v>14788</v>
      </c>
      <c r="BH1460">
        <f t="shared" si="42"/>
        <v>0</v>
      </c>
    </row>
    <row r="1461" spans="1:60" ht="58" x14ac:dyDescent="0.35">
      <c r="A1461" s="2" t="s">
        <v>59</v>
      </c>
      <c r="B1461" s="2" t="s">
        <v>60</v>
      </c>
      <c r="C1461" s="2" t="s">
        <v>14789</v>
      </c>
      <c r="D1461" s="2" t="s">
        <v>14790</v>
      </c>
      <c r="E1461" s="2" t="s">
        <v>14791</v>
      </c>
      <c r="G1461" s="3" t="s">
        <v>64</v>
      </c>
      <c r="I1461" s="3" t="s">
        <v>64</v>
      </c>
      <c r="J1461" s="3" t="s">
        <v>128</v>
      </c>
      <c r="K1461" s="3" t="s">
        <v>65</v>
      </c>
      <c r="L1461" s="2" t="s">
        <v>14792</v>
      </c>
      <c r="M1461" s="2" t="s">
        <v>14793</v>
      </c>
      <c r="N1461" s="3" t="s">
        <v>1075</v>
      </c>
      <c r="P1461" s="3" t="s">
        <v>102</v>
      </c>
      <c r="R1461" s="3" t="s">
        <v>70</v>
      </c>
      <c r="S1461" s="4">
        <v>7</v>
      </c>
      <c r="T1461" s="4">
        <v>7</v>
      </c>
      <c r="U1461" s="5" t="s">
        <v>14794</v>
      </c>
      <c r="V1461" s="5" t="s">
        <v>14794</v>
      </c>
      <c r="W1461" s="5" t="s">
        <v>72</v>
      </c>
      <c r="X1461" s="5" t="s">
        <v>72</v>
      </c>
      <c r="Y1461" s="4">
        <v>242</v>
      </c>
      <c r="Z1461" s="4">
        <v>20</v>
      </c>
      <c r="AA1461" s="4">
        <v>37</v>
      </c>
      <c r="AB1461" s="4">
        <v>1</v>
      </c>
      <c r="AC1461" s="4">
        <v>5</v>
      </c>
      <c r="AD1461" s="4">
        <v>55</v>
      </c>
      <c r="AE1461" s="4">
        <v>76</v>
      </c>
      <c r="AF1461" s="4">
        <v>0</v>
      </c>
      <c r="AG1461" s="4">
        <v>1</v>
      </c>
      <c r="AH1461" s="4">
        <v>49</v>
      </c>
      <c r="AI1461" s="4">
        <v>66</v>
      </c>
      <c r="AJ1461" s="4">
        <v>8</v>
      </c>
      <c r="AK1461" s="4">
        <v>11</v>
      </c>
      <c r="AL1461" s="4">
        <v>25</v>
      </c>
      <c r="AM1461" s="4">
        <v>31</v>
      </c>
      <c r="AN1461" s="4">
        <v>0</v>
      </c>
      <c r="AO1461" s="4">
        <v>0</v>
      </c>
      <c r="AP1461" s="4">
        <v>10</v>
      </c>
      <c r="AQ1461" s="4">
        <v>15</v>
      </c>
      <c r="AR1461" s="3" t="s">
        <v>64</v>
      </c>
      <c r="AS1461" s="3" t="s">
        <v>64</v>
      </c>
      <c r="AT1461" s="3" t="s">
        <v>64</v>
      </c>
      <c r="AV1461" s="6" t="str">
        <f>HYPERLINK("http://mcgill.on.worldcat.org/oclc/837923609","Catalog Record")</f>
        <v>Catalog Record</v>
      </c>
      <c r="AW1461" s="6" t="str">
        <f>HYPERLINK("http://www.worldcat.org/oclc/837923609","WorldCat Record")</f>
        <v>WorldCat Record</v>
      </c>
      <c r="AX1461" s="3" t="s">
        <v>14795</v>
      </c>
      <c r="AY1461" s="3" t="s">
        <v>14796</v>
      </c>
      <c r="AZ1461" s="3" t="s">
        <v>14797</v>
      </c>
      <c r="BA1461" s="3" t="s">
        <v>14797</v>
      </c>
      <c r="BB1461" s="3" t="s">
        <v>14798</v>
      </c>
      <c r="BC1461" s="3" t="s">
        <v>77</v>
      </c>
      <c r="BD1461" s="3" t="s">
        <v>78</v>
      </c>
      <c r="BE1461" s="3" t="s">
        <v>14799</v>
      </c>
      <c r="BF1461" s="3" t="s">
        <v>14798</v>
      </c>
      <c r="BG1461" s="3" t="s">
        <v>14800</v>
      </c>
      <c r="BH1461">
        <f t="shared" si="42"/>
        <v>0</v>
      </c>
    </row>
    <row r="1462" spans="1:60" ht="58" x14ac:dyDescent="0.35">
      <c r="A1462" s="2" t="s">
        <v>59</v>
      </c>
      <c r="B1462" s="2" t="s">
        <v>60</v>
      </c>
      <c r="C1462" s="2" t="s">
        <v>14801</v>
      </c>
      <c r="D1462" s="2" t="s">
        <v>14802</v>
      </c>
      <c r="E1462" s="2" t="s">
        <v>14803</v>
      </c>
      <c r="G1462" s="3" t="s">
        <v>64</v>
      </c>
      <c r="I1462" s="3" t="s">
        <v>128</v>
      </c>
      <c r="J1462" s="3" t="s">
        <v>128</v>
      </c>
      <c r="K1462" s="3" t="s">
        <v>65</v>
      </c>
      <c r="L1462" s="2" t="s">
        <v>14804</v>
      </c>
      <c r="M1462" s="2" t="s">
        <v>14805</v>
      </c>
      <c r="N1462" s="3" t="s">
        <v>153</v>
      </c>
      <c r="P1462" s="3" t="s">
        <v>102</v>
      </c>
      <c r="R1462" s="3" t="s">
        <v>70</v>
      </c>
      <c r="S1462" s="4">
        <v>91</v>
      </c>
      <c r="T1462" s="4">
        <v>162</v>
      </c>
      <c r="U1462" s="5" t="s">
        <v>14431</v>
      </c>
      <c r="V1462" s="5" t="s">
        <v>14431</v>
      </c>
      <c r="W1462" s="5" t="s">
        <v>72</v>
      </c>
      <c r="X1462" s="5" t="s">
        <v>72</v>
      </c>
      <c r="Y1462" s="4">
        <v>220</v>
      </c>
      <c r="Z1462" s="4">
        <v>10</v>
      </c>
      <c r="AA1462" s="4">
        <v>93</v>
      </c>
      <c r="AB1462" s="4">
        <v>2</v>
      </c>
      <c r="AC1462" s="4">
        <v>17</v>
      </c>
      <c r="AD1462" s="4">
        <v>51</v>
      </c>
      <c r="AE1462" s="4">
        <v>130</v>
      </c>
      <c r="AF1462" s="4">
        <v>1</v>
      </c>
      <c r="AG1462" s="4">
        <v>8</v>
      </c>
      <c r="AH1462" s="4">
        <v>49</v>
      </c>
      <c r="AI1462" s="4">
        <v>97</v>
      </c>
      <c r="AJ1462" s="4">
        <v>6</v>
      </c>
      <c r="AK1462" s="4">
        <v>20</v>
      </c>
      <c r="AL1462" s="4">
        <v>26</v>
      </c>
      <c r="AM1462" s="4">
        <v>46</v>
      </c>
      <c r="AN1462" s="4">
        <v>0</v>
      </c>
      <c r="AO1462" s="4">
        <v>0</v>
      </c>
      <c r="AP1462" s="4">
        <v>6</v>
      </c>
      <c r="AQ1462" s="4">
        <v>40</v>
      </c>
      <c r="AR1462" s="3" t="s">
        <v>64</v>
      </c>
      <c r="AS1462" s="3" t="s">
        <v>64</v>
      </c>
      <c r="AT1462" s="3" t="s">
        <v>128</v>
      </c>
      <c r="AU1462" s="6" t="str">
        <f>HYPERLINK("http://catalog.hathitrust.org/Record/003983518","HathiTrust Record")</f>
        <v>HathiTrust Record</v>
      </c>
      <c r="AV1462" s="6" t="str">
        <f>HYPERLINK("http://mcgill.on.worldcat.org/oclc/37975489","Catalog Record")</f>
        <v>Catalog Record</v>
      </c>
      <c r="AW1462" s="6" t="str">
        <f>HYPERLINK("http://www.worldcat.org/oclc/37975489","WorldCat Record")</f>
        <v>WorldCat Record</v>
      </c>
      <c r="AX1462" s="3" t="s">
        <v>14806</v>
      </c>
      <c r="AY1462" s="3" t="s">
        <v>14807</v>
      </c>
      <c r="AZ1462" s="3" t="s">
        <v>14808</v>
      </c>
      <c r="BA1462" s="3" t="s">
        <v>14808</v>
      </c>
      <c r="BB1462" s="3" t="s">
        <v>14809</v>
      </c>
      <c r="BC1462" s="3" t="s">
        <v>77</v>
      </c>
      <c r="BD1462" s="3" t="s">
        <v>78</v>
      </c>
      <c r="BE1462" s="3" t="s">
        <v>14810</v>
      </c>
      <c r="BF1462" s="3" t="s">
        <v>14809</v>
      </c>
      <c r="BG1462" s="3" t="s">
        <v>14811</v>
      </c>
      <c r="BH1462">
        <f t="shared" si="42"/>
        <v>0</v>
      </c>
    </row>
    <row r="1463" spans="1:60" ht="58" x14ac:dyDescent="0.35">
      <c r="A1463" s="2" t="s">
        <v>59</v>
      </c>
      <c r="B1463" s="2" t="s">
        <v>60</v>
      </c>
      <c r="C1463" s="2" t="s">
        <v>14801</v>
      </c>
      <c r="D1463" s="2" t="s">
        <v>14802</v>
      </c>
      <c r="E1463" s="2" t="s">
        <v>14803</v>
      </c>
      <c r="G1463" s="3" t="s">
        <v>64</v>
      </c>
      <c r="I1463" s="3" t="s">
        <v>128</v>
      </c>
      <c r="J1463" s="3" t="s">
        <v>128</v>
      </c>
      <c r="K1463" s="3" t="s">
        <v>65</v>
      </c>
      <c r="L1463" s="2" t="s">
        <v>14804</v>
      </c>
      <c r="M1463" s="2" t="s">
        <v>14805</v>
      </c>
      <c r="N1463" s="3" t="s">
        <v>153</v>
      </c>
      <c r="P1463" s="3" t="s">
        <v>102</v>
      </c>
      <c r="R1463" s="3" t="s">
        <v>70</v>
      </c>
      <c r="S1463" s="4">
        <v>71</v>
      </c>
      <c r="T1463" s="4">
        <v>162</v>
      </c>
      <c r="U1463" s="5" t="s">
        <v>14812</v>
      </c>
      <c r="V1463" s="5" t="s">
        <v>14431</v>
      </c>
      <c r="W1463" s="5" t="s">
        <v>72</v>
      </c>
      <c r="X1463" s="5" t="s">
        <v>72</v>
      </c>
      <c r="Y1463" s="4">
        <v>220</v>
      </c>
      <c r="Z1463" s="4">
        <v>10</v>
      </c>
      <c r="AA1463" s="4">
        <v>93</v>
      </c>
      <c r="AB1463" s="4">
        <v>2</v>
      </c>
      <c r="AC1463" s="4">
        <v>17</v>
      </c>
      <c r="AD1463" s="4">
        <v>51</v>
      </c>
      <c r="AE1463" s="4">
        <v>130</v>
      </c>
      <c r="AF1463" s="4">
        <v>1</v>
      </c>
      <c r="AG1463" s="4">
        <v>8</v>
      </c>
      <c r="AH1463" s="4">
        <v>49</v>
      </c>
      <c r="AI1463" s="4">
        <v>97</v>
      </c>
      <c r="AJ1463" s="4">
        <v>6</v>
      </c>
      <c r="AK1463" s="4">
        <v>20</v>
      </c>
      <c r="AL1463" s="4">
        <v>26</v>
      </c>
      <c r="AM1463" s="4">
        <v>46</v>
      </c>
      <c r="AN1463" s="4">
        <v>0</v>
      </c>
      <c r="AO1463" s="4">
        <v>0</v>
      </c>
      <c r="AP1463" s="4">
        <v>6</v>
      </c>
      <c r="AQ1463" s="4">
        <v>40</v>
      </c>
      <c r="AR1463" s="3" t="s">
        <v>64</v>
      </c>
      <c r="AS1463" s="3" t="s">
        <v>64</v>
      </c>
      <c r="AT1463" s="3" t="s">
        <v>128</v>
      </c>
      <c r="AU1463" s="6" t="str">
        <f>HYPERLINK("http://catalog.hathitrust.org/Record/003983518","HathiTrust Record")</f>
        <v>HathiTrust Record</v>
      </c>
      <c r="AV1463" s="6" t="str">
        <f>HYPERLINK("http://mcgill.on.worldcat.org/oclc/37975489","Catalog Record")</f>
        <v>Catalog Record</v>
      </c>
      <c r="AW1463" s="6" t="str">
        <f>HYPERLINK("http://www.worldcat.org/oclc/37975489","WorldCat Record")</f>
        <v>WorldCat Record</v>
      </c>
      <c r="AX1463" s="3" t="s">
        <v>14806</v>
      </c>
      <c r="AY1463" s="3" t="s">
        <v>14807</v>
      </c>
      <c r="AZ1463" s="3" t="s">
        <v>14808</v>
      </c>
      <c r="BA1463" s="3" t="s">
        <v>14808</v>
      </c>
      <c r="BB1463" s="3" t="s">
        <v>14813</v>
      </c>
      <c r="BC1463" s="3" t="s">
        <v>77</v>
      </c>
      <c r="BD1463" s="3" t="s">
        <v>78</v>
      </c>
      <c r="BE1463" s="3" t="s">
        <v>14810</v>
      </c>
      <c r="BF1463" s="3" t="s">
        <v>14813</v>
      </c>
      <c r="BG1463" s="3" t="s">
        <v>14814</v>
      </c>
      <c r="BH1463">
        <f t="shared" si="42"/>
        <v>0</v>
      </c>
    </row>
    <row r="1464" spans="1:60" ht="58" x14ac:dyDescent="0.35">
      <c r="A1464" s="2" t="s">
        <v>59</v>
      </c>
      <c r="B1464" s="2" t="s">
        <v>60</v>
      </c>
      <c r="C1464" s="2" t="s">
        <v>14815</v>
      </c>
      <c r="D1464" s="2" t="s">
        <v>14816</v>
      </c>
      <c r="E1464" s="2" t="s">
        <v>14803</v>
      </c>
      <c r="G1464" s="3" t="s">
        <v>64</v>
      </c>
      <c r="I1464" s="3" t="s">
        <v>64</v>
      </c>
      <c r="J1464" s="3" t="s">
        <v>128</v>
      </c>
      <c r="K1464" s="3" t="s">
        <v>65</v>
      </c>
      <c r="L1464" s="2" t="s">
        <v>14804</v>
      </c>
      <c r="M1464" s="2" t="s">
        <v>14817</v>
      </c>
      <c r="N1464" s="3" t="s">
        <v>979</v>
      </c>
      <c r="O1464" s="2" t="s">
        <v>14818</v>
      </c>
      <c r="P1464" s="3" t="s">
        <v>102</v>
      </c>
      <c r="R1464" s="3" t="s">
        <v>70</v>
      </c>
      <c r="S1464" s="4">
        <v>48</v>
      </c>
      <c r="T1464" s="4">
        <v>48</v>
      </c>
      <c r="U1464" s="5" t="s">
        <v>9096</v>
      </c>
      <c r="V1464" s="5" t="s">
        <v>9096</v>
      </c>
      <c r="W1464" s="5" t="s">
        <v>72</v>
      </c>
      <c r="X1464" s="5" t="s">
        <v>72</v>
      </c>
      <c r="Y1464" s="4">
        <v>253</v>
      </c>
      <c r="Z1464" s="4">
        <v>9</v>
      </c>
      <c r="AA1464" s="4">
        <v>93</v>
      </c>
      <c r="AB1464" s="4">
        <v>2</v>
      </c>
      <c r="AC1464" s="4">
        <v>17</v>
      </c>
      <c r="AD1464" s="4">
        <v>52</v>
      </c>
      <c r="AE1464" s="4">
        <v>130</v>
      </c>
      <c r="AF1464" s="4">
        <v>1</v>
      </c>
      <c r="AG1464" s="4">
        <v>8</v>
      </c>
      <c r="AH1464" s="4">
        <v>48</v>
      </c>
      <c r="AI1464" s="4">
        <v>97</v>
      </c>
      <c r="AJ1464" s="4">
        <v>5</v>
      </c>
      <c r="AK1464" s="4">
        <v>20</v>
      </c>
      <c r="AL1464" s="4">
        <v>22</v>
      </c>
      <c r="AM1464" s="4">
        <v>46</v>
      </c>
      <c r="AN1464" s="4">
        <v>0</v>
      </c>
      <c r="AO1464" s="4">
        <v>0</v>
      </c>
      <c r="AP1464" s="4">
        <v>6</v>
      </c>
      <c r="AQ1464" s="4">
        <v>40</v>
      </c>
      <c r="AR1464" s="3" t="s">
        <v>64</v>
      </c>
      <c r="AS1464" s="3" t="s">
        <v>64</v>
      </c>
      <c r="AT1464" s="3" t="s">
        <v>128</v>
      </c>
      <c r="AU1464" s="6" t="str">
        <f>HYPERLINK("http://catalog.hathitrust.org/Record/004269569","HathiTrust Record")</f>
        <v>HathiTrust Record</v>
      </c>
      <c r="AV1464" s="6" t="str">
        <f>HYPERLINK("http://mcgill.on.worldcat.org/oclc/44541876","Catalog Record")</f>
        <v>Catalog Record</v>
      </c>
      <c r="AW1464" s="6" t="str">
        <f>HYPERLINK("http://www.worldcat.org/oclc/44541876","WorldCat Record")</f>
        <v>WorldCat Record</v>
      </c>
      <c r="AX1464" s="3" t="s">
        <v>14806</v>
      </c>
      <c r="AY1464" s="3" t="s">
        <v>14819</v>
      </c>
      <c r="AZ1464" s="3" t="s">
        <v>14820</v>
      </c>
      <c r="BA1464" s="3" t="s">
        <v>14820</v>
      </c>
      <c r="BB1464" s="3" t="s">
        <v>14821</v>
      </c>
      <c r="BC1464" s="3" t="s">
        <v>77</v>
      </c>
      <c r="BD1464" s="3" t="s">
        <v>78</v>
      </c>
      <c r="BE1464" s="3" t="s">
        <v>14822</v>
      </c>
      <c r="BF1464" s="3" t="s">
        <v>14821</v>
      </c>
      <c r="BG1464" s="3" t="s">
        <v>14823</v>
      </c>
      <c r="BH1464">
        <f t="shared" si="42"/>
        <v>0</v>
      </c>
    </row>
    <row r="1465" spans="1:60" ht="58" x14ac:dyDescent="0.35">
      <c r="A1465" s="2" t="s">
        <v>59</v>
      </c>
      <c r="B1465" s="2" t="s">
        <v>60</v>
      </c>
      <c r="C1465" s="2" t="s">
        <v>14824</v>
      </c>
      <c r="D1465" s="2" t="s">
        <v>14825</v>
      </c>
      <c r="E1465" s="2" t="s">
        <v>14803</v>
      </c>
      <c r="G1465" s="3" t="s">
        <v>64</v>
      </c>
      <c r="I1465" s="3" t="s">
        <v>128</v>
      </c>
      <c r="J1465" s="3" t="s">
        <v>128</v>
      </c>
      <c r="K1465" s="3" t="s">
        <v>65</v>
      </c>
      <c r="L1465" s="2" t="s">
        <v>14804</v>
      </c>
      <c r="M1465" s="2" t="s">
        <v>14826</v>
      </c>
      <c r="N1465" s="3" t="s">
        <v>1275</v>
      </c>
      <c r="O1465" s="2" t="s">
        <v>172</v>
      </c>
      <c r="P1465" s="3" t="s">
        <v>102</v>
      </c>
      <c r="R1465" s="3" t="s">
        <v>70</v>
      </c>
      <c r="S1465" s="4">
        <v>21</v>
      </c>
      <c r="T1465" s="4">
        <v>56</v>
      </c>
      <c r="U1465" s="5" t="s">
        <v>9096</v>
      </c>
      <c r="V1465" s="5" t="s">
        <v>14827</v>
      </c>
      <c r="W1465" s="5" t="s">
        <v>72</v>
      </c>
      <c r="X1465" s="5" t="s">
        <v>72</v>
      </c>
      <c r="Y1465" s="4">
        <v>342</v>
      </c>
      <c r="Z1465" s="4">
        <v>18</v>
      </c>
      <c r="AA1465" s="4">
        <v>93</v>
      </c>
      <c r="AB1465" s="4">
        <v>2</v>
      </c>
      <c r="AC1465" s="4">
        <v>17</v>
      </c>
      <c r="AD1465" s="4">
        <v>54</v>
      </c>
      <c r="AE1465" s="4">
        <v>130</v>
      </c>
      <c r="AF1465" s="4">
        <v>0</v>
      </c>
      <c r="AG1465" s="4">
        <v>8</v>
      </c>
      <c r="AH1465" s="4">
        <v>52</v>
      </c>
      <c r="AI1465" s="4">
        <v>97</v>
      </c>
      <c r="AJ1465" s="4">
        <v>8</v>
      </c>
      <c r="AK1465" s="4">
        <v>20</v>
      </c>
      <c r="AL1465" s="4">
        <v>24</v>
      </c>
      <c r="AM1465" s="4">
        <v>46</v>
      </c>
      <c r="AN1465" s="4">
        <v>0</v>
      </c>
      <c r="AO1465" s="4">
        <v>0</v>
      </c>
      <c r="AP1465" s="4">
        <v>8</v>
      </c>
      <c r="AQ1465" s="4">
        <v>40</v>
      </c>
      <c r="AR1465" s="3" t="s">
        <v>64</v>
      </c>
      <c r="AS1465" s="3" t="s">
        <v>64</v>
      </c>
      <c r="AT1465" s="3" t="s">
        <v>64</v>
      </c>
      <c r="AV1465" s="6" t="str">
        <f>HYPERLINK("http://mcgill.on.worldcat.org/oclc/54694699","Catalog Record")</f>
        <v>Catalog Record</v>
      </c>
      <c r="AW1465" s="6" t="str">
        <f>HYPERLINK("http://www.worldcat.org/oclc/54694699","WorldCat Record")</f>
        <v>WorldCat Record</v>
      </c>
      <c r="AX1465" s="3" t="s">
        <v>14806</v>
      </c>
      <c r="AY1465" s="3" t="s">
        <v>14828</v>
      </c>
      <c r="AZ1465" s="3" t="s">
        <v>14829</v>
      </c>
      <c r="BA1465" s="3" t="s">
        <v>14829</v>
      </c>
      <c r="BB1465" s="3" t="s">
        <v>14830</v>
      </c>
      <c r="BC1465" s="3" t="s">
        <v>77</v>
      </c>
      <c r="BD1465" s="3" t="s">
        <v>78</v>
      </c>
      <c r="BE1465" s="3" t="s">
        <v>14831</v>
      </c>
      <c r="BF1465" s="3" t="s">
        <v>14830</v>
      </c>
      <c r="BG1465" s="3" t="s">
        <v>14832</v>
      </c>
      <c r="BH1465">
        <f t="shared" si="42"/>
        <v>0</v>
      </c>
    </row>
    <row r="1466" spans="1:60" ht="58" x14ac:dyDescent="0.35">
      <c r="A1466" s="2" t="s">
        <v>59</v>
      </c>
      <c r="B1466" s="2" t="s">
        <v>60</v>
      </c>
      <c r="C1466" s="2" t="s">
        <v>14824</v>
      </c>
      <c r="D1466" s="2" t="s">
        <v>14825</v>
      </c>
      <c r="E1466" s="2" t="s">
        <v>14803</v>
      </c>
      <c r="G1466" s="3" t="s">
        <v>64</v>
      </c>
      <c r="I1466" s="3" t="s">
        <v>128</v>
      </c>
      <c r="J1466" s="3" t="s">
        <v>128</v>
      </c>
      <c r="K1466" s="3" t="s">
        <v>65</v>
      </c>
      <c r="L1466" s="2" t="s">
        <v>14804</v>
      </c>
      <c r="M1466" s="2" t="s">
        <v>14826</v>
      </c>
      <c r="N1466" s="3" t="s">
        <v>1275</v>
      </c>
      <c r="O1466" s="2" t="s">
        <v>172</v>
      </c>
      <c r="P1466" s="3" t="s">
        <v>102</v>
      </c>
      <c r="R1466" s="3" t="s">
        <v>70</v>
      </c>
      <c r="S1466" s="4">
        <v>5</v>
      </c>
      <c r="T1466" s="4">
        <v>56</v>
      </c>
      <c r="U1466" s="5" t="s">
        <v>14833</v>
      </c>
      <c r="V1466" s="5" t="s">
        <v>14827</v>
      </c>
      <c r="W1466" s="5" t="s">
        <v>72</v>
      </c>
      <c r="X1466" s="5" t="s">
        <v>72</v>
      </c>
      <c r="Y1466" s="4">
        <v>342</v>
      </c>
      <c r="Z1466" s="4">
        <v>18</v>
      </c>
      <c r="AA1466" s="4">
        <v>93</v>
      </c>
      <c r="AB1466" s="4">
        <v>2</v>
      </c>
      <c r="AC1466" s="4">
        <v>17</v>
      </c>
      <c r="AD1466" s="4">
        <v>54</v>
      </c>
      <c r="AE1466" s="4">
        <v>130</v>
      </c>
      <c r="AF1466" s="4">
        <v>0</v>
      </c>
      <c r="AG1466" s="4">
        <v>8</v>
      </c>
      <c r="AH1466" s="4">
        <v>52</v>
      </c>
      <c r="AI1466" s="4">
        <v>97</v>
      </c>
      <c r="AJ1466" s="4">
        <v>8</v>
      </c>
      <c r="AK1466" s="4">
        <v>20</v>
      </c>
      <c r="AL1466" s="4">
        <v>24</v>
      </c>
      <c r="AM1466" s="4">
        <v>46</v>
      </c>
      <c r="AN1466" s="4">
        <v>0</v>
      </c>
      <c r="AO1466" s="4">
        <v>0</v>
      </c>
      <c r="AP1466" s="4">
        <v>8</v>
      </c>
      <c r="AQ1466" s="4">
        <v>40</v>
      </c>
      <c r="AR1466" s="3" t="s">
        <v>64</v>
      </c>
      <c r="AS1466" s="3" t="s">
        <v>64</v>
      </c>
      <c r="AT1466" s="3" t="s">
        <v>64</v>
      </c>
      <c r="AV1466" s="6" t="str">
        <f>HYPERLINK("http://mcgill.on.worldcat.org/oclc/54694699","Catalog Record")</f>
        <v>Catalog Record</v>
      </c>
      <c r="AW1466" s="6" t="str">
        <f>HYPERLINK("http://www.worldcat.org/oclc/54694699","WorldCat Record")</f>
        <v>WorldCat Record</v>
      </c>
      <c r="AX1466" s="3" t="s">
        <v>14806</v>
      </c>
      <c r="AY1466" s="3" t="s">
        <v>14828</v>
      </c>
      <c r="AZ1466" s="3" t="s">
        <v>14829</v>
      </c>
      <c r="BA1466" s="3" t="s">
        <v>14829</v>
      </c>
      <c r="BB1466" s="3" t="s">
        <v>14834</v>
      </c>
      <c r="BC1466" s="3" t="s">
        <v>77</v>
      </c>
      <c r="BD1466" s="3" t="s">
        <v>165</v>
      </c>
      <c r="BE1466" s="3" t="s">
        <v>14831</v>
      </c>
      <c r="BF1466" s="3" t="s">
        <v>14834</v>
      </c>
      <c r="BG1466" s="3" t="s">
        <v>14835</v>
      </c>
      <c r="BH1466">
        <f t="shared" si="42"/>
        <v>0</v>
      </c>
    </row>
    <row r="1467" spans="1:60" ht="58" x14ac:dyDescent="0.35">
      <c r="A1467" s="2" t="s">
        <v>59</v>
      </c>
      <c r="B1467" s="2" t="s">
        <v>60</v>
      </c>
      <c r="C1467" s="2" t="s">
        <v>14824</v>
      </c>
      <c r="D1467" s="2" t="s">
        <v>14825</v>
      </c>
      <c r="E1467" s="2" t="s">
        <v>14803</v>
      </c>
      <c r="G1467" s="3" t="s">
        <v>64</v>
      </c>
      <c r="I1467" s="3" t="s">
        <v>128</v>
      </c>
      <c r="J1467" s="3" t="s">
        <v>128</v>
      </c>
      <c r="K1467" s="3" t="s">
        <v>65</v>
      </c>
      <c r="L1467" s="2" t="s">
        <v>14804</v>
      </c>
      <c r="M1467" s="2" t="s">
        <v>14826</v>
      </c>
      <c r="N1467" s="3" t="s">
        <v>1275</v>
      </c>
      <c r="O1467" s="2" t="s">
        <v>172</v>
      </c>
      <c r="P1467" s="3" t="s">
        <v>102</v>
      </c>
      <c r="R1467" s="3" t="s">
        <v>70</v>
      </c>
      <c r="S1467" s="4">
        <v>30</v>
      </c>
      <c r="T1467" s="4">
        <v>56</v>
      </c>
      <c r="U1467" s="5" t="s">
        <v>14827</v>
      </c>
      <c r="V1467" s="5" t="s">
        <v>14827</v>
      </c>
      <c r="W1467" s="5" t="s">
        <v>72</v>
      </c>
      <c r="X1467" s="5" t="s">
        <v>72</v>
      </c>
      <c r="Y1467" s="4">
        <v>342</v>
      </c>
      <c r="Z1467" s="4">
        <v>18</v>
      </c>
      <c r="AA1467" s="4">
        <v>93</v>
      </c>
      <c r="AB1467" s="4">
        <v>2</v>
      </c>
      <c r="AC1467" s="4">
        <v>17</v>
      </c>
      <c r="AD1467" s="4">
        <v>54</v>
      </c>
      <c r="AE1467" s="4">
        <v>130</v>
      </c>
      <c r="AF1467" s="4">
        <v>0</v>
      </c>
      <c r="AG1467" s="4">
        <v>8</v>
      </c>
      <c r="AH1467" s="4">
        <v>52</v>
      </c>
      <c r="AI1467" s="4">
        <v>97</v>
      </c>
      <c r="AJ1467" s="4">
        <v>8</v>
      </c>
      <c r="AK1467" s="4">
        <v>20</v>
      </c>
      <c r="AL1467" s="4">
        <v>24</v>
      </c>
      <c r="AM1467" s="4">
        <v>46</v>
      </c>
      <c r="AN1467" s="4">
        <v>0</v>
      </c>
      <c r="AO1467" s="4">
        <v>0</v>
      </c>
      <c r="AP1467" s="4">
        <v>8</v>
      </c>
      <c r="AQ1467" s="4">
        <v>40</v>
      </c>
      <c r="AR1467" s="3" t="s">
        <v>64</v>
      </c>
      <c r="AS1467" s="3" t="s">
        <v>64</v>
      </c>
      <c r="AT1467" s="3" t="s">
        <v>64</v>
      </c>
      <c r="AV1467" s="6" t="str">
        <f>HYPERLINK("http://mcgill.on.worldcat.org/oclc/54694699","Catalog Record")</f>
        <v>Catalog Record</v>
      </c>
      <c r="AW1467" s="6" t="str">
        <f>HYPERLINK("http://www.worldcat.org/oclc/54694699","WorldCat Record")</f>
        <v>WorldCat Record</v>
      </c>
      <c r="AX1467" s="3" t="s">
        <v>14806</v>
      </c>
      <c r="AY1467" s="3" t="s">
        <v>14828</v>
      </c>
      <c r="AZ1467" s="3" t="s">
        <v>14829</v>
      </c>
      <c r="BA1467" s="3" t="s">
        <v>14829</v>
      </c>
      <c r="BB1467" s="3" t="s">
        <v>14836</v>
      </c>
      <c r="BC1467" s="3" t="s">
        <v>77</v>
      </c>
      <c r="BD1467" s="3" t="s">
        <v>78</v>
      </c>
      <c r="BE1467" s="3" t="s">
        <v>14831</v>
      </c>
      <c r="BF1467" s="3" t="s">
        <v>14836</v>
      </c>
      <c r="BG1467" s="3" t="s">
        <v>14837</v>
      </c>
      <c r="BH1467">
        <f t="shared" si="42"/>
        <v>0</v>
      </c>
    </row>
    <row r="1468" spans="1:60" ht="58" x14ac:dyDescent="0.35">
      <c r="A1468" s="2" t="s">
        <v>59</v>
      </c>
      <c r="B1468" s="2" t="s">
        <v>60</v>
      </c>
      <c r="C1468" s="2" t="s">
        <v>14838</v>
      </c>
      <c r="D1468" s="2" t="s">
        <v>14839</v>
      </c>
      <c r="E1468" s="2" t="s">
        <v>14803</v>
      </c>
      <c r="G1468" s="3" t="s">
        <v>64</v>
      </c>
      <c r="I1468" s="3" t="s">
        <v>128</v>
      </c>
      <c r="J1468" s="3" t="s">
        <v>128</v>
      </c>
      <c r="K1468" s="3" t="s">
        <v>65</v>
      </c>
      <c r="L1468" s="2" t="s">
        <v>14804</v>
      </c>
      <c r="M1468" s="2" t="s">
        <v>14840</v>
      </c>
      <c r="N1468" s="3" t="s">
        <v>511</v>
      </c>
      <c r="O1468" s="2" t="s">
        <v>2994</v>
      </c>
      <c r="P1468" s="3" t="s">
        <v>102</v>
      </c>
      <c r="R1468" s="3" t="s">
        <v>70</v>
      </c>
      <c r="S1468" s="4">
        <v>38</v>
      </c>
      <c r="T1468" s="4">
        <v>182</v>
      </c>
      <c r="U1468" s="5" t="s">
        <v>14841</v>
      </c>
      <c r="V1468" s="5" t="s">
        <v>14841</v>
      </c>
      <c r="W1468" s="5" t="s">
        <v>72</v>
      </c>
      <c r="X1468" s="5" t="s">
        <v>72</v>
      </c>
      <c r="Y1468" s="4">
        <v>317</v>
      </c>
      <c r="Z1468" s="4">
        <v>19</v>
      </c>
      <c r="AA1468" s="4">
        <v>93</v>
      </c>
      <c r="AB1468" s="4">
        <v>1</v>
      </c>
      <c r="AC1468" s="4">
        <v>17</v>
      </c>
      <c r="AD1468" s="4">
        <v>52</v>
      </c>
      <c r="AE1468" s="4">
        <v>130</v>
      </c>
      <c r="AF1468" s="4">
        <v>0</v>
      </c>
      <c r="AG1468" s="4">
        <v>8</v>
      </c>
      <c r="AH1468" s="4">
        <v>46</v>
      </c>
      <c r="AI1468" s="4">
        <v>97</v>
      </c>
      <c r="AJ1468" s="4">
        <v>8</v>
      </c>
      <c r="AK1468" s="4">
        <v>20</v>
      </c>
      <c r="AL1468" s="4">
        <v>25</v>
      </c>
      <c r="AM1468" s="4">
        <v>46</v>
      </c>
      <c r="AN1468" s="4">
        <v>0</v>
      </c>
      <c r="AO1468" s="4">
        <v>0</v>
      </c>
      <c r="AP1468" s="4">
        <v>10</v>
      </c>
      <c r="AQ1468" s="4">
        <v>40</v>
      </c>
      <c r="AR1468" s="3" t="s">
        <v>64</v>
      </c>
      <c r="AS1468" s="3" t="s">
        <v>64</v>
      </c>
      <c r="AT1468" s="3" t="s">
        <v>64</v>
      </c>
      <c r="AV1468" s="6" t="str">
        <f>HYPERLINK("http://mcgill.on.worldcat.org/oclc/553368144","Catalog Record")</f>
        <v>Catalog Record</v>
      </c>
      <c r="AW1468" s="6" t="str">
        <f>HYPERLINK("http://www.worldcat.org/oclc/553368144","WorldCat Record")</f>
        <v>WorldCat Record</v>
      </c>
      <c r="AX1468" s="3" t="s">
        <v>14806</v>
      </c>
      <c r="AY1468" s="3" t="s">
        <v>14842</v>
      </c>
      <c r="AZ1468" s="3" t="s">
        <v>14843</v>
      </c>
      <c r="BA1468" s="3" t="s">
        <v>14843</v>
      </c>
      <c r="BB1468" s="3" t="s">
        <v>14844</v>
      </c>
      <c r="BC1468" s="3" t="s">
        <v>77</v>
      </c>
      <c r="BD1468" s="3" t="s">
        <v>78</v>
      </c>
      <c r="BE1468" s="3" t="s">
        <v>14845</v>
      </c>
      <c r="BF1468" s="3" t="s">
        <v>14844</v>
      </c>
      <c r="BG1468" s="3" t="s">
        <v>14846</v>
      </c>
      <c r="BH1468">
        <f t="shared" si="42"/>
        <v>0</v>
      </c>
    </row>
    <row r="1469" spans="1:60" ht="58" x14ac:dyDescent="0.35">
      <c r="A1469" s="2" t="s">
        <v>59</v>
      </c>
      <c r="B1469" s="2" t="s">
        <v>60</v>
      </c>
      <c r="C1469" s="2" t="s">
        <v>14838</v>
      </c>
      <c r="D1469" s="2" t="s">
        <v>14839</v>
      </c>
      <c r="E1469" s="2" t="s">
        <v>14803</v>
      </c>
      <c r="G1469" s="3" t="s">
        <v>64</v>
      </c>
      <c r="I1469" s="3" t="s">
        <v>128</v>
      </c>
      <c r="J1469" s="3" t="s">
        <v>128</v>
      </c>
      <c r="K1469" s="3" t="s">
        <v>65</v>
      </c>
      <c r="L1469" s="2" t="s">
        <v>14804</v>
      </c>
      <c r="M1469" s="2" t="s">
        <v>14840</v>
      </c>
      <c r="N1469" s="3" t="s">
        <v>511</v>
      </c>
      <c r="O1469" s="2" t="s">
        <v>2994</v>
      </c>
      <c r="P1469" s="3" t="s">
        <v>102</v>
      </c>
      <c r="R1469" s="3" t="s">
        <v>70</v>
      </c>
      <c r="S1469" s="4">
        <v>144</v>
      </c>
      <c r="T1469" s="4">
        <v>182</v>
      </c>
      <c r="U1469" s="5" t="s">
        <v>7662</v>
      </c>
      <c r="V1469" s="5" t="s">
        <v>14841</v>
      </c>
      <c r="W1469" s="5" t="s">
        <v>72</v>
      </c>
      <c r="X1469" s="5" t="s">
        <v>72</v>
      </c>
      <c r="Y1469" s="4">
        <v>317</v>
      </c>
      <c r="Z1469" s="4">
        <v>19</v>
      </c>
      <c r="AA1469" s="4">
        <v>93</v>
      </c>
      <c r="AB1469" s="4">
        <v>1</v>
      </c>
      <c r="AC1469" s="4">
        <v>17</v>
      </c>
      <c r="AD1469" s="4">
        <v>52</v>
      </c>
      <c r="AE1469" s="4">
        <v>130</v>
      </c>
      <c r="AF1469" s="4">
        <v>0</v>
      </c>
      <c r="AG1469" s="4">
        <v>8</v>
      </c>
      <c r="AH1469" s="4">
        <v>46</v>
      </c>
      <c r="AI1469" s="4">
        <v>97</v>
      </c>
      <c r="AJ1469" s="4">
        <v>8</v>
      </c>
      <c r="AK1469" s="4">
        <v>20</v>
      </c>
      <c r="AL1469" s="4">
        <v>25</v>
      </c>
      <c r="AM1469" s="4">
        <v>46</v>
      </c>
      <c r="AN1469" s="4">
        <v>0</v>
      </c>
      <c r="AO1469" s="4">
        <v>0</v>
      </c>
      <c r="AP1469" s="4">
        <v>10</v>
      </c>
      <c r="AQ1469" s="4">
        <v>40</v>
      </c>
      <c r="AR1469" s="3" t="s">
        <v>64</v>
      </c>
      <c r="AS1469" s="3" t="s">
        <v>64</v>
      </c>
      <c r="AT1469" s="3" t="s">
        <v>64</v>
      </c>
      <c r="AV1469" s="6" t="str">
        <f>HYPERLINK("http://mcgill.on.worldcat.org/oclc/553368144","Catalog Record")</f>
        <v>Catalog Record</v>
      </c>
      <c r="AW1469" s="6" t="str">
        <f>HYPERLINK("http://www.worldcat.org/oclc/553368144","WorldCat Record")</f>
        <v>WorldCat Record</v>
      </c>
      <c r="AX1469" s="3" t="s">
        <v>14806</v>
      </c>
      <c r="AY1469" s="3" t="s">
        <v>14842</v>
      </c>
      <c r="AZ1469" s="3" t="s">
        <v>14843</v>
      </c>
      <c r="BA1469" s="3" t="s">
        <v>14843</v>
      </c>
      <c r="BB1469" s="3" t="s">
        <v>14847</v>
      </c>
      <c r="BC1469" s="3" t="s">
        <v>77</v>
      </c>
      <c r="BD1469" s="3" t="s">
        <v>78</v>
      </c>
      <c r="BE1469" s="3" t="s">
        <v>14845</v>
      </c>
      <c r="BF1469" s="3" t="s">
        <v>14847</v>
      </c>
      <c r="BG1469" s="3" t="s">
        <v>14848</v>
      </c>
      <c r="BH1469">
        <f t="shared" si="42"/>
        <v>0</v>
      </c>
    </row>
    <row r="1470" spans="1:60" ht="58" x14ac:dyDescent="0.35">
      <c r="A1470" s="2" t="s">
        <v>59</v>
      </c>
      <c r="B1470" s="2" t="s">
        <v>60</v>
      </c>
      <c r="C1470" s="2" t="s">
        <v>14849</v>
      </c>
      <c r="D1470" s="2" t="s">
        <v>14850</v>
      </c>
      <c r="E1470" s="2" t="s">
        <v>14803</v>
      </c>
      <c r="G1470" s="3" t="s">
        <v>64</v>
      </c>
      <c r="I1470" s="3" t="s">
        <v>64</v>
      </c>
      <c r="J1470" s="3" t="s">
        <v>128</v>
      </c>
      <c r="K1470" s="3" t="s">
        <v>65</v>
      </c>
      <c r="L1470" s="2" t="s">
        <v>14851</v>
      </c>
      <c r="M1470" s="2" t="s">
        <v>14852</v>
      </c>
      <c r="N1470" s="3" t="s">
        <v>537</v>
      </c>
      <c r="O1470" s="2" t="s">
        <v>14853</v>
      </c>
      <c r="P1470" s="3" t="s">
        <v>102</v>
      </c>
      <c r="R1470" s="3" t="s">
        <v>70</v>
      </c>
      <c r="S1470" s="4">
        <v>49</v>
      </c>
      <c r="T1470" s="4">
        <v>49</v>
      </c>
      <c r="U1470" s="5" t="s">
        <v>14854</v>
      </c>
      <c r="V1470" s="5" t="s">
        <v>14854</v>
      </c>
      <c r="W1470" s="5" t="s">
        <v>72</v>
      </c>
      <c r="X1470" s="5" t="s">
        <v>72</v>
      </c>
      <c r="Y1470" s="4">
        <v>261</v>
      </c>
      <c r="Z1470" s="4">
        <v>6</v>
      </c>
      <c r="AA1470" s="4">
        <v>93</v>
      </c>
      <c r="AB1470" s="4">
        <v>1</v>
      </c>
      <c r="AC1470" s="4">
        <v>17</v>
      </c>
      <c r="AD1470" s="4">
        <v>43</v>
      </c>
      <c r="AE1470" s="4">
        <v>130</v>
      </c>
      <c r="AF1470" s="4">
        <v>0</v>
      </c>
      <c r="AG1470" s="4">
        <v>8</v>
      </c>
      <c r="AH1470" s="4">
        <v>42</v>
      </c>
      <c r="AI1470" s="4">
        <v>97</v>
      </c>
      <c r="AJ1470" s="4">
        <v>3</v>
      </c>
      <c r="AK1470" s="4">
        <v>20</v>
      </c>
      <c r="AL1470" s="4">
        <v>22</v>
      </c>
      <c r="AM1470" s="4">
        <v>46</v>
      </c>
      <c r="AN1470" s="4">
        <v>0</v>
      </c>
      <c r="AO1470" s="4">
        <v>0</v>
      </c>
      <c r="AP1470" s="4">
        <v>3</v>
      </c>
      <c r="AQ1470" s="4">
        <v>40</v>
      </c>
      <c r="AR1470" s="3" t="s">
        <v>64</v>
      </c>
      <c r="AS1470" s="3" t="s">
        <v>64</v>
      </c>
      <c r="AT1470" s="3" t="s">
        <v>64</v>
      </c>
      <c r="AV1470" s="6" t="str">
        <f>HYPERLINK("http://mcgill.on.worldcat.org/oclc/921994696","Catalog Record")</f>
        <v>Catalog Record</v>
      </c>
      <c r="AW1470" s="6" t="str">
        <f>HYPERLINK("http://www.worldcat.org/oclc/921994696","WorldCat Record")</f>
        <v>WorldCat Record</v>
      </c>
      <c r="AX1470" s="3" t="s">
        <v>14806</v>
      </c>
      <c r="AY1470" s="3" t="s">
        <v>14855</v>
      </c>
      <c r="AZ1470" s="3" t="s">
        <v>14856</v>
      </c>
      <c r="BA1470" s="3" t="s">
        <v>14856</v>
      </c>
      <c r="BB1470" s="3" t="s">
        <v>14857</v>
      </c>
      <c r="BC1470" s="3" t="s">
        <v>77</v>
      </c>
      <c r="BD1470" s="3" t="s">
        <v>78</v>
      </c>
      <c r="BE1470" s="3" t="s">
        <v>14858</v>
      </c>
      <c r="BF1470" s="3" t="s">
        <v>14857</v>
      </c>
      <c r="BG1470" s="3" t="s">
        <v>14859</v>
      </c>
      <c r="BH1470">
        <f t="shared" si="42"/>
        <v>0</v>
      </c>
    </row>
    <row r="1471" spans="1:60" ht="58" x14ac:dyDescent="0.35">
      <c r="A1471" s="2" t="s">
        <v>59</v>
      </c>
      <c r="B1471" s="2" t="s">
        <v>60</v>
      </c>
      <c r="C1471" s="2" t="s">
        <v>14849</v>
      </c>
      <c r="D1471" s="2" t="s">
        <v>14850</v>
      </c>
      <c r="E1471" s="2" t="s">
        <v>14803</v>
      </c>
      <c r="G1471" s="3" t="s">
        <v>64</v>
      </c>
      <c r="I1471" s="3" t="s">
        <v>64</v>
      </c>
      <c r="J1471" s="3" t="s">
        <v>128</v>
      </c>
      <c r="K1471" s="3" t="s">
        <v>65</v>
      </c>
      <c r="L1471" s="2" t="s">
        <v>14851</v>
      </c>
      <c r="M1471" s="2" t="s">
        <v>14860</v>
      </c>
      <c r="N1471" s="3" t="s">
        <v>537</v>
      </c>
      <c r="O1471" s="2" t="s">
        <v>14853</v>
      </c>
      <c r="P1471" s="3" t="s">
        <v>102</v>
      </c>
      <c r="R1471" s="3" t="s">
        <v>70</v>
      </c>
      <c r="S1471" s="4">
        <v>56</v>
      </c>
      <c r="T1471" s="4">
        <v>56</v>
      </c>
      <c r="U1471" s="5" t="s">
        <v>14861</v>
      </c>
      <c r="V1471" s="5" t="s">
        <v>14861</v>
      </c>
      <c r="W1471" s="5" t="s">
        <v>72</v>
      </c>
      <c r="X1471" s="5" t="s">
        <v>72</v>
      </c>
      <c r="Y1471" s="4">
        <v>49</v>
      </c>
      <c r="Z1471" s="4">
        <v>3</v>
      </c>
      <c r="AA1471" s="4">
        <v>93</v>
      </c>
      <c r="AB1471" s="4">
        <v>1</v>
      </c>
      <c r="AC1471" s="4">
        <v>17</v>
      </c>
      <c r="AD1471" s="4">
        <v>5</v>
      </c>
      <c r="AE1471" s="4">
        <v>130</v>
      </c>
      <c r="AF1471" s="4">
        <v>0</v>
      </c>
      <c r="AG1471" s="4">
        <v>8</v>
      </c>
      <c r="AH1471" s="4">
        <v>5</v>
      </c>
      <c r="AI1471" s="4">
        <v>97</v>
      </c>
      <c r="AJ1471" s="4">
        <v>2</v>
      </c>
      <c r="AK1471" s="4">
        <v>20</v>
      </c>
      <c r="AL1471" s="4">
        <v>2</v>
      </c>
      <c r="AM1471" s="4">
        <v>46</v>
      </c>
      <c r="AN1471" s="4">
        <v>0</v>
      </c>
      <c r="AO1471" s="4">
        <v>0</v>
      </c>
      <c r="AP1471" s="4">
        <v>2</v>
      </c>
      <c r="AQ1471" s="4">
        <v>40</v>
      </c>
      <c r="AR1471" s="3" t="s">
        <v>64</v>
      </c>
      <c r="AS1471" s="3" t="s">
        <v>64</v>
      </c>
      <c r="AT1471" s="3" t="s">
        <v>64</v>
      </c>
      <c r="AV1471" s="6" t="str">
        <f>HYPERLINK("http://mcgill.on.worldcat.org/oclc/935675569","Catalog Record")</f>
        <v>Catalog Record</v>
      </c>
      <c r="AW1471" s="6" t="str">
        <f>HYPERLINK("http://www.worldcat.org/oclc/935675569","WorldCat Record")</f>
        <v>WorldCat Record</v>
      </c>
      <c r="AX1471" s="3" t="s">
        <v>14806</v>
      </c>
      <c r="AY1471" s="3" t="s">
        <v>14862</v>
      </c>
      <c r="AZ1471" s="3" t="s">
        <v>14863</v>
      </c>
      <c r="BA1471" s="3" t="s">
        <v>14863</v>
      </c>
      <c r="BB1471" s="3" t="s">
        <v>14864</v>
      </c>
      <c r="BC1471" s="3" t="s">
        <v>77</v>
      </c>
      <c r="BD1471" s="3" t="s">
        <v>78</v>
      </c>
      <c r="BE1471" s="3" t="s">
        <v>14865</v>
      </c>
      <c r="BF1471" s="3" t="s">
        <v>14864</v>
      </c>
      <c r="BG1471" s="3" t="s">
        <v>14866</v>
      </c>
      <c r="BH1471">
        <f t="shared" si="42"/>
        <v>0</v>
      </c>
    </row>
    <row r="1472" spans="1:60" ht="58" x14ac:dyDescent="0.35">
      <c r="A1472" s="2" t="s">
        <v>59</v>
      </c>
      <c r="B1472" s="2" t="s">
        <v>60</v>
      </c>
      <c r="C1472" s="2" t="s">
        <v>14867</v>
      </c>
      <c r="D1472" s="2" t="s">
        <v>14868</v>
      </c>
      <c r="E1472" s="2" t="s">
        <v>14869</v>
      </c>
      <c r="G1472" s="3" t="s">
        <v>64</v>
      </c>
      <c r="I1472" s="3" t="s">
        <v>64</v>
      </c>
      <c r="J1472" s="3" t="s">
        <v>64</v>
      </c>
      <c r="K1472" s="3" t="s">
        <v>65</v>
      </c>
      <c r="L1472" s="2" t="s">
        <v>14870</v>
      </c>
      <c r="M1472" s="2" t="s">
        <v>14871</v>
      </c>
      <c r="N1472" s="3" t="s">
        <v>1263</v>
      </c>
      <c r="P1472" s="3" t="s">
        <v>102</v>
      </c>
      <c r="Q1472" s="2" t="s">
        <v>13989</v>
      </c>
      <c r="R1472" s="3" t="s">
        <v>70</v>
      </c>
      <c r="S1472" s="4">
        <v>25</v>
      </c>
      <c r="T1472" s="4">
        <v>25</v>
      </c>
      <c r="U1472" s="5" t="s">
        <v>14872</v>
      </c>
      <c r="V1472" s="5" t="s">
        <v>14872</v>
      </c>
      <c r="W1472" s="5" t="s">
        <v>72</v>
      </c>
      <c r="X1472" s="5" t="s">
        <v>72</v>
      </c>
      <c r="Y1472" s="4">
        <v>260</v>
      </c>
      <c r="Z1472" s="4">
        <v>23</v>
      </c>
      <c r="AA1472" s="4">
        <v>24</v>
      </c>
      <c r="AB1472" s="4">
        <v>2</v>
      </c>
      <c r="AC1472" s="4">
        <v>3</v>
      </c>
      <c r="AD1472" s="4">
        <v>78</v>
      </c>
      <c r="AE1472" s="4">
        <v>79</v>
      </c>
      <c r="AF1472" s="4">
        <v>1</v>
      </c>
      <c r="AG1472" s="4">
        <v>2</v>
      </c>
      <c r="AH1472" s="4">
        <v>65</v>
      </c>
      <c r="AI1472" s="4">
        <v>65</v>
      </c>
      <c r="AJ1472" s="4">
        <v>13</v>
      </c>
      <c r="AK1472" s="4">
        <v>14</v>
      </c>
      <c r="AL1472" s="4">
        <v>28</v>
      </c>
      <c r="AM1472" s="4">
        <v>28</v>
      </c>
      <c r="AN1472" s="4">
        <v>0</v>
      </c>
      <c r="AO1472" s="4">
        <v>0</v>
      </c>
      <c r="AP1472" s="4">
        <v>18</v>
      </c>
      <c r="AQ1472" s="4">
        <v>18</v>
      </c>
      <c r="AR1472" s="3" t="s">
        <v>64</v>
      </c>
      <c r="AS1472" s="3" t="s">
        <v>64</v>
      </c>
      <c r="AT1472" s="3" t="s">
        <v>128</v>
      </c>
      <c r="AU1472" s="6" t="str">
        <f>HYPERLINK("http://catalog.hathitrust.org/Record/002700753","HathiTrust Record")</f>
        <v>HathiTrust Record</v>
      </c>
      <c r="AV1472" s="6" t="str">
        <f>HYPERLINK("http://mcgill.on.worldcat.org/oclc/27070643","Catalog Record")</f>
        <v>Catalog Record</v>
      </c>
      <c r="AW1472" s="6" t="str">
        <f>HYPERLINK("http://www.worldcat.org/oclc/27070643","WorldCat Record")</f>
        <v>WorldCat Record</v>
      </c>
      <c r="AX1472" s="3" t="s">
        <v>14873</v>
      </c>
      <c r="AY1472" s="3" t="s">
        <v>14874</v>
      </c>
      <c r="AZ1472" s="3" t="s">
        <v>14875</v>
      </c>
      <c r="BA1472" s="3" t="s">
        <v>14875</v>
      </c>
      <c r="BB1472" s="3" t="s">
        <v>14876</v>
      </c>
      <c r="BC1472" s="3" t="s">
        <v>77</v>
      </c>
      <c r="BD1472" s="3" t="s">
        <v>78</v>
      </c>
      <c r="BE1472" s="3" t="s">
        <v>14877</v>
      </c>
      <c r="BF1472" s="3" t="s">
        <v>14876</v>
      </c>
      <c r="BG1472" s="3" t="s">
        <v>14878</v>
      </c>
      <c r="BH1472">
        <f t="shared" si="42"/>
        <v>0</v>
      </c>
    </row>
    <row r="1473" spans="1:60" ht="58" x14ac:dyDescent="0.35">
      <c r="A1473" s="2" t="s">
        <v>59</v>
      </c>
      <c r="B1473" s="2" t="s">
        <v>60</v>
      </c>
      <c r="C1473" s="2" t="s">
        <v>14879</v>
      </c>
      <c r="D1473" s="2" t="s">
        <v>14880</v>
      </c>
      <c r="E1473" s="2" t="s">
        <v>14881</v>
      </c>
      <c r="G1473" s="3" t="s">
        <v>64</v>
      </c>
      <c r="I1473" s="3" t="s">
        <v>64</v>
      </c>
      <c r="J1473" s="3" t="s">
        <v>64</v>
      </c>
      <c r="K1473" s="3" t="s">
        <v>65</v>
      </c>
      <c r="M1473" s="2" t="s">
        <v>14882</v>
      </c>
      <c r="N1473" s="3" t="s">
        <v>171</v>
      </c>
      <c r="P1473" s="3" t="s">
        <v>102</v>
      </c>
      <c r="R1473" s="3" t="s">
        <v>70</v>
      </c>
      <c r="S1473" s="4">
        <v>5</v>
      </c>
      <c r="T1473" s="4">
        <v>5</v>
      </c>
      <c r="U1473" s="5" t="s">
        <v>14046</v>
      </c>
      <c r="V1473" s="5" t="s">
        <v>14046</v>
      </c>
      <c r="W1473" s="5" t="s">
        <v>72</v>
      </c>
      <c r="X1473" s="5" t="s">
        <v>72</v>
      </c>
      <c r="Y1473" s="4">
        <v>766</v>
      </c>
      <c r="Z1473" s="4">
        <v>32</v>
      </c>
      <c r="AA1473" s="4">
        <v>77</v>
      </c>
      <c r="AB1473" s="4">
        <v>2</v>
      </c>
      <c r="AC1473" s="4">
        <v>9</v>
      </c>
      <c r="AD1473" s="4">
        <v>85</v>
      </c>
      <c r="AE1473" s="4">
        <v>104</v>
      </c>
      <c r="AF1473" s="4">
        <v>0</v>
      </c>
      <c r="AG1473" s="4">
        <v>1</v>
      </c>
      <c r="AH1473" s="4">
        <v>80</v>
      </c>
      <c r="AI1473" s="4">
        <v>90</v>
      </c>
      <c r="AJ1473" s="4">
        <v>9</v>
      </c>
      <c r="AK1473" s="4">
        <v>11</v>
      </c>
      <c r="AL1473" s="4">
        <v>42</v>
      </c>
      <c r="AM1473" s="4">
        <v>48</v>
      </c>
      <c r="AN1473" s="4">
        <v>0</v>
      </c>
      <c r="AO1473" s="4">
        <v>0</v>
      </c>
      <c r="AP1473" s="4">
        <v>11</v>
      </c>
      <c r="AQ1473" s="4">
        <v>19</v>
      </c>
      <c r="AR1473" s="3" t="s">
        <v>64</v>
      </c>
      <c r="AS1473" s="3" t="s">
        <v>64</v>
      </c>
      <c r="AT1473" s="3" t="s">
        <v>64</v>
      </c>
      <c r="AV1473" s="6" t="str">
        <f>HYPERLINK("http://mcgill.on.worldcat.org/oclc/62393047","Catalog Record")</f>
        <v>Catalog Record</v>
      </c>
      <c r="AW1473" s="6" t="str">
        <f>HYPERLINK("http://www.worldcat.org/oclc/62393047","WorldCat Record")</f>
        <v>WorldCat Record</v>
      </c>
      <c r="AX1473" s="3" t="s">
        <v>14883</v>
      </c>
      <c r="AY1473" s="3" t="s">
        <v>14884</v>
      </c>
      <c r="AZ1473" s="3" t="s">
        <v>14885</v>
      </c>
      <c r="BA1473" s="3" t="s">
        <v>14885</v>
      </c>
      <c r="BB1473" s="3" t="s">
        <v>14886</v>
      </c>
      <c r="BC1473" s="3" t="s">
        <v>77</v>
      </c>
      <c r="BD1473" s="3" t="s">
        <v>78</v>
      </c>
      <c r="BE1473" s="3" t="s">
        <v>14887</v>
      </c>
      <c r="BF1473" s="3" t="s">
        <v>14886</v>
      </c>
      <c r="BG1473" s="3" t="s">
        <v>14888</v>
      </c>
      <c r="BH1473">
        <f t="shared" si="42"/>
        <v>0</v>
      </c>
    </row>
    <row r="1474" spans="1:60" ht="58" x14ac:dyDescent="0.35">
      <c r="A1474" s="2" t="s">
        <v>59</v>
      </c>
      <c r="B1474" s="2" t="s">
        <v>60</v>
      </c>
      <c r="C1474" s="2" t="s">
        <v>14889</v>
      </c>
      <c r="D1474" s="2" t="s">
        <v>14890</v>
      </c>
      <c r="E1474" s="2" t="s">
        <v>14891</v>
      </c>
      <c r="G1474" s="3" t="s">
        <v>64</v>
      </c>
      <c r="I1474" s="3" t="s">
        <v>64</v>
      </c>
      <c r="J1474" s="3" t="s">
        <v>64</v>
      </c>
      <c r="K1474" s="3" t="s">
        <v>65</v>
      </c>
      <c r="L1474" s="2" t="s">
        <v>14892</v>
      </c>
      <c r="M1474" s="2" t="s">
        <v>14893</v>
      </c>
      <c r="N1474" s="3" t="s">
        <v>67</v>
      </c>
      <c r="P1474" s="3" t="s">
        <v>102</v>
      </c>
      <c r="R1474" s="3" t="s">
        <v>70</v>
      </c>
      <c r="S1474" s="4">
        <v>5</v>
      </c>
      <c r="T1474" s="4">
        <v>5</v>
      </c>
      <c r="U1474" s="5" t="s">
        <v>227</v>
      </c>
      <c r="V1474" s="5" t="s">
        <v>227</v>
      </c>
      <c r="W1474" s="5" t="s">
        <v>72</v>
      </c>
      <c r="X1474" s="5" t="s">
        <v>72</v>
      </c>
      <c r="Y1474" s="4">
        <v>240</v>
      </c>
      <c r="Z1474" s="4">
        <v>5</v>
      </c>
      <c r="AA1474" s="4">
        <v>104</v>
      </c>
      <c r="AB1474" s="4">
        <v>1</v>
      </c>
      <c r="AC1474" s="4">
        <v>15</v>
      </c>
      <c r="AD1474" s="4">
        <v>50</v>
      </c>
      <c r="AE1474" s="4">
        <v>120</v>
      </c>
      <c r="AF1474" s="4">
        <v>0</v>
      </c>
      <c r="AG1474" s="4">
        <v>8</v>
      </c>
      <c r="AH1474" s="4">
        <v>49</v>
      </c>
      <c r="AI1474" s="4">
        <v>81</v>
      </c>
      <c r="AJ1474" s="4">
        <v>1</v>
      </c>
      <c r="AK1474" s="4">
        <v>21</v>
      </c>
      <c r="AL1474" s="4">
        <v>27</v>
      </c>
      <c r="AM1474" s="4">
        <v>43</v>
      </c>
      <c r="AN1474" s="4">
        <v>0</v>
      </c>
      <c r="AO1474" s="4">
        <v>0</v>
      </c>
      <c r="AP1474" s="4">
        <v>1</v>
      </c>
      <c r="AQ1474" s="4">
        <v>42</v>
      </c>
      <c r="AR1474" s="3" t="s">
        <v>64</v>
      </c>
      <c r="AS1474" s="3" t="s">
        <v>64</v>
      </c>
      <c r="AT1474" s="3" t="s">
        <v>64</v>
      </c>
      <c r="AV1474" s="6" t="str">
        <f>HYPERLINK("http://mcgill.on.worldcat.org/oclc/810534116","Catalog Record")</f>
        <v>Catalog Record</v>
      </c>
      <c r="AW1474" s="6" t="str">
        <f>HYPERLINK("http://www.worldcat.org/oclc/810534116","WorldCat Record")</f>
        <v>WorldCat Record</v>
      </c>
      <c r="AX1474" s="3" t="s">
        <v>14894</v>
      </c>
      <c r="AY1474" s="3" t="s">
        <v>14895</v>
      </c>
      <c r="AZ1474" s="3" t="s">
        <v>14896</v>
      </c>
      <c r="BA1474" s="3" t="s">
        <v>14896</v>
      </c>
      <c r="BB1474" s="3" t="s">
        <v>14897</v>
      </c>
      <c r="BC1474" s="3" t="s">
        <v>77</v>
      </c>
      <c r="BD1474" s="3" t="s">
        <v>165</v>
      </c>
      <c r="BE1474" s="3" t="s">
        <v>14898</v>
      </c>
      <c r="BF1474" s="3" t="s">
        <v>14897</v>
      </c>
      <c r="BG1474" s="3" t="s">
        <v>14899</v>
      </c>
      <c r="BH1474">
        <f t="shared" ref="BH1474:BH1537" si="43">IF(COUNTIF($BF$1:$BF$5431,BF1474)=1,0,1)</f>
        <v>0</v>
      </c>
    </row>
    <row r="1475" spans="1:60" ht="58" x14ac:dyDescent="0.35">
      <c r="A1475" s="2" t="s">
        <v>59</v>
      </c>
      <c r="B1475" s="2" t="s">
        <v>60</v>
      </c>
      <c r="C1475" s="2" t="s">
        <v>14900</v>
      </c>
      <c r="D1475" s="2" t="s">
        <v>14901</v>
      </c>
      <c r="E1475" s="2" t="s">
        <v>14902</v>
      </c>
      <c r="G1475" s="3" t="s">
        <v>64</v>
      </c>
      <c r="I1475" s="3" t="s">
        <v>64</v>
      </c>
      <c r="J1475" s="3" t="s">
        <v>64</v>
      </c>
      <c r="K1475" s="3" t="s">
        <v>65</v>
      </c>
      <c r="L1475" s="2" t="s">
        <v>14903</v>
      </c>
      <c r="M1475" s="2" t="s">
        <v>14904</v>
      </c>
      <c r="N1475" s="3" t="s">
        <v>511</v>
      </c>
      <c r="P1475" s="3" t="s">
        <v>102</v>
      </c>
      <c r="R1475" s="3" t="s">
        <v>70</v>
      </c>
      <c r="S1475" s="4">
        <v>7</v>
      </c>
      <c r="T1475" s="4">
        <v>7</v>
      </c>
      <c r="U1475" s="5" t="s">
        <v>14905</v>
      </c>
      <c r="V1475" s="5" t="s">
        <v>14905</v>
      </c>
      <c r="W1475" s="5" t="s">
        <v>72</v>
      </c>
      <c r="X1475" s="5" t="s">
        <v>72</v>
      </c>
      <c r="Y1475" s="4">
        <v>203</v>
      </c>
      <c r="Z1475" s="4">
        <v>19</v>
      </c>
      <c r="AA1475" s="4">
        <v>27</v>
      </c>
      <c r="AB1475" s="4">
        <v>2</v>
      </c>
      <c r="AC1475" s="4">
        <v>5</v>
      </c>
      <c r="AD1475" s="4">
        <v>63</v>
      </c>
      <c r="AE1475" s="4">
        <v>80</v>
      </c>
      <c r="AF1475" s="4">
        <v>1</v>
      </c>
      <c r="AG1475" s="4">
        <v>2</v>
      </c>
      <c r="AH1475" s="4">
        <v>52</v>
      </c>
      <c r="AI1475" s="4">
        <v>65</v>
      </c>
      <c r="AJ1475" s="4">
        <v>10</v>
      </c>
      <c r="AK1475" s="4">
        <v>14</v>
      </c>
      <c r="AL1475" s="4">
        <v>34</v>
      </c>
      <c r="AM1475" s="4">
        <v>39</v>
      </c>
      <c r="AN1475" s="4">
        <v>0</v>
      </c>
      <c r="AO1475" s="4">
        <v>0</v>
      </c>
      <c r="AP1475" s="4">
        <v>15</v>
      </c>
      <c r="AQ1475" s="4">
        <v>19</v>
      </c>
      <c r="AR1475" s="3" t="s">
        <v>64</v>
      </c>
      <c r="AS1475" s="3" t="s">
        <v>64</v>
      </c>
      <c r="AT1475" s="3" t="s">
        <v>64</v>
      </c>
      <c r="AV1475" s="6" t="str">
        <f>HYPERLINK("http://mcgill.on.worldcat.org/oclc/468232917","Catalog Record")</f>
        <v>Catalog Record</v>
      </c>
      <c r="AW1475" s="6" t="str">
        <f>HYPERLINK("http://www.worldcat.org/oclc/468232917","WorldCat Record")</f>
        <v>WorldCat Record</v>
      </c>
      <c r="AX1475" s="3" t="s">
        <v>14906</v>
      </c>
      <c r="AY1475" s="3" t="s">
        <v>14907</v>
      </c>
      <c r="AZ1475" s="3" t="s">
        <v>14908</v>
      </c>
      <c r="BA1475" s="3" t="s">
        <v>14908</v>
      </c>
      <c r="BB1475" s="3" t="s">
        <v>14909</v>
      </c>
      <c r="BC1475" s="3" t="s">
        <v>77</v>
      </c>
      <c r="BD1475" s="3" t="s">
        <v>78</v>
      </c>
      <c r="BE1475" s="3" t="s">
        <v>14910</v>
      </c>
      <c r="BF1475" s="3" t="s">
        <v>14909</v>
      </c>
      <c r="BG1475" s="3" t="s">
        <v>14911</v>
      </c>
      <c r="BH1475">
        <f t="shared" si="43"/>
        <v>0</v>
      </c>
    </row>
    <row r="1476" spans="1:60" ht="58" x14ac:dyDescent="0.35">
      <c r="A1476" s="2" t="s">
        <v>59</v>
      </c>
      <c r="B1476" s="2" t="s">
        <v>60</v>
      </c>
      <c r="C1476" s="2" t="s">
        <v>14912</v>
      </c>
      <c r="D1476" s="2" t="s">
        <v>14913</v>
      </c>
      <c r="E1476" s="2" t="s">
        <v>14914</v>
      </c>
      <c r="G1476" s="3" t="s">
        <v>64</v>
      </c>
      <c r="I1476" s="3" t="s">
        <v>64</v>
      </c>
      <c r="J1476" s="3" t="s">
        <v>64</v>
      </c>
      <c r="K1476" s="3" t="s">
        <v>65</v>
      </c>
      <c r="L1476" s="2" t="s">
        <v>14915</v>
      </c>
      <c r="M1476" s="2" t="s">
        <v>14840</v>
      </c>
      <c r="N1476" s="3" t="s">
        <v>511</v>
      </c>
      <c r="P1476" s="3" t="s">
        <v>102</v>
      </c>
      <c r="R1476" s="3" t="s">
        <v>70</v>
      </c>
      <c r="S1476" s="4">
        <v>12</v>
      </c>
      <c r="T1476" s="4">
        <v>12</v>
      </c>
      <c r="U1476" s="5" t="s">
        <v>14916</v>
      </c>
      <c r="V1476" s="5" t="s">
        <v>14916</v>
      </c>
      <c r="W1476" s="5" t="s">
        <v>72</v>
      </c>
      <c r="X1476" s="5" t="s">
        <v>72</v>
      </c>
      <c r="Y1476" s="4">
        <v>177</v>
      </c>
      <c r="Z1476" s="4">
        <v>14</v>
      </c>
      <c r="AA1476" s="4">
        <v>16</v>
      </c>
      <c r="AB1476" s="4">
        <v>2</v>
      </c>
      <c r="AC1476" s="4">
        <v>4</v>
      </c>
      <c r="AD1476" s="4">
        <v>51</v>
      </c>
      <c r="AE1476" s="4">
        <v>53</v>
      </c>
      <c r="AF1476" s="4">
        <v>1</v>
      </c>
      <c r="AG1476" s="4">
        <v>3</v>
      </c>
      <c r="AH1476" s="4">
        <v>45</v>
      </c>
      <c r="AI1476" s="4">
        <v>46</v>
      </c>
      <c r="AJ1476" s="4">
        <v>8</v>
      </c>
      <c r="AK1476" s="4">
        <v>10</v>
      </c>
      <c r="AL1476" s="4">
        <v>28</v>
      </c>
      <c r="AM1476" s="4">
        <v>28</v>
      </c>
      <c r="AN1476" s="4">
        <v>0</v>
      </c>
      <c r="AO1476" s="4">
        <v>0</v>
      </c>
      <c r="AP1476" s="4">
        <v>11</v>
      </c>
      <c r="AQ1476" s="4">
        <v>12</v>
      </c>
      <c r="AR1476" s="3" t="s">
        <v>64</v>
      </c>
      <c r="AS1476" s="3" t="s">
        <v>64</v>
      </c>
      <c r="AT1476" s="3" t="s">
        <v>64</v>
      </c>
      <c r="AV1476" s="6" t="str">
        <f>HYPERLINK("http://mcgill.on.worldcat.org/oclc/645246127","Catalog Record")</f>
        <v>Catalog Record</v>
      </c>
      <c r="AW1476" s="6" t="str">
        <f>HYPERLINK("http://www.worldcat.org/oclc/645246127","WorldCat Record")</f>
        <v>WorldCat Record</v>
      </c>
      <c r="AX1476" s="3" t="s">
        <v>14917</v>
      </c>
      <c r="AY1476" s="3" t="s">
        <v>14918</v>
      </c>
      <c r="AZ1476" s="3" t="s">
        <v>14919</v>
      </c>
      <c r="BA1476" s="3" t="s">
        <v>14919</v>
      </c>
      <c r="BB1476" s="3" t="s">
        <v>14920</v>
      </c>
      <c r="BC1476" s="3" t="s">
        <v>77</v>
      </c>
      <c r="BD1476" s="3" t="s">
        <v>165</v>
      </c>
      <c r="BE1476" s="3" t="s">
        <v>14921</v>
      </c>
      <c r="BF1476" s="3" t="s">
        <v>14920</v>
      </c>
      <c r="BG1476" s="3" t="s">
        <v>14922</v>
      </c>
      <c r="BH1476">
        <f t="shared" si="43"/>
        <v>0</v>
      </c>
    </row>
    <row r="1477" spans="1:60" ht="58" x14ac:dyDescent="0.35">
      <c r="A1477" s="2" t="s">
        <v>59</v>
      </c>
      <c r="B1477" s="2" t="s">
        <v>60</v>
      </c>
      <c r="C1477" s="2" t="s">
        <v>14923</v>
      </c>
      <c r="D1477" s="2" t="s">
        <v>14924</v>
      </c>
      <c r="E1477" s="2" t="s">
        <v>14925</v>
      </c>
      <c r="G1477" s="3" t="s">
        <v>64</v>
      </c>
      <c r="I1477" s="3" t="s">
        <v>64</v>
      </c>
      <c r="J1477" s="3" t="s">
        <v>64</v>
      </c>
      <c r="K1477" s="3" t="s">
        <v>65</v>
      </c>
      <c r="L1477" s="2" t="s">
        <v>14926</v>
      </c>
      <c r="M1477" s="2" t="s">
        <v>8509</v>
      </c>
      <c r="N1477" s="3" t="s">
        <v>144</v>
      </c>
      <c r="P1477" s="3" t="s">
        <v>102</v>
      </c>
      <c r="R1477" s="3" t="s">
        <v>70</v>
      </c>
      <c r="S1477" s="4">
        <v>9</v>
      </c>
      <c r="T1477" s="4">
        <v>9</v>
      </c>
      <c r="U1477" s="5" t="s">
        <v>14927</v>
      </c>
      <c r="V1477" s="5" t="s">
        <v>14927</v>
      </c>
      <c r="W1477" s="5" t="s">
        <v>72</v>
      </c>
      <c r="X1477" s="5" t="s">
        <v>72</v>
      </c>
      <c r="Y1477" s="4">
        <v>115</v>
      </c>
      <c r="Z1477" s="4">
        <v>9</v>
      </c>
      <c r="AA1477" s="4">
        <v>14</v>
      </c>
      <c r="AB1477" s="4">
        <v>1</v>
      </c>
      <c r="AC1477" s="4">
        <v>4</v>
      </c>
      <c r="AD1477" s="4">
        <v>31</v>
      </c>
      <c r="AE1477" s="4">
        <v>37</v>
      </c>
      <c r="AF1477" s="4">
        <v>0</v>
      </c>
      <c r="AG1477" s="4">
        <v>1</v>
      </c>
      <c r="AH1477" s="4">
        <v>28</v>
      </c>
      <c r="AI1477" s="4">
        <v>32</v>
      </c>
      <c r="AJ1477" s="4">
        <v>6</v>
      </c>
      <c r="AK1477" s="4">
        <v>7</v>
      </c>
      <c r="AL1477" s="4">
        <v>19</v>
      </c>
      <c r="AM1477" s="4">
        <v>21</v>
      </c>
      <c r="AN1477" s="4">
        <v>1</v>
      </c>
      <c r="AO1477" s="4">
        <v>1</v>
      </c>
      <c r="AP1477" s="4">
        <v>6</v>
      </c>
      <c r="AQ1477" s="4">
        <v>7</v>
      </c>
      <c r="AR1477" s="3" t="s">
        <v>64</v>
      </c>
      <c r="AS1477" s="3" t="s">
        <v>64</v>
      </c>
      <c r="AT1477" s="3" t="s">
        <v>128</v>
      </c>
      <c r="AU1477" s="6" t="str">
        <f>HYPERLINK("http://catalog.hathitrust.org/Record/005807371","HathiTrust Record")</f>
        <v>HathiTrust Record</v>
      </c>
      <c r="AV1477" s="6" t="str">
        <f>HYPERLINK("http://mcgill.on.worldcat.org/oclc/230988173","Catalog Record")</f>
        <v>Catalog Record</v>
      </c>
      <c r="AW1477" s="6" t="str">
        <f>HYPERLINK("http://www.worldcat.org/oclc/230988173","WorldCat Record")</f>
        <v>WorldCat Record</v>
      </c>
      <c r="AX1477" s="3" t="s">
        <v>14928</v>
      </c>
      <c r="AY1477" s="3" t="s">
        <v>14929</v>
      </c>
      <c r="AZ1477" s="3" t="s">
        <v>14930</v>
      </c>
      <c r="BA1477" s="3" t="s">
        <v>14930</v>
      </c>
      <c r="BB1477" s="3" t="s">
        <v>14931</v>
      </c>
      <c r="BC1477" s="3" t="s">
        <v>77</v>
      </c>
      <c r="BD1477" s="3" t="s">
        <v>78</v>
      </c>
      <c r="BE1477" s="3" t="s">
        <v>14932</v>
      </c>
      <c r="BF1477" s="3" t="s">
        <v>14931</v>
      </c>
      <c r="BG1477" s="3" t="s">
        <v>14933</v>
      </c>
      <c r="BH1477">
        <f t="shared" si="43"/>
        <v>0</v>
      </c>
    </row>
    <row r="1478" spans="1:60" ht="58" x14ac:dyDescent="0.35">
      <c r="A1478" s="2" t="s">
        <v>59</v>
      </c>
      <c r="B1478" s="2" t="s">
        <v>60</v>
      </c>
      <c r="C1478" s="2" t="s">
        <v>14934</v>
      </c>
      <c r="D1478" s="2" t="s">
        <v>14935</v>
      </c>
      <c r="E1478" s="2" t="s">
        <v>14936</v>
      </c>
      <c r="G1478" s="3" t="s">
        <v>64</v>
      </c>
      <c r="I1478" s="3" t="s">
        <v>64</v>
      </c>
      <c r="J1478" s="3" t="s">
        <v>128</v>
      </c>
      <c r="K1478" s="3" t="s">
        <v>65</v>
      </c>
      <c r="L1478" s="2" t="s">
        <v>14937</v>
      </c>
      <c r="M1478" s="2" t="s">
        <v>14938</v>
      </c>
      <c r="N1478" s="3" t="s">
        <v>511</v>
      </c>
      <c r="O1478" s="2" t="s">
        <v>172</v>
      </c>
      <c r="P1478" s="3" t="s">
        <v>102</v>
      </c>
      <c r="Q1478" s="2" t="s">
        <v>9205</v>
      </c>
      <c r="R1478" s="3" t="s">
        <v>70</v>
      </c>
      <c r="S1478" s="4">
        <v>10</v>
      </c>
      <c r="T1478" s="4">
        <v>10</v>
      </c>
      <c r="U1478" s="5" t="s">
        <v>12911</v>
      </c>
      <c r="V1478" s="5" t="s">
        <v>12911</v>
      </c>
      <c r="W1478" s="5" t="s">
        <v>72</v>
      </c>
      <c r="X1478" s="5" t="s">
        <v>72</v>
      </c>
      <c r="Y1478" s="4">
        <v>182</v>
      </c>
      <c r="Z1478" s="4">
        <v>15</v>
      </c>
      <c r="AA1478" s="4">
        <v>26</v>
      </c>
      <c r="AB1478" s="4">
        <v>3</v>
      </c>
      <c r="AC1478" s="4">
        <v>5</v>
      </c>
      <c r="AD1478" s="4">
        <v>49</v>
      </c>
      <c r="AE1478" s="4">
        <v>76</v>
      </c>
      <c r="AF1478" s="4">
        <v>1</v>
      </c>
      <c r="AG1478" s="4">
        <v>3</v>
      </c>
      <c r="AH1478" s="4">
        <v>45</v>
      </c>
      <c r="AI1478" s="4">
        <v>69</v>
      </c>
      <c r="AJ1478" s="4">
        <v>8</v>
      </c>
      <c r="AK1478" s="4">
        <v>15</v>
      </c>
      <c r="AL1478" s="4">
        <v>26</v>
      </c>
      <c r="AM1478" s="4">
        <v>36</v>
      </c>
      <c r="AN1478" s="4">
        <v>0</v>
      </c>
      <c r="AO1478" s="4">
        <v>0</v>
      </c>
      <c r="AP1478" s="4">
        <v>9</v>
      </c>
      <c r="AQ1478" s="4">
        <v>15</v>
      </c>
      <c r="AR1478" s="3" t="s">
        <v>64</v>
      </c>
      <c r="AS1478" s="3" t="s">
        <v>64</v>
      </c>
      <c r="AT1478" s="3" t="s">
        <v>64</v>
      </c>
      <c r="AV1478" s="6" t="str">
        <f>HYPERLINK("http://mcgill.on.worldcat.org/oclc/459209751","Catalog Record")</f>
        <v>Catalog Record</v>
      </c>
      <c r="AW1478" s="6" t="str">
        <f>HYPERLINK("http://www.worldcat.org/oclc/459209751","WorldCat Record")</f>
        <v>WorldCat Record</v>
      </c>
      <c r="AX1478" s="3" t="s">
        <v>14939</v>
      </c>
      <c r="AY1478" s="3" t="s">
        <v>14940</v>
      </c>
      <c r="AZ1478" s="3" t="s">
        <v>14941</v>
      </c>
      <c r="BA1478" s="3" t="s">
        <v>14941</v>
      </c>
      <c r="BB1478" s="3" t="s">
        <v>14942</v>
      </c>
      <c r="BC1478" s="3" t="s">
        <v>77</v>
      </c>
      <c r="BD1478" s="3" t="s">
        <v>165</v>
      </c>
      <c r="BE1478" s="3" t="s">
        <v>14943</v>
      </c>
      <c r="BF1478" s="3" t="s">
        <v>14942</v>
      </c>
      <c r="BG1478" s="3" t="s">
        <v>14944</v>
      </c>
      <c r="BH1478">
        <f t="shared" si="43"/>
        <v>0</v>
      </c>
    </row>
    <row r="1479" spans="1:60" ht="58" x14ac:dyDescent="0.35">
      <c r="A1479" s="2" t="s">
        <v>59</v>
      </c>
      <c r="B1479" s="2" t="s">
        <v>60</v>
      </c>
      <c r="C1479" s="2" t="s">
        <v>14945</v>
      </c>
      <c r="D1479" s="2" t="s">
        <v>14946</v>
      </c>
      <c r="E1479" s="2" t="s">
        <v>14947</v>
      </c>
      <c r="G1479" s="3" t="s">
        <v>64</v>
      </c>
      <c r="I1479" s="3" t="s">
        <v>64</v>
      </c>
      <c r="J1479" s="3" t="s">
        <v>64</v>
      </c>
      <c r="K1479" s="3" t="s">
        <v>65</v>
      </c>
      <c r="M1479" s="2" t="s">
        <v>14948</v>
      </c>
      <c r="N1479" s="3" t="s">
        <v>1075</v>
      </c>
      <c r="P1479" s="3" t="s">
        <v>102</v>
      </c>
      <c r="R1479" s="3" t="s">
        <v>70</v>
      </c>
      <c r="S1479" s="4">
        <v>9</v>
      </c>
      <c r="T1479" s="4">
        <v>9</v>
      </c>
      <c r="U1479" s="5" t="s">
        <v>14949</v>
      </c>
      <c r="V1479" s="5" t="s">
        <v>14949</v>
      </c>
      <c r="W1479" s="5" t="s">
        <v>72</v>
      </c>
      <c r="X1479" s="5" t="s">
        <v>72</v>
      </c>
      <c r="Y1479" s="4">
        <v>261</v>
      </c>
      <c r="Z1479" s="4">
        <v>18</v>
      </c>
      <c r="AA1479" s="4">
        <v>95</v>
      </c>
      <c r="AB1479" s="4">
        <v>1</v>
      </c>
      <c r="AC1479" s="4">
        <v>16</v>
      </c>
      <c r="AD1479" s="4">
        <v>57</v>
      </c>
      <c r="AE1479" s="4">
        <v>131</v>
      </c>
      <c r="AF1479" s="4">
        <v>0</v>
      </c>
      <c r="AG1479" s="4">
        <v>8</v>
      </c>
      <c r="AH1479" s="4">
        <v>51</v>
      </c>
      <c r="AI1479" s="4">
        <v>91</v>
      </c>
      <c r="AJ1479" s="4">
        <v>9</v>
      </c>
      <c r="AK1479" s="4">
        <v>23</v>
      </c>
      <c r="AL1479" s="4">
        <v>33</v>
      </c>
      <c r="AM1479" s="4">
        <v>48</v>
      </c>
      <c r="AN1479" s="4">
        <v>0</v>
      </c>
      <c r="AO1479" s="4">
        <v>0</v>
      </c>
      <c r="AP1479" s="4">
        <v>10</v>
      </c>
      <c r="AQ1479" s="4">
        <v>45</v>
      </c>
      <c r="AR1479" s="3" t="s">
        <v>64</v>
      </c>
      <c r="AS1479" s="3" t="s">
        <v>64</v>
      </c>
      <c r="AT1479" s="3" t="s">
        <v>64</v>
      </c>
      <c r="AV1479" s="6" t="str">
        <f>HYPERLINK("http://mcgill.on.worldcat.org/oclc/813540908","Catalog Record")</f>
        <v>Catalog Record</v>
      </c>
      <c r="AW1479" s="6" t="str">
        <f>HYPERLINK("http://www.worldcat.org/oclc/813540908","WorldCat Record")</f>
        <v>WorldCat Record</v>
      </c>
      <c r="AX1479" s="3" t="s">
        <v>14950</v>
      </c>
      <c r="AY1479" s="3" t="s">
        <v>14951</v>
      </c>
      <c r="AZ1479" s="3" t="s">
        <v>14952</v>
      </c>
      <c r="BA1479" s="3" t="s">
        <v>14952</v>
      </c>
      <c r="BB1479" s="3" t="s">
        <v>14953</v>
      </c>
      <c r="BC1479" s="3" t="s">
        <v>77</v>
      </c>
      <c r="BD1479" s="3" t="s">
        <v>78</v>
      </c>
      <c r="BE1479" s="3" t="s">
        <v>14954</v>
      </c>
      <c r="BF1479" s="3" t="s">
        <v>14953</v>
      </c>
      <c r="BG1479" s="3" t="s">
        <v>14955</v>
      </c>
      <c r="BH1479">
        <f t="shared" si="43"/>
        <v>0</v>
      </c>
    </row>
    <row r="1480" spans="1:60" ht="58" x14ac:dyDescent="0.35">
      <c r="A1480" s="2" t="s">
        <v>59</v>
      </c>
      <c r="B1480" s="2" t="s">
        <v>60</v>
      </c>
      <c r="C1480" s="2" t="s">
        <v>14956</v>
      </c>
      <c r="D1480" s="2" t="s">
        <v>14957</v>
      </c>
      <c r="E1480" s="2" t="s">
        <v>14958</v>
      </c>
      <c r="G1480" s="3" t="s">
        <v>64</v>
      </c>
      <c r="I1480" s="3" t="s">
        <v>64</v>
      </c>
      <c r="J1480" s="3" t="s">
        <v>64</v>
      </c>
      <c r="K1480" s="3" t="s">
        <v>65</v>
      </c>
      <c r="L1480" s="2" t="s">
        <v>14959</v>
      </c>
      <c r="M1480" s="2" t="s">
        <v>14056</v>
      </c>
      <c r="N1480" s="3" t="s">
        <v>1275</v>
      </c>
      <c r="P1480" s="3" t="s">
        <v>102</v>
      </c>
      <c r="Q1480" s="2" t="s">
        <v>14960</v>
      </c>
      <c r="R1480" s="3" t="s">
        <v>70</v>
      </c>
      <c r="S1480" s="4">
        <v>22</v>
      </c>
      <c r="T1480" s="4">
        <v>22</v>
      </c>
      <c r="U1480" s="5" t="s">
        <v>14961</v>
      </c>
      <c r="V1480" s="5" t="s">
        <v>14961</v>
      </c>
      <c r="W1480" s="5" t="s">
        <v>72</v>
      </c>
      <c r="X1480" s="5" t="s">
        <v>72</v>
      </c>
      <c r="Y1480" s="4">
        <v>365</v>
      </c>
      <c r="Z1480" s="4">
        <v>32</v>
      </c>
      <c r="AA1480" s="4">
        <v>35</v>
      </c>
      <c r="AB1480" s="4">
        <v>3</v>
      </c>
      <c r="AC1480" s="4">
        <v>5</v>
      </c>
      <c r="AD1480" s="4">
        <v>72</v>
      </c>
      <c r="AE1480" s="4">
        <v>77</v>
      </c>
      <c r="AF1480" s="4">
        <v>1</v>
      </c>
      <c r="AG1480" s="4">
        <v>2</v>
      </c>
      <c r="AH1480" s="4">
        <v>57</v>
      </c>
      <c r="AI1480" s="4">
        <v>58</v>
      </c>
      <c r="AJ1480" s="4">
        <v>14</v>
      </c>
      <c r="AK1480" s="4">
        <v>15</v>
      </c>
      <c r="AL1480" s="4">
        <v>31</v>
      </c>
      <c r="AM1480" s="4">
        <v>33</v>
      </c>
      <c r="AN1480" s="4">
        <v>0</v>
      </c>
      <c r="AO1480" s="4">
        <v>0</v>
      </c>
      <c r="AP1480" s="4">
        <v>17</v>
      </c>
      <c r="AQ1480" s="4">
        <v>18</v>
      </c>
      <c r="AR1480" s="3" t="s">
        <v>64</v>
      </c>
      <c r="AS1480" s="3" t="s">
        <v>64</v>
      </c>
      <c r="AT1480" s="3" t="s">
        <v>128</v>
      </c>
      <c r="AU1480" s="6" t="str">
        <f>HYPERLINK("http://catalog.hathitrust.org/Record/004752520","HathiTrust Record")</f>
        <v>HathiTrust Record</v>
      </c>
      <c r="AV1480" s="6" t="str">
        <f>HYPERLINK("http://mcgill.on.worldcat.org/oclc/53068496","Catalog Record")</f>
        <v>Catalog Record</v>
      </c>
      <c r="AW1480" s="6" t="str">
        <f>HYPERLINK("http://www.worldcat.org/oclc/53068496","WorldCat Record")</f>
        <v>WorldCat Record</v>
      </c>
      <c r="AX1480" s="3" t="s">
        <v>14962</v>
      </c>
      <c r="AY1480" s="3" t="s">
        <v>14963</v>
      </c>
      <c r="AZ1480" s="3" t="s">
        <v>14964</v>
      </c>
      <c r="BA1480" s="3" t="s">
        <v>14964</v>
      </c>
      <c r="BB1480" s="3" t="s">
        <v>14965</v>
      </c>
      <c r="BC1480" s="3" t="s">
        <v>77</v>
      </c>
      <c r="BD1480" s="3" t="s">
        <v>78</v>
      </c>
      <c r="BE1480" s="3" t="s">
        <v>14966</v>
      </c>
      <c r="BF1480" s="3" t="s">
        <v>14965</v>
      </c>
      <c r="BG1480" s="3" t="s">
        <v>14967</v>
      </c>
      <c r="BH1480">
        <f t="shared" si="43"/>
        <v>0</v>
      </c>
    </row>
    <row r="1481" spans="1:60" ht="58" x14ac:dyDescent="0.35">
      <c r="A1481" s="2" t="s">
        <v>59</v>
      </c>
      <c r="B1481" s="2" t="s">
        <v>60</v>
      </c>
      <c r="C1481" s="2" t="s">
        <v>14968</v>
      </c>
      <c r="D1481" s="2" t="s">
        <v>14969</v>
      </c>
      <c r="E1481" s="2" t="s">
        <v>14970</v>
      </c>
      <c r="G1481" s="3" t="s">
        <v>64</v>
      </c>
      <c r="I1481" s="3" t="s">
        <v>64</v>
      </c>
      <c r="J1481" s="3" t="s">
        <v>64</v>
      </c>
      <c r="K1481" s="3" t="s">
        <v>65</v>
      </c>
      <c r="L1481" s="2" t="s">
        <v>14971</v>
      </c>
      <c r="M1481" s="2" t="s">
        <v>14972</v>
      </c>
      <c r="N1481" s="3" t="s">
        <v>511</v>
      </c>
      <c r="P1481" s="3" t="s">
        <v>102</v>
      </c>
      <c r="R1481" s="3" t="s">
        <v>70</v>
      </c>
      <c r="S1481" s="4">
        <v>16</v>
      </c>
      <c r="T1481" s="4">
        <v>16</v>
      </c>
      <c r="U1481" s="5" t="s">
        <v>14973</v>
      </c>
      <c r="V1481" s="5" t="s">
        <v>14973</v>
      </c>
      <c r="W1481" s="5" t="s">
        <v>72</v>
      </c>
      <c r="X1481" s="5" t="s">
        <v>72</v>
      </c>
      <c r="Y1481" s="4">
        <v>222</v>
      </c>
      <c r="Z1481" s="4">
        <v>25</v>
      </c>
      <c r="AA1481" s="4">
        <v>114</v>
      </c>
      <c r="AB1481" s="4">
        <v>2</v>
      </c>
      <c r="AC1481" s="4">
        <v>19</v>
      </c>
      <c r="AD1481" s="4">
        <v>44</v>
      </c>
      <c r="AE1481" s="4">
        <v>125</v>
      </c>
      <c r="AF1481" s="4">
        <v>0</v>
      </c>
      <c r="AG1481" s="4">
        <v>8</v>
      </c>
      <c r="AH1481" s="4">
        <v>38</v>
      </c>
      <c r="AI1481" s="4">
        <v>86</v>
      </c>
      <c r="AJ1481" s="4">
        <v>11</v>
      </c>
      <c r="AK1481" s="4">
        <v>24</v>
      </c>
      <c r="AL1481" s="4">
        <v>21</v>
      </c>
      <c r="AM1481" s="4">
        <v>40</v>
      </c>
      <c r="AN1481" s="4">
        <v>0</v>
      </c>
      <c r="AO1481" s="4">
        <v>0</v>
      </c>
      <c r="AP1481" s="4">
        <v>13</v>
      </c>
      <c r="AQ1481" s="4">
        <v>46</v>
      </c>
      <c r="AR1481" s="3" t="s">
        <v>64</v>
      </c>
      <c r="AS1481" s="3" t="s">
        <v>64</v>
      </c>
      <c r="AT1481" s="3" t="s">
        <v>64</v>
      </c>
      <c r="AV1481" s="6" t="str">
        <f>HYPERLINK("http://mcgill.on.worldcat.org/oclc/609721530","Catalog Record")</f>
        <v>Catalog Record</v>
      </c>
      <c r="AW1481" s="6" t="str">
        <f>HYPERLINK("http://www.worldcat.org/oclc/609721530","WorldCat Record")</f>
        <v>WorldCat Record</v>
      </c>
      <c r="AX1481" s="3" t="s">
        <v>14974</v>
      </c>
      <c r="AY1481" s="3" t="s">
        <v>14975</v>
      </c>
      <c r="AZ1481" s="3" t="s">
        <v>14976</v>
      </c>
      <c r="BA1481" s="3" t="s">
        <v>14976</v>
      </c>
      <c r="BB1481" s="3" t="s">
        <v>14977</v>
      </c>
      <c r="BC1481" s="3" t="s">
        <v>77</v>
      </c>
      <c r="BD1481" s="3" t="s">
        <v>165</v>
      </c>
      <c r="BE1481" s="3" t="s">
        <v>14978</v>
      </c>
      <c r="BF1481" s="3" t="s">
        <v>14977</v>
      </c>
      <c r="BG1481" s="3" t="s">
        <v>14979</v>
      </c>
      <c r="BH1481">
        <f t="shared" si="43"/>
        <v>0</v>
      </c>
    </row>
    <row r="1482" spans="1:60" ht="58" x14ac:dyDescent="0.35">
      <c r="A1482" s="2" t="s">
        <v>59</v>
      </c>
      <c r="B1482" s="2" t="s">
        <v>60</v>
      </c>
      <c r="C1482" s="2" t="s">
        <v>14980</v>
      </c>
      <c r="D1482" s="2" t="s">
        <v>14981</v>
      </c>
      <c r="E1482" s="2" t="s">
        <v>14982</v>
      </c>
      <c r="G1482" s="3" t="s">
        <v>64</v>
      </c>
      <c r="I1482" s="3" t="s">
        <v>64</v>
      </c>
      <c r="J1482" s="3" t="s">
        <v>64</v>
      </c>
      <c r="K1482" s="3" t="s">
        <v>65</v>
      </c>
      <c r="L1482" s="2" t="s">
        <v>14983</v>
      </c>
      <c r="M1482" s="2" t="s">
        <v>14984</v>
      </c>
      <c r="N1482" s="3" t="s">
        <v>86</v>
      </c>
      <c r="O1482" s="2" t="s">
        <v>117</v>
      </c>
      <c r="P1482" s="3" t="s">
        <v>102</v>
      </c>
      <c r="R1482" s="3" t="s">
        <v>70</v>
      </c>
      <c r="S1482" s="4">
        <v>2</v>
      </c>
      <c r="T1482" s="4">
        <v>2</v>
      </c>
      <c r="U1482" s="5" t="s">
        <v>14985</v>
      </c>
      <c r="V1482" s="5" t="s">
        <v>14985</v>
      </c>
      <c r="W1482" s="5" t="s">
        <v>72</v>
      </c>
      <c r="X1482" s="5" t="s">
        <v>72</v>
      </c>
      <c r="Y1482" s="4">
        <v>50</v>
      </c>
      <c r="Z1482" s="4">
        <v>4</v>
      </c>
      <c r="AA1482" s="4">
        <v>4</v>
      </c>
      <c r="AB1482" s="4">
        <v>1</v>
      </c>
      <c r="AC1482" s="4">
        <v>1</v>
      </c>
      <c r="AD1482" s="4">
        <v>21</v>
      </c>
      <c r="AE1482" s="4">
        <v>21</v>
      </c>
      <c r="AF1482" s="4">
        <v>0</v>
      </c>
      <c r="AG1482" s="4">
        <v>0</v>
      </c>
      <c r="AH1482" s="4">
        <v>20</v>
      </c>
      <c r="AI1482" s="4">
        <v>20</v>
      </c>
      <c r="AJ1482" s="4">
        <v>3</v>
      </c>
      <c r="AK1482" s="4">
        <v>3</v>
      </c>
      <c r="AL1482" s="4">
        <v>15</v>
      </c>
      <c r="AM1482" s="4">
        <v>15</v>
      </c>
      <c r="AN1482" s="4">
        <v>0</v>
      </c>
      <c r="AO1482" s="4">
        <v>0</v>
      </c>
      <c r="AP1482" s="4">
        <v>3</v>
      </c>
      <c r="AQ1482" s="4">
        <v>3</v>
      </c>
      <c r="AR1482" s="3" t="s">
        <v>64</v>
      </c>
      <c r="AS1482" s="3" t="s">
        <v>64</v>
      </c>
      <c r="AT1482" s="3" t="s">
        <v>64</v>
      </c>
      <c r="AV1482" s="6" t="str">
        <f>HYPERLINK("http://mcgill.on.worldcat.org/oclc/785736653","Catalog Record")</f>
        <v>Catalog Record</v>
      </c>
      <c r="AW1482" s="6" t="str">
        <f>HYPERLINK("http://www.worldcat.org/oclc/785736653","WorldCat Record")</f>
        <v>WorldCat Record</v>
      </c>
      <c r="AX1482" s="3" t="s">
        <v>14986</v>
      </c>
      <c r="AY1482" s="3" t="s">
        <v>14987</v>
      </c>
      <c r="AZ1482" s="3" t="s">
        <v>14988</v>
      </c>
      <c r="BA1482" s="3" t="s">
        <v>14988</v>
      </c>
      <c r="BB1482" s="3" t="s">
        <v>14989</v>
      </c>
      <c r="BC1482" s="3" t="s">
        <v>77</v>
      </c>
      <c r="BD1482" s="3" t="s">
        <v>78</v>
      </c>
      <c r="BE1482" s="3" t="s">
        <v>14990</v>
      </c>
      <c r="BF1482" s="3" t="s">
        <v>14989</v>
      </c>
      <c r="BG1482" s="3" t="s">
        <v>14991</v>
      </c>
      <c r="BH1482">
        <f t="shared" si="43"/>
        <v>0</v>
      </c>
    </row>
    <row r="1483" spans="1:60" ht="58" x14ac:dyDescent="0.35">
      <c r="A1483" s="2" t="s">
        <v>59</v>
      </c>
      <c r="B1483" s="2" t="s">
        <v>60</v>
      </c>
      <c r="C1483" s="2" t="s">
        <v>14992</v>
      </c>
      <c r="D1483" s="2" t="s">
        <v>14993</v>
      </c>
      <c r="E1483" s="2" t="s">
        <v>14994</v>
      </c>
      <c r="G1483" s="3" t="s">
        <v>64</v>
      </c>
      <c r="I1483" s="3" t="s">
        <v>64</v>
      </c>
      <c r="J1483" s="3" t="s">
        <v>64</v>
      </c>
      <c r="K1483" s="3" t="s">
        <v>65</v>
      </c>
      <c r="M1483" s="2" t="s">
        <v>14995</v>
      </c>
      <c r="N1483" s="3" t="s">
        <v>1275</v>
      </c>
      <c r="P1483" s="3" t="s">
        <v>102</v>
      </c>
      <c r="R1483" s="3" t="s">
        <v>70</v>
      </c>
      <c r="S1483" s="4">
        <v>43</v>
      </c>
      <c r="T1483" s="4">
        <v>43</v>
      </c>
      <c r="U1483" s="5" t="s">
        <v>14996</v>
      </c>
      <c r="V1483" s="5" t="s">
        <v>14996</v>
      </c>
      <c r="W1483" s="5" t="s">
        <v>72</v>
      </c>
      <c r="X1483" s="5" t="s">
        <v>72</v>
      </c>
      <c r="Y1483" s="4">
        <v>654</v>
      </c>
      <c r="Z1483" s="4">
        <v>39</v>
      </c>
      <c r="AA1483" s="4">
        <v>114</v>
      </c>
      <c r="AB1483" s="4">
        <v>4</v>
      </c>
      <c r="AC1483" s="4">
        <v>19</v>
      </c>
      <c r="AD1483" s="4">
        <v>113</v>
      </c>
      <c r="AE1483" s="4">
        <v>142</v>
      </c>
      <c r="AF1483" s="4">
        <v>1</v>
      </c>
      <c r="AG1483" s="4">
        <v>8</v>
      </c>
      <c r="AH1483" s="4">
        <v>95</v>
      </c>
      <c r="AI1483" s="4">
        <v>103</v>
      </c>
      <c r="AJ1483" s="4">
        <v>16</v>
      </c>
      <c r="AK1483" s="4">
        <v>22</v>
      </c>
      <c r="AL1483" s="4">
        <v>49</v>
      </c>
      <c r="AM1483" s="4">
        <v>53</v>
      </c>
      <c r="AN1483" s="4">
        <v>0</v>
      </c>
      <c r="AO1483" s="4">
        <v>0</v>
      </c>
      <c r="AP1483" s="4">
        <v>24</v>
      </c>
      <c r="AQ1483" s="4">
        <v>46</v>
      </c>
      <c r="AR1483" s="3" t="s">
        <v>64</v>
      </c>
      <c r="AS1483" s="3" t="s">
        <v>64</v>
      </c>
      <c r="AT1483" s="3" t="s">
        <v>64</v>
      </c>
      <c r="AV1483" s="6" t="str">
        <f>HYPERLINK("http://mcgill.on.worldcat.org/oclc/54528888","Catalog Record")</f>
        <v>Catalog Record</v>
      </c>
      <c r="AW1483" s="6" t="str">
        <f>HYPERLINK("http://www.worldcat.org/oclc/54528888","WorldCat Record")</f>
        <v>WorldCat Record</v>
      </c>
      <c r="AX1483" s="3" t="s">
        <v>14997</v>
      </c>
      <c r="AY1483" s="3" t="s">
        <v>14998</v>
      </c>
      <c r="AZ1483" s="3" t="s">
        <v>14999</v>
      </c>
      <c r="BA1483" s="3" t="s">
        <v>14999</v>
      </c>
      <c r="BB1483" s="3" t="s">
        <v>15000</v>
      </c>
      <c r="BC1483" s="3" t="s">
        <v>77</v>
      </c>
      <c r="BD1483" s="3" t="s">
        <v>165</v>
      </c>
      <c r="BE1483" s="3" t="s">
        <v>15001</v>
      </c>
      <c r="BF1483" s="3" t="s">
        <v>15000</v>
      </c>
      <c r="BG1483" s="3" t="s">
        <v>15002</v>
      </c>
      <c r="BH1483">
        <f t="shared" si="43"/>
        <v>0</v>
      </c>
    </row>
    <row r="1484" spans="1:60" ht="58" x14ac:dyDescent="0.35">
      <c r="A1484" s="2" t="s">
        <v>59</v>
      </c>
      <c r="B1484" s="2" t="s">
        <v>60</v>
      </c>
      <c r="C1484" s="2" t="s">
        <v>15003</v>
      </c>
      <c r="D1484" s="2" t="s">
        <v>15004</v>
      </c>
      <c r="E1484" s="2" t="s">
        <v>15005</v>
      </c>
      <c r="G1484" s="3" t="s">
        <v>64</v>
      </c>
      <c r="I1484" s="3" t="s">
        <v>64</v>
      </c>
      <c r="J1484" s="3" t="s">
        <v>64</v>
      </c>
      <c r="K1484" s="3" t="s">
        <v>65</v>
      </c>
      <c r="L1484" s="2" t="s">
        <v>15006</v>
      </c>
      <c r="M1484" s="2" t="s">
        <v>15007</v>
      </c>
      <c r="N1484" s="3" t="s">
        <v>67</v>
      </c>
      <c r="P1484" s="3" t="s">
        <v>102</v>
      </c>
      <c r="R1484" s="3" t="s">
        <v>70</v>
      </c>
      <c r="S1484" s="4">
        <v>3</v>
      </c>
      <c r="T1484" s="4">
        <v>3</v>
      </c>
      <c r="U1484" s="5" t="s">
        <v>2091</v>
      </c>
      <c r="V1484" s="5" t="s">
        <v>2091</v>
      </c>
      <c r="W1484" s="5" t="s">
        <v>72</v>
      </c>
      <c r="X1484" s="5" t="s">
        <v>72</v>
      </c>
      <c r="Y1484" s="4">
        <v>90</v>
      </c>
      <c r="Z1484" s="4">
        <v>3</v>
      </c>
      <c r="AA1484" s="4">
        <v>16</v>
      </c>
      <c r="AB1484" s="4">
        <v>1</v>
      </c>
      <c r="AC1484" s="4">
        <v>3</v>
      </c>
      <c r="AD1484" s="4">
        <v>15</v>
      </c>
      <c r="AE1484" s="4">
        <v>43</v>
      </c>
      <c r="AF1484" s="4">
        <v>0</v>
      </c>
      <c r="AG1484" s="4">
        <v>2</v>
      </c>
      <c r="AH1484" s="4">
        <v>13</v>
      </c>
      <c r="AI1484" s="4">
        <v>33</v>
      </c>
      <c r="AJ1484" s="4">
        <v>1</v>
      </c>
      <c r="AK1484" s="4">
        <v>8</v>
      </c>
      <c r="AL1484" s="4">
        <v>9</v>
      </c>
      <c r="AM1484" s="4">
        <v>19</v>
      </c>
      <c r="AN1484" s="4">
        <v>0</v>
      </c>
      <c r="AO1484" s="4">
        <v>0</v>
      </c>
      <c r="AP1484" s="4">
        <v>1</v>
      </c>
      <c r="AQ1484" s="4">
        <v>10</v>
      </c>
      <c r="AR1484" s="3" t="s">
        <v>64</v>
      </c>
      <c r="AS1484" s="3" t="s">
        <v>64</v>
      </c>
      <c r="AT1484" s="3" t="s">
        <v>64</v>
      </c>
      <c r="AV1484" s="6" t="str">
        <f>HYPERLINK("http://mcgill.on.worldcat.org/oclc/889950880","Catalog Record")</f>
        <v>Catalog Record</v>
      </c>
      <c r="AW1484" s="6" t="str">
        <f>HYPERLINK("http://www.worldcat.org/oclc/889950880","WorldCat Record")</f>
        <v>WorldCat Record</v>
      </c>
      <c r="AX1484" s="3" t="s">
        <v>15008</v>
      </c>
      <c r="AY1484" s="3" t="s">
        <v>15009</v>
      </c>
      <c r="AZ1484" s="3" t="s">
        <v>15010</v>
      </c>
      <c r="BA1484" s="3" t="s">
        <v>15010</v>
      </c>
      <c r="BB1484" s="3" t="s">
        <v>15011</v>
      </c>
      <c r="BC1484" s="3" t="s">
        <v>77</v>
      </c>
      <c r="BD1484" s="3" t="s">
        <v>165</v>
      </c>
      <c r="BE1484" s="3" t="s">
        <v>15012</v>
      </c>
      <c r="BF1484" s="3" t="s">
        <v>15011</v>
      </c>
      <c r="BG1484" s="3" t="s">
        <v>15013</v>
      </c>
      <c r="BH1484">
        <f t="shared" si="43"/>
        <v>0</v>
      </c>
    </row>
    <row r="1485" spans="1:60" ht="58" x14ac:dyDescent="0.35">
      <c r="A1485" s="2" t="s">
        <v>59</v>
      </c>
      <c r="B1485" s="2" t="s">
        <v>60</v>
      </c>
      <c r="C1485" s="2" t="s">
        <v>15014</v>
      </c>
      <c r="D1485" s="2" t="s">
        <v>15015</v>
      </c>
      <c r="E1485" s="2" t="s">
        <v>15016</v>
      </c>
      <c r="G1485" s="3" t="s">
        <v>64</v>
      </c>
      <c r="I1485" s="3" t="s">
        <v>64</v>
      </c>
      <c r="J1485" s="3" t="s">
        <v>64</v>
      </c>
      <c r="K1485" s="3" t="s">
        <v>65</v>
      </c>
      <c r="M1485" s="2" t="s">
        <v>15017</v>
      </c>
      <c r="N1485" s="3" t="s">
        <v>1075</v>
      </c>
      <c r="O1485" s="2" t="s">
        <v>117</v>
      </c>
      <c r="P1485" s="3" t="s">
        <v>102</v>
      </c>
      <c r="Q1485" s="2" t="s">
        <v>14727</v>
      </c>
      <c r="R1485" s="3" t="s">
        <v>70</v>
      </c>
      <c r="S1485" s="4">
        <v>5</v>
      </c>
      <c r="T1485" s="4">
        <v>5</v>
      </c>
      <c r="U1485" s="5" t="s">
        <v>15018</v>
      </c>
      <c r="V1485" s="5" t="s">
        <v>15018</v>
      </c>
      <c r="W1485" s="5" t="s">
        <v>72</v>
      </c>
      <c r="X1485" s="5" t="s">
        <v>72</v>
      </c>
      <c r="Y1485" s="4">
        <v>76</v>
      </c>
      <c r="Z1485" s="4">
        <v>6</v>
      </c>
      <c r="AA1485" s="4">
        <v>87</v>
      </c>
      <c r="AB1485" s="4">
        <v>1</v>
      </c>
      <c r="AC1485" s="4">
        <v>15</v>
      </c>
      <c r="AD1485" s="4">
        <v>23</v>
      </c>
      <c r="AE1485" s="4">
        <v>111</v>
      </c>
      <c r="AF1485" s="4">
        <v>0</v>
      </c>
      <c r="AG1485" s="4">
        <v>8</v>
      </c>
      <c r="AH1485" s="4">
        <v>22</v>
      </c>
      <c r="AI1485" s="4">
        <v>76</v>
      </c>
      <c r="AJ1485" s="4">
        <v>4</v>
      </c>
      <c r="AK1485" s="4">
        <v>22</v>
      </c>
      <c r="AL1485" s="4">
        <v>14</v>
      </c>
      <c r="AM1485" s="4">
        <v>36</v>
      </c>
      <c r="AN1485" s="4">
        <v>0</v>
      </c>
      <c r="AO1485" s="4">
        <v>0</v>
      </c>
      <c r="AP1485" s="4">
        <v>4</v>
      </c>
      <c r="AQ1485" s="4">
        <v>44</v>
      </c>
      <c r="AR1485" s="3" t="s">
        <v>64</v>
      </c>
      <c r="AS1485" s="3" t="s">
        <v>64</v>
      </c>
      <c r="AT1485" s="3" t="s">
        <v>64</v>
      </c>
      <c r="AV1485" s="6" t="str">
        <f>HYPERLINK("http://mcgill.on.worldcat.org/oclc/812406910","Catalog Record")</f>
        <v>Catalog Record</v>
      </c>
      <c r="AW1485" s="6" t="str">
        <f>HYPERLINK("http://www.worldcat.org/oclc/812406910","WorldCat Record")</f>
        <v>WorldCat Record</v>
      </c>
      <c r="AX1485" s="3" t="s">
        <v>15019</v>
      </c>
      <c r="AY1485" s="3" t="s">
        <v>15020</v>
      </c>
      <c r="AZ1485" s="3" t="s">
        <v>15021</v>
      </c>
      <c r="BA1485" s="3" t="s">
        <v>15021</v>
      </c>
      <c r="BB1485" s="3" t="s">
        <v>15022</v>
      </c>
      <c r="BC1485" s="3" t="s">
        <v>77</v>
      </c>
      <c r="BD1485" s="3" t="s">
        <v>78</v>
      </c>
      <c r="BE1485" s="3" t="s">
        <v>15023</v>
      </c>
      <c r="BF1485" s="3" t="s">
        <v>15022</v>
      </c>
      <c r="BG1485" s="3" t="s">
        <v>15024</v>
      </c>
      <c r="BH1485">
        <f t="shared" si="43"/>
        <v>0</v>
      </c>
    </row>
    <row r="1486" spans="1:60" ht="58" x14ac:dyDescent="0.35">
      <c r="A1486" s="2" t="s">
        <v>59</v>
      </c>
      <c r="B1486" s="2" t="s">
        <v>60</v>
      </c>
      <c r="C1486" s="2" t="s">
        <v>15025</v>
      </c>
      <c r="D1486" s="2" t="s">
        <v>15026</v>
      </c>
      <c r="E1486" s="2" t="s">
        <v>15027</v>
      </c>
      <c r="G1486" s="3" t="s">
        <v>64</v>
      </c>
      <c r="I1486" s="3" t="s">
        <v>64</v>
      </c>
      <c r="J1486" s="3" t="s">
        <v>128</v>
      </c>
      <c r="K1486" s="3" t="s">
        <v>65</v>
      </c>
      <c r="L1486" s="2" t="s">
        <v>15028</v>
      </c>
      <c r="M1486" s="2" t="s">
        <v>15029</v>
      </c>
      <c r="N1486" s="3" t="s">
        <v>979</v>
      </c>
      <c r="O1486" s="2" t="s">
        <v>2994</v>
      </c>
      <c r="P1486" s="3" t="s">
        <v>102</v>
      </c>
      <c r="R1486" s="3" t="s">
        <v>70</v>
      </c>
      <c r="S1486" s="4">
        <v>18</v>
      </c>
      <c r="T1486" s="4">
        <v>18</v>
      </c>
      <c r="U1486" s="5" t="s">
        <v>15030</v>
      </c>
      <c r="V1486" s="5" t="s">
        <v>15030</v>
      </c>
      <c r="W1486" s="5" t="s">
        <v>72</v>
      </c>
      <c r="X1486" s="5" t="s">
        <v>72</v>
      </c>
      <c r="Y1486" s="4">
        <v>321</v>
      </c>
      <c r="Z1486" s="4">
        <v>23</v>
      </c>
      <c r="AA1486" s="4">
        <v>51</v>
      </c>
      <c r="AB1486" s="4">
        <v>3</v>
      </c>
      <c r="AC1486" s="4">
        <v>11</v>
      </c>
      <c r="AD1486" s="4">
        <v>55</v>
      </c>
      <c r="AE1486" s="4">
        <v>107</v>
      </c>
      <c r="AF1486" s="4">
        <v>2</v>
      </c>
      <c r="AG1486" s="4">
        <v>5</v>
      </c>
      <c r="AH1486" s="4">
        <v>49</v>
      </c>
      <c r="AI1486" s="4">
        <v>86</v>
      </c>
      <c r="AJ1486" s="4">
        <v>9</v>
      </c>
      <c r="AK1486" s="4">
        <v>20</v>
      </c>
      <c r="AL1486" s="4">
        <v>24</v>
      </c>
      <c r="AM1486" s="4">
        <v>42</v>
      </c>
      <c r="AN1486" s="4">
        <v>0</v>
      </c>
      <c r="AO1486" s="4">
        <v>0</v>
      </c>
      <c r="AP1486" s="4">
        <v>11</v>
      </c>
      <c r="AQ1486" s="4">
        <v>25</v>
      </c>
      <c r="AR1486" s="3" t="s">
        <v>64</v>
      </c>
      <c r="AS1486" s="3" t="s">
        <v>64</v>
      </c>
      <c r="AT1486" s="3" t="s">
        <v>128</v>
      </c>
      <c r="AU1486" s="6" t="str">
        <f>HYPERLINK("http://catalog.hathitrust.org/Record/006951924","HathiTrust Record")</f>
        <v>HathiTrust Record</v>
      </c>
      <c r="AV1486" s="6" t="str">
        <f>HYPERLINK("http://mcgill.on.worldcat.org/oclc/42383483","Catalog Record")</f>
        <v>Catalog Record</v>
      </c>
      <c r="AW1486" s="6" t="str">
        <f>HYPERLINK("http://www.worldcat.org/oclc/42383483","WorldCat Record")</f>
        <v>WorldCat Record</v>
      </c>
      <c r="AX1486" s="3" t="s">
        <v>15031</v>
      </c>
      <c r="AY1486" s="3" t="s">
        <v>15032</v>
      </c>
      <c r="AZ1486" s="3" t="s">
        <v>15033</v>
      </c>
      <c r="BA1486" s="3" t="s">
        <v>15033</v>
      </c>
      <c r="BB1486" s="3" t="s">
        <v>15034</v>
      </c>
      <c r="BC1486" s="3" t="s">
        <v>77</v>
      </c>
      <c r="BD1486" s="3" t="s">
        <v>78</v>
      </c>
      <c r="BE1486" s="3" t="s">
        <v>15035</v>
      </c>
      <c r="BF1486" s="3" t="s">
        <v>15034</v>
      </c>
      <c r="BG1486" s="3" t="s">
        <v>15036</v>
      </c>
      <c r="BH1486">
        <f t="shared" si="43"/>
        <v>0</v>
      </c>
    </row>
    <row r="1487" spans="1:60" ht="58" x14ac:dyDescent="0.35">
      <c r="A1487" s="2" t="s">
        <v>59</v>
      </c>
      <c r="B1487" s="2" t="s">
        <v>60</v>
      </c>
      <c r="C1487" s="2" t="s">
        <v>15037</v>
      </c>
      <c r="D1487" s="2" t="s">
        <v>15038</v>
      </c>
      <c r="E1487" s="2" t="s">
        <v>15039</v>
      </c>
      <c r="G1487" s="3" t="s">
        <v>64</v>
      </c>
      <c r="I1487" s="3" t="s">
        <v>128</v>
      </c>
      <c r="J1487" s="3" t="s">
        <v>128</v>
      </c>
      <c r="K1487" s="3" t="s">
        <v>65</v>
      </c>
      <c r="L1487" s="2" t="s">
        <v>15040</v>
      </c>
      <c r="M1487" s="2" t="s">
        <v>15041</v>
      </c>
      <c r="N1487" s="3" t="s">
        <v>144</v>
      </c>
      <c r="O1487" s="2" t="s">
        <v>7660</v>
      </c>
      <c r="P1487" s="3" t="s">
        <v>102</v>
      </c>
      <c r="R1487" s="3" t="s">
        <v>70</v>
      </c>
      <c r="S1487" s="4">
        <v>292</v>
      </c>
      <c r="T1487" s="4">
        <v>370</v>
      </c>
      <c r="U1487" s="5" t="s">
        <v>13422</v>
      </c>
      <c r="V1487" s="5" t="s">
        <v>716</v>
      </c>
      <c r="W1487" s="5" t="s">
        <v>72</v>
      </c>
      <c r="X1487" s="5" t="s">
        <v>72</v>
      </c>
      <c r="Y1487" s="4">
        <v>209</v>
      </c>
      <c r="Z1487" s="4">
        <v>14</v>
      </c>
      <c r="AA1487" s="4">
        <v>51</v>
      </c>
      <c r="AB1487" s="4">
        <v>1</v>
      </c>
      <c r="AC1487" s="4">
        <v>11</v>
      </c>
      <c r="AD1487" s="4">
        <v>36</v>
      </c>
      <c r="AE1487" s="4">
        <v>107</v>
      </c>
      <c r="AF1487" s="4">
        <v>0</v>
      </c>
      <c r="AG1487" s="4">
        <v>5</v>
      </c>
      <c r="AH1487" s="4">
        <v>31</v>
      </c>
      <c r="AI1487" s="4">
        <v>86</v>
      </c>
      <c r="AJ1487" s="4">
        <v>6</v>
      </c>
      <c r="AK1487" s="4">
        <v>20</v>
      </c>
      <c r="AL1487" s="4">
        <v>14</v>
      </c>
      <c r="AM1487" s="4">
        <v>42</v>
      </c>
      <c r="AN1487" s="4">
        <v>0</v>
      </c>
      <c r="AO1487" s="4">
        <v>0</v>
      </c>
      <c r="AP1487" s="4">
        <v>11</v>
      </c>
      <c r="AQ1487" s="4">
        <v>25</v>
      </c>
      <c r="AR1487" s="3" t="s">
        <v>64</v>
      </c>
      <c r="AS1487" s="3" t="s">
        <v>64</v>
      </c>
      <c r="AT1487" s="3" t="s">
        <v>64</v>
      </c>
      <c r="AV1487" s="6" t="str">
        <f>HYPERLINK("http://mcgill.on.worldcat.org/oclc/124031960","Catalog Record")</f>
        <v>Catalog Record</v>
      </c>
      <c r="AW1487" s="6" t="str">
        <f>HYPERLINK("http://www.worldcat.org/oclc/124031960","WorldCat Record")</f>
        <v>WorldCat Record</v>
      </c>
      <c r="AX1487" s="3" t="s">
        <v>15031</v>
      </c>
      <c r="AY1487" s="3" t="s">
        <v>15042</v>
      </c>
      <c r="AZ1487" s="3" t="s">
        <v>15043</v>
      </c>
      <c r="BA1487" s="3" t="s">
        <v>15043</v>
      </c>
      <c r="BB1487" s="3" t="s">
        <v>15044</v>
      </c>
      <c r="BC1487" s="3" t="s">
        <v>77</v>
      </c>
      <c r="BD1487" s="3" t="s">
        <v>165</v>
      </c>
      <c r="BE1487" s="3" t="s">
        <v>15045</v>
      </c>
      <c r="BF1487" s="3" t="s">
        <v>15044</v>
      </c>
      <c r="BG1487" s="3" t="s">
        <v>15046</v>
      </c>
      <c r="BH1487">
        <f t="shared" si="43"/>
        <v>0</v>
      </c>
    </row>
    <row r="1488" spans="1:60" ht="58" x14ac:dyDescent="0.35">
      <c r="A1488" s="2" t="s">
        <v>59</v>
      </c>
      <c r="B1488" s="2" t="s">
        <v>60</v>
      </c>
      <c r="C1488" s="2" t="s">
        <v>15037</v>
      </c>
      <c r="D1488" s="2" t="s">
        <v>15038</v>
      </c>
      <c r="E1488" s="2" t="s">
        <v>15039</v>
      </c>
      <c r="G1488" s="3" t="s">
        <v>64</v>
      </c>
      <c r="I1488" s="3" t="s">
        <v>128</v>
      </c>
      <c r="J1488" s="3" t="s">
        <v>128</v>
      </c>
      <c r="K1488" s="3" t="s">
        <v>65</v>
      </c>
      <c r="L1488" s="2" t="s">
        <v>15040</v>
      </c>
      <c r="M1488" s="2" t="s">
        <v>15041</v>
      </c>
      <c r="N1488" s="3" t="s">
        <v>144</v>
      </c>
      <c r="O1488" s="2" t="s">
        <v>7660</v>
      </c>
      <c r="P1488" s="3" t="s">
        <v>102</v>
      </c>
      <c r="R1488" s="3" t="s">
        <v>70</v>
      </c>
      <c r="S1488" s="4">
        <v>78</v>
      </c>
      <c r="T1488" s="4">
        <v>370</v>
      </c>
      <c r="U1488" s="5" t="s">
        <v>716</v>
      </c>
      <c r="V1488" s="5" t="s">
        <v>716</v>
      </c>
      <c r="W1488" s="5" t="s">
        <v>72</v>
      </c>
      <c r="X1488" s="5" t="s">
        <v>72</v>
      </c>
      <c r="Y1488" s="4">
        <v>209</v>
      </c>
      <c r="Z1488" s="4">
        <v>14</v>
      </c>
      <c r="AA1488" s="4">
        <v>51</v>
      </c>
      <c r="AB1488" s="4">
        <v>1</v>
      </c>
      <c r="AC1488" s="4">
        <v>11</v>
      </c>
      <c r="AD1488" s="4">
        <v>36</v>
      </c>
      <c r="AE1488" s="4">
        <v>107</v>
      </c>
      <c r="AF1488" s="4">
        <v>0</v>
      </c>
      <c r="AG1488" s="4">
        <v>5</v>
      </c>
      <c r="AH1488" s="4">
        <v>31</v>
      </c>
      <c r="AI1488" s="4">
        <v>86</v>
      </c>
      <c r="AJ1488" s="4">
        <v>6</v>
      </c>
      <c r="AK1488" s="4">
        <v>20</v>
      </c>
      <c r="AL1488" s="4">
        <v>14</v>
      </c>
      <c r="AM1488" s="4">
        <v>42</v>
      </c>
      <c r="AN1488" s="4">
        <v>0</v>
      </c>
      <c r="AO1488" s="4">
        <v>0</v>
      </c>
      <c r="AP1488" s="4">
        <v>11</v>
      </c>
      <c r="AQ1488" s="4">
        <v>25</v>
      </c>
      <c r="AR1488" s="3" t="s">
        <v>64</v>
      </c>
      <c r="AS1488" s="3" t="s">
        <v>64</v>
      </c>
      <c r="AT1488" s="3" t="s">
        <v>64</v>
      </c>
      <c r="AV1488" s="6" t="str">
        <f>HYPERLINK("http://mcgill.on.worldcat.org/oclc/124031960","Catalog Record")</f>
        <v>Catalog Record</v>
      </c>
      <c r="AW1488" s="6" t="str">
        <f>HYPERLINK("http://www.worldcat.org/oclc/124031960","WorldCat Record")</f>
        <v>WorldCat Record</v>
      </c>
      <c r="AX1488" s="3" t="s">
        <v>15031</v>
      </c>
      <c r="AY1488" s="3" t="s">
        <v>15042</v>
      </c>
      <c r="AZ1488" s="3" t="s">
        <v>15043</v>
      </c>
      <c r="BA1488" s="3" t="s">
        <v>15043</v>
      </c>
      <c r="BB1488" s="3" t="s">
        <v>15047</v>
      </c>
      <c r="BC1488" s="3" t="s">
        <v>77</v>
      </c>
      <c r="BD1488" s="3" t="s">
        <v>78</v>
      </c>
      <c r="BE1488" s="3" t="s">
        <v>15045</v>
      </c>
      <c r="BF1488" s="3" t="s">
        <v>15047</v>
      </c>
      <c r="BG1488" s="3" t="s">
        <v>15048</v>
      </c>
      <c r="BH1488">
        <f t="shared" si="43"/>
        <v>0</v>
      </c>
    </row>
    <row r="1489" spans="1:60" ht="58" x14ac:dyDescent="0.35">
      <c r="A1489" s="2" t="s">
        <v>59</v>
      </c>
      <c r="B1489" s="2" t="s">
        <v>60</v>
      </c>
      <c r="C1489" s="2" t="s">
        <v>15049</v>
      </c>
      <c r="D1489" s="2" t="s">
        <v>15050</v>
      </c>
      <c r="E1489" s="2" t="s">
        <v>15039</v>
      </c>
      <c r="G1489" s="3" t="s">
        <v>64</v>
      </c>
      <c r="I1489" s="3" t="s">
        <v>128</v>
      </c>
      <c r="J1489" s="3" t="s">
        <v>128</v>
      </c>
      <c r="K1489" s="3" t="s">
        <v>65</v>
      </c>
      <c r="L1489" s="2" t="s">
        <v>15028</v>
      </c>
      <c r="M1489" s="2" t="s">
        <v>15051</v>
      </c>
      <c r="N1489" s="3" t="s">
        <v>537</v>
      </c>
      <c r="O1489" s="2" t="s">
        <v>14853</v>
      </c>
      <c r="P1489" s="3" t="s">
        <v>102</v>
      </c>
      <c r="R1489" s="3" t="s">
        <v>70</v>
      </c>
      <c r="S1489" s="4">
        <v>2</v>
      </c>
      <c r="T1489" s="4">
        <v>8</v>
      </c>
      <c r="U1489" s="5" t="s">
        <v>15052</v>
      </c>
      <c r="V1489" s="5" t="s">
        <v>15053</v>
      </c>
      <c r="W1489" s="5" t="s">
        <v>72</v>
      </c>
      <c r="X1489" s="5" t="s">
        <v>10606</v>
      </c>
      <c r="Y1489" s="4">
        <v>1</v>
      </c>
      <c r="Z1489" s="4">
        <v>1</v>
      </c>
      <c r="AA1489" s="4">
        <v>51</v>
      </c>
      <c r="AB1489" s="4">
        <v>1</v>
      </c>
      <c r="AC1489" s="4">
        <v>11</v>
      </c>
      <c r="AD1489" s="4">
        <v>0</v>
      </c>
      <c r="AE1489" s="4">
        <v>107</v>
      </c>
      <c r="AF1489" s="4">
        <v>0</v>
      </c>
      <c r="AG1489" s="4">
        <v>5</v>
      </c>
      <c r="AH1489" s="4">
        <v>0</v>
      </c>
      <c r="AI1489" s="4">
        <v>86</v>
      </c>
      <c r="AJ1489" s="4">
        <v>0</v>
      </c>
      <c r="AK1489" s="4">
        <v>20</v>
      </c>
      <c r="AL1489" s="4">
        <v>0</v>
      </c>
      <c r="AM1489" s="4">
        <v>42</v>
      </c>
      <c r="AN1489" s="4">
        <v>0</v>
      </c>
      <c r="AO1489" s="4">
        <v>0</v>
      </c>
      <c r="AP1489" s="4">
        <v>0</v>
      </c>
      <c r="AQ1489" s="4">
        <v>25</v>
      </c>
      <c r="AR1489" s="3" t="s">
        <v>64</v>
      </c>
      <c r="AS1489" s="3" t="s">
        <v>64</v>
      </c>
      <c r="AT1489" s="3" t="s">
        <v>64</v>
      </c>
      <c r="AV1489" s="6" t="str">
        <f>HYPERLINK("http://mcgill.on.worldcat.org/oclc/1004775985","Catalog Record")</f>
        <v>Catalog Record</v>
      </c>
      <c r="AW1489" s="6" t="str">
        <f>HYPERLINK("http://www.worldcat.org/oclc/1004775985","WorldCat Record")</f>
        <v>WorldCat Record</v>
      </c>
      <c r="AX1489" s="3" t="s">
        <v>15031</v>
      </c>
      <c r="AY1489" s="3" t="s">
        <v>15054</v>
      </c>
      <c r="AZ1489" s="3" t="s">
        <v>15055</v>
      </c>
      <c r="BA1489" s="3" t="s">
        <v>15055</v>
      </c>
      <c r="BB1489" s="3" t="s">
        <v>15056</v>
      </c>
      <c r="BC1489" s="3" t="s">
        <v>77</v>
      </c>
      <c r="BD1489" s="3" t="s">
        <v>78</v>
      </c>
      <c r="BE1489" s="3" t="s">
        <v>15057</v>
      </c>
      <c r="BF1489" s="3" t="s">
        <v>15056</v>
      </c>
      <c r="BG1489" s="3" t="s">
        <v>15058</v>
      </c>
      <c r="BH1489">
        <f t="shared" si="43"/>
        <v>0</v>
      </c>
    </row>
    <row r="1490" spans="1:60" ht="101.5" x14ac:dyDescent="0.35">
      <c r="A1490" s="2" t="s">
        <v>59</v>
      </c>
      <c r="B1490" s="2" t="s">
        <v>15059</v>
      </c>
      <c r="C1490" s="2" t="s">
        <v>15049</v>
      </c>
      <c r="D1490" s="2" t="s">
        <v>15050</v>
      </c>
      <c r="E1490" s="2" t="s">
        <v>15039</v>
      </c>
      <c r="G1490" s="3" t="s">
        <v>64</v>
      </c>
      <c r="H1490" s="3" t="s">
        <v>183</v>
      </c>
      <c r="I1490" s="3" t="s">
        <v>128</v>
      </c>
      <c r="J1490" s="3" t="s">
        <v>128</v>
      </c>
      <c r="K1490" s="3" t="s">
        <v>65</v>
      </c>
      <c r="L1490" s="2" t="s">
        <v>15028</v>
      </c>
      <c r="M1490" s="2" t="s">
        <v>15051</v>
      </c>
      <c r="N1490" s="3" t="s">
        <v>537</v>
      </c>
      <c r="O1490" s="2" t="s">
        <v>14853</v>
      </c>
      <c r="P1490" s="3" t="s">
        <v>102</v>
      </c>
      <c r="R1490" s="3" t="s">
        <v>70</v>
      </c>
      <c r="S1490" s="4">
        <v>0</v>
      </c>
      <c r="T1490" s="4">
        <v>8</v>
      </c>
      <c r="V1490" s="5" t="s">
        <v>15053</v>
      </c>
      <c r="W1490" s="5" t="s">
        <v>10606</v>
      </c>
      <c r="X1490" s="5" t="s">
        <v>10606</v>
      </c>
      <c r="Y1490" s="4">
        <v>1</v>
      </c>
      <c r="Z1490" s="4">
        <v>1</v>
      </c>
      <c r="AA1490" s="4">
        <v>51</v>
      </c>
      <c r="AB1490" s="4">
        <v>1</v>
      </c>
      <c r="AC1490" s="4">
        <v>11</v>
      </c>
      <c r="AD1490" s="4">
        <v>0</v>
      </c>
      <c r="AE1490" s="4">
        <v>107</v>
      </c>
      <c r="AF1490" s="4">
        <v>0</v>
      </c>
      <c r="AG1490" s="4">
        <v>5</v>
      </c>
      <c r="AH1490" s="4">
        <v>0</v>
      </c>
      <c r="AI1490" s="4">
        <v>86</v>
      </c>
      <c r="AJ1490" s="4">
        <v>0</v>
      </c>
      <c r="AK1490" s="4">
        <v>20</v>
      </c>
      <c r="AL1490" s="4">
        <v>0</v>
      </c>
      <c r="AM1490" s="4">
        <v>42</v>
      </c>
      <c r="AN1490" s="4">
        <v>0</v>
      </c>
      <c r="AO1490" s="4">
        <v>0</v>
      </c>
      <c r="AP1490" s="4">
        <v>0</v>
      </c>
      <c r="AQ1490" s="4">
        <v>25</v>
      </c>
      <c r="AR1490" s="3" t="s">
        <v>64</v>
      </c>
      <c r="AS1490" s="3" t="s">
        <v>64</v>
      </c>
      <c r="AT1490" s="3" t="s">
        <v>64</v>
      </c>
      <c r="AV1490" s="6" t="str">
        <f>HYPERLINK("http://mcgill.on.worldcat.org/oclc/1004775985","Catalog Record")</f>
        <v>Catalog Record</v>
      </c>
      <c r="AW1490" s="6" t="str">
        <f>HYPERLINK("http://www.worldcat.org/oclc/1004775985","WorldCat Record")</f>
        <v>WorldCat Record</v>
      </c>
      <c r="AX1490" s="3" t="s">
        <v>15031</v>
      </c>
      <c r="AY1490" s="3" t="s">
        <v>15054</v>
      </c>
      <c r="AZ1490" s="3" t="s">
        <v>15055</v>
      </c>
      <c r="BA1490" s="3" t="s">
        <v>15055</v>
      </c>
      <c r="BB1490" s="3" t="s">
        <v>15060</v>
      </c>
      <c r="BC1490" s="3" t="s">
        <v>77</v>
      </c>
      <c r="BD1490" s="3" t="s">
        <v>78</v>
      </c>
      <c r="BE1490" s="3" t="s">
        <v>15057</v>
      </c>
      <c r="BF1490" s="3" t="s">
        <v>15060</v>
      </c>
      <c r="BG1490" s="3" t="s">
        <v>15061</v>
      </c>
      <c r="BH1490">
        <f t="shared" si="43"/>
        <v>0</v>
      </c>
    </row>
    <row r="1491" spans="1:60" ht="58" x14ac:dyDescent="0.35">
      <c r="A1491" s="2" t="s">
        <v>59</v>
      </c>
      <c r="B1491" s="2" t="s">
        <v>60</v>
      </c>
      <c r="C1491" s="2" t="s">
        <v>15049</v>
      </c>
      <c r="D1491" s="2" t="s">
        <v>15050</v>
      </c>
      <c r="E1491" s="2" t="s">
        <v>15039</v>
      </c>
      <c r="G1491" s="3" t="s">
        <v>64</v>
      </c>
      <c r="I1491" s="3" t="s">
        <v>128</v>
      </c>
      <c r="J1491" s="3" t="s">
        <v>128</v>
      </c>
      <c r="K1491" s="3" t="s">
        <v>65</v>
      </c>
      <c r="L1491" s="2" t="s">
        <v>15028</v>
      </c>
      <c r="M1491" s="2" t="s">
        <v>15051</v>
      </c>
      <c r="N1491" s="3" t="s">
        <v>537</v>
      </c>
      <c r="O1491" s="2" t="s">
        <v>14853</v>
      </c>
      <c r="P1491" s="3" t="s">
        <v>102</v>
      </c>
      <c r="R1491" s="3" t="s">
        <v>70</v>
      </c>
      <c r="S1491" s="4">
        <v>6</v>
      </c>
      <c r="T1491" s="4">
        <v>8</v>
      </c>
      <c r="U1491" s="5" t="s">
        <v>15053</v>
      </c>
      <c r="V1491" s="5" t="s">
        <v>15053</v>
      </c>
      <c r="W1491" s="5" t="s">
        <v>72</v>
      </c>
      <c r="X1491" s="5" t="s">
        <v>10606</v>
      </c>
      <c r="Y1491" s="4">
        <v>1</v>
      </c>
      <c r="Z1491" s="4">
        <v>1</v>
      </c>
      <c r="AA1491" s="4">
        <v>51</v>
      </c>
      <c r="AB1491" s="4">
        <v>1</v>
      </c>
      <c r="AC1491" s="4">
        <v>11</v>
      </c>
      <c r="AD1491" s="4">
        <v>0</v>
      </c>
      <c r="AE1491" s="4">
        <v>107</v>
      </c>
      <c r="AF1491" s="4">
        <v>0</v>
      </c>
      <c r="AG1491" s="4">
        <v>5</v>
      </c>
      <c r="AH1491" s="4">
        <v>0</v>
      </c>
      <c r="AI1491" s="4">
        <v>86</v>
      </c>
      <c r="AJ1491" s="4">
        <v>0</v>
      </c>
      <c r="AK1491" s="4">
        <v>20</v>
      </c>
      <c r="AL1491" s="4">
        <v>0</v>
      </c>
      <c r="AM1491" s="4">
        <v>42</v>
      </c>
      <c r="AN1491" s="4">
        <v>0</v>
      </c>
      <c r="AO1491" s="4">
        <v>0</v>
      </c>
      <c r="AP1491" s="4">
        <v>0</v>
      </c>
      <c r="AQ1491" s="4">
        <v>25</v>
      </c>
      <c r="AR1491" s="3" t="s">
        <v>64</v>
      </c>
      <c r="AS1491" s="3" t="s">
        <v>64</v>
      </c>
      <c r="AT1491" s="3" t="s">
        <v>64</v>
      </c>
      <c r="AV1491" s="6" t="str">
        <f>HYPERLINK("http://mcgill.on.worldcat.org/oclc/1004775985","Catalog Record")</f>
        <v>Catalog Record</v>
      </c>
      <c r="AW1491" s="6" t="str">
        <f>HYPERLINK("http://www.worldcat.org/oclc/1004775985","WorldCat Record")</f>
        <v>WorldCat Record</v>
      </c>
      <c r="AX1491" s="3" t="s">
        <v>15031</v>
      </c>
      <c r="AY1491" s="3" t="s">
        <v>15054</v>
      </c>
      <c r="AZ1491" s="3" t="s">
        <v>15055</v>
      </c>
      <c r="BA1491" s="3" t="s">
        <v>15055</v>
      </c>
      <c r="BB1491" s="3" t="s">
        <v>15062</v>
      </c>
      <c r="BC1491" s="3" t="s">
        <v>77</v>
      </c>
      <c r="BD1491" s="3" t="s">
        <v>78</v>
      </c>
      <c r="BE1491" s="3" t="s">
        <v>15057</v>
      </c>
      <c r="BF1491" s="3" t="s">
        <v>15062</v>
      </c>
      <c r="BG1491" s="3" t="s">
        <v>15063</v>
      </c>
      <c r="BH1491">
        <f t="shared" si="43"/>
        <v>0</v>
      </c>
    </row>
    <row r="1492" spans="1:60" ht="58" x14ac:dyDescent="0.35">
      <c r="A1492" s="2" t="s">
        <v>59</v>
      </c>
      <c r="B1492" s="2" t="s">
        <v>60</v>
      </c>
      <c r="C1492" s="2" t="s">
        <v>15064</v>
      </c>
      <c r="D1492" s="2" t="s">
        <v>15065</v>
      </c>
      <c r="E1492" s="2" t="s">
        <v>15066</v>
      </c>
      <c r="G1492" s="3" t="s">
        <v>64</v>
      </c>
      <c r="I1492" s="3" t="s">
        <v>128</v>
      </c>
      <c r="J1492" s="3" t="s">
        <v>64</v>
      </c>
      <c r="K1492" s="3" t="s">
        <v>65</v>
      </c>
      <c r="L1492" s="2" t="s">
        <v>15067</v>
      </c>
      <c r="M1492" s="2" t="s">
        <v>15068</v>
      </c>
      <c r="N1492" s="3" t="s">
        <v>116</v>
      </c>
      <c r="P1492" s="3" t="s">
        <v>102</v>
      </c>
      <c r="R1492" s="3" t="s">
        <v>70</v>
      </c>
      <c r="S1492" s="4">
        <v>0</v>
      </c>
      <c r="T1492" s="4">
        <v>34</v>
      </c>
      <c r="V1492" s="5" t="s">
        <v>15069</v>
      </c>
      <c r="W1492" s="5" t="s">
        <v>72</v>
      </c>
      <c r="X1492" s="5" t="s">
        <v>72</v>
      </c>
      <c r="Y1492" s="4">
        <v>215</v>
      </c>
      <c r="Z1492" s="4">
        <v>15</v>
      </c>
      <c r="AA1492" s="4">
        <v>18</v>
      </c>
      <c r="AB1492" s="4">
        <v>3</v>
      </c>
      <c r="AC1492" s="4">
        <v>6</v>
      </c>
      <c r="AD1492" s="4">
        <v>80</v>
      </c>
      <c r="AE1492" s="4">
        <v>82</v>
      </c>
      <c r="AF1492" s="4">
        <v>1</v>
      </c>
      <c r="AG1492" s="4">
        <v>2</v>
      </c>
      <c r="AH1492" s="4">
        <v>72</v>
      </c>
      <c r="AI1492" s="4">
        <v>73</v>
      </c>
      <c r="AJ1492" s="4">
        <v>12</v>
      </c>
      <c r="AK1492" s="4">
        <v>13</v>
      </c>
      <c r="AL1492" s="4">
        <v>40</v>
      </c>
      <c r="AM1492" s="4">
        <v>41</v>
      </c>
      <c r="AN1492" s="4">
        <v>0</v>
      </c>
      <c r="AO1492" s="4">
        <v>0</v>
      </c>
      <c r="AP1492" s="4">
        <v>12</v>
      </c>
      <c r="AQ1492" s="4">
        <v>12</v>
      </c>
      <c r="AR1492" s="3" t="s">
        <v>64</v>
      </c>
      <c r="AS1492" s="3" t="s">
        <v>64</v>
      </c>
      <c r="AT1492" s="3" t="s">
        <v>64</v>
      </c>
      <c r="AV1492" s="6" t="str">
        <f>HYPERLINK("http://mcgill.on.worldcat.org/oclc/46419832","Catalog Record")</f>
        <v>Catalog Record</v>
      </c>
      <c r="AW1492" s="6" t="str">
        <f>HYPERLINK("http://www.worldcat.org/oclc/46419832","WorldCat Record")</f>
        <v>WorldCat Record</v>
      </c>
      <c r="AX1492" s="3" t="s">
        <v>15070</v>
      </c>
      <c r="AY1492" s="3" t="s">
        <v>15071</v>
      </c>
      <c r="AZ1492" s="3" t="s">
        <v>15072</v>
      </c>
      <c r="BA1492" s="3" t="s">
        <v>15072</v>
      </c>
      <c r="BB1492" s="3" t="s">
        <v>15073</v>
      </c>
      <c r="BC1492" s="3" t="s">
        <v>77</v>
      </c>
      <c r="BD1492" s="3" t="s">
        <v>78</v>
      </c>
      <c r="BE1492" s="3" t="s">
        <v>15074</v>
      </c>
      <c r="BF1492" s="3" t="s">
        <v>15073</v>
      </c>
      <c r="BG1492" s="3" t="s">
        <v>15075</v>
      </c>
      <c r="BH1492">
        <f t="shared" si="43"/>
        <v>0</v>
      </c>
    </row>
    <row r="1493" spans="1:60" ht="58" x14ac:dyDescent="0.35">
      <c r="A1493" s="2" t="s">
        <v>59</v>
      </c>
      <c r="B1493" s="2" t="s">
        <v>60</v>
      </c>
      <c r="C1493" s="2" t="s">
        <v>15064</v>
      </c>
      <c r="D1493" s="2" t="s">
        <v>15065</v>
      </c>
      <c r="E1493" s="2" t="s">
        <v>15066</v>
      </c>
      <c r="G1493" s="3" t="s">
        <v>64</v>
      </c>
      <c r="I1493" s="3" t="s">
        <v>128</v>
      </c>
      <c r="J1493" s="3" t="s">
        <v>64</v>
      </c>
      <c r="K1493" s="3" t="s">
        <v>65</v>
      </c>
      <c r="L1493" s="2" t="s">
        <v>15067</v>
      </c>
      <c r="M1493" s="2" t="s">
        <v>15068</v>
      </c>
      <c r="N1493" s="3" t="s">
        <v>116</v>
      </c>
      <c r="P1493" s="3" t="s">
        <v>102</v>
      </c>
      <c r="R1493" s="3" t="s">
        <v>70</v>
      </c>
      <c r="S1493" s="4">
        <v>34</v>
      </c>
      <c r="T1493" s="4">
        <v>34</v>
      </c>
      <c r="U1493" s="5" t="s">
        <v>15069</v>
      </c>
      <c r="V1493" s="5" t="s">
        <v>15069</v>
      </c>
      <c r="W1493" s="5" t="s">
        <v>72</v>
      </c>
      <c r="X1493" s="5" t="s">
        <v>72</v>
      </c>
      <c r="Y1493" s="4">
        <v>215</v>
      </c>
      <c r="Z1493" s="4">
        <v>15</v>
      </c>
      <c r="AA1493" s="4">
        <v>18</v>
      </c>
      <c r="AB1493" s="4">
        <v>3</v>
      </c>
      <c r="AC1493" s="4">
        <v>6</v>
      </c>
      <c r="AD1493" s="4">
        <v>80</v>
      </c>
      <c r="AE1493" s="4">
        <v>82</v>
      </c>
      <c r="AF1493" s="4">
        <v>1</v>
      </c>
      <c r="AG1493" s="4">
        <v>2</v>
      </c>
      <c r="AH1493" s="4">
        <v>72</v>
      </c>
      <c r="AI1493" s="4">
        <v>73</v>
      </c>
      <c r="AJ1493" s="4">
        <v>12</v>
      </c>
      <c r="AK1493" s="4">
        <v>13</v>
      </c>
      <c r="AL1493" s="4">
        <v>40</v>
      </c>
      <c r="AM1493" s="4">
        <v>41</v>
      </c>
      <c r="AN1493" s="4">
        <v>0</v>
      </c>
      <c r="AO1493" s="4">
        <v>0</v>
      </c>
      <c r="AP1493" s="4">
        <v>12</v>
      </c>
      <c r="AQ1493" s="4">
        <v>12</v>
      </c>
      <c r="AR1493" s="3" t="s">
        <v>64</v>
      </c>
      <c r="AS1493" s="3" t="s">
        <v>64</v>
      </c>
      <c r="AT1493" s="3" t="s">
        <v>64</v>
      </c>
      <c r="AV1493" s="6" t="str">
        <f>HYPERLINK("http://mcgill.on.worldcat.org/oclc/46419832","Catalog Record")</f>
        <v>Catalog Record</v>
      </c>
      <c r="AW1493" s="6" t="str">
        <f>HYPERLINK("http://www.worldcat.org/oclc/46419832","WorldCat Record")</f>
        <v>WorldCat Record</v>
      </c>
      <c r="AX1493" s="3" t="s">
        <v>15070</v>
      </c>
      <c r="AY1493" s="3" t="s">
        <v>15071</v>
      </c>
      <c r="AZ1493" s="3" t="s">
        <v>15072</v>
      </c>
      <c r="BA1493" s="3" t="s">
        <v>15072</v>
      </c>
      <c r="BB1493" s="3" t="s">
        <v>15076</v>
      </c>
      <c r="BC1493" s="3" t="s">
        <v>77</v>
      </c>
      <c r="BD1493" s="3" t="s">
        <v>78</v>
      </c>
      <c r="BE1493" s="3" t="s">
        <v>15074</v>
      </c>
      <c r="BF1493" s="3" t="s">
        <v>15076</v>
      </c>
      <c r="BG1493" s="3" t="s">
        <v>15077</v>
      </c>
      <c r="BH1493">
        <f t="shared" si="43"/>
        <v>0</v>
      </c>
    </row>
    <row r="1494" spans="1:60" ht="58" x14ac:dyDescent="0.35">
      <c r="A1494" s="2" t="s">
        <v>59</v>
      </c>
      <c r="B1494" s="2" t="s">
        <v>60</v>
      </c>
      <c r="C1494" s="2" t="s">
        <v>15078</v>
      </c>
      <c r="D1494" s="2" t="s">
        <v>15079</v>
      </c>
      <c r="E1494" s="2" t="s">
        <v>15080</v>
      </c>
      <c r="G1494" s="3" t="s">
        <v>64</v>
      </c>
      <c r="I1494" s="3" t="s">
        <v>64</v>
      </c>
      <c r="J1494" s="3" t="s">
        <v>64</v>
      </c>
      <c r="K1494" s="3" t="s">
        <v>65</v>
      </c>
      <c r="L1494" s="2" t="s">
        <v>15081</v>
      </c>
      <c r="M1494" s="2" t="s">
        <v>15082</v>
      </c>
      <c r="N1494" s="3" t="s">
        <v>979</v>
      </c>
      <c r="P1494" s="3" t="s">
        <v>102</v>
      </c>
      <c r="Q1494" s="2" t="s">
        <v>9015</v>
      </c>
      <c r="R1494" s="3" t="s">
        <v>70</v>
      </c>
      <c r="S1494" s="4">
        <v>46</v>
      </c>
      <c r="T1494" s="4">
        <v>46</v>
      </c>
      <c r="U1494" s="5" t="s">
        <v>7573</v>
      </c>
      <c r="V1494" s="5" t="s">
        <v>7573</v>
      </c>
      <c r="W1494" s="5" t="s">
        <v>72</v>
      </c>
      <c r="X1494" s="5" t="s">
        <v>72</v>
      </c>
      <c r="Y1494" s="4">
        <v>706</v>
      </c>
      <c r="Z1494" s="4">
        <v>42</v>
      </c>
      <c r="AA1494" s="4">
        <v>109</v>
      </c>
      <c r="AB1494" s="4">
        <v>5</v>
      </c>
      <c r="AC1494" s="4">
        <v>20</v>
      </c>
      <c r="AD1494" s="4">
        <v>124</v>
      </c>
      <c r="AE1494" s="4">
        <v>157</v>
      </c>
      <c r="AF1494" s="4">
        <v>2</v>
      </c>
      <c r="AG1494" s="4">
        <v>8</v>
      </c>
      <c r="AH1494" s="4">
        <v>103</v>
      </c>
      <c r="AI1494" s="4">
        <v>115</v>
      </c>
      <c r="AJ1494" s="4">
        <v>17</v>
      </c>
      <c r="AK1494" s="4">
        <v>26</v>
      </c>
      <c r="AL1494" s="4">
        <v>57</v>
      </c>
      <c r="AM1494" s="4">
        <v>61</v>
      </c>
      <c r="AN1494" s="4">
        <v>0</v>
      </c>
      <c r="AO1494" s="4">
        <v>0</v>
      </c>
      <c r="AP1494" s="4">
        <v>29</v>
      </c>
      <c r="AQ1494" s="4">
        <v>50</v>
      </c>
      <c r="AR1494" s="3" t="s">
        <v>64</v>
      </c>
      <c r="AS1494" s="3" t="s">
        <v>64</v>
      </c>
      <c r="AT1494" s="3" t="s">
        <v>64</v>
      </c>
      <c r="AV1494" s="6" t="str">
        <f>HYPERLINK("http://mcgill.on.worldcat.org/oclc/42040872","Catalog Record")</f>
        <v>Catalog Record</v>
      </c>
      <c r="AW1494" s="6" t="str">
        <f>HYPERLINK("http://www.worldcat.org/oclc/42040872","WorldCat Record")</f>
        <v>WorldCat Record</v>
      </c>
      <c r="AX1494" s="3" t="s">
        <v>15083</v>
      </c>
      <c r="AY1494" s="3" t="s">
        <v>15084</v>
      </c>
      <c r="AZ1494" s="3" t="s">
        <v>15085</v>
      </c>
      <c r="BA1494" s="3" t="s">
        <v>15085</v>
      </c>
      <c r="BB1494" s="3" t="s">
        <v>15086</v>
      </c>
      <c r="BC1494" s="3" t="s">
        <v>77</v>
      </c>
      <c r="BD1494" s="3" t="s">
        <v>165</v>
      </c>
      <c r="BE1494" s="3" t="s">
        <v>15087</v>
      </c>
      <c r="BF1494" s="3" t="s">
        <v>15086</v>
      </c>
      <c r="BG1494" s="3" t="s">
        <v>15088</v>
      </c>
      <c r="BH1494">
        <f t="shared" si="43"/>
        <v>0</v>
      </c>
    </row>
    <row r="1495" spans="1:60" ht="58" x14ac:dyDescent="0.35">
      <c r="A1495" s="2" t="s">
        <v>59</v>
      </c>
      <c r="B1495" s="2" t="s">
        <v>60</v>
      </c>
      <c r="C1495" s="2" t="s">
        <v>15089</v>
      </c>
      <c r="D1495" s="2" t="s">
        <v>15090</v>
      </c>
      <c r="E1495" s="2" t="s">
        <v>15091</v>
      </c>
      <c r="G1495" s="3" t="s">
        <v>64</v>
      </c>
      <c r="I1495" s="3" t="s">
        <v>64</v>
      </c>
      <c r="J1495" s="3" t="s">
        <v>128</v>
      </c>
      <c r="K1495" s="3" t="s">
        <v>65</v>
      </c>
      <c r="L1495" s="2" t="s">
        <v>15092</v>
      </c>
      <c r="M1495" s="2" t="s">
        <v>15093</v>
      </c>
      <c r="N1495" s="3" t="s">
        <v>392</v>
      </c>
      <c r="P1495" s="3" t="s">
        <v>102</v>
      </c>
      <c r="Q1495" s="2" t="s">
        <v>15094</v>
      </c>
      <c r="R1495" s="3" t="s">
        <v>70</v>
      </c>
      <c r="S1495" s="4">
        <v>61</v>
      </c>
      <c r="T1495" s="4">
        <v>61</v>
      </c>
      <c r="U1495" s="5" t="s">
        <v>15095</v>
      </c>
      <c r="V1495" s="5" t="s">
        <v>15095</v>
      </c>
      <c r="W1495" s="5" t="s">
        <v>72</v>
      </c>
      <c r="X1495" s="5" t="s">
        <v>72</v>
      </c>
      <c r="Y1495" s="4">
        <v>524</v>
      </c>
      <c r="Z1495" s="4">
        <v>24</v>
      </c>
      <c r="AA1495" s="4">
        <v>55</v>
      </c>
      <c r="AB1495" s="4">
        <v>1</v>
      </c>
      <c r="AC1495" s="4">
        <v>6</v>
      </c>
      <c r="AD1495" s="4">
        <v>91</v>
      </c>
      <c r="AE1495" s="4">
        <v>123</v>
      </c>
      <c r="AF1495" s="4">
        <v>0</v>
      </c>
      <c r="AG1495" s="4">
        <v>4</v>
      </c>
      <c r="AH1495" s="4">
        <v>84</v>
      </c>
      <c r="AI1495" s="4">
        <v>102</v>
      </c>
      <c r="AJ1495" s="4">
        <v>12</v>
      </c>
      <c r="AK1495" s="4">
        <v>19</v>
      </c>
      <c r="AL1495" s="4">
        <v>39</v>
      </c>
      <c r="AM1495" s="4">
        <v>50</v>
      </c>
      <c r="AN1495" s="4">
        <v>0</v>
      </c>
      <c r="AO1495" s="4">
        <v>0</v>
      </c>
      <c r="AP1495" s="4">
        <v>15</v>
      </c>
      <c r="AQ1495" s="4">
        <v>28</v>
      </c>
      <c r="AR1495" s="3" t="s">
        <v>64</v>
      </c>
      <c r="AS1495" s="3" t="s">
        <v>64</v>
      </c>
      <c r="AT1495" s="3" t="s">
        <v>64</v>
      </c>
      <c r="AV1495" s="6" t="str">
        <f>HYPERLINK("http://mcgill.on.worldcat.org/oclc/40489224","Catalog Record")</f>
        <v>Catalog Record</v>
      </c>
      <c r="AW1495" s="6" t="str">
        <f>HYPERLINK("http://www.worldcat.org/oclc/40489224","WorldCat Record")</f>
        <v>WorldCat Record</v>
      </c>
      <c r="AX1495" s="3" t="s">
        <v>15096</v>
      </c>
      <c r="AY1495" s="3" t="s">
        <v>15097</v>
      </c>
      <c r="AZ1495" s="3" t="s">
        <v>15098</v>
      </c>
      <c r="BA1495" s="3" t="s">
        <v>15098</v>
      </c>
      <c r="BB1495" s="3" t="s">
        <v>15099</v>
      </c>
      <c r="BC1495" s="3" t="s">
        <v>77</v>
      </c>
      <c r="BD1495" s="3" t="s">
        <v>78</v>
      </c>
      <c r="BE1495" s="3" t="s">
        <v>15100</v>
      </c>
      <c r="BF1495" s="3" t="s">
        <v>15099</v>
      </c>
      <c r="BG1495" s="3" t="s">
        <v>15101</v>
      </c>
      <c r="BH1495">
        <f t="shared" si="43"/>
        <v>0</v>
      </c>
    </row>
    <row r="1496" spans="1:60" ht="58" x14ac:dyDescent="0.35">
      <c r="A1496" s="2" t="s">
        <v>59</v>
      </c>
      <c r="B1496" s="2" t="s">
        <v>60</v>
      </c>
      <c r="C1496" s="2" t="s">
        <v>15102</v>
      </c>
      <c r="D1496" s="2" t="s">
        <v>15103</v>
      </c>
      <c r="E1496" s="2" t="s">
        <v>15091</v>
      </c>
      <c r="G1496" s="3" t="s">
        <v>64</v>
      </c>
      <c r="I1496" s="3" t="s">
        <v>128</v>
      </c>
      <c r="J1496" s="3" t="s">
        <v>128</v>
      </c>
      <c r="K1496" s="3" t="s">
        <v>65</v>
      </c>
      <c r="L1496" s="2" t="s">
        <v>15092</v>
      </c>
      <c r="M1496" s="2" t="s">
        <v>15104</v>
      </c>
      <c r="N1496" s="3" t="s">
        <v>1275</v>
      </c>
      <c r="O1496" s="2" t="s">
        <v>3787</v>
      </c>
      <c r="P1496" s="3" t="s">
        <v>102</v>
      </c>
      <c r="Q1496" s="2" t="s">
        <v>15094</v>
      </c>
      <c r="R1496" s="3" t="s">
        <v>70</v>
      </c>
      <c r="S1496" s="4">
        <v>24</v>
      </c>
      <c r="T1496" s="4">
        <v>112</v>
      </c>
      <c r="U1496" s="5" t="s">
        <v>15105</v>
      </c>
      <c r="V1496" s="5" t="s">
        <v>15105</v>
      </c>
      <c r="W1496" s="5" t="s">
        <v>72</v>
      </c>
      <c r="X1496" s="5" t="s">
        <v>72</v>
      </c>
      <c r="Y1496" s="4">
        <v>598</v>
      </c>
      <c r="Z1496" s="4">
        <v>25</v>
      </c>
      <c r="AA1496" s="4">
        <v>55</v>
      </c>
      <c r="AB1496" s="4">
        <v>2</v>
      </c>
      <c r="AC1496" s="4">
        <v>6</v>
      </c>
      <c r="AD1496" s="4">
        <v>81</v>
      </c>
      <c r="AE1496" s="4">
        <v>123</v>
      </c>
      <c r="AF1496" s="4">
        <v>1</v>
      </c>
      <c r="AG1496" s="4">
        <v>4</v>
      </c>
      <c r="AH1496" s="4">
        <v>72</v>
      </c>
      <c r="AI1496" s="4">
        <v>102</v>
      </c>
      <c r="AJ1496" s="4">
        <v>12</v>
      </c>
      <c r="AK1496" s="4">
        <v>19</v>
      </c>
      <c r="AL1496" s="4">
        <v>36</v>
      </c>
      <c r="AM1496" s="4">
        <v>50</v>
      </c>
      <c r="AN1496" s="4">
        <v>0</v>
      </c>
      <c r="AO1496" s="4">
        <v>0</v>
      </c>
      <c r="AP1496" s="4">
        <v>13</v>
      </c>
      <c r="AQ1496" s="4">
        <v>28</v>
      </c>
      <c r="AR1496" s="3" t="s">
        <v>64</v>
      </c>
      <c r="AS1496" s="3" t="s">
        <v>64</v>
      </c>
      <c r="AT1496" s="3" t="s">
        <v>64</v>
      </c>
      <c r="AV1496" s="6" t="str">
        <f>HYPERLINK("http://mcgill.on.worldcat.org/oclc/52814118","Catalog Record")</f>
        <v>Catalog Record</v>
      </c>
      <c r="AW1496" s="6" t="str">
        <f>HYPERLINK("http://www.worldcat.org/oclc/52814118","WorldCat Record")</f>
        <v>WorldCat Record</v>
      </c>
      <c r="AX1496" s="3" t="s">
        <v>15096</v>
      </c>
      <c r="AY1496" s="3" t="s">
        <v>15106</v>
      </c>
      <c r="AZ1496" s="3" t="s">
        <v>15107</v>
      </c>
      <c r="BA1496" s="3" t="s">
        <v>15107</v>
      </c>
      <c r="BB1496" s="3" t="s">
        <v>15108</v>
      </c>
      <c r="BC1496" s="3" t="s">
        <v>77</v>
      </c>
      <c r="BD1496" s="3" t="s">
        <v>78</v>
      </c>
      <c r="BE1496" s="3" t="s">
        <v>15109</v>
      </c>
      <c r="BF1496" s="3" t="s">
        <v>15108</v>
      </c>
      <c r="BG1496" s="3" t="s">
        <v>15110</v>
      </c>
      <c r="BH1496">
        <f t="shared" si="43"/>
        <v>0</v>
      </c>
    </row>
    <row r="1497" spans="1:60" ht="58" x14ac:dyDescent="0.35">
      <c r="A1497" s="2" t="s">
        <v>59</v>
      </c>
      <c r="B1497" s="2" t="s">
        <v>60</v>
      </c>
      <c r="C1497" s="2" t="s">
        <v>15102</v>
      </c>
      <c r="D1497" s="2" t="s">
        <v>15103</v>
      </c>
      <c r="E1497" s="2" t="s">
        <v>15091</v>
      </c>
      <c r="G1497" s="3" t="s">
        <v>64</v>
      </c>
      <c r="I1497" s="3" t="s">
        <v>128</v>
      </c>
      <c r="J1497" s="3" t="s">
        <v>128</v>
      </c>
      <c r="K1497" s="3" t="s">
        <v>65</v>
      </c>
      <c r="L1497" s="2" t="s">
        <v>15092</v>
      </c>
      <c r="M1497" s="2" t="s">
        <v>15104</v>
      </c>
      <c r="N1497" s="3" t="s">
        <v>1275</v>
      </c>
      <c r="O1497" s="2" t="s">
        <v>3787</v>
      </c>
      <c r="P1497" s="3" t="s">
        <v>102</v>
      </c>
      <c r="Q1497" s="2" t="s">
        <v>15094</v>
      </c>
      <c r="R1497" s="3" t="s">
        <v>70</v>
      </c>
      <c r="S1497" s="4">
        <v>65</v>
      </c>
      <c r="T1497" s="4">
        <v>112</v>
      </c>
      <c r="U1497" s="5" t="s">
        <v>6638</v>
      </c>
      <c r="V1497" s="5" t="s">
        <v>15105</v>
      </c>
      <c r="W1497" s="5" t="s">
        <v>72</v>
      </c>
      <c r="X1497" s="5" t="s">
        <v>72</v>
      </c>
      <c r="Y1497" s="4">
        <v>598</v>
      </c>
      <c r="Z1497" s="4">
        <v>25</v>
      </c>
      <c r="AA1497" s="4">
        <v>55</v>
      </c>
      <c r="AB1497" s="4">
        <v>2</v>
      </c>
      <c r="AC1497" s="4">
        <v>6</v>
      </c>
      <c r="AD1497" s="4">
        <v>81</v>
      </c>
      <c r="AE1497" s="4">
        <v>123</v>
      </c>
      <c r="AF1497" s="4">
        <v>1</v>
      </c>
      <c r="AG1497" s="4">
        <v>4</v>
      </c>
      <c r="AH1497" s="4">
        <v>72</v>
      </c>
      <c r="AI1497" s="4">
        <v>102</v>
      </c>
      <c r="AJ1497" s="4">
        <v>12</v>
      </c>
      <c r="AK1497" s="4">
        <v>19</v>
      </c>
      <c r="AL1497" s="4">
        <v>36</v>
      </c>
      <c r="AM1497" s="4">
        <v>50</v>
      </c>
      <c r="AN1497" s="4">
        <v>0</v>
      </c>
      <c r="AO1497" s="4">
        <v>0</v>
      </c>
      <c r="AP1497" s="4">
        <v>13</v>
      </c>
      <c r="AQ1497" s="4">
        <v>28</v>
      </c>
      <c r="AR1497" s="3" t="s">
        <v>64</v>
      </c>
      <c r="AS1497" s="3" t="s">
        <v>64</v>
      </c>
      <c r="AT1497" s="3" t="s">
        <v>64</v>
      </c>
      <c r="AV1497" s="6" t="str">
        <f>HYPERLINK("http://mcgill.on.worldcat.org/oclc/52814118","Catalog Record")</f>
        <v>Catalog Record</v>
      </c>
      <c r="AW1497" s="6" t="str">
        <f>HYPERLINK("http://www.worldcat.org/oclc/52814118","WorldCat Record")</f>
        <v>WorldCat Record</v>
      </c>
      <c r="AX1497" s="3" t="s">
        <v>15096</v>
      </c>
      <c r="AY1497" s="3" t="s">
        <v>15106</v>
      </c>
      <c r="AZ1497" s="3" t="s">
        <v>15107</v>
      </c>
      <c r="BA1497" s="3" t="s">
        <v>15107</v>
      </c>
      <c r="BB1497" s="3" t="s">
        <v>15111</v>
      </c>
      <c r="BC1497" s="3" t="s">
        <v>77</v>
      </c>
      <c r="BD1497" s="3" t="s">
        <v>78</v>
      </c>
      <c r="BE1497" s="3" t="s">
        <v>15109</v>
      </c>
      <c r="BF1497" s="3" t="s">
        <v>15111</v>
      </c>
      <c r="BG1497" s="3" t="s">
        <v>15112</v>
      </c>
      <c r="BH1497">
        <f t="shared" si="43"/>
        <v>0</v>
      </c>
    </row>
    <row r="1498" spans="1:60" ht="58" x14ac:dyDescent="0.35">
      <c r="A1498" s="2" t="s">
        <v>59</v>
      </c>
      <c r="B1498" s="2" t="s">
        <v>60</v>
      </c>
      <c r="C1498" s="2" t="s">
        <v>15102</v>
      </c>
      <c r="D1498" s="2" t="s">
        <v>15103</v>
      </c>
      <c r="E1498" s="2" t="s">
        <v>15091</v>
      </c>
      <c r="G1498" s="3" t="s">
        <v>64</v>
      </c>
      <c r="I1498" s="3" t="s">
        <v>128</v>
      </c>
      <c r="J1498" s="3" t="s">
        <v>128</v>
      </c>
      <c r="K1498" s="3" t="s">
        <v>65</v>
      </c>
      <c r="L1498" s="2" t="s">
        <v>15092</v>
      </c>
      <c r="M1498" s="2" t="s">
        <v>15104</v>
      </c>
      <c r="N1498" s="3" t="s">
        <v>1275</v>
      </c>
      <c r="O1498" s="2" t="s">
        <v>3787</v>
      </c>
      <c r="P1498" s="3" t="s">
        <v>102</v>
      </c>
      <c r="Q1498" s="2" t="s">
        <v>15094</v>
      </c>
      <c r="R1498" s="3" t="s">
        <v>70</v>
      </c>
      <c r="S1498" s="4">
        <v>23</v>
      </c>
      <c r="T1498" s="4">
        <v>112</v>
      </c>
      <c r="U1498" s="5" t="s">
        <v>1264</v>
      </c>
      <c r="V1498" s="5" t="s">
        <v>15105</v>
      </c>
      <c r="W1498" s="5" t="s">
        <v>72</v>
      </c>
      <c r="X1498" s="5" t="s">
        <v>72</v>
      </c>
      <c r="Y1498" s="4">
        <v>598</v>
      </c>
      <c r="Z1498" s="4">
        <v>25</v>
      </c>
      <c r="AA1498" s="4">
        <v>55</v>
      </c>
      <c r="AB1498" s="4">
        <v>2</v>
      </c>
      <c r="AC1498" s="4">
        <v>6</v>
      </c>
      <c r="AD1498" s="4">
        <v>81</v>
      </c>
      <c r="AE1498" s="4">
        <v>123</v>
      </c>
      <c r="AF1498" s="4">
        <v>1</v>
      </c>
      <c r="AG1498" s="4">
        <v>4</v>
      </c>
      <c r="AH1498" s="4">
        <v>72</v>
      </c>
      <c r="AI1498" s="4">
        <v>102</v>
      </c>
      <c r="AJ1498" s="4">
        <v>12</v>
      </c>
      <c r="AK1498" s="4">
        <v>19</v>
      </c>
      <c r="AL1498" s="4">
        <v>36</v>
      </c>
      <c r="AM1498" s="4">
        <v>50</v>
      </c>
      <c r="AN1498" s="4">
        <v>0</v>
      </c>
      <c r="AO1498" s="4">
        <v>0</v>
      </c>
      <c r="AP1498" s="4">
        <v>13</v>
      </c>
      <c r="AQ1498" s="4">
        <v>28</v>
      </c>
      <c r="AR1498" s="3" t="s">
        <v>64</v>
      </c>
      <c r="AS1498" s="3" t="s">
        <v>64</v>
      </c>
      <c r="AT1498" s="3" t="s">
        <v>64</v>
      </c>
      <c r="AV1498" s="6" t="str">
        <f>HYPERLINK("http://mcgill.on.worldcat.org/oclc/52814118","Catalog Record")</f>
        <v>Catalog Record</v>
      </c>
      <c r="AW1498" s="6" t="str">
        <f>HYPERLINK("http://www.worldcat.org/oclc/52814118","WorldCat Record")</f>
        <v>WorldCat Record</v>
      </c>
      <c r="AX1498" s="3" t="s">
        <v>15096</v>
      </c>
      <c r="AY1498" s="3" t="s">
        <v>15106</v>
      </c>
      <c r="AZ1498" s="3" t="s">
        <v>15107</v>
      </c>
      <c r="BA1498" s="3" t="s">
        <v>15107</v>
      </c>
      <c r="BB1498" s="3" t="s">
        <v>15113</v>
      </c>
      <c r="BC1498" s="3" t="s">
        <v>77</v>
      </c>
      <c r="BD1498" s="3" t="s">
        <v>78</v>
      </c>
      <c r="BE1498" s="3" t="s">
        <v>15109</v>
      </c>
      <c r="BF1498" s="3" t="s">
        <v>15113</v>
      </c>
      <c r="BG1498" s="3" t="s">
        <v>15114</v>
      </c>
      <c r="BH1498">
        <f t="shared" si="43"/>
        <v>0</v>
      </c>
    </row>
    <row r="1499" spans="1:60" ht="58" x14ac:dyDescent="0.35">
      <c r="A1499" s="2" t="s">
        <v>59</v>
      </c>
      <c r="B1499" s="2" t="s">
        <v>60</v>
      </c>
      <c r="C1499" s="2" t="s">
        <v>15115</v>
      </c>
      <c r="D1499" s="2" t="s">
        <v>15116</v>
      </c>
      <c r="E1499" s="2" t="s">
        <v>15117</v>
      </c>
      <c r="G1499" s="3" t="s">
        <v>64</v>
      </c>
      <c r="I1499" s="3" t="s">
        <v>128</v>
      </c>
      <c r="J1499" s="3" t="s">
        <v>128</v>
      </c>
      <c r="K1499" s="3" t="s">
        <v>65</v>
      </c>
      <c r="L1499" s="2" t="s">
        <v>15118</v>
      </c>
      <c r="M1499" s="2" t="s">
        <v>15119</v>
      </c>
      <c r="N1499" s="3" t="s">
        <v>551</v>
      </c>
      <c r="O1499" s="2" t="s">
        <v>15120</v>
      </c>
      <c r="P1499" s="3" t="s">
        <v>102</v>
      </c>
      <c r="Q1499" s="2" t="s">
        <v>15094</v>
      </c>
      <c r="R1499" s="3" t="s">
        <v>70</v>
      </c>
      <c r="S1499" s="4">
        <v>2</v>
      </c>
      <c r="T1499" s="4">
        <v>57</v>
      </c>
      <c r="U1499" s="5" t="s">
        <v>716</v>
      </c>
      <c r="V1499" s="5" t="s">
        <v>716</v>
      </c>
      <c r="W1499" s="5" t="s">
        <v>72</v>
      </c>
      <c r="X1499" s="5" t="s">
        <v>72</v>
      </c>
      <c r="Y1499" s="4">
        <v>404</v>
      </c>
      <c r="Z1499" s="4">
        <v>20</v>
      </c>
      <c r="AA1499" s="4">
        <v>55</v>
      </c>
      <c r="AB1499" s="4">
        <v>2</v>
      </c>
      <c r="AC1499" s="4">
        <v>6</v>
      </c>
      <c r="AD1499" s="4">
        <v>70</v>
      </c>
      <c r="AE1499" s="4">
        <v>123</v>
      </c>
      <c r="AF1499" s="4">
        <v>0</v>
      </c>
      <c r="AG1499" s="4">
        <v>4</v>
      </c>
      <c r="AH1499" s="4">
        <v>62</v>
      </c>
      <c r="AI1499" s="4">
        <v>102</v>
      </c>
      <c r="AJ1499" s="4">
        <v>8</v>
      </c>
      <c r="AK1499" s="4">
        <v>19</v>
      </c>
      <c r="AL1499" s="4">
        <v>32</v>
      </c>
      <c r="AM1499" s="4">
        <v>50</v>
      </c>
      <c r="AN1499" s="4">
        <v>0</v>
      </c>
      <c r="AO1499" s="4">
        <v>0</v>
      </c>
      <c r="AP1499" s="4">
        <v>12</v>
      </c>
      <c r="AQ1499" s="4">
        <v>28</v>
      </c>
      <c r="AR1499" s="3" t="s">
        <v>64</v>
      </c>
      <c r="AS1499" s="3" t="s">
        <v>64</v>
      </c>
      <c r="AT1499" s="3" t="s">
        <v>64</v>
      </c>
      <c r="AV1499" s="6" t="str">
        <f>HYPERLINK("http://mcgill.on.worldcat.org/oclc/236328585","Catalog Record")</f>
        <v>Catalog Record</v>
      </c>
      <c r="AW1499" s="6" t="str">
        <f>HYPERLINK("http://www.worldcat.org/oclc/236328585","WorldCat Record")</f>
        <v>WorldCat Record</v>
      </c>
      <c r="AX1499" s="3" t="s">
        <v>15096</v>
      </c>
      <c r="AY1499" s="3" t="s">
        <v>15121</v>
      </c>
      <c r="AZ1499" s="3" t="s">
        <v>15122</v>
      </c>
      <c r="BA1499" s="3" t="s">
        <v>15122</v>
      </c>
      <c r="BB1499" s="3" t="s">
        <v>15123</v>
      </c>
      <c r="BC1499" s="3" t="s">
        <v>77</v>
      </c>
      <c r="BD1499" s="3" t="s">
        <v>78</v>
      </c>
      <c r="BE1499" s="3" t="s">
        <v>15124</v>
      </c>
      <c r="BF1499" s="3" t="s">
        <v>15123</v>
      </c>
      <c r="BG1499" s="3" t="s">
        <v>15125</v>
      </c>
      <c r="BH1499">
        <f t="shared" si="43"/>
        <v>0</v>
      </c>
    </row>
    <row r="1500" spans="1:60" ht="58" x14ac:dyDescent="0.35">
      <c r="A1500" s="2" t="s">
        <v>59</v>
      </c>
      <c r="B1500" s="2" t="s">
        <v>60</v>
      </c>
      <c r="C1500" s="2" t="s">
        <v>15115</v>
      </c>
      <c r="D1500" s="2" t="s">
        <v>15116</v>
      </c>
      <c r="E1500" s="2" t="s">
        <v>15117</v>
      </c>
      <c r="G1500" s="3" t="s">
        <v>64</v>
      </c>
      <c r="I1500" s="3" t="s">
        <v>128</v>
      </c>
      <c r="J1500" s="3" t="s">
        <v>128</v>
      </c>
      <c r="K1500" s="3" t="s">
        <v>65</v>
      </c>
      <c r="L1500" s="2" t="s">
        <v>15118</v>
      </c>
      <c r="M1500" s="2" t="s">
        <v>15119</v>
      </c>
      <c r="N1500" s="3" t="s">
        <v>551</v>
      </c>
      <c r="O1500" s="2" t="s">
        <v>15120</v>
      </c>
      <c r="P1500" s="3" t="s">
        <v>102</v>
      </c>
      <c r="Q1500" s="2" t="s">
        <v>15094</v>
      </c>
      <c r="R1500" s="3" t="s">
        <v>70</v>
      </c>
      <c r="S1500" s="4">
        <v>4</v>
      </c>
      <c r="T1500" s="4">
        <v>57</v>
      </c>
      <c r="U1500" s="5" t="s">
        <v>3431</v>
      </c>
      <c r="V1500" s="5" t="s">
        <v>716</v>
      </c>
      <c r="W1500" s="5" t="s">
        <v>72</v>
      </c>
      <c r="X1500" s="5" t="s">
        <v>72</v>
      </c>
      <c r="Y1500" s="4">
        <v>404</v>
      </c>
      <c r="Z1500" s="4">
        <v>20</v>
      </c>
      <c r="AA1500" s="4">
        <v>55</v>
      </c>
      <c r="AB1500" s="4">
        <v>2</v>
      </c>
      <c r="AC1500" s="4">
        <v>6</v>
      </c>
      <c r="AD1500" s="4">
        <v>70</v>
      </c>
      <c r="AE1500" s="4">
        <v>123</v>
      </c>
      <c r="AF1500" s="4">
        <v>0</v>
      </c>
      <c r="AG1500" s="4">
        <v>4</v>
      </c>
      <c r="AH1500" s="4">
        <v>62</v>
      </c>
      <c r="AI1500" s="4">
        <v>102</v>
      </c>
      <c r="AJ1500" s="4">
        <v>8</v>
      </c>
      <c r="AK1500" s="4">
        <v>19</v>
      </c>
      <c r="AL1500" s="4">
        <v>32</v>
      </c>
      <c r="AM1500" s="4">
        <v>50</v>
      </c>
      <c r="AN1500" s="4">
        <v>0</v>
      </c>
      <c r="AO1500" s="4">
        <v>0</v>
      </c>
      <c r="AP1500" s="4">
        <v>12</v>
      </c>
      <c r="AQ1500" s="4">
        <v>28</v>
      </c>
      <c r="AR1500" s="3" t="s">
        <v>64</v>
      </c>
      <c r="AS1500" s="3" t="s">
        <v>64</v>
      </c>
      <c r="AT1500" s="3" t="s">
        <v>64</v>
      </c>
      <c r="AV1500" s="6" t="str">
        <f>HYPERLINK("http://mcgill.on.worldcat.org/oclc/236328585","Catalog Record")</f>
        <v>Catalog Record</v>
      </c>
      <c r="AW1500" s="6" t="str">
        <f>HYPERLINK("http://www.worldcat.org/oclc/236328585","WorldCat Record")</f>
        <v>WorldCat Record</v>
      </c>
      <c r="AX1500" s="3" t="s">
        <v>15096</v>
      </c>
      <c r="AY1500" s="3" t="s">
        <v>15121</v>
      </c>
      <c r="AZ1500" s="3" t="s">
        <v>15122</v>
      </c>
      <c r="BA1500" s="3" t="s">
        <v>15122</v>
      </c>
      <c r="BB1500" s="3" t="s">
        <v>15126</v>
      </c>
      <c r="BC1500" s="3" t="s">
        <v>77</v>
      </c>
      <c r="BD1500" s="3" t="s">
        <v>165</v>
      </c>
      <c r="BE1500" s="3" t="s">
        <v>15124</v>
      </c>
      <c r="BF1500" s="3" t="s">
        <v>15126</v>
      </c>
      <c r="BG1500" s="3" t="s">
        <v>15127</v>
      </c>
      <c r="BH1500">
        <f t="shared" si="43"/>
        <v>0</v>
      </c>
    </row>
    <row r="1501" spans="1:60" ht="58" x14ac:dyDescent="0.35">
      <c r="A1501" s="2" t="s">
        <v>59</v>
      </c>
      <c r="B1501" s="2" t="s">
        <v>60</v>
      </c>
      <c r="C1501" s="2" t="s">
        <v>15115</v>
      </c>
      <c r="D1501" s="2" t="s">
        <v>15116</v>
      </c>
      <c r="E1501" s="2" t="s">
        <v>15117</v>
      </c>
      <c r="G1501" s="3" t="s">
        <v>64</v>
      </c>
      <c r="I1501" s="3" t="s">
        <v>128</v>
      </c>
      <c r="J1501" s="3" t="s">
        <v>128</v>
      </c>
      <c r="K1501" s="3" t="s">
        <v>65</v>
      </c>
      <c r="L1501" s="2" t="s">
        <v>15118</v>
      </c>
      <c r="M1501" s="2" t="s">
        <v>15119</v>
      </c>
      <c r="N1501" s="3" t="s">
        <v>551</v>
      </c>
      <c r="O1501" s="2" t="s">
        <v>15120</v>
      </c>
      <c r="P1501" s="3" t="s">
        <v>102</v>
      </c>
      <c r="Q1501" s="2" t="s">
        <v>15094</v>
      </c>
      <c r="R1501" s="3" t="s">
        <v>70</v>
      </c>
      <c r="S1501" s="4">
        <v>51</v>
      </c>
      <c r="T1501" s="4">
        <v>57</v>
      </c>
      <c r="U1501" s="5" t="s">
        <v>15128</v>
      </c>
      <c r="V1501" s="5" t="s">
        <v>716</v>
      </c>
      <c r="W1501" s="5" t="s">
        <v>72</v>
      </c>
      <c r="X1501" s="5" t="s">
        <v>72</v>
      </c>
      <c r="Y1501" s="4">
        <v>404</v>
      </c>
      <c r="Z1501" s="4">
        <v>20</v>
      </c>
      <c r="AA1501" s="4">
        <v>55</v>
      </c>
      <c r="AB1501" s="4">
        <v>2</v>
      </c>
      <c r="AC1501" s="4">
        <v>6</v>
      </c>
      <c r="AD1501" s="4">
        <v>70</v>
      </c>
      <c r="AE1501" s="4">
        <v>123</v>
      </c>
      <c r="AF1501" s="4">
        <v>0</v>
      </c>
      <c r="AG1501" s="4">
        <v>4</v>
      </c>
      <c r="AH1501" s="4">
        <v>62</v>
      </c>
      <c r="AI1501" s="4">
        <v>102</v>
      </c>
      <c r="AJ1501" s="4">
        <v>8</v>
      </c>
      <c r="AK1501" s="4">
        <v>19</v>
      </c>
      <c r="AL1501" s="4">
        <v>32</v>
      </c>
      <c r="AM1501" s="4">
        <v>50</v>
      </c>
      <c r="AN1501" s="4">
        <v>0</v>
      </c>
      <c r="AO1501" s="4">
        <v>0</v>
      </c>
      <c r="AP1501" s="4">
        <v>12</v>
      </c>
      <c r="AQ1501" s="4">
        <v>28</v>
      </c>
      <c r="AR1501" s="3" t="s">
        <v>64</v>
      </c>
      <c r="AS1501" s="3" t="s">
        <v>64</v>
      </c>
      <c r="AT1501" s="3" t="s">
        <v>64</v>
      </c>
      <c r="AV1501" s="6" t="str">
        <f>HYPERLINK("http://mcgill.on.worldcat.org/oclc/236328585","Catalog Record")</f>
        <v>Catalog Record</v>
      </c>
      <c r="AW1501" s="6" t="str">
        <f>HYPERLINK("http://www.worldcat.org/oclc/236328585","WorldCat Record")</f>
        <v>WorldCat Record</v>
      </c>
      <c r="AX1501" s="3" t="s">
        <v>15096</v>
      </c>
      <c r="AY1501" s="3" t="s">
        <v>15121</v>
      </c>
      <c r="AZ1501" s="3" t="s">
        <v>15122</v>
      </c>
      <c r="BA1501" s="3" t="s">
        <v>15122</v>
      </c>
      <c r="BB1501" s="3" t="s">
        <v>15129</v>
      </c>
      <c r="BC1501" s="3" t="s">
        <v>77</v>
      </c>
      <c r="BD1501" s="3" t="s">
        <v>165</v>
      </c>
      <c r="BE1501" s="3" t="s">
        <v>15124</v>
      </c>
      <c r="BF1501" s="3" t="s">
        <v>15129</v>
      </c>
      <c r="BG1501" s="3" t="s">
        <v>15130</v>
      </c>
      <c r="BH1501">
        <f t="shared" si="43"/>
        <v>0</v>
      </c>
    </row>
    <row r="1502" spans="1:60" ht="58" x14ac:dyDescent="0.35">
      <c r="A1502" s="2" t="s">
        <v>59</v>
      </c>
      <c r="B1502" s="2" t="s">
        <v>60</v>
      </c>
      <c r="C1502" s="2" t="s">
        <v>15131</v>
      </c>
      <c r="D1502" s="2" t="s">
        <v>15132</v>
      </c>
      <c r="E1502" s="2" t="s">
        <v>15133</v>
      </c>
      <c r="G1502" s="3" t="s">
        <v>64</v>
      </c>
      <c r="I1502" s="3" t="s">
        <v>64</v>
      </c>
      <c r="J1502" s="3" t="s">
        <v>64</v>
      </c>
      <c r="K1502" s="3" t="s">
        <v>65</v>
      </c>
      <c r="L1502" s="2" t="s">
        <v>15134</v>
      </c>
      <c r="M1502" s="2" t="s">
        <v>15135</v>
      </c>
      <c r="N1502" s="3" t="s">
        <v>190</v>
      </c>
      <c r="O1502" s="2" t="s">
        <v>14853</v>
      </c>
      <c r="P1502" s="3" t="s">
        <v>102</v>
      </c>
      <c r="Q1502" s="2" t="s">
        <v>15094</v>
      </c>
      <c r="R1502" s="3" t="s">
        <v>70</v>
      </c>
      <c r="S1502" s="4">
        <v>16</v>
      </c>
      <c r="T1502" s="4">
        <v>16</v>
      </c>
      <c r="U1502" s="5" t="s">
        <v>13251</v>
      </c>
      <c r="V1502" s="5" t="s">
        <v>13251</v>
      </c>
      <c r="W1502" s="5" t="s">
        <v>72</v>
      </c>
      <c r="X1502" s="5" t="s">
        <v>72</v>
      </c>
      <c r="Y1502" s="4">
        <v>130</v>
      </c>
      <c r="Z1502" s="4">
        <v>10</v>
      </c>
      <c r="AA1502" s="4">
        <v>11</v>
      </c>
      <c r="AB1502" s="4">
        <v>1</v>
      </c>
      <c r="AC1502" s="4">
        <v>2</v>
      </c>
      <c r="AD1502" s="4">
        <v>36</v>
      </c>
      <c r="AE1502" s="4">
        <v>37</v>
      </c>
      <c r="AF1502" s="4">
        <v>0</v>
      </c>
      <c r="AG1502" s="4">
        <v>1</v>
      </c>
      <c r="AH1502" s="4">
        <v>34</v>
      </c>
      <c r="AI1502" s="4">
        <v>34</v>
      </c>
      <c r="AJ1502" s="4">
        <v>3</v>
      </c>
      <c r="AK1502" s="4">
        <v>4</v>
      </c>
      <c r="AL1502" s="4">
        <v>22</v>
      </c>
      <c r="AM1502" s="4">
        <v>22</v>
      </c>
      <c r="AN1502" s="4">
        <v>0</v>
      </c>
      <c r="AO1502" s="4">
        <v>0</v>
      </c>
      <c r="AP1502" s="4">
        <v>5</v>
      </c>
      <c r="AQ1502" s="4">
        <v>5</v>
      </c>
      <c r="AR1502" s="3" t="s">
        <v>64</v>
      </c>
      <c r="AS1502" s="3" t="s">
        <v>64</v>
      </c>
      <c r="AT1502" s="3" t="s">
        <v>64</v>
      </c>
      <c r="AV1502" s="6" t="str">
        <f>HYPERLINK("http://mcgill.on.worldcat.org/oclc/1005741949","Catalog Record")</f>
        <v>Catalog Record</v>
      </c>
      <c r="AW1502" s="6" t="str">
        <f>HYPERLINK("http://www.worldcat.org/oclc/1005741949","WorldCat Record")</f>
        <v>WorldCat Record</v>
      </c>
      <c r="AX1502" s="3" t="s">
        <v>15136</v>
      </c>
      <c r="AY1502" s="3" t="s">
        <v>15137</v>
      </c>
      <c r="AZ1502" s="3" t="s">
        <v>15138</v>
      </c>
      <c r="BA1502" s="3" t="s">
        <v>15138</v>
      </c>
      <c r="BB1502" s="3" t="s">
        <v>15139</v>
      </c>
      <c r="BC1502" s="3" t="s">
        <v>77</v>
      </c>
      <c r="BD1502" s="3" t="s">
        <v>78</v>
      </c>
      <c r="BE1502" s="3" t="s">
        <v>15140</v>
      </c>
      <c r="BF1502" s="3" t="s">
        <v>15139</v>
      </c>
      <c r="BG1502" s="3" t="s">
        <v>15141</v>
      </c>
      <c r="BH1502">
        <f t="shared" si="43"/>
        <v>0</v>
      </c>
    </row>
    <row r="1503" spans="1:60" ht="58" x14ac:dyDescent="0.35">
      <c r="A1503" s="2" t="s">
        <v>59</v>
      </c>
      <c r="B1503" s="2" t="s">
        <v>60</v>
      </c>
      <c r="C1503" s="2" t="s">
        <v>15142</v>
      </c>
      <c r="D1503" s="2" t="s">
        <v>15143</v>
      </c>
      <c r="E1503" s="2" t="s">
        <v>15144</v>
      </c>
      <c r="G1503" s="3" t="s">
        <v>64</v>
      </c>
      <c r="I1503" s="3" t="s">
        <v>64</v>
      </c>
      <c r="J1503" s="3" t="s">
        <v>64</v>
      </c>
      <c r="K1503" s="3" t="s">
        <v>65</v>
      </c>
      <c r="L1503" s="2" t="s">
        <v>15145</v>
      </c>
      <c r="M1503" s="2" t="s">
        <v>15146</v>
      </c>
      <c r="N1503" s="3" t="s">
        <v>291</v>
      </c>
      <c r="P1503" s="3" t="s">
        <v>102</v>
      </c>
      <c r="R1503" s="3" t="s">
        <v>70</v>
      </c>
      <c r="S1503" s="4">
        <v>7</v>
      </c>
      <c r="T1503" s="4">
        <v>7</v>
      </c>
      <c r="U1503" s="5" t="s">
        <v>15147</v>
      </c>
      <c r="V1503" s="5" t="s">
        <v>15147</v>
      </c>
      <c r="W1503" s="5" t="s">
        <v>72</v>
      </c>
      <c r="X1503" s="5" t="s">
        <v>72</v>
      </c>
      <c r="Y1503" s="4">
        <v>900</v>
      </c>
      <c r="Z1503" s="4">
        <v>44</v>
      </c>
      <c r="AA1503" s="4">
        <v>61</v>
      </c>
      <c r="AB1503" s="4">
        <v>4</v>
      </c>
      <c r="AC1503" s="4">
        <v>8</v>
      </c>
      <c r="AD1503" s="4">
        <v>107</v>
      </c>
      <c r="AE1503" s="4">
        <v>122</v>
      </c>
      <c r="AF1503" s="4">
        <v>1</v>
      </c>
      <c r="AG1503" s="4">
        <v>3</v>
      </c>
      <c r="AH1503" s="4">
        <v>94</v>
      </c>
      <c r="AI1503" s="4">
        <v>101</v>
      </c>
      <c r="AJ1503" s="4">
        <v>13</v>
      </c>
      <c r="AK1503" s="4">
        <v>19</v>
      </c>
      <c r="AL1503" s="4">
        <v>46</v>
      </c>
      <c r="AM1503" s="4">
        <v>48</v>
      </c>
      <c r="AN1503" s="4">
        <v>0</v>
      </c>
      <c r="AO1503" s="4">
        <v>0</v>
      </c>
      <c r="AP1503" s="4">
        <v>20</v>
      </c>
      <c r="AQ1503" s="4">
        <v>29</v>
      </c>
      <c r="AR1503" s="3" t="s">
        <v>64</v>
      </c>
      <c r="AS1503" s="3" t="s">
        <v>64</v>
      </c>
      <c r="AT1503" s="3" t="s">
        <v>64</v>
      </c>
      <c r="AV1503" s="6" t="str">
        <f>HYPERLINK("http://mcgill.on.worldcat.org/oclc/85692734","Catalog Record")</f>
        <v>Catalog Record</v>
      </c>
      <c r="AW1503" s="6" t="str">
        <f>HYPERLINK("http://www.worldcat.org/oclc/85692734","WorldCat Record")</f>
        <v>WorldCat Record</v>
      </c>
      <c r="AX1503" s="3" t="s">
        <v>15148</v>
      </c>
      <c r="AY1503" s="3" t="s">
        <v>15149</v>
      </c>
      <c r="AZ1503" s="3" t="s">
        <v>15150</v>
      </c>
      <c r="BA1503" s="3" t="s">
        <v>15150</v>
      </c>
      <c r="BB1503" s="3" t="s">
        <v>15151</v>
      </c>
      <c r="BC1503" s="3" t="s">
        <v>77</v>
      </c>
      <c r="BD1503" s="3" t="s">
        <v>78</v>
      </c>
      <c r="BE1503" s="3" t="s">
        <v>15152</v>
      </c>
      <c r="BF1503" s="3" t="s">
        <v>15151</v>
      </c>
      <c r="BG1503" s="3" t="s">
        <v>15153</v>
      </c>
      <c r="BH1503">
        <f t="shared" si="43"/>
        <v>0</v>
      </c>
    </row>
    <row r="1504" spans="1:60" ht="58" x14ac:dyDescent="0.35">
      <c r="A1504" s="2" t="s">
        <v>59</v>
      </c>
      <c r="B1504" s="2" t="s">
        <v>60</v>
      </c>
      <c r="C1504" s="2" t="s">
        <v>15154</v>
      </c>
      <c r="D1504" s="2" t="s">
        <v>15155</v>
      </c>
      <c r="E1504" s="2" t="s">
        <v>15156</v>
      </c>
      <c r="G1504" s="3" t="s">
        <v>64</v>
      </c>
      <c r="I1504" s="3" t="s">
        <v>64</v>
      </c>
      <c r="J1504" s="3" t="s">
        <v>64</v>
      </c>
      <c r="K1504" s="3" t="s">
        <v>65</v>
      </c>
      <c r="L1504" s="2" t="s">
        <v>15157</v>
      </c>
      <c r="M1504" s="2" t="s">
        <v>15158</v>
      </c>
      <c r="N1504" s="3" t="s">
        <v>144</v>
      </c>
      <c r="P1504" s="3" t="s">
        <v>102</v>
      </c>
      <c r="R1504" s="3" t="s">
        <v>70</v>
      </c>
      <c r="S1504" s="4">
        <v>13</v>
      </c>
      <c r="T1504" s="4">
        <v>13</v>
      </c>
      <c r="U1504" s="5" t="s">
        <v>1264</v>
      </c>
      <c r="V1504" s="5" t="s">
        <v>1264</v>
      </c>
      <c r="W1504" s="5" t="s">
        <v>72</v>
      </c>
      <c r="X1504" s="5" t="s">
        <v>72</v>
      </c>
      <c r="Y1504" s="4">
        <v>1149</v>
      </c>
      <c r="Z1504" s="4">
        <v>53</v>
      </c>
      <c r="AA1504" s="4">
        <v>126</v>
      </c>
      <c r="AB1504" s="4">
        <v>4</v>
      </c>
      <c r="AC1504" s="4">
        <v>21</v>
      </c>
      <c r="AD1504" s="4">
        <v>112</v>
      </c>
      <c r="AE1504" s="4">
        <v>146</v>
      </c>
      <c r="AF1504" s="4">
        <v>1</v>
      </c>
      <c r="AG1504" s="4">
        <v>9</v>
      </c>
      <c r="AH1504" s="4">
        <v>97</v>
      </c>
      <c r="AI1504" s="4">
        <v>107</v>
      </c>
      <c r="AJ1504" s="4">
        <v>16</v>
      </c>
      <c r="AK1504" s="4">
        <v>24</v>
      </c>
      <c r="AL1504" s="4">
        <v>53</v>
      </c>
      <c r="AM1504" s="4">
        <v>57</v>
      </c>
      <c r="AN1504" s="4">
        <v>0</v>
      </c>
      <c r="AO1504" s="4">
        <v>0</v>
      </c>
      <c r="AP1504" s="4">
        <v>22</v>
      </c>
      <c r="AQ1504" s="4">
        <v>48</v>
      </c>
      <c r="AR1504" s="3" t="s">
        <v>64</v>
      </c>
      <c r="AS1504" s="3" t="s">
        <v>64</v>
      </c>
      <c r="AT1504" s="3" t="s">
        <v>64</v>
      </c>
      <c r="AV1504" s="6" t="str">
        <f>HYPERLINK("http://mcgill.on.worldcat.org/oclc/154309204","Catalog Record")</f>
        <v>Catalog Record</v>
      </c>
      <c r="AW1504" s="6" t="str">
        <f>HYPERLINK("http://www.worldcat.org/oclc/154309204","WorldCat Record")</f>
        <v>WorldCat Record</v>
      </c>
      <c r="AX1504" s="3" t="s">
        <v>15159</v>
      </c>
      <c r="AY1504" s="3" t="s">
        <v>15160</v>
      </c>
      <c r="AZ1504" s="3" t="s">
        <v>15161</v>
      </c>
      <c r="BA1504" s="3" t="s">
        <v>15161</v>
      </c>
      <c r="BB1504" s="3" t="s">
        <v>15162</v>
      </c>
      <c r="BC1504" s="3" t="s">
        <v>77</v>
      </c>
      <c r="BD1504" s="3" t="s">
        <v>165</v>
      </c>
      <c r="BE1504" s="3" t="s">
        <v>15163</v>
      </c>
      <c r="BF1504" s="3" t="s">
        <v>15162</v>
      </c>
      <c r="BG1504" s="3" t="s">
        <v>15164</v>
      </c>
      <c r="BH1504">
        <f t="shared" si="43"/>
        <v>0</v>
      </c>
    </row>
    <row r="1505" spans="1:60" ht="58" x14ac:dyDescent="0.35">
      <c r="A1505" s="2" t="s">
        <v>59</v>
      </c>
      <c r="B1505" s="2" t="s">
        <v>60</v>
      </c>
      <c r="C1505" s="2" t="s">
        <v>15165</v>
      </c>
      <c r="D1505" s="2" t="s">
        <v>15166</v>
      </c>
      <c r="E1505" s="2" t="s">
        <v>15167</v>
      </c>
      <c r="G1505" s="3" t="s">
        <v>64</v>
      </c>
      <c r="I1505" s="3" t="s">
        <v>64</v>
      </c>
      <c r="J1505" s="3" t="s">
        <v>64</v>
      </c>
      <c r="K1505" s="3" t="s">
        <v>65</v>
      </c>
      <c r="L1505" s="2" t="s">
        <v>15168</v>
      </c>
      <c r="M1505" s="2" t="s">
        <v>15169</v>
      </c>
      <c r="N1505" s="3" t="s">
        <v>551</v>
      </c>
      <c r="P1505" s="3" t="s">
        <v>102</v>
      </c>
      <c r="R1505" s="3" t="s">
        <v>70</v>
      </c>
      <c r="S1505" s="4">
        <v>4</v>
      </c>
      <c r="T1505" s="4">
        <v>4</v>
      </c>
      <c r="U1505" s="5" t="s">
        <v>1264</v>
      </c>
      <c r="V1505" s="5" t="s">
        <v>1264</v>
      </c>
      <c r="W1505" s="5" t="s">
        <v>72</v>
      </c>
      <c r="X1505" s="5" t="s">
        <v>72</v>
      </c>
      <c r="Y1505" s="4">
        <v>236</v>
      </c>
      <c r="Z1505" s="4">
        <v>18</v>
      </c>
      <c r="AA1505" s="4">
        <v>20</v>
      </c>
      <c r="AB1505" s="4">
        <v>4</v>
      </c>
      <c r="AC1505" s="4">
        <v>5</v>
      </c>
      <c r="AD1505" s="4">
        <v>60</v>
      </c>
      <c r="AE1505" s="4">
        <v>61</v>
      </c>
      <c r="AF1505" s="4">
        <v>1</v>
      </c>
      <c r="AG1505" s="4">
        <v>2</v>
      </c>
      <c r="AH1505" s="4">
        <v>55</v>
      </c>
      <c r="AI1505" s="4">
        <v>56</v>
      </c>
      <c r="AJ1505" s="4">
        <v>12</v>
      </c>
      <c r="AK1505" s="4">
        <v>13</v>
      </c>
      <c r="AL1505" s="4">
        <v>32</v>
      </c>
      <c r="AM1505" s="4">
        <v>32</v>
      </c>
      <c r="AN1505" s="4">
        <v>0</v>
      </c>
      <c r="AO1505" s="4">
        <v>0</v>
      </c>
      <c r="AP1505" s="4">
        <v>12</v>
      </c>
      <c r="AQ1505" s="4">
        <v>13</v>
      </c>
      <c r="AR1505" s="3" t="s">
        <v>64</v>
      </c>
      <c r="AS1505" s="3" t="s">
        <v>64</v>
      </c>
      <c r="AT1505" s="3" t="s">
        <v>64</v>
      </c>
      <c r="AV1505" s="6" t="str">
        <f>HYPERLINK("http://mcgill.on.worldcat.org/oclc/430192541","Catalog Record")</f>
        <v>Catalog Record</v>
      </c>
      <c r="AW1505" s="6" t="str">
        <f>HYPERLINK("http://www.worldcat.org/oclc/430192541","WorldCat Record")</f>
        <v>WorldCat Record</v>
      </c>
      <c r="AX1505" s="3" t="s">
        <v>15170</v>
      </c>
      <c r="AY1505" s="3" t="s">
        <v>15171</v>
      </c>
      <c r="AZ1505" s="3" t="s">
        <v>15172</v>
      </c>
      <c r="BA1505" s="3" t="s">
        <v>15172</v>
      </c>
      <c r="BB1505" s="3" t="s">
        <v>15173</v>
      </c>
      <c r="BC1505" s="3" t="s">
        <v>77</v>
      </c>
      <c r="BD1505" s="3" t="s">
        <v>78</v>
      </c>
      <c r="BE1505" s="3" t="s">
        <v>15174</v>
      </c>
      <c r="BF1505" s="3" t="s">
        <v>15173</v>
      </c>
      <c r="BG1505" s="3" t="s">
        <v>15175</v>
      </c>
      <c r="BH1505">
        <f t="shared" si="43"/>
        <v>0</v>
      </c>
    </row>
    <row r="1506" spans="1:60" ht="58" x14ac:dyDescent="0.35">
      <c r="A1506" s="2" t="s">
        <v>59</v>
      </c>
      <c r="B1506" s="2" t="s">
        <v>60</v>
      </c>
      <c r="C1506" s="2" t="s">
        <v>15176</v>
      </c>
      <c r="D1506" s="2" t="s">
        <v>15177</v>
      </c>
      <c r="E1506" s="2" t="s">
        <v>15178</v>
      </c>
      <c r="G1506" s="3" t="s">
        <v>64</v>
      </c>
      <c r="I1506" s="3" t="s">
        <v>64</v>
      </c>
      <c r="J1506" s="3" t="s">
        <v>64</v>
      </c>
      <c r="K1506" s="3" t="s">
        <v>65</v>
      </c>
      <c r="L1506" s="2" t="s">
        <v>15179</v>
      </c>
      <c r="M1506" s="2" t="s">
        <v>15180</v>
      </c>
      <c r="N1506" s="3" t="s">
        <v>86</v>
      </c>
      <c r="P1506" s="3" t="s">
        <v>102</v>
      </c>
      <c r="Q1506" s="2" t="s">
        <v>15181</v>
      </c>
      <c r="R1506" s="3" t="s">
        <v>70</v>
      </c>
      <c r="S1506" s="4">
        <v>3</v>
      </c>
      <c r="T1506" s="4">
        <v>3</v>
      </c>
      <c r="U1506" s="5" t="s">
        <v>14294</v>
      </c>
      <c r="V1506" s="5" t="s">
        <v>14294</v>
      </c>
      <c r="W1506" s="5" t="s">
        <v>72</v>
      </c>
      <c r="X1506" s="5" t="s">
        <v>72</v>
      </c>
      <c r="Y1506" s="4">
        <v>134</v>
      </c>
      <c r="Z1506" s="4">
        <v>21</v>
      </c>
      <c r="AA1506" s="4">
        <v>22</v>
      </c>
      <c r="AB1506" s="4">
        <v>1</v>
      </c>
      <c r="AC1506" s="4">
        <v>2</v>
      </c>
      <c r="AD1506" s="4">
        <v>45</v>
      </c>
      <c r="AE1506" s="4">
        <v>45</v>
      </c>
      <c r="AF1506" s="4">
        <v>0</v>
      </c>
      <c r="AG1506" s="4">
        <v>0</v>
      </c>
      <c r="AH1506" s="4">
        <v>39</v>
      </c>
      <c r="AI1506" s="4">
        <v>39</v>
      </c>
      <c r="AJ1506" s="4">
        <v>9</v>
      </c>
      <c r="AK1506" s="4">
        <v>9</v>
      </c>
      <c r="AL1506" s="4">
        <v>22</v>
      </c>
      <c r="AM1506" s="4">
        <v>22</v>
      </c>
      <c r="AN1506" s="4">
        <v>0</v>
      </c>
      <c r="AO1506" s="4">
        <v>0</v>
      </c>
      <c r="AP1506" s="4">
        <v>13</v>
      </c>
      <c r="AQ1506" s="4">
        <v>13</v>
      </c>
      <c r="AR1506" s="3" t="s">
        <v>64</v>
      </c>
      <c r="AS1506" s="3" t="s">
        <v>64</v>
      </c>
      <c r="AT1506" s="3" t="s">
        <v>64</v>
      </c>
      <c r="AV1506" s="6" t="str">
        <f>HYPERLINK("http://mcgill.on.worldcat.org/oclc/756577010","Catalog Record")</f>
        <v>Catalog Record</v>
      </c>
      <c r="AW1506" s="6" t="str">
        <f>HYPERLINK("http://www.worldcat.org/oclc/756577010","WorldCat Record")</f>
        <v>WorldCat Record</v>
      </c>
      <c r="AX1506" s="3" t="s">
        <v>15182</v>
      </c>
      <c r="AY1506" s="3" t="s">
        <v>15183</v>
      </c>
      <c r="AZ1506" s="3" t="s">
        <v>15184</v>
      </c>
      <c r="BA1506" s="3" t="s">
        <v>15184</v>
      </c>
      <c r="BB1506" s="3" t="s">
        <v>15185</v>
      </c>
      <c r="BC1506" s="3" t="s">
        <v>77</v>
      </c>
      <c r="BD1506" s="3" t="s">
        <v>78</v>
      </c>
      <c r="BE1506" s="3" t="s">
        <v>15186</v>
      </c>
      <c r="BF1506" s="3" t="s">
        <v>15185</v>
      </c>
      <c r="BG1506" s="3" t="s">
        <v>15187</v>
      </c>
      <c r="BH1506">
        <f t="shared" si="43"/>
        <v>0</v>
      </c>
    </row>
    <row r="1507" spans="1:60" ht="58" x14ac:dyDescent="0.35">
      <c r="A1507" s="2" t="s">
        <v>59</v>
      </c>
      <c r="B1507" s="2" t="s">
        <v>60</v>
      </c>
      <c r="C1507" s="2" t="s">
        <v>15188</v>
      </c>
      <c r="D1507" s="2" t="s">
        <v>15189</v>
      </c>
      <c r="E1507" s="2" t="s">
        <v>15190</v>
      </c>
      <c r="G1507" s="3" t="s">
        <v>64</v>
      </c>
      <c r="I1507" s="3" t="s">
        <v>64</v>
      </c>
      <c r="J1507" s="3" t="s">
        <v>64</v>
      </c>
      <c r="K1507" s="3" t="s">
        <v>65</v>
      </c>
      <c r="L1507" s="2" t="s">
        <v>15191</v>
      </c>
      <c r="M1507" s="2" t="s">
        <v>15180</v>
      </c>
      <c r="N1507" s="3" t="s">
        <v>86</v>
      </c>
      <c r="P1507" s="3" t="s">
        <v>102</v>
      </c>
      <c r="Q1507" s="2" t="s">
        <v>15181</v>
      </c>
      <c r="R1507" s="3" t="s">
        <v>70</v>
      </c>
      <c r="S1507" s="4">
        <v>2</v>
      </c>
      <c r="T1507" s="4">
        <v>2</v>
      </c>
      <c r="U1507" s="5" t="s">
        <v>1264</v>
      </c>
      <c r="V1507" s="5" t="s">
        <v>1264</v>
      </c>
      <c r="W1507" s="5" t="s">
        <v>72</v>
      </c>
      <c r="X1507" s="5" t="s">
        <v>72</v>
      </c>
      <c r="Y1507" s="4">
        <v>97</v>
      </c>
      <c r="Z1507" s="4">
        <v>10</v>
      </c>
      <c r="AA1507" s="4">
        <v>45</v>
      </c>
      <c r="AB1507" s="4">
        <v>1</v>
      </c>
      <c r="AC1507" s="4">
        <v>3</v>
      </c>
      <c r="AD1507" s="4">
        <v>41</v>
      </c>
      <c r="AE1507" s="4">
        <v>58</v>
      </c>
      <c r="AF1507" s="4">
        <v>0</v>
      </c>
      <c r="AG1507" s="4">
        <v>0</v>
      </c>
      <c r="AH1507" s="4">
        <v>40</v>
      </c>
      <c r="AI1507" s="4">
        <v>49</v>
      </c>
      <c r="AJ1507" s="4">
        <v>5</v>
      </c>
      <c r="AK1507" s="4">
        <v>8</v>
      </c>
      <c r="AL1507" s="4">
        <v>24</v>
      </c>
      <c r="AM1507" s="4">
        <v>29</v>
      </c>
      <c r="AN1507" s="4">
        <v>0</v>
      </c>
      <c r="AO1507" s="4">
        <v>0</v>
      </c>
      <c r="AP1507" s="4">
        <v>6</v>
      </c>
      <c r="AQ1507" s="4">
        <v>14</v>
      </c>
      <c r="AR1507" s="3" t="s">
        <v>64</v>
      </c>
      <c r="AS1507" s="3" t="s">
        <v>64</v>
      </c>
      <c r="AT1507" s="3" t="s">
        <v>64</v>
      </c>
      <c r="AV1507" s="6" t="str">
        <f>HYPERLINK("http://mcgill.on.worldcat.org/oclc/768800338","Catalog Record")</f>
        <v>Catalog Record</v>
      </c>
      <c r="AW1507" s="6" t="str">
        <f>HYPERLINK("http://www.worldcat.org/oclc/768800338","WorldCat Record")</f>
        <v>WorldCat Record</v>
      </c>
      <c r="AX1507" s="3" t="s">
        <v>15192</v>
      </c>
      <c r="AY1507" s="3" t="s">
        <v>15193</v>
      </c>
      <c r="AZ1507" s="3" t="s">
        <v>15194</v>
      </c>
      <c r="BA1507" s="3" t="s">
        <v>15194</v>
      </c>
      <c r="BB1507" s="3" t="s">
        <v>15195</v>
      </c>
      <c r="BC1507" s="3" t="s">
        <v>77</v>
      </c>
      <c r="BD1507" s="3" t="s">
        <v>78</v>
      </c>
      <c r="BE1507" s="3" t="s">
        <v>15196</v>
      </c>
      <c r="BF1507" s="3" t="s">
        <v>15195</v>
      </c>
      <c r="BG1507" s="3" t="s">
        <v>15197</v>
      </c>
      <c r="BH1507">
        <f t="shared" si="43"/>
        <v>0</v>
      </c>
    </row>
    <row r="1508" spans="1:60" ht="58" x14ac:dyDescent="0.35">
      <c r="A1508" s="2" t="s">
        <v>59</v>
      </c>
      <c r="B1508" s="2" t="s">
        <v>60</v>
      </c>
      <c r="C1508" s="2" t="s">
        <v>15198</v>
      </c>
      <c r="D1508" s="2" t="s">
        <v>15199</v>
      </c>
      <c r="E1508" s="2" t="s">
        <v>15200</v>
      </c>
      <c r="G1508" s="3" t="s">
        <v>64</v>
      </c>
      <c r="I1508" s="3" t="s">
        <v>64</v>
      </c>
      <c r="J1508" s="3" t="s">
        <v>64</v>
      </c>
      <c r="K1508" s="3" t="s">
        <v>65</v>
      </c>
      <c r="L1508" s="2" t="s">
        <v>15201</v>
      </c>
      <c r="M1508" s="2" t="s">
        <v>15202</v>
      </c>
      <c r="N1508" s="3" t="s">
        <v>551</v>
      </c>
      <c r="P1508" s="3" t="s">
        <v>102</v>
      </c>
      <c r="Q1508" s="2" t="s">
        <v>15203</v>
      </c>
      <c r="R1508" s="3" t="s">
        <v>70</v>
      </c>
      <c r="S1508" s="4">
        <v>3</v>
      </c>
      <c r="T1508" s="4">
        <v>3</v>
      </c>
      <c r="U1508" s="5" t="s">
        <v>7890</v>
      </c>
      <c r="V1508" s="5" t="s">
        <v>7890</v>
      </c>
      <c r="W1508" s="5" t="s">
        <v>72</v>
      </c>
      <c r="X1508" s="5" t="s">
        <v>72</v>
      </c>
      <c r="Y1508" s="4">
        <v>65</v>
      </c>
      <c r="Z1508" s="4">
        <v>9</v>
      </c>
      <c r="AA1508" s="4">
        <v>28</v>
      </c>
      <c r="AB1508" s="4">
        <v>2</v>
      </c>
      <c r="AC1508" s="4">
        <v>8</v>
      </c>
      <c r="AD1508" s="4">
        <v>27</v>
      </c>
      <c r="AE1508" s="4">
        <v>72</v>
      </c>
      <c r="AF1508" s="4">
        <v>0</v>
      </c>
      <c r="AG1508" s="4">
        <v>3</v>
      </c>
      <c r="AH1508" s="4">
        <v>24</v>
      </c>
      <c r="AI1508" s="4">
        <v>59</v>
      </c>
      <c r="AJ1508" s="4">
        <v>6</v>
      </c>
      <c r="AK1508" s="4">
        <v>18</v>
      </c>
      <c r="AL1508" s="4">
        <v>16</v>
      </c>
      <c r="AM1508" s="4">
        <v>35</v>
      </c>
      <c r="AN1508" s="4">
        <v>0</v>
      </c>
      <c r="AO1508" s="4">
        <v>0</v>
      </c>
      <c r="AP1508" s="4">
        <v>6</v>
      </c>
      <c r="AQ1508" s="4">
        <v>20</v>
      </c>
      <c r="AR1508" s="3" t="s">
        <v>64</v>
      </c>
      <c r="AS1508" s="3" t="s">
        <v>64</v>
      </c>
      <c r="AT1508" s="3" t="s">
        <v>64</v>
      </c>
      <c r="AV1508" s="6" t="str">
        <f>HYPERLINK("http://mcgill.on.worldcat.org/oclc/237882012","Catalog Record")</f>
        <v>Catalog Record</v>
      </c>
      <c r="AW1508" s="6" t="str">
        <f>HYPERLINK("http://www.worldcat.org/oclc/237882012","WorldCat Record")</f>
        <v>WorldCat Record</v>
      </c>
      <c r="AX1508" s="3" t="s">
        <v>15204</v>
      </c>
      <c r="AY1508" s="3" t="s">
        <v>15205</v>
      </c>
      <c r="AZ1508" s="3" t="s">
        <v>15206</v>
      </c>
      <c r="BA1508" s="3" t="s">
        <v>15206</v>
      </c>
      <c r="BB1508" s="3" t="s">
        <v>15207</v>
      </c>
      <c r="BC1508" s="3" t="s">
        <v>77</v>
      </c>
      <c r="BD1508" s="3" t="s">
        <v>78</v>
      </c>
      <c r="BE1508" s="3" t="s">
        <v>15208</v>
      </c>
      <c r="BF1508" s="3" t="s">
        <v>15207</v>
      </c>
      <c r="BG1508" s="3" t="s">
        <v>15209</v>
      </c>
      <c r="BH1508">
        <f t="shared" si="43"/>
        <v>0</v>
      </c>
    </row>
    <row r="1509" spans="1:60" ht="58" x14ac:dyDescent="0.35">
      <c r="A1509" s="2" t="s">
        <v>59</v>
      </c>
      <c r="B1509" s="2" t="s">
        <v>60</v>
      </c>
      <c r="C1509" s="2" t="s">
        <v>15210</v>
      </c>
      <c r="D1509" s="2" t="s">
        <v>15211</v>
      </c>
      <c r="E1509" s="2" t="s">
        <v>15212</v>
      </c>
      <c r="G1509" s="3" t="s">
        <v>64</v>
      </c>
      <c r="I1509" s="3" t="s">
        <v>64</v>
      </c>
      <c r="J1509" s="3" t="s">
        <v>64</v>
      </c>
      <c r="K1509" s="3" t="s">
        <v>65</v>
      </c>
      <c r="L1509" s="2" t="s">
        <v>15213</v>
      </c>
      <c r="M1509" s="2" t="s">
        <v>15214</v>
      </c>
      <c r="N1509" s="3" t="s">
        <v>291</v>
      </c>
      <c r="P1509" s="3" t="s">
        <v>102</v>
      </c>
      <c r="Q1509" s="2" t="s">
        <v>15181</v>
      </c>
      <c r="R1509" s="3" t="s">
        <v>70</v>
      </c>
      <c r="S1509" s="4">
        <v>14</v>
      </c>
      <c r="T1509" s="4">
        <v>14</v>
      </c>
      <c r="U1509" s="5" t="s">
        <v>14916</v>
      </c>
      <c r="V1509" s="5" t="s">
        <v>14916</v>
      </c>
      <c r="W1509" s="5" t="s">
        <v>72</v>
      </c>
      <c r="X1509" s="5" t="s">
        <v>72</v>
      </c>
      <c r="Y1509" s="4">
        <v>225</v>
      </c>
      <c r="Z1509" s="4">
        <v>17</v>
      </c>
      <c r="AA1509" s="4">
        <v>18</v>
      </c>
      <c r="AB1509" s="4">
        <v>4</v>
      </c>
      <c r="AC1509" s="4">
        <v>5</v>
      </c>
      <c r="AD1509" s="4">
        <v>58</v>
      </c>
      <c r="AE1509" s="4">
        <v>59</v>
      </c>
      <c r="AF1509" s="4">
        <v>1</v>
      </c>
      <c r="AG1509" s="4">
        <v>2</v>
      </c>
      <c r="AH1509" s="4">
        <v>52</v>
      </c>
      <c r="AI1509" s="4">
        <v>53</v>
      </c>
      <c r="AJ1509" s="4">
        <v>10</v>
      </c>
      <c r="AK1509" s="4">
        <v>11</v>
      </c>
      <c r="AL1509" s="4">
        <v>31</v>
      </c>
      <c r="AM1509" s="4">
        <v>31</v>
      </c>
      <c r="AN1509" s="4">
        <v>0</v>
      </c>
      <c r="AO1509" s="4">
        <v>0</v>
      </c>
      <c r="AP1509" s="4">
        <v>12</v>
      </c>
      <c r="AQ1509" s="4">
        <v>13</v>
      </c>
      <c r="AR1509" s="3" t="s">
        <v>64</v>
      </c>
      <c r="AS1509" s="3" t="s">
        <v>64</v>
      </c>
      <c r="AT1509" s="3" t="s">
        <v>64</v>
      </c>
      <c r="AV1509" s="6" t="str">
        <f>HYPERLINK("http://mcgill.on.worldcat.org/oclc/105428765","Catalog Record")</f>
        <v>Catalog Record</v>
      </c>
      <c r="AW1509" s="6" t="str">
        <f>HYPERLINK("http://www.worldcat.org/oclc/105428765","WorldCat Record")</f>
        <v>WorldCat Record</v>
      </c>
      <c r="AX1509" s="3" t="s">
        <v>15215</v>
      </c>
      <c r="AY1509" s="3" t="s">
        <v>15216</v>
      </c>
      <c r="AZ1509" s="3" t="s">
        <v>15217</v>
      </c>
      <c r="BA1509" s="3" t="s">
        <v>15217</v>
      </c>
      <c r="BB1509" s="3" t="s">
        <v>15218</v>
      </c>
      <c r="BC1509" s="3" t="s">
        <v>77</v>
      </c>
      <c r="BD1509" s="3" t="s">
        <v>78</v>
      </c>
      <c r="BE1509" s="3" t="s">
        <v>15219</v>
      </c>
      <c r="BF1509" s="3" t="s">
        <v>15218</v>
      </c>
      <c r="BG1509" s="3" t="s">
        <v>15220</v>
      </c>
      <c r="BH1509">
        <f t="shared" si="43"/>
        <v>0</v>
      </c>
    </row>
    <row r="1510" spans="1:60" ht="58" x14ac:dyDescent="0.35">
      <c r="A1510" s="2" t="s">
        <v>59</v>
      </c>
      <c r="B1510" s="2" t="s">
        <v>60</v>
      </c>
      <c r="C1510" s="2" t="s">
        <v>15221</v>
      </c>
      <c r="D1510" s="2" t="s">
        <v>15222</v>
      </c>
      <c r="E1510" s="2" t="s">
        <v>15223</v>
      </c>
      <c r="G1510" s="3" t="s">
        <v>64</v>
      </c>
      <c r="I1510" s="3" t="s">
        <v>64</v>
      </c>
      <c r="J1510" s="3" t="s">
        <v>64</v>
      </c>
      <c r="K1510" s="3" t="s">
        <v>65</v>
      </c>
      <c r="L1510" s="2" t="s">
        <v>15224</v>
      </c>
      <c r="M1510" s="2" t="s">
        <v>12994</v>
      </c>
      <c r="N1510" s="3" t="s">
        <v>144</v>
      </c>
      <c r="P1510" s="3" t="s">
        <v>102</v>
      </c>
      <c r="Q1510" s="2" t="s">
        <v>8981</v>
      </c>
      <c r="R1510" s="3" t="s">
        <v>70</v>
      </c>
      <c r="S1510" s="4">
        <v>25</v>
      </c>
      <c r="T1510" s="4">
        <v>25</v>
      </c>
      <c r="U1510" s="5" t="s">
        <v>15225</v>
      </c>
      <c r="V1510" s="5" t="s">
        <v>15225</v>
      </c>
      <c r="W1510" s="5" t="s">
        <v>72</v>
      </c>
      <c r="X1510" s="5" t="s">
        <v>72</v>
      </c>
      <c r="Y1510" s="4">
        <v>314</v>
      </c>
      <c r="Z1510" s="4">
        <v>27</v>
      </c>
      <c r="AA1510" s="4">
        <v>34</v>
      </c>
      <c r="AB1510" s="4">
        <v>4</v>
      </c>
      <c r="AC1510" s="4">
        <v>8</v>
      </c>
      <c r="AD1510" s="4">
        <v>75</v>
      </c>
      <c r="AE1510" s="4">
        <v>82</v>
      </c>
      <c r="AF1510" s="4">
        <v>1</v>
      </c>
      <c r="AG1510" s="4">
        <v>3</v>
      </c>
      <c r="AH1510" s="4">
        <v>64</v>
      </c>
      <c r="AI1510" s="4">
        <v>69</v>
      </c>
      <c r="AJ1510" s="4">
        <v>13</v>
      </c>
      <c r="AK1510" s="4">
        <v>16</v>
      </c>
      <c r="AL1510" s="4">
        <v>38</v>
      </c>
      <c r="AM1510" s="4">
        <v>39</v>
      </c>
      <c r="AN1510" s="4">
        <v>1</v>
      </c>
      <c r="AO1510" s="4">
        <v>1</v>
      </c>
      <c r="AP1510" s="4">
        <v>16</v>
      </c>
      <c r="AQ1510" s="4">
        <v>18</v>
      </c>
      <c r="AR1510" s="3" t="s">
        <v>64</v>
      </c>
      <c r="AS1510" s="3" t="s">
        <v>64</v>
      </c>
      <c r="AT1510" s="3" t="s">
        <v>128</v>
      </c>
      <c r="AU1510" s="6" t="str">
        <f>HYPERLINK("http://catalog.hathitrust.org/Record/005679798","HathiTrust Record")</f>
        <v>HathiTrust Record</v>
      </c>
      <c r="AV1510" s="6" t="str">
        <f>HYPERLINK("http://mcgill.on.worldcat.org/oclc/148313797","Catalog Record")</f>
        <v>Catalog Record</v>
      </c>
      <c r="AW1510" s="6" t="str">
        <f>HYPERLINK("http://www.worldcat.org/oclc/148313797","WorldCat Record")</f>
        <v>WorldCat Record</v>
      </c>
      <c r="AX1510" s="3" t="s">
        <v>15226</v>
      </c>
      <c r="AY1510" s="3" t="s">
        <v>15227</v>
      </c>
      <c r="AZ1510" s="3" t="s">
        <v>15228</v>
      </c>
      <c r="BA1510" s="3" t="s">
        <v>15228</v>
      </c>
      <c r="BB1510" s="3" t="s">
        <v>15229</v>
      </c>
      <c r="BC1510" s="3" t="s">
        <v>77</v>
      </c>
      <c r="BD1510" s="3" t="s">
        <v>78</v>
      </c>
      <c r="BE1510" s="3" t="s">
        <v>15230</v>
      </c>
      <c r="BF1510" s="3" t="s">
        <v>15229</v>
      </c>
      <c r="BG1510" s="3" t="s">
        <v>15231</v>
      </c>
      <c r="BH1510">
        <f t="shared" si="43"/>
        <v>0</v>
      </c>
    </row>
    <row r="1511" spans="1:60" ht="58" x14ac:dyDescent="0.35">
      <c r="A1511" s="2" t="s">
        <v>59</v>
      </c>
      <c r="B1511" s="2" t="s">
        <v>60</v>
      </c>
      <c r="C1511" s="2" t="s">
        <v>15232</v>
      </c>
      <c r="D1511" s="2" t="s">
        <v>15233</v>
      </c>
      <c r="E1511" s="2" t="s">
        <v>15234</v>
      </c>
      <c r="G1511" s="3" t="s">
        <v>64</v>
      </c>
      <c r="I1511" s="3" t="s">
        <v>64</v>
      </c>
      <c r="J1511" s="3" t="s">
        <v>128</v>
      </c>
      <c r="K1511" s="3" t="s">
        <v>65</v>
      </c>
      <c r="L1511" s="2" t="s">
        <v>15235</v>
      </c>
      <c r="M1511" s="2" t="s">
        <v>15236</v>
      </c>
      <c r="N1511" s="3" t="s">
        <v>1075</v>
      </c>
      <c r="O1511" s="2" t="s">
        <v>15237</v>
      </c>
      <c r="P1511" s="3" t="s">
        <v>102</v>
      </c>
      <c r="R1511" s="3" t="s">
        <v>70</v>
      </c>
      <c r="S1511" s="4">
        <v>8</v>
      </c>
      <c r="T1511" s="4">
        <v>8</v>
      </c>
      <c r="U1511" s="5" t="s">
        <v>1264</v>
      </c>
      <c r="V1511" s="5" t="s">
        <v>1264</v>
      </c>
      <c r="W1511" s="5" t="s">
        <v>72</v>
      </c>
      <c r="X1511" s="5" t="s">
        <v>72</v>
      </c>
      <c r="Y1511" s="4">
        <v>295</v>
      </c>
      <c r="Z1511" s="4">
        <v>26</v>
      </c>
      <c r="AA1511" s="4">
        <v>41</v>
      </c>
      <c r="AB1511" s="4">
        <v>2</v>
      </c>
      <c r="AC1511" s="4">
        <v>7</v>
      </c>
      <c r="AD1511" s="4">
        <v>64</v>
      </c>
      <c r="AE1511" s="4">
        <v>82</v>
      </c>
      <c r="AF1511" s="4">
        <v>1</v>
      </c>
      <c r="AG1511" s="4">
        <v>3</v>
      </c>
      <c r="AH1511" s="4">
        <v>58</v>
      </c>
      <c r="AI1511" s="4">
        <v>70</v>
      </c>
      <c r="AJ1511" s="4">
        <v>10</v>
      </c>
      <c r="AK1511" s="4">
        <v>18</v>
      </c>
      <c r="AL1511" s="4">
        <v>24</v>
      </c>
      <c r="AM1511" s="4">
        <v>31</v>
      </c>
      <c r="AN1511" s="4">
        <v>0</v>
      </c>
      <c r="AO1511" s="4">
        <v>0</v>
      </c>
      <c r="AP1511" s="4">
        <v>13</v>
      </c>
      <c r="AQ1511" s="4">
        <v>21</v>
      </c>
      <c r="AR1511" s="3" t="s">
        <v>64</v>
      </c>
      <c r="AS1511" s="3" t="s">
        <v>64</v>
      </c>
      <c r="AT1511" s="3" t="s">
        <v>64</v>
      </c>
      <c r="AV1511" s="6" t="str">
        <f>HYPERLINK("http://mcgill.on.worldcat.org/oclc/810534135","Catalog Record")</f>
        <v>Catalog Record</v>
      </c>
      <c r="AW1511" s="6" t="str">
        <f>HYPERLINK("http://www.worldcat.org/oclc/810534135","WorldCat Record")</f>
        <v>WorldCat Record</v>
      </c>
      <c r="AX1511" s="3" t="s">
        <v>15238</v>
      </c>
      <c r="AY1511" s="3" t="s">
        <v>15239</v>
      </c>
      <c r="AZ1511" s="3" t="s">
        <v>15240</v>
      </c>
      <c r="BA1511" s="3" t="s">
        <v>15240</v>
      </c>
      <c r="BB1511" s="3" t="s">
        <v>15241</v>
      </c>
      <c r="BC1511" s="3" t="s">
        <v>77</v>
      </c>
      <c r="BD1511" s="3" t="s">
        <v>78</v>
      </c>
      <c r="BE1511" s="3" t="s">
        <v>15242</v>
      </c>
      <c r="BF1511" s="3" t="s">
        <v>15241</v>
      </c>
      <c r="BG1511" s="3" t="s">
        <v>15243</v>
      </c>
      <c r="BH1511">
        <f t="shared" si="43"/>
        <v>0</v>
      </c>
    </row>
    <row r="1512" spans="1:60" ht="58" x14ac:dyDescent="0.35">
      <c r="A1512" s="2" t="s">
        <v>59</v>
      </c>
      <c r="B1512" s="2" t="s">
        <v>60</v>
      </c>
      <c r="C1512" s="2" t="s">
        <v>15244</v>
      </c>
      <c r="D1512" s="2" t="s">
        <v>15245</v>
      </c>
      <c r="E1512" s="2" t="s">
        <v>15246</v>
      </c>
      <c r="G1512" s="3" t="s">
        <v>64</v>
      </c>
      <c r="I1512" s="3" t="s">
        <v>64</v>
      </c>
      <c r="J1512" s="3" t="s">
        <v>128</v>
      </c>
      <c r="K1512" s="3" t="s">
        <v>65</v>
      </c>
      <c r="L1512" s="2" t="s">
        <v>15235</v>
      </c>
      <c r="M1512" s="2" t="s">
        <v>15247</v>
      </c>
      <c r="N1512" s="3" t="s">
        <v>190</v>
      </c>
      <c r="O1512" s="2" t="s">
        <v>3787</v>
      </c>
      <c r="P1512" s="3" t="s">
        <v>102</v>
      </c>
      <c r="Q1512" s="2" t="s">
        <v>15248</v>
      </c>
      <c r="R1512" s="3" t="s">
        <v>70</v>
      </c>
      <c r="S1512" s="4">
        <v>1</v>
      </c>
      <c r="T1512" s="4">
        <v>1</v>
      </c>
      <c r="W1512" s="5" t="s">
        <v>15249</v>
      </c>
      <c r="X1512" s="5" t="s">
        <v>15249</v>
      </c>
      <c r="Y1512" s="4">
        <v>45</v>
      </c>
      <c r="Z1512" s="4">
        <v>2</v>
      </c>
      <c r="AA1512" s="4">
        <v>41</v>
      </c>
      <c r="AB1512" s="4">
        <v>1</v>
      </c>
      <c r="AC1512" s="4">
        <v>7</v>
      </c>
      <c r="AD1512" s="4">
        <v>4</v>
      </c>
      <c r="AE1512" s="4">
        <v>82</v>
      </c>
      <c r="AF1512" s="4">
        <v>0</v>
      </c>
      <c r="AG1512" s="4">
        <v>3</v>
      </c>
      <c r="AH1512" s="4">
        <v>4</v>
      </c>
      <c r="AI1512" s="4">
        <v>70</v>
      </c>
      <c r="AJ1512" s="4">
        <v>1</v>
      </c>
      <c r="AK1512" s="4">
        <v>18</v>
      </c>
      <c r="AL1512" s="4">
        <v>3</v>
      </c>
      <c r="AM1512" s="4">
        <v>31</v>
      </c>
      <c r="AN1512" s="4">
        <v>0</v>
      </c>
      <c r="AO1512" s="4">
        <v>0</v>
      </c>
      <c r="AP1512" s="4">
        <v>1</v>
      </c>
      <c r="AQ1512" s="4">
        <v>21</v>
      </c>
      <c r="AR1512" s="3" t="s">
        <v>64</v>
      </c>
      <c r="AS1512" s="3" t="s">
        <v>64</v>
      </c>
      <c r="AT1512" s="3" t="s">
        <v>64</v>
      </c>
      <c r="AV1512" s="6" t="str">
        <f>HYPERLINK("http://mcgill.on.worldcat.org/oclc/1053850449","Catalog Record")</f>
        <v>Catalog Record</v>
      </c>
      <c r="AW1512" s="6" t="str">
        <f>HYPERLINK("http://www.worldcat.org/oclc/1053850449","WorldCat Record")</f>
        <v>WorldCat Record</v>
      </c>
      <c r="AX1512" s="3" t="s">
        <v>15238</v>
      </c>
      <c r="AY1512" s="3" t="s">
        <v>15250</v>
      </c>
      <c r="AZ1512" s="3" t="s">
        <v>15251</v>
      </c>
      <c r="BA1512" s="3" t="s">
        <v>15251</v>
      </c>
      <c r="BB1512" s="3" t="s">
        <v>15252</v>
      </c>
      <c r="BC1512" s="3" t="s">
        <v>77</v>
      </c>
      <c r="BD1512" s="3" t="s">
        <v>165</v>
      </c>
      <c r="BE1512" s="3" t="s">
        <v>15253</v>
      </c>
      <c r="BF1512" s="3" t="s">
        <v>15252</v>
      </c>
      <c r="BG1512" s="3" t="s">
        <v>15254</v>
      </c>
      <c r="BH1512">
        <f t="shared" si="43"/>
        <v>0</v>
      </c>
    </row>
    <row r="1513" spans="1:60" ht="58" x14ac:dyDescent="0.35">
      <c r="A1513" s="2" t="s">
        <v>59</v>
      </c>
      <c r="B1513" s="2" t="s">
        <v>60</v>
      </c>
      <c r="C1513" s="2" t="s">
        <v>15255</v>
      </c>
      <c r="D1513" s="2" t="s">
        <v>15256</v>
      </c>
      <c r="E1513" s="2" t="s">
        <v>15257</v>
      </c>
      <c r="G1513" s="3" t="s">
        <v>64</v>
      </c>
      <c r="I1513" s="3" t="s">
        <v>128</v>
      </c>
      <c r="J1513" s="3" t="s">
        <v>64</v>
      </c>
      <c r="K1513" s="3" t="s">
        <v>65</v>
      </c>
      <c r="L1513" s="2" t="s">
        <v>15258</v>
      </c>
      <c r="M1513" s="2" t="s">
        <v>15259</v>
      </c>
      <c r="N1513" s="3" t="s">
        <v>171</v>
      </c>
      <c r="P1513" s="3" t="s">
        <v>102</v>
      </c>
      <c r="Q1513" s="2" t="s">
        <v>15094</v>
      </c>
      <c r="R1513" s="3" t="s">
        <v>70</v>
      </c>
      <c r="S1513" s="4">
        <v>77</v>
      </c>
      <c r="T1513" s="4">
        <v>144</v>
      </c>
      <c r="U1513" s="5" t="s">
        <v>1264</v>
      </c>
      <c r="V1513" s="5" t="s">
        <v>1264</v>
      </c>
      <c r="W1513" s="5" t="s">
        <v>72</v>
      </c>
      <c r="X1513" s="5" t="s">
        <v>72</v>
      </c>
      <c r="Y1513" s="4">
        <v>502</v>
      </c>
      <c r="Z1513" s="4">
        <v>40</v>
      </c>
      <c r="AA1513" s="4">
        <v>43</v>
      </c>
      <c r="AB1513" s="4">
        <v>2</v>
      </c>
      <c r="AC1513" s="4">
        <v>5</v>
      </c>
      <c r="AD1513" s="4">
        <v>84</v>
      </c>
      <c r="AE1513" s="4">
        <v>86</v>
      </c>
      <c r="AF1513" s="4">
        <v>1</v>
      </c>
      <c r="AG1513" s="4">
        <v>3</v>
      </c>
      <c r="AH1513" s="4">
        <v>71</v>
      </c>
      <c r="AI1513" s="4">
        <v>72</v>
      </c>
      <c r="AJ1513" s="4">
        <v>15</v>
      </c>
      <c r="AK1513" s="4">
        <v>17</v>
      </c>
      <c r="AL1513" s="4">
        <v>37</v>
      </c>
      <c r="AM1513" s="4">
        <v>37</v>
      </c>
      <c r="AN1513" s="4">
        <v>0</v>
      </c>
      <c r="AO1513" s="4">
        <v>0</v>
      </c>
      <c r="AP1513" s="4">
        <v>20</v>
      </c>
      <c r="AQ1513" s="4">
        <v>21</v>
      </c>
      <c r="AR1513" s="3" t="s">
        <v>64</v>
      </c>
      <c r="AS1513" s="3" t="s">
        <v>64</v>
      </c>
      <c r="AT1513" s="3" t="s">
        <v>64</v>
      </c>
      <c r="AV1513" s="6" t="str">
        <f>HYPERLINK("http://mcgill.on.worldcat.org/oclc/62152868","Catalog Record")</f>
        <v>Catalog Record</v>
      </c>
      <c r="AW1513" s="6" t="str">
        <f>HYPERLINK("http://www.worldcat.org/oclc/62152868","WorldCat Record")</f>
        <v>WorldCat Record</v>
      </c>
      <c r="AX1513" s="3" t="s">
        <v>15260</v>
      </c>
      <c r="AY1513" s="3" t="s">
        <v>15261</v>
      </c>
      <c r="AZ1513" s="3" t="s">
        <v>15262</v>
      </c>
      <c r="BA1513" s="3" t="s">
        <v>15262</v>
      </c>
      <c r="BB1513" s="3" t="s">
        <v>15263</v>
      </c>
      <c r="BC1513" s="3" t="s">
        <v>77</v>
      </c>
      <c r="BD1513" s="3" t="s">
        <v>78</v>
      </c>
      <c r="BE1513" s="3" t="s">
        <v>15264</v>
      </c>
      <c r="BF1513" s="3" t="s">
        <v>15263</v>
      </c>
      <c r="BG1513" s="3" t="s">
        <v>15265</v>
      </c>
      <c r="BH1513">
        <f t="shared" si="43"/>
        <v>0</v>
      </c>
    </row>
    <row r="1514" spans="1:60" ht="58" x14ac:dyDescent="0.35">
      <c r="A1514" s="2" t="s">
        <v>59</v>
      </c>
      <c r="B1514" s="2" t="s">
        <v>60</v>
      </c>
      <c r="C1514" s="2" t="s">
        <v>15255</v>
      </c>
      <c r="D1514" s="2" t="s">
        <v>15256</v>
      </c>
      <c r="E1514" s="2" t="s">
        <v>15257</v>
      </c>
      <c r="G1514" s="3" t="s">
        <v>64</v>
      </c>
      <c r="I1514" s="3" t="s">
        <v>128</v>
      </c>
      <c r="J1514" s="3" t="s">
        <v>64</v>
      </c>
      <c r="K1514" s="3" t="s">
        <v>65</v>
      </c>
      <c r="L1514" s="2" t="s">
        <v>15258</v>
      </c>
      <c r="M1514" s="2" t="s">
        <v>15259</v>
      </c>
      <c r="N1514" s="3" t="s">
        <v>171</v>
      </c>
      <c r="P1514" s="3" t="s">
        <v>102</v>
      </c>
      <c r="Q1514" s="2" t="s">
        <v>15094</v>
      </c>
      <c r="R1514" s="3" t="s">
        <v>70</v>
      </c>
      <c r="S1514" s="4">
        <v>67</v>
      </c>
      <c r="T1514" s="4">
        <v>144</v>
      </c>
      <c r="U1514" s="5" t="s">
        <v>1264</v>
      </c>
      <c r="V1514" s="5" t="s">
        <v>1264</v>
      </c>
      <c r="W1514" s="5" t="s">
        <v>72</v>
      </c>
      <c r="X1514" s="5" t="s">
        <v>72</v>
      </c>
      <c r="Y1514" s="4">
        <v>502</v>
      </c>
      <c r="Z1514" s="4">
        <v>40</v>
      </c>
      <c r="AA1514" s="4">
        <v>43</v>
      </c>
      <c r="AB1514" s="4">
        <v>2</v>
      </c>
      <c r="AC1514" s="4">
        <v>5</v>
      </c>
      <c r="AD1514" s="4">
        <v>84</v>
      </c>
      <c r="AE1514" s="4">
        <v>86</v>
      </c>
      <c r="AF1514" s="4">
        <v>1</v>
      </c>
      <c r="AG1514" s="4">
        <v>3</v>
      </c>
      <c r="AH1514" s="4">
        <v>71</v>
      </c>
      <c r="AI1514" s="4">
        <v>72</v>
      </c>
      <c r="AJ1514" s="4">
        <v>15</v>
      </c>
      <c r="AK1514" s="4">
        <v>17</v>
      </c>
      <c r="AL1514" s="4">
        <v>37</v>
      </c>
      <c r="AM1514" s="4">
        <v>37</v>
      </c>
      <c r="AN1514" s="4">
        <v>0</v>
      </c>
      <c r="AO1514" s="4">
        <v>0</v>
      </c>
      <c r="AP1514" s="4">
        <v>20</v>
      </c>
      <c r="AQ1514" s="4">
        <v>21</v>
      </c>
      <c r="AR1514" s="3" t="s">
        <v>64</v>
      </c>
      <c r="AS1514" s="3" t="s">
        <v>64</v>
      </c>
      <c r="AT1514" s="3" t="s">
        <v>64</v>
      </c>
      <c r="AV1514" s="6" t="str">
        <f>HYPERLINK("http://mcgill.on.worldcat.org/oclc/62152868","Catalog Record")</f>
        <v>Catalog Record</v>
      </c>
      <c r="AW1514" s="6" t="str">
        <f>HYPERLINK("http://www.worldcat.org/oclc/62152868","WorldCat Record")</f>
        <v>WorldCat Record</v>
      </c>
      <c r="AX1514" s="3" t="s">
        <v>15260</v>
      </c>
      <c r="AY1514" s="3" t="s">
        <v>15261</v>
      </c>
      <c r="AZ1514" s="3" t="s">
        <v>15262</v>
      </c>
      <c r="BA1514" s="3" t="s">
        <v>15262</v>
      </c>
      <c r="BB1514" s="3" t="s">
        <v>15266</v>
      </c>
      <c r="BC1514" s="3" t="s">
        <v>77</v>
      </c>
      <c r="BD1514" s="3" t="s">
        <v>78</v>
      </c>
      <c r="BE1514" s="3" t="s">
        <v>15264</v>
      </c>
      <c r="BF1514" s="3" t="s">
        <v>15266</v>
      </c>
      <c r="BG1514" s="3" t="s">
        <v>15267</v>
      </c>
      <c r="BH1514">
        <f t="shared" si="43"/>
        <v>0</v>
      </c>
    </row>
    <row r="1515" spans="1:60" ht="58" x14ac:dyDescent="0.35">
      <c r="A1515" s="2" t="s">
        <v>59</v>
      </c>
      <c r="B1515" s="2" t="s">
        <v>60</v>
      </c>
      <c r="C1515" s="2" t="s">
        <v>15268</v>
      </c>
      <c r="D1515" s="2" t="s">
        <v>15269</v>
      </c>
      <c r="E1515" s="2" t="s">
        <v>15270</v>
      </c>
      <c r="G1515" s="3" t="s">
        <v>64</v>
      </c>
      <c r="I1515" s="3" t="s">
        <v>128</v>
      </c>
      <c r="J1515" s="3" t="s">
        <v>64</v>
      </c>
      <c r="K1515" s="3" t="s">
        <v>65</v>
      </c>
      <c r="L1515" s="2" t="s">
        <v>15271</v>
      </c>
      <c r="M1515" s="2" t="s">
        <v>15272</v>
      </c>
      <c r="N1515" s="3" t="s">
        <v>291</v>
      </c>
      <c r="P1515" s="3" t="s">
        <v>102</v>
      </c>
      <c r="R1515" s="3" t="s">
        <v>70</v>
      </c>
      <c r="S1515" s="4">
        <v>30</v>
      </c>
      <c r="T1515" s="4">
        <v>148</v>
      </c>
      <c r="U1515" s="5" t="s">
        <v>10894</v>
      </c>
      <c r="V1515" s="5" t="s">
        <v>15273</v>
      </c>
      <c r="W1515" s="5" t="s">
        <v>72</v>
      </c>
      <c r="X1515" s="5" t="s">
        <v>72</v>
      </c>
      <c r="Y1515" s="4">
        <v>287</v>
      </c>
      <c r="Z1515" s="4">
        <v>23</v>
      </c>
      <c r="AA1515" s="4">
        <v>25</v>
      </c>
      <c r="AB1515" s="4">
        <v>2</v>
      </c>
      <c r="AC1515" s="4">
        <v>4</v>
      </c>
      <c r="AD1515" s="4">
        <v>81</v>
      </c>
      <c r="AE1515" s="4">
        <v>83</v>
      </c>
      <c r="AF1515" s="4">
        <v>0</v>
      </c>
      <c r="AG1515" s="4">
        <v>2</v>
      </c>
      <c r="AH1515" s="4">
        <v>74</v>
      </c>
      <c r="AI1515" s="4">
        <v>75</v>
      </c>
      <c r="AJ1515" s="4">
        <v>13</v>
      </c>
      <c r="AK1515" s="4">
        <v>15</v>
      </c>
      <c r="AL1515" s="4">
        <v>39</v>
      </c>
      <c r="AM1515" s="4">
        <v>39</v>
      </c>
      <c r="AN1515" s="4">
        <v>5</v>
      </c>
      <c r="AO1515" s="4">
        <v>5</v>
      </c>
      <c r="AP1515" s="4">
        <v>16</v>
      </c>
      <c r="AQ1515" s="4">
        <v>17</v>
      </c>
      <c r="AR1515" s="3" t="s">
        <v>64</v>
      </c>
      <c r="AS1515" s="3" t="s">
        <v>64</v>
      </c>
      <c r="AT1515" s="3" t="s">
        <v>128</v>
      </c>
      <c r="AU1515" s="6" t="str">
        <f>HYPERLINK("http://catalog.hathitrust.org/Record/102054459","HathiTrust Record")</f>
        <v>HathiTrust Record</v>
      </c>
      <c r="AV1515" s="6" t="str">
        <f>HYPERLINK("http://mcgill.on.worldcat.org/oclc/123136477","Catalog Record")</f>
        <v>Catalog Record</v>
      </c>
      <c r="AW1515" s="6" t="str">
        <f>HYPERLINK("http://www.worldcat.org/oclc/123136477","WorldCat Record")</f>
        <v>WorldCat Record</v>
      </c>
      <c r="AX1515" s="3" t="s">
        <v>15274</v>
      </c>
      <c r="AY1515" s="3" t="s">
        <v>15275</v>
      </c>
      <c r="AZ1515" s="3" t="s">
        <v>15276</v>
      </c>
      <c r="BA1515" s="3" t="s">
        <v>15276</v>
      </c>
      <c r="BB1515" s="3" t="s">
        <v>15277</v>
      </c>
      <c r="BC1515" s="3" t="s">
        <v>77</v>
      </c>
      <c r="BD1515" s="3" t="s">
        <v>78</v>
      </c>
      <c r="BE1515" s="3" t="s">
        <v>15278</v>
      </c>
      <c r="BF1515" s="3" t="s">
        <v>15277</v>
      </c>
      <c r="BG1515" s="3" t="s">
        <v>15279</v>
      </c>
      <c r="BH1515">
        <f t="shared" si="43"/>
        <v>0</v>
      </c>
    </row>
    <row r="1516" spans="1:60" ht="58" x14ac:dyDescent="0.35">
      <c r="A1516" s="2" t="s">
        <v>59</v>
      </c>
      <c r="B1516" s="2" t="s">
        <v>60</v>
      </c>
      <c r="C1516" s="2" t="s">
        <v>15268</v>
      </c>
      <c r="D1516" s="2" t="s">
        <v>15269</v>
      </c>
      <c r="E1516" s="2" t="s">
        <v>15270</v>
      </c>
      <c r="G1516" s="3" t="s">
        <v>64</v>
      </c>
      <c r="I1516" s="3" t="s">
        <v>128</v>
      </c>
      <c r="J1516" s="3" t="s">
        <v>64</v>
      </c>
      <c r="K1516" s="3" t="s">
        <v>65</v>
      </c>
      <c r="L1516" s="2" t="s">
        <v>15271</v>
      </c>
      <c r="M1516" s="2" t="s">
        <v>15272</v>
      </c>
      <c r="N1516" s="3" t="s">
        <v>291</v>
      </c>
      <c r="P1516" s="3" t="s">
        <v>102</v>
      </c>
      <c r="R1516" s="3" t="s">
        <v>70</v>
      </c>
      <c r="S1516" s="4">
        <v>118</v>
      </c>
      <c r="T1516" s="4">
        <v>148</v>
      </c>
      <c r="U1516" s="5" t="s">
        <v>15273</v>
      </c>
      <c r="V1516" s="5" t="s">
        <v>15273</v>
      </c>
      <c r="W1516" s="5" t="s">
        <v>72</v>
      </c>
      <c r="X1516" s="5" t="s">
        <v>72</v>
      </c>
      <c r="Y1516" s="4">
        <v>287</v>
      </c>
      <c r="Z1516" s="4">
        <v>23</v>
      </c>
      <c r="AA1516" s="4">
        <v>25</v>
      </c>
      <c r="AB1516" s="4">
        <v>2</v>
      </c>
      <c r="AC1516" s="4">
        <v>4</v>
      </c>
      <c r="AD1516" s="4">
        <v>81</v>
      </c>
      <c r="AE1516" s="4">
        <v>83</v>
      </c>
      <c r="AF1516" s="4">
        <v>0</v>
      </c>
      <c r="AG1516" s="4">
        <v>2</v>
      </c>
      <c r="AH1516" s="4">
        <v>74</v>
      </c>
      <c r="AI1516" s="4">
        <v>75</v>
      </c>
      <c r="AJ1516" s="4">
        <v>13</v>
      </c>
      <c r="AK1516" s="4">
        <v>15</v>
      </c>
      <c r="AL1516" s="4">
        <v>39</v>
      </c>
      <c r="AM1516" s="4">
        <v>39</v>
      </c>
      <c r="AN1516" s="4">
        <v>5</v>
      </c>
      <c r="AO1516" s="4">
        <v>5</v>
      </c>
      <c r="AP1516" s="4">
        <v>16</v>
      </c>
      <c r="AQ1516" s="4">
        <v>17</v>
      </c>
      <c r="AR1516" s="3" t="s">
        <v>64</v>
      </c>
      <c r="AS1516" s="3" t="s">
        <v>64</v>
      </c>
      <c r="AT1516" s="3" t="s">
        <v>128</v>
      </c>
      <c r="AU1516" s="6" t="str">
        <f>HYPERLINK("http://catalog.hathitrust.org/Record/102054459","HathiTrust Record")</f>
        <v>HathiTrust Record</v>
      </c>
      <c r="AV1516" s="6" t="str">
        <f>HYPERLINK("http://mcgill.on.worldcat.org/oclc/123136477","Catalog Record")</f>
        <v>Catalog Record</v>
      </c>
      <c r="AW1516" s="6" t="str">
        <f>HYPERLINK("http://www.worldcat.org/oclc/123136477","WorldCat Record")</f>
        <v>WorldCat Record</v>
      </c>
      <c r="AX1516" s="3" t="s">
        <v>15274</v>
      </c>
      <c r="AY1516" s="3" t="s">
        <v>15275</v>
      </c>
      <c r="AZ1516" s="3" t="s">
        <v>15276</v>
      </c>
      <c r="BA1516" s="3" t="s">
        <v>15276</v>
      </c>
      <c r="BB1516" s="3" t="s">
        <v>15280</v>
      </c>
      <c r="BC1516" s="3" t="s">
        <v>77</v>
      </c>
      <c r="BD1516" s="3" t="s">
        <v>78</v>
      </c>
      <c r="BE1516" s="3" t="s">
        <v>15278</v>
      </c>
      <c r="BF1516" s="3" t="s">
        <v>15280</v>
      </c>
      <c r="BG1516" s="3" t="s">
        <v>15281</v>
      </c>
      <c r="BH1516">
        <f t="shared" si="43"/>
        <v>0</v>
      </c>
    </row>
    <row r="1517" spans="1:60" ht="58" x14ac:dyDescent="0.35">
      <c r="A1517" s="2" t="s">
        <v>59</v>
      </c>
      <c r="B1517" s="2" t="s">
        <v>60</v>
      </c>
      <c r="C1517" s="2" t="s">
        <v>15282</v>
      </c>
      <c r="D1517" s="2" t="s">
        <v>15283</v>
      </c>
      <c r="E1517" s="2" t="s">
        <v>15284</v>
      </c>
      <c r="G1517" s="3" t="s">
        <v>64</v>
      </c>
      <c r="I1517" s="3" t="s">
        <v>64</v>
      </c>
      <c r="J1517" s="3" t="s">
        <v>64</v>
      </c>
      <c r="K1517" s="3" t="s">
        <v>65</v>
      </c>
      <c r="M1517" s="2" t="s">
        <v>14860</v>
      </c>
      <c r="N1517" s="3" t="s">
        <v>537</v>
      </c>
      <c r="P1517" s="3" t="s">
        <v>102</v>
      </c>
      <c r="R1517" s="3" t="s">
        <v>70</v>
      </c>
      <c r="S1517" s="4">
        <v>2</v>
      </c>
      <c r="T1517" s="4">
        <v>2</v>
      </c>
      <c r="U1517" s="5" t="s">
        <v>15285</v>
      </c>
      <c r="V1517" s="5" t="s">
        <v>15285</v>
      </c>
      <c r="W1517" s="5" t="s">
        <v>72</v>
      </c>
      <c r="X1517" s="5" t="s">
        <v>72</v>
      </c>
      <c r="Y1517" s="4">
        <v>64</v>
      </c>
      <c r="Z1517" s="4">
        <v>8</v>
      </c>
      <c r="AA1517" s="4">
        <v>75</v>
      </c>
      <c r="AB1517" s="4">
        <v>1</v>
      </c>
      <c r="AC1517" s="4">
        <v>15</v>
      </c>
      <c r="AD1517" s="4">
        <v>9</v>
      </c>
      <c r="AE1517" s="4">
        <v>91</v>
      </c>
      <c r="AF1517" s="4">
        <v>0</v>
      </c>
      <c r="AG1517" s="4">
        <v>8</v>
      </c>
      <c r="AH1517" s="4">
        <v>6</v>
      </c>
      <c r="AI1517" s="4">
        <v>60</v>
      </c>
      <c r="AJ1517" s="4">
        <v>6</v>
      </c>
      <c r="AK1517" s="4">
        <v>18</v>
      </c>
      <c r="AL1517" s="4">
        <v>4</v>
      </c>
      <c r="AM1517" s="4">
        <v>30</v>
      </c>
      <c r="AN1517" s="4">
        <v>0</v>
      </c>
      <c r="AO1517" s="4">
        <v>0</v>
      </c>
      <c r="AP1517" s="4">
        <v>5</v>
      </c>
      <c r="AQ1517" s="4">
        <v>36</v>
      </c>
      <c r="AR1517" s="3" t="s">
        <v>64</v>
      </c>
      <c r="AS1517" s="3" t="s">
        <v>64</v>
      </c>
      <c r="AT1517" s="3" t="s">
        <v>64</v>
      </c>
      <c r="AV1517" s="6" t="str">
        <f>HYPERLINK("http://mcgill.on.worldcat.org/oclc/938392571","Catalog Record")</f>
        <v>Catalog Record</v>
      </c>
      <c r="AW1517" s="6" t="str">
        <f>HYPERLINK("http://www.worldcat.org/oclc/938392571","WorldCat Record")</f>
        <v>WorldCat Record</v>
      </c>
      <c r="AX1517" s="3" t="s">
        <v>15286</v>
      </c>
      <c r="AY1517" s="3" t="s">
        <v>15287</v>
      </c>
      <c r="AZ1517" s="3" t="s">
        <v>15288</v>
      </c>
      <c r="BA1517" s="3" t="s">
        <v>15288</v>
      </c>
      <c r="BB1517" s="3" t="s">
        <v>15289</v>
      </c>
      <c r="BC1517" s="3" t="s">
        <v>77</v>
      </c>
      <c r="BD1517" s="3" t="s">
        <v>165</v>
      </c>
      <c r="BE1517" s="3" t="s">
        <v>15290</v>
      </c>
      <c r="BF1517" s="3" t="s">
        <v>15289</v>
      </c>
      <c r="BG1517" s="3" t="s">
        <v>15291</v>
      </c>
      <c r="BH1517">
        <f t="shared" si="43"/>
        <v>0</v>
      </c>
    </row>
    <row r="1518" spans="1:60" ht="58" x14ac:dyDescent="0.35">
      <c r="A1518" s="2" t="s">
        <v>1040</v>
      </c>
      <c r="B1518" s="2" t="s">
        <v>60</v>
      </c>
      <c r="C1518" s="2" t="s">
        <v>15292</v>
      </c>
      <c r="D1518" s="2" t="s">
        <v>15293</v>
      </c>
      <c r="E1518" s="2" t="s">
        <v>15294</v>
      </c>
      <c r="G1518" s="3" t="s">
        <v>64</v>
      </c>
      <c r="I1518" s="3" t="s">
        <v>64</v>
      </c>
      <c r="J1518" s="3" t="s">
        <v>64</v>
      </c>
      <c r="K1518" s="3" t="s">
        <v>65</v>
      </c>
      <c r="L1518" s="2" t="s">
        <v>15295</v>
      </c>
      <c r="M1518" s="2" t="s">
        <v>15296</v>
      </c>
      <c r="N1518" s="3" t="s">
        <v>144</v>
      </c>
      <c r="P1518" s="3" t="s">
        <v>102</v>
      </c>
      <c r="Q1518" s="2" t="s">
        <v>15297</v>
      </c>
      <c r="R1518" s="3" t="s">
        <v>70</v>
      </c>
      <c r="S1518" s="4">
        <v>17</v>
      </c>
      <c r="T1518" s="4">
        <v>17</v>
      </c>
      <c r="U1518" s="5" t="s">
        <v>15298</v>
      </c>
      <c r="V1518" s="5" t="s">
        <v>15298</v>
      </c>
      <c r="W1518" s="5" t="s">
        <v>72</v>
      </c>
      <c r="X1518" s="5" t="s">
        <v>72</v>
      </c>
      <c r="Y1518" s="4">
        <v>448</v>
      </c>
      <c r="Z1518" s="4">
        <v>29</v>
      </c>
      <c r="AA1518" s="4">
        <v>44</v>
      </c>
      <c r="AB1518" s="4">
        <v>4</v>
      </c>
      <c r="AC1518" s="4">
        <v>6</v>
      </c>
      <c r="AD1518" s="4">
        <v>52</v>
      </c>
      <c r="AE1518" s="4">
        <v>75</v>
      </c>
      <c r="AF1518" s="4">
        <v>1</v>
      </c>
      <c r="AG1518" s="4">
        <v>2</v>
      </c>
      <c r="AH1518" s="4">
        <v>43</v>
      </c>
      <c r="AI1518" s="4">
        <v>59</v>
      </c>
      <c r="AJ1518" s="4">
        <v>8</v>
      </c>
      <c r="AK1518" s="4">
        <v>16</v>
      </c>
      <c r="AL1518" s="4">
        <v>26</v>
      </c>
      <c r="AM1518" s="4">
        <v>33</v>
      </c>
      <c r="AN1518" s="4">
        <v>0</v>
      </c>
      <c r="AO1518" s="4">
        <v>0</v>
      </c>
      <c r="AP1518" s="4">
        <v>13</v>
      </c>
      <c r="AQ1518" s="4">
        <v>22</v>
      </c>
      <c r="AR1518" s="3" t="s">
        <v>64</v>
      </c>
      <c r="AS1518" s="3" t="s">
        <v>64</v>
      </c>
      <c r="AT1518" s="3" t="s">
        <v>64</v>
      </c>
      <c r="AV1518" s="6" t="str">
        <f>HYPERLINK("http://mcgill.on.worldcat.org/oclc/154806677","Catalog Record")</f>
        <v>Catalog Record</v>
      </c>
      <c r="AW1518" s="6" t="str">
        <f>HYPERLINK("http://www.worldcat.org/oclc/154806677","WorldCat Record")</f>
        <v>WorldCat Record</v>
      </c>
      <c r="AX1518" s="3" t="s">
        <v>15299</v>
      </c>
      <c r="AY1518" s="3" t="s">
        <v>15300</v>
      </c>
      <c r="AZ1518" s="3" t="s">
        <v>15301</v>
      </c>
      <c r="BA1518" s="3" t="s">
        <v>15301</v>
      </c>
      <c r="BB1518" s="3" t="s">
        <v>15302</v>
      </c>
      <c r="BC1518" s="3" t="s">
        <v>77</v>
      </c>
      <c r="BD1518" s="3" t="s">
        <v>78</v>
      </c>
      <c r="BE1518" s="3" t="s">
        <v>15303</v>
      </c>
      <c r="BF1518" s="3" t="s">
        <v>15302</v>
      </c>
      <c r="BG1518" s="3" t="s">
        <v>15304</v>
      </c>
      <c r="BH1518">
        <f t="shared" si="43"/>
        <v>0</v>
      </c>
    </row>
    <row r="1519" spans="1:60" ht="58" x14ac:dyDescent="0.35">
      <c r="A1519" s="2" t="s">
        <v>59</v>
      </c>
      <c r="B1519" s="2" t="s">
        <v>60</v>
      </c>
      <c r="C1519" s="2" t="s">
        <v>15305</v>
      </c>
      <c r="D1519" s="2" t="s">
        <v>15306</v>
      </c>
      <c r="E1519" s="2" t="s">
        <v>15307</v>
      </c>
      <c r="G1519" s="3" t="s">
        <v>64</v>
      </c>
      <c r="I1519" s="3" t="s">
        <v>64</v>
      </c>
      <c r="J1519" s="3" t="s">
        <v>64</v>
      </c>
      <c r="K1519" s="3" t="s">
        <v>65</v>
      </c>
      <c r="L1519" s="2" t="s">
        <v>15308</v>
      </c>
      <c r="M1519" s="2" t="s">
        <v>15309</v>
      </c>
      <c r="N1519" s="3" t="s">
        <v>144</v>
      </c>
      <c r="P1519" s="3" t="s">
        <v>102</v>
      </c>
      <c r="R1519" s="3" t="s">
        <v>70</v>
      </c>
      <c r="S1519" s="4">
        <v>34</v>
      </c>
      <c r="T1519" s="4">
        <v>34</v>
      </c>
      <c r="U1519" s="5" t="s">
        <v>14916</v>
      </c>
      <c r="V1519" s="5" t="s">
        <v>14916</v>
      </c>
      <c r="W1519" s="5" t="s">
        <v>72</v>
      </c>
      <c r="X1519" s="5" t="s">
        <v>72</v>
      </c>
      <c r="Y1519" s="4">
        <v>64</v>
      </c>
      <c r="Z1519" s="4">
        <v>2</v>
      </c>
      <c r="AA1519" s="4">
        <v>29</v>
      </c>
      <c r="AB1519" s="4">
        <v>1</v>
      </c>
      <c r="AC1519" s="4">
        <v>4</v>
      </c>
      <c r="AD1519" s="4">
        <v>3</v>
      </c>
      <c r="AE1519" s="4">
        <v>98</v>
      </c>
      <c r="AF1519" s="4">
        <v>0</v>
      </c>
      <c r="AG1519" s="4">
        <v>2</v>
      </c>
      <c r="AH1519" s="4">
        <v>3</v>
      </c>
      <c r="AI1519" s="4">
        <v>86</v>
      </c>
      <c r="AJ1519" s="4">
        <v>1</v>
      </c>
      <c r="AK1519" s="4">
        <v>13</v>
      </c>
      <c r="AL1519" s="4">
        <v>1</v>
      </c>
      <c r="AM1519" s="4">
        <v>47</v>
      </c>
      <c r="AN1519" s="4">
        <v>0</v>
      </c>
      <c r="AO1519" s="4">
        <v>0</v>
      </c>
      <c r="AP1519" s="4">
        <v>1</v>
      </c>
      <c r="AQ1519" s="4">
        <v>16</v>
      </c>
      <c r="AR1519" s="3" t="s">
        <v>64</v>
      </c>
      <c r="AS1519" s="3" t="s">
        <v>64</v>
      </c>
      <c r="AT1519" s="3" t="s">
        <v>64</v>
      </c>
      <c r="AV1519" s="6" t="str">
        <f>HYPERLINK("http://mcgill.on.worldcat.org/oclc/232713338","Catalog Record")</f>
        <v>Catalog Record</v>
      </c>
      <c r="AW1519" s="6" t="str">
        <f>HYPERLINK("http://www.worldcat.org/oclc/232713338","WorldCat Record")</f>
        <v>WorldCat Record</v>
      </c>
      <c r="AX1519" s="3" t="s">
        <v>15310</v>
      </c>
      <c r="AY1519" s="3" t="s">
        <v>15311</v>
      </c>
      <c r="AZ1519" s="3" t="s">
        <v>15312</v>
      </c>
      <c r="BA1519" s="3" t="s">
        <v>15312</v>
      </c>
      <c r="BB1519" s="3" t="s">
        <v>15313</v>
      </c>
      <c r="BC1519" s="3" t="s">
        <v>77</v>
      </c>
      <c r="BD1519" s="3" t="s">
        <v>78</v>
      </c>
      <c r="BE1519" s="3" t="s">
        <v>15314</v>
      </c>
      <c r="BF1519" s="3" t="s">
        <v>15313</v>
      </c>
      <c r="BG1519" s="3" t="s">
        <v>15315</v>
      </c>
      <c r="BH1519">
        <f t="shared" si="43"/>
        <v>0</v>
      </c>
    </row>
    <row r="1520" spans="1:60" ht="58" x14ac:dyDescent="0.35">
      <c r="A1520" s="2" t="s">
        <v>59</v>
      </c>
      <c r="B1520" s="2" t="s">
        <v>60</v>
      </c>
      <c r="C1520" s="2" t="s">
        <v>15316</v>
      </c>
      <c r="D1520" s="2" t="s">
        <v>15317</v>
      </c>
      <c r="E1520" s="2" t="s">
        <v>15318</v>
      </c>
      <c r="G1520" s="3" t="s">
        <v>64</v>
      </c>
      <c r="I1520" s="3" t="s">
        <v>64</v>
      </c>
      <c r="J1520" s="3" t="s">
        <v>64</v>
      </c>
      <c r="K1520" s="3" t="s">
        <v>65</v>
      </c>
      <c r="L1520" s="2" t="s">
        <v>15319</v>
      </c>
      <c r="M1520" s="2" t="s">
        <v>15320</v>
      </c>
      <c r="N1520" s="3" t="s">
        <v>253</v>
      </c>
      <c r="P1520" s="3" t="s">
        <v>102</v>
      </c>
      <c r="Q1520" s="2" t="s">
        <v>15321</v>
      </c>
      <c r="R1520" s="3" t="s">
        <v>70</v>
      </c>
      <c r="S1520" s="4">
        <v>4</v>
      </c>
      <c r="T1520" s="4">
        <v>4</v>
      </c>
      <c r="U1520" s="5" t="s">
        <v>15322</v>
      </c>
      <c r="V1520" s="5" t="s">
        <v>15322</v>
      </c>
      <c r="W1520" s="5" t="s">
        <v>72</v>
      </c>
      <c r="X1520" s="5" t="s">
        <v>72</v>
      </c>
      <c r="Y1520" s="4">
        <v>115</v>
      </c>
      <c r="Z1520" s="4">
        <v>8</v>
      </c>
      <c r="AA1520" s="4">
        <v>23</v>
      </c>
      <c r="AB1520" s="4">
        <v>1</v>
      </c>
      <c r="AC1520" s="4">
        <v>7</v>
      </c>
      <c r="AD1520" s="4">
        <v>24</v>
      </c>
      <c r="AE1520" s="4">
        <v>54</v>
      </c>
      <c r="AF1520" s="4">
        <v>0</v>
      </c>
      <c r="AG1520" s="4">
        <v>3</v>
      </c>
      <c r="AH1520" s="4">
        <v>21</v>
      </c>
      <c r="AI1520" s="4">
        <v>46</v>
      </c>
      <c r="AJ1520" s="4">
        <v>3</v>
      </c>
      <c r="AK1520" s="4">
        <v>12</v>
      </c>
      <c r="AL1520" s="4">
        <v>14</v>
      </c>
      <c r="AM1520" s="4">
        <v>26</v>
      </c>
      <c r="AN1520" s="4">
        <v>0</v>
      </c>
      <c r="AO1520" s="4">
        <v>0</v>
      </c>
      <c r="AP1520" s="4">
        <v>4</v>
      </c>
      <c r="AQ1520" s="4">
        <v>14</v>
      </c>
      <c r="AR1520" s="3" t="s">
        <v>64</v>
      </c>
      <c r="AS1520" s="3" t="s">
        <v>64</v>
      </c>
      <c r="AT1520" s="3" t="s">
        <v>64</v>
      </c>
      <c r="AV1520" s="6" t="str">
        <f>HYPERLINK("http://mcgill.on.worldcat.org/oclc/889647468","Catalog Record")</f>
        <v>Catalog Record</v>
      </c>
      <c r="AW1520" s="6" t="str">
        <f>HYPERLINK("http://www.worldcat.org/oclc/889647468","WorldCat Record")</f>
        <v>WorldCat Record</v>
      </c>
      <c r="AX1520" s="3" t="s">
        <v>15323</v>
      </c>
      <c r="AY1520" s="3" t="s">
        <v>15324</v>
      </c>
      <c r="AZ1520" s="3" t="s">
        <v>15325</v>
      </c>
      <c r="BA1520" s="3" t="s">
        <v>15325</v>
      </c>
      <c r="BB1520" s="3" t="s">
        <v>15326</v>
      </c>
      <c r="BC1520" s="3" t="s">
        <v>77</v>
      </c>
      <c r="BD1520" s="3" t="s">
        <v>78</v>
      </c>
      <c r="BE1520" s="3" t="s">
        <v>15327</v>
      </c>
      <c r="BF1520" s="3" t="s">
        <v>15326</v>
      </c>
      <c r="BG1520" s="3" t="s">
        <v>15328</v>
      </c>
      <c r="BH1520">
        <f t="shared" si="43"/>
        <v>0</v>
      </c>
    </row>
    <row r="1521" spans="1:60" ht="58" x14ac:dyDescent="0.35">
      <c r="A1521" s="2" t="s">
        <v>59</v>
      </c>
      <c r="B1521" s="2" t="s">
        <v>60</v>
      </c>
      <c r="C1521" s="2" t="s">
        <v>15329</v>
      </c>
      <c r="D1521" s="2" t="s">
        <v>15330</v>
      </c>
      <c r="E1521" s="2" t="s">
        <v>15331</v>
      </c>
      <c r="G1521" s="3" t="s">
        <v>64</v>
      </c>
      <c r="I1521" s="3" t="s">
        <v>64</v>
      </c>
      <c r="J1521" s="3" t="s">
        <v>64</v>
      </c>
      <c r="K1521" s="3" t="s">
        <v>65</v>
      </c>
      <c r="L1521" s="2" t="s">
        <v>15332</v>
      </c>
      <c r="M1521" s="2" t="s">
        <v>15333</v>
      </c>
      <c r="N1521" s="3" t="s">
        <v>67</v>
      </c>
      <c r="P1521" s="3" t="s">
        <v>102</v>
      </c>
      <c r="R1521" s="3" t="s">
        <v>70</v>
      </c>
      <c r="S1521" s="4">
        <v>16</v>
      </c>
      <c r="T1521" s="4">
        <v>16</v>
      </c>
      <c r="U1521" s="5" t="s">
        <v>15334</v>
      </c>
      <c r="V1521" s="5" t="s">
        <v>15334</v>
      </c>
      <c r="W1521" s="5" t="s">
        <v>72</v>
      </c>
      <c r="X1521" s="5" t="s">
        <v>72</v>
      </c>
      <c r="Y1521" s="4">
        <v>133</v>
      </c>
      <c r="Z1521" s="4">
        <v>7</v>
      </c>
      <c r="AA1521" s="4">
        <v>93</v>
      </c>
      <c r="AB1521" s="4">
        <v>1</v>
      </c>
      <c r="AC1521" s="4">
        <v>19</v>
      </c>
      <c r="AD1521" s="4">
        <v>14</v>
      </c>
      <c r="AE1521" s="4">
        <v>136</v>
      </c>
      <c r="AF1521" s="4">
        <v>0</v>
      </c>
      <c r="AG1521" s="4">
        <v>9</v>
      </c>
      <c r="AH1521" s="4">
        <v>11</v>
      </c>
      <c r="AI1521" s="4">
        <v>96</v>
      </c>
      <c r="AJ1521" s="4">
        <v>4</v>
      </c>
      <c r="AK1521" s="4">
        <v>23</v>
      </c>
      <c r="AL1521" s="4">
        <v>7</v>
      </c>
      <c r="AM1521" s="4">
        <v>50</v>
      </c>
      <c r="AN1521" s="4">
        <v>0</v>
      </c>
      <c r="AO1521" s="4">
        <v>0</v>
      </c>
      <c r="AP1521" s="4">
        <v>4</v>
      </c>
      <c r="AQ1521" s="4">
        <v>46</v>
      </c>
      <c r="AR1521" s="3" t="s">
        <v>64</v>
      </c>
      <c r="AS1521" s="3" t="s">
        <v>64</v>
      </c>
      <c r="AT1521" s="3" t="s">
        <v>64</v>
      </c>
      <c r="AV1521" s="6" t="str">
        <f>HYPERLINK("http://mcgill.on.worldcat.org/oclc/872987681","Catalog Record")</f>
        <v>Catalog Record</v>
      </c>
      <c r="AW1521" s="6" t="str">
        <f>HYPERLINK("http://www.worldcat.org/oclc/872987681","WorldCat Record")</f>
        <v>WorldCat Record</v>
      </c>
      <c r="AX1521" s="3" t="s">
        <v>15335</v>
      </c>
      <c r="AY1521" s="3" t="s">
        <v>15336</v>
      </c>
      <c r="AZ1521" s="3" t="s">
        <v>15337</v>
      </c>
      <c r="BA1521" s="3" t="s">
        <v>15337</v>
      </c>
      <c r="BB1521" s="3" t="s">
        <v>15338</v>
      </c>
      <c r="BC1521" s="3" t="s">
        <v>77</v>
      </c>
      <c r="BD1521" s="3" t="s">
        <v>165</v>
      </c>
      <c r="BE1521" s="3" t="s">
        <v>15339</v>
      </c>
      <c r="BF1521" s="3" t="s">
        <v>15338</v>
      </c>
      <c r="BG1521" s="3" t="s">
        <v>15340</v>
      </c>
      <c r="BH1521">
        <f t="shared" si="43"/>
        <v>0</v>
      </c>
    </row>
    <row r="1522" spans="1:60" ht="58" x14ac:dyDescent="0.35">
      <c r="A1522" s="2" t="s">
        <v>59</v>
      </c>
      <c r="B1522" s="2" t="s">
        <v>60</v>
      </c>
      <c r="C1522" s="2" t="s">
        <v>15341</v>
      </c>
      <c r="D1522" s="2" t="s">
        <v>15342</v>
      </c>
      <c r="E1522" s="2" t="s">
        <v>15343</v>
      </c>
      <c r="G1522" s="3" t="s">
        <v>64</v>
      </c>
      <c r="I1522" s="3" t="s">
        <v>64</v>
      </c>
      <c r="J1522" s="3" t="s">
        <v>64</v>
      </c>
      <c r="K1522" s="3" t="s">
        <v>65</v>
      </c>
      <c r="M1522" s="2" t="s">
        <v>15344</v>
      </c>
      <c r="N1522" s="3" t="s">
        <v>253</v>
      </c>
      <c r="P1522" s="3" t="s">
        <v>102</v>
      </c>
      <c r="Q1522" s="2" t="s">
        <v>15345</v>
      </c>
      <c r="R1522" s="3" t="s">
        <v>70</v>
      </c>
      <c r="S1522" s="4">
        <v>3</v>
      </c>
      <c r="T1522" s="4">
        <v>3</v>
      </c>
      <c r="U1522" s="5" t="s">
        <v>14996</v>
      </c>
      <c r="V1522" s="5" t="s">
        <v>14996</v>
      </c>
      <c r="W1522" s="5" t="s">
        <v>72</v>
      </c>
      <c r="X1522" s="5" t="s">
        <v>72</v>
      </c>
      <c r="Y1522" s="4">
        <v>63</v>
      </c>
      <c r="Z1522" s="4">
        <v>6</v>
      </c>
      <c r="AA1522" s="4">
        <v>79</v>
      </c>
      <c r="AB1522" s="4">
        <v>1</v>
      </c>
      <c r="AC1522" s="4">
        <v>15</v>
      </c>
      <c r="AD1522" s="4">
        <v>27</v>
      </c>
      <c r="AE1522" s="4">
        <v>104</v>
      </c>
      <c r="AF1522" s="4">
        <v>0</v>
      </c>
      <c r="AG1522" s="4">
        <v>8</v>
      </c>
      <c r="AH1522" s="4">
        <v>25</v>
      </c>
      <c r="AI1522" s="4">
        <v>70</v>
      </c>
      <c r="AJ1522" s="4">
        <v>3</v>
      </c>
      <c r="AK1522" s="4">
        <v>20</v>
      </c>
      <c r="AL1522" s="4">
        <v>19</v>
      </c>
      <c r="AM1522" s="4">
        <v>37</v>
      </c>
      <c r="AN1522" s="4">
        <v>0</v>
      </c>
      <c r="AO1522" s="4">
        <v>0</v>
      </c>
      <c r="AP1522" s="4">
        <v>2</v>
      </c>
      <c r="AQ1522" s="4">
        <v>39</v>
      </c>
      <c r="AR1522" s="3" t="s">
        <v>64</v>
      </c>
      <c r="AS1522" s="3" t="s">
        <v>64</v>
      </c>
      <c r="AT1522" s="3" t="s">
        <v>64</v>
      </c>
      <c r="AV1522" s="6" t="str">
        <f>HYPERLINK("http://mcgill.on.worldcat.org/oclc/908311073","Catalog Record")</f>
        <v>Catalog Record</v>
      </c>
      <c r="AW1522" s="6" t="str">
        <f>HYPERLINK("http://www.worldcat.org/oclc/908311073","WorldCat Record")</f>
        <v>WorldCat Record</v>
      </c>
      <c r="AX1522" s="3" t="s">
        <v>15346</v>
      </c>
      <c r="AY1522" s="3" t="s">
        <v>15347</v>
      </c>
      <c r="AZ1522" s="3" t="s">
        <v>15348</v>
      </c>
      <c r="BA1522" s="3" t="s">
        <v>15348</v>
      </c>
      <c r="BB1522" s="3" t="s">
        <v>15349</v>
      </c>
      <c r="BC1522" s="3" t="s">
        <v>77</v>
      </c>
      <c r="BD1522" s="3" t="s">
        <v>165</v>
      </c>
      <c r="BE1522" s="3" t="s">
        <v>15350</v>
      </c>
      <c r="BF1522" s="3" t="s">
        <v>15349</v>
      </c>
      <c r="BG1522" s="3" t="s">
        <v>15351</v>
      </c>
      <c r="BH1522">
        <f t="shared" si="43"/>
        <v>0</v>
      </c>
    </row>
    <row r="1523" spans="1:60" ht="58" x14ac:dyDescent="0.35">
      <c r="A1523" s="2" t="s">
        <v>59</v>
      </c>
      <c r="B1523" s="2" t="s">
        <v>60</v>
      </c>
      <c r="C1523" s="2" t="s">
        <v>15352</v>
      </c>
      <c r="D1523" s="2" t="s">
        <v>15353</v>
      </c>
      <c r="E1523" s="2" t="s">
        <v>15354</v>
      </c>
      <c r="G1523" s="3" t="s">
        <v>64</v>
      </c>
      <c r="I1523" s="3" t="s">
        <v>64</v>
      </c>
      <c r="J1523" s="3" t="s">
        <v>64</v>
      </c>
      <c r="K1523" s="3" t="s">
        <v>65</v>
      </c>
      <c r="M1523" s="2" t="s">
        <v>14552</v>
      </c>
      <c r="N1523" s="3" t="s">
        <v>537</v>
      </c>
      <c r="P1523" s="3" t="s">
        <v>102</v>
      </c>
      <c r="Q1523" s="2" t="s">
        <v>14022</v>
      </c>
      <c r="R1523" s="3" t="s">
        <v>70</v>
      </c>
      <c r="S1523" s="4">
        <v>7</v>
      </c>
      <c r="T1523" s="4">
        <v>7</v>
      </c>
      <c r="U1523" s="5" t="s">
        <v>716</v>
      </c>
      <c r="V1523" s="5" t="s">
        <v>716</v>
      </c>
      <c r="W1523" s="5" t="s">
        <v>72</v>
      </c>
      <c r="X1523" s="5" t="s">
        <v>72</v>
      </c>
      <c r="Y1523" s="4">
        <v>236</v>
      </c>
      <c r="Z1523" s="4">
        <v>15</v>
      </c>
      <c r="AA1523" s="4">
        <v>18</v>
      </c>
      <c r="AB1523" s="4">
        <v>2</v>
      </c>
      <c r="AC1523" s="4">
        <v>5</v>
      </c>
      <c r="AD1523" s="4">
        <v>73</v>
      </c>
      <c r="AE1523" s="4">
        <v>76</v>
      </c>
      <c r="AF1523" s="4">
        <v>0</v>
      </c>
      <c r="AG1523" s="4">
        <v>1</v>
      </c>
      <c r="AH1523" s="4">
        <v>69</v>
      </c>
      <c r="AI1523" s="4">
        <v>71</v>
      </c>
      <c r="AJ1523" s="4">
        <v>11</v>
      </c>
      <c r="AK1523" s="4">
        <v>12</v>
      </c>
      <c r="AL1523" s="4">
        <v>36</v>
      </c>
      <c r="AM1523" s="4">
        <v>38</v>
      </c>
      <c r="AN1523" s="4">
        <v>0</v>
      </c>
      <c r="AO1523" s="4">
        <v>0</v>
      </c>
      <c r="AP1523" s="4">
        <v>10</v>
      </c>
      <c r="AQ1523" s="4">
        <v>10</v>
      </c>
      <c r="AR1523" s="3" t="s">
        <v>64</v>
      </c>
      <c r="AS1523" s="3" t="s">
        <v>64</v>
      </c>
      <c r="AT1523" s="3" t="s">
        <v>64</v>
      </c>
      <c r="AV1523" s="6" t="str">
        <f>HYPERLINK("http://mcgill.on.worldcat.org/oclc/945582439","Catalog Record")</f>
        <v>Catalog Record</v>
      </c>
      <c r="AW1523" s="6" t="str">
        <f>HYPERLINK("http://www.worldcat.org/oclc/945582439","WorldCat Record")</f>
        <v>WorldCat Record</v>
      </c>
      <c r="AX1523" s="3" t="s">
        <v>15355</v>
      </c>
      <c r="AY1523" s="3" t="s">
        <v>15356</v>
      </c>
      <c r="AZ1523" s="3" t="s">
        <v>15357</v>
      </c>
      <c r="BA1523" s="3" t="s">
        <v>15357</v>
      </c>
      <c r="BB1523" s="3" t="s">
        <v>15358</v>
      </c>
      <c r="BC1523" s="3" t="s">
        <v>77</v>
      </c>
      <c r="BD1523" s="3" t="s">
        <v>165</v>
      </c>
      <c r="BE1523" s="3" t="s">
        <v>15359</v>
      </c>
      <c r="BF1523" s="3" t="s">
        <v>15358</v>
      </c>
      <c r="BG1523" s="3" t="s">
        <v>15360</v>
      </c>
      <c r="BH1523">
        <f t="shared" si="43"/>
        <v>0</v>
      </c>
    </row>
    <row r="1524" spans="1:60" ht="58" x14ac:dyDescent="0.35">
      <c r="A1524" s="2" t="s">
        <v>59</v>
      </c>
      <c r="B1524" s="2" t="s">
        <v>60</v>
      </c>
      <c r="C1524" s="2" t="s">
        <v>15361</v>
      </c>
      <c r="D1524" s="2" t="s">
        <v>15362</v>
      </c>
      <c r="E1524" s="2" t="s">
        <v>15363</v>
      </c>
      <c r="G1524" s="3" t="s">
        <v>64</v>
      </c>
      <c r="I1524" s="3" t="s">
        <v>64</v>
      </c>
      <c r="J1524" s="3" t="s">
        <v>64</v>
      </c>
      <c r="K1524" s="3" t="s">
        <v>65</v>
      </c>
      <c r="M1524" s="2" t="s">
        <v>15364</v>
      </c>
      <c r="N1524" s="3" t="s">
        <v>1492</v>
      </c>
      <c r="P1524" s="3" t="s">
        <v>102</v>
      </c>
      <c r="R1524" s="3" t="s">
        <v>70</v>
      </c>
      <c r="S1524" s="4">
        <v>2</v>
      </c>
      <c r="T1524" s="4">
        <v>2</v>
      </c>
      <c r="U1524" s="5" t="s">
        <v>3813</v>
      </c>
      <c r="V1524" s="5" t="s">
        <v>3813</v>
      </c>
      <c r="W1524" s="5" t="s">
        <v>15249</v>
      </c>
      <c r="X1524" s="5" t="s">
        <v>15249</v>
      </c>
      <c r="Y1524" s="4">
        <v>50</v>
      </c>
      <c r="Z1524" s="4">
        <v>3</v>
      </c>
      <c r="AA1524" s="4">
        <v>67</v>
      </c>
      <c r="AB1524" s="4">
        <v>1</v>
      </c>
      <c r="AC1524" s="4">
        <v>15</v>
      </c>
      <c r="AD1524" s="4">
        <v>17</v>
      </c>
      <c r="AE1524" s="4">
        <v>83</v>
      </c>
      <c r="AF1524" s="4">
        <v>0</v>
      </c>
      <c r="AG1524" s="4">
        <v>8</v>
      </c>
      <c r="AH1524" s="4">
        <v>16</v>
      </c>
      <c r="AI1524" s="4">
        <v>55</v>
      </c>
      <c r="AJ1524" s="4">
        <v>2</v>
      </c>
      <c r="AK1524" s="4">
        <v>17</v>
      </c>
      <c r="AL1524" s="4">
        <v>13</v>
      </c>
      <c r="AM1524" s="4">
        <v>29</v>
      </c>
      <c r="AN1524" s="4">
        <v>0</v>
      </c>
      <c r="AO1524" s="4">
        <v>0</v>
      </c>
      <c r="AP1524" s="4">
        <v>2</v>
      </c>
      <c r="AQ1524" s="4">
        <v>34</v>
      </c>
      <c r="AR1524" s="3" t="s">
        <v>64</v>
      </c>
      <c r="AS1524" s="3" t="s">
        <v>64</v>
      </c>
      <c r="AT1524" s="3" t="s">
        <v>64</v>
      </c>
      <c r="AV1524" s="6" t="str">
        <f>HYPERLINK("http://mcgill.on.worldcat.org/oclc/1020284972","Catalog Record")</f>
        <v>Catalog Record</v>
      </c>
      <c r="AW1524" s="6" t="str">
        <f>HYPERLINK("http://www.worldcat.org/oclc/1020284972","WorldCat Record")</f>
        <v>WorldCat Record</v>
      </c>
      <c r="AX1524" s="3" t="s">
        <v>15365</v>
      </c>
      <c r="AY1524" s="3" t="s">
        <v>15366</v>
      </c>
      <c r="AZ1524" s="3" t="s">
        <v>15367</v>
      </c>
      <c r="BA1524" s="3" t="s">
        <v>15367</v>
      </c>
      <c r="BB1524" s="3" t="s">
        <v>15368</v>
      </c>
      <c r="BC1524" s="3" t="s">
        <v>77</v>
      </c>
      <c r="BD1524" s="3" t="s">
        <v>165</v>
      </c>
      <c r="BE1524" s="3" t="s">
        <v>15369</v>
      </c>
      <c r="BF1524" s="3" t="s">
        <v>15368</v>
      </c>
      <c r="BG1524" s="3" t="s">
        <v>15370</v>
      </c>
      <c r="BH1524">
        <f t="shared" si="43"/>
        <v>0</v>
      </c>
    </row>
    <row r="1525" spans="1:60" ht="58" x14ac:dyDescent="0.35">
      <c r="A1525" s="2" t="s">
        <v>59</v>
      </c>
      <c r="B1525" s="2" t="s">
        <v>60</v>
      </c>
      <c r="C1525" s="2" t="s">
        <v>15371</v>
      </c>
      <c r="D1525" s="2" t="s">
        <v>15372</v>
      </c>
      <c r="E1525" s="2" t="s">
        <v>15373</v>
      </c>
      <c r="G1525" s="3" t="s">
        <v>64</v>
      </c>
      <c r="I1525" s="3" t="s">
        <v>64</v>
      </c>
      <c r="J1525" s="3" t="s">
        <v>64</v>
      </c>
      <c r="K1525" s="3" t="s">
        <v>65</v>
      </c>
      <c r="L1525" s="2" t="s">
        <v>15374</v>
      </c>
      <c r="M1525" s="2" t="s">
        <v>15375</v>
      </c>
      <c r="N1525" s="3" t="s">
        <v>392</v>
      </c>
      <c r="P1525" s="3" t="s">
        <v>102</v>
      </c>
      <c r="Q1525" s="2" t="s">
        <v>15376</v>
      </c>
      <c r="R1525" s="3" t="s">
        <v>70</v>
      </c>
      <c r="S1525" s="4">
        <v>57</v>
      </c>
      <c r="T1525" s="4">
        <v>57</v>
      </c>
      <c r="U1525" s="5" t="s">
        <v>10874</v>
      </c>
      <c r="V1525" s="5" t="s">
        <v>10874</v>
      </c>
      <c r="W1525" s="5" t="s">
        <v>72</v>
      </c>
      <c r="X1525" s="5" t="s">
        <v>72</v>
      </c>
      <c r="Y1525" s="4">
        <v>419</v>
      </c>
      <c r="Z1525" s="4">
        <v>24</v>
      </c>
      <c r="AA1525" s="4">
        <v>28</v>
      </c>
      <c r="AB1525" s="4">
        <v>3</v>
      </c>
      <c r="AC1525" s="4">
        <v>7</v>
      </c>
      <c r="AD1525" s="4">
        <v>88</v>
      </c>
      <c r="AE1525" s="4">
        <v>92</v>
      </c>
      <c r="AF1525" s="4">
        <v>2</v>
      </c>
      <c r="AG1525" s="4">
        <v>6</v>
      </c>
      <c r="AH1525" s="4">
        <v>77</v>
      </c>
      <c r="AI1525" s="4">
        <v>78</v>
      </c>
      <c r="AJ1525" s="4">
        <v>14</v>
      </c>
      <c r="AK1525" s="4">
        <v>17</v>
      </c>
      <c r="AL1525" s="4">
        <v>39</v>
      </c>
      <c r="AM1525" s="4">
        <v>39</v>
      </c>
      <c r="AN1525" s="4">
        <v>0</v>
      </c>
      <c r="AO1525" s="4">
        <v>0</v>
      </c>
      <c r="AP1525" s="4">
        <v>18</v>
      </c>
      <c r="AQ1525" s="4">
        <v>21</v>
      </c>
      <c r="AR1525" s="3" t="s">
        <v>64</v>
      </c>
      <c r="AS1525" s="3" t="s">
        <v>64</v>
      </c>
      <c r="AT1525" s="3" t="s">
        <v>128</v>
      </c>
      <c r="AU1525" s="6" t="str">
        <f>HYPERLINK("http://catalog.hathitrust.org/Record/003872459","HathiTrust Record")</f>
        <v>HathiTrust Record</v>
      </c>
      <c r="AV1525" s="6" t="str">
        <f>HYPERLINK("http://mcgill.on.worldcat.org/oclc/40602840","Catalog Record")</f>
        <v>Catalog Record</v>
      </c>
      <c r="AW1525" s="6" t="str">
        <f>HYPERLINK("http://www.worldcat.org/oclc/40602840","WorldCat Record")</f>
        <v>WorldCat Record</v>
      </c>
      <c r="AX1525" s="3" t="s">
        <v>15377</v>
      </c>
      <c r="AY1525" s="3" t="s">
        <v>15378</v>
      </c>
      <c r="AZ1525" s="3" t="s">
        <v>15379</v>
      </c>
      <c r="BA1525" s="3" t="s">
        <v>15379</v>
      </c>
      <c r="BB1525" s="3" t="s">
        <v>15380</v>
      </c>
      <c r="BC1525" s="3" t="s">
        <v>77</v>
      </c>
      <c r="BD1525" s="3" t="s">
        <v>78</v>
      </c>
      <c r="BE1525" s="3" t="s">
        <v>15381</v>
      </c>
      <c r="BF1525" s="3" t="s">
        <v>15380</v>
      </c>
      <c r="BG1525" s="3" t="s">
        <v>15382</v>
      </c>
      <c r="BH1525">
        <f t="shared" si="43"/>
        <v>0</v>
      </c>
    </row>
    <row r="1526" spans="1:60" ht="58" x14ac:dyDescent="0.35">
      <c r="A1526" s="2" t="s">
        <v>59</v>
      </c>
      <c r="B1526" s="2" t="s">
        <v>60</v>
      </c>
      <c r="C1526" s="2" t="s">
        <v>15383</v>
      </c>
      <c r="D1526" s="2" t="s">
        <v>15384</v>
      </c>
      <c r="E1526" s="2" t="s">
        <v>15385</v>
      </c>
      <c r="G1526" s="3" t="s">
        <v>64</v>
      </c>
      <c r="I1526" s="3" t="s">
        <v>64</v>
      </c>
      <c r="J1526" s="3" t="s">
        <v>64</v>
      </c>
      <c r="K1526" s="3" t="s">
        <v>65</v>
      </c>
      <c r="L1526" s="2" t="s">
        <v>15386</v>
      </c>
      <c r="M1526" s="2" t="s">
        <v>15387</v>
      </c>
      <c r="N1526" s="3" t="s">
        <v>153</v>
      </c>
      <c r="P1526" s="3" t="s">
        <v>102</v>
      </c>
      <c r="Q1526" s="2" t="s">
        <v>15388</v>
      </c>
      <c r="R1526" s="3" t="s">
        <v>70</v>
      </c>
      <c r="S1526" s="4">
        <v>15</v>
      </c>
      <c r="T1526" s="4">
        <v>15</v>
      </c>
      <c r="U1526" s="5" t="s">
        <v>7890</v>
      </c>
      <c r="V1526" s="5" t="s">
        <v>7890</v>
      </c>
      <c r="W1526" s="5" t="s">
        <v>72</v>
      </c>
      <c r="X1526" s="5" t="s">
        <v>72</v>
      </c>
      <c r="Y1526" s="4">
        <v>165</v>
      </c>
      <c r="Z1526" s="4">
        <v>11</v>
      </c>
      <c r="AA1526" s="4">
        <v>11</v>
      </c>
      <c r="AB1526" s="4">
        <v>1</v>
      </c>
      <c r="AC1526" s="4">
        <v>1</v>
      </c>
      <c r="AD1526" s="4">
        <v>54</v>
      </c>
      <c r="AE1526" s="4">
        <v>55</v>
      </c>
      <c r="AF1526" s="4">
        <v>0</v>
      </c>
      <c r="AG1526" s="4">
        <v>0</v>
      </c>
      <c r="AH1526" s="4">
        <v>49</v>
      </c>
      <c r="AI1526" s="4">
        <v>50</v>
      </c>
      <c r="AJ1526" s="4">
        <v>8</v>
      </c>
      <c r="AK1526" s="4">
        <v>8</v>
      </c>
      <c r="AL1526" s="4">
        <v>28</v>
      </c>
      <c r="AM1526" s="4">
        <v>29</v>
      </c>
      <c r="AN1526" s="4">
        <v>0</v>
      </c>
      <c r="AO1526" s="4">
        <v>0</v>
      </c>
      <c r="AP1526" s="4">
        <v>7</v>
      </c>
      <c r="AQ1526" s="4">
        <v>7</v>
      </c>
      <c r="AR1526" s="3" t="s">
        <v>64</v>
      </c>
      <c r="AS1526" s="3" t="s">
        <v>64</v>
      </c>
      <c r="AT1526" s="3" t="s">
        <v>64</v>
      </c>
      <c r="AV1526" s="6" t="str">
        <f>HYPERLINK("http://mcgill.on.worldcat.org/oclc/39607185","Catalog Record")</f>
        <v>Catalog Record</v>
      </c>
      <c r="AW1526" s="6" t="str">
        <f>HYPERLINK("http://www.worldcat.org/oclc/39607185","WorldCat Record")</f>
        <v>WorldCat Record</v>
      </c>
      <c r="AX1526" s="3" t="s">
        <v>15389</v>
      </c>
      <c r="AY1526" s="3" t="s">
        <v>15390</v>
      </c>
      <c r="AZ1526" s="3" t="s">
        <v>15391</v>
      </c>
      <c r="BA1526" s="3" t="s">
        <v>15391</v>
      </c>
      <c r="BB1526" s="3" t="s">
        <v>15392</v>
      </c>
      <c r="BC1526" s="3" t="s">
        <v>77</v>
      </c>
      <c r="BD1526" s="3" t="s">
        <v>78</v>
      </c>
      <c r="BE1526" s="3" t="s">
        <v>15393</v>
      </c>
      <c r="BF1526" s="3" t="s">
        <v>15392</v>
      </c>
      <c r="BG1526" s="3" t="s">
        <v>15394</v>
      </c>
      <c r="BH1526">
        <f t="shared" si="43"/>
        <v>0</v>
      </c>
    </row>
    <row r="1527" spans="1:60" ht="58" x14ac:dyDescent="0.35">
      <c r="A1527" s="2" t="s">
        <v>59</v>
      </c>
      <c r="B1527" s="2" t="s">
        <v>60</v>
      </c>
      <c r="C1527" s="2" t="s">
        <v>15395</v>
      </c>
      <c r="D1527" s="2" t="s">
        <v>15396</v>
      </c>
      <c r="E1527" s="2" t="s">
        <v>15397</v>
      </c>
      <c r="G1527" s="3" t="s">
        <v>64</v>
      </c>
      <c r="I1527" s="3" t="s">
        <v>64</v>
      </c>
      <c r="J1527" s="3" t="s">
        <v>64</v>
      </c>
      <c r="K1527" s="3" t="s">
        <v>65</v>
      </c>
      <c r="L1527" s="2" t="s">
        <v>15398</v>
      </c>
      <c r="M1527" s="2" t="s">
        <v>15399</v>
      </c>
      <c r="N1527" s="3" t="s">
        <v>86</v>
      </c>
      <c r="P1527" s="3" t="s">
        <v>102</v>
      </c>
      <c r="Q1527" s="2" t="s">
        <v>15400</v>
      </c>
      <c r="R1527" s="3" t="s">
        <v>70</v>
      </c>
      <c r="S1527" s="4">
        <v>5</v>
      </c>
      <c r="T1527" s="4">
        <v>5</v>
      </c>
      <c r="U1527" s="5" t="s">
        <v>7052</v>
      </c>
      <c r="V1527" s="5" t="s">
        <v>7052</v>
      </c>
      <c r="W1527" s="5" t="s">
        <v>72</v>
      </c>
      <c r="X1527" s="5" t="s">
        <v>72</v>
      </c>
      <c r="Y1527" s="4">
        <v>116</v>
      </c>
      <c r="Z1527" s="4">
        <v>19</v>
      </c>
      <c r="AA1527" s="4">
        <v>21</v>
      </c>
      <c r="AB1527" s="4">
        <v>1</v>
      </c>
      <c r="AC1527" s="4">
        <v>3</v>
      </c>
      <c r="AD1527" s="4">
        <v>49</v>
      </c>
      <c r="AE1527" s="4">
        <v>50</v>
      </c>
      <c r="AF1527" s="4">
        <v>0</v>
      </c>
      <c r="AG1527" s="4">
        <v>1</v>
      </c>
      <c r="AH1527" s="4">
        <v>41</v>
      </c>
      <c r="AI1527" s="4">
        <v>41</v>
      </c>
      <c r="AJ1527" s="4">
        <v>13</v>
      </c>
      <c r="AK1527" s="4">
        <v>14</v>
      </c>
      <c r="AL1527" s="4">
        <v>27</v>
      </c>
      <c r="AM1527" s="4">
        <v>27</v>
      </c>
      <c r="AN1527" s="4">
        <v>0</v>
      </c>
      <c r="AO1527" s="4">
        <v>0</v>
      </c>
      <c r="AP1527" s="4">
        <v>15</v>
      </c>
      <c r="AQ1527" s="4">
        <v>15</v>
      </c>
      <c r="AR1527" s="3" t="s">
        <v>64</v>
      </c>
      <c r="AS1527" s="3" t="s">
        <v>64</v>
      </c>
      <c r="AT1527" s="3" t="s">
        <v>64</v>
      </c>
      <c r="AV1527" s="6" t="str">
        <f>HYPERLINK("http://mcgill.on.worldcat.org/oclc/806291284","Catalog Record")</f>
        <v>Catalog Record</v>
      </c>
      <c r="AW1527" s="6" t="str">
        <f>HYPERLINK("http://www.worldcat.org/oclc/806291284","WorldCat Record")</f>
        <v>WorldCat Record</v>
      </c>
      <c r="AX1527" s="3" t="s">
        <v>15401</v>
      </c>
      <c r="AY1527" s="3" t="s">
        <v>15402</v>
      </c>
      <c r="AZ1527" s="3" t="s">
        <v>15403</v>
      </c>
      <c r="BA1527" s="3" t="s">
        <v>15403</v>
      </c>
      <c r="BB1527" s="3" t="s">
        <v>15404</v>
      </c>
      <c r="BC1527" s="3" t="s">
        <v>77</v>
      </c>
      <c r="BD1527" s="3" t="s">
        <v>78</v>
      </c>
      <c r="BE1527" s="3" t="s">
        <v>15405</v>
      </c>
      <c r="BF1527" s="3" t="s">
        <v>15404</v>
      </c>
      <c r="BG1527" s="3" t="s">
        <v>15406</v>
      </c>
      <c r="BH1527">
        <f t="shared" si="43"/>
        <v>0</v>
      </c>
    </row>
    <row r="1528" spans="1:60" ht="58" x14ac:dyDescent="0.35">
      <c r="A1528" s="2" t="s">
        <v>59</v>
      </c>
      <c r="B1528" s="2" t="s">
        <v>60</v>
      </c>
      <c r="C1528" s="2" t="s">
        <v>15407</v>
      </c>
      <c r="D1528" s="2" t="s">
        <v>15408</v>
      </c>
      <c r="E1528" s="2" t="s">
        <v>15409</v>
      </c>
      <c r="G1528" s="3" t="s">
        <v>64</v>
      </c>
      <c r="I1528" s="3" t="s">
        <v>64</v>
      </c>
      <c r="J1528" s="3" t="s">
        <v>64</v>
      </c>
      <c r="K1528" s="3" t="s">
        <v>65</v>
      </c>
      <c r="M1528" s="2" t="s">
        <v>15410</v>
      </c>
      <c r="N1528" s="3" t="s">
        <v>86</v>
      </c>
      <c r="P1528" s="3" t="s">
        <v>102</v>
      </c>
      <c r="R1528" s="3" t="s">
        <v>70</v>
      </c>
      <c r="S1528" s="4">
        <v>3</v>
      </c>
      <c r="T1528" s="4">
        <v>3</v>
      </c>
      <c r="U1528" s="5" t="s">
        <v>15411</v>
      </c>
      <c r="V1528" s="5" t="s">
        <v>15411</v>
      </c>
      <c r="W1528" s="5" t="s">
        <v>72</v>
      </c>
      <c r="X1528" s="5" t="s">
        <v>72</v>
      </c>
      <c r="Y1528" s="4">
        <v>83</v>
      </c>
      <c r="Z1528" s="4">
        <v>6</v>
      </c>
      <c r="AA1528" s="4">
        <v>62</v>
      </c>
      <c r="AB1528" s="4">
        <v>1</v>
      </c>
      <c r="AC1528" s="4">
        <v>8</v>
      </c>
      <c r="AD1528" s="4">
        <v>27</v>
      </c>
      <c r="AE1528" s="4">
        <v>80</v>
      </c>
      <c r="AF1528" s="4">
        <v>0</v>
      </c>
      <c r="AG1528" s="4">
        <v>4</v>
      </c>
      <c r="AH1528" s="4">
        <v>25</v>
      </c>
      <c r="AI1528" s="4">
        <v>58</v>
      </c>
      <c r="AJ1528" s="4">
        <v>5</v>
      </c>
      <c r="AK1528" s="4">
        <v>12</v>
      </c>
      <c r="AL1528" s="4">
        <v>15</v>
      </c>
      <c r="AM1528" s="4">
        <v>32</v>
      </c>
      <c r="AN1528" s="4">
        <v>0</v>
      </c>
      <c r="AO1528" s="4">
        <v>0</v>
      </c>
      <c r="AP1528" s="4">
        <v>5</v>
      </c>
      <c r="AQ1528" s="4">
        <v>24</v>
      </c>
      <c r="AR1528" s="3" t="s">
        <v>64</v>
      </c>
      <c r="AS1528" s="3" t="s">
        <v>64</v>
      </c>
      <c r="AT1528" s="3" t="s">
        <v>64</v>
      </c>
      <c r="AV1528" s="6" t="str">
        <f>HYPERLINK("http://mcgill.on.worldcat.org/oclc/738355148","Catalog Record")</f>
        <v>Catalog Record</v>
      </c>
      <c r="AW1528" s="6" t="str">
        <f>HYPERLINK("http://www.worldcat.org/oclc/738355148","WorldCat Record")</f>
        <v>WorldCat Record</v>
      </c>
      <c r="AX1528" s="3" t="s">
        <v>15412</v>
      </c>
      <c r="AY1528" s="3" t="s">
        <v>15413</v>
      </c>
      <c r="AZ1528" s="3" t="s">
        <v>15414</v>
      </c>
      <c r="BA1528" s="3" t="s">
        <v>15414</v>
      </c>
      <c r="BB1528" s="3" t="s">
        <v>15415</v>
      </c>
      <c r="BC1528" s="3" t="s">
        <v>77</v>
      </c>
      <c r="BD1528" s="3" t="s">
        <v>78</v>
      </c>
      <c r="BE1528" s="3" t="s">
        <v>15416</v>
      </c>
      <c r="BF1528" s="3" t="s">
        <v>15415</v>
      </c>
      <c r="BG1528" s="3" t="s">
        <v>15417</v>
      </c>
      <c r="BH1528">
        <f t="shared" si="43"/>
        <v>0</v>
      </c>
    </row>
    <row r="1529" spans="1:60" ht="58" x14ac:dyDescent="0.35">
      <c r="A1529" s="2" t="s">
        <v>59</v>
      </c>
      <c r="B1529" s="2" t="s">
        <v>60</v>
      </c>
      <c r="C1529" s="2" t="s">
        <v>15418</v>
      </c>
      <c r="D1529" s="2" t="s">
        <v>15419</v>
      </c>
      <c r="E1529" s="2" t="s">
        <v>15420</v>
      </c>
      <c r="G1529" s="3" t="s">
        <v>64</v>
      </c>
      <c r="I1529" s="3" t="s">
        <v>64</v>
      </c>
      <c r="J1529" s="3" t="s">
        <v>64</v>
      </c>
      <c r="K1529" s="3" t="s">
        <v>65</v>
      </c>
      <c r="L1529" s="2" t="s">
        <v>15421</v>
      </c>
      <c r="M1529" s="2" t="s">
        <v>15422</v>
      </c>
      <c r="N1529" s="3" t="s">
        <v>511</v>
      </c>
      <c r="P1529" s="3" t="s">
        <v>102</v>
      </c>
      <c r="Q1529" s="2" t="s">
        <v>15423</v>
      </c>
      <c r="R1529" s="3" t="s">
        <v>70</v>
      </c>
      <c r="S1529" s="4">
        <v>5</v>
      </c>
      <c r="T1529" s="4">
        <v>5</v>
      </c>
      <c r="U1529" s="5" t="s">
        <v>7890</v>
      </c>
      <c r="V1529" s="5" t="s">
        <v>7890</v>
      </c>
      <c r="W1529" s="5" t="s">
        <v>72</v>
      </c>
      <c r="X1529" s="5" t="s">
        <v>72</v>
      </c>
      <c r="Y1529" s="4">
        <v>48</v>
      </c>
      <c r="Z1529" s="4">
        <v>4</v>
      </c>
      <c r="AA1529" s="4">
        <v>26</v>
      </c>
      <c r="AB1529" s="4">
        <v>1</v>
      </c>
      <c r="AC1529" s="4">
        <v>7</v>
      </c>
      <c r="AD1529" s="4">
        <v>18</v>
      </c>
      <c r="AE1529" s="4">
        <v>62</v>
      </c>
      <c r="AF1529" s="4">
        <v>0</v>
      </c>
      <c r="AG1529" s="4">
        <v>3</v>
      </c>
      <c r="AH1529" s="4">
        <v>18</v>
      </c>
      <c r="AI1529" s="4">
        <v>52</v>
      </c>
      <c r="AJ1529" s="4">
        <v>2</v>
      </c>
      <c r="AK1529" s="4">
        <v>14</v>
      </c>
      <c r="AL1529" s="4">
        <v>13</v>
      </c>
      <c r="AM1529" s="4">
        <v>29</v>
      </c>
      <c r="AN1529" s="4">
        <v>0</v>
      </c>
      <c r="AO1529" s="4">
        <v>0</v>
      </c>
      <c r="AP1529" s="4">
        <v>2</v>
      </c>
      <c r="AQ1529" s="4">
        <v>17</v>
      </c>
      <c r="AR1529" s="3" t="s">
        <v>64</v>
      </c>
      <c r="AS1529" s="3" t="s">
        <v>64</v>
      </c>
      <c r="AT1529" s="3" t="s">
        <v>64</v>
      </c>
      <c r="AV1529" s="6" t="str">
        <f>HYPERLINK("http://mcgill.on.worldcat.org/oclc/317114535","Catalog Record")</f>
        <v>Catalog Record</v>
      </c>
      <c r="AW1529" s="6" t="str">
        <f>HYPERLINK("http://www.worldcat.org/oclc/317114535","WorldCat Record")</f>
        <v>WorldCat Record</v>
      </c>
      <c r="AX1529" s="3" t="s">
        <v>15424</v>
      </c>
      <c r="AY1529" s="3" t="s">
        <v>15425</v>
      </c>
      <c r="AZ1529" s="3" t="s">
        <v>15426</v>
      </c>
      <c r="BA1529" s="3" t="s">
        <v>15426</v>
      </c>
      <c r="BB1529" s="3" t="s">
        <v>15427</v>
      </c>
      <c r="BC1529" s="3" t="s">
        <v>77</v>
      </c>
      <c r="BD1529" s="3" t="s">
        <v>78</v>
      </c>
      <c r="BE1529" s="3" t="s">
        <v>15428</v>
      </c>
      <c r="BF1529" s="3" t="s">
        <v>15427</v>
      </c>
      <c r="BG1529" s="3" t="s">
        <v>15429</v>
      </c>
      <c r="BH1529">
        <f t="shared" si="43"/>
        <v>0</v>
      </c>
    </row>
    <row r="1530" spans="1:60" ht="58" x14ac:dyDescent="0.35">
      <c r="A1530" s="2" t="s">
        <v>59</v>
      </c>
      <c r="B1530" s="2" t="s">
        <v>60</v>
      </c>
      <c r="C1530" s="2" t="s">
        <v>15430</v>
      </c>
      <c r="D1530" s="2" t="s">
        <v>15431</v>
      </c>
      <c r="E1530" s="2" t="s">
        <v>15432</v>
      </c>
      <c r="G1530" s="3" t="s">
        <v>64</v>
      </c>
      <c r="I1530" s="3" t="s">
        <v>64</v>
      </c>
      <c r="J1530" s="3" t="s">
        <v>64</v>
      </c>
      <c r="K1530" s="3" t="s">
        <v>65</v>
      </c>
      <c r="L1530" s="2" t="s">
        <v>15433</v>
      </c>
      <c r="M1530" s="2" t="s">
        <v>15434</v>
      </c>
      <c r="N1530" s="3" t="s">
        <v>511</v>
      </c>
      <c r="P1530" s="3" t="s">
        <v>102</v>
      </c>
      <c r="R1530" s="3" t="s">
        <v>70</v>
      </c>
      <c r="S1530" s="4">
        <v>3</v>
      </c>
      <c r="T1530" s="4">
        <v>3</v>
      </c>
      <c r="U1530" s="5" t="s">
        <v>15435</v>
      </c>
      <c r="V1530" s="5" t="s">
        <v>15435</v>
      </c>
      <c r="W1530" s="5" t="s">
        <v>72</v>
      </c>
      <c r="X1530" s="5" t="s">
        <v>72</v>
      </c>
      <c r="Y1530" s="4">
        <v>126</v>
      </c>
      <c r="Z1530" s="4">
        <v>22</v>
      </c>
      <c r="AA1530" s="4">
        <v>102</v>
      </c>
      <c r="AB1530" s="4">
        <v>2</v>
      </c>
      <c r="AC1530" s="4">
        <v>17</v>
      </c>
      <c r="AD1530" s="4">
        <v>60</v>
      </c>
      <c r="AE1530" s="4">
        <v>124</v>
      </c>
      <c r="AF1530" s="4">
        <v>1</v>
      </c>
      <c r="AG1530" s="4">
        <v>8</v>
      </c>
      <c r="AH1530" s="4">
        <v>49</v>
      </c>
      <c r="AI1530" s="4">
        <v>86</v>
      </c>
      <c r="AJ1530" s="4">
        <v>12</v>
      </c>
      <c r="AK1530" s="4">
        <v>23</v>
      </c>
      <c r="AL1530" s="4">
        <v>31</v>
      </c>
      <c r="AM1530" s="4">
        <v>45</v>
      </c>
      <c r="AN1530" s="4">
        <v>0</v>
      </c>
      <c r="AO1530" s="4">
        <v>0</v>
      </c>
      <c r="AP1530" s="4">
        <v>18</v>
      </c>
      <c r="AQ1530" s="4">
        <v>46</v>
      </c>
      <c r="AR1530" s="3" t="s">
        <v>64</v>
      </c>
      <c r="AS1530" s="3" t="s">
        <v>64</v>
      </c>
      <c r="AT1530" s="3" t="s">
        <v>64</v>
      </c>
      <c r="AV1530" s="6" t="str">
        <f>HYPERLINK("http://mcgill.on.worldcat.org/oclc/544474574","Catalog Record")</f>
        <v>Catalog Record</v>
      </c>
      <c r="AW1530" s="6" t="str">
        <f>HYPERLINK("http://www.worldcat.org/oclc/544474574","WorldCat Record")</f>
        <v>WorldCat Record</v>
      </c>
      <c r="AX1530" s="3" t="s">
        <v>15436</v>
      </c>
      <c r="AY1530" s="3" t="s">
        <v>15437</v>
      </c>
      <c r="AZ1530" s="3" t="s">
        <v>15438</v>
      </c>
      <c r="BA1530" s="3" t="s">
        <v>15438</v>
      </c>
      <c r="BB1530" s="3" t="s">
        <v>15439</v>
      </c>
      <c r="BC1530" s="3" t="s">
        <v>77</v>
      </c>
      <c r="BD1530" s="3" t="s">
        <v>78</v>
      </c>
      <c r="BE1530" s="3" t="s">
        <v>15440</v>
      </c>
      <c r="BF1530" s="3" t="s">
        <v>15439</v>
      </c>
      <c r="BG1530" s="3" t="s">
        <v>15441</v>
      </c>
      <c r="BH1530">
        <f t="shared" si="43"/>
        <v>0</v>
      </c>
    </row>
    <row r="1531" spans="1:60" ht="58" x14ac:dyDescent="0.35">
      <c r="A1531" s="2" t="s">
        <v>59</v>
      </c>
      <c r="B1531" s="2" t="s">
        <v>60</v>
      </c>
      <c r="C1531" s="2" t="s">
        <v>15442</v>
      </c>
      <c r="D1531" s="2" t="s">
        <v>15443</v>
      </c>
      <c r="E1531" s="2" t="s">
        <v>15444</v>
      </c>
      <c r="G1531" s="3" t="s">
        <v>64</v>
      </c>
      <c r="I1531" s="3" t="s">
        <v>64</v>
      </c>
      <c r="J1531" s="3" t="s">
        <v>64</v>
      </c>
      <c r="K1531" s="3" t="s">
        <v>65</v>
      </c>
      <c r="L1531" s="2" t="s">
        <v>15445</v>
      </c>
      <c r="M1531" s="2" t="s">
        <v>14001</v>
      </c>
      <c r="N1531" s="3" t="s">
        <v>551</v>
      </c>
      <c r="P1531" s="3" t="s">
        <v>102</v>
      </c>
      <c r="R1531" s="3" t="s">
        <v>70</v>
      </c>
      <c r="S1531" s="4">
        <v>3</v>
      </c>
      <c r="T1531" s="4">
        <v>3</v>
      </c>
      <c r="U1531" s="5" t="s">
        <v>15435</v>
      </c>
      <c r="V1531" s="5" t="s">
        <v>15435</v>
      </c>
      <c r="W1531" s="5" t="s">
        <v>72</v>
      </c>
      <c r="X1531" s="5" t="s">
        <v>72</v>
      </c>
      <c r="Y1531" s="4">
        <v>118</v>
      </c>
      <c r="Z1531" s="4">
        <v>14</v>
      </c>
      <c r="AA1531" s="4">
        <v>96</v>
      </c>
      <c r="AB1531" s="4">
        <v>3</v>
      </c>
      <c r="AC1531" s="4">
        <v>18</v>
      </c>
      <c r="AD1531" s="4">
        <v>54</v>
      </c>
      <c r="AE1531" s="4">
        <v>118</v>
      </c>
      <c r="AF1531" s="4">
        <v>1</v>
      </c>
      <c r="AG1531" s="4">
        <v>8</v>
      </c>
      <c r="AH1531" s="4">
        <v>48</v>
      </c>
      <c r="AI1531" s="4">
        <v>83</v>
      </c>
      <c r="AJ1531" s="4">
        <v>10</v>
      </c>
      <c r="AK1531" s="4">
        <v>21</v>
      </c>
      <c r="AL1531" s="4">
        <v>31</v>
      </c>
      <c r="AM1531" s="4">
        <v>43</v>
      </c>
      <c r="AN1531" s="4">
        <v>0</v>
      </c>
      <c r="AO1531" s="4">
        <v>0</v>
      </c>
      <c r="AP1531" s="4">
        <v>11</v>
      </c>
      <c r="AQ1531" s="4">
        <v>42</v>
      </c>
      <c r="AR1531" s="3" t="s">
        <v>64</v>
      </c>
      <c r="AS1531" s="3" t="s">
        <v>64</v>
      </c>
      <c r="AT1531" s="3" t="s">
        <v>64</v>
      </c>
      <c r="AV1531" s="6" t="str">
        <f>HYPERLINK("http://mcgill.on.worldcat.org/oclc/436946029","Catalog Record")</f>
        <v>Catalog Record</v>
      </c>
      <c r="AW1531" s="6" t="str">
        <f>HYPERLINK("http://www.worldcat.org/oclc/436946029","WorldCat Record")</f>
        <v>WorldCat Record</v>
      </c>
      <c r="AX1531" s="3" t="s">
        <v>15446</v>
      </c>
      <c r="AY1531" s="3" t="s">
        <v>15447</v>
      </c>
      <c r="AZ1531" s="3" t="s">
        <v>15448</v>
      </c>
      <c r="BA1531" s="3" t="s">
        <v>15448</v>
      </c>
      <c r="BB1531" s="3" t="s">
        <v>15449</v>
      </c>
      <c r="BC1531" s="3" t="s">
        <v>77</v>
      </c>
      <c r="BD1531" s="3" t="s">
        <v>78</v>
      </c>
      <c r="BE1531" s="3" t="s">
        <v>15450</v>
      </c>
      <c r="BF1531" s="3" t="s">
        <v>15449</v>
      </c>
      <c r="BG1531" s="3" t="s">
        <v>15451</v>
      </c>
      <c r="BH1531">
        <f t="shared" si="43"/>
        <v>0</v>
      </c>
    </row>
    <row r="1532" spans="1:60" ht="58" x14ac:dyDescent="0.35">
      <c r="A1532" s="2" t="s">
        <v>59</v>
      </c>
      <c r="B1532" s="2" t="s">
        <v>60</v>
      </c>
      <c r="C1532" s="2" t="s">
        <v>15452</v>
      </c>
      <c r="D1532" s="2" t="s">
        <v>15453</v>
      </c>
      <c r="E1532" s="2" t="s">
        <v>15454</v>
      </c>
      <c r="G1532" s="3" t="s">
        <v>64</v>
      </c>
      <c r="I1532" s="3" t="s">
        <v>64</v>
      </c>
      <c r="J1532" s="3" t="s">
        <v>64</v>
      </c>
      <c r="K1532" s="3" t="s">
        <v>65</v>
      </c>
      <c r="L1532" s="2" t="s">
        <v>15455</v>
      </c>
      <c r="M1532" s="2" t="s">
        <v>15456</v>
      </c>
      <c r="N1532" s="3" t="s">
        <v>511</v>
      </c>
      <c r="P1532" s="3" t="s">
        <v>68</v>
      </c>
      <c r="Q1532" s="2" t="s">
        <v>15457</v>
      </c>
      <c r="R1532" s="3" t="s">
        <v>70</v>
      </c>
      <c r="S1532" s="4">
        <v>0</v>
      </c>
      <c r="T1532" s="4">
        <v>0</v>
      </c>
      <c r="W1532" s="5" t="s">
        <v>72</v>
      </c>
      <c r="X1532" s="5" t="s">
        <v>72</v>
      </c>
      <c r="Y1532" s="4">
        <v>3</v>
      </c>
      <c r="Z1532" s="4">
        <v>1</v>
      </c>
      <c r="AA1532" s="4">
        <v>5</v>
      </c>
      <c r="AB1532" s="4">
        <v>1</v>
      </c>
      <c r="AC1532" s="4">
        <v>4</v>
      </c>
      <c r="AD1532" s="4">
        <v>0</v>
      </c>
      <c r="AE1532" s="4">
        <v>3</v>
      </c>
      <c r="AF1532" s="4">
        <v>0</v>
      </c>
      <c r="AG1532" s="4">
        <v>2</v>
      </c>
      <c r="AH1532" s="4">
        <v>0</v>
      </c>
      <c r="AI1532" s="4">
        <v>1</v>
      </c>
      <c r="AJ1532" s="4">
        <v>0</v>
      </c>
      <c r="AK1532" s="4">
        <v>3</v>
      </c>
      <c r="AL1532" s="4">
        <v>0</v>
      </c>
      <c r="AM1532" s="4">
        <v>0</v>
      </c>
      <c r="AN1532" s="4">
        <v>0</v>
      </c>
      <c r="AO1532" s="4">
        <v>0</v>
      </c>
      <c r="AP1532" s="4">
        <v>0</v>
      </c>
      <c r="AQ1532" s="4">
        <v>2</v>
      </c>
      <c r="AR1532" s="3" t="s">
        <v>64</v>
      </c>
      <c r="AS1532" s="3" t="s">
        <v>64</v>
      </c>
      <c r="AT1532" s="3" t="s">
        <v>64</v>
      </c>
      <c r="AV1532" s="6" t="str">
        <f>HYPERLINK("http://mcgill.on.worldcat.org/oclc/681871744","Catalog Record")</f>
        <v>Catalog Record</v>
      </c>
      <c r="AW1532" s="6" t="str">
        <f>HYPERLINK("http://www.worldcat.org/oclc/681871744","WorldCat Record")</f>
        <v>WorldCat Record</v>
      </c>
      <c r="AX1532" s="3" t="s">
        <v>15458</v>
      </c>
      <c r="AY1532" s="3" t="s">
        <v>15459</v>
      </c>
      <c r="AZ1532" s="3" t="s">
        <v>15460</v>
      </c>
      <c r="BA1532" s="3" t="s">
        <v>15460</v>
      </c>
      <c r="BB1532" s="3" t="s">
        <v>15461</v>
      </c>
      <c r="BC1532" s="3" t="s">
        <v>77</v>
      </c>
      <c r="BD1532" s="3" t="s">
        <v>78</v>
      </c>
      <c r="BE1532" s="3" t="s">
        <v>15462</v>
      </c>
      <c r="BF1532" s="3" t="s">
        <v>15461</v>
      </c>
      <c r="BG1532" s="3" t="s">
        <v>15463</v>
      </c>
      <c r="BH1532">
        <f t="shared" si="43"/>
        <v>0</v>
      </c>
    </row>
    <row r="1533" spans="1:60" ht="58" x14ac:dyDescent="0.35">
      <c r="A1533" s="2" t="s">
        <v>59</v>
      </c>
      <c r="B1533" s="2" t="s">
        <v>60</v>
      </c>
      <c r="C1533" s="2" t="s">
        <v>15464</v>
      </c>
      <c r="D1533" s="2" t="s">
        <v>15465</v>
      </c>
      <c r="E1533" s="2" t="s">
        <v>15466</v>
      </c>
      <c r="G1533" s="3" t="s">
        <v>64</v>
      </c>
      <c r="I1533" s="3" t="s">
        <v>64</v>
      </c>
      <c r="J1533" s="3" t="s">
        <v>64</v>
      </c>
      <c r="K1533" s="3" t="s">
        <v>65</v>
      </c>
      <c r="M1533" s="2" t="s">
        <v>15467</v>
      </c>
      <c r="N1533" s="3" t="s">
        <v>1031</v>
      </c>
      <c r="P1533" s="3" t="s">
        <v>102</v>
      </c>
      <c r="R1533" s="3" t="s">
        <v>70</v>
      </c>
      <c r="S1533" s="4">
        <v>5</v>
      </c>
      <c r="T1533" s="4">
        <v>5</v>
      </c>
      <c r="U1533" s="5" t="s">
        <v>1846</v>
      </c>
      <c r="V1533" s="5" t="s">
        <v>1846</v>
      </c>
      <c r="W1533" s="5" t="s">
        <v>72</v>
      </c>
      <c r="X1533" s="5" t="s">
        <v>72</v>
      </c>
      <c r="Y1533" s="4">
        <v>437</v>
      </c>
      <c r="Z1533" s="4">
        <v>20</v>
      </c>
      <c r="AA1533" s="4">
        <v>29</v>
      </c>
      <c r="AB1533" s="4">
        <v>2</v>
      </c>
      <c r="AC1533" s="4">
        <v>3</v>
      </c>
      <c r="AD1533" s="4">
        <v>96</v>
      </c>
      <c r="AE1533" s="4">
        <v>106</v>
      </c>
      <c r="AF1533" s="4">
        <v>1</v>
      </c>
      <c r="AG1533" s="4">
        <v>2</v>
      </c>
      <c r="AH1533" s="4">
        <v>81</v>
      </c>
      <c r="AI1533" s="4">
        <v>85</v>
      </c>
      <c r="AJ1533" s="4">
        <v>10</v>
      </c>
      <c r="AK1533" s="4">
        <v>17</v>
      </c>
      <c r="AL1533" s="4">
        <v>48</v>
      </c>
      <c r="AM1533" s="4">
        <v>48</v>
      </c>
      <c r="AN1533" s="4">
        <v>0</v>
      </c>
      <c r="AO1533" s="4">
        <v>0</v>
      </c>
      <c r="AP1533" s="4">
        <v>15</v>
      </c>
      <c r="AQ1533" s="4">
        <v>22</v>
      </c>
      <c r="AR1533" s="3" t="s">
        <v>64</v>
      </c>
      <c r="AS1533" s="3" t="s">
        <v>64</v>
      </c>
      <c r="AT1533" s="3" t="s">
        <v>128</v>
      </c>
      <c r="AU1533" s="6" t="str">
        <f>HYPERLINK("http://catalog.hathitrust.org/Record/002530749","HathiTrust Record")</f>
        <v>HathiTrust Record</v>
      </c>
      <c r="AV1533" s="6" t="str">
        <f>HYPERLINK("http://mcgill.on.worldcat.org/oclc/25557973","Catalog Record")</f>
        <v>Catalog Record</v>
      </c>
      <c r="AW1533" s="6" t="str">
        <f>HYPERLINK("http://www.worldcat.org/oclc/25557973","WorldCat Record")</f>
        <v>WorldCat Record</v>
      </c>
      <c r="AX1533" s="3" t="s">
        <v>15468</v>
      </c>
      <c r="AY1533" s="3" t="s">
        <v>15469</v>
      </c>
      <c r="AZ1533" s="3" t="s">
        <v>15470</v>
      </c>
      <c r="BA1533" s="3" t="s">
        <v>15470</v>
      </c>
      <c r="BB1533" s="3" t="s">
        <v>15471</v>
      </c>
      <c r="BC1533" s="3" t="s">
        <v>77</v>
      </c>
      <c r="BD1533" s="3" t="s">
        <v>78</v>
      </c>
      <c r="BE1533" s="3" t="s">
        <v>15472</v>
      </c>
      <c r="BF1533" s="3" t="s">
        <v>15471</v>
      </c>
      <c r="BG1533" s="3" t="s">
        <v>15473</v>
      </c>
      <c r="BH1533">
        <f t="shared" si="43"/>
        <v>0</v>
      </c>
    </row>
    <row r="1534" spans="1:60" ht="58" x14ac:dyDescent="0.35">
      <c r="A1534" s="2" t="s">
        <v>59</v>
      </c>
      <c r="B1534" s="2" t="s">
        <v>60</v>
      </c>
      <c r="C1534" s="2" t="s">
        <v>15474</v>
      </c>
      <c r="D1534" s="2" t="s">
        <v>15475</v>
      </c>
      <c r="E1534" s="2" t="s">
        <v>15476</v>
      </c>
      <c r="G1534" s="3" t="s">
        <v>64</v>
      </c>
      <c r="I1534" s="3" t="s">
        <v>64</v>
      </c>
      <c r="J1534" s="3" t="s">
        <v>64</v>
      </c>
      <c r="K1534" s="3" t="s">
        <v>65</v>
      </c>
      <c r="L1534" s="2" t="s">
        <v>15477</v>
      </c>
      <c r="M1534" s="2" t="s">
        <v>15478</v>
      </c>
      <c r="N1534" s="3" t="s">
        <v>1061</v>
      </c>
      <c r="P1534" s="3" t="s">
        <v>102</v>
      </c>
      <c r="R1534" s="3" t="s">
        <v>70</v>
      </c>
      <c r="S1534" s="4">
        <v>4</v>
      </c>
      <c r="T1534" s="4">
        <v>4</v>
      </c>
      <c r="U1534" s="5" t="s">
        <v>15479</v>
      </c>
      <c r="V1534" s="5" t="s">
        <v>15479</v>
      </c>
      <c r="W1534" s="5" t="s">
        <v>72</v>
      </c>
      <c r="X1534" s="5" t="s">
        <v>72</v>
      </c>
      <c r="Y1534" s="4">
        <v>252</v>
      </c>
      <c r="Z1534" s="4">
        <v>12</v>
      </c>
      <c r="AA1534" s="4">
        <v>13</v>
      </c>
      <c r="AB1534" s="4">
        <v>1</v>
      </c>
      <c r="AC1534" s="4">
        <v>2</v>
      </c>
      <c r="AD1534" s="4">
        <v>72</v>
      </c>
      <c r="AE1534" s="4">
        <v>73</v>
      </c>
      <c r="AF1534" s="4">
        <v>0</v>
      </c>
      <c r="AG1534" s="4">
        <v>1</v>
      </c>
      <c r="AH1534" s="4">
        <v>67</v>
      </c>
      <c r="AI1534" s="4">
        <v>67</v>
      </c>
      <c r="AJ1534" s="4">
        <v>8</v>
      </c>
      <c r="AK1534" s="4">
        <v>9</v>
      </c>
      <c r="AL1534" s="4">
        <v>34</v>
      </c>
      <c r="AM1534" s="4">
        <v>34</v>
      </c>
      <c r="AN1534" s="4">
        <v>0</v>
      </c>
      <c r="AO1534" s="4">
        <v>0</v>
      </c>
      <c r="AP1534" s="4">
        <v>8</v>
      </c>
      <c r="AQ1534" s="4">
        <v>8</v>
      </c>
      <c r="AR1534" s="3" t="s">
        <v>64</v>
      </c>
      <c r="AS1534" s="3" t="s">
        <v>64</v>
      </c>
      <c r="AT1534" s="3" t="s">
        <v>128</v>
      </c>
      <c r="AU1534" s="6" t="str">
        <f>HYPERLINK("http://catalog.hathitrust.org/Record/000372460","HathiTrust Record")</f>
        <v>HathiTrust Record</v>
      </c>
      <c r="AV1534" s="6" t="str">
        <f>HYPERLINK("http://mcgill.on.worldcat.org/oclc/10913380","Catalog Record")</f>
        <v>Catalog Record</v>
      </c>
      <c r="AW1534" s="6" t="str">
        <f>HYPERLINK("http://www.worldcat.org/oclc/10913380","WorldCat Record")</f>
        <v>WorldCat Record</v>
      </c>
      <c r="AX1534" s="3" t="s">
        <v>15480</v>
      </c>
      <c r="AY1534" s="3" t="s">
        <v>15481</v>
      </c>
      <c r="AZ1534" s="3" t="s">
        <v>15482</v>
      </c>
      <c r="BA1534" s="3" t="s">
        <v>15482</v>
      </c>
      <c r="BB1534" s="3" t="s">
        <v>15483</v>
      </c>
      <c r="BC1534" s="3" t="s">
        <v>77</v>
      </c>
      <c r="BD1534" s="3" t="s">
        <v>78</v>
      </c>
      <c r="BE1534" s="3" t="s">
        <v>15484</v>
      </c>
      <c r="BF1534" s="3" t="s">
        <v>15483</v>
      </c>
      <c r="BG1534" s="3" t="s">
        <v>15485</v>
      </c>
      <c r="BH1534">
        <f t="shared" si="43"/>
        <v>0</v>
      </c>
    </row>
    <row r="1535" spans="1:60" ht="58" x14ac:dyDescent="0.35">
      <c r="A1535" s="2" t="s">
        <v>59</v>
      </c>
      <c r="B1535" s="2" t="s">
        <v>60</v>
      </c>
      <c r="C1535" s="2" t="s">
        <v>15486</v>
      </c>
      <c r="D1535" s="2" t="s">
        <v>15487</v>
      </c>
      <c r="E1535" s="2" t="s">
        <v>15488</v>
      </c>
      <c r="G1535" s="3" t="s">
        <v>64</v>
      </c>
      <c r="I1535" s="3" t="s">
        <v>64</v>
      </c>
      <c r="J1535" s="3" t="s">
        <v>64</v>
      </c>
      <c r="K1535" s="3" t="s">
        <v>65</v>
      </c>
      <c r="L1535" s="2" t="s">
        <v>14498</v>
      </c>
      <c r="M1535" s="2" t="s">
        <v>15489</v>
      </c>
      <c r="N1535" s="3" t="s">
        <v>922</v>
      </c>
      <c r="P1535" s="3" t="s">
        <v>102</v>
      </c>
      <c r="Q1535" s="2" t="s">
        <v>15490</v>
      </c>
      <c r="R1535" s="3" t="s">
        <v>70</v>
      </c>
      <c r="S1535" s="4">
        <v>19</v>
      </c>
      <c r="T1535" s="4">
        <v>19</v>
      </c>
      <c r="U1535" s="5" t="s">
        <v>539</v>
      </c>
      <c r="V1535" s="5" t="s">
        <v>539</v>
      </c>
      <c r="W1535" s="5" t="s">
        <v>72</v>
      </c>
      <c r="X1535" s="5" t="s">
        <v>72</v>
      </c>
      <c r="Y1535" s="4">
        <v>519</v>
      </c>
      <c r="Z1535" s="4">
        <v>18</v>
      </c>
      <c r="AA1535" s="4">
        <v>19</v>
      </c>
      <c r="AB1535" s="4">
        <v>1</v>
      </c>
      <c r="AC1535" s="4">
        <v>2</v>
      </c>
      <c r="AD1535" s="4">
        <v>99</v>
      </c>
      <c r="AE1535" s="4">
        <v>100</v>
      </c>
      <c r="AF1535" s="4">
        <v>0</v>
      </c>
      <c r="AG1535" s="4">
        <v>1</v>
      </c>
      <c r="AH1535" s="4">
        <v>89</v>
      </c>
      <c r="AI1535" s="4">
        <v>89</v>
      </c>
      <c r="AJ1535" s="4">
        <v>11</v>
      </c>
      <c r="AK1535" s="4">
        <v>12</v>
      </c>
      <c r="AL1535" s="4">
        <v>50</v>
      </c>
      <c r="AM1535" s="4">
        <v>50</v>
      </c>
      <c r="AN1535" s="4">
        <v>0</v>
      </c>
      <c r="AO1535" s="4">
        <v>0</v>
      </c>
      <c r="AP1535" s="4">
        <v>11</v>
      </c>
      <c r="AQ1535" s="4">
        <v>11</v>
      </c>
      <c r="AR1535" s="3" t="s">
        <v>64</v>
      </c>
      <c r="AS1535" s="3" t="s">
        <v>64</v>
      </c>
      <c r="AT1535" s="3" t="s">
        <v>128</v>
      </c>
      <c r="AU1535" s="6" t="str">
        <f>HYPERLINK("http://catalog.hathitrust.org/Record/000961596","HathiTrust Record")</f>
        <v>HathiTrust Record</v>
      </c>
      <c r="AV1535" s="6" t="str">
        <f>HYPERLINK("http://mcgill.on.worldcat.org/oclc/320057","Catalog Record")</f>
        <v>Catalog Record</v>
      </c>
      <c r="AW1535" s="6" t="str">
        <f>HYPERLINK("http://www.worldcat.org/oclc/320057","WorldCat Record")</f>
        <v>WorldCat Record</v>
      </c>
      <c r="AX1535" s="3" t="s">
        <v>15491</v>
      </c>
      <c r="AY1535" s="3" t="s">
        <v>15492</v>
      </c>
      <c r="AZ1535" s="3" t="s">
        <v>15493</v>
      </c>
      <c r="BA1535" s="3" t="s">
        <v>15493</v>
      </c>
      <c r="BB1535" s="3" t="s">
        <v>15494</v>
      </c>
      <c r="BC1535" s="3" t="s">
        <v>77</v>
      </c>
      <c r="BD1535" s="3" t="s">
        <v>78</v>
      </c>
      <c r="BE1535" s="3" t="s">
        <v>15495</v>
      </c>
      <c r="BF1535" s="3" t="s">
        <v>15494</v>
      </c>
      <c r="BG1535" s="3" t="s">
        <v>15496</v>
      </c>
      <c r="BH1535">
        <f t="shared" si="43"/>
        <v>0</v>
      </c>
    </row>
    <row r="1536" spans="1:60" ht="58" x14ac:dyDescent="0.35">
      <c r="A1536" s="2" t="s">
        <v>59</v>
      </c>
      <c r="B1536" s="2" t="s">
        <v>60</v>
      </c>
      <c r="C1536" s="2" t="s">
        <v>15497</v>
      </c>
      <c r="D1536" s="2" t="s">
        <v>15498</v>
      </c>
      <c r="E1536" s="2" t="s">
        <v>15499</v>
      </c>
      <c r="G1536" s="3" t="s">
        <v>64</v>
      </c>
      <c r="I1536" s="3" t="s">
        <v>64</v>
      </c>
      <c r="J1536" s="3" t="s">
        <v>64</v>
      </c>
      <c r="K1536" s="3" t="s">
        <v>65</v>
      </c>
      <c r="L1536" s="2" t="s">
        <v>15500</v>
      </c>
      <c r="M1536" s="2" t="s">
        <v>14972</v>
      </c>
      <c r="N1536" s="3" t="s">
        <v>511</v>
      </c>
      <c r="P1536" s="3" t="s">
        <v>102</v>
      </c>
      <c r="R1536" s="3" t="s">
        <v>70</v>
      </c>
      <c r="S1536" s="4">
        <v>1</v>
      </c>
      <c r="T1536" s="4">
        <v>1</v>
      </c>
      <c r="U1536" s="5" t="s">
        <v>15501</v>
      </c>
      <c r="V1536" s="5" t="s">
        <v>15501</v>
      </c>
      <c r="W1536" s="5" t="s">
        <v>72</v>
      </c>
      <c r="X1536" s="5" t="s">
        <v>72</v>
      </c>
      <c r="Y1536" s="4">
        <v>175</v>
      </c>
      <c r="Z1536" s="4">
        <v>12</v>
      </c>
      <c r="AA1536" s="4">
        <v>103</v>
      </c>
      <c r="AB1536" s="4">
        <v>2</v>
      </c>
      <c r="AC1536" s="4">
        <v>17</v>
      </c>
      <c r="AD1536" s="4">
        <v>50</v>
      </c>
      <c r="AE1536" s="4">
        <v>121</v>
      </c>
      <c r="AF1536" s="4">
        <v>1</v>
      </c>
      <c r="AG1536" s="4">
        <v>8</v>
      </c>
      <c r="AH1536" s="4">
        <v>46</v>
      </c>
      <c r="AI1536" s="4">
        <v>84</v>
      </c>
      <c r="AJ1536" s="4">
        <v>5</v>
      </c>
      <c r="AK1536" s="4">
        <v>20</v>
      </c>
      <c r="AL1536" s="4">
        <v>26</v>
      </c>
      <c r="AM1536" s="4">
        <v>43</v>
      </c>
      <c r="AN1536" s="4">
        <v>0</v>
      </c>
      <c r="AO1536" s="4">
        <v>0</v>
      </c>
      <c r="AP1536" s="4">
        <v>7</v>
      </c>
      <c r="AQ1536" s="4">
        <v>42</v>
      </c>
      <c r="AR1536" s="3" t="s">
        <v>64</v>
      </c>
      <c r="AS1536" s="3" t="s">
        <v>64</v>
      </c>
      <c r="AT1536" s="3" t="s">
        <v>64</v>
      </c>
      <c r="AV1536" s="6" t="str">
        <f>HYPERLINK("http://mcgill.on.worldcat.org/oclc/617425168","Catalog Record")</f>
        <v>Catalog Record</v>
      </c>
      <c r="AW1536" s="6" t="str">
        <f>HYPERLINK("http://www.worldcat.org/oclc/617425168","WorldCat Record")</f>
        <v>WorldCat Record</v>
      </c>
      <c r="AX1536" s="3" t="s">
        <v>15502</v>
      </c>
      <c r="AY1536" s="3" t="s">
        <v>15503</v>
      </c>
      <c r="AZ1536" s="3" t="s">
        <v>15504</v>
      </c>
      <c r="BA1536" s="3" t="s">
        <v>15504</v>
      </c>
      <c r="BB1536" s="3" t="s">
        <v>15505</v>
      </c>
      <c r="BC1536" s="3" t="s">
        <v>77</v>
      </c>
      <c r="BD1536" s="3" t="s">
        <v>78</v>
      </c>
      <c r="BE1536" s="3" t="s">
        <v>15506</v>
      </c>
      <c r="BF1536" s="3" t="s">
        <v>15505</v>
      </c>
      <c r="BG1536" s="3" t="s">
        <v>15507</v>
      </c>
      <c r="BH1536">
        <f t="shared" si="43"/>
        <v>0</v>
      </c>
    </row>
    <row r="1537" spans="1:60" ht="58" x14ac:dyDescent="0.35">
      <c r="A1537" s="2" t="s">
        <v>59</v>
      </c>
      <c r="B1537" s="2" t="s">
        <v>60</v>
      </c>
      <c r="C1537" s="2" t="s">
        <v>15508</v>
      </c>
      <c r="D1537" s="2" t="s">
        <v>15509</v>
      </c>
      <c r="E1537" s="2" t="s">
        <v>15510</v>
      </c>
      <c r="G1537" s="3" t="s">
        <v>64</v>
      </c>
      <c r="I1537" s="3" t="s">
        <v>64</v>
      </c>
      <c r="J1537" s="3" t="s">
        <v>64</v>
      </c>
      <c r="K1537" s="3" t="s">
        <v>65</v>
      </c>
      <c r="M1537" s="2" t="s">
        <v>15511</v>
      </c>
      <c r="N1537" s="3" t="s">
        <v>1004</v>
      </c>
      <c r="P1537" s="3" t="s">
        <v>102</v>
      </c>
      <c r="R1537" s="3" t="s">
        <v>70</v>
      </c>
      <c r="S1537" s="4">
        <v>18</v>
      </c>
      <c r="T1537" s="4">
        <v>18</v>
      </c>
      <c r="U1537" s="5" t="s">
        <v>5637</v>
      </c>
      <c r="V1537" s="5" t="s">
        <v>5637</v>
      </c>
      <c r="W1537" s="5" t="s">
        <v>72</v>
      </c>
      <c r="X1537" s="5" t="s">
        <v>72</v>
      </c>
      <c r="Y1537" s="4">
        <v>376</v>
      </c>
      <c r="Z1537" s="4">
        <v>24</v>
      </c>
      <c r="AA1537" s="4">
        <v>25</v>
      </c>
      <c r="AB1537" s="4">
        <v>3</v>
      </c>
      <c r="AC1537" s="4">
        <v>4</v>
      </c>
      <c r="AD1537" s="4">
        <v>98</v>
      </c>
      <c r="AE1537" s="4">
        <v>99</v>
      </c>
      <c r="AF1537" s="4">
        <v>1</v>
      </c>
      <c r="AG1537" s="4">
        <v>2</v>
      </c>
      <c r="AH1537" s="4">
        <v>85</v>
      </c>
      <c r="AI1537" s="4">
        <v>85</v>
      </c>
      <c r="AJ1537" s="4">
        <v>14</v>
      </c>
      <c r="AK1537" s="4">
        <v>15</v>
      </c>
      <c r="AL1537" s="4">
        <v>47</v>
      </c>
      <c r="AM1537" s="4">
        <v>47</v>
      </c>
      <c r="AN1537" s="4">
        <v>0</v>
      </c>
      <c r="AO1537" s="4">
        <v>0</v>
      </c>
      <c r="AP1537" s="4">
        <v>17</v>
      </c>
      <c r="AQ1537" s="4">
        <v>17</v>
      </c>
      <c r="AR1537" s="3" t="s">
        <v>64</v>
      </c>
      <c r="AS1537" s="3" t="s">
        <v>64</v>
      </c>
      <c r="AT1537" s="3" t="s">
        <v>128</v>
      </c>
      <c r="AU1537" s="6" t="str">
        <f>HYPERLINK("http://catalog.hathitrust.org/Record/000308606","HathiTrust Record")</f>
        <v>HathiTrust Record</v>
      </c>
      <c r="AV1537" s="6" t="str">
        <f>HYPERLINK("http://mcgill.on.worldcat.org/oclc/8451713","Catalog Record")</f>
        <v>Catalog Record</v>
      </c>
      <c r="AW1537" s="6" t="str">
        <f>HYPERLINK("http://www.worldcat.org/oclc/8451713","WorldCat Record")</f>
        <v>WorldCat Record</v>
      </c>
      <c r="AX1537" s="3" t="s">
        <v>15512</v>
      </c>
      <c r="AY1537" s="3" t="s">
        <v>15513</v>
      </c>
      <c r="AZ1537" s="3" t="s">
        <v>15514</v>
      </c>
      <c r="BA1537" s="3" t="s">
        <v>15514</v>
      </c>
      <c r="BB1537" s="3" t="s">
        <v>15515</v>
      </c>
      <c r="BC1537" s="3" t="s">
        <v>77</v>
      </c>
      <c r="BD1537" s="3" t="s">
        <v>78</v>
      </c>
      <c r="BE1537" s="3" t="s">
        <v>15516</v>
      </c>
      <c r="BF1537" s="3" t="s">
        <v>15515</v>
      </c>
      <c r="BG1537" s="3" t="s">
        <v>15517</v>
      </c>
      <c r="BH1537">
        <f t="shared" si="43"/>
        <v>0</v>
      </c>
    </row>
    <row r="1538" spans="1:60" ht="58" x14ac:dyDescent="0.35">
      <c r="A1538" s="2" t="s">
        <v>59</v>
      </c>
      <c r="B1538" s="2" t="s">
        <v>60</v>
      </c>
      <c r="C1538" s="2" t="s">
        <v>15518</v>
      </c>
      <c r="D1538" s="2" t="s">
        <v>15519</v>
      </c>
      <c r="E1538" s="2" t="s">
        <v>15520</v>
      </c>
      <c r="G1538" s="3" t="s">
        <v>64</v>
      </c>
      <c r="I1538" s="3" t="s">
        <v>64</v>
      </c>
      <c r="J1538" s="3" t="s">
        <v>64</v>
      </c>
      <c r="K1538" s="3" t="s">
        <v>65</v>
      </c>
      <c r="L1538" s="2" t="s">
        <v>15521</v>
      </c>
      <c r="M1538" s="2" t="s">
        <v>14904</v>
      </c>
      <c r="N1538" s="3" t="s">
        <v>511</v>
      </c>
      <c r="P1538" s="3" t="s">
        <v>102</v>
      </c>
      <c r="R1538" s="3" t="s">
        <v>70</v>
      </c>
      <c r="S1538" s="4">
        <v>2</v>
      </c>
      <c r="T1538" s="4">
        <v>2</v>
      </c>
      <c r="U1538" s="5" t="s">
        <v>15522</v>
      </c>
      <c r="V1538" s="5" t="s">
        <v>15522</v>
      </c>
      <c r="W1538" s="5" t="s">
        <v>72</v>
      </c>
      <c r="X1538" s="5" t="s">
        <v>72</v>
      </c>
      <c r="Y1538" s="4">
        <v>262</v>
      </c>
      <c r="Z1538" s="4">
        <v>16</v>
      </c>
      <c r="AA1538" s="4">
        <v>32</v>
      </c>
      <c r="AB1538" s="4">
        <v>2</v>
      </c>
      <c r="AC1538" s="4">
        <v>5</v>
      </c>
      <c r="AD1538" s="4">
        <v>54</v>
      </c>
      <c r="AE1538" s="4">
        <v>87</v>
      </c>
      <c r="AF1538" s="4">
        <v>0</v>
      </c>
      <c r="AG1538" s="4">
        <v>1</v>
      </c>
      <c r="AH1538" s="4">
        <v>47</v>
      </c>
      <c r="AI1538" s="4">
        <v>71</v>
      </c>
      <c r="AJ1538" s="4">
        <v>9</v>
      </c>
      <c r="AK1538" s="4">
        <v>13</v>
      </c>
      <c r="AL1538" s="4">
        <v>26</v>
      </c>
      <c r="AM1538" s="4">
        <v>39</v>
      </c>
      <c r="AN1538" s="4">
        <v>0</v>
      </c>
      <c r="AO1538" s="4">
        <v>0</v>
      </c>
      <c r="AP1538" s="4">
        <v>12</v>
      </c>
      <c r="AQ1538" s="4">
        <v>20</v>
      </c>
      <c r="AR1538" s="3" t="s">
        <v>64</v>
      </c>
      <c r="AS1538" s="3" t="s">
        <v>64</v>
      </c>
      <c r="AT1538" s="3" t="s">
        <v>64</v>
      </c>
      <c r="AV1538" s="6" t="str">
        <f>HYPERLINK("http://mcgill.on.worldcat.org/oclc/569508843","Catalog Record")</f>
        <v>Catalog Record</v>
      </c>
      <c r="AW1538" s="6" t="str">
        <f>HYPERLINK("http://www.worldcat.org/oclc/569508843","WorldCat Record")</f>
        <v>WorldCat Record</v>
      </c>
      <c r="AX1538" s="3" t="s">
        <v>15523</v>
      </c>
      <c r="AY1538" s="3" t="s">
        <v>15524</v>
      </c>
      <c r="AZ1538" s="3" t="s">
        <v>15525</v>
      </c>
      <c r="BA1538" s="3" t="s">
        <v>15525</v>
      </c>
      <c r="BB1538" s="3" t="s">
        <v>15526</v>
      </c>
      <c r="BC1538" s="3" t="s">
        <v>77</v>
      </c>
      <c r="BD1538" s="3" t="s">
        <v>78</v>
      </c>
      <c r="BE1538" s="3" t="s">
        <v>15527</v>
      </c>
      <c r="BF1538" s="3" t="s">
        <v>15526</v>
      </c>
      <c r="BG1538" s="3" t="s">
        <v>15528</v>
      </c>
      <c r="BH1538">
        <f t="shared" ref="BH1538:BH1601" si="44">IF(COUNTIF($BF$1:$BF$5431,BF1538)=1,0,1)</f>
        <v>0</v>
      </c>
    </row>
    <row r="1539" spans="1:60" ht="58" x14ac:dyDescent="0.35">
      <c r="A1539" s="2" t="s">
        <v>59</v>
      </c>
      <c r="B1539" s="2" t="s">
        <v>60</v>
      </c>
      <c r="C1539" s="2" t="s">
        <v>15529</v>
      </c>
      <c r="D1539" s="2" t="s">
        <v>15530</v>
      </c>
      <c r="E1539" s="2" t="s">
        <v>15531</v>
      </c>
      <c r="G1539" s="3" t="s">
        <v>64</v>
      </c>
      <c r="I1539" s="3" t="s">
        <v>64</v>
      </c>
      <c r="J1539" s="3" t="s">
        <v>64</v>
      </c>
      <c r="K1539" s="3" t="s">
        <v>65</v>
      </c>
      <c r="L1539" s="2" t="s">
        <v>15532</v>
      </c>
      <c r="M1539" s="2" t="s">
        <v>9037</v>
      </c>
      <c r="N1539" s="3" t="s">
        <v>1075</v>
      </c>
      <c r="P1539" s="3" t="s">
        <v>102</v>
      </c>
      <c r="R1539" s="3" t="s">
        <v>70</v>
      </c>
      <c r="S1539" s="4">
        <v>0</v>
      </c>
      <c r="T1539" s="4">
        <v>0</v>
      </c>
      <c r="W1539" s="5" t="s">
        <v>72</v>
      </c>
      <c r="X1539" s="5" t="s">
        <v>72</v>
      </c>
      <c r="Y1539" s="4">
        <v>207</v>
      </c>
      <c r="Z1539" s="4">
        <v>11</v>
      </c>
      <c r="AA1539" s="4">
        <v>82</v>
      </c>
      <c r="AB1539" s="4">
        <v>2</v>
      </c>
      <c r="AC1539" s="4">
        <v>16</v>
      </c>
      <c r="AD1539" s="4">
        <v>28</v>
      </c>
      <c r="AE1539" s="4">
        <v>87</v>
      </c>
      <c r="AF1539" s="4">
        <v>1</v>
      </c>
      <c r="AG1539" s="4">
        <v>8</v>
      </c>
      <c r="AH1539" s="4">
        <v>22</v>
      </c>
      <c r="AI1539" s="4">
        <v>54</v>
      </c>
      <c r="AJ1539" s="4">
        <v>6</v>
      </c>
      <c r="AK1539" s="4">
        <v>19</v>
      </c>
      <c r="AL1539" s="4">
        <v>13</v>
      </c>
      <c r="AM1539" s="4">
        <v>27</v>
      </c>
      <c r="AN1539" s="4">
        <v>0</v>
      </c>
      <c r="AO1539" s="4">
        <v>0</v>
      </c>
      <c r="AP1539" s="4">
        <v>9</v>
      </c>
      <c r="AQ1539" s="4">
        <v>40</v>
      </c>
      <c r="AR1539" s="3" t="s">
        <v>64</v>
      </c>
      <c r="AS1539" s="3" t="s">
        <v>64</v>
      </c>
      <c r="AT1539" s="3" t="s">
        <v>64</v>
      </c>
      <c r="AV1539" s="6" t="str">
        <f>HYPERLINK("http://mcgill.on.worldcat.org/oclc/773014692","Catalog Record")</f>
        <v>Catalog Record</v>
      </c>
      <c r="AW1539" s="6" t="str">
        <f>HYPERLINK("http://www.worldcat.org/oclc/773014692","WorldCat Record")</f>
        <v>WorldCat Record</v>
      </c>
      <c r="AX1539" s="3" t="s">
        <v>15533</v>
      </c>
      <c r="AY1539" s="3" t="s">
        <v>15534</v>
      </c>
      <c r="AZ1539" s="3" t="s">
        <v>15535</v>
      </c>
      <c r="BA1539" s="3" t="s">
        <v>15535</v>
      </c>
      <c r="BB1539" s="3" t="s">
        <v>15536</v>
      </c>
      <c r="BC1539" s="3" t="s">
        <v>77</v>
      </c>
      <c r="BD1539" s="3" t="s">
        <v>78</v>
      </c>
      <c r="BE1539" s="3" t="s">
        <v>15537</v>
      </c>
      <c r="BF1539" s="3" t="s">
        <v>15536</v>
      </c>
      <c r="BG1539" s="3" t="s">
        <v>15538</v>
      </c>
      <c r="BH1539">
        <f t="shared" si="44"/>
        <v>0</v>
      </c>
    </row>
    <row r="1540" spans="1:60" ht="58" x14ac:dyDescent="0.35">
      <c r="A1540" s="2" t="s">
        <v>59</v>
      </c>
      <c r="B1540" s="2" t="s">
        <v>60</v>
      </c>
      <c r="C1540" s="2" t="s">
        <v>15539</v>
      </c>
      <c r="D1540" s="2" t="s">
        <v>15540</v>
      </c>
      <c r="E1540" s="2" t="s">
        <v>15541</v>
      </c>
      <c r="G1540" s="3" t="s">
        <v>64</v>
      </c>
      <c r="I1540" s="3" t="s">
        <v>64</v>
      </c>
      <c r="J1540" s="3" t="s">
        <v>64</v>
      </c>
      <c r="K1540" s="3" t="s">
        <v>65</v>
      </c>
      <c r="L1540" s="2" t="s">
        <v>15542</v>
      </c>
      <c r="M1540" s="2" t="s">
        <v>15543</v>
      </c>
      <c r="N1540" s="3" t="s">
        <v>551</v>
      </c>
      <c r="P1540" s="3" t="s">
        <v>102</v>
      </c>
      <c r="Q1540" s="2" t="s">
        <v>15544</v>
      </c>
      <c r="R1540" s="3" t="s">
        <v>70</v>
      </c>
      <c r="S1540" s="4">
        <v>2</v>
      </c>
      <c r="T1540" s="4">
        <v>2</v>
      </c>
      <c r="U1540" s="5" t="s">
        <v>14861</v>
      </c>
      <c r="V1540" s="5" t="s">
        <v>14861</v>
      </c>
      <c r="W1540" s="5" t="s">
        <v>72</v>
      </c>
      <c r="X1540" s="5" t="s">
        <v>72</v>
      </c>
      <c r="Y1540" s="4">
        <v>268</v>
      </c>
      <c r="Z1540" s="4">
        <v>17</v>
      </c>
      <c r="AA1540" s="4">
        <v>21</v>
      </c>
      <c r="AB1540" s="4">
        <v>1</v>
      </c>
      <c r="AC1540" s="4">
        <v>3</v>
      </c>
      <c r="AD1540" s="4">
        <v>90</v>
      </c>
      <c r="AE1540" s="4">
        <v>98</v>
      </c>
      <c r="AF1540" s="4">
        <v>0</v>
      </c>
      <c r="AG1540" s="4">
        <v>2</v>
      </c>
      <c r="AH1540" s="4">
        <v>84</v>
      </c>
      <c r="AI1540" s="4">
        <v>89</v>
      </c>
      <c r="AJ1540" s="4">
        <v>12</v>
      </c>
      <c r="AK1540" s="4">
        <v>15</v>
      </c>
      <c r="AL1540" s="4">
        <v>41</v>
      </c>
      <c r="AM1540" s="4">
        <v>44</v>
      </c>
      <c r="AN1540" s="4">
        <v>0</v>
      </c>
      <c r="AO1540" s="4">
        <v>0</v>
      </c>
      <c r="AP1540" s="4">
        <v>13</v>
      </c>
      <c r="AQ1540" s="4">
        <v>16</v>
      </c>
      <c r="AR1540" s="3" t="s">
        <v>64</v>
      </c>
      <c r="AS1540" s="3" t="s">
        <v>64</v>
      </c>
      <c r="AT1540" s="3" t="s">
        <v>64</v>
      </c>
      <c r="AV1540" s="6" t="str">
        <f>HYPERLINK("http://mcgill.on.worldcat.org/oclc/464663614","Catalog Record")</f>
        <v>Catalog Record</v>
      </c>
      <c r="AW1540" s="6" t="str">
        <f>HYPERLINK("http://www.worldcat.org/oclc/464663614","WorldCat Record")</f>
        <v>WorldCat Record</v>
      </c>
      <c r="AX1540" s="3" t="s">
        <v>15545</v>
      </c>
      <c r="AY1540" s="3" t="s">
        <v>15546</v>
      </c>
      <c r="AZ1540" s="3" t="s">
        <v>15547</v>
      </c>
      <c r="BA1540" s="3" t="s">
        <v>15547</v>
      </c>
      <c r="BB1540" s="3" t="s">
        <v>15548</v>
      </c>
      <c r="BC1540" s="3" t="s">
        <v>77</v>
      </c>
      <c r="BD1540" s="3" t="s">
        <v>78</v>
      </c>
      <c r="BE1540" s="3" t="s">
        <v>15549</v>
      </c>
      <c r="BF1540" s="3" t="s">
        <v>15548</v>
      </c>
      <c r="BG1540" s="3" t="s">
        <v>15550</v>
      </c>
      <c r="BH1540">
        <f t="shared" si="44"/>
        <v>0</v>
      </c>
    </row>
    <row r="1541" spans="1:60" ht="58" x14ac:dyDescent="0.35">
      <c r="A1541" s="2" t="s">
        <v>59</v>
      </c>
      <c r="B1541" s="2" t="s">
        <v>60</v>
      </c>
      <c r="C1541" s="2" t="s">
        <v>15551</v>
      </c>
      <c r="D1541" s="2" t="s">
        <v>15552</v>
      </c>
      <c r="E1541" s="2" t="s">
        <v>15553</v>
      </c>
      <c r="G1541" s="3" t="s">
        <v>64</v>
      </c>
      <c r="I1541" s="3" t="s">
        <v>64</v>
      </c>
      <c r="J1541" s="3" t="s">
        <v>64</v>
      </c>
      <c r="K1541" s="3" t="s">
        <v>65</v>
      </c>
      <c r="L1541" s="2" t="s">
        <v>15554</v>
      </c>
      <c r="M1541" s="2" t="s">
        <v>15555</v>
      </c>
      <c r="N1541" s="3" t="s">
        <v>1075</v>
      </c>
      <c r="P1541" s="3" t="s">
        <v>102</v>
      </c>
      <c r="Q1541" s="2" t="s">
        <v>15556</v>
      </c>
      <c r="R1541" s="3" t="s">
        <v>70</v>
      </c>
      <c r="S1541" s="4">
        <v>0</v>
      </c>
      <c r="T1541" s="4">
        <v>0</v>
      </c>
      <c r="W1541" s="5" t="s">
        <v>72</v>
      </c>
      <c r="X1541" s="5" t="s">
        <v>72</v>
      </c>
      <c r="Y1541" s="4">
        <v>172</v>
      </c>
      <c r="Z1541" s="4">
        <v>10</v>
      </c>
      <c r="AA1541" s="4">
        <v>10</v>
      </c>
      <c r="AB1541" s="4">
        <v>1</v>
      </c>
      <c r="AC1541" s="4">
        <v>1</v>
      </c>
      <c r="AD1541" s="4">
        <v>50</v>
      </c>
      <c r="AE1541" s="4">
        <v>50</v>
      </c>
      <c r="AF1541" s="4">
        <v>0</v>
      </c>
      <c r="AG1541" s="4">
        <v>0</v>
      </c>
      <c r="AH1541" s="4">
        <v>48</v>
      </c>
      <c r="AI1541" s="4">
        <v>48</v>
      </c>
      <c r="AJ1541" s="4">
        <v>7</v>
      </c>
      <c r="AK1541" s="4">
        <v>7</v>
      </c>
      <c r="AL1541" s="4">
        <v>21</v>
      </c>
      <c r="AM1541" s="4">
        <v>21</v>
      </c>
      <c r="AN1541" s="4">
        <v>0</v>
      </c>
      <c r="AO1541" s="4">
        <v>0</v>
      </c>
      <c r="AP1541" s="4">
        <v>7</v>
      </c>
      <c r="AQ1541" s="4">
        <v>7</v>
      </c>
      <c r="AR1541" s="3" t="s">
        <v>64</v>
      </c>
      <c r="AS1541" s="3" t="s">
        <v>64</v>
      </c>
      <c r="AT1541" s="3" t="s">
        <v>64</v>
      </c>
      <c r="AV1541" s="6" t="str">
        <f>HYPERLINK("http://mcgill.on.worldcat.org/oclc/856518368","Catalog Record")</f>
        <v>Catalog Record</v>
      </c>
      <c r="AW1541" s="6" t="str">
        <f>HYPERLINK("http://www.worldcat.org/oclc/856518368","WorldCat Record")</f>
        <v>WorldCat Record</v>
      </c>
      <c r="AX1541" s="3" t="s">
        <v>15557</v>
      </c>
      <c r="AY1541" s="3" t="s">
        <v>15558</v>
      </c>
      <c r="AZ1541" s="3" t="s">
        <v>15559</v>
      </c>
      <c r="BA1541" s="3" t="s">
        <v>15559</v>
      </c>
      <c r="BB1541" s="3" t="s">
        <v>15560</v>
      </c>
      <c r="BC1541" s="3" t="s">
        <v>77</v>
      </c>
      <c r="BD1541" s="3" t="s">
        <v>78</v>
      </c>
      <c r="BE1541" s="3" t="s">
        <v>15561</v>
      </c>
      <c r="BF1541" s="3" t="s">
        <v>15560</v>
      </c>
      <c r="BG1541" s="3" t="s">
        <v>15562</v>
      </c>
      <c r="BH1541">
        <f t="shared" si="44"/>
        <v>0</v>
      </c>
    </row>
    <row r="1542" spans="1:60" ht="58" x14ac:dyDescent="0.35">
      <c r="A1542" s="2" t="s">
        <v>59</v>
      </c>
      <c r="B1542" s="2" t="s">
        <v>60</v>
      </c>
      <c r="C1542" s="2" t="s">
        <v>15563</v>
      </c>
      <c r="D1542" s="2" t="s">
        <v>15564</v>
      </c>
      <c r="E1542" s="2" t="s">
        <v>15565</v>
      </c>
      <c r="G1542" s="3" t="s">
        <v>64</v>
      </c>
      <c r="I1542" s="3" t="s">
        <v>64</v>
      </c>
      <c r="J1542" s="3" t="s">
        <v>64</v>
      </c>
      <c r="K1542" s="3" t="s">
        <v>65</v>
      </c>
      <c r="L1542" s="2" t="s">
        <v>15566</v>
      </c>
      <c r="M1542" s="2" t="s">
        <v>8955</v>
      </c>
      <c r="N1542" s="3" t="s">
        <v>326</v>
      </c>
      <c r="P1542" s="3" t="s">
        <v>102</v>
      </c>
      <c r="Q1542" s="2" t="s">
        <v>14045</v>
      </c>
      <c r="R1542" s="3" t="s">
        <v>70</v>
      </c>
      <c r="S1542" s="4">
        <v>5</v>
      </c>
      <c r="T1542" s="4">
        <v>5</v>
      </c>
      <c r="U1542" s="5" t="s">
        <v>1386</v>
      </c>
      <c r="V1542" s="5" t="s">
        <v>1386</v>
      </c>
      <c r="W1542" s="5" t="s">
        <v>72</v>
      </c>
      <c r="X1542" s="5" t="s">
        <v>72</v>
      </c>
      <c r="Y1542" s="4">
        <v>410</v>
      </c>
      <c r="Z1542" s="4">
        <v>24</v>
      </c>
      <c r="AA1542" s="4">
        <v>102</v>
      </c>
      <c r="AB1542" s="4">
        <v>2</v>
      </c>
      <c r="AC1542" s="4">
        <v>18</v>
      </c>
      <c r="AD1542" s="4">
        <v>78</v>
      </c>
      <c r="AE1542" s="4">
        <v>130</v>
      </c>
      <c r="AF1542" s="4">
        <v>1</v>
      </c>
      <c r="AG1542" s="4">
        <v>8</v>
      </c>
      <c r="AH1542" s="4">
        <v>71</v>
      </c>
      <c r="AI1542" s="4">
        <v>93</v>
      </c>
      <c r="AJ1542" s="4">
        <v>10</v>
      </c>
      <c r="AK1542" s="4">
        <v>20</v>
      </c>
      <c r="AL1542" s="4">
        <v>35</v>
      </c>
      <c r="AM1542" s="4">
        <v>46</v>
      </c>
      <c r="AN1542" s="4">
        <v>0</v>
      </c>
      <c r="AO1542" s="4">
        <v>0</v>
      </c>
      <c r="AP1542" s="4">
        <v>12</v>
      </c>
      <c r="AQ1542" s="4">
        <v>43</v>
      </c>
      <c r="AR1542" s="3" t="s">
        <v>64</v>
      </c>
      <c r="AS1542" s="3" t="s">
        <v>64</v>
      </c>
      <c r="AT1542" s="3" t="s">
        <v>64</v>
      </c>
      <c r="AV1542" s="6" t="str">
        <f>HYPERLINK("http://mcgill.on.worldcat.org/oclc/529957969","Catalog Record")</f>
        <v>Catalog Record</v>
      </c>
      <c r="AW1542" s="6" t="str">
        <f>HYPERLINK("http://www.worldcat.org/oclc/529957969","WorldCat Record")</f>
        <v>WorldCat Record</v>
      </c>
      <c r="AX1542" s="3" t="s">
        <v>15567</v>
      </c>
      <c r="AY1542" s="3" t="s">
        <v>15568</v>
      </c>
      <c r="AZ1542" s="3" t="s">
        <v>15569</v>
      </c>
      <c r="BA1542" s="3" t="s">
        <v>15569</v>
      </c>
      <c r="BB1542" s="3" t="s">
        <v>15570</v>
      </c>
      <c r="BC1542" s="3" t="s">
        <v>77</v>
      </c>
      <c r="BD1542" s="3" t="s">
        <v>78</v>
      </c>
      <c r="BE1542" s="3" t="s">
        <v>15571</v>
      </c>
      <c r="BF1542" s="3" t="s">
        <v>15570</v>
      </c>
      <c r="BG1542" s="3" t="s">
        <v>15572</v>
      </c>
      <c r="BH1542">
        <f t="shared" si="44"/>
        <v>0</v>
      </c>
    </row>
    <row r="1543" spans="1:60" ht="58" x14ac:dyDescent="0.35">
      <c r="A1543" s="2" t="s">
        <v>59</v>
      </c>
      <c r="B1543" s="2" t="s">
        <v>60</v>
      </c>
      <c r="C1543" s="2" t="s">
        <v>15573</v>
      </c>
      <c r="D1543" s="2" t="s">
        <v>15574</v>
      </c>
      <c r="E1543" s="2" t="s">
        <v>15575</v>
      </c>
      <c r="G1543" s="3" t="s">
        <v>64</v>
      </c>
      <c r="I1543" s="3" t="s">
        <v>64</v>
      </c>
      <c r="J1543" s="3" t="s">
        <v>64</v>
      </c>
      <c r="K1543" s="3" t="s">
        <v>65</v>
      </c>
      <c r="M1543" s="2" t="s">
        <v>15576</v>
      </c>
      <c r="N1543" s="3" t="s">
        <v>578</v>
      </c>
      <c r="O1543" s="2" t="s">
        <v>117</v>
      </c>
      <c r="P1543" s="3" t="s">
        <v>102</v>
      </c>
      <c r="Q1543" s="2" t="s">
        <v>9119</v>
      </c>
      <c r="R1543" s="3" t="s">
        <v>70</v>
      </c>
      <c r="S1543" s="4">
        <v>2</v>
      </c>
      <c r="T1543" s="4">
        <v>2</v>
      </c>
      <c r="U1543" s="5" t="s">
        <v>9939</v>
      </c>
      <c r="V1543" s="5" t="s">
        <v>9939</v>
      </c>
      <c r="W1543" s="5" t="s">
        <v>72</v>
      </c>
      <c r="X1543" s="5" t="s">
        <v>72</v>
      </c>
      <c r="Y1543" s="4">
        <v>100</v>
      </c>
      <c r="Z1543" s="4">
        <v>4</v>
      </c>
      <c r="AA1543" s="4">
        <v>4</v>
      </c>
      <c r="AB1543" s="4">
        <v>1</v>
      </c>
      <c r="AC1543" s="4">
        <v>1</v>
      </c>
      <c r="AD1543" s="4">
        <v>26</v>
      </c>
      <c r="AE1543" s="4">
        <v>26</v>
      </c>
      <c r="AF1543" s="4">
        <v>0</v>
      </c>
      <c r="AG1543" s="4">
        <v>0</v>
      </c>
      <c r="AH1543" s="4">
        <v>26</v>
      </c>
      <c r="AI1543" s="4">
        <v>26</v>
      </c>
      <c r="AJ1543" s="4">
        <v>3</v>
      </c>
      <c r="AK1543" s="4">
        <v>3</v>
      </c>
      <c r="AL1543" s="4">
        <v>17</v>
      </c>
      <c r="AM1543" s="4">
        <v>17</v>
      </c>
      <c r="AN1543" s="4">
        <v>0</v>
      </c>
      <c r="AO1543" s="4">
        <v>0</v>
      </c>
      <c r="AP1543" s="4">
        <v>3</v>
      </c>
      <c r="AQ1543" s="4">
        <v>3</v>
      </c>
      <c r="AR1543" s="3" t="s">
        <v>64</v>
      </c>
      <c r="AS1543" s="3" t="s">
        <v>64</v>
      </c>
      <c r="AT1543" s="3" t="s">
        <v>64</v>
      </c>
      <c r="AV1543" s="6" t="str">
        <f>HYPERLINK("http://mcgill.on.worldcat.org/oclc/985289547","Catalog Record")</f>
        <v>Catalog Record</v>
      </c>
      <c r="AW1543" s="6" t="str">
        <f>HYPERLINK("http://www.worldcat.org/oclc/985289547","WorldCat Record")</f>
        <v>WorldCat Record</v>
      </c>
      <c r="AX1543" s="3" t="s">
        <v>15577</v>
      </c>
      <c r="AY1543" s="3" t="s">
        <v>15578</v>
      </c>
      <c r="AZ1543" s="3" t="s">
        <v>15579</v>
      </c>
      <c r="BA1543" s="3" t="s">
        <v>15579</v>
      </c>
      <c r="BB1543" s="3" t="s">
        <v>15580</v>
      </c>
      <c r="BC1543" s="3" t="s">
        <v>77</v>
      </c>
      <c r="BD1543" s="3" t="s">
        <v>165</v>
      </c>
      <c r="BE1543" s="3" t="s">
        <v>15581</v>
      </c>
      <c r="BF1543" s="3" t="s">
        <v>15580</v>
      </c>
      <c r="BG1543" s="3" t="s">
        <v>15582</v>
      </c>
      <c r="BH1543">
        <f t="shared" si="44"/>
        <v>0</v>
      </c>
    </row>
    <row r="1544" spans="1:60" ht="58" x14ac:dyDescent="0.35">
      <c r="A1544" s="2" t="s">
        <v>59</v>
      </c>
      <c r="B1544" s="2" t="s">
        <v>60</v>
      </c>
      <c r="C1544" s="2" t="s">
        <v>15583</v>
      </c>
      <c r="D1544" s="2" t="s">
        <v>15584</v>
      </c>
      <c r="E1544" s="2" t="s">
        <v>15585</v>
      </c>
      <c r="G1544" s="3" t="s">
        <v>64</v>
      </c>
      <c r="I1544" s="3" t="s">
        <v>64</v>
      </c>
      <c r="J1544" s="3" t="s">
        <v>64</v>
      </c>
      <c r="K1544" s="3" t="s">
        <v>65</v>
      </c>
      <c r="L1544" s="2" t="s">
        <v>15586</v>
      </c>
      <c r="M1544" s="2" t="s">
        <v>15587</v>
      </c>
      <c r="N1544" s="3" t="s">
        <v>86</v>
      </c>
      <c r="P1544" s="3" t="s">
        <v>102</v>
      </c>
      <c r="Q1544" s="2" t="s">
        <v>15588</v>
      </c>
      <c r="R1544" s="3" t="s">
        <v>70</v>
      </c>
      <c r="S1544" s="4">
        <v>2</v>
      </c>
      <c r="T1544" s="4">
        <v>2</v>
      </c>
      <c r="U1544" s="5" t="s">
        <v>1386</v>
      </c>
      <c r="V1544" s="5" t="s">
        <v>1386</v>
      </c>
      <c r="W1544" s="5" t="s">
        <v>72</v>
      </c>
      <c r="X1544" s="5" t="s">
        <v>72</v>
      </c>
      <c r="Y1544" s="4">
        <v>179</v>
      </c>
      <c r="Z1544" s="4">
        <v>12</v>
      </c>
      <c r="AA1544" s="4">
        <v>14</v>
      </c>
      <c r="AB1544" s="4">
        <v>1</v>
      </c>
      <c r="AC1544" s="4">
        <v>3</v>
      </c>
      <c r="AD1544" s="4">
        <v>59</v>
      </c>
      <c r="AE1544" s="4">
        <v>60</v>
      </c>
      <c r="AF1544" s="4">
        <v>0</v>
      </c>
      <c r="AG1544" s="4">
        <v>1</v>
      </c>
      <c r="AH1544" s="4">
        <v>54</v>
      </c>
      <c r="AI1544" s="4">
        <v>54</v>
      </c>
      <c r="AJ1544" s="4">
        <v>9</v>
      </c>
      <c r="AK1544" s="4">
        <v>10</v>
      </c>
      <c r="AL1544" s="4">
        <v>30</v>
      </c>
      <c r="AM1544" s="4">
        <v>30</v>
      </c>
      <c r="AN1544" s="4">
        <v>0</v>
      </c>
      <c r="AO1544" s="4">
        <v>0</v>
      </c>
      <c r="AP1544" s="4">
        <v>9</v>
      </c>
      <c r="AQ1544" s="4">
        <v>9</v>
      </c>
      <c r="AR1544" s="3" t="s">
        <v>64</v>
      </c>
      <c r="AS1544" s="3" t="s">
        <v>64</v>
      </c>
      <c r="AT1544" s="3" t="s">
        <v>64</v>
      </c>
      <c r="AV1544" s="6" t="str">
        <f>HYPERLINK("http://mcgill.on.worldcat.org/oclc/821560576","Catalog Record")</f>
        <v>Catalog Record</v>
      </c>
      <c r="AW1544" s="6" t="str">
        <f>HYPERLINK("http://www.worldcat.org/oclc/821560576","WorldCat Record")</f>
        <v>WorldCat Record</v>
      </c>
      <c r="AX1544" s="3" t="s">
        <v>15589</v>
      </c>
      <c r="AY1544" s="3" t="s">
        <v>15590</v>
      </c>
      <c r="AZ1544" s="3" t="s">
        <v>15591</v>
      </c>
      <c r="BA1544" s="3" t="s">
        <v>15591</v>
      </c>
      <c r="BB1544" s="3" t="s">
        <v>15592</v>
      </c>
      <c r="BC1544" s="3" t="s">
        <v>77</v>
      </c>
      <c r="BD1544" s="3" t="s">
        <v>78</v>
      </c>
      <c r="BE1544" s="3" t="s">
        <v>15593</v>
      </c>
      <c r="BF1544" s="3" t="s">
        <v>15592</v>
      </c>
      <c r="BG1544" s="3" t="s">
        <v>15594</v>
      </c>
      <c r="BH1544">
        <f t="shared" si="44"/>
        <v>0</v>
      </c>
    </row>
    <row r="1545" spans="1:60" ht="58" x14ac:dyDescent="0.35">
      <c r="A1545" s="2" t="s">
        <v>59</v>
      </c>
      <c r="B1545" s="2" t="s">
        <v>60</v>
      </c>
      <c r="C1545" s="2" t="s">
        <v>15595</v>
      </c>
      <c r="D1545" s="2" t="s">
        <v>15596</v>
      </c>
      <c r="E1545" s="2" t="s">
        <v>15597</v>
      </c>
      <c r="G1545" s="3" t="s">
        <v>64</v>
      </c>
      <c r="I1545" s="3" t="s">
        <v>64</v>
      </c>
      <c r="J1545" s="3" t="s">
        <v>64</v>
      </c>
      <c r="K1545" s="3" t="s">
        <v>65</v>
      </c>
      <c r="M1545" s="2" t="s">
        <v>15598</v>
      </c>
      <c r="N1545" s="3" t="s">
        <v>86</v>
      </c>
      <c r="P1545" s="3" t="s">
        <v>102</v>
      </c>
      <c r="R1545" s="3" t="s">
        <v>70</v>
      </c>
      <c r="S1545" s="4">
        <v>5</v>
      </c>
      <c r="T1545" s="4">
        <v>5</v>
      </c>
      <c r="U1545" s="5" t="s">
        <v>1386</v>
      </c>
      <c r="V1545" s="5" t="s">
        <v>1386</v>
      </c>
      <c r="W1545" s="5" t="s">
        <v>72</v>
      </c>
      <c r="X1545" s="5" t="s">
        <v>72</v>
      </c>
      <c r="Y1545" s="4">
        <v>88</v>
      </c>
      <c r="Z1545" s="4">
        <v>13</v>
      </c>
      <c r="AA1545" s="4">
        <v>22</v>
      </c>
      <c r="AB1545" s="4">
        <v>1</v>
      </c>
      <c r="AC1545" s="4">
        <v>6</v>
      </c>
      <c r="AD1545" s="4">
        <v>30</v>
      </c>
      <c r="AE1545" s="4">
        <v>40</v>
      </c>
      <c r="AF1545" s="4">
        <v>0</v>
      </c>
      <c r="AG1545" s="4">
        <v>2</v>
      </c>
      <c r="AH1545" s="4">
        <v>25</v>
      </c>
      <c r="AI1545" s="4">
        <v>32</v>
      </c>
      <c r="AJ1545" s="4">
        <v>6</v>
      </c>
      <c r="AK1545" s="4">
        <v>8</v>
      </c>
      <c r="AL1545" s="4">
        <v>16</v>
      </c>
      <c r="AM1545" s="4">
        <v>19</v>
      </c>
      <c r="AN1545" s="4">
        <v>0</v>
      </c>
      <c r="AO1545" s="4">
        <v>0</v>
      </c>
      <c r="AP1545" s="4">
        <v>8</v>
      </c>
      <c r="AQ1545" s="4">
        <v>11</v>
      </c>
      <c r="AR1545" s="3" t="s">
        <v>64</v>
      </c>
      <c r="AS1545" s="3" t="s">
        <v>64</v>
      </c>
      <c r="AT1545" s="3" t="s">
        <v>64</v>
      </c>
      <c r="AV1545" s="6" t="str">
        <f>HYPERLINK("http://mcgill.on.worldcat.org/oclc/733232490","Catalog Record")</f>
        <v>Catalog Record</v>
      </c>
      <c r="AW1545" s="6" t="str">
        <f>HYPERLINK("http://www.worldcat.org/oclc/733232490","WorldCat Record")</f>
        <v>WorldCat Record</v>
      </c>
      <c r="AX1545" s="3" t="s">
        <v>15599</v>
      </c>
      <c r="AY1545" s="3" t="s">
        <v>15600</v>
      </c>
      <c r="AZ1545" s="3" t="s">
        <v>15601</v>
      </c>
      <c r="BA1545" s="3" t="s">
        <v>15601</v>
      </c>
      <c r="BB1545" s="3" t="s">
        <v>15602</v>
      </c>
      <c r="BC1545" s="3" t="s">
        <v>77</v>
      </c>
      <c r="BD1545" s="3" t="s">
        <v>78</v>
      </c>
      <c r="BE1545" s="3" t="s">
        <v>15603</v>
      </c>
      <c r="BF1545" s="3" t="s">
        <v>15602</v>
      </c>
      <c r="BG1545" s="3" t="s">
        <v>15604</v>
      </c>
      <c r="BH1545">
        <f t="shared" si="44"/>
        <v>0</v>
      </c>
    </row>
    <row r="1546" spans="1:60" ht="58" x14ac:dyDescent="0.35">
      <c r="A1546" s="2" t="s">
        <v>59</v>
      </c>
      <c r="B1546" s="2" t="s">
        <v>60</v>
      </c>
      <c r="C1546" s="2" t="s">
        <v>15605</v>
      </c>
      <c r="D1546" s="2" t="s">
        <v>15606</v>
      </c>
      <c r="E1546" s="2" t="s">
        <v>15607</v>
      </c>
      <c r="G1546" s="3" t="s">
        <v>64</v>
      </c>
      <c r="I1546" s="3" t="s">
        <v>64</v>
      </c>
      <c r="J1546" s="3" t="s">
        <v>64</v>
      </c>
      <c r="K1546" s="3" t="s">
        <v>65</v>
      </c>
      <c r="L1546" s="2" t="s">
        <v>15608</v>
      </c>
      <c r="M1546" s="2" t="s">
        <v>14044</v>
      </c>
      <c r="N1546" s="3" t="s">
        <v>326</v>
      </c>
      <c r="P1546" s="3" t="s">
        <v>102</v>
      </c>
      <c r="R1546" s="3" t="s">
        <v>70</v>
      </c>
      <c r="S1546" s="4">
        <v>0</v>
      </c>
      <c r="T1546" s="4">
        <v>0</v>
      </c>
      <c r="W1546" s="5" t="s">
        <v>72</v>
      </c>
      <c r="X1546" s="5" t="s">
        <v>72</v>
      </c>
      <c r="Y1546" s="4">
        <v>355</v>
      </c>
      <c r="Z1546" s="4">
        <v>20</v>
      </c>
      <c r="AA1546" s="4">
        <v>103</v>
      </c>
      <c r="AB1546" s="4">
        <v>2</v>
      </c>
      <c r="AC1546" s="4">
        <v>18</v>
      </c>
      <c r="AD1546" s="4">
        <v>68</v>
      </c>
      <c r="AE1546" s="4">
        <v>130</v>
      </c>
      <c r="AF1546" s="4">
        <v>1</v>
      </c>
      <c r="AG1546" s="4">
        <v>8</v>
      </c>
      <c r="AH1546" s="4">
        <v>62</v>
      </c>
      <c r="AI1546" s="4">
        <v>93</v>
      </c>
      <c r="AJ1546" s="4">
        <v>11</v>
      </c>
      <c r="AK1546" s="4">
        <v>24</v>
      </c>
      <c r="AL1546" s="4">
        <v>27</v>
      </c>
      <c r="AM1546" s="4">
        <v>45</v>
      </c>
      <c r="AN1546" s="4">
        <v>0</v>
      </c>
      <c r="AO1546" s="4">
        <v>0</v>
      </c>
      <c r="AP1546" s="4">
        <v>13</v>
      </c>
      <c r="AQ1546" s="4">
        <v>45</v>
      </c>
      <c r="AR1546" s="3" t="s">
        <v>64</v>
      </c>
      <c r="AS1546" s="3" t="s">
        <v>64</v>
      </c>
      <c r="AT1546" s="3" t="s">
        <v>64</v>
      </c>
      <c r="AV1546" s="6" t="str">
        <f>HYPERLINK("http://mcgill.on.worldcat.org/oclc/666224104","Catalog Record")</f>
        <v>Catalog Record</v>
      </c>
      <c r="AW1546" s="6" t="str">
        <f>HYPERLINK("http://www.worldcat.org/oclc/666224104","WorldCat Record")</f>
        <v>WorldCat Record</v>
      </c>
      <c r="AX1546" s="3" t="s">
        <v>15609</v>
      </c>
      <c r="AY1546" s="3" t="s">
        <v>15610</v>
      </c>
      <c r="AZ1546" s="3" t="s">
        <v>15611</v>
      </c>
      <c r="BA1546" s="3" t="s">
        <v>15611</v>
      </c>
      <c r="BB1546" s="3" t="s">
        <v>15612</v>
      </c>
      <c r="BC1546" s="3" t="s">
        <v>77</v>
      </c>
      <c r="BD1546" s="3" t="s">
        <v>78</v>
      </c>
      <c r="BE1546" s="3" t="s">
        <v>15613</v>
      </c>
      <c r="BF1546" s="3" t="s">
        <v>15612</v>
      </c>
      <c r="BG1546" s="3" t="s">
        <v>15614</v>
      </c>
      <c r="BH1546">
        <f t="shared" si="44"/>
        <v>0</v>
      </c>
    </row>
    <row r="1547" spans="1:60" ht="58" x14ac:dyDescent="0.35">
      <c r="A1547" s="2" t="s">
        <v>59</v>
      </c>
      <c r="B1547" s="2" t="s">
        <v>60</v>
      </c>
      <c r="C1547" s="2" t="s">
        <v>15615</v>
      </c>
      <c r="D1547" s="2" t="s">
        <v>15616</v>
      </c>
      <c r="E1547" s="2" t="s">
        <v>15617</v>
      </c>
      <c r="G1547" s="3" t="s">
        <v>64</v>
      </c>
      <c r="I1547" s="3" t="s">
        <v>64</v>
      </c>
      <c r="J1547" s="3" t="s">
        <v>128</v>
      </c>
      <c r="K1547" s="3" t="s">
        <v>65</v>
      </c>
      <c r="M1547" s="2" t="s">
        <v>15618</v>
      </c>
      <c r="N1547" s="3" t="s">
        <v>1075</v>
      </c>
      <c r="O1547" s="2" t="s">
        <v>14853</v>
      </c>
      <c r="P1547" s="3" t="s">
        <v>102</v>
      </c>
      <c r="R1547" s="3" t="s">
        <v>70</v>
      </c>
      <c r="S1547" s="4">
        <v>1</v>
      </c>
      <c r="T1547" s="4">
        <v>1</v>
      </c>
      <c r="U1547" s="5" t="s">
        <v>15619</v>
      </c>
      <c r="V1547" s="5" t="s">
        <v>15619</v>
      </c>
      <c r="W1547" s="5" t="s">
        <v>72</v>
      </c>
      <c r="X1547" s="5" t="s">
        <v>72</v>
      </c>
      <c r="Y1547" s="4">
        <v>511</v>
      </c>
      <c r="Z1547" s="4">
        <v>30</v>
      </c>
      <c r="AA1547" s="4">
        <v>150</v>
      </c>
      <c r="AB1547" s="4">
        <v>1</v>
      </c>
      <c r="AC1547" s="4">
        <v>18</v>
      </c>
      <c r="AD1547" s="4">
        <v>72</v>
      </c>
      <c r="AE1547" s="4">
        <v>164</v>
      </c>
      <c r="AF1547" s="4">
        <v>0</v>
      </c>
      <c r="AG1547" s="4">
        <v>9</v>
      </c>
      <c r="AH1547" s="4">
        <v>65</v>
      </c>
      <c r="AI1547" s="4">
        <v>114</v>
      </c>
      <c r="AJ1547" s="4">
        <v>11</v>
      </c>
      <c r="AK1547" s="4">
        <v>26</v>
      </c>
      <c r="AL1547" s="4">
        <v>29</v>
      </c>
      <c r="AM1547" s="4">
        <v>60</v>
      </c>
      <c r="AN1547" s="4">
        <v>0</v>
      </c>
      <c r="AO1547" s="4">
        <v>0</v>
      </c>
      <c r="AP1547" s="4">
        <v>15</v>
      </c>
      <c r="AQ1547" s="4">
        <v>55</v>
      </c>
      <c r="AR1547" s="3" t="s">
        <v>64</v>
      </c>
      <c r="AS1547" s="3" t="s">
        <v>64</v>
      </c>
      <c r="AT1547" s="3" t="s">
        <v>64</v>
      </c>
      <c r="AV1547" s="6" t="str">
        <f>HYPERLINK("http://mcgill.on.worldcat.org/oclc/761396291","Catalog Record")</f>
        <v>Catalog Record</v>
      </c>
      <c r="AW1547" s="6" t="str">
        <f>HYPERLINK("http://www.worldcat.org/oclc/761396291","WorldCat Record")</f>
        <v>WorldCat Record</v>
      </c>
      <c r="AX1547" s="3" t="s">
        <v>15620</v>
      </c>
      <c r="AY1547" s="3" t="s">
        <v>15621</v>
      </c>
      <c r="AZ1547" s="3" t="s">
        <v>15622</v>
      </c>
      <c r="BA1547" s="3" t="s">
        <v>15622</v>
      </c>
      <c r="BB1547" s="3" t="s">
        <v>15623</v>
      </c>
      <c r="BC1547" s="3" t="s">
        <v>77</v>
      </c>
      <c r="BD1547" s="3" t="s">
        <v>78</v>
      </c>
      <c r="BE1547" s="3" t="s">
        <v>15624</v>
      </c>
      <c r="BF1547" s="3" t="s">
        <v>15623</v>
      </c>
      <c r="BG1547" s="3" t="s">
        <v>15625</v>
      </c>
      <c r="BH1547">
        <f t="shared" si="44"/>
        <v>0</v>
      </c>
    </row>
    <row r="1548" spans="1:60" ht="58" x14ac:dyDescent="0.35">
      <c r="A1548" s="2" t="s">
        <v>59</v>
      </c>
      <c r="B1548" s="2" t="s">
        <v>60</v>
      </c>
      <c r="C1548" s="2" t="s">
        <v>15626</v>
      </c>
      <c r="D1548" s="2" t="s">
        <v>15627</v>
      </c>
      <c r="E1548" s="2" t="s">
        <v>15628</v>
      </c>
      <c r="G1548" s="3" t="s">
        <v>64</v>
      </c>
      <c r="I1548" s="3" t="s">
        <v>64</v>
      </c>
      <c r="J1548" s="3" t="s">
        <v>64</v>
      </c>
      <c r="K1548" s="3" t="s">
        <v>65</v>
      </c>
      <c r="M1548" s="2" t="s">
        <v>15629</v>
      </c>
      <c r="N1548" s="3" t="s">
        <v>86</v>
      </c>
      <c r="P1548" s="3" t="s">
        <v>102</v>
      </c>
      <c r="R1548" s="3" t="s">
        <v>70</v>
      </c>
      <c r="S1548" s="4">
        <v>0</v>
      </c>
      <c r="T1548" s="4">
        <v>0</v>
      </c>
      <c r="W1548" s="5" t="s">
        <v>72</v>
      </c>
      <c r="X1548" s="5" t="s">
        <v>72</v>
      </c>
      <c r="Y1548" s="4">
        <v>40</v>
      </c>
      <c r="Z1548" s="4">
        <v>6</v>
      </c>
      <c r="AA1548" s="4">
        <v>7</v>
      </c>
      <c r="AB1548" s="4">
        <v>1</v>
      </c>
      <c r="AC1548" s="4">
        <v>2</v>
      </c>
      <c r="AD1548" s="4">
        <v>13</v>
      </c>
      <c r="AE1548" s="4">
        <v>13</v>
      </c>
      <c r="AF1548" s="4">
        <v>0</v>
      </c>
      <c r="AG1548" s="4">
        <v>0</v>
      </c>
      <c r="AH1548" s="4">
        <v>12</v>
      </c>
      <c r="AI1548" s="4">
        <v>12</v>
      </c>
      <c r="AJ1548" s="4">
        <v>3</v>
      </c>
      <c r="AK1548" s="4">
        <v>3</v>
      </c>
      <c r="AL1548" s="4">
        <v>7</v>
      </c>
      <c r="AM1548" s="4">
        <v>7</v>
      </c>
      <c r="AN1548" s="4">
        <v>0</v>
      </c>
      <c r="AO1548" s="4">
        <v>0</v>
      </c>
      <c r="AP1548" s="4">
        <v>3</v>
      </c>
      <c r="AQ1548" s="4">
        <v>3</v>
      </c>
      <c r="AR1548" s="3" t="s">
        <v>64</v>
      </c>
      <c r="AS1548" s="3" t="s">
        <v>64</v>
      </c>
      <c r="AT1548" s="3" t="s">
        <v>64</v>
      </c>
      <c r="AV1548" s="6" t="str">
        <f>HYPERLINK("http://mcgill.on.worldcat.org/oclc/793806613","Catalog Record")</f>
        <v>Catalog Record</v>
      </c>
      <c r="AW1548" s="6" t="str">
        <f>HYPERLINK("http://www.worldcat.org/oclc/793806613","WorldCat Record")</f>
        <v>WorldCat Record</v>
      </c>
      <c r="AX1548" s="3" t="s">
        <v>15630</v>
      </c>
      <c r="AY1548" s="3" t="s">
        <v>15631</v>
      </c>
      <c r="AZ1548" s="3" t="s">
        <v>15632</v>
      </c>
      <c r="BA1548" s="3" t="s">
        <v>15632</v>
      </c>
      <c r="BB1548" s="3" t="s">
        <v>15633</v>
      </c>
      <c r="BC1548" s="3" t="s">
        <v>77</v>
      </c>
      <c r="BD1548" s="3" t="s">
        <v>78</v>
      </c>
      <c r="BE1548" s="3" t="s">
        <v>15634</v>
      </c>
      <c r="BF1548" s="3" t="s">
        <v>15633</v>
      </c>
      <c r="BG1548" s="3" t="s">
        <v>15635</v>
      </c>
      <c r="BH1548">
        <f t="shared" si="44"/>
        <v>0</v>
      </c>
    </row>
    <row r="1549" spans="1:60" ht="58" x14ac:dyDescent="0.35">
      <c r="A1549" s="2" t="s">
        <v>59</v>
      </c>
      <c r="B1549" s="2" t="s">
        <v>60</v>
      </c>
      <c r="C1549" s="2" t="s">
        <v>15636</v>
      </c>
      <c r="D1549" s="2" t="s">
        <v>15637</v>
      </c>
      <c r="E1549" s="2" t="s">
        <v>15638</v>
      </c>
      <c r="G1549" s="3" t="s">
        <v>64</v>
      </c>
      <c r="I1549" s="3" t="s">
        <v>64</v>
      </c>
      <c r="J1549" s="3" t="s">
        <v>64</v>
      </c>
      <c r="K1549" s="3" t="s">
        <v>65</v>
      </c>
      <c r="L1549" s="2" t="s">
        <v>15639</v>
      </c>
      <c r="M1549" s="2" t="s">
        <v>15640</v>
      </c>
      <c r="N1549" s="3" t="s">
        <v>253</v>
      </c>
      <c r="P1549" s="3" t="s">
        <v>102</v>
      </c>
      <c r="R1549" s="3" t="s">
        <v>70</v>
      </c>
      <c r="S1549" s="4">
        <v>0</v>
      </c>
      <c r="T1549" s="4">
        <v>0</v>
      </c>
      <c r="W1549" s="5" t="s">
        <v>72</v>
      </c>
      <c r="X1549" s="5" t="s">
        <v>72</v>
      </c>
      <c r="Y1549" s="4">
        <v>289</v>
      </c>
      <c r="Z1549" s="4">
        <v>9</v>
      </c>
      <c r="AA1549" s="4">
        <v>12</v>
      </c>
      <c r="AB1549" s="4">
        <v>1</v>
      </c>
      <c r="AC1549" s="4">
        <v>4</v>
      </c>
      <c r="AD1549" s="4">
        <v>58</v>
      </c>
      <c r="AE1549" s="4">
        <v>59</v>
      </c>
      <c r="AF1549" s="4">
        <v>0</v>
      </c>
      <c r="AG1549" s="4">
        <v>1</v>
      </c>
      <c r="AH1549" s="4">
        <v>57</v>
      </c>
      <c r="AI1549" s="4">
        <v>57</v>
      </c>
      <c r="AJ1549" s="4">
        <v>4</v>
      </c>
      <c r="AK1549" s="4">
        <v>5</v>
      </c>
      <c r="AL1549" s="4">
        <v>30</v>
      </c>
      <c r="AM1549" s="4">
        <v>30</v>
      </c>
      <c r="AN1549" s="4">
        <v>0</v>
      </c>
      <c r="AO1549" s="4">
        <v>0</v>
      </c>
      <c r="AP1549" s="4">
        <v>4</v>
      </c>
      <c r="AQ1549" s="4">
        <v>4</v>
      </c>
      <c r="AR1549" s="3" t="s">
        <v>64</v>
      </c>
      <c r="AS1549" s="3" t="s">
        <v>64</v>
      </c>
      <c r="AT1549" s="3" t="s">
        <v>64</v>
      </c>
      <c r="AV1549" s="6" t="str">
        <f>HYPERLINK("http://mcgill.on.worldcat.org/oclc/903688799","Catalog Record")</f>
        <v>Catalog Record</v>
      </c>
      <c r="AW1549" s="6" t="str">
        <f>HYPERLINK("http://www.worldcat.org/oclc/903688799","WorldCat Record")</f>
        <v>WorldCat Record</v>
      </c>
      <c r="AX1549" s="3" t="s">
        <v>15641</v>
      </c>
      <c r="AY1549" s="3" t="s">
        <v>15642</v>
      </c>
      <c r="AZ1549" s="3" t="s">
        <v>15643</v>
      </c>
      <c r="BA1549" s="3" t="s">
        <v>15643</v>
      </c>
      <c r="BB1549" s="3" t="s">
        <v>15644</v>
      </c>
      <c r="BC1549" s="3" t="s">
        <v>77</v>
      </c>
      <c r="BD1549" s="3" t="s">
        <v>78</v>
      </c>
      <c r="BE1549" s="3" t="s">
        <v>15645</v>
      </c>
      <c r="BF1549" s="3" t="s">
        <v>15644</v>
      </c>
      <c r="BG1549" s="3" t="s">
        <v>15646</v>
      </c>
      <c r="BH1549">
        <f t="shared" si="44"/>
        <v>0</v>
      </c>
    </row>
    <row r="1550" spans="1:60" ht="58" x14ac:dyDescent="0.35">
      <c r="A1550" s="2" t="s">
        <v>59</v>
      </c>
      <c r="B1550" s="2" t="s">
        <v>60</v>
      </c>
      <c r="C1550" s="2" t="s">
        <v>15647</v>
      </c>
      <c r="D1550" s="2" t="s">
        <v>15648</v>
      </c>
      <c r="E1550" s="2" t="s">
        <v>15649</v>
      </c>
      <c r="G1550" s="3" t="s">
        <v>64</v>
      </c>
      <c r="I1550" s="3" t="s">
        <v>64</v>
      </c>
      <c r="J1550" s="3" t="s">
        <v>64</v>
      </c>
      <c r="K1550" s="3" t="s">
        <v>65</v>
      </c>
      <c r="L1550" s="2" t="s">
        <v>15650</v>
      </c>
      <c r="M1550" s="2" t="s">
        <v>15651</v>
      </c>
      <c r="N1550" s="3" t="s">
        <v>326</v>
      </c>
      <c r="P1550" s="3" t="s">
        <v>102</v>
      </c>
      <c r="Q1550" s="2" t="s">
        <v>15652</v>
      </c>
      <c r="R1550" s="3" t="s">
        <v>70</v>
      </c>
      <c r="S1550" s="4">
        <v>2</v>
      </c>
      <c r="T1550" s="4">
        <v>2</v>
      </c>
      <c r="U1550" s="5" t="s">
        <v>15653</v>
      </c>
      <c r="V1550" s="5" t="s">
        <v>15653</v>
      </c>
      <c r="W1550" s="5" t="s">
        <v>72</v>
      </c>
      <c r="X1550" s="5" t="s">
        <v>72</v>
      </c>
      <c r="Y1550" s="4">
        <v>217</v>
      </c>
      <c r="Z1550" s="4">
        <v>14</v>
      </c>
      <c r="AA1550" s="4">
        <v>15</v>
      </c>
      <c r="AB1550" s="4">
        <v>1</v>
      </c>
      <c r="AC1550" s="4">
        <v>2</v>
      </c>
      <c r="AD1550" s="4">
        <v>35</v>
      </c>
      <c r="AE1550" s="4">
        <v>36</v>
      </c>
      <c r="AF1550" s="4">
        <v>0</v>
      </c>
      <c r="AG1550" s="4">
        <v>1</v>
      </c>
      <c r="AH1550" s="4">
        <v>29</v>
      </c>
      <c r="AI1550" s="4">
        <v>29</v>
      </c>
      <c r="AJ1550" s="4">
        <v>7</v>
      </c>
      <c r="AK1550" s="4">
        <v>8</v>
      </c>
      <c r="AL1550" s="4">
        <v>17</v>
      </c>
      <c r="AM1550" s="4">
        <v>17</v>
      </c>
      <c r="AN1550" s="4">
        <v>0</v>
      </c>
      <c r="AO1550" s="4">
        <v>0</v>
      </c>
      <c r="AP1550" s="4">
        <v>9</v>
      </c>
      <c r="AQ1550" s="4">
        <v>9</v>
      </c>
      <c r="AR1550" s="3" t="s">
        <v>64</v>
      </c>
      <c r="AS1550" s="3" t="s">
        <v>64</v>
      </c>
      <c r="AT1550" s="3" t="s">
        <v>64</v>
      </c>
      <c r="AV1550" s="6" t="str">
        <f>HYPERLINK("http://mcgill.on.worldcat.org/oclc/692667026","Catalog Record")</f>
        <v>Catalog Record</v>
      </c>
      <c r="AW1550" s="6" t="str">
        <f>HYPERLINK("http://www.worldcat.org/oclc/692667026","WorldCat Record")</f>
        <v>WorldCat Record</v>
      </c>
      <c r="AX1550" s="3" t="s">
        <v>15654</v>
      </c>
      <c r="AY1550" s="3" t="s">
        <v>15655</v>
      </c>
      <c r="AZ1550" s="3" t="s">
        <v>15656</v>
      </c>
      <c r="BA1550" s="3" t="s">
        <v>15656</v>
      </c>
      <c r="BB1550" s="3" t="s">
        <v>15657</v>
      </c>
      <c r="BC1550" s="3" t="s">
        <v>77</v>
      </c>
      <c r="BD1550" s="3" t="s">
        <v>78</v>
      </c>
      <c r="BE1550" s="3" t="s">
        <v>15658</v>
      </c>
      <c r="BF1550" s="3" t="s">
        <v>15657</v>
      </c>
      <c r="BG1550" s="3" t="s">
        <v>15659</v>
      </c>
      <c r="BH1550">
        <f t="shared" si="44"/>
        <v>0</v>
      </c>
    </row>
    <row r="1551" spans="1:60" ht="58" x14ac:dyDescent="0.35">
      <c r="A1551" s="2" t="s">
        <v>59</v>
      </c>
      <c r="B1551" s="2" t="s">
        <v>60</v>
      </c>
      <c r="C1551" s="2" t="s">
        <v>15660</v>
      </c>
      <c r="D1551" s="2" t="s">
        <v>15661</v>
      </c>
      <c r="E1551" s="2" t="s">
        <v>15662</v>
      </c>
      <c r="G1551" s="3" t="s">
        <v>64</v>
      </c>
      <c r="I1551" s="3" t="s">
        <v>64</v>
      </c>
      <c r="J1551" s="3" t="s">
        <v>128</v>
      </c>
      <c r="K1551" s="3" t="s">
        <v>65</v>
      </c>
      <c r="L1551" s="2" t="s">
        <v>15663</v>
      </c>
      <c r="M1551" s="2" t="s">
        <v>13968</v>
      </c>
      <c r="N1551" s="3" t="s">
        <v>511</v>
      </c>
      <c r="O1551" s="2" t="s">
        <v>172</v>
      </c>
      <c r="P1551" s="3" t="s">
        <v>102</v>
      </c>
      <c r="R1551" s="3" t="s">
        <v>70</v>
      </c>
      <c r="S1551" s="4">
        <v>0</v>
      </c>
      <c r="T1551" s="4">
        <v>0</v>
      </c>
      <c r="W1551" s="5" t="s">
        <v>72</v>
      </c>
      <c r="X1551" s="5" t="s">
        <v>72</v>
      </c>
      <c r="Y1551" s="4">
        <v>73</v>
      </c>
      <c r="Z1551" s="4">
        <v>6</v>
      </c>
      <c r="AA1551" s="4">
        <v>73</v>
      </c>
      <c r="AB1551" s="4">
        <v>1</v>
      </c>
      <c r="AC1551" s="4">
        <v>14</v>
      </c>
      <c r="AD1551" s="4">
        <v>6</v>
      </c>
      <c r="AE1551" s="4">
        <v>83</v>
      </c>
      <c r="AF1551" s="4">
        <v>0</v>
      </c>
      <c r="AG1551" s="4">
        <v>8</v>
      </c>
      <c r="AH1551" s="4">
        <v>5</v>
      </c>
      <c r="AI1551" s="4">
        <v>55</v>
      </c>
      <c r="AJ1551" s="4">
        <v>4</v>
      </c>
      <c r="AK1551" s="4">
        <v>17</v>
      </c>
      <c r="AL1551" s="4">
        <v>3</v>
      </c>
      <c r="AM1551" s="4">
        <v>30</v>
      </c>
      <c r="AN1551" s="4">
        <v>0</v>
      </c>
      <c r="AO1551" s="4">
        <v>0</v>
      </c>
      <c r="AP1551" s="4">
        <v>4</v>
      </c>
      <c r="AQ1551" s="4">
        <v>34</v>
      </c>
      <c r="AR1551" s="3" t="s">
        <v>64</v>
      </c>
      <c r="AS1551" s="3" t="s">
        <v>64</v>
      </c>
      <c r="AT1551" s="3" t="s">
        <v>64</v>
      </c>
      <c r="AV1551" s="6" t="str">
        <f>HYPERLINK("http://mcgill.on.worldcat.org/oclc/648770461","Catalog Record")</f>
        <v>Catalog Record</v>
      </c>
      <c r="AW1551" s="6" t="str">
        <f>HYPERLINK("http://www.worldcat.org/oclc/648770461","WorldCat Record")</f>
        <v>WorldCat Record</v>
      </c>
      <c r="AX1551" s="3" t="s">
        <v>15664</v>
      </c>
      <c r="AY1551" s="3" t="s">
        <v>15665</v>
      </c>
      <c r="AZ1551" s="3" t="s">
        <v>15666</v>
      </c>
      <c r="BA1551" s="3" t="s">
        <v>15666</v>
      </c>
      <c r="BB1551" s="3" t="s">
        <v>15667</v>
      </c>
      <c r="BC1551" s="3" t="s">
        <v>77</v>
      </c>
      <c r="BD1551" s="3" t="s">
        <v>78</v>
      </c>
      <c r="BE1551" s="3" t="s">
        <v>15668</v>
      </c>
      <c r="BF1551" s="3" t="s">
        <v>15667</v>
      </c>
      <c r="BG1551" s="3" t="s">
        <v>15669</v>
      </c>
      <c r="BH1551">
        <f t="shared" si="44"/>
        <v>0</v>
      </c>
    </row>
    <row r="1552" spans="1:60" ht="58" x14ac:dyDescent="0.35">
      <c r="A1552" s="2" t="s">
        <v>59</v>
      </c>
      <c r="B1552" s="2" t="s">
        <v>60</v>
      </c>
      <c r="C1552" s="2" t="s">
        <v>15670</v>
      </c>
      <c r="D1552" s="2" t="s">
        <v>15671</v>
      </c>
      <c r="E1552" s="2" t="s">
        <v>15672</v>
      </c>
      <c r="G1552" s="3" t="s">
        <v>64</v>
      </c>
      <c r="I1552" s="3" t="s">
        <v>64</v>
      </c>
      <c r="J1552" s="3" t="s">
        <v>128</v>
      </c>
      <c r="K1552" s="3" t="s">
        <v>65</v>
      </c>
      <c r="L1552" s="2" t="s">
        <v>15673</v>
      </c>
      <c r="M1552" s="2" t="s">
        <v>15674</v>
      </c>
      <c r="N1552" s="3" t="s">
        <v>253</v>
      </c>
      <c r="O1552" s="2" t="s">
        <v>15120</v>
      </c>
      <c r="P1552" s="3" t="s">
        <v>102</v>
      </c>
      <c r="R1552" s="3" t="s">
        <v>70</v>
      </c>
      <c r="S1552" s="4">
        <v>2</v>
      </c>
      <c r="T1552" s="4">
        <v>2</v>
      </c>
      <c r="U1552" s="5" t="s">
        <v>15675</v>
      </c>
      <c r="V1552" s="5" t="s">
        <v>15675</v>
      </c>
      <c r="W1552" s="5" t="s">
        <v>72</v>
      </c>
      <c r="X1552" s="5" t="s">
        <v>72</v>
      </c>
      <c r="Y1552" s="4">
        <v>77</v>
      </c>
      <c r="Z1552" s="4">
        <v>6</v>
      </c>
      <c r="AA1552" s="4">
        <v>73</v>
      </c>
      <c r="AB1552" s="4">
        <v>1</v>
      </c>
      <c r="AC1552" s="4">
        <v>14</v>
      </c>
      <c r="AD1552" s="4">
        <v>4</v>
      </c>
      <c r="AE1552" s="4">
        <v>83</v>
      </c>
      <c r="AF1552" s="4">
        <v>0</v>
      </c>
      <c r="AG1552" s="4">
        <v>8</v>
      </c>
      <c r="AH1552" s="4">
        <v>4</v>
      </c>
      <c r="AI1552" s="4">
        <v>55</v>
      </c>
      <c r="AJ1552" s="4">
        <v>1</v>
      </c>
      <c r="AK1552" s="4">
        <v>17</v>
      </c>
      <c r="AL1552" s="4">
        <v>2</v>
      </c>
      <c r="AM1552" s="4">
        <v>30</v>
      </c>
      <c r="AN1552" s="4">
        <v>0</v>
      </c>
      <c r="AO1552" s="4">
        <v>0</v>
      </c>
      <c r="AP1552" s="4">
        <v>1</v>
      </c>
      <c r="AQ1552" s="4">
        <v>34</v>
      </c>
      <c r="AR1552" s="3" t="s">
        <v>64</v>
      </c>
      <c r="AS1552" s="3" t="s">
        <v>64</v>
      </c>
      <c r="AT1552" s="3" t="s">
        <v>64</v>
      </c>
      <c r="AV1552" s="6" t="str">
        <f>HYPERLINK("http://mcgill.on.worldcat.org/oclc/896907241","Catalog Record")</f>
        <v>Catalog Record</v>
      </c>
      <c r="AW1552" s="6" t="str">
        <f>HYPERLINK("http://www.worldcat.org/oclc/896907241","WorldCat Record")</f>
        <v>WorldCat Record</v>
      </c>
      <c r="AX1552" s="3" t="s">
        <v>15664</v>
      </c>
      <c r="AY1552" s="3" t="s">
        <v>15676</v>
      </c>
      <c r="AZ1552" s="3" t="s">
        <v>15677</v>
      </c>
      <c r="BA1552" s="3" t="s">
        <v>15677</v>
      </c>
      <c r="BB1552" s="3" t="s">
        <v>15678</v>
      </c>
      <c r="BC1552" s="3" t="s">
        <v>77</v>
      </c>
      <c r="BD1552" s="3" t="s">
        <v>78</v>
      </c>
      <c r="BE1552" s="3" t="s">
        <v>15679</v>
      </c>
      <c r="BF1552" s="3" t="s">
        <v>15678</v>
      </c>
      <c r="BG1552" s="3" t="s">
        <v>15680</v>
      </c>
      <c r="BH1552">
        <f t="shared" si="44"/>
        <v>0</v>
      </c>
    </row>
    <row r="1553" spans="1:60" ht="72.5" x14ac:dyDescent="0.35">
      <c r="A1553" s="2" t="s">
        <v>59</v>
      </c>
      <c r="B1553" s="2" t="s">
        <v>60</v>
      </c>
      <c r="C1553" s="2" t="s">
        <v>15681</v>
      </c>
      <c r="D1553" s="2" t="s">
        <v>15682</v>
      </c>
      <c r="E1553" s="2" t="s">
        <v>15683</v>
      </c>
      <c r="G1553" s="3" t="s">
        <v>64</v>
      </c>
      <c r="I1553" s="3" t="s">
        <v>64</v>
      </c>
      <c r="J1553" s="3" t="s">
        <v>128</v>
      </c>
      <c r="K1553" s="3" t="s">
        <v>65</v>
      </c>
      <c r="L1553" s="2" t="s">
        <v>15684</v>
      </c>
      <c r="M1553" s="2" t="s">
        <v>15685</v>
      </c>
      <c r="N1553" s="3" t="s">
        <v>101</v>
      </c>
      <c r="O1553" s="2" t="s">
        <v>15686</v>
      </c>
      <c r="P1553" s="3" t="s">
        <v>68</v>
      </c>
      <c r="R1553" s="3" t="s">
        <v>70</v>
      </c>
      <c r="S1553" s="4">
        <v>6</v>
      </c>
      <c r="T1553" s="4">
        <v>6</v>
      </c>
      <c r="U1553" s="5" t="s">
        <v>15687</v>
      </c>
      <c r="V1553" s="5" t="s">
        <v>15687</v>
      </c>
      <c r="W1553" s="5" t="s">
        <v>72</v>
      </c>
      <c r="X1553" s="5" t="s">
        <v>72</v>
      </c>
      <c r="Y1553" s="4">
        <v>145</v>
      </c>
      <c r="Z1553" s="4">
        <v>8</v>
      </c>
      <c r="AA1553" s="4">
        <v>20</v>
      </c>
      <c r="AB1553" s="4">
        <v>4</v>
      </c>
      <c r="AC1553" s="4">
        <v>11</v>
      </c>
      <c r="AD1553" s="4">
        <v>5</v>
      </c>
      <c r="AE1553" s="4">
        <v>14</v>
      </c>
      <c r="AF1553" s="4">
        <v>2</v>
      </c>
      <c r="AG1553" s="4">
        <v>4</v>
      </c>
      <c r="AH1553" s="4">
        <v>4</v>
      </c>
      <c r="AI1553" s="4">
        <v>10</v>
      </c>
      <c r="AJ1553" s="4">
        <v>4</v>
      </c>
      <c r="AK1553" s="4">
        <v>7</v>
      </c>
      <c r="AL1553" s="4">
        <v>2</v>
      </c>
      <c r="AM1553" s="4">
        <v>6</v>
      </c>
      <c r="AN1553" s="4">
        <v>0</v>
      </c>
      <c r="AO1553" s="4">
        <v>0</v>
      </c>
      <c r="AP1553" s="4">
        <v>3</v>
      </c>
      <c r="AQ1553" s="4">
        <v>7</v>
      </c>
      <c r="AR1553" s="3" t="s">
        <v>64</v>
      </c>
      <c r="AS1553" s="3" t="s">
        <v>64</v>
      </c>
      <c r="AT1553" s="3" t="s">
        <v>128</v>
      </c>
      <c r="AU1553" s="6" t="str">
        <f>HYPERLINK("http://catalog.hathitrust.org/Record/005212538","HathiTrust Record")</f>
        <v>HathiTrust Record</v>
      </c>
      <c r="AV1553" s="6" t="str">
        <f>HYPERLINK("http://mcgill.on.worldcat.org/oclc/54758291","Catalog Record")</f>
        <v>Catalog Record</v>
      </c>
      <c r="AW1553" s="6" t="str">
        <f>HYPERLINK("http://www.worldcat.org/oclc/54758291","WorldCat Record")</f>
        <v>WorldCat Record</v>
      </c>
      <c r="AX1553" s="3" t="s">
        <v>15688</v>
      </c>
      <c r="AY1553" s="3" t="s">
        <v>15689</v>
      </c>
      <c r="AZ1553" s="3" t="s">
        <v>15690</v>
      </c>
      <c r="BA1553" s="3" t="s">
        <v>15690</v>
      </c>
      <c r="BB1553" s="3" t="s">
        <v>15691</v>
      </c>
      <c r="BC1553" s="3" t="s">
        <v>77</v>
      </c>
      <c r="BD1553" s="3" t="s">
        <v>78</v>
      </c>
      <c r="BE1553" s="3" t="s">
        <v>15692</v>
      </c>
      <c r="BF1553" s="3" t="s">
        <v>15691</v>
      </c>
      <c r="BG1553" s="3" t="s">
        <v>15693</v>
      </c>
      <c r="BH1553">
        <f t="shared" si="44"/>
        <v>0</v>
      </c>
    </row>
    <row r="1554" spans="1:60" ht="58" x14ac:dyDescent="0.35">
      <c r="A1554" s="2" t="s">
        <v>59</v>
      </c>
      <c r="B1554" s="2" t="s">
        <v>60</v>
      </c>
      <c r="C1554" s="2" t="s">
        <v>15694</v>
      </c>
      <c r="D1554" s="2" t="s">
        <v>15695</v>
      </c>
      <c r="E1554" s="2" t="s">
        <v>15696</v>
      </c>
      <c r="G1554" s="3" t="s">
        <v>64</v>
      </c>
      <c r="I1554" s="3" t="s">
        <v>64</v>
      </c>
      <c r="J1554" s="3" t="s">
        <v>64</v>
      </c>
      <c r="K1554" s="3" t="s">
        <v>65</v>
      </c>
      <c r="L1554" s="2" t="s">
        <v>15697</v>
      </c>
      <c r="M1554" s="2" t="s">
        <v>15698</v>
      </c>
      <c r="N1554" s="3" t="s">
        <v>1075</v>
      </c>
      <c r="O1554" s="2" t="s">
        <v>15699</v>
      </c>
      <c r="P1554" s="3" t="s">
        <v>68</v>
      </c>
      <c r="Q1554" s="2" t="s">
        <v>15700</v>
      </c>
      <c r="R1554" s="3" t="s">
        <v>70</v>
      </c>
      <c r="S1554" s="4">
        <v>1</v>
      </c>
      <c r="T1554" s="4">
        <v>1</v>
      </c>
      <c r="U1554" s="5" t="s">
        <v>409</v>
      </c>
      <c r="V1554" s="5" t="s">
        <v>409</v>
      </c>
      <c r="W1554" s="5" t="s">
        <v>72</v>
      </c>
      <c r="X1554" s="5" t="s">
        <v>72</v>
      </c>
      <c r="Y1554" s="4">
        <v>1</v>
      </c>
      <c r="Z1554" s="4">
        <v>1</v>
      </c>
      <c r="AA1554" s="4">
        <v>7</v>
      </c>
      <c r="AB1554" s="4">
        <v>1</v>
      </c>
      <c r="AC1554" s="4">
        <v>4</v>
      </c>
      <c r="AD1554" s="4">
        <v>0</v>
      </c>
      <c r="AE1554" s="4">
        <v>4</v>
      </c>
      <c r="AF1554" s="4">
        <v>0</v>
      </c>
      <c r="AG1554" s="4">
        <v>1</v>
      </c>
      <c r="AH1554" s="4">
        <v>0</v>
      </c>
      <c r="AI1554" s="4">
        <v>3</v>
      </c>
      <c r="AJ1554" s="4">
        <v>0</v>
      </c>
      <c r="AK1554" s="4">
        <v>3</v>
      </c>
      <c r="AL1554" s="4">
        <v>0</v>
      </c>
      <c r="AM1554" s="4">
        <v>1</v>
      </c>
      <c r="AN1554" s="4">
        <v>0</v>
      </c>
      <c r="AO1554" s="4">
        <v>0</v>
      </c>
      <c r="AP1554" s="4">
        <v>0</v>
      </c>
      <c r="AQ1554" s="4">
        <v>2</v>
      </c>
      <c r="AR1554" s="3" t="s">
        <v>64</v>
      </c>
      <c r="AS1554" s="3" t="s">
        <v>64</v>
      </c>
      <c r="AT1554" s="3" t="s">
        <v>64</v>
      </c>
      <c r="AV1554" s="6" t="str">
        <f>HYPERLINK("http://mcgill.on.worldcat.org/oclc/995852651","Catalog Record")</f>
        <v>Catalog Record</v>
      </c>
      <c r="AW1554" s="6" t="str">
        <f>HYPERLINK("http://www.worldcat.org/oclc/995852651","WorldCat Record")</f>
        <v>WorldCat Record</v>
      </c>
      <c r="AX1554" s="3" t="s">
        <v>15701</v>
      </c>
      <c r="AY1554" s="3" t="s">
        <v>15702</v>
      </c>
      <c r="AZ1554" s="3" t="s">
        <v>15703</v>
      </c>
      <c r="BA1554" s="3" t="s">
        <v>15703</v>
      </c>
      <c r="BB1554" s="3" t="s">
        <v>15704</v>
      </c>
      <c r="BC1554" s="3" t="s">
        <v>77</v>
      </c>
      <c r="BD1554" s="3" t="s">
        <v>78</v>
      </c>
      <c r="BE1554" s="3" t="s">
        <v>15705</v>
      </c>
      <c r="BF1554" s="3" t="s">
        <v>15704</v>
      </c>
      <c r="BG1554" s="3" t="s">
        <v>15706</v>
      </c>
      <c r="BH1554">
        <f t="shared" si="44"/>
        <v>0</v>
      </c>
    </row>
    <row r="1555" spans="1:60" ht="58" x14ac:dyDescent="0.35">
      <c r="A1555" s="2" t="s">
        <v>59</v>
      </c>
      <c r="B1555" s="2" t="s">
        <v>60</v>
      </c>
      <c r="C1555" s="2" t="s">
        <v>15707</v>
      </c>
      <c r="D1555" s="2" t="s">
        <v>15708</v>
      </c>
      <c r="E1555" s="2" t="s">
        <v>15709</v>
      </c>
      <c r="G1555" s="3" t="s">
        <v>64</v>
      </c>
      <c r="I1555" s="3" t="s">
        <v>64</v>
      </c>
      <c r="J1555" s="3" t="s">
        <v>64</v>
      </c>
      <c r="K1555" s="3" t="s">
        <v>65</v>
      </c>
      <c r="L1555" s="2" t="s">
        <v>15710</v>
      </c>
      <c r="M1555" s="2" t="s">
        <v>15711</v>
      </c>
      <c r="N1555" s="3" t="s">
        <v>101</v>
      </c>
      <c r="P1555" s="3" t="s">
        <v>68</v>
      </c>
      <c r="Q1555" s="2" t="s">
        <v>15712</v>
      </c>
      <c r="R1555" s="3" t="s">
        <v>70</v>
      </c>
      <c r="S1555" s="4">
        <v>5</v>
      </c>
      <c r="T1555" s="4">
        <v>5</v>
      </c>
      <c r="U1555" s="5" t="s">
        <v>2534</v>
      </c>
      <c r="V1555" s="5" t="s">
        <v>2534</v>
      </c>
      <c r="W1555" s="5" t="s">
        <v>72</v>
      </c>
      <c r="X1555" s="5" t="s">
        <v>72</v>
      </c>
      <c r="Y1555" s="4">
        <v>299</v>
      </c>
      <c r="Z1555" s="4">
        <v>22</v>
      </c>
      <c r="AA1555" s="4">
        <v>22</v>
      </c>
      <c r="AB1555" s="4">
        <v>16</v>
      </c>
      <c r="AC1555" s="4">
        <v>16</v>
      </c>
      <c r="AD1555" s="4">
        <v>11</v>
      </c>
      <c r="AE1555" s="4">
        <v>11</v>
      </c>
      <c r="AF1555" s="4">
        <v>7</v>
      </c>
      <c r="AG1555" s="4">
        <v>7</v>
      </c>
      <c r="AH1555" s="4">
        <v>3</v>
      </c>
      <c r="AI1555" s="4">
        <v>3</v>
      </c>
      <c r="AJ1555" s="4">
        <v>6</v>
      </c>
      <c r="AK1555" s="4">
        <v>6</v>
      </c>
      <c r="AL1555" s="4">
        <v>0</v>
      </c>
      <c r="AM1555" s="4">
        <v>0</v>
      </c>
      <c r="AN1555" s="4">
        <v>0</v>
      </c>
      <c r="AO1555" s="4">
        <v>0</v>
      </c>
      <c r="AP1555" s="4">
        <v>10</v>
      </c>
      <c r="AQ1555" s="4">
        <v>10</v>
      </c>
      <c r="AR1555" s="3" t="s">
        <v>64</v>
      </c>
      <c r="AS1555" s="3" t="s">
        <v>64</v>
      </c>
      <c r="AT1555" s="3" t="s">
        <v>64</v>
      </c>
      <c r="AV1555" s="6" t="str">
        <f>HYPERLINK("http://mcgill.on.worldcat.org/oclc/470423240","Catalog Record")</f>
        <v>Catalog Record</v>
      </c>
      <c r="AW1555" s="6" t="str">
        <f>HYPERLINK("http://www.worldcat.org/oclc/470423240","WorldCat Record")</f>
        <v>WorldCat Record</v>
      </c>
      <c r="AX1555" s="3" t="s">
        <v>15713</v>
      </c>
      <c r="AY1555" s="3" t="s">
        <v>15714</v>
      </c>
      <c r="AZ1555" s="3" t="s">
        <v>15715</v>
      </c>
      <c r="BA1555" s="3" t="s">
        <v>15715</v>
      </c>
      <c r="BB1555" s="3" t="s">
        <v>15716</v>
      </c>
      <c r="BC1555" s="3" t="s">
        <v>77</v>
      </c>
      <c r="BD1555" s="3" t="s">
        <v>78</v>
      </c>
      <c r="BE1555" s="3" t="s">
        <v>15717</v>
      </c>
      <c r="BF1555" s="3" t="s">
        <v>15716</v>
      </c>
      <c r="BG1555" s="3" t="s">
        <v>15718</v>
      </c>
      <c r="BH1555">
        <f t="shared" si="44"/>
        <v>0</v>
      </c>
    </row>
    <row r="1556" spans="1:60" ht="58" x14ac:dyDescent="0.35">
      <c r="A1556" s="2" t="s">
        <v>59</v>
      </c>
      <c r="B1556" s="2" t="s">
        <v>60</v>
      </c>
      <c r="C1556" s="2" t="s">
        <v>15719</v>
      </c>
      <c r="D1556" s="2" t="s">
        <v>15720</v>
      </c>
      <c r="E1556" s="2" t="s">
        <v>15721</v>
      </c>
      <c r="G1556" s="3" t="s">
        <v>64</v>
      </c>
      <c r="I1556" s="3" t="s">
        <v>64</v>
      </c>
      <c r="J1556" s="3" t="s">
        <v>64</v>
      </c>
      <c r="K1556" s="3" t="s">
        <v>65</v>
      </c>
      <c r="M1556" s="2" t="s">
        <v>14860</v>
      </c>
      <c r="N1556" s="3" t="s">
        <v>537</v>
      </c>
      <c r="O1556" s="2" t="s">
        <v>117</v>
      </c>
      <c r="P1556" s="3" t="s">
        <v>102</v>
      </c>
      <c r="R1556" s="3" t="s">
        <v>70</v>
      </c>
      <c r="S1556" s="4">
        <v>3</v>
      </c>
      <c r="T1556" s="4">
        <v>3</v>
      </c>
      <c r="U1556" s="5" t="s">
        <v>15722</v>
      </c>
      <c r="V1556" s="5" t="s">
        <v>15722</v>
      </c>
      <c r="W1556" s="5" t="s">
        <v>72</v>
      </c>
      <c r="X1556" s="5" t="s">
        <v>72</v>
      </c>
      <c r="Y1556" s="4">
        <v>252</v>
      </c>
      <c r="Z1556" s="4">
        <v>18</v>
      </c>
      <c r="AA1556" s="4">
        <v>83</v>
      </c>
      <c r="AB1556" s="4">
        <v>1</v>
      </c>
      <c r="AC1556" s="4">
        <v>16</v>
      </c>
      <c r="AD1556" s="4">
        <v>54</v>
      </c>
      <c r="AE1556" s="4">
        <v>108</v>
      </c>
      <c r="AF1556" s="4">
        <v>0</v>
      </c>
      <c r="AG1556" s="4">
        <v>9</v>
      </c>
      <c r="AH1556" s="4">
        <v>46</v>
      </c>
      <c r="AI1556" s="4">
        <v>74</v>
      </c>
      <c r="AJ1556" s="4">
        <v>12</v>
      </c>
      <c r="AK1556" s="4">
        <v>23</v>
      </c>
      <c r="AL1556" s="4">
        <v>27</v>
      </c>
      <c r="AM1556" s="4">
        <v>38</v>
      </c>
      <c r="AN1556" s="4">
        <v>0</v>
      </c>
      <c r="AO1556" s="4">
        <v>0</v>
      </c>
      <c r="AP1556" s="4">
        <v>14</v>
      </c>
      <c r="AQ1556" s="4">
        <v>44</v>
      </c>
      <c r="AR1556" s="3" t="s">
        <v>64</v>
      </c>
      <c r="AS1556" s="3" t="s">
        <v>64</v>
      </c>
      <c r="AT1556" s="3" t="s">
        <v>64</v>
      </c>
      <c r="AV1556" s="6" t="str">
        <f>HYPERLINK("http://mcgill.on.worldcat.org/oclc/900721912","Catalog Record")</f>
        <v>Catalog Record</v>
      </c>
      <c r="AW1556" s="6" t="str">
        <f>HYPERLINK("http://www.worldcat.org/oclc/900721912","WorldCat Record")</f>
        <v>WorldCat Record</v>
      </c>
      <c r="AX1556" s="3" t="s">
        <v>15723</v>
      </c>
      <c r="AY1556" s="3" t="s">
        <v>15724</v>
      </c>
      <c r="AZ1556" s="3" t="s">
        <v>15725</v>
      </c>
      <c r="BA1556" s="3" t="s">
        <v>15725</v>
      </c>
      <c r="BB1556" s="3" t="s">
        <v>15726</v>
      </c>
      <c r="BC1556" s="3" t="s">
        <v>77</v>
      </c>
      <c r="BD1556" s="3" t="s">
        <v>78</v>
      </c>
      <c r="BE1556" s="3" t="s">
        <v>15727</v>
      </c>
      <c r="BF1556" s="3" t="s">
        <v>15726</v>
      </c>
      <c r="BG1556" s="3" t="s">
        <v>15728</v>
      </c>
      <c r="BH1556">
        <f t="shared" si="44"/>
        <v>0</v>
      </c>
    </row>
    <row r="1557" spans="1:60" ht="58" x14ac:dyDescent="0.35">
      <c r="A1557" s="2" t="s">
        <v>59</v>
      </c>
      <c r="B1557" s="2" t="s">
        <v>60</v>
      </c>
      <c r="C1557" s="2" t="s">
        <v>15729</v>
      </c>
      <c r="D1557" s="2" t="s">
        <v>15730</v>
      </c>
      <c r="E1557" s="2" t="s">
        <v>15731</v>
      </c>
      <c r="G1557" s="3" t="s">
        <v>64</v>
      </c>
      <c r="I1557" s="3" t="s">
        <v>64</v>
      </c>
      <c r="J1557" s="3" t="s">
        <v>64</v>
      </c>
      <c r="K1557" s="3" t="s">
        <v>65</v>
      </c>
      <c r="M1557" s="2" t="s">
        <v>15732</v>
      </c>
      <c r="N1557" s="3" t="s">
        <v>537</v>
      </c>
      <c r="O1557" s="2" t="s">
        <v>15733</v>
      </c>
      <c r="P1557" s="3" t="s">
        <v>102</v>
      </c>
      <c r="R1557" s="3" t="s">
        <v>70</v>
      </c>
      <c r="S1557" s="4">
        <v>1</v>
      </c>
      <c r="T1557" s="4">
        <v>1</v>
      </c>
      <c r="U1557" s="5" t="s">
        <v>6057</v>
      </c>
      <c r="V1557" s="5" t="s">
        <v>6057</v>
      </c>
      <c r="W1557" s="5" t="s">
        <v>72</v>
      </c>
      <c r="X1557" s="5" t="s">
        <v>72</v>
      </c>
      <c r="Y1557" s="4">
        <v>235</v>
      </c>
      <c r="Z1557" s="4">
        <v>10</v>
      </c>
      <c r="AA1557" s="4">
        <v>25</v>
      </c>
      <c r="AB1557" s="4">
        <v>2</v>
      </c>
      <c r="AC1557" s="4">
        <v>7</v>
      </c>
      <c r="AD1557" s="4">
        <v>39</v>
      </c>
      <c r="AE1557" s="4">
        <v>52</v>
      </c>
      <c r="AF1557" s="4">
        <v>1</v>
      </c>
      <c r="AG1557" s="4">
        <v>3</v>
      </c>
      <c r="AH1557" s="4">
        <v>33</v>
      </c>
      <c r="AI1557" s="4">
        <v>39</v>
      </c>
      <c r="AJ1557" s="4">
        <v>4</v>
      </c>
      <c r="AK1557" s="4">
        <v>13</v>
      </c>
      <c r="AL1557" s="4">
        <v>20</v>
      </c>
      <c r="AM1557" s="4">
        <v>22</v>
      </c>
      <c r="AN1557" s="4">
        <v>0</v>
      </c>
      <c r="AO1557" s="4">
        <v>0</v>
      </c>
      <c r="AP1557" s="4">
        <v>6</v>
      </c>
      <c r="AQ1557" s="4">
        <v>15</v>
      </c>
      <c r="AR1557" s="3" t="s">
        <v>64</v>
      </c>
      <c r="AS1557" s="3" t="s">
        <v>64</v>
      </c>
      <c r="AT1557" s="3" t="s">
        <v>64</v>
      </c>
      <c r="AV1557" s="6" t="str">
        <f>HYPERLINK("http://mcgill.on.worldcat.org/oclc/957134313","Catalog Record")</f>
        <v>Catalog Record</v>
      </c>
      <c r="AW1557" s="6" t="str">
        <f>HYPERLINK("http://www.worldcat.org/oclc/957134313","WorldCat Record")</f>
        <v>WorldCat Record</v>
      </c>
      <c r="AX1557" s="3" t="s">
        <v>15734</v>
      </c>
      <c r="AY1557" s="3" t="s">
        <v>15735</v>
      </c>
      <c r="AZ1557" s="3" t="s">
        <v>15736</v>
      </c>
      <c r="BA1557" s="3" t="s">
        <v>15736</v>
      </c>
      <c r="BB1557" s="3" t="s">
        <v>15737</v>
      </c>
      <c r="BC1557" s="3" t="s">
        <v>77</v>
      </c>
      <c r="BD1557" s="3" t="s">
        <v>78</v>
      </c>
      <c r="BE1557" s="3" t="s">
        <v>15738</v>
      </c>
      <c r="BF1557" s="3" t="s">
        <v>15737</v>
      </c>
      <c r="BG1557" s="3" t="s">
        <v>15739</v>
      </c>
      <c r="BH1557">
        <f t="shared" si="44"/>
        <v>0</v>
      </c>
    </row>
    <row r="1558" spans="1:60" ht="58" x14ac:dyDescent="0.35">
      <c r="A1558" s="2" t="s">
        <v>59</v>
      </c>
      <c r="B1558" s="2" t="s">
        <v>60</v>
      </c>
      <c r="C1558" s="2" t="s">
        <v>15740</v>
      </c>
      <c r="D1558" s="2" t="s">
        <v>15741</v>
      </c>
      <c r="E1558" s="2" t="s">
        <v>15742</v>
      </c>
      <c r="G1558" s="3" t="s">
        <v>64</v>
      </c>
      <c r="I1558" s="3" t="s">
        <v>128</v>
      </c>
      <c r="J1558" s="3" t="s">
        <v>64</v>
      </c>
      <c r="K1558" s="3" t="s">
        <v>65</v>
      </c>
      <c r="L1558" s="2" t="s">
        <v>13795</v>
      </c>
      <c r="M1558" s="2" t="s">
        <v>15743</v>
      </c>
      <c r="N1558" s="3" t="s">
        <v>898</v>
      </c>
      <c r="P1558" s="3" t="s">
        <v>102</v>
      </c>
      <c r="Q1558" s="2" t="s">
        <v>14685</v>
      </c>
      <c r="R1558" s="3" t="s">
        <v>70</v>
      </c>
      <c r="S1558" s="4">
        <v>16</v>
      </c>
      <c r="T1558" s="4">
        <v>16</v>
      </c>
      <c r="U1558" s="5" t="s">
        <v>12623</v>
      </c>
      <c r="V1558" s="5" t="s">
        <v>12623</v>
      </c>
      <c r="W1558" s="5" t="s">
        <v>72</v>
      </c>
      <c r="X1558" s="5" t="s">
        <v>72</v>
      </c>
      <c r="Y1558" s="4">
        <v>685</v>
      </c>
      <c r="Z1558" s="4">
        <v>37</v>
      </c>
      <c r="AA1558" s="4">
        <v>41</v>
      </c>
      <c r="AB1558" s="4">
        <v>3</v>
      </c>
      <c r="AC1558" s="4">
        <v>7</v>
      </c>
      <c r="AD1558" s="4">
        <v>120</v>
      </c>
      <c r="AE1558" s="4">
        <v>123</v>
      </c>
      <c r="AF1558" s="4">
        <v>1</v>
      </c>
      <c r="AG1558" s="4">
        <v>4</v>
      </c>
      <c r="AH1558" s="4">
        <v>101</v>
      </c>
      <c r="AI1558" s="4">
        <v>101</v>
      </c>
      <c r="AJ1558" s="4">
        <v>18</v>
      </c>
      <c r="AK1558" s="4">
        <v>21</v>
      </c>
      <c r="AL1558" s="4">
        <v>53</v>
      </c>
      <c r="AM1558" s="4">
        <v>53</v>
      </c>
      <c r="AN1558" s="4">
        <v>0</v>
      </c>
      <c r="AO1558" s="4">
        <v>0</v>
      </c>
      <c r="AP1558" s="4">
        <v>24</v>
      </c>
      <c r="AQ1558" s="4">
        <v>26</v>
      </c>
      <c r="AR1558" s="3" t="s">
        <v>64</v>
      </c>
      <c r="AS1558" s="3" t="s">
        <v>64</v>
      </c>
      <c r="AT1558" s="3" t="s">
        <v>128</v>
      </c>
      <c r="AU1558" s="6" t="str">
        <f>HYPERLINK("http://catalog.hathitrust.org/Record/000705269","HathiTrust Record")</f>
        <v>HathiTrust Record</v>
      </c>
      <c r="AV1558" s="6" t="str">
        <f>HYPERLINK("http://mcgill.on.worldcat.org/oclc/6144727","Catalog Record")</f>
        <v>Catalog Record</v>
      </c>
      <c r="AW1558" s="6" t="str">
        <f>HYPERLINK("http://www.worldcat.org/oclc/6144727","WorldCat Record")</f>
        <v>WorldCat Record</v>
      </c>
      <c r="AX1558" s="3" t="s">
        <v>15744</v>
      </c>
      <c r="AY1558" s="3" t="s">
        <v>15745</v>
      </c>
      <c r="AZ1558" s="3" t="s">
        <v>15746</v>
      </c>
      <c r="BA1558" s="3" t="s">
        <v>15746</v>
      </c>
      <c r="BB1558" s="3" t="s">
        <v>15747</v>
      </c>
      <c r="BC1558" s="3" t="s">
        <v>77</v>
      </c>
      <c r="BD1558" s="3" t="s">
        <v>78</v>
      </c>
      <c r="BE1558" s="3" t="s">
        <v>15748</v>
      </c>
      <c r="BF1558" s="3" t="s">
        <v>15747</v>
      </c>
      <c r="BG1558" s="3" t="s">
        <v>15749</v>
      </c>
      <c r="BH1558">
        <f t="shared" si="44"/>
        <v>0</v>
      </c>
    </row>
    <row r="1559" spans="1:60" ht="58" x14ac:dyDescent="0.35">
      <c r="A1559" s="2" t="s">
        <v>59</v>
      </c>
      <c r="B1559" s="2" t="s">
        <v>60</v>
      </c>
      <c r="C1559" s="2" t="s">
        <v>15750</v>
      </c>
      <c r="D1559" s="2" t="s">
        <v>15751</v>
      </c>
      <c r="E1559" s="2" t="s">
        <v>15752</v>
      </c>
      <c r="G1559" s="3" t="s">
        <v>64</v>
      </c>
      <c r="I1559" s="3" t="s">
        <v>64</v>
      </c>
      <c r="J1559" s="3" t="s">
        <v>64</v>
      </c>
      <c r="K1559" s="3" t="s">
        <v>65</v>
      </c>
      <c r="M1559" s="2" t="s">
        <v>15753</v>
      </c>
      <c r="N1559" s="3" t="s">
        <v>253</v>
      </c>
      <c r="O1559" s="2" t="s">
        <v>117</v>
      </c>
      <c r="P1559" s="3" t="s">
        <v>102</v>
      </c>
      <c r="Q1559" s="2" t="s">
        <v>15754</v>
      </c>
      <c r="R1559" s="3" t="s">
        <v>70</v>
      </c>
      <c r="S1559" s="4">
        <v>0</v>
      </c>
      <c r="T1559" s="4">
        <v>0</v>
      </c>
      <c r="W1559" s="5" t="s">
        <v>72</v>
      </c>
      <c r="X1559" s="5" t="s">
        <v>72</v>
      </c>
      <c r="Y1559" s="4">
        <v>35</v>
      </c>
      <c r="Z1559" s="4">
        <v>2</v>
      </c>
      <c r="AA1559" s="4">
        <v>79</v>
      </c>
      <c r="AB1559" s="4">
        <v>1</v>
      </c>
      <c r="AC1559" s="4">
        <v>15</v>
      </c>
      <c r="AD1559" s="4">
        <v>13</v>
      </c>
      <c r="AE1559" s="4">
        <v>99</v>
      </c>
      <c r="AF1559" s="4">
        <v>0</v>
      </c>
      <c r="AG1559" s="4">
        <v>8</v>
      </c>
      <c r="AH1559" s="4">
        <v>12</v>
      </c>
      <c r="AI1559" s="4">
        <v>65</v>
      </c>
      <c r="AJ1559" s="4">
        <v>1</v>
      </c>
      <c r="AK1559" s="4">
        <v>18</v>
      </c>
      <c r="AL1559" s="4">
        <v>7</v>
      </c>
      <c r="AM1559" s="4">
        <v>32</v>
      </c>
      <c r="AN1559" s="4">
        <v>0</v>
      </c>
      <c r="AO1559" s="4">
        <v>0</v>
      </c>
      <c r="AP1559" s="4">
        <v>1</v>
      </c>
      <c r="AQ1559" s="4">
        <v>39</v>
      </c>
      <c r="AR1559" s="3" t="s">
        <v>64</v>
      </c>
      <c r="AS1559" s="3" t="s">
        <v>64</v>
      </c>
      <c r="AT1559" s="3" t="s">
        <v>64</v>
      </c>
      <c r="AV1559" s="6" t="str">
        <f>HYPERLINK("http://mcgill.on.worldcat.org/oclc/904650655","Catalog Record")</f>
        <v>Catalog Record</v>
      </c>
      <c r="AW1559" s="6" t="str">
        <f>HYPERLINK("http://www.worldcat.org/oclc/904650655","WorldCat Record")</f>
        <v>WorldCat Record</v>
      </c>
      <c r="AX1559" s="3" t="s">
        <v>15755</v>
      </c>
      <c r="AY1559" s="3" t="s">
        <v>15756</v>
      </c>
      <c r="AZ1559" s="3" t="s">
        <v>15757</v>
      </c>
      <c r="BA1559" s="3" t="s">
        <v>15757</v>
      </c>
      <c r="BB1559" s="3" t="s">
        <v>15758</v>
      </c>
      <c r="BC1559" s="3" t="s">
        <v>77</v>
      </c>
      <c r="BD1559" s="3" t="s">
        <v>78</v>
      </c>
      <c r="BE1559" s="3" t="s">
        <v>15759</v>
      </c>
      <c r="BF1559" s="3" t="s">
        <v>15758</v>
      </c>
      <c r="BG1559" s="3" t="s">
        <v>15760</v>
      </c>
      <c r="BH1559">
        <f t="shared" si="44"/>
        <v>0</v>
      </c>
    </row>
    <row r="1560" spans="1:60" ht="58" x14ac:dyDescent="0.35">
      <c r="A1560" s="2" t="s">
        <v>59</v>
      </c>
      <c r="B1560" s="2" t="s">
        <v>60</v>
      </c>
      <c r="C1560" s="2" t="s">
        <v>15761</v>
      </c>
      <c r="D1560" s="2" t="s">
        <v>15762</v>
      </c>
      <c r="E1560" s="2" t="s">
        <v>15763</v>
      </c>
      <c r="G1560" s="3" t="s">
        <v>64</v>
      </c>
      <c r="I1560" s="3" t="s">
        <v>64</v>
      </c>
      <c r="J1560" s="3" t="s">
        <v>64</v>
      </c>
      <c r="K1560" s="3" t="s">
        <v>65</v>
      </c>
      <c r="L1560" s="2" t="s">
        <v>15764</v>
      </c>
      <c r="M1560" s="2" t="s">
        <v>15765</v>
      </c>
      <c r="N1560" s="3" t="s">
        <v>326</v>
      </c>
      <c r="P1560" s="3" t="s">
        <v>102</v>
      </c>
      <c r="Q1560" s="2" t="s">
        <v>8981</v>
      </c>
      <c r="R1560" s="3" t="s">
        <v>70</v>
      </c>
      <c r="S1560" s="4">
        <v>6</v>
      </c>
      <c r="T1560" s="4">
        <v>6</v>
      </c>
      <c r="U1560" s="5" t="s">
        <v>15766</v>
      </c>
      <c r="V1560" s="5" t="s">
        <v>15766</v>
      </c>
      <c r="W1560" s="5" t="s">
        <v>72</v>
      </c>
      <c r="X1560" s="5" t="s">
        <v>72</v>
      </c>
      <c r="Y1560" s="4">
        <v>181</v>
      </c>
      <c r="Z1560" s="4">
        <v>18</v>
      </c>
      <c r="AA1560" s="4">
        <v>87</v>
      </c>
      <c r="AB1560" s="4">
        <v>1</v>
      </c>
      <c r="AC1560" s="4">
        <v>15</v>
      </c>
      <c r="AD1560" s="4">
        <v>52</v>
      </c>
      <c r="AE1560" s="4">
        <v>121</v>
      </c>
      <c r="AF1560" s="4">
        <v>0</v>
      </c>
      <c r="AG1560" s="4">
        <v>8</v>
      </c>
      <c r="AH1560" s="4">
        <v>47</v>
      </c>
      <c r="AI1560" s="4">
        <v>86</v>
      </c>
      <c r="AJ1560" s="4">
        <v>9</v>
      </c>
      <c r="AK1560" s="4">
        <v>21</v>
      </c>
      <c r="AL1560" s="4">
        <v>27</v>
      </c>
      <c r="AM1560" s="4">
        <v>45</v>
      </c>
      <c r="AN1560" s="4">
        <v>0</v>
      </c>
      <c r="AO1560" s="4">
        <v>0</v>
      </c>
      <c r="AP1560" s="4">
        <v>11</v>
      </c>
      <c r="AQ1560" s="4">
        <v>42</v>
      </c>
      <c r="AR1560" s="3" t="s">
        <v>64</v>
      </c>
      <c r="AS1560" s="3" t="s">
        <v>64</v>
      </c>
      <c r="AT1560" s="3" t="s">
        <v>64</v>
      </c>
      <c r="AV1560" s="6" t="str">
        <f>HYPERLINK("http://mcgill.on.worldcat.org/oclc/698332430","Catalog Record")</f>
        <v>Catalog Record</v>
      </c>
      <c r="AW1560" s="6" t="str">
        <f>HYPERLINK("http://www.worldcat.org/oclc/698332430","WorldCat Record")</f>
        <v>WorldCat Record</v>
      </c>
      <c r="AX1560" s="3" t="s">
        <v>15767</v>
      </c>
      <c r="AY1560" s="3" t="s">
        <v>15768</v>
      </c>
      <c r="AZ1560" s="3" t="s">
        <v>15769</v>
      </c>
      <c r="BA1560" s="3" t="s">
        <v>15769</v>
      </c>
      <c r="BB1560" s="3" t="s">
        <v>15770</v>
      </c>
      <c r="BC1560" s="3" t="s">
        <v>77</v>
      </c>
      <c r="BD1560" s="3" t="s">
        <v>78</v>
      </c>
      <c r="BE1560" s="3" t="s">
        <v>15771</v>
      </c>
      <c r="BF1560" s="3" t="s">
        <v>15770</v>
      </c>
      <c r="BG1560" s="3" t="s">
        <v>15772</v>
      </c>
      <c r="BH1560">
        <f t="shared" si="44"/>
        <v>0</v>
      </c>
    </row>
    <row r="1561" spans="1:60" ht="58" x14ac:dyDescent="0.35">
      <c r="A1561" s="2" t="s">
        <v>59</v>
      </c>
      <c r="B1561" s="2" t="s">
        <v>60</v>
      </c>
      <c r="C1561" s="2" t="s">
        <v>15773</v>
      </c>
      <c r="D1561" s="2" t="s">
        <v>15774</v>
      </c>
      <c r="E1561" s="2" t="s">
        <v>15775</v>
      </c>
      <c r="G1561" s="3" t="s">
        <v>64</v>
      </c>
      <c r="I1561" s="3" t="s">
        <v>64</v>
      </c>
      <c r="J1561" s="3" t="s">
        <v>64</v>
      </c>
      <c r="K1561" s="3" t="s">
        <v>65</v>
      </c>
      <c r="L1561" s="2" t="s">
        <v>15776</v>
      </c>
      <c r="M1561" s="2" t="s">
        <v>15777</v>
      </c>
      <c r="N1561" s="3" t="s">
        <v>1275</v>
      </c>
      <c r="P1561" s="3" t="s">
        <v>102</v>
      </c>
      <c r="R1561" s="3" t="s">
        <v>70</v>
      </c>
      <c r="S1561" s="4">
        <v>18</v>
      </c>
      <c r="T1561" s="4">
        <v>18</v>
      </c>
      <c r="U1561" s="5" t="s">
        <v>3854</v>
      </c>
      <c r="V1561" s="5" t="s">
        <v>3854</v>
      </c>
      <c r="W1561" s="5" t="s">
        <v>72</v>
      </c>
      <c r="X1561" s="5" t="s">
        <v>72</v>
      </c>
      <c r="Y1561" s="4">
        <v>659</v>
      </c>
      <c r="Z1561" s="4">
        <v>29</v>
      </c>
      <c r="AA1561" s="4">
        <v>30</v>
      </c>
      <c r="AB1561" s="4">
        <v>2</v>
      </c>
      <c r="AC1561" s="4">
        <v>3</v>
      </c>
      <c r="AD1561" s="4">
        <v>98</v>
      </c>
      <c r="AE1561" s="4">
        <v>99</v>
      </c>
      <c r="AF1561" s="4">
        <v>1</v>
      </c>
      <c r="AG1561" s="4">
        <v>2</v>
      </c>
      <c r="AH1561" s="4">
        <v>86</v>
      </c>
      <c r="AI1561" s="4">
        <v>86</v>
      </c>
      <c r="AJ1561" s="4">
        <v>16</v>
      </c>
      <c r="AK1561" s="4">
        <v>17</v>
      </c>
      <c r="AL1561" s="4">
        <v>40</v>
      </c>
      <c r="AM1561" s="4">
        <v>40</v>
      </c>
      <c r="AN1561" s="4">
        <v>0</v>
      </c>
      <c r="AO1561" s="4">
        <v>0</v>
      </c>
      <c r="AP1561" s="4">
        <v>20</v>
      </c>
      <c r="AQ1561" s="4">
        <v>20</v>
      </c>
      <c r="AR1561" s="3" t="s">
        <v>64</v>
      </c>
      <c r="AS1561" s="3" t="s">
        <v>64</v>
      </c>
      <c r="AT1561" s="3" t="s">
        <v>64</v>
      </c>
      <c r="AV1561" s="6" t="str">
        <f>HYPERLINK("http://mcgill.on.worldcat.org/oclc/52587444","Catalog Record")</f>
        <v>Catalog Record</v>
      </c>
      <c r="AW1561" s="6" t="str">
        <f>HYPERLINK("http://www.worldcat.org/oclc/52587444","WorldCat Record")</f>
        <v>WorldCat Record</v>
      </c>
      <c r="AX1561" s="3" t="s">
        <v>15778</v>
      </c>
      <c r="AY1561" s="3" t="s">
        <v>15779</v>
      </c>
      <c r="AZ1561" s="3" t="s">
        <v>15780</v>
      </c>
      <c r="BA1561" s="3" t="s">
        <v>15780</v>
      </c>
      <c r="BB1561" s="3" t="s">
        <v>15781</v>
      </c>
      <c r="BC1561" s="3" t="s">
        <v>77</v>
      </c>
      <c r="BD1561" s="3" t="s">
        <v>78</v>
      </c>
      <c r="BE1561" s="3" t="s">
        <v>15782</v>
      </c>
      <c r="BF1561" s="3" t="s">
        <v>15781</v>
      </c>
      <c r="BG1561" s="3" t="s">
        <v>15783</v>
      </c>
      <c r="BH1561">
        <f t="shared" si="44"/>
        <v>0</v>
      </c>
    </row>
    <row r="1562" spans="1:60" ht="58" x14ac:dyDescent="0.35">
      <c r="A1562" s="2" t="s">
        <v>59</v>
      </c>
      <c r="B1562" s="2" t="s">
        <v>60</v>
      </c>
      <c r="C1562" s="2" t="s">
        <v>15784</v>
      </c>
      <c r="D1562" s="2" t="s">
        <v>15785</v>
      </c>
      <c r="E1562" s="2" t="s">
        <v>15786</v>
      </c>
      <c r="G1562" s="3" t="s">
        <v>64</v>
      </c>
      <c r="I1562" s="3" t="s">
        <v>64</v>
      </c>
      <c r="J1562" s="3" t="s">
        <v>64</v>
      </c>
      <c r="K1562" s="3" t="s">
        <v>65</v>
      </c>
      <c r="L1562" s="2" t="s">
        <v>15787</v>
      </c>
      <c r="M1562" s="2" t="s">
        <v>15788</v>
      </c>
      <c r="N1562" s="3" t="s">
        <v>67</v>
      </c>
      <c r="O1562" s="2" t="s">
        <v>1902</v>
      </c>
      <c r="P1562" s="3" t="s">
        <v>102</v>
      </c>
      <c r="R1562" s="3" t="s">
        <v>70</v>
      </c>
      <c r="S1562" s="4">
        <v>1</v>
      </c>
      <c r="T1562" s="4">
        <v>1</v>
      </c>
      <c r="U1562" s="5" t="s">
        <v>15789</v>
      </c>
      <c r="V1562" s="5" t="s">
        <v>15789</v>
      </c>
      <c r="W1562" s="5" t="s">
        <v>72</v>
      </c>
      <c r="X1562" s="5" t="s">
        <v>72</v>
      </c>
      <c r="Y1562" s="4">
        <v>178</v>
      </c>
      <c r="Z1562" s="4">
        <v>8</v>
      </c>
      <c r="AA1562" s="4">
        <v>33</v>
      </c>
      <c r="AB1562" s="4">
        <v>1</v>
      </c>
      <c r="AC1562" s="4">
        <v>6</v>
      </c>
      <c r="AD1562" s="4">
        <v>46</v>
      </c>
      <c r="AE1562" s="4">
        <v>100</v>
      </c>
      <c r="AF1562" s="4">
        <v>0</v>
      </c>
      <c r="AG1562" s="4">
        <v>2</v>
      </c>
      <c r="AH1562" s="4">
        <v>44</v>
      </c>
      <c r="AI1562" s="4">
        <v>86</v>
      </c>
      <c r="AJ1562" s="4">
        <v>5</v>
      </c>
      <c r="AK1562" s="4">
        <v>21</v>
      </c>
      <c r="AL1562" s="4">
        <v>22</v>
      </c>
      <c r="AM1562" s="4">
        <v>41</v>
      </c>
      <c r="AN1562" s="4">
        <v>0</v>
      </c>
      <c r="AO1562" s="4">
        <v>0</v>
      </c>
      <c r="AP1562" s="4">
        <v>6</v>
      </c>
      <c r="AQ1562" s="4">
        <v>24</v>
      </c>
      <c r="AR1562" s="3" t="s">
        <v>64</v>
      </c>
      <c r="AS1562" s="3" t="s">
        <v>64</v>
      </c>
      <c r="AT1562" s="3" t="s">
        <v>64</v>
      </c>
      <c r="AV1562" s="6" t="str">
        <f>HYPERLINK("http://mcgill.on.worldcat.org/oclc/885148388","Catalog Record")</f>
        <v>Catalog Record</v>
      </c>
      <c r="AW1562" s="6" t="str">
        <f>HYPERLINK("http://www.worldcat.org/oclc/885148388","WorldCat Record")</f>
        <v>WorldCat Record</v>
      </c>
      <c r="AX1562" s="3" t="s">
        <v>15790</v>
      </c>
      <c r="AY1562" s="3" t="s">
        <v>15791</v>
      </c>
      <c r="AZ1562" s="3" t="s">
        <v>15792</v>
      </c>
      <c r="BA1562" s="3" t="s">
        <v>15792</v>
      </c>
      <c r="BB1562" s="3" t="s">
        <v>15793</v>
      </c>
      <c r="BC1562" s="3" t="s">
        <v>77</v>
      </c>
      <c r="BD1562" s="3" t="s">
        <v>78</v>
      </c>
      <c r="BE1562" s="3" t="s">
        <v>15794</v>
      </c>
      <c r="BF1562" s="3" t="s">
        <v>15793</v>
      </c>
      <c r="BG1562" s="3" t="s">
        <v>15795</v>
      </c>
      <c r="BH1562">
        <f t="shared" si="44"/>
        <v>0</v>
      </c>
    </row>
    <row r="1563" spans="1:60" ht="58" x14ac:dyDescent="0.35">
      <c r="A1563" s="2" t="s">
        <v>59</v>
      </c>
      <c r="B1563" s="2" t="s">
        <v>60</v>
      </c>
      <c r="C1563" s="2" t="s">
        <v>15796</v>
      </c>
      <c r="D1563" s="2" t="s">
        <v>15797</v>
      </c>
      <c r="E1563" s="2" t="s">
        <v>15798</v>
      </c>
      <c r="G1563" s="3" t="s">
        <v>64</v>
      </c>
      <c r="I1563" s="3" t="s">
        <v>64</v>
      </c>
      <c r="J1563" s="3" t="s">
        <v>64</v>
      </c>
      <c r="K1563" s="3" t="s">
        <v>65</v>
      </c>
      <c r="L1563" s="2" t="s">
        <v>15799</v>
      </c>
      <c r="M1563" s="2" t="s">
        <v>15800</v>
      </c>
      <c r="N1563" s="3" t="s">
        <v>551</v>
      </c>
      <c r="P1563" s="3" t="s">
        <v>102</v>
      </c>
      <c r="Q1563" s="2" t="s">
        <v>8981</v>
      </c>
      <c r="R1563" s="3" t="s">
        <v>70</v>
      </c>
      <c r="S1563" s="4">
        <v>6</v>
      </c>
      <c r="T1563" s="4">
        <v>6</v>
      </c>
      <c r="U1563" s="5" t="s">
        <v>500</v>
      </c>
      <c r="V1563" s="5" t="s">
        <v>500</v>
      </c>
      <c r="W1563" s="5" t="s">
        <v>72</v>
      </c>
      <c r="X1563" s="5" t="s">
        <v>72</v>
      </c>
      <c r="Y1563" s="4">
        <v>191</v>
      </c>
      <c r="Z1563" s="4">
        <v>24</v>
      </c>
      <c r="AA1563" s="4">
        <v>30</v>
      </c>
      <c r="AB1563" s="4">
        <v>2</v>
      </c>
      <c r="AC1563" s="4">
        <v>5</v>
      </c>
      <c r="AD1563" s="4">
        <v>55</v>
      </c>
      <c r="AE1563" s="4">
        <v>64</v>
      </c>
      <c r="AF1563" s="4">
        <v>1</v>
      </c>
      <c r="AG1563" s="4">
        <v>2</v>
      </c>
      <c r="AH1563" s="4">
        <v>44</v>
      </c>
      <c r="AI1563" s="4">
        <v>50</v>
      </c>
      <c r="AJ1563" s="4">
        <v>16</v>
      </c>
      <c r="AK1563" s="4">
        <v>18</v>
      </c>
      <c r="AL1563" s="4">
        <v>25</v>
      </c>
      <c r="AM1563" s="4">
        <v>28</v>
      </c>
      <c r="AN1563" s="4">
        <v>0</v>
      </c>
      <c r="AO1563" s="4">
        <v>0</v>
      </c>
      <c r="AP1563" s="4">
        <v>19</v>
      </c>
      <c r="AQ1563" s="4">
        <v>21</v>
      </c>
      <c r="AR1563" s="3" t="s">
        <v>64</v>
      </c>
      <c r="AS1563" s="3" t="s">
        <v>64</v>
      </c>
      <c r="AT1563" s="3" t="s">
        <v>64</v>
      </c>
      <c r="AV1563" s="6" t="str">
        <f>HYPERLINK("http://mcgill.on.worldcat.org/oclc/195722320","Catalog Record")</f>
        <v>Catalog Record</v>
      </c>
      <c r="AW1563" s="6" t="str">
        <f>HYPERLINK("http://www.worldcat.org/oclc/195722320","WorldCat Record")</f>
        <v>WorldCat Record</v>
      </c>
      <c r="AX1563" s="3" t="s">
        <v>15801</v>
      </c>
      <c r="AY1563" s="3" t="s">
        <v>15802</v>
      </c>
      <c r="AZ1563" s="3" t="s">
        <v>15803</v>
      </c>
      <c r="BA1563" s="3" t="s">
        <v>15803</v>
      </c>
      <c r="BB1563" s="3" t="s">
        <v>15804</v>
      </c>
      <c r="BC1563" s="3" t="s">
        <v>77</v>
      </c>
      <c r="BD1563" s="3" t="s">
        <v>78</v>
      </c>
      <c r="BE1563" s="3" t="s">
        <v>15805</v>
      </c>
      <c r="BF1563" s="3" t="s">
        <v>15804</v>
      </c>
      <c r="BG1563" s="3" t="s">
        <v>15806</v>
      </c>
      <c r="BH1563">
        <f t="shared" si="44"/>
        <v>0</v>
      </c>
    </row>
    <row r="1564" spans="1:60" ht="58" x14ac:dyDescent="0.35">
      <c r="A1564" s="2" t="s">
        <v>59</v>
      </c>
      <c r="B1564" s="2" t="s">
        <v>60</v>
      </c>
      <c r="C1564" s="2" t="s">
        <v>15807</v>
      </c>
      <c r="D1564" s="2" t="s">
        <v>15808</v>
      </c>
      <c r="E1564" s="2" t="s">
        <v>15809</v>
      </c>
      <c r="G1564" s="3" t="s">
        <v>64</v>
      </c>
      <c r="I1564" s="3" t="s">
        <v>64</v>
      </c>
      <c r="J1564" s="3" t="s">
        <v>64</v>
      </c>
      <c r="K1564" s="3" t="s">
        <v>65</v>
      </c>
      <c r="L1564" s="2" t="s">
        <v>15810</v>
      </c>
      <c r="M1564" s="2" t="s">
        <v>15811</v>
      </c>
      <c r="N1564" s="3" t="s">
        <v>1938</v>
      </c>
      <c r="P1564" s="3" t="s">
        <v>102</v>
      </c>
      <c r="Q1564" s="2" t="s">
        <v>15812</v>
      </c>
      <c r="R1564" s="3" t="s">
        <v>70</v>
      </c>
      <c r="S1564" s="4">
        <v>13</v>
      </c>
      <c r="T1564" s="4">
        <v>13</v>
      </c>
      <c r="U1564" s="5" t="s">
        <v>15813</v>
      </c>
      <c r="V1564" s="5" t="s">
        <v>15813</v>
      </c>
      <c r="W1564" s="5" t="s">
        <v>72</v>
      </c>
      <c r="X1564" s="5" t="s">
        <v>72</v>
      </c>
      <c r="Y1564" s="4">
        <v>283</v>
      </c>
      <c r="Z1564" s="4">
        <v>10</v>
      </c>
      <c r="AA1564" s="4">
        <v>11</v>
      </c>
      <c r="AB1564" s="4">
        <v>2</v>
      </c>
      <c r="AC1564" s="4">
        <v>3</v>
      </c>
      <c r="AD1564" s="4">
        <v>90</v>
      </c>
      <c r="AE1564" s="4">
        <v>91</v>
      </c>
      <c r="AF1564" s="4">
        <v>1</v>
      </c>
      <c r="AG1564" s="4">
        <v>2</v>
      </c>
      <c r="AH1564" s="4">
        <v>85</v>
      </c>
      <c r="AI1564" s="4">
        <v>85</v>
      </c>
      <c r="AJ1564" s="4">
        <v>8</v>
      </c>
      <c r="AK1564" s="4">
        <v>9</v>
      </c>
      <c r="AL1564" s="4">
        <v>44</v>
      </c>
      <c r="AM1564" s="4">
        <v>44</v>
      </c>
      <c r="AN1564" s="4">
        <v>0</v>
      </c>
      <c r="AO1564" s="4">
        <v>0</v>
      </c>
      <c r="AP1564" s="4">
        <v>6</v>
      </c>
      <c r="AQ1564" s="4">
        <v>6</v>
      </c>
      <c r="AR1564" s="3" t="s">
        <v>64</v>
      </c>
      <c r="AS1564" s="3" t="s">
        <v>64</v>
      </c>
      <c r="AT1564" s="3" t="s">
        <v>128</v>
      </c>
      <c r="AU1564" s="6" t="str">
        <f>HYPERLINK("http://catalog.hathitrust.org/Record/002057323","HathiTrust Record")</f>
        <v>HathiTrust Record</v>
      </c>
      <c r="AV1564" s="6" t="str">
        <f>HYPERLINK("http://mcgill.on.worldcat.org/oclc/20422494","Catalog Record")</f>
        <v>Catalog Record</v>
      </c>
      <c r="AW1564" s="6" t="str">
        <f>HYPERLINK("http://www.worldcat.org/oclc/20422494","WorldCat Record")</f>
        <v>WorldCat Record</v>
      </c>
      <c r="AX1564" s="3" t="s">
        <v>15814</v>
      </c>
      <c r="AY1564" s="3" t="s">
        <v>15815</v>
      </c>
      <c r="AZ1564" s="3" t="s">
        <v>15816</v>
      </c>
      <c r="BA1564" s="3" t="s">
        <v>15816</v>
      </c>
      <c r="BB1564" s="3" t="s">
        <v>15817</v>
      </c>
      <c r="BC1564" s="3" t="s">
        <v>77</v>
      </c>
      <c r="BD1564" s="3" t="s">
        <v>78</v>
      </c>
      <c r="BE1564" s="3" t="s">
        <v>15818</v>
      </c>
      <c r="BF1564" s="3" t="s">
        <v>15817</v>
      </c>
      <c r="BG1564" s="3" t="s">
        <v>15819</v>
      </c>
      <c r="BH1564">
        <f t="shared" si="44"/>
        <v>0</v>
      </c>
    </row>
    <row r="1565" spans="1:60" ht="58" x14ac:dyDescent="0.35">
      <c r="A1565" s="2" t="s">
        <v>59</v>
      </c>
      <c r="B1565" s="2" t="s">
        <v>60</v>
      </c>
      <c r="C1565" s="2" t="s">
        <v>15820</v>
      </c>
      <c r="D1565" s="2" t="s">
        <v>15821</v>
      </c>
      <c r="E1565" s="2" t="s">
        <v>15822</v>
      </c>
      <c r="G1565" s="3" t="s">
        <v>64</v>
      </c>
      <c r="I1565" s="3" t="s">
        <v>64</v>
      </c>
      <c r="J1565" s="3" t="s">
        <v>128</v>
      </c>
      <c r="K1565" s="3" t="s">
        <v>65</v>
      </c>
      <c r="L1565" s="2" t="s">
        <v>15823</v>
      </c>
      <c r="M1565" s="2" t="s">
        <v>15824</v>
      </c>
      <c r="N1565" s="3" t="s">
        <v>291</v>
      </c>
      <c r="P1565" s="3" t="s">
        <v>102</v>
      </c>
      <c r="R1565" s="3" t="s">
        <v>70</v>
      </c>
      <c r="S1565" s="4">
        <v>10</v>
      </c>
      <c r="T1565" s="4">
        <v>10</v>
      </c>
      <c r="U1565" s="5" t="s">
        <v>15825</v>
      </c>
      <c r="V1565" s="5" t="s">
        <v>15825</v>
      </c>
      <c r="W1565" s="5" t="s">
        <v>72</v>
      </c>
      <c r="X1565" s="5" t="s">
        <v>72</v>
      </c>
      <c r="Y1565" s="4">
        <v>360</v>
      </c>
      <c r="Z1565" s="4">
        <v>18</v>
      </c>
      <c r="AA1565" s="4">
        <v>89</v>
      </c>
      <c r="AB1565" s="4">
        <v>2</v>
      </c>
      <c r="AC1565" s="4">
        <v>18</v>
      </c>
      <c r="AD1565" s="4">
        <v>69</v>
      </c>
      <c r="AE1565" s="4">
        <v>125</v>
      </c>
      <c r="AF1565" s="4">
        <v>0</v>
      </c>
      <c r="AG1565" s="4">
        <v>9</v>
      </c>
      <c r="AH1565" s="4">
        <v>61</v>
      </c>
      <c r="AI1565" s="4">
        <v>88</v>
      </c>
      <c r="AJ1565" s="4">
        <v>11</v>
      </c>
      <c r="AK1565" s="4">
        <v>23</v>
      </c>
      <c r="AL1565" s="4">
        <v>35</v>
      </c>
      <c r="AM1565" s="4">
        <v>47</v>
      </c>
      <c r="AN1565" s="4">
        <v>0</v>
      </c>
      <c r="AO1565" s="4">
        <v>0</v>
      </c>
      <c r="AP1565" s="4">
        <v>14</v>
      </c>
      <c r="AQ1565" s="4">
        <v>45</v>
      </c>
      <c r="AR1565" s="3" t="s">
        <v>64</v>
      </c>
      <c r="AS1565" s="3" t="s">
        <v>64</v>
      </c>
      <c r="AT1565" s="3" t="s">
        <v>128</v>
      </c>
      <c r="AU1565" s="6" t="str">
        <f>HYPERLINK("http://catalog.hathitrust.org/Record/005543311","HathiTrust Record")</f>
        <v>HathiTrust Record</v>
      </c>
      <c r="AV1565" s="6" t="str">
        <f>HYPERLINK("http://mcgill.on.worldcat.org/oclc/60371611","Catalog Record")</f>
        <v>Catalog Record</v>
      </c>
      <c r="AW1565" s="6" t="str">
        <f>HYPERLINK("http://www.worldcat.org/oclc/60371611","WorldCat Record")</f>
        <v>WorldCat Record</v>
      </c>
      <c r="AX1565" s="3" t="s">
        <v>15826</v>
      </c>
      <c r="AY1565" s="3" t="s">
        <v>15827</v>
      </c>
      <c r="AZ1565" s="3" t="s">
        <v>15828</v>
      </c>
      <c r="BA1565" s="3" t="s">
        <v>15828</v>
      </c>
      <c r="BB1565" s="3" t="s">
        <v>15829</v>
      </c>
      <c r="BC1565" s="3" t="s">
        <v>77</v>
      </c>
      <c r="BD1565" s="3" t="s">
        <v>78</v>
      </c>
      <c r="BE1565" s="3" t="s">
        <v>15830</v>
      </c>
      <c r="BF1565" s="3" t="s">
        <v>15829</v>
      </c>
      <c r="BG1565" s="3" t="s">
        <v>15831</v>
      </c>
      <c r="BH1565">
        <f t="shared" si="44"/>
        <v>0</v>
      </c>
    </row>
    <row r="1566" spans="1:60" ht="58" x14ac:dyDescent="0.35">
      <c r="A1566" s="2" t="s">
        <v>59</v>
      </c>
      <c r="B1566" s="2" t="s">
        <v>60</v>
      </c>
      <c r="C1566" s="2" t="s">
        <v>15832</v>
      </c>
      <c r="D1566" s="2" t="s">
        <v>15833</v>
      </c>
      <c r="E1566" s="2" t="s">
        <v>15834</v>
      </c>
      <c r="G1566" s="3" t="s">
        <v>64</v>
      </c>
      <c r="I1566" s="3" t="s">
        <v>64</v>
      </c>
      <c r="J1566" s="3" t="s">
        <v>128</v>
      </c>
      <c r="K1566" s="3" t="s">
        <v>65</v>
      </c>
      <c r="L1566" s="2" t="s">
        <v>15823</v>
      </c>
      <c r="M1566" s="2" t="s">
        <v>15835</v>
      </c>
      <c r="N1566" s="3" t="s">
        <v>1075</v>
      </c>
      <c r="O1566" s="2" t="s">
        <v>172</v>
      </c>
      <c r="P1566" s="3" t="s">
        <v>102</v>
      </c>
      <c r="R1566" s="3" t="s">
        <v>70</v>
      </c>
      <c r="S1566" s="4">
        <v>48</v>
      </c>
      <c r="T1566" s="4">
        <v>48</v>
      </c>
      <c r="U1566" s="5" t="s">
        <v>15836</v>
      </c>
      <c r="V1566" s="5" t="s">
        <v>15836</v>
      </c>
      <c r="W1566" s="5" t="s">
        <v>72</v>
      </c>
      <c r="X1566" s="5" t="s">
        <v>72</v>
      </c>
      <c r="Y1566" s="4">
        <v>122</v>
      </c>
      <c r="Z1566" s="4">
        <v>5</v>
      </c>
      <c r="AA1566" s="4">
        <v>89</v>
      </c>
      <c r="AB1566" s="4">
        <v>1</v>
      </c>
      <c r="AC1566" s="4">
        <v>18</v>
      </c>
      <c r="AD1566" s="4">
        <v>8</v>
      </c>
      <c r="AE1566" s="4">
        <v>125</v>
      </c>
      <c r="AF1566" s="4">
        <v>0</v>
      </c>
      <c r="AG1566" s="4">
        <v>9</v>
      </c>
      <c r="AH1566" s="4">
        <v>6</v>
      </c>
      <c r="AI1566" s="4">
        <v>88</v>
      </c>
      <c r="AJ1566" s="4">
        <v>4</v>
      </c>
      <c r="AK1566" s="4">
        <v>23</v>
      </c>
      <c r="AL1566" s="4">
        <v>3</v>
      </c>
      <c r="AM1566" s="4">
        <v>47</v>
      </c>
      <c r="AN1566" s="4">
        <v>0</v>
      </c>
      <c r="AO1566" s="4">
        <v>0</v>
      </c>
      <c r="AP1566" s="4">
        <v>4</v>
      </c>
      <c r="AQ1566" s="4">
        <v>45</v>
      </c>
      <c r="AR1566" s="3" t="s">
        <v>64</v>
      </c>
      <c r="AS1566" s="3" t="s">
        <v>64</v>
      </c>
      <c r="AT1566" s="3" t="s">
        <v>64</v>
      </c>
      <c r="AV1566" s="6" t="str">
        <f>HYPERLINK("http://mcgill.on.worldcat.org/oclc/779245930","Catalog Record")</f>
        <v>Catalog Record</v>
      </c>
      <c r="AW1566" s="6" t="str">
        <f>HYPERLINK("http://www.worldcat.org/oclc/779245930","WorldCat Record")</f>
        <v>WorldCat Record</v>
      </c>
      <c r="AX1566" s="3" t="s">
        <v>15826</v>
      </c>
      <c r="AY1566" s="3" t="s">
        <v>15837</v>
      </c>
      <c r="AZ1566" s="3" t="s">
        <v>15838</v>
      </c>
      <c r="BA1566" s="3" t="s">
        <v>15838</v>
      </c>
      <c r="BB1566" s="3" t="s">
        <v>15839</v>
      </c>
      <c r="BC1566" s="3" t="s">
        <v>77</v>
      </c>
      <c r="BD1566" s="3" t="s">
        <v>165</v>
      </c>
      <c r="BE1566" s="3" t="s">
        <v>15840</v>
      </c>
      <c r="BF1566" s="3" t="s">
        <v>15839</v>
      </c>
      <c r="BG1566" s="3" t="s">
        <v>15841</v>
      </c>
      <c r="BH1566">
        <f t="shared" si="44"/>
        <v>0</v>
      </c>
    </row>
    <row r="1567" spans="1:60" ht="58" x14ac:dyDescent="0.35">
      <c r="A1567" s="2" t="s">
        <v>59</v>
      </c>
      <c r="B1567" s="2" t="s">
        <v>60</v>
      </c>
      <c r="C1567" s="2" t="s">
        <v>15842</v>
      </c>
      <c r="D1567" s="2" t="s">
        <v>15843</v>
      </c>
      <c r="E1567" s="2" t="s">
        <v>15844</v>
      </c>
      <c r="G1567" s="3" t="s">
        <v>64</v>
      </c>
      <c r="I1567" s="3" t="s">
        <v>64</v>
      </c>
      <c r="J1567" s="3" t="s">
        <v>128</v>
      </c>
      <c r="K1567" s="3" t="s">
        <v>65</v>
      </c>
      <c r="L1567" s="2" t="s">
        <v>15845</v>
      </c>
      <c r="M1567" s="2" t="s">
        <v>15846</v>
      </c>
      <c r="N1567" s="3" t="s">
        <v>1061</v>
      </c>
      <c r="P1567" s="3" t="s">
        <v>102</v>
      </c>
      <c r="Q1567" s="2" t="s">
        <v>15847</v>
      </c>
      <c r="R1567" s="3" t="s">
        <v>70</v>
      </c>
      <c r="S1567" s="4">
        <v>15</v>
      </c>
      <c r="T1567" s="4">
        <v>15</v>
      </c>
      <c r="U1567" s="5" t="s">
        <v>15848</v>
      </c>
      <c r="V1567" s="5" t="s">
        <v>15848</v>
      </c>
      <c r="W1567" s="5" t="s">
        <v>72</v>
      </c>
      <c r="X1567" s="5" t="s">
        <v>72</v>
      </c>
      <c r="Y1567" s="4">
        <v>341</v>
      </c>
      <c r="Z1567" s="4">
        <v>21</v>
      </c>
      <c r="AA1567" s="4">
        <v>88</v>
      </c>
      <c r="AB1567" s="4">
        <v>3</v>
      </c>
      <c r="AC1567" s="4">
        <v>13</v>
      </c>
      <c r="AD1567" s="4">
        <v>91</v>
      </c>
      <c r="AE1567" s="4">
        <v>142</v>
      </c>
      <c r="AF1567" s="4">
        <v>1</v>
      </c>
      <c r="AG1567" s="4">
        <v>4</v>
      </c>
      <c r="AH1567" s="4">
        <v>82</v>
      </c>
      <c r="AI1567" s="4">
        <v>113</v>
      </c>
      <c r="AJ1567" s="4">
        <v>9</v>
      </c>
      <c r="AK1567" s="4">
        <v>24</v>
      </c>
      <c r="AL1567" s="4">
        <v>44</v>
      </c>
      <c r="AM1567" s="4">
        <v>60</v>
      </c>
      <c r="AN1567" s="4">
        <v>0</v>
      </c>
      <c r="AO1567" s="4">
        <v>0</v>
      </c>
      <c r="AP1567" s="4">
        <v>10</v>
      </c>
      <c r="AQ1567" s="4">
        <v>36</v>
      </c>
      <c r="AR1567" s="3" t="s">
        <v>64</v>
      </c>
      <c r="AS1567" s="3" t="s">
        <v>64</v>
      </c>
      <c r="AT1567" s="3" t="s">
        <v>128</v>
      </c>
      <c r="AU1567" s="6" t="str">
        <f>HYPERLINK("http://catalog.hathitrust.org/Record/000569214","HathiTrust Record")</f>
        <v>HathiTrust Record</v>
      </c>
      <c r="AV1567" s="6" t="str">
        <f>HYPERLINK("http://mcgill.on.worldcat.org/oclc/11574134","Catalog Record")</f>
        <v>Catalog Record</v>
      </c>
      <c r="AW1567" s="6" t="str">
        <f>HYPERLINK("http://www.worldcat.org/oclc/11574134","WorldCat Record")</f>
        <v>WorldCat Record</v>
      </c>
      <c r="AX1567" s="3" t="s">
        <v>15849</v>
      </c>
      <c r="AY1567" s="3" t="s">
        <v>15850</v>
      </c>
      <c r="AZ1567" s="3" t="s">
        <v>15851</v>
      </c>
      <c r="BA1567" s="3" t="s">
        <v>15851</v>
      </c>
      <c r="BB1567" s="3" t="s">
        <v>15852</v>
      </c>
      <c r="BC1567" s="3" t="s">
        <v>77</v>
      </c>
      <c r="BD1567" s="3" t="s">
        <v>78</v>
      </c>
      <c r="BE1567" s="3" t="s">
        <v>15853</v>
      </c>
      <c r="BF1567" s="3" t="s">
        <v>15852</v>
      </c>
      <c r="BG1567" s="3" t="s">
        <v>15854</v>
      </c>
      <c r="BH1567">
        <f t="shared" si="44"/>
        <v>0</v>
      </c>
    </row>
    <row r="1568" spans="1:60" ht="58" x14ac:dyDescent="0.35">
      <c r="A1568" s="2" t="s">
        <v>59</v>
      </c>
      <c r="B1568" s="2" t="s">
        <v>60</v>
      </c>
      <c r="C1568" s="2" t="s">
        <v>15855</v>
      </c>
      <c r="D1568" s="2" t="s">
        <v>15856</v>
      </c>
      <c r="E1568" s="2" t="s">
        <v>15857</v>
      </c>
      <c r="G1568" s="3" t="s">
        <v>64</v>
      </c>
      <c r="I1568" s="3" t="s">
        <v>128</v>
      </c>
      <c r="J1568" s="3" t="s">
        <v>128</v>
      </c>
      <c r="K1568" s="3" t="s">
        <v>65</v>
      </c>
      <c r="L1568" s="2" t="s">
        <v>15845</v>
      </c>
      <c r="M1568" s="2" t="s">
        <v>15858</v>
      </c>
      <c r="N1568" s="3" t="s">
        <v>1275</v>
      </c>
      <c r="O1568" s="2" t="s">
        <v>7660</v>
      </c>
      <c r="P1568" s="3" t="s">
        <v>102</v>
      </c>
      <c r="Q1568" s="2" t="s">
        <v>15094</v>
      </c>
      <c r="R1568" s="3" t="s">
        <v>70</v>
      </c>
      <c r="S1568" s="4">
        <v>10</v>
      </c>
      <c r="T1568" s="4">
        <v>43</v>
      </c>
      <c r="U1568" s="5" t="s">
        <v>15859</v>
      </c>
      <c r="V1568" s="5" t="s">
        <v>1326</v>
      </c>
      <c r="W1568" s="5" t="s">
        <v>72</v>
      </c>
      <c r="X1568" s="5" t="s">
        <v>72</v>
      </c>
      <c r="Y1568" s="4">
        <v>646</v>
      </c>
      <c r="Z1568" s="4">
        <v>33</v>
      </c>
      <c r="AA1568" s="4">
        <v>88</v>
      </c>
      <c r="AB1568" s="4">
        <v>3</v>
      </c>
      <c r="AC1568" s="4">
        <v>13</v>
      </c>
      <c r="AD1568" s="4">
        <v>91</v>
      </c>
      <c r="AE1568" s="4">
        <v>142</v>
      </c>
      <c r="AF1568" s="4">
        <v>1</v>
      </c>
      <c r="AG1568" s="4">
        <v>4</v>
      </c>
      <c r="AH1568" s="4">
        <v>82</v>
      </c>
      <c r="AI1568" s="4">
        <v>113</v>
      </c>
      <c r="AJ1568" s="4">
        <v>14</v>
      </c>
      <c r="AK1568" s="4">
        <v>24</v>
      </c>
      <c r="AL1568" s="4">
        <v>38</v>
      </c>
      <c r="AM1568" s="4">
        <v>60</v>
      </c>
      <c r="AN1568" s="4">
        <v>0</v>
      </c>
      <c r="AO1568" s="4">
        <v>0</v>
      </c>
      <c r="AP1568" s="4">
        <v>17</v>
      </c>
      <c r="AQ1568" s="4">
        <v>36</v>
      </c>
      <c r="AR1568" s="3" t="s">
        <v>64</v>
      </c>
      <c r="AS1568" s="3" t="s">
        <v>64</v>
      </c>
      <c r="AT1568" s="3" t="s">
        <v>64</v>
      </c>
      <c r="AV1568" s="6" t="str">
        <f>HYPERLINK("http://mcgill.on.worldcat.org/oclc/55846881","Catalog Record")</f>
        <v>Catalog Record</v>
      </c>
      <c r="AW1568" s="6" t="str">
        <f>HYPERLINK("http://www.worldcat.org/oclc/55846881","WorldCat Record")</f>
        <v>WorldCat Record</v>
      </c>
      <c r="AX1568" s="3" t="s">
        <v>15849</v>
      </c>
      <c r="AY1568" s="3" t="s">
        <v>15860</v>
      </c>
      <c r="AZ1568" s="3" t="s">
        <v>15861</v>
      </c>
      <c r="BA1568" s="3" t="s">
        <v>15861</v>
      </c>
      <c r="BB1568" s="3" t="s">
        <v>15862</v>
      </c>
      <c r="BC1568" s="3" t="s">
        <v>77</v>
      </c>
      <c r="BD1568" s="3" t="s">
        <v>78</v>
      </c>
      <c r="BE1568" s="3" t="s">
        <v>15863</v>
      </c>
      <c r="BF1568" s="3" t="s">
        <v>15862</v>
      </c>
      <c r="BG1568" s="3" t="s">
        <v>15864</v>
      </c>
      <c r="BH1568">
        <f t="shared" si="44"/>
        <v>0</v>
      </c>
    </row>
    <row r="1569" spans="1:60" ht="58" x14ac:dyDescent="0.35">
      <c r="A1569" s="2" t="s">
        <v>59</v>
      </c>
      <c r="B1569" s="2" t="s">
        <v>60</v>
      </c>
      <c r="C1569" s="2" t="s">
        <v>15855</v>
      </c>
      <c r="D1569" s="2" t="s">
        <v>15856</v>
      </c>
      <c r="E1569" s="2" t="s">
        <v>15857</v>
      </c>
      <c r="G1569" s="3" t="s">
        <v>64</v>
      </c>
      <c r="I1569" s="3" t="s">
        <v>128</v>
      </c>
      <c r="J1569" s="3" t="s">
        <v>128</v>
      </c>
      <c r="K1569" s="3" t="s">
        <v>65</v>
      </c>
      <c r="L1569" s="2" t="s">
        <v>15845</v>
      </c>
      <c r="M1569" s="2" t="s">
        <v>15858</v>
      </c>
      <c r="N1569" s="3" t="s">
        <v>1275</v>
      </c>
      <c r="O1569" s="2" t="s">
        <v>7660</v>
      </c>
      <c r="P1569" s="3" t="s">
        <v>102</v>
      </c>
      <c r="Q1569" s="2" t="s">
        <v>15094</v>
      </c>
      <c r="R1569" s="3" t="s">
        <v>70</v>
      </c>
      <c r="S1569" s="4">
        <v>22</v>
      </c>
      <c r="T1569" s="4">
        <v>43</v>
      </c>
      <c r="U1569" s="5" t="s">
        <v>15865</v>
      </c>
      <c r="V1569" s="5" t="s">
        <v>1326</v>
      </c>
      <c r="W1569" s="5" t="s">
        <v>72</v>
      </c>
      <c r="X1569" s="5" t="s">
        <v>72</v>
      </c>
      <c r="Y1569" s="4">
        <v>646</v>
      </c>
      <c r="Z1569" s="4">
        <v>33</v>
      </c>
      <c r="AA1569" s="4">
        <v>88</v>
      </c>
      <c r="AB1569" s="4">
        <v>3</v>
      </c>
      <c r="AC1569" s="4">
        <v>13</v>
      </c>
      <c r="AD1569" s="4">
        <v>91</v>
      </c>
      <c r="AE1569" s="4">
        <v>142</v>
      </c>
      <c r="AF1569" s="4">
        <v>1</v>
      </c>
      <c r="AG1569" s="4">
        <v>4</v>
      </c>
      <c r="AH1569" s="4">
        <v>82</v>
      </c>
      <c r="AI1569" s="4">
        <v>113</v>
      </c>
      <c r="AJ1569" s="4">
        <v>14</v>
      </c>
      <c r="AK1569" s="4">
        <v>24</v>
      </c>
      <c r="AL1569" s="4">
        <v>38</v>
      </c>
      <c r="AM1569" s="4">
        <v>60</v>
      </c>
      <c r="AN1569" s="4">
        <v>0</v>
      </c>
      <c r="AO1569" s="4">
        <v>0</v>
      </c>
      <c r="AP1569" s="4">
        <v>17</v>
      </c>
      <c r="AQ1569" s="4">
        <v>36</v>
      </c>
      <c r="AR1569" s="3" t="s">
        <v>64</v>
      </c>
      <c r="AS1569" s="3" t="s">
        <v>64</v>
      </c>
      <c r="AT1569" s="3" t="s">
        <v>64</v>
      </c>
      <c r="AV1569" s="6" t="str">
        <f>HYPERLINK("http://mcgill.on.worldcat.org/oclc/55846881","Catalog Record")</f>
        <v>Catalog Record</v>
      </c>
      <c r="AW1569" s="6" t="str">
        <f>HYPERLINK("http://www.worldcat.org/oclc/55846881","WorldCat Record")</f>
        <v>WorldCat Record</v>
      </c>
      <c r="AX1569" s="3" t="s">
        <v>15849</v>
      </c>
      <c r="AY1569" s="3" t="s">
        <v>15860</v>
      </c>
      <c r="AZ1569" s="3" t="s">
        <v>15861</v>
      </c>
      <c r="BA1569" s="3" t="s">
        <v>15861</v>
      </c>
      <c r="BB1569" s="3" t="s">
        <v>15866</v>
      </c>
      <c r="BC1569" s="3" t="s">
        <v>77</v>
      </c>
      <c r="BD1569" s="3" t="s">
        <v>165</v>
      </c>
      <c r="BE1569" s="3" t="s">
        <v>15863</v>
      </c>
      <c r="BF1569" s="3" t="s">
        <v>15866</v>
      </c>
      <c r="BG1569" s="3" t="s">
        <v>15867</v>
      </c>
      <c r="BH1569">
        <f t="shared" si="44"/>
        <v>0</v>
      </c>
    </row>
    <row r="1570" spans="1:60" ht="58" x14ac:dyDescent="0.35">
      <c r="A1570" s="2" t="s">
        <v>59</v>
      </c>
      <c r="B1570" s="2" t="s">
        <v>60</v>
      </c>
      <c r="C1570" s="2" t="s">
        <v>15855</v>
      </c>
      <c r="D1570" s="2" t="s">
        <v>15856</v>
      </c>
      <c r="E1570" s="2" t="s">
        <v>15857</v>
      </c>
      <c r="G1570" s="3" t="s">
        <v>64</v>
      </c>
      <c r="I1570" s="3" t="s">
        <v>128</v>
      </c>
      <c r="J1570" s="3" t="s">
        <v>128</v>
      </c>
      <c r="K1570" s="3" t="s">
        <v>65</v>
      </c>
      <c r="L1570" s="2" t="s">
        <v>15845</v>
      </c>
      <c r="M1570" s="2" t="s">
        <v>15858</v>
      </c>
      <c r="N1570" s="3" t="s">
        <v>1275</v>
      </c>
      <c r="O1570" s="2" t="s">
        <v>7660</v>
      </c>
      <c r="P1570" s="3" t="s">
        <v>102</v>
      </c>
      <c r="Q1570" s="2" t="s">
        <v>15094</v>
      </c>
      <c r="R1570" s="3" t="s">
        <v>70</v>
      </c>
      <c r="S1570" s="4">
        <v>11</v>
      </c>
      <c r="T1570" s="4">
        <v>43</v>
      </c>
      <c r="U1570" s="5" t="s">
        <v>1326</v>
      </c>
      <c r="V1570" s="5" t="s">
        <v>1326</v>
      </c>
      <c r="W1570" s="5" t="s">
        <v>72</v>
      </c>
      <c r="X1570" s="5" t="s">
        <v>72</v>
      </c>
      <c r="Y1570" s="4">
        <v>646</v>
      </c>
      <c r="Z1570" s="4">
        <v>33</v>
      </c>
      <c r="AA1570" s="4">
        <v>88</v>
      </c>
      <c r="AB1570" s="4">
        <v>3</v>
      </c>
      <c r="AC1570" s="4">
        <v>13</v>
      </c>
      <c r="AD1570" s="4">
        <v>91</v>
      </c>
      <c r="AE1570" s="4">
        <v>142</v>
      </c>
      <c r="AF1570" s="4">
        <v>1</v>
      </c>
      <c r="AG1570" s="4">
        <v>4</v>
      </c>
      <c r="AH1570" s="4">
        <v>82</v>
      </c>
      <c r="AI1570" s="4">
        <v>113</v>
      </c>
      <c r="AJ1570" s="4">
        <v>14</v>
      </c>
      <c r="AK1570" s="4">
        <v>24</v>
      </c>
      <c r="AL1570" s="4">
        <v>38</v>
      </c>
      <c r="AM1570" s="4">
        <v>60</v>
      </c>
      <c r="AN1570" s="4">
        <v>0</v>
      </c>
      <c r="AO1570" s="4">
        <v>0</v>
      </c>
      <c r="AP1570" s="4">
        <v>17</v>
      </c>
      <c r="AQ1570" s="4">
        <v>36</v>
      </c>
      <c r="AR1570" s="3" t="s">
        <v>64</v>
      </c>
      <c r="AS1570" s="3" t="s">
        <v>64</v>
      </c>
      <c r="AT1570" s="3" t="s">
        <v>64</v>
      </c>
      <c r="AV1570" s="6" t="str">
        <f>HYPERLINK("http://mcgill.on.worldcat.org/oclc/55846881","Catalog Record")</f>
        <v>Catalog Record</v>
      </c>
      <c r="AW1570" s="6" t="str">
        <f>HYPERLINK("http://www.worldcat.org/oclc/55846881","WorldCat Record")</f>
        <v>WorldCat Record</v>
      </c>
      <c r="AX1570" s="3" t="s">
        <v>15849</v>
      </c>
      <c r="AY1570" s="3" t="s">
        <v>15860</v>
      </c>
      <c r="AZ1570" s="3" t="s">
        <v>15861</v>
      </c>
      <c r="BA1570" s="3" t="s">
        <v>15861</v>
      </c>
      <c r="BB1570" s="3" t="s">
        <v>15868</v>
      </c>
      <c r="BC1570" s="3" t="s">
        <v>77</v>
      </c>
      <c r="BD1570" s="3" t="s">
        <v>78</v>
      </c>
      <c r="BE1570" s="3" t="s">
        <v>15863</v>
      </c>
      <c r="BF1570" s="3" t="s">
        <v>15868</v>
      </c>
      <c r="BG1570" s="3" t="s">
        <v>15869</v>
      </c>
      <c r="BH1570">
        <f t="shared" si="44"/>
        <v>0</v>
      </c>
    </row>
    <row r="1571" spans="1:60" ht="58" x14ac:dyDescent="0.35">
      <c r="A1571" s="2" t="s">
        <v>59</v>
      </c>
      <c r="B1571" s="2" t="s">
        <v>60</v>
      </c>
      <c r="C1571" s="2" t="s">
        <v>15870</v>
      </c>
      <c r="D1571" s="2" t="s">
        <v>15871</v>
      </c>
      <c r="E1571" s="2" t="s">
        <v>15872</v>
      </c>
      <c r="G1571" s="3" t="s">
        <v>64</v>
      </c>
      <c r="I1571" s="3" t="s">
        <v>64</v>
      </c>
      <c r="J1571" s="3" t="s">
        <v>128</v>
      </c>
      <c r="K1571" s="3" t="s">
        <v>65</v>
      </c>
      <c r="L1571" s="2" t="s">
        <v>15873</v>
      </c>
      <c r="M1571" s="2" t="s">
        <v>15874</v>
      </c>
      <c r="N1571" s="3" t="s">
        <v>511</v>
      </c>
      <c r="O1571" s="2" t="s">
        <v>15875</v>
      </c>
      <c r="P1571" s="3" t="s">
        <v>102</v>
      </c>
      <c r="Q1571" s="2" t="s">
        <v>15094</v>
      </c>
      <c r="R1571" s="3" t="s">
        <v>70</v>
      </c>
      <c r="S1571" s="4">
        <v>41</v>
      </c>
      <c r="T1571" s="4">
        <v>41</v>
      </c>
      <c r="U1571" s="5" t="s">
        <v>15876</v>
      </c>
      <c r="V1571" s="5" t="s">
        <v>15876</v>
      </c>
      <c r="W1571" s="5" t="s">
        <v>72</v>
      </c>
      <c r="X1571" s="5" t="s">
        <v>72</v>
      </c>
      <c r="Y1571" s="4">
        <v>297</v>
      </c>
      <c r="Z1571" s="4">
        <v>21</v>
      </c>
      <c r="AA1571" s="4">
        <v>88</v>
      </c>
      <c r="AB1571" s="4">
        <v>3</v>
      </c>
      <c r="AC1571" s="4">
        <v>13</v>
      </c>
      <c r="AD1571" s="4">
        <v>52</v>
      </c>
      <c r="AE1571" s="4">
        <v>142</v>
      </c>
      <c r="AF1571" s="4">
        <v>1</v>
      </c>
      <c r="AG1571" s="4">
        <v>4</v>
      </c>
      <c r="AH1571" s="4">
        <v>42</v>
      </c>
      <c r="AI1571" s="4">
        <v>113</v>
      </c>
      <c r="AJ1571" s="4">
        <v>12</v>
      </c>
      <c r="AK1571" s="4">
        <v>24</v>
      </c>
      <c r="AL1571" s="4">
        <v>24</v>
      </c>
      <c r="AM1571" s="4">
        <v>60</v>
      </c>
      <c r="AN1571" s="4">
        <v>0</v>
      </c>
      <c r="AO1571" s="4">
        <v>0</v>
      </c>
      <c r="AP1571" s="4">
        <v>15</v>
      </c>
      <c r="AQ1571" s="4">
        <v>36</v>
      </c>
      <c r="AR1571" s="3" t="s">
        <v>64</v>
      </c>
      <c r="AS1571" s="3" t="s">
        <v>64</v>
      </c>
      <c r="AT1571" s="3" t="s">
        <v>64</v>
      </c>
      <c r="AV1571" s="6" t="str">
        <f>HYPERLINK("http://mcgill.on.worldcat.org/oclc/548555591","Catalog Record")</f>
        <v>Catalog Record</v>
      </c>
      <c r="AW1571" s="6" t="str">
        <f>HYPERLINK("http://www.worldcat.org/oclc/548555591","WorldCat Record")</f>
        <v>WorldCat Record</v>
      </c>
      <c r="AX1571" s="3" t="s">
        <v>15849</v>
      </c>
      <c r="AY1571" s="3" t="s">
        <v>15877</v>
      </c>
      <c r="AZ1571" s="3" t="s">
        <v>15878</v>
      </c>
      <c r="BA1571" s="3" t="s">
        <v>15878</v>
      </c>
      <c r="BB1571" s="3" t="s">
        <v>15879</v>
      </c>
      <c r="BC1571" s="3" t="s">
        <v>77</v>
      </c>
      <c r="BD1571" s="3" t="s">
        <v>78</v>
      </c>
      <c r="BE1571" s="3" t="s">
        <v>15880</v>
      </c>
      <c r="BF1571" s="3" t="s">
        <v>15879</v>
      </c>
      <c r="BG1571" s="3" t="s">
        <v>15881</v>
      </c>
      <c r="BH1571">
        <f t="shared" si="44"/>
        <v>0</v>
      </c>
    </row>
    <row r="1572" spans="1:60" ht="58" x14ac:dyDescent="0.35">
      <c r="A1572" s="2" t="s">
        <v>59</v>
      </c>
      <c r="B1572" s="2" t="s">
        <v>60</v>
      </c>
      <c r="C1572" s="2" t="s">
        <v>15882</v>
      </c>
      <c r="D1572" s="2" t="s">
        <v>15883</v>
      </c>
      <c r="E1572" s="2" t="s">
        <v>15884</v>
      </c>
      <c r="G1572" s="3" t="s">
        <v>64</v>
      </c>
      <c r="I1572" s="3" t="s">
        <v>64</v>
      </c>
      <c r="J1572" s="3" t="s">
        <v>64</v>
      </c>
      <c r="K1572" s="3" t="s">
        <v>65</v>
      </c>
      <c r="M1572" s="2" t="s">
        <v>15885</v>
      </c>
      <c r="N1572" s="3" t="s">
        <v>1031</v>
      </c>
      <c r="P1572" s="3" t="s">
        <v>102</v>
      </c>
      <c r="R1572" s="3" t="s">
        <v>70</v>
      </c>
      <c r="S1572" s="4">
        <v>35</v>
      </c>
      <c r="T1572" s="4">
        <v>35</v>
      </c>
      <c r="U1572" s="5" t="s">
        <v>12623</v>
      </c>
      <c r="V1572" s="5" t="s">
        <v>12623</v>
      </c>
      <c r="W1572" s="5" t="s">
        <v>72</v>
      </c>
      <c r="X1572" s="5" t="s">
        <v>72</v>
      </c>
      <c r="Y1572" s="4">
        <v>268</v>
      </c>
      <c r="Z1572" s="4">
        <v>18</v>
      </c>
      <c r="AA1572" s="4">
        <v>19</v>
      </c>
      <c r="AB1572" s="4">
        <v>2</v>
      </c>
      <c r="AC1572" s="4">
        <v>3</v>
      </c>
      <c r="AD1572" s="4">
        <v>76</v>
      </c>
      <c r="AE1572" s="4">
        <v>77</v>
      </c>
      <c r="AF1572" s="4">
        <v>1</v>
      </c>
      <c r="AG1572" s="4">
        <v>2</v>
      </c>
      <c r="AH1572" s="4">
        <v>69</v>
      </c>
      <c r="AI1572" s="4">
        <v>69</v>
      </c>
      <c r="AJ1572" s="4">
        <v>13</v>
      </c>
      <c r="AK1572" s="4">
        <v>14</v>
      </c>
      <c r="AL1572" s="4">
        <v>32</v>
      </c>
      <c r="AM1572" s="4">
        <v>32</v>
      </c>
      <c r="AN1572" s="4">
        <v>0</v>
      </c>
      <c r="AO1572" s="4">
        <v>0</v>
      </c>
      <c r="AP1572" s="4">
        <v>15</v>
      </c>
      <c r="AQ1572" s="4">
        <v>15</v>
      </c>
      <c r="AR1572" s="3" t="s">
        <v>64</v>
      </c>
      <c r="AS1572" s="3" t="s">
        <v>64</v>
      </c>
      <c r="AT1572" s="3" t="s">
        <v>128</v>
      </c>
      <c r="AU1572" s="6" t="str">
        <f>HYPERLINK("http://catalog.hathitrust.org/Record/002536617","HathiTrust Record")</f>
        <v>HathiTrust Record</v>
      </c>
      <c r="AV1572" s="6" t="str">
        <f>HYPERLINK("http://mcgill.on.worldcat.org/oclc/24906893","Catalog Record")</f>
        <v>Catalog Record</v>
      </c>
      <c r="AW1572" s="6" t="str">
        <f>HYPERLINK("http://www.worldcat.org/oclc/24906893","WorldCat Record")</f>
        <v>WorldCat Record</v>
      </c>
      <c r="AX1572" s="3" t="s">
        <v>15886</v>
      </c>
      <c r="AY1572" s="3" t="s">
        <v>15887</v>
      </c>
      <c r="AZ1572" s="3" t="s">
        <v>15888</v>
      </c>
      <c r="BA1572" s="3" t="s">
        <v>15888</v>
      </c>
      <c r="BB1572" s="3" t="s">
        <v>15889</v>
      </c>
      <c r="BC1572" s="3" t="s">
        <v>77</v>
      </c>
      <c r="BD1572" s="3" t="s">
        <v>78</v>
      </c>
      <c r="BE1572" s="3" t="s">
        <v>15890</v>
      </c>
      <c r="BF1572" s="3" t="s">
        <v>15889</v>
      </c>
      <c r="BG1572" s="3" t="s">
        <v>15891</v>
      </c>
      <c r="BH1572">
        <f t="shared" si="44"/>
        <v>0</v>
      </c>
    </row>
    <row r="1573" spans="1:60" ht="58" x14ac:dyDescent="0.35">
      <c r="A1573" s="2" t="s">
        <v>59</v>
      </c>
      <c r="B1573" s="2" t="s">
        <v>60</v>
      </c>
      <c r="C1573" s="2" t="s">
        <v>15892</v>
      </c>
      <c r="D1573" s="2" t="s">
        <v>15893</v>
      </c>
      <c r="E1573" s="2" t="s">
        <v>15894</v>
      </c>
      <c r="G1573" s="3" t="s">
        <v>64</v>
      </c>
      <c r="I1573" s="3" t="s">
        <v>64</v>
      </c>
      <c r="J1573" s="3" t="s">
        <v>64</v>
      </c>
      <c r="K1573" s="3" t="s">
        <v>65</v>
      </c>
      <c r="M1573" s="2" t="s">
        <v>15135</v>
      </c>
      <c r="N1573" s="3" t="s">
        <v>190</v>
      </c>
      <c r="P1573" s="3" t="s">
        <v>102</v>
      </c>
      <c r="R1573" s="3" t="s">
        <v>70</v>
      </c>
      <c r="S1573" s="4">
        <v>1</v>
      </c>
      <c r="T1573" s="4">
        <v>1</v>
      </c>
      <c r="U1573" s="5" t="s">
        <v>1005</v>
      </c>
      <c r="V1573" s="5" t="s">
        <v>1005</v>
      </c>
      <c r="W1573" s="5" t="s">
        <v>72</v>
      </c>
      <c r="X1573" s="5" t="s">
        <v>72</v>
      </c>
      <c r="Y1573" s="4">
        <v>105</v>
      </c>
      <c r="Z1573" s="4">
        <v>7</v>
      </c>
      <c r="AA1573" s="4">
        <v>8</v>
      </c>
      <c r="AB1573" s="4">
        <v>1</v>
      </c>
      <c r="AC1573" s="4">
        <v>2</v>
      </c>
      <c r="AD1573" s="4">
        <v>32</v>
      </c>
      <c r="AE1573" s="4">
        <v>33</v>
      </c>
      <c r="AF1573" s="4">
        <v>0</v>
      </c>
      <c r="AG1573" s="4">
        <v>1</v>
      </c>
      <c r="AH1573" s="4">
        <v>27</v>
      </c>
      <c r="AI1573" s="4">
        <v>27</v>
      </c>
      <c r="AJ1573" s="4">
        <v>5</v>
      </c>
      <c r="AK1573" s="4">
        <v>6</v>
      </c>
      <c r="AL1573" s="4">
        <v>19</v>
      </c>
      <c r="AM1573" s="4">
        <v>19</v>
      </c>
      <c r="AN1573" s="4">
        <v>0</v>
      </c>
      <c r="AO1573" s="4">
        <v>0</v>
      </c>
      <c r="AP1573" s="4">
        <v>6</v>
      </c>
      <c r="AQ1573" s="4">
        <v>6</v>
      </c>
      <c r="AR1573" s="3" t="s">
        <v>64</v>
      </c>
      <c r="AS1573" s="3" t="s">
        <v>64</v>
      </c>
      <c r="AT1573" s="3" t="s">
        <v>64</v>
      </c>
      <c r="AV1573" s="6" t="str">
        <f>HYPERLINK("http://mcgill.on.worldcat.org/oclc/973920726","Catalog Record")</f>
        <v>Catalog Record</v>
      </c>
      <c r="AW1573" s="6" t="str">
        <f>HYPERLINK("http://www.worldcat.org/oclc/973920726","WorldCat Record")</f>
        <v>WorldCat Record</v>
      </c>
      <c r="AX1573" s="3" t="s">
        <v>15895</v>
      </c>
      <c r="AY1573" s="3" t="s">
        <v>15896</v>
      </c>
      <c r="AZ1573" s="3" t="s">
        <v>15897</v>
      </c>
      <c r="BA1573" s="3" t="s">
        <v>15897</v>
      </c>
      <c r="BB1573" s="3" t="s">
        <v>15898</v>
      </c>
      <c r="BC1573" s="3" t="s">
        <v>77</v>
      </c>
      <c r="BD1573" s="3" t="s">
        <v>78</v>
      </c>
      <c r="BE1573" s="3" t="s">
        <v>15899</v>
      </c>
      <c r="BF1573" s="3" t="s">
        <v>15898</v>
      </c>
      <c r="BG1573" s="3" t="s">
        <v>15900</v>
      </c>
      <c r="BH1573">
        <f t="shared" si="44"/>
        <v>0</v>
      </c>
    </row>
    <row r="1574" spans="1:60" ht="58" x14ac:dyDescent="0.35">
      <c r="A1574" s="2" t="s">
        <v>59</v>
      </c>
      <c r="B1574" s="2" t="s">
        <v>60</v>
      </c>
      <c r="C1574" s="2" t="s">
        <v>15901</v>
      </c>
      <c r="D1574" s="2" t="s">
        <v>15902</v>
      </c>
      <c r="E1574" s="2" t="s">
        <v>15903</v>
      </c>
      <c r="G1574" s="3" t="s">
        <v>64</v>
      </c>
      <c r="I1574" s="3" t="s">
        <v>64</v>
      </c>
      <c r="J1574" s="3" t="s">
        <v>64</v>
      </c>
      <c r="K1574" s="3" t="s">
        <v>65</v>
      </c>
      <c r="L1574" s="2" t="s">
        <v>15904</v>
      </c>
      <c r="M1574" s="2" t="s">
        <v>15180</v>
      </c>
      <c r="N1574" s="3" t="s">
        <v>86</v>
      </c>
      <c r="P1574" s="3" t="s">
        <v>102</v>
      </c>
      <c r="R1574" s="3" t="s">
        <v>70</v>
      </c>
      <c r="S1574" s="4">
        <v>8</v>
      </c>
      <c r="T1574" s="4">
        <v>8</v>
      </c>
      <c r="U1574" s="5" t="s">
        <v>10641</v>
      </c>
      <c r="V1574" s="5" t="s">
        <v>10641</v>
      </c>
      <c r="W1574" s="5" t="s">
        <v>72</v>
      </c>
      <c r="X1574" s="5" t="s">
        <v>72</v>
      </c>
      <c r="Y1574" s="4">
        <v>168</v>
      </c>
      <c r="Z1574" s="4">
        <v>17</v>
      </c>
      <c r="AA1574" s="4">
        <v>24</v>
      </c>
      <c r="AB1574" s="4">
        <v>1</v>
      </c>
      <c r="AC1574" s="4">
        <v>5</v>
      </c>
      <c r="AD1574" s="4">
        <v>51</v>
      </c>
      <c r="AE1574" s="4">
        <v>57</v>
      </c>
      <c r="AF1574" s="4">
        <v>0</v>
      </c>
      <c r="AG1574" s="4">
        <v>1</v>
      </c>
      <c r="AH1574" s="4">
        <v>45</v>
      </c>
      <c r="AI1574" s="4">
        <v>48</v>
      </c>
      <c r="AJ1574" s="4">
        <v>8</v>
      </c>
      <c r="AK1574" s="4">
        <v>11</v>
      </c>
      <c r="AL1574" s="4">
        <v>22</v>
      </c>
      <c r="AM1574" s="4">
        <v>24</v>
      </c>
      <c r="AN1574" s="4">
        <v>0</v>
      </c>
      <c r="AO1574" s="4">
        <v>0</v>
      </c>
      <c r="AP1574" s="4">
        <v>11</v>
      </c>
      <c r="AQ1574" s="4">
        <v>14</v>
      </c>
      <c r="AR1574" s="3" t="s">
        <v>64</v>
      </c>
      <c r="AS1574" s="3" t="s">
        <v>64</v>
      </c>
      <c r="AT1574" s="3" t="s">
        <v>64</v>
      </c>
      <c r="AV1574" s="6" t="str">
        <f>HYPERLINK("http://mcgill.on.worldcat.org/oclc/759916023","Catalog Record")</f>
        <v>Catalog Record</v>
      </c>
      <c r="AW1574" s="6" t="str">
        <f>HYPERLINK("http://www.worldcat.org/oclc/759916023","WorldCat Record")</f>
        <v>WorldCat Record</v>
      </c>
      <c r="AX1574" s="3" t="s">
        <v>15905</v>
      </c>
      <c r="AY1574" s="3" t="s">
        <v>15906</v>
      </c>
      <c r="AZ1574" s="3" t="s">
        <v>15907</v>
      </c>
      <c r="BA1574" s="3" t="s">
        <v>15907</v>
      </c>
      <c r="BB1574" s="3" t="s">
        <v>15908</v>
      </c>
      <c r="BC1574" s="3" t="s">
        <v>77</v>
      </c>
      <c r="BD1574" s="3" t="s">
        <v>78</v>
      </c>
      <c r="BE1574" s="3" t="s">
        <v>15909</v>
      </c>
      <c r="BF1574" s="3" t="s">
        <v>15908</v>
      </c>
      <c r="BG1574" s="3" t="s">
        <v>15910</v>
      </c>
      <c r="BH1574">
        <f t="shared" si="44"/>
        <v>0</v>
      </c>
    </row>
    <row r="1575" spans="1:60" ht="58" x14ac:dyDescent="0.35">
      <c r="A1575" s="2" t="s">
        <v>59</v>
      </c>
      <c r="B1575" s="2" t="s">
        <v>60</v>
      </c>
      <c r="C1575" s="2" t="s">
        <v>15911</v>
      </c>
      <c r="D1575" s="2" t="s">
        <v>15912</v>
      </c>
      <c r="E1575" s="2" t="s">
        <v>15913</v>
      </c>
      <c r="G1575" s="3" t="s">
        <v>64</v>
      </c>
      <c r="I1575" s="3" t="s">
        <v>128</v>
      </c>
      <c r="J1575" s="3" t="s">
        <v>64</v>
      </c>
      <c r="K1575" s="3" t="s">
        <v>65</v>
      </c>
      <c r="L1575" s="2" t="s">
        <v>15914</v>
      </c>
      <c r="M1575" s="2" t="s">
        <v>14376</v>
      </c>
      <c r="N1575" s="3" t="s">
        <v>551</v>
      </c>
      <c r="P1575" s="3" t="s">
        <v>102</v>
      </c>
      <c r="R1575" s="3" t="s">
        <v>70</v>
      </c>
      <c r="S1575" s="4">
        <v>90</v>
      </c>
      <c r="T1575" s="4">
        <v>92</v>
      </c>
      <c r="U1575" s="5" t="s">
        <v>15865</v>
      </c>
      <c r="V1575" s="5" t="s">
        <v>15865</v>
      </c>
      <c r="W1575" s="5" t="s">
        <v>72</v>
      </c>
      <c r="X1575" s="5" t="s">
        <v>72</v>
      </c>
      <c r="Y1575" s="4">
        <v>358</v>
      </c>
      <c r="Z1575" s="4">
        <v>32</v>
      </c>
      <c r="AA1575" s="4">
        <v>40</v>
      </c>
      <c r="AB1575" s="4">
        <v>4</v>
      </c>
      <c r="AC1575" s="4">
        <v>7</v>
      </c>
      <c r="AD1575" s="4">
        <v>90</v>
      </c>
      <c r="AE1575" s="4">
        <v>102</v>
      </c>
      <c r="AF1575" s="4">
        <v>1</v>
      </c>
      <c r="AG1575" s="4">
        <v>3</v>
      </c>
      <c r="AH1575" s="4">
        <v>74</v>
      </c>
      <c r="AI1575" s="4">
        <v>82</v>
      </c>
      <c r="AJ1575" s="4">
        <v>18</v>
      </c>
      <c r="AK1575" s="4">
        <v>20</v>
      </c>
      <c r="AL1575" s="4">
        <v>40</v>
      </c>
      <c r="AM1575" s="4">
        <v>43</v>
      </c>
      <c r="AN1575" s="4">
        <v>0</v>
      </c>
      <c r="AO1575" s="4">
        <v>0</v>
      </c>
      <c r="AP1575" s="4">
        <v>24</v>
      </c>
      <c r="AQ1575" s="4">
        <v>28</v>
      </c>
      <c r="AR1575" s="3" t="s">
        <v>64</v>
      </c>
      <c r="AS1575" s="3" t="s">
        <v>64</v>
      </c>
      <c r="AT1575" s="3" t="s">
        <v>64</v>
      </c>
      <c r="AV1575" s="6" t="str">
        <f>HYPERLINK("http://mcgill.on.worldcat.org/oclc/289095944","Catalog Record")</f>
        <v>Catalog Record</v>
      </c>
      <c r="AW1575" s="6" t="str">
        <f>HYPERLINK("http://www.worldcat.org/oclc/289095944","WorldCat Record")</f>
        <v>WorldCat Record</v>
      </c>
      <c r="AX1575" s="3" t="s">
        <v>15915</v>
      </c>
      <c r="AY1575" s="3" t="s">
        <v>15916</v>
      </c>
      <c r="AZ1575" s="3" t="s">
        <v>15917</v>
      </c>
      <c r="BA1575" s="3" t="s">
        <v>15917</v>
      </c>
      <c r="BB1575" s="3" t="s">
        <v>15918</v>
      </c>
      <c r="BC1575" s="3" t="s">
        <v>77</v>
      </c>
      <c r="BD1575" s="3" t="s">
        <v>165</v>
      </c>
      <c r="BE1575" s="3" t="s">
        <v>15919</v>
      </c>
      <c r="BF1575" s="3" t="s">
        <v>15918</v>
      </c>
      <c r="BG1575" s="3" t="s">
        <v>15920</v>
      </c>
      <c r="BH1575">
        <f t="shared" si="44"/>
        <v>0</v>
      </c>
    </row>
    <row r="1576" spans="1:60" ht="58" x14ac:dyDescent="0.35">
      <c r="A1576" s="2" t="s">
        <v>59</v>
      </c>
      <c r="B1576" s="2" t="s">
        <v>60</v>
      </c>
      <c r="C1576" s="2" t="s">
        <v>15911</v>
      </c>
      <c r="D1576" s="2" t="s">
        <v>15912</v>
      </c>
      <c r="E1576" s="2" t="s">
        <v>15913</v>
      </c>
      <c r="G1576" s="3" t="s">
        <v>64</v>
      </c>
      <c r="I1576" s="3" t="s">
        <v>128</v>
      </c>
      <c r="J1576" s="3" t="s">
        <v>64</v>
      </c>
      <c r="K1576" s="3" t="s">
        <v>65</v>
      </c>
      <c r="L1576" s="2" t="s">
        <v>15914</v>
      </c>
      <c r="M1576" s="2" t="s">
        <v>14376</v>
      </c>
      <c r="N1576" s="3" t="s">
        <v>551</v>
      </c>
      <c r="P1576" s="3" t="s">
        <v>102</v>
      </c>
      <c r="R1576" s="3" t="s">
        <v>70</v>
      </c>
      <c r="S1576" s="4">
        <v>2</v>
      </c>
      <c r="T1576" s="4">
        <v>92</v>
      </c>
      <c r="U1576" s="5" t="s">
        <v>15921</v>
      </c>
      <c r="V1576" s="5" t="s">
        <v>15865</v>
      </c>
      <c r="W1576" s="5" t="s">
        <v>72</v>
      </c>
      <c r="X1576" s="5" t="s">
        <v>72</v>
      </c>
      <c r="Y1576" s="4">
        <v>358</v>
      </c>
      <c r="Z1576" s="4">
        <v>32</v>
      </c>
      <c r="AA1576" s="4">
        <v>40</v>
      </c>
      <c r="AB1576" s="4">
        <v>4</v>
      </c>
      <c r="AC1576" s="4">
        <v>7</v>
      </c>
      <c r="AD1576" s="4">
        <v>90</v>
      </c>
      <c r="AE1576" s="4">
        <v>102</v>
      </c>
      <c r="AF1576" s="4">
        <v>1</v>
      </c>
      <c r="AG1576" s="4">
        <v>3</v>
      </c>
      <c r="AH1576" s="4">
        <v>74</v>
      </c>
      <c r="AI1576" s="4">
        <v>82</v>
      </c>
      <c r="AJ1576" s="4">
        <v>18</v>
      </c>
      <c r="AK1576" s="4">
        <v>20</v>
      </c>
      <c r="AL1576" s="4">
        <v>40</v>
      </c>
      <c r="AM1576" s="4">
        <v>43</v>
      </c>
      <c r="AN1576" s="4">
        <v>0</v>
      </c>
      <c r="AO1576" s="4">
        <v>0</v>
      </c>
      <c r="AP1576" s="4">
        <v>24</v>
      </c>
      <c r="AQ1576" s="4">
        <v>28</v>
      </c>
      <c r="AR1576" s="3" t="s">
        <v>64</v>
      </c>
      <c r="AS1576" s="3" t="s">
        <v>64</v>
      </c>
      <c r="AT1576" s="3" t="s">
        <v>64</v>
      </c>
      <c r="AV1576" s="6" t="str">
        <f>HYPERLINK("http://mcgill.on.worldcat.org/oclc/289095944","Catalog Record")</f>
        <v>Catalog Record</v>
      </c>
      <c r="AW1576" s="6" t="str">
        <f>HYPERLINK("http://www.worldcat.org/oclc/289095944","WorldCat Record")</f>
        <v>WorldCat Record</v>
      </c>
      <c r="AX1576" s="3" t="s">
        <v>15915</v>
      </c>
      <c r="AY1576" s="3" t="s">
        <v>15916</v>
      </c>
      <c r="AZ1576" s="3" t="s">
        <v>15917</v>
      </c>
      <c r="BA1576" s="3" t="s">
        <v>15917</v>
      </c>
      <c r="BB1576" s="3" t="s">
        <v>15922</v>
      </c>
      <c r="BC1576" s="3" t="s">
        <v>77</v>
      </c>
      <c r="BD1576" s="3" t="s">
        <v>78</v>
      </c>
      <c r="BE1576" s="3" t="s">
        <v>15919</v>
      </c>
      <c r="BF1576" s="3" t="s">
        <v>15922</v>
      </c>
      <c r="BG1576" s="3" t="s">
        <v>15923</v>
      </c>
      <c r="BH1576">
        <f t="shared" si="44"/>
        <v>0</v>
      </c>
    </row>
    <row r="1577" spans="1:60" ht="58" x14ac:dyDescent="0.35">
      <c r="A1577" s="2" t="s">
        <v>59</v>
      </c>
      <c r="B1577" s="2" t="s">
        <v>60</v>
      </c>
      <c r="C1577" s="2" t="s">
        <v>15924</v>
      </c>
      <c r="D1577" s="2" t="s">
        <v>15925</v>
      </c>
      <c r="E1577" s="2" t="s">
        <v>15926</v>
      </c>
      <c r="G1577" s="3" t="s">
        <v>64</v>
      </c>
      <c r="I1577" s="3" t="s">
        <v>64</v>
      </c>
      <c r="J1577" s="3" t="s">
        <v>64</v>
      </c>
      <c r="K1577" s="3" t="s">
        <v>65</v>
      </c>
      <c r="M1577" s="2" t="s">
        <v>14235</v>
      </c>
      <c r="N1577" s="3" t="s">
        <v>511</v>
      </c>
      <c r="P1577" s="3" t="s">
        <v>102</v>
      </c>
      <c r="Q1577" s="2" t="s">
        <v>14045</v>
      </c>
      <c r="R1577" s="3" t="s">
        <v>70</v>
      </c>
      <c r="S1577" s="4">
        <v>11</v>
      </c>
      <c r="T1577" s="4">
        <v>11</v>
      </c>
      <c r="U1577" s="5" t="s">
        <v>15927</v>
      </c>
      <c r="V1577" s="5" t="s">
        <v>15927</v>
      </c>
      <c r="W1577" s="5" t="s">
        <v>72</v>
      </c>
      <c r="X1577" s="5" t="s">
        <v>72</v>
      </c>
      <c r="Y1577" s="4">
        <v>603</v>
      </c>
      <c r="Z1577" s="4">
        <v>31</v>
      </c>
      <c r="AA1577" s="4">
        <v>117</v>
      </c>
      <c r="AB1577" s="4">
        <v>2</v>
      </c>
      <c r="AC1577" s="4">
        <v>17</v>
      </c>
      <c r="AD1577" s="4">
        <v>95</v>
      </c>
      <c r="AE1577" s="4">
        <v>140</v>
      </c>
      <c r="AF1577" s="4">
        <v>1</v>
      </c>
      <c r="AG1577" s="4">
        <v>8</v>
      </c>
      <c r="AH1577" s="4">
        <v>82</v>
      </c>
      <c r="AI1577" s="4">
        <v>99</v>
      </c>
      <c r="AJ1577" s="4">
        <v>16</v>
      </c>
      <c r="AK1577" s="4">
        <v>23</v>
      </c>
      <c r="AL1577" s="4">
        <v>40</v>
      </c>
      <c r="AM1577" s="4">
        <v>51</v>
      </c>
      <c r="AN1577" s="4">
        <v>0</v>
      </c>
      <c r="AO1577" s="4">
        <v>0</v>
      </c>
      <c r="AP1577" s="4">
        <v>21</v>
      </c>
      <c r="AQ1577" s="4">
        <v>48</v>
      </c>
      <c r="AR1577" s="3" t="s">
        <v>64</v>
      </c>
      <c r="AS1577" s="3" t="s">
        <v>64</v>
      </c>
      <c r="AT1577" s="3" t="s">
        <v>64</v>
      </c>
      <c r="AV1577" s="6" t="str">
        <f>HYPERLINK("http://mcgill.on.worldcat.org/oclc/421947148","Catalog Record")</f>
        <v>Catalog Record</v>
      </c>
      <c r="AW1577" s="6" t="str">
        <f>HYPERLINK("http://www.worldcat.org/oclc/421947148","WorldCat Record")</f>
        <v>WorldCat Record</v>
      </c>
      <c r="AX1577" s="3" t="s">
        <v>15928</v>
      </c>
      <c r="AY1577" s="3" t="s">
        <v>15929</v>
      </c>
      <c r="AZ1577" s="3" t="s">
        <v>15930</v>
      </c>
      <c r="BA1577" s="3" t="s">
        <v>15930</v>
      </c>
      <c r="BB1577" s="3" t="s">
        <v>15931</v>
      </c>
      <c r="BC1577" s="3" t="s">
        <v>77</v>
      </c>
      <c r="BD1577" s="3" t="s">
        <v>78</v>
      </c>
      <c r="BE1577" s="3" t="s">
        <v>15932</v>
      </c>
      <c r="BF1577" s="3" t="s">
        <v>15931</v>
      </c>
      <c r="BG1577" s="3" t="s">
        <v>15933</v>
      </c>
      <c r="BH1577">
        <f t="shared" si="44"/>
        <v>0</v>
      </c>
    </row>
    <row r="1578" spans="1:60" ht="58" x14ac:dyDescent="0.35">
      <c r="A1578" s="2" t="s">
        <v>59</v>
      </c>
      <c r="B1578" s="2" t="s">
        <v>60</v>
      </c>
      <c r="C1578" s="2" t="s">
        <v>15934</v>
      </c>
      <c r="D1578" s="2" t="s">
        <v>15935</v>
      </c>
      <c r="E1578" s="2" t="s">
        <v>15936</v>
      </c>
      <c r="G1578" s="3" t="s">
        <v>64</v>
      </c>
      <c r="I1578" s="3" t="s">
        <v>64</v>
      </c>
      <c r="J1578" s="3" t="s">
        <v>64</v>
      </c>
      <c r="K1578" s="3" t="s">
        <v>65</v>
      </c>
      <c r="L1578" s="2" t="s">
        <v>15937</v>
      </c>
      <c r="M1578" s="2" t="s">
        <v>15938</v>
      </c>
      <c r="N1578" s="3" t="s">
        <v>551</v>
      </c>
      <c r="P1578" s="3" t="s">
        <v>102</v>
      </c>
      <c r="R1578" s="3" t="s">
        <v>70</v>
      </c>
      <c r="S1578" s="4">
        <v>12</v>
      </c>
      <c r="T1578" s="4">
        <v>12</v>
      </c>
      <c r="U1578" s="5" t="s">
        <v>15939</v>
      </c>
      <c r="V1578" s="5" t="s">
        <v>15939</v>
      </c>
      <c r="W1578" s="5" t="s">
        <v>72</v>
      </c>
      <c r="X1578" s="5" t="s">
        <v>72</v>
      </c>
      <c r="Y1578" s="4">
        <v>193</v>
      </c>
      <c r="Z1578" s="4">
        <v>15</v>
      </c>
      <c r="AA1578" s="4">
        <v>21</v>
      </c>
      <c r="AB1578" s="4">
        <v>1</v>
      </c>
      <c r="AC1578" s="4">
        <v>5</v>
      </c>
      <c r="AD1578" s="4">
        <v>54</v>
      </c>
      <c r="AE1578" s="4">
        <v>63</v>
      </c>
      <c r="AF1578" s="4">
        <v>0</v>
      </c>
      <c r="AG1578" s="4">
        <v>2</v>
      </c>
      <c r="AH1578" s="4">
        <v>46</v>
      </c>
      <c r="AI1578" s="4">
        <v>52</v>
      </c>
      <c r="AJ1578" s="4">
        <v>9</v>
      </c>
      <c r="AK1578" s="4">
        <v>10</v>
      </c>
      <c r="AL1578" s="4">
        <v>29</v>
      </c>
      <c r="AM1578" s="4">
        <v>29</v>
      </c>
      <c r="AN1578" s="4">
        <v>0</v>
      </c>
      <c r="AO1578" s="4">
        <v>0</v>
      </c>
      <c r="AP1578" s="4">
        <v>12</v>
      </c>
      <c r="AQ1578" s="4">
        <v>14</v>
      </c>
      <c r="AR1578" s="3" t="s">
        <v>64</v>
      </c>
      <c r="AS1578" s="3" t="s">
        <v>64</v>
      </c>
      <c r="AT1578" s="3" t="s">
        <v>64</v>
      </c>
      <c r="AV1578" s="6" t="str">
        <f>HYPERLINK("http://mcgill.on.worldcat.org/oclc/370609754","Catalog Record")</f>
        <v>Catalog Record</v>
      </c>
      <c r="AW1578" s="6" t="str">
        <f>HYPERLINK("http://www.worldcat.org/oclc/370609754","WorldCat Record")</f>
        <v>WorldCat Record</v>
      </c>
      <c r="AX1578" s="3" t="s">
        <v>15940</v>
      </c>
      <c r="AY1578" s="3" t="s">
        <v>15941</v>
      </c>
      <c r="AZ1578" s="3" t="s">
        <v>15942</v>
      </c>
      <c r="BA1578" s="3" t="s">
        <v>15942</v>
      </c>
      <c r="BB1578" s="3" t="s">
        <v>15943</v>
      </c>
      <c r="BC1578" s="3" t="s">
        <v>77</v>
      </c>
      <c r="BD1578" s="3" t="s">
        <v>165</v>
      </c>
      <c r="BE1578" s="3" t="s">
        <v>15944</v>
      </c>
      <c r="BF1578" s="3" t="s">
        <v>15943</v>
      </c>
      <c r="BG1578" s="3" t="s">
        <v>15945</v>
      </c>
      <c r="BH1578">
        <f t="shared" si="44"/>
        <v>0</v>
      </c>
    </row>
    <row r="1579" spans="1:60" ht="58" x14ac:dyDescent="0.35">
      <c r="A1579" s="2" t="s">
        <v>59</v>
      </c>
      <c r="B1579" s="2" t="s">
        <v>60</v>
      </c>
      <c r="C1579" s="2" t="s">
        <v>15946</v>
      </c>
      <c r="D1579" s="2" t="s">
        <v>15947</v>
      </c>
      <c r="E1579" s="2" t="s">
        <v>15948</v>
      </c>
      <c r="G1579" s="3" t="s">
        <v>64</v>
      </c>
      <c r="I1579" s="3" t="s">
        <v>64</v>
      </c>
      <c r="J1579" s="3" t="s">
        <v>64</v>
      </c>
      <c r="K1579" s="3" t="s">
        <v>65</v>
      </c>
      <c r="M1579" s="2" t="s">
        <v>15949</v>
      </c>
      <c r="N1579" s="3" t="s">
        <v>874</v>
      </c>
      <c r="P1579" s="3" t="s">
        <v>102</v>
      </c>
      <c r="Q1579" s="2" t="s">
        <v>15950</v>
      </c>
      <c r="R1579" s="3" t="s">
        <v>70</v>
      </c>
      <c r="S1579" s="4">
        <v>21</v>
      </c>
      <c r="T1579" s="4">
        <v>21</v>
      </c>
      <c r="U1579" s="5" t="s">
        <v>1616</v>
      </c>
      <c r="V1579" s="5" t="s">
        <v>1616</v>
      </c>
      <c r="W1579" s="5" t="s">
        <v>72</v>
      </c>
      <c r="X1579" s="5" t="s">
        <v>72</v>
      </c>
      <c r="Y1579" s="4">
        <v>25</v>
      </c>
      <c r="Z1579" s="4">
        <v>1</v>
      </c>
      <c r="AA1579" s="4">
        <v>1</v>
      </c>
      <c r="AB1579" s="4">
        <v>1</v>
      </c>
      <c r="AC1579" s="4">
        <v>1</v>
      </c>
      <c r="AD1579" s="4">
        <v>7</v>
      </c>
      <c r="AE1579" s="4">
        <v>7</v>
      </c>
      <c r="AF1579" s="4">
        <v>0</v>
      </c>
      <c r="AG1579" s="4">
        <v>0</v>
      </c>
      <c r="AH1579" s="4">
        <v>7</v>
      </c>
      <c r="AI1579" s="4">
        <v>7</v>
      </c>
      <c r="AJ1579" s="4">
        <v>0</v>
      </c>
      <c r="AK1579" s="4">
        <v>0</v>
      </c>
      <c r="AL1579" s="4">
        <v>3</v>
      </c>
      <c r="AM1579" s="4">
        <v>3</v>
      </c>
      <c r="AN1579" s="4">
        <v>0</v>
      </c>
      <c r="AO1579" s="4">
        <v>0</v>
      </c>
      <c r="AP1579" s="4">
        <v>0</v>
      </c>
      <c r="AQ1579" s="4">
        <v>0</v>
      </c>
      <c r="AR1579" s="3" t="s">
        <v>64</v>
      </c>
      <c r="AS1579" s="3" t="s">
        <v>64</v>
      </c>
      <c r="AT1579" s="3" t="s">
        <v>64</v>
      </c>
      <c r="AV1579" s="6" t="str">
        <f>HYPERLINK("http://mcgill.on.worldcat.org/oclc/7983916","Catalog Record")</f>
        <v>Catalog Record</v>
      </c>
      <c r="AW1579" s="6" t="str">
        <f>HYPERLINK("http://www.worldcat.org/oclc/7983916","WorldCat Record")</f>
        <v>WorldCat Record</v>
      </c>
      <c r="AX1579" s="3" t="s">
        <v>15951</v>
      </c>
      <c r="AY1579" s="3" t="s">
        <v>15952</v>
      </c>
      <c r="AZ1579" s="3" t="s">
        <v>15953</v>
      </c>
      <c r="BA1579" s="3" t="s">
        <v>15953</v>
      </c>
      <c r="BB1579" s="3" t="s">
        <v>15954</v>
      </c>
      <c r="BC1579" s="3" t="s">
        <v>77</v>
      </c>
      <c r="BD1579" s="3" t="s">
        <v>78</v>
      </c>
      <c r="BF1579" s="3" t="s">
        <v>15954</v>
      </c>
      <c r="BG1579" s="3" t="s">
        <v>15955</v>
      </c>
      <c r="BH1579">
        <f t="shared" si="44"/>
        <v>0</v>
      </c>
    </row>
    <row r="1580" spans="1:60" ht="58" x14ac:dyDescent="0.35">
      <c r="A1580" s="2" t="s">
        <v>59</v>
      </c>
      <c r="B1580" s="2" t="s">
        <v>60</v>
      </c>
      <c r="C1580" s="2" t="s">
        <v>15956</v>
      </c>
      <c r="D1580" s="2" t="s">
        <v>15957</v>
      </c>
      <c r="E1580" s="2" t="s">
        <v>15958</v>
      </c>
      <c r="G1580" s="3" t="s">
        <v>64</v>
      </c>
      <c r="I1580" s="3" t="s">
        <v>64</v>
      </c>
      <c r="J1580" s="3" t="s">
        <v>64</v>
      </c>
      <c r="K1580" s="3" t="s">
        <v>65</v>
      </c>
      <c r="L1580" s="2" t="s">
        <v>15959</v>
      </c>
      <c r="M1580" s="2" t="s">
        <v>15960</v>
      </c>
      <c r="N1580" s="3" t="s">
        <v>1250</v>
      </c>
      <c r="P1580" s="3" t="s">
        <v>102</v>
      </c>
      <c r="Q1580" s="2" t="s">
        <v>14685</v>
      </c>
      <c r="R1580" s="3" t="s">
        <v>70</v>
      </c>
      <c r="S1580" s="4">
        <v>13</v>
      </c>
      <c r="T1580" s="4">
        <v>13</v>
      </c>
      <c r="U1580" s="5" t="s">
        <v>15961</v>
      </c>
      <c r="V1580" s="5" t="s">
        <v>15961</v>
      </c>
      <c r="W1580" s="5" t="s">
        <v>72</v>
      </c>
      <c r="X1580" s="5" t="s">
        <v>72</v>
      </c>
      <c r="Y1580" s="4">
        <v>229</v>
      </c>
      <c r="Z1580" s="4">
        <v>10</v>
      </c>
      <c r="AA1580" s="4">
        <v>11</v>
      </c>
      <c r="AB1580" s="4">
        <v>1</v>
      </c>
      <c r="AC1580" s="4">
        <v>2</v>
      </c>
      <c r="AD1580" s="4">
        <v>69</v>
      </c>
      <c r="AE1580" s="4">
        <v>70</v>
      </c>
      <c r="AF1580" s="4">
        <v>0</v>
      </c>
      <c r="AG1580" s="4">
        <v>1</v>
      </c>
      <c r="AH1580" s="4">
        <v>67</v>
      </c>
      <c r="AI1580" s="4">
        <v>67</v>
      </c>
      <c r="AJ1580" s="4">
        <v>8</v>
      </c>
      <c r="AK1580" s="4">
        <v>9</v>
      </c>
      <c r="AL1580" s="4">
        <v>37</v>
      </c>
      <c r="AM1580" s="4">
        <v>37</v>
      </c>
      <c r="AN1580" s="4">
        <v>0</v>
      </c>
      <c r="AO1580" s="4">
        <v>0</v>
      </c>
      <c r="AP1580" s="4">
        <v>7</v>
      </c>
      <c r="AQ1580" s="4">
        <v>7</v>
      </c>
      <c r="AR1580" s="3" t="s">
        <v>64</v>
      </c>
      <c r="AS1580" s="3" t="s">
        <v>64</v>
      </c>
      <c r="AT1580" s="3" t="s">
        <v>128</v>
      </c>
      <c r="AU1580" s="6" t="str">
        <f>HYPERLINK("http://catalog.hathitrust.org/Record/002912202","HathiTrust Record")</f>
        <v>HathiTrust Record</v>
      </c>
      <c r="AV1580" s="6" t="str">
        <f>HYPERLINK("http://mcgill.on.worldcat.org/oclc/30436506","Catalog Record")</f>
        <v>Catalog Record</v>
      </c>
      <c r="AW1580" s="6" t="str">
        <f>HYPERLINK("http://www.worldcat.org/oclc/30436506","WorldCat Record")</f>
        <v>WorldCat Record</v>
      </c>
      <c r="AX1580" s="3" t="s">
        <v>15962</v>
      </c>
      <c r="AY1580" s="3" t="s">
        <v>15963</v>
      </c>
      <c r="AZ1580" s="3" t="s">
        <v>15964</v>
      </c>
      <c r="BA1580" s="3" t="s">
        <v>15964</v>
      </c>
      <c r="BB1580" s="3" t="s">
        <v>15965</v>
      </c>
      <c r="BC1580" s="3" t="s">
        <v>77</v>
      </c>
      <c r="BD1580" s="3" t="s">
        <v>78</v>
      </c>
      <c r="BE1580" s="3" t="s">
        <v>15966</v>
      </c>
      <c r="BF1580" s="3" t="s">
        <v>15965</v>
      </c>
      <c r="BG1580" s="3" t="s">
        <v>15967</v>
      </c>
      <c r="BH1580">
        <f t="shared" si="44"/>
        <v>0</v>
      </c>
    </row>
    <row r="1581" spans="1:60" ht="58" x14ac:dyDescent="0.35">
      <c r="A1581" s="2" t="s">
        <v>59</v>
      </c>
      <c r="B1581" s="2" t="s">
        <v>60</v>
      </c>
      <c r="C1581" s="2" t="s">
        <v>15968</v>
      </c>
      <c r="D1581" s="2" t="s">
        <v>15969</v>
      </c>
      <c r="E1581" s="2" t="s">
        <v>15970</v>
      </c>
      <c r="G1581" s="3" t="s">
        <v>64</v>
      </c>
      <c r="I1581" s="3" t="s">
        <v>64</v>
      </c>
      <c r="J1581" s="3" t="s">
        <v>64</v>
      </c>
      <c r="K1581" s="3" t="s">
        <v>65</v>
      </c>
      <c r="L1581" s="2" t="s">
        <v>15971</v>
      </c>
      <c r="M1581" s="2" t="s">
        <v>14662</v>
      </c>
      <c r="N1581" s="3" t="s">
        <v>551</v>
      </c>
      <c r="P1581" s="3" t="s">
        <v>102</v>
      </c>
      <c r="R1581" s="3" t="s">
        <v>70</v>
      </c>
      <c r="S1581" s="4">
        <v>16</v>
      </c>
      <c r="T1581" s="4">
        <v>16</v>
      </c>
      <c r="U1581" s="5" t="s">
        <v>15972</v>
      </c>
      <c r="V1581" s="5" t="s">
        <v>15972</v>
      </c>
      <c r="W1581" s="5" t="s">
        <v>72</v>
      </c>
      <c r="X1581" s="5" t="s">
        <v>72</v>
      </c>
      <c r="Y1581" s="4">
        <v>260</v>
      </c>
      <c r="Z1581" s="4">
        <v>25</v>
      </c>
      <c r="AA1581" s="4">
        <v>29</v>
      </c>
      <c r="AB1581" s="4">
        <v>4</v>
      </c>
      <c r="AC1581" s="4">
        <v>8</v>
      </c>
      <c r="AD1581" s="4">
        <v>88</v>
      </c>
      <c r="AE1581" s="4">
        <v>95</v>
      </c>
      <c r="AF1581" s="4">
        <v>1</v>
      </c>
      <c r="AG1581" s="4">
        <v>3</v>
      </c>
      <c r="AH1581" s="4">
        <v>75</v>
      </c>
      <c r="AI1581" s="4">
        <v>80</v>
      </c>
      <c r="AJ1581" s="4">
        <v>14</v>
      </c>
      <c r="AK1581" s="4">
        <v>16</v>
      </c>
      <c r="AL1581" s="4">
        <v>42</v>
      </c>
      <c r="AM1581" s="4">
        <v>45</v>
      </c>
      <c r="AN1581" s="4">
        <v>0</v>
      </c>
      <c r="AO1581" s="4">
        <v>0</v>
      </c>
      <c r="AP1581" s="4">
        <v>20</v>
      </c>
      <c r="AQ1581" s="4">
        <v>21</v>
      </c>
      <c r="AR1581" s="3" t="s">
        <v>64</v>
      </c>
      <c r="AS1581" s="3" t="s">
        <v>64</v>
      </c>
      <c r="AT1581" s="3" t="s">
        <v>64</v>
      </c>
      <c r="AV1581" s="6" t="str">
        <f>HYPERLINK("http://mcgill.on.worldcat.org/oclc/268952958","Catalog Record")</f>
        <v>Catalog Record</v>
      </c>
      <c r="AW1581" s="6" t="str">
        <f>HYPERLINK("http://www.worldcat.org/oclc/268952958","WorldCat Record")</f>
        <v>WorldCat Record</v>
      </c>
      <c r="AX1581" s="3" t="s">
        <v>15973</v>
      </c>
      <c r="AY1581" s="3" t="s">
        <v>15974</v>
      </c>
      <c r="AZ1581" s="3" t="s">
        <v>15975</v>
      </c>
      <c r="BA1581" s="3" t="s">
        <v>15975</v>
      </c>
      <c r="BB1581" s="3" t="s">
        <v>15976</v>
      </c>
      <c r="BC1581" s="3" t="s">
        <v>77</v>
      </c>
      <c r="BD1581" s="3" t="s">
        <v>78</v>
      </c>
      <c r="BE1581" s="3" t="s">
        <v>15977</v>
      </c>
      <c r="BF1581" s="3" t="s">
        <v>15976</v>
      </c>
      <c r="BG1581" s="3" t="s">
        <v>15978</v>
      </c>
      <c r="BH1581">
        <f t="shared" si="44"/>
        <v>0</v>
      </c>
    </row>
    <row r="1582" spans="1:60" ht="58" x14ac:dyDescent="0.35">
      <c r="A1582" s="2" t="s">
        <v>59</v>
      </c>
      <c r="B1582" s="2" t="s">
        <v>60</v>
      </c>
      <c r="C1582" s="2" t="s">
        <v>15979</v>
      </c>
      <c r="D1582" s="2" t="s">
        <v>15980</v>
      </c>
      <c r="E1582" s="2" t="s">
        <v>15981</v>
      </c>
      <c r="G1582" s="3" t="s">
        <v>64</v>
      </c>
      <c r="I1582" s="3" t="s">
        <v>64</v>
      </c>
      <c r="J1582" s="3" t="s">
        <v>64</v>
      </c>
      <c r="K1582" s="3" t="s">
        <v>65</v>
      </c>
      <c r="L1582" s="2" t="s">
        <v>15982</v>
      </c>
      <c r="M1582" s="2" t="s">
        <v>15983</v>
      </c>
      <c r="N1582" s="3" t="s">
        <v>1250</v>
      </c>
      <c r="P1582" s="3" t="s">
        <v>102</v>
      </c>
      <c r="Q1582" s="2" t="s">
        <v>15984</v>
      </c>
      <c r="R1582" s="3" t="s">
        <v>70</v>
      </c>
      <c r="S1582" s="4">
        <v>4</v>
      </c>
      <c r="T1582" s="4">
        <v>4</v>
      </c>
      <c r="U1582" s="5" t="s">
        <v>15961</v>
      </c>
      <c r="V1582" s="5" t="s">
        <v>15961</v>
      </c>
      <c r="W1582" s="5" t="s">
        <v>72</v>
      </c>
      <c r="X1582" s="5" t="s">
        <v>72</v>
      </c>
      <c r="Y1582" s="4">
        <v>234</v>
      </c>
      <c r="Z1582" s="4">
        <v>13</v>
      </c>
      <c r="AA1582" s="4">
        <v>21</v>
      </c>
      <c r="AB1582" s="4">
        <v>1</v>
      </c>
      <c r="AC1582" s="4">
        <v>6</v>
      </c>
      <c r="AD1582" s="4">
        <v>78</v>
      </c>
      <c r="AE1582" s="4">
        <v>86</v>
      </c>
      <c r="AF1582" s="4">
        <v>0</v>
      </c>
      <c r="AG1582" s="4">
        <v>2</v>
      </c>
      <c r="AH1582" s="4">
        <v>75</v>
      </c>
      <c r="AI1582" s="4">
        <v>79</v>
      </c>
      <c r="AJ1582" s="4">
        <v>9</v>
      </c>
      <c r="AK1582" s="4">
        <v>12</v>
      </c>
      <c r="AL1582" s="4">
        <v>41</v>
      </c>
      <c r="AM1582" s="4">
        <v>42</v>
      </c>
      <c r="AN1582" s="4">
        <v>0</v>
      </c>
      <c r="AO1582" s="4">
        <v>0</v>
      </c>
      <c r="AP1582" s="4">
        <v>8</v>
      </c>
      <c r="AQ1582" s="4">
        <v>12</v>
      </c>
      <c r="AR1582" s="3" t="s">
        <v>64</v>
      </c>
      <c r="AS1582" s="3" t="s">
        <v>64</v>
      </c>
      <c r="AT1582" s="3" t="s">
        <v>64</v>
      </c>
      <c r="AV1582" s="6" t="str">
        <f>HYPERLINK("http://mcgill.on.worldcat.org/oclc/27937560","Catalog Record")</f>
        <v>Catalog Record</v>
      </c>
      <c r="AW1582" s="6" t="str">
        <f>HYPERLINK("http://www.worldcat.org/oclc/27937560","WorldCat Record")</f>
        <v>WorldCat Record</v>
      </c>
      <c r="AX1582" s="3" t="s">
        <v>15985</v>
      </c>
      <c r="AY1582" s="3" t="s">
        <v>15986</v>
      </c>
      <c r="AZ1582" s="3" t="s">
        <v>15987</v>
      </c>
      <c r="BA1582" s="3" t="s">
        <v>15987</v>
      </c>
      <c r="BB1582" s="3" t="s">
        <v>15988</v>
      </c>
      <c r="BC1582" s="3" t="s">
        <v>77</v>
      </c>
      <c r="BD1582" s="3" t="s">
        <v>78</v>
      </c>
      <c r="BE1582" s="3" t="s">
        <v>15989</v>
      </c>
      <c r="BF1582" s="3" t="s">
        <v>15988</v>
      </c>
      <c r="BG1582" s="3" t="s">
        <v>15990</v>
      </c>
      <c r="BH1582">
        <f t="shared" si="44"/>
        <v>0</v>
      </c>
    </row>
    <row r="1583" spans="1:60" ht="58" x14ac:dyDescent="0.35">
      <c r="A1583" s="2" t="s">
        <v>59</v>
      </c>
      <c r="B1583" s="2" t="s">
        <v>60</v>
      </c>
      <c r="C1583" s="2" t="s">
        <v>15991</v>
      </c>
      <c r="D1583" s="2" t="s">
        <v>15992</v>
      </c>
      <c r="E1583" s="2" t="s">
        <v>15993</v>
      </c>
      <c r="G1583" s="3" t="s">
        <v>64</v>
      </c>
      <c r="I1583" s="3" t="s">
        <v>64</v>
      </c>
      <c r="J1583" s="3" t="s">
        <v>64</v>
      </c>
      <c r="K1583" s="3" t="s">
        <v>65</v>
      </c>
      <c r="L1583" s="2" t="s">
        <v>15994</v>
      </c>
      <c r="M1583" s="2" t="s">
        <v>15995</v>
      </c>
      <c r="N1583" s="3" t="s">
        <v>551</v>
      </c>
      <c r="P1583" s="3" t="s">
        <v>102</v>
      </c>
      <c r="R1583" s="3" t="s">
        <v>70</v>
      </c>
      <c r="S1583" s="4">
        <v>6</v>
      </c>
      <c r="T1583" s="4">
        <v>6</v>
      </c>
      <c r="U1583" s="5" t="s">
        <v>7592</v>
      </c>
      <c r="V1583" s="5" t="s">
        <v>7592</v>
      </c>
      <c r="W1583" s="5" t="s">
        <v>72</v>
      </c>
      <c r="X1583" s="5" t="s">
        <v>72</v>
      </c>
      <c r="Y1583" s="4">
        <v>563</v>
      </c>
      <c r="Z1583" s="4">
        <v>34</v>
      </c>
      <c r="AA1583" s="4">
        <v>38</v>
      </c>
      <c r="AB1583" s="4">
        <v>3</v>
      </c>
      <c r="AC1583" s="4">
        <v>7</v>
      </c>
      <c r="AD1583" s="4">
        <v>100</v>
      </c>
      <c r="AE1583" s="4">
        <v>103</v>
      </c>
      <c r="AF1583" s="4">
        <v>1</v>
      </c>
      <c r="AG1583" s="4">
        <v>4</v>
      </c>
      <c r="AH1583" s="4">
        <v>86</v>
      </c>
      <c r="AI1583" s="4">
        <v>86</v>
      </c>
      <c r="AJ1583" s="4">
        <v>19</v>
      </c>
      <c r="AK1583" s="4">
        <v>20</v>
      </c>
      <c r="AL1583" s="4">
        <v>44</v>
      </c>
      <c r="AM1583" s="4">
        <v>44</v>
      </c>
      <c r="AN1583" s="4">
        <v>0</v>
      </c>
      <c r="AO1583" s="4">
        <v>0</v>
      </c>
      <c r="AP1583" s="4">
        <v>23</v>
      </c>
      <c r="AQ1583" s="4">
        <v>25</v>
      </c>
      <c r="AR1583" s="3" t="s">
        <v>64</v>
      </c>
      <c r="AS1583" s="3" t="s">
        <v>64</v>
      </c>
      <c r="AT1583" s="3" t="s">
        <v>64</v>
      </c>
      <c r="AV1583" s="6" t="str">
        <f>HYPERLINK("http://mcgill.on.worldcat.org/oclc/320194102","Catalog Record")</f>
        <v>Catalog Record</v>
      </c>
      <c r="AW1583" s="6" t="str">
        <f>HYPERLINK("http://www.worldcat.org/oclc/320194102","WorldCat Record")</f>
        <v>WorldCat Record</v>
      </c>
      <c r="AX1583" s="3" t="s">
        <v>15996</v>
      </c>
      <c r="AY1583" s="3" t="s">
        <v>15997</v>
      </c>
      <c r="AZ1583" s="3" t="s">
        <v>15998</v>
      </c>
      <c r="BA1583" s="3" t="s">
        <v>15998</v>
      </c>
      <c r="BB1583" s="3" t="s">
        <v>15999</v>
      </c>
      <c r="BC1583" s="3" t="s">
        <v>77</v>
      </c>
      <c r="BD1583" s="3" t="s">
        <v>78</v>
      </c>
      <c r="BE1583" s="3" t="s">
        <v>16000</v>
      </c>
      <c r="BF1583" s="3" t="s">
        <v>15999</v>
      </c>
      <c r="BG1583" s="3" t="s">
        <v>16001</v>
      </c>
      <c r="BH1583">
        <f t="shared" si="44"/>
        <v>0</v>
      </c>
    </row>
    <row r="1584" spans="1:60" ht="58" x14ac:dyDescent="0.35">
      <c r="A1584" s="2" t="s">
        <v>59</v>
      </c>
      <c r="B1584" s="2" t="s">
        <v>60</v>
      </c>
      <c r="C1584" s="2" t="s">
        <v>16002</v>
      </c>
      <c r="D1584" s="2" t="s">
        <v>16003</v>
      </c>
      <c r="E1584" s="2" t="s">
        <v>16004</v>
      </c>
      <c r="G1584" s="3" t="s">
        <v>64</v>
      </c>
      <c r="I1584" s="3" t="s">
        <v>64</v>
      </c>
      <c r="J1584" s="3" t="s">
        <v>64</v>
      </c>
      <c r="K1584" s="3" t="s">
        <v>65</v>
      </c>
      <c r="L1584" s="2" t="s">
        <v>16005</v>
      </c>
      <c r="M1584" s="2" t="s">
        <v>16006</v>
      </c>
      <c r="N1584" s="3" t="s">
        <v>116</v>
      </c>
      <c r="P1584" s="3" t="s">
        <v>102</v>
      </c>
      <c r="R1584" s="3" t="s">
        <v>70</v>
      </c>
      <c r="S1584" s="4">
        <v>8</v>
      </c>
      <c r="T1584" s="4">
        <v>8</v>
      </c>
      <c r="U1584" s="5" t="s">
        <v>16007</v>
      </c>
      <c r="V1584" s="5" t="s">
        <v>16007</v>
      </c>
      <c r="W1584" s="5" t="s">
        <v>72</v>
      </c>
      <c r="X1584" s="5" t="s">
        <v>72</v>
      </c>
      <c r="Y1584" s="4">
        <v>119</v>
      </c>
      <c r="Z1584" s="4">
        <v>9</v>
      </c>
      <c r="AA1584" s="4">
        <v>15</v>
      </c>
      <c r="AB1584" s="4">
        <v>3</v>
      </c>
      <c r="AC1584" s="4">
        <v>7</v>
      </c>
      <c r="AD1584" s="4">
        <v>27</v>
      </c>
      <c r="AE1584" s="4">
        <v>36</v>
      </c>
      <c r="AF1584" s="4">
        <v>1</v>
      </c>
      <c r="AG1584" s="4">
        <v>3</v>
      </c>
      <c r="AH1584" s="4">
        <v>24</v>
      </c>
      <c r="AI1584" s="4">
        <v>31</v>
      </c>
      <c r="AJ1584" s="4">
        <v>6</v>
      </c>
      <c r="AK1584" s="4">
        <v>9</v>
      </c>
      <c r="AL1584" s="4">
        <v>15</v>
      </c>
      <c r="AM1584" s="4">
        <v>16</v>
      </c>
      <c r="AN1584" s="4">
        <v>0</v>
      </c>
      <c r="AO1584" s="4">
        <v>0</v>
      </c>
      <c r="AP1584" s="4">
        <v>6</v>
      </c>
      <c r="AQ1584" s="4">
        <v>9</v>
      </c>
      <c r="AR1584" s="3" t="s">
        <v>64</v>
      </c>
      <c r="AS1584" s="3" t="s">
        <v>64</v>
      </c>
      <c r="AT1584" s="3" t="s">
        <v>64</v>
      </c>
      <c r="AV1584" s="6" t="str">
        <f>HYPERLINK("http://mcgill.on.worldcat.org/oclc/47016029","Catalog Record")</f>
        <v>Catalog Record</v>
      </c>
      <c r="AW1584" s="6" t="str">
        <f>HYPERLINK("http://www.worldcat.org/oclc/47016029","WorldCat Record")</f>
        <v>WorldCat Record</v>
      </c>
      <c r="AX1584" s="3" t="s">
        <v>16008</v>
      </c>
      <c r="AY1584" s="3" t="s">
        <v>16009</v>
      </c>
      <c r="AZ1584" s="3" t="s">
        <v>16010</v>
      </c>
      <c r="BA1584" s="3" t="s">
        <v>16010</v>
      </c>
      <c r="BB1584" s="3" t="s">
        <v>16011</v>
      </c>
      <c r="BC1584" s="3" t="s">
        <v>77</v>
      </c>
      <c r="BD1584" s="3" t="s">
        <v>165</v>
      </c>
      <c r="BE1584" s="3" t="s">
        <v>16012</v>
      </c>
      <c r="BF1584" s="3" t="s">
        <v>16011</v>
      </c>
      <c r="BG1584" s="3" t="s">
        <v>16013</v>
      </c>
      <c r="BH1584">
        <f t="shared" si="44"/>
        <v>0</v>
      </c>
    </row>
    <row r="1585" spans="1:60" ht="58" x14ac:dyDescent="0.35">
      <c r="A1585" s="2" t="s">
        <v>59</v>
      </c>
      <c r="B1585" s="2" t="s">
        <v>60</v>
      </c>
      <c r="C1585" s="2" t="s">
        <v>16014</v>
      </c>
      <c r="D1585" s="2" t="s">
        <v>16015</v>
      </c>
      <c r="E1585" s="2" t="s">
        <v>16016</v>
      </c>
      <c r="G1585" s="3" t="s">
        <v>64</v>
      </c>
      <c r="I1585" s="3" t="s">
        <v>64</v>
      </c>
      <c r="J1585" s="3" t="s">
        <v>64</v>
      </c>
      <c r="K1585" s="3" t="s">
        <v>65</v>
      </c>
      <c r="L1585" s="2" t="s">
        <v>16005</v>
      </c>
      <c r="M1585" s="2" t="s">
        <v>16017</v>
      </c>
      <c r="N1585" s="3" t="s">
        <v>1938</v>
      </c>
      <c r="P1585" s="3" t="s">
        <v>102</v>
      </c>
      <c r="R1585" s="3" t="s">
        <v>70</v>
      </c>
      <c r="S1585" s="4">
        <v>12</v>
      </c>
      <c r="T1585" s="4">
        <v>12</v>
      </c>
      <c r="U1585" s="5" t="s">
        <v>14431</v>
      </c>
      <c r="V1585" s="5" t="s">
        <v>14431</v>
      </c>
      <c r="W1585" s="5" t="s">
        <v>72</v>
      </c>
      <c r="X1585" s="5" t="s">
        <v>72</v>
      </c>
      <c r="Y1585" s="4">
        <v>157</v>
      </c>
      <c r="Z1585" s="4">
        <v>9</v>
      </c>
      <c r="AA1585" s="4">
        <v>10</v>
      </c>
      <c r="AB1585" s="4">
        <v>1</v>
      </c>
      <c r="AC1585" s="4">
        <v>2</v>
      </c>
      <c r="AD1585" s="4">
        <v>49</v>
      </c>
      <c r="AE1585" s="4">
        <v>50</v>
      </c>
      <c r="AF1585" s="4">
        <v>0</v>
      </c>
      <c r="AG1585" s="4">
        <v>1</v>
      </c>
      <c r="AH1585" s="4">
        <v>47</v>
      </c>
      <c r="AI1585" s="4">
        <v>47</v>
      </c>
      <c r="AJ1585" s="4">
        <v>6</v>
      </c>
      <c r="AK1585" s="4">
        <v>7</v>
      </c>
      <c r="AL1585" s="4">
        <v>24</v>
      </c>
      <c r="AM1585" s="4">
        <v>24</v>
      </c>
      <c r="AN1585" s="4">
        <v>0</v>
      </c>
      <c r="AO1585" s="4">
        <v>0</v>
      </c>
      <c r="AP1585" s="4">
        <v>7</v>
      </c>
      <c r="AQ1585" s="4">
        <v>7</v>
      </c>
      <c r="AR1585" s="3" t="s">
        <v>64</v>
      </c>
      <c r="AS1585" s="3" t="s">
        <v>64</v>
      </c>
      <c r="AT1585" s="3" t="s">
        <v>128</v>
      </c>
      <c r="AU1585" s="6" t="str">
        <f>HYPERLINK("http://catalog.hathitrust.org/Record/002225028","HathiTrust Record")</f>
        <v>HathiTrust Record</v>
      </c>
      <c r="AV1585" s="6" t="str">
        <f>HYPERLINK("http://mcgill.on.worldcat.org/oclc/21376663","Catalog Record")</f>
        <v>Catalog Record</v>
      </c>
      <c r="AW1585" s="6" t="str">
        <f>HYPERLINK("http://www.worldcat.org/oclc/21376663","WorldCat Record")</f>
        <v>WorldCat Record</v>
      </c>
      <c r="AX1585" s="3" t="s">
        <v>16018</v>
      </c>
      <c r="AY1585" s="3" t="s">
        <v>16019</v>
      </c>
      <c r="AZ1585" s="3" t="s">
        <v>16020</v>
      </c>
      <c r="BA1585" s="3" t="s">
        <v>16020</v>
      </c>
      <c r="BB1585" s="3" t="s">
        <v>16021</v>
      </c>
      <c r="BC1585" s="3" t="s">
        <v>77</v>
      </c>
      <c r="BD1585" s="3" t="s">
        <v>78</v>
      </c>
      <c r="BE1585" s="3" t="s">
        <v>16022</v>
      </c>
      <c r="BF1585" s="3" t="s">
        <v>16021</v>
      </c>
      <c r="BG1585" s="3" t="s">
        <v>16023</v>
      </c>
      <c r="BH1585">
        <f t="shared" si="44"/>
        <v>0</v>
      </c>
    </row>
    <row r="1586" spans="1:60" ht="58" x14ac:dyDescent="0.35">
      <c r="A1586" s="2" t="s">
        <v>59</v>
      </c>
      <c r="B1586" s="2" t="s">
        <v>60</v>
      </c>
      <c r="C1586" s="2" t="s">
        <v>16024</v>
      </c>
      <c r="D1586" s="2" t="s">
        <v>16025</v>
      </c>
      <c r="E1586" s="2" t="s">
        <v>16026</v>
      </c>
      <c r="G1586" s="3" t="s">
        <v>64</v>
      </c>
      <c r="I1586" s="3" t="s">
        <v>64</v>
      </c>
      <c r="J1586" s="3" t="s">
        <v>64</v>
      </c>
      <c r="K1586" s="3" t="s">
        <v>65</v>
      </c>
      <c r="L1586" s="2" t="s">
        <v>16005</v>
      </c>
      <c r="M1586" s="2" t="s">
        <v>16027</v>
      </c>
      <c r="N1586" s="3" t="s">
        <v>434</v>
      </c>
      <c r="P1586" s="3" t="s">
        <v>102</v>
      </c>
      <c r="Q1586" s="2" t="s">
        <v>14685</v>
      </c>
      <c r="R1586" s="3" t="s">
        <v>70</v>
      </c>
      <c r="S1586" s="4">
        <v>5</v>
      </c>
      <c r="T1586" s="4">
        <v>5</v>
      </c>
      <c r="U1586" s="5" t="s">
        <v>7592</v>
      </c>
      <c r="V1586" s="5" t="s">
        <v>7592</v>
      </c>
      <c r="W1586" s="5" t="s">
        <v>72</v>
      </c>
      <c r="X1586" s="5" t="s">
        <v>72</v>
      </c>
      <c r="Y1586" s="4">
        <v>87</v>
      </c>
      <c r="Z1586" s="4">
        <v>6</v>
      </c>
      <c r="AA1586" s="4">
        <v>90</v>
      </c>
      <c r="AB1586" s="4">
        <v>1</v>
      </c>
      <c r="AC1586" s="4">
        <v>17</v>
      </c>
      <c r="AD1586" s="4">
        <v>33</v>
      </c>
      <c r="AE1586" s="4">
        <v>100</v>
      </c>
      <c r="AF1586" s="4">
        <v>0</v>
      </c>
      <c r="AG1586" s="4">
        <v>8</v>
      </c>
      <c r="AH1586" s="4">
        <v>32</v>
      </c>
      <c r="AI1586" s="4">
        <v>64</v>
      </c>
      <c r="AJ1586" s="4">
        <v>4</v>
      </c>
      <c r="AK1586" s="4">
        <v>18</v>
      </c>
      <c r="AL1586" s="4">
        <v>18</v>
      </c>
      <c r="AM1586" s="4">
        <v>32</v>
      </c>
      <c r="AN1586" s="4">
        <v>0</v>
      </c>
      <c r="AO1586" s="4">
        <v>0</v>
      </c>
      <c r="AP1586" s="4">
        <v>4</v>
      </c>
      <c r="AQ1586" s="4">
        <v>42</v>
      </c>
      <c r="AR1586" s="3" t="s">
        <v>64</v>
      </c>
      <c r="AS1586" s="3" t="s">
        <v>64</v>
      </c>
      <c r="AT1586" s="3" t="s">
        <v>64</v>
      </c>
      <c r="AV1586" s="6" t="str">
        <f>HYPERLINK("http://mcgill.on.worldcat.org/oclc/59545998","Catalog Record")</f>
        <v>Catalog Record</v>
      </c>
      <c r="AW1586" s="6" t="str">
        <f>HYPERLINK("http://www.worldcat.org/oclc/59545998","WorldCat Record")</f>
        <v>WorldCat Record</v>
      </c>
      <c r="AX1586" s="3" t="s">
        <v>16028</v>
      </c>
      <c r="AY1586" s="3" t="s">
        <v>16029</v>
      </c>
      <c r="AZ1586" s="3" t="s">
        <v>16030</v>
      </c>
      <c r="BA1586" s="3" t="s">
        <v>16030</v>
      </c>
      <c r="BB1586" s="3" t="s">
        <v>16031</v>
      </c>
      <c r="BC1586" s="3" t="s">
        <v>77</v>
      </c>
      <c r="BD1586" s="3" t="s">
        <v>78</v>
      </c>
      <c r="BE1586" s="3" t="s">
        <v>16032</v>
      </c>
      <c r="BF1586" s="3" t="s">
        <v>16031</v>
      </c>
      <c r="BG1586" s="3" t="s">
        <v>16033</v>
      </c>
      <c r="BH1586">
        <f t="shared" si="44"/>
        <v>0</v>
      </c>
    </row>
    <row r="1587" spans="1:60" ht="58" x14ac:dyDescent="0.35">
      <c r="A1587" s="2" t="s">
        <v>59</v>
      </c>
      <c r="B1587" s="2" t="s">
        <v>60</v>
      </c>
      <c r="C1587" s="2" t="s">
        <v>16034</v>
      </c>
      <c r="D1587" s="2" t="s">
        <v>16035</v>
      </c>
      <c r="E1587" s="2" t="s">
        <v>16036</v>
      </c>
      <c r="G1587" s="3" t="s">
        <v>64</v>
      </c>
      <c r="I1587" s="3" t="s">
        <v>64</v>
      </c>
      <c r="J1587" s="3" t="s">
        <v>128</v>
      </c>
      <c r="K1587" s="3" t="s">
        <v>65</v>
      </c>
      <c r="L1587" s="2" t="s">
        <v>16037</v>
      </c>
      <c r="M1587" s="2" t="s">
        <v>16038</v>
      </c>
      <c r="N1587" s="3" t="s">
        <v>153</v>
      </c>
      <c r="O1587" s="2" t="s">
        <v>172</v>
      </c>
      <c r="P1587" s="3" t="s">
        <v>102</v>
      </c>
      <c r="R1587" s="3" t="s">
        <v>70</v>
      </c>
      <c r="S1587" s="4">
        <v>6</v>
      </c>
      <c r="T1587" s="4">
        <v>6</v>
      </c>
      <c r="U1587" s="5" t="s">
        <v>16039</v>
      </c>
      <c r="V1587" s="5" t="s">
        <v>16039</v>
      </c>
      <c r="W1587" s="5" t="s">
        <v>72</v>
      </c>
      <c r="X1587" s="5" t="s">
        <v>72</v>
      </c>
      <c r="Y1587" s="4">
        <v>865</v>
      </c>
      <c r="Z1587" s="4">
        <v>40</v>
      </c>
      <c r="AA1587" s="4">
        <v>125</v>
      </c>
      <c r="AB1587" s="4">
        <v>3</v>
      </c>
      <c r="AC1587" s="4">
        <v>21</v>
      </c>
      <c r="AD1587" s="4">
        <v>115</v>
      </c>
      <c r="AE1587" s="4">
        <v>159</v>
      </c>
      <c r="AF1587" s="4">
        <v>0</v>
      </c>
      <c r="AG1587" s="4">
        <v>8</v>
      </c>
      <c r="AH1587" s="4">
        <v>100</v>
      </c>
      <c r="AI1587" s="4">
        <v>113</v>
      </c>
      <c r="AJ1587" s="4">
        <v>14</v>
      </c>
      <c r="AK1587" s="4">
        <v>26</v>
      </c>
      <c r="AL1587" s="4">
        <v>50</v>
      </c>
      <c r="AM1587" s="4">
        <v>60</v>
      </c>
      <c r="AN1587" s="4">
        <v>0</v>
      </c>
      <c r="AO1587" s="4">
        <v>0</v>
      </c>
      <c r="AP1587" s="4">
        <v>22</v>
      </c>
      <c r="AQ1587" s="4">
        <v>50</v>
      </c>
      <c r="AR1587" s="3" t="s">
        <v>64</v>
      </c>
      <c r="AS1587" s="3" t="s">
        <v>64</v>
      </c>
      <c r="AT1587" s="3" t="s">
        <v>64</v>
      </c>
      <c r="AV1587" s="6" t="str">
        <f>HYPERLINK("http://mcgill.on.worldcat.org/oclc/36900842","Catalog Record")</f>
        <v>Catalog Record</v>
      </c>
      <c r="AW1587" s="6" t="str">
        <f>HYPERLINK("http://www.worldcat.org/oclc/36900842","WorldCat Record")</f>
        <v>WorldCat Record</v>
      </c>
      <c r="AX1587" s="3" t="s">
        <v>16040</v>
      </c>
      <c r="AY1587" s="3" t="s">
        <v>16041</v>
      </c>
      <c r="AZ1587" s="3" t="s">
        <v>16042</v>
      </c>
      <c r="BA1587" s="3" t="s">
        <v>16042</v>
      </c>
      <c r="BB1587" s="3" t="s">
        <v>16043</v>
      </c>
      <c r="BC1587" s="3" t="s">
        <v>77</v>
      </c>
      <c r="BD1587" s="3" t="s">
        <v>165</v>
      </c>
      <c r="BE1587" s="3" t="s">
        <v>16044</v>
      </c>
      <c r="BF1587" s="3" t="s">
        <v>16043</v>
      </c>
      <c r="BG1587" s="3" t="s">
        <v>16045</v>
      </c>
      <c r="BH1587">
        <f t="shared" si="44"/>
        <v>0</v>
      </c>
    </row>
    <row r="1588" spans="1:60" ht="58" x14ac:dyDescent="0.35">
      <c r="A1588" s="2" t="s">
        <v>59</v>
      </c>
      <c r="B1588" s="2" t="s">
        <v>60</v>
      </c>
      <c r="C1588" s="2" t="s">
        <v>16046</v>
      </c>
      <c r="D1588" s="2" t="s">
        <v>16047</v>
      </c>
      <c r="E1588" s="2" t="s">
        <v>16048</v>
      </c>
      <c r="G1588" s="3" t="s">
        <v>64</v>
      </c>
      <c r="I1588" s="3" t="s">
        <v>64</v>
      </c>
      <c r="J1588" s="3" t="s">
        <v>64</v>
      </c>
      <c r="K1588" s="3" t="s">
        <v>65</v>
      </c>
      <c r="L1588" s="2" t="s">
        <v>16049</v>
      </c>
      <c r="M1588" s="2" t="s">
        <v>16050</v>
      </c>
      <c r="N1588" s="3" t="s">
        <v>326</v>
      </c>
      <c r="O1588" s="2" t="s">
        <v>16051</v>
      </c>
      <c r="P1588" s="3" t="s">
        <v>102</v>
      </c>
      <c r="R1588" s="3" t="s">
        <v>70</v>
      </c>
      <c r="S1588" s="4">
        <v>3</v>
      </c>
      <c r="T1588" s="4">
        <v>3</v>
      </c>
      <c r="U1588" s="5" t="s">
        <v>16052</v>
      </c>
      <c r="V1588" s="5" t="s">
        <v>16052</v>
      </c>
      <c r="W1588" s="5" t="s">
        <v>72</v>
      </c>
      <c r="X1588" s="5" t="s">
        <v>72</v>
      </c>
      <c r="Y1588" s="4">
        <v>28</v>
      </c>
      <c r="Z1588" s="4">
        <v>1</v>
      </c>
      <c r="AA1588" s="4">
        <v>27</v>
      </c>
      <c r="AB1588" s="4">
        <v>1</v>
      </c>
      <c r="AC1588" s="4">
        <v>11</v>
      </c>
      <c r="AD1588" s="4">
        <v>5</v>
      </c>
      <c r="AE1588" s="4">
        <v>61</v>
      </c>
      <c r="AF1588" s="4">
        <v>0</v>
      </c>
      <c r="AG1588" s="4">
        <v>7</v>
      </c>
      <c r="AH1588" s="4">
        <v>4</v>
      </c>
      <c r="AI1588" s="4">
        <v>42</v>
      </c>
      <c r="AJ1588" s="4">
        <v>0</v>
      </c>
      <c r="AK1588" s="4">
        <v>13</v>
      </c>
      <c r="AL1588" s="4">
        <v>4</v>
      </c>
      <c r="AM1588" s="4">
        <v>27</v>
      </c>
      <c r="AN1588" s="4">
        <v>0</v>
      </c>
      <c r="AO1588" s="4">
        <v>0</v>
      </c>
      <c r="AP1588" s="4">
        <v>0</v>
      </c>
      <c r="AQ1588" s="4">
        <v>20</v>
      </c>
      <c r="AR1588" s="3" t="s">
        <v>64</v>
      </c>
      <c r="AS1588" s="3" t="s">
        <v>64</v>
      </c>
      <c r="AT1588" s="3" t="s">
        <v>64</v>
      </c>
      <c r="AV1588" s="6" t="str">
        <f>HYPERLINK("http://mcgill.on.worldcat.org/oclc/747554474","Catalog Record")</f>
        <v>Catalog Record</v>
      </c>
      <c r="AW1588" s="6" t="str">
        <f>HYPERLINK("http://www.worldcat.org/oclc/747554474","WorldCat Record")</f>
        <v>WorldCat Record</v>
      </c>
      <c r="AX1588" s="3" t="s">
        <v>16053</v>
      </c>
      <c r="AY1588" s="3" t="s">
        <v>16054</v>
      </c>
      <c r="AZ1588" s="3" t="s">
        <v>16055</v>
      </c>
      <c r="BA1588" s="3" t="s">
        <v>16055</v>
      </c>
      <c r="BB1588" s="3" t="s">
        <v>16056</v>
      </c>
      <c r="BC1588" s="3" t="s">
        <v>77</v>
      </c>
      <c r="BD1588" s="3" t="s">
        <v>78</v>
      </c>
      <c r="BE1588" s="3" t="s">
        <v>16057</v>
      </c>
      <c r="BF1588" s="3" t="s">
        <v>16056</v>
      </c>
      <c r="BG1588" s="3" t="s">
        <v>16058</v>
      </c>
      <c r="BH1588">
        <f t="shared" si="44"/>
        <v>0</v>
      </c>
    </row>
    <row r="1589" spans="1:60" ht="116" x14ac:dyDescent="0.35">
      <c r="A1589" s="2" t="s">
        <v>59</v>
      </c>
      <c r="B1589" s="2" t="s">
        <v>60</v>
      </c>
      <c r="C1589" s="2" t="s">
        <v>16059</v>
      </c>
      <c r="D1589" s="2" t="s">
        <v>16060</v>
      </c>
      <c r="E1589" s="2" t="s">
        <v>16061</v>
      </c>
      <c r="G1589" s="3" t="s">
        <v>64</v>
      </c>
      <c r="I1589" s="3" t="s">
        <v>64</v>
      </c>
      <c r="J1589" s="3" t="s">
        <v>64</v>
      </c>
      <c r="K1589" s="3" t="s">
        <v>65</v>
      </c>
      <c r="L1589" s="2" t="s">
        <v>16062</v>
      </c>
      <c r="M1589" s="2" t="s">
        <v>16063</v>
      </c>
      <c r="N1589" s="3" t="s">
        <v>86</v>
      </c>
      <c r="P1589" s="3" t="s">
        <v>102</v>
      </c>
      <c r="R1589" s="3" t="s">
        <v>70</v>
      </c>
      <c r="S1589" s="4">
        <v>7</v>
      </c>
      <c r="T1589" s="4">
        <v>7</v>
      </c>
      <c r="U1589" s="5" t="s">
        <v>14046</v>
      </c>
      <c r="V1589" s="5" t="s">
        <v>14046</v>
      </c>
      <c r="W1589" s="5" t="s">
        <v>72</v>
      </c>
      <c r="X1589" s="5" t="s">
        <v>72</v>
      </c>
      <c r="Y1589" s="4">
        <v>66</v>
      </c>
      <c r="Z1589" s="4">
        <v>7</v>
      </c>
      <c r="AA1589" s="4">
        <v>80</v>
      </c>
      <c r="AB1589" s="4">
        <v>1</v>
      </c>
      <c r="AC1589" s="4">
        <v>16</v>
      </c>
      <c r="AD1589" s="4">
        <v>24</v>
      </c>
      <c r="AE1589" s="4">
        <v>88</v>
      </c>
      <c r="AF1589" s="4">
        <v>0</v>
      </c>
      <c r="AG1589" s="4">
        <v>8</v>
      </c>
      <c r="AH1589" s="4">
        <v>22</v>
      </c>
      <c r="AI1589" s="4">
        <v>56</v>
      </c>
      <c r="AJ1589" s="4">
        <v>5</v>
      </c>
      <c r="AK1589" s="4">
        <v>15</v>
      </c>
      <c r="AL1589" s="4">
        <v>13</v>
      </c>
      <c r="AM1589" s="4">
        <v>29</v>
      </c>
      <c r="AN1589" s="4">
        <v>0</v>
      </c>
      <c r="AO1589" s="4">
        <v>0</v>
      </c>
      <c r="AP1589" s="4">
        <v>6</v>
      </c>
      <c r="AQ1589" s="4">
        <v>37</v>
      </c>
      <c r="AR1589" s="3" t="s">
        <v>64</v>
      </c>
      <c r="AS1589" s="3" t="s">
        <v>64</v>
      </c>
      <c r="AT1589" s="3" t="s">
        <v>64</v>
      </c>
      <c r="AV1589" s="6" t="str">
        <f>HYPERLINK("http://mcgill.on.worldcat.org/oclc/751526019","Catalog Record")</f>
        <v>Catalog Record</v>
      </c>
      <c r="AW1589" s="6" t="str">
        <f>HYPERLINK("http://www.worldcat.org/oclc/751526019","WorldCat Record")</f>
        <v>WorldCat Record</v>
      </c>
      <c r="AX1589" s="3" t="s">
        <v>16064</v>
      </c>
      <c r="AY1589" s="3" t="s">
        <v>16065</v>
      </c>
      <c r="AZ1589" s="3" t="s">
        <v>16066</v>
      </c>
      <c r="BA1589" s="3" t="s">
        <v>16066</v>
      </c>
      <c r="BB1589" s="3" t="s">
        <v>16067</v>
      </c>
      <c r="BC1589" s="3" t="s">
        <v>77</v>
      </c>
      <c r="BD1589" s="3" t="s">
        <v>78</v>
      </c>
      <c r="BE1589" s="3" t="s">
        <v>16068</v>
      </c>
      <c r="BF1589" s="3" t="s">
        <v>16067</v>
      </c>
      <c r="BG1589" s="3" t="s">
        <v>16069</v>
      </c>
      <c r="BH1589">
        <f t="shared" si="44"/>
        <v>0</v>
      </c>
    </row>
    <row r="1590" spans="1:60" ht="58" x14ac:dyDescent="0.35">
      <c r="A1590" s="2" t="s">
        <v>59</v>
      </c>
      <c r="B1590" s="2" t="s">
        <v>60</v>
      </c>
      <c r="C1590" s="2" t="s">
        <v>16070</v>
      </c>
      <c r="D1590" s="2" t="s">
        <v>16071</v>
      </c>
      <c r="E1590" s="2" t="s">
        <v>16072</v>
      </c>
      <c r="G1590" s="3" t="s">
        <v>64</v>
      </c>
      <c r="I1590" s="3" t="s">
        <v>64</v>
      </c>
      <c r="J1590" s="3" t="s">
        <v>64</v>
      </c>
      <c r="K1590" s="3" t="s">
        <v>65</v>
      </c>
      <c r="M1590" s="2" t="s">
        <v>16073</v>
      </c>
      <c r="N1590" s="3" t="s">
        <v>67</v>
      </c>
      <c r="P1590" s="3" t="s">
        <v>102</v>
      </c>
      <c r="R1590" s="3" t="s">
        <v>70</v>
      </c>
      <c r="S1590" s="4">
        <v>0</v>
      </c>
      <c r="T1590" s="4">
        <v>0</v>
      </c>
      <c r="W1590" s="5" t="s">
        <v>72</v>
      </c>
      <c r="X1590" s="5" t="s">
        <v>72</v>
      </c>
      <c r="Y1590" s="4">
        <v>44</v>
      </c>
      <c r="Z1590" s="4">
        <v>6</v>
      </c>
      <c r="AA1590" s="4">
        <v>8</v>
      </c>
      <c r="AB1590" s="4">
        <v>1</v>
      </c>
      <c r="AC1590" s="4">
        <v>3</v>
      </c>
      <c r="AD1590" s="4">
        <v>16</v>
      </c>
      <c r="AE1590" s="4">
        <v>18</v>
      </c>
      <c r="AF1590" s="4">
        <v>0</v>
      </c>
      <c r="AG1590" s="4">
        <v>1</v>
      </c>
      <c r="AH1590" s="4">
        <v>12</v>
      </c>
      <c r="AI1590" s="4">
        <v>14</v>
      </c>
      <c r="AJ1590" s="4">
        <v>3</v>
      </c>
      <c r="AK1590" s="4">
        <v>4</v>
      </c>
      <c r="AL1590" s="4">
        <v>6</v>
      </c>
      <c r="AM1590" s="4">
        <v>6</v>
      </c>
      <c r="AN1590" s="4">
        <v>0</v>
      </c>
      <c r="AO1590" s="4">
        <v>0</v>
      </c>
      <c r="AP1590" s="4">
        <v>5</v>
      </c>
      <c r="AQ1590" s="4">
        <v>6</v>
      </c>
      <c r="AR1590" s="3" t="s">
        <v>64</v>
      </c>
      <c r="AS1590" s="3" t="s">
        <v>64</v>
      </c>
      <c r="AT1590" s="3" t="s">
        <v>64</v>
      </c>
      <c r="AV1590" s="6" t="str">
        <f>HYPERLINK("http://mcgill.on.worldcat.org/oclc/895337356","Catalog Record")</f>
        <v>Catalog Record</v>
      </c>
      <c r="AW1590" s="6" t="str">
        <f>HYPERLINK("http://www.worldcat.org/oclc/895337356","WorldCat Record")</f>
        <v>WorldCat Record</v>
      </c>
      <c r="AX1590" s="3" t="s">
        <v>16074</v>
      </c>
      <c r="AY1590" s="3" t="s">
        <v>16075</v>
      </c>
      <c r="AZ1590" s="3" t="s">
        <v>16076</v>
      </c>
      <c r="BA1590" s="3" t="s">
        <v>16076</v>
      </c>
      <c r="BB1590" s="3" t="s">
        <v>16077</v>
      </c>
      <c r="BC1590" s="3" t="s">
        <v>77</v>
      </c>
      <c r="BD1590" s="3" t="s">
        <v>78</v>
      </c>
      <c r="BE1590" s="3" t="s">
        <v>16078</v>
      </c>
      <c r="BF1590" s="3" t="s">
        <v>16077</v>
      </c>
      <c r="BG1590" s="3" t="s">
        <v>16079</v>
      </c>
      <c r="BH1590">
        <f t="shared" si="44"/>
        <v>0</v>
      </c>
    </row>
    <row r="1591" spans="1:60" ht="58" x14ac:dyDescent="0.35">
      <c r="A1591" s="2" t="s">
        <v>59</v>
      </c>
      <c r="B1591" s="2" t="s">
        <v>60</v>
      </c>
      <c r="C1591" s="2" t="s">
        <v>16080</v>
      </c>
      <c r="D1591" s="2" t="s">
        <v>16081</v>
      </c>
      <c r="E1591" s="2" t="s">
        <v>16082</v>
      </c>
      <c r="G1591" s="3" t="s">
        <v>64</v>
      </c>
      <c r="I1591" s="3" t="s">
        <v>64</v>
      </c>
      <c r="J1591" s="3" t="s">
        <v>64</v>
      </c>
      <c r="K1591" s="3" t="s">
        <v>65</v>
      </c>
      <c r="M1591" s="2" t="s">
        <v>15674</v>
      </c>
      <c r="N1591" s="3" t="s">
        <v>253</v>
      </c>
      <c r="P1591" s="3" t="s">
        <v>102</v>
      </c>
      <c r="R1591" s="3" t="s">
        <v>70</v>
      </c>
      <c r="S1591" s="4">
        <v>3</v>
      </c>
      <c r="T1591" s="4">
        <v>3</v>
      </c>
      <c r="U1591" s="5" t="s">
        <v>16083</v>
      </c>
      <c r="V1591" s="5" t="s">
        <v>16083</v>
      </c>
      <c r="W1591" s="5" t="s">
        <v>72</v>
      </c>
      <c r="X1591" s="5" t="s">
        <v>72</v>
      </c>
      <c r="Y1591" s="4">
        <v>80</v>
      </c>
      <c r="Z1591" s="4">
        <v>4</v>
      </c>
      <c r="AA1591" s="4">
        <v>84</v>
      </c>
      <c r="AB1591" s="4">
        <v>1</v>
      </c>
      <c r="AC1591" s="4">
        <v>18</v>
      </c>
      <c r="AD1591" s="4">
        <v>12</v>
      </c>
      <c r="AE1591" s="4">
        <v>116</v>
      </c>
      <c r="AF1591" s="4">
        <v>0</v>
      </c>
      <c r="AG1591" s="4">
        <v>9</v>
      </c>
      <c r="AH1591" s="4">
        <v>9</v>
      </c>
      <c r="AI1591" s="4">
        <v>78</v>
      </c>
      <c r="AJ1591" s="4">
        <v>1</v>
      </c>
      <c r="AK1591" s="4">
        <v>22</v>
      </c>
      <c r="AL1591" s="4">
        <v>7</v>
      </c>
      <c r="AM1591" s="4">
        <v>43</v>
      </c>
      <c r="AN1591" s="4">
        <v>0</v>
      </c>
      <c r="AO1591" s="4">
        <v>0</v>
      </c>
      <c r="AP1591" s="4">
        <v>3</v>
      </c>
      <c r="AQ1591" s="4">
        <v>43</v>
      </c>
      <c r="AR1591" s="3" t="s">
        <v>64</v>
      </c>
      <c r="AS1591" s="3" t="s">
        <v>64</v>
      </c>
      <c r="AT1591" s="3" t="s">
        <v>64</v>
      </c>
      <c r="AV1591" s="6" t="str">
        <f>HYPERLINK("http://mcgill.on.worldcat.org/oclc/894201349","Catalog Record")</f>
        <v>Catalog Record</v>
      </c>
      <c r="AW1591" s="6" t="str">
        <f>HYPERLINK("http://www.worldcat.org/oclc/894201349","WorldCat Record")</f>
        <v>WorldCat Record</v>
      </c>
      <c r="AX1591" s="3" t="s">
        <v>16084</v>
      </c>
      <c r="AY1591" s="3" t="s">
        <v>16085</v>
      </c>
      <c r="AZ1591" s="3" t="s">
        <v>16086</v>
      </c>
      <c r="BA1591" s="3" t="s">
        <v>16086</v>
      </c>
      <c r="BB1591" s="3" t="s">
        <v>16087</v>
      </c>
      <c r="BC1591" s="3" t="s">
        <v>77</v>
      </c>
      <c r="BD1591" s="3" t="s">
        <v>78</v>
      </c>
      <c r="BE1591" s="3" t="s">
        <v>16088</v>
      </c>
      <c r="BF1591" s="3" t="s">
        <v>16087</v>
      </c>
      <c r="BG1591" s="3" t="s">
        <v>16089</v>
      </c>
      <c r="BH1591">
        <f t="shared" si="44"/>
        <v>0</v>
      </c>
    </row>
    <row r="1592" spans="1:60" ht="58" x14ac:dyDescent="0.35">
      <c r="A1592" s="2" t="s">
        <v>59</v>
      </c>
      <c r="B1592" s="2" t="s">
        <v>60</v>
      </c>
      <c r="C1592" s="2" t="s">
        <v>16090</v>
      </c>
      <c r="D1592" s="2" t="s">
        <v>16091</v>
      </c>
      <c r="E1592" s="2" t="s">
        <v>16092</v>
      </c>
      <c r="G1592" s="3" t="s">
        <v>64</v>
      </c>
      <c r="I1592" s="3" t="s">
        <v>64</v>
      </c>
      <c r="J1592" s="3" t="s">
        <v>64</v>
      </c>
      <c r="K1592" s="3" t="s">
        <v>65</v>
      </c>
      <c r="M1592" s="2" t="s">
        <v>16093</v>
      </c>
      <c r="N1592" s="3" t="s">
        <v>511</v>
      </c>
      <c r="P1592" s="3" t="s">
        <v>102</v>
      </c>
      <c r="R1592" s="3" t="s">
        <v>70</v>
      </c>
      <c r="S1592" s="4">
        <v>3</v>
      </c>
      <c r="T1592" s="4">
        <v>3</v>
      </c>
      <c r="U1592" s="5" t="s">
        <v>5398</v>
      </c>
      <c r="V1592" s="5" t="s">
        <v>5398</v>
      </c>
      <c r="W1592" s="5" t="s">
        <v>72</v>
      </c>
      <c r="X1592" s="5" t="s">
        <v>72</v>
      </c>
      <c r="Y1592" s="4">
        <v>296</v>
      </c>
      <c r="Z1592" s="4">
        <v>16</v>
      </c>
      <c r="AA1592" s="4">
        <v>43</v>
      </c>
      <c r="AB1592" s="4">
        <v>2</v>
      </c>
      <c r="AC1592" s="4">
        <v>7</v>
      </c>
      <c r="AD1592" s="4">
        <v>71</v>
      </c>
      <c r="AE1592" s="4">
        <v>84</v>
      </c>
      <c r="AF1592" s="4">
        <v>1</v>
      </c>
      <c r="AG1592" s="4">
        <v>1</v>
      </c>
      <c r="AH1592" s="4">
        <v>63</v>
      </c>
      <c r="AI1592" s="4">
        <v>74</v>
      </c>
      <c r="AJ1592" s="4">
        <v>13</v>
      </c>
      <c r="AK1592" s="4">
        <v>13</v>
      </c>
      <c r="AL1592" s="4">
        <v>38</v>
      </c>
      <c r="AM1592" s="4">
        <v>43</v>
      </c>
      <c r="AN1592" s="4">
        <v>0</v>
      </c>
      <c r="AO1592" s="4">
        <v>0</v>
      </c>
      <c r="AP1592" s="4">
        <v>14</v>
      </c>
      <c r="AQ1592" s="4">
        <v>16</v>
      </c>
      <c r="AR1592" s="3" t="s">
        <v>64</v>
      </c>
      <c r="AS1592" s="3" t="s">
        <v>64</v>
      </c>
      <c r="AT1592" s="3" t="s">
        <v>64</v>
      </c>
      <c r="AV1592" s="6" t="str">
        <f>HYPERLINK("http://mcgill.on.worldcat.org/oclc/320193397","Catalog Record")</f>
        <v>Catalog Record</v>
      </c>
      <c r="AW1592" s="6" t="str">
        <f>HYPERLINK("http://www.worldcat.org/oclc/320193397","WorldCat Record")</f>
        <v>WorldCat Record</v>
      </c>
      <c r="AX1592" s="3" t="s">
        <v>16094</v>
      </c>
      <c r="AY1592" s="3" t="s">
        <v>16095</v>
      </c>
      <c r="AZ1592" s="3" t="s">
        <v>16096</v>
      </c>
      <c r="BA1592" s="3" t="s">
        <v>16096</v>
      </c>
      <c r="BB1592" s="3" t="s">
        <v>16097</v>
      </c>
      <c r="BC1592" s="3" t="s">
        <v>77</v>
      </c>
      <c r="BD1592" s="3" t="s">
        <v>78</v>
      </c>
      <c r="BE1592" s="3" t="s">
        <v>16098</v>
      </c>
      <c r="BF1592" s="3" t="s">
        <v>16097</v>
      </c>
      <c r="BG1592" s="3" t="s">
        <v>16099</v>
      </c>
      <c r="BH1592">
        <f t="shared" si="44"/>
        <v>0</v>
      </c>
    </row>
    <row r="1593" spans="1:60" ht="58" x14ac:dyDescent="0.35">
      <c r="A1593" s="2" t="s">
        <v>59</v>
      </c>
      <c r="B1593" s="2" t="s">
        <v>60</v>
      </c>
      <c r="C1593" s="2" t="s">
        <v>16100</v>
      </c>
      <c r="D1593" s="2" t="s">
        <v>16101</v>
      </c>
      <c r="E1593" s="2" t="s">
        <v>16102</v>
      </c>
      <c r="G1593" s="3" t="s">
        <v>64</v>
      </c>
      <c r="I1593" s="3" t="s">
        <v>128</v>
      </c>
      <c r="J1593" s="3" t="s">
        <v>64</v>
      </c>
      <c r="K1593" s="3" t="s">
        <v>65</v>
      </c>
      <c r="L1593" s="2" t="s">
        <v>16103</v>
      </c>
      <c r="M1593" s="2" t="s">
        <v>16104</v>
      </c>
      <c r="N1593" s="3" t="s">
        <v>253</v>
      </c>
      <c r="P1593" s="3" t="s">
        <v>102</v>
      </c>
      <c r="R1593" s="3" t="s">
        <v>70</v>
      </c>
      <c r="S1593" s="4">
        <v>10</v>
      </c>
      <c r="T1593" s="4">
        <v>17</v>
      </c>
      <c r="U1593" s="5" t="s">
        <v>16105</v>
      </c>
      <c r="V1593" s="5" t="s">
        <v>16105</v>
      </c>
      <c r="W1593" s="5" t="s">
        <v>72</v>
      </c>
      <c r="X1593" s="5" t="s">
        <v>72</v>
      </c>
      <c r="Y1593" s="4">
        <v>413</v>
      </c>
      <c r="Z1593" s="4">
        <v>27</v>
      </c>
      <c r="AA1593" s="4">
        <v>41</v>
      </c>
      <c r="AB1593" s="4">
        <v>1</v>
      </c>
      <c r="AC1593" s="4">
        <v>13</v>
      </c>
      <c r="AD1593" s="4">
        <v>88</v>
      </c>
      <c r="AE1593" s="4">
        <v>102</v>
      </c>
      <c r="AF1593" s="4">
        <v>0</v>
      </c>
      <c r="AG1593" s="4">
        <v>7</v>
      </c>
      <c r="AH1593" s="4">
        <v>76</v>
      </c>
      <c r="AI1593" s="4">
        <v>83</v>
      </c>
      <c r="AJ1593" s="4">
        <v>14</v>
      </c>
      <c r="AK1593" s="4">
        <v>19</v>
      </c>
      <c r="AL1593" s="4">
        <v>42</v>
      </c>
      <c r="AM1593" s="4">
        <v>45</v>
      </c>
      <c r="AN1593" s="4">
        <v>0</v>
      </c>
      <c r="AO1593" s="4">
        <v>0</v>
      </c>
      <c r="AP1593" s="4">
        <v>20</v>
      </c>
      <c r="AQ1593" s="4">
        <v>27</v>
      </c>
      <c r="AR1593" s="3" t="s">
        <v>64</v>
      </c>
      <c r="AS1593" s="3" t="s">
        <v>64</v>
      </c>
      <c r="AT1593" s="3" t="s">
        <v>64</v>
      </c>
      <c r="AV1593" s="6" t="str">
        <f>HYPERLINK("http://mcgill.on.worldcat.org/oclc/904528761","Catalog Record")</f>
        <v>Catalog Record</v>
      </c>
      <c r="AW1593" s="6" t="str">
        <f>HYPERLINK("http://www.worldcat.org/oclc/904528761","WorldCat Record")</f>
        <v>WorldCat Record</v>
      </c>
      <c r="AX1593" s="3" t="s">
        <v>16106</v>
      </c>
      <c r="AY1593" s="3" t="s">
        <v>16107</v>
      </c>
      <c r="AZ1593" s="3" t="s">
        <v>16108</v>
      </c>
      <c r="BA1593" s="3" t="s">
        <v>16108</v>
      </c>
      <c r="BB1593" s="3" t="s">
        <v>16109</v>
      </c>
      <c r="BC1593" s="3" t="s">
        <v>77</v>
      </c>
      <c r="BD1593" s="3" t="s">
        <v>78</v>
      </c>
      <c r="BE1593" s="3" t="s">
        <v>16110</v>
      </c>
      <c r="BF1593" s="3" t="s">
        <v>16109</v>
      </c>
      <c r="BG1593" s="3" t="s">
        <v>16111</v>
      </c>
      <c r="BH1593">
        <f t="shared" si="44"/>
        <v>0</v>
      </c>
    </row>
    <row r="1594" spans="1:60" ht="58" x14ac:dyDescent="0.35">
      <c r="A1594" s="2" t="s">
        <v>59</v>
      </c>
      <c r="B1594" s="2" t="s">
        <v>60</v>
      </c>
      <c r="C1594" s="2" t="s">
        <v>16100</v>
      </c>
      <c r="D1594" s="2" t="s">
        <v>16101</v>
      </c>
      <c r="E1594" s="2" t="s">
        <v>16102</v>
      </c>
      <c r="F1594" s="3" t="s">
        <v>16112</v>
      </c>
      <c r="G1594" s="3" t="s">
        <v>64</v>
      </c>
      <c r="I1594" s="3" t="s">
        <v>128</v>
      </c>
      <c r="J1594" s="3" t="s">
        <v>64</v>
      </c>
      <c r="K1594" s="3" t="s">
        <v>65</v>
      </c>
      <c r="L1594" s="2" t="s">
        <v>16103</v>
      </c>
      <c r="M1594" s="2" t="s">
        <v>16104</v>
      </c>
      <c r="N1594" s="3" t="s">
        <v>253</v>
      </c>
      <c r="P1594" s="3" t="s">
        <v>102</v>
      </c>
      <c r="R1594" s="3" t="s">
        <v>70</v>
      </c>
      <c r="S1594" s="4">
        <v>7</v>
      </c>
      <c r="T1594" s="4">
        <v>17</v>
      </c>
      <c r="U1594" s="5" t="s">
        <v>16113</v>
      </c>
      <c r="V1594" s="5" t="s">
        <v>16105</v>
      </c>
      <c r="W1594" s="5" t="s">
        <v>72</v>
      </c>
      <c r="X1594" s="5" t="s">
        <v>72</v>
      </c>
      <c r="Y1594" s="4">
        <v>413</v>
      </c>
      <c r="Z1594" s="4">
        <v>27</v>
      </c>
      <c r="AA1594" s="4">
        <v>41</v>
      </c>
      <c r="AB1594" s="4">
        <v>1</v>
      </c>
      <c r="AC1594" s="4">
        <v>13</v>
      </c>
      <c r="AD1594" s="4">
        <v>88</v>
      </c>
      <c r="AE1594" s="4">
        <v>102</v>
      </c>
      <c r="AF1594" s="4">
        <v>0</v>
      </c>
      <c r="AG1594" s="4">
        <v>7</v>
      </c>
      <c r="AH1594" s="4">
        <v>76</v>
      </c>
      <c r="AI1594" s="4">
        <v>83</v>
      </c>
      <c r="AJ1594" s="4">
        <v>14</v>
      </c>
      <c r="AK1594" s="4">
        <v>19</v>
      </c>
      <c r="AL1594" s="4">
        <v>42</v>
      </c>
      <c r="AM1594" s="4">
        <v>45</v>
      </c>
      <c r="AN1594" s="4">
        <v>0</v>
      </c>
      <c r="AO1594" s="4">
        <v>0</v>
      </c>
      <c r="AP1594" s="4">
        <v>20</v>
      </c>
      <c r="AQ1594" s="4">
        <v>27</v>
      </c>
      <c r="AR1594" s="3" t="s">
        <v>64</v>
      </c>
      <c r="AS1594" s="3" t="s">
        <v>64</v>
      </c>
      <c r="AT1594" s="3" t="s">
        <v>64</v>
      </c>
      <c r="AV1594" s="6" t="str">
        <f>HYPERLINK("http://mcgill.on.worldcat.org/oclc/904528761","Catalog Record")</f>
        <v>Catalog Record</v>
      </c>
      <c r="AW1594" s="6" t="str">
        <f>HYPERLINK("http://www.worldcat.org/oclc/904528761","WorldCat Record")</f>
        <v>WorldCat Record</v>
      </c>
      <c r="AX1594" s="3" t="s">
        <v>16106</v>
      </c>
      <c r="AY1594" s="3" t="s">
        <v>16107</v>
      </c>
      <c r="AZ1594" s="3" t="s">
        <v>16108</v>
      </c>
      <c r="BA1594" s="3" t="s">
        <v>16108</v>
      </c>
      <c r="BB1594" s="3" t="s">
        <v>16114</v>
      </c>
      <c r="BC1594" s="3" t="s">
        <v>77</v>
      </c>
      <c r="BD1594" s="3" t="s">
        <v>78</v>
      </c>
      <c r="BE1594" s="3" t="s">
        <v>16110</v>
      </c>
      <c r="BF1594" s="3" t="s">
        <v>16114</v>
      </c>
      <c r="BG1594" s="3" t="s">
        <v>16115</v>
      </c>
      <c r="BH1594">
        <f t="shared" si="44"/>
        <v>0</v>
      </c>
    </row>
    <row r="1595" spans="1:60" ht="58" x14ac:dyDescent="0.35">
      <c r="A1595" s="2" t="s">
        <v>59</v>
      </c>
      <c r="B1595" s="2" t="s">
        <v>60</v>
      </c>
      <c r="C1595" s="2" t="s">
        <v>16116</v>
      </c>
      <c r="D1595" s="2" t="s">
        <v>16117</v>
      </c>
      <c r="E1595" s="2" t="s">
        <v>16118</v>
      </c>
      <c r="G1595" s="3" t="s">
        <v>64</v>
      </c>
      <c r="I1595" s="3" t="s">
        <v>64</v>
      </c>
      <c r="J1595" s="3" t="s">
        <v>64</v>
      </c>
      <c r="K1595" s="3" t="s">
        <v>65</v>
      </c>
      <c r="M1595" s="2" t="s">
        <v>16119</v>
      </c>
      <c r="N1595" s="3" t="s">
        <v>253</v>
      </c>
      <c r="P1595" s="3" t="s">
        <v>102</v>
      </c>
      <c r="Q1595" s="2" t="s">
        <v>15400</v>
      </c>
      <c r="R1595" s="3" t="s">
        <v>70</v>
      </c>
      <c r="S1595" s="4">
        <v>8</v>
      </c>
      <c r="T1595" s="4">
        <v>8</v>
      </c>
      <c r="U1595" s="5" t="s">
        <v>16120</v>
      </c>
      <c r="V1595" s="5" t="s">
        <v>16120</v>
      </c>
      <c r="W1595" s="5" t="s">
        <v>72</v>
      </c>
      <c r="X1595" s="5" t="s">
        <v>72</v>
      </c>
      <c r="Y1595" s="4">
        <v>121</v>
      </c>
      <c r="Z1595" s="4">
        <v>18</v>
      </c>
      <c r="AA1595" s="4">
        <v>22</v>
      </c>
      <c r="AB1595" s="4">
        <v>1</v>
      </c>
      <c r="AC1595" s="4">
        <v>5</v>
      </c>
      <c r="AD1595" s="4">
        <v>54</v>
      </c>
      <c r="AE1595" s="4">
        <v>56</v>
      </c>
      <c r="AF1595" s="4">
        <v>0</v>
      </c>
      <c r="AG1595" s="4">
        <v>2</v>
      </c>
      <c r="AH1595" s="4">
        <v>46</v>
      </c>
      <c r="AI1595" s="4">
        <v>47</v>
      </c>
      <c r="AJ1595" s="4">
        <v>12</v>
      </c>
      <c r="AK1595" s="4">
        <v>14</v>
      </c>
      <c r="AL1595" s="4">
        <v>24</v>
      </c>
      <c r="AM1595" s="4">
        <v>24</v>
      </c>
      <c r="AN1595" s="4">
        <v>0</v>
      </c>
      <c r="AO1595" s="4">
        <v>0</v>
      </c>
      <c r="AP1595" s="4">
        <v>16</v>
      </c>
      <c r="AQ1595" s="4">
        <v>17</v>
      </c>
      <c r="AR1595" s="3" t="s">
        <v>64</v>
      </c>
      <c r="AS1595" s="3" t="s">
        <v>64</v>
      </c>
      <c r="AT1595" s="3" t="s">
        <v>64</v>
      </c>
      <c r="AV1595" s="6" t="str">
        <f>HYPERLINK("http://mcgill.on.worldcat.org/oclc/899113960","Catalog Record")</f>
        <v>Catalog Record</v>
      </c>
      <c r="AW1595" s="6" t="str">
        <f>HYPERLINK("http://www.worldcat.org/oclc/899113960","WorldCat Record")</f>
        <v>WorldCat Record</v>
      </c>
      <c r="AX1595" s="3" t="s">
        <v>16121</v>
      </c>
      <c r="AY1595" s="3" t="s">
        <v>16122</v>
      </c>
      <c r="AZ1595" s="3" t="s">
        <v>16123</v>
      </c>
      <c r="BA1595" s="3" t="s">
        <v>16123</v>
      </c>
      <c r="BB1595" s="3" t="s">
        <v>16124</v>
      </c>
      <c r="BC1595" s="3" t="s">
        <v>77</v>
      </c>
      <c r="BD1595" s="3" t="s">
        <v>78</v>
      </c>
      <c r="BE1595" s="3" t="s">
        <v>16125</v>
      </c>
      <c r="BF1595" s="3" t="s">
        <v>16124</v>
      </c>
      <c r="BG1595" s="3" t="s">
        <v>16126</v>
      </c>
      <c r="BH1595">
        <f t="shared" si="44"/>
        <v>0</v>
      </c>
    </row>
    <row r="1596" spans="1:60" ht="58" x14ac:dyDescent="0.35">
      <c r="A1596" s="2" t="s">
        <v>59</v>
      </c>
      <c r="B1596" s="2" t="s">
        <v>60</v>
      </c>
      <c r="C1596" s="2" t="s">
        <v>16127</v>
      </c>
      <c r="D1596" s="2" t="s">
        <v>16128</v>
      </c>
      <c r="E1596" s="2" t="s">
        <v>16129</v>
      </c>
      <c r="G1596" s="3" t="s">
        <v>64</v>
      </c>
      <c r="I1596" s="3" t="s">
        <v>64</v>
      </c>
      <c r="J1596" s="3" t="s">
        <v>64</v>
      </c>
      <c r="K1596" s="3" t="s">
        <v>65</v>
      </c>
      <c r="M1596" s="2" t="s">
        <v>16130</v>
      </c>
      <c r="N1596" s="3" t="s">
        <v>511</v>
      </c>
      <c r="P1596" s="3" t="s">
        <v>102</v>
      </c>
      <c r="R1596" s="3" t="s">
        <v>70</v>
      </c>
      <c r="S1596" s="4">
        <v>0</v>
      </c>
      <c r="T1596" s="4">
        <v>0</v>
      </c>
      <c r="W1596" s="5" t="s">
        <v>72</v>
      </c>
      <c r="X1596" s="5" t="s">
        <v>72</v>
      </c>
      <c r="Y1596" s="4">
        <v>37</v>
      </c>
      <c r="Z1596" s="4">
        <v>5</v>
      </c>
      <c r="AA1596" s="4">
        <v>6</v>
      </c>
      <c r="AB1596" s="4">
        <v>1</v>
      </c>
      <c r="AC1596" s="4">
        <v>1</v>
      </c>
      <c r="AD1596" s="4">
        <v>16</v>
      </c>
      <c r="AE1596" s="4">
        <v>17</v>
      </c>
      <c r="AF1596" s="4">
        <v>0</v>
      </c>
      <c r="AG1596" s="4">
        <v>0</v>
      </c>
      <c r="AH1596" s="4">
        <v>14</v>
      </c>
      <c r="AI1596" s="4">
        <v>15</v>
      </c>
      <c r="AJ1596" s="4">
        <v>3</v>
      </c>
      <c r="AK1596" s="4">
        <v>4</v>
      </c>
      <c r="AL1596" s="4">
        <v>10</v>
      </c>
      <c r="AM1596" s="4">
        <v>10</v>
      </c>
      <c r="AN1596" s="4">
        <v>0</v>
      </c>
      <c r="AO1596" s="4">
        <v>0</v>
      </c>
      <c r="AP1596" s="4">
        <v>3</v>
      </c>
      <c r="AQ1596" s="4">
        <v>4</v>
      </c>
      <c r="AR1596" s="3" t="s">
        <v>64</v>
      </c>
      <c r="AS1596" s="3" t="s">
        <v>64</v>
      </c>
      <c r="AT1596" s="3" t="s">
        <v>64</v>
      </c>
      <c r="AV1596" s="6" t="str">
        <f>HYPERLINK("http://mcgill.on.worldcat.org/oclc/609901530","Catalog Record")</f>
        <v>Catalog Record</v>
      </c>
      <c r="AW1596" s="6" t="str">
        <f>HYPERLINK("http://www.worldcat.org/oclc/609901530","WorldCat Record")</f>
        <v>WorldCat Record</v>
      </c>
      <c r="AX1596" s="3" t="s">
        <v>16131</v>
      </c>
      <c r="AY1596" s="3" t="s">
        <v>16132</v>
      </c>
      <c r="AZ1596" s="3" t="s">
        <v>16133</v>
      </c>
      <c r="BA1596" s="3" t="s">
        <v>16133</v>
      </c>
      <c r="BB1596" s="3" t="s">
        <v>16134</v>
      </c>
      <c r="BC1596" s="3" t="s">
        <v>77</v>
      </c>
      <c r="BD1596" s="3" t="s">
        <v>78</v>
      </c>
      <c r="BE1596" s="3" t="s">
        <v>16135</v>
      </c>
      <c r="BF1596" s="3" t="s">
        <v>16134</v>
      </c>
      <c r="BG1596" s="3" t="s">
        <v>16136</v>
      </c>
      <c r="BH1596">
        <f t="shared" si="44"/>
        <v>0</v>
      </c>
    </row>
    <row r="1597" spans="1:60" ht="58" x14ac:dyDescent="0.35">
      <c r="A1597" s="2" t="s">
        <v>59</v>
      </c>
      <c r="B1597" s="2" t="s">
        <v>60</v>
      </c>
      <c r="C1597" s="2" t="s">
        <v>16137</v>
      </c>
      <c r="D1597" s="2" t="s">
        <v>16138</v>
      </c>
      <c r="E1597" s="2" t="s">
        <v>16139</v>
      </c>
      <c r="G1597" s="3" t="s">
        <v>64</v>
      </c>
      <c r="I1597" s="3" t="s">
        <v>64</v>
      </c>
      <c r="J1597" s="3" t="s">
        <v>64</v>
      </c>
      <c r="K1597" s="3" t="s">
        <v>65</v>
      </c>
      <c r="M1597" s="2" t="s">
        <v>16140</v>
      </c>
      <c r="N1597" s="3" t="s">
        <v>378</v>
      </c>
      <c r="P1597" s="3" t="s">
        <v>102</v>
      </c>
      <c r="R1597" s="3" t="s">
        <v>70</v>
      </c>
      <c r="S1597" s="4">
        <v>2</v>
      </c>
      <c r="T1597" s="4">
        <v>2</v>
      </c>
      <c r="U1597" s="5" t="s">
        <v>16141</v>
      </c>
      <c r="V1597" s="5" t="s">
        <v>16141</v>
      </c>
      <c r="W1597" s="5" t="s">
        <v>72</v>
      </c>
      <c r="X1597" s="5" t="s">
        <v>72</v>
      </c>
      <c r="Y1597" s="4">
        <v>92</v>
      </c>
      <c r="Z1597" s="4">
        <v>7</v>
      </c>
      <c r="AA1597" s="4">
        <v>8</v>
      </c>
      <c r="AB1597" s="4">
        <v>2</v>
      </c>
      <c r="AC1597" s="4">
        <v>3</v>
      </c>
      <c r="AD1597" s="4">
        <v>43</v>
      </c>
      <c r="AE1597" s="4">
        <v>44</v>
      </c>
      <c r="AF1597" s="4">
        <v>0</v>
      </c>
      <c r="AG1597" s="4">
        <v>1</v>
      </c>
      <c r="AH1597" s="4">
        <v>42</v>
      </c>
      <c r="AI1597" s="4">
        <v>42</v>
      </c>
      <c r="AJ1597" s="4">
        <v>4</v>
      </c>
      <c r="AK1597" s="4">
        <v>5</v>
      </c>
      <c r="AL1597" s="4">
        <v>24</v>
      </c>
      <c r="AM1597" s="4">
        <v>24</v>
      </c>
      <c r="AN1597" s="4">
        <v>0</v>
      </c>
      <c r="AO1597" s="4">
        <v>0</v>
      </c>
      <c r="AP1597" s="4">
        <v>4</v>
      </c>
      <c r="AQ1597" s="4">
        <v>4</v>
      </c>
      <c r="AR1597" s="3" t="s">
        <v>64</v>
      </c>
      <c r="AS1597" s="3" t="s">
        <v>64</v>
      </c>
      <c r="AT1597" s="3" t="s">
        <v>128</v>
      </c>
      <c r="AU1597" s="6" t="str">
        <f>HYPERLINK("http://catalog.hathitrust.org/Record/000901877","HathiTrust Record")</f>
        <v>HathiTrust Record</v>
      </c>
      <c r="AV1597" s="6" t="str">
        <f>HYPERLINK("http://mcgill.on.worldcat.org/oclc/16801061","Catalog Record")</f>
        <v>Catalog Record</v>
      </c>
      <c r="AW1597" s="6" t="str">
        <f>HYPERLINK("http://www.worldcat.org/oclc/16801061","WorldCat Record")</f>
        <v>WorldCat Record</v>
      </c>
      <c r="AX1597" s="3" t="s">
        <v>16142</v>
      </c>
      <c r="AY1597" s="3" t="s">
        <v>16143</v>
      </c>
      <c r="AZ1597" s="3" t="s">
        <v>16144</v>
      </c>
      <c r="BA1597" s="3" t="s">
        <v>16144</v>
      </c>
      <c r="BB1597" s="3" t="s">
        <v>16145</v>
      </c>
      <c r="BC1597" s="3" t="s">
        <v>77</v>
      </c>
      <c r="BD1597" s="3" t="s">
        <v>78</v>
      </c>
      <c r="BE1597" s="3" t="s">
        <v>16146</v>
      </c>
      <c r="BF1597" s="3" t="s">
        <v>16145</v>
      </c>
      <c r="BG1597" s="3" t="s">
        <v>16147</v>
      </c>
      <c r="BH1597">
        <f t="shared" si="44"/>
        <v>0</v>
      </c>
    </row>
    <row r="1598" spans="1:60" ht="58" x14ac:dyDescent="0.35">
      <c r="A1598" s="2" t="s">
        <v>59</v>
      </c>
      <c r="B1598" s="2" t="s">
        <v>60</v>
      </c>
      <c r="C1598" s="2" t="s">
        <v>16148</v>
      </c>
      <c r="D1598" s="2" t="s">
        <v>16149</v>
      </c>
      <c r="E1598" s="2" t="s">
        <v>16150</v>
      </c>
      <c r="G1598" s="3" t="s">
        <v>64</v>
      </c>
      <c r="I1598" s="3" t="s">
        <v>64</v>
      </c>
      <c r="J1598" s="3" t="s">
        <v>64</v>
      </c>
      <c r="K1598" s="3" t="s">
        <v>65</v>
      </c>
      <c r="M1598" s="2" t="s">
        <v>16151</v>
      </c>
      <c r="N1598" s="3" t="s">
        <v>1275</v>
      </c>
      <c r="P1598" s="3" t="s">
        <v>102</v>
      </c>
      <c r="Q1598" s="2" t="s">
        <v>16152</v>
      </c>
      <c r="R1598" s="3" t="s">
        <v>70</v>
      </c>
      <c r="S1598" s="4">
        <v>11</v>
      </c>
      <c r="T1598" s="4">
        <v>11</v>
      </c>
      <c r="U1598" s="5" t="s">
        <v>16141</v>
      </c>
      <c r="V1598" s="5" t="s">
        <v>16141</v>
      </c>
      <c r="W1598" s="5" t="s">
        <v>72</v>
      </c>
      <c r="X1598" s="5" t="s">
        <v>72</v>
      </c>
      <c r="Y1598" s="4">
        <v>191</v>
      </c>
      <c r="Z1598" s="4">
        <v>10</v>
      </c>
      <c r="AA1598" s="4">
        <v>15</v>
      </c>
      <c r="AB1598" s="4">
        <v>2</v>
      </c>
      <c r="AC1598" s="4">
        <v>7</v>
      </c>
      <c r="AD1598" s="4">
        <v>60</v>
      </c>
      <c r="AE1598" s="4">
        <v>62</v>
      </c>
      <c r="AF1598" s="4">
        <v>0</v>
      </c>
      <c r="AG1598" s="4">
        <v>2</v>
      </c>
      <c r="AH1598" s="4">
        <v>59</v>
      </c>
      <c r="AI1598" s="4">
        <v>60</v>
      </c>
      <c r="AJ1598" s="4">
        <v>6</v>
      </c>
      <c r="AK1598" s="4">
        <v>8</v>
      </c>
      <c r="AL1598" s="4">
        <v>33</v>
      </c>
      <c r="AM1598" s="4">
        <v>33</v>
      </c>
      <c r="AN1598" s="4">
        <v>0</v>
      </c>
      <c r="AO1598" s="4">
        <v>0</v>
      </c>
      <c r="AP1598" s="4">
        <v>7</v>
      </c>
      <c r="AQ1598" s="4">
        <v>8</v>
      </c>
      <c r="AR1598" s="3" t="s">
        <v>64</v>
      </c>
      <c r="AS1598" s="3" t="s">
        <v>64</v>
      </c>
      <c r="AT1598" s="3" t="s">
        <v>64</v>
      </c>
      <c r="AV1598" s="6" t="str">
        <f>HYPERLINK("http://mcgill.on.worldcat.org/oclc/56079061","Catalog Record")</f>
        <v>Catalog Record</v>
      </c>
      <c r="AW1598" s="6" t="str">
        <f>HYPERLINK("http://www.worldcat.org/oclc/56079061","WorldCat Record")</f>
        <v>WorldCat Record</v>
      </c>
      <c r="AX1598" s="3" t="s">
        <v>16153</v>
      </c>
      <c r="AY1598" s="3" t="s">
        <v>16154</v>
      </c>
      <c r="AZ1598" s="3" t="s">
        <v>16155</v>
      </c>
      <c r="BA1598" s="3" t="s">
        <v>16155</v>
      </c>
      <c r="BB1598" s="3" t="s">
        <v>16156</v>
      </c>
      <c r="BC1598" s="3" t="s">
        <v>77</v>
      </c>
      <c r="BD1598" s="3" t="s">
        <v>78</v>
      </c>
      <c r="BE1598" s="3" t="s">
        <v>16157</v>
      </c>
      <c r="BF1598" s="3" t="s">
        <v>16156</v>
      </c>
      <c r="BG1598" s="3" t="s">
        <v>16158</v>
      </c>
      <c r="BH1598">
        <f t="shared" si="44"/>
        <v>0</v>
      </c>
    </row>
    <row r="1599" spans="1:60" ht="58" x14ac:dyDescent="0.35">
      <c r="A1599" s="2" t="s">
        <v>59</v>
      </c>
      <c r="B1599" s="2" t="s">
        <v>60</v>
      </c>
      <c r="C1599" s="2" t="s">
        <v>16159</v>
      </c>
      <c r="D1599" s="2" t="s">
        <v>16160</v>
      </c>
      <c r="E1599" s="2" t="s">
        <v>16161</v>
      </c>
      <c r="G1599" s="3" t="s">
        <v>64</v>
      </c>
      <c r="I1599" s="3" t="s">
        <v>64</v>
      </c>
      <c r="J1599" s="3" t="s">
        <v>64</v>
      </c>
      <c r="K1599" s="3" t="s">
        <v>65</v>
      </c>
      <c r="L1599" s="2" t="s">
        <v>16162</v>
      </c>
      <c r="M1599" s="2" t="s">
        <v>16163</v>
      </c>
      <c r="N1599" s="3" t="s">
        <v>2067</v>
      </c>
      <c r="P1599" s="3" t="s">
        <v>102</v>
      </c>
      <c r="R1599" s="3" t="s">
        <v>70</v>
      </c>
      <c r="S1599" s="4">
        <v>1</v>
      </c>
      <c r="T1599" s="4">
        <v>1</v>
      </c>
      <c r="U1599" s="5" t="s">
        <v>16141</v>
      </c>
      <c r="V1599" s="5" t="s">
        <v>16141</v>
      </c>
      <c r="W1599" s="5" t="s">
        <v>72</v>
      </c>
      <c r="X1599" s="5" t="s">
        <v>72</v>
      </c>
      <c r="Y1599" s="4">
        <v>196</v>
      </c>
      <c r="Z1599" s="4">
        <v>12</v>
      </c>
      <c r="AA1599" s="4">
        <v>13</v>
      </c>
      <c r="AB1599" s="4">
        <v>2</v>
      </c>
      <c r="AC1599" s="4">
        <v>3</v>
      </c>
      <c r="AD1599" s="4">
        <v>66</v>
      </c>
      <c r="AE1599" s="4">
        <v>67</v>
      </c>
      <c r="AF1599" s="4">
        <v>0</v>
      </c>
      <c r="AG1599" s="4">
        <v>1</v>
      </c>
      <c r="AH1599" s="4">
        <v>60</v>
      </c>
      <c r="AI1599" s="4">
        <v>60</v>
      </c>
      <c r="AJ1599" s="4">
        <v>7</v>
      </c>
      <c r="AK1599" s="4">
        <v>8</v>
      </c>
      <c r="AL1599" s="4">
        <v>33</v>
      </c>
      <c r="AM1599" s="4">
        <v>33</v>
      </c>
      <c r="AN1599" s="4">
        <v>0</v>
      </c>
      <c r="AO1599" s="4">
        <v>0</v>
      </c>
      <c r="AP1599" s="4">
        <v>8</v>
      </c>
      <c r="AQ1599" s="4">
        <v>8</v>
      </c>
      <c r="AR1599" s="3" t="s">
        <v>64</v>
      </c>
      <c r="AS1599" s="3" t="s">
        <v>64</v>
      </c>
      <c r="AT1599" s="3" t="s">
        <v>128</v>
      </c>
      <c r="AU1599" s="6" t="str">
        <f>HYPERLINK("http://catalog.hathitrust.org/Record/001535928","HathiTrust Record")</f>
        <v>HathiTrust Record</v>
      </c>
      <c r="AV1599" s="6" t="str">
        <f>HYPERLINK("http://mcgill.on.worldcat.org/oclc/19516047","Catalog Record")</f>
        <v>Catalog Record</v>
      </c>
      <c r="AW1599" s="6" t="str">
        <f>HYPERLINK("http://www.worldcat.org/oclc/19516047","WorldCat Record")</f>
        <v>WorldCat Record</v>
      </c>
      <c r="AX1599" s="3" t="s">
        <v>16164</v>
      </c>
      <c r="AY1599" s="3" t="s">
        <v>16165</v>
      </c>
      <c r="AZ1599" s="3" t="s">
        <v>16166</v>
      </c>
      <c r="BA1599" s="3" t="s">
        <v>16166</v>
      </c>
      <c r="BB1599" s="3" t="s">
        <v>16167</v>
      </c>
      <c r="BC1599" s="3" t="s">
        <v>77</v>
      </c>
      <c r="BD1599" s="3" t="s">
        <v>78</v>
      </c>
      <c r="BE1599" s="3" t="s">
        <v>16168</v>
      </c>
      <c r="BF1599" s="3" t="s">
        <v>16167</v>
      </c>
      <c r="BG1599" s="3" t="s">
        <v>16169</v>
      </c>
      <c r="BH1599">
        <f t="shared" si="44"/>
        <v>0</v>
      </c>
    </row>
    <row r="1600" spans="1:60" ht="58" x14ac:dyDescent="0.35">
      <c r="A1600" s="2" t="s">
        <v>59</v>
      </c>
      <c r="B1600" s="2" t="s">
        <v>60</v>
      </c>
      <c r="C1600" s="2" t="s">
        <v>16170</v>
      </c>
      <c r="D1600" s="2" t="s">
        <v>16171</v>
      </c>
      <c r="E1600" s="2" t="s">
        <v>16172</v>
      </c>
      <c r="G1600" s="3" t="s">
        <v>64</v>
      </c>
      <c r="I1600" s="3" t="s">
        <v>64</v>
      </c>
      <c r="J1600" s="3" t="s">
        <v>64</v>
      </c>
      <c r="K1600" s="3" t="s">
        <v>65</v>
      </c>
      <c r="M1600" s="2" t="s">
        <v>16173</v>
      </c>
      <c r="N1600" s="3" t="s">
        <v>3584</v>
      </c>
      <c r="P1600" s="3" t="s">
        <v>102</v>
      </c>
      <c r="Q1600" s="2" t="s">
        <v>16174</v>
      </c>
      <c r="R1600" s="3" t="s">
        <v>70</v>
      </c>
      <c r="S1600" s="4">
        <v>2</v>
      </c>
      <c r="T1600" s="4">
        <v>2</v>
      </c>
      <c r="U1600" s="5" t="s">
        <v>16141</v>
      </c>
      <c r="V1600" s="5" t="s">
        <v>16141</v>
      </c>
      <c r="W1600" s="5" t="s">
        <v>72</v>
      </c>
      <c r="X1600" s="5" t="s">
        <v>72</v>
      </c>
      <c r="Y1600" s="4">
        <v>188</v>
      </c>
      <c r="Z1600" s="4">
        <v>15</v>
      </c>
      <c r="AA1600" s="4">
        <v>23</v>
      </c>
      <c r="AB1600" s="4">
        <v>1</v>
      </c>
      <c r="AC1600" s="4">
        <v>5</v>
      </c>
      <c r="AD1600" s="4">
        <v>57</v>
      </c>
      <c r="AE1600" s="4">
        <v>69</v>
      </c>
      <c r="AF1600" s="4">
        <v>0</v>
      </c>
      <c r="AG1600" s="4">
        <v>2</v>
      </c>
      <c r="AH1600" s="4">
        <v>51</v>
      </c>
      <c r="AI1600" s="4">
        <v>58</v>
      </c>
      <c r="AJ1600" s="4">
        <v>11</v>
      </c>
      <c r="AK1600" s="4">
        <v>15</v>
      </c>
      <c r="AL1600" s="4">
        <v>31</v>
      </c>
      <c r="AM1600" s="4">
        <v>35</v>
      </c>
      <c r="AN1600" s="4">
        <v>0</v>
      </c>
      <c r="AO1600" s="4">
        <v>0</v>
      </c>
      <c r="AP1600" s="4">
        <v>9</v>
      </c>
      <c r="AQ1600" s="4">
        <v>14</v>
      </c>
      <c r="AR1600" s="3" t="s">
        <v>64</v>
      </c>
      <c r="AS1600" s="3" t="s">
        <v>64</v>
      </c>
      <c r="AT1600" s="3" t="s">
        <v>128</v>
      </c>
      <c r="AU1600" s="6" t="str">
        <f>HYPERLINK("http://catalog.hathitrust.org/Record/000131282","HathiTrust Record")</f>
        <v>HathiTrust Record</v>
      </c>
      <c r="AV1600" s="6" t="str">
        <f>HYPERLINK("http://mcgill.on.worldcat.org/oclc/3706627","Catalog Record")</f>
        <v>Catalog Record</v>
      </c>
      <c r="AW1600" s="6" t="str">
        <f>HYPERLINK("http://www.worldcat.org/oclc/3706627","WorldCat Record")</f>
        <v>WorldCat Record</v>
      </c>
      <c r="AX1600" s="3" t="s">
        <v>16175</v>
      </c>
      <c r="AY1600" s="3" t="s">
        <v>16176</v>
      </c>
      <c r="AZ1600" s="3" t="s">
        <v>16177</v>
      </c>
      <c r="BA1600" s="3" t="s">
        <v>16177</v>
      </c>
      <c r="BB1600" s="3" t="s">
        <v>16178</v>
      </c>
      <c r="BC1600" s="3" t="s">
        <v>77</v>
      </c>
      <c r="BD1600" s="3" t="s">
        <v>78</v>
      </c>
      <c r="BE1600" s="3" t="s">
        <v>16179</v>
      </c>
      <c r="BF1600" s="3" t="s">
        <v>16178</v>
      </c>
      <c r="BG1600" s="3" t="s">
        <v>16180</v>
      </c>
      <c r="BH1600">
        <f t="shared" si="44"/>
        <v>0</v>
      </c>
    </row>
    <row r="1601" spans="1:60" ht="58" x14ac:dyDescent="0.35">
      <c r="A1601" s="2" t="s">
        <v>59</v>
      </c>
      <c r="B1601" s="2" t="s">
        <v>60</v>
      </c>
      <c r="C1601" s="2" t="s">
        <v>16181</v>
      </c>
      <c r="D1601" s="2" t="s">
        <v>16182</v>
      </c>
      <c r="E1601" s="2" t="s">
        <v>16183</v>
      </c>
      <c r="G1601" s="3" t="s">
        <v>64</v>
      </c>
      <c r="I1601" s="3" t="s">
        <v>64</v>
      </c>
      <c r="J1601" s="3" t="s">
        <v>64</v>
      </c>
      <c r="K1601" s="3" t="s">
        <v>65</v>
      </c>
      <c r="M1601" s="2" t="s">
        <v>15068</v>
      </c>
      <c r="N1601" s="3" t="s">
        <v>116</v>
      </c>
      <c r="P1601" s="3" t="s">
        <v>102</v>
      </c>
      <c r="R1601" s="3" t="s">
        <v>70</v>
      </c>
      <c r="S1601" s="4">
        <v>5</v>
      </c>
      <c r="T1601" s="4">
        <v>5</v>
      </c>
      <c r="U1601" s="5" t="s">
        <v>16184</v>
      </c>
      <c r="V1601" s="5" t="s">
        <v>16184</v>
      </c>
      <c r="W1601" s="5" t="s">
        <v>72</v>
      </c>
      <c r="X1601" s="5" t="s">
        <v>72</v>
      </c>
      <c r="Y1601" s="4">
        <v>181</v>
      </c>
      <c r="Z1601" s="4">
        <v>14</v>
      </c>
      <c r="AA1601" s="4">
        <v>15</v>
      </c>
      <c r="AB1601" s="4">
        <v>4</v>
      </c>
      <c r="AC1601" s="4">
        <v>5</v>
      </c>
      <c r="AD1601" s="4">
        <v>71</v>
      </c>
      <c r="AE1601" s="4">
        <v>72</v>
      </c>
      <c r="AF1601" s="4">
        <v>1</v>
      </c>
      <c r="AG1601" s="4">
        <v>2</v>
      </c>
      <c r="AH1601" s="4">
        <v>65</v>
      </c>
      <c r="AI1601" s="4">
        <v>65</v>
      </c>
      <c r="AJ1601" s="4">
        <v>9</v>
      </c>
      <c r="AK1601" s="4">
        <v>10</v>
      </c>
      <c r="AL1601" s="4">
        <v>37</v>
      </c>
      <c r="AM1601" s="4">
        <v>37</v>
      </c>
      <c r="AN1601" s="4">
        <v>0</v>
      </c>
      <c r="AO1601" s="4">
        <v>0</v>
      </c>
      <c r="AP1601" s="4">
        <v>9</v>
      </c>
      <c r="AQ1601" s="4">
        <v>9</v>
      </c>
      <c r="AR1601" s="3" t="s">
        <v>64</v>
      </c>
      <c r="AS1601" s="3" t="s">
        <v>64</v>
      </c>
      <c r="AT1601" s="3" t="s">
        <v>64</v>
      </c>
      <c r="AV1601" s="6" t="str">
        <f>HYPERLINK("http://mcgill.on.worldcat.org/oclc/46456273","Catalog Record")</f>
        <v>Catalog Record</v>
      </c>
      <c r="AW1601" s="6" t="str">
        <f>HYPERLINK("http://www.worldcat.org/oclc/46456273","WorldCat Record")</f>
        <v>WorldCat Record</v>
      </c>
      <c r="AX1601" s="3" t="s">
        <v>16185</v>
      </c>
      <c r="AY1601" s="3" t="s">
        <v>16186</v>
      </c>
      <c r="AZ1601" s="3" t="s">
        <v>16187</v>
      </c>
      <c r="BA1601" s="3" t="s">
        <v>16187</v>
      </c>
      <c r="BB1601" s="3" t="s">
        <v>16188</v>
      </c>
      <c r="BC1601" s="3" t="s">
        <v>77</v>
      </c>
      <c r="BD1601" s="3" t="s">
        <v>78</v>
      </c>
      <c r="BE1601" s="3" t="s">
        <v>16189</v>
      </c>
      <c r="BF1601" s="3" t="s">
        <v>16188</v>
      </c>
      <c r="BG1601" s="3" t="s">
        <v>16190</v>
      </c>
      <c r="BH1601">
        <f t="shared" si="44"/>
        <v>0</v>
      </c>
    </row>
    <row r="1602" spans="1:60" ht="58" x14ac:dyDescent="0.35">
      <c r="A1602" s="2" t="s">
        <v>59</v>
      </c>
      <c r="B1602" s="2" t="s">
        <v>60</v>
      </c>
      <c r="C1602" s="2" t="s">
        <v>16191</v>
      </c>
      <c r="D1602" s="2" t="s">
        <v>16192</v>
      </c>
      <c r="E1602" s="2" t="s">
        <v>16193</v>
      </c>
      <c r="G1602" s="3" t="s">
        <v>64</v>
      </c>
      <c r="I1602" s="3" t="s">
        <v>64</v>
      </c>
      <c r="J1602" s="3" t="s">
        <v>64</v>
      </c>
      <c r="K1602" s="3" t="s">
        <v>65</v>
      </c>
      <c r="L1602" s="2" t="s">
        <v>16194</v>
      </c>
      <c r="M1602" s="2" t="s">
        <v>16195</v>
      </c>
      <c r="N1602" s="3" t="s">
        <v>434</v>
      </c>
      <c r="P1602" s="3" t="s">
        <v>102</v>
      </c>
      <c r="Q1602" s="2" t="s">
        <v>8981</v>
      </c>
      <c r="R1602" s="3" t="s">
        <v>70</v>
      </c>
      <c r="S1602" s="4">
        <v>11</v>
      </c>
      <c r="T1602" s="4">
        <v>11</v>
      </c>
      <c r="U1602" s="5" t="s">
        <v>16196</v>
      </c>
      <c r="V1602" s="5" t="s">
        <v>16196</v>
      </c>
      <c r="W1602" s="5" t="s">
        <v>72</v>
      </c>
      <c r="X1602" s="5" t="s">
        <v>72</v>
      </c>
      <c r="Y1602" s="4">
        <v>158</v>
      </c>
      <c r="Z1602" s="4">
        <v>17</v>
      </c>
      <c r="AA1602" s="4">
        <v>24</v>
      </c>
      <c r="AB1602" s="4">
        <v>2</v>
      </c>
      <c r="AC1602" s="4">
        <v>6</v>
      </c>
      <c r="AD1602" s="4">
        <v>44</v>
      </c>
      <c r="AE1602" s="4">
        <v>52</v>
      </c>
      <c r="AF1602" s="4">
        <v>1</v>
      </c>
      <c r="AG1602" s="4">
        <v>2</v>
      </c>
      <c r="AH1602" s="4">
        <v>40</v>
      </c>
      <c r="AI1602" s="4">
        <v>46</v>
      </c>
      <c r="AJ1602" s="4">
        <v>6</v>
      </c>
      <c r="AK1602" s="4">
        <v>9</v>
      </c>
      <c r="AL1602" s="4">
        <v>31</v>
      </c>
      <c r="AM1602" s="4">
        <v>34</v>
      </c>
      <c r="AN1602" s="4">
        <v>2</v>
      </c>
      <c r="AO1602" s="4">
        <v>2</v>
      </c>
      <c r="AP1602" s="4">
        <v>7</v>
      </c>
      <c r="AQ1602" s="4">
        <v>9</v>
      </c>
      <c r="AR1602" s="3" t="s">
        <v>64</v>
      </c>
      <c r="AS1602" s="3" t="s">
        <v>64</v>
      </c>
      <c r="AT1602" s="3" t="s">
        <v>128</v>
      </c>
      <c r="AU1602" s="6" t="str">
        <f>HYPERLINK("http://catalog.hathitrust.org/Record/005018360","HathiTrust Record")</f>
        <v>HathiTrust Record</v>
      </c>
      <c r="AV1602" s="6" t="str">
        <f>HYPERLINK("http://mcgill.on.worldcat.org/oclc/58839573","Catalog Record")</f>
        <v>Catalog Record</v>
      </c>
      <c r="AW1602" s="6" t="str">
        <f>HYPERLINK("http://www.worldcat.org/oclc/58839573","WorldCat Record")</f>
        <v>WorldCat Record</v>
      </c>
      <c r="AX1602" s="3" t="s">
        <v>16197</v>
      </c>
      <c r="AY1602" s="3" t="s">
        <v>16198</v>
      </c>
      <c r="AZ1602" s="3" t="s">
        <v>16199</v>
      </c>
      <c r="BA1602" s="3" t="s">
        <v>16199</v>
      </c>
      <c r="BB1602" s="3" t="s">
        <v>16200</v>
      </c>
      <c r="BC1602" s="3" t="s">
        <v>77</v>
      </c>
      <c r="BD1602" s="3" t="s">
        <v>78</v>
      </c>
      <c r="BE1602" s="3" t="s">
        <v>16201</v>
      </c>
      <c r="BF1602" s="3" t="s">
        <v>16200</v>
      </c>
      <c r="BG1602" s="3" t="s">
        <v>16202</v>
      </c>
      <c r="BH1602">
        <f t="shared" ref="BH1602:BH1665" si="45">IF(COUNTIF($BF$1:$BF$5431,BF1602)=1,0,1)</f>
        <v>0</v>
      </c>
    </row>
    <row r="1603" spans="1:60" ht="58" x14ac:dyDescent="0.35">
      <c r="A1603" s="2" t="s">
        <v>59</v>
      </c>
      <c r="B1603" s="2" t="s">
        <v>60</v>
      </c>
      <c r="C1603" s="2" t="s">
        <v>16203</v>
      </c>
      <c r="D1603" s="2" t="s">
        <v>16204</v>
      </c>
      <c r="E1603" s="2" t="s">
        <v>16205</v>
      </c>
      <c r="G1603" s="3" t="s">
        <v>64</v>
      </c>
      <c r="I1603" s="3" t="s">
        <v>64</v>
      </c>
      <c r="J1603" s="3" t="s">
        <v>64</v>
      </c>
      <c r="K1603" s="3" t="s">
        <v>65</v>
      </c>
      <c r="L1603" s="2" t="s">
        <v>16206</v>
      </c>
      <c r="M1603" s="2" t="s">
        <v>14751</v>
      </c>
      <c r="N1603" s="3" t="s">
        <v>291</v>
      </c>
      <c r="P1603" s="3" t="s">
        <v>102</v>
      </c>
      <c r="Q1603" s="2" t="s">
        <v>16207</v>
      </c>
      <c r="R1603" s="3" t="s">
        <v>70</v>
      </c>
      <c r="S1603" s="4">
        <v>3</v>
      </c>
      <c r="T1603" s="4">
        <v>3</v>
      </c>
      <c r="U1603" s="5" t="s">
        <v>16184</v>
      </c>
      <c r="V1603" s="5" t="s">
        <v>16184</v>
      </c>
      <c r="W1603" s="5" t="s">
        <v>72</v>
      </c>
      <c r="X1603" s="5" t="s">
        <v>72</v>
      </c>
      <c r="Y1603" s="4">
        <v>192</v>
      </c>
      <c r="Z1603" s="4">
        <v>15</v>
      </c>
      <c r="AA1603" s="4">
        <v>17</v>
      </c>
      <c r="AB1603" s="4">
        <v>3</v>
      </c>
      <c r="AC1603" s="4">
        <v>5</v>
      </c>
      <c r="AD1603" s="4">
        <v>65</v>
      </c>
      <c r="AE1603" s="4">
        <v>67</v>
      </c>
      <c r="AF1603" s="4">
        <v>0</v>
      </c>
      <c r="AG1603" s="4">
        <v>2</v>
      </c>
      <c r="AH1603" s="4">
        <v>61</v>
      </c>
      <c r="AI1603" s="4">
        <v>61</v>
      </c>
      <c r="AJ1603" s="4">
        <v>10</v>
      </c>
      <c r="AK1603" s="4">
        <v>12</v>
      </c>
      <c r="AL1603" s="4">
        <v>34</v>
      </c>
      <c r="AM1603" s="4">
        <v>34</v>
      </c>
      <c r="AN1603" s="4">
        <v>0</v>
      </c>
      <c r="AO1603" s="4">
        <v>0</v>
      </c>
      <c r="AP1603" s="4">
        <v>10</v>
      </c>
      <c r="AQ1603" s="4">
        <v>11</v>
      </c>
      <c r="AR1603" s="3" t="s">
        <v>64</v>
      </c>
      <c r="AS1603" s="3" t="s">
        <v>64</v>
      </c>
      <c r="AT1603" s="3" t="s">
        <v>64</v>
      </c>
      <c r="AV1603" s="6" t="str">
        <f>HYPERLINK("http://mcgill.on.worldcat.org/oclc/70630352","Catalog Record")</f>
        <v>Catalog Record</v>
      </c>
      <c r="AW1603" s="6" t="str">
        <f>HYPERLINK("http://www.worldcat.org/oclc/70630352","WorldCat Record")</f>
        <v>WorldCat Record</v>
      </c>
      <c r="AX1603" s="3" t="s">
        <v>16208</v>
      </c>
      <c r="AY1603" s="3" t="s">
        <v>16209</v>
      </c>
      <c r="AZ1603" s="3" t="s">
        <v>16210</v>
      </c>
      <c r="BA1603" s="3" t="s">
        <v>16210</v>
      </c>
      <c r="BB1603" s="3" t="s">
        <v>16211</v>
      </c>
      <c r="BC1603" s="3" t="s">
        <v>77</v>
      </c>
      <c r="BD1603" s="3" t="s">
        <v>78</v>
      </c>
      <c r="BE1603" s="3" t="s">
        <v>16212</v>
      </c>
      <c r="BF1603" s="3" t="s">
        <v>16211</v>
      </c>
      <c r="BG1603" s="3" t="s">
        <v>16213</v>
      </c>
      <c r="BH1603">
        <f t="shared" si="45"/>
        <v>0</v>
      </c>
    </row>
    <row r="1604" spans="1:60" ht="58" x14ac:dyDescent="0.35">
      <c r="A1604" s="2" t="s">
        <v>59</v>
      </c>
      <c r="B1604" s="2" t="s">
        <v>60</v>
      </c>
      <c r="C1604" s="2" t="s">
        <v>16214</v>
      </c>
      <c r="D1604" s="2" t="s">
        <v>16215</v>
      </c>
      <c r="E1604" s="2" t="s">
        <v>16216</v>
      </c>
      <c r="G1604" s="3" t="s">
        <v>64</v>
      </c>
      <c r="I1604" s="3" t="s">
        <v>64</v>
      </c>
      <c r="J1604" s="3" t="s">
        <v>64</v>
      </c>
      <c r="K1604" s="3" t="s">
        <v>65</v>
      </c>
      <c r="M1604" s="2" t="s">
        <v>16217</v>
      </c>
      <c r="N1604" s="3" t="s">
        <v>144</v>
      </c>
      <c r="P1604" s="3" t="s">
        <v>102</v>
      </c>
      <c r="Q1604" s="2" t="s">
        <v>16218</v>
      </c>
      <c r="R1604" s="3" t="s">
        <v>70</v>
      </c>
      <c r="S1604" s="4">
        <v>7</v>
      </c>
      <c r="T1604" s="4">
        <v>7</v>
      </c>
      <c r="U1604" s="5" t="s">
        <v>16196</v>
      </c>
      <c r="V1604" s="5" t="s">
        <v>16196</v>
      </c>
      <c r="W1604" s="5" t="s">
        <v>72</v>
      </c>
      <c r="X1604" s="5" t="s">
        <v>72</v>
      </c>
      <c r="Y1604" s="4">
        <v>104</v>
      </c>
      <c r="Z1604" s="4">
        <v>6</v>
      </c>
      <c r="AA1604" s="4">
        <v>9</v>
      </c>
      <c r="AB1604" s="4">
        <v>2</v>
      </c>
      <c r="AC1604" s="4">
        <v>5</v>
      </c>
      <c r="AD1604" s="4">
        <v>34</v>
      </c>
      <c r="AE1604" s="4">
        <v>35</v>
      </c>
      <c r="AF1604" s="4">
        <v>0</v>
      </c>
      <c r="AG1604" s="4">
        <v>1</v>
      </c>
      <c r="AH1604" s="4">
        <v>34</v>
      </c>
      <c r="AI1604" s="4">
        <v>34</v>
      </c>
      <c r="AJ1604" s="4">
        <v>4</v>
      </c>
      <c r="AK1604" s="4">
        <v>5</v>
      </c>
      <c r="AL1604" s="4">
        <v>18</v>
      </c>
      <c r="AM1604" s="4">
        <v>18</v>
      </c>
      <c r="AN1604" s="4">
        <v>0</v>
      </c>
      <c r="AO1604" s="4">
        <v>0</v>
      </c>
      <c r="AP1604" s="4">
        <v>4</v>
      </c>
      <c r="AQ1604" s="4">
        <v>4</v>
      </c>
      <c r="AR1604" s="3" t="s">
        <v>64</v>
      </c>
      <c r="AS1604" s="3" t="s">
        <v>64</v>
      </c>
      <c r="AT1604" s="3" t="s">
        <v>64</v>
      </c>
      <c r="AV1604" s="6" t="str">
        <f>HYPERLINK("http://mcgill.on.worldcat.org/oclc/85813875","Catalog Record")</f>
        <v>Catalog Record</v>
      </c>
      <c r="AW1604" s="6" t="str">
        <f>HYPERLINK("http://www.worldcat.org/oclc/85813875","WorldCat Record")</f>
        <v>WorldCat Record</v>
      </c>
      <c r="AX1604" s="3" t="s">
        <v>16219</v>
      </c>
      <c r="AY1604" s="3" t="s">
        <v>16220</v>
      </c>
      <c r="AZ1604" s="3" t="s">
        <v>16221</v>
      </c>
      <c r="BA1604" s="3" t="s">
        <v>16221</v>
      </c>
      <c r="BB1604" s="3" t="s">
        <v>16222</v>
      </c>
      <c r="BC1604" s="3" t="s">
        <v>77</v>
      </c>
      <c r="BD1604" s="3" t="s">
        <v>78</v>
      </c>
      <c r="BE1604" s="3" t="s">
        <v>16223</v>
      </c>
      <c r="BF1604" s="3" t="s">
        <v>16222</v>
      </c>
      <c r="BG1604" s="3" t="s">
        <v>16224</v>
      </c>
      <c r="BH1604">
        <f t="shared" si="45"/>
        <v>0</v>
      </c>
    </row>
    <row r="1605" spans="1:60" ht="58" x14ac:dyDescent="0.35">
      <c r="A1605" s="2" t="s">
        <v>59</v>
      </c>
      <c r="B1605" s="2" t="s">
        <v>60</v>
      </c>
      <c r="C1605" s="2" t="s">
        <v>16225</v>
      </c>
      <c r="D1605" s="2" t="s">
        <v>16226</v>
      </c>
      <c r="E1605" s="2" t="s">
        <v>16227</v>
      </c>
      <c r="G1605" s="3" t="s">
        <v>64</v>
      </c>
      <c r="I1605" s="3" t="s">
        <v>64</v>
      </c>
      <c r="J1605" s="3" t="s">
        <v>64</v>
      </c>
      <c r="K1605" s="3" t="s">
        <v>65</v>
      </c>
      <c r="L1605" s="2" t="s">
        <v>16228</v>
      </c>
      <c r="M1605" s="2" t="s">
        <v>16229</v>
      </c>
      <c r="N1605" s="3" t="s">
        <v>190</v>
      </c>
      <c r="P1605" s="3" t="s">
        <v>102</v>
      </c>
      <c r="R1605" s="3" t="s">
        <v>70</v>
      </c>
      <c r="S1605" s="4">
        <v>1</v>
      </c>
      <c r="T1605" s="4">
        <v>1</v>
      </c>
      <c r="U1605" s="5" t="s">
        <v>3813</v>
      </c>
      <c r="V1605" s="5" t="s">
        <v>3813</v>
      </c>
      <c r="W1605" s="5" t="s">
        <v>72</v>
      </c>
      <c r="X1605" s="5" t="s">
        <v>72</v>
      </c>
      <c r="Y1605" s="4">
        <v>139</v>
      </c>
      <c r="Z1605" s="4">
        <v>11</v>
      </c>
      <c r="AA1605" s="4">
        <v>12</v>
      </c>
      <c r="AB1605" s="4">
        <v>2</v>
      </c>
      <c r="AC1605" s="4">
        <v>3</v>
      </c>
      <c r="AD1605" s="4">
        <v>40</v>
      </c>
      <c r="AE1605" s="4">
        <v>42</v>
      </c>
      <c r="AF1605" s="4">
        <v>1</v>
      </c>
      <c r="AG1605" s="4">
        <v>2</v>
      </c>
      <c r="AH1605" s="4">
        <v>36</v>
      </c>
      <c r="AI1605" s="4">
        <v>37</v>
      </c>
      <c r="AJ1605" s="4">
        <v>6</v>
      </c>
      <c r="AK1605" s="4">
        <v>7</v>
      </c>
      <c r="AL1605" s="4">
        <v>19</v>
      </c>
      <c r="AM1605" s="4">
        <v>19</v>
      </c>
      <c r="AN1605" s="4">
        <v>0</v>
      </c>
      <c r="AO1605" s="4">
        <v>0</v>
      </c>
      <c r="AP1605" s="4">
        <v>7</v>
      </c>
      <c r="AQ1605" s="4">
        <v>7</v>
      </c>
      <c r="AR1605" s="3" t="s">
        <v>64</v>
      </c>
      <c r="AS1605" s="3" t="s">
        <v>64</v>
      </c>
      <c r="AT1605" s="3" t="s">
        <v>64</v>
      </c>
      <c r="AV1605" s="6" t="str">
        <f>HYPERLINK("http://mcgill.on.worldcat.org/oclc/1030445703","Catalog Record")</f>
        <v>Catalog Record</v>
      </c>
      <c r="AW1605" s="6" t="str">
        <f>HYPERLINK("http://www.worldcat.org/oclc/1030445703","WorldCat Record")</f>
        <v>WorldCat Record</v>
      </c>
      <c r="AX1605" s="3" t="s">
        <v>16230</v>
      </c>
      <c r="AY1605" s="3" t="s">
        <v>16231</v>
      </c>
      <c r="AZ1605" s="3" t="s">
        <v>16232</v>
      </c>
      <c r="BA1605" s="3" t="s">
        <v>16232</v>
      </c>
      <c r="BB1605" s="3" t="s">
        <v>16233</v>
      </c>
      <c r="BC1605" s="3" t="s">
        <v>77</v>
      </c>
      <c r="BD1605" s="3" t="s">
        <v>78</v>
      </c>
      <c r="BE1605" s="3" t="s">
        <v>16234</v>
      </c>
      <c r="BF1605" s="3" t="s">
        <v>16233</v>
      </c>
      <c r="BG1605" s="3" t="s">
        <v>16235</v>
      </c>
      <c r="BH1605">
        <f t="shared" si="45"/>
        <v>0</v>
      </c>
    </row>
    <row r="1606" spans="1:60" ht="87" x14ac:dyDescent="0.35">
      <c r="A1606" s="2" t="s">
        <v>59</v>
      </c>
      <c r="B1606" s="2" t="s">
        <v>60</v>
      </c>
      <c r="C1606" s="2" t="s">
        <v>16236</v>
      </c>
      <c r="D1606" s="2" t="s">
        <v>16237</v>
      </c>
      <c r="E1606" s="2" t="s">
        <v>16238</v>
      </c>
      <c r="G1606" s="3" t="s">
        <v>64</v>
      </c>
      <c r="I1606" s="3" t="s">
        <v>64</v>
      </c>
      <c r="J1606" s="3" t="s">
        <v>64</v>
      </c>
      <c r="K1606" s="3" t="s">
        <v>65</v>
      </c>
      <c r="L1606" s="2" t="s">
        <v>16239</v>
      </c>
      <c r="M1606" s="2" t="s">
        <v>16240</v>
      </c>
      <c r="N1606" s="3" t="s">
        <v>1075</v>
      </c>
      <c r="P1606" s="3" t="s">
        <v>102</v>
      </c>
      <c r="R1606" s="3" t="s">
        <v>70</v>
      </c>
      <c r="S1606" s="4">
        <v>0</v>
      </c>
      <c r="T1606" s="4">
        <v>0</v>
      </c>
      <c r="U1606" s="5" t="s">
        <v>16241</v>
      </c>
      <c r="V1606" s="5" t="s">
        <v>16241</v>
      </c>
      <c r="W1606" s="5" t="s">
        <v>72</v>
      </c>
      <c r="X1606" s="5" t="s">
        <v>72</v>
      </c>
      <c r="Y1606" s="4">
        <v>26</v>
      </c>
      <c r="Z1606" s="4">
        <v>19</v>
      </c>
      <c r="AA1606" s="4">
        <v>19</v>
      </c>
      <c r="AB1606" s="4">
        <v>3</v>
      </c>
      <c r="AC1606" s="4">
        <v>3</v>
      </c>
      <c r="AD1606" s="4">
        <v>15</v>
      </c>
      <c r="AE1606" s="4">
        <v>15</v>
      </c>
      <c r="AF1606" s="4">
        <v>1</v>
      </c>
      <c r="AG1606" s="4">
        <v>1</v>
      </c>
      <c r="AH1606" s="4">
        <v>10</v>
      </c>
      <c r="AI1606" s="4">
        <v>10</v>
      </c>
      <c r="AJ1606" s="4">
        <v>10</v>
      </c>
      <c r="AK1606" s="4">
        <v>10</v>
      </c>
      <c r="AL1606" s="4">
        <v>4</v>
      </c>
      <c r="AM1606" s="4">
        <v>4</v>
      </c>
      <c r="AN1606" s="4">
        <v>0</v>
      </c>
      <c r="AO1606" s="4">
        <v>0</v>
      </c>
      <c r="AP1606" s="4">
        <v>8</v>
      </c>
      <c r="AQ1606" s="4">
        <v>8</v>
      </c>
      <c r="AR1606" s="3" t="s">
        <v>128</v>
      </c>
      <c r="AS1606" s="3" t="s">
        <v>64</v>
      </c>
      <c r="AT1606" s="3" t="s">
        <v>64</v>
      </c>
      <c r="AV1606" s="6" t="str">
        <f>HYPERLINK("http://mcgill.on.worldcat.org/oclc/849798454","Catalog Record")</f>
        <v>Catalog Record</v>
      </c>
      <c r="AW1606" s="6" t="str">
        <f>HYPERLINK("http://www.worldcat.org/oclc/849798454","WorldCat Record")</f>
        <v>WorldCat Record</v>
      </c>
      <c r="AX1606" s="3" t="s">
        <v>16242</v>
      </c>
      <c r="AY1606" s="3" t="s">
        <v>16243</v>
      </c>
      <c r="AZ1606" s="3" t="s">
        <v>16244</v>
      </c>
      <c r="BA1606" s="3" t="s">
        <v>16244</v>
      </c>
      <c r="BB1606" s="3" t="s">
        <v>16245</v>
      </c>
      <c r="BC1606" s="3" t="s">
        <v>77</v>
      </c>
      <c r="BD1606" s="3" t="s">
        <v>78</v>
      </c>
      <c r="BE1606" s="3" t="s">
        <v>16246</v>
      </c>
      <c r="BF1606" s="3" t="s">
        <v>16245</v>
      </c>
      <c r="BG1606" s="3" t="s">
        <v>16247</v>
      </c>
      <c r="BH1606">
        <f t="shared" si="45"/>
        <v>0</v>
      </c>
    </row>
    <row r="1607" spans="1:60" ht="101.5" x14ac:dyDescent="0.35">
      <c r="A1607" s="2" t="s">
        <v>59</v>
      </c>
      <c r="B1607" s="2" t="s">
        <v>60</v>
      </c>
      <c r="C1607" s="2" t="s">
        <v>16248</v>
      </c>
      <c r="D1607" s="2" t="s">
        <v>16249</v>
      </c>
      <c r="E1607" s="2" t="s">
        <v>16250</v>
      </c>
      <c r="G1607" s="3" t="s">
        <v>64</v>
      </c>
      <c r="I1607" s="3" t="s">
        <v>64</v>
      </c>
      <c r="J1607" s="3" t="s">
        <v>64</v>
      </c>
      <c r="K1607" s="3" t="s">
        <v>65</v>
      </c>
      <c r="M1607" s="2" t="s">
        <v>16251</v>
      </c>
      <c r="N1607" s="3" t="s">
        <v>511</v>
      </c>
      <c r="P1607" s="3" t="s">
        <v>102</v>
      </c>
      <c r="Q1607" s="2" t="s">
        <v>16252</v>
      </c>
      <c r="R1607" s="3" t="s">
        <v>70</v>
      </c>
      <c r="S1607" s="4">
        <v>0</v>
      </c>
      <c r="T1607" s="4">
        <v>0</v>
      </c>
      <c r="W1607" s="5" t="s">
        <v>72</v>
      </c>
      <c r="X1607" s="5" t="s">
        <v>72</v>
      </c>
      <c r="Y1607" s="4">
        <v>24</v>
      </c>
      <c r="Z1607" s="4">
        <v>3</v>
      </c>
      <c r="AA1607" s="4">
        <v>3</v>
      </c>
      <c r="AB1607" s="4">
        <v>1</v>
      </c>
      <c r="AC1607" s="4">
        <v>1</v>
      </c>
      <c r="AD1607" s="4">
        <v>9</v>
      </c>
      <c r="AE1607" s="4">
        <v>9</v>
      </c>
      <c r="AF1607" s="4">
        <v>0</v>
      </c>
      <c r="AG1607" s="4">
        <v>0</v>
      </c>
      <c r="AH1607" s="4">
        <v>9</v>
      </c>
      <c r="AI1607" s="4">
        <v>9</v>
      </c>
      <c r="AJ1607" s="4">
        <v>2</v>
      </c>
      <c r="AK1607" s="4">
        <v>2</v>
      </c>
      <c r="AL1607" s="4">
        <v>6</v>
      </c>
      <c r="AM1607" s="4">
        <v>6</v>
      </c>
      <c r="AN1607" s="4">
        <v>0</v>
      </c>
      <c r="AO1607" s="4">
        <v>0</v>
      </c>
      <c r="AP1607" s="4">
        <v>2</v>
      </c>
      <c r="AQ1607" s="4">
        <v>2</v>
      </c>
      <c r="AR1607" s="3" t="s">
        <v>64</v>
      </c>
      <c r="AS1607" s="3" t="s">
        <v>64</v>
      </c>
      <c r="AT1607" s="3" t="s">
        <v>64</v>
      </c>
      <c r="AV1607" s="6" t="str">
        <f>HYPERLINK("http://mcgill.on.worldcat.org/oclc/666211601","Catalog Record")</f>
        <v>Catalog Record</v>
      </c>
      <c r="AW1607" s="6" t="str">
        <f>HYPERLINK("http://www.worldcat.org/oclc/666211601","WorldCat Record")</f>
        <v>WorldCat Record</v>
      </c>
      <c r="AX1607" s="3" t="s">
        <v>16253</v>
      </c>
      <c r="AY1607" s="3" t="s">
        <v>16254</v>
      </c>
      <c r="AZ1607" s="3" t="s">
        <v>16255</v>
      </c>
      <c r="BA1607" s="3" t="s">
        <v>16255</v>
      </c>
      <c r="BB1607" s="3" t="s">
        <v>16256</v>
      </c>
      <c r="BC1607" s="3" t="s">
        <v>77</v>
      </c>
      <c r="BD1607" s="3" t="s">
        <v>78</v>
      </c>
      <c r="BE1607" s="3" t="s">
        <v>16257</v>
      </c>
      <c r="BF1607" s="3" t="s">
        <v>16256</v>
      </c>
      <c r="BG1607" s="3" t="s">
        <v>16258</v>
      </c>
      <c r="BH1607">
        <f t="shared" si="45"/>
        <v>0</v>
      </c>
    </row>
    <row r="1608" spans="1:60" ht="101.5" x14ac:dyDescent="0.35">
      <c r="A1608" s="2" t="s">
        <v>6202</v>
      </c>
      <c r="B1608" s="2" t="s">
        <v>6203</v>
      </c>
      <c r="C1608" s="2" t="s">
        <v>16259</v>
      </c>
      <c r="D1608" s="2" t="s">
        <v>16260</v>
      </c>
      <c r="E1608" s="2" t="s">
        <v>16261</v>
      </c>
      <c r="G1608" s="3" t="s">
        <v>64</v>
      </c>
      <c r="I1608" s="3" t="s">
        <v>64</v>
      </c>
      <c r="J1608" s="3" t="s">
        <v>64</v>
      </c>
      <c r="K1608" s="3" t="s">
        <v>65</v>
      </c>
      <c r="M1608" s="2" t="s">
        <v>4309</v>
      </c>
      <c r="N1608" s="3" t="s">
        <v>511</v>
      </c>
      <c r="O1608" s="2" t="s">
        <v>16262</v>
      </c>
      <c r="P1608" s="3" t="s">
        <v>102</v>
      </c>
      <c r="Q1608" s="2" t="s">
        <v>16263</v>
      </c>
      <c r="R1608" s="3" t="s">
        <v>70</v>
      </c>
      <c r="S1608" s="4">
        <v>1</v>
      </c>
      <c r="T1608" s="4">
        <v>1</v>
      </c>
      <c r="U1608" s="5" t="s">
        <v>16264</v>
      </c>
      <c r="V1608" s="5" t="s">
        <v>16264</v>
      </c>
      <c r="W1608" s="5" t="s">
        <v>72</v>
      </c>
      <c r="X1608" s="5" t="s">
        <v>72</v>
      </c>
      <c r="Y1608" s="4">
        <v>152</v>
      </c>
      <c r="Z1608" s="4">
        <v>11</v>
      </c>
      <c r="AA1608" s="4">
        <v>14</v>
      </c>
      <c r="AB1608" s="4">
        <v>2</v>
      </c>
      <c r="AC1608" s="4">
        <v>4</v>
      </c>
      <c r="AD1608" s="4">
        <v>41</v>
      </c>
      <c r="AE1608" s="4">
        <v>48</v>
      </c>
      <c r="AF1608" s="4">
        <v>0</v>
      </c>
      <c r="AG1608" s="4">
        <v>2</v>
      </c>
      <c r="AH1608" s="4">
        <v>37</v>
      </c>
      <c r="AI1608" s="4">
        <v>43</v>
      </c>
      <c r="AJ1608" s="4">
        <v>5</v>
      </c>
      <c r="AK1608" s="4">
        <v>8</v>
      </c>
      <c r="AL1608" s="4">
        <v>26</v>
      </c>
      <c r="AM1608" s="4">
        <v>28</v>
      </c>
      <c r="AN1608" s="4">
        <v>0</v>
      </c>
      <c r="AO1608" s="4">
        <v>0</v>
      </c>
      <c r="AP1608" s="4">
        <v>4</v>
      </c>
      <c r="AQ1608" s="4">
        <v>6</v>
      </c>
      <c r="AR1608" s="3" t="s">
        <v>64</v>
      </c>
      <c r="AS1608" s="3" t="s">
        <v>64</v>
      </c>
      <c r="AT1608" s="3" t="s">
        <v>64</v>
      </c>
      <c r="AV1608" s="6" t="str">
        <f>HYPERLINK("http://mcgill.on.worldcat.org/oclc/610832044","Catalog Record")</f>
        <v>Catalog Record</v>
      </c>
      <c r="AW1608" s="6" t="str">
        <f>HYPERLINK("http://www.worldcat.org/oclc/610832044","WorldCat Record")</f>
        <v>WorldCat Record</v>
      </c>
      <c r="AX1608" s="3" t="s">
        <v>16265</v>
      </c>
      <c r="AY1608" s="3" t="s">
        <v>16266</v>
      </c>
      <c r="AZ1608" s="3" t="s">
        <v>16267</v>
      </c>
      <c r="BA1608" s="3" t="s">
        <v>16267</v>
      </c>
      <c r="BB1608" s="3" t="s">
        <v>16268</v>
      </c>
      <c r="BC1608" s="3" t="s">
        <v>77</v>
      </c>
      <c r="BD1608" s="3" t="s">
        <v>78</v>
      </c>
      <c r="BE1608" s="3" t="s">
        <v>16269</v>
      </c>
      <c r="BF1608" s="3" t="s">
        <v>16268</v>
      </c>
      <c r="BG1608" s="3" t="s">
        <v>16270</v>
      </c>
      <c r="BH1608">
        <f t="shared" si="45"/>
        <v>0</v>
      </c>
    </row>
    <row r="1609" spans="1:60" ht="58" x14ac:dyDescent="0.35">
      <c r="A1609" s="2" t="s">
        <v>59</v>
      </c>
      <c r="B1609" s="2" t="s">
        <v>60</v>
      </c>
      <c r="C1609" s="2" t="s">
        <v>16271</v>
      </c>
      <c r="D1609" s="2" t="s">
        <v>16272</v>
      </c>
      <c r="E1609" s="2" t="s">
        <v>16273</v>
      </c>
      <c r="G1609" s="3" t="s">
        <v>64</v>
      </c>
      <c r="I1609" s="3" t="s">
        <v>64</v>
      </c>
      <c r="J1609" s="3" t="s">
        <v>64</v>
      </c>
      <c r="K1609" s="3" t="s">
        <v>65</v>
      </c>
      <c r="L1609" s="2" t="s">
        <v>16274</v>
      </c>
      <c r="M1609" s="2" t="s">
        <v>16275</v>
      </c>
      <c r="N1609" s="3" t="s">
        <v>315</v>
      </c>
      <c r="P1609" s="3" t="s">
        <v>102</v>
      </c>
      <c r="R1609" s="3" t="s">
        <v>70</v>
      </c>
      <c r="S1609" s="4">
        <v>1</v>
      </c>
      <c r="T1609" s="4">
        <v>1</v>
      </c>
      <c r="U1609" s="5" t="s">
        <v>16276</v>
      </c>
      <c r="V1609" s="5" t="s">
        <v>16276</v>
      </c>
      <c r="W1609" s="5" t="s">
        <v>72</v>
      </c>
      <c r="X1609" s="5" t="s">
        <v>72</v>
      </c>
      <c r="Y1609" s="4">
        <v>7</v>
      </c>
      <c r="Z1609" s="4">
        <v>4</v>
      </c>
      <c r="AA1609" s="4">
        <v>7</v>
      </c>
      <c r="AB1609" s="4">
        <v>1</v>
      </c>
      <c r="AC1609" s="4">
        <v>2</v>
      </c>
      <c r="AD1609" s="4">
        <v>5</v>
      </c>
      <c r="AE1609" s="4">
        <v>7</v>
      </c>
      <c r="AF1609" s="4">
        <v>0</v>
      </c>
      <c r="AG1609" s="4">
        <v>1</v>
      </c>
      <c r="AH1609" s="4">
        <v>3</v>
      </c>
      <c r="AI1609" s="4">
        <v>4</v>
      </c>
      <c r="AJ1609" s="4">
        <v>3</v>
      </c>
      <c r="AK1609" s="4">
        <v>5</v>
      </c>
      <c r="AL1609" s="4">
        <v>2</v>
      </c>
      <c r="AM1609" s="4">
        <v>3</v>
      </c>
      <c r="AN1609" s="4">
        <v>0</v>
      </c>
      <c r="AO1609" s="4">
        <v>0</v>
      </c>
      <c r="AP1609" s="4">
        <v>2</v>
      </c>
      <c r="AQ1609" s="4">
        <v>3</v>
      </c>
      <c r="AR1609" s="3" t="s">
        <v>128</v>
      </c>
      <c r="AS1609" s="3" t="s">
        <v>64</v>
      </c>
      <c r="AT1609" s="3" t="s">
        <v>128</v>
      </c>
      <c r="AU1609" s="6" t="str">
        <f>HYPERLINK("http://catalog.hathitrust.org/Record/003531496","HathiTrust Record")</f>
        <v>HathiTrust Record</v>
      </c>
      <c r="AV1609" s="6" t="str">
        <f>HYPERLINK("http://mcgill.on.worldcat.org/oclc/15919756","Catalog Record")</f>
        <v>Catalog Record</v>
      </c>
      <c r="AW1609" s="6" t="str">
        <f>HYPERLINK("http://www.worldcat.org/oclc/15919756","WorldCat Record")</f>
        <v>WorldCat Record</v>
      </c>
      <c r="AX1609" s="3" t="s">
        <v>16277</v>
      </c>
      <c r="AY1609" s="3" t="s">
        <v>16278</v>
      </c>
      <c r="AZ1609" s="3" t="s">
        <v>16279</v>
      </c>
      <c r="BA1609" s="3" t="s">
        <v>16279</v>
      </c>
      <c r="BB1609" s="3" t="s">
        <v>16280</v>
      </c>
      <c r="BC1609" s="3" t="s">
        <v>77</v>
      </c>
      <c r="BD1609" s="3" t="s">
        <v>78</v>
      </c>
      <c r="BF1609" s="3" t="s">
        <v>16280</v>
      </c>
      <c r="BG1609" s="3" t="s">
        <v>16281</v>
      </c>
      <c r="BH1609">
        <f t="shared" si="45"/>
        <v>0</v>
      </c>
    </row>
    <row r="1610" spans="1:60" ht="58" x14ac:dyDescent="0.35">
      <c r="A1610" s="2" t="s">
        <v>59</v>
      </c>
      <c r="B1610" s="2" t="s">
        <v>60</v>
      </c>
      <c r="C1610" s="2" t="s">
        <v>16282</v>
      </c>
      <c r="D1610" s="2" t="s">
        <v>16283</v>
      </c>
      <c r="E1610" s="2" t="s">
        <v>16284</v>
      </c>
      <c r="G1610" s="3" t="s">
        <v>64</v>
      </c>
      <c r="I1610" s="3" t="s">
        <v>64</v>
      </c>
      <c r="J1610" s="3" t="s">
        <v>64</v>
      </c>
      <c r="K1610" s="3" t="s">
        <v>65</v>
      </c>
      <c r="L1610" s="2" t="s">
        <v>16285</v>
      </c>
      <c r="M1610" s="2" t="s">
        <v>16286</v>
      </c>
      <c r="N1610" s="3" t="s">
        <v>1031</v>
      </c>
      <c r="P1610" s="3" t="s">
        <v>102</v>
      </c>
      <c r="R1610" s="3" t="s">
        <v>70</v>
      </c>
      <c r="S1610" s="4">
        <v>1</v>
      </c>
      <c r="T1610" s="4">
        <v>1</v>
      </c>
      <c r="U1610" s="5" t="s">
        <v>16287</v>
      </c>
      <c r="V1610" s="5" t="s">
        <v>16287</v>
      </c>
      <c r="W1610" s="5" t="s">
        <v>72</v>
      </c>
      <c r="X1610" s="5" t="s">
        <v>72</v>
      </c>
      <c r="Y1610" s="4">
        <v>66</v>
      </c>
      <c r="Z1610" s="4">
        <v>1</v>
      </c>
      <c r="AA1610" s="4">
        <v>1</v>
      </c>
      <c r="AB1610" s="4">
        <v>1</v>
      </c>
      <c r="AC1610" s="4">
        <v>1</v>
      </c>
      <c r="AD1610" s="4">
        <v>0</v>
      </c>
      <c r="AE1610" s="4">
        <v>0</v>
      </c>
      <c r="AF1610" s="4">
        <v>0</v>
      </c>
      <c r="AG1610" s="4">
        <v>0</v>
      </c>
      <c r="AH1610" s="4">
        <v>0</v>
      </c>
      <c r="AI1610" s="4">
        <v>0</v>
      </c>
      <c r="AJ1610" s="4">
        <v>0</v>
      </c>
      <c r="AK1610" s="4">
        <v>0</v>
      </c>
      <c r="AL1610" s="4">
        <v>0</v>
      </c>
      <c r="AM1610" s="4">
        <v>0</v>
      </c>
      <c r="AN1610" s="4">
        <v>0</v>
      </c>
      <c r="AO1610" s="4">
        <v>0</v>
      </c>
      <c r="AP1610" s="4">
        <v>0</v>
      </c>
      <c r="AQ1610" s="4">
        <v>0</v>
      </c>
      <c r="AR1610" s="3" t="s">
        <v>64</v>
      </c>
      <c r="AS1610" s="3" t="s">
        <v>64</v>
      </c>
      <c r="AT1610" s="3" t="s">
        <v>64</v>
      </c>
      <c r="AV1610" s="6" t="str">
        <f>HYPERLINK("http://mcgill.on.worldcat.org/oclc/38318851","Catalog Record")</f>
        <v>Catalog Record</v>
      </c>
      <c r="AW1610" s="6" t="str">
        <f>HYPERLINK("http://www.worldcat.org/oclc/38318851","WorldCat Record")</f>
        <v>WorldCat Record</v>
      </c>
      <c r="AX1610" s="3" t="s">
        <v>16288</v>
      </c>
      <c r="AY1610" s="3" t="s">
        <v>16289</v>
      </c>
      <c r="AZ1610" s="3" t="s">
        <v>16290</v>
      </c>
      <c r="BA1610" s="3" t="s">
        <v>16290</v>
      </c>
      <c r="BB1610" s="3" t="s">
        <v>16291</v>
      </c>
      <c r="BC1610" s="3" t="s">
        <v>77</v>
      </c>
      <c r="BD1610" s="3" t="s">
        <v>78</v>
      </c>
      <c r="BE1610" s="3" t="s">
        <v>16292</v>
      </c>
      <c r="BF1610" s="3" t="s">
        <v>16291</v>
      </c>
      <c r="BG1610" s="3" t="s">
        <v>16293</v>
      </c>
      <c r="BH1610">
        <f t="shared" si="45"/>
        <v>0</v>
      </c>
    </row>
    <row r="1611" spans="1:60" ht="116" x14ac:dyDescent="0.35">
      <c r="A1611" s="2" t="s">
        <v>59</v>
      </c>
      <c r="B1611" s="2" t="s">
        <v>1183</v>
      </c>
      <c r="C1611" s="2" t="s">
        <v>16294</v>
      </c>
      <c r="D1611" s="2" t="s">
        <v>16295</v>
      </c>
      <c r="E1611" s="2" t="s">
        <v>16296</v>
      </c>
      <c r="F1611" s="3" t="s">
        <v>529</v>
      </c>
      <c r="G1611" s="3" t="s">
        <v>128</v>
      </c>
      <c r="I1611" s="3" t="s">
        <v>64</v>
      </c>
      <c r="J1611" s="3" t="s">
        <v>64</v>
      </c>
      <c r="K1611" s="3" t="s">
        <v>65</v>
      </c>
      <c r="M1611" s="2" t="s">
        <v>16297</v>
      </c>
      <c r="N1611" s="3" t="s">
        <v>190</v>
      </c>
      <c r="O1611" s="2" t="s">
        <v>1189</v>
      </c>
      <c r="P1611" s="3" t="s">
        <v>1190</v>
      </c>
      <c r="R1611" s="3" t="s">
        <v>70</v>
      </c>
      <c r="S1611" s="4">
        <v>0</v>
      </c>
      <c r="T1611" s="4">
        <v>0</v>
      </c>
      <c r="W1611" s="5" t="s">
        <v>8841</v>
      </c>
      <c r="X1611" s="5" t="s">
        <v>8841</v>
      </c>
      <c r="Y1611" s="4">
        <v>24</v>
      </c>
      <c r="Z1611" s="4">
        <v>1</v>
      </c>
      <c r="AA1611" s="4">
        <v>1</v>
      </c>
      <c r="AB1611" s="4">
        <v>1</v>
      </c>
      <c r="AC1611" s="4">
        <v>1</v>
      </c>
      <c r="AD1611" s="4">
        <v>14</v>
      </c>
      <c r="AE1611" s="4">
        <v>14</v>
      </c>
      <c r="AF1611" s="4">
        <v>0</v>
      </c>
      <c r="AG1611" s="4">
        <v>0</v>
      </c>
      <c r="AH1611" s="4">
        <v>13</v>
      </c>
      <c r="AI1611" s="4">
        <v>13</v>
      </c>
      <c r="AJ1611" s="4">
        <v>0</v>
      </c>
      <c r="AK1611" s="4">
        <v>0</v>
      </c>
      <c r="AL1611" s="4">
        <v>11</v>
      </c>
      <c r="AM1611" s="4">
        <v>11</v>
      </c>
      <c r="AN1611" s="4">
        <v>0</v>
      </c>
      <c r="AO1611" s="4">
        <v>0</v>
      </c>
      <c r="AP1611" s="4">
        <v>0</v>
      </c>
      <c r="AQ1611" s="4">
        <v>0</v>
      </c>
      <c r="AR1611" s="3" t="s">
        <v>64</v>
      </c>
      <c r="AS1611" s="3" t="s">
        <v>64</v>
      </c>
      <c r="AT1611" s="3" t="s">
        <v>64</v>
      </c>
      <c r="AV1611" s="6" t="str">
        <f>HYPERLINK("http://mcgill.on.worldcat.org/oclc/1080430593","Catalog Record")</f>
        <v>Catalog Record</v>
      </c>
      <c r="AW1611" s="6" t="str">
        <f>HYPERLINK("http://www.worldcat.org/oclc/1080430593","WorldCat Record")</f>
        <v>WorldCat Record</v>
      </c>
      <c r="AX1611" s="3" t="s">
        <v>16298</v>
      </c>
      <c r="AY1611" s="3" t="s">
        <v>16299</v>
      </c>
      <c r="AZ1611" s="3" t="s">
        <v>16300</v>
      </c>
      <c r="BA1611" s="3" t="s">
        <v>16300</v>
      </c>
      <c r="BB1611" s="3" t="s">
        <v>16301</v>
      </c>
      <c r="BC1611" s="3" t="s">
        <v>77</v>
      </c>
      <c r="BD1611" s="3" t="s">
        <v>78</v>
      </c>
      <c r="BE1611" s="3" t="s">
        <v>16302</v>
      </c>
      <c r="BF1611" s="3" t="s">
        <v>16301</v>
      </c>
      <c r="BG1611" s="3" t="s">
        <v>16303</v>
      </c>
      <c r="BH1611">
        <f t="shared" si="45"/>
        <v>0</v>
      </c>
    </row>
    <row r="1612" spans="1:60" ht="116" x14ac:dyDescent="0.35">
      <c r="A1612" s="2" t="s">
        <v>59</v>
      </c>
      <c r="B1612" s="2" t="s">
        <v>1183</v>
      </c>
      <c r="C1612" s="2" t="s">
        <v>16294</v>
      </c>
      <c r="D1612" s="2" t="s">
        <v>16295</v>
      </c>
      <c r="E1612" s="2" t="s">
        <v>16296</v>
      </c>
      <c r="F1612" s="3" t="s">
        <v>525</v>
      </c>
      <c r="G1612" s="3" t="s">
        <v>128</v>
      </c>
      <c r="I1612" s="3" t="s">
        <v>64</v>
      </c>
      <c r="J1612" s="3" t="s">
        <v>64</v>
      </c>
      <c r="K1612" s="3" t="s">
        <v>65</v>
      </c>
      <c r="M1612" s="2" t="s">
        <v>16297</v>
      </c>
      <c r="N1612" s="3" t="s">
        <v>190</v>
      </c>
      <c r="O1612" s="2" t="s">
        <v>1189</v>
      </c>
      <c r="P1612" s="3" t="s">
        <v>1190</v>
      </c>
      <c r="R1612" s="3" t="s">
        <v>70</v>
      </c>
      <c r="S1612" s="4">
        <v>0</v>
      </c>
      <c r="T1612" s="4">
        <v>0</v>
      </c>
      <c r="W1612" s="5" t="s">
        <v>8841</v>
      </c>
      <c r="X1612" s="5" t="s">
        <v>8841</v>
      </c>
      <c r="Y1612" s="4">
        <v>24</v>
      </c>
      <c r="Z1612" s="4">
        <v>1</v>
      </c>
      <c r="AA1612" s="4">
        <v>1</v>
      </c>
      <c r="AB1612" s="4">
        <v>1</v>
      </c>
      <c r="AC1612" s="4">
        <v>1</v>
      </c>
      <c r="AD1612" s="4">
        <v>14</v>
      </c>
      <c r="AE1612" s="4">
        <v>14</v>
      </c>
      <c r="AF1612" s="4">
        <v>0</v>
      </c>
      <c r="AG1612" s="4">
        <v>0</v>
      </c>
      <c r="AH1612" s="4">
        <v>13</v>
      </c>
      <c r="AI1612" s="4">
        <v>13</v>
      </c>
      <c r="AJ1612" s="4">
        <v>0</v>
      </c>
      <c r="AK1612" s="4">
        <v>0</v>
      </c>
      <c r="AL1612" s="4">
        <v>11</v>
      </c>
      <c r="AM1612" s="4">
        <v>11</v>
      </c>
      <c r="AN1612" s="4">
        <v>0</v>
      </c>
      <c r="AO1612" s="4">
        <v>0</v>
      </c>
      <c r="AP1612" s="4">
        <v>0</v>
      </c>
      <c r="AQ1612" s="4">
        <v>0</v>
      </c>
      <c r="AR1612" s="3" t="s">
        <v>64</v>
      </c>
      <c r="AS1612" s="3" t="s">
        <v>64</v>
      </c>
      <c r="AT1612" s="3" t="s">
        <v>64</v>
      </c>
      <c r="AV1612" s="6" t="str">
        <f>HYPERLINK("http://mcgill.on.worldcat.org/oclc/1080430593","Catalog Record")</f>
        <v>Catalog Record</v>
      </c>
      <c r="AW1612" s="6" t="str">
        <f>HYPERLINK("http://www.worldcat.org/oclc/1080430593","WorldCat Record")</f>
        <v>WorldCat Record</v>
      </c>
      <c r="AX1612" s="3" t="s">
        <v>16298</v>
      </c>
      <c r="AY1612" s="3" t="s">
        <v>16299</v>
      </c>
      <c r="AZ1612" s="3" t="s">
        <v>16300</v>
      </c>
      <c r="BA1612" s="3" t="s">
        <v>16300</v>
      </c>
      <c r="BB1612" s="3" t="s">
        <v>16304</v>
      </c>
      <c r="BC1612" s="3" t="s">
        <v>77</v>
      </c>
      <c r="BD1612" s="3" t="s">
        <v>78</v>
      </c>
      <c r="BE1612" s="3" t="s">
        <v>16302</v>
      </c>
      <c r="BF1612" s="3" t="s">
        <v>16304</v>
      </c>
      <c r="BG1612" s="3" t="s">
        <v>16305</v>
      </c>
      <c r="BH1612">
        <f t="shared" si="45"/>
        <v>0</v>
      </c>
    </row>
    <row r="1613" spans="1:60" ht="58" x14ac:dyDescent="0.35">
      <c r="A1613" s="2" t="s">
        <v>59</v>
      </c>
      <c r="B1613" s="2" t="s">
        <v>60</v>
      </c>
      <c r="C1613" s="2" t="s">
        <v>16306</v>
      </c>
      <c r="D1613" s="2" t="s">
        <v>16307</v>
      </c>
      <c r="E1613" s="2" t="s">
        <v>16308</v>
      </c>
      <c r="G1613" s="3" t="s">
        <v>64</v>
      </c>
      <c r="I1613" s="3" t="s">
        <v>64</v>
      </c>
      <c r="J1613" s="3" t="s">
        <v>64</v>
      </c>
      <c r="K1613" s="3" t="s">
        <v>65</v>
      </c>
      <c r="L1613" s="2" t="s">
        <v>16309</v>
      </c>
      <c r="M1613" s="2" t="s">
        <v>14751</v>
      </c>
      <c r="N1613" s="3" t="s">
        <v>291</v>
      </c>
      <c r="P1613" s="3" t="s">
        <v>102</v>
      </c>
      <c r="Q1613" s="2" t="s">
        <v>16310</v>
      </c>
      <c r="R1613" s="3" t="s">
        <v>70</v>
      </c>
      <c r="S1613" s="4">
        <v>1</v>
      </c>
      <c r="T1613" s="4">
        <v>1</v>
      </c>
      <c r="U1613" s="5" t="s">
        <v>16141</v>
      </c>
      <c r="V1613" s="5" t="s">
        <v>16141</v>
      </c>
      <c r="W1613" s="5" t="s">
        <v>72</v>
      </c>
      <c r="X1613" s="5" t="s">
        <v>72</v>
      </c>
      <c r="Y1613" s="4">
        <v>160</v>
      </c>
      <c r="Z1613" s="4">
        <v>11</v>
      </c>
      <c r="AA1613" s="4">
        <v>11</v>
      </c>
      <c r="AB1613" s="4">
        <v>1</v>
      </c>
      <c r="AC1613" s="4">
        <v>1</v>
      </c>
      <c r="AD1613" s="4">
        <v>54</v>
      </c>
      <c r="AE1613" s="4">
        <v>54</v>
      </c>
      <c r="AF1613" s="4">
        <v>0</v>
      </c>
      <c r="AG1613" s="4">
        <v>0</v>
      </c>
      <c r="AH1613" s="4">
        <v>51</v>
      </c>
      <c r="AI1613" s="4">
        <v>51</v>
      </c>
      <c r="AJ1613" s="4">
        <v>9</v>
      </c>
      <c r="AK1613" s="4">
        <v>9</v>
      </c>
      <c r="AL1613" s="4">
        <v>32</v>
      </c>
      <c r="AM1613" s="4">
        <v>32</v>
      </c>
      <c r="AN1613" s="4">
        <v>0</v>
      </c>
      <c r="AO1613" s="4">
        <v>0</v>
      </c>
      <c r="AP1613" s="4">
        <v>9</v>
      </c>
      <c r="AQ1613" s="4">
        <v>9</v>
      </c>
      <c r="AR1613" s="3" t="s">
        <v>64</v>
      </c>
      <c r="AS1613" s="3" t="s">
        <v>64</v>
      </c>
      <c r="AT1613" s="3" t="s">
        <v>64</v>
      </c>
      <c r="AV1613" s="6" t="str">
        <f>HYPERLINK("http://mcgill.on.worldcat.org/oclc/138341022","Catalog Record")</f>
        <v>Catalog Record</v>
      </c>
      <c r="AW1613" s="6" t="str">
        <f>HYPERLINK("http://www.worldcat.org/oclc/138341022","WorldCat Record")</f>
        <v>WorldCat Record</v>
      </c>
      <c r="AX1613" s="3" t="s">
        <v>16311</v>
      </c>
      <c r="AY1613" s="3" t="s">
        <v>16312</v>
      </c>
      <c r="AZ1613" s="3" t="s">
        <v>16313</v>
      </c>
      <c r="BA1613" s="3" t="s">
        <v>16313</v>
      </c>
      <c r="BB1613" s="3" t="s">
        <v>16314</v>
      </c>
      <c r="BC1613" s="3" t="s">
        <v>77</v>
      </c>
      <c r="BD1613" s="3" t="s">
        <v>78</v>
      </c>
      <c r="BE1613" s="3" t="s">
        <v>16315</v>
      </c>
      <c r="BF1613" s="3" t="s">
        <v>16314</v>
      </c>
      <c r="BG1613" s="3" t="s">
        <v>16316</v>
      </c>
      <c r="BH1613">
        <f t="shared" si="45"/>
        <v>0</v>
      </c>
    </row>
    <row r="1614" spans="1:60" ht="72.5" x14ac:dyDescent="0.35">
      <c r="A1614" s="2" t="s">
        <v>59</v>
      </c>
      <c r="B1614" s="2" t="s">
        <v>60</v>
      </c>
      <c r="C1614" s="2" t="s">
        <v>16319</v>
      </c>
      <c r="D1614" s="2" t="s">
        <v>16320</v>
      </c>
      <c r="E1614" s="2" t="s">
        <v>16321</v>
      </c>
      <c r="F1614" s="3" t="s">
        <v>16322</v>
      </c>
      <c r="G1614" s="3" t="s">
        <v>64</v>
      </c>
      <c r="I1614" s="3" t="s">
        <v>64</v>
      </c>
      <c r="J1614" s="3" t="s">
        <v>64</v>
      </c>
      <c r="K1614" s="3" t="s">
        <v>65</v>
      </c>
      <c r="M1614" s="2" t="s">
        <v>16323</v>
      </c>
      <c r="N1614" s="3" t="s">
        <v>768</v>
      </c>
      <c r="P1614" s="3" t="s">
        <v>102</v>
      </c>
      <c r="Q1614" s="2" t="s">
        <v>16324</v>
      </c>
      <c r="R1614" s="3" t="s">
        <v>70</v>
      </c>
      <c r="S1614" s="4">
        <v>8</v>
      </c>
      <c r="T1614" s="4">
        <v>8</v>
      </c>
      <c r="U1614" s="5" t="s">
        <v>3528</v>
      </c>
      <c r="V1614" s="5" t="s">
        <v>3528</v>
      </c>
      <c r="W1614" s="5" t="s">
        <v>72</v>
      </c>
      <c r="X1614" s="5" t="s">
        <v>72</v>
      </c>
      <c r="Y1614" s="4">
        <v>445</v>
      </c>
      <c r="Z1614" s="4">
        <v>19</v>
      </c>
      <c r="AA1614" s="4">
        <v>24</v>
      </c>
      <c r="AB1614" s="4">
        <v>1</v>
      </c>
      <c r="AC1614" s="4">
        <v>2</v>
      </c>
      <c r="AD1614" s="4">
        <v>116</v>
      </c>
      <c r="AE1614" s="4">
        <v>121</v>
      </c>
      <c r="AF1614" s="4">
        <v>0</v>
      </c>
      <c r="AG1614" s="4">
        <v>1</v>
      </c>
      <c r="AH1614" s="4">
        <v>104</v>
      </c>
      <c r="AI1614" s="4">
        <v>106</v>
      </c>
      <c r="AJ1614" s="4">
        <v>15</v>
      </c>
      <c r="AK1614" s="4">
        <v>19</v>
      </c>
      <c r="AL1614" s="4">
        <v>57</v>
      </c>
      <c r="AM1614" s="4">
        <v>57</v>
      </c>
      <c r="AN1614" s="4">
        <v>5</v>
      </c>
      <c r="AO1614" s="4">
        <v>5</v>
      </c>
      <c r="AP1614" s="4">
        <v>15</v>
      </c>
      <c r="AQ1614" s="4">
        <v>19</v>
      </c>
      <c r="AR1614" s="3" t="s">
        <v>64</v>
      </c>
      <c r="AS1614" s="3" t="s">
        <v>64</v>
      </c>
      <c r="AT1614" s="3" t="s">
        <v>128</v>
      </c>
      <c r="AU1614" s="6" t="str">
        <f>HYPERLINK("http://catalog.hathitrust.org/Record/000258664","HathiTrust Record")</f>
        <v>HathiTrust Record</v>
      </c>
      <c r="AV1614" s="6" t="str">
        <f>HYPERLINK("http://mcgill.on.worldcat.org/oclc/5777613","Catalog Record")</f>
        <v>Catalog Record</v>
      </c>
      <c r="AW1614" s="6" t="str">
        <f>HYPERLINK("http://www.worldcat.org/oclc/5777613","WorldCat Record")</f>
        <v>WorldCat Record</v>
      </c>
      <c r="AX1614" s="3" t="s">
        <v>16325</v>
      </c>
      <c r="AY1614" s="3" t="s">
        <v>16326</v>
      </c>
      <c r="AZ1614" s="3" t="s">
        <v>16327</v>
      </c>
      <c r="BA1614" s="3" t="s">
        <v>16327</v>
      </c>
      <c r="BB1614" s="3" t="s">
        <v>16328</v>
      </c>
      <c r="BC1614" s="3" t="s">
        <v>77</v>
      </c>
      <c r="BD1614" s="3" t="s">
        <v>78</v>
      </c>
      <c r="BE1614" s="3" t="s">
        <v>16329</v>
      </c>
      <c r="BF1614" s="3" t="s">
        <v>16328</v>
      </c>
      <c r="BG1614" s="3" t="s">
        <v>16330</v>
      </c>
      <c r="BH1614">
        <f t="shared" si="45"/>
        <v>0</v>
      </c>
    </row>
    <row r="1615" spans="1:60" ht="72.5" x14ac:dyDescent="0.35">
      <c r="A1615" s="2" t="s">
        <v>59</v>
      </c>
      <c r="B1615" s="2" t="s">
        <v>60</v>
      </c>
      <c r="C1615" s="2" t="s">
        <v>16331</v>
      </c>
      <c r="D1615" s="2" t="s">
        <v>16332</v>
      </c>
      <c r="E1615" s="2" t="s">
        <v>16333</v>
      </c>
      <c r="F1615" s="3" t="s">
        <v>16334</v>
      </c>
      <c r="G1615" s="3" t="s">
        <v>64</v>
      </c>
      <c r="I1615" s="3" t="s">
        <v>64</v>
      </c>
      <c r="J1615" s="3" t="s">
        <v>64</v>
      </c>
      <c r="K1615" s="3" t="s">
        <v>65</v>
      </c>
      <c r="L1615" s="2" t="s">
        <v>16335</v>
      </c>
      <c r="M1615" s="2" t="s">
        <v>16336</v>
      </c>
      <c r="N1615" s="3" t="s">
        <v>511</v>
      </c>
      <c r="P1615" s="3" t="s">
        <v>102</v>
      </c>
      <c r="Q1615" s="2" t="s">
        <v>16337</v>
      </c>
      <c r="R1615" s="3" t="s">
        <v>70</v>
      </c>
      <c r="S1615" s="4">
        <v>0</v>
      </c>
      <c r="T1615" s="4">
        <v>0</v>
      </c>
      <c r="W1615" s="5" t="s">
        <v>72</v>
      </c>
      <c r="X1615" s="5" t="s">
        <v>72</v>
      </c>
      <c r="Y1615" s="4">
        <v>318</v>
      </c>
      <c r="Z1615" s="4">
        <v>19</v>
      </c>
      <c r="AA1615" s="4">
        <v>25</v>
      </c>
      <c r="AB1615" s="4">
        <v>2</v>
      </c>
      <c r="AC1615" s="4">
        <v>5</v>
      </c>
      <c r="AD1615" s="4">
        <v>86</v>
      </c>
      <c r="AE1615" s="4">
        <v>90</v>
      </c>
      <c r="AF1615" s="4">
        <v>1</v>
      </c>
      <c r="AG1615" s="4">
        <v>2</v>
      </c>
      <c r="AH1615" s="4">
        <v>78</v>
      </c>
      <c r="AI1615" s="4">
        <v>78</v>
      </c>
      <c r="AJ1615" s="4">
        <v>11</v>
      </c>
      <c r="AK1615" s="4">
        <v>14</v>
      </c>
      <c r="AL1615" s="4">
        <v>45</v>
      </c>
      <c r="AM1615" s="4">
        <v>45</v>
      </c>
      <c r="AN1615" s="4">
        <v>0</v>
      </c>
      <c r="AO1615" s="4">
        <v>0</v>
      </c>
      <c r="AP1615" s="4">
        <v>12</v>
      </c>
      <c r="AQ1615" s="4">
        <v>15</v>
      </c>
      <c r="AR1615" s="3" t="s">
        <v>64</v>
      </c>
      <c r="AS1615" s="3" t="s">
        <v>64</v>
      </c>
      <c r="AT1615" s="3" t="s">
        <v>64</v>
      </c>
      <c r="AV1615" s="6" t="str">
        <f>HYPERLINK("http://mcgill.on.worldcat.org/oclc/693750938","Catalog Record")</f>
        <v>Catalog Record</v>
      </c>
      <c r="AW1615" s="6" t="str">
        <f>HYPERLINK("http://www.worldcat.org/oclc/693750938","WorldCat Record")</f>
        <v>WorldCat Record</v>
      </c>
      <c r="AX1615" s="3" t="s">
        <v>16338</v>
      </c>
      <c r="AY1615" s="3" t="s">
        <v>16339</v>
      </c>
      <c r="AZ1615" s="3" t="s">
        <v>16340</v>
      </c>
      <c r="BA1615" s="3" t="s">
        <v>16340</v>
      </c>
      <c r="BB1615" s="3" t="s">
        <v>16341</v>
      </c>
      <c r="BC1615" s="3" t="s">
        <v>77</v>
      </c>
      <c r="BD1615" s="3" t="s">
        <v>78</v>
      </c>
      <c r="BE1615" s="3" t="s">
        <v>16342</v>
      </c>
      <c r="BF1615" s="3" t="s">
        <v>16341</v>
      </c>
      <c r="BG1615" s="3" t="s">
        <v>16343</v>
      </c>
      <c r="BH1615">
        <f t="shared" si="45"/>
        <v>0</v>
      </c>
    </row>
    <row r="1616" spans="1:60" ht="72.5" x14ac:dyDescent="0.35">
      <c r="A1616" s="2" t="s">
        <v>59</v>
      </c>
      <c r="B1616" s="2" t="s">
        <v>60</v>
      </c>
      <c r="C1616" s="2" t="s">
        <v>16344</v>
      </c>
      <c r="D1616" s="2" t="s">
        <v>16345</v>
      </c>
      <c r="E1616" s="2" t="s">
        <v>16346</v>
      </c>
      <c r="F1616" s="3" t="s">
        <v>16347</v>
      </c>
      <c r="G1616" s="3" t="s">
        <v>64</v>
      </c>
      <c r="I1616" s="3" t="s">
        <v>64</v>
      </c>
      <c r="J1616" s="3" t="s">
        <v>128</v>
      </c>
      <c r="K1616" s="3" t="s">
        <v>65</v>
      </c>
      <c r="L1616" s="2" t="s">
        <v>16348</v>
      </c>
      <c r="M1616" s="2" t="s">
        <v>16349</v>
      </c>
      <c r="N1616" s="3" t="s">
        <v>86</v>
      </c>
      <c r="O1616" s="2" t="s">
        <v>3787</v>
      </c>
      <c r="P1616" s="3" t="s">
        <v>102</v>
      </c>
      <c r="Q1616" s="2" t="s">
        <v>16350</v>
      </c>
      <c r="R1616" s="3" t="s">
        <v>70</v>
      </c>
      <c r="S1616" s="4">
        <v>6</v>
      </c>
      <c r="T1616" s="4">
        <v>6</v>
      </c>
      <c r="U1616" s="5" t="s">
        <v>8704</v>
      </c>
      <c r="V1616" s="5" t="s">
        <v>8704</v>
      </c>
      <c r="W1616" s="5" t="s">
        <v>72</v>
      </c>
      <c r="X1616" s="5" t="s">
        <v>72</v>
      </c>
      <c r="Y1616" s="4">
        <v>386</v>
      </c>
      <c r="Z1616" s="4">
        <v>26</v>
      </c>
      <c r="AA1616" s="4">
        <v>52</v>
      </c>
      <c r="AB1616" s="4">
        <v>2</v>
      </c>
      <c r="AC1616" s="4">
        <v>8</v>
      </c>
      <c r="AD1616" s="4">
        <v>85</v>
      </c>
      <c r="AE1616" s="4">
        <v>131</v>
      </c>
      <c r="AF1616" s="4">
        <v>1</v>
      </c>
      <c r="AG1616" s="4">
        <v>4</v>
      </c>
      <c r="AH1616" s="4">
        <v>72</v>
      </c>
      <c r="AI1616" s="4">
        <v>106</v>
      </c>
      <c r="AJ1616" s="4">
        <v>15</v>
      </c>
      <c r="AK1616" s="4">
        <v>26</v>
      </c>
      <c r="AL1616" s="4">
        <v>41</v>
      </c>
      <c r="AM1616" s="4">
        <v>55</v>
      </c>
      <c r="AN1616" s="4">
        <v>0</v>
      </c>
      <c r="AO1616" s="4">
        <v>0</v>
      </c>
      <c r="AP1616" s="4">
        <v>21</v>
      </c>
      <c r="AQ1616" s="4">
        <v>35</v>
      </c>
      <c r="AR1616" s="3" t="s">
        <v>64</v>
      </c>
      <c r="AS1616" s="3" t="s">
        <v>64</v>
      </c>
      <c r="AT1616" s="3" t="s">
        <v>64</v>
      </c>
      <c r="AV1616" s="6" t="str">
        <f>HYPERLINK("http://mcgill.on.worldcat.org/oclc/791490791","Catalog Record")</f>
        <v>Catalog Record</v>
      </c>
      <c r="AW1616" s="6" t="str">
        <f>HYPERLINK("http://www.worldcat.org/oclc/791490791","WorldCat Record")</f>
        <v>WorldCat Record</v>
      </c>
      <c r="AX1616" s="3" t="s">
        <v>16351</v>
      </c>
      <c r="AY1616" s="3" t="s">
        <v>16352</v>
      </c>
      <c r="AZ1616" s="3" t="s">
        <v>16353</v>
      </c>
      <c r="BA1616" s="3" t="s">
        <v>16353</v>
      </c>
      <c r="BB1616" s="3" t="s">
        <v>16354</v>
      </c>
      <c r="BC1616" s="3" t="s">
        <v>77</v>
      </c>
      <c r="BD1616" s="3" t="s">
        <v>78</v>
      </c>
      <c r="BE1616" s="3" t="s">
        <v>16355</v>
      </c>
      <c r="BF1616" s="3" t="s">
        <v>16354</v>
      </c>
      <c r="BG1616" s="3" t="s">
        <v>16356</v>
      </c>
      <c r="BH1616">
        <f t="shared" si="45"/>
        <v>0</v>
      </c>
    </row>
    <row r="1617" spans="1:60" ht="72.5" x14ac:dyDescent="0.35">
      <c r="A1617" s="2" t="s">
        <v>59</v>
      </c>
      <c r="B1617" s="2" t="s">
        <v>60</v>
      </c>
      <c r="C1617" s="2" t="s">
        <v>16357</v>
      </c>
      <c r="D1617" s="2" t="s">
        <v>16358</v>
      </c>
      <c r="E1617" s="2" t="s">
        <v>16346</v>
      </c>
      <c r="F1617" s="3" t="s">
        <v>16359</v>
      </c>
      <c r="G1617" s="3" t="s">
        <v>64</v>
      </c>
      <c r="I1617" s="3" t="s">
        <v>64</v>
      </c>
      <c r="J1617" s="3" t="s">
        <v>128</v>
      </c>
      <c r="K1617" s="3" t="s">
        <v>65</v>
      </c>
      <c r="L1617" s="2" t="s">
        <v>16348</v>
      </c>
      <c r="M1617" s="2" t="s">
        <v>16360</v>
      </c>
      <c r="N1617" s="3" t="s">
        <v>190</v>
      </c>
      <c r="O1617" s="2" t="s">
        <v>15120</v>
      </c>
      <c r="P1617" s="3" t="s">
        <v>102</v>
      </c>
      <c r="Q1617" s="2" t="s">
        <v>16361</v>
      </c>
      <c r="R1617" s="3" t="s">
        <v>70</v>
      </c>
      <c r="S1617" s="4">
        <v>1</v>
      </c>
      <c r="T1617" s="4">
        <v>1</v>
      </c>
      <c r="U1617" s="5" t="s">
        <v>8379</v>
      </c>
      <c r="V1617" s="5" t="s">
        <v>8379</v>
      </c>
      <c r="W1617" s="5" t="s">
        <v>72</v>
      </c>
      <c r="X1617" s="5" t="s">
        <v>72</v>
      </c>
      <c r="Y1617" s="4">
        <v>221</v>
      </c>
      <c r="Z1617" s="4">
        <v>8</v>
      </c>
      <c r="AA1617" s="4">
        <v>52</v>
      </c>
      <c r="AB1617" s="4">
        <v>2</v>
      </c>
      <c r="AC1617" s="4">
        <v>8</v>
      </c>
      <c r="AD1617" s="4">
        <v>55</v>
      </c>
      <c r="AE1617" s="4">
        <v>131</v>
      </c>
      <c r="AF1617" s="4">
        <v>1</v>
      </c>
      <c r="AG1617" s="4">
        <v>4</v>
      </c>
      <c r="AH1617" s="4">
        <v>49</v>
      </c>
      <c r="AI1617" s="4">
        <v>106</v>
      </c>
      <c r="AJ1617" s="4">
        <v>6</v>
      </c>
      <c r="AK1617" s="4">
        <v>26</v>
      </c>
      <c r="AL1617" s="4">
        <v>31</v>
      </c>
      <c r="AM1617" s="4">
        <v>55</v>
      </c>
      <c r="AN1617" s="4">
        <v>0</v>
      </c>
      <c r="AO1617" s="4">
        <v>0</v>
      </c>
      <c r="AP1617" s="4">
        <v>7</v>
      </c>
      <c r="AQ1617" s="4">
        <v>35</v>
      </c>
      <c r="AR1617" s="3" t="s">
        <v>64</v>
      </c>
      <c r="AS1617" s="3" t="s">
        <v>64</v>
      </c>
      <c r="AT1617" s="3" t="s">
        <v>64</v>
      </c>
      <c r="AV1617" s="6" t="str">
        <f>HYPERLINK("http://mcgill.on.worldcat.org/oclc/1045429191","Catalog Record")</f>
        <v>Catalog Record</v>
      </c>
      <c r="AW1617" s="6" t="str">
        <f>HYPERLINK("http://www.worldcat.org/oclc/1045429191","WorldCat Record")</f>
        <v>WorldCat Record</v>
      </c>
      <c r="AX1617" s="3" t="s">
        <v>16351</v>
      </c>
      <c r="AY1617" s="3" t="s">
        <v>16362</v>
      </c>
      <c r="AZ1617" s="3" t="s">
        <v>16363</v>
      </c>
      <c r="BA1617" s="3" t="s">
        <v>16363</v>
      </c>
      <c r="BB1617" s="3" t="s">
        <v>16364</v>
      </c>
      <c r="BC1617" s="3" t="s">
        <v>77</v>
      </c>
      <c r="BD1617" s="3" t="s">
        <v>78</v>
      </c>
      <c r="BE1617" s="3" t="s">
        <v>16365</v>
      </c>
      <c r="BF1617" s="3" t="s">
        <v>16364</v>
      </c>
      <c r="BG1617" s="3" t="s">
        <v>16366</v>
      </c>
      <c r="BH1617">
        <f t="shared" si="45"/>
        <v>0</v>
      </c>
    </row>
    <row r="1618" spans="1:60" ht="72.5" x14ac:dyDescent="0.35">
      <c r="A1618" s="2" t="s">
        <v>59</v>
      </c>
      <c r="B1618" s="2" t="s">
        <v>60</v>
      </c>
      <c r="C1618" s="2" t="s">
        <v>16367</v>
      </c>
      <c r="D1618" s="2" t="s">
        <v>16368</v>
      </c>
      <c r="E1618" s="2" t="s">
        <v>16369</v>
      </c>
      <c r="F1618" s="3" t="s">
        <v>16370</v>
      </c>
      <c r="G1618" s="3" t="s">
        <v>64</v>
      </c>
      <c r="I1618" s="3" t="s">
        <v>64</v>
      </c>
      <c r="J1618" s="3" t="s">
        <v>64</v>
      </c>
      <c r="K1618" s="3" t="s">
        <v>65</v>
      </c>
      <c r="L1618" s="2" t="s">
        <v>16371</v>
      </c>
      <c r="M1618" s="2" t="s">
        <v>16372</v>
      </c>
      <c r="N1618" s="3" t="s">
        <v>1263</v>
      </c>
      <c r="P1618" s="3" t="s">
        <v>102</v>
      </c>
      <c r="Q1618" s="2" t="s">
        <v>16373</v>
      </c>
      <c r="R1618" s="3" t="s">
        <v>70</v>
      </c>
      <c r="S1618" s="4">
        <v>7</v>
      </c>
      <c r="T1618" s="4">
        <v>7</v>
      </c>
      <c r="U1618" s="5" t="s">
        <v>16374</v>
      </c>
      <c r="V1618" s="5" t="s">
        <v>16374</v>
      </c>
      <c r="W1618" s="5" t="s">
        <v>72</v>
      </c>
      <c r="X1618" s="5" t="s">
        <v>72</v>
      </c>
      <c r="Y1618" s="4">
        <v>389</v>
      </c>
      <c r="Z1618" s="4">
        <v>19</v>
      </c>
      <c r="AA1618" s="4">
        <v>20</v>
      </c>
      <c r="AB1618" s="4">
        <v>2</v>
      </c>
      <c r="AC1618" s="4">
        <v>3</v>
      </c>
      <c r="AD1618" s="4">
        <v>101</v>
      </c>
      <c r="AE1618" s="4">
        <v>102</v>
      </c>
      <c r="AF1618" s="4">
        <v>1</v>
      </c>
      <c r="AG1618" s="4">
        <v>2</v>
      </c>
      <c r="AH1618" s="4">
        <v>92</v>
      </c>
      <c r="AI1618" s="4">
        <v>92</v>
      </c>
      <c r="AJ1618" s="4">
        <v>14</v>
      </c>
      <c r="AK1618" s="4">
        <v>15</v>
      </c>
      <c r="AL1618" s="4">
        <v>50</v>
      </c>
      <c r="AM1618" s="4">
        <v>50</v>
      </c>
      <c r="AN1618" s="4">
        <v>0</v>
      </c>
      <c r="AO1618" s="4">
        <v>0</v>
      </c>
      <c r="AP1618" s="4">
        <v>13</v>
      </c>
      <c r="AQ1618" s="4">
        <v>13</v>
      </c>
      <c r="AR1618" s="3" t="s">
        <v>64</v>
      </c>
      <c r="AS1618" s="3" t="s">
        <v>64</v>
      </c>
      <c r="AT1618" s="3" t="s">
        <v>64</v>
      </c>
      <c r="AV1618" s="6" t="str">
        <f>HYPERLINK("http://mcgill.on.worldcat.org/oclc/27897918","Catalog Record")</f>
        <v>Catalog Record</v>
      </c>
      <c r="AW1618" s="6" t="str">
        <f>HYPERLINK("http://www.worldcat.org/oclc/27897918","WorldCat Record")</f>
        <v>WorldCat Record</v>
      </c>
      <c r="AX1618" s="3" t="s">
        <v>16375</v>
      </c>
      <c r="AY1618" s="3" t="s">
        <v>16376</v>
      </c>
      <c r="AZ1618" s="3" t="s">
        <v>16377</v>
      </c>
      <c r="BA1618" s="3" t="s">
        <v>16377</v>
      </c>
      <c r="BB1618" s="3" t="s">
        <v>16378</v>
      </c>
      <c r="BC1618" s="3" t="s">
        <v>77</v>
      </c>
      <c r="BD1618" s="3" t="s">
        <v>78</v>
      </c>
      <c r="BE1618" s="3" t="s">
        <v>16379</v>
      </c>
      <c r="BF1618" s="3" t="s">
        <v>16378</v>
      </c>
      <c r="BG1618" s="3" t="s">
        <v>16380</v>
      </c>
      <c r="BH1618">
        <f t="shared" si="45"/>
        <v>0</v>
      </c>
    </row>
    <row r="1619" spans="1:60" ht="72.5" x14ac:dyDescent="0.35">
      <c r="A1619" s="2" t="s">
        <v>59</v>
      </c>
      <c r="B1619" s="2" t="s">
        <v>60</v>
      </c>
      <c r="C1619" s="2" t="s">
        <v>16381</v>
      </c>
      <c r="D1619" s="2" t="s">
        <v>16382</v>
      </c>
      <c r="E1619" s="2" t="s">
        <v>16383</v>
      </c>
      <c r="F1619" s="3" t="s">
        <v>16384</v>
      </c>
      <c r="G1619" s="3" t="s">
        <v>64</v>
      </c>
      <c r="I1619" s="3" t="s">
        <v>64</v>
      </c>
      <c r="J1619" s="3" t="s">
        <v>64</v>
      </c>
      <c r="K1619" s="3" t="s">
        <v>65</v>
      </c>
      <c r="M1619" s="2" t="s">
        <v>16385</v>
      </c>
      <c r="N1619" s="3" t="s">
        <v>392</v>
      </c>
      <c r="P1619" s="3" t="s">
        <v>102</v>
      </c>
      <c r="Q1619" s="2" t="s">
        <v>16386</v>
      </c>
      <c r="R1619" s="3" t="s">
        <v>70</v>
      </c>
      <c r="S1619" s="4">
        <v>8</v>
      </c>
      <c r="T1619" s="4">
        <v>8</v>
      </c>
      <c r="U1619" s="5" t="s">
        <v>8704</v>
      </c>
      <c r="V1619" s="5" t="s">
        <v>8704</v>
      </c>
      <c r="W1619" s="5" t="s">
        <v>72</v>
      </c>
      <c r="X1619" s="5" t="s">
        <v>72</v>
      </c>
      <c r="Y1619" s="4">
        <v>726</v>
      </c>
      <c r="Z1619" s="4">
        <v>36</v>
      </c>
      <c r="AA1619" s="4">
        <v>37</v>
      </c>
      <c r="AB1619" s="4">
        <v>3</v>
      </c>
      <c r="AC1619" s="4">
        <v>4</v>
      </c>
      <c r="AD1619" s="4">
        <v>121</v>
      </c>
      <c r="AE1619" s="4">
        <v>122</v>
      </c>
      <c r="AF1619" s="4">
        <v>2</v>
      </c>
      <c r="AG1619" s="4">
        <v>3</v>
      </c>
      <c r="AH1619" s="4">
        <v>101</v>
      </c>
      <c r="AI1619" s="4">
        <v>101</v>
      </c>
      <c r="AJ1619" s="4">
        <v>19</v>
      </c>
      <c r="AK1619" s="4">
        <v>20</v>
      </c>
      <c r="AL1619" s="4">
        <v>52</v>
      </c>
      <c r="AM1619" s="4">
        <v>52</v>
      </c>
      <c r="AN1619" s="4">
        <v>0</v>
      </c>
      <c r="AO1619" s="4">
        <v>0</v>
      </c>
      <c r="AP1619" s="4">
        <v>28</v>
      </c>
      <c r="AQ1619" s="4">
        <v>28</v>
      </c>
      <c r="AR1619" s="3" t="s">
        <v>64</v>
      </c>
      <c r="AS1619" s="3" t="s">
        <v>64</v>
      </c>
      <c r="AT1619" s="3" t="s">
        <v>64</v>
      </c>
      <c r="AV1619" s="6" t="str">
        <f>HYPERLINK("http://mcgill.on.worldcat.org/oclc/40354608","Catalog Record")</f>
        <v>Catalog Record</v>
      </c>
      <c r="AW1619" s="6" t="str">
        <f>HYPERLINK("http://www.worldcat.org/oclc/40354608","WorldCat Record")</f>
        <v>WorldCat Record</v>
      </c>
      <c r="AX1619" s="3" t="s">
        <v>16387</v>
      </c>
      <c r="AY1619" s="3" t="s">
        <v>16388</v>
      </c>
      <c r="AZ1619" s="3" t="s">
        <v>16389</v>
      </c>
      <c r="BA1619" s="3" t="s">
        <v>16389</v>
      </c>
      <c r="BB1619" s="3" t="s">
        <v>16390</v>
      </c>
      <c r="BC1619" s="3" t="s">
        <v>77</v>
      </c>
      <c r="BD1619" s="3" t="s">
        <v>78</v>
      </c>
      <c r="BE1619" s="3" t="s">
        <v>16391</v>
      </c>
      <c r="BF1619" s="3" t="s">
        <v>16390</v>
      </c>
      <c r="BG1619" s="3" t="s">
        <v>16392</v>
      </c>
      <c r="BH1619">
        <f t="shared" si="45"/>
        <v>0</v>
      </c>
    </row>
    <row r="1620" spans="1:60" ht="72.5" x14ac:dyDescent="0.35">
      <c r="A1620" s="2" t="s">
        <v>59</v>
      </c>
      <c r="B1620" s="2" t="s">
        <v>60</v>
      </c>
      <c r="C1620" s="2" t="s">
        <v>16393</v>
      </c>
      <c r="D1620" s="2" t="s">
        <v>16394</v>
      </c>
      <c r="E1620" s="2" t="s">
        <v>16395</v>
      </c>
      <c r="F1620" s="3" t="s">
        <v>16396</v>
      </c>
      <c r="G1620" s="3" t="s">
        <v>64</v>
      </c>
      <c r="I1620" s="3" t="s">
        <v>128</v>
      </c>
      <c r="J1620" s="3" t="s">
        <v>128</v>
      </c>
      <c r="K1620" s="3" t="s">
        <v>65</v>
      </c>
      <c r="L1620" s="2" t="s">
        <v>13930</v>
      </c>
      <c r="M1620" s="2" t="s">
        <v>16397</v>
      </c>
      <c r="N1620" s="3" t="s">
        <v>434</v>
      </c>
      <c r="P1620" s="3" t="s">
        <v>102</v>
      </c>
      <c r="Q1620" s="2" t="s">
        <v>16398</v>
      </c>
      <c r="R1620" s="3" t="s">
        <v>70</v>
      </c>
      <c r="S1620" s="4">
        <v>7</v>
      </c>
      <c r="T1620" s="4">
        <v>13</v>
      </c>
      <c r="U1620" s="5" t="s">
        <v>1846</v>
      </c>
      <c r="V1620" s="5" t="s">
        <v>1846</v>
      </c>
      <c r="W1620" s="5" t="s">
        <v>72</v>
      </c>
      <c r="X1620" s="5" t="s">
        <v>72</v>
      </c>
      <c r="Y1620" s="4">
        <v>582</v>
      </c>
      <c r="Z1620" s="4">
        <v>32</v>
      </c>
      <c r="AA1620" s="4">
        <v>52</v>
      </c>
      <c r="AB1620" s="4">
        <v>2</v>
      </c>
      <c r="AC1620" s="4">
        <v>8</v>
      </c>
      <c r="AD1620" s="4">
        <v>108</v>
      </c>
      <c r="AE1620" s="4">
        <v>131</v>
      </c>
      <c r="AF1620" s="4">
        <v>1</v>
      </c>
      <c r="AG1620" s="4">
        <v>4</v>
      </c>
      <c r="AH1620" s="4">
        <v>95</v>
      </c>
      <c r="AI1620" s="4">
        <v>106</v>
      </c>
      <c r="AJ1620" s="4">
        <v>18</v>
      </c>
      <c r="AK1620" s="4">
        <v>26</v>
      </c>
      <c r="AL1620" s="4">
        <v>52</v>
      </c>
      <c r="AM1620" s="4">
        <v>55</v>
      </c>
      <c r="AN1620" s="4">
        <v>0</v>
      </c>
      <c r="AO1620" s="4">
        <v>0</v>
      </c>
      <c r="AP1620" s="4">
        <v>22</v>
      </c>
      <c r="AQ1620" s="4">
        <v>35</v>
      </c>
      <c r="AR1620" s="3" t="s">
        <v>64</v>
      </c>
      <c r="AS1620" s="3" t="s">
        <v>64</v>
      </c>
      <c r="AT1620" s="3" t="s">
        <v>64</v>
      </c>
      <c r="AV1620" s="6" t="str">
        <f>HYPERLINK("http://mcgill.on.worldcat.org/oclc/58050252","Catalog Record")</f>
        <v>Catalog Record</v>
      </c>
      <c r="AW1620" s="6" t="str">
        <f>HYPERLINK("http://www.worldcat.org/oclc/58050252","WorldCat Record")</f>
        <v>WorldCat Record</v>
      </c>
      <c r="AX1620" s="3" t="s">
        <v>16351</v>
      </c>
      <c r="AY1620" s="3" t="s">
        <v>16399</v>
      </c>
      <c r="AZ1620" s="3" t="s">
        <v>16400</v>
      </c>
      <c r="BA1620" s="3" t="s">
        <v>16400</v>
      </c>
      <c r="BB1620" s="3" t="s">
        <v>16401</v>
      </c>
      <c r="BC1620" s="3" t="s">
        <v>77</v>
      </c>
      <c r="BD1620" s="3" t="s">
        <v>78</v>
      </c>
      <c r="BE1620" s="3" t="s">
        <v>16402</v>
      </c>
      <c r="BF1620" s="3" t="s">
        <v>16401</v>
      </c>
      <c r="BG1620" s="3" t="s">
        <v>16403</v>
      </c>
      <c r="BH1620">
        <f t="shared" si="45"/>
        <v>0</v>
      </c>
    </row>
    <row r="1621" spans="1:60" ht="72.5" x14ac:dyDescent="0.35">
      <c r="A1621" s="2" t="s">
        <v>59</v>
      </c>
      <c r="B1621" s="2" t="s">
        <v>60</v>
      </c>
      <c r="C1621" s="2" t="s">
        <v>16393</v>
      </c>
      <c r="D1621" s="2" t="s">
        <v>16394</v>
      </c>
      <c r="E1621" s="2" t="s">
        <v>16395</v>
      </c>
      <c r="F1621" s="3" t="s">
        <v>16396</v>
      </c>
      <c r="G1621" s="3" t="s">
        <v>64</v>
      </c>
      <c r="I1621" s="3" t="s">
        <v>128</v>
      </c>
      <c r="J1621" s="3" t="s">
        <v>128</v>
      </c>
      <c r="K1621" s="3" t="s">
        <v>65</v>
      </c>
      <c r="L1621" s="2" t="s">
        <v>13930</v>
      </c>
      <c r="M1621" s="2" t="s">
        <v>16397</v>
      </c>
      <c r="N1621" s="3" t="s">
        <v>434</v>
      </c>
      <c r="P1621" s="3" t="s">
        <v>102</v>
      </c>
      <c r="Q1621" s="2" t="s">
        <v>16398</v>
      </c>
      <c r="R1621" s="3" t="s">
        <v>70</v>
      </c>
      <c r="S1621" s="4">
        <v>6</v>
      </c>
      <c r="T1621" s="4">
        <v>13</v>
      </c>
      <c r="U1621" s="5" t="s">
        <v>1846</v>
      </c>
      <c r="V1621" s="5" t="s">
        <v>1846</v>
      </c>
      <c r="W1621" s="5" t="s">
        <v>72</v>
      </c>
      <c r="X1621" s="5" t="s">
        <v>72</v>
      </c>
      <c r="Y1621" s="4">
        <v>582</v>
      </c>
      <c r="Z1621" s="4">
        <v>32</v>
      </c>
      <c r="AA1621" s="4">
        <v>52</v>
      </c>
      <c r="AB1621" s="4">
        <v>2</v>
      </c>
      <c r="AC1621" s="4">
        <v>8</v>
      </c>
      <c r="AD1621" s="4">
        <v>108</v>
      </c>
      <c r="AE1621" s="4">
        <v>131</v>
      </c>
      <c r="AF1621" s="4">
        <v>1</v>
      </c>
      <c r="AG1621" s="4">
        <v>4</v>
      </c>
      <c r="AH1621" s="4">
        <v>95</v>
      </c>
      <c r="AI1621" s="4">
        <v>106</v>
      </c>
      <c r="AJ1621" s="4">
        <v>18</v>
      </c>
      <c r="AK1621" s="4">
        <v>26</v>
      </c>
      <c r="AL1621" s="4">
        <v>52</v>
      </c>
      <c r="AM1621" s="4">
        <v>55</v>
      </c>
      <c r="AN1621" s="4">
        <v>0</v>
      </c>
      <c r="AO1621" s="4">
        <v>0</v>
      </c>
      <c r="AP1621" s="4">
        <v>22</v>
      </c>
      <c r="AQ1621" s="4">
        <v>35</v>
      </c>
      <c r="AR1621" s="3" t="s">
        <v>64</v>
      </c>
      <c r="AS1621" s="3" t="s">
        <v>64</v>
      </c>
      <c r="AT1621" s="3" t="s">
        <v>64</v>
      </c>
      <c r="AV1621" s="6" t="str">
        <f>HYPERLINK("http://mcgill.on.worldcat.org/oclc/58050252","Catalog Record")</f>
        <v>Catalog Record</v>
      </c>
      <c r="AW1621" s="6" t="str">
        <f>HYPERLINK("http://www.worldcat.org/oclc/58050252","WorldCat Record")</f>
        <v>WorldCat Record</v>
      </c>
      <c r="AX1621" s="3" t="s">
        <v>16351</v>
      </c>
      <c r="AY1621" s="3" t="s">
        <v>16399</v>
      </c>
      <c r="AZ1621" s="3" t="s">
        <v>16400</v>
      </c>
      <c r="BA1621" s="3" t="s">
        <v>16400</v>
      </c>
      <c r="BB1621" s="3" t="s">
        <v>16404</v>
      </c>
      <c r="BC1621" s="3" t="s">
        <v>77</v>
      </c>
      <c r="BD1621" s="3" t="s">
        <v>78</v>
      </c>
      <c r="BE1621" s="3" t="s">
        <v>16402</v>
      </c>
      <c r="BF1621" s="3" t="s">
        <v>16404</v>
      </c>
      <c r="BG1621" s="3" t="s">
        <v>16405</v>
      </c>
      <c r="BH1621">
        <f t="shared" si="45"/>
        <v>0</v>
      </c>
    </row>
    <row r="1622" spans="1:60" ht="72.5" x14ac:dyDescent="0.35">
      <c r="A1622" s="2" t="s">
        <v>59</v>
      </c>
      <c r="B1622" s="2" t="s">
        <v>60</v>
      </c>
      <c r="C1622" s="2" t="s">
        <v>16406</v>
      </c>
      <c r="D1622" s="2" t="s">
        <v>16407</v>
      </c>
      <c r="E1622" s="2" t="s">
        <v>16408</v>
      </c>
      <c r="F1622" s="3" t="s">
        <v>16409</v>
      </c>
      <c r="G1622" s="3" t="s">
        <v>64</v>
      </c>
      <c r="I1622" s="3" t="s">
        <v>64</v>
      </c>
      <c r="J1622" s="3" t="s">
        <v>64</v>
      </c>
      <c r="K1622" s="3" t="s">
        <v>65</v>
      </c>
      <c r="M1622" s="2" t="s">
        <v>16410</v>
      </c>
      <c r="N1622" s="3" t="s">
        <v>144</v>
      </c>
      <c r="P1622" s="3" t="s">
        <v>102</v>
      </c>
      <c r="Q1622" s="2" t="s">
        <v>16411</v>
      </c>
      <c r="R1622" s="3" t="s">
        <v>70</v>
      </c>
      <c r="S1622" s="4">
        <v>8</v>
      </c>
      <c r="T1622" s="4">
        <v>8</v>
      </c>
      <c r="U1622" s="5" t="s">
        <v>16412</v>
      </c>
      <c r="V1622" s="5" t="s">
        <v>16412</v>
      </c>
      <c r="W1622" s="5" t="s">
        <v>72</v>
      </c>
      <c r="X1622" s="5" t="s">
        <v>72</v>
      </c>
      <c r="Y1622" s="4">
        <v>417</v>
      </c>
      <c r="Z1622" s="4">
        <v>24</v>
      </c>
      <c r="AA1622" s="4">
        <v>30</v>
      </c>
      <c r="AB1622" s="4">
        <v>2</v>
      </c>
      <c r="AC1622" s="4">
        <v>7</v>
      </c>
      <c r="AD1622" s="4">
        <v>95</v>
      </c>
      <c r="AE1622" s="4">
        <v>99</v>
      </c>
      <c r="AF1622" s="4">
        <v>1</v>
      </c>
      <c r="AG1622" s="4">
        <v>4</v>
      </c>
      <c r="AH1622" s="4">
        <v>82</v>
      </c>
      <c r="AI1622" s="4">
        <v>83</v>
      </c>
      <c r="AJ1622" s="4">
        <v>14</v>
      </c>
      <c r="AK1622" s="4">
        <v>18</v>
      </c>
      <c r="AL1622" s="4">
        <v>46</v>
      </c>
      <c r="AM1622" s="4">
        <v>46</v>
      </c>
      <c r="AN1622" s="4">
        <v>0</v>
      </c>
      <c r="AO1622" s="4">
        <v>0</v>
      </c>
      <c r="AP1622" s="4">
        <v>19</v>
      </c>
      <c r="AQ1622" s="4">
        <v>22</v>
      </c>
      <c r="AR1622" s="3" t="s">
        <v>64</v>
      </c>
      <c r="AS1622" s="3" t="s">
        <v>64</v>
      </c>
      <c r="AT1622" s="3" t="s">
        <v>128</v>
      </c>
      <c r="AU1622" s="6" t="str">
        <f>HYPERLINK("http://catalog.hathitrust.org/Record/005956858","HathiTrust Record")</f>
        <v>HathiTrust Record</v>
      </c>
      <c r="AV1622" s="6" t="str">
        <f>HYPERLINK("http://mcgill.on.worldcat.org/oclc/243602175","Catalog Record")</f>
        <v>Catalog Record</v>
      </c>
      <c r="AW1622" s="6" t="str">
        <f>HYPERLINK("http://www.worldcat.org/oclc/243602175","WorldCat Record")</f>
        <v>WorldCat Record</v>
      </c>
      <c r="AX1622" s="3" t="s">
        <v>16413</v>
      </c>
      <c r="AY1622" s="3" t="s">
        <v>16414</v>
      </c>
      <c r="AZ1622" s="3" t="s">
        <v>16415</v>
      </c>
      <c r="BA1622" s="3" t="s">
        <v>16415</v>
      </c>
      <c r="BB1622" s="3" t="s">
        <v>16416</v>
      </c>
      <c r="BC1622" s="3" t="s">
        <v>77</v>
      </c>
      <c r="BD1622" s="3" t="s">
        <v>78</v>
      </c>
      <c r="BE1622" s="3" t="s">
        <v>16417</v>
      </c>
      <c r="BF1622" s="3" t="s">
        <v>16416</v>
      </c>
      <c r="BG1622" s="3" t="s">
        <v>16418</v>
      </c>
      <c r="BH1622">
        <f t="shared" si="45"/>
        <v>0</v>
      </c>
    </row>
    <row r="1623" spans="1:60" ht="72.5" x14ac:dyDescent="0.35">
      <c r="A1623" s="2" t="s">
        <v>59</v>
      </c>
      <c r="B1623" s="2" t="s">
        <v>60</v>
      </c>
      <c r="C1623" s="2" t="s">
        <v>16419</v>
      </c>
      <c r="D1623" s="2" t="s">
        <v>16420</v>
      </c>
      <c r="E1623" s="2" t="s">
        <v>16421</v>
      </c>
      <c r="F1623" s="3" t="s">
        <v>16422</v>
      </c>
      <c r="G1623" s="3" t="s">
        <v>64</v>
      </c>
      <c r="I1623" s="3" t="s">
        <v>128</v>
      </c>
      <c r="J1623" s="3" t="s">
        <v>64</v>
      </c>
      <c r="K1623" s="3" t="s">
        <v>65</v>
      </c>
      <c r="L1623" s="2" t="s">
        <v>16423</v>
      </c>
      <c r="M1623" s="2" t="s">
        <v>16336</v>
      </c>
      <c r="N1623" s="3" t="s">
        <v>551</v>
      </c>
      <c r="P1623" s="3" t="s">
        <v>102</v>
      </c>
      <c r="Q1623" s="2" t="s">
        <v>16424</v>
      </c>
      <c r="R1623" s="3" t="s">
        <v>70</v>
      </c>
      <c r="S1623" s="4">
        <v>6</v>
      </c>
      <c r="T1623" s="4">
        <v>8</v>
      </c>
      <c r="U1623" s="5" t="s">
        <v>3222</v>
      </c>
      <c r="V1623" s="5" t="s">
        <v>3222</v>
      </c>
      <c r="W1623" s="5" t="s">
        <v>72</v>
      </c>
      <c r="X1623" s="5" t="s">
        <v>72</v>
      </c>
      <c r="Y1623" s="4">
        <v>323</v>
      </c>
      <c r="Z1623" s="4">
        <v>16</v>
      </c>
      <c r="AA1623" s="4">
        <v>23</v>
      </c>
      <c r="AB1623" s="4">
        <v>2</v>
      </c>
      <c r="AC1623" s="4">
        <v>5</v>
      </c>
      <c r="AD1623" s="4">
        <v>78</v>
      </c>
      <c r="AE1623" s="4">
        <v>83</v>
      </c>
      <c r="AF1623" s="4">
        <v>1</v>
      </c>
      <c r="AG1623" s="4">
        <v>1</v>
      </c>
      <c r="AH1623" s="4">
        <v>73</v>
      </c>
      <c r="AI1623" s="4">
        <v>77</v>
      </c>
      <c r="AJ1623" s="4">
        <v>7</v>
      </c>
      <c r="AK1623" s="4">
        <v>10</v>
      </c>
      <c r="AL1623" s="4">
        <v>43</v>
      </c>
      <c r="AM1623" s="4">
        <v>45</v>
      </c>
      <c r="AN1623" s="4">
        <v>0</v>
      </c>
      <c r="AO1623" s="4">
        <v>0</v>
      </c>
      <c r="AP1623" s="4">
        <v>8</v>
      </c>
      <c r="AQ1623" s="4">
        <v>11</v>
      </c>
      <c r="AR1623" s="3" t="s">
        <v>64</v>
      </c>
      <c r="AS1623" s="3" t="s">
        <v>64</v>
      </c>
      <c r="AT1623" s="3" t="s">
        <v>64</v>
      </c>
      <c r="AV1623" s="6" t="str">
        <f>HYPERLINK("http://mcgill.on.worldcat.org/oclc/470359218","Catalog Record")</f>
        <v>Catalog Record</v>
      </c>
      <c r="AW1623" s="6" t="str">
        <f>HYPERLINK("http://www.worldcat.org/oclc/470359218","WorldCat Record")</f>
        <v>WorldCat Record</v>
      </c>
      <c r="AX1623" s="3" t="s">
        <v>16425</v>
      </c>
      <c r="AY1623" s="3" t="s">
        <v>16426</v>
      </c>
      <c r="AZ1623" s="3" t="s">
        <v>16427</v>
      </c>
      <c r="BA1623" s="3" t="s">
        <v>16427</v>
      </c>
      <c r="BB1623" s="3" t="s">
        <v>16428</v>
      </c>
      <c r="BC1623" s="3" t="s">
        <v>77</v>
      </c>
      <c r="BD1623" s="3" t="s">
        <v>78</v>
      </c>
      <c r="BE1623" s="3" t="s">
        <v>16429</v>
      </c>
      <c r="BF1623" s="3" t="s">
        <v>16428</v>
      </c>
      <c r="BG1623" s="3" t="s">
        <v>16430</v>
      </c>
      <c r="BH1623">
        <f t="shared" si="45"/>
        <v>0</v>
      </c>
    </row>
    <row r="1624" spans="1:60" ht="72.5" x14ac:dyDescent="0.35">
      <c r="A1624" s="2" t="s">
        <v>59</v>
      </c>
      <c r="B1624" s="2" t="s">
        <v>60</v>
      </c>
      <c r="C1624" s="2" t="s">
        <v>16419</v>
      </c>
      <c r="D1624" s="2" t="s">
        <v>16420</v>
      </c>
      <c r="E1624" s="2" t="s">
        <v>16421</v>
      </c>
      <c r="F1624" s="3" t="s">
        <v>16422</v>
      </c>
      <c r="G1624" s="3" t="s">
        <v>64</v>
      </c>
      <c r="I1624" s="3" t="s">
        <v>128</v>
      </c>
      <c r="J1624" s="3" t="s">
        <v>64</v>
      </c>
      <c r="K1624" s="3" t="s">
        <v>65</v>
      </c>
      <c r="L1624" s="2" t="s">
        <v>16423</v>
      </c>
      <c r="M1624" s="2" t="s">
        <v>16336</v>
      </c>
      <c r="N1624" s="3" t="s">
        <v>551</v>
      </c>
      <c r="P1624" s="3" t="s">
        <v>102</v>
      </c>
      <c r="Q1624" s="2" t="s">
        <v>16424</v>
      </c>
      <c r="R1624" s="3" t="s">
        <v>70</v>
      </c>
      <c r="S1624" s="4">
        <v>2</v>
      </c>
      <c r="T1624" s="4">
        <v>8</v>
      </c>
      <c r="U1624" s="5" t="s">
        <v>16431</v>
      </c>
      <c r="V1624" s="5" t="s">
        <v>3222</v>
      </c>
      <c r="W1624" s="5" t="s">
        <v>72</v>
      </c>
      <c r="X1624" s="5" t="s">
        <v>72</v>
      </c>
      <c r="Y1624" s="4">
        <v>323</v>
      </c>
      <c r="Z1624" s="4">
        <v>16</v>
      </c>
      <c r="AA1624" s="4">
        <v>23</v>
      </c>
      <c r="AB1624" s="4">
        <v>2</v>
      </c>
      <c r="AC1624" s="4">
        <v>5</v>
      </c>
      <c r="AD1624" s="4">
        <v>78</v>
      </c>
      <c r="AE1624" s="4">
        <v>83</v>
      </c>
      <c r="AF1624" s="4">
        <v>1</v>
      </c>
      <c r="AG1624" s="4">
        <v>1</v>
      </c>
      <c r="AH1624" s="4">
        <v>73</v>
      </c>
      <c r="AI1624" s="4">
        <v>77</v>
      </c>
      <c r="AJ1624" s="4">
        <v>7</v>
      </c>
      <c r="AK1624" s="4">
        <v>10</v>
      </c>
      <c r="AL1624" s="4">
        <v>43</v>
      </c>
      <c r="AM1624" s="4">
        <v>45</v>
      </c>
      <c r="AN1624" s="4">
        <v>0</v>
      </c>
      <c r="AO1624" s="4">
        <v>0</v>
      </c>
      <c r="AP1624" s="4">
        <v>8</v>
      </c>
      <c r="AQ1624" s="4">
        <v>11</v>
      </c>
      <c r="AR1624" s="3" t="s">
        <v>64</v>
      </c>
      <c r="AS1624" s="3" t="s">
        <v>64</v>
      </c>
      <c r="AT1624" s="3" t="s">
        <v>64</v>
      </c>
      <c r="AV1624" s="6" t="str">
        <f>HYPERLINK("http://mcgill.on.worldcat.org/oclc/470359218","Catalog Record")</f>
        <v>Catalog Record</v>
      </c>
      <c r="AW1624" s="6" t="str">
        <f>HYPERLINK("http://www.worldcat.org/oclc/470359218","WorldCat Record")</f>
        <v>WorldCat Record</v>
      </c>
      <c r="AX1624" s="3" t="s">
        <v>16425</v>
      </c>
      <c r="AY1624" s="3" t="s">
        <v>16426</v>
      </c>
      <c r="AZ1624" s="3" t="s">
        <v>16427</v>
      </c>
      <c r="BA1624" s="3" t="s">
        <v>16427</v>
      </c>
      <c r="BB1624" s="3" t="s">
        <v>16432</v>
      </c>
      <c r="BC1624" s="3" t="s">
        <v>77</v>
      </c>
      <c r="BD1624" s="3" t="s">
        <v>78</v>
      </c>
      <c r="BE1624" s="3" t="s">
        <v>16429</v>
      </c>
      <c r="BF1624" s="3" t="s">
        <v>16432</v>
      </c>
      <c r="BG1624" s="3" t="s">
        <v>16433</v>
      </c>
      <c r="BH1624">
        <f t="shared" si="45"/>
        <v>0</v>
      </c>
    </row>
    <row r="1625" spans="1:60" ht="72.5" x14ac:dyDescent="0.35">
      <c r="A1625" s="2" t="s">
        <v>59</v>
      </c>
      <c r="B1625" s="2" t="s">
        <v>60</v>
      </c>
      <c r="C1625" s="2" t="s">
        <v>16434</v>
      </c>
      <c r="D1625" s="2" t="s">
        <v>16435</v>
      </c>
      <c r="E1625" s="2" t="s">
        <v>16436</v>
      </c>
      <c r="F1625" s="3" t="s">
        <v>16437</v>
      </c>
      <c r="G1625" s="3" t="s">
        <v>64</v>
      </c>
      <c r="I1625" s="3" t="s">
        <v>64</v>
      </c>
      <c r="J1625" s="3" t="s">
        <v>64</v>
      </c>
      <c r="K1625" s="3" t="s">
        <v>65</v>
      </c>
      <c r="M1625" s="2" t="s">
        <v>16438</v>
      </c>
      <c r="N1625" s="3" t="s">
        <v>86</v>
      </c>
      <c r="P1625" s="3" t="s">
        <v>102</v>
      </c>
      <c r="Q1625" s="2" t="s">
        <v>16439</v>
      </c>
      <c r="R1625" s="3" t="s">
        <v>70</v>
      </c>
      <c r="S1625" s="4">
        <v>4</v>
      </c>
      <c r="T1625" s="4">
        <v>4</v>
      </c>
      <c r="U1625" s="5" t="s">
        <v>16440</v>
      </c>
      <c r="V1625" s="5" t="s">
        <v>16440</v>
      </c>
      <c r="W1625" s="5" t="s">
        <v>72</v>
      </c>
      <c r="X1625" s="5" t="s">
        <v>72</v>
      </c>
      <c r="Y1625" s="4">
        <v>513</v>
      </c>
      <c r="Z1625" s="4">
        <v>31</v>
      </c>
      <c r="AA1625" s="4">
        <v>39</v>
      </c>
      <c r="AB1625" s="4">
        <v>2</v>
      </c>
      <c r="AC1625" s="4">
        <v>6</v>
      </c>
      <c r="AD1625" s="4">
        <v>92</v>
      </c>
      <c r="AE1625" s="4">
        <v>97</v>
      </c>
      <c r="AF1625" s="4">
        <v>1</v>
      </c>
      <c r="AG1625" s="4">
        <v>2</v>
      </c>
      <c r="AH1625" s="4">
        <v>77</v>
      </c>
      <c r="AI1625" s="4">
        <v>78</v>
      </c>
      <c r="AJ1625" s="4">
        <v>16</v>
      </c>
      <c r="AK1625" s="4">
        <v>20</v>
      </c>
      <c r="AL1625" s="4">
        <v>37</v>
      </c>
      <c r="AM1625" s="4">
        <v>37</v>
      </c>
      <c r="AN1625" s="4">
        <v>0</v>
      </c>
      <c r="AO1625" s="4">
        <v>0</v>
      </c>
      <c r="AP1625" s="4">
        <v>24</v>
      </c>
      <c r="AQ1625" s="4">
        <v>28</v>
      </c>
      <c r="AR1625" s="3" t="s">
        <v>64</v>
      </c>
      <c r="AS1625" s="3" t="s">
        <v>64</v>
      </c>
      <c r="AT1625" s="3" t="s">
        <v>64</v>
      </c>
      <c r="AV1625" s="6" t="str">
        <f>HYPERLINK("http://mcgill.on.worldcat.org/oclc/769763906","Catalog Record")</f>
        <v>Catalog Record</v>
      </c>
      <c r="AW1625" s="6" t="str">
        <f>HYPERLINK("http://www.worldcat.org/oclc/769763906","WorldCat Record")</f>
        <v>WorldCat Record</v>
      </c>
      <c r="AX1625" s="3" t="s">
        <v>16441</v>
      </c>
      <c r="AY1625" s="3" t="s">
        <v>16442</v>
      </c>
      <c r="AZ1625" s="3" t="s">
        <v>16443</v>
      </c>
      <c r="BA1625" s="3" t="s">
        <v>16443</v>
      </c>
      <c r="BB1625" s="3" t="s">
        <v>16444</v>
      </c>
      <c r="BC1625" s="3" t="s">
        <v>77</v>
      </c>
      <c r="BD1625" s="3" t="s">
        <v>78</v>
      </c>
      <c r="BE1625" s="3" t="s">
        <v>16445</v>
      </c>
      <c r="BF1625" s="3" t="s">
        <v>16444</v>
      </c>
      <c r="BG1625" s="3" t="s">
        <v>16446</v>
      </c>
      <c r="BH1625">
        <f t="shared" si="45"/>
        <v>0</v>
      </c>
    </row>
    <row r="1626" spans="1:60" ht="72.5" x14ac:dyDescent="0.35">
      <c r="A1626" s="2" t="s">
        <v>59</v>
      </c>
      <c r="B1626" s="2" t="s">
        <v>60</v>
      </c>
      <c r="C1626" s="2" t="s">
        <v>16447</v>
      </c>
      <c r="D1626" s="2" t="s">
        <v>16448</v>
      </c>
      <c r="E1626" s="2" t="s">
        <v>16449</v>
      </c>
      <c r="F1626" s="3" t="s">
        <v>16450</v>
      </c>
      <c r="G1626" s="3" t="s">
        <v>64</v>
      </c>
      <c r="I1626" s="3" t="s">
        <v>64</v>
      </c>
      <c r="J1626" s="3" t="s">
        <v>64</v>
      </c>
      <c r="K1626" s="3" t="s">
        <v>65</v>
      </c>
      <c r="M1626" s="2" t="s">
        <v>16349</v>
      </c>
      <c r="N1626" s="3" t="s">
        <v>86</v>
      </c>
      <c r="P1626" s="3" t="s">
        <v>102</v>
      </c>
      <c r="Q1626" s="2" t="s">
        <v>16451</v>
      </c>
      <c r="R1626" s="3" t="s">
        <v>70</v>
      </c>
      <c r="S1626" s="4">
        <v>10</v>
      </c>
      <c r="T1626" s="4">
        <v>10</v>
      </c>
      <c r="U1626" s="5" t="s">
        <v>5158</v>
      </c>
      <c r="V1626" s="5" t="s">
        <v>5158</v>
      </c>
      <c r="W1626" s="5" t="s">
        <v>72</v>
      </c>
      <c r="X1626" s="5" t="s">
        <v>72</v>
      </c>
      <c r="Y1626" s="4">
        <v>347</v>
      </c>
      <c r="Z1626" s="4">
        <v>23</v>
      </c>
      <c r="AA1626" s="4">
        <v>30</v>
      </c>
      <c r="AB1626" s="4">
        <v>2</v>
      </c>
      <c r="AC1626" s="4">
        <v>7</v>
      </c>
      <c r="AD1626" s="4">
        <v>94</v>
      </c>
      <c r="AE1626" s="4">
        <v>100</v>
      </c>
      <c r="AF1626" s="4">
        <v>1</v>
      </c>
      <c r="AG1626" s="4">
        <v>3</v>
      </c>
      <c r="AH1626" s="4">
        <v>84</v>
      </c>
      <c r="AI1626" s="4">
        <v>88</v>
      </c>
      <c r="AJ1626" s="4">
        <v>15</v>
      </c>
      <c r="AK1626" s="4">
        <v>19</v>
      </c>
      <c r="AL1626" s="4">
        <v>48</v>
      </c>
      <c r="AM1626" s="4">
        <v>49</v>
      </c>
      <c r="AN1626" s="4">
        <v>0</v>
      </c>
      <c r="AO1626" s="4">
        <v>0</v>
      </c>
      <c r="AP1626" s="4">
        <v>19</v>
      </c>
      <c r="AQ1626" s="4">
        <v>22</v>
      </c>
      <c r="AR1626" s="3" t="s">
        <v>64</v>
      </c>
      <c r="AS1626" s="3" t="s">
        <v>64</v>
      </c>
      <c r="AT1626" s="3" t="s">
        <v>64</v>
      </c>
      <c r="AV1626" s="6" t="str">
        <f>HYPERLINK("http://mcgill.on.worldcat.org/oclc/794973728","Catalog Record")</f>
        <v>Catalog Record</v>
      </c>
      <c r="AW1626" s="6" t="str">
        <f>HYPERLINK("http://www.worldcat.org/oclc/794973728","WorldCat Record")</f>
        <v>WorldCat Record</v>
      </c>
      <c r="AX1626" s="3" t="s">
        <v>16452</v>
      </c>
      <c r="AY1626" s="3" t="s">
        <v>16453</v>
      </c>
      <c r="AZ1626" s="3" t="s">
        <v>16454</v>
      </c>
      <c r="BA1626" s="3" t="s">
        <v>16454</v>
      </c>
      <c r="BB1626" s="3" t="s">
        <v>16455</v>
      </c>
      <c r="BC1626" s="3" t="s">
        <v>77</v>
      </c>
      <c r="BD1626" s="3" t="s">
        <v>78</v>
      </c>
      <c r="BE1626" s="3" t="s">
        <v>16456</v>
      </c>
      <c r="BF1626" s="3" t="s">
        <v>16455</v>
      </c>
      <c r="BG1626" s="3" t="s">
        <v>16457</v>
      </c>
      <c r="BH1626">
        <f t="shared" si="45"/>
        <v>0</v>
      </c>
    </row>
    <row r="1627" spans="1:60" ht="72.5" x14ac:dyDescent="0.35">
      <c r="A1627" s="2" t="s">
        <v>59</v>
      </c>
      <c r="B1627" s="2" t="s">
        <v>60</v>
      </c>
      <c r="C1627" s="2" t="s">
        <v>16458</v>
      </c>
      <c r="D1627" s="2" t="s">
        <v>16459</v>
      </c>
      <c r="E1627" s="2" t="s">
        <v>16460</v>
      </c>
      <c r="F1627" s="3" t="s">
        <v>16461</v>
      </c>
      <c r="G1627" s="3" t="s">
        <v>64</v>
      </c>
      <c r="I1627" s="3" t="s">
        <v>128</v>
      </c>
      <c r="J1627" s="3" t="s">
        <v>64</v>
      </c>
      <c r="K1627" s="3" t="s">
        <v>65</v>
      </c>
      <c r="M1627" s="2" t="s">
        <v>16462</v>
      </c>
      <c r="N1627" s="3" t="s">
        <v>67</v>
      </c>
      <c r="P1627" s="3" t="s">
        <v>102</v>
      </c>
      <c r="Q1627" s="2" t="s">
        <v>16463</v>
      </c>
      <c r="R1627" s="3" t="s">
        <v>70</v>
      </c>
      <c r="S1627" s="4">
        <v>8</v>
      </c>
      <c r="T1627" s="4">
        <v>22</v>
      </c>
      <c r="U1627" s="5" t="s">
        <v>1925</v>
      </c>
      <c r="V1627" s="5" t="s">
        <v>10202</v>
      </c>
      <c r="W1627" s="5" t="s">
        <v>72</v>
      </c>
      <c r="X1627" s="5" t="s">
        <v>72</v>
      </c>
      <c r="Y1627" s="4">
        <v>515</v>
      </c>
      <c r="Z1627" s="4">
        <v>27</v>
      </c>
      <c r="AA1627" s="4">
        <v>33</v>
      </c>
      <c r="AB1627" s="4">
        <v>1</v>
      </c>
      <c r="AC1627" s="4">
        <v>5</v>
      </c>
      <c r="AD1627" s="4">
        <v>100</v>
      </c>
      <c r="AE1627" s="4">
        <v>106</v>
      </c>
      <c r="AF1627" s="4">
        <v>0</v>
      </c>
      <c r="AG1627" s="4">
        <v>1</v>
      </c>
      <c r="AH1627" s="4">
        <v>89</v>
      </c>
      <c r="AI1627" s="4">
        <v>92</v>
      </c>
      <c r="AJ1627" s="4">
        <v>15</v>
      </c>
      <c r="AK1627" s="4">
        <v>18</v>
      </c>
      <c r="AL1627" s="4">
        <v>48</v>
      </c>
      <c r="AM1627" s="4">
        <v>50</v>
      </c>
      <c r="AN1627" s="4">
        <v>0</v>
      </c>
      <c r="AO1627" s="4">
        <v>0</v>
      </c>
      <c r="AP1627" s="4">
        <v>20</v>
      </c>
      <c r="AQ1627" s="4">
        <v>22</v>
      </c>
      <c r="AR1627" s="3" t="s">
        <v>64</v>
      </c>
      <c r="AS1627" s="3" t="s">
        <v>64</v>
      </c>
      <c r="AT1627" s="3" t="s">
        <v>64</v>
      </c>
      <c r="AV1627" s="6" t="str">
        <f>HYPERLINK("http://mcgill.on.worldcat.org/oclc/894491742","Catalog Record")</f>
        <v>Catalog Record</v>
      </c>
      <c r="AW1627" s="6" t="str">
        <f>HYPERLINK("http://www.worldcat.org/oclc/894491742","WorldCat Record")</f>
        <v>WorldCat Record</v>
      </c>
      <c r="AX1627" s="3" t="s">
        <v>16464</v>
      </c>
      <c r="AY1627" s="3" t="s">
        <v>16465</v>
      </c>
      <c r="AZ1627" s="3" t="s">
        <v>16466</v>
      </c>
      <c r="BA1627" s="3" t="s">
        <v>16466</v>
      </c>
      <c r="BB1627" s="3" t="s">
        <v>16467</v>
      </c>
      <c r="BC1627" s="3" t="s">
        <v>77</v>
      </c>
      <c r="BD1627" s="3" t="s">
        <v>165</v>
      </c>
      <c r="BE1627" s="3" t="s">
        <v>16468</v>
      </c>
      <c r="BF1627" s="3" t="s">
        <v>16467</v>
      </c>
      <c r="BG1627" s="3" t="s">
        <v>16469</v>
      </c>
      <c r="BH1627">
        <f t="shared" si="45"/>
        <v>0</v>
      </c>
    </row>
    <row r="1628" spans="1:60" ht="72.5" x14ac:dyDescent="0.35">
      <c r="A1628" s="2" t="s">
        <v>59</v>
      </c>
      <c r="B1628" s="2" t="s">
        <v>60</v>
      </c>
      <c r="C1628" s="2" t="s">
        <v>16458</v>
      </c>
      <c r="D1628" s="2" t="s">
        <v>16459</v>
      </c>
      <c r="E1628" s="2" t="s">
        <v>16460</v>
      </c>
      <c r="F1628" s="3" t="s">
        <v>16461</v>
      </c>
      <c r="G1628" s="3" t="s">
        <v>64</v>
      </c>
      <c r="I1628" s="3" t="s">
        <v>128</v>
      </c>
      <c r="J1628" s="3" t="s">
        <v>64</v>
      </c>
      <c r="K1628" s="3" t="s">
        <v>65</v>
      </c>
      <c r="M1628" s="2" t="s">
        <v>16462</v>
      </c>
      <c r="N1628" s="3" t="s">
        <v>67</v>
      </c>
      <c r="P1628" s="3" t="s">
        <v>102</v>
      </c>
      <c r="Q1628" s="2" t="s">
        <v>16463</v>
      </c>
      <c r="R1628" s="3" t="s">
        <v>70</v>
      </c>
      <c r="S1628" s="4">
        <v>14</v>
      </c>
      <c r="T1628" s="4">
        <v>22</v>
      </c>
      <c r="U1628" s="5" t="s">
        <v>10202</v>
      </c>
      <c r="V1628" s="5" t="s">
        <v>10202</v>
      </c>
      <c r="W1628" s="5" t="s">
        <v>72</v>
      </c>
      <c r="X1628" s="5" t="s">
        <v>72</v>
      </c>
      <c r="Y1628" s="4">
        <v>515</v>
      </c>
      <c r="Z1628" s="4">
        <v>27</v>
      </c>
      <c r="AA1628" s="4">
        <v>33</v>
      </c>
      <c r="AB1628" s="4">
        <v>1</v>
      </c>
      <c r="AC1628" s="4">
        <v>5</v>
      </c>
      <c r="AD1628" s="4">
        <v>100</v>
      </c>
      <c r="AE1628" s="4">
        <v>106</v>
      </c>
      <c r="AF1628" s="4">
        <v>0</v>
      </c>
      <c r="AG1628" s="4">
        <v>1</v>
      </c>
      <c r="AH1628" s="4">
        <v>89</v>
      </c>
      <c r="AI1628" s="4">
        <v>92</v>
      </c>
      <c r="AJ1628" s="4">
        <v>15</v>
      </c>
      <c r="AK1628" s="4">
        <v>18</v>
      </c>
      <c r="AL1628" s="4">
        <v>48</v>
      </c>
      <c r="AM1628" s="4">
        <v>50</v>
      </c>
      <c r="AN1628" s="4">
        <v>0</v>
      </c>
      <c r="AO1628" s="4">
        <v>0</v>
      </c>
      <c r="AP1628" s="4">
        <v>20</v>
      </c>
      <c r="AQ1628" s="4">
        <v>22</v>
      </c>
      <c r="AR1628" s="3" t="s">
        <v>64</v>
      </c>
      <c r="AS1628" s="3" t="s">
        <v>64</v>
      </c>
      <c r="AT1628" s="3" t="s">
        <v>64</v>
      </c>
      <c r="AV1628" s="6" t="str">
        <f>HYPERLINK("http://mcgill.on.worldcat.org/oclc/894491742","Catalog Record")</f>
        <v>Catalog Record</v>
      </c>
      <c r="AW1628" s="6" t="str">
        <f>HYPERLINK("http://www.worldcat.org/oclc/894491742","WorldCat Record")</f>
        <v>WorldCat Record</v>
      </c>
      <c r="AX1628" s="3" t="s">
        <v>16464</v>
      </c>
      <c r="AY1628" s="3" t="s">
        <v>16465</v>
      </c>
      <c r="AZ1628" s="3" t="s">
        <v>16466</v>
      </c>
      <c r="BA1628" s="3" t="s">
        <v>16466</v>
      </c>
      <c r="BB1628" s="3" t="s">
        <v>16470</v>
      </c>
      <c r="BC1628" s="3" t="s">
        <v>77</v>
      </c>
      <c r="BD1628" s="3" t="s">
        <v>78</v>
      </c>
      <c r="BE1628" s="3" t="s">
        <v>16468</v>
      </c>
      <c r="BF1628" s="3" t="s">
        <v>16470</v>
      </c>
      <c r="BG1628" s="3" t="s">
        <v>16471</v>
      </c>
      <c r="BH1628">
        <f t="shared" si="45"/>
        <v>0</v>
      </c>
    </row>
    <row r="1629" spans="1:60" ht="72.5" x14ac:dyDescent="0.35">
      <c r="A1629" s="2" t="s">
        <v>59</v>
      </c>
      <c r="B1629" s="2" t="s">
        <v>60</v>
      </c>
      <c r="C1629" s="2" t="s">
        <v>16472</v>
      </c>
      <c r="D1629" s="2" t="s">
        <v>16473</v>
      </c>
      <c r="E1629" s="2" t="s">
        <v>16474</v>
      </c>
      <c r="F1629" s="3" t="s">
        <v>16475</v>
      </c>
      <c r="G1629" s="3" t="s">
        <v>64</v>
      </c>
      <c r="I1629" s="3" t="s">
        <v>64</v>
      </c>
      <c r="J1629" s="3" t="s">
        <v>64</v>
      </c>
      <c r="K1629" s="3" t="s">
        <v>65</v>
      </c>
      <c r="M1629" s="2" t="s">
        <v>16476</v>
      </c>
      <c r="N1629" s="3" t="s">
        <v>253</v>
      </c>
      <c r="P1629" s="3" t="s">
        <v>102</v>
      </c>
      <c r="Q1629" s="2" t="s">
        <v>16477</v>
      </c>
      <c r="R1629" s="3" t="s">
        <v>70</v>
      </c>
      <c r="S1629" s="4">
        <v>8</v>
      </c>
      <c r="T1629" s="4">
        <v>8</v>
      </c>
      <c r="U1629" s="5" t="s">
        <v>16105</v>
      </c>
      <c r="V1629" s="5" t="s">
        <v>16105</v>
      </c>
      <c r="W1629" s="5" t="s">
        <v>3035</v>
      </c>
      <c r="X1629" s="5" t="s">
        <v>3035</v>
      </c>
      <c r="Y1629" s="4">
        <v>804</v>
      </c>
      <c r="Z1629" s="4">
        <v>39</v>
      </c>
      <c r="AA1629" s="4">
        <v>46</v>
      </c>
      <c r="AB1629" s="4">
        <v>1</v>
      </c>
      <c r="AC1629" s="4">
        <v>6</v>
      </c>
      <c r="AD1629" s="4">
        <v>105</v>
      </c>
      <c r="AE1629" s="4">
        <v>112</v>
      </c>
      <c r="AF1629" s="4">
        <v>0</v>
      </c>
      <c r="AG1629" s="4">
        <v>3</v>
      </c>
      <c r="AH1629" s="4">
        <v>89</v>
      </c>
      <c r="AI1629" s="4">
        <v>92</v>
      </c>
      <c r="AJ1629" s="4">
        <v>13</v>
      </c>
      <c r="AK1629" s="4">
        <v>16</v>
      </c>
      <c r="AL1629" s="4">
        <v>49</v>
      </c>
      <c r="AM1629" s="4">
        <v>50</v>
      </c>
      <c r="AN1629" s="4">
        <v>0</v>
      </c>
      <c r="AO1629" s="4">
        <v>0</v>
      </c>
      <c r="AP1629" s="4">
        <v>22</v>
      </c>
      <c r="AQ1629" s="4">
        <v>25</v>
      </c>
      <c r="AR1629" s="3" t="s">
        <v>64</v>
      </c>
      <c r="AS1629" s="3" t="s">
        <v>64</v>
      </c>
      <c r="AT1629" s="3" t="s">
        <v>64</v>
      </c>
      <c r="AV1629" s="6" t="str">
        <f>HYPERLINK("http://mcgill.on.worldcat.org/oclc/896127188","Catalog Record")</f>
        <v>Catalog Record</v>
      </c>
      <c r="AW1629" s="6" t="str">
        <f>HYPERLINK("http://www.worldcat.org/oclc/896127188","WorldCat Record")</f>
        <v>WorldCat Record</v>
      </c>
      <c r="AX1629" s="3" t="s">
        <v>16478</v>
      </c>
      <c r="AY1629" s="3" t="s">
        <v>16479</v>
      </c>
      <c r="AZ1629" s="3" t="s">
        <v>16480</v>
      </c>
      <c r="BA1629" s="3" t="s">
        <v>16480</v>
      </c>
      <c r="BB1629" s="3" t="s">
        <v>16481</v>
      </c>
      <c r="BC1629" s="3" t="s">
        <v>77</v>
      </c>
      <c r="BD1629" s="3" t="s">
        <v>165</v>
      </c>
      <c r="BE1629" s="3" t="s">
        <v>16482</v>
      </c>
      <c r="BF1629" s="3" t="s">
        <v>16481</v>
      </c>
      <c r="BG1629" s="3" t="s">
        <v>16483</v>
      </c>
      <c r="BH1629">
        <f t="shared" si="45"/>
        <v>0</v>
      </c>
    </row>
    <row r="1630" spans="1:60" ht="72.5" x14ac:dyDescent="0.35">
      <c r="A1630" s="2" t="s">
        <v>59</v>
      </c>
      <c r="B1630" s="2" t="s">
        <v>60</v>
      </c>
      <c r="C1630" s="2" t="s">
        <v>16484</v>
      </c>
      <c r="D1630" s="2" t="s">
        <v>16485</v>
      </c>
      <c r="E1630" s="2" t="s">
        <v>16486</v>
      </c>
      <c r="F1630" s="3" t="s">
        <v>16487</v>
      </c>
      <c r="G1630" s="3" t="s">
        <v>64</v>
      </c>
      <c r="I1630" s="3" t="s">
        <v>64</v>
      </c>
      <c r="J1630" s="3" t="s">
        <v>64</v>
      </c>
      <c r="K1630" s="3" t="s">
        <v>65</v>
      </c>
      <c r="M1630" s="2" t="s">
        <v>16488</v>
      </c>
      <c r="N1630" s="3" t="s">
        <v>253</v>
      </c>
      <c r="P1630" s="3" t="s">
        <v>102</v>
      </c>
      <c r="Q1630" s="2" t="s">
        <v>16489</v>
      </c>
      <c r="R1630" s="3" t="s">
        <v>70</v>
      </c>
      <c r="S1630" s="4">
        <v>1</v>
      </c>
      <c r="T1630" s="4">
        <v>1</v>
      </c>
      <c r="U1630" s="5" t="s">
        <v>7407</v>
      </c>
      <c r="V1630" s="5" t="s">
        <v>7407</v>
      </c>
      <c r="W1630" s="5" t="s">
        <v>72</v>
      </c>
      <c r="X1630" s="5" t="s">
        <v>72</v>
      </c>
      <c r="Y1630" s="4">
        <v>253</v>
      </c>
      <c r="Z1630" s="4">
        <v>10</v>
      </c>
      <c r="AA1630" s="4">
        <v>15</v>
      </c>
      <c r="AB1630" s="4">
        <v>1</v>
      </c>
      <c r="AC1630" s="4">
        <v>5</v>
      </c>
      <c r="AD1630" s="4">
        <v>71</v>
      </c>
      <c r="AE1630" s="4">
        <v>75</v>
      </c>
      <c r="AF1630" s="4">
        <v>0</v>
      </c>
      <c r="AG1630" s="4">
        <v>1</v>
      </c>
      <c r="AH1630" s="4">
        <v>67</v>
      </c>
      <c r="AI1630" s="4">
        <v>70</v>
      </c>
      <c r="AJ1630" s="4">
        <v>6</v>
      </c>
      <c r="AK1630" s="4">
        <v>8</v>
      </c>
      <c r="AL1630" s="4">
        <v>42</v>
      </c>
      <c r="AM1630" s="4">
        <v>42</v>
      </c>
      <c r="AN1630" s="4">
        <v>0</v>
      </c>
      <c r="AO1630" s="4">
        <v>0</v>
      </c>
      <c r="AP1630" s="4">
        <v>7</v>
      </c>
      <c r="AQ1630" s="4">
        <v>8</v>
      </c>
      <c r="AR1630" s="3" t="s">
        <v>64</v>
      </c>
      <c r="AS1630" s="3" t="s">
        <v>64</v>
      </c>
      <c r="AT1630" s="3" t="s">
        <v>64</v>
      </c>
      <c r="AV1630" s="6" t="str">
        <f>HYPERLINK("http://mcgill.on.worldcat.org/oclc/918562805","Catalog Record")</f>
        <v>Catalog Record</v>
      </c>
      <c r="AW1630" s="6" t="str">
        <f>HYPERLINK("http://www.worldcat.org/oclc/918562805","WorldCat Record")</f>
        <v>WorldCat Record</v>
      </c>
      <c r="AX1630" s="3" t="s">
        <v>16490</v>
      </c>
      <c r="AY1630" s="3" t="s">
        <v>16491</v>
      </c>
      <c r="AZ1630" s="3" t="s">
        <v>16492</v>
      </c>
      <c r="BA1630" s="3" t="s">
        <v>16492</v>
      </c>
      <c r="BB1630" s="3" t="s">
        <v>16493</v>
      </c>
      <c r="BC1630" s="3" t="s">
        <v>77</v>
      </c>
      <c r="BD1630" s="3" t="s">
        <v>78</v>
      </c>
      <c r="BE1630" s="3" t="s">
        <v>16494</v>
      </c>
      <c r="BF1630" s="3" t="s">
        <v>16493</v>
      </c>
      <c r="BG1630" s="3" t="s">
        <v>16495</v>
      </c>
      <c r="BH1630">
        <f t="shared" si="45"/>
        <v>0</v>
      </c>
    </row>
    <row r="1631" spans="1:60" ht="72.5" x14ac:dyDescent="0.35">
      <c r="A1631" s="2" t="s">
        <v>59</v>
      </c>
      <c r="B1631" s="2" t="s">
        <v>60</v>
      </c>
      <c r="C1631" s="2" t="s">
        <v>16496</v>
      </c>
      <c r="D1631" s="2" t="s">
        <v>16497</v>
      </c>
      <c r="E1631" s="2" t="s">
        <v>16498</v>
      </c>
      <c r="F1631" s="3" t="s">
        <v>16499</v>
      </c>
      <c r="G1631" s="3" t="s">
        <v>64</v>
      </c>
      <c r="I1631" s="3" t="s">
        <v>64</v>
      </c>
      <c r="J1631" s="3" t="s">
        <v>64</v>
      </c>
      <c r="K1631" s="3" t="s">
        <v>65</v>
      </c>
      <c r="L1631" s="2" t="s">
        <v>16500</v>
      </c>
      <c r="M1631" s="2" t="s">
        <v>16501</v>
      </c>
      <c r="N1631" s="3" t="s">
        <v>537</v>
      </c>
      <c r="P1631" s="3" t="s">
        <v>102</v>
      </c>
      <c r="Q1631" s="2" t="s">
        <v>16502</v>
      </c>
      <c r="R1631" s="3" t="s">
        <v>70</v>
      </c>
      <c r="S1631" s="4">
        <v>2</v>
      </c>
      <c r="T1631" s="4">
        <v>2</v>
      </c>
      <c r="U1631" s="5" t="s">
        <v>423</v>
      </c>
      <c r="V1631" s="5" t="s">
        <v>423</v>
      </c>
      <c r="W1631" s="5" t="s">
        <v>72</v>
      </c>
      <c r="X1631" s="5" t="s">
        <v>72</v>
      </c>
      <c r="Y1631" s="4">
        <v>211</v>
      </c>
      <c r="Z1631" s="4">
        <v>10</v>
      </c>
      <c r="AA1631" s="4">
        <v>16</v>
      </c>
      <c r="AB1631" s="4">
        <v>1</v>
      </c>
      <c r="AC1631" s="4">
        <v>2</v>
      </c>
      <c r="AD1631" s="4">
        <v>58</v>
      </c>
      <c r="AE1631" s="4">
        <v>67</v>
      </c>
      <c r="AF1631" s="4">
        <v>0</v>
      </c>
      <c r="AG1631" s="4">
        <v>0</v>
      </c>
      <c r="AH1631" s="4">
        <v>54</v>
      </c>
      <c r="AI1631" s="4">
        <v>61</v>
      </c>
      <c r="AJ1631" s="4">
        <v>5</v>
      </c>
      <c r="AK1631" s="4">
        <v>9</v>
      </c>
      <c r="AL1631" s="4">
        <v>33</v>
      </c>
      <c r="AM1631" s="4">
        <v>34</v>
      </c>
      <c r="AN1631" s="4">
        <v>0</v>
      </c>
      <c r="AO1631" s="4">
        <v>0</v>
      </c>
      <c r="AP1631" s="4">
        <v>7</v>
      </c>
      <c r="AQ1631" s="4">
        <v>11</v>
      </c>
      <c r="AR1631" s="3" t="s">
        <v>64</v>
      </c>
      <c r="AS1631" s="3" t="s">
        <v>64</v>
      </c>
      <c r="AT1631" s="3" t="s">
        <v>64</v>
      </c>
      <c r="AV1631" s="6" t="str">
        <f>HYPERLINK("http://mcgill.on.worldcat.org/oclc/943710069","Catalog Record")</f>
        <v>Catalog Record</v>
      </c>
      <c r="AW1631" s="6" t="str">
        <f>HYPERLINK("http://www.worldcat.org/oclc/943710069","WorldCat Record")</f>
        <v>WorldCat Record</v>
      </c>
      <c r="AX1631" s="3" t="s">
        <v>16503</v>
      </c>
      <c r="AY1631" s="3" t="s">
        <v>16504</v>
      </c>
      <c r="AZ1631" s="3" t="s">
        <v>16505</v>
      </c>
      <c r="BA1631" s="3" t="s">
        <v>16505</v>
      </c>
      <c r="BB1631" s="3" t="s">
        <v>16506</v>
      </c>
      <c r="BC1631" s="3" t="s">
        <v>77</v>
      </c>
      <c r="BD1631" s="3" t="s">
        <v>78</v>
      </c>
      <c r="BE1631" s="3" t="s">
        <v>16507</v>
      </c>
      <c r="BF1631" s="3" t="s">
        <v>16506</v>
      </c>
      <c r="BG1631" s="3" t="s">
        <v>16508</v>
      </c>
      <c r="BH1631">
        <f t="shared" si="45"/>
        <v>0</v>
      </c>
    </row>
    <row r="1632" spans="1:60" ht="72.5" x14ac:dyDescent="0.35">
      <c r="A1632" s="2" t="s">
        <v>59</v>
      </c>
      <c r="B1632" s="2" t="s">
        <v>60</v>
      </c>
      <c r="C1632" s="2" t="s">
        <v>16509</v>
      </c>
      <c r="D1632" s="2" t="s">
        <v>16510</v>
      </c>
      <c r="E1632" s="2" t="s">
        <v>16511</v>
      </c>
      <c r="F1632" s="3" t="s">
        <v>16512</v>
      </c>
      <c r="G1632" s="3" t="s">
        <v>64</v>
      </c>
      <c r="I1632" s="3" t="s">
        <v>64</v>
      </c>
      <c r="J1632" s="3" t="s">
        <v>64</v>
      </c>
      <c r="K1632" s="3" t="s">
        <v>65</v>
      </c>
      <c r="L1632" s="2" t="s">
        <v>16513</v>
      </c>
      <c r="M1632" s="2" t="s">
        <v>16514</v>
      </c>
      <c r="N1632" s="3" t="s">
        <v>578</v>
      </c>
      <c r="P1632" s="3" t="s">
        <v>102</v>
      </c>
      <c r="Q1632" s="2" t="s">
        <v>16515</v>
      </c>
      <c r="R1632" s="3" t="s">
        <v>70</v>
      </c>
      <c r="S1632" s="4">
        <v>3</v>
      </c>
      <c r="T1632" s="4">
        <v>3</v>
      </c>
      <c r="U1632" s="5" t="s">
        <v>14827</v>
      </c>
      <c r="V1632" s="5" t="s">
        <v>14827</v>
      </c>
      <c r="W1632" s="5" t="s">
        <v>72</v>
      </c>
      <c r="X1632" s="5" t="s">
        <v>72</v>
      </c>
      <c r="Y1632" s="4">
        <v>244</v>
      </c>
      <c r="Z1632" s="4">
        <v>11</v>
      </c>
      <c r="AA1632" s="4">
        <v>18</v>
      </c>
      <c r="AB1632" s="4">
        <v>2</v>
      </c>
      <c r="AC1632" s="4">
        <v>6</v>
      </c>
      <c r="AD1632" s="4">
        <v>62</v>
      </c>
      <c r="AE1632" s="4">
        <v>73</v>
      </c>
      <c r="AF1632" s="4">
        <v>1</v>
      </c>
      <c r="AG1632" s="4">
        <v>3</v>
      </c>
      <c r="AH1632" s="4">
        <v>56</v>
      </c>
      <c r="AI1632" s="4">
        <v>62</v>
      </c>
      <c r="AJ1632" s="4">
        <v>5</v>
      </c>
      <c r="AK1632" s="4">
        <v>8</v>
      </c>
      <c r="AL1632" s="4">
        <v>33</v>
      </c>
      <c r="AM1632" s="4">
        <v>34</v>
      </c>
      <c r="AN1632" s="4">
        <v>0</v>
      </c>
      <c r="AO1632" s="4">
        <v>0</v>
      </c>
      <c r="AP1632" s="4">
        <v>9</v>
      </c>
      <c r="AQ1632" s="4">
        <v>13</v>
      </c>
      <c r="AR1632" s="3" t="s">
        <v>64</v>
      </c>
      <c r="AS1632" s="3" t="s">
        <v>64</v>
      </c>
      <c r="AT1632" s="3" t="s">
        <v>64</v>
      </c>
      <c r="AV1632" s="6" t="str">
        <f>HYPERLINK("http://mcgill.on.worldcat.org/oclc/1014191778","Catalog Record")</f>
        <v>Catalog Record</v>
      </c>
      <c r="AW1632" s="6" t="str">
        <f>HYPERLINK("http://www.worldcat.org/oclc/1014191778","WorldCat Record")</f>
        <v>WorldCat Record</v>
      </c>
      <c r="AX1632" s="3" t="s">
        <v>16516</v>
      </c>
      <c r="AY1632" s="3" t="s">
        <v>16517</v>
      </c>
      <c r="AZ1632" s="3" t="s">
        <v>16518</v>
      </c>
      <c r="BA1632" s="3" t="s">
        <v>16518</v>
      </c>
      <c r="BB1632" s="3" t="s">
        <v>16519</v>
      </c>
      <c r="BC1632" s="3" t="s">
        <v>77</v>
      </c>
      <c r="BD1632" s="3" t="s">
        <v>165</v>
      </c>
      <c r="BE1632" s="3" t="s">
        <v>16520</v>
      </c>
      <c r="BF1632" s="3" t="s">
        <v>16519</v>
      </c>
      <c r="BG1632" s="3" t="s">
        <v>16521</v>
      </c>
      <c r="BH1632">
        <f t="shared" si="45"/>
        <v>0</v>
      </c>
    </row>
    <row r="1633" spans="1:60" ht="72.5" x14ac:dyDescent="0.35">
      <c r="A1633" s="2" t="s">
        <v>59</v>
      </c>
      <c r="B1633" s="2" t="s">
        <v>60</v>
      </c>
      <c r="C1633" s="2" t="s">
        <v>16522</v>
      </c>
      <c r="D1633" s="2" t="s">
        <v>16523</v>
      </c>
      <c r="E1633" s="2" t="s">
        <v>16524</v>
      </c>
      <c r="F1633" s="3" t="s">
        <v>509</v>
      </c>
      <c r="G1633" s="3" t="s">
        <v>128</v>
      </c>
      <c r="I1633" s="3" t="s">
        <v>64</v>
      </c>
      <c r="J1633" s="3" t="s">
        <v>64</v>
      </c>
      <c r="K1633" s="3" t="s">
        <v>65</v>
      </c>
      <c r="M1633" s="2" t="s">
        <v>16525</v>
      </c>
      <c r="N1633" s="3" t="s">
        <v>190</v>
      </c>
      <c r="P1633" s="3" t="s">
        <v>102</v>
      </c>
      <c r="Q1633" s="2" t="s">
        <v>16526</v>
      </c>
      <c r="R1633" s="3" t="s">
        <v>70</v>
      </c>
      <c r="S1633" s="4">
        <v>2</v>
      </c>
      <c r="T1633" s="4">
        <v>14</v>
      </c>
      <c r="V1633" s="5" t="s">
        <v>3854</v>
      </c>
      <c r="W1633" s="5" t="s">
        <v>72</v>
      </c>
      <c r="X1633" s="5" t="s">
        <v>72</v>
      </c>
      <c r="Y1633" s="4">
        <v>310</v>
      </c>
      <c r="Z1633" s="4">
        <v>7</v>
      </c>
      <c r="AA1633" s="4">
        <v>19</v>
      </c>
      <c r="AB1633" s="4">
        <v>1</v>
      </c>
      <c r="AC1633" s="4">
        <v>5</v>
      </c>
      <c r="AD1633" s="4">
        <v>58</v>
      </c>
      <c r="AE1633" s="4">
        <v>69</v>
      </c>
      <c r="AF1633" s="4">
        <v>0</v>
      </c>
      <c r="AG1633" s="4">
        <v>2</v>
      </c>
      <c r="AH1633" s="4">
        <v>55</v>
      </c>
      <c r="AI1633" s="4">
        <v>57</v>
      </c>
      <c r="AJ1633" s="4">
        <v>3</v>
      </c>
      <c r="AK1633" s="4">
        <v>11</v>
      </c>
      <c r="AL1633" s="4">
        <v>34</v>
      </c>
      <c r="AM1633" s="4">
        <v>35</v>
      </c>
      <c r="AN1633" s="4">
        <v>0</v>
      </c>
      <c r="AO1633" s="4">
        <v>0</v>
      </c>
      <c r="AP1633" s="4">
        <v>4</v>
      </c>
      <c r="AQ1633" s="4">
        <v>13</v>
      </c>
      <c r="AR1633" s="3" t="s">
        <v>64</v>
      </c>
      <c r="AS1633" s="3" t="s">
        <v>64</v>
      </c>
      <c r="AT1633" s="3" t="s">
        <v>64</v>
      </c>
      <c r="AV1633" s="6" t="str">
        <f t="shared" ref="AV1633:AV1638" si="46">HYPERLINK("http://mcgill.on.worldcat.org/oclc/1034016723","Catalog Record")</f>
        <v>Catalog Record</v>
      </c>
      <c r="AW1633" s="6" t="str">
        <f t="shared" ref="AW1633:AW1638" si="47">HYPERLINK("http://www.worldcat.org/oclc/1034016723","WorldCat Record")</f>
        <v>WorldCat Record</v>
      </c>
      <c r="AX1633" s="3" t="s">
        <v>16527</v>
      </c>
      <c r="AY1633" s="3" t="s">
        <v>16528</v>
      </c>
      <c r="AZ1633" s="3" t="s">
        <v>16529</v>
      </c>
      <c r="BA1633" s="3" t="s">
        <v>16529</v>
      </c>
      <c r="BB1633" s="3" t="s">
        <v>16530</v>
      </c>
      <c r="BC1633" s="3" t="s">
        <v>77</v>
      </c>
      <c r="BD1633" s="3" t="s">
        <v>165</v>
      </c>
      <c r="BE1633" s="3" t="s">
        <v>16531</v>
      </c>
      <c r="BF1633" s="3" t="s">
        <v>16530</v>
      </c>
      <c r="BG1633" s="3" t="s">
        <v>16532</v>
      </c>
      <c r="BH1633">
        <f t="shared" si="45"/>
        <v>0</v>
      </c>
    </row>
    <row r="1634" spans="1:60" ht="72.5" x14ac:dyDescent="0.35">
      <c r="A1634" s="2" t="s">
        <v>59</v>
      </c>
      <c r="B1634" s="2" t="s">
        <v>60</v>
      </c>
      <c r="C1634" s="2" t="s">
        <v>16522</v>
      </c>
      <c r="D1634" s="2" t="s">
        <v>16523</v>
      </c>
      <c r="E1634" s="2" t="s">
        <v>16524</v>
      </c>
      <c r="F1634" s="3" t="s">
        <v>529</v>
      </c>
      <c r="G1634" s="3" t="s">
        <v>128</v>
      </c>
      <c r="I1634" s="3" t="s">
        <v>64</v>
      </c>
      <c r="J1634" s="3" t="s">
        <v>64</v>
      </c>
      <c r="K1634" s="3" t="s">
        <v>65</v>
      </c>
      <c r="M1634" s="2" t="s">
        <v>16525</v>
      </c>
      <c r="N1634" s="3" t="s">
        <v>190</v>
      </c>
      <c r="P1634" s="3" t="s">
        <v>102</v>
      </c>
      <c r="Q1634" s="2" t="s">
        <v>16526</v>
      </c>
      <c r="R1634" s="3" t="s">
        <v>70</v>
      </c>
      <c r="S1634" s="4">
        <v>2</v>
      </c>
      <c r="T1634" s="4">
        <v>14</v>
      </c>
      <c r="V1634" s="5" t="s">
        <v>3854</v>
      </c>
      <c r="W1634" s="5" t="s">
        <v>72</v>
      </c>
      <c r="X1634" s="5" t="s">
        <v>72</v>
      </c>
      <c r="Y1634" s="4">
        <v>310</v>
      </c>
      <c r="Z1634" s="4">
        <v>7</v>
      </c>
      <c r="AA1634" s="4">
        <v>19</v>
      </c>
      <c r="AB1634" s="4">
        <v>1</v>
      </c>
      <c r="AC1634" s="4">
        <v>5</v>
      </c>
      <c r="AD1634" s="4">
        <v>58</v>
      </c>
      <c r="AE1634" s="4">
        <v>69</v>
      </c>
      <c r="AF1634" s="4">
        <v>0</v>
      </c>
      <c r="AG1634" s="4">
        <v>2</v>
      </c>
      <c r="AH1634" s="4">
        <v>55</v>
      </c>
      <c r="AI1634" s="4">
        <v>57</v>
      </c>
      <c r="AJ1634" s="4">
        <v>3</v>
      </c>
      <c r="AK1634" s="4">
        <v>11</v>
      </c>
      <c r="AL1634" s="4">
        <v>34</v>
      </c>
      <c r="AM1634" s="4">
        <v>35</v>
      </c>
      <c r="AN1634" s="4">
        <v>0</v>
      </c>
      <c r="AO1634" s="4">
        <v>0</v>
      </c>
      <c r="AP1634" s="4">
        <v>4</v>
      </c>
      <c r="AQ1634" s="4">
        <v>13</v>
      </c>
      <c r="AR1634" s="3" t="s">
        <v>64</v>
      </c>
      <c r="AS1634" s="3" t="s">
        <v>64</v>
      </c>
      <c r="AT1634" s="3" t="s">
        <v>64</v>
      </c>
      <c r="AV1634" s="6" t="str">
        <f t="shared" si="46"/>
        <v>Catalog Record</v>
      </c>
      <c r="AW1634" s="6" t="str">
        <f t="shared" si="47"/>
        <v>WorldCat Record</v>
      </c>
      <c r="AX1634" s="3" t="s">
        <v>16527</v>
      </c>
      <c r="AY1634" s="3" t="s">
        <v>16528</v>
      </c>
      <c r="AZ1634" s="3" t="s">
        <v>16529</v>
      </c>
      <c r="BA1634" s="3" t="s">
        <v>16529</v>
      </c>
      <c r="BB1634" s="3" t="s">
        <v>16533</v>
      </c>
      <c r="BC1634" s="3" t="s">
        <v>77</v>
      </c>
      <c r="BD1634" s="3" t="s">
        <v>165</v>
      </c>
      <c r="BE1634" s="3" t="s">
        <v>16531</v>
      </c>
      <c r="BF1634" s="3" t="s">
        <v>16533</v>
      </c>
      <c r="BG1634" s="3" t="s">
        <v>16534</v>
      </c>
      <c r="BH1634">
        <f t="shared" si="45"/>
        <v>0</v>
      </c>
    </row>
    <row r="1635" spans="1:60" ht="72.5" x14ac:dyDescent="0.35">
      <c r="A1635" s="2" t="s">
        <v>59</v>
      </c>
      <c r="B1635" s="2" t="s">
        <v>60</v>
      </c>
      <c r="C1635" s="2" t="s">
        <v>16522</v>
      </c>
      <c r="D1635" s="2" t="s">
        <v>16523</v>
      </c>
      <c r="E1635" s="2" t="s">
        <v>16524</v>
      </c>
      <c r="F1635" s="3" t="s">
        <v>525</v>
      </c>
      <c r="G1635" s="3" t="s">
        <v>128</v>
      </c>
      <c r="I1635" s="3" t="s">
        <v>64</v>
      </c>
      <c r="J1635" s="3" t="s">
        <v>64</v>
      </c>
      <c r="K1635" s="3" t="s">
        <v>65</v>
      </c>
      <c r="M1635" s="2" t="s">
        <v>16525</v>
      </c>
      <c r="N1635" s="3" t="s">
        <v>190</v>
      </c>
      <c r="P1635" s="3" t="s">
        <v>102</v>
      </c>
      <c r="Q1635" s="2" t="s">
        <v>16526</v>
      </c>
      <c r="R1635" s="3" t="s">
        <v>70</v>
      </c>
      <c r="S1635" s="4">
        <v>4</v>
      </c>
      <c r="T1635" s="4">
        <v>14</v>
      </c>
      <c r="U1635" s="5" t="s">
        <v>3854</v>
      </c>
      <c r="V1635" s="5" t="s">
        <v>3854</v>
      </c>
      <c r="W1635" s="5" t="s">
        <v>72</v>
      </c>
      <c r="X1635" s="5" t="s">
        <v>72</v>
      </c>
      <c r="Y1635" s="4">
        <v>310</v>
      </c>
      <c r="Z1635" s="4">
        <v>7</v>
      </c>
      <c r="AA1635" s="4">
        <v>19</v>
      </c>
      <c r="AB1635" s="4">
        <v>1</v>
      </c>
      <c r="AC1635" s="4">
        <v>5</v>
      </c>
      <c r="AD1635" s="4">
        <v>58</v>
      </c>
      <c r="AE1635" s="4">
        <v>69</v>
      </c>
      <c r="AF1635" s="4">
        <v>0</v>
      </c>
      <c r="AG1635" s="4">
        <v>2</v>
      </c>
      <c r="AH1635" s="4">
        <v>55</v>
      </c>
      <c r="AI1635" s="4">
        <v>57</v>
      </c>
      <c r="AJ1635" s="4">
        <v>3</v>
      </c>
      <c r="AK1635" s="4">
        <v>11</v>
      </c>
      <c r="AL1635" s="4">
        <v>34</v>
      </c>
      <c r="AM1635" s="4">
        <v>35</v>
      </c>
      <c r="AN1635" s="4">
        <v>0</v>
      </c>
      <c r="AO1635" s="4">
        <v>0</v>
      </c>
      <c r="AP1635" s="4">
        <v>4</v>
      </c>
      <c r="AQ1635" s="4">
        <v>13</v>
      </c>
      <c r="AR1635" s="3" t="s">
        <v>64</v>
      </c>
      <c r="AS1635" s="3" t="s">
        <v>64</v>
      </c>
      <c r="AT1635" s="3" t="s">
        <v>64</v>
      </c>
      <c r="AV1635" s="6" t="str">
        <f t="shared" si="46"/>
        <v>Catalog Record</v>
      </c>
      <c r="AW1635" s="6" t="str">
        <f t="shared" si="47"/>
        <v>WorldCat Record</v>
      </c>
      <c r="AX1635" s="3" t="s">
        <v>16527</v>
      </c>
      <c r="AY1635" s="3" t="s">
        <v>16528</v>
      </c>
      <c r="AZ1635" s="3" t="s">
        <v>16529</v>
      </c>
      <c r="BA1635" s="3" t="s">
        <v>16529</v>
      </c>
      <c r="BB1635" s="3" t="s">
        <v>16535</v>
      </c>
      <c r="BC1635" s="3" t="s">
        <v>77</v>
      </c>
      <c r="BD1635" s="3" t="s">
        <v>78</v>
      </c>
      <c r="BE1635" s="3" t="s">
        <v>16531</v>
      </c>
      <c r="BF1635" s="3" t="s">
        <v>16535</v>
      </c>
      <c r="BG1635" s="3" t="s">
        <v>16536</v>
      </c>
      <c r="BH1635">
        <f t="shared" si="45"/>
        <v>0</v>
      </c>
    </row>
    <row r="1636" spans="1:60" ht="72.5" x14ac:dyDescent="0.35">
      <c r="A1636" s="2" t="s">
        <v>59</v>
      </c>
      <c r="B1636" s="2" t="s">
        <v>60</v>
      </c>
      <c r="C1636" s="2" t="s">
        <v>16522</v>
      </c>
      <c r="D1636" s="2" t="s">
        <v>16523</v>
      </c>
      <c r="E1636" s="2" t="s">
        <v>16524</v>
      </c>
      <c r="F1636" s="3" t="s">
        <v>522</v>
      </c>
      <c r="G1636" s="3" t="s">
        <v>128</v>
      </c>
      <c r="I1636" s="3" t="s">
        <v>64</v>
      </c>
      <c r="J1636" s="3" t="s">
        <v>64</v>
      </c>
      <c r="K1636" s="3" t="s">
        <v>65</v>
      </c>
      <c r="M1636" s="2" t="s">
        <v>16525</v>
      </c>
      <c r="N1636" s="3" t="s">
        <v>190</v>
      </c>
      <c r="P1636" s="3" t="s">
        <v>102</v>
      </c>
      <c r="Q1636" s="2" t="s">
        <v>16526</v>
      </c>
      <c r="R1636" s="3" t="s">
        <v>70</v>
      </c>
      <c r="S1636" s="4">
        <v>2</v>
      </c>
      <c r="T1636" s="4">
        <v>14</v>
      </c>
      <c r="V1636" s="5" t="s">
        <v>3854</v>
      </c>
      <c r="W1636" s="5" t="s">
        <v>72</v>
      </c>
      <c r="X1636" s="5" t="s">
        <v>72</v>
      </c>
      <c r="Y1636" s="4">
        <v>310</v>
      </c>
      <c r="Z1636" s="4">
        <v>7</v>
      </c>
      <c r="AA1636" s="4">
        <v>19</v>
      </c>
      <c r="AB1636" s="4">
        <v>1</v>
      </c>
      <c r="AC1636" s="4">
        <v>5</v>
      </c>
      <c r="AD1636" s="4">
        <v>58</v>
      </c>
      <c r="AE1636" s="4">
        <v>69</v>
      </c>
      <c r="AF1636" s="4">
        <v>0</v>
      </c>
      <c r="AG1636" s="4">
        <v>2</v>
      </c>
      <c r="AH1636" s="4">
        <v>55</v>
      </c>
      <c r="AI1636" s="4">
        <v>57</v>
      </c>
      <c r="AJ1636" s="4">
        <v>3</v>
      </c>
      <c r="AK1636" s="4">
        <v>11</v>
      </c>
      <c r="AL1636" s="4">
        <v>34</v>
      </c>
      <c r="AM1636" s="4">
        <v>35</v>
      </c>
      <c r="AN1636" s="4">
        <v>0</v>
      </c>
      <c r="AO1636" s="4">
        <v>0</v>
      </c>
      <c r="AP1636" s="4">
        <v>4</v>
      </c>
      <c r="AQ1636" s="4">
        <v>13</v>
      </c>
      <c r="AR1636" s="3" t="s">
        <v>64</v>
      </c>
      <c r="AS1636" s="3" t="s">
        <v>64</v>
      </c>
      <c r="AT1636" s="3" t="s">
        <v>64</v>
      </c>
      <c r="AV1636" s="6" t="str">
        <f t="shared" si="46"/>
        <v>Catalog Record</v>
      </c>
      <c r="AW1636" s="6" t="str">
        <f t="shared" si="47"/>
        <v>WorldCat Record</v>
      </c>
      <c r="AX1636" s="3" t="s">
        <v>16527</v>
      </c>
      <c r="AY1636" s="3" t="s">
        <v>16528</v>
      </c>
      <c r="AZ1636" s="3" t="s">
        <v>16529</v>
      </c>
      <c r="BA1636" s="3" t="s">
        <v>16529</v>
      </c>
      <c r="BB1636" s="3" t="s">
        <v>16537</v>
      </c>
      <c r="BC1636" s="3" t="s">
        <v>77</v>
      </c>
      <c r="BD1636" s="3" t="s">
        <v>165</v>
      </c>
      <c r="BE1636" s="3" t="s">
        <v>16531</v>
      </c>
      <c r="BF1636" s="3" t="s">
        <v>16537</v>
      </c>
      <c r="BG1636" s="3" t="s">
        <v>16538</v>
      </c>
      <c r="BH1636">
        <f t="shared" si="45"/>
        <v>0</v>
      </c>
    </row>
    <row r="1637" spans="1:60" ht="72.5" x14ac:dyDescent="0.35">
      <c r="A1637" s="2" t="s">
        <v>59</v>
      </c>
      <c r="B1637" s="2" t="s">
        <v>60</v>
      </c>
      <c r="C1637" s="2" t="s">
        <v>16522</v>
      </c>
      <c r="D1637" s="2" t="s">
        <v>16523</v>
      </c>
      <c r="E1637" s="2" t="s">
        <v>16524</v>
      </c>
      <c r="F1637" s="3" t="s">
        <v>10094</v>
      </c>
      <c r="G1637" s="3" t="s">
        <v>128</v>
      </c>
      <c r="I1637" s="3" t="s">
        <v>64</v>
      </c>
      <c r="J1637" s="3" t="s">
        <v>64</v>
      </c>
      <c r="K1637" s="3" t="s">
        <v>65</v>
      </c>
      <c r="M1637" s="2" t="s">
        <v>16525</v>
      </c>
      <c r="N1637" s="3" t="s">
        <v>190</v>
      </c>
      <c r="P1637" s="3" t="s">
        <v>102</v>
      </c>
      <c r="Q1637" s="2" t="s">
        <v>16526</v>
      </c>
      <c r="R1637" s="3" t="s">
        <v>70</v>
      </c>
      <c r="S1637" s="4">
        <v>2</v>
      </c>
      <c r="T1637" s="4">
        <v>14</v>
      </c>
      <c r="V1637" s="5" t="s">
        <v>3854</v>
      </c>
      <c r="W1637" s="5" t="s">
        <v>72</v>
      </c>
      <c r="X1637" s="5" t="s">
        <v>72</v>
      </c>
      <c r="Y1637" s="4">
        <v>310</v>
      </c>
      <c r="Z1637" s="4">
        <v>7</v>
      </c>
      <c r="AA1637" s="4">
        <v>19</v>
      </c>
      <c r="AB1637" s="4">
        <v>1</v>
      </c>
      <c r="AC1637" s="4">
        <v>5</v>
      </c>
      <c r="AD1637" s="4">
        <v>58</v>
      </c>
      <c r="AE1637" s="4">
        <v>69</v>
      </c>
      <c r="AF1637" s="4">
        <v>0</v>
      </c>
      <c r="AG1637" s="4">
        <v>2</v>
      </c>
      <c r="AH1637" s="4">
        <v>55</v>
      </c>
      <c r="AI1637" s="4">
        <v>57</v>
      </c>
      <c r="AJ1637" s="4">
        <v>3</v>
      </c>
      <c r="AK1637" s="4">
        <v>11</v>
      </c>
      <c r="AL1637" s="4">
        <v>34</v>
      </c>
      <c r="AM1637" s="4">
        <v>35</v>
      </c>
      <c r="AN1637" s="4">
        <v>0</v>
      </c>
      <c r="AO1637" s="4">
        <v>0</v>
      </c>
      <c r="AP1637" s="4">
        <v>4</v>
      </c>
      <c r="AQ1637" s="4">
        <v>13</v>
      </c>
      <c r="AR1637" s="3" t="s">
        <v>64</v>
      </c>
      <c r="AS1637" s="3" t="s">
        <v>64</v>
      </c>
      <c r="AT1637" s="3" t="s">
        <v>64</v>
      </c>
      <c r="AV1637" s="6" t="str">
        <f t="shared" si="46"/>
        <v>Catalog Record</v>
      </c>
      <c r="AW1637" s="6" t="str">
        <f t="shared" si="47"/>
        <v>WorldCat Record</v>
      </c>
      <c r="AX1637" s="3" t="s">
        <v>16527</v>
      </c>
      <c r="AY1637" s="3" t="s">
        <v>16528</v>
      </c>
      <c r="AZ1637" s="3" t="s">
        <v>16529</v>
      </c>
      <c r="BA1637" s="3" t="s">
        <v>16529</v>
      </c>
      <c r="BB1637" s="3" t="s">
        <v>16539</v>
      </c>
      <c r="BC1637" s="3" t="s">
        <v>77</v>
      </c>
      <c r="BD1637" s="3" t="s">
        <v>165</v>
      </c>
      <c r="BE1637" s="3" t="s">
        <v>16531</v>
      </c>
      <c r="BF1637" s="3" t="s">
        <v>16539</v>
      </c>
      <c r="BG1637" s="3" t="s">
        <v>16540</v>
      </c>
      <c r="BH1637">
        <f t="shared" si="45"/>
        <v>0</v>
      </c>
    </row>
    <row r="1638" spans="1:60" ht="72.5" x14ac:dyDescent="0.35">
      <c r="A1638" s="2" t="s">
        <v>59</v>
      </c>
      <c r="B1638" s="2" t="s">
        <v>60</v>
      </c>
      <c r="C1638" s="2" t="s">
        <v>16522</v>
      </c>
      <c r="D1638" s="2" t="s">
        <v>16523</v>
      </c>
      <c r="E1638" s="2" t="s">
        <v>16524</v>
      </c>
      <c r="F1638" s="3" t="s">
        <v>519</v>
      </c>
      <c r="G1638" s="3" t="s">
        <v>128</v>
      </c>
      <c r="I1638" s="3" t="s">
        <v>64</v>
      </c>
      <c r="J1638" s="3" t="s">
        <v>64</v>
      </c>
      <c r="K1638" s="3" t="s">
        <v>65</v>
      </c>
      <c r="M1638" s="2" t="s">
        <v>16525</v>
      </c>
      <c r="N1638" s="3" t="s">
        <v>190</v>
      </c>
      <c r="P1638" s="3" t="s">
        <v>102</v>
      </c>
      <c r="Q1638" s="2" t="s">
        <v>16526</v>
      </c>
      <c r="R1638" s="3" t="s">
        <v>70</v>
      </c>
      <c r="S1638" s="4">
        <v>2</v>
      </c>
      <c r="T1638" s="4">
        <v>14</v>
      </c>
      <c r="V1638" s="5" t="s">
        <v>3854</v>
      </c>
      <c r="W1638" s="5" t="s">
        <v>72</v>
      </c>
      <c r="X1638" s="5" t="s">
        <v>72</v>
      </c>
      <c r="Y1638" s="4">
        <v>310</v>
      </c>
      <c r="Z1638" s="4">
        <v>7</v>
      </c>
      <c r="AA1638" s="4">
        <v>19</v>
      </c>
      <c r="AB1638" s="4">
        <v>1</v>
      </c>
      <c r="AC1638" s="4">
        <v>5</v>
      </c>
      <c r="AD1638" s="4">
        <v>58</v>
      </c>
      <c r="AE1638" s="4">
        <v>69</v>
      </c>
      <c r="AF1638" s="4">
        <v>0</v>
      </c>
      <c r="AG1638" s="4">
        <v>2</v>
      </c>
      <c r="AH1638" s="4">
        <v>55</v>
      </c>
      <c r="AI1638" s="4">
        <v>57</v>
      </c>
      <c r="AJ1638" s="4">
        <v>3</v>
      </c>
      <c r="AK1638" s="4">
        <v>11</v>
      </c>
      <c r="AL1638" s="4">
        <v>34</v>
      </c>
      <c r="AM1638" s="4">
        <v>35</v>
      </c>
      <c r="AN1638" s="4">
        <v>0</v>
      </c>
      <c r="AO1638" s="4">
        <v>0</v>
      </c>
      <c r="AP1638" s="4">
        <v>4</v>
      </c>
      <c r="AQ1638" s="4">
        <v>13</v>
      </c>
      <c r="AR1638" s="3" t="s">
        <v>64</v>
      </c>
      <c r="AS1638" s="3" t="s">
        <v>64</v>
      </c>
      <c r="AT1638" s="3" t="s">
        <v>64</v>
      </c>
      <c r="AV1638" s="6" t="str">
        <f t="shared" si="46"/>
        <v>Catalog Record</v>
      </c>
      <c r="AW1638" s="6" t="str">
        <f t="shared" si="47"/>
        <v>WorldCat Record</v>
      </c>
      <c r="AX1638" s="3" t="s">
        <v>16527</v>
      </c>
      <c r="AY1638" s="3" t="s">
        <v>16528</v>
      </c>
      <c r="AZ1638" s="3" t="s">
        <v>16529</v>
      </c>
      <c r="BA1638" s="3" t="s">
        <v>16529</v>
      </c>
      <c r="BB1638" s="3" t="s">
        <v>16541</v>
      </c>
      <c r="BC1638" s="3" t="s">
        <v>77</v>
      </c>
      <c r="BD1638" s="3" t="s">
        <v>165</v>
      </c>
      <c r="BE1638" s="3" t="s">
        <v>16531</v>
      </c>
      <c r="BF1638" s="3" t="s">
        <v>16541</v>
      </c>
      <c r="BG1638" s="3" t="s">
        <v>16542</v>
      </c>
      <c r="BH1638">
        <f t="shared" si="45"/>
        <v>0</v>
      </c>
    </row>
    <row r="1639" spans="1:60" ht="58" x14ac:dyDescent="0.35">
      <c r="A1639" s="2" t="s">
        <v>59</v>
      </c>
      <c r="B1639" s="2" t="s">
        <v>60</v>
      </c>
      <c r="C1639" s="2" t="s">
        <v>16543</v>
      </c>
      <c r="D1639" s="2" t="s">
        <v>16544</v>
      </c>
      <c r="E1639" s="2" t="s">
        <v>16545</v>
      </c>
      <c r="G1639" s="3" t="s">
        <v>64</v>
      </c>
      <c r="I1639" s="3" t="s">
        <v>64</v>
      </c>
      <c r="J1639" s="3" t="s">
        <v>64</v>
      </c>
      <c r="K1639" s="3" t="s">
        <v>65</v>
      </c>
      <c r="L1639" s="2" t="s">
        <v>16546</v>
      </c>
      <c r="M1639" s="2" t="s">
        <v>16547</v>
      </c>
      <c r="N1639" s="3" t="s">
        <v>6324</v>
      </c>
      <c r="P1639" s="3" t="s">
        <v>102</v>
      </c>
      <c r="Q1639" s="2" t="s">
        <v>16548</v>
      </c>
      <c r="R1639" s="3" t="s">
        <v>70</v>
      </c>
      <c r="S1639" s="4">
        <v>1</v>
      </c>
      <c r="T1639" s="4">
        <v>1</v>
      </c>
      <c r="U1639" s="5" t="s">
        <v>16549</v>
      </c>
      <c r="V1639" s="5" t="s">
        <v>16549</v>
      </c>
      <c r="W1639" s="5" t="s">
        <v>72</v>
      </c>
      <c r="X1639" s="5" t="s">
        <v>72</v>
      </c>
      <c r="Y1639" s="4">
        <v>428</v>
      </c>
      <c r="Z1639" s="4">
        <v>13</v>
      </c>
      <c r="AA1639" s="4">
        <v>16</v>
      </c>
      <c r="AB1639" s="4">
        <v>1</v>
      </c>
      <c r="AC1639" s="4">
        <v>3</v>
      </c>
      <c r="AD1639" s="4">
        <v>91</v>
      </c>
      <c r="AE1639" s="4">
        <v>93</v>
      </c>
      <c r="AF1639" s="4">
        <v>0</v>
      </c>
      <c r="AG1639" s="4">
        <v>1</v>
      </c>
      <c r="AH1639" s="4">
        <v>85</v>
      </c>
      <c r="AI1639" s="4">
        <v>86</v>
      </c>
      <c r="AJ1639" s="4">
        <v>6</v>
      </c>
      <c r="AK1639" s="4">
        <v>8</v>
      </c>
      <c r="AL1639" s="4">
        <v>48</v>
      </c>
      <c r="AM1639" s="4">
        <v>48</v>
      </c>
      <c r="AN1639" s="4">
        <v>0</v>
      </c>
      <c r="AO1639" s="4">
        <v>0</v>
      </c>
      <c r="AP1639" s="4">
        <v>7</v>
      </c>
      <c r="AQ1639" s="4">
        <v>8</v>
      </c>
      <c r="AR1639" s="3" t="s">
        <v>64</v>
      </c>
      <c r="AS1639" s="3" t="s">
        <v>64</v>
      </c>
      <c r="AT1639" s="3" t="s">
        <v>128</v>
      </c>
      <c r="AU1639" s="6" t="str">
        <f>HYPERLINK("http://catalog.hathitrust.org/Record/001164405","HathiTrust Record")</f>
        <v>HathiTrust Record</v>
      </c>
      <c r="AV1639" s="6" t="str">
        <f>HYPERLINK("http://mcgill.on.worldcat.org/oclc/704187","Catalog Record")</f>
        <v>Catalog Record</v>
      </c>
      <c r="AW1639" s="6" t="str">
        <f>HYPERLINK("http://www.worldcat.org/oclc/704187","WorldCat Record")</f>
        <v>WorldCat Record</v>
      </c>
      <c r="AX1639" s="3" t="s">
        <v>16550</v>
      </c>
      <c r="AY1639" s="3" t="s">
        <v>16551</v>
      </c>
      <c r="AZ1639" s="3" t="s">
        <v>16552</v>
      </c>
      <c r="BA1639" s="3" t="s">
        <v>16552</v>
      </c>
      <c r="BB1639" s="3" t="s">
        <v>16553</v>
      </c>
      <c r="BC1639" s="3" t="s">
        <v>77</v>
      </c>
      <c r="BD1639" s="3" t="s">
        <v>78</v>
      </c>
      <c r="BF1639" s="3" t="s">
        <v>16553</v>
      </c>
      <c r="BG1639" s="3" t="s">
        <v>16554</v>
      </c>
      <c r="BH1639">
        <f t="shared" si="45"/>
        <v>0</v>
      </c>
    </row>
    <row r="1640" spans="1:60" ht="58" x14ac:dyDescent="0.35">
      <c r="A1640" s="2" t="s">
        <v>59</v>
      </c>
      <c r="B1640" s="2" t="s">
        <v>60</v>
      </c>
      <c r="C1640" s="2" t="s">
        <v>16555</v>
      </c>
      <c r="D1640" s="2" t="s">
        <v>16556</v>
      </c>
      <c r="E1640" s="2" t="s">
        <v>16557</v>
      </c>
      <c r="G1640" s="3" t="s">
        <v>64</v>
      </c>
      <c r="I1640" s="3" t="s">
        <v>64</v>
      </c>
      <c r="J1640" s="3" t="s">
        <v>64</v>
      </c>
      <c r="K1640" s="3" t="s">
        <v>65</v>
      </c>
      <c r="M1640" s="2" t="s">
        <v>16558</v>
      </c>
      <c r="N1640" s="3" t="s">
        <v>3584</v>
      </c>
      <c r="P1640" s="3" t="s">
        <v>102</v>
      </c>
      <c r="Q1640" s="2" t="s">
        <v>16559</v>
      </c>
      <c r="R1640" s="3" t="s">
        <v>70</v>
      </c>
      <c r="S1640" s="4">
        <v>3</v>
      </c>
      <c r="T1640" s="4">
        <v>3</v>
      </c>
      <c r="U1640" s="5" t="s">
        <v>10460</v>
      </c>
      <c r="V1640" s="5" t="s">
        <v>10460</v>
      </c>
      <c r="W1640" s="5" t="s">
        <v>72</v>
      </c>
      <c r="X1640" s="5" t="s">
        <v>72</v>
      </c>
      <c r="Y1640" s="4">
        <v>423</v>
      </c>
      <c r="Z1640" s="4">
        <v>20</v>
      </c>
      <c r="AA1640" s="4">
        <v>22</v>
      </c>
      <c r="AB1640" s="4">
        <v>2</v>
      </c>
      <c r="AC1640" s="4">
        <v>4</v>
      </c>
      <c r="AD1640" s="4">
        <v>95</v>
      </c>
      <c r="AE1640" s="4">
        <v>97</v>
      </c>
      <c r="AF1640" s="4">
        <v>1</v>
      </c>
      <c r="AG1640" s="4">
        <v>3</v>
      </c>
      <c r="AH1640" s="4">
        <v>84</v>
      </c>
      <c r="AI1640" s="4">
        <v>85</v>
      </c>
      <c r="AJ1640" s="4">
        <v>13</v>
      </c>
      <c r="AK1640" s="4">
        <v>15</v>
      </c>
      <c r="AL1640" s="4">
        <v>47</v>
      </c>
      <c r="AM1640" s="4">
        <v>47</v>
      </c>
      <c r="AN1640" s="4">
        <v>0</v>
      </c>
      <c r="AO1640" s="4">
        <v>0</v>
      </c>
      <c r="AP1640" s="4">
        <v>15</v>
      </c>
      <c r="AQ1640" s="4">
        <v>16</v>
      </c>
      <c r="AR1640" s="3" t="s">
        <v>64</v>
      </c>
      <c r="AS1640" s="3" t="s">
        <v>64</v>
      </c>
      <c r="AT1640" s="3" t="s">
        <v>128</v>
      </c>
      <c r="AU1640" s="6" t="str">
        <f>HYPERLINK("http://catalog.hathitrust.org/Record/000251864","HathiTrust Record")</f>
        <v>HathiTrust Record</v>
      </c>
      <c r="AV1640" s="6" t="str">
        <f>HYPERLINK("http://mcgill.on.worldcat.org/oclc/3017151","Catalog Record")</f>
        <v>Catalog Record</v>
      </c>
      <c r="AW1640" s="6" t="str">
        <f>HYPERLINK("http://www.worldcat.org/oclc/3017151","WorldCat Record")</f>
        <v>WorldCat Record</v>
      </c>
      <c r="AX1640" s="3" t="s">
        <v>16560</v>
      </c>
      <c r="AY1640" s="3" t="s">
        <v>16561</v>
      </c>
      <c r="AZ1640" s="3" t="s">
        <v>16562</v>
      </c>
      <c r="BA1640" s="3" t="s">
        <v>16562</v>
      </c>
      <c r="BB1640" s="3" t="s">
        <v>16563</v>
      </c>
      <c r="BC1640" s="3" t="s">
        <v>77</v>
      </c>
      <c r="BD1640" s="3" t="s">
        <v>78</v>
      </c>
      <c r="BE1640" s="3" t="s">
        <v>16564</v>
      </c>
      <c r="BF1640" s="3" t="s">
        <v>16563</v>
      </c>
      <c r="BG1640" s="3" t="s">
        <v>16565</v>
      </c>
      <c r="BH1640">
        <f t="shared" si="45"/>
        <v>0</v>
      </c>
    </row>
    <row r="1641" spans="1:60" ht="58" x14ac:dyDescent="0.35">
      <c r="A1641" s="2" t="s">
        <v>59</v>
      </c>
      <c r="B1641" s="2" t="s">
        <v>60</v>
      </c>
      <c r="C1641" s="2" t="s">
        <v>16566</v>
      </c>
      <c r="D1641" s="2" t="s">
        <v>16567</v>
      </c>
      <c r="E1641" s="2" t="s">
        <v>16568</v>
      </c>
      <c r="F1641" s="3" t="s">
        <v>5259</v>
      </c>
      <c r="G1641" s="3" t="s">
        <v>128</v>
      </c>
      <c r="I1641" s="3" t="s">
        <v>64</v>
      </c>
      <c r="J1641" s="3" t="s">
        <v>128</v>
      </c>
      <c r="K1641" s="3" t="s">
        <v>65</v>
      </c>
      <c r="M1641" s="2" t="s">
        <v>16569</v>
      </c>
      <c r="N1641" s="3" t="s">
        <v>266</v>
      </c>
      <c r="P1641" s="3" t="s">
        <v>102</v>
      </c>
      <c r="R1641" s="3" t="s">
        <v>70</v>
      </c>
      <c r="S1641" s="4">
        <v>8</v>
      </c>
      <c r="T1641" s="4">
        <v>8</v>
      </c>
      <c r="U1641" s="5" t="s">
        <v>14520</v>
      </c>
      <c r="V1641" s="5" t="s">
        <v>14520</v>
      </c>
      <c r="W1641" s="5" t="s">
        <v>72</v>
      </c>
      <c r="X1641" s="5" t="s">
        <v>72</v>
      </c>
      <c r="Y1641" s="4">
        <v>336</v>
      </c>
      <c r="Z1641" s="4">
        <v>17</v>
      </c>
      <c r="AA1641" s="4">
        <v>20</v>
      </c>
      <c r="AB1641" s="4">
        <v>1</v>
      </c>
      <c r="AC1641" s="4">
        <v>2</v>
      </c>
      <c r="AD1641" s="4">
        <v>89</v>
      </c>
      <c r="AE1641" s="4">
        <v>94</v>
      </c>
      <c r="AF1641" s="4">
        <v>0</v>
      </c>
      <c r="AG1641" s="4">
        <v>1</v>
      </c>
      <c r="AH1641" s="4">
        <v>80</v>
      </c>
      <c r="AI1641" s="4">
        <v>84</v>
      </c>
      <c r="AJ1641" s="4">
        <v>9</v>
      </c>
      <c r="AK1641" s="4">
        <v>12</v>
      </c>
      <c r="AL1641" s="4">
        <v>47</v>
      </c>
      <c r="AM1641" s="4">
        <v>49</v>
      </c>
      <c r="AN1641" s="4">
        <v>0</v>
      </c>
      <c r="AO1641" s="4">
        <v>0</v>
      </c>
      <c r="AP1641" s="4">
        <v>10</v>
      </c>
      <c r="AQ1641" s="4">
        <v>13</v>
      </c>
      <c r="AR1641" s="3" t="s">
        <v>64</v>
      </c>
      <c r="AS1641" s="3" t="s">
        <v>64</v>
      </c>
      <c r="AT1641" s="3" t="s">
        <v>64</v>
      </c>
      <c r="AV1641" s="6" t="str">
        <f>HYPERLINK("http://mcgill.on.worldcat.org/oclc/735566","Catalog Record")</f>
        <v>Catalog Record</v>
      </c>
      <c r="AW1641" s="6" t="str">
        <f>HYPERLINK("http://www.worldcat.org/oclc/735566","WorldCat Record")</f>
        <v>WorldCat Record</v>
      </c>
      <c r="AX1641" s="3" t="s">
        <v>16570</v>
      </c>
      <c r="AY1641" s="3" t="s">
        <v>16571</v>
      </c>
      <c r="AZ1641" s="3" t="s">
        <v>16572</v>
      </c>
      <c r="BA1641" s="3" t="s">
        <v>16572</v>
      </c>
      <c r="BB1641" s="3" t="s">
        <v>16573</v>
      </c>
      <c r="BC1641" s="3" t="s">
        <v>77</v>
      </c>
      <c r="BD1641" s="3" t="s">
        <v>78</v>
      </c>
      <c r="BF1641" s="3" t="s">
        <v>16573</v>
      </c>
      <c r="BG1641" s="3" t="s">
        <v>16574</v>
      </c>
      <c r="BH1641">
        <f t="shared" si="45"/>
        <v>0</v>
      </c>
    </row>
    <row r="1642" spans="1:60" ht="72.5" x14ac:dyDescent="0.35">
      <c r="A1642" s="2" t="s">
        <v>59</v>
      </c>
      <c r="B1642" s="2" t="s">
        <v>60</v>
      </c>
      <c r="C1642" s="2" t="s">
        <v>16575</v>
      </c>
      <c r="D1642" s="2" t="s">
        <v>16576</v>
      </c>
      <c r="E1642" s="2" t="s">
        <v>5247</v>
      </c>
      <c r="F1642" s="3" t="s">
        <v>16577</v>
      </c>
      <c r="G1642" s="3" t="s">
        <v>64</v>
      </c>
      <c r="I1642" s="3" t="s">
        <v>128</v>
      </c>
      <c r="J1642" s="3" t="s">
        <v>64</v>
      </c>
      <c r="K1642" s="3" t="s">
        <v>65</v>
      </c>
      <c r="L1642" s="2" t="s">
        <v>5248</v>
      </c>
      <c r="M1642" s="2" t="s">
        <v>5249</v>
      </c>
      <c r="N1642" s="3" t="s">
        <v>315</v>
      </c>
      <c r="P1642" s="3" t="s">
        <v>102</v>
      </c>
      <c r="Q1642" s="2" t="s">
        <v>5250</v>
      </c>
      <c r="R1642" s="3" t="s">
        <v>70</v>
      </c>
      <c r="S1642" s="4">
        <v>5</v>
      </c>
      <c r="T1642" s="4">
        <v>25</v>
      </c>
      <c r="U1642" s="5" t="s">
        <v>16578</v>
      </c>
      <c r="V1642" s="5" t="s">
        <v>133</v>
      </c>
      <c r="W1642" s="5" t="s">
        <v>72</v>
      </c>
      <c r="X1642" s="5" t="s">
        <v>72</v>
      </c>
      <c r="Y1642" s="4">
        <v>103</v>
      </c>
      <c r="Z1642" s="4">
        <v>45</v>
      </c>
      <c r="AA1642" s="4">
        <v>49</v>
      </c>
      <c r="AB1642" s="4">
        <v>3</v>
      </c>
      <c r="AC1642" s="4">
        <v>6</v>
      </c>
      <c r="AD1642" s="4">
        <v>54</v>
      </c>
      <c r="AE1642" s="4">
        <v>57</v>
      </c>
      <c r="AF1642" s="4">
        <v>1</v>
      </c>
      <c r="AG1642" s="4">
        <v>4</v>
      </c>
      <c r="AH1642" s="4">
        <v>40</v>
      </c>
      <c r="AI1642" s="4">
        <v>41</v>
      </c>
      <c r="AJ1642" s="4">
        <v>19</v>
      </c>
      <c r="AK1642" s="4">
        <v>22</v>
      </c>
      <c r="AL1642" s="4">
        <v>25</v>
      </c>
      <c r="AM1642" s="4">
        <v>25</v>
      </c>
      <c r="AN1642" s="4">
        <v>0</v>
      </c>
      <c r="AO1642" s="4">
        <v>0</v>
      </c>
      <c r="AP1642" s="4">
        <v>21</v>
      </c>
      <c r="AQ1642" s="4">
        <v>23</v>
      </c>
      <c r="AR1642" s="3" t="s">
        <v>128</v>
      </c>
      <c r="AS1642" s="3" t="s">
        <v>64</v>
      </c>
      <c r="AT1642" s="3" t="s">
        <v>128</v>
      </c>
      <c r="AU1642" s="6" t="str">
        <f>HYPERLINK("http://catalog.hathitrust.org/Record/001684110","HathiTrust Record")</f>
        <v>HathiTrust Record</v>
      </c>
      <c r="AV1642" s="6" t="str">
        <f>HYPERLINK("http://mcgill.on.worldcat.org/oclc/92968","Catalog Record")</f>
        <v>Catalog Record</v>
      </c>
      <c r="AW1642" s="6" t="str">
        <f>HYPERLINK("http://www.worldcat.org/oclc/92968","WorldCat Record")</f>
        <v>WorldCat Record</v>
      </c>
      <c r="AX1642" s="3" t="s">
        <v>5251</v>
      </c>
      <c r="AY1642" s="3" t="s">
        <v>5252</v>
      </c>
      <c r="AZ1642" s="3" t="s">
        <v>5253</v>
      </c>
      <c r="BA1642" s="3" t="s">
        <v>5253</v>
      </c>
      <c r="BB1642" s="3" t="s">
        <v>16579</v>
      </c>
      <c r="BC1642" s="3" t="s">
        <v>77</v>
      </c>
      <c r="BD1642" s="3" t="s">
        <v>78</v>
      </c>
      <c r="BF1642" s="3" t="s">
        <v>16579</v>
      </c>
      <c r="BG1642" s="3" t="s">
        <v>16580</v>
      </c>
      <c r="BH1642">
        <f t="shared" si="45"/>
        <v>0</v>
      </c>
    </row>
    <row r="1643" spans="1:60" ht="58" x14ac:dyDescent="0.35">
      <c r="A1643" s="2" t="s">
        <v>59</v>
      </c>
      <c r="B1643" s="2" t="s">
        <v>60</v>
      </c>
      <c r="C1643" s="2" t="s">
        <v>16581</v>
      </c>
      <c r="D1643" s="2" t="s">
        <v>16582</v>
      </c>
      <c r="E1643" s="2" t="s">
        <v>16583</v>
      </c>
      <c r="G1643" s="3" t="s">
        <v>64</v>
      </c>
      <c r="I1643" s="3" t="s">
        <v>128</v>
      </c>
      <c r="J1643" s="3" t="s">
        <v>64</v>
      </c>
      <c r="K1643" s="3" t="s">
        <v>65</v>
      </c>
      <c r="L1643" s="2" t="s">
        <v>16584</v>
      </c>
      <c r="M1643" s="2" t="s">
        <v>16585</v>
      </c>
      <c r="N1643" s="3" t="s">
        <v>5986</v>
      </c>
      <c r="P1643" s="3" t="s">
        <v>102</v>
      </c>
      <c r="R1643" s="3" t="s">
        <v>70</v>
      </c>
      <c r="S1643" s="4">
        <v>5</v>
      </c>
      <c r="T1643" s="4">
        <v>5</v>
      </c>
      <c r="U1643" s="5" t="s">
        <v>380</v>
      </c>
      <c r="V1643" s="5" t="s">
        <v>380</v>
      </c>
      <c r="W1643" s="5" t="s">
        <v>72</v>
      </c>
      <c r="X1643" s="5" t="s">
        <v>72</v>
      </c>
      <c r="Y1643" s="4">
        <v>237</v>
      </c>
      <c r="Z1643" s="4">
        <v>13</v>
      </c>
      <c r="AA1643" s="4">
        <v>21</v>
      </c>
      <c r="AB1643" s="4">
        <v>1</v>
      </c>
      <c r="AC1643" s="4">
        <v>3</v>
      </c>
      <c r="AD1643" s="4">
        <v>73</v>
      </c>
      <c r="AE1643" s="4">
        <v>82</v>
      </c>
      <c r="AF1643" s="4">
        <v>0</v>
      </c>
      <c r="AG1643" s="4">
        <v>2</v>
      </c>
      <c r="AH1643" s="4">
        <v>65</v>
      </c>
      <c r="AI1643" s="4">
        <v>70</v>
      </c>
      <c r="AJ1643" s="4">
        <v>7</v>
      </c>
      <c r="AK1643" s="4">
        <v>13</v>
      </c>
      <c r="AL1643" s="4">
        <v>41</v>
      </c>
      <c r="AM1643" s="4">
        <v>42</v>
      </c>
      <c r="AN1643" s="4">
        <v>0</v>
      </c>
      <c r="AO1643" s="4">
        <v>0</v>
      </c>
      <c r="AP1643" s="4">
        <v>10</v>
      </c>
      <c r="AQ1643" s="4">
        <v>15</v>
      </c>
      <c r="AR1643" s="3" t="s">
        <v>64</v>
      </c>
      <c r="AS1643" s="3" t="s">
        <v>64</v>
      </c>
      <c r="AT1643" s="3" t="s">
        <v>128</v>
      </c>
      <c r="AU1643" s="6" t="str">
        <f>HYPERLINK("http://catalog.hathitrust.org/Record/000961783","HathiTrust Record")</f>
        <v>HathiTrust Record</v>
      </c>
      <c r="AV1643" s="6" t="str">
        <f>HYPERLINK("http://mcgill.on.worldcat.org/oclc/575028","Catalog Record")</f>
        <v>Catalog Record</v>
      </c>
      <c r="AW1643" s="6" t="str">
        <f>HYPERLINK("http://www.worldcat.org/oclc/575028","WorldCat Record")</f>
        <v>WorldCat Record</v>
      </c>
      <c r="AX1643" s="3" t="s">
        <v>16586</v>
      </c>
      <c r="AY1643" s="3" t="s">
        <v>16587</v>
      </c>
      <c r="AZ1643" s="3" t="s">
        <v>16588</v>
      </c>
      <c r="BA1643" s="3" t="s">
        <v>16588</v>
      </c>
      <c r="BB1643" s="3" t="s">
        <v>16589</v>
      </c>
      <c r="BC1643" s="3" t="s">
        <v>77</v>
      </c>
      <c r="BD1643" s="3" t="s">
        <v>78</v>
      </c>
      <c r="BF1643" s="3" t="s">
        <v>16589</v>
      </c>
      <c r="BG1643" s="3" t="s">
        <v>16590</v>
      </c>
      <c r="BH1643">
        <f t="shared" si="45"/>
        <v>0</v>
      </c>
    </row>
    <row r="1644" spans="1:60" ht="58" x14ac:dyDescent="0.35">
      <c r="A1644" s="2" t="s">
        <v>59</v>
      </c>
      <c r="B1644" s="2" t="s">
        <v>60</v>
      </c>
      <c r="C1644" s="2" t="s">
        <v>16591</v>
      </c>
      <c r="D1644" s="2" t="s">
        <v>16592</v>
      </c>
      <c r="E1644" s="2" t="s">
        <v>16593</v>
      </c>
      <c r="G1644" s="3" t="s">
        <v>64</v>
      </c>
      <c r="I1644" s="3" t="s">
        <v>64</v>
      </c>
      <c r="J1644" s="3" t="s">
        <v>64</v>
      </c>
      <c r="K1644" s="3" t="s">
        <v>65</v>
      </c>
      <c r="L1644" s="2" t="s">
        <v>16594</v>
      </c>
      <c r="M1644" s="2" t="s">
        <v>16595</v>
      </c>
      <c r="N1644" s="3" t="s">
        <v>1047</v>
      </c>
      <c r="P1644" s="3" t="s">
        <v>102</v>
      </c>
      <c r="Q1644" s="2" t="s">
        <v>16596</v>
      </c>
      <c r="R1644" s="3" t="s">
        <v>70</v>
      </c>
      <c r="S1644" s="4">
        <v>11</v>
      </c>
      <c r="T1644" s="4">
        <v>11</v>
      </c>
      <c r="U1644" s="5" t="s">
        <v>16597</v>
      </c>
      <c r="V1644" s="5" t="s">
        <v>16597</v>
      </c>
      <c r="W1644" s="5" t="s">
        <v>72</v>
      </c>
      <c r="X1644" s="5" t="s">
        <v>72</v>
      </c>
      <c r="Y1644" s="4">
        <v>318</v>
      </c>
      <c r="Z1644" s="4">
        <v>19</v>
      </c>
      <c r="AA1644" s="4">
        <v>21</v>
      </c>
      <c r="AB1644" s="4">
        <v>1</v>
      </c>
      <c r="AC1644" s="4">
        <v>3</v>
      </c>
      <c r="AD1644" s="4">
        <v>80</v>
      </c>
      <c r="AE1644" s="4">
        <v>82</v>
      </c>
      <c r="AF1644" s="4">
        <v>0</v>
      </c>
      <c r="AG1644" s="4">
        <v>2</v>
      </c>
      <c r="AH1644" s="4">
        <v>71</v>
      </c>
      <c r="AI1644" s="4">
        <v>71</v>
      </c>
      <c r="AJ1644" s="4">
        <v>13</v>
      </c>
      <c r="AK1644" s="4">
        <v>15</v>
      </c>
      <c r="AL1644" s="4">
        <v>40</v>
      </c>
      <c r="AM1644" s="4">
        <v>40</v>
      </c>
      <c r="AN1644" s="4">
        <v>0</v>
      </c>
      <c r="AO1644" s="4">
        <v>0</v>
      </c>
      <c r="AP1644" s="4">
        <v>13</v>
      </c>
      <c r="AQ1644" s="4">
        <v>14</v>
      </c>
      <c r="AR1644" s="3" t="s">
        <v>64</v>
      </c>
      <c r="AS1644" s="3" t="s">
        <v>64</v>
      </c>
      <c r="AT1644" s="3" t="s">
        <v>128</v>
      </c>
      <c r="AU1644" s="6" t="str">
        <f>HYPERLINK("http://catalog.hathitrust.org/Record/000148828","HathiTrust Record")</f>
        <v>HathiTrust Record</v>
      </c>
      <c r="AV1644" s="6" t="str">
        <f>HYPERLINK("http://mcgill.on.worldcat.org/oclc/8345697","Catalog Record")</f>
        <v>Catalog Record</v>
      </c>
      <c r="AW1644" s="6" t="str">
        <f>HYPERLINK("http://www.worldcat.org/oclc/8345697","WorldCat Record")</f>
        <v>WorldCat Record</v>
      </c>
      <c r="AX1644" s="3" t="s">
        <v>16598</v>
      </c>
      <c r="AY1644" s="3" t="s">
        <v>16599</v>
      </c>
      <c r="AZ1644" s="3" t="s">
        <v>16600</v>
      </c>
      <c r="BA1644" s="3" t="s">
        <v>16600</v>
      </c>
      <c r="BB1644" s="3" t="s">
        <v>16601</v>
      </c>
      <c r="BC1644" s="3" t="s">
        <v>77</v>
      </c>
      <c r="BD1644" s="3" t="s">
        <v>78</v>
      </c>
      <c r="BE1644" s="3" t="s">
        <v>16602</v>
      </c>
      <c r="BF1644" s="3" t="s">
        <v>16601</v>
      </c>
      <c r="BG1644" s="3" t="s">
        <v>16603</v>
      </c>
      <c r="BH1644">
        <f t="shared" si="45"/>
        <v>0</v>
      </c>
    </row>
    <row r="1645" spans="1:60" ht="58" x14ac:dyDescent="0.35">
      <c r="A1645" s="2" t="s">
        <v>59</v>
      </c>
      <c r="B1645" s="2" t="s">
        <v>60</v>
      </c>
      <c r="C1645" s="2" t="s">
        <v>16604</v>
      </c>
      <c r="D1645" s="2" t="s">
        <v>16605</v>
      </c>
      <c r="E1645" s="2" t="s">
        <v>16606</v>
      </c>
      <c r="G1645" s="3" t="s">
        <v>64</v>
      </c>
      <c r="I1645" s="3" t="s">
        <v>64</v>
      </c>
      <c r="J1645" s="3" t="s">
        <v>64</v>
      </c>
      <c r="K1645" s="3" t="s">
        <v>65</v>
      </c>
      <c r="L1645" s="2" t="s">
        <v>16607</v>
      </c>
      <c r="M1645" s="2" t="s">
        <v>8991</v>
      </c>
      <c r="N1645" s="3" t="s">
        <v>171</v>
      </c>
      <c r="P1645" s="3" t="s">
        <v>102</v>
      </c>
      <c r="Q1645" s="2" t="s">
        <v>8981</v>
      </c>
      <c r="R1645" s="3" t="s">
        <v>70</v>
      </c>
      <c r="S1645" s="4">
        <v>4</v>
      </c>
      <c r="T1645" s="4">
        <v>4</v>
      </c>
      <c r="U1645" s="5" t="s">
        <v>16608</v>
      </c>
      <c r="V1645" s="5" t="s">
        <v>16608</v>
      </c>
      <c r="W1645" s="5" t="s">
        <v>72</v>
      </c>
      <c r="X1645" s="5" t="s">
        <v>72</v>
      </c>
      <c r="Y1645" s="4">
        <v>127</v>
      </c>
      <c r="Z1645" s="4">
        <v>10</v>
      </c>
      <c r="AA1645" s="4">
        <v>15</v>
      </c>
      <c r="AB1645" s="4">
        <v>2</v>
      </c>
      <c r="AC1645" s="4">
        <v>6</v>
      </c>
      <c r="AD1645" s="4">
        <v>31</v>
      </c>
      <c r="AE1645" s="4">
        <v>40</v>
      </c>
      <c r="AF1645" s="4">
        <v>0</v>
      </c>
      <c r="AG1645" s="4">
        <v>2</v>
      </c>
      <c r="AH1645" s="4">
        <v>27</v>
      </c>
      <c r="AI1645" s="4">
        <v>35</v>
      </c>
      <c r="AJ1645" s="4">
        <v>6</v>
      </c>
      <c r="AK1645" s="4">
        <v>8</v>
      </c>
      <c r="AL1645" s="4">
        <v>16</v>
      </c>
      <c r="AM1645" s="4">
        <v>20</v>
      </c>
      <c r="AN1645" s="4">
        <v>0</v>
      </c>
      <c r="AO1645" s="4">
        <v>0</v>
      </c>
      <c r="AP1645" s="4">
        <v>7</v>
      </c>
      <c r="AQ1645" s="4">
        <v>8</v>
      </c>
      <c r="AR1645" s="3" t="s">
        <v>64</v>
      </c>
      <c r="AS1645" s="3" t="s">
        <v>64</v>
      </c>
      <c r="AT1645" s="3" t="s">
        <v>128</v>
      </c>
      <c r="AU1645" s="6" t="str">
        <f>HYPERLINK("http://catalog.hathitrust.org/Record/005376010","HathiTrust Record")</f>
        <v>HathiTrust Record</v>
      </c>
      <c r="AV1645" s="6" t="str">
        <f>HYPERLINK("http://mcgill.on.worldcat.org/oclc/65201390","Catalog Record")</f>
        <v>Catalog Record</v>
      </c>
      <c r="AW1645" s="6" t="str">
        <f>HYPERLINK("http://www.worldcat.org/oclc/65201390","WorldCat Record")</f>
        <v>WorldCat Record</v>
      </c>
      <c r="AX1645" s="3" t="s">
        <v>16609</v>
      </c>
      <c r="AY1645" s="3" t="s">
        <v>16610</v>
      </c>
      <c r="AZ1645" s="3" t="s">
        <v>16611</v>
      </c>
      <c r="BA1645" s="3" t="s">
        <v>16611</v>
      </c>
      <c r="BB1645" s="3" t="s">
        <v>16612</v>
      </c>
      <c r="BC1645" s="3" t="s">
        <v>77</v>
      </c>
      <c r="BD1645" s="3" t="s">
        <v>78</v>
      </c>
      <c r="BE1645" s="3" t="s">
        <v>16613</v>
      </c>
      <c r="BF1645" s="3" t="s">
        <v>16612</v>
      </c>
      <c r="BG1645" s="3" t="s">
        <v>16614</v>
      </c>
      <c r="BH1645">
        <f t="shared" si="45"/>
        <v>0</v>
      </c>
    </row>
    <row r="1646" spans="1:60" ht="58" x14ac:dyDescent="0.35">
      <c r="A1646" s="2" t="s">
        <v>59</v>
      </c>
      <c r="B1646" s="2" t="s">
        <v>60</v>
      </c>
      <c r="C1646" s="2" t="s">
        <v>16615</v>
      </c>
      <c r="D1646" s="2" t="s">
        <v>16616</v>
      </c>
      <c r="E1646" s="2" t="s">
        <v>16617</v>
      </c>
      <c r="G1646" s="3" t="s">
        <v>64</v>
      </c>
      <c r="I1646" s="3" t="s">
        <v>64</v>
      </c>
      <c r="J1646" s="3" t="s">
        <v>64</v>
      </c>
      <c r="K1646" s="3" t="s">
        <v>65</v>
      </c>
      <c r="L1646" s="2" t="s">
        <v>16618</v>
      </c>
      <c r="M1646" s="2" t="s">
        <v>16173</v>
      </c>
      <c r="N1646" s="3" t="s">
        <v>3584</v>
      </c>
      <c r="O1646" s="2" t="s">
        <v>9994</v>
      </c>
      <c r="P1646" s="3" t="s">
        <v>102</v>
      </c>
      <c r="R1646" s="3" t="s">
        <v>70</v>
      </c>
      <c r="S1646" s="4">
        <v>14</v>
      </c>
      <c r="T1646" s="4">
        <v>14</v>
      </c>
      <c r="U1646" s="5" t="s">
        <v>3560</v>
      </c>
      <c r="V1646" s="5" t="s">
        <v>3560</v>
      </c>
      <c r="W1646" s="5" t="s">
        <v>72</v>
      </c>
      <c r="X1646" s="5" t="s">
        <v>72</v>
      </c>
      <c r="Y1646" s="4">
        <v>147</v>
      </c>
      <c r="Z1646" s="4">
        <v>12</v>
      </c>
      <c r="AA1646" s="4">
        <v>14</v>
      </c>
      <c r="AB1646" s="4">
        <v>2</v>
      </c>
      <c r="AC1646" s="4">
        <v>4</v>
      </c>
      <c r="AD1646" s="4">
        <v>59</v>
      </c>
      <c r="AE1646" s="4">
        <v>61</v>
      </c>
      <c r="AF1646" s="4">
        <v>1</v>
      </c>
      <c r="AG1646" s="4">
        <v>3</v>
      </c>
      <c r="AH1646" s="4">
        <v>53</v>
      </c>
      <c r="AI1646" s="4">
        <v>54</v>
      </c>
      <c r="AJ1646" s="4">
        <v>9</v>
      </c>
      <c r="AK1646" s="4">
        <v>11</v>
      </c>
      <c r="AL1646" s="4">
        <v>28</v>
      </c>
      <c r="AM1646" s="4">
        <v>28</v>
      </c>
      <c r="AN1646" s="4">
        <v>0</v>
      </c>
      <c r="AO1646" s="4">
        <v>0</v>
      </c>
      <c r="AP1646" s="4">
        <v>7</v>
      </c>
      <c r="AQ1646" s="4">
        <v>8</v>
      </c>
      <c r="AR1646" s="3" t="s">
        <v>64</v>
      </c>
      <c r="AS1646" s="3" t="s">
        <v>64</v>
      </c>
      <c r="AT1646" s="3" t="s">
        <v>128</v>
      </c>
      <c r="AU1646" s="6" t="str">
        <f>HYPERLINK("http://catalog.hathitrust.org/Record/000293298","HathiTrust Record")</f>
        <v>HathiTrust Record</v>
      </c>
      <c r="AV1646" s="6" t="str">
        <f>HYPERLINK("http://mcgill.on.worldcat.org/oclc/3166839","Catalog Record")</f>
        <v>Catalog Record</v>
      </c>
      <c r="AW1646" s="6" t="str">
        <f>HYPERLINK("http://www.worldcat.org/oclc/3166839","WorldCat Record")</f>
        <v>WorldCat Record</v>
      </c>
      <c r="AX1646" s="3" t="s">
        <v>16619</v>
      </c>
      <c r="AY1646" s="3" t="s">
        <v>16620</v>
      </c>
      <c r="AZ1646" s="3" t="s">
        <v>16621</v>
      </c>
      <c r="BA1646" s="3" t="s">
        <v>16621</v>
      </c>
      <c r="BB1646" s="3" t="s">
        <v>16622</v>
      </c>
      <c r="BC1646" s="3" t="s">
        <v>77</v>
      </c>
      <c r="BD1646" s="3" t="s">
        <v>78</v>
      </c>
      <c r="BE1646" s="3" t="s">
        <v>16623</v>
      </c>
      <c r="BF1646" s="3" t="s">
        <v>16622</v>
      </c>
      <c r="BG1646" s="3" t="s">
        <v>16624</v>
      </c>
      <c r="BH1646">
        <f t="shared" si="45"/>
        <v>0</v>
      </c>
    </row>
    <row r="1647" spans="1:60" ht="58" x14ac:dyDescent="0.35">
      <c r="A1647" s="2" t="s">
        <v>59</v>
      </c>
      <c r="B1647" s="2" t="s">
        <v>60</v>
      </c>
      <c r="C1647" s="2" t="s">
        <v>16625</v>
      </c>
      <c r="D1647" s="2" t="s">
        <v>16626</v>
      </c>
      <c r="E1647" s="2" t="s">
        <v>16627</v>
      </c>
      <c r="G1647" s="3" t="s">
        <v>64</v>
      </c>
      <c r="I1647" s="3" t="s">
        <v>64</v>
      </c>
      <c r="J1647" s="3" t="s">
        <v>64</v>
      </c>
      <c r="K1647" s="3" t="s">
        <v>65</v>
      </c>
      <c r="M1647" s="2" t="s">
        <v>16628</v>
      </c>
      <c r="N1647" s="3" t="s">
        <v>1250</v>
      </c>
      <c r="P1647" s="3" t="s">
        <v>102</v>
      </c>
      <c r="Q1647" s="2" t="s">
        <v>16629</v>
      </c>
      <c r="R1647" s="3" t="s">
        <v>70</v>
      </c>
      <c r="S1647" s="4">
        <v>10</v>
      </c>
      <c r="T1647" s="4">
        <v>10</v>
      </c>
      <c r="U1647" s="5" t="s">
        <v>16630</v>
      </c>
      <c r="V1647" s="5" t="s">
        <v>16630</v>
      </c>
      <c r="W1647" s="5" t="s">
        <v>72</v>
      </c>
      <c r="X1647" s="5" t="s">
        <v>72</v>
      </c>
      <c r="Y1647" s="4">
        <v>208</v>
      </c>
      <c r="Z1647" s="4">
        <v>12</v>
      </c>
      <c r="AA1647" s="4">
        <v>13</v>
      </c>
      <c r="AB1647" s="4">
        <v>1</v>
      </c>
      <c r="AC1647" s="4">
        <v>2</v>
      </c>
      <c r="AD1647" s="4">
        <v>43</v>
      </c>
      <c r="AE1647" s="4">
        <v>44</v>
      </c>
      <c r="AF1647" s="4">
        <v>0</v>
      </c>
      <c r="AG1647" s="4">
        <v>1</v>
      </c>
      <c r="AH1647" s="4">
        <v>38</v>
      </c>
      <c r="AI1647" s="4">
        <v>38</v>
      </c>
      <c r="AJ1647" s="4">
        <v>9</v>
      </c>
      <c r="AK1647" s="4">
        <v>10</v>
      </c>
      <c r="AL1647" s="4">
        <v>21</v>
      </c>
      <c r="AM1647" s="4">
        <v>21</v>
      </c>
      <c r="AN1647" s="4">
        <v>0</v>
      </c>
      <c r="AO1647" s="4">
        <v>0</v>
      </c>
      <c r="AP1647" s="4">
        <v>9</v>
      </c>
      <c r="AQ1647" s="4">
        <v>9</v>
      </c>
      <c r="AR1647" s="3" t="s">
        <v>64</v>
      </c>
      <c r="AS1647" s="3" t="s">
        <v>64</v>
      </c>
      <c r="AT1647" s="3" t="s">
        <v>128</v>
      </c>
      <c r="AU1647" s="6" t="str">
        <f>HYPERLINK("http://catalog.hathitrust.org/Record/002971483","HathiTrust Record")</f>
        <v>HathiTrust Record</v>
      </c>
      <c r="AV1647" s="6" t="str">
        <f>HYPERLINK("http://mcgill.on.worldcat.org/oclc/31515337","Catalog Record")</f>
        <v>Catalog Record</v>
      </c>
      <c r="AW1647" s="6" t="str">
        <f>HYPERLINK("http://www.worldcat.org/oclc/31515337","WorldCat Record")</f>
        <v>WorldCat Record</v>
      </c>
      <c r="AX1647" s="3" t="s">
        <v>16631</v>
      </c>
      <c r="AY1647" s="3" t="s">
        <v>16632</v>
      </c>
      <c r="AZ1647" s="3" t="s">
        <v>16633</v>
      </c>
      <c r="BA1647" s="3" t="s">
        <v>16633</v>
      </c>
      <c r="BB1647" s="3" t="s">
        <v>16634</v>
      </c>
      <c r="BC1647" s="3" t="s">
        <v>77</v>
      </c>
      <c r="BD1647" s="3" t="s">
        <v>78</v>
      </c>
      <c r="BE1647" s="3" t="s">
        <v>16635</v>
      </c>
      <c r="BF1647" s="3" t="s">
        <v>16634</v>
      </c>
      <c r="BG1647" s="3" t="s">
        <v>16636</v>
      </c>
      <c r="BH1647">
        <f t="shared" si="45"/>
        <v>0</v>
      </c>
    </row>
    <row r="1648" spans="1:60" ht="58" x14ac:dyDescent="0.35">
      <c r="A1648" s="2" t="s">
        <v>59</v>
      </c>
      <c r="B1648" s="2" t="s">
        <v>60</v>
      </c>
      <c r="C1648" s="2" t="s">
        <v>16637</v>
      </c>
      <c r="D1648" s="2" t="s">
        <v>16638</v>
      </c>
      <c r="E1648" s="2" t="s">
        <v>16639</v>
      </c>
      <c r="G1648" s="3" t="s">
        <v>64</v>
      </c>
      <c r="I1648" s="3" t="s">
        <v>64</v>
      </c>
      <c r="J1648" s="3" t="s">
        <v>64</v>
      </c>
      <c r="K1648" s="3" t="s">
        <v>65</v>
      </c>
      <c r="L1648" s="2" t="s">
        <v>16640</v>
      </c>
      <c r="M1648" s="2" t="s">
        <v>15333</v>
      </c>
      <c r="N1648" s="3" t="s">
        <v>67</v>
      </c>
      <c r="O1648" s="2" t="s">
        <v>16641</v>
      </c>
      <c r="P1648" s="3" t="s">
        <v>102</v>
      </c>
      <c r="R1648" s="3" t="s">
        <v>70</v>
      </c>
      <c r="S1648" s="4">
        <v>0</v>
      </c>
      <c r="T1648" s="4">
        <v>0</v>
      </c>
      <c r="W1648" s="5" t="s">
        <v>72</v>
      </c>
      <c r="X1648" s="5" t="s">
        <v>72</v>
      </c>
      <c r="Y1648" s="4">
        <v>29</v>
      </c>
      <c r="Z1648" s="4">
        <v>2</v>
      </c>
      <c r="AA1648" s="4">
        <v>110</v>
      </c>
      <c r="AB1648" s="4">
        <v>1</v>
      </c>
      <c r="AC1648" s="4">
        <v>16</v>
      </c>
      <c r="AD1648" s="4">
        <v>0</v>
      </c>
      <c r="AE1648" s="4">
        <v>128</v>
      </c>
      <c r="AF1648" s="4">
        <v>0</v>
      </c>
      <c r="AG1648" s="4">
        <v>8</v>
      </c>
      <c r="AH1648" s="4">
        <v>0</v>
      </c>
      <c r="AI1648" s="4">
        <v>87</v>
      </c>
      <c r="AJ1648" s="4">
        <v>0</v>
      </c>
      <c r="AK1648" s="4">
        <v>22</v>
      </c>
      <c r="AL1648" s="4">
        <v>0</v>
      </c>
      <c r="AM1648" s="4">
        <v>46</v>
      </c>
      <c r="AN1648" s="4">
        <v>0</v>
      </c>
      <c r="AO1648" s="4">
        <v>0</v>
      </c>
      <c r="AP1648" s="4">
        <v>0</v>
      </c>
      <c r="AQ1648" s="4">
        <v>46</v>
      </c>
      <c r="AR1648" s="3" t="s">
        <v>64</v>
      </c>
      <c r="AS1648" s="3" t="s">
        <v>64</v>
      </c>
      <c r="AT1648" s="3" t="s">
        <v>64</v>
      </c>
      <c r="AV1648" s="6" t="str">
        <f>HYPERLINK("http://mcgill.on.worldcat.org/oclc/890162506","Catalog Record")</f>
        <v>Catalog Record</v>
      </c>
      <c r="AW1648" s="6" t="str">
        <f>HYPERLINK("http://www.worldcat.org/oclc/890162506","WorldCat Record")</f>
        <v>WorldCat Record</v>
      </c>
      <c r="AX1648" s="3" t="s">
        <v>16642</v>
      </c>
      <c r="AY1648" s="3" t="s">
        <v>16643</v>
      </c>
      <c r="AZ1648" s="3" t="s">
        <v>16644</v>
      </c>
      <c r="BA1648" s="3" t="s">
        <v>16644</v>
      </c>
      <c r="BB1648" s="3" t="s">
        <v>16645</v>
      </c>
      <c r="BC1648" s="3" t="s">
        <v>77</v>
      </c>
      <c r="BD1648" s="3" t="s">
        <v>78</v>
      </c>
      <c r="BE1648" s="3" t="s">
        <v>16646</v>
      </c>
      <c r="BF1648" s="3" t="s">
        <v>16645</v>
      </c>
      <c r="BG1648" s="3" t="s">
        <v>16647</v>
      </c>
      <c r="BH1648">
        <f t="shared" si="45"/>
        <v>0</v>
      </c>
    </row>
    <row r="1649" spans="1:60" ht="72.5" x14ac:dyDescent="0.35">
      <c r="A1649" s="2" t="s">
        <v>59</v>
      </c>
      <c r="B1649" s="2" t="s">
        <v>60</v>
      </c>
      <c r="C1649" s="2" t="s">
        <v>16648</v>
      </c>
      <c r="D1649" s="2" t="s">
        <v>16649</v>
      </c>
      <c r="E1649" s="2" t="s">
        <v>16650</v>
      </c>
      <c r="F1649" s="3" t="s">
        <v>16577</v>
      </c>
      <c r="G1649" s="3" t="s">
        <v>64</v>
      </c>
      <c r="I1649" s="3" t="s">
        <v>64</v>
      </c>
      <c r="J1649" s="3" t="s">
        <v>64</v>
      </c>
      <c r="K1649" s="3" t="s">
        <v>65</v>
      </c>
      <c r="L1649" s="2" t="s">
        <v>16651</v>
      </c>
      <c r="M1649" s="2" t="s">
        <v>16652</v>
      </c>
      <c r="N1649" s="3" t="s">
        <v>511</v>
      </c>
      <c r="O1649" s="2" t="s">
        <v>16653</v>
      </c>
      <c r="P1649" s="3" t="s">
        <v>102</v>
      </c>
      <c r="Q1649" s="2" t="s">
        <v>16654</v>
      </c>
      <c r="R1649" s="3" t="s">
        <v>70</v>
      </c>
      <c r="S1649" s="4">
        <v>6</v>
      </c>
      <c r="T1649" s="4">
        <v>6</v>
      </c>
      <c r="U1649" s="5" t="s">
        <v>16655</v>
      </c>
      <c r="V1649" s="5" t="s">
        <v>16655</v>
      </c>
      <c r="W1649" s="5" t="s">
        <v>72</v>
      </c>
      <c r="X1649" s="5" t="s">
        <v>72</v>
      </c>
      <c r="Y1649" s="4">
        <v>69</v>
      </c>
      <c r="Z1649" s="4">
        <v>5</v>
      </c>
      <c r="AA1649" s="4">
        <v>32</v>
      </c>
      <c r="AB1649" s="4">
        <v>1</v>
      </c>
      <c r="AC1649" s="4">
        <v>6</v>
      </c>
      <c r="AD1649" s="4">
        <v>7</v>
      </c>
      <c r="AE1649" s="4">
        <v>58</v>
      </c>
      <c r="AF1649" s="4">
        <v>0</v>
      </c>
      <c r="AG1649" s="4">
        <v>2</v>
      </c>
      <c r="AH1649" s="4">
        <v>5</v>
      </c>
      <c r="AI1649" s="4">
        <v>47</v>
      </c>
      <c r="AJ1649" s="4">
        <v>4</v>
      </c>
      <c r="AK1649" s="4">
        <v>14</v>
      </c>
      <c r="AL1649" s="4">
        <v>3</v>
      </c>
      <c r="AM1649" s="4">
        <v>25</v>
      </c>
      <c r="AN1649" s="4">
        <v>0</v>
      </c>
      <c r="AO1649" s="4">
        <v>0</v>
      </c>
      <c r="AP1649" s="4">
        <v>4</v>
      </c>
      <c r="AQ1649" s="4">
        <v>16</v>
      </c>
      <c r="AR1649" s="3" t="s">
        <v>64</v>
      </c>
      <c r="AS1649" s="3" t="s">
        <v>64</v>
      </c>
      <c r="AT1649" s="3" t="s">
        <v>64</v>
      </c>
      <c r="AV1649" s="6" t="str">
        <f>HYPERLINK("http://mcgill.on.worldcat.org/oclc/519248735","Catalog Record")</f>
        <v>Catalog Record</v>
      </c>
      <c r="AW1649" s="6" t="str">
        <f>HYPERLINK("http://www.worldcat.org/oclc/519248735","WorldCat Record")</f>
        <v>WorldCat Record</v>
      </c>
      <c r="AX1649" s="3" t="s">
        <v>16656</v>
      </c>
      <c r="AY1649" s="3" t="s">
        <v>16657</v>
      </c>
      <c r="AZ1649" s="3" t="s">
        <v>16658</v>
      </c>
      <c r="BA1649" s="3" t="s">
        <v>16658</v>
      </c>
      <c r="BB1649" s="3" t="s">
        <v>16659</v>
      </c>
      <c r="BC1649" s="3" t="s">
        <v>77</v>
      </c>
      <c r="BD1649" s="3" t="s">
        <v>78</v>
      </c>
      <c r="BE1649" s="3" t="s">
        <v>16660</v>
      </c>
      <c r="BF1649" s="3" t="s">
        <v>16659</v>
      </c>
      <c r="BG1649" s="3" t="s">
        <v>16661</v>
      </c>
      <c r="BH1649">
        <f t="shared" si="45"/>
        <v>0</v>
      </c>
    </row>
    <row r="1650" spans="1:60" ht="72.5" x14ac:dyDescent="0.35">
      <c r="A1650" s="2" t="s">
        <v>59</v>
      </c>
      <c r="B1650" s="2" t="s">
        <v>60</v>
      </c>
      <c r="C1650" s="2" t="s">
        <v>16662</v>
      </c>
      <c r="D1650" s="2" t="s">
        <v>16663</v>
      </c>
      <c r="E1650" s="2" t="s">
        <v>16664</v>
      </c>
      <c r="F1650" s="3" t="s">
        <v>16665</v>
      </c>
      <c r="G1650" s="3" t="s">
        <v>64</v>
      </c>
      <c r="I1650" s="3" t="s">
        <v>64</v>
      </c>
      <c r="J1650" s="3" t="s">
        <v>64</v>
      </c>
      <c r="K1650" s="3" t="s">
        <v>65</v>
      </c>
      <c r="L1650" s="2" t="s">
        <v>16666</v>
      </c>
      <c r="M1650" s="2" t="s">
        <v>16667</v>
      </c>
      <c r="N1650" s="3" t="s">
        <v>511</v>
      </c>
      <c r="P1650" s="3" t="s">
        <v>102</v>
      </c>
      <c r="Q1650" s="2" t="s">
        <v>16668</v>
      </c>
      <c r="R1650" s="3" t="s">
        <v>70</v>
      </c>
      <c r="S1650" s="4">
        <v>4</v>
      </c>
      <c r="T1650" s="4">
        <v>4</v>
      </c>
      <c r="U1650" s="5" t="s">
        <v>16669</v>
      </c>
      <c r="V1650" s="5" t="s">
        <v>16669</v>
      </c>
      <c r="W1650" s="5" t="s">
        <v>72</v>
      </c>
      <c r="X1650" s="5" t="s">
        <v>72</v>
      </c>
      <c r="Y1650" s="4">
        <v>73</v>
      </c>
      <c r="Z1650" s="4">
        <v>2</v>
      </c>
      <c r="AA1650" s="4">
        <v>28</v>
      </c>
      <c r="AB1650" s="4">
        <v>1</v>
      </c>
      <c r="AC1650" s="4">
        <v>6</v>
      </c>
      <c r="AD1650" s="4">
        <v>2</v>
      </c>
      <c r="AE1650" s="4">
        <v>52</v>
      </c>
      <c r="AF1650" s="4">
        <v>0</v>
      </c>
      <c r="AG1650" s="4">
        <v>3</v>
      </c>
      <c r="AH1650" s="4">
        <v>2</v>
      </c>
      <c r="AI1650" s="4">
        <v>41</v>
      </c>
      <c r="AJ1650" s="4">
        <v>1</v>
      </c>
      <c r="AK1650" s="4">
        <v>12</v>
      </c>
      <c r="AL1650" s="4">
        <v>1</v>
      </c>
      <c r="AM1650" s="4">
        <v>25</v>
      </c>
      <c r="AN1650" s="4">
        <v>0</v>
      </c>
      <c r="AO1650" s="4">
        <v>0</v>
      </c>
      <c r="AP1650" s="4">
        <v>1</v>
      </c>
      <c r="AQ1650" s="4">
        <v>15</v>
      </c>
      <c r="AR1650" s="3" t="s">
        <v>64</v>
      </c>
      <c r="AS1650" s="3" t="s">
        <v>64</v>
      </c>
      <c r="AT1650" s="3" t="s">
        <v>64</v>
      </c>
      <c r="AV1650" s="6" t="str">
        <f>HYPERLINK("http://mcgill.on.worldcat.org/oclc/519248785","Catalog Record")</f>
        <v>Catalog Record</v>
      </c>
      <c r="AW1650" s="6" t="str">
        <f>HYPERLINK("http://www.worldcat.org/oclc/519248785","WorldCat Record")</f>
        <v>WorldCat Record</v>
      </c>
      <c r="AX1650" s="3" t="s">
        <v>16670</v>
      </c>
      <c r="AY1650" s="3" t="s">
        <v>16671</v>
      </c>
      <c r="AZ1650" s="3" t="s">
        <v>16672</v>
      </c>
      <c r="BA1650" s="3" t="s">
        <v>16672</v>
      </c>
      <c r="BB1650" s="3" t="s">
        <v>16673</v>
      </c>
      <c r="BC1650" s="3" t="s">
        <v>77</v>
      </c>
      <c r="BD1650" s="3" t="s">
        <v>78</v>
      </c>
      <c r="BE1650" s="3" t="s">
        <v>16674</v>
      </c>
      <c r="BF1650" s="3" t="s">
        <v>16673</v>
      </c>
      <c r="BG1650" s="3" t="s">
        <v>16675</v>
      </c>
      <c r="BH1650">
        <f t="shared" si="45"/>
        <v>0</v>
      </c>
    </row>
    <row r="1651" spans="1:60" ht="72.5" x14ac:dyDescent="0.35">
      <c r="A1651" s="2" t="s">
        <v>59</v>
      </c>
      <c r="B1651" s="2" t="s">
        <v>60</v>
      </c>
      <c r="C1651" s="2" t="s">
        <v>16676</v>
      </c>
      <c r="D1651" s="2" t="s">
        <v>16677</v>
      </c>
      <c r="E1651" s="2" t="s">
        <v>16678</v>
      </c>
      <c r="F1651" s="3" t="s">
        <v>16679</v>
      </c>
      <c r="G1651" s="3" t="s">
        <v>64</v>
      </c>
      <c r="I1651" s="3" t="s">
        <v>64</v>
      </c>
      <c r="J1651" s="3" t="s">
        <v>64</v>
      </c>
      <c r="K1651" s="3" t="s">
        <v>65</v>
      </c>
      <c r="L1651" s="2" t="s">
        <v>16680</v>
      </c>
      <c r="M1651" s="2" t="s">
        <v>16667</v>
      </c>
      <c r="N1651" s="3" t="s">
        <v>511</v>
      </c>
      <c r="O1651" s="2" t="s">
        <v>16653</v>
      </c>
      <c r="P1651" s="3" t="s">
        <v>102</v>
      </c>
      <c r="Q1651" s="2" t="s">
        <v>16681</v>
      </c>
      <c r="R1651" s="3" t="s">
        <v>70</v>
      </c>
      <c r="S1651" s="4">
        <v>2</v>
      </c>
      <c r="T1651" s="4">
        <v>2</v>
      </c>
      <c r="U1651" s="5" t="s">
        <v>16682</v>
      </c>
      <c r="V1651" s="5" t="s">
        <v>16682</v>
      </c>
      <c r="W1651" s="5" t="s">
        <v>72</v>
      </c>
      <c r="X1651" s="5" t="s">
        <v>72</v>
      </c>
      <c r="Y1651" s="4">
        <v>73</v>
      </c>
      <c r="Z1651" s="4">
        <v>3</v>
      </c>
      <c r="AA1651" s="4">
        <v>37</v>
      </c>
      <c r="AB1651" s="4">
        <v>1</v>
      </c>
      <c r="AC1651" s="4">
        <v>6</v>
      </c>
      <c r="AD1651" s="4">
        <v>3</v>
      </c>
      <c r="AE1651" s="4">
        <v>70</v>
      </c>
      <c r="AF1651" s="4">
        <v>0</v>
      </c>
      <c r="AG1651" s="4">
        <v>3</v>
      </c>
      <c r="AH1651" s="4">
        <v>2</v>
      </c>
      <c r="AI1651" s="4">
        <v>56</v>
      </c>
      <c r="AJ1651" s="4">
        <v>2</v>
      </c>
      <c r="AK1651" s="4">
        <v>14</v>
      </c>
      <c r="AL1651" s="4">
        <v>1</v>
      </c>
      <c r="AM1651" s="4">
        <v>31</v>
      </c>
      <c r="AN1651" s="4">
        <v>0</v>
      </c>
      <c r="AO1651" s="4">
        <v>0</v>
      </c>
      <c r="AP1651" s="4">
        <v>2</v>
      </c>
      <c r="AQ1651" s="4">
        <v>20</v>
      </c>
      <c r="AR1651" s="3" t="s">
        <v>64</v>
      </c>
      <c r="AS1651" s="3" t="s">
        <v>64</v>
      </c>
      <c r="AT1651" s="3" t="s">
        <v>64</v>
      </c>
      <c r="AV1651" s="6" t="str">
        <f>HYPERLINK("http://mcgill.on.worldcat.org/oclc/519248738","Catalog Record")</f>
        <v>Catalog Record</v>
      </c>
      <c r="AW1651" s="6" t="str">
        <f>HYPERLINK("http://www.worldcat.org/oclc/519248738","WorldCat Record")</f>
        <v>WorldCat Record</v>
      </c>
      <c r="AX1651" s="3" t="s">
        <v>16683</v>
      </c>
      <c r="AY1651" s="3" t="s">
        <v>16684</v>
      </c>
      <c r="AZ1651" s="3" t="s">
        <v>16685</v>
      </c>
      <c r="BA1651" s="3" t="s">
        <v>16685</v>
      </c>
      <c r="BB1651" s="3" t="s">
        <v>16686</v>
      </c>
      <c r="BC1651" s="3" t="s">
        <v>77</v>
      </c>
      <c r="BD1651" s="3" t="s">
        <v>78</v>
      </c>
      <c r="BE1651" s="3" t="s">
        <v>16687</v>
      </c>
      <c r="BF1651" s="3" t="s">
        <v>16686</v>
      </c>
      <c r="BG1651" s="3" t="s">
        <v>16688</v>
      </c>
      <c r="BH1651">
        <f t="shared" si="45"/>
        <v>0</v>
      </c>
    </row>
    <row r="1652" spans="1:60" ht="72.5" x14ac:dyDescent="0.35">
      <c r="A1652" s="2" t="s">
        <v>59</v>
      </c>
      <c r="B1652" s="2" t="s">
        <v>60</v>
      </c>
      <c r="C1652" s="2" t="s">
        <v>16689</v>
      </c>
      <c r="D1652" s="2" t="s">
        <v>16690</v>
      </c>
      <c r="E1652" s="2" t="s">
        <v>16691</v>
      </c>
      <c r="F1652" s="3" t="s">
        <v>16692</v>
      </c>
      <c r="G1652" s="3" t="s">
        <v>64</v>
      </c>
      <c r="I1652" s="3" t="s">
        <v>64</v>
      </c>
      <c r="J1652" s="3" t="s">
        <v>64</v>
      </c>
      <c r="K1652" s="3" t="s">
        <v>65</v>
      </c>
      <c r="L1652" s="2" t="s">
        <v>16693</v>
      </c>
      <c r="M1652" s="2" t="s">
        <v>16652</v>
      </c>
      <c r="N1652" s="3" t="s">
        <v>511</v>
      </c>
      <c r="O1652" s="2" t="s">
        <v>16653</v>
      </c>
      <c r="P1652" s="3" t="s">
        <v>102</v>
      </c>
      <c r="Q1652" s="2" t="s">
        <v>16694</v>
      </c>
      <c r="R1652" s="3" t="s">
        <v>70</v>
      </c>
      <c r="S1652" s="4">
        <v>4</v>
      </c>
      <c r="T1652" s="4">
        <v>4</v>
      </c>
      <c r="U1652" s="5" t="s">
        <v>16669</v>
      </c>
      <c r="V1652" s="5" t="s">
        <v>16669</v>
      </c>
      <c r="W1652" s="5" t="s">
        <v>72</v>
      </c>
      <c r="X1652" s="5" t="s">
        <v>72</v>
      </c>
      <c r="Y1652" s="4">
        <v>73</v>
      </c>
      <c r="Z1652" s="4">
        <v>2</v>
      </c>
      <c r="AA1652" s="4">
        <v>30</v>
      </c>
      <c r="AB1652" s="4">
        <v>1</v>
      </c>
      <c r="AC1652" s="4">
        <v>6</v>
      </c>
      <c r="AD1652" s="4">
        <v>3</v>
      </c>
      <c r="AE1652" s="4">
        <v>43</v>
      </c>
      <c r="AF1652" s="4">
        <v>0</v>
      </c>
      <c r="AG1652" s="4">
        <v>3</v>
      </c>
      <c r="AH1652" s="4">
        <v>3</v>
      </c>
      <c r="AI1652" s="4">
        <v>32</v>
      </c>
      <c r="AJ1652" s="4">
        <v>1</v>
      </c>
      <c r="AK1652" s="4">
        <v>11</v>
      </c>
      <c r="AL1652" s="4">
        <v>2</v>
      </c>
      <c r="AM1652" s="4">
        <v>20</v>
      </c>
      <c r="AN1652" s="4">
        <v>0</v>
      </c>
      <c r="AO1652" s="4">
        <v>0</v>
      </c>
      <c r="AP1652" s="4">
        <v>1</v>
      </c>
      <c r="AQ1652" s="4">
        <v>15</v>
      </c>
      <c r="AR1652" s="3" t="s">
        <v>64</v>
      </c>
      <c r="AS1652" s="3" t="s">
        <v>64</v>
      </c>
      <c r="AT1652" s="3" t="s">
        <v>64</v>
      </c>
      <c r="AV1652" s="6" t="str">
        <f>HYPERLINK("http://mcgill.on.worldcat.org/oclc/519248741","Catalog Record")</f>
        <v>Catalog Record</v>
      </c>
      <c r="AW1652" s="6" t="str">
        <f>HYPERLINK("http://www.worldcat.org/oclc/519248741","WorldCat Record")</f>
        <v>WorldCat Record</v>
      </c>
      <c r="AX1652" s="3" t="s">
        <v>16695</v>
      </c>
      <c r="AY1652" s="3" t="s">
        <v>16696</v>
      </c>
      <c r="AZ1652" s="3" t="s">
        <v>16697</v>
      </c>
      <c r="BA1652" s="3" t="s">
        <v>16697</v>
      </c>
      <c r="BB1652" s="3" t="s">
        <v>16698</v>
      </c>
      <c r="BC1652" s="3" t="s">
        <v>77</v>
      </c>
      <c r="BD1652" s="3" t="s">
        <v>78</v>
      </c>
      <c r="BE1652" s="3" t="s">
        <v>16699</v>
      </c>
      <c r="BF1652" s="3" t="s">
        <v>16698</v>
      </c>
      <c r="BG1652" s="3" t="s">
        <v>16700</v>
      </c>
      <c r="BH1652">
        <f t="shared" si="45"/>
        <v>0</v>
      </c>
    </row>
    <row r="1653" spans="1:60" ht="72.5" x14ac:dyDescent="0.35">
      <c r="A1653" s="2" t="s">
        <v>59</v>
      </c>
      <c r="B1653" s="2" t="s">
        <v>60</v>
      </c>
      <c r="C1653" s="2" t="s">
        <v>16701</v>
      </c>
      <c r="D1653" s="2" t="s">
        <v>16702</v>
      </c>
      <c r="E1653" s="2" t="s">
        <v>16703</v>
      </c>
      <c r="F1653" s="3" t="s">
        <v>16704</v>
      </c>
      <c r="G1653" s="3" t="s">
        <v>64</v>
      </c>
      <c r="I1653" s="3" t="s">
        <v>64</v>
      </c>
      <c r="J1653" s="3" t="s">
        <v>64</v>
      </c>
      <c r="K1653" s="3" t="s">
        <v>65</v>
      </c>
      <c r="L1653" s="2" t="s">
        <v>16705</v>
      </c>
      <c r="M1653" s="2" t="s">
        <v>16652</v>
      </c>
      <c r="N1653" s="3" t="s">
        <v>511</v>
      </c>
      <c r="O1653" s="2" t="s">
        <v>16653</v>
      </c>
      <c r="P1653" s="3" t="s">
        <v>102</v>
      </c>
      <c r="Q1653" s="2" t="s">
        <v>16706</v>
      </c>
      <c r="R1653" s="3" t="s">
        <v>70</v>
      </c>
      <c r="S1653" s="4">
        <v>1</v>
      </c>
      <c r="T1653" s="4">
        <v>1</v>
      </c>
      <c r="U1653" s="5" t="s">
        <v>16682</v>
      </c>
      <c r="V1653" s="5" t="s">
        <v>16682</v>
      </c>
      <c r="W1653" s="5" t="s">
        <v>72</v>
      </c>
      <c r="X1653" s="5" t="s">
        <v>72</v>
      </c>
      <c r="Y1653" s="4">
        <v>56</v>
      </c>
      <c r="Z1653" s="4">
        <v>3</v>
      </c>
      <c r="AA1653" s="4">
        <v>30</v>
      </c>
      <c r="AB1653" s="4">
        <v>1</v>
      </c>
      <c r="AC1653" s="4">
        <v>5</v>
      </c>
      <c r="AD1653" s="4">
        <v>5</v>
      </c>
      <c r="AE1653" s="4">
        <v>51</v>
      </c>
      <c r="AF1653" s="4">
        <v>0</v>
      </c>
      <c r="AG1653" s="4">
        <v>4</v>
      </c>
      <c r="AH1653" s="4">
        <v>5</v>
      </c>
      <c r="AI1653" s="4">
        <v>41</v>
      </c>
      <c r="AJ1653" s="4">
        <v>2</v>
      </c>
      <c r="AK1653" s="4">
        <v>14</v>
      </c>
      <c r="AL1653" s="4">
        <v>3</v>
      </c>
      <c r="AM1653" s="4">
        <v>21</v>
      </c>
      <c r="AN1653" s="4">
        <v>0</v>
      </c>
      <c r="AO1653" s="4">
        <v>0</v>
      </c>
      <c r="AP1653" s="4">
        <v>2</v>
      </c>
      <c r="AQ1653" s="4">
        <v>17</v>
      </c>
      <c r="AR1653" s="3" t="s">
        <v>64</v>
      </c>
      <c r="AS1653" s="3" t="s">
        <v>64</v>
      </c>
      <c r="AT1653" s="3" t="s">
        <v>64</v>
      </c>
      <c r="AV1653" s="6" t="str">
        <f>HYPERLINK("http://mcgill.on.worldcat.org/oclc/519248747","Catalog Record")</f>
        <v>Catalog Record</v>
      </c>
      <c r="AW1653" s="6" t="str">
        <f>HYPERLINK("http://www.worldcat.org/oclc/519248747","WorldCat Record")</f>
        <v>WorldCat Record</v>
      </c>
      <c r="AX1653" s="3" t="s">
        <v>16707</v>
      </c>
      <c r="AY1653" s="3" t="s">
        <v>16708</v>
      </c>
      <c r="AZ1653" s="3" t="s">
        <v>16709</v>
      </c>
      <c r="BA1653" s="3" t="s">
        <v>16709</v>
      </c>
      <c r="BB1653" s="3" t="s">
        <v>16710</v>
      </c>
      <c r="BC1653" s="3" t="s">
        <v>77</v>
      </c>
      <c r="BD1653" s="3" t="s">
        <v>78</v>
      </c>
      <c r="BE1653" s="3" t="s">
        <v>16711</v>
      </c>
      <c r="BF1653" s="3" t="s">
        <v>16710</v>
      </c>
      <c r="BG1653" s="3" t="s">
        <v>16712</v>
      </c>
      <c r="BH1653">
        <f t="shared" si="45"/>
        <v>0</v>
      </c>
    </row>
    <row r="1654" spans="1:60" ht="72.5" x14ac:dyDescent="0.35">
      <c r="A1654" s="2" t="s">
        <v>59</v>
      </c>
      <c r="B1654" s="2" t="s">
        <v>60</v>
      </c>
      <c r="C1654" s="2" t="s">
        <v>16713</v>
      </c>
      <c r="D1654" s="2" t="s">
        <v>16714</v>
      </c>
      <c r="E1654" s="2" t="s">
        <v>16715</v>
      </c>
      <c r="F1654" s="3" t="s">
        <v>16716</v>
      </c>
      <c r="G1654" s="3" t="s">
        <v>64</v>
      </c>
      <c r="I1654" s="3" t="s">
        <v>64</v>
      </c>
      <c r="J1654" s="3" t="s">
        <v>64</v>
      </c>
      <c r="K1654" s="3" t="s">
        <v>65</v>
      </c>
      <c r="L1654" s="2" t="s">
        <v>16717</v>
      </c>
      <c r="M1654" s="2" t="s">
        <v>16667</v>
      </c>
      <c r="N1654" s="3" t="s">
        <v>511</v>
      </c>
      <c r="P1654" s="3" t="s">
        <v>102</v>
      </c>
      <c r="Q1654" s="2" t="s">
        <v>16718</v>
      </c>
      <c r="R1654" s="3" t="s">
        <v>70</v>
      </c>
      <c r="S1654" s="4">
        <v>2</v>
      </c>
      <c r="T1654" s="4">
        <v>2</v>
      </c>
      <c r="U1654" s="5" t="s">
        <v>16719</v>
      </c>
      <c r="V1654" s="5" t="s">
        <v>16719</v>
      </c>
      <c r="W1654" s="5" t="s">
        <v>72</v>
      </c>
      <c r="X1654" s="5" t="s">
        <v>72</v>
      </c>
      <c r="Y1654" s="4">
        <v>83</v>
      </c>
      <c r="Z1654" s="4">
        <v>2</v>
      </c>
      <c r="AA1654" s="4">
        <v>30</v>
      </c>
      <c r="AB1654" s="4">
        <v>1</v>
      </c>
      <c r="AC1654" s="4">
        <v>5</v>
      </c>
      <c r="AD1654" s="4">
        <v>3</v>
      </c>
      <c r="AE1654" s="4">
        <v>43</v>
      </c>
      <c r="AF1654" s="4">
        <v>0</v>
      </c>
      <c r="AG1654" s="4">
        <v>3</v>
      </c>
      <c r="AH1654" s="4">
        <v>3</v>
      </c>
      <c r="AI1654" s="4">
        <v>34</v>
      </c>
      <c r="AJ1654" s="4">
        <v>1</v>
      </c>
      <c r="AK1654" s="4">
        <v>11</v>
      </c>
      <c r="AL1654" s="4">
        <v>2</v>
      </c>
      <c r="AM1654" s="4">
        <v>21</v>
      </c>
      <c r="AN1654" s="4">
        <v>0</v>
      </c>
      <c r="AO1654" s="4">
        <v>0</v>
      </c>
      <c r="AP1654" s="4">
        <v>1</v>
      </c>
      <c r="AQ1654" s="4">
        <v>14</v>
      </c>
      <c r="AR1654" s="3" t="s">
        <v>64</v>
      </c>
      <c r="AS1654" s="3" t="s">
        <v>64</v>
      </c>
      <c r="AT1654" s="3" t="s">
        <v>64</v>
      </c>
      <c r="AV1654" s="6" t="str">
        <f>HYPERLINK("http://mcgill.on.worldcat.org/oclc/519248755","Catalog Record")</f>
        <v>Catalog Record</v>
      </c>
      <c r="AW1654" s="6" t="str">
        <f>HYPERLINK("http://www.worldcat.org/oclc/519248755","WorldCat Record")</f>
        <v>WorldCat Record</v>
      </c>
      <c r="AX1654" s="3" t="s">
        <v>16720</v>
      </c>
      <c r="AY1654" s="3" t="s">
        <v>16721</v>
      </c>
      <c r="AZ1654" s="3" t="s">
        <v>16722</v>
      </c>
      <c r="BA1654" s="3" t="s">
        <v>16722</v>
      </c>
      <c r="BB1654" s="3" t="s">
        <v>16723</v>
      </c>
      <c r="BC1654" s="3" t="s">
        <v>77</v>
      </c>
      <c r="BD1654" s="3" t="s">
        <v>78</v>
      </c>
      <c r="BE1654" s="3" t="s">
        <v>16724</v>
      </c>
      <c r="BF1654" s="3" t="s">
        <v>16723</v>
      </c>
      <c r="BG1654" s="3" t="s">
        <v>16725</v>
      </c>
      <c r="BH1654">
        <f t="shared" si="45"/>
        <v>0</v>
      </c>
    </row>
    <row r="1655" spans="1:60" ht="72.5" x14ac:dyDescent="0.35">
      <c r="A1655" s="2" t="s">
        <v>59</v>
      </c>
      <c r="B1655" s="2" t="s">
        <v>60</v>
      </c>
      <c r="C1655" s="2" t="s">
        <v>16726</v>
      </c>
      <c r="D1655" s="2" t="s">
        <v>16727</v>
      </c>
      <c r="E1655" s="2" t="s">
        <v>16728</v>
      </c>
      <c r="F1655" s="3" t="s">
        <v>16729</v>
      </c>
      <c r="G1655" s="3" t="s">
        <v>64</v>
      </c>
      <c r="I1655" s="3" t="s">
        <v>64</v>
      </c>
      <c r="J1655" s="3" t="s">
        <v>64</v>
      </c>
      <c r="K1655" s="3" t="s">
        <v>65</v>
      </c>
      <c r="L1655" s="2" t="s">
        <v>16730</v>
      </c>
      <c r="M1655" s="2" t="s">
        <v>16667</v>
      </c>
      <c r="N1655" s="3" t="s">
        <v>511</v>
      </c>
      <c r="P1655" s="3" t="s">
        <v>102</v>
      </c>
      <c r="Q1655" s="2" t="s">
        <v>16731</v>
      </c>
      <c r="R1655" s="3" t="s">
        <v>70</v>
      </c>
      <c r="S1655" s="4">
        <v>2</v>
      </c>
      <c r="T1655" s="4">
        <v>2</v>
      </c>
      <c r="U1655" s="5" t="s">
        <v>16682</v>
      </c>
      <c r="V1655" s="5" t="s">
        <v>16682</v>
      </c>
      <c r="W1655" s="5" t="s">
        <v>72</v>
      </c>
      <c r="X1655" s="5" t="s">
        <v>72</v>
      </c>
      <c r="Y1655" s="4">
        <v>77</v>
      </c>
      <c r="Z1655" s="4">
        <v>2</v>
      </c>
      <c r="AA1655" s="4">
        <v>32</v>
      </c>
      <c r="AB1655" s="4">
        <v>1</v>
      </c>
      <c r="AC1655" s="4">
        <v>6</v>
      </c>
      <c r="AD1655" s="4">
        <v>2</v>
      </c>
      <c r="AE1655" s="4">
        <v>48</v>
      </c>
      <c r="AF1655" s="4">
        <v>0</v>
      </c>
      <c r="AG1655" s="4">
        <v>4</v>
      </c>
      <c r="AH1655" s="4">
        <v>2</v>
      </c>
      <c r="AI1655" s="4">
        <v>36</v>
      </c>
      <c r="AJ1655" s="4">
        <v>1</v>
      </c>
      <c r="AK1655" s="4">
        <v>11</v>
      </c>
      <c r="AL1655" s="4">
        <v>1</v>
      </c>
      <c r="AM1655" s="4">
        <v>20</v>
      </c>
      <c r="AN1655" s="4">
        <v>0</v>
      </c>
      <c r="AO1655" s="4">
        <v>0</v>
      </c>
      <c r="AP1655" s="4">
        <v>1</v>
      </c>
      <c r="AQ1655" s="4">
        <v>16</v>
      </c>
      <c r="AR1655" s="3" t="s">
        <v>64</v>
      </c>
      <c r="AS1655" s="3" t="s">
        <v>64</v>
      </c>
      <c r="AT1655" s="3" t="s">
        <v>64</v>
      </c>
      <c r="AV1655" s="6" t="str">
        <f>HYPERLINK("http://mcgill.on.worldcat.org/oclc/519248758","Catalog Record")</f>
        <v>Catalog Record</v>
      </c>
      <c r="AW1655" s="6" t="str">
        <f>HYPERLINK("http://www.worldcat.org/oclc/519248758","WorldCat Record")</f>
        <v>WorldCat Record</v>
      </c>
      <c r="AX1655" s="3" t="s">
        <v>16732</v>
      </c>
      <c r="AY1655" s="3" t="s">
        <v>16733</v>
      </c>
      <c r="AZ1655" s="3" t="s">
        <v>16734</v>
      </c>
      <c r="BA1655" s="3" t="s">
        <v>16734</v>
      </c>
      <c r="BB1655" s="3" t="s">
        <v>16735</v>
      </c>
      <c r="BC1655" s="3" t="s">
        <v>77</v>
      </c>
      <c r="BD1655" s="3" t="s">
        <v>78</v>
      </c>
      <c r="BE1655" s="3" t="s">
        <v>16736</v>
      </c>
      <c r="BF1655" s="3" t="s">
        <v>16735</v>
      </c>
      <c r="BG1655" s="3" t="s">
        <v>16737</v>
      </c>
      <c r="BH1655">
        <f t="shared" si="45"/>
        <v>0</v>
      </c>
    </row>
    <row r="1656" spans="1:60" ht="72.5" x14ac:dyDescent="0.35">
      <c r="A1656" s="2" t="s">
        <v>59</v>
      </c>
      <c r="B1656" s="2" t="s">
        <v>60</v>
      </c>
      <c r="C1656" s="2" t="s">
        <v>16738</v>
      </c>
      <c r="D1656" s="2" t="s">
        <v>16739</v>
      </c>
      <c r="E1656" s="2" t="s">
        <v>16740</v>
      </c>
      <c r="F1656" s="3" t="s">
        <v>16741</v>
      </c>
      <c r="G1656" s="3" t="s">
        <v>64</v>
      </c>
      <c r="I1656" s="3" t="s">
        <v>64</v>
      </c>
      <c r="J1656" s="3" t="s">
        <v>64</v>
      </c>
      <c r="K1656" s="3" t="s">
        <v>65</v>
      </c>
      <c r="L1656" s="2" t="s">
        <v>16742</v>
      </c>
      <c r="M1656" s="2" t="s">
        <v>16667</v>
      </c>
      <c r="N1656" s="3" t="s">
        <v>511</v>
      </c>
      <c r="P1656" s="3" t="s">
        <v>102</v>
      </c>
      <c r="Q1656" s="2" t="s">
        <v>16743</v>
      </c>
      <c r="R1656" s="3" t="s">
        <v>70</v>
      </c>
      <c r="S1656" s="4">
        <v>3</v>
      </c>
      <c r="T1656" s="4">
        <v>3</v>
      </c>
      <c r="U1656" s="5" t="s">
        <v>16669</v>
      </c>
      <c r="V1656" s="5" t="s">
        <v>16669</v>
      </c>
      <c r="W1656" s="5" t="s">
        <v>72</v>
      </c>
      <c r="X1656" s="5" t="s">
        <v>72</v>
      </c>
      <c r="Y1656" s="4">
        <v>86</v>
      </c>
      <c r="Z1656" s="4">
        <v>2</v>
      </c>
      <c r="AA1656" s="4">
        <v>33</v>
      </c>
      <c r="AB1656" s="4">
        <v>1</v>
      </c>
      <c r="AC1656" s="4">
        <v>6</v>
      </c>
      <c r="AD1656" s="4">
        <v>3</v>
      </c>
      <c r="AE1656" s="4">
        <v>52</v>
      </c>
      <c r="AF1656" s="4">
        <v>0</v>
      </c>
      <c r="AG1656" s="4">
        <v>4</v>
      </c>
      <c r="AH1656" s="4">
        <v>3</v>
      </c>
      <c r="AI1656" s="4">
        <v>40</v>
      </c>
      <c r="AJ1656" s="4">
        <v>1</v>
      </c>
      <c r="AK1656" s="4">
        <v>14</v>
      </c>
      <c r="AL1656" s="4">
        <v>2</v>
      </c>
      <c r="AM1656" s="4">
        <v>23</v>
      </c>
      <c r="AN1656" s="4">
        <v>0</v>
      </c>
      <c r="AO1656" s="4">
        <v>0</v>
      </c>
      <c r="AP1656" s="4">
        <v>1</v>
      </c>
      <c r="AQ1656" s="4">
        <v>18</v>
      </c>
      <c r="AR1656" s="3" t="s">
        <v>64</v>
      </c>
      <c r="AS1656" s="3" t="s">
        <v>64</v>
      </c>
      <c r="AT1656" s="3" t="s">
        <v>64</v>
      </c>
      <c r="AV1656" s="6" t="str">
        <f>HYPERLINK("http://mcgill.on.worldcat.org/oclc/519248759","Catalog Record")</f>
        <v>Catalog Record</v>
      </c>
      <c r="AW1656" s="6" t="str">
        <f>HYPERLINK("http://www.worldcat.org/oclc/519248759","WorldCat Record")</f>
        <v>WorldCat Record</v>
      </c>
      <c r="AX1656" s="3" t="s">
        <v>16744</v>
      </c>
      <c r="AY1656" s="3" t="s">
        <v>16745</v>
      </c>
      <c r="AZ1656" s="3" t="s">
        <v>16746</v>
      </c>
      <c r="BA1656" s="3" t="s">
        <v>16746</v>
      </c>
      <c r="BB1656" s="3" t="s">
        <v>16747</v>
      </c>
      <c r="BC1656" s="3" t="s">
        <v>77</v>
      </c>
      <c r="BD1656" s="3" t="s">
        <v>78</v>
      </c>
      <c r="BE1656" s="3" t="s">
        <v>16748</v>
      </c>
      <c r="BF1656" s="3" t="s">
        <v>16747</v>
      </c>
      <c r="BG1656" s="3" t="s">
        <v>16749</v>
      </c>
      <c r="BH1656">
        <f t="shared" si="45"/>
        <v>0</v>
      </c>
    </row>
    <row r="1657" spans="1:60" ht="72.5" x14ac:dyDescent="0.35">
      <c r="A1657" s="2" t="s">
        <v>59</v>
      </c>
      <c r="B1657" s="2" t="s">
        <v>60</v>
      </c>
      <c r="C1657" s="2" t="s">
        <v>16750</v>
      </c>
      <c r="D1657" s="2" t="s">
        <v>16751</v>
      </c>
      <c r="E1657" s="2" t="s">
        <v>16752</v>
      </c>
      <c r="F1657" s="3" t="s">
        <v>16753</v>
      </c>
      <c r="G1657" s="3" t="s">
        <v>64</v>
      </c>
      <c r="I1657" s="3" t="s">
        <v>64</v>
      </c>
      <c r="J1657" s="3" t="s">
        <v>64</v>
      </c>
      <c r="K1657" s="3" t="s">
        <v>65</v>
      </c>
      <c r="L1657" s="2" t="s">
        <v>16754</v>
      </c>
      <c r="M1657" s="2" t="s">
        <v>16667</v>
      </c>
      <c r="N1657" s="3" t="s">
        <v>511</v>
      </c>
      <c r="P1657" s="3" t="s">
        <v>102</v>
      </c>
      <c r="Q1657" s="2" t="s">
        <v>16755</v>
      </c>
      <c r="R1657" s="3" t="s">
        <v>70</v>
      </c>
      <c r="S1657" s="4">
        <v>4</v>
      </c>
      <c r="T1657" s="4">
        <v>4</v>
      </c>
      <c r="U1657" s="5" t="s">
        <v>5038</v>
      </c>
      <c r="V1657" s="5" t="s">
        <v>5038</v>
      </c>
      <c r="W1657" s="5" t="s">
        <v>72</v>
      </c>
      <c r="X1657" s="5" t="s">
        <v>72</v>
      </c>
      <c r="Y1657" s="4">
        <v>58</v>
      </c>
      <c r="Z1657" s="4">
        <v>2</v>
      </c>
      <c r="AA1657" s="4">
        <v>24</v>
      </c>
      <c r="AB1657" s="4">
        <v>1</v>
      </c>
      <c r="AC1657" s="4">
        <v>4</v>
      </c>
      <c r="AD1657" s="4">
        <v>3</v>
      </c>
      <c r="AE1657" s="4">
        <v>42</v>
      </c>
      <c r="AF1657" s="4">
        <v>0</v>
      </c>
      <c r="AG1657" s="4">
        <v>3</v>
      </c>
      <c r="AH1657" s="4">
        <v>3</v>
      </c>
      <c r="AI1657" s="4">
        <v>33</v>
      </c>
      <c r="AJ1657" s="4">
        <v>1</v>
      </c>
      <c r="AK1657" s="4">
        <v>12</v>
      </c>
      <c r="AL1657" s="4">
        <v>2</v>
      </c>
      <c r="AM1657" s="4">
        <v>18</v>
      </c>
      <c r="AN1657" s="4">
        <v>0</v>
      </c>
      <c r="AO1657" s="4">
        <v>0</v>
      </c>
      <c r="AP1657" s="4">
        <v>1</v>
      </c>
      <c r="AQ1657" s="4">
        <v>15</v>
      </c>
      <c r="AR1657" s="3" t="s">
        <v>64</v>
      </c>
      <c r="AS1657" s="3" t="s">
        <v>64</v>
      </c>
      <c r="AT1657" s="3" t="s">
        <v>64</v>
      </c>
      <c r="AV1657" s="6" t="str">
        <f>HYPERLINK("http://mcgill.on.worldcat.org/oclc/519248766","Catalog Record")</f>
        <v>Catalog Record</v>
      </c>
      <c r="AW1657" s="6" t="str">
        <f>HYPERLINK("http://www.worldcat.org/oclc/519248766","WorldCat Record")</f>
        <v>WorldCat Record</v>
      </c>
      <c r="AX1657" s="3" t="s">
        <v>16756</v>
      </c>
      <c r="AY1657" s="3" t="s">
        <v>16757</v>
      </c>
      <c r="AZ1657" s="3" t="s">
        <v>16758</v>
      </c>
      <c r="BA1657" s="3" t="s">
        <v>16758</v>
      </c>
      <c r="BB1657" s="3" t="s">
        <v>16759</v>
      </c>
      <c r="BC1657" s="3" t="s">
        <v>77</v>
      </c>
      <c r="BD1657" s="3" t="s">
        <v>78</v>
      </c>
      <c r="BE1657" s="3" t="s">
        <v>16760</v>
      </c>
      <c r="BF1657" s="3" t="s">
        <v>16759</v>
      </c>
      <c r="BG1657" s="3" t="s">
        <v>16761</v>
      </c>
      <c r="BH1657">
        <f t="shared" si="45"/>
        <v>0</v>
      </c>
    </row>
    <row r="1658" spans="1:60" ht="72.5" x14ac:dyDescent="0.35">
      <c r="A1658" s="2" t="s">
        <v>59</v>
      </c>
      <c r="B1658" s="2" t="s">
        <v>60</v>
      </c>
      <c r="C1658" s="2" t="s">
        <v>16762</v>
      </c>
      <c r="D1658" s="2" t="s">
        <v>16763</v>
      </c>
      <c r="E1658" s="2" t="s">
        <v>16764</v>
      </c>
      <c r="F1658" s="3" t="s">
        <v>16765</v>
      </c>
      <c r="G1658" s="3" t="s">
        <v>64</v>
      </c>
      <c r="I1658" s="3" t="s">
        <v>64</v>
      </c>
      <c r="J1658" s="3" t="s">
        <v>64</v>
      </c>
      <c r="K1658" s="3" t="s">
        <v>65</v>
      </c>
      <c r="L1658" s="2" t="s">
        <v>16766</v>
      </c>
      <c r="M1658" s="2" t="s">
        <v>16667</v>
      </c>
      <c r="N1658" s="3" t="s">
        <v>511</v>
      </c>
      <c r="P1658" s="3" t="s">
        <v>102</v>
      </c>
      <c r="Q1658" s="2" t="s">
        <v>16767</v>
      </c>
      <c r="R1658" s="3" t="s">
        <v>70</v>
      </c>
      <c r="S1658" s="4">
        <v>3</v>
      </c>
      <c r="T1658" s="4">
        <v>3</v>
      </c>
      <c r="U1658" s="5" t="s">
        <v>16768</v>
      </c>
      <c r="V1658" s="5" t="s">
        <v>16768</v>
      </c>
      <c r="W1658" s="5" t="s">
        <v>72</v>
      </c>
      <c r="X1658" s="5" t="s">
        <v>72</v>
      </c>
      <c r="Y1658" s="4">
        <v>72</v>
      </c>
      <c r="Z1658" s="4">
        <v>3</v>
      </c>
      <c r="AA1658" s="4">
        <v>29</v>
      </c>
      <c r="AB1658" s="4">
        <v>1</v>
      </c>
      <c r="AC1658" s="4">
        <v>6</v>
      </c>
      <c r="AD1658" s="4">
        <v>4</v>
      </c>
      <c r="AE1658" s="4">
        <v>51</v>
      </c>
      <c r="AF1658" s="4">
        <v>0</v>
      </c>
      <c r="AG1658" s="4">
        <v>3</v>
      </c>
      <c r="AH1658" s="4">
        <v>4</v>
      </c>
      <c r="AI1658" s="4">
        <v>41</v>
      </c>
      <c r="AJ1658" s="4">
        <v>2</v>
      </c>
      <c r="AK1658" s="4">
        <v>13</v>
      </c>
      <c r="AL1658" s="4">
        <v>2</v>
      </c>
      <c r="AM1658" s="4">
        <v>23</v>
      </c>
      <c r="AN1658" s="4">
        <v>0</v>
      </c>
      <c r="AO1658" s="4">
        <v>0</v>
      </c>
      <c r="AP1658" s="4">
        <v>2</v>
      </c>
      <c r="AQ1658" s="4">
        <v>17</v>
      </c>
      <c r="AR1658" s="3" t="s">
        <v>64</v>
      </c>
      <c r="AS1658" s="3" t="s">
        <v>64</v>
      </c>
      <c r="AT1658" s="3" t="s">
        <v>64</v>
      </c>
      <c r="AV1658" s="6" t="str">
        <f>HYPERLINK("http://mcgill.on.worldcat.org/oclc/519248774","Catalog Record")</f>
        <v>Catalog Record</v>
      </c>
      <c r="AW1658" s="6" t="str">
        <f>HYPERLINK("http://www.worldcat.org/oclc/519248774","WorldCat Record")</f>
        <v>WorldCat Record</v>
      </c>
      <c r="AX1658" s="3" t="s">
        <v>16769</v>
      </c>
      <c r="AY1658" s="3" t="s">
        <v>16770</v>
      </c>
      <c r="AZ1658" s="3" t="s">
        <v>16771</v>
      </c>
      <c r="BA1658" s="3" t="s">
        <v>16771</v>
      </c>
      <c r="BB1658" s="3" t="s">
        <v>16772</v>
      </c>
      <c r="BC1658" s="3" t="s">
        <v>77</v>
      </c>
      <c r="BD1658" s="3" t="s">
        <v>78</v>
      </c>
      <c r="BE1658" s="3" t="s">
        <v>16773</v>
      </c>
      <c r="BF1658" s="3" t="s">
        <v>16772</v>
      </c>
      <c r="BG1658" s="3" t="s">
        <v>16774</v>
      </c>
      <c r="BH1658">
        <f t="shared" si="45"/>
        <v>0</v>
      </c>
    </row>
    <row r="1659" spans="1:60" ht="58" x14ac:dyDescent="0.35">
      <c r="A1659" s="2" t="s">
        <v>59</v>
      </c>
      <c r="B1659" s="2" t="s">
        <v>60</v>
      </c>
      <c r="C1659" s="2" t="s">
        <v>16775</v>
      </c>
      <c r="D1659" s="2" t="s">
        <v>16776</v>
      </c>
      <c r="E1659" s="2" t="s">
        <v>16777</v>
      </c>
      <c r="G1659" s="3" t="s">
        <v>64</v>
      </c>
      <c r="I1659" s="3" t="s">
        <v>64</v>
      </c>
      <c r="J1659" s="3" t="s">
        <v>64</v>
      </c>
      <c r="K1659" s="3" t="s">
        <v>65</v>
      </c>
      <c r="L1659" s="2" t="s">
        <v>16778</v>
      </c>
      <c r="M1659" s="2" t="s">
        <v>16779</v>
      </c>
      <c r="N1659" s="3" t="s">
        <v>86</v>
      </c>
      <c r="P1659" s="3" t="s">
        <v>102</v>
      </c>
      <c r="R1659" s="3" t="s">
        <v>70</v>
      </c>
      <c r="S1659" s="4">
        <v>1</v>
      </c>
      <c r="T1659" s="4">
        <v>1</v>
      </c>
      <c r="U1659" s="5" t="s">
        <v>16780</v>
      </c>
      <c r="V1659" s="5" t="s">
        <v>16780</v>
      </c>
      <c r="W1659" s="5" t="s">
        <v>72</v>
      </c>
      <c r="X1659" s="5" t="s">
        <v>72</v>
      </c>
      <c r="Y1659" s="4">
        <v>138</v>
      </c>
      <c r="Z1659" s="4">
        <v>12</v>
      </c>
      <c r="AA1659" s="4">
        <v>51</v>
      </c>
      <c r="AB1659" s="4">
        <v>2</v>
      </c>
      <c r="AC1659" s="4">
        <v>5</v>
      </c>
      <c r="AD1659" s="4">
        <v>38</v>
      </c>
      <c r="AE1659" s="4">
        <v>54</v>
      </c>
      <c r="AF1659" s="4">
        <v>1</v>
      </c>
      <c r="AG1659" s="4">
        <v>1</v>
      </c>
      <c r="AH1659" s="4">
        <v>36</v>
      </c>
      <c r="AI1659" s="4">
        <v>45</v>
      </c>
      <c r="AJ1659" s="4">
        <v>7</v>
      </c>
      <c r="AK1659" s="4">
        <v>9</v>
      </c>
      <c r="AL1659" s="4">
        <v>22</v>
      </c>
      <c r="AM1659" s="4">
        <v>25</v>
      </c>
      <c r="AN1659" s="4">
        <v>0</v>
      </c>
      <c r="AO1659" s="4">
        <v>0</v>
      </c>
      <c r="AP1659" s="4">
        <v>7</v>
      </c>
      <c r="AQ1659" s="4">
        <v>14</v>
      </c>
      <c r="AR1659" s="3" t="s">
        <v>64</v>
      </c>
      <c r="AS1659" s="3" t="s">
        <v>64</v>
      </c>
      <c r="AT1659" s="3" t="s">
        <v>64</v>
      </c>
      <c r="AV1659" s="6" t="str">
        <f>HYPERLINK("http://mcgill.on.worldcat.org/oclc/430839898","Catalog Record")</f>
        <v>Catalog Record</v>
      </c>
      <c r="AW1659" s="6" t="str">
        <f>HYPERLINK("http://www.worldcat.org/oclc/430839898","WorldCat Record")</f>
        <v>WorldCat Record</v>
      </c>
      <c r="AX1659" s="3" t="s">
        <v>16781</v>
      </c>
      <c r="AY1659" s="3" t="s">
        <v>16782</v>
      </c>
      <c r="AZ1659" s="3" t="s">
        <v>16783</v>
      </c>
      <c r="BA1659" s="3" t="s">
        <v>16783</v>
      </c>
      <c r="BB1659" s="3" t="s">
        <v>16784</v>
      </c>
      <c r="BC1659" s="3" t="s">
        <v>77</v>
      </c>
      <c r="BD1659" s="3" t="s">
        <v>78</v>
      </c>
      <c r="BE1659" s="3" t="s">
        <v>16785</v>
      </c>
      <c r="BF1659" s="3" t="s">
        <v>16784</v>
      </c>
      <c r="BG1659" s="3" t="s">
        <v>16786</v>
      </c>
      <c r="BH1659">
        <f t="shared" si="45"/>
        <v>0</v>
      </c>
    </row>
    <row r="1660" spans="1:60" ht="58" x14ac:dyDescent="0.35">
      <c r="A1660" s="2" t="s">
        <v>59</v>
      </c>
      <c r="B1660" s="2" t="s">
        <v>60</v>
      </c>
      <c r="C1660" s="2" t="s">
        <v>16787</v>
      </c>
      <c r="D1660" s="2" t="s">
        <v>16788</v>
      </c>
      <c r="E1660" s="2" t="s">
        <v>16789</v>
      </c>
      <c r="G1660" s="3" t="s">
        <v>64</v>
      </c>
      <c r="I1660" s="3" t="s">
        <v>64</v>
      </c>
      <c r="J1660" s="3" t="s">
        <v>64</v>
      </c>
      <c r="K1660" s="3" t="s">
        <v>65</v>
      </c>
      <c r="M1660" s="2" t="s">
        <v>16790</v>
      </c>
      <c r="N1660" s="3" t="s">
        <v>326</v>
      </c>
      <c r="O1660" s="2" t="s">
        <v>16791</v>
      </c>
      <c r="P1660" s="3" t="s">
        <v>102</v>
      </c>
      <c r="R1660" s="3" t="s">
        <v>70</v>
      </c>
      <c r="S1660" s="4">
        <v>1</v>
      </c>
      <c r="T1660" s="4">
        <v>1</v>
      </c>
      <c r="U1660" s="5" t="s">
        <v>16792</v>
      </c>
      <c r="V1660" s="5" t="s">
        <v>16792</v>
      </c>
      <c r="W1660" s="5" t="s">
        <v>72</v>
      </c>
      <c r="X1660" s="5" t="s">
        <v>72</v>
      </c>
      <c r="Y1660" s="4">
        <v>57</v>
      </c>
      <c r="Z1660" s="4">
        <v>6</v>
      </c>
      <c r="AA1660" s="4">
        <v>6</v>
      </c>
      <c r="AB1660" s="4">
        <v>1</v>
      </c>
      <c r="AC1660" s="4">
        <v>1</v>
      </c>
      <c r="AD1660" s="4">
        <v>21</v>
      </c>
      <c r="AE1660" s="4">
        <v>22</v>
      </c>
      <c r="AF1660" s="4">
        <v>0</v>
      </c>
      <c r="AG1660" s="4">
        <v>0</v>
      </c>
      <c r="AH1660" s="4">
        <v>20</v>
      </c>
      <c r="AI1660" s="4">
        <v>21</v>
      </c>
      <c r="AJ1660" s="4">
        <v>4</v>
      </c>
      <c r="AK1660" s="4">
        <v>4</v>
      </c>
      <c r="AL1660" s="4">
        <v>10</v>
      </c>
      <c r="AM1660" s="4">
        <v>10</v>
      </c>
      <c r="AN1660" s="4">
        <v>0</v>
      </c>
      <c r="AO1660" s="4">
        <v>0</v>
      </c>
      <c r="AP1660" s="4">
        <v>4</v>
      </c>
      <c r="AQ1660" s="4">
        <v>4</v>
      </c>
      <c r="AR1660" s="3" t="s">
        <v>64</v>
      </c>
      <c r="AS1660" s="3" t="s">
        <v>64</v>
      </c>
      <c r="AT1660" s="3" t="s">
        <v>64</v>
      </c>
      <c r="AV1660" s="6" t="str">
        <f>HYPERLINK("http://mcgill.on.worldcat.org/oclc/746134223","Catalog Record")</f>
        <v>Catalog Record</v>
      </c>
      <c r="AW1660" s="6" t="str">
        <f>HYPERLINK("http://www.worldcat.org/oclc/746134223","WorldCat Record")</f>
        <v>WorldCat Record</v>
      </c>
      <c r="AX1660" s="3" t="s">
        <v>16793</v>
      </c>
      <c r="AY1660" s="3" t="s">
        <v>16794</v>
      </c>
      <c r="AZ1660" s="3" t="s">
        <v>16795</v>
      </c>
      <c r="BA1660" s="3" t="s">
        <v>16795</v>
      </c>
      <c r="BB1660" s="3" t="s">
        <v>16796</v>
      </c>
      <c r="BC1660" s="3" t="s">
        <v>77</v>
      </c>
      <c r="BD1660" s="3" t="s">
        <v>78</v>
      </c>
      <c r="BE1660" s="3" t="s">
        <v>16797</v>
      </c>
      <c r="BF1660" s="3" t="s">
        <v>16796</v>
      </c>
      <c r="BG1660" s="3" t="s">
        <v>16798</v>
      </c>
      <c r="BH1660">
        <f t="shared" si="45"/>
        <v>0</v>
      </c>
    </row>
    <row r="1661" spans="1:60" ht="58" x14ac:dyDescent="0.35">
      <c r="A1661" s="2" t="s">
        <v>59</v>
      </c>
      <c r="B1661" s="2" t="s">
        <v>60</v>
      </c>
      <c r="C1661" s="2" t="s">
        <v>16799</v>
      </c>
      <c r="D1661" s="2" t="s">
        <v>16800</v>
      </c>
      <c r="E1661" s="2" t="s">
        <v>16801</v>
      </c>
      <c r="G1661" s="3" t="s">
        <v>64</v>
      </c>
      <c r="I1661" s="3" t="s">
        <v>64</v>
      </c>
      <c r="J1661" s="3" t="s">
        <v>64</v>
      </c>
      <c r="K1661" s="3" t="s">
        <v>65</v>
      </c>
      <c r="L1661" s="2" t="s">
        <v>16802</v>
      </c>
      <c r="M1661" s="2" t="s">
        <v>16803</v>
      </c>
      <c r="N1661" s="3" t="s">
        <v>253</v>
      </c>
      <c r="P1661" s="3" t="s">
        <v>102</v>
      </c>
      <c r="R1661" s="3" t="s">
        <v>70</v>
      </c>
      <c r="S1661" s="4">
        <v>3</v>
      </c>
      <c r="T1661" s="4">
        <v>3</v>
      </c>
      <c r="U1661" s="5" t="s">
        <v>16804</v>
      </c>
      <c r="V1661" s="5" t="s">
        <v>16804</v>
      </c>
      <c r="W1661" s="5" t="s">
        <v>72</v>
      </c>
      <c r="X1661" s="5" t="s">
        <v>72</v>
      </c>
      <c r="Y1661" s="4">
        <v>1585</v>
      </c>
      <c r="Z1661" s="4">
        <v>50</v>
      </c>
      <c r="AA1661" s="4">
        <v>80</v>
      </c>
      <c r="AB1661" s="4">
        <v>4</v>
      </c>
      <c r="AC1661" s="4">
        <v>10</v>
      </c>
      <c r="AD1661" s="4">
        <v>93</v>
      </c>
      <c r="AE1661" s="4">
        <v>120</v>
      </c>
      <c r="AF1661" s="4">
        <v>0</v>
      </c>
      <c r="AG1661" s="4">
        <v>3</v>
      </c>
      <c r="AH1661" s="4">
        <v>85</v>
      </c>
      <c r="AI1661" s="4">
        <v>100</v>
      </c>
      <c r="AJ1661" s="4">
        <v>10</v>
      </c>
      <c r="AK1661" s="4">
        <v>15</v>
      </c>
      <c r="AL1661" s="4">
        <v>47</v>
      </c>
      <c r="AM1661" s="4">
        <v>53</v>
      </c>
      <c r="AN1661" s="4">
        <v>0</v>
      </c>
      <c r="AO1661" s="4">
        <v>0</v>
      </c>
      <c r="AP1661" s="4">
        <v>14</v>
      </c>
      <c r="AQ1661" s="4">
        <v>25</v>
      </c>
      <c r="AR1661" s="3" t="s">
        <v>64</v>
      </c>
      <c r="AS1661" s="3" t="s">
        <v>64</v>
      </c>
      <c r="AT1661" s="3" t="s">
        <v>64</v>
      </c>
      <c r="AV1661" s="6" t="str">
        <f>HYPERLINK("http://mcgill.on.worldcat.org/oclc/891609326","Catalog Record")</f>
        <v>Catalog Record</v>
      </c>
      <c r="AW1661" s="6" t="str">
        <f>HYPERLINK("http://www.worldcat.org/oclc/891609326","WorldCat Record")</f>
        <v>WorldCat Record</v>
      </c>
      <c r="AX1661" s="3" t="s">
        <v>16805</v>
      </c>
      <c r="AY1661" s="3" t="s">
        <v>16806</v>
      </c>
      <c r="AZ1661" s="3" t="s">
        <v>16807</v>
      </c>
      <c r="BA1661" s="3" t="s">
        <v>16807</v>
      </c>
      <c r="BB1661" s="3" t="s">
        <v>16808</v>
      </c>
      <c r="BC1661" s="3" t="s">
        <v>77</v>
      </c>
      <c r="BD1661" s="3" t="s">
        <v>78</v>
      </c>
      <c r="BE1661" s="3" t="s">
        <v>16809</v>
      </c>
      <c r="BF1661" s="3" t="s">
        <v>16808</v>
      </c>
      <c r="BG1661" s="3" t="s">
        <v>16810</v>
      </c>
      <c r="BH1661">
        <f t="shared" si="45"/>
        <v>0</v>
      </c>
    </row>
    <row r="1662" spans="1:60" ht="58" x14ac:dyDescent="0.35">
      <c r="A1662" s="2" t="s">
        <v>59</v>
      </c>
      <c r="B1662" s="2" t="s">
        <v>60</v>
      </c>
      <c r="C1662" s="2" t="s">
        <v>16811</v>
      </c>
      <c r="D1662" s="2" t="s">
        <v>16812</v>
      </c>
      <c r="E1662" s="2" t="s">
        <v>16813</v>
      </c>
      <c r="G1662" s="3" t="s">
        <v>64</v>
      </c>
      <c r="I1662" s="3" t="s">
        <v>64</v>
      </c>
      <c r="J1662" s="3" t="s">
        <v>64</v>
      </c>
      <c r="K1662" s="3" t="s">
        <v>65</v>
      </c>
      <c r="M1662" s="2" t="s">
        <v>16814</v>
      </c>
      <c r="N1662" s="3" t="s">
        <v>326</v>
      </c>
      <c r="P1662" s="3" t="s">
        <v>102</v>
      </c>
      <c r="R1662" s="3" t="s">
        <v>70</v>
      </c>
      <c r="S1662" s="4">
        <v>4</v>
      </c>
      <c r="T1662" s="4">
        <v>4</v>
      </c>
      <c r="U1662" s="5" t="s">
        <v>14996</v>
      </c>
      <c r="V1662" s="5" t="s">
        <v>14996</v>
      </c>
      <c r="W1662" s="5" t="s">
        <v>72</v>
      </c>
      <c r="X1662" s="5" t="s">
        <v>72</v>
      </c>
      <c r="Y1662" s="4">
        <v>131</v>
      </c>
      <c r="Z1662" s="4">
        <v>12</v>
      </c>
      <c r="AA1662" s="4">
        <v>49</v>
      </c>
      <c r="AB1662" s="4">
        <v>1</v>
      </c>
      <c r="AC1662" s="4">
        <v>7</v>
      </c>
      <c r="AD1662" s="4">
        <v>32</v>
      </c>
      <c r="AE1662" s="4">
        <v>53</v>
      </c>
      <c r="AF1662" s="4">
        <v>0</v>
      </c>
      <c r="AG1662" s="4">
        <v>1</v>
      </c>
      <c r="AH1662" s="4">
        <v>31</v>
      </c>
      <c r="AI1662" s="4">
        <v>47</v>
      </c>
      <c r="AJ1662" s="4">
        <v>6</v>
      </c>
      <c r="AK1662" s="4">
        <v>7</v>
      </c>
      <c r="AL1662" s="4">
        <v>12</v>
      </c>
      <c r="AM1662" s="4">
        <v>21</v>
      </c>
      <c r="AN1662" s="4">
        <v>0</v>
      </c>
      <c r="AO1662" s="4">
        <v>0</v>
      </c>
      <c r="AP1662" s="4">
        <v>6</v>
      </c>
      <c r="AQ1662" s="4">
        <v>10</v>
      </c>
      <c r="AR1662" s="3" t="s">
        <v>64</v>
      </c>
      <c r="AS1662" s="3" t="s">
        <v>64</v>
      </c>
      <c r="AT1662" s="3" t="s">
        <v>64</v>
      </c>
      <c r="AV1662" s="6" t="str">
        <f>HYPERLINK("http://mcgill.on.worldcat.org/oclc/422757089","Catalog Record")</f>
        <v>Catalog Record</v>
      </c>
      <c r="AW1662" s="6" t="str">
        <f>HYPERLINK("http://www.worldcat.org/oclc/422757089","WorldCat Record")</f>
        <v>WorldCat Record</v>
      </c>
      <c r="AX1662" s="3" t="s">
        <v>16815</v>
      </c>
      <c r="AY1662" s="3" t="s">
        <v>16816</v>
      </c>
      <c r="AZ1662" s="3" t="s">
        <v>16817</v>
      </c>
      <c r="BA1662" s="3" t="s">
        <v>16817</v>
      </c>
      <c r="BB1662" s="3" t="s">
        <v>16818</v>
      </c>
      <c r="BC1662" s="3" t="s">
        <v>77</v>
      </c>
      <c r="BD1662" s="3" t="s">
        <v>78</v>
      </c>
      <c r="BE1662" s="3" t="s">
        <v>16819</v>
      </c>
      <c r="BF1662" s="3" t="s">
        <v>16818</v>
      </c>
      <c r="BG1662" s="3" t="s">
        <v>16820</v>
      </c>
      <c r="BH1662">
        <f t="shared" si="45"/>
        <v>0</v>
      </c>
    </row>
    <row r="1663" spans="1:60" ht="58" x14ac:dyDescent="0.35">
      <c r="A1663" s="2" t="s">
        <v>59</v>
      </c>
      <c r="B1663" s="2" t="s">
        <v>60</v>
      </c>
      <c r="C1663" s="2" t="s">
        <v>16821</v>
      </c>
      <c r="D1663" s="2" t="s">
        <v>16822</v>
      </c>
      <c r="E1663" s="2" t="s">
        <v>16823</v>
      </c>
      <c r="G1663" s="3" t="s">
        <v>64</v>
      </c>
      <c r="I1663" s="3" t="s">
        <v>64</v>
      </c>
      <c r="J1663" s="3" t="s">
        <v>64</v>
      </c>
      <c r="K1663" s="3" t="s">
        <v>65</v>
      </c>
      <c r="M1663" s="2" t="s">
        <v>16130</v>
      </c>
      <c r="N1663" s="3" t="s">
        <v>511</v>
      </c>
      <c r="P1663" s="3" t="s">
        <v>102</v>
      </c>
      <c r="R1663" s="3" t="s">
        <v>70</v>
      </c>
      <c r="S1663" s="4">
        <v>0</v>
      </c>
      <c r="T1663" s="4">
        <v>0</v>
      </c>
      <c r="W1663" s="5" t="s">
        <v>72</v>
      </c>
      <c r="X1663" s="5" t="s">
        <v>72</v>
      </c>
      <c r="Y1663" s="4">
        <v>34</v>
      </c>
      <c r="Z1663" s="4">
        <v>4</v>
      </c>
      <c r="AA1663" s="4">
        <v>5</v>
      </c>
      <c r="AB1663" s="4">
        <v>1</v>
      </c>
      <c r="AC1663" s="4">
        <v>1</v>
      </c>
      <c r="AD1663" s="4">
        <v>15</v>
      </c>
      <c r="AE1663" s="4">
        <v>16</v>
      </c>
      <c r="AF1663" s="4">
        <v>0</v>
      </c>
      <c r="AG1663" s="4">
        <v>0</v>
      </c>
      <c r="AH1663" s="4">
        <v>14</v>
      </c>
      <c r="AI1663" s="4">
        <v>15</v>
      </c>
      <c r="AJ1663" s="4">
        <v>2</v>
      </c>
      <c r="AK1663" s="4">
        <v>3</v>
      </c>
      <c r="AL1663" s="4">
        <v>11</v>
      </c>
      <c r="AM1663" s="4">
        <v>11</v>
      </c>
      <c r="AN1663" s="4">
        <v>0</v>
      </c>
      <c r="AO1663" s="4">
        <v>0</v>
      </c>
      <c r="AP1663" s="4">
        <v>2</v>
      </c>
      <c r="AQ1663" s="4">
        <v>3</v>
      </c>
      <c r="AR1663" s="3" t="s">
        <v>64</v>
      </c>
      <c r="AS1663" s="3" t="s">
        <v>64</v>
      </c>
      <c r="AT1663" s="3" t="s">
        <v>64</v>
      </c>
      <c r="AV1663" s="6" t="str">
        <f>HYPERLINK("http://mcgill.on.worldcat.org/oclc/604964749","Catalog Record")</f>
        <v>Catalog Record</v>
      </c>
      <c r="AW1663" s="6" t="str">
        <f>HYPERLINK("http://www.worldcat.org/oclc/604964749","WorldCat Record")</f>
        <v>WorldCat Record</v>
      </c>
      <c r="AX1663" s="3" t="s">
        <v>16824</v>
      </c>
      <c r="AY1663" s="3" t="s">
        <v>16825</v>
      </c>
      <c r="AZ1663" s="3" t="s">
        <v>16826</v>
      </c>
      <c r="BA1663" s="3" t="s">
        <v>16826</v>
      </c>
      <c r="BB1663" s="3" t="s">
        <v>16827</v>
      </c>
      <c r="BC1663" s="3" t="s">
        <v>77</v>
      </c>
      <c r="BD1663" s="3" t="s">
        <v>78</v>
      </c>
      <c r="BE1663" s="3" t="s">
        <v>16828</v>
      </c>
      <c r="BF1663" s="3" t="s">
        <v>16827</v>
      </c>
      <c r="BG1663" s="3" t="s">
        <v>16829</v>
      </c>
      <c r="BH1663">
        <f t="shared" si="45"/>
        <v>0</v>
      </c>
    </row>
    <row r="1664" spans="1:60" ht="72.5" x14ac:dyDescent="0.35">
      <c r="A1664" s="2" t="s">
        <v>59</v>
      </c>
      <c r="B1664" s="2" t="s">
        <v>60</v>
      </c>
      <c r="C1664" s="2" t="s">
        <v>16830</v>
      </c>
      <c r="D1664" s="2" t="s">
        <v>16831</v>
      </c>
      <c r="E1664" s="2" t="s">
        <v>16832</v>
      </c>
      <c r="G1664" s="3" t="s">
        <v>64</v>
      </c>
      <c r="I1664" s="3" t="s">
        <v>64</v>
      </c>
      <c r="J1664" s="3" t="s">
        <v>64</v>
      </c>
      <c r="K1664" s="3" t="s">
        <v>65</v>
      </c>
      <c r="M1664" s="2" t="s">
        <v>8980</v>
      </c>
      <c r="N1664" s="3" t="s">
        <v>511</v>
      </c>
      <c r="P1664" s="3" t="s">
        <v>102</v>
      </c>
      <c r="Q1664" s="2" t="s">
        <v>8981</v>
      </c>
      <c r="R1664" s="3" t="s">
        <v>70</v>
      </c>
      <c r="S1664" s="4">
        <v>7</v>
      </c>
      <c r="T1664" s="4">
        <v>7</v>
      </c>
      <c r="U1664" s="5" t="s">
        <v>16833</v>
      </c>
      <c r="V1664" s="5" t="s">
        <v>16833</v>
      </c>
      <c r="W1664" s="5" t="s">
        <v>72</v>
      </c>
      <c r="X1664" s="5" t="s">
        <v>72</v>
      </c>
      <c r="Y1664" s="4">
        <v>219</v>
      </c>
      <c r="Z1664" s="4">
        <v>21</v>
      </c>
      <c r="AA1664" s="4">
        <v>37</v>
      </c>
      <c r="AB1664" s="4">
        <v>3</v>
      </c>
      <c r="AC1664" s="4">
        <v>8</v>
      </c>
      <c r="AD1664" s="4">
        <v>44</v>
      </c>
      <c r="AE1664" s="4">
        <v>65</v>
      </c>
      <c r="AF1664" s="4">
        <v>1</v>
      </c>
      <c r="AG1664" s="4">
        <v>4</v>
      </c>
      <c r="AH1664" s="4">
        <v>38</v>
      </c>
      <c r="AI1664" s="4">
        <v>52</v>
      </c>
      <c r="AJ1664" s="4">
        <v>10</v>
      </c>
      <c r="AK1664" s="4">
        <v>15</v>
      </c>
      <c r="AL1664" s="4">
        <v>21</v>
      </c>
      <c r="AM1664" s="4">
        <v>26</v>
      </c>
      <c r="AN1664" s="4">
        <v>0</v>
      </c>
      <c r="AO1664" s="4">
        <v>0</v>
      </c>
      <c r="AP1664" s="4">
        <v>13</v>
      </c>
      <c r="AQ1664" s="4">
        <v>19</v>
      </c>
      <c r="AR1664" s="3" t="s">
        <v>64</v>
      </c>
      <c r="AS1664" s="3" t="s">
        <v>64</v>
      </c>
      <c r="AT1664" s="3" t="s">
        <v>64</v>
      </c>
      <c r="AV1664" s="6" t="str">
        <f>HYPERLINK("http://mcgill.on.worldcat.org/oclc/462916760","Catalog Record")</f>
        <v>Catalog Record</v>
      </c>
      <c r="AW1664" s="6" t="str">
        <f>HYPERLINK("http://www.worldcat.org/oclc/462916760","WorldCat Record")</f>
        <v>WorldCat Record</v>
      </c>
      <c r="AX1664" s="3" t="s">
        <v>16834</v>
      </c>
      <c r="AY1664" s="3" t="s">
        <v>16835</v>
      </c>
      <c r="AZ1664" s="3" t="s">
        <v>16836</v>
      </c>
      <c r="BA1664" s="3" t="s">
        <v>16836</v>
      </c>
      <c r="BB1664" s="3" t="s">
        <v>16837</v>
      </c>
      <c r="BC1664" s="3" t="s">
        <v>77</v>
      </c>
      <c r="BD1664" s="3" t="s">
        <v>78</v>
      </c>
      <c r="BE1664" s="3" t="s">
        <v>16838</v>
      </c>
      <c r="BF1664" s="3" t="s">
        <v>16837</v>
      </c>
      <c r="BG1664" s="3" t="s">
        <v>16839</v>
      </c>
      <c r="BH1664">
        <f t="shared" si="45"/>
        <v>0</v>
      </c>
    </row>
    <row r="1665" spans="1:60" ht="58" x14ac:dyDescent="0.35">
      <c r="A1665" s="2" t="s">
        <v>59</v>
      </c>
      <c r="B1665" s="2" t="s">
        <v>60</v>
      </c>
      <c r="C1665" s="2" t="s">
        <v>16840</v>
      </c>
      <c r="D1665" s="2" t="s">
        <v>16841</v>
      </c>
      <c r="E1665" s="2" t="s">
        <v>16842</v>
      </c>
      <c r="G1665" s="3" t="s">
        <v>64</v>
      </c>
      <c r="I1665" s="3" t="s">
        <v>64</v>
      </c>
      <c r="J1665" s="3" t="s">
        <v>64</v>
      </c>
      <c r="K1665" s="3" t="s">
        <v>65</v>
      </c>
      <c r="L1665" s="2" t="s">
        <v>16843</v>
      </c>
      <c r="M1665" s="2" t="s">
        <v>16844</v>
      </c>
      <c r="N1665" s="3" t="s">
        <v>86</v>
      </c>
      <c r="P1665" s="3" t="s">
        <v>102</v>
      </c>
      <c r="Q1665" s="2" t="s">
        <v>8981</v>
      </c>
      <c r="R1665" s="3" t="s">
        <v>70</v>
      </c>
      <c r="S1665" s="4">
        <v>1</v>
      </c>
      <c r="T1665" s="4">
        <v>1</v>
      </c>
      <c r="U1665" s="5" t="s">
        <v>16845</v>
      </c>
      <c r="V1665" s="5" t="s">
        <v>16845</v>
      </c>
      <c r="W1665" s="5" t="s">
        <v>72</v>
      </c>
      <c r="X1665" s="5" t="s">
        <v>72</v>
      </c>
      <c r="Y1665" s="4">
        <v>179</v>
      </c>
      <c r="Z1665" s="4">
        <v>17</v>
      </c>
      <c r="AA1665" s="4">
        <v>83</v>
      </c>
      <c r="AB1665" s="4">
        <v>1</v>
      </c>
      <c r="AC1665" s="4">
        <v>14</v>
      </c>
      <c r="AD1665" s="4">
        <v>35</v>
      </c>
      <c r="AE1665" s="4">
        <v>103</v>
      </c>
      <c r="AF1665" s="4">
        <v>0</v>
      </c>
      <c r="AG1665" s="4">
        <v>8</v>
      </c>
      <c r="AH1665" s="4">
        <v>31</v>
      </c>
      <c r="AI1665" s="4">
        <v>69</v>
      </c>
      <c r="AJ1665" s="4">
        <v>5</v>
      </c>
      <c r="AK1665" s="4">
        <v>18</v>
      </c>
      <c r="AL1665" s="4">
        <v>14</v>
      </c>
      <c r="AM1665" s="4">
        <v>31</v>
      </c>
      <c r="AN1665" s="4">
        <v>0</v>
      </c>
      <c r="AO1665" s="4">
        <v>0</v>
      </c>
      <c r="AP1665" s="4">
        <v>8</v>
      </c>
      <c r="AQ1665" s="4">
        <v>40</v>
      </c>
      <c r="AR1665" s="3" t="s">
        <v>64</v>
      </c>
      <c r="AS1665" s="3" t="s">
        <v>64</v>
      </c>
      <c r="AT1665" s="3" t="s">
        <v>64</v>
      </c>
      <c r="AV1665" s="6" t="str">
        <f>HYPERLINK("http://mcgill.on.worldcat.org/oclc/794902929","Catalog Record")</f>
        <v>Catalog Record</v>
      </c>
      <c r="AW1665" s="6" t="str">
        <f>HYPERLINK("http://www.worldcat.org/oclc/794902929","WorldCat Record")</f>
        <v>WorldCat Record</v>
      </c>
      <c r="AX1665" s="3" t="s">
        <v>16846</v>
      </c>
      <c r="AY1665" s="3" t="s">
        <v>16847</v>
      </c>
      <c r="AZ1665" s="3" t="s">
        <v>16848</v>
      </c>
      <c r="BA1665" s="3" t="s">
        <v>16848</v>
      </c>
      <c r="BB1665" s="3" t="s">
        <v>16849</v>
      </c>
      <c r="BC1665" s="3" t="s">
        <v>77</v>
      </c>
      <c r="BD1665" s="3" t="s">
        <v>78</v>
      </c>
      <c r="BE1665" s="3" t="s">
        <v>16850</v>
      </c>
      <c r="BF1665" s="3" t="s">
        <v>16849</v>
      </c>
      <c r="BG1665" s="3" t="s">
        <v>16851</v>
      </c>
      <c r="BH1665">
        <f t="shared" si="45"/>
        <v>0</v>
      </c>
    </row>
    <row r="1666" spans="1:60" ht="58" x14ac:dyDescent="0.35">
      <c r="A1666" s="2" t="s">
        <v>59</v>
      </c>
      <c r="B1666" s="2" t="s">
        <v>60</v>
      </c>
      <c r="C1666" s="2" t="s">
        <v>16852</v>
      </c>
      <c r="D1666" s="2" t="s">
        <v>16853</v>
      </c>
      <c r="E1666" s="2" t="s">
        <v>16854</v>
      </c>
      <c r="G1666" s="3" t="s">
        <v>64</v>
      </c>
      <c r="I1666" s="3" t="s">
        <v>64</v>
      </c>
      <c r="J1666" s="3" t="s">
        <v>64</v>
      </c>
      <c r="K1666" s="3" t="s">
        <v>65</v>
      </c>
      <c r="L1666" s="2" t="s">
        <v>8954</v>
      </c>
      <c r="M1666" s="2" t="s">
        <v>16855</v>
      </c>
      <c r="N1666" s="3" t="s">
        <v>67</v>
      </c>
      <c r="P1666" s="3" t="s">
        <v>102</v>
      </c>
      <c r="R1666" s="3" t="s">
        <v>70</v>
      </c>
      <c r="S1666" s="4">
        <v>0</v>
      </c>
      <c r="T1666" s="4">
        <v>0</v>
      </c>
      <c r="W1666" s="5" t="s">
        <v>72</v>
      </c>
      <c r="X1666" s="5" t="s">
        <v>72</v>
      </c>
      <c r="Y1666" s="4">
        <v>258</v>
      </c>
      <c r="Z1666" s="4">
        <v>17</v>
      </c>
      <c r="AA1666" s="4">
        <v>89</v>
      </c>
      <c r="AB1666" s="4">
        <v>1</v>
      </c>
      <c r="AC1666" s="4">
        <v>16</v>
      </c>
      <c r="AD1666" s="4">
        <v>39</v>
      </c>
      <c r="AE1666" s="4">
        <v>105</v>
      </c>
      <c r="AF1666" s="4">
        <v>0</v>
      </c>
      <c r="AG1666" s="4">
        <v>8</v>
      </c>
      <c r="AH1666" s="4">
        <v>38</v>
      </c>
      <c r="AI1666" s="4">
        <v>71</v>
      </c>
      <c r="AJ1666" s="4">
        <v>5</v>
      </c>
      <c r="AK1666" s="4">
        <v>20</v>
      </c>
      <c r="AL1666" s="4">
        <v>13</v>
      </c>
      <c r="AM1666" s="4">
        <v>32</v>
      </c>
      <c r="AN1666" s="4">
        <v>0</v>
      </c>
      <c r="AO1666" s="4">
        <v>0</v>
      </c>
      <c r="AP1666" s="4">
        <v>5</v>
      </c>
      <c r="AQ1666" s="4">
        <v>40</v>
      </c>
      <c r="AR1666" s="3" t="s">
        <v>64</v>
      </c>
      <c r="AS1666" s="3" t="s">
        <v>64</v>
      </c>
      <c r="AT1666" s="3" t="s">
        <v>64</v>
      </c>
      <c r="AV1666" s="6" t="str">
        <f>HYPERLINK("http://mcgill.on.worldcat.org/oclc/794711886","Catalog Record")</f>
        <v>Catalog Record</v>
      </c>
      <c r="AW1666" s="6" t="str">
        <f>HYPERLINK("http://www.worldcat.org/oclc/794711886","WorldCat Record")</f>
        <v>WorldCat Record</v>
      </c>
      <c r="AX1666" s="3" t="s">
        <v>16856</v>
      </c>
      <c r="AY1666" s="3" t="s">
        <v>16857</v>
      </c>
      <c r="AZ1666" s="3" t="s">
        <v>16858</v>
      </c>
      <c r="BA1666" s="3" t="s">
        <v>16858</v>
      </c>
      <c r="BB1666" s="3" t="s">
        <v>16859</v>
      </c>
      <c r="BC1666" s="3" t="s">
        <v>77</v>
      </c>
      <c r="BD1666" s="3" t="s">
        <v>78</v>
      </c>
      <c r="BE1666" s="3" t="s">
        <v>16860</v>
      </c>
      <c r="BF1666" s="3" t="s">
        <v>16859</v>
      </c>
      <c r="BG1666" s="3" t="s">
        <v>16861</v>
      </c>
      <c r="BH1666">
        <f t="shared" ref="BH1666:BH1729" si="48">IF(COUNTIF($BF$1:$BF$5431,BF1666)=1,0,1)</f>
        <v>0</v>
      </c>
    </row>
    <row r="1667" spans="1:60" ht="58" x14ac:dyDescent="0.35">
      <c r="A1667" s="2" t="s">
        <v>59</v>
      </c>
      <c r="B1667" s="2" t="s">
        <v>60</v>
      </c>
      <c r="C1667" s="2" t="s">
        <v>16862</v>
      </c>
      <c r="D1667" s="2" t="s">
        <v>16863</v>
      </c>
      <c r="E1667" s="2" t="s">
        <v>16864</v>
      </c>
      <c r="G1667" s="3" t="s">
        <v>64</v>
      </c>
      <c r="I1667" s="3" t="s">
        <v>64</v>
      </c>
      <c r="J1667" s="3" t="s">
        <v>64</v>
      </c>
      <c r="K1667" s="3" t="s">
        <v>65</v>
      </c>
      <c r="L1667" s="2" t="s">
        <v>16865</v>
      </c>
      <c r="M1667" s="2" t="s">
        <v>16866</v>
      </c>
      <c r="N1667" s="3" t="s">
        <v>86</v>
      </c>
      <c r="P1667" s="3" t="s">
        <v>102</v>
      </c>
      <c r="Q1667" s="2" t="s">
        <v>16867</v>
      </c>
      <c r="R1667" s="3" t="s">
        <v>70</v>
      </c>
      <c r="S1667" s="4">
        <v>0</v>
      </c>
      <c r="T1667" s="4">
        <v>0</v>
      </c>
      <c r="W1667" s="5" t="s">
        <v>72</v>
      </c>
      <c r="X1667" s="5" t="s">
        <v>72</v>
      </c>
      <c r="Y1667" s="4">
        <v>187</v>
      </c>
      <c r="Z1667" s="4">
        <v>25</v>
      </c>
      <c r="AA1667" s="4">
        <v>126</v>
      </c>
      <c r="AB1667" s="4">
        <v>1</v>
      </c>
      <c r="AC1667" s="4">
        <v>17</v>
      </c>
      <c r="AD1667" s="4">
        <v>36</v>
      </c>
      <c r="AE1667" s="4">
        <v>119</v>
      </c>
      <c r="AF1667" s="4">
        <v>0</v>
      </c>
      <c r="AG1667" s="4">
        <v>8</v>
      </c>
      <c r="AH1667" s="4">
        <v>29</v>
      </c>
      <c r="AI1667" s="4">
        <v>75</v>
      </c>
      <c r="AJ1667" s="4">
        <v>8</v>
      </c>
      <c r="AK1667" s="4">
        <v>23</v>
      </c>
      <c r="AL1667" s="4">
        <v>19</v>
      </c>
      <c r="AM1667" s="4">
        <v>37</v>
      </c>
      <c r="AN1667" s="4">
        <v>0</v>
      </c>
      <c r="AO1667" s="4">
        <v>0</v>
      </c>
      <c r="AP1667" s="4">
        <v>12</v>
      </c>
      <c r="AQ1667" s="4">
        <v>50</v>
      </c>
      <c r="AR1667" s="3" t="s">
        <v>64</v>
      </c>
      <c r="AS1667" s="3" t="s">
        <v>64</v>
      </c>
      <c r="AT1667" s="3" t="s">
        <v>64</v>
      </c>
      <c r="AV1667" s="6" t="str">
        <f>HYPERLINK("http://mcgill.on.worldcat.org/oclc/786273061","Catalog Record")</f>
        <v>Catalog Record</v>
      </c>
      <c r="AW1667" s="6" t="str">
        <f>HYPERLINK("http://www.worldcat.org/oclc/786273061","WorldCat Record")</f>
        <v>WorldCat Record</v>
      </c>
      <c r="AX1667" s="3" t="s">
        <v>16868</v>
      </c>
      <c r="AY1667" s="3" t="s">
        <v>16869</v>
      </c>
      <c r="AZ1667" s="3" t="s">
        <v>16870</v>
      </c>
      <c r="BA1667" s="3" t="s">
        <v>16870</v>
      </c>
      <c r="BB1667" s="3" t="s">
        <v>16871</v>
      </c>
      <c r="BC1667" s="3" t="s">
        <v>77</v>
      </c>
      <c r="BD1667" s="3" t="s">
        <v>78</v>
      </c>
      <c r="BE1667" s="3" t="s">
        <v>16872</v>
      </c>
      <c r="BF1667" s="3" t="s">
        <v>16871</v>
      </c>
      <c r="BG1667" s="3" t="s">
        <v>16873</v>
      </c>
      <c r="BH1667">
        <f t="shared" si="48"/>
        <v>0</v>
      </c>
    </row>
    <row r="1668" spans="1:60" ht="58" x14ac:dyDescent="0.35">
      <c r="A1668" s="2" t="s">
        <v>59</v>
      </c>
      <c r="B1668" s="2" t="s">
        <v>60</v>
      </c>
      <c r="C1668" s="2" t="s">
        <v>16874</v>
      </c>
      <c r="D1668" s="2" t="s">
        <v>16875</v>
      </c>
      <c r="E1668" s="2" t="s">
        <v>16876</v>
      </c>
      <c r="G1668" s="3" t="s">
        <v>64</v>
      </c>
      <c r="I1668" s="3" t="s">
        <v>64</v>
      </c>
      <c r="J1668" s="3" t="s">
        <v>128</v>
      </c>
      <c r="K1668" s="3" t="s">
        <v>65</v>
      </c>
      <c r="L1668" s="2" t="s">
        <v>16877</v>
      </c>
      <c r="M1668" s="2" t="s">
        <v>14972</v>
      </c>
      <c r="N1668" s="3" t="s">
        <v>511</v>
      </c>
      <c r="O1668" s="2" t="s">
        <v>172</v>
      </c>
      <c r="P1668" s="3" t="s">
        <v>102</v>
      </c>
      <c r="R1668" s="3" t="s">
        <v>70</v>
      </c>
      <c r="S1668" s="4">
        <v>1</v>
      </c>
      <c r="T1668" s="4">
        <v>1</v>
      </c>
      <c r="U1668" s="5" t="s">
        <v>16682</v>
      </c>
      <c r="V1668" s="5" t="s">
        <v>16682</v>
      </c>
      <c r="W1668" s="5" t="s">
        <v>72</v>
      </c>
      <c r="X1668" s="5" t="s">
        <v>72</v>
      </c>
      <c r="Y1668" s="4">
        <v>223</v>
      </c>
      <c r="Z1668" s="4">
        <v>25</v>
      </c>
      <c r="AA1668" s="4">
        <v>136</v>
      </c>
      <c r="AB1668" s="4">
        <v>3</v>
      </c>
      <c r="AC1668" s="4">
        <v>19</v>
      </c>
      <c r="AD1668" s="4">
        <v>33</v>
      </c>
      <c r="AE1668" s="4">
        <v>138</v>
      </c>
      <c r="AF1668" s="4">
        <v>1</v>
      </c>
      <c r="AG1668" s="4">
        <v>9</v>
      </c>
      <c r="AH1668" s="4">
        <v>29</v>
      </c>
      <c r="AI1668" s="4">
        <v>96</v>
      </c>
      <c r="AJ1668" s="4">
        <v>6</v>
      </c>
      <c r="AK1668" s="4">
        <v>24</v>
      </c>
      <c r="AL1668" s="4">
        <v>15</v>
      </c>
      <c r="AM1668" s="4">
        <v>51</v>
      </c>
      <c r="AN1668" s="4">
        <v>0</v>
      </c>
      <c r="AO1668" s="4">
        <v>0</v>
      </c>
      <c r="AP1668" s="4">
        <v>8</v>
      </c>
      <c r="AQ1668" s="4">
        <v>47</v>
      </c>
      <c r="AR1668" s="3" t="s">
        <v>64</v>
      </c>
      <c r="AS1668" s="3" t="s">
        <v>64</v>
      </c>
      <c r="AT1668" s="3" t="s">
        <v>64</v>
      </c>
      <c r="AV1668" s="6" t="str">
        <f>HYPERLINK("http://mcgill.on.worldcat.org/oclc/650076096","Catalog Record")</f>
        <v>Catalog Record</v>
      </c>
      <c r="AW1668" s="6" t="str">
        <f>HYPERLINK("http://www.worldcat.org/oclc/650076096","WorldCat Record")</f>
        <v>WorldCat Record</v>
      </c>
      <c r="AX1668" s="3" t="s">
        <v>16878</v>
      </c>
      <c r="AY1668" s="3" t="s">
        <v>16879</v>
      </c>
      <c r="AZ1668" s="3" t="s">
        <v>16880</v>
      </c>
      <c r="BA1668" s="3" t="s">
        <v>16880</v>
      </c>
      <c r="BB1668" s="3" t="s">
        <v>16881</v>
      </c>
      <c r="BC1668" s="3" t="s">
        <v>77</v>
      </c>
      <c r="BD1668" s="3" t="s">
        <v>78</v>
      </c>
      <c r="BE1668" s="3" t="s">
        <v>16882</v>
      </c>
      <c r="BF1668" s="3" t="s">
        <v>16881</v>
      </c>
      <c r="BG1668" s="3" t="s">
        <v>16883</v>
      </c>
      <c r="BH1668">
        <f t="shared" si="48"/>
        <v>0</v>
      </c>
    </row>
    <row r="1669" spans="1:60" ht="58" x14ac:dyDescent="0.35">
      <c r="A1669" s="2" t="s">
        <v>59</v>
      </c>
      <c r="B1669" s="2" t="s">
        <v>60</v>
      </c>
      <c r="C1669" s="2" t="s">
        <v>16884</v>
      </c>
      <c r="D1669" s="2" t="s">
        <v>16885</v>
      </c>
      <c r="E1669" s="2" t="s">
        <v>16886</v>
      </c>
      <c r="G1669" s="3" t="s">
        <v>64</v>
      </c>
      <c r="H1669" s="3" t="s">
        <v>183</v>
      </c>
      <c r="I1669" s="3" t="s">
        <v>64</v>
      </c>
      <c r="J1669" s="3" t="s">
        <v>64</v>
      </c>
      <c r="K1669" s="3" t="s">
        <v>65</v>
      </c>
      <c r="M1669" s="2" t="s">
        <v>16887</v>
      </c>
      <c r="N1669" s="3" t="s">
        <v>1492</v>
      </c>
      <c r="P1669" s="3" t="s">
        <v>102</v>
      </c>
      <c r="Q1669" s="2" t="s">
        <v>16888</v>
      </c>
      <c r="R1669" s="3" t="s">
        <v>70</v>
      </c>
      <c r="S1669" s="4">
        <v>0</v>
      </c>
      <c r="T1669" s="4">
        <v>0</v>
      </c>
      <c r="W1669" s="5" t="s">
        <v>826</v>
      </c>
      <c r="X1669" s="5" t="s">
        <v>826</v>
      </c>
      <c r="Y1669" s="4">
        <v>19</v>
      </c>
      <c r="Z1669" s="4">
        <v>2</v>
      </c>
      <c r="AA1669" s="4">
        <v>5</v>
      </c>
      <c r="AB1669" s="4">
        <v>1</v>
      </c>
      <c r="AC1669" s="4">
        <v>3</v>
      </c>
      <c r="AD1669" s="4">
        <v>7</v>
      </c>
      <c r="AE1669" s="4">
        <v>10</v>
      </c>
      <c r="AF1669" s="4">
        <v>0</v>
      </c>
      <c r="AG1669" s="4">
        <v>0</v>
      </c>
      <c r="AH1669" s="4">
        <v>6</v>
      </c>
      <c r="AI1669" s="4">
        <v>9</v>
      </c>
      <c r="AJ1669" s="4">
        <v>1</v>
      </c>
      <c r="AK1669" s="4">
        <v>2</v>
      </c>
      <c r="AL1669" s="4">
        <v>4</v>
      </c>
      <c r="AM1669" s="4">
        <v>6</v>
      </c>
      <c r="AN1669" s="4">
        <v>0</v>
      </c>
      <c r="AO1669" s="4">
        <v>0</v>
      </c>
      <c r="AP1669" s="4">
        <v>1</v>
      </c>
      <c r="AQ1669" s="4">
        <v>2</v>
      </c>
      <c r="AR1669" s="3" t="s">
        <v>64</v>
      </c>
      <c r="AS1669" s="3" t="s">
        <v>64</v>
      </c>
      <c r="AT1669" s="3" t="s">
        <v>64</v>
      </c>
      <c r="AV1669" s="6" t="str">
        <f>HYPERLINK("http://mcgill.on.worldcat.org/oclc/1076438307","Catalog Record")</f>
        <v>Catalog Record</v>
      </c>
      <c r="AW1669" s="6" t="str">
        <f>HYPERLINK("http://www.worldcat.org/oclc/1076438307","WorldCat Record")</f>
        <v>WorldCat Record</v>
      </c>
      <c r="AX1669" s="3" t="s">
        <v>16889</v>
      </c>
      <c r="AY1669" s="3" t="s">
        <v>16890</v>
      </c>
      <c r="AZ1669" s="3" t="s">
        <v>16891</v>
      </c>
      <c r="BA1669" s="3" t="s">
        <v>16891</v>
      </c>
      <c r="BB1669" s="3" t="s">
        <v>16892</v>
      </c>
      <c r="BC1669" s="3" t="s">
        <v>77</v>
      </c>
      <c r="BD1669" s="3" t="s">
        <v>78</v>
      </c>
      <c r="BE1669" s="3" t="s">
        <v>16893</v>
      </c>
      <c r="BF1669" s="3" t="s">
        <v>16892</v>
      </c>
      <c r="BG1669" s="3" t="s">
        <v>16894</v>
      </c>
      <c r="BH1669">
        <f t="shared" si="48"/>
        <v>0</v>
      </c>
    </row>
    <row r="1670" spans="1:60" ht="58" x14ac:dyDescent="0.35">
      <c r="A1670" s="2" t="s">
        <v>59</v>
      </c>
      <c r="B1670" s="2" t="s">
        <v>60</v>
      </c>
      <c r="C1670" s="2" t="s">
        <v>16895</v>
      </c>
      <c r="D1670" s="2" t="s">
        <v>16896</v>
      </c>
      <c r="E1670" s="2" t="s">
        <v>16897</v>
      </c>
      <c r="G1670" s="3" t="s">
        <v>64</v>
      </c>
      <c r="I1670" s="3" t="s">
        <v>64</v>
      </c>
      <c r="J1670" s="3" t="s">
        <v>64</v>
      </c>
      <c r="K1670" s="3" t="s">
        <v>65</v>
      </c>
      <c r="L1670" s="2" t="s">
        <v>16898</v>
      </c>
      <c r="M1670" s="2" t="s">
        <v>16899</v>
      </c>
      <c r="N1670" s="3" t="s">
        <v>326</v>
      </c>
      <c r="P1670" s="3" t="s">
        <v>102</v>
      </c>
      <c r="Q1670" s="2" t="s">
        <v>8956</v>
      </c>
      <c r="R1670" s="3" t="s">
        <v>70</v>
      </c>
      <c r="S1670" s="4">
        <v>5</v>
      </c>
      <c r="T1670" s="4">
        <v>5</v>
      </c>
      <c r="U1670" s="5" t="s">
        <v>16900</v>
      </c>
      <c r="V1670" s="5" t="s">
        <v>16900</v>
      </c>
      <c r="W1670" s="5" t="s">
        <v>72</v>
      </c>
      <c r="X1670" s="5" t="s">
        <v>72</v>
      </c>
      <c r="Y1670" s="4">
        <v>799</v>
      </c>
      <c r="Z1670" s="4">
        <v>53</v>
      </c>
      <c r="AA1670" s="4">
        <v>59</v>
      </c>
      <c r="AB1670" s="4">
        <v>3</v>
      </c>
      <c r="AC1670" s="4">
        <v>8</v>
      </c>
      <c r="AD1670" s="4">
        <v>93</v>
      </c>
      <c r="AE1670" s="4">
        <v>98</v>
      </c>
      <c r="AF1670" s="4">
        <v>1</v>
      </c>
      <c r="AG1670" s="4">
        <v>5</v>
      </c>
      <c r="AH1670" s="4">
        <v>79</v>
      </c>
      <c r="AI1670" s="4">
        <v>80</v>
      </c>
      <c r="AJ1670" s="4">
        <v>15</v>
      </c>
      <c r="AK1670" s="4">
        <v>19</v>
      </c>
      <c r="AL1670" s="4">
        <v>37</v>
      </c>
      <c r="AM1670" s="4">
        <v>37</v>
      </c>
      <c r="AN1670" s="4">
        <v>0</v>
      </c>
      <c r="AO1670" s="4">
        <v>0</v>
      </c>
      <c r="AP1670" s="4">
        <v>21</v>
      </c>
      <c r="AQ1670" s="4">
        <v>25</v>
      </c>
      <c r="AR1670" s="3" t="s">
        <v>64</v>
      </c>
      <c r="AS1670" s="3" t="s">
        <v>64</v>
      </c>
      <c r="AT1670" s="3" t="s">
        <v>64</v>
      </c>
      <c r="AV1670" s="6" t="str">
        <f>HYPERLINK("http://mcgill.on.worldcat.org/oclc/658810529","Catalog Record")</f>
        <v>Catalog Record</v>
      </c>
      <c r="AW1670" s="6" t="str">
        <f>HYPERLINK("http://www.worldcat.org/oclc/658810529","WorldCat Record")</f>
        <v>WorldCat Record</v>
      </c>
      <c r="AX1670" s="3" t="s">
        <v>16901</v>
      </c>
      <c r="AY1670" s="3" t="s">
        <v>16902</v>
      </c>
      <c r="AZ1670" s="3" t="s">
        <v>16903</v>
      </c>
      <c r="BA1670" s="3" t="s">
        <v>16903</v>
      </c>
      <c r="BB1670" s="3" t="s">
        <v>16904</v>
      </c>
      <c r="BC1670" s="3" t="s">
        <v>77</v>
      </c>
      <c r="BD1670" s="3" t="s">
        <v>78</v>
      </c>
      <c r="BE1670" s="3" t="s">
        <v>16905</v>
      </c>
      <c r="BF1670" s="3" t="s">
        <v>16904</v>
      </c>
      <c r="BG1670" s="3" t="s">
        <v>16906</v>
      </c>
      <c r="BH1670">
        <f t="shared" si="48"/>
        <v>0</v>
      </c>
    </row>
    <row r="1671" spans="1:60" ht="58" x14ac:dyDescent="0.35">
      <c r="A1671" s="2" t="s">
        <v>59</v>
      </c>
      <c r="B1671" s="2" t="s">
        <v>60</v>
      </c>
      <c r="C1671" s="2" t="s">
        <v>16907</v>
      </c>
      <c r="D1671" s="2" t="s">
        <v>16908</v>
      </c>
      <c r="E1671" s="2" t="s">
        <v>16909</v>
      </c>
      <c r="G1671" s="3" t="s">
        <v>64</v>
      </c>
      <c r="I1671" s="3" t="s">
        <v>64</v>
      </c>
      <c r="J1671" s="3" t="s">
        <v>64</v>
      </c>
      <c r="K1671" s="3" t="s">
        <v>65</v>
      </c>
      <c r="L1671" s="2" t="s">
        <v>16910</v>
      </c>
      <c r="M1671" s="2" t="s">
        <v>16911</v>
      </c>
      <c r="N1671" s="3" t="s">
        <v>1075</v>
      </c>
      <c r="P1671" s="3" t="s">
        <v>102</v>
      </c>
      <c r="R1671" s="3" t="s">
        <v>70</v>
      </c>
      <c r="S1671" s="4">
        <v>5</v>
      </c>
      <c r="T1671" s="4">
        <v>5</v>
      </c>
      <c r="U1671" s="5" t="s">
        <v>2874</v>
      </c>
      <c r="V1671" s="5" t="s">
        <v>2874</v>
      </c>
      <c r="W1671" s="5" t="s">
        <v>72</v>
      </c>
      <c r="X1671" s="5" t="s">
        <v>72</v>
      </c>
      <c r="Y1671" s="4">
        <v>685</v>
      </c>
      <c r="Z1671" s="4">
        <v>35</v>
      </c>
      <c r="AA1671" s="4">
        <v>105</v>
      </c>
      <c r="AB1671" s="4">
        <v>3</v>
      </c>
      <c r="AC1671" s="4">
        <v>22</v>
      </c>
      <c r="AD1671" s="4">
        <v>70</v>
      </c>
      <c r="AE1671" s="4">
        <v>126</v>
      </c>
      <c r="AF1671" s="4">
        <v>1</v>
      </c>
      <c r="AG1671" s="4">
        <v>9</v>
      </c>
      <c r="AH1671" s="4">
        <v>60</v>
      </c>
      <c r="AI1671" s="4">
        <v>86</v>
      </c>
      <c r="AJ1671" s="4">
        <v>8</v>
      </c>
      <c r="AK1671" s="4">
        <v>20</v>
      </c>
      <c r="AL1671" s="4">
        <v>31</v>
      </c>
      <c r="AM1671" s="4">
        <v>44</v>
      </c>
      <c r="AN1671" s="4">
        <v>0</v>
      </c>
      <c r="AO1671" s="4">
        <v>0</v>
      </c>
      <c r="AP1671" s="4">
        <v>15</v>
      </c>
      <c r="AQ1671" s="4">
        <v>45</v>
      </c>
      <c r="AR1671" s="3" t="s">
        <v>64</v>
      </c>
      <c r="AS1671" s="3" t="s">
        <v>64</v>
      </c>
      <c r="AT1671" s="3" t="s">
        <v>64</v>
      </c>
      <c r="AV1671" s="6" t="str">
        <f>HYPERLINK("http://mcgill.on.worldcat.org/oclc/794711883","Catalog Record")</f>
        <v>Catalog Record</v>
      </c>
      <c r="AW1671" s="6" t="str">
        <f>HYPERLINK("http://www.worldcat.org/oclc/794711883","WorldCat Record")</f>
        <v>WorldCat Record</v>
      </c>
      <c r="AX1671" s="3" t="s">
        <v>16912</v>
      </c>
      <c r="AY1671" s="3" t="s">
        <v>16913</v>
      </c>
      <c r="AZ1671" s="3" t="s">
        <v>16914</v>
      </c>
      <c r="BA1671" s="3" t="s">
        <v>16914</v>
      </c>
      <c r="BB1671" s="3" t="s">
        <v>16915</v>
      </c>
      <c r="BC1671" s="3" t="s">
        <v>77</v>
      </c>
      <c r="BD1671" s="3" t="s">
        <v>78</v>
      </c>
      <c r="BE1671" s="3" t="s">
        <v>16916</v>
      </c>
      <c r="BF1671" s="3" t="s">
        <v>16915</v>
      </c>
      <c r="BG1671" s="3" t="s">
        <v>16917</v>
      </c>
      <c r="BH1671">
        <f t="shared" si="48"/>
        <v>0</v>
      </c>
    </row>
    <row r="1672" spans="1:60" ht="58" x14ac:dyDescent="0.35">
      <c r="A1672" s="2" t="s">
        <v>59</v>
      </c>
      <c r="B1672" s="2" t="s">
        <v>60</v>
      </c>
      <c r="C1672" s="2" t="s">
        <v>16918</v>
      </c>
      <c r="D1672" s="2" t="s">
        <v>16919</v>
      </c>
      <c r="E1672" s="2" t="s">
        <v>16920</v>
      </c>
      <c r="G1672" s="3" t="s">
        <v>64</v>
      </c>
      <c r="I1672" s="3" t="s">
        <v>64</v>
      </c>
      <c r="J1672" s="3" t="s">
        <v>64</v>
      </c>
      <c r="K1672" s="3" t="s">
        <v>65</v>
      </c>
      <c r="L1672" s="2" t="s">
        <v>16921</v>
      </c>
      <c r="M1672" s="2" t="s">
        <v>16922</v>
      </c>
      <c r="N1672" s="3" t="s">
        <v>86</v>
      </c>
      <c r="P1672" s="3" t="s">
        <v>102</v>
      </c>
      <c r="Q1672" s="2" t="s">
        <v>16923</v>
      </c>
      <c r="R1672" s="3" t="s">
        <v>70</v>
      </c>
      <c r="S1672" s="4">
        <v>3</v>
      </c>
      <c r="T1672" s="4">
        <v>3</v>
      </c>
      <c r="U1672" s="5" t="s">
        <v>16924</v>
      </c>
      <c r="V1672" s="5" t="s">
        <v>16924</v>
      </c>
      <c r="W1672" s="5" t="s">
        <v>72</v>
      </c>
      <c r="X1672" s="5" t="s">
        <v>72</v>
      </c>
      <c r="Y1672" s="4">
        <v>303</v>
      </c>
      <c r="Z1672" s="4">
        <v>32</v>
      </c>
      <c r="AA1672" s="4">
        <v>120</v>
      </c>
      <c r="AB1672" s="4">
        <v>3</v>
      </c>
      <c r="AC1672" s="4">
        <v>16</v>
      </c>
      <c r="AD1672" s="4">
        <v>48</v>
      </c>
      <c r="AE1672" s="4">
        <v>113</v>
      </c>
      <c r="AF1672" s="4">
        <v>1</v>
      </c>
      <c r="AG1672" s="4">
        <v>8</v>
      </c>
      <c r="AH1672" s="4">
        <v>38</v>
      </c>
      <c r="AI1672" s="4">
        <v>72</v>
      </c>
      <c r="AJ1672" s="4">
        <v>11</v>
      </c>
      <c r="AK1672" s="4">
        <v>23</v>
      </c>
      <c r="AL1672" s="4">
        <v>21</v>
      </c>
      <c r="AM1672" s="4">
        <v>36</v>
      </c>
      <c r="AN1672" s="4">
        <v>0</v>
      </c>
      <c r="AO1672" s="4">
        <v>0</v>
      </c>
      <c r="AP1672" s="4">
        <v>14</v>
      </c>
      <c r="AQ1672" s="4">
        <v>46</v>
      </c>
      <c r="AR1672" s="3" t="s">
        <v>64</v>
      </c>
      <c r="AS1672" s="3" t="s">
        <v>64</v>
      </c>
      <c r="AT1672" s="3" t="s">
        <v>64</v>
      </c>
      <c r="AV1672" s="6" t="str">
        <f>HYPERLINK("http://mcgill.on.worldcat.org/oclc/781077291","Catalog Record")</f>
        <v>Catalog Record</v>
      </c>
      <c r="AW1672" s="6" t="str">
        <f>HYPERLINK("http://www.worldcat.org/oclc/781077291","WorldCat Record")</f>
        <v>WorldCat Record</v>
      </c>
      <c r="AX1672" s="3" t="s">
        <v>16925</v>
      </c>
      <c r="AY1672" s="3" t="s">
        <v>16926</v>
      </c>
      <c r="AZ1672" s="3" t="s">
        <v>16927</v>
      </c>
      <c r="BA1672" s="3" t="s">
        <v>16927</v>
      </c>
      <c r="BB1672" s="3" t="s">
        <v>16928</v>
      </c>
      <c r="BC1672" s="3" t="s">
        <v>77</v>
      </c>
      <c r="BD1672" s="3" t="s">
        <v>78</v>
      </c>
      <c r="BE1672" s="3" t="s">
        <v>16929</v>
      </c>
      <c r="BF1672" s="3" t="s">
        <v>16928</v>
      </c>
      <c r="BG1672" s="3" t="s">
        <v>16930</v>
      </c>
      <c r="BH1672">
        <f t="shared" si="48"/>
        <v>0</v>
      </c>
    </row>
    <row r="1673" spans="1:60" ht="58" x14ac:dyDescent="0.35">
      <c r="A1673" s="2" t="s">
        <v>59</v>
      </c>
      <c r="B1673" s="2" t="s">
        <v>60</v>
      </c>
      <c r="C1673" s="2" t="s">
        <v>16931</v>
      </c>
      <c r="D1673" s="2" t="s">
        <v>16932</v>
      </c>
      <c r="E1673" s="2" t="s">
        <v>16933</v>
      </c>
      <c r="G1673" s="3" t="s">
        <v>64</v>
      </c>
      <c r="I1673" s="3" t="s">
        <v>64</v>
      </c>
      <c r="J1673" s="3" t="s">
        <v>64</v>
      </c>
      <c r="K1673" s="3" t="s">
        <v>65</v>
      </c>
      <c r="M1673" s="2" t="s">
        <v>16934</v>
      </c>
      <c r="N1673" s="3" t="s">
        <v>190</v>
      </c>
      <c r="P1673" s="3" t="s">
        <v>102</v>
      </c>
      <c r="R1673" s="3" t="s">
        <v>70</v>
      </c>
      <c r="S1673" s="4">
        <v>2</v>
      </c>
      <c r="T1673" s="4">
        <v>2</v>
      </c>
      <c r="U1673" s="5" t="s">
        <v>8379</v>
      </c>
      <c r="V1673" s="5" t="s">
        <v>8379</v>
      </c>
      <c r="W1673" s="5" t="s">
        <v>72</v>
      </c>
      <c r="X1673" s="5" t="s">
        <v>72</v>
      </c>
      <c r="Y1673" s="4">
        <v>307</v>
      </c>
      <c r="Z1673" s="4">
        <v>16</v>
      </c>
      <c r="AA1673" s="4">
        <v>77</v>
      </c>
      <c r="AB1673" s="4">
        <v>2</v>
      </c>
      <c r="AC1673" s="4">
        <v>16</v>
      </c>
      <c r="AD1673" s="4">
        <v>58</v>
      </c>
      <c r="AE1673" s="4">
        <v>108</v>
      </c>
      <c r="AF1673" s="4">
        <v>1</v>
      </c>
      <c r="AG1673" s="4">
        <v>9</v>
      </c>
      <c r="AH1673" s="4">
        <v>49</v>
      </c>
      <c r="AI1673" s="4">
        <v>74</v>
      </c>
      <c r="AJ1673" s="4">
        <v>9</v>
      </c>
      <c r="AK1673" s="4">
        <v>20</v>
      </c>
      <c r="AL1673" s="4">
        <v>32</v>
      </c>
      <c r="AM1673" s="4">
        <v>42</v>
      </c>
      <c r="AN1673" s="4">
        <v>0</v>
      </c>
      <c r="AO1673" s="4">
        <v>0</v>
      </c>
      <c r="AP1673" s="4">
        <v>12</v>
      </c>
      <c r="AQ1673" s="4">
        <v>40</v>
      </c>
      <c r="AR1673" s="3" t="s">
        <v>64</v>
      </c>
      <c r="AS1673" s="3" t="s">
        <v>64</v>
      </c>
      <c r="AT1673" s="3" t="s">
        <v>64</v>
      </c>
      <c r="AV1673" s="6" t="str">
        <f>HYPERLINK("http://mcgill.on.worldcat.org/oclc/1004555519","Catalog Record")</f>
        <v>Catalog Record</v>
      </c>
      <c r="AW1673" s="6" t="str">
        <f>HYPERLINK("http://www.worldcat.org/oclc/1004555519","WorldCat Record")</f>
        <v>WorldCat Record</v>
      </c>
      <c r="AX1673" s="3" t="s">
        <v>16935</v>
      </c>
      <c r="AY1673" s="3" t="s">
        <v>16936</v>
      </c>
      <c r="AZ1673" s="3" t="s">
        <v>16937</v>
      </c>
      <c r="BA1673" s="3" t="s">
        <v>16937</v>
      </c>
      <c r="BB1673" s="3" t="s">
        <v>16938</v>
      </c>
      <c r="BC1673" s="3" t="s">
        <v>77</v>
      </c>
      <c r="BD1673" s="3" t="s">
        <v>78</v>
      </c>
      <c r="BE1673" s="3" t="s">
        <v>16939</v>
      </c>
      <c r="BF1673" s="3" t="s">
        <v>16938</v>
      </c>
      <c r="BG1673" s="3" t="s">
        <v>16940</v>
      </c>
      <c r="BH1673">
        <f t="shared" si="48"/>
        <v>0</v>
      </c>
    </row>
    <row r="1674" spans="1:60" ht="58" x14ac:dyDescent="0.35">
      <c r="A1674" s="2" t="s">
        <v>59</v>
      </c>
      <c r="B1674" s="2" t="s">
        <v>60</v>
      </c>
      <c r="C1674" s="2" t="s">
        <v>16941</v>
      </c>
      <c r="D1674" s="2" t="s">
        <v>16942</v>
      </c>
      <c r="E1674" s="2" t="s">
        <v>16943</v>
      </c>
      <c r="G1674" s="3" t="s">
        <v>64</v>
      </c>
      <c r="I1674" s="3" t="s">
        <v>64</v>
      </c>
      <c r="J1674" s="3" t="s">
        <v>64</v>
      </c>
      <c r="K1674" s="3" t="s">
        <v>65</v>
      </c>
      <c r="M1674" s="2" t="s">
        <v>16944</v>
      </c>
      <c r="N1674" s="3" t="s">
        <v>1075</v>
      </c>
      <c r="O1674" s="2" t="s">
        <v>16945</v>
      </c>
      <c r="P1674" s="3" t="s">
        <v>102</v>
      </c>
      <c r="R1674" s="3" t="s">
        <v>70</v>
      </c>
      <c r="S1674" s="4">
        <v>0</v>
      </c>
      <c r="T1674" s="4">
        <v>0</v>
      </c>
      <c r="W1674" s="5" t="s">
        <v>72</v>
      </c>
      <c r="X1674" s="5" t="s">
        <v>72</v>
      </c>
      <c r="Y1674" s="4">
        <v>62</v>
      </c>
      <c r="Z1674" s="4">
        <v>7</v>
      </c>
      <c r="AA1674" s="4">
        <v>27</v>
      </c>
      <c r="AB1674" s="4">
        <v>1</v>
      </c>
      <c r="AC1674" s="4">
        <v>4</v>
      </c>
      <c r="AD1674" s="4">
        <v>18</v>
      </c>
      <c r="AE1674" s="4">
        <v>46</v>
      </c>
      <c r="AF1674" s="4">
        <v>0</v>
      </c>
      <c r="AG1674" s="4">
        <v>3</v>
      </c>
      <c r="AH1674" s="4">
        <v>17</v>
      </c>
      <c r="AI1674" s="4">
        <v>35</v>
      </c>
      <c r="AJ1674" s="4">
        <v>5</v>
      </c>
      <c r="AK1674" s="4">
        <v>12</v>
      </c>
      <c r="AL1674" s="4">
        <v>8</v>
      </c>
      <c r="AM1674" s="4">
        <v>14</v>
      </c>
      <c r="AN1674" s="4">
        <v>0</v>
      </c>
      <c r="AO1674" s="4">
        <v>0</v>
      </c>
      <c r="AP1674" s="4">
        <v>5</v>
      </c>
      <c r="AQ1674" s="4">
        <v>17</v>
      </c>
      <c r="AR1674" s="3" t="s">
        <v>64</v>
      </c>
      <c r="AS1674" s="3" t="s">
        <v>64</v>
      </c>
      <c r="AT1674" s="3" t="s">
        <v>64</v>
      </c>
      <c r="AV1674" s="6" t="str">
        <f>HYPERLINK("http://mcgill.on.worldcat.org/oclc/826895129","Catalog Record")</f>
        <v>Catalog Record</v>
      </c>
      <c r="AW1674" s="6" t="str">
        <f>HYPERLINK("http://www.worldcat.org/oclc/826895129","WorldCat Record")</f>
        <v>WorldCat Record</v>
      </c>
      <c r="AX1674" s="3" t="s">
        <v>16946</v>
      </c>
      <c r="AY1674" s="3" t="s">
        <v>16947</v>
      </c>
      <c r="AZ1674" s="3" t="s">
        <v>16948</v>
      </c>
      <c r="BA1674" s="3" t="s">
        <v>16948</v>
      </c>
      <c r="BB1674" s="3" t="s">
        <v>16949</v>
      </c>
      <c r="BC1674" s="3" t="s">
        <v>77</v>
      </c>
      <c r="BD1674" s="3" t="s">
        <v>78</v>
      </c>
      <c r="BE1674" s="3" t="s">
        <v>16950</v>
      </c>
      <c r="BF1674" s="3" t="s">
        <v>16949</v>
      </c>
      <c r="BG1674" s="3" t="s">
        <v>16951</v>
      </c>
      <c r="BH1674">
        <f t="shared" si="48"/>
        <v>0</v>
      </c>
    </row>
    <row r="1675" spans="1:60" ht="58" x14ac:dyDescent="0.35">
      <c r="A1675" s="2" t="s">
        <v>59</v>
      </c>
      <c r="B1675" s="2" t="s">
        <v>60</v>
      </c>
      <c r="C1675" s="2" t="s">
        <v>16952</v>
      </c>
      <c r="D1675" s="2" t="s">
        <v>16953</v>
      </c>
      <c r="E1675" s="2" t="s">
        <v>16954</v>
      </c>
      <c r="G1675" s="3" t="s">
        <v>64</v>
      </c>
      <c r="I1675" s="3" t="s">
        <v>64</v>
      </c>
      <c r="J1675" s="3" t="s">
        <v>64</v>
      </c>
      <c r="K1675" s="3" t="s">
        <v>65</v>
      </c>
      <c r="L1675" s="2" t="s">
        <v>16955</v>
      </c>
      <c r="M1675" s="2" t="s">
        <v>16956</v>
      </c>
      <c r="N1675" s="3" t="s">
        <v>67</v>
      </c>
      <c r="P1675" s="3" t="s">
        <v>102</v>
      </c>
      <c r="R1675" s="3" t="s">
        <v>70</v>
      </c>
      <c r="S1675" s="4">
        <v>0</v>
      </c>
      <c r="T1675" s="4">
        <v>0</v>
      </c>
      <c r="W1675" s="5" t="s">
        <v>72</v>
      </c>
      <c r="X1675" s="5" t="s">
        <v>72</v>
      </c>
      <c r="Y1675" s="4">
        <v>23</v>
      </c>
      <c r="Z1675" s="4">
        <v>4</v>
      </c>
      <c r="AA1675" s="4">
        <v>6</v>
      </c>
      <c r="AB1675" s="4">
        <v>1</v>
      </c>
      <c r="AC1675" s="4">
        <v>2</v>
      </c>
      <c r="AD1675" s="4">
        <v>5</v>
      </c>
      <c r="AE1675" s="4">
        <v>7</v>
      </c>
      <c r="AF1675" s="4">
        <v>0</v>
      </c>
      <c r="AG1675" s="4">
        <v>0</v>
      </c>
      <c r="AH1675" s="4">
        <v>4</v>
      </c>
      <c r="AI1675" s="4">
        <v>5</v>
      </c>
      <c r="AJ1675" s="4">
        <v>2</v>
      </c>
      <c r="AK1675" s="4">
        <v>2</v>
      </c>
      <c r="AL1675" s="4">
        <v>1</v>
      </c>
      <c r="AM1675" s="4">
        <v>1</v>
      </c>
      <c r="AN1675" s="4">
        <v>0</v>
      </c>
      <c r="AO1675" s="4">
        <v>0</v>
      </c>
      <c r="AP1675" s="4">
        <v>2</v>
      </c>
      <c r="AQ1675" s="4">
        <v>3</v>
      </c>
      <c r="AR1675" s="3" t="s">
        <v>64</v>
      </c>
      <c r="AS1675" s="3" t="s">
        <v>64</v>
      </c>
      <c r="AT1675" s="3" t="s">
        <v>64</v>
      </c>
      <c r="AV1675" s="6" t="str">
        <f>HYPERLINK("http://mcgill.on.worldcat.org/oclc/910923420","Catalog Record")</f>
        <v>Catalog Record</v>
      </c>
      <c r="AW1675" s="6" t="str">
        <f>HYPERLINK("http://www.worldcat.org/oclc/910923420","WorldCat Record")</f>
        <v>WorldCat Record</v>
      </c>
      <c r="AX1675" s="3" t="s">
        <v>16957</v>
      </c>
      <c r="AY1675" s="3" t="s">
        <v>16958</v>
      </c>
      <c r="AZ1675" s="3" t="s">
        <v>16959</v>
      </c>
      <c r="BA1675" s="3" t="s">
        <v>16959</v>
      </c>
      <c r="BB1675" s="3" t="s">
        <v>16960</v>
      </c>
      <c r="BC1675" s="3" t="s">
        <v>77</v>
      </c>
      <c r="BD1675" s="3" t="s">
        <v>78</v>
      </c>
      <c r="BE1675" s="3" t="s">
        <v>16961</v>
      </c>
      <c r="BF1675" s="3" t="s">
        <v>16960</v>
      </c>
      <c r="BG1675" s="3" t="s">
        <v>16962</v>
      </c>
      <c r="BH1675">
        <f t="shared" si="48"/>
        <v>0</v>
      </c>
    </row>
    <row r="1676" spans="1:60" ht="58" x14ac:dyDescent="0.35">
      <c r="A1676" s="2" t="s">
        <v>59</v>
      </c>
      <c r="B1676" s="2" t="s">
        <v>60</v>
      </c>
      <c r="C1676" s="2" t="s">
        <v>16963</v>
      </c>
      <c r="D1676" s="2" t="s">
        <v>16964</v>
      </c>
      <c r="E1676" s="2" t="s">
        <v>16965</v>
      </c>
      <c r="G1676" s="3" t="s">
        <v>64</v>
      </c>
      <c r="I1676" s="3" t="s">
        <v>64</v>
      </c>
      <c r="J1676" s="3" t="s">
        <v>64</v>
      </c>
      <c r="K1676" s="3" t="s">
        <v>65</v>
      </c>
      <c r="L1676" s="2" t="s">
        <v>16966</v>
      </c>
      <c r="M1676" s="2" t="s">
        <v>16967</v>
      </c>
      <c r="N1676" s="3" t="s">
        <v>1075</v>
      </c>
      <c r="P1676" s="3" t="s">
        <v>102</v>
      </c>
      <c r="Q1676" s="2" t="s">
        <v>16968</v>
      </c>
      <c r="R1676" s="3" t="s">
        <v>70</v>
      </c>
      <c r="S1676" s="4">
        <v>4</v>
      </c>
      <c r="T1676" s="4">
        <v>4</v>
      </c>
      <c r="U1676" s="5" t="s">
        <v>16969</v>
      </c>
      <c r="V1676" s="5" t="s">
        <v>16969</v>
      </c>
      <c r="W1676" s="5" t="s">
        <v>72</v>
      </c>
      <c r="X1676" s="5" t="s">
        <v>72</v>
      </c>
      <c r="Y1676" s="4">
        <v>149</v>
      </c>
      <c r="Z1676" s="4">
        <v>16</v>
      </c>
      <c r="AA1676" s="4">
        <v>111</v>
      </c>
      <c r="AB1676" s="4">
        <v>2</v>
      </c>
      <c r="AC1676" s="4">
        <v>16</v>
      </c>
      <c r="AD1676" s="4">
        <v>45</v>
      </c>
      <c r="AE1676" s="4">
        <v>118</v>
      </c>
      <c r="AF1676" s="4">
        <v>1</v>
      </c>
      <c r="AG1676" s="4">
        <v>8</v>
      </c>
      <c r="AH1676" s="4">
        <v>40</v>
      </c>
      <c r="AI1676" s="4">
        <v>79</v>
      </c>
      <c r="AJ1676" s="4">
        <v>12</v>
      </c>
      <c r="AK1676" s="4">
        <v>23</v>
      </c>
      <c r="AL1676" s="4">
        <v>23</v>
      </c>
      <c r="AM1676" s="4">
        <v>40</v>
      </c>
      <c r="AN1676" s="4">
        <v>0</v>
      </c>
      <c r="AO1676" s="4">
        <v>0</v>
      </c>
      <c r="AP1676" s="4">
        <v>13</v>
      </c>
      <c r="AQ1676" s="4">
        <v>45</v>
      </c>
      <c r="AR1676" s="3" t="s">
        <v>64</v>
      </c>
      <c r="AS1676" s="3" t="s">
        <v>64</v>
      </c>
      <c r="AT1676" s="3" t="s">
        <v>64</v>
      </c>
      <c r="AV1676" s="6" t="str">
        <f>HYPERLINK("http://mcgill.on.worldcat.org/oclc/823014110","Catalog Record")</f>
        <v>Catalog Record</v>
      </c>
      <c r="AW1676" s="6" t="str">
        <f>HYPERLINK("http://www.worldcat.org/oclc/823014110","WorldCat Record")</f>
        <v>WorldCat Record</v>
      </c>
      <c r="AX1676" s="3" t="s">
        <v>16970</v>
      </c>
      <c r="AY1676" s="3" t="s">
        <v>16971</v>
      </c>
      <c r="AZ1676" s="3" t="s">
        <v>16972</v>
      </c>
      <c r="BA1676" s="3" t="s">
        <v>16972</v>
      </c>
      <c r="BB1676" s="3" t="s">
        <v>16973</v>
      </c>
      <c r="BC1676" s="3" t="s">
        <v>77</v>
      </c>
      <c r="BD1676" s="3" t="s">
        <v>78</v>
      </c>
      <c r="BE1676" s="3" t="s">
        <v>16974</v>
      </c>
      <c r="BF1676" s="3" t="s">
        <v>16973</v>
      </c>
      <c r="BG1676" s="3" t="s">
        <v>16975</v>
      </c>
      <c r="BH1676">
        <f t="shared" si="48"/>
        <v>0</v>
      </c>
    </row>
    <row r="1677" spans="1:60" ht="58" x14ac:dyDescent="0.35">
      <c r="A1677" s="2" t="s">
        <v>59</v>
      </c>
      <c r="B1677" s="2" t="s">
        <v>60</v>
      </c>
      <c r="C1677" s="2" t="s">
        <v>16976</v>
      </c>
      <c r="D1677" s="2" t="s">
        <v>16977</v>
      </c>
      <c r="E1677" s="2" t="s">
        <v>16978</v>
      </c>
      <c r="G1677" s="3" t="s">
        <v>64</v>
      </c>
      <c r="I1677" s="3" t="s">
        <v>64</v>
      </c>
      <c r="J1677" s="3" t="s">
        <v>64</v>
      </c>
      <c r="K1677" s="3" t="s">
        <v>65</v>
      </c>
      <c r="L1677" s="2" t="s">
        <v>16979</v>
      </c>
      <c r="M1677" s="2" t="s">
        <v>16980</v>
      </c>
      <c r="N1677" s="3" t="s">
        <v>326</v>
      </c>
      <c r="P1677" s="3" t="s">
        <v>102</v>
      </c>
      <c r="Q1677" s="2" t="s">
        <v>16981</v>
      </c>
      <c r="R1677" s="3" t="s">
        <v>70</v>
      </c>
      <c r="S1677" s="4">
        <v>4</v>
      </c>
      <c r="T1677" s="4">
        <v>4</v>
      </c>
      <c r="U1677" s="5" t="s">
        <v>7052</v>
      </c>
      <c r="V1677" s="5" t="s">
        <v>7052</v>
      </c>
      <c r="W1677" s="5" t="s">
        <v>72</v>
      </c>
      <c r="X1677" s="5" t="s">
        <v>72</v>
      </c>
      <c r="Y1677" s="4">
        <v>100</v>
      </c>
      <c r="Z1677" s="4">
        <v>10</v>
      </c>
      <c r="AA1677" s="4">
        <v>27</v>
      </c>
      <c r="AB1677" s="4">
        <v>2</v>
      </c>
      <c r="AC1677" s="4">
        <v>7</v>
      </c>
      <c r="AD1677" s="4">
        <v>27</v>
      </c>
      <c r="AE1677" s="4">
        <v>56</v>
      </c>
      <c r="AF1677" s="4">
        <v>1</v>
      </c>
      <c r="AG1677" s="4">
        <v>3</v>
      </c>
      <c r="AH1677" s="4">
        <v>25</v>
      </c>
      <c r="AI1677" s="4">
        <v>47</v>
      </c>
      <c r="AJ1677" s="4">
        <v>6</v>
      </c>
      <c r="AK1677" s="4">
        <v>12</v>
      </c>
      <c r="AL1677" s="4">
        <v>11</v>
      </c>
      <c r="AM1677" s="4">
        <v>22</v>
      </c>
      <c r="AN1677" s="4">
        <v>0</v>
      </c>
      <c r="AO1677" s="4">
        <v>0</v>
      </c>
      <c r="AP1677" s="4">
        <v>6</v>
      </c>
      <c r="AQ1677" s="4">
        <v>14</v>
      </c>
      <c r="AR1677" s="3" t="s">
        <v>64</v>
      </c>
      <c r="AS1677" s="3" t="s">
        <v>64</v>
      </c>
      <c r="AT1677" s="3" t="s">
        <v>64</v>
      </c>
      <c r="AV1677" s="6" t="str">
        <f>HYPERLINK("http://mcgill.on.worldcat.org/oclc/724732959","Catalog Record")</f>
        <v>Catalog Record</v>
      </c>
      <c r="AW1677" s="6" t="str">
        <f>HYPERLINK("http://www.worldcat.org/oclc/724732959","WorldCat Record")</f>
        <v>WorldCat Record</v>
      </c>
      <c r="AX1677" s="3" t="s">
        <v>16982</v>
      </c>
      <c r="AY1677" s="3" t="s">
        <v>16983</v>
      </c>
      <c r="AZ1677" s="3" t="s">
        <v>16984</v>
      </c>
      <c r="BA1677" s="3" t="s">
        <v>16984</v>
      </c>
      <c r="BB1677" s="3" t="s">
        <v>16985</v>
      </c>
      <c r="BC1677" s="3" t="s">
        <v>77</v>
      </c>
      <c r="BD1677" s="3" t="s">
        <v>78</v>
      </c>
      <c r="BE1677" s="3" t="s">
        <v>16986</v>
      </c>
      <c r="BF1677" s="3" t="s">
        <v>16985</v>
      </c>
      <c r="BG1677" s="3" t="s">
        <v>16987</v>
      </c>
      <c r="BH1677">
        <f t="shared" si="48"/>
        <v>0</v>
      </c>
    </row>
    <row r="1678" spans="1:60" ht="101.5" x14ac:dyDescent="0.35">
      <c r="A1678" s="2" t="s">
        <v>59</v>
      </c>
      <c r="B1678" s="2" t="s">
        <v>60</v>
      </c>
      <c r="C1678" s="2" t="s">
        <v>16988</v>
      </c>
      <c r="D1678" s="2" t="s">
        <v>16989</v>
      </c>
      <c r="E1678" s="2" t="s">
        <v>16990</v>
      </c>
      <c r="G1678" s="3" t="s">
        <v>64</v>
      </c>
      <c r="I1678" s="3" t="s">
        <v>64</v>
      </c>
      <c r="J1678" s="3" t="s">
        <v>64</v>
      </c>
      <c r="K1678" s="3" t="s">
        <v>65</v>
      </c>
      <c r="L1678" s="2" t="s">
        <v>16991</v>
      </c>
      <c r="M1678" s="2" t="s">
        <v>15674</v>
      </c>
      <c r="N1678" s="3" t="s">
        <v>253</v>
      </c>
      <c r="O1678" s="2" t="s">
        <v>16992</v>
      </c>
      <c r="P1678" s="3" t="s">
        <v>102</v>
      </c>
      <c r="R1678" s="3" t="s">
        <v>70</v>
      </c>
      <c r="S1678" s="4">
        <v>4</v>
      </c>
      <c r="T1678" s="4">
        <v>4</v>
      </c>
      <c r="U1678" s="5" t="s">
        <v>2874</v>
      </c>
      <c r="V1678" s="5" t="s">
        <v>2874</v>
      </c>
      <c r="W1678" s="5" t="s">
        <v>72</v>
      </c>
      <c r="X1678" s="5" t="s">
        <v>72</v>
      </c>
      <c r="Y1678" s="4">
        <v>185</v>
      </c>
      <c r="Z1678" s="4">
        <v>5</v>
      </c>
      <c r="AA1678" s="4">
        <v>75</v>
      </c>
      <c r="AB1678" s="4">
        <v>1</v>
      </c>
      <c r="AC1678" s="4">
        <v>17</v>
      </c>
      <c r="AD1678" s="4">
        <v>25</v>
      </c>
      <c r="AE1678" s="4">
        <v>94</v>
      </c>
      <c r="AF1678" s="4">
        <v>0</v>
      </c>
      <c r="AG1678" s="4">
        <v>9</v>
      </c>
      <c r="AH1678" s="4">
        <v>23</v>
      </c>
      <c r="AI1678" s="4">
        <v>61</v>
      </c>
      <c r="AJ1678" s="4">
        <v>1</v>
      </c>
      <c r="AK1678" s="4">
        <v>16</v>
      </c>
      <c r="AL1678" s="4">
        <v>16</v>
      </c>
      <c r="AM1678" s="4">
        <v>33</v>
      </c>
      <c r="AN1678" s="4">
        <v>0</v>
      </c>
      <c r="AO1678" s="4">
        <v>0</v>
      </c>
      <c r="AP1678" s="4">
        <v>2</v>
      </c>
      <c r="AQ1678" s="4">
        <v>37</v>
      </c>
      <c r="AR1678" s="3" t="s">
        <v>64</v>
      </c>
      <c r="AS1678" s="3" t="s">
        <v>64</v>
      </c>
      <c r="AT1678" s="3" t="s">
        <v>64</v>
      </c>
      <c r="AV1678" s="6" t="str">
        <f>HYPERLINK("http://mcgill.on.worldcat.org/oclc/900052388","Catalog Record")</f>
        <v>Catalog Record</v>
      </c>
      <c r="AW1678" s="6" t="str">
        <f>HYPERLINK("http://www.worldcat.org/oclc/900052388","WorldCat Record")</f>
        <v>WorldCat Record</v>
      </c>
      <c r="AX1678" s="3" t="s">
        <v>16993</v>
      </c>
      <c r="AY1678" s="3" t="s">
        <v>16994</v>
      </c>
      <c r="AZ1678" s="3" t="s">
        <v>16995</v>
      </c>
      <c r="BA1678" s="3" t="s">
        <v>16995</v>
      </c>
      <c r="BB1678" s="3" t="s">
        <v>16996</v>
      </c>
      <c r="BC1678" s="3" t="s">
        <v>77</v>
      </c>
      <c r="BD1678" s="3" t="s">
        <v>78</v>
      </c>
      <c r="BE1678" s="3" t="s">
        <v>16997</v>
      </c>
      <c r="BF1678" s="3" t="s">
        <v>16996</v>
      </c>
      <c r="BG1678" s="3" t="s">
        <v>16998</v>
      </c>
      <c r="BH1678">
        <f t="shared" si="48"/>
        <v>0</v>
      </c>
    </row>
    <row r="1679" spans="1:60" ht="58" x14ac:dyDescent="0.35">
      <c r="A1679" s="2" t="s">
        <v>59</v>
      </c>
      <c r="B1679" s="2" t="s">
        <v>60</v>
      </c>
      <c r="C1679" s="2" t="s">
        <v>16999</v>
      </c>
      <c r="D1679" s="2" t="s">
        <v>17000</v>
      </c>
      <c r="E1679" s="2" t="s">
        <v>17001</v>
      </c>
      <c r="G1679" s="3" t="s">
        <v>64</v>
      </c>
      <c r="I1679" s="3" t="s">
        <v>64</v>
      </c>
      <c r="J1679" s="3" t="s">
        <v>64</v>
      </c>
      <c r="K1679" s="3" t="s">
        <v>65</v>
      </c>
      <c r="L1679" s="2" t="s">
        <v>16651</v>
      </c>
      <c r="M1679" s="2" t="s">
        <v>16922</v>
      </c>
      <c r="N1679" s="3" t="s">
        <v>86</v>
      </c>
      <c r="P1679" s="3" t="s">
        <v>102</v>
      </c>
      <c r="Q1679" s="2" t="s">
        <v>17002</v>
      </c>
      <c r="R1679" s="3" t="s">
        <v>70</v>
      </c>
      <c r="S1679" s="4">
        <v>2</v>
      </c>
      <c r="T1679" s="4">
        <v>2</v>
      </c>
      <c r="U1679" s="5" t="s">
        <v>17003</v>
      </c>
      <c r="V1679" s="5" t="s">
        <v>17003</v>
      </c>
      <c r="W1679" s="5" t="s">
        <v>72</v>
      </c>
      <c r="X1679" s="5" t="s">
        <v>72</v>
      </c>
      <c r="Y1679" s="4">
        <v>252</v>
      </c>
      <c r="Z1679" s="4">
        <v>26</v>
      </c>
      <c r="AA1679" s="4">
        <v>119</v>
      </c>
      <c r="AB1679" s="4">
        <v>1</v>
      </c>
      <c r="AC1679" s="4">
        <v>16</v>
      </c>
      <c r="AD1679" s="4">
        <v>46</v>
      </c>
      <c r="AE1679" s="4">
        <v>121</v>
      </c>
      <c r="AF1679" s="4">
        <v>0</v>
      </c>
      <c r="AG1679" s="4">
        <v>8</v>
      </c>
      <c r="AH1679" s="4">
        <v>36</v>
      </c>
      <c r="AI1679" s="4">
        <v>78</v>
      </c>
      <c r="AJ1679" s="4">
        <v>9</v>
      </c>
      <c r="AK1679" s="4">
        <v>24</v>
      </c>
      <c r="AL1679" s="4">
        <v>23</v>
      </c>
      <c r="AM1679" s="4">
        <v>39</v>
      </c>
      <c r="AN1679" s="4">
        <v>0</v>
      </c>
      <c r="AO1679" s="4">
        <v>0</v>
      </c>
      <c r="AP1679" s="4">
        <v>13</v>
      </c>
      <c r="AQ1679" s="4">
        <v>48</v>
      </c>
      <c r="AR1679" s="3" t="s">
        <v>64</v>
      </c>
      <c r="AS1679" s="3" t="s">
        <v>64</v>
      </c>
      <c r="AT1679" s="3" t="s">
        <v>64</v>
      </c>
      <c r="AV1679" s="6" t="str">
        <f>HYPERLINK("http://mcgill.on.worldcat.org/oclc/783520712","Catalog Record")</f>
        <v>Catalog Record</v>
      </c>
      <c r="AW1679" s="6" t="str">
        <f>HYPERLINK("http://www.worldcat.org/oclc/783520712","WorldCat Record")</f>
        <v>WorldCat Record</v>
      </c>
      <c r="AX1679" s="3" t="s">
        <v>17004</v>
      </c>
      <c r="AY1679" s="3" t="s">
        <v>17005</v>
      </c>
      <c r="AZ1679" s="3" t="s">
        <v>17006</v>
      </c>
      <c r="BA1679" s="3" t="s">
        <v>17006</v>
      </c>
      <c r="BB1679" s="3" t="s">
        <v>17007</v>
      </c>
      <c r="BC1679" s="3" t="s">
        <v>77</v>
      </c>
      <c r="BD1679" s="3" t="s">
        <v>78</v>
      </c>
      <c r="BE1679" s="3" t="s">
        <v>17008</v>
      </c>
      <c r="BF1679" s="3" t="s">
        <v>17007</v>
      </c>
      <c r="BG1679" s="3" t="s">
        <v>17009</v>
      </c>
      <c r="BH1679">
        <f t="shared" si="48"/>
        <v>0</v>
      </c>
    </row>
    <row r="1680" spans="1:60" ht="58" x14ac:dyDescent="0.35">
      <c r="A1680" s="2" t="s">
        <v>59</v>
      </c>
      <c r="B1680" s="2" t="s">
        <v>60</v>
      </c>
      <c r="C1680" s="2" t="s">
        <v>17010</v>
      </c>
      <c r="D1680" s="2" t="s">
        <v>17011</v>
      </c>
      <c r="E1680" s="2" t="s">
        <v>17012</v>
      </c>
      <c r="G1680" s="3" t="s">
        <v>64</v>
      </c>
      <c r="I1680" s="3" t="s">
        <v>64</v>
      </c>
      <c r="J1680" s="3" t="s">
        <v>64</v>
      </c>
      <c r="K1680" s="3" t="s">
        <v>65</v>
      </c>
      <c r="L1680" s="2" t="s">
        <v>17013</v>
      </c>
      <c r="M1680" s="2" t="s">
        <v>9095</v>
      </c>
      <c r="N1680" s="3" t="s">
        <v>551</v>
      </c>
      <c r="P1680" s="3" t="s">
        <v>102</v>
      </c>
      <c r="Q1680" s="2" t="s">
        <v>16981</v>
      </c>
      <c r="R1680" s="3" t="s">
        <v>70</v>
      </c>
      <c r="S1680" s="4">
        <v>4</v>
      </c>
      <c r="T1680" s="4">
        <v>4</v>
      </c>
      <c r="U1680" s="5" t="s">
        <v>17014</v>
      </c>
      <c r="V1680" s="5" t="s">
        <v>17014</v>
      </c>
      <c r="W1680" s="5" t="s">
        <v>72</v>
      </c>
      <c r="X1680" s="5" t="s">
        <v>72</v>
      </c>
      <c r="Y1680" s="4">
        <v>162</v>
      </c>
      <c r="Z1680" s="4">
        <v>12</v>
      </c>
      <c r="AA1680" s="4">
        <v>19</v>
      </c>
      <c r="AB1680" s="4">
        <v>1</v>
      </c>
      <c r="AC1680" s="4">
        <v>7</v>
      </c>
      <c r="AD1680" s="4">
        <v>37</v>
      </c>
      <c r="AE1680" s="4">
        <v>45</v>
      </c>
      <c r="AF1680" s="4">
        <v>0</v>
      </c>
      <c r="AG1680" s="4">
        <v>3</v>
      </c>
      <c r="AH1680" s="4">
        <v>31</v>
      </c>
      <c r="AI1680" s="4">
        <v>37</v>
      </c>
      <c r="AJ1680" s="4">
        <v>7</v>
      </c>
      <c r="AK1680" s="4">
        <v>10</v>
      </c>
      <c r="AL1680" s="4">
        <v>19</v>
      </c>
      <c r="AM1680" s="4">
        <v>21</v>
      </c>
      <c r="AN1680" s="4">
        <v>0</v>
      </c>
      <c r="AO1680" s="4">
        <v>0</v>
      </c>
      <c r="AP1680" s="4">
        <v>9</v>
      </c>
      <c r="AQ1680" s="4">
        <v>11</v>
      </c>
      <c r="AR1680" s="3" t="s">
        <v>64</v>
      </c>
      <c r="AS1680" s="3" t="s">
        <v>64</v>
      </c>
      <c r="AT1680" s="3" t="s">
        <v>128</v>
      </c>
      <c r="AU1680" s="6" t="str">
        <f>HYPERLINK("http://catalog.hathitrust.org/Record/007484835","HathiTrust Record")</f>
        <v>HathiTrust Record</v>
      </c>
      <c r="AV1680" s="6" t="str">
        <f>HYPERLINK("http://mcgill.on.worldcat.org/oclc/312014879","Catalog Record")</f>
        <v>Catalog Record</v>
      </c>
      <c r="AW1680" s="6" t="str">
        <f>HYPERLINK("http://www.worldcat.org/oclc/312014879","WorldCat Record")</f>
        <v>WorldCat Record</v>
      </c>
      <c r="AX1680" s="3" t="s">
        <v>17015</v>
      </c>
      <c r="AY1680" s="3" t="s">
        <v>17016</v>
      </c>
      <c r="AZ1680" s="3" t="s">
        <v>17017</v>
      </c>
      <c r="BA1680" s="3" t="s">
        <v>17017</v>
      </c>
      <c r="BB1680" s="3" t="s">
        <v>17018</v>
      </c>
      <c r="BC1680" s="3" t="s">
        <v>77</v>
      </c>
      <c r="BD1680" s="3" t="s">
        <v>78</v>
      </c>
      <c r="BE1680" s="3" t="s">
        <v>17019</v>
      </c>
      <c r="BF1680" s="3" t="s">
        <v>17018</v>
      </c>
      <c r="BG1680" s="3" t="s">
        <v>17020</v>
      </c>
      <c r="BH1680">
        <f t="shared" si="48"/>
        <v>0</v>
      </c>
    </row>
    <row r="1681" spans="1:60" ht="58" x14ac:dyDescent="0.35">
      <c r="A1681" s="2" t="s">
        <v>59</v>
      </c>
      <c r="B1681" s="2" t="s">
        <v>60</v>
      </c>
      <c r="C1681" s="2" t="s">
        <v>17021</v>
      </c>
      <c r="D1681" s="2" t="s">
        <v>17022</v>
      </c>
      <c r="E1681" s="2" t="s">
        <v>17023</v>
      </c>
      <c r="G1681" s="3" t="s">
        <v>64</v>
      </c>
      <c r="I1681" s="3" t="s">
        <v>64</v>
      </c>
      <c r="J1681" s="3" t="s">
        <v>64</v>
      </c>
      <c r="K1681" s="3" t="s">
        <v>65</v>
      </c>
      <c r="L1681" s="2" t="s">
        <v>17024</v>
      </c>
      <c r="M1681" s="2" t="s">
        <v>17025</v>
      </c>
      <c r="N1681" s="3" t="s">
        <v>1075</v>
      </c>
      <c r="P1681" s="3" t="s">
        <v>102</v>
      </c>
      <c r="Q1681" s="2" t="s">
        <v>17026</v>
      </c>
      <c r="R1681" s="3" t="s">
        <v>70</v>
      </c>
      <c r="S1681" s="4">
        <v>0</v>
      </c>
      <c r="T1681" s="4">
        <v>0</v>
      </c>
      <c r="W1681" s="5" t="s">
        <v>72</v>
      </c>
      <c r="X1681" s="5" t="s">
        <v>72</v>
      </c>
      <c r="Y1681" s="4">
        <v>239</v>
      </c>
      <c r="Z1681" s="4">
        <v>13</v>
      </c>
      <c r="AA1681" s="4">
        <v>113</v>
      </c>
      <c r="AB1681" s="4">
        <v>1</v>
      </c>
      <c r="AC1681" s="4">
        <v>16</v>
      </c>
      <c r="AD1681" s="4">
        <v>62</v>
      </c>
      <c r="AE1681" s="4">
        <v>126</v>
      </c>
      <c r="AF1681" s="4">
        <v>0</v>
      </c>
      <c r="AG1681" s="4">
        <v>8</v>
      </c>
      <c r="AH1681" s="4">
        <v>57</v>
      </c>
      <c r="AI1681" s="4">
        <v>86</v>
      </c>
      <c r="AJ1681" s="4">
        <v>7</v>
      </c>
      <c r="AK1681" s="4">
        <v>22</v>
      </c>
      <c r="AL1681" s="4">
        <v>29</v>
      </c>
      <c r="AM1681" s="4">
        <v>43</v>
      </c>
      <c r="AN1681" s="4">
        <v>0</v>
      </c>
      <c r="AO1681" s="4">
        <v>0</v>
      </c>
      <c r="AP1681" s="4">
        <v>9</v>
      </c>
      <c r="AQ1681" s="4">
        <v>45</v>
      </c>
      <c r="AR1681" s="3" t="s">
        <v>64</v>
      </c>
      <c r="AS1681" s="3" t="s">
        <v>64</v>
      </c>
      <c r="AT1681" s="3" t="s">
        <v>64</v>
      </c>
      <c r="AV1681" s="6" t="str">
        <f>HYPERLINK("http://mcgill.on.worldcat.org/oclc/823014044","Catalog Record")</f>
        <v>Catalog Record</v>
      </c>
      <c r="AW1681" s="6" t="str">
        <f>HYPERLINK("http://www.worldcat.org/oclc/823014044","WorldCat Record")</f>
        <v>WorldCat Record</v>
      </c>
      <c r="AX1681" s="3" t="s">
        <v>17027</v>
      </c>
      <c r="AY1681" s="3" t="s">
        <v>17028</v>
      </c>
      <c r="AZ1681" s="3" t="s">
        <v>17029</v>
      </c>
      <c r="BA1681" s="3" t="s">
        <v>17029</v>
      </c>
      <c r="BB1681" s="3" t="s">
        <v>17030</v>
      </c>
      <c r="BC1681" s="3" t="s">
        <v>77</v>
      </c>
      <c r="BD1681" s="3" t="s">
        <v>78</v>
      </c>
      <c r="BE1681" s="3" t="s">
        <v>17031</v>
      </c>
      <c r="BF1681" s="3" t="s">
        <v>17030</v>
      </c>
      <c r="BG1681" s="3" t="s">
        <v>17032</v>
      </c>
      <c r="BH1681">
        <f t="shared" si="48"/>
        <v>0</v>
      </c>
    </row>
    <row r="1682" spans="1:60" ht="58" x14ac:dyDescent="0.35">
      <c r="A1682" s="2" t="s">
        <v>59</v>
      </c>
      <c r="B1682" s="2" t="s">
        <v>60</v>
      </c>
      <c r="C1682" s="2" t="s">
        <v>17033</v>
      </c>
      <c r="D1682" s="2" t="s">
        <v>17034</v>
      </c>
      <c r="E1682" s="2" t="s">
        <v>17035</v>
      </c>
      <c r="G1682" s="3" t="s">
        <v>64</v>
      </c>
      <c r="I1682" s="3" t="s">
        <v>64</v>
      </c>
      <c r="J1682" s="3" t="s">
        <v>64</v>
      </c>
      <c r="K1682" s="3" t="s">
        <v>65</v>
      </c>
      <c r="L1682" s="2" t="s">
        <v>17036</v>
      </c>
      <c r="M1682" s="2" t="s">
        <v>12994</v>
      </c>
      <c r="N1682" s="3" t="s">
        <v>144</v>
      </c>
      <c r="P1682" s="3" t="s">
        <v>102</v>
      </c>
      <c r="Q1682" s="2" t="s">
        <v>8981</v>
      </c>
      <c r="R1682" s="3" t="s">
        <v>70</v>
      </c>
      <c r="S1682" s="4">
        <v>11</v>
      </c>
      <c r="T1682" s="4">
        <v>11</v>
      </c>
      <c r="U1682" s="5" t="s">
        <v>17037</v>
      </c>
      <c r="V1682" s="5" t="s">
        <v>17037</v>
      </c>
      <c r="W1682" s="5" t="s">
        <v>72</v>
      </c>
      <c r="X1682" s="5" t="s">
        <v>72</v>
      </c>
      <c r="Y1682" s="4">
        <v>232</v>
      </c>
      <c r="Z1682" s="4">
        <v>20</v>
      </c>
      <c r="AA1682" s="4">
        <v>26</v>
      </c>
      <c r="AB1682" s="4">
        <v>3</v>
      </c>
      <c r="AC1682" s="4">
        <v>7</v>
      </c>
      <c r="AD1682" s="4">
        <v>36</v>
      </c>
      <c r="AE1682" s="4">
        <v>43</v>
      </c>
      <c r="AF1682" s="4">
        <v>1</v>
      </c>
      <c r="AG1682" s="4">
        <v>3</v>
      </c>
      <c r="AH1682" s="4">
        <v>29</v>
      </c>
      <c r="AI1682" s="4">
        <v>34</v>
      </c>
      <c r="AJ1682" s="4">
        <v>10</v>
      </c>
      <c r="AK1682" s="4">
        <v>12</v>
      </c>
      <c r="AL1682" s="4">
        <v>16</v>
      </c>
      <c r="AM1682" s="4">
        <v>18</v>
      </c>
      <c r="AN1682" s="4">
        <v>0</v>
      </c>
      <c r="AO1682" s="4">
        <v>0</v>
      </c>
      <c r="AP1682" s="4">
        <v>12</v>
      </c>
      <c r="AQ1682" s="4">
        <v>14</v>
      </c>
      <c r="AR1682" s="3" t="s">
        <v>64</v>
      </c>
      <c r="AS1682" s="3" t="s">
        <v>64</v>
      </c>
      <c r="AT1682" s="3" t="s">
        <v>64</v>
      </c>
      <c r="AV1682" s="6" t="str">
        <f>HYPERLINK("http://mcgill.on.worldcat.org/oclc/180477398","Catalog Record")</f>
        <v>Catalog Record</v>
      </c>
      <c r="AW1682" s="6" t="str">
        <f>HYPERLINK("http://www.worldcat.org/oclc/180477398","WorldCat Record")</f>
        <v>WorldCat Record</v>
      </c>
      <c r="AX1682" s="3" t="s">
        <v>17038</v>
      </c>
      <c r="AY1682" s="3" t="s">
        <v>17039</v>
      </c>
      <c r="AZ1682" s="3" t="s">
        <v>17040</v>
      </c>
      <c r="BA1682" s="3" t="s">
        <v>17040</v>
      </c>
      <c r="BB1682" s="3" t="s">
        <v>17041</v>
      </c>
      <c r="BC1682" s="3" t="s">
        <v>77</v>
      </c>
      <c r="BD1682" s="3" t="s">
        <v>78</v>
      </c>
      <c r="BE1682" s="3" t="s">
        <v>17042</v>
      </c>
      <c r="BF1682" s="3" t="s">
        <v>17041</v>
      </c>
      <c r="BG1682" s="3" t="s">
        <v>17043</v>
      </c>
      <c r="BH1682">
        <f t="shared" si="48"/>
        <v>0</v>
      </c>
    </row>
    <row r="1683" spans="1:60" ht="58" x14ac:dyDescent="0.35">
      <c r="A1683" s="2" t="s">
        <v>59</v>
      </c>
      <c r="B1683" s="2" t="s">
        <v>60</v>
      </c>
      <c r="C1683" s="2" t="s">
        <v>17044</v>
      </c>
      <c r="D1683" s="2" t="s">
        <v>17045</v>
      </c>
      <c r="E1683" s="2" t="s">
        <v>17046</v>
      </c>
      <c r="G1683" s="3" t="s">
        <v>64</v>
      </c>
      <c r="I1683" s="3" t="s">
        <v>64</v>
      </c>
      <c r="J1683" s="3" t="s">
        <v>64</v>
      </c>
      <c r="K1683" s="3" t="s">
        <v>65</v>
      </c>
      <c r="L1683" s="2" t="s">
        <v>17047</v>
      </c>
      <c r="M1683" s="2" t="s">
        <v>17048</v>
      </c>
      <c r="N1683" s="3" t="s">
        <v>67</v>
      </c>
      <c r="P1683" s="3" t="s">
        <v>102</v>
      </c>
      <c r="Q1683" s="2" t="s">
        <v>17049</v>
      </c>
      <c r="R1683" s="3" t="s">
        <v>70</v>
      </c>
      <c r="S1683" s="4">
        <v>2</v>
      </c>
      <c r="T1683" s="4">
        <v>2</v>
      </c>
      <c r="U1683" s="5" t="s">
        <v>17050</v>
      </c>
      <c r="V1683" s="5" t="s">
        <v>17050</v>
      </c>
      <c r="W1683" s="5" t="s">
        <v>72</v>
      </c>
      <c r="X1683" s="5" t="s">
        <v>72</v>
      </c>
      <c r="Y1683" s="4">
        <v>209</v>
      </c>
      <c r="Z1683" s="4">
        <v>10</v>
      </c>
      <c r="AA1683" s="4">
        <v>103</v>
      </c>
      <c r="AB1683" s="4">
        <v>3</v>
      </c>
      <c r="AC1683" s="4">
        <v>16</v>
      </c>
      <c r="AD1683" s="4">
        <v>47</v>
      </c>
      <c r="AE1683" s="4">
        <v>118</v>
      </c>
      <c r="AF1683" s="4">
        <v>1</v>
      </c>
      <c r="AG1683" s="4">
        <v>8</v>
      </c>
      <c r="AH1683" s="4">
        <v>45</v>
      </c>
      <c r="AI1683" s="4">
        <v>79</v>
      </c>
      <c r="AJ1683" s="4">
        <v>5</v>
      </c>
      <c r="AK1683" s="4">
        <v>20</v>
      </c>
      <c r="AL1683" s="4">
        <v>21</v>
      </c>
      <c r="AM1683" s="4">
        <v>39</v>
      </c>
      <c r="AN1683" s="4">
        <v>0</v>
      </c>
      <c r="AO1683" s="4">
        <v>0</v>
      </c>
      <c r="AP1683" s="4">
        <v>4</v>
      </c>
      <c r="AQ1683" s="4">
        <v>43</v>
      </c>
      <c r="AR1683" s="3" t="s">
        <v>64</v>
      </c>
      <c r="AS1683" s="3" t="s">
        <v>64</v>
      </c>
      <c r="AT1683" s="3" t="s">
        <v>64</v>
      </c>
      <c r="AV1683" s="6" t="str">
        <f>HYPERLINK("http://mcgill.on.worldcat.org/oclc/859252940","Catalog Record")</f>
        <v>Catalog Record</v>
      </c>
      <c r="AW1683" s="6" t="str">
        <f>HYPERLINK("http://www.worldcat.org/oclc/859252940","WorldCat Record")</f>
        <v>WorldCat Record</v>
      </c>
      <c r="AX1683" s="3" t="s">
        <v>17051</v>
      </c>
      <c r="AY1683" s="3" t="s">
        <v>17052</v>
      </c>
      <c r="AZ1683" s="3" t="s">
        <v>17053</v>
      </c>
      <c r="BA1683" s="3" t="s">
        <v>17053</v>
      </c>
      <c r="BB1683" s="3" t="s">
        <v>17054</v>
      </c>
      <c r="BC1683" s="3" t="s">
        <v>77</v>
      </c>
      <c r="BD1683" s="3" t="s">
        <v>78</v>
      </c>
      <c r="BE1683" s="3" t="s">
        <v>17055</v>
      </c>
      <c r="BF1683" s="3" t="s">
        <v>17054</v>
      </c>
      <c r="BG1683" s="3" t="s">
        <v>17056</v>
      </c>
      <c r="BH1683">
        <f t="shared" si="48"/>
        <v>0</v>
      </c>
    </row>
    <row r="1684" spans="1:60" ht="58" x14ac:dyDescent="0.35">
      <c r="A1684" s="2" t="s">
        <v>59</v>
      </c>
      <c r="B1684" s="2" t="s">
        <v>60</v>
      </c>
      <c r="C1684" s="2" t="s">
        <v>17057</v>
      </c>
      <c r="D1684" s="2" t="s">
        <v>17058</v>
      </c>
      <c r="E1684" s="2" t="s">
        <v>17059</v>
      </c>
      <c r="G1684" s="3" t="s">
        <v>64</v>
      </c>
      <c r="I1684" s="3" t="s">
        <v>64</v>
      </c>
      <c r="J1684" s="3" t="s">
        <v>64</v>
      </c>
      <c r="K1684" s="3" t="s">
        <v>65</v>
      </c>
      <c r="L1684" s="2" t="s">
        <v>17060</v>
      </c>
      <c r="M1684" s="2" t="s">
        <v>15618</v>
      </c>
      <c r="N1684" s="3" t="s">
        <v>1075</v>
      </c>
      <c r="P1684" s="3" t="s">
        <v>102</v>
      </c>
      <c r="R1684" s="3" t="s">
        <v>70</v>
      </c>
      <c r="S1684" s="4">
        <v>1</v>
      </c>
      <c r="T1684" s="4">
        <v>1</v>
      </c>
      <c r="U1684" s="5" t="s">
        <v>13933</v>
      </c>
      <c r="V1684" s="5" t="s">
        <v>13933</v>
      </c>
      <c r="W1684" s="5" t="s">
        <v>72</v>
      </c>
      <c r="X1684" s="5" t="s">
        <v>72</v>
      </c>
      <c r="Y1684" s="4">
        <v>329</v>
      </c>
      <c r="Z1684" s="4">
        <v>14</v>
      </c>
      <c r="AA1684" s="4">
        <v>110</v>
      </c>
      <c r="AB1684" s="4">
        <v>1</v>
      </c>
      <c r="AC1684" s="4">
        <v>15</v>
      </c>
      <c r="AD1684" s="4">
        <v>58</v>
      </c>
      <c r="AE1684" s="4">
        <v>126</v>
      </c>
      <c r="AF1684" s="4">
        <v>0</v>
      </c>
      <c r="AG1684" s="4">
        <v>8</v>
      </c>
      <c r="AH1684" s="4">
        <v>56</v>
      </c>
      <c r="AI1684" s="4">
        <v>88</v>
      </c>
      <c r="AJ1684" s="4">
        <v>6</v>
      </c>
      <c r="AK1684" s="4">
        <v>21</v>
      </c>
      <c r="AL1684" s="4">
        <v>25</v>
      </c>
      <c r="AM1684" s="4">
        <v>43</v>
      </c>
      <c r="AN1684" s="4">
        <v>0</v>
      </c>
      <c r="AO1684" s="4">
        <v>0</v>
      </c>
      <c r="AP1684" s="4">
        <v>6</v>
      </c>
      <c r="AQ1684" s="4">
        <v>43</v>
      </c>
      <c r="AR1684" s="3" t="s">
        <v>64</v>
      </c>
      <c r="AS1684" s="3" t="s">
        <v>64</v>
      </c>
      <c r="AT1684" s="3" t="s">
        <v>64</v>
      </c>
      <c r="AV1684" s="6" t="str">
        <f>HYPERLINK("http://mcgill.on.worldcat.org/oclc/779875322","Catalog Record")</f>
        <v>Catalog Record</v>
      </c>
      <c r="AW1684" s="6" t="str">
        <f>HYPERLINK("http://www.worldcat.org/oclc/779875322","WorldCat Record")</f>
        <v>WorldCat Record</v>
      </c>
      <c r="AX1684" s="3" t="s">
        <v>17061</v>
      </c>
      <c r="AY1684" s="3" t="s">
        <v>17062</v>
      </c>
      <c r="AZ1684" s="3" t="s">
        <v>17063</v>
      </c>
      <c r="BA1684" s="3" t="s">
        <v>17063</v>
      </c>
      <c r="BB1684" s="3" t="s">
        <v>17064</v>
      </c>
      <c r="BC1684" s="3" t="s">
        <v>77</v>
      </c>
      <c r="BD1684" s="3" t="s">
        <v>78</v>
      </c>
      <c r="BE1684" s="3" t="s">
        <v>17065</v>
      </c>
      <c r="BF1684" s="3" t="s">
        <v>17064</v>
      </c>
      <c r="BG1684" s="3" t="s">
        <v>17066</v>
      </c>
      <c r="BH1684">
        <f t="shared" si="48"/>
        <v>0</v>
      </c>
    </row>
    <row r="1685" spans="1:60" ht="58" x14ac:dyDescent="0.35">
      <c r="A1685" s="2" t="s">
        <v>59</v>
      </c>
      <c r="B1685" s="2" t="s">
        <v>60</v>
      </c>
      <c r="C1685" s="2" t="s">
        <v>17067</v>
      </c>
      <c r="D1685" s="2" t="s">
        <v>17068</v>
      </c>
      <c r="E1685" s="2" t="s">
        <v>17069</v>
      </c>
      <c r="G1685" s="3" t="s">
        <v>64</v>
      </c>
      <c r="I1685" s="3" t="s">
        <v>64</v>
      </c>
      <c r="J1685" s="3" t="s">
        <v>64</v>
      </c>
      <c r="K1685" s="3" t="s">
        <v>65</v>
      </c>
      <c r="L1685" s="2" t="s">
        <v>17070</v>
      </c>
      <c r="M1685" s="2" t="s">
        <v>17071</v>
      </c>
      <c r="N1685" s="3" t="s">
        <v>144</v>
      </c>
      <c r="P1685" s="3" t="s">
        <v>102</v>
      </c>
      <c r="R1685" s="3" t="s">
        <v>70</v>
      </c>
      <c r="S1685" s="4">
        <v>11</v>
      </c>
      <c r="T1685" s="4">
        <v>11</v>
      </c>
      <c r="U1685" s="5" t="s">
        <v>17072</v>
      </c>
      <c r="V1685" s="5" t="s">
        <v>17072</v>
      </c>
      <c r="W1685" s="5" t="s">
        <v>72</v>
      </c>
      <c r="X1685" s="5" t="s">
        <v>72</v>
      </c>
      <c r="Y1685" s="4">
        <v>610</v>
      </c>
      <c r="Z1685" s="4">
        <v>31</v>
      </c>
      <c r="AA1685" s="4">
        <v>33</v>
      </c>
      <c r="AB1685" s="4">
        <v>3</v>
      </c>
      <c r="AC1685" s="4">
        <v>5</v>
      </c>
      <c r="AD1685" s="4">
        <v>66</v>
      </c>
      <c r="AE1685" s="4">
        <v>68</v>
      </c>
      <c r="AF1685" s="4">
        <v>1</v>
      </c>
      <c r="AG1685" s="4">
        <v>3</v>
      </c>
      <c r="AH1685" s="4">
        <v>57</v>
      </c>
      <c r="AI1685" s="4">
        <v>57</v>
      </c>
      <c r="AJ1685" s="4">
        <v>11</v>
      </c>
      <c r="AK1685" s="4">
        <v>12</v>
      </c>
      <c r="AL1685" s="4">
        <v>29</v>
      </c>
      <c r="AM1685" s="4">
        <v>29</v>
      </c>
      <c r="AN1685" s="4">
        <v>0</v>
      </c>
      <c r="AO1685" s="4">
        <v>0</v>
      </c>
      <c r="AP1685" s="4">
        <v>14</v>
      </c>
      <c r="AQ1685" s="4">
        <v>15</v>
      </c>
      <c r="AR1685" s="3" t="s">
        <v>64</v>
      </c>
      <c r="AS1685" s="3" t="s">
        <v>64</v>
      </c>
      <c r="AT1685" s="3" t="s">
        <v>128</v>
      </c>
      <c r="AU1685" s="6" t="str">
        <f>HYPERLINK("http://catalog.hathitrust.org/Record/005849909","HathiTrust Record")</f>
        <v>HathiTrust Record</v>
      </c>
      <c r="AV1685" s="6" t="str">
        <f>HYPERLINK("http://mcgill.on.worldcat.org/oclc/181072558","Catalog Record")</f>
        <v>Catalog Record</v>
      </c>
      <c r="AW1685" s="6" t="str">
        <f>HYPERLINK("http://www.worldcat.org/oclc/181072558","WorldCat Record")</f>
        <v>WorldCat Record</v>
      </c>
      <c r="AX1685" s="3" t="s">
        <v>17073</v>
      </c>
      <c r="AY1685" s="3" t="s">
        <v>17074</v>
      </c>
      <c r="AZ1685" s="3" t="s">
        <v>17075</v>
      </c>
      <c r="BA1685" s="3" t="s">
        <v>17075</v>
      </c>
      <c r="BB1685" s="3" t="s">
        <v>17076</v>
      </c>
      <c r="BC1685" s="3" t="s">
        <v>77</v>
      </c>
      <c r="BD1685" s="3" t="s">
        <v>78</v>
      </c>
      <c r="BE1685" s="3" t="s">
        <v>17077</v>
      </c>
      <c r="BF1685" s="3" t="s">
        <v>17076</v>
      </c>
      <c r="BG1685" s="3" t="s">
        <v>17078</v>
      </c>
      <c r="BH1685">
        <f t="shared" si="48"/>
        <v>0</v>
      </c>
    </row>
    <row r="1686" spans="1:60" ht="58" x14ac:dyDescent="0.35">
      <c r="A1686" s="2" t="s">
        <v>59</v>
      </c>
      <c r="B1686" s="2" t="s">
        <v>60</v>
      </c>
      <c r="C1686" s="2" t="s">
        <v>17079</v>
      </c>
      <c r="D1686" s="2" t="s">
        <v>17080</v>
      </c>
      <c r="E1686" s="2" t="s">
        <v>17081</v>
      </c>
      <c r="G1686" s="3" t="s">
        <v>64</v>
      </c>
      <c r="I1686" s="3" t="s">
        <v>64</v>
      </c>
      <c r="J1686" s="3" t="s">
        <v>64</v>
      </c>
      <c r="K1686" s="3" t="s">
        <v>65</v>
      </c>
      <c r="L1686" s="2" t="s">
        <v>17082</v>
      </c>
      <c r="M1686" s="2" t="s">
        <v>17071</v>
      </c>
      <c r="N1686" s="3" t="s">
        <v>144</v>
      </c>
      <c r="P1686" s="3" t="s">
        <v>102</v>
      </c>
      <c r="Q1686" s="2" t="s">
        <v>17083</v>
      </c>
      <c r="R1686" s="3" t="s">
        <v>70</v>
      </c>
      <c r="S1686" s="4">
        <v>8</v>
      </c>
      <c r="T1686" s="4">
        <v>8</v>
      </c>
      <c r="U1686" s="5" t="s">
        <v>17084</v>
      </c>
      <c r="V1686" s="5" t="s">
        <v>17084</v>
      </c>
      <c r="W1686" s="5" t="s">
        <v>72</v>
      </c>
      <c r="X1686" s="5" t="s">
        <v>72</v>
      </c>
      <c r="Y1686" s="4">
        <v>469</v>
      </c>
      <c r="Z1686" s="4">
        <v>31</v>
      </c>
      <c r="AA1686" s="4">
        <v>40</v>
      </c>
      <c r="AB1686" s="4">
        <v>2</v>
      </c>
      <c r="AC1686" s="4">
        <v>6</v>
      </c>
      <c r="AD1686" s="4">
        <v>78</v>
      </c>
      <c r="AE1686" s="4">
        <v>85</v>
      </c>
      <c r="AF1686" s="4">
        <v>1</v>
      </c>
      <c r="AG1686" s="4">
        <v>5</v>
      </c>
      <c r="AH1686" s="4">
        <v>66</v>
      </c>
      <c r="AI1686" s="4">
        <v>68</v>
      </c>
      <c r="AJ1686" s="4">
        <v>10</v>
      </c>
      <c r="AK1686" s="4">
        <v>13</v>
      </c>
      <c r="AL1686" s="4">
        <v>38</v>
      </c>
      <c r="AM1686" s="4">
        <v>38</v>
      </c>
      <c r="AN1686" s="4">
        <v>0</v>
      </c>
      <c r="AO1686" s="4">
        <v>0</v>
      </c>
      <c r="AP1686" s="4">
        <v>16</v>
      </c>
      <c r="AQ1686" s="4">
        <v>22</v>
      </c>
      <c r="AR1686" s="3" t="s">
        <v>64</v>
      </c>
      <c r="AS1686" s="3" t="s">
        <v>64</v>
      </c>
      <c r="AT1686" s="3" t="s">
        <v>128</v>
      </c>
      <c r="AU1686" s="6" t="str">
        <f>HYPERLINK("http://catalog.hathitrust.org/Record/005933958","HathiTrust Record")</f>
        <v>HathiTrust Record</v>
      </c>
      <c r="AV1686" s="6" t="str">
        <f>HYPERLINK("http://mcgill.on.worldcat.org/oclc/180204834","Catalog Record")</f>
        <v>Catalog Record</v>
      </c>
      <c r="AW1686" s="6" t="str">
        <f>HYPERLINK("http://www.worldcat.org/oclc/180204834","WorldCat Record")</f>
        <v>WorldCat Record</v>
      </c>
      <c r="AX1686" s="3" t="s">
        <v>17085</v>
      </c>
      <c r="AY1686" s="3" t="s">
        <v>17086</v>
      </c>
      <c r="AZ1686" s="3" t="s">
        <v>17087</v>
      </c>
      <c r="BA1686" s="3" t="s">
        <v>17087</v>
      </c>
      <c r="BB1686" s="3" t="s">
        <v>17088</v>
      </c>
      <c r="BC1686" s="3" t="s">
        <v>77</v>
      </c>
      <c r="BD1686" s="3" t="s">
        <v>78</v>
      </c>
      <c r="BE1686" s="3" t="s">
        <v>17089</v>
      </c>
      <c r="BF1686" s="3" t="s">
        <v>17088</v>
      </c>
      <c r="BG1686" s="3" t="s">
        <v>17090</v>
      </c>
      <c r="BH1686">
        <f t="shared" si="48"/>
        <v>0</v>
      </c>
    </row>
    <row r="1687" spans="1:60" ht="58" x14ac:dyDescent="0.35">
      <c r="A1687" s="2" t="s">
        <v>59</v>
      </c>
      <c r="B1687" s="2" t="s">
        <v>60</v>
      </c>
      <c r="C1687" s="2" t="s">
        <v>17091</v>
      </c>
      <c r="D1687" s="2" t="s">
        <v>17092</v>
      </c>
      <c r="E1687" s="2" t="s">
        <v>17093</v>
      </c>
      <c r="G1687" s="3" t="s">
        <v>64</v>
      </c>
      <c r="I1687" s="3" t="s">
        <v>64</v>
      </c>
      <c r="J1687" s="3" t="s">
        <v>64</v>
      </c>
      <c r="K1687" s="3" t="s">
        <v>65</v>
      </c>
      <c r="L1687" s="2" t="s">
        <v>17094</v>
      </c>
      <c r="M1687" s="2" t="s">
        <v>16911</v>
      </c>
      <c r="N1687" s="3" t="s">
        <v>1075</v>
      </c>
      <c r="P1687" s="3" t="s">
        <v>102</v>
      </c>
      <c r="R1687" s="3" t="s">
        <v>70</v>
      </c>
      <c r="S1687" s="4">
        <v>1</v>
      </c>
      <c r="T1687" s="4">
        <v>1</v>
      </c>
      <c r="U1687" s="5" t="s">
        <v>17095</v>
      </c>
      <c r="V1687" s="5" t="s">
        <v>17095</v>
      </c>
      <c r="W1687" s="5" t="s">
        <v>72</v>
      </c>
      <c r="X1687" s="5" t="s">
        <v>72</v>
      </c>
      <c r="Y1687" s="4">
        <v>337</v>
      </c>
      <c r="Z1687" s="4">
        <v>14</v>
      </c>
      <c r="AA1687" s="4">
        <v>113</v>
      </c>
      <c r="AB1687" s="4">
        <v>2</v>
      </c>
      <c r="AC1687" s="4">
        <v>17</v>
      </c>
      <c r="AD1687" s="4">
        <v>61</v>
      </c>
      <c r="AE1687" s="4">
        <v>133</v>
      </c>
      <c r="AF1687" s="4">
        <v>1</v>
      </c>
      <c r="AG1687" s="4">
        <v>9</v>
      </c>
      <c r="AH1687" s="4">
        <v>59</v>
      </c>
      <c r="AI1687" s="4">
        <v>93</v>
      </c>
      <c r="AJ1687" s="4">
        <v>7</v>
      </c>
      <c r="AK1687" s="4">
        <v>23</v>
      </c>
      <c r="AL1687" s="4">
        <v>29</v>
      </c>
      <c r="AM1687" s="4">
        <v>48</v>
      </c>
      <c r="AN1687" s="4">
        <v>0</v>
      </c>
      <c r="AO1687" s="4">
        <v>0</v>
      </c>
      <c r="AP1687" s="4">
        <v>7</v>
      </c>
      <c r="AQ1687" s="4">
        <v>46</v>
      </c>
      <c r="AR1687" s="3" t="s">
        <v>64</v>
      </c>
      <c r="AS1687" s="3" t="s">
        <v>64</v>
      </c>
      <c r="AT1687" s="3" t="s">
        <v>64</v>
      </c>
      <c r="AV1687" s="6" t="str">
        <f>HYPERLINK("http://mcgill.on.worldcat.org/oclc/795020464","Catalog Record")</f>
        <v>Catalog Record</v>
      </c>
      <c r="AW1687" s="6" t="str">
        <f>HYPERLINK("http://www.worldcat.org/oclc/795020464","WorldCat Record")</f>
        <v>WorldCat Record</v>
      </c>
      <c r="AX1687" s="3" t="s">
        <v>17096</v>
      </c>
      <c r="AY1687" s="3" t="s">
        <v>17097</v>
      </c>
      <c r="AZ1687" s="3" t="s">
        <v>17098</v>
      </c>
      <c r="BA1687" s="3" t="s">
        <v>17098</v>
      </c>
      <c r="BB1687" s="3" t="s">
        <v>17099</v>
      </c>
      <c r="BC1687" s="3" t="s">
        <v>77</v>
      </c>
      <c r="BD1687" s="3" t="s">
        <v>78</v>
      </c>
      <c r="BE1687" s="3" t="s">
        <v>17100</v>
      </c>
      <c r="BF1687" s="3" t="s">
        <v>17099</v>
      </c>
      <c r="BG1687" s="3" t="s">
        <v>17101</v>
      </c>
      <c r="BH1687">
        <f t="shared" si="48"/>
        <v>0</v>
      </c>
    </row>
    <row r="1688" spans="1:60" ht="58" x14ac:dyDescent="0.35">
      <c r="A1688" s="2" t="s">
        <v>59</v>
      </c>
      <c r="B1688" s="2" t="s">
        <v>60</v>
      </c>
      <c r="C1688" s="2" t="s">
        <v>17102</v>
      </c>
      <c r="D1688" s="2" t="s">
        <v>17103</v>
      </c>
      <c r="E1688" s="2" t="s">
        <v>17104</v>
      </c>
      <c r="G1688" s="3" t="s">
        <v>64</v>
      </c>
      <c r="I1688" s="3" t="s">
        <v>64</v>
      </c>
      <c r="J1688" s="3" t="s">
        <v>64</v>
      </c>
      <c r="K1688" s="3" t="s">
        <v>65</v>
      </c>
      <c r="L1688" s="2" t="s">
        <v>17105</v>
      </c>
      <c r="M1688" s="2" t="s">
        <v>17106</v>
      </c>
      <c r="N1688" s="3" t="s">
        <v>1075</v>
      </c>
      <c r="P1688" s="3" t="s">
        <v>102</v>
      </c>
      <c r="Q1688" s="2" t="s">
        <v>17049</v>
      </c>
      <c r="R1688" s="3" t="s">
        <v>70</v>
      </c>
      <c r="S1688" s="4">
        <v>1</v>
      </c>
      <c r="T1688" s="4">
        <v>1</v>
      </c>
      <c r="U1688" s="5" t="s">
        <v>1386</v>
      </c>
      <c r="V1688" s="5" t="s">
        <v>1386</v>
      </c>
      <c r="W1688" s="5" t="s">
        <v>72</v>
      </c>
      <c r="X1688" s="5" t="s">
        <v>72</v>
      </c>
      <c r="Y1688" s="4">
        <v>158</v>
      </c>
      <c r="Z1688" s="4">
        <v>13</v>
      </c>
      <c r="AA1688" s="4">
        <v>115</v>
      </c>
      <c r="AB1688" s="4">
        <v>1</v>
      </c>
      <c r="AC1688" s="4">
        <v>17</v>
      </c>
      <c r="AD1688" s="4">
        <v>35</v>
      </c>
      <c r="AE1688" s="4">
        <v>114</v>
      </c>
      <c r="AF1688" s="4">
        <v>0</v>
      </c>
      <c r="AG1688" s="4">
        <v>8</v>
      </c>
      <c r="AH1688" s="4">
        <v>33</v>
      </c>
      <c r="AI1688" s="4">
        <v>76</v>
      </c>
      <c r="AJ1688" s="4">
        <v>4</v>
      </c>
      <c r="AK1688" s="4">
        <v>21</v>
      </c>
      <c r="AL1688" s="4">
        <v>20</v>
      </c>
      <c r="AM1688" s="4">
        <v>38</v>
      </c>
      <c r="AN1688" s="4">
        <v>0</v>
      </c>
      <c r="AO1688" s="4">
        <v>0</v>
      </c>
      <c r="AP1688" s="4">
        <v>5</v>
      </c>
      <c r="AQ1688" s="4">
        <v>43</v>
      </c>
      <c r="AR1688" s="3" t="s">
        <v>64</v>
      </c>
      <c r="AS1688" s="3" t="s">
        <v>64</v>
      </c>
      <c r="AT1688" s="3" t="s">
        <v>64</v>
      </c>
      <c r="AV1688" s="6" t="str">
        <f>HYPERLINK("http://mcgill.on.worldcat.org/oclc/817721623","Catalog Record")</f>
        <v>Catalog Record</v>
      </c>
      <c r="AW1688" s="6" t="str">
        <f>HYPERLINK("http://www.worldcat.org/oclc/817721623","WorldCat Record")</f>
        <v>WorldCat Record</v>
      </c>
      <c r="AX1688" s="3" t="s">
        <v>17107</v>
      </c>
      <c r="AY1688" s="3" t="s">
        <v>17108</v>
      </c>
      <c r="AZ1688" s="3" t="s">
        <v>17109</v>
      </c>
      <c r="BA1688" s="3" t="s">
        <v>17109</v>
      </c>
      <c r="BB1688" s="3" t="s">
        <v>17110</v>
      </c>
      <c r="BC1688" s="3" t="s">
        <v>77</v>
      </c>
      <c r="BD1688" s="3" t="s">
        <v>78</v>
      </c>
      <c r="BE1688" s="3" t="s">
        <v>17111</v>
      </c>
      <c r="BF1688" s="3" t="s">
        <v>17110</v>
      </c>
      <c r="BG1688" s="3" t="s">
        <v>17112</v>
      </c>
      <c r="BH1688">
        <f t="shared" si="48"/>
        <v>0</v>
      </c>
    </row>
    <row r="1689" spans="1:60" ht="58" x14ac:dyDescent="0.35">
      <c r="A1689" s="2" t="s">
        <v>59</v>
      </c>
      <c r="B1689" s="2" t="s">
        <v>60</v>
      </c>
      <c r="C1689" s="2" t="s">
        <v>17113</v>
      </c>
      <c r="D1689" s="2" t="s">
        <v>17114</v>
      </c>
      <c r="E1689" s="2" t="s">
        <v>17115</v>
      </c>
      <c r="G1689" s="3" t="s">
        <v>64</v>
      </c>
      <c r="I1689" s="3" t="s">
        <v>64</v>
      </c>
      <c r="J1689" s="3" t="s">
        <v>64</v>
      </c>
      <c r="K1689" s="3" t="s">
        <v>65</v>
      </c>
      <c r="M1689" s="2" t="s">
        <v>15333</v>
      </c>
      <c r="N1689" s="3" t="s">
        <v>67</v>
      </c>
      <c r="P1689" s="3" t="s">
        <v>102</v>
      </c>
      <c r="R1689" s="3" t="s">
        <v>70</v>
      </c>
      <c r="S1689" s="4">
        <v>0</v>
      </c>
      <c r="T1689" s="4">
        <v>0</v>
      </c>
      <c r="W1689" s="5" t="s">
        <v>72</v>
      </c>
      <c r="X1689" s="5" t="s">
        <v>72</v>
      </c>
      <c r="Y1689" s="4">
        <v>20</v>
      </c>
      <c r="Z1689" s="4">
        <v>2</v>
      </c>
      <c r="AA1689" s="4">
        <v>109</v>
      </c>
      <c r="AB1689" s="4">
        <v>1</v>
      </c>
      <c r="AC1689" s="4">
        <v>16</v>
      </c>
      <c r="AD1689" s="4">
        <v>1</v>
      </c>
      <c r="AE1689" s="4">
        <v>112</v>
      </c>
      <c r="AF1689" s="4">
        <v>0</v>
      </c>
      <c r="AG1689" s="4">
        <v>8</v>
      </c>
      <c r="AH1689" s="4">
        <v>0</v>
      </c>
      <c r="AI1689" s="4">
        <v>73</v>
      </c>
      <c r="AJ1689" s="4">
        <v>0</v>
      </c>
      <c r="AK1689" s="4">
        <v>20</v>
      </c>
      <c r="AL1689" s="4">
        <v>0</v>
      </c>
      <c r="AM1689" s="4">
        <v>37</v>
      </c>
      <c r="AN1689" s="4">
        <v>0</v>
      </c>
      <c r="AO1689" s="4">
        <v>0</v>
      </c>
      <c r="AP1689" s="4">
        <v>1</v>
      </c>
      <c r="AQ1689" s="4">
        <v>43</v>
      </c>
      <c r="AR1689" s="3" t="s">
        <v>64</v>
      </c>
      <c r="AS1689" s="3" t="s">
        <v>64</v>
      </c>
      <c r="AT1689" s="3" t="s">
        <v>64</v>
      </c>
      <c r="AV1689" s="6" t="str">
        <f>HYPERLINK("http://mcgill.on.worldcat.org/oclc/892564554","Catalog Record")</f>
        <v>Catalog Record</v>
      </c>
      <c r="AW1689" s="6" t="str">
        <f>HYPERLINK("http://www.worldcat.org/oclc/892564554","WorldCat Record")</f>
        <v>WorldCat Record</v>
      </c>
      <c r="AX1689" s="3" t="s">
        <v>17116</v>
      </c>
      <c r="AY1689" s="3" t="s">
        <v>17117</v>
      </c>
      <c r="AZ1689" s="3" t="s">
        <v>17118</v>
      </c>
      <c r="BA1689" s="3" t="s">
        <v>17118</v>
      </c>
      <c r="BB1689" s="3" t="s">
        <v>17119</v>
      </c>
      <c r="BC1689" s="3" t="s">
        <v>77</v>
      </c>
      <c r="BD1689" s="3" t="s">
        <v>78</v>
      </c>
      <c r="BE1689" s="3" t="s">
        <v>17120</v>
      </c>
      <c r="BF1689" s="3" t="s">
        <v>17119</v>
      </c>
      <c r="BG1689" s="3" t="s">
        <v>17121</v>
      </c>
      <c r="BH1689">
        <f t="shared" si="48"/>
        <v>0</v>
      </c>
    </row>
    <row r="1690" spans="1:60" ht="58" x14ac:dyDescent="0.35">
      <c r="A1690" s="2" t="s">
        <v>59</v>
      </c>
      <c r="B1690" s="2" t="s">
        <v>60</v>
      </c>
      <c r="C1690" s="2" t="s">
        <v>17122</v>
      </c>
      <c r="D1690" s="2" t="s">
        <v>17123</v>
      </c>
      <c r="E1690" s="2" t="s">
        <v>17124</v>
      </c>
      <c r="G1690" s="3" t="s">
        <v>64</v>
      </c>
      <c r="I1690" s="3" t="s">
        <v>64</v>
      </c>
      <c r="J1690" s="3" t="s">
        <v>64</v>
      </c>
      <c r="K1690" s="3" t="s">
        <v>65</v>
      </c>
      <c r="L1690" s="2" t="s">
        <v>17125</v>
      </c>
      <c r="M1690" s="2" t="s">
        <v>17126</v>
      </c>
      <c r="N1690" s="3" t="s">
        <v>67</v>
      </c>
      <c r="P1690" s="3" t="s">
        <v>102</v>
      </c>
      <c r="Q1690" s="2" t="s">
        <v>17049</v>
      </c>
      <c r="R1690" s="3" t="s">
        <v>70</v>
      </c>
      <c r="S1690" s="4">
        <v>1</v>
      </c>
      <c r="T1690" s="4">
        <v>1</v>
      </c>
      <c r="U1690" s="5" t="s">
        <v>1386</v>
      </c>
      <c r="V1690" s="5" t="s">
        <v>1386</v>
      </c>
      <c r="W1690" s="5" t="s">
        <v>72</v>
      </c>
      <c r="X1690" s="5" t="s">
        <v>72</v>
      </c>
      <c r="Y1690" s="4">
        <v>269</v>
      </c>
      <c r="Z1690" s="4">
        <v>14</v>
      </c>
      <c r="AA1690" s="4">
        <v>19</v>
      </c>
      <c r="AB1690" s="4">
        <v>1</v>
      </c>
      <c r="AC1690" s="4">
        <v>4</v>
      </c>
      <c r="AD1690" s="4">
        <v>53</v>
      </c>
      <c r="AE1690" s="4">
        <v>57</v>
      </c>
      <c r="AF1690" s="4">
        <v>0</v>
      </c>
      <c r="AG1690" s="4">
        <v>1</v>
      </c>
      <c r="AH1690" s="4">
        <v>51</v>
      </c>
      <c r="AI1690" s="4">
        <v>52</v>
      </c>
      <c r="AJ1690" s="4">
        <v>6</v>
      </c>
      <c r="AK1690" s="4">
        <v>8</v>
      </c>
      <c r="AL1690" s="4">
        <v>23</v>
      </c>
      <c r="AM1690" s="4">
        <v>23</v>
      </c>
      <c r="AN1690" s="4">
        <v>0</v>
      </c>
      <c r="AO1690" s="4">
        <v>0</v>
      </c>
      <c r="AP1690" s="4">
        <v>7</v>
      </c>
      <c r="AQ1690" s="4">
        <v>9</v>
      </c>
      <c r="AR1690" s="3" t="s">
        <v>64</v>
      </c>
      <c r="AS1690" s="3" t="s">
        <v>64</v>
      </c>
      <c r="AT1690" s="3" t="s">
        <v>64</v>
      </c>
      <c r="AV1690" s="6" t="str">
        <f>HYPERLINK("http://mcgill.on.worldcat.org/oclc/869141008","Catalog Record")</f>
        <v>Catalog Record</v>
      </c>
      <c r="AW1690" s="6" t="str">
        <f>HYPERLINK("http://www.worldcat.org/oclc/869141008","WorldCat Record")</f>
        <v>WorldCat Record</v>
      </c>
      <c r="AX1690" s="3" t="s">
        <v>17127</v>
      </c>
      <c r="AY1690" s="3" t="s">
        <v>17128</v>
      </c>
      <c r="AZ1690" s="3" t="s">
        <v>17129</v>
      </c>
      <c r="BA1690" s="3" t="s">
        <v>17129</v>
      </c>
      <c r="BB1690" s="3" t="s">
        <v>17130</v>
      </c>
      <c r="BC1690" s="3" t="s">
        <v>77</v>
      </c>
      <c r="BD1690" s="3" t="s">
        <v>78</v>
      </c>
      <c r="BE1690" s="3" t="s">
        <v>17131</v>
      </c>
      <c r="BF1690" s="3" t="s">
        <v>17130</v>
      </c>
      <c r="BG1690" s="3" t="s">
        <v>17132</v>
      </c>
      <c r="BH1690">
        <f t="shared" si="48"/>
        <v>0</v>
      </c>
    </row>
    <row r="1691" spans="1:60" ht="58" x14ac:dyDescent="0.35">
      <c r="A1691" s="2" t="s">
        <v>59</v>
      </c>
      <c r="B1691" s="2" t="s">
        <v>60</v>
      </c>
      <c r="C1691" s="2" t="s">
        <v>17133</v>
      </c>
      <c r="D1691" s="2" t="s">
        <v>17134</v>
      </c>
      <c r="E1691" s="2" t="s">
        <v>17135</v>
      </c>
      <c r="G1691" s="3" t="s">
        <v>64</v>
      </c>
      <c r="I1691" s="3" t="s">
        <v>64</v>
      </c>
      <c r="J1691" s="3" t="s">
        <v>64</v>
      </c>
      <c r="K1691" s="3" t="s">
        <v>65</v>
      </c>
      <c r="L1691" s="2" t="s">
        <v>17136</v>
      </c>
      <c r="M1691" s="2" t="s">
        <v>16922</v>
      </c>
      <c r="N1691" s="3" t="s">
        <v>86</v>
      </c>
      <c r="P1691" s="3" t="s">
        <v>102</v>
      </c>
      <c r="Q1691" s="2" t="s">
        <v>17137</v>
      </c>
      <c r="R1691" s="3" t="s">
        <v>70</v>
      </c>
      <c r="S1691" s="4">
        <v>3</v>
      </c>
      <c r="T1691" s="4">
        <v>3</v>
      </c>
      <c r="U1691" s="5" t="s">
        <v>13854</v>
      </c>
      <c r="V1691" s="5" t="s">
        <v>13854</v>
      </c>
      <c r="W1691" s="5" t="s">
        <v>72</v>
      </c>
      <c r="X1691" s="5" t="s">
        <v>72</v>
      </c>
      <c r="Y1691" s="4">
        <v>262</v>
      </c>
      <c r="Z1691" s="4">
        <v>34</v>
      </c>
      <c r="AA1691" s="4">
        <v>124</v>
      </c>
      <c r="AB1691" s="4">
        <v>2</v>
      </c>
      <c r="AC1691" s="4">
        <v>15</v>
      </c>
      <c r="AD1691" s="4">
        <v>52</v>
      </c>
      <c r="AE1691" s="4">
        <v>127</v>
      </c>
      <c r="AF1691" s="4">
        <v>1</v>
      </c>
      <c r="AG1691" s="4">
        <v>8</v>
      </c>
      <c r="AH1691" s="4">
        <v>39</v>
      </c>
      <c r="AI1691" s="4">
        <v>82</v>
      </c>
      <c r="AJ1691" s="4">
        <v>16</v>
      </c>
      <c r="AK1691" s="4">
        <v>28</v>
      </c>
      <c r="AL1691" s="4">
        <v>22</v>
      </c>
      <c r="AM1691" s="4">
        <v>41</v>
      </c>
      <c r="AN1691" s="4">
        <v>0</v>
      </c>
      <c r="AO1691" s="4">
        <v>0</v>
      </c>
      <c r="AP1691" s="4">
        <v>19</v>
      </c>
      <c r="AQ1691" s="4">
        <v>52</v>
      </c>
      <c r="AR1691" s="3" t="s">
        <v>64</v>
      </c>
      <c r="AS1691" s="3" t="s">
        <v>64</v>
      </c>
      <c r="AT1691" s="3" t="s">
        <v>64</v>
      </c>
      <c r="AV1691" s="6" t="str">
        <f>HYPERLINK("http://mcgill.on.worldcat.org/oclc/779777870","Catalog Record")</f>
        <v>Catalog Record</v>
      </c>
      <c r="AW1691" s="6" t="str">
        <f>HYPERLINK("http://www.worldcat.org/oclc/779777870","WorldCat Record")</f>
        <v>WorldCat Record</v>
      </c>
      <c r="AX1691" s="3" t="s">
        <v>17138</v>
      </c>
      <c r="AY1691" s="3" t="s">
        <v>17139</v>
      </c>
      <c r="AZ1691" s="3" t="s">
        <v>17140</v>
      </c>
      <c r="BA1691" s="3" t="s">
        <v>17140</v>
      </c>
      <c r="BB1691" s="3" t="s">
        <v>17141</v>
      </c>
      <c r="BC1691" s="3" t="s">
        <v>77</v>
      </c>
      <c r="BD1691" s="3" t="s">
        <v>78</v>
      </c>
      <c r="BE1691" s="3" t="s">
        <v>17142</v>
      </c>
      <c r="BF1691" s="3" t="s">
        <v>17141</v>
      </c>
      <c r="BG1691" s="3" t="s">
        <v>17143</v>
      </c>
      <c r="BH1691">
        <f t="shared" si="48"/>
        <v>0</v>
      </c>
    </row>
    <row r="1692" spans="1:60" ht="58" x14ac:dyDescent="0.35">
      <c r="A1692" s="2" t="s">
        <v>59</v>
      </c>
      <c r="B1692" s="2" t="s">
        <v>60</v>
      </c>
      <c r="C1692" s="2" t="s">
        <v>17144</v>
      </c>
      <c r="D1692" s="2" t="s">
        <v>17145</v>
      </c>
      <c r="E1692" s="2" t="s">
        <v>17146</v>
      </c>
      <c r="G1692" s="3" t="s">
        <v>64</v>
      </c>
      <c r="I1692" s="3" t="s">
        <v>64</v>
      </c>
      <c r="J1692" s="3" t="s">
        <v>64</v>
      </c>
      <c r="K1692" s="3" t="s">
        <v>65</v>
      </c>
      <c r="M1692" s="2" t="s">
        <v>17025</v>
      </c>
      <c r="N1692" s="3" t="s">
        <v>1075</v>
      </c>
      <c r="P1692" s="3" t="s">
        <v>102</v>
      </c>
      <c r="Q1692" s="2" t="s">
        <v>17049</v>
      </c>
      <c r="R1692" s="3" t="s">
        <v>70</v>
      </c>
      <c r="S1692" s="4">
        <v>0</v>
      </c>
      <c r="T1692" s="4">
        <v>0</v>
      </c>
      <c r="W1692" s="5" t="s">
        <v>72</v>
      </c>
      <c r="X1692" s="5" t="s">
        <v>72</v>
      </c>
      <c r="Y1692" s="4">
        <v>687</v>
      </c>
      <c r="Z1692" s="4">
        <v>37</v>
      </c>
      <c r="AA1692" s="4">
        <v>129</v>
      </c>
      <c r="AB1692" s="4">
        <v>1</v>
      </c>
      <c r="AC1692" s="4">
        <v>19</v>
      </c>
      <c r="AD1692" s="4">
        <v>79</v>
      </c>
      <c r="AE1692" s="4">
        <v>139</v>
      </c>
      <c r="AF1692" s="4">
        <v>0</v>
      </c>
      <c r="AG1692" s="4">
        <v>10</v>
      </c>
      <c r="AH1692" s="4">
        <v>67</v>
      </c>
      <c r="AI1692" s="4">
        <v>93</v>
      </c>
      <c r="AJ1692" s="4">
        <v>15</v>
      </c>
      <c r="AK1692" s="4">
        <v>26</v>
      </c>
      <c r="AL1692" s="4">
        <v>29</v>
      </c>
      <c r="AM1692" s="4">
        <v>44</v>
      </c>
      <c r="AN1692" s="4">
        <v>0</v>
      </c>
      <c r="AO1692" s="4">
        <v>0</v>
      </c>
      <c r="AP1692" s="4">
        <v>19</v>
      </c>
      <c r="AQ1692" s="4">
        <v>52</v>
      </c>
      <c r="AR1692" s="3" t="s">
        <v>64</v>
      </c>
      <c r="AS1692" s="3" t="s">
        <v>64</v>
      </c>
      <c r="AT1692" s="3" t="s">
        <v>64</v>
      </c>
      <c r="AV1692" s="6" t="str">
        <f>HYPERLINK("http://mcgill.on.worldcat.org/oclc/817721622","Catalog Record")</f>
        <v>Catalog Record</v>
      </c>
      <c r="AW1692" s="6" t="str">
        <f>HYPERLINK("http://www.worldcat.org/oclc/817721622","WorldCat Record")</f>
        <v>WorldCat Record</v>
      </c>
      <c r="AX1692" s="3" t="s">
        <v>17147</v>
      </c>
      <c r="AY1692" s="3" t="s">
        <v>17148</v>
      </c>
      <c r="AZ1692" s="3" t="s">
        <v>17149</v>
      </c>
      <c r="BA1692" s="3" t="s">
        <v>17149</v>
      </c>
      <c r="BB1692" s="3" t="s">
        <v>17150</v>
      </c>
      <c r="BC1692" s="3" t="s">
        <v>77</v>
      </c>
      <c r="BD1692" s="3" t="s">
        <v>78</v>
      </c>
      <c r="BE1692" s="3" t="s">
        <v>17151</v>
      </c>
      <c r="BF1692" s="3" t="s">
        <v>17150</v>
      </c>
      <c r="BG1692" s="3" t="s">
        <v>17152</v>
      </c>
      <c r="BH1692">
        <f t="shared" si="48"/>
        <v>0</v>
      </c>
    </row>
    <row r="1693" spans="1:60" ht="58" x14ac:dyDescent="0.35">
      <c r="A1693" s="2" t="s">
        <v>59</v>
      </c>
      <c r="B1693" s="2" t="s">
        <v>60</v>
      </c>
      <c r="C1693" s="2" t="s">
        <v>17153</v>
      </c>
      <c r="D1693" s="2" t="s">
        <v>17154</v>
      </c>
      <c r="E1693" s="2" t="s">
        <v>17155</v>
      </c>
      <c r="G1693" s="3" t="s">
        <v>64</v>
      </c>
      <c r="I1693" s="3" t="s">
        <v>64</v>
      </c>
      <c r="J1693" s="3" t="s">
        <v>64</v>
      </c>
      <c r="K1693" s="3" t="s">
        <v>65</v>
      </c>
      <c r="L1693" s="2" t="s">
        <v>17156</v>
      </c>
      <c r="M1693" s="2" t="s">
        <v>16922</v>
      </c>
      <c r="N1693" s="3" t="s">
        <v>86</v>
      </c>
      <c r="P1693" s="3" t="s">
        <v>102</v>
      </c>
      <c r="Q1693" s="2" t="s">
        <v>17157</v>
      </c>
      <c r="R1693" s="3" t="s">
        <v>70</v>
      </c>
      <c r="S1693" s="4">
        <v>4</v>
      </c>
      <c r="T1693" s="4">
        <v>4</v>
      </c>
      <c r="U1693" s="5" t="s">
        <v>17050</v>
      </c>
      <c r="V1693" s="5" t="s">
        <v>17050</v>
      </c>
      <c r="W1693" s="5" t="s">
        <v>72</v>
      </c>
      <c r="X1693" s="5" t="s">
        <v>72</v>
      </c>
      <c r="Y1693" s="4">
        <v>180</v>
      </c>
      <c r="Z1693" s="4">
        <v>17</v>
      </c>
      <c r="AA1693" s="4">
        <v>116</v>
      </c>
      <c r="AB1693" s="4">
        <v>1</v>
      </c>
      <c r="AC1693" s="4">
        <v>16</v>
      </c>
      <c r="AD1693" s="4">
        <v>36</v>
      </c>
      <c r="AE1693" s="4">
        <v>121</v>
      </c>
      <c r="AF1693" s="4">
        <v>0</v>
      </c>
      <c r="AG1693" s="4">
        <v>9</v>
      </c>
      <c r="AH1693" s="4">
        <v>31</v>
      </c>
      <c r="AI1693" s="4">
        <v>79</v>
      </c>
      <c r="AJ1693" s="4">
        <v>5</v>
      </c>
      <c r="AK1693" s="4">
        <v>22</v>
      </c>
      <c r="AL1693" s="4">
        <v>19</v>
      </c>
      <c r="AM1693" s="4">
        <v>38</v>
      </c>
      <c r="AN1693" s="4">
        <v>0</v>
      </c>
      <c r="AO1693" s="4">
        <v>0</v>
      </c>
      <c r="AP1693" s="4">
        <v>8</v>
      </c>
      <c r="AQ1693" s="4">
        <v>48</v>
      </c>
      <c r="AR1693" s="3" t="s">
        <v>64</v>
      </c>
      <c r="AS1693" s="3" t="s">
        <v>64</v>
      </c>
      <c r="AT1693" s="3" t="s">
        <v>64</v>
      </c>
      <c r="AV1693" s="6" t="str">
        <f>HYPERLINK("http://mcgill.on.worldcat.org/oclc/781432070","Catalog Record")</f>
        <v>Catalog Record</v>
      </c>
      <c r="AW1693" s="6" t="str">
        <f>HYPERLINK("http://www.worldcat.org/oclc/781432070","WorldCat Record")</f>
        <v>WorldCat Record</v>
      </c>
      <c r="AX1693" s="3" t="s">
        <v>17158</v>
      </c>
      <c r="AY1693" s="3" t="s">
        <v>17159</v>
      </c>
      <c r="AZ1693" s="3" t="s">
        <v>17160</v>
      </c>
      <c r="BA1693" s="3" t="s">
        <v>17160</v>
      </c>
      <c r="BB1693" s="3" t="s">
        <v>17161</v>
      </c>
      <c r="BC1693" s="3" t="s">
        <v>77</v>
      </c>
      <c r="BD1693" s="3" t="s">
        <v>78</v>
      </c>
      <c r="BE1693" s="3" t="s">
        <v>17162</v>
      </c>
      <c r="BF1693" s="3" t="s">
        <v>17161</v>
      </c>
      <c r="BG1693" s="3" t="s">
        <v>17163</v>
      </c>
      <c r="BH1693">
        <f t="shared" si="48"/>
        <v>0</v>
      </c>
    </row>
    <row r="1694" spans="1:60" ht="72.5" x14ac:dyDescent="0.35">
      <c r="A1694" s="2" t="s">
        <v>59</v>
      </c>
      <c r="B1694" s="2" t="s">
        <v>60</v>
      </c>
      <c r="C1694" s="2" t="s">
        <v>17164</v>
      </c>
      <c r="D1694" s="2" t="s">
        <v>17165</v>
      </c>
      <c r="E1694" s="2" t="s">
        <v>17166</v>
      </c>
      <c r="G1694" s="3" t="s">
        <v>64</v>
      </c>
      <c r="I1694" s="3" t="s">
        <v>64</v>
      </c>
      <c r="J1694" s="3" t="s">
        <v>64</v>
      </c>
      <c r="K1694" s="3" t="s">
        <v>65</v>
      </c>
      <c r="L1694" s="2" t="s">
        <v>17167</v>
      </c>
      <c r="M1694" s="2" t="s">
        <v>14882</v>
      </c>
      <c r="N1694" s="3" t="s">
        <v>171</v>
      </c>
      <c r="P1694" s="3" t="s">
        <v>102</v>
      </c>
      <c r="R1694" s="3" t="s">
        <v>70</v>
      </c>
      <c r="S1694" s="4">
        <v>3</v>
      </c>
      <c r="T1694" s="4">
        <v>3</v>
      </c>
      <c r="U1694" s="5" t="s">
        <v>17050</v>
      </c>
      <c r="V1694" s="5" t="s">
        <v>17050</v>
      </c>
      <c r="W1694" s="5" t="s">
        <v>72</v>
      </c>
      <c r="X1694" s="5" t="s">
        <v>72</v>
      </c>
      <c r="Y1694" s="4">
        <v>561</v>
      </c>
      <c r="Z1694" s="4">
        <v>29</v>
      </c>
      <c r="AA1694" s="4">
        <v>107</v>
      </c>
      <c r="AB1694" s="4">
        <v>3</v>
      </c>
      <c r="AC1694" s="4">
        <v>18</v>
      </c>
      <c r="AD1694" s="4">
        <v>90</v>
      </c>
      <c r="AE1694" s="4">
        <v>132</v>
      </c>
      <c r="AF1694" s="4">
        <v>1</v>
      </c>
      <c r="AG1694" s="4">
        <v>8</v>
      </c>
      <c r="AH1694" s="4">
        <v>82</v>
      </c>
      <c r="AI1694" s="4">
        <v>95</v>
      </c>
      <c r="AJ1694" s="4">
        <v>11</v>
      </c>
      <c r="AK1694" s="4">
        <v>20</v>
      </c>
      <c r="AL1694" s="4">
        <v>39</v>
      </c>
      <c r="AM1694" s="4">
        <v>48</v>
      </c>
      <c r="AN1694" s="4">
        <v>0</v>
      </c>
      <c r="AO1694" s="4">
        <v>0</v>
      </c>
      <c r="AP1694" s="4">
        <v>14</v>
      </c>
      <c r="AQ1694" s="4">
        <v>43</v>
      </c>
      <c r="AR1694" s="3" t="s">
        <v>64</v>
      </c>
      <c r="AS1694" s="3" t="s">
        <v>64</v>
      </c>
      <c r="AT1694" s="3" t="s">
        <v>64</v>
      </c>
      <c r="AV1694" s="6" t="str">
        <f>HYPERLINK("http://mcgill.on.worldcat.org/oclc/61278441","Catalog Record")</f>
        <v>Catalog Record</v>
      </c>
      <c r="AW1694" s="6" t="str">
        <f>HYPERLINK("http://www.worldcat.org/oclc/61278441","WorldCat Record")</f>
        <v>WorldCat Record</v>
      </c>
      <c r="AX1694" s="3" t="s">
        <v>17168</v>
      </c>
      <c r="AY1694" s="3" t="s">
        <v>17169</v>
      </c>
      <c r="AZ1694" s="3" t="s">
        <v>17170</v>
      </c>
      <c r="BA1694" s="3" t="s">
        <v>17170</v>
      </c>
      <c r="BB1694" s="3" t="s">
        <v>17171</v>
      </c>
      <c r="BC1694" s="3" t="s">
        <v>77</v>
      </c>
      <c r="BD1694" s="3" t="s">
        <v>78</v>
      </c>
      <c r="BE1694" s="3" t="s">
        <v>17172</v>
      </c>
      <c r="BF1694" s="3" t="s">
        <v>17171</v>
      </c>
      <c r="BG1694" s="3" t="s">
        <v>17173</v>
      </c>
      <c r="BH1694">
        <f t="shared" si="48"/>
        <v>0</v>
      </c>
    </row>
    <row r="1695" spans="1:60" ht="72.5" x14ac:dyDescent="0.35">
      <c r="A1695" s="2" t="s">
        <v>59</v>
      </c>
      <c r="B1695" s="2" t="s">
        <v>60</v>
      </c>
      <c r="C1695" s="2" t="s">
        <v>17174</v>
      </c>
      <c r="D1695" s="2" t="s">
        <v>17175</v>
      </c>
      <c r="E1695" s="2" t="s">
        <v>17176</v>
      </c>
      <c r="G1695" s="3" t="s">
        <v>64</v>
      </c>
      <c r="I1695" s="3" t="s">
        <v>64</v>
      </c>
      <c r="J1695" s="3" t="s">
        <v>64</v>
      </c>
      <c r="K1695" s="3" t="s">
        <v>65</v>
      </c>
      <c r="L1695" s="2" t="s">
        <v>17177</v>
      </c>
      <c r="M1695" s="2" t="s">
        <v>17178</v>
      </c>
      <c r="N1695" s="3" t="s">
        <v>537</v>
      </c>
      <c r="P1695" s="3" t="s">
        <v>102</v>
      </c>
      <c r="R1695" s="3" t="s">
        <v>70</v>
      </c>
      <c r="S1695" s="4">
        <v>1</v>
      </c>
      <c r="T1695" s="4">
        <v>1</v>
      </c>
      <c r="U1695" s="5" t="s">
        <v>17179</v>
      </c>
      <c r="V1695" s="5" t="s">
        <v>17179</v>
      </c>
      <c r="W1695" s="5" t="s">
        <v>72</v>
      </c>
      <c r="X1695" s="5" t="s">
        <v>72</v>
      </c>
      <c r="Y1695" s="4">
        <v>96</v>
      </c>
      <c r="Z1695" s="4">
        <v>3</v>
      </c>
      <c r="AA1695" s="4">
        <v>41</v>
      </c>
      <c r="AB1695" s="4">
        <v>1</v>
      </c>
      <c r="AC1695" s="4">
        <v>5</v>
      </c>
      <c r="AD1695" s="4">
        <v>12</v>
      </c>
      <c r="AE1695" s="4">
        <v>36</v>
      </c>
      <c r="AF1695" s="4">
        <v>0</v>
      </c>
      <c r="AG1695" s="4">
        <v>2</v>
      </c>
      <c r="AH1695" s="4">
        <v>12</v>
      </c>
      <c r="AI1695" s="4">
        <v>25</v>
      </c>
      <c r="AJ1695" s="4">
        <v>1</v>
      </c>
      <c r="AK1695" s="4">
        <v>6</v>
      </c>
      <c r="AL1695" s="4">
        <v>8</v>
      </c>
      <c r="AM1695" s="4">
        <v>12</v>
      </c>
      <c r="AN1695" s="4">
        <v>0</v>
      </c>
      <c r="AO1695" s="4">
        <v>0</v>
      </c>
      <c r="AP1695" s="4">
        <v>1</v>
      </c>
      <c r="AQ1695" s="4">
        <v>13</v>
      </c>
      <c r="AR1695" s="3" t="s">
        <v>64</v>
      </c>
      <c r="AS1695" s="3" t="s">
        <v>64</v>
      </c>
      <c r="AT1695" s="3" t="s">
        <v>64</v>
      </c>
      <c r="AV1695" s="6" t="str">
        <f>HYPERLINK("http://mcgill.on.worldcat.org/oclc/900031521","Catalog Record")</f>
        <v>Catalog Record</v>
      </c>
      <c r="AW1695" s="6" t="str">
        <f>HYPERLINK("http://www.worldcat.org/oclc/900031521","WorldCat Record")</f>
        <v>WorldCat Record</v>
      </c>
      <c r="AX1695" s="3" t="s">
        <v>17180</v>
      </c>
      <c r="AY1695" s="3" t="s">
        <v>17181</v>
      </c>
      <c r="AZ1695" s="3" t="s">
        <v>17182</v>
      </c>
      <c r="BA1695" s="3" t="s">
        <v>17182</v>
      </c>
      <c r="BB1695" s="3" t="s">
        <v>17183</v>
      </c>
      <c r="BC1695" s="3" t="s">
        <v>77</v>
      </c>
      <c r="BD1695" s="3" t="s">
        <v>78</v>
      </c>
      <c r="BE1695" s="3" t="s">
        <v>17184</v>
      </c>
      <c r="BF1695" s="3" t="s">
        <v>17183</v>
      </c>
      <c r="BG1695" s="3" t="s">
        <v>17185</v>
      </c>
      <c r="BH1695">
        <f t="shared" si="48"/>
        <v>0</v>
      </c>
    </row>
    <row r="1696" spans="1:60" ht="72.5" x14ac:dyDescent="0.35">
      <c r="A1696" s="2" t="s">
        <v>59</v>
      </c>
      <c r="B1696" s="2" t="s">
        <v>60</v>
      </c>
      <c r="C1696" s="2" t="s">
        <v>17186</v>
      </c>
      <c r="D1696" s="2" t="s">
        <v>17187</v>
      </c>
      <c r="E1696" s="2" t="s">
        <v>17188</v>
      </c>
      <c r="G1696" s="3" t="s">
        <v>64</v>
      </c>
      <c r="I1696" s="3" t="s">
        <v>64</v>
      </c>
      <c r="J1696" s="3" t="s">
        <v>64</v>
      </c>
      <c r="K1696" s="3" t="s">
        <v>65</v>
      </c>
      <c r="M1696" s="2" t="s">
        <v>17189</v>
      </c>
      <c r="N1696" s="3" t="s">
        <v>86</v>
      </c>
      <c r="P1696" s="3" t="s">
        <v>102</v>
      </c>
      <c r="R1696" s="3" t="s">
        <v>70</v>
      </c>
      <c r="S1696" s="4">
        <v>4</v>
      </c>
      <c r="T1696" s="4">
        <v>4</v>
      </c>
      <c r="U1696" s="5" t="s">
        <v>16768</v>
      </c>
      <c r="V1696" s="5" t="s">
        <v>16768</v>
      </c>
      <c r="W1696" s="5" t="s">
        <v>72</v>
      </c>
      <c r="X1696" s="5" t="s">
        <v>72</v>
      </c>
      <c r="Y1696" s="4">
        <v>57</v>
      </c>
      <c r="Z1696" s="4">
        <v>3</v>
      </c>
      <c r="AA1696" s="4">
        <v>4</v>
      </c>
      <c r="AB1696" s="4">
        <v>1</v>
      </c>
      <c r="AC1696" s="4">
        <v>2</v>
      </c>
      <c r="AD1696" s="4">
        <v>8</v>
      </c>
      <c r="AE1696" s="4">
        <v>9</v>
      </c>
      <c r="AF1696" s="4">
        <v>0</v>
      </c>
      <c r="AG1696" s="4">
        <v>0</v>
      </c>
      <c r="AH1696" s="4">
        <v>7</v>
      </c>
      <c r="AI1696" s="4">
        <v>8</v>
      </c>
      <c r="AJ1696" s="4">
        <v>2</v>
      </c>
      <c r="AK1696" s="4">
        <v>2</v>
      </c>
      <c r="AL1696" s="4">
        <v>5</v>
      </c>
      <c r="AM1696" s="4">
        <v>6</v>
      </c>
      <c r="AN1696" s="4">
        <v>0</v>
      </c>
      <c r="AO1696" s="4">
        <v>0</v>
      </c>
      <c r="AP1696" s="4">
        <v>2</v>
      </c>
      <c r="AQ1696" s="4">
        <v>2</v>
      </c>
      <c r="AR1696" s="3" t="s">
        <v>64</v>
      </c>
      <c r="AS1696" s="3" t="s">
        <v>64</v>
      </c>
      <c r="AT1696" s="3" t="s">
        <v>64</v>
      </c>
      <c r="AV1696" s="6" t="str">
        <f>HYPERLINK("http://mcgill.on.worldcat.org/oclc/759584353","Catalog Record")</f>
        <v>Catalog Record</v>
      </c>
      <c r="AW1696" s="6" t="str">
        <f>HYPERLINK("http://www.worldcat.org/oclc/759584353","WorldCat Record")</f>
        <v>WorldCat Record</v>
      </c>
      <c r="AX1696" s="3" t="s">
        <v>17190</v>
      </c>
      <c r="AY1696" s="3" t="s">
        <v>17191</v>
      </c>
      <c r="AZ1696" s="3" t="s">
        <v>17192</v>
      </c>
      <c r="BA1696" s="3" t="s">
        <v>17192</v>
      </c>
      <c r="BB1696" s="3" t="s">
        <v>17193</v>
      </c>
      <c r="BC1696" s="3" t="s">
        <v>77</v>
      </c>
      <c r="BD1696" s="3" t="s">
        <v>78</v>
      </c>
      <c r="BE1696" s="3" t="s">
        <v>17194</v>
      </c>
      <c r="BF1696" s="3" t="s">
        <v>17193</v>
      </c>
      <c r="BG1696" s="3" t="s">
        <v>17195</v>
      </c>
      <c r="BH1696">
        <f t="shared" si="48"/>
        <v>0</v>
      </c>
    </row>
    <row r="1697" spans="1:60" ht="58" x14ac:dyDescent="0.35">
      <c r="A1697" s="2" t="s">
        <v>59</v>
      </c>
      <c r="B1697" s="2" t="s">
        <v>60</v>
      </c>
      <c r="C1697" s="2" t="s">
        <v>17196</v>
      </c>
      <c r="D1697" s="2" t="s">
        <v>17197</v>
      </c>
      <c r="E1697" s="2" t="s">
        <v>17198</v>
      </c>
      <c r="G1697" s="3" t="s">
        <v>64</v>
      </c>
      <c r="I1697" s="3" t="s">
        <v>64</v>
      </c>
      <c r="J1697" s="3" t="s">
        <v>64</v>
      </c>
      <c r="K1697" s="3" t="s">
        <v>65</v>
      </c>
      <c r="L1697" s="2" t="s">
        <v>17199</v>
      </c>
      <c r="M1697" s="2" t="s">
        <v>17200</v>
      </c>
      <c r="N1697" s="3" t="s">
        <v>3428</v>
      </c>
      <c r="P1697" s="3" t="s">
        <v>102</v>
      </c>
      <c r="R1697" s="3" t="s">
        <v>70</v>
      </c>
      <c r="S1697" s="4">
        <v>6</v>
      </c>
      <c r="T1697" s="4">
        <v>6</v>
      </c>
      <c r="U1697" s="5" t="s">
        <v>13444</v>
      </c>
      <c r="V1697" s="5" t="s">
        <v>13444</v>
      </c>
      <c r="W1697" s="5" t="s">
        <v>72</v>
      </c>
      <c r="X1697" s="5" t="s">
        <v>72</v>
      </c>
      <c r="Y1697" s="4">
        <v>31</v>
      </c>
      <c r="Z1697" s="4">
        <v>24</v>
      </c>
      <c r="AA1697" s="4">
        <v>31</v>
      </c>
      <c r="AB1697" s="4">
        <v>2</v>
      </c>
      <c r="AC1697" s="4">
        <v>4</v>
      </c>
      <c r="AD1697" s="4">
        <v>20</v>
      </c>
      <c r="AE1697" s="4">
        <v>21</v>
      </c>
      <c r="AF1697" s="4">
        <v>1</v>
      </c>
      <c r="AG1697" s="4">
        <v>1</v>
      </c>
      <c r="AH1697" s="4">
        <v>10</v>
      </c>
      <c r="AI1697" s="4">
        <v>11</v>
      </c>
      <c r="AJ1697" s="4">
        <v>13</v>
      </c>
      <c r="AK1697" s="4">
        <v>14</v>
      </c>
      <c r="AL1697" s="4">
        <v>5</v>
      </c>
      <c r="AM1697" s="4">
        <v>5</v>
      </c>
      <c r="AN1697" s="4">
        <v>0</v>
      </c>
      <c r="AO1697" s="4">
        <v>0</v>
      </c>
      <c r="AP1697" s="4">
        <v>15</v>
      </c>
      <c r="AQ1697" s="4">
        <v>16</v>
      </c>
      <c r="AR1697" s="3" t="s">
        <v>128</v>
      </c>
      <c r="AS1697" s="3" t="s">
        <v>64</v>
      </c>
      <c r="AT1697" s="3" t="s">
        <v>64</v>
      </c>
      <c r="AV1697" s="6" t="str">
        <f>HYPERLINK("http://mcgill.on.worldcat.org/oclc/32739753","Catalog Record")</f>
        <v>Catalog Record</v>
      </c>
      <c r="AW1697" s="6" t="str">
        <f>HYPERLINK("http://www.worldcat.org/oclc/32739753","WorldCat Record")</f>
        <v>WorldCat Record</v>
      </c>
      <c r="AX1697" s="3" t="s">
        <v>17201</v>
      </c>
      <c r="AY1697" s="3" t="s">
        <v>17202</v>
      </c>
      <c r="AZ1697" s="3" t="s">
        <v>17203</v>
      </c>
      <c r="BA1697" s="3" t="s">
        <v>17203</v>
      </c>
      <c r="BB1697" s="3" t="s">
        <v>17204</v>
      </c>
      <c r="BC1697" s="3" t="s">
        <v>77</v>
      </c>
      <c r="BD1697" s="3" t="s">
        <v>78</v>
      </c>
      <c r="BF1697" s="3" t="s">
        <v>17204</v>
      </c>
      <c r="BG1697" s="3" t="s">
        <v>17205</v>
      </c>
      <c r="BH1697">
        <f t="shared" si="48"/>
        <v>0</v>
      </c>
    </row>
    <row r="1698" spans="1:60" ht="58" x14ac:dyDescent="0.35">
      <c r="A1698" s="2" t="s">
        <v>59</v>
      </c>
      <c r="B1698" s="2" t="s">
        <v>60</v>
      </c>
      <c r="C1698" s="2" t="s">
        <v>17206</v>
      </c>
      <c r="D1698" s="2" t="s">
        <v>17207</v>
      </c>
      <c r="E1698" s="2" t="s">
        <v>17208</v>
      </c>
      <c r="G1698" s="3" t="s">
        <v>64</v>
      </c>
      <c r="I1698" s="3" t="s">
        <v>64</v>
      </c>
      <c r="J1698" s="3" t="s">
        <v>64</v>
      </c>
      <c r="K1698" s="3" t="s">
        <v>65</v>
      </c>
      <c r="L1698" s="2" t="s">
        <v>17209</v>
      </c>
      <c r="M1698" s="2" t="s">
        <v>17210</v>
      </c>
      <c r="N1698" s="3" t="s">
        <v>3721</v>
      </c>
      <c r="P1698" s="3" t="s">
        <v>102</v>
      </c>
      <c r="Q1698" s="2" t="s">
        <v>17211</v>
      </c>
      <c r="R1698" s="3" t="s">
        <v>70</v>
      </c>
      <c r="S1698" s="4">
        <v>5</v>
      </c>
      <c r="T1698" s="4">
        <v>5</v>
      </c>
      <c r="U1698" s="5" t="s">
        <v>17212</v>
      </c>
      <c r="V1698" s="5" t="s">
        <v>17212</v>
      </c>
      <c r="W1698" s="5" t="s">
        <v>72</v>
      </c>
      <c r="X1698" s="5" t="s">
        <v>72</v>
      </c>
      <c r="Y1698" s="4">
        <v>277</v>
      </c>
      <c r="Z1698" s="4">
        <v>18</v>
      </c>
      <c r="AA1698" s="4">
        <v>19</v>
      </c>
      <c r="AB1698" s="4">
        <v>1</v>
      </c>
      <c r="AC1698" s="4">
        <v>2</v>
      </c>
      <c r="AD1698" s="4">
        <v>55</v>
      </c>
      <c r="AE1698" s="4">
        <v>56</v>
      </c>
      <c r="AF1698" s="4">
        <v>0</v>
      </c>
      <c r="AG1698" s="4">
        <v>1</v>
      </c>
      <c r="AH1698" s="4">
        <v>48</v>
      </c>
      <c r="AI1698" s="4">
        <v>48</v>
      </c>
      <c r="AJ1698" s="4">
        <v>12</v>
      </c>
      <c r="AK1698" s="4">
        <v>13</v>
      </c>
      <c r="AL1698" s="4">
        <v>23</v>
      </c>
      <c r="AM1698" s="4">
        <v>23</v>
      </c>
      <c r="AN1698" s="4">
        <v>0</v>
      </c>
      <c r="AO1698" s="4">
        <v>0</v>
      </c>
      <c r="AP1698" s="4">
        <v>12</v>
      </c>
      <c r="AQ1698" s="4">
        <v>12</v>
      </c>
      <c r="AR1698" s="3" t="s">
        <v>64</v>
      </c>
      <c r="AS1698" s="3" t="s">
        <v>64</v>
      </c>
      <c r="AT1698" s="3" t="s">
        <v>128</v>
      </c>
      <c r="AU1698" s="6" t="str">
        <f>HYPERLINK("http://catalog.hathitrust.org/Record/000757319","HathiTrust Record")</f>
        <v>HathiTrust Record</v>
      </c>
      <c r="AV1698" s="6" t="str">
        <f>HYPERLINK("http://mcgill.on.worldcat.org/oclc/5354835","Catalog Record")</f>
        <v>Catalog Record</v>
      </c>
      <c r="AW1698" s="6" t="str">
        <f>HYPERLINK("http://www.worldcat.org/oclc/5354835","WorldCat Record")</f>
        <v>WorldCat Record</v>
      </c>
      <c r="AX1698" s="3" t="s">
        <v>17213</v>
      </c>
      <c r="AY1698" s="3" t="s">
        <v>17214</v>
      </c>
      <c r="AZ1698" s="3" t="s">
        <v>17215</v>
      </c>
      <c r="BA1698" s="3" t="s">
        <v>17215</v>
      </c>
      <c r="BB1698" s="3" t="s">
        <v>17216</v>
      </c>
      <c r="BC1698" s="3" t="s">
        <v>77</v>
      </c>
      <c r="BD1698" s="3" t="s">
        <v>78</v>
      </c>
      <c r="BE1698" s="3" t="s">
        <v>17217</v>
      </c>
      <c r="BF1698" s="3" t="s">
        <v>17216</v>
      </c>
      <c r="BG1698" s="3" t="s">
        <v>17218</v>
      </c>
      <c r="BH1698">
        <f t="shared" si="48"/>
        <v>0</v>
      </c>
    </row>
    <row r="1699" spans="1:60" ht="58" x14ac:dyDescent="0.35">
      <c r="A1699" s="2" t="s">
        <v>59</v>
      </c>
      <c r="B1699" s="2" t="s">
        <v>60</v>
      </c>
      <c r="C1699" s="2" t="s">
        <v>17219</v>
      </c>
      <c r="D1699" s="2" t="s">
        <v>17220</v>
      </c>
      <c r="E1699" s="2" t="s">
        <v>17221</v>
      </c>
      <c r="G1699" s="3" t="s">
        <v>64</v>
      </c>
      <c r="I1699" s="3" t="s">
        <v>64</v>
      </c>
      <c r="J1699" s="3" t="s">
        <v>64</v>
      </c>
      <c r="K1699" s="3" t="s">
        <v>65</v>
      </c>
      <c r="L1699" s="2" t="s">
        <v>17222</v>
      </c>
      <c r="M1699" s="2" t="s">
        <v>17223</v>
      </c>
      <c r="N1699" s="3" t="s">
        <v>291</v>
      </c>
      <c r="P1699" s="3" t="s">
        <v>102</v>
      </c>
      <c r="R1699" s="3" t="s">
        <v>70</v>
      </c>
      <c r="S1699" s="4">
        <v>3</v>
      </c>
      <c r="T1699" s="4">
        <v>3</v>
      </c>
      <c r="U1699" s="5" t="s">
        <v>17224</v>
      </c>
      <c r="V1699" s="5" t="s">
        <v>17224</v>
      </c>
      <c r="W1699" s="5" t="s">
        <v>72</v>
      </c>
      <c r="X1699" s="5" t="s">
        <v>72</v>
      </c>
      <c r="Y1699" s="4">
        <v>21</v>
      </c>
      <c r="Z1699" s="4">
        <v>2</v>
      </c>
      <c r="AA1699" s="4">
        <v>2</v>
      </c>
      <c r="AB1699" s="4">
        <v>1</v>
      </c>
      <c r="AC1699" s="4">
        <v>1</v>
      </c>
      <c r="AD1699" s="4">
        <v>3</v>
      </c>
      <c r="AE1699" s="4">
        <v>3</v>
      </c>
      <c r="AF1699" s="4">
        <v>0</v>
      </c>
      <c r="AG1699" s="4">
        <v>0</v>
      </c>
      <c r="AH1699" s="4">
        <v>3</v>
      </c>
      <c r="AI1699" s="4">
        <v>3</v>
      </c>
      <c r="AJ1699" s="4">
        <v>1</v>
      </c>
      <c r="AK1699" s="4">
        <v>1</v>
      </c>
      <c r="AL1699" s="4">
        <v>0</v>
      </c>
      <c r="AM1699" s="4">
        <v>0</v>
      </c>
      <c r="AN1699" s="4">
        <v>0</v>
      </c>
      <c r="AO1699" s="4">
        <v>0</v>
      </c>
      <c r="AP1699" s="4">
        <v>1</v>
      </c>
      <c r="AQ1699" s="4">
        <v>1</v>
      </c>
      <c r="AR1699" s="3" t="s">
        <v>64</v>
      </c>
      <c r="AS1699" s="3" t="s">
        <v>64</v>
      </c>
      <c r="AT1699" s="3" t="s">
        <v>64</v>
      </c>
      <c r="AV1699" s="6" t="str">
        <f>HYPERLINK("http://mcgill.on.worldcat.org/oclc/191927463","Catalog Record")</f>
        <v>Catalog Record</v>
      </c>
      <c r="AW1699" s="6" t="str">
        <f>HYPERLINK("http://www.worldcat.org/oclc/191927463","WorldCat Record")</f>
        <v>WorldCat Record</v>
      </c>
      <c r="AX1699" s="3" t="s">
        <v>17225</v>
      </c>
      <c r="AY1699" s="3" t="s">
        <v>17226</v>
      </c>
      <c r="AZ1699" s="3" t="s">
        <v>17227</v>
      </c>
      <c r="BA1699" s="3" t="s">
        <v>17227</v>
      </c>
      <c r="BB1699" s="3" t="s">
        <v>17228</v>
      </c>
      <c r="BC1699" s="3" t="s">
        <v>77</v>
      </c>
      <c r="BD1699" s="3" t="s">
        <v>78</v>
      </c>
      <c r="BE1699" s="3" t="s">
        <v>17229</v>
      </c>
      <c r="BF1699" s="3" t="s">
        <v>17228</v>
      </c>
      <c r="BG1699" s="3" t="s">
        <v>17230</v>
      </c>
      <c r="BH1699">
        <f t="shared" si="48"/>
        <v>0</v>
      </c>
    </row>
    <row r="1700" spans="1:60" ht="58" x14ac:dyDescent="0.35">
      <c r="A1700" s="2" t="s">
        <v>59</v>
      </c>
      <c r="B1700" s="2" t="s">
        <v>60</v>
      </c>
      <c r="C1700" s="2" t="s">
        <v>17231</v>
      </c>
      <c r="D1700" s="2" t="s">
        <v>17232</v>
      </c>
      <c r="E1700" s="2" t="s">
        <v>17233</v>
      </c>
      <c r="G1700" s="3" t="s">
        <v>64</v>
      </c>
      <c r="I1700" s="3" t="s">
        <v>64</v>
      </c>
      <c r="J1700" s="3" t="s">
        <v>64</v>
      </c>
      <c r="K1700" s="3" t="s">
        <v>65</v>
      </c>
      <c r="L1700" s="2" t="s">
        <v>17234</v>
      </c>
      <c r="M1700" s="2" t="s">
        <v>17235</v>
      </c>
      <c r="N1700" s="3" t="s">
        <v>1763</v>
      </c>
      <c r="P1700" s="3" t="s">
        <v>102</v>
      </c>
      <c r="R1700" s="3" t="s">
        <v>70</v>
      </c>
      <c r="S1700" s="4">
        <v>8</v>
      </c>
      <c r="T1700" s="4">
        <v>8</v>
      </c>
      <c r="U1700" s="5" t="s">
        <v>17212</v>
      </c>
      <c r="V1700" s="5" t="s">
        <v>17212</v>
      </c>
      <c r="W1700" s="5" t="s">
        <v>72</v>
      </c>
      <c r="X1700" s="5" t="s">
        <v>72</v>
      </c>
      <c r="Y1700" s="4">
        <v>246</v>
      </c>
      <c r="Z1700" s="4">
        <v>17</v>
      </c>
      <c r="AA1700" s="4">
        <v>18</v>
      </c>
      <c r="AB1700" s="4">
        <v>3</v>
      </c>
      <c r="AC1700" s="4">
        <v>4</v>
      </c>
      <c r="AD1700" s="4">
        <v>65</v>
      </c>
      <c r="AE1700" s="4">
        <v>67</v>
      </c>
      <c r="AF1700" s="4">
        <v>1</v>
      </c>
      <c r="AG1700" s="4">
        <v>2</v>
      </c>
      <c r="AH1700" s="4">
        <v>61</v>
      </c>
      <c r="AI1700" s="4">
        <v>62</v>
      </c>
      <c r="AJ1700" s="4">
        <v>9</v>
      </c>
      <c r="AK1700" s="4">
        <v>10</v>
      </c>
      <c r="AL1700" s="4">
        <v>30</v>
      </c>
      <c r="AM1700" s="4">
        <v>30</v>
      </c>
      <c r="AN1700" s="4">
        <v>0</v>
      </c>
      <c r="AO1700" s="4">
        <v>0</v>
      </c>
      <c r="AP1700" s="4">
        <v>7</v>
      </c>
      <c r="AQ1700" s="4">
        <v>7</v>
      </c>
      <c r="AR1700" s="3" t="s">
        <v>64</v>
      </c>
      <c r="AS1700" s="3" t="s">
        <v>64</v>
      </c>
      <c r="AT1700" s="3" t="s">
        <v>128</v>
      </c>
      <c r="AU1700" s="6" t="str">
        <f>HYPERLINK("http://catalog.hathitrust.org/Record/000783540","HathiTrust Record")</f>
        <v>HathiTrust Record</v>
      </c>
      <c r="AV1700" s="6" t="str">
        <f>HYPERLINK("http://mcgill.on.worldcat.org/oclc/10208258","Catalog Record")</f>
        <v>Catalog Record</v>
      </c>
      <c r="AW1700" s="6" t="str">
        <f>HYPERLINK("http://www.worldcat.org/oclc/10208258","WorldCat Record")</f>
        <v>WorldCat Record</v>
      </c>
      <c r="AX1700" s="3" t="s">
        <v>17236</v>
      </c>
      <c r="AY1700" s="3" t="s">
        <v>17237</v>
      </c>
      <c r="AZ1700" s="3" t="s">
        <v>17238</v>
      </c>
      <c r="BA1700" s="3" t="s">
        <v>17238</v>
      </c>
      <c r="BB1700" s="3" t="s">
        <v>17239</v>
      </c>
      <c r="BC1700" s="3" t="s">
        <v>77</v>
      </c>
      <c r="BD1700" s="3" t="s">
        <v>78</v>
      </c>
      <c r="BE1700" s="3" t="s">
        <v>17240</v>
      </c>
      <c r="BF1700" s="3" t="s">
        <v>17239</v>
      </c>
      <c r="BG1700" s="3" t="s">
        <v>17241</v>
      </c>
      <c r="BH1700">
        <f t="shared" si="48"/>
        <v>0</v>
      </c>
    </row>
    <row r="1701" spans="1:60" ht="58" x14ac:dyDescent="0.35">
      <c r="A1701" s="2" t="s">
        <v>59</v>
      </c>
      <c r="B1701" s="2" t="s">
        <v>60</v>
      </c>
      <c r="C1701" s="2" t="s">
        <v>17242</v>
      </c>
      <c r="D1701" s="2" t="s">
        <v>17243</v>
      </c>
      <c r="E1701" s="2" t="s">
        <v>17244</v>
      </c>
      <c r="G1701" s="3" t="s">
        <v>64</v>
      </c>
      <c r="I1701" s="3" t="s">
        <v>64</v>
      </c>
      <c r="J1701" s="3" t="s">
        <v>64</v>
      </c>
      <c r="K1701" s="3" t="s">
        <v>65</v>
      </c>
      <c r="L1701" s="2" t="s">
        <v>17245</v>
      </c>
      <c r="M1701" s="2" t="s">
        <v>17246</v>
      </c>
      <c r="N1701" s="3" t="s">
        <v>159</v>
      </c>
      <c r="P1701" s="3" t="s">
        <v>102</v>
      </c>
      <c r="R1701" s="3" t="s">
        <v>70</v>
      </c>
      <c r="S1701" s="4">
        <v>9</v>
      </c>
      <c r="T1701" s="4">
        <v>9</v>
      </c>
      <c r="U1701" s="5" t="s">
        <v>17247</v>
      </c>
      <c r="V1701" s="5" t="s">
        <v>17247</v>
      </c>
      <c r="W1701" s="5" t="s">
        <v>72</v>
      </c>
      <c r="X1701" s="5" t="s">
        <v>72</v>
      </c>
      <c r="Y1701" s="4">
        <v>265</v>
      </c>
      <c r="Z1701" s="4">
        <v>18</v>
      </c>
      <c r="AA1701" s="4">
        <v>19</v>
      </c>
      <c r="AB1701" s="4">
        <v>2</v>
      </c>
      <c r="AC1701" s="4">
        <v>3</v>
      </c>
      <c r="AD1701" s="4">
        <v>58</v>
      </c>
      <c r="AE1701" s="4">
        <v>59</v>
      </c>
      <c r="AF1701" s="4">
        <v>0</v>
      </c>
      <c r="AG1701" s="4">
        <v>1</v>
      </c>
      <c r="AH1701" s="4">
        <v>54</v>
      </c>
      <c r="AI1701" s="4">
        <v>54</v>
      </c>
      <c r="AJ1701" s="4">
        <v>9</v>
      </c>
      <c r="AK1701" s="4">
        <v>10</v>
      </c>
      <c r="AL1701" s="4">
        <v>25</v>
      </c>
      <c r="AM1701" s="4">
        <v>25</v>
      </c>
      <c r="AN1701" s="4">
        <v>0</v>
      </c>
      <c r="AO1701" s="4">
        <v>0</v>
      </c>
      <c r="AP1701" s="4">
        <v>9</v>
      </c>
      <c r="AQ1701" s="4">
        <v>9</v>
      </c>
      <c r="AR1701" s="3" t="s">
        <v>64</v>
      </c>
      <c r="AS1701" s="3" t="s">
        <v>64</v>
      </c>
      <c r="AT1701" s="3" t="s">
        <v>64</v>
      </c>
      <c r="AV1701" s="6" t="str">
        <f>HYPERLINK("http://mcgill.on.worldcat.org/oclc/51282047","Catalog Record")</f>
        <v>Catalog Record</v>
      </c>
      <c r="AW1701" s="6" t="str">
        <f>HYPERLINK("http://www.worldcat.org/oclc/51282047","WorldCat Record")</f>
        <v>WorldCat Record</v>
      </c>
      <c r="AX1701" s="3" t="s">
        <v>17248</v>
      </c>
      <c r="AY1701" s="3" t="s">
        <v>17249</v>
      </c>
      <c r="AZ1701" s="3" t="s">
        <v>17250</v>
      </c>
      <c r="BA1701" s="3" t="s">
        <v>17250</v>
      </c>
      <c r="BB1701" s="3" t="s">
        <v>17251</v>
      </c>
      <c r="BC1701" s="3" t="s">
        <v>77</v>
      </c>
      <c r="BD1701" s="3" t="s">
        <v>78</v>
      </c>
      <c r="BE1701" s="3" t="s">
        <v>17252</v>
      </c>
      <c r="BF1701" s="3" t="s">
        <v>17251</v>
      </c>
      <c r="BG1701" s="3" t="s">
        <v>17253</v>
      </c>
      <c r="BH1701">
        <f t="shared" si="48"/>
        <v>0</v>
      </c>
    </row>
    <row r="1702" spans="1:60" ht="58" x14ac:dyDescent="0.35">
      <c r="A1702" s="2" t="s">
        <v>59</v>
      </c>
      <c r="B1702" s="2" t="s">
        <v>60</v>
      </c>
      <c r="C1702" s="2" t="s">
        <v>17254</v>
      </c>
      <c r="D1702" s="2" t="s">
        <v>17255</v>
      </c>
      <c r="E1702" s="2" t="s">
        <v>17256</v>
      </c>
      <c r="G1702" s="3" t="s">
        <v>64</v>
      </c>
      <c r="I1702" s="3" t="s">
        <v>64</v>
      </c>
      <c r="J1702" s="3" t="s">
        <v>128</v>
      </c>
      <c r="K1702" s="3" t="s">
        <v>65</v>
      </c>
      <c r="L1702" s="2" t="s">
        <v>17257</v>
      </c>
      <c r="M1702" s="2" t="s">
        <v>17258</v>
      </c>
      <c r="N1702" s="3" t="s">
        <v>3428</v>
      </c>
      <c r="O1702" s="2" t="s">
        <v>2994</v>
      </c>
      <c r="P1702" s="3" t="s">
        <v>102</v>
      </c>
      <c r="R1702" s="3" t="s">
        <v>70</v>
      </c>
      <c r="S1702" s="4">
        <v>70</v>
      </c>
      <c r="T1702" s="4">
        <v>70</v>
      </c>
      <c r="U1702" s="5" t="s">
        <v>7890</v>
      </c>
      <c r="V1702" s="5" t="s">
        <v>7890</v>
      </c>
      <c r="W1702" s="5" t="s">
        <v>72</v>
      </c>
      <c r="X1702" s="5" t="s">
        <v>72</v>
      </c>
      <c r="Y1702" s="4">
        <v>125</v>
      </c>
      <c r="Z1702" s="4">
        <v>9</v>
      </c>
      <c r="AA1702" s="4">
        <v>24</v>
      </c>
      <c r="AB1702" s="4">
        <v>1</v>
      </c>
      <c r="AC1702" s="4">
        <v>5</v>
      </c>
      <c r="AD1702" s="4">
        <v>37</v>
      </c>
      <c r="AE1702" s="4">
        <v>76</v>
      </c>
      <c r="AF1702" s="4">
        <v>0</v>
      </c>
      <c r="AG1702" s="4">
        <v>3</v>
      </c>
      <c r="AH1702" s="4">
        <v>35</v>
      </c>
      <c r="AI1702" s="4">
        <v>67</v>
      </c>
      <c r="AJ1702" s="4">
        <v>5</v>
      </c>
      <c r="AK1702" s="4">
        <v>9</v>
      </c>
      <c r="AL1702" s="4">
        <v>16</v>
      </c>
      <c r="AM1702" s="4">
        <v>35</v>
      </c>
      <c r="AN1702" s="4">
        <v>0</v>
      </c>
      <c r="AO1702" s="4">
        <v>0</v>
      </c>
      <c r="AP1702" s="4">
        <v>4</v>
      </c>
      <c r="AQ1702" s="4">
        <v>9</v>
      </c>
      <c r="AR1702" s="3" t="s">
        <v>64</v>
      </c>
      <c r="AS1702" s="3" t="s">
        <v>64</v>
      </c>
      <c r="AT1702" s="3" t="s">
        <v>128</v>
      </c>
      <c r="AU1702" s="6" t="str">
        <f>HYPERLINK("http://catalog.hathitrust.org/Record/003002628","HathiTrust Record")</f>
        <v>HathiTrust Record</v>
      </c>
      <c r="AV1702" s="6" t="str">
        <f>HYPERLINK("http://mcgill.on.worldcat.org/oclc/32272046","Catalog Record")</f>
        <v>Catalog Record</v>
      </c>
      <c r="AW1702" s="6" t="str">
        <f>HYPERLINK("http://www.worldcat.org/oclc/32272046","WorldCat Record")</f>
        <v>WorldCat Record</v>
      </c>
      <c r="AX1702" s="3" t="s">
        <v>17259</v>
      </c>
      <c r="AY1702" s="3" t="s">
        <v>17260</v>
      </c>
      <c r="AZ1702" s="3" t="s">
        <v>17261</v>
      </c>
      <c r="BA1702" s="3" t="s">
        <v>17261</v>
      </c>
      <c r="BB1702" s="3" t="s">
        <v>17262</v>
      </c>
      <c r="BC1702" s="3" t="s">
        <v>77</v>
      </c>
      <c r="BD1702" s="3" t="s">
        <v>78</v>
      </c>
      <c r="BE1702" s="3" t="s">
        <v>17263</v>
      </c>
      <c r="BF1702" s="3" t="s">
        <v>17262</v>
      </c>
      <c r="BG1702" s="3" t="s">
        <v>17264</v>
      </c>
      <c r="BH1702">
        <f t="shared" si="48"/>
        <v>0</v>
      </c>
    </row>
    <row r="1703" spans="1:60" ht="58" x14ac:dyDescent="0.35">
      <c r="A1703" s="2" t="s">
        <v>59</v>
      </c>
      <c r="B1703" s="2" t="s">
        <v>60</v>
      </c>
      <c r="C1703" s="2" t="s">
        <v>17265</v>
      </c>
      <c r="D1703" s="2" t="s">
        <v>17266</v>
      </c>
      <c r="E1703" s="2" t="s">
        <v>17267</v>
      </c>
      <c r="G1703" s="3" t="s">
        <v>64</v>
      </c>
      <c r="I1703" s="3" t="s">
        <v>64</v>
      </c>
      <c r="J1703" s="3" t="s">
        <v>128</v>
      </c>
      <c r="K1703" s="3" t="s">
        <v>65</v>
      </c>
      <c r="L1703" s="2" t="s">
        <v>17257</v>
      </c>
      <c r="M1703" s="2" t="s">
        <v>17268</v>
      </c>
      <c r="N1703" s="3" t="s">
        <v>392</v>
      </c>
      <c r="O1703" s="2" t="s">
        <v>7660</v>
      </c>
      <c r="P1703" s="3" t="s">
        <v>102</v>
      </c>
      <c r="R1703" s="3" t="s">
        <v>70</v>
      </c>
      <c r="S1703" s="4">
        <v>25</v>
      </c>
      <c r="T1703" s="4">
        <v>25</v>
      </c>
      <c r="U1703" s="5" t="s">
        <v>17269</v>
      </c>
      <c r="V1703" s="5" t="s">
        <v>17269</v>
      </c>
      <c r="W1703" s="5" t="s">
        <v>72</v>
      </c>
      <c r="X1703" s="5" t="s">
        <v>72</v>
      </c>
      <c r="Y1703" s="4">
        <v>100</v>
      </c>
      <c r="Z1703" s="4">
        <v>8</v>
      </c>
      <c r="AA1703" s="4">
        <v>24</v>
      </c>
      <c r="AB1703" s="4">
        <v>2</v>
      </c>
      <c r="AC1703" s="4">
        <v>5</v>
      </c>
      <c r="AD1703" s="4">
        <v>25</v>
      </c>
      <c r="AE1703" s="4">
        <v>76</v>
      </c>
      <c r="AF1703" s="4">
        <v>1</v>
      </c>
      <c r="AG1703" s="4">
        <v>3</v>
      </c>
      <c r="AH1703" s="4">
        <v>22</v>
      </c>
      <c r="AI1703" s="4">
        <v>67</v>
      </c>
      <c r="AJ1703" s="4">
        <v>3</v>
      </c>
      <c r="AK1703" s="4">
        <v>9</v>
      </c>
      <c r="AL1703" s="4">
        <v>10</v>
      </c>
      <c r="AM1703" s="4">
        <v>35</v>
      </c>
      <c r="AN1703" s="4">
        <v>0</v>
      </c>
      <c r="AO1703" s="4">
        <v>0</v>
      </c>
      <c r="AP1703" s="4">
        <v>5</v>
      </c>
      <c r="AQ1703" s="4">
        <v>9</v>
      </c>
      <c r="AR1703" s="3" t="s">
        <v>64</v>
      </c>
      <c r="AS1703" s="3" t="s">
        <v>64</v>
      </c>
      <c r="AT1703" s="3" t="s">
        <v>64</v>
      </c>
      <c r="AV1703" s="6" t="str">
        <f>HYPERLINK("http://mcgill.on.worldcat.org/oclc/41527182","Catalog Record")</f>
        <v>Catalog Record</v>
      </c>
      <c r="AW1703" s="6" t="str">
        <f>HYPERLINK("http://www.worldcat.org/oclc/41527182","WorldCat Record")</f>
        <v>WorldCat Record</v>
      </c>
      <c r="AX1703" s="3" t="s">
        <v>17259</v>
      </c>
      <c r="AY1703" s="3" t="s">
        <v>17270</v>
      </c>
      <c r="AZ1703" s="3" t="s">
        <v>17271</v>
      </c>
      <c r="BA1703" s="3" t="s">
        <v>17271</v>
      </c>
      <c r="BB1703" s="3" t="s">
        <v>17272</v>
      </c>
      <c r="BC1703" s="3" t="s">
        <v>77</v>
      </c>
      <c r="BD1703" s="3" t="s">
        <v>78</v>
      </c>
      <c r="BE1703" s="3" t="s">
        <v>17273</v>
      </c>
      <c r="BF1703" s="3" t="s">
        <v>17272</v>
      </c>
      <c r="BG1703" s="3" t="s">
        <v>17274</v>
      </c>
      <c r="BH1703">
        <f t="shared" si="48"/>
        <v>0</v>
      </c>
    </row>
    <row r="1704" spans="1:60" ht="72.5" x14ac:dyDescent="0.35">
      <c r="A1704" s="2" t="s">
        <v>59</v>
      </c>
      <c r="B1704" s="2" t="s">
        <v>60</v>
      </c>
      <c r="C1704" s="2" t="s">
        <v>17275</v>
      </c>
      <c r="D1704" s="2" t="s">
        <v>17276</v>
      </c>
      <c r="E1704" s="2" t="s">
        <v>17277</v>
      </c>
      <c r="G1704" s="3" t="s">
        <v>64</v>
      </c>
      <c r="I1704" s="3" t="s">
        <v>64</v>
      </c>
      <c r="J1704" s="3" t="s">
        <v>64</v>
      </c>
      <c r="K1704" s="3" t="s">
        <v>65</v>
      </c>
      <c r="L1704" s="2" t="s">
        <v>17278</v>
      </c>
      <c r="M1704" s="2" t="s">
        <v>17279</v>
      </c>
      <c r="N1704" s="3" t="s">
        <v>511</v>
      </c>
      <c r="P1704" s="3" t="s">
        <v>102</v>
      </c>
      <c r="Q1704" s="2" t="s">
        <v>17280</v>
      </c>
      <c r="R1704" s="3" t="s">
        <v>70</v>
      </c>
      <c r="S1704" s="4">
        <v>0</v>
      </c>
      <c r="T1704" s="4">
        <v>0</v>
      </c>
      <c r="W1704" s="5" t="s">
        <v>72</v>
      </c>
      <c r="X1704" s="5" t="s">
        <v>72</v>
      </c>
      <c r="Y1704" s="4">
        <v>25</v>
      </c>
      <c r="Z1704" s="4">
        <v>13</v>
      </c>
      <c r="AA1704" s="4">
        <v>14</v>
      </c>
      <c r="AB1704" s="4">
        <v>1</v>
      </c>
      <c r="AC1704" s="4">
        <v>2</v>
      </c>
      <c r="AD1704" s="4">
        <v>16</v>
      </c>
      <c r="AE1704" s="4">
        <v>17</v>
      </c>
      <c r="AF1704" s="4">
        <v>0</v>
      </c>
      <c r="AG1704" s="4">
        <v>1</v>
      </c>
      <c r="AH1704" s="4">
        <v>11</v>
      </c>
      <c r="AI1704" s="4">
        <v>12</v>
      </c>
      <c r="AJ1704" s="4">
        <v>7</v>
      </c>
      <c r="AK1704" s="4">
        <v>8</v>
      </c>
      <c r="AL1704" s="4">
        <v>7</v>
      </c>
      <c r="AM1704" s="4">
        <v>7</v>
      </c>
      <c r="AN1704" s="4">
        <v>0</v>
      </c>
      <c r="AO1704" s="4">
        <v>0</v>
      </c>
      <c r="AP1704" s="4">
        <v>9</v>
      </c>
      <c r="AQ1704" s="4">
        <v>10</v>
      </c>
      <c r="AR1704" s="3" t="s">
        <v>128</v>
      </c>
      <c r="AS1704" s="3" t="s">
        <v>64</v>
      </c>
      <c r="AT1704" s="3" t="s">
        <v>64</v>
      </c>
      <c r="AV1704" s="6" t="str">
        <f>HYPERLINK("http://mcgill.on.worldcat.org/oclc/691743829","Catalog Record")</f>
        <v>Catalog Record</v>
      </c>
      <c r="AW1704" s="6" t="str">
        <f>HYPERLINK("http://www.worldcat.org/oclc/691743829","WorldCat Record")</f>
        <v>WorldCat Record</v>
      </c>
      <c r="AX1704" s="3" t="s">
        <v>17281</v>
      </c>
      <c r="AY1704" s="3" t="s">
        <v>17282</v>
      </c>
      <c r="AZ1704" s="3" t="s">
        <v>17283</v>
      </c>
      <c r="BA1704" s="3" t="s">
        <v>17283</v>
      </c>
      <c r="BB1704" s="3" t="s">
        <v>17284</v>
      </c>
      <c r="BC1704" s="3" t="s">
        <v>77</v>
      </c>
      <c r="BD1704" s="3" t="s">
        <v>78</v>
      </c>
      <c r="BE1704" s="3" t="s">
        <v>17285</v>
      </c>
      <c r="BF1704" s="3" t="s">
        <v>17284</v>
      </c>
      <c r="BG1704" s="3" t="s">
        <v>17286</v>
      </c>
      <c r="BH1704">
        <f t="shared" si="48"/>
        <v>0</v>
      </c>
    </row>
    <row r="1705" spans="1:60" ht="58" x14ac:dyDescent="0.35">
      <c r="A1705" s="2" t="s">
        <v>59</v>
      </c>
      <c r="B1705" s="2" t="s">
        <v>60</v>
      </c>
      <c r="C1705" s="2" t="s">
        <v>17287</v>
      </c>
      <c r="D1705" s="2" t="s">
        <v>17288</v>
      </c>
      <c r="E1705" s="2" t="s">
        <v>17289</v>
      </c>
      <c r="G1705" s="3" t="s">
        <v>64</v>
      </c>
      <c r="I1705" s="3" t="s">
        <v>64</v>
      </c>
      <c r="J1705" s="3" t="s">
        <v>64</v>
      </c>
      <c r="K1705" s="3" t="s">
        <v>65</v>
      </c>
      <c r="L1705" s="2" t="s">
        <v>17290</v>
      </c>
      <c r="M1705" s="2" t="s">
        <v>17291</v>
      </c>
      <c r="N1705" s="3" t="s">
        <v>326</v>
      </c>
      <c r="P1705" s="3" t="s">
        <v>102</v>
      </c>
      <c r="Q1705" s="2" t="s">
        <v>8981</v>
      </c>
      <c r="R1705" s="3" t="s">
        <v>70</v>
      </c>
      <c r="S1705" s="4">
        <v>2</v>
      </c>
      <c r="T1705" s="4">
        <v>2</v>
      </c>
      <c r="U1705" s="5" t="s">
        <v>7890</v>
      </c>
      <c r="V1705" s="5" t="s">
        <v>7890</v>
      </c>
      <c r="W1705" s="5" t="s">
        <v>72</v>
      </c>
      <c r="X1705" s="5" t="s">
        <v>72</v>
      </c>
      <c r="Y1705" s="4">
        <v>88</v>
      </c>
      <c r="Z1705" s="4">
        <v>9</v>
      </c>
      <c r="AA1705" s="4">
        <v>79</v>
      </c>
      <c r="AB1705" s="4">
        <v>1</v>
      </c>
      <c r="AC1705" s="4">
        <v>14</v>
      </c>
      <c r="AD1705" s="4">
        <v>20</v>
      </c>
      <c r="AE1705" s="4">
        <v>103</v>
      </c>
      <c r="AF1705" s="4">
        <v>0</v>
      </c>
      <c r="AG1705" s="4">
        <v>8</v>
      </c>
      <c r="AH1705" s="4">
        <v>19</v>
      </c>
      <c r="AI1705" s="4">
        <v>70</v>
      </c>
      <c r="AJ1705" s="4">
        <v>5</v>
      </c>
      <c r="AK1705" s="4">
        <v>19</v>
      </c>
      <c r="AL1705" s="4">
        <v>12</v>
      </c>
      <c r="AM1705" s="4">
        <v>34</v>
      </c>
      <c r="AN1705" s="4">
        <v>0</v>
      </c>
      <c r="AO1705" s="4">
        <v>0</v>
      </c>
      <c r="AP1705" s="4">
        <v>5</v>
      </c>
      <c r="AQ1705" s="4">
        <v>39</v>
      </c>
      <c r="AR1705" s="3" t="s">
        <v>64</v>
      </c>
      <c r="AS1705" s="3" t="s">
        <v>64</v>
      </c>
      <c r="AT1705" s="3" t="s">
        <v>64</v>
      </c>
      <c r="AV1705" s="6" t="str">
        <f>HYPERLINK("http://mcgill.on.worldcat.org/oclc/712636749","Catalog Record")</f>
        <v>Catalog Record</v>
      </c>
      <c r="AW1705" s="6" t="str">
        <f>HYPERLINK("http://www.worldcat.org/oclc/712636749","WorldCat Record")</f>
        <v>WorldCat Record</v>
      </c>
      <c r="AX1705" s="3" t="s">
        <v>17292</v>
      </c>
      <c r="AY1705" s="3" t="s">
        <v>17293</v>
      </c>
      <c r="AZ1705" s="3" t="s">
        <v>17294</v>
      </c>
      <c r="BA1705" s="3" t="s">
        <v>17294</v>
      </c>
      <c r="BB1705" s="3" t="s">
        <v>17295</v>
      </c>
      <c r="BC1705" s="3" t="s">
        <v>77</v>
      </c>
      <c r="BD1705" s="3" t="s">
        <v>78</v>
      </c>
      <c r="BE1705" s="3" t="s">
        <v>17296</v>
      </c>
      <c r="BF1705" s="3" t="s">
        <v>17295</v>
      </c>
      <c r="BG1705" s="3" t="s">
        <v>17297</v>
      </c>
      <c r="BH1705">
        <f t="shared" si="48"/>
        <v>0</v>
      </c>
    </row>
    <row r="1706" spans="1:60" ht="58" x14ac:dyDescent="0.35">
      <c r="A1706" s="2" t="s">
        <v>59</v>
      </c>
      <c r="B1706" s="2" t="s">
        <v>60</v>
      </c>
      <c r="C1706" s="2" t="s">
        <v>17298</v>
      </c>
      <c r="D1706" s="2" t="s">
        <v>17299</v>
      </c>
      <c r="E1706" s="2" t="s">
        <v>17300</v>
      </c>
      <c r="G1706" s="3" t="s">
        <v>64</v>
      </c>
      <c r="I1706" s="3" t="s">
        <v>64</v>
      </c>
      <c r="J1706" s="3" t="s">
        <v>64</v>
      </c>
      <c r="K1706" s="3" t="s">
        <v>65</v>
      </c>
      <c r="L1706" s="2" t="s">
        <v>17301</v>
      </c>
      <c r="M1706" s="2" t="s">
        <v>17302</v>
      </c>
      <c r="N1706" s="3" t="s">
        <v>242</v>
      </c>
      <c r="P1706" s="3" t="s">
        <v>102</v>
      </c>
      <c r="R1706" s="3" t="s">
        <v>70</v>
      </c>
      <c r="S1706" s="4">
        <v>1</v>
      </c>
      <c r="T1706" s="4">
        <v>1</v>
      </c>
      <c r="U1706" s="5" t="s">
        <v>17303</v>
      </c>
      <c r="V1706" s="5" t="s">
        <v>17303</v>
      </c>
      <c r="W1706" s="5" t="s">
        <v>72</v>
      </c>
      <c r="X1706" s="5" t="s">
        <v>72</v>
      </c>
      <c r="Y1706" s="4">
        <v>2</v>
      </c>
      <c r="Z1706" s="4">
        <v>2</v>
      </c>
      <c r="AA1706" s="4">
        <v>2</v>
      </c>
      <c r="AB1706" s="4">
        <v>2</v>
      </c>
      <c r="AC1706" s="4">
        <v>2</v>
      </c>
      <c r="AD1706" s="4">
        <v>0</v>
      </c>
      <c r="AE1706" s="4">
        <v>0</v>
      </c>
      <c r="AF1706" s="4">
        <v>0</v>
      </c>
      <c r="AG1706" s="4">
        <v>0</v>
      </c>
      <c r="AH1706" s="4">
        <v>0</v>
      </c>
      <c r="AI1706" s="4">
        <v>0</v>
      </c>
      <c r="AJ1706" s="4">
        <v>0</v>
      </c>
      <c r="AK1706" s="4">
        <v>0</v>
      </c>
      <c r="AL1706" s="4">
        <v>0</v>
      </c>
      <c r="AM1706" s="4">
        <v>0</v>
      </c>
      <c r="AN1706" s="4">
        <v>0</v>
      </c>
      <c r="AO1706" s="4">
        <v>0</v>
      </c>
      <c r="AP1706" s="4">
        <v>0</v>
      </c>
      <c r="AQ1706" s="4">
        <v>0</v>
      </c>
      <c r="AR1706" s="3" t="s">
        <v>128</v>
      </c>
      <c r="AS1706" s="3" t="s">
        <v>64</v>
      </c>
      <c r="AT1706" s="3" t="s">
        <v>64</v>
      </c>
      <c r="AV1706" s="6" t="str">
        <f>HYPERLINK("http://mcgill.on.worldcat.org/oclc/61646205","Catalog Record")</f>
        <v>Catalog Record</v>
      </c>
      <c r="AW1706" s="6" t="str">
        <f>HYPERLINK("http://www.worldcat.org/oclc/61646205","WorldCat Record")</f>
        <v>WorldCat Record</v>
      </c>
      <c r="AX1706" s="3" t="s">
        <v>17304</v>
      </c>
      <c r="AY1706" s="3" t="s">
        <v>17305</v>
      </c>
      <c r="AZ1706" s="3" t="s">
        <v>17306</v>
      </c>
      <c r="BA1706" s="3" t="s">
        <v>17306</v>
      </c>
      <c r="BB1706" s="3" t="s">
        <v>17307</v>
      </c>
      <c r="BC1706" s="3" t="s">
        <v>77</v>
      </c>
      <c r="BD1706" s="3" t="s">
        <v>78</v>
      </c>
      <c r="BF1706" s="3" t="s">
        <v>17307</v>
      </c>
      <c r="BG1706" s="3" t="s">
        <v>17308</v>
      </c>
      <c r="BH1706">
        <f t="shared" si="48"/>
        <v>0</v>
      </c>
    </row>
    <row r="1707" spans="1:60" ht="58" x14ac:dyDescent="0.35">
      <c r="A1707" s="2" t="s">
        <v>59</v>
      </c>
      <c r="B1707" s="2" t="s">
        <v>60</v>
      </c>
      <c r="C1707" s="2" t="s">
        <v>17309</v>
      </c>
      <c r="D1707" s="2" t="s">
        <v>17310</v>
      </c>
      <c r="E1707" s="2" t="s">
        <v>17311</v>
      </c>
      <c r="G1707" s="3" t="s">
        <v>64</v>
      </c>
      <c r="I1707" s="3" t="s">
        <v>128</v>
      </c>
      <c r="J1707" s="3" t="s">
        <v>64</v>
      </c>
      <c r="K1707" s="3" t="s">
        <v>65</v>
      </c>
      <c r="L1707" s="2" t="s">
        <v>17312</v>
      </c>
      <c r="M1707" s="2" t="s">
        <v>17313</v>
      </c>
      <c r="N1707" s="3" t="s">
        <v>1763</v>
      </c>
      <c r="P1707" s="3" t="s">
        <v>102</v>
      </c>
      <c r="Q1707" s="2" t="s">
        <v>17314</v>
      </c>
      <c r="R1707" s="3" t="s">
        <v>70</v>
      </c>
      <c r="S1707" s="4">
        <v>6</v>
      </c>
      <c r="T1707" s="4">
        <v>6</v>
      </c>
      <c r="U1707" s="5" t="s">
        <v>17315</v>
      </c>
      <c r="V1707" s="5" t="s">
        <v>17315</v>
      </c>
      <c r="W1707" s="5" t="s">
        <v>72</v>
      </c>
      <c r="X1707" s="5" t="s">
        <v>72</v>
      </c>
      <c r="Y1707" s="4">
        <v>534</v>
      </c>
      <c r="Z1707" s="4">
        <v>25</v>
      </c>
      <c r="AA1707" s="4">
        <v>27</v>
      </c>
      <c r="AB1707" s="4">
        <v>4</v>
      </c>
      <c r="AC1707" s="4">
        <v>6</v>
      </c>
      <c r="AD1707" s="4">
        <v>85</v>
      </c>
      <c r="AE1707" s="4">
        <v>87</v>
      </c>
      <c r="AF1707" s="4">
        <v>1</v>
      </c>
      <c r="AG1707" s="4">
        <v>3</v>
      </c>
      <c r="AH1707" s="4">
        <v>79</v>
      </c>
      <c r="AI1707" s="4">
        <v>80</v>
      </c>
      <c r="AJ1707" s="4">
        <v>10</v>
      </c>
      <c r="AK1707" s="4">
        <v>12</v>
      </c>
      <c r="AL1707" s="4">
        <v>42</v>
      </c>
      <c r="AM1707" s="4">
        <v>42</v>
      </c>
      <c r="AN1707" s="4">
        <v>0</v>
      </c>
      <c r="AO1707" s="4">
        <v>0</v>
      </c>
      <c r="AP1707" s="4">
        <v>8</v>
      </c>
      <c r="AQ1707" s="4">
        <v>9</v>
      </c>
      <c r="AR1707" s="3" t="s">
        <v>64</v>
      </c>
      <c r="AS1707" s="3" t="s">
        <v>64</v>
      </c>
      <c r="AT1707" s="3" t="s">
        <v>128</v>
      </c>
      <c r="AU1707" s="6" t="str">
        <f>HYPERLINK("http://catalog.hathitrust.org/Record/000323585","HathiTrust Record")</f>
        <v>HathiTrust Record</v>
      </c>
      <c r="AV1707" s="6" t="str">
        <f>HYPERLINK("http://mcgill.on.worldcat.org/oclc/10302493","Catalog Record")</f>
        <v>Catalog Record</v>
      </c>
      <c r="AW1707" s="6" t="str">
        <f>HYPERLINK("http://www.worldcat.org/oclc/10302493","WorldCat Record")</f>
        <v>WorldCat Record</v>
      </c>
      <c r="AX1707" s="3" t="s">
        <v>17316</v>
      </c>
      <c r="AY1707" s="3" t="s">
        <v>17317</v>
      </c>
      <c r="AZ1707" s="3" t="s">
        <v>17318</v>
      </c>
      <c r="BA1707" s="3" t="s">
        <v>17318</v>
      </c>
      <c r="BB1707" s="3" t="s">
        <v>17319</v>
      </c>
      <c r="BC1707" s="3" t="s">
        <v>77</v>
      </c>
      <c r="BD1707" s="3" t="s">
        <v>78</v>
      </c>
      <c r="BE1707" s="3" t="s">
        <v>17320</v>
      </c>
      <c r="BF1707" s="3" t="s">
        <v>17319</v>
      </c>
      <c r="BG1707" s="3" t="s">
        <v>17321</v>
      </c>
      <c r="BH1707">
        <f t="shared" si="48"/>
        <v>0</v>
      </c>
    </row>
    <row r="1708" spans="1:60" ht="58" x14ac:dyDescent="0.35">
      <c r="A1708" s="2" t="s">
        <v>59</v>
      </c>
      <c r="B1708" s="2" t="s">
        <v>60</v>
      </c>
      <c r="C1708" s="2" t="s">
        <v>17309</v>
      </c>
      <c r="D1708" s="2" t="s">
        <v>17310</v>
      </c>
      <c r="E1708" s="2" t="s">
        <v>17311</v>
      </c>
      <c r="G1708" s="3" t="s">
        <v>64</v>
      </c>
      <c r="I1708" s="3" t="s">
        <v>128</v>
      </c>
      <c r="J1708" s="3" t="s">
        <v>64</v>
      </c>
      <c r="K1708" s="3" t="s">
        <v>65</v>
      </c>
      <c r="L1708" s="2" t="s">
        <v>17312</v>
      </c>
      <c r="M1708" s="2" t="s">
        <v>17313</v>
      </c>
      <c r="N1708" s="3" t="s">
        <v>1763</v>
      </c>
      <c r="P1708" s="3" t="s">
        <v>102</v>
      </c>
      <c r="Q1708" s="2" t="s">
        <v>17314</v>
      </c>
      <c r="R1708" s="3" t="s">
        <v>70</v>
      </c>
      <c r="S1708" s="4">
        <v>0</v>
      </c>
      <c r="T1708" s="4">
        <v>6</v>
      </c>
      <c r="V1708" s="5" t="s">
        <v>17315</v>
      </c>
      <c r="W1708" s="5" t="s">
        <v>72</v>
      </c>
      <c r="X1708" s="5" t="s">
        <v>72</v>
      </c>
      <c r="Y1708" s="4">
        <v>534</v>
      </c>
      <c r="Z1708" s="4">
        <v>25</v>
      </c>
      <c r="AA1708" s="4">
        <v>27</v>
      </c>
      <c r="AB1708" s="4">
        <v>4</v>
      </c>
      <c r="AC1708" s="4">
        <v>6</v>
      </c>
      <c r="AD1708" s="4">
        <v>85</v>
      </c>
      <c r="AE1708" s="4">
        <v>87</v>
      </c>
      <c r="AF1708" s="4">
        <v>1</v>
      </c>
      <c r="AG1708" s="4">
        <v>3</v>
      </c>
      <c r="AH1708" s="4">
        <v>79</v>
      </c>
      <c r="AI1708" s="4">
        <v>80</v>
      </c>
      <c r="AJ1708" s="4">
        <v>10</v>
      </c>
      <c r="AK1708" s="4">
        <v>12</v>
      </c>
      <c r="AL1708" s="4">
        <v>42</v>
      </c>
      <c r="AM1708" s="4">
        <v>42</v>
      </c>
      <c r="AN1708" s="4">
        <v>0</v>
      </c>
      <c r="AO1708" s="4">
        <v>0</v>
      </c>
      <c r="AP1708" s="4">
        <v>8</v>
      </c>
      <c r="AQ1708" s="4">
        <v>9</v>
      </c>
      <c r="AR1708" s="3" t="s">
        <v>64</v>
      </c>
      <c r="AS1708" s="3" t="s">
        <v>64</v>
      </c>
      <c r="AT1708" s="3" t="s">
        <v>128</v>
      </c>
      <c r="AU1708" s="6" t="str">
        <f>HYPERLINK("http://catalog.hathitrust.org/Record/000323585","HathiTrust Record")</f>
        <v>HathiTrust Record</v>
      </c>
      <c r="AV1708" s="6" t="str">
        <f>HYPERLINK("http://mcgill.on.worldcat.org/oclc/10302493","Catalog Record")</f>
        <v>Catalog Record</v>
      </c>
      <c r="AW1708" s="6" t="str">
        <f>HYPERLINK("http://www.worldcat.org/oclc/10302493","WorldCat Record")</f>
        <v>WorldCat Record</v>
      </c>
      <c r="AX1708" s="3" t="s">
        <v>17316</v>
      </c>
      <c r="AY1708" s="3" t="s">
        <v>17317</v>
      </c>
      <c r="AZ1708" s="3" t="s">
        <v>17318</v>
      </c>
      <c r="BA1708" s="3" t="s">
        <v>17318</v>
      </c>
      <c r="BB1708" s="3" t="s">
        <v>17322</v>
      </c>
      <c r="BC1708" s="3" t="s">
        <v>77</v>
      </c>
      <c r="BD1708" s="3" t="s">
        <v>78</v>
      </c>
      <c r="BE1708" s="3" t="s">
        <v>17320</v>
      </c>
      <c r="BF1708" s="3" t="s">
        <v>17322</v>
      </c>
      <c r="BG1708" s="3" t="s">
        <v>17323</v>
      </c>
      <c r="BH1708">
        <f t="shared" si="48"/>
        <v>0</v>
      </c>
    </row>
    <row r="1709" spans="1:60" ht="58" x14ac:dyDescent="0.35">
      <c r="A1709" s="2" t="s">
        <v>59</v>
      </c>
      <c r="B1709" s="2" t="s">
        <v>60</v>
      </c>
      <c r="C1709" s="2" t="s">
        <v>17324</v>
      </c>
      <c r="D1709" s="2" t="s">
        <v>17325</v>
      </c>
      <c r="E1709" s="2" t="s">
        <v>17326</v>
      </c>
      <c r="G1709" s="3" t="s">
        <v>64</v>
      </c>
      <c r="I1709" s="3" t="s">
        <v>64</v>
      </c>
      <c r="J1709" s="3" t="s">
        <v>64</v>
      </c>
      <c r="K1709" s="3" t="s">
        <v>65</v>
      </c>
      <c r="L1709" s="2" t="s">
        <v>17327</v>
      </c>
      <c r="M1709" s="2" t="s">
        <v>4708</v>
      </c>
      <c r="N1709" s="3" t="s">
        <v>537</v>
      </c>
      <c r="P1709" s="3" t="s">
        <v>102</v>
      </c>
      <c r="Q1709" s="2" t="s">
        <v>17328</v>
      </c>
      <c r="R1709" s="3" t="s">
        <v>70</v>
      </c>
      <c r="S1709" s="4">
        <v>0</v>
      </c>
      <c r="T1709" s="4">
        <v>0</v>
      </c>
      <c r="W1709" s="5" t="s">
        <v>72</v>
      </c>
      <c r="X1709" s="5" t="s">
        <v>72</v>
      </c>
      <c r="Y1709" s="4">
        <v>91</v>
      </c>
      <c r="Z1709" s="4">
        <v>4</v>
      </c>
      <c r="AA1709" s="4">
        <v>76</v>
      </c>
      <c r="AB1709" s="4">
        <v>1</v>
      </c>
      <c r="AC1709" s="4">
        <v>15</v>
      </c>
      <c r="AD1709" s="4">
        <v>43</v>
      </c>
      <c r="AE1709" s="4">
        <v>107</v>
      </c>
      <c r="AF1709" s="4">
        <v>0</v>
      </c>
      <c r="AG1709" s="4">
        <v>8</v>
      </c>
      <c r="AH1709" s="4">
        <v>42</v>
      </c>
      <c r="AI1709" s="4">
        <v>76</v>
      </c>
      <c r="AJ1709" s="4">
        <v>3</v>
      </c>
      <c r="AK1709" s="4">
        <v>18</v>
      </c>
      <c r="AL1709" s="4">
        <v>28</v>
      </c>
      <c r="AM1709" s="4">
        <v>42</v>
      </c>
      <c r="AN1709" s="4">
        <v>0</v>
      </c>
      <c r="AO1709" s="4">
        <v>0</v>
      </c>
      <c r="AP1709" s="4">
        <v>3</v>
      </c>
      <c r="AQ1709" s="4">
        <v>37</v>
      </c>
      <c r="AR1709" s="3" t="s">
        <v>64</v>
      </c>
      <c r="AS1709" s="3" t="s">
        <v>64</v>
      </c>
      <c r="AT1709" s="3" t="s">
        <v>64</v>
      </c>
      <c r="AV1709" s="6" t="str">
        <f>HYPERLINK("http://mcgill.on.worldcat.org/oclc/944013972","Catalog Record")</f>
        <v>Catalog Record</v>
      </c>
      <c r="AW1709" s="6" t="str">
        <f>HYPERLINK("http://www.worldcat.org/oclc/944013972","WorldCat Record")</f>
        <v>WorldCat Record</v>
      </c>
      <c r="AX1709" s="3" t="s">
        <v>17329</v>
      </c>
      <c r="AY1709" s="3" t="s">
        <v>17330</v>
      </c>
      <c r="AZ1709" s="3" t="s">
        <v>17331</v>
      </c>
      <c r="BA1709" s="3" t="s">
        <v>17331</v>
      </c>
      <c r="BB1709" s="3" t="s">
        <v>17332</v>
      </c>
      <c r="BC1709" s="3" t="s">
        <v>77</v>
      </c>
      <c r="BD1709" s="3" t="s">
        <v>78</v>
      </c>
      <c r="BE1709" s="3" t="s">
        <v>17333</v>
      </c>
      <c r="BF1709" s="3" t="s">
        <v>17332</v>
      </c>
      <c r="BG1709" s="3" t="s">
        <v>17334</v>
      </c>
      <c r="BH1709">
        <f t="shared" si="48"/>
        <v>0</v>
      </c>
    </row>
    <row r="1710" spans="1:60" ht="58" x14ac:dyDescent="0.35">
      <c r="A1710" s="2" t="s">
        <v>59</v>
      </c>
      <c r="B1710" s="2" t="s">
        <v>60</v>
      </c>
      <c r="C1710" s="2" t="s">
        <v>17335</v>
      </c>
      <c r="D1710" s="2" t="s">
        <v>17336</v>
      </c>
      <c r="E1710" s="2" t="s">
        <v>17337</v>
      </c>
      <c r="G1710" s="3" t="s">
        <v>64</v>
      </c>
      <c r="I1710" s="3" t="s">
        <v>64</v>
      </c>
      <c r="J1710" s="3" t="s">
        <v>64</v>
      </c>
      <c r="K1710" s="3" t="s">
        <v>65</v>
      </c>
      <c r="M1710" s="2" t="s">
        <v>17338</v>
      </c>
      <c r="N1710" s="3" t="s">
        <v>1087</v>
      </c>
      <c r="P1710" s="3" t="s">
        <v>102</v>
      </c>
      <c r="Q1710" s="2" t="s">
        <v>17339</v>
      </c>
      <c r="R1710" s="3" t="s">
        <v>70</v>
      </c>
      <c r="S1710" s="4">
        <v>8</v>
      </c>
      <c r="T1710" s="4">
        <v>8</v>
      </c>
      <c r="U1710" s="5" t="s">
        <v>1430</v>
      </c>
      <c r="V1710" s="5" t="s">
        <v>1430</v>
      </c>
      <c r="W1710" s="5" t="s">
        <v>72</v>
      </c>
      <c r="X1710" s="5" t="s">
        <v>72</v>
      </c>
      <c r="Y1710" s="4">
        <v>319</v>
      </c>
      <c r="Z1710" s="4">
        <v>20</v>
      </c>
      <c r="AA1710" s="4">
        <v>33</v>
      </c>
      <c r="AB1710" s="4">
        <v>3</v>
      </c>
      <c r="AC1710" s="4">
        <v>10</v>
      </c>
      <c r="AD1710" s="4">
        <v>95</v>
      </c>
      <c r="AE1710" s="4">
        <v>107</v>
      </c>
      <c r="AF1710" s="4">
        <v>1</v>
      </c>
      <c r="AG1710" s="4">
        <v>6</v>
      </c>
      <c r="AH1710" s="4">
        <v>88</v>
      </c>
      <c r="AI1710" s="4">
        <v>92</v>
      </c>
      <c r="AJ1710" s="4">
        <v>10</v>
      </c>
      <c r="AK1710" s="4">
        <v>19</v>
      </c>
      <c r="AL1710" s="4">
        <v>48</v>
      </c>
      <c r="AM1710" s="4">
        <v>49</v>
      </c>
      <c r="AN1710" s="4">
        <v>0</v>
      </c>
      <c r="AO1710" s="4">
        <v>0</v>
      </c>
      <c r="AP1710" s="4">
        <v>11</v>
      </c>
      <c r="AQ1710" s="4">
        <v>20</v>
      </c>
      <c r="AR1710" s="3" t="s">
        <v>64</v>
      </c>
      <c r="AS1710" s="3" t="s">
        <v>64</v>
      </c>
      <c r="AT1710" s="3" t="s">
        <v>128</v>
      </c>
      <c r="AU1710" s="6" t="str">
        <f>HYPERLINK("http://catalog.hathitrust.org/Record/002441678","HathiTrust Record")</f>
        <v>HathiTrust Record</v>
      </c>
      <c r="AV1710" s="6" t="str">
        <f>HYPERLINK("http://mcgill.on.worldcat.org/oclc/22956843","Catalog Record")</f>
        <v>Catalog Record</v>
      </c>
      <c r="AW1710" s="6" t="str">
        <f>HYPERLINK("http://www.worldcat.org/oclc/22956843","WorldCat Record")</f>
        <v>WorldCat Record</v>
      </c>
      <c r="AX1710" s="3" t="s">
        <v>17340</v>
      </c>
      <c r="AY1710" s="3" t="s">
        <v>17341</v>
      </c>
      <c r="AZ1710" s="3" t="s">
        <v>17342</v>
      </c>
      <c r="BA1710" s="3" t="s">
        <v>17342</v>
      </c>
      <c r="BB1710" s="3" t="s">
        <v>17343</v>
      </c>
      <c r="BC1710" s="3" t="s">
        <v>77</v>
      </c>
      <c r="BD1710" s="3" t="s">
        <v>78</v>
      </c>
      <c r="BE1710" s="3" t="s">
        <v>17344</v>
      </c>
      <c r="BF1710" s="3" t="s">
        <v>17343</v>
      </c>
      <c r="BG1710" s="3" t="s">
        <v>17345</v>
      </c>
      <c r="BH1710">
        <f t="shared" si="48"/>
        <v>0</v>
      </c>
    </row>
    <row r="1711" spans="1:60" ht="58" x14ac:dyDescent="0.35">
      <c r="A1711" s="2" t="s">
        <v>59</v>
      </c>
      <c r="B1711" s="2" t="s">
        <v>60</v>
      </c>
      <c r="C1711" s="2" t="s">
        <v>17346</v>
      </c>
      <c r="D1711" s="2" t="s">
        <v>17347</v>
      </c>
      <c r="E1711" s="2" t="s">
        <v>17348</v>
      </c>
      <c r="G1711" s="3" t="s">
        <v>64</v>
      </c>
      <c r="I1711" s="3" t="s">
        <v>64</v>
      </c>
      <c r="J1711" s="3" t="s">
        <v>128</v>
      </c>
      <c r="K1711" s="3" t="s">
        <v>65</v>
      </c>
      <c r="M1711" s="2" t="s">
        <v>17349</v>
      </c>
      <c r="N1711" s="3" t="s">
        <v>511</v>
      </c>
      <c r="P1711" s="3" t="s">
        <v>102</v>
      </c>
      <c r="R1711" s="3" t="s">
        <v>70</v>
      </c>
      <c r="S1711" s="4">
        <v>6</v>
      </c>
      <c r="T1711" s="4">
        <v>6</v>
      </c>
      <c r="U1711" s="5" t="s">
        <v>17350</v>
      </c>
      <c r="V1711" s="5" t="s">
        <v>17350</v>
      </c>
      <c r="W1711" s="5" t="s">
        <v>72</v>
      </c>
      <c r="X1711" s="5" t="s">
        <v>72</v>
      </c>
      <c r="Y1711" s="4">
        <v>296</v>
      </c>
      <c r="Z1711" s="4">
        <v>20</v>
      </c>
      <c r="AA1711" s="4">
        <v>86</v>
      </c>
      <c r="AB1711" s="4">
        <v>2</v>
      </c>
      <c r="AC1711" s="4">
        <v>15</v>
      </c>
      <c r="AD1711" s="4">
        <v>81</v>
      </c>
      <c r="AE1711" s="4">
        <v>129</v>
      </c>
      <c r="AF1711" s="4">
        <v>0</v>
      </c>
      <c r="AG1711" s="4">
        <v>8</v>
      </c>
      <c r="AH1711" s="4">
        <v>73</v>
      </c>
      <c r="AI1711" s="4">
        <v>98</v>
      </c>
      <c r="AJ1711" s="4">
        <v>12</v>
      </c>
      <c r="AK1711" s="4">
        <v>22</v>
      </c>
      <c r="AL1711" s="4">
        <v>41</v>
      </c>
      <c r="AM1711" s="4">
        <v>51</v>
      </c>
      <c r="AN1711" s="4">
        <v>0</v>
      </c>
      <c r="AO1711" s="4">
        <v>0</v>
      </c>
      <c r="AP1711" s="4">
        <v>14</v>
      </c>
      <c r="AQ1711" s="4">
        <v>39</v>
      </c>
      <c r="AR1711" s="3" t="s">
        <v>64</v>
      </c>
      <c r="AS1711" s="3" t="s">
        <v>64</v>
      </c>
      <c r="AT1711" s="3" t="s">
        <v>64</v>
      </c>
      <c r="AV1711" s="6" t="str">
        <f>HYPERLINK("http://mcgill.on.worldcat.org/oclc/644064137","Catalog Record")</f>
        <v>Catalog Record</v>
      </c>
      <c r="AW1711" s="6" t="str">
        <f>HYPERLINK("http://www.worldcat.org/oclc/644064137","WorldCat Record")</f>
        <v>WorldCat Record</v>
      </c>
      <c r="AX1711" s="3" t="s">
        <v>17351</v>
      </c>
      <c r="AY1711" s="3" t="s">
        <v>17352</v>
      </c>
      <c r="AZ1711" s="3" t="s">
        <v>17353</v>
      </c>
      <c r="BA1711" s="3" t="s">
        <v>17353</v>
      </c>
      <c r="BB1711" s="3" t="s">
        <v>17354</v>
      </c>
      <c r="BC1711" s="3" t="s">
        <v>77</v>
      </c>
      <c r="BD1711" s="3" t="s">
        <v>78</v>
      </c>
      <c r="BE1711" s="3" t="s">
        <v>17355</v>
      </c>
      <c r="BF1711" s="3" t="s">
        <v>17354</v>
      </c>
      <c r="BG1711" s="3" t="s">
        <v>17356</v>
      </c>
      <c r="BH1711">
        <f t="shared" si="48"/>
        <v>0</v>
      </c>
    </row>
    <row r="1712" spans="1:60" ht="58" x14ac:dyDescent="0.35">
      <c r="A1712" s="2" t="s">
        <v>59</v>
      </c>
      <c r="B1712" s="2" t="s">
        <v>60</v>
      </c>
      <c r="C1712" s="2" t="s">
        <v>17357</v>
      </c>
      <c r="D1712" s="2" t="s">
        <v>17358</v>
      </c>
      <c r="E1712" s="2" t="s">
        <v>17359</v>
      </c>
      <c r="G1712" s="3" t="s">
        <v>64</v>
      </c>
      <c r="I1712" s="3" t="s">
        <v>64</v>
      </c>
      <c r="J1712" s="3" t="s">
        <v>128</v>
      </c>
      <c r="K1712" s="3" t="s">
        <v>65</v>
      </c>
      <c r="M1712" s="2" t="s">
        <v>14442</v>
      </c>
      <c r="N1712" s="3" t="s">
        <v>578</v>
      </c>
      <c r="O1712" s="2" t="s">
        <v>3787</v>
      </c>
      <c r="P1712" s="3" t="s">
        <v>102</v>
      </c>
      <c r="R1712" s="3" t="s">
        <v>70</v>
      </c>
      <c r="S1712" s="4">
        <v>4</v>
      </c>
      <c r="T1712" s="4">
        <v>4</v>
      </c>
      <c r="U1712" s="5" t="s">
        <v>3416</v>
      </c>
      <c r="V1712" s="5" t="s">
        <v>3416</v>
      </c>
      <c r="W1712" s="5" t="s">
        <v>72</v>
      </c>
      <c r="X1712" s="5" t="s">
        <v>72</v>
      </c>
      <c r="Y1712" s="4">
        <v>177</v>
      </c>
      <c r="Z1712" s="4">
        <v>6</v>
      </c>
      <c r="AA1712" s="4">
        <v>86</v>
      </c>
      <c r="AB1712" s="4">
        <v>1</v>
      </c>
      <c r="AC1712" s="4">
        <v>15</v>
      </c>
      <c r="AD1712" s="4">
        <v>46</v>
      </c>
      <c r="AE1712" s="4">
        <v>129</v>
      </c>
      <c r="AF1712" s="4">
        <v>0</v>
      </c>
      <c r="AG1712" s="4">
        <v>8</v>
      </c>
      <c r="AH1712" s="4">
        <v>44</v>
      </c>
      <c r="AI1712" s="4">
        <v>98</v>
      </c>
      <c r="AJ1712" s="4">
        <v>3</v>
      </c>
      <c r="AK1712" s="4">
        <v>22</v>
      </c>
      <c r="AL1712" s="4">
        <v>25</v>
      </c>
      <c r="AM1712" s="4">
        <v>51</v>
      </c>
      <c r="AN1712" s="4">
        <v>0</v>
      </c>
      <c r="AO1712" s="4">
        <v>0</v>
      </c>
      <c r="AP1712" s="4">
        <v>4</v>
      </c>
      <c r="AQ1712" s="4">
        <v>39</v>
      </c>
      <c r="AR1712" s="3" t="s">
        <v>64</v>
      </c>
      <c r="AS1712" s="3" t="s">
        <v>64</v>
      </c>
      <c r="AT1712" s="3" t="s">
        <v>64</v>
      </c>
      <c r="AV1712" s="6" t="str">
        <f>HYPERLINK("http://mcgill.on.worldcat.org/oclc/1010499307","Catalog Record")</f>
        <v>Catalog Record</v>
      </c>
      <c r="AW1712" s="6" t="str">
        <f>HYPERLINK("http://www.worldcat.org/oclc/1010499307","WorldCat Record")</f>
        <v>WorldCat Record</v>
      </c>
      <c r="AX1712" s="3" t="s">
        <v>17351</v>
      </c>
      <c r="AY1712" s="3" t="s">
        <v>17360</v>
      </c>
      <c r="AZ1712" s="3" t="s">
        <v>17361</v>
      </c>
      <c r="BA1712" s="3" t="s">
        <v>17361</v>
      </c>
      <c r="BB1712" s="3" t="s">
        <v>17362</v>
      </c>
      <c r="BC1712" s="3" t="s">
        <v>77</v>
      </c>
      <c r="BD1712" s="3" t="s">
        <v>78</v>
      </c>
      <c r="BE1712" s="3" t="s">
        <v>17363</v>
      </c>
      <c r="BF1712" s="3" t="s">
        <v>17362</v>
      </c>
      <c r="BG1712" s="3" t="s">
        <v>17364</v>
      </c>
      <c r="BH1712">
        <f t="shared" si="48"/>
        <v>0</v>
      </c>
    </row>
    <row r="1713" spans="1:60" ht="72.5" x14ac:dyDescent="0.35">
      <c r="A1713" s="2" t="s">
        <v>59</v>
      </c>
      <c r="B1713" s="2" t="s">
        <v>60</v>
      </c>
      <c r="C1713" s="2" t="s">
        <v>17365</v>
      </c>
      <c r="D1713" s="2" t="s">
        <v>17366</v>
      </c>
      <c r="E1713" s="2" t="s">
        <v>17367</v>
      </c>
      <c r="G1713" s="3" t="s">
        <v>64</v>
      </c>
      <c r="I1713" s="3" t="s">
        <v>64</v>
      </c>
      <c r="J1713" s="3" t="s">
        <v>64</v>
      </c>
      <c r="K1713" s="3" t="s">
        <v>65</v>
      </c>
      <c r="L1713" s="2" t="s">
        <v>17368</v>
      </c>
      <c r="M1713" s="2" t="s">
        <v>17369</v>
      </c>
      <c r="N1713" s="3" t="s">
        <v>86</v>
      </c>
      <c r="P1713" s="3" t="s">
        <v>102</v>
      </c>
      <c r="Q1713" s="2" t="s">
        <v>17370</v>
      </c>
      <c r="R1713" s="3" t="s">
        <v>70</v>
      </c>
      <c r="S1713" s="4">
        <v>0</v>
      </c>
      <c r="T1713" s="4">
        <v>0</v>
      </c>
      <c r="W1713" s="5" t="s">
        <v>72</v>
      </c>
      <c r="X1713" s="5" t="s">
        <v>72</v>
      </c>
      <c r="Y1713" s="4">
        <v>116</v>
      </c>
      <c r="Z1713" s="4">
        <v>9</v>
      </c>
      <c r="AA1713" s="4">
        <v>11</v>
      </c>
      <c r="AB1713" s="4">
        <v>1</v>
      </c>
      <c r="AC1713" s="4">
        <v>3</v>
      </c>
      <c r="AD1713" s="4">
        <v>33</v>
      </c>
      <c r="AE1713" s="4">
        <v>36</v>
      </c>
      <c r="AF1713" s="4">
        <v>0</v>
      </c>
      <c r="AG1713" s="4">
        <v>2</v>
      </c>
      <c r="AH1713" s="4">
        <v>28</v>
      </c>
      <c r="AI1713" s="4">
        <v>30</v>
      </c>
      <c r="AJ1713" s="4">
        <v>4</v>
      </c>
      <c r="AK1713" s="4">
        <v>6</v>
      </c>
      <c r="AL1713" s="4">
        <v>17</v>
      </c>
      <c r="AM1713" s="4">
        <v>18</v>
      </c>
      <c r="AN1713" s="4">
        <v>0</v>
      </c>
      <c r="AO1713" s="4">
        <v>0</v>
      </c>
      <c r="AP1713" s="4">
        <v>7</v>
      </c>
      <c r="AQ1713" s="4">
        <v>9</v>
      </c>
      <c r="AR1713" s="3" t="s">
        <v>64</v>
      </c>
      <c r="AS1713" s="3" t="s">
        <v>64</v>
      </c>
      <c r="AT1713" s="3" t="s">
        <v>64</v>
      </c>
      <c r="AV1713" s="6" t="str">
        <f>HYPERLINK("http://mcgill.on.worldcat.org/oclc/778243955","Catalog Record")</f>
        <v>Catalog Record</v>
      </c>
      <c r="AW1713" s="6" t="str">
        <f>HYPERLINK("http://www.worldcat.org/oclc/778243955","WorldCat Record")</f>
        <v>WorldCat Record</v>
      </c>
      <c r="AX1713" s="3" t="s">
        <v>17371</v>
      </c>
      <c r="AY1713" s="3" t="s">
        <v>17372</v>
      </c>
      <c r="AZ1713" s="3" t="s">
        <v>17373</v>
      </c>
      <c r="BA1713" s="3" t="s">
        <v>17373</v>
      </c>
      <c r="BB1713" s="3" t="s">
        <v>17374</v>
      </c>
      <c r="BC1713" s="3" t="s">
        <v>77</v>
      </c>
      <c r="BD1713" s="3" t="s">
        <v>78</v>
      </c>
      <c r="BE1713" s="3" t="s">
        <v>17375</v>
      </c>
      <c r="BF1713" s="3" t="s">
        <v>17374</v>
      </c>
      <c r="BG1713" s="3" t="s">
        <v>17376</v>
      </c>
      <c r="BH1713">
        <f t="shared" si="48"/>
        <v>0</v>
      </c>
    </row>
    <row r="1714" spans="1:60" ht="145" x14ac:dyDescent="0.35">
      <c r="A1714" s="2" t="s">
        <v>59</v>
      </c>
      <c r="B1714" s="2" t="s">
        <v>60</v>
      </c>
      <c r="C1714" s="2" t="s">
        <v>17377</v>
      </c>
      <c r="D1714" s="2" t="s">
        <v>17378</v>
      </c>
      <c r="E1714" s="2" t="s">
        <v>17379</v>
      </c>
      <c r="G1714" s="3" t="s">
        <v>64</v>
      </c>
      <c r="I1714" s="3" t="s">
        <v>64</v>
      </c>
      <c r="J1714" s="3" t="s">
        <v>128</v>
      </c>
      <c r="K1714" s="3" t="s">
        <v>65</v>
      </c>
      <c r="M1714" s="2" t="s">
        <v>17380</v>
      </c>
      <c r="N1714" s="3" t="s">
        <v>159</v>
      </c>
      <c r="O1714" s="2" t="s">
        <v>17381</v>
      </c>
      <c r="P1714" s="3" t="s">
        <v>102</v>
      </c>
      <c r="R1714" s="3" t="s">
        <v>70</v>
      </c>
      <c r="S1714" s="4">
        <v>107</v>
      </c>
      <c r="T1714" s="4">
        <v>107</v>
      </c>
      <c r="U1714" s="5" t="s">
        <v>7981</v>
      </c>
      <c r="V1714" s="5" t="s">
        <v>7981</v>
      </c>
      <c r="W1714" s="5" t="s">
        <v>72</v>
      </c>
      <c r="X1714" s="5" t="s">
        <v>72</v>
      </c>
      <c r="Y1714" s="4">
        <v>618</v>
      </c>
      <c r="Z1714" s="4">
        <v>27</v>
      </c>
      <c r="AA1714" s="4">
        <v>86</v>
      </c>
      <c r="AB1714" s="4">
        <v>3</v>
      </c>
      <c r="AC1714" s="4">
        <v>12</v>
      </c>
      <c r="AD1714" s="4">
        <v>93</v>
      </c>
      <c r="AE1714" s="4">
        <v>144</v>
      </c>
      <c r="AF1714" s="4">
        <v>1</v>
      </c>
      <c r="AG1714" s="4">
        <v>5</v>
      </c>
      <c r="AH1714" s="4">
        <v>85</v>
      </c>
      <c r="AI1714" s="4">
        <v>113</v>
      </c>
      <c r="AJ1714" s="4">
        <v>12</v>
      </c>
      <c r="AK1714" s="4">
        <v>24</v>
      </c>
      <c r="AL1714" s="4">
        <v>45</v>
      </c>
      <c r="AM1714" s="4">
        <v>61</v>
      </c>
      <c r="AN1714" s="4">
        <v>0</v>
      </c>
      <c r="AO1714" s="4">
        <v>0</v>
      </c>
      <c r="AP1714" s="4">
        <v>15</v>
      </c>
      <c r="AQ1714" s="4">
        <v>36</v>
      </c>
      <c r="AR1714" s="3" t="s">
        <v>64</v>
      </c>
      <c r="AS1714" s="3" t="s">
        <v>64</v>
      </c>
      <c r="AT1714" s="3" t="s">
        <v>64</v>
      </c>
      <c r="AV1714" s="6" t="str">
        <f>HYPERLINK("http://mcgill.on.worldcat.org/oclc/49495151","Catalog Record")</f>
        <v>Catalog Record</v>
      </c>
      <c r="AW1714" s="6" t="str">
        <f>HYPERLINK("http://www.worldcat.org/oclc/49495151","WorldCat Record")</f>
        <v>WorldCat Record</v>
      </c>
      <c r="AX1714" s="3" t="s">
        <v>17382</v>
      </c>
      <c r="AY1714" s="3" t="s">
        <v>17383</v>
      </c>
      <c r="AZ1714" s="3" t="s">
        <v>17384</v>
      </c>
      <c r="BA1714" s="3" t="s">
        <v>17384</v>
      </c>
      <c r="BB1714" s="3" t="s">
        <v>17385</v>
      </c>
      <c r="BC1714" s="3" t="s">
        <v>77</v>
      </c>
      <c r="BD1714" s="3" t="s">
        <v>78</v>
      </c>
      <c r="BE1714" s="3" t="s">
        <v>17386</v>
      </c>
      <c r="BF1714" s="3" t="s">
        <v>17385</v>
      </c>
      <c r="BG1714" s="3" t="s">
        <v>17387</v>
      </c>
      <c r="BH1714">
        <f t="shared" si="48"/>
        <v>0</v>
      </c>
    </row>
    <row r="1715" spans="1:60" ht="101.5" x14ac:dyDescent="0.35">
      <c r="A1715" s="2" t="s">
        <v>59</v>
      </c>
      <c r="B1715" s="2" t="s">
        <v>60</v>
      </c>
      <c r="C1715" s="2" t="s">
        <v>17388</v>
      </c>
      <c r="D1715" s="2" t="s">
        <v>17389</v>
      </c>
      <c r="E1715" s="2" t="s">
        <v>17390</v>
      </c>
      <c r="G1715" s="3" t="s">
        <v>64</v>
      </c>
      <c r="I1715" s="3" t="s">
        <v>64</v>
      </c>
      <c r="J1715" s="3" t="s">
        <v>64</v>
      </c>
      <c r="K1715" s="3" t="s">
        <v>65</v>
      </c>
      <c r="M1715" s="2" t="s">
        <v>17391</v>
      </c>
      <c r="N1715" s="3" t="s">
        <v>86</v>
      </c>
      <c r="O1715" s="2" t="s">
        <v>17392</v>
      </c>
      <c r="P1715" s="3" t="s">
        <v>102</v>
      </c>
      <c r="R1715" s="3" t="s">
        <v>70</v>
      </c>
      <c r="S1715" s="4">
        <v>12</v>
      </c>
      <c r="T1715" s="4">
        <v>12</v>
      </c>
      <c r="U1715" s="5" t="s">
        <v>3831</v>
      </c>
      <c r="V1715" s="5" t="s">
        <v>3831</v>
      </c>
      <c r="W1715" s="5" t="s">
        <v>72</v>
      </c>
      <c r="X1715" s="5" t="s">
        <v>72</v>
      </c>
      <c r="Y1715" s="4">
        <v>265</v>
      </c>
      <c r="Z1715" s="4">
        <v>14</v>
      </c>
      <c r="AA1715" s="4">
        <v>36</v>
      </c>
      <c r="AB1715" s="4">
        <v>1</v>
      </c>
      <c r="AC1715" s="4">
        <v>8</v>
      </c>
      <c r="AD1715" s="4">
        <v>43</v>
      </c>
      <c r="AE1715" s="4">
        <v>68</v>
      </c>
      <c r="AF1715" s="4">
        <v>0</v>
      </c>
      <c r="AG1715" s="4">
        <v>4</v>
      </c>
      <c r="AH1715" s="4">
        <v>40</v>
      </c>
      <c r="AI1715" s="4">
        <v>60</v>
      </c>
      <c r="AJ1715" s="4">
        <v>6</v>
      </c>
      <c r="AK1715" s="4">
        <v>13</v>
      </c>
      <c r="AL1715" s="4">
        <v>21</v>
      </c>
      <c r="AM1715" s="4">
        <v>27</v>
      </c>
      <c r="AN1715" s="4">
        <v>0</v>
      </c>
      <c r="AO1715" s="4">
        <v>0</v>
      </c>
      <c r="AP1715" s="4">
        <v>8</v>
      </c>
      <c r="AQ1715" s="4">
        <v>16</v>
      </c>
      <c r="AR1715" s="3" t="s">
        <v>64</v>
      </c>
      <c r="AS1715" s="3" t="s">
        <v>64</v>
      </c>
      <c r="AT1715" s="3" t="s">
        <v>64</v>
      </c>
      <c r="AV1715" s="6" t="str">
        <f>HYPERLINK("http://mcgill.on.worldcat.org/oclc/754105613","Catalog Record")</f>
        <v>Catalog Record</v>
      </c>
      <c r="AW1715" s="6" t="str">
        <f>HYPERLINK("http://www.worldcat.org/oclc/754105613","WorldCat Record")</f>
        <v>WorldCat Record</v>
      </c>
      <c r="AX1715" s="3" t="s">
        <v>17393</v>
      </c>
      <c r="AY1715" s="3" t="s">
        <v>17394</v>
      </c>
      <c r="AZ1715" s="3" t="s">
        <v>17395</v>
      </c>
      <c r="BA1715" s="3" t="s">
        <v>17395</v>
      </c>
      <c r="BB1715" s="3" t="s">
        <v>17396</v>
      </c>
      <c r="BC1715" s="3" t="s">
        <v>77</v>
      </c>
      <c r="BD1715" s="3" t="s">
        <v>78</v>
      </c>
      <c r="BE1715" s="3" t="s">
        <v>17397</v>
      </c>
      <c r="BF1715" s="3" t="s">
        <v>17396</v>
      </c>
      <c r="BG1715" s="3" t="s">
        <v>17398</v>
      </c>
      <c r="BH1715">
        <f t="shared" si="48"/>
        <v>0</v>
      </c>
    </row>
    <row r="1716" spans="1:60" ht="58" x14ac:dyDescent="0.35">
      <c r="A1716" s="2" t="s">
        <v>59</v>
      </c>
      <c r="B1716" s="2" t="s">
        <v>60</v>
      </c>
      <c r="C1716" s="2" t="s">
        <v>17399</v>
      </c>
      <c r="D1716" s="2" t="s">
        <v>17400</v>
      </c>
      <c r="E1716" s="2" t="s">
        <v>17401</v>
      </c>
      <c r="G1716" s="3" t="s">
        <v>64</v>
      </c>
      <c r="I1716" s="3" t="s">
        <v>64</v>
      </c>
      <c r="J1716" s="3" t="s">
        <v>64</v>
      </c>
      <c r="K1716" s="3" t="s">
        <v>65</v>
      </c>
      <c r="M1716" s="2" t="s">
        <v>2522</v>
      </c>
      <c r="N1716" s="3" t="s">
        <v>67</v>
      </c>
      <c r="P1716" s="3" t="s">
        <v>102</v>
      </c>
      <c r="R1716" s="3" t="s">
        <v>70</v>
      </c>
      <c r="S1716" s="4">
        <v>0</v>
      </c>
      <c r="T1716" s="4">
        <v>0</v>
      </c>
      <c r="W1716" s="5" t="s">
        <v>72</v>
      </c>
      <c r="X1716" s="5" t="s">
        <v>72</v>
      </c>
      <c r="Y1716" s="4">
        <v>80</v>
      </c>
      <c r="Z1716" s="4">
        <v>8</v>
      </c>
      <c r="AA1716" s="4">
        <v>28</v>
      </c>
      <c r="AB1716" s="4">
        <v>1</v>
      </c>
      <c r="AC1716" s="4">
        <v>7</v>
      </c>
      <c r="AD1716" s="4">
        <v>30</v>
      </c>
      <c r="AE1716" s="4">
        <v>50</v>
      </c>
      <c r="AF1716" s="4">
        <v>0</v>
      </c>
      <c r="AG1716" s="4">
        <v>2</v>
      </c>
      <c r="AH1716" s="4">
        <v>29</v>
      </c>
      <c r="AI1716" s="4">
        <v>42</v>
      </c>
      <c r="AJ1716" s="4">
        <v>6</v>
      </c>
      <c r="AK1716" s="4">
        <v>10</v>
      </c>
      <c r="AL1716" s="4">
        <v>19</v>
      </c>
      <c r="AM1716" s="4">
        <v>25</v>
      </c>
      <c r="AN1716" s="4">
        <v>0</v>
      </c>
      <c r="AO1716" s="4">
        <v>0</v>
      </c>
      <c r="AP1716" s="4">
        <v>6</v>
      </c>
      <c r="AQ1716" s="4">
        <v>13</v>
      </c>
      <c r="AR1716" s="3" t="s">
        <v>64</v>
      </c>
      <c r="AS1716" s="3" t="s">
        <v>64</v>
      </c>
      <c r="AT1716" s="3" t="s">
        <v>64</v>
      </c>
      <c r="AV1716" s="6" t="str">
        <f>HYPERLINK("http://mcgill.on.worldcat.org/oclc/859645519","Catalog Record")</f>
        <v>Catalog Record</v>
      </c>
      <c r="AW1716" s="6" t="str">
        <f>HYPERLINK("http://www.worldcat.org/oclc/859645519","WorldCat Record")</f>
        <v>WorldCat Record</v>
      </c>
      <c r="AX1716" s="3" t="s">
        <v>17402</v>
      </c>
      <c r="AY1716" s="3" t="s">
        <v>17403</v>
      </c>
      <c r="AZ1716" s="3" t="s">
        <v>17404</v>
      </c>
      <c r="BA1716" s="3" t="s">
        <v>17404</v>
      </c>
      <c r="BB1716" s="3" t="s">
        <v>17405</v>
      </c>
      <c r="BC1716" s="3" t="s">
        <v>77</v>
      </c>
      <c r="BD1716" s="3" t="s">
        <v>78</v>
      </c>
      <c r="BE1716" s="3" t="s">
        <v>17406</v>
      </c>
      <c r="BF1716" s="3" t="s">
        <v>17405</v>
      </c>
      <c r="BG1716" s="3" t="s">
        <v>17407</v>
      </c>
      <c r="BH1716">
        <f t="shared" si="48"/>
        <v>0</v>
      </c>
    </row>
    <row r="1717" spans="1:60" ht="72.5" x14ac:dyDescent="0.35">
      <c r="A1717" s="2" t="s">
        <v>59</v>
      </c>
      <c r="B1717" s="2" t="s">
        <v>60</v>
      </c>
      <c r="C1717" s="2" t="s">
        <v>17408</v>
      </c>
      <c r="D1717" s="2" t="s">
        <v>17409</v>
      </c>
      <c r="E1717" s="2" t="s">
        <v>17410</v>
      </c>
      <c r="G1717" s="3" t="s">
        <v>64</v>
      </c>
      <c r="I1717" s="3" t="s">
        <v>64</v>
      </c>
      <c r="J1717" s="3" t="s">
        <v>64</v>
      </c>
      <c r="K1717" s="3" t="s">
        <v>65</v>
      </c>
      <c r="L1717" s="2" t="s">
        <v>17411</v>
      </c>
      <c r="M1717" s="2" t="s">
        <v>17369</v>
      </c>
      <c r="N1717" s="3" t="s">
        <v>86</v>
      </c>
      <c r="P1717" s="3" t="s">
        <v>102</v>
      </c>
      <c r="Q1717" s="2" t="s">
        <v>17412</v>
      </c>
      <c r="R1717" s="3" t="s">
        <v>70</v>
      </c>
      <c r="S1717" s="4">
        <v>0</v>
      </c>
      <c r="T1717" s="4">
        <v>0</v>
      </c>
      <c r="W1717" s="5" t="s">
        <v>72</v>
      </c>
      <c r="X1717" s="5" t="s">
        <v>72</v>
      </c>
      <c r="Y1717" s="4">
        <v>133</v>
      </c>
      <c r="Z1717" s="4">
        <v>14</v>
      </c>
      <c r="AA1717" s="4">
        <v>15</v>
      </c>
      <c r="AB1717" s="4">
        <v>1</v>
      </c>
      <c r="AC1717" s="4">
        <v>2</v>
      </c>
      <c r="AD1717" s="4">
        <v>47</v>
      </c>
      <c r="AE1717" s="4">
        <v>50</v>
      </c>
      <c r="AF1717" s="4">
        <v>0</v>
      </c>
      <c r="AG1717" s="4">
        <v>1</v>
      </c>
      <c r="AH1717" s="4">
        <v>40</v>
      </c>
      <c r="AI1717" s="4">
        <v>43</v>
      </c>
      <c r="AJ1717" s="4">
        <v>8</v>
      </c>
      <c r="AK1717" s="4">
        <v>9</v>
      </c>
      <c r="AL1717" s="4">
        <v>23</v>
      </c>
      <c r="AM1717" s="4">
        <v>25</v>
      </c>
      <c r="AN1717" s="4">
        <v>0</v>
      </c>
      <c r="AO1717" s="4">
        <v>0</v>
      </c>
      <c r="AP1717" s="4">
        <v>12</v>
      </c>
      <c r="AQ1717" s="4">
        <v>13</v>
      </c>
      <c r="AR1717" s="3" t="s">
        <v>64</v>
      </c>
      <c r="AS1717" s="3" t="s">
        <v>64</v>
      </c>
      <c r="AT1717" s="3" t="s">
        <v>64</v>
      </c>
      <c r="AV1717" s="6" t="str">
        <f>HYPERLINK("http://mcgill.on.worldcat.org/oclc/767254915","Catalog Record")</f>
        <v>Catalog Record</v>
      </c>
      <c r="AW1717" s="6" t="str">
        <f>HYPERLINK("http://www.worldcat.org/oclc/767254915","WorldCat Record")</f>
        <v>WorldCat Record</v>
      </c>
      <c r="AX1717" s="3" t="s">
        <v>17413</v>
      </c>
      <c r="AY1717" s="3" t="s">
        <v>17414</v>
      </c>
      <c r="AZ1717" s="3" t="s">
        <v>17415</v>
      </c>
      <c r="BA1717" s="3" t="s">
        <v>17415</v>
      </c>
      <c r="BB1717" s="3" t="s">
        <v>17416</v>
      </c>
      <c r="BC1717" s="3" t="s">
        <v>77</v>
      </c>
      <c r="BD1717" s="3" t="s">
        <v>78</v>
      </c>
      <c r="BE1717" s="3" t="s">
        <v>17417</v>
      </c>
      <c r="BF1717" s="3" t="s">
        <v>17416</v>
      </c>
      <c r="BG1717" s="3" t="s">
        <v>17418</v>
      </c>
      <c r="BH1717">
        <f t="shared" si="48"/>
        <v>0</v>
      </c>
    </row>
    <row r="1718" spans="1:60" ht="58" x14ac:dyDescent="0.35">
      <c r="A1718" s="2" t="s">
        <v>59</v>
      </c>
      <c r="B1718" s="2" t="s">
        <v>60</v>
      </c>
      <c r="C1718" s="2" t="s">
        <v>17419</v>
      </c>
      <c r="D1718" s="2" t="s">
        <v>17420</v>
      </c>
      <c r="E1718" s="2" t="s">
        <v>17421</v>
      </c>
      <c r="G1718" s="3" t="s">
        <v>64</v>
      </c>
      <c r="I1718" s="3" t="s">
        <v>64</v>
      </c>
      <c r="J1718" s="3" t="s">
        <v>64</v>
      </c>
      <c r="K1718" s="3" t="s">
        <v>65</v>
      </c>
      <c r="M1718" s="2" t="s">
        <v>17422</v>
      </c>
      <c r="N1718" s="3" t="s">
        <v>392</v>
      </c>
      <c r="P1718" s="3" t="s">
        <v>102</v>
      </c>
      <c r="Q1718" s="2" t="s">
        <v>17423</v>
      </c>
      <c r="R1718" s="3" t="s">
        <v>70</v>
      </c>
      <c r="S1718" s="4">
        <v>27</v>
      </c>
      <c r="T1718" s="4">
        <v>27</v>
      </c>
      <c r="U1718" s="5" t="s">
        <v>7890</v>
      </c>
      <c r="V1718" s="5" t="s">
        <v>7890</v>
      </c>
      <c r="W1718" s="5" t="s">
        <v>72</v>
      </c>
      <c r="X1718" s="5" t="s">
        <v>72</v>
      </c>
      <c r="Y1718" s="4">
        <v>212</v>
      </c>
      <c r="Z1718" s="4">
        <v>11</v>
      </c>
      <c r="AA1718" s="4">
        <v>19</v>
      </c>
      <c r="AB1718" s="4">
        <v>1</v>
      </c>
      <c r="AC1718" s="4">
        <v>6</v>
      </c>
      <c r="AD1718" s="4">
        <v>55</v>
      </c>
      <c r="AE1718" s="4">
        <v>58</v>
      </c>
      <c r="AF1718" s="4">
        <v>0</v>
      </c>
      <c r="AG1718" s="4">
        <v>1</v>
      </c>
      <c r="AH1718" s="4">
        <v>53</v>
      </c>
      <c r="AI1718" s="4">
        <v>55</v>
      </c>
      <c r="AJ1718" s="4">
        <v>6</v>
      </c>
      <c r="AK1718" s="4">
        <v>8</v>
      </c>
      <c r="AL1718" s="4">
        <v>25</v>
      </c>
      <c r="AM1718" s="4">
        <v>26</v>
      </c>
      <c r="AN1718" s="4">
        <v>0</v>
      </c>
      <c r="AO1718" s="4">
        <v>0</v>
      </c>
      <c r="AP1718" s="4">
        <v>5</v>
      </c>
      <c r="AQ1718" s="4">
        <v>6</v>
      </c>
      <c r="AR1718" s="3" t="s">
        <v>64</v>
      </c>
      <c r="AS1718" s="3" t="s">
        <v>64</v>
      </c>
      <c r="AT1718" s="3" t="s">
        <v>64</v>
      </c>
      <c r="AV1718" s="6" t="str">
        <f>HYPERLINK("http://mcgill.on.worldcat.org/oclc/39890377","Catalog Record")</f>
        <v>Catalog Record</v>
      </c>
      <c r="AW1718" s="6" t="str">
        <f>HYPERLINK("http://www.worldcat.org/oclc/39890377","WorldCat Record")</f>
        <v>WorldCat Record</v>
      </c>
      <c r="AX1718" s="3" t="s">
        <v>17424</v>
      </c>
      <c r="AY1718" s="3" t="s">
        <v>17425</v>
      </c>
      <c r="AZ1718" s="3" t="s">
        <v>17426</v>
      </c>
      <c r="BA1718" s="3" t="s">
        <v>17426</v>
      </c>
      <c r="BB1718" s="3" t="s">
        <v>17427</v>
      </c>
      <c r="BC1718" s="3" t="s">
        <v>77</v>
      </c>
      <c r="BD1718" s="3" t="s">
        <v>78</v>
      </c>
      <c r="BE1718" s="3" t="s">
        <v>17428</v>
      </c>
      <c r="BF1718" s="3" t="s">
        <v>17427</v>
      </c>
      <c r="BG1718" s="3" t="s">
        <v>17429</v>
      </c>
      <c r="BH1718">
        <f t="shared" si="48"/>
        <v>0</v>
      </c>
    </row>
    <row r="1719" spans="1:60" ht="72.5" x14ac:dyDescent="0.35">
      <c r="A1719" s="2" t="s">
        <v>59</v>
      </c>
      <c r="B1719" s="2" t="s">
        <v>60</v>
      </c>
      <c r="C1719" s="2" t="s">
        <v>17430</v>
      </c>
      <c r="D1719" s="2" t="s">
        <v>17431</v>
      </c>
      <c r="E1719" s="2" t="s">
        <v>17432</v>
      </c>
      <c r="G1719" s="3" t="s">
        <v>64</v>
      </c>
      <c r="I1719" s="3" t="s">
        <v>64</v>
      </c>
      <c r="J1719" s="3" t="s">
        <v>64</v>
      </c>
      <c r="K1719" s="3" t="s">
        <v>65</v>
      </c>
      <c r="L1719" s="2" t="s">
        <v>17433</v>
      </c>
      <c r="M1719" s="2" t="s">
        <v>17434</v>
      </c>
      <c r="N1719" s="3" t="s">
        <v>1263</v>
      </c>
      <c r="P1719" s="3" t="s">
        <v>102</v>
      </c>
      <c r="Q1719" s="2" t="s">
        <v>17435</v>
      </c>
      <c r="R1719" s="3" t="s">
        <v>70</v>
      </c>
      <c r="S1719" s="4">
        <v>42</v>
      </c>
      <c r="T1719" s="4">
        <v>42</v>
      </c>
      <c r="U1719" s="5" t="s">
        <v>7981</v>
      </c>
      <c r="V1719" s="5" t="s">
        <v>7981</v>
      </c>
      <c r="W1719" s="5" t="s">
        <v>72</v>
      </c>
      <c r="X1719" s="5" t="s">
        <v>72</v>
      </c>
      <c r="Y1719" s="4">
        <v>234</v>
      </c>
      <c r="Z1719" s="4">
        <v>19</v>
      </c>
      <c r="AA1719" s="4">
        <v>25</v>
      </c>
      <c r="AB1719" s="4">
        <v>2</v>
      </c>
      <c r="AC1719" s="4">
        <v>3</v>
      </c>
      <c r="AD1719" s="4">
        <v>42</v>
      </c>
      <c r="AE1719" s="4">
        <v>45</v>
      </c>
      <c r="AF1719" s="4">
        <v>0</v>
      </c>
      <c r="AG1719" s="4">
        <v>0</v>
      </c>
      <c r="AH1719" s="4">
        <v>40</v>
      </c>
      <c r="AI1719" s="4">
        <v>42</v>
      </c>
      <c r="AJ1719" s="4">
        <v>5</v>
      </c>
      <c r="AK1719" s="4">
        <v>7</v>
      </c>
      <c r="AL1719" s="4">
        <v>20</v>
      </c>
      <c r="AM1719" s="4">
        <v>21</v>
      </c>
      <c r="AN1719" s="4">
        <v>0</v>
      </c>
      <c r="AO1719" s="4">
        <v>0</v>
      </c>
      <c r="AP1719" s="4">
        <v>5</v>
      </c>
      <c r="AQ1719" s="4">
        <v>6</v>
      </c>
      <c r="AR1719" s="3" t="s">
        <v>64</v>
      </c>
      <c r="AS1719" s="3" t="s">
        <v>64</v>
      </c>
      <c r="AT1719" s="3" t="s">
        <v>128</v>
      </c>
      <c r="AU1719" s="6" t="str">
        <f>HYPERLINK("http://catalog.hathitrust.org/Record/002868694","HathiTrust Record")</f>
        <v>HathiTrust Record</v>
      </c>
      <c r="AV1719" s="6" t="str">
        <f>HYPERLINK("http://mcgill.on.worldcat.org/oclc/27810180","Catalog Record")</f>
        <v>Catalog Record</v>
      </c>
      <c r="AW1719" s="6" t="str">
        <f>HYPERLINK("http://www.worldcat.org/oclc/27810180","WorldCat Record")</f>
        <v>WorldCat Record</v>
      </c>
      <c r="AX1719" s="3" t="s">
        <v>17436</v>
      </c>
      <c r="AY1719" s="3" t="s">
        <v>17437</v>
      </c>
      <c r="AZ1719" s="3" t="s">
        <v>17438</v>
      </c>
      <c r="BA1719" s="3" t="s">
        <v>17438</v>
      </c>
      <c r="BB1719" s="3" t="s">
        <v>17439</v>
      </c>
      <c r="BC1719" s="3" t="s">
        <v>77</v>
      </c>
      <c r="BD1719" s="3" t="s">
        <v>78</v>
      </c>
      <c r="BE1719" s="3" t="s">
        <v>17440</v>
      </c>
      <c r="BF1719" s="3" t="s">
        <v>17439</v>
      </c>
      <c r="BG1719" s="3" t="s">
        <v>17441</v>
      </c>
      <c r="BH1719">
        <f t="shared" si="48"/>
        <v>0</v>
      </c>
    </row>
    <row r="1720" spans="1:60" ht="58" x14ac:dyDescent="0.35">
      <c r="A1720" s="2" t="s">
        <v>59</v>
      </c>
      <c r="B1720" s="2" t="s">
        <v>60</v>
      </c>
      <c r="C1720" s="2" t="s">
        <v>17442</v>
      </c>
      <c r="D1720" s="2" t="s">
        <v>17443</v>
      </c>
      <c r="E1720" s="2" t="s">
        <v>17444</v>
      </c>
      <c r="G1720" s="3" t="s">
        <v>64</v>
      </c>
      <c r="I1720" s="3" t="s">
        <v>64</v>
      </c>
      <c r="J1720" s="3" t="s">
        <v>64</v>
      </c>
      <c r="K1720" s="3" t="s">
        <v>65</v>
      </c>
      <c r="M1720" s="2" t="s">
        <v>17445</v>
      </c>
      <c r="N1720" s="3" t="s">
        <v>578</v>
      </c>
      <c r="P1720" s="3" t="s">
        <v>102</v>
      </c>
      <c r="R1720" s="3" t="s">
        <v>70</v>
      </c>
      <c r="S1720" s="4">
        <v>0</v>
      </c>
      <c r="T1720" s="4">
        <v>0</v>
      </c>
      <c r="W1720" s="5" t="s">
        <v>72</v>
      </c>
      <c r="X1720" s="5" t="s">
        <v>72</v>
      </c>
      <c r="Y1720" s="4">
        <v>17</v>
      </c>
      <c r="Z1720" s="4">
        <v>4</v>
      </c>
      <c r="AA1720" s="4">
        <v>5</v>
      </c>
      <c r="AB1720" s="4">
        <v>1</v>
      </c>
      <c r="AC1720" s="4">
        <v>2</v>
      </c>
      <c r="AD1720" s="4">
        <v>6</v>
      </c>
      <c r="AE1720" s="4">
        <v>6</v>
      </c>
      <c r="AF1720" s="4">
        <v>0</v>
      </c>
      <c r="AG1720" s="4">
        <v>0</v>
      </c>
      <c r="AH1720" s="4">
        <v>6</v>
      </c>
      <c r="AI1720" s="4">
        <v>6</v>
      </c>
      <c r="AJ1720" s="4">
        <v>1</v>
      </c>
      <c r="AK1720" s="4">
        <v>1</v>
      </c>
      <c r="AL1720" s="4">
        <v>3</v>
      </c>
      <c r="AM1720" s="4">
        <v>3</v>
      </c>
      <c r="AN1720" s="4">
        <v>0</v>
      </c>
      <c r="AO1720" s="4">
        <v>0</v>
      </c>
      <c r="AP1720" s="4">
        <v>1</v>
      </c>
      <c r="AQ1720" s="4">
        <v>1</v>
      </c>
      <c r="AR1720" s="3" t="s">
        <v>64</v>
      </c>
      <c r="AS1720" s="3" t="s">
        <v>64</v>
      </c>
      <c r="AT1720" s="3" t="s">
        <v>64</v>
      </c>
      <c r="AV1720" s="6" t="str">
        <f>HYPERLINK("http://mcgill.on.worldcat.org/oclc/982649752","Catalog Record")</f>
        <v>Catalog Record</v>
      </c>
      <c r="AW1720" s="6" t="str">
        <f>HYPERLINK("http://www.worldcat.org/oclc/982649752","WorldCat Record")</f>
        <v>WorldCat Record</v>
      </c>
      <c r="AX1720" s="3" t="s">
        <v>17446</v>
      </c>
      <c r="AY1720" s="3" t="s">
        <v>17447</v>
      </c>
      <c r="AZ1720" s="3" t="s">
        <v>17448</v>
      </c>
      <c r="BA1720" s="3" t="s">
        <v>17448</v>
      </c>
      <c r="BB1720" s="3" t="s">
        <v>17449</v>
      </c>
      <c r="BC1720" s="3" t="s">
        <v>77</v>
      </c>
      <c r="BD1720" s="3" t="s">
        <v>78</v>
      </c>
      <c r="BE1720" s="3" t="s">
        <v>17450</v>
      </c>
      <c r="BF1720" s="3" t="s">
        <v>17449</v>
      </c>
      <c r="BG1720" s="3" t="s">
        <v>17451</v>
      </c>
      <c r="BH1720">
        <f t="shared" si="48"/>
        <v>0</v>
      </c>
    </row>
    <row r="1721" spans="1:60" ht="58" x14ac:dyDescent="0.35">
      <c r="A1721" s="2" t="s">
        <v>59</v>
      </c>
      <c r="B1721" s="2" t="s">
        <v>60</v>
      </c>
      <c r="C1721" s="2" t="s">
        <v>17452</v>
      </c>
      <c r="D1721" s="2" t="s">
        <v>17453</v>
      </c>
      <c r="E1721" s="2" t="s">
        <v>17454</v>
      </c>
      <c r="G1721" s="3" t="s">
        <v>64</v>
      </c>
      <c r="I1721" s="3" t="s">
        <v>64</v>
      </c>
      <c r="J1721" s="3" t="s">
        <v>64</v>
      </c>
      <c r="K1721" s="3" t="s">
        <v>65</v>
      </c>
      <c r="L1721" s="2" t="s">
        <v>15445</v>
      </c>
      <c r="M1721" s="2" t="s">
        <v>17455</v>
      </c>
      <c r="N1721" s="3" t="s">
        <v>979</v>
      </c>
      <c r="P1721" s="3" t="s">
        <v>102</v>
      </c>
      <c r="Q1721" s="2" t="s">
        <v>14110</v>
      </c>
      <c r="R1721" s="3" t="s">
        <v>70</v>
      </c>
      <c r="S1721" s="4">
        <v>8</v>
      </c>
      <c r="T1721" s="4">
        <v>8</v>
      </c>
      <c r="U1721" s="5" t="s">
        <v>3033</v>
      </c>
      <c r="V1721" s="5" t="s">
        <v>3033</v>
      </c>
      <c r="W1721" s="5" t="s">
        <v>72</v>
      </c>
      <c r="X1721" s="5" t="s">
        <v>72</v>
      </c>
      <c r="Y1721" s="4">
        <v>209</v>
      </c>
      <c r="Z1721" s="4">
        <v>20</v>
      </c>
      <c r="AA1721" s="4">
        <v>46</v>
      </c>
      <c r="AB1721" s="4">
        <v>2</v>
      </c>
      <c r="AC1721" s="4">
        <v>9</v>
      </c>
      <c r="AD1721" s="4">
        <v>78</v>
      </c>
      <c r="AE1721" s="4">
        <v>85</v>
      </c>
      <c r="AF1721" s="4">
        <v>1</v>
      </c>
      <c r="AG1721" s="4">
        <v>3</v>
      </c>
      <c r="AH1721" s="4">
        <v>68</v>
      </c>
      <c r="AI1721" s="4">
        <v>72</v>
      </c>
      <c r="AJ1721" s="4">
        <v>16</v>
      </c>
      <c r="AK1721" s="4">
        <v>18</v>
      </c>
      <c r="AL1721" s="4">
        <v>33</v>
      </c>
      <c r="AM1721" s="4">
        <v>33</v>
      </c>
      <c r="AN1721" s="4">
        <v>0</v>
      </c>
      <c r="AO1721" s="4">
        <v>0</v>
      </c>
      <c r="AP1721" s="4">
        <v>16</v>
      </c>
      <c r="AQ1721" s="4">
        <v>19</v>
      </c>
      <c r="AR1721" s="3" t="s">
        <v>64</v>
      </c>
      <c r="AS1721" s="3" t="s">
        <v>64</v>
      </c>
      <c r="AT1721" s="3" t="s">
        <v>64</v>
      </c>
      <c r="AV1721" s="6" t="str">
        <f>HYPERLINK("http://mcgill.on.worldcat.org/oclc/43334118","Catalog Record")</f>
        <v>Catalog Record</v>
      </c>
      <c r="AW1721" s="6" t="str">
        <f>HYPERLINK("http://www.worldcat.org/oclc/43334118","WorldCat Record")</f>
        <v>WorldCat Record</v>
      </c>
      <c r="AX1721" s="3" t="s">
        <v>17456</v>
      </c>
      <c r="AY1721" s="3" t="s">
        <v>17457</v>
      </c>
      <c r="AZ1721" s="3" t="s">
        <v>17458</v>
      </c>
      <c r="BA1721" s="3" t="s">
        <v>17458</v>
      </c>
      <c r="BB1721" s="3" t="s">
        <v>17459</v>
      </c>
      <c r="BC1721" s="3" t="s">
        <v>77</v>
      </c>
      <c r="BD1721" s="3" t="s">
        <v>78</v>
      </c>
      <c r="BE1721" s="3" t="s">
        <v>17460</v>
      </c>
      <c r="BF1721" s="3" t="s">
        <v>17459</v>
      </c>
      <c r="BG1721" s="3" t="s">
        <v>17461</v>
      </c>
      <c r="BH1721">
        <f t="shared" si="48"/>
        <v>0</v>
      </c>
    </row>
    <row r="1722" spans="1:60" ht="58" x14ac:dyDescent="0.35">
      <c r="A1722" s="2" t="s">
        <v>59</v>
      </c>
      <c r="B1722" s="2" t="s">
        <v>60</v>
      </c>
      <c r="C1722" s="2" t="s">
        <v>17462</v>
      </c>
      <c r="D1722" s="2" t="s">
        <v>17463</v>
      </c>
      <c r="E1722" s="2" t="s">
        <v>17464</v>
      </c>
      <c r="G1722" s="3" t="s">
        <v>64</v>
      </c>
      <c r="I1722" s="3" t="s">
        <v>64</v>
      </c>
      <c r="J1722" s="3" t="s">
        <v>64</v>
      </c>
      <c r="K1722" s="3" t="s">
        <v>65</v>
      </c>
      <c r="M1722" s="2" t="s">
        <v>17465</v>
      </c>
      <c r="N1722" s="3" t="s">
        <v>190</v>
      </c>
      <c r="P1722" s="3" t="s">
        <v>102</v>
      </c>
      <c r="R1722" s="3" t="s">
        <v>70</v>
      </c>
      <c r="S1722" s="4">
        <v>4</v>
      </c>
      <c r="T1722" s="4">
        <v>4</v>
      </c>
      <c r="U1722" s="5" t="s">
        <v>14464</v>
      </c>
      <c r="V1722" s="5" t="s">
        <v>14464</v>
      </c>
      <c r="W1722" s="5" t="s">
        <v>72</v>
      </c>
      <c r="X1722" s="5" t="s">
        <v>72</v>
      </c>
      <c r="Y1722" s="4">
        <v>227</v>
      </c>
      <c r="Z1722" s="4">
        <v>6</v>
      </c>
      <c r="AA1722" s="4">
        <v>70</v>
      </c>
      <c r="AB1722" s="4">
        <v>1</v>
      </c>
      <c r="AC1722" s="4">
        <v>14</v>
      </c>
      <c r="AD1722" s="4">
        <v>57</v>
      </c>
      <c r="AE1722" s="4">
        <v>106</v>
      </c>
      <c r="AF1722" s="4">
        <v>0</v>
      </c>
      <c r="AG1722" s="4">
        <v>8</v>
      </c>
      <c r="AH1722" s="4">
        <v>55</v>
      </c>
      <c r="AI1722" s="4">
        <v>74</v>
      </c>
      <c r="AJ1722" s="4">
        <v>5</v>
      </c>
      <c r="AK1722" s="4">
        <v>18</v>
      </c>
      <c r="AL1722" s="4">
        <v>26</v>
      </c>
      <c r="AM1722" s="4">
        <v>37</v>
      </c>
      <c r="AN1722" s="4">
        <v>0</v>
      </c>
      <c r="AO1722" s="4">
        <v>0</v>
      </c>
      <c r="AP1722" s="4">
        <v>5</v>
      </c>
      <c r="AQ1722" s="4">
        <v>37</v>
      </c>
      <c r="AR1722" s="3" t="s">
        <v>64</v>
      </c>
      <c r="AS1722" s="3" t="s">
        <v>64</v>
      </c>
      <c r="AT1722" s="3" t="s">
        <v>64</v>
      </c>
      <c r="AV1722" s="6" t="str">
        <f>HYPERLINK("http://mcgill.on.worldcat.org/oclc/992689010","Catalog Record")</f>
        <v>Catalog Record</v>
      </c>
      <c r="AW1722" s="6" t="str">
        <f>HYPERLINK("http://www.worldcat.org/oclc/992689010","WorldCat Record")</f>
        <v>WorldCat Record</v>
      </c>
      <c r="AX1722" s="3" t="s">
        <v>17466</v>
      </c>
      <c r="AY1722" s="3" t="s">
        <v>17467</v>
      </c>
      <c r="AZ1722" s="3" t="s">
        <v>17468</v>
      </c>
      <c r="BA1722" s="3" t="s">
        <v>17468</v>
      </c>
      <c r="BB1722" s="3" t="s">
        <v>17469</v>
      </c>
      <c r="BC1722" s="3" t="s">
        <v>77</v>
      </c>
      <c r="BD1722" s="3" t="s">
        <v>78</v>
      </c>
      <c r="BE1722" s="3" t="s">
        <v>17470</v>
      </c>
      <c r="BF1722" s="3" t="s">
        <v>17469</v>
      </c>
      <c r="BG1722" s="3" t="s">
        <v>17471</v>
      </c>
      <c r="BH1722">
        <f t="shared" si="48"/>
        <v>0</v>
      </c>
    </row>
    <row r="1723" spans="1:60" ht="58" x14ac:dyDescent="0.35">
      <c r="A1723" s="2" t="s">
        <v>59</v>
      </c>
      <c r="B1723" s="2" t="s">
        <v>60</v>
      </c>
      <c r="C1723" s="2" t="s">
        <v>17472</v>
      </c>
      <c r="D1723" s="2" t="s">
        <v>17473</v>
      </c>
      <c r="E1723" s="2" t="s">
        <v>17474</v>
      </c>
      <c r="G1723" s="3" t="s">
        <v>64</v>
      </c>
      <c r="I1723" s="3" t="s">
        <v>64</v>
      </c>
      <c r="J1723" s="3" t="s">
        <v>64</v>
      </c>
      <c r="K1723" s="3" t="s">
        <v>65</v>
      </c>
      <c r="M1723" s="2" t="s">
        <v>17475</v>
      </c>
      <c r="N1723" s="3" t="s">
        <v>511</v>
      </c>
      <c r="P1723" s="3" t="s">
        <v>102</v>
      </c>
      <c r="Q1723" s="2" t="s">
        <v>17476</v>
      </c>
      <c r="R1723" s="3" t="s">
        <v>70</v>
      </c>
      <c r="S1723" s="4">
        <v>0</v>
      </c>
      <c r="T1723" s="4">
        <v>0</v>
      </c>
      <c r="W1723" s="5" t="s">
        <v>72</v>
      </c>
      <c r="X1723" s="5" t="s">
        <v>72</v>
      </c>
      <c r="Y1723" s="4">
        <v>166</v>
      </c>
      <c r="Z1723" s="4">
        <v>17</v>
      </c>
      <c r="AA1723" s="4">
        <v>18</v>
      </c>
      <c r="AB1723" s="4">
        <v>1</v>
      </c>
      <c r="AC1723" s="4">
        <v>2</v>
      </c>
      <c r="AD1723" s="4">
        <v>68</v>
      </c>
      <c r="AE1723" s="4">
        <v>69</v>
      </c>
      <c r="AF1723" s="4">
        <v>0</v>
      </c>
      <c r="AG1723" s="4">
        <v>1</v>
      </c>
      <c r="AH1723" s="4">
        <v>62</v>
      </c>
      <c r="AI1723" s="4">
        <v>62</v>
      </c>
      <c r="AJ1723" s="4">
        <v>11</v>
      </c>
      <c r="AK1723" s="4">
        <v>12</v>
      </c>
      <c r="AL1723" s="4">
        <v>44</v>
      </c>
      <c r="AM1723" s="4">
        <v>44</v>
      </c>
      <c r="AN1723" s="4">
        <v>0</v>
      </c>
      <c r="AO1723" s="4">
        <v>0</v>
      </c>
      <c r="AP1723" s="4">
        <v>11</v>
      </c>
      <c r="AQ1723" s="4">
        <v>11</v>
      </c>
      <c r="AR1723" s="3" t="s">
        <v>64</v>
      </c>
      <c r="AS1723" s="3" t="s">
        <v>64</v>
      </c>
      <c r="AT1723" s="3" t="s">
        <v>64</v>
      </c>
      <c r="AV1723" s="6" t="str">
        <f>HYPERLINK("http://mcgill.on.worldcat.org/oclc/435967564","Catalog Record")</f>
        <v>Catalog Record</v>
      </c>
      <c r="AW1723" s="6" t="str">
        <f>HYPERLINK("http://www.worldcat.org/oclc/435967564","WorldCat Record")</f>
        <v>WorldCat Record</v>
      </c>
      <c r="AX1723" s="3" t="s">
        <v>17477</v>
      </c>
      <c r="AY1723" s="3" t="s">
        <v>17478</v>
      </c>
      <c r="AZ1723" s="3" t="s">
        <v>17479</v>
      </c>
      <c r="BA1723" s="3" t="s">
        <v>17479</v>
      </c>
      <c r="BB1723" s="3" t="s">
        <v>17480</v>
      </c>
      <c r="BC1723" s="3" t="s">
        <v>77</v>
      </c>
      <c r="BD1723" s="3" t="s">
        <v>78</v>
      </c>
      <c r="BE1723" s="3" t="s">
        <v>17481</v>
      </c>
      <c r="BF1723" s="3" t="s">
        <v>17480</v>
      </c>
      <c r="BG1723" s="3" t="s">
        <v>17482</v>
      </c>
      <c r="BH1723">
        <f t="shared" si="48"/>
        <v>0</v>
      </c>
    </row>
    <row r="1724" spans="1:60" ht="72.5" x14ac:dyDescent="0.35">
      <c r="A1724" s="2" t="s">
        <v>59</v>
      </c>
      <c r="B1724" s="2" t="s">
        <v>60</v>
      </c>
      <c r="C1724" s="2" t="s">
        <v>17483</v>
      </c>
      <c r="D1724" s="2" t="s">
        <v>17484</v>
      </c>
      <c r="E1724" s="2" t="s">
        <v>17485</v>
      </c>
      <c r="G1724" s="3" t="s">
        <v>64</v>
      </c>
      <c r="I1724" s="3" t="s">
        <v>64</v>
      </c>
      <c r="J1724" s="3" t="s">
        <v>64</v>
      </c>
      <c r="K1724" s="3" t="s">
        <v>65</v>
      </c>
      <c r="M1724" s="2" t="s">
        <v>17486</v>
      </c>
      <c r="N1724" s="3" t="s">
        <v>144</v>
      </c>
      <c r="P1724" s="3" t="s">
        <v>102</v>
      </c>
      <c r="Q1724" s="2" t="s">
        <v>17487</v>
      </c>
      <c r="R1724" s="3" t="s">
        <v>70</v>
      </c>
      <c r="S1724" s="4">
        <v>1</v>
      </c>
      <c r="T1724" s="4">
        <v>1</v>
      </c>
      <c r="U1724" s="5" t="s">
        <v>4481</v>
      </c>
      <c r="V1724" s="5" t="s">
        <v>4481</v>
      </c>
      <c r="W1724" s="5" t="s">
        <v>72</v>
      </c>
      <c r="X1724" s="5" t="s">
        <v>72</v>
      </c>
      <c r="Y1724" s="4">
        <v>17</v>
      </c>
      <c r="Z1724" s="4">
        <v>4</v>
      </c>
      <c r="AA1724" s="4">
        <v>5</v>
      </c>
      <c r="AB1724" s="4">
        <v>1</v>
      </c>
      <c r="AC1724" s="4">
        <v>1</v>
      </c>
      <c r="AD1724" s="4">
        <v>3</v>
      </c>
      <c r="AE1724" s="4">
        <v>4</v>
      </c>
      <c r="AF1724" s="4">
        <v>0</v>
      </c>
      <c r="AG1724" s="4">
        <v>0</v>
      </c>
      <c r="AH1724" s="4">
        <v>3</v>
      </c>
      <c r="AI1724" s="4">
        <v>4</v>
      </c>
      <c r="AJ1724" s="4">
        <v>1</v>
      </c>
      <c r="AK1724" s="4">
        <v>1</v>
      </c>
      <c r="AL1724" s="4">
        <v>3</v>
      </c>
      <c r="AM1724" s="4">
        <v>4</v>
      </c>
      <c r="AN1724" s="4">
        <v>0</v>
      </c>
      <c r="AO1724" s="4">
        <v>0</v>
      </c>
      <c r="AP1724" s="4">
        <v>1</v>
      </c>
      <c r="AQ1724" s="4">
        <v>1</v>
      </c>
      <c r="AR1724" s="3" t="s">
        <v>64</v>
      </c>
      <c r="AS1724" s="3" t="s">
        <v>64</v>
      </c>
      <c r="AT1724" s="3" t="s">
        <v>64</v>
      </c>
      <c r="AV1724" s="6" t="str">
        <f>HYPERLINK("http://mcgill.on.worldcat.org/oclc/295562097","Catalog Record")</f>
        <v>Catalog Record</v>
      </c>
      <c r="AW1724" s="6" t="str">
        <f>HYPERLINK("http://www.worldcat.org/oclc/295562097","WorldCat Record")</f>
        <v>WorldCat Record</v>
      </c>
      <c r="AX1724" s="3" t="s">
        <v>17488</v>
      </c>
      <c r="AY1724" s="3" t="s">
        <v>17489</v>
      </c>
      <c r="AZ1724" s="3" t="s">
        <v>17490</v>
      </c>
      <c r="BA1724" s="3" t="s">
        <v>17490</v>
      </c>
      <c r="BB1724" s="3" t="s">
        <v>17491</v>
      </c>
      <c r="BC1724" s="3" t="s">
        <v>77</v>
      </c>
      <c r="BD1724" s="3" t="s">
        <v>78</v>
      </c>
      <c r="BE1724" s="3" t="s">
        <v>17492</v>
      </c>
      <c r="BF1724" s="3" t="s">
        <v>17491</v>
      </c>
      <c r="BG1724" s="3" t="s">
        <v>17493</v>
      </c>
      <c r="BH1724">
        <f t="shared" si="48"/>
        <v>0</v>
      </c>
    </row>
    <row r="1725" spans="1:60" ht="72.5" x14ac:dyDescent="0.35">
      <c r="A1725" s="2" t="s">
        <v>59</v>
      </c>
      <c r="B1725" s="2" t="s">
        <v>60</v>
      </c>
      <c r="C1725" s="2" t="s">
        <v>17494</v>
      </c>
      <c r="D1725" s="2" t="s">
        <v>17495</v>
      </c>
      <c r="E1725" s="2" t="s">
        <v>17496</v>
      </c>
      <c r="G1725" s="3" t="s">
        <v>64</v>
      </c>
      <c r="I1725" s="3" t="s">
        <v>64</v>
      </c>
      <c r="J1725" s="3" t="s">
        <v>64</v>
      </c>
      <c r="K1725" s="3" t="s">
        <v>65</v>
      </c>
      <c r="L1725" s="2" t="s">
        <v>17497</v>
      </c>
      <c r="M1725" s="2" t="s">
        <v>17498</v>
      </c>
      <c r="N1725" s="3" t="s">
        <v>326</v>
      </c>
      <c r="P1725" s="3" t="s">
        <v>1479</v>
      </c>
      <c r="Q1725" s="2" t="s">
        <v>17499</v>
      </c>
      <c r="R1725" s="3" t="s">
        <v>70</v>
      </c>
      <c r="S1725" s="4">
        <v>0</v>
      </c>
      <c r="T1725" s="4">
        <v>0</v>
      </c>
      <c r="W1725" s="5" t="s">
        <v>72</v>
      </c>
      <c r="X1725" s="5" t="s">
        <v>72</v>
      </c>
      <c r="Y1725" s="4">
        <v>1</v>
      </c>
      <c r="Z1725" s="4">
        <v>1</v>
      </c>
      <c r="AA1725" s="4">
        <v>1</v>
      </c>
      <c r="AB1725" s="4">
        <v>1</v>
      </c>
      <c r="AC1725" s="4">
        <v>1</v>
      </c>
      <c r="AD1725" s="4">
        <v>0</v>
      </c>
      <c r="AE1725" s="4">
        <v>0</v>
      </c>
      <c r="AF1725" s="4">
        <v>0</v>
      </c>
      <c r="AG1725" s="4">
        <v>0</v>
      </c>
      <c r="AH1725" s="4">
        <v>0</v>
      </c>
      <c r="AI1725" s="4">
        <v>0</v>
      </c>
      <c r="AJ1725" s="4">
        <v>0</v>
      </c>
      <c r="AK1725" s="4">
        <v>0</v>
      </c>
      <c r="AL1725" s="4">
        <v>0</v>
      </c>
      <c r="AM1725" s="4">
        <v>0</v>
      </c>
      <c r="AN1725" s="4">
        <v>0</v>
      </c>
      <c r="AO1725" s="4">
        <v>0</v>
      </c>
      <c r="AP1725" s="4">
        <v>0</v>
      </c>
      <c r="AQ1725" s="4">
        <v>0</v>
      </c>
      <c r="AR1725" s="3" t="s">
        <v>64</v>
      </c>
      <c r="AS1725" s="3" t="s">
        <v>64</v>
      </c>
      <c r="AT1725" s="3" t="s">
        <v>64</v>
      </c>
      <c r="AV1725" s="6" t="str">
        <f>HYPERLINK("http://mcgill.on.worldcat.org/oclc/864889011","Catalog Record")</f>
        <v>Catalog Record</v>
      </c>
      <c r="AW1725" s="6" t="str">
        <f>HYPERLINK("http://www.worldcat.org/oclc/864889011","WorldCat Record")</f>
        <v>WorldCat Record</v>
      </c>
      <c r="AX1725" s="3" t="s">
        <v>17500</v>
      </c>
      <c r="AY1725" s="3" t="s">
        <v>17501</v>
      </c>
      <c r="AZ1725" s="3" t="s">
        <v>17502</v>
      </c>
      <c r="BA1725" s="3" t="s">
        <v>17502</v>
      </c>
      <c r="BB1725" s="3" t="s">
        <v>17503</v>
      </c>
      <c r="BC1725" s="3" t="s">
        <v>77</v>
      </c>
      <c r="BD1725" s="3" t="s">
        <v>78</v>
      </c>
      <c r="BE1725" s="3" t="s">
        <v>17504</v>
      </c>
      <c r="BF1725" s="3" t="s">
        <v>17503</v>
      </c>
      <c r="BG1725" s="3" t="s">
        <v>17505</v>
      </c>
      <c r="BH1725">
        <f t="shared" si="48"/>
        <v>0</v>
      </c>
    </row>
    <row r="1726" spans="1:60" ht="87" x14ac:dyDescent="0.35">
      <c r="A1726" s="2" t="s">
        <v>59</v>
      </c>
      <c r="B1726" s="2" t="s">
        <v>60</v>
      </c>
      <c r="C1726" s="2" t="s">
        <v>17506</v>
      </c>
      <c r="D1726" s="2" t="s">
        <v>17507</v>
      </c>
      <c r="E1726" s="2" t="s">
        <v>17508</v>
      </c>
      <c r="G1726" s="3" t="s">
        <v>64</v>
      </c>
      <c r="I1726" s="3" t="s">
        <v>64</v>
      </c>
      <c r="J1726" s="3" t="s">
        <v>64</v>
      </c>
      <c r="K1726" s="3" t="s">
        <v>65</v>
      </c>
      <c r="L1726" s="2" t="s">
        <v>17509</v>
      </c>
      <c r="M1726" s="2" t="s">
        <v>17510</v>
      </c>
      <c r="N1726" s="3" t="s">
        <v>86</v>
      </c>
      <c r="P1726" s="3" t="s">
        <v>68</v>
      </c>
      <c r="Q1726" s="2" t="s">
        <v>17511</v>
      </c>
      <c r="R1726" s="3" t="s">
        <v>70</v>
      </c>
      <c r="S1726" s="4">
        <v>0</v>
      </c>
      <c r="T1726" s="4">
        <v>0</v>
      </c>
      <c r="W1726" s="5" t="s">
        <v>72</v>
      </c>
      <c r="X1726" s="5" t="s">
        <v>72</v>
      </c>
      <c r="Y1726" s="4">
        <v>1</v>
      </c>
      <c r="Z1726" s="4">
        <v>1</v>
      </c>
      <c r="AA1726" s="4">
        <v>1</v>
      </c>
      <c r="AB1726" s="4">
        <v>1</v>
      </c>
      <c r="AC1726" s="4">
        <v>1</v>
      </c>
      <c r="AD1726" s="4">
        <v>0</v>
      </c>
      <c r="AE1726" s="4">
        <v>0</v>
      </c>
      <c r="AF1726" s="4">
        <v>0</v>
      </c>
      <c r="AG1726" s="4">
        <v>0</v>
      </c>
      <c r="AH1726" s="4">
        <v>0</v>
      </c>
      <c r="AI1726" s="4">
        <v>0</v>
      </c>
      <c r="AJ1726" s="4">
        <v>0</v>
      </c>
      <c r="AK1726" s="4">
        <v>0</v>
      </c>
      <c r="AL1726" s="4">
        <v>0</v>
      </c>
      <c r="AM1726" s="4">
        <v>0</v>
      </c>
      <c r="AN1726" s="4">
        <v>0</v>
      </c>
      <c r="AO1726" s="4">
        <v>0</v>
      </c>
      <c r="AP1726" s="4">
        <v>0</v>
      </c>
      <c r="AQ1726" s="4">
        <v>0</v>
      </c>
      <c r="AR1726" s="3" t="s">
        <v>64</v>
      </c>
      <c r="AS1726" s="3" t="s">
        <v>64</v>
      </c>
      <c r="AT1726" s="3" t="s">
        <v>64</v>
      </c>
      <c r="AV1726" s="6" t="str">
        <f>HYPERLINK("http://mcgill.on.worldcat.org/oclc/864887952","Catalog Record")</f>
        <v>Catalog Record</v>
      </c>
      <c r="AW1726" s="6" t="str">
        <f>HYPERLINK("http://www.worldcat.org/oclc/864887952","WorldCat Record")</f>
        <v>WorldCat Record</v>
      </c>
      <c r="AX1726" s="3" t="s">
        <v>17512</v>
      </c>
      <c r="AY1726" s="3" t="s">
        <v>17513</v>
      </c>
      <c r="AZ1726" s="3" t="s">
        <v>17514</v>
      </c>
      <c r="BA1726" s="3" t="s">
        <v>17514</v>
      </c>
      <c r="BB1726" s="3" t="s">
        <v>17515</v>
      </c>
      <c r="BC1726" s="3" t="s">
        <v>77</v>
      </c>
      <c r="BD1726" s="3" t="s">
        <v>78</v>
      </c>
      <c r="BE1726" s="3" t="s">
        <v>17516</v>
      </c>
      <c r="BF1726" s="3" t="s">
        <v>17515</v>
      </c>
      <c r="BG1726" s="3" t="s">
        <v>17517</v>
      </c>
      <c r="BH1726">
        <f t="shared" si="48"/>
        <v>0</v>
      </c>
    </row>
    <row r="1727" spans="1:60" ht="58" x14ac:dyDescent="0.35">
      <c r="A1727" s="2" t="s">
        <v>59</v>
      </c>
      <c r="B1727" s="2" t="s">
        <v>60</v>
      </c>
      <c r="C1727" s="2" t="s">
        <v>17518</v>
      </c>
      <c r="D1727" s="2" t="s">
        <v>17519</v>
      </c>
      <c r="E1727" s="2" t="s">
        <v>17520</v>
      </c>
      <c r="G1727" s="3" t="s">
        <v>64</v>
      </c>
      <c r="I1727" s="3" t="s">
        <v>128</v>
      </c>
      <c r="J1727" s="3" t="s">
        <v>64</v>
      </c>
      <c r="K1727" s="3" t="s">
        <v>65</v>
      </c>
      <c r="M1727" s="2" t="s">
        <v>17521</v>
      </c>
      <c r="N1727" s="3" t="s">
        <v>3428</v>
      </c>
      <c r="P1727" s="3" t="s">
        <v>102</v>
      </c>
      <c r="Q1727" s="2" t="s">
        <v>17522</v>
      </c>
      <c r="R1727" s="3" t="s">
        <v>70</v>
      </c>
      <c r="S1727" s="4">
        <v>0</v>
      </c>
      <c r="T1727" s="4">
        <v>2</v>
      </c>
      <c r="V1727" s="5" t="s">
        <v>4481</v>
      </c>
      <c r="W1727" s="5" t="s">
        <v>72</v>
      </c>
      <c r="X1727" s="5" t="s">
        <v>72</v>
      </c>
      <c r="Y1727" s="4">
        <v>152</v>
      </c>
      <c r="Z1727" s="4">
        <v>5</v>
      </c>
      <c r="AA1727" s="4">
        <v>8</v>
      </c>
      <c r="AB1727" s="4">
        <v>1</v>
      </c>
      <c r="AC1727" s="4">
        <v>4</v>
      </c>
      <c r="AD1727" s="4">
        <v>47</v>
      </c>
      <c r="AE1727" s="4">
        <v>50</v>
      </c>
      <c r="AF1727" s="4">
        <v>0</v>
      </c>
      <c r="AG1727" s="4">
        <v>0</v>
      </c>
      <c r="AH1727" s="4">
        <v>44</v>
      </c>
      <c r="AI1727" s="4">
        <v>47</v>
      </c>
      <c r="AJ1727" s="4">
        <v>3</v>
      </c>
      <c r="AK1727" s="4">
        <v>3</v>
      </c>
      <c r="AL1727" s="4">
        <v>26</v>
      </c>
      <c r="AM1727" s="4">
        <v>27</v>
      </c>
      <c r="AN1727" s="4">
        <v>0</v>
      </c>
      <c r="AO1727" s="4">
        <v>0</v>
      </c>
      <c r="AP1727" s="4">
        <v>2</v>
      </c>
      <c r="AQ1727" s="4">
        <v>2</v>
      </c>
      <c r="AR1727" s="3" t="s">
        <v>64</v>
      </c>
      <c r="AS1727" s="3" t="s">
        <v>64</v>
      </c>
      <c r="AT1727" s="3" t="s">
        <v>64</v>
      </c>
      <c r="AV1727" s="6" t="str">
        <f>HYPERLINK("http://mcgill.on.worldcat.org/oclc/31815231","Catalog Record")</f>
        <v>Catalog Record</v>
      </c>
      <c r="AW1727" s="6" t="str">
        <f>HYPERLINK("http://www.worldcat.org/oclc/31815231","WorldCat Record")</f>
        <v>WorldCat Record</v>
      </c>
      <c r="AX1727" s="3" t="s">
        <v>17523</v>
      </c>
      <c r="AY1727" s="3" t="s">
        <v>17524</v>
      </c>
      <c r="AZ1727" s="3" t="s">
        <v>17525</v>
      </c>
      <c r="BA1727" s="3" t="s">
        <v>17525</v>
      </c>
      <c r="BB1727" s="3" t="s">
        <v>17526</v>
      </c>
      <c r="BC1727" s="3" t="s">
        <v>77</v>
      </c>
      <c r="BD1727" s="3" t="s">
        <v>78</v>
      </c>
      <c r="BE1727" s="3" t="s">
        <v>17527</v>
      </c>
      <c r="BF1727" s="3" t="s">
        <v>17526</v>
      </c>
      <c r="BG1727" s="3" t="s">
        <v>17528</v>
      </c>
      <c r="BH1727">
        <f t="shared" si="48"/>
        <v>0</v>
      </c>
    </row>
    <row r="1728" spans="1:60" ht="58" x14ac:dyDescent="0.35">
      <c r="A1728" s="2" t="s">
        <v>59</v>
      </c>
      <c r="B1728" s="2" t="s">
        <v>60</v>
      </c>
      <c r="C1728" s="2" t="s">
        <v>17518</v>
      </c>
      <c r="D1728" s="2" t="s">
        <v>17519</v>
      </c>
      <c r="E1728" s="2" t="s">
        <v>17520</v>
      </c>
      <c r="G1728" s="3" t="s">
        <v>64</v>
      </c>
      <c r="I1728" s="3" t="s">
        <v>128</v>
      </c>
      <c r="J1728" s="3" t="s">
        <v>64</v>
      </c>
      <c r="K1728" s="3" t="s">
        <v>65</v>
      </c>
      <c r="M1728" s="2" t="s">
        <v>17521</v>
      </c>
      <c r="N1728" s="3" t="s">
        <v>3428</v>
      </c>
      <c r="P1728" s="3" t="s">
        <v>102</v>
      </c>
      <c r="Q1728" s="2" t="s">
        <v>17522</v>
      </c>
      <c r="R1728" s="3" t="s">
        <v>70</v>
      </c>
      <c r="S1728" s="4">
        <v>2</v>
      </c>
      <c r="T1728" s="4">
        <v>2</v>
      </c>
      <c r="U1728" s="5" t="s">
        <v>4481</v>
      </c>
      <c r="V1728" s="5" t="s">
        <v>4481</v>
      </c>
      <c r="W1728" s="5" t="s">
        <v>72</v>
      </c>
      <c r="X1728" s="5" t="s">
        <v>72</v>
      </c>
      <c r="Y1728" s="4">
        <v>152</v>
      </c>
      <c r="Z1728" s="4">
        <v>5</v>
      </c>
      <c r="AA1728" s="4">
        <v>8</v>
      </c>
      <c r="AB1728" s="4">
        <v>1</v>
      </c>
      <c r="AC1728" s="4">
        <v>4</v>
      </c>
      <c r="AD1728" s="4">
        <v>47</v>
      </c>
      <c r="AE1728" s="4">
        <v>50</v>
      </c>
      <c r="AF1728" s="4">
        <v>0</v>
      </c>
      <c r="AG1728" s="4">
        <v>0</v>
      </c>
      <c r="AH1728" s="4">
        <v>44</v>
      </c>
      <c r="AI1728" s="4">
        <v>47</v>
      </c>
      <c r="AJ1728" s="4">
        <v>3</v>
      </c>
      <c r="AK1728" s="4">
        <v>3</v>
      </c>
      <c r="AL1728" s="4">
        <v>26</v>
      </c>
      <c r="AM1728" s="4">
        <v>27</v>
      </c>
      <c r="AN1728" s="4">
        <v>0</v>
      </c>
      <c r="AO1728" s="4">
        <v>0</v>
      </c>
      <c r="AP1728" s="4">
        <v>2</v>
      </c>
      <c r="AQ1728" s="4">
        <v>2</v>
      </c>
      <c r="AR1728" s="3" t="s">
        <v>64</v>
      </c>
      <c r="AS1728" s="3" t="s">
        <v>64</v>
      </c>
      <c r="AT1728" s="3" t="s">
        <v>64</v>
      </c>
      <c r="AV1728" s="6" t="str">
        <f>HYPERLINK("http://mcgill.on.worldcat.org/oclc/31815231","Catalog Record")</f>
        <v>Catalog Record</v>
      </c>
      <c r="AW1728" s="6" t="str">
        <f>HYPERLINK("http://www.worldcat.org/oclc/31815231","WorldCat Record")</f>
        <v>WorldCat Record</v>
      </c>
      <c r="AX1728" s="3" t="s">
        <v>17523</v>
      </c>
      <c r="AY1728" s="3" t="s">
        <v>17524</v>
      </c>
      <c r="AZ1728" s="3" t="s">
        <v>17525</v>
      </c>
      <c r="BA1728" s="3" t="s">
        <v>17525</v>
      </c>
      <c r="BB1728" s="3" t="s">
        <v>17529</v>
      </c>
      <c r="BC1728" s="3" t="s">
        <v>77</v>
      </c>
      <c r="BD1728" s="3" t="s">
        <v>78</v>
      </c>
      <c r="BE1728" s="3" t="s">
        <v>17527</v>
      </c>
      <c r="BF1728" s="3" t="s">
        <v>17529</v>
      </c>
      <c r="BG1728" s="3" t="s">
        <v>17530</v>
      </c>
      <c r="BH1728">
        <f t="shared" si="48"/>
        <v>0</v>
      </c>
    </row>
    <row r="1729" spans="1:60" ht="58" x14ac:dyDescent="0.35">
      <c r="A1729" s="2" t="s">
        <v>59</v>
      </c>
      <c r="B1729" s="2" t="s">
        <v>60</v>
      </c>
      <c r="C1729" s="2" t="s">
        <v>17531</v>
      </c>
      <c r="D1729" s="2" t="s">
        <v>17532</v>
      </c>
      <c r="E1729" s="2" t="s">
        <v>17533</v>
      </c>
      <c r="G1729" s="3" t="s">
        <v>64</v>
      </c>
      <c r="I1729" s="3" t="s">
        <v>64</v>
      </c>
      <c r="J1729" s="3" t="s">
        <v>64</v>
      </c>
      <c r="K1729" s="3" t="s">
        <v>65</v>
      </c>
      <c r="L1729" s="2" t="s">
        <v>17534</v>
      </c>
      <c r="M1729" s="2" t="s">
        <v>17535</v>
      </c>
      <c r="N1729" s="3" t="s">
        <v>86</v>
      </c>
      <c r="P1729" s="3" t="s">
        <v>102</v>
      </c>
      <c r="R1729" s="3" t="s">
        <v>70</v>
      </c>
      <c r="S1729" s="4">
        <v>1</v>
      </c>
      <c r="T1729" s="4">
        <v>1</v>
      </c>
      <c r="U1729" s="5" t="s">
        <v>13534</v>
      </c>
      <c r="V1729" s="5" t="s">
        <v>13534</v>
      </c>
      <c r="W1729" s="5" t="s">
        <v>72</v>
      </c>
      <c r="X1729" s="5" t="s">
        <v>72</v>
      </c>
      <c r="Y1729" s="4">
        <v>109</v>
      </c>
      <c r="Z1729" s="4">
        <v>11</v>
      </c>
      <c r="AA1729" s="4">
        <v>49</v>
      </c>
      <c r="AB1729" s="4">
        <v>1</v>
      </c>
      <c r="AC1729" s="4">
        <v>3</v>
      </c>
      <c r="AD1729" s="4">
        <v>46</v>
      </c>
      <c r="AE1729" s="4">
        <v>69</v>
      </c>
      <c r="AF1729" s="4">
        <v>0</v>
      </c>
      <c r="AG1729" s="4">
        <v>0</v>
      </c>
      <c r="AH1729" s="4">
        <v>41</v>
      </c>
      <c r="AI1729" s="4">
        <v>54</v>
      </c>
      <c r="AJ1729" s="4">
        <v>6</v>
      </c>
      <c r="AK1729" s="4">
        <v>11</v>
      </c>
      <c r="AL1729" s="4">
        <v>25</v>
      </c>
      <c r="AM1729" s="4">
        <v>32</v>
      </c>
      <c r="AN1729" s="4">
        <v>0</v>
      </c>
      <c r="AO1729" s="4">
        <v>0</v>
      </c>
      <c r="AP1729" s="4">
        <v>8</v>
      </c>
      <c r="AQ1729" s="4">
        <v>18</v>
      </c>
      <c r="AR1729" s="3" t="s">
        <v>64</v>
      </c>
      <c r="AS1729" s="3" t="s">
        <v>64</v>
      </c>
      <c r="AT1729" s="3" t="s">
        <v>64</v>
      </c>
      <c r="AV1729" s="6" t="str">
        <f>HYPERLINK("http://mcgill.on.worldcat.org/oclc/756577011","Catalog Record")</f>
        <v>Catalog Record</v>
      </c>
      <c r="AW1729" s="6" t="str">
        <f>HYPERLINK("http://www.worldcat.org/oclc/756577011","WorldCat Record")</f>
        <v>WorldCat Record</v>
      </c>
      <c r="AX1729" s="3" t="s">
        <v>17536</v>
      </c>
      <c r="AY1729" s="3" t="s">
        <v>17537</v>
      </c>
      <c r="AZ1729" s="3" t="s">
        <v>17538</v>
      </c>
      <c r="BA1729" s="3" t="s">
        <v>17538</v>
      </c>
      <c r="BB1729" s="3" t="s">
        <v>17539</v>
      </c>
      <c r="BC1729" s="3" t="s">
        <v>77</v>
      </c>
      <c r="BD1729" s="3" t="s">
        <v>78</v>
      </c>
      <c r="BE1729" s="3" t="s">
        <v>17540</v>
      </c>
      <c r="BF1729" s="3" t="s">
        <v>17539</v>
      </c>
      <c r="BG1729" s="3" t="s">
        <v>17541</v>
      </c>
      <c r="BH1729">
        <f t="shared" si="48"/>
        <v>0</v>
      </c>
    </row>
    <row r="1730" spans="1:60" ht="58" x14ac:dyDescent="0.35">
      <c r="A1730" s="2" t="s">
        <v>59</v>
      </c>
      <c r="B1730" s="2" t="s">
        <v>60</v>
      </c>
      <c r="C1730" s="2" t="s">
        <v>17542</v>
      </c>
      <c r="D1730" s="2" t="s">
        <v>17543</v>
      </c>
      <c r="E1730" s="2" t="s">
        <v>17544</v>
      </c>
      <c r="G1730" s="3" t="s">
        <v>64</v>
      </c>
      <c r="I1730" s="3" t="s">
        <v>64</v>
      </c>
      <c r="J1730" s="3" t="s">
        <v>64</v>
      </c>
      <c r="K1730" s="3" t="s">
        <v>65</v>
      </c>
      <c r="M1730" s="2" t="s">
        <v>17545</v>
      </c>
      <c r="N1730" s="3" t="s">
        <v>253</v>
      </c>
      <c r="P1730" s="3" t="s">
        <v>102</v>
      </c>
      <c r="R1730" s="3" t="s">
        <v>70</v>
      </c>
      <c r="S1730" s="4">
        <v>6</v>
      </c>
      <c r="T1730" s="4">
        <v>6</v>
      </c>
      <c r="U1730" s="5" t="s">
        <v>3572</v>
      </c>
      <c r="V1730" s="5" t="s">
        <v>3572</v>
      </c>
      <c r="W1730" s="5" t="s">
        <v>72</v>
      </c>
      <c r="X1730" s="5" t="s">
        <v>72</v>
      </c>
      <c r="Y1730" s="4">
        <v>393</v>
      </c>
      <c r="Z1730" s="4">
        <v>21</v>
      </c>
      <c r="AA1730" s="4">
        <v>27</v>
      </c>
      <c r="AB1730" s="4">
        <v>2</v>
      </c>
      <c r="AC1730" s="4">
        <v>6</v>
      </c>
      <c r="AD1730" s="4">
        <v>99</v>
      </c>
      <c r="AE1730" s="4">
        <v>103</v>
      </c>
      <c r="AF1730" s="4">
        <v>1</v>
      </c>
      <c r="AG1730" s="4">
        <v>2</v>
      </c>
      <c r="AH1730" s="4">
        <v>89</v>
      </c>
      <c r="AI1730" s="4">
        <v>91</v>
      </c>
      <c r="AJ1730" s="4">
        <v>16</v>
      </c>
      <c r="AK1730" s="4">
        <v>18</v>
      </c>
      <c r="AL1730" s="4">
        <v>50</v>
      </c>
      <c r="AM1730" s="4">
        <v>51</v>
      </c>
      <c r="AN1730" s="4">
        <v>0</v>
      </c>
      <c r="AO1730" s="4">
        <v>0</v>
      </c>
      <c r="AP1730" s="4">
        <v>18</v>
      </c>
      <c r="AQ1730" s="4">
        <v>19</v>
      </c>
      <c r="AR1730" s="3" t="s">
        <v>64</v>
      </c>
      <c r="AS1730" s="3" t="s">
        <v>64</v>
      </c>
      <c r="AT1730" s="3" t="s">
        <v>64</v>
      </c>
      <c r="AV1730" s="6" t="str">
        <f>HYPERLINK("http://mcgill.on.worldcat.org/oclc/904335884","Catalog Record")</f>
        <v>Catalog Record</v>
      </c>
      <c r="AW1730" s="6" t="str">
        <f>HYPERLINK("http://www.worldcat.org/oclc/904335884","WorldCat Record")</f>
        <v>WorldCat Record</v>
      </c>
      <c r="AX1730" s="3" t="s">
        <v>17546</v>
      </c>
      <c r="AY1730" s="3" t="s">
        <v>17547</v>
      </c>
      <c r="AZ1730" s="3" t="s">
        <v>17548</v>
      </c>
      <c r="BA1730" s="3" t="s">
        <v>17548</v>
      </c>
      <c r="BB1730" s="3" t="s">
        <v>17549</v>
      </c>
      <c r="BC1730" s="3" t="s">
        <v>77</v>
      </c>
      <c r="BD1730" s="3" t="s">
        <v>78</v>
      </c>
      <c r="BE1730" s="3" t="s">
        <v>17550</v>
      </c>
      <c r="BF1730" s="3" t="s">
        <v>17549</v>
      </c>
      <c r="BG1730" s="3" t="s">
        <v>17551</v>
      </c>
      <c r="BH1730">
        <f t="shared" ref="BH1730:BH1793" si="49">IF(COUNTIF($BF$1:$BF$5431,BF1730)=1,0,1)</f>
        <v>0</v>
      </c>
    </row>
    <row r="1731" spans="1:60" ht="58" x14ac:dyDescent="0.35">
      <c r="A1731" s="2" t="s">
        <v>59</v>
      </c>
      <c r="B1731" s="2" t="s">
        <v>60</v>
      </c>
      <c r="C1731" s="2" t="s">
        <v>17552</v>
      </c>
      <c r="D1731" s="2" t="s">
        <v>17553</v>
      </c>
      <c r="E1731" s="2" t="s">
        <v>17554</v>
      </c>
      <c r="G1731" s="3" t="s">
        <v>64</v>
      </c>
      <c r="I1731" s="3" t="s">
        <v>64</v>
      </c>
      <c r="J1731" s="3" t="s">
        <v>64</v>
      </c>
      <c r="K1731" s="3" t="s">
        <v>65</v>
      </c>
      <c r="M1731" s="2" t="s">
        <v>16372</v>
      </c>
      <c r="N1731" s="3" t="s">
        <v>1263</v>
      </c>
      <c r="O1731" s="2" t="s">
        <v>172</v>
      </c>
      <c r="P1731" s="3" t="s">
        <v>102</v>
      </c>
      <c r="R1731" s="3" t="s">
        <v>70</v>
      </c>
      <c r="S1731" s="4">
        <v>15</v>
      </c>
      <c r="T1731" s="4">
        <v>15</v>
      </c>
      <c r="U1731" s="5" t="s">
        <v>13889</v>
      </c>
      <c r="V1731" s="5" t="s">
        <v>13889</v>
      </c>
      <c r="W1731" s="5" t="s">
        <v>72</v>
      </c>
      <c r="X1731" s="5" t="s">
        <v>72</v>
      </c>
      <c r="Y1731" s="4">
        <v>453</v>
      </c>
      <c r="Z1731" s="4">
        <v>27</v>
      </c>
      <c r="AA1731" s="4">
        <v>28</v>
      </c>
      <c r="AB1731" s="4">
        <v>2</v>
      </c>
      <c r="AC1731" s="4">
        <v>3</v>
      </c>
      <c r="AD1731" s="4">
        <v>109</v>
      </c>
      <c r="AE1731" s="4">
        <v>110</v>
      </c>
      <c r="AF1731" s="4">
        <v>1</v>
      </c>
      <c r="AG1731" s="4">
        <v>2</v>
      </c>
      <c r="AH1731" s="4">
        <v>96</v>
      </c>
      <c r="AI1731" s="4">
        <v>96</v>
      </c>
      <c r="AJ1731" s="4">
        <v>17</v>
      </c>
      <c r="AK1731" s="4">
        <v>18</v>
      </c>
      <c r="AL1731" s="4">
        <v>49</v>
      </c>
      <c r="AM1731" s="4">
        <v>49</v>
      </c>
      <c r="AN1731" s="4">
        <v>0</v>
      </c>
      <c r="AO1731" s="4">
        <v>0</v>
      </c>
      <c r="AP1731" s="4">
        <v>18</v>
      </c>
      <c r="AQ1731" s="4">
        <v>18</v>
      </c>
      <c r="AR1731" s="3" t="s">
        <v>64</v>
      </c>
      <c r="AS1731" s="3" t="s">
        <v>64</v>
      </c>
      <c r="AT1731" s="3" t="s">
        <v>128</v>
      </c>
      <c r="AU1731" s="6" t="str">
        <f>HYPERLINK("http://catalog.hathitrust.org/Record/002612327","HathiTrust Record")</f>
        <v>HathiTrust Record</v>
      </c>
      <c r="AV1731" s="6" t="str">
        <f>HYPERLINK("http://mcgill.on.worldcat.org/oclc/26633163","Catalog Record")</f>
        <v>Catalog Record</v>
      </c>
      <c r="AW1731" s="6" t="str">
        <f>HYPERLINK("http://www.worldcat.org/oclc/26633163","WorldCat Record")</f>
        <v>WorldCat Record</v>
      </c>
      <c r="AX1731" s="3" t="s">
        <v>17555</v>
      </c>
      <c r="AY1731" s="3" t="s">
        <v>17556</v>
      </c>
      <c r="AZ1731" s="3" t="s">
        <v>17557</v>
      </c>
      <c r="BA1731" s="3" t="s">
        <v>17557</v>
      </c>
      <c r="BB1731" s="3" t="s">
        <v>17558</v>
      </c>
      <c r="BC1731" s="3" t="s">
        <v>77</v>
      </c>
      <c r="BD1731" s="3" t="s">
        <v>78</v>
      </c>
      <c r="BE1731" s="3" t="s">
        <v>17559</v>
      </c>
      <c r="BF1731" s="3" t="s">
        <v>17558</v>
      </c>
      <c r="BG1731" s="3" t="s">
        <v>17560</v>
      </c>
      <c r="BH1731">
        <f t="shared" si="49"/>
        <v>0</v>
      </c>
    </row>
    <row r="1732" spans="1:60" ht="58" x14ac:dyDescent="0.35">
      <c r="A1732" s="2" t="s">
        <v>59</v>
      </c>
      <c r="B1732" s="2" t="s">
        <v>60</v>
      </c>
      <c r="C1732" s="2" t="s">
        <v>17561</v>
      </c>
      <c r="D1732" s="2" t="s">
        <v>17562</v>
      </c>
      <c r="E1732" s="2" t="s">
        <v>17563</v>
      </c>
      <c r="G1732" s="3" t="s">
        <v>64</v>
      </c>
      <c r="I1732" s="3" t="s">
        <v>64</v>
      </c>
      <c r="J1732" s="3" t="s">
        <v>64</v>
      </c>
      <c r="K1732" s="3" t="s">
        <v>65</v>
      </c>
      <c r="L1732" s="2" t="s">
        <v>17564</v>
      </c>
      <c r="M1732" s="2" t="s">
        <v>17565</v>
      </c>
      <c r="N1732" s="3" t="s">
        <v>86</v>
      </c>
      <c r="P1732" s="3" t="s">
        <v>102</v>
      </c>
      <c r="Q1732" s="2" t="s">
        <v>17566</v>
      </c>
      <c r="R1732" s="3" t="s">
        <v>70</v>
      </c>
      <c r="S1732" s="4">
        <v>5</v>
      </c>
      <c r="T1732" s="4">
        <v>5</v>
      </c>
      <c r="U1732" s="5" t="s">
        <v>2874</v>
      </c>
      <c r="V1732" s="5" t="s">
        <v>2874</v>
      </c>
      <c r="W1732" s="5" t="s">
        <v>72</v>
      </c>
      <c r="X1732" s="5" t="s">
        <v>72</v>
      </c>
      <c r="Y1732" s="4">
        <v>322</v>
      </c>
      <c r="Z1732" s="4">
        <v>20</v>
      </c>
      <c r="AA1732" s="4">
        <v>121</v>
      </c>
      <c r="AB1732" s="4">
        <v>2</v>
      </c>
      <c r="AC1732" s="4">
        <v>17</v>
      </c>
      <c r="AD1732" s="4">
        <v>64</v>
      </c>
      <c r="AE1732" s="4">
        <v>125</v>
      </c>
      <c r="AF1732" s="4">
        <v>0</v>
      </c>
      <c r="AG1732" s="4">
        <v>8</v>
      </c>
      <c r="AH1732" s="4">
        <v>58</v>
      </c>
      <c r="AI1732" s="4">
        <v>84</v>
      </c>
      <c r="AJ1732" s="4">
        <v>6</v>
      </c>
      <c r="AK1732" s="4">
        <v>21</v>
      </c>
      <c r="AL1732" s="4">
        <v>27</v>
      </c>
      <c r="AM1732" s="4">
        <v>42</v>
      </c>
      <c r="AN1732" s="4">
        <v>0</v>
      </c>
      <c r="AO1732" s="4">
        <v>0</v>
      </c>
      <c r="AP1732" s="4">
        <v>8</v>
      </c>
      <c r="AQ1732" s="4">
        <v>46</v>
      </c>
      <c r="AR1732" s="3" t="s">
        <v>64</v>
      </c>
      <c r="AS1732" s="3" t="s">
        <v>64</v>
      </c>
      <c r="AT1732" s="3" t="s">
        <v>64</v>
      </c>
      <c r="AV1732" s="6" t="str">
        <f>HYPERLINK("http://mcgill.on.worldcat.org/oclc/764311245","Catalog Record")</f>
        <v>Catalog Record</v>
      </c>
      <c r="AW1732" s="6" t="str">
        <f>HYPERLINK("http://www.worldcat.org/oclc/764311245","WorldCat Record")</f>
        <v>WorldCat Record</v>
      </c>
      <c r="AX1732" s="3" t="s">
        <v>17567</v>
      </c>
      <c r="AY1732" s="3" t="s">
        <v>17568</v>
      </c>
      <c r="AZ1732" s="3" t="s">
        <v>17569</v>
      </c>
      <c r="BA1732" s="3" t="s">
        <v>17569</v>
      </c>
      <c r="BB1732" s="3" t="s">
        <v>17570</v>
      </c>
      <c r="BC1732" s="3" t="s">
        <v>77</v>
      </c>
      <c r="BD1732" s="3" t="s">
        <v>78</v>
      </c>
      <c r="BE1732" s="3" t="s">
        <v>17571</v>
      </c>
      <c r="BF1732" s="3" t="s">
        <v>17570</v>
      </c>
      <c r="BG1732" s="3" t="s">
        <v>17572</v>
      </c>
      <c r="BH1732">
        <f t="shared" si="49"/>
        <v>0</v>
      </c>
    </row>
    <row r="1733" spans="1:60" ht="58" x14ac:dyDescent="0.35">
      <c r="A1733" s="2" t="s">
        <v>59</v>
      </c>
      <c r="B1733" s="2" t="s">
        <v>60</v>
      </c>
      <c r="C1733" s="2" t="s">
        <v>17573</v>
      </c>
      <c r="D1733" s="2" t="s">
        <v>17574</v>
      </c>
      <c r="E1733" s="2" t="s">
        <v>17575</v>
      </c>
      <c r="G1733" s="3" t="s">
        <v>64</v>
      </c>
      <c r="I1733" s="3" t="s">
        <v>64</v>
      </c>
      <c r="J1733" s="3" t="s">
        <v>64</v>
      </c>
      <c r="K1733" s="3" t="s">
        <v>65</v>
      </c>
      <c r="L1733" s="2" t="s">
        <v>17576</v>
      </c>
      <c r="M1733" s="2" t="s">
        <v>8509</v>
      </c>
      <c r="N1733" s="3" t="s">
        <v>144</v>
      </c>
      <c r="P1733" s="3" t="s">
        <v>102</v>
      </c>
      <c r="Q1733" s="2" t="s">
        <v>8981</v>
      </c>
      <c r="R1733" s="3" t="s">
        <v>70</v>
      </c>
      <c r="S1733" s="4">
        <v>3</v>
      </c>
      <c r="T1733" s="4">
        <v>3</v>
      </c>
      <c r="U1733" s="5" t="s">
        <v>17577</v>
      </c>
      <c r="V1733" s="5" t="s">
        <v>17577</v>
      </c>
      <c r="W1733" s="5" t="s">
        <v>72</v>
      </c>
      <c r="X1733" s="5" t="s">
        <v>72</v>
      </c>
      <c r="Y1733" s="4">
        <v>143</v>
      </c>
      <c r="Z1733" s="4">
        <v>14</v>
      </c>
      <c r="AA1733" s="4">
        <v>20</v>
      </c>
      <c r="AB1733" s="4">
        <v>3</v>
      </c>
      <c r="AC1733" s="4">
        <v>7</v>
      </c>
      <c r="AD1733" s="4">
        <v>25</v>
      </c>
      <c r="AE1733" s="4">
        <v>36</v>
      </c>
      <c r="AF1733" s="4">
        <v>0</v>
      </c>
      <c r="AG1733" s="4">
        <v>2</v>
      </c>
      <c r="AH1733" s="4">
        <v>23</v>
      </c>
      <c r="AI1733" s="4">
        <v>31</v>
      </c>
      <c r="AJ1733" s="4">
        <v>7</v>
      </c>
      <c r="AK1733" s="4">
        <v>9</v>
      </c>
      <c r="AL1733" s="4">
        <v>14</v>
      </c>
      <c r="AM1733" s="4">
        <v>18</v>
      </c>
      <c r="AN1733" s="4">
        <v>0</v>
      </c>
      <c r="AO1733" s="4">
        <v>0</v>
      </c>
      <c r="AP1733" s="4">
        <v>7</v>
      </c>
      <c r="AQ1733" s="4">
        <v>9</v>
      </c>
      <c r="AR1733" s="3" t="s">
        <v>64</v>
      </c>
      <c r="AS1733" s="3" t="s">
        <v>64</v>
      </c>
      <c r="AT1733" s="3" t="s">
        <v>64</v>
      </c>
      <c r="AV1733" s="6" t="str">
        <f>HYPERLINK("http://mcgill.on.worldcat.org/oclc/195722369","Catalog Record")</f>
        <v>Catalog Record</v>
      </c>
      <c r="AW1733" s="6" t="str">
        <f>HYPERLINK("http://www.worldcat.org/oclc/195722369","WorldCat Record")</f>
        <v>WorldCat Record</v>
      </c>
      <c r="AX1733" s="3" t="s">
        <v>17578</v>
      </c>
      <c r="AY1733" s="3" t="s">
        <v>17579</v>
      </c>
      <c r="AZ1733" s="3" t="s">
        <v>17580</v>
      </c>
      <c r="BA1733" s="3" t="s">
        <v>17580</v>
      </c>
      <c r="BB1733" s="3" t="s">
        <v>17581</v>
      </c>
      <c r="BC1733" s="3" t="s">
        <v>77</v>
      </c>
      <c r="BD1733" s="3" t="s">
        <v>78</v>
      </c>
      <c r="BE1733" s="3" t="s">
        <v>17582</v>
      </c>
      <c r="BF1733" s="3" t="s">
        <v>17581</v>
      </c>
      <c r="BG1733" s="3" t="s">
        <v>17583</v>
      </c>
      <c r="BH1733">
        <f t="shared" si="49"/>
        <v>0</v>
      </c>
    </row>
    <row r="1734" spans="1:60" ht="58" x14ac:dyDescent="0.35">
      <c r="A1734" s="2" t="s">
        <v>59</v>
      </c>
      <c r="B1734" s="2" t="s">
        <v>60</v>
      </c>
      <c r="C1734" s="2" t="s">
        <v>17584</v>
      </c>
      <c r="D1734" s="2" t="s">
        <v>17585</v>
      </c>
      <c r="E1734" s="2" t="s">
        <v>17586</v>
      </c>
      <c r="G1734" s="3" t="s">
        <v>64</v>
      </c>
      <c r="I1734" s="3" t="s">
        <v>64</v>
      </c>
      <c r="J1734" s="3" t="s">
        <v>64</v>
      </c>
      <c r="K1734" s="3" t="s">
        <v>65</v>
      </c>
      <c r="M1734" s="2" t="s">
        <v>15259</v>
      </c>
      <c r="N1734" s="3" t="s">
        <v>171</v>
      </c>
      <c r="P1734" s="3" t="s">
        <v>102</v>
      </c>
      <c r="Q1734" s="2" t="s">
        <v>17587</v>
      </c>
      <c r="R1734" s="3" t="s">
        <v>70</v>
      </c>
      <c r="S1734" s="4">
        <v>8</v>
      </c>
      <c r="T1734" s="4">
        <v>8</v>
      </c>
      <c r="U1734" s="5" t="s">
        <v>17588</v>
      </c>
      <c r="V1734" s="5" t="s">
        <v>17588</v>
      </c>
      <c r="W1734" s="5" t="s">
        <v>72</v>
      </c>
      <c r="X1734" s="5" t="s">
        <v>72</v>
      </c>
      <c r="Y1734" s="4">
        <v>470</v>
      </c>
      <c r="Z1734" s="4">
        <v>32</v>
      </c>
      <c r="AA1734" s="4">
        <v>33</v>
      </c>
      <c r="AB1734" s="4">
        <v>1</v>
      </c>
      <c r="AC1734" s="4">
        <v>2</v>
      </c>
      <c r="AD1734" s="4">
        <v>62</v>
      </c>
      <c r="AE1734" s="4">
        <v>63</v>
      </c>
      <c r="AF1734" s="4">
        <v>0</v>
      </c>
      <c r="AG1734" s="4">
        <v>1</v>
      </c>
      <c r="AH1734" s="4">
        <v>59</v>
      </c>
      <c r="AI1734" s="4">
        <v>59</v>
      </c>
      <c r="AJ1734" s="4">
        <v>11</v>
      </c>
      <c r="AK1734" s="4">
        <v>12</v>
      </c>
      <c r="AL1734" s="4">
        <v>27</v>
      </c>
      <c r="AM1734" s="4">
        <v>27</v>
      </c>
      <c r="AN1734" s="4">
        <v>0</v>
      </c>
      <c r="AO1734" s="4">
        <v>0</v>
      </c>
      <c r="AP1734" s="4">
        <v>12</v>
      </c>
      <c r="AQ1734" s="4">
        <v>12</v>
      </c>
      <c r="AR1734" s="3" t="s">
        <v>64</v>
      </c>
      <c r="AS1734" s="3" t="s">
        <v>64</v>
      </c>
      <c r="AT1734" s="3" t="s">
        <v>128</v>
      </c>
      <c r="AU1734" s="6" t="str">
        <f>HYPERLINK("http://catalog.hathitrust.org/Record/005118639","HathiTrust Record")</f>
        <v>HathiTrust Record</v>
      </c>
      <c r="AV1734" s="6" t="str">
        <f>HYPERLINK("http://mcgill.on.worldcat.org/oclc/61131822","Catalog Record")</f>
        <v>Catalog Record</v>
      </c>
      <c r="AW1734" s="6" t="str">
        <f>HYPERLINK("http://www.worldcat.org/oclc/61131822","WorldCat Record")</f>
        <v>WorldCat Record</v>
      </c>
      <c r="AX1734" s="3" t="s">
        <v>17589</v>
      </c>
      <c r="AY1734" s="3" t="s">
        <v>17590</v>
      </c>
      <c r="AZ1734" s="3" t="s">
        <v>17591</v>
      </c>
      <c r="BA1734" s="3" t="s">
        <v>17591</v>
      </c>
      <c r="BB1734" s="3" t="s">
        <v>17592</v>
      </c>
      <c r="BC1734" s="3" t="s">
        <v>77</v>
      </c>
      <c r="BD1734" s="3" t="s">
        <v>78</v>
      </c>
      <c r="BE1734" s="3" t="s">
        <v>17593</v>
      </c>
      <c r="BF1734" s="3" t="s">
        <v>17592</v>
      </c>
      <c r="BG1734" s="3" t="s">
        <v>17594</v>
      </c>
      <c r="BH1734">
        <f t="shared" si="49"/>
        <v>0</v>
      </c>
    </row>
    <row r="1735" spans="1:60" ht="72.5" x14ac:dyDescent="0.35">
      <c r="A1735" s="2" t="s">
        <v>59</v>
      </c>
      <c r="B1735" s="2" t="s">
        <v>60</v>
      </c>
      <c r="C1735" s="2" t="s">
        <v>17595</v>
      </c>
      <c r="D1735" s="2" t="s">
        <v>17596</v>
      </c>
      <c r="E1735" s="2" t="s">
        <v>17597</v>
      </c>
      <c r="G1735" s="3" t="s">
        <v>64</v>
      </c>
      <c r="I1735" s="3" t="s">
        <v>64</v>
      </c>
      <c r="J1735" s="3" t="s">
        <v>64</v>
      </c>
      <c r="K1735" s="3" t="s">
        <v>65</v>
      </c>
      <c r="L1735" s="2" t="s">
        <v>17598</v>
      </c>
      <c r="M1735" s="2" t="s">
        <v>17599</v>
      </c>
      <c r="N1735" s="3" t="s">
        <v>4872</v>
      </c>
      <c r="P1735" s="3" t="s">
        <v>102</v>
      </c>
      <c r="Q1735" s="2" t="s">
        <v>17600</v>
      </c>
      <c r="R1735" s="3" t="s">
        <v>70</v>
      </c>
      <c r="S1735" s="4">
        <v>3</v>
      </c>
      <c r="T1735" s="4">
        <v>3</v>
      </c>
      <c r="U1735" s="5" t="s">
        <v>17601</v>
      </c>
      <c r="V1735" s="5" t="s">
        <v>17601</v>
      </c>
      <c r="W1735" s="5" t="s">
        <v>72</v>
      </c>
      <c r="X1735" s="5" t="s">
        <v>72</v>
      </c>
      <c r="Y1735" s="4">
        <v>150</v>
      </c>
      <c r="Z1735" s="4">
        <v>4</v>
      </c>
      <c r="AA1735" s="4">
        <v>4</v>
      </c>
      <c r="AB1735" s="4">
        <v>1</v>
      </c>
      <c r="AC1735" s="4">
        <v>1</v>
      </c>
      <c r="AD1735" s="4">
        <v>50</v>
      </c>
      <c r="AE1735" s="4">
        <v>53</v>
      </c>
      <c r="AF1735" s="4">
        <v>0</v>
      </c>
      <c r="AG1735" s="4">
        <v>0</v>
      </c>
      <c r="AH1735" s="4">
        <v>48</v>
      </c>
      <c r="AI1735" s="4">
        <v>51</v>
      </c>
      <c r="AJ1735" s="4">
        <v>2</v>
      </c>
      <c r="AK1735" s="4">
        <v>2</v>
      </c>
      <c r="AL1735" s="4">
        <v>28</v>
      </c>
      <c r="AM1735" s="4">
        <v>29</v>
      </c>
      <c r="AN1735" s="4">
        <v>0</v>
      </c>
      <c r="AO1735" s="4">
        <v>0</v>
      </c>
      <c r="AP1735" s="4">
        <v>3</v>
      </c>
      <c r="AQ1735" s="4">
        <v>3</v>
      </c>
      <c r="AR1735" s="3" t="s">
        <v>64</v>
      </c>
      <c r="AS1735" s="3" t="s">
        <v>64</v>
      </c>
      <c r="AT1735" s="3" t="s">
        <v>64</v>
      </c>
      <c r="AV1735" s="6" t="str">
        <f>HYPERLINK("http://mcgill.on.worldcat.org/oclc/2324891","Catalog Record")</f>
        <v>Catalog Record</v>
      </c>
      <c r="AW1735" s="6" t="str">
        <f>HYPERLINK("http://www.worldcat.org/oclc/2324891","WorldCat Record")</f>
        <v>WorldCat Record</v>
      </c>
      <c r="AX1735" s="3" t="s">
        <v>17602</v>
      </c>
      <c r="AY1735" s="3" t="s">
        <v>17603</v>
      </c>
      <c r="AZ1735" s="3" t="s">
        <v>17604</v>
      </c>
      <c r="BA1735" s="3" t="s">
        <v>17604</v>
      </c>
      <c r="BB1735" s="3" t="s">
        <v>17605</v>
      </c>
      <c r="BC1735" s="3" t="s">
        <v>77</v>
      </c>
      <c r="BD1735" s="3" t="s">
        <v>78</v>
      </c>
      <c r="BF1735" s="3" t="s">
        <v>17605</v>
      </c>
      <c r="BG1735" s="3" t="s">
        <v>17606</v>
      </c>
      <c r="BH1735">
        <f t="shared" si="49"/>
        <v>0</v>
      </c>
    </row>
    <row r="1736" spans="1:60" ht="58" x14ac:dyDescent="0.35">
      <c r="A1736" s="2" t="s">
        <v>59</v>
      </c>
      <c r="B1736" s="2" t="s">
        <v>60</v>
      </c>
      <c r="C1736" s="2" t="s">
        <v>17607</v>
      </c>
      <c r="D1736" s="2" t="s">
        <v>17608</v>
      </c>
      <c r="E1736" s="2" t="s">
        <v>17609</v>
      </c>
      <c r="G1736" s="3" t="s">
        <v>64</v>
      </c>
      <c r="I1736" s="3" t="s">
        <v>64</v>
      </c>
      <c r="J1736" s="3" t="s">
        <v>64</v>
      </c>
      <c r="K1736" s="3" t="s">
        <v>65</v>
      </c>
      <c r="M1736" s="2" t="s">
        <v>17610</v>
      </c>
      <c r="N1736" s="3" t="s">
        <v>434</v>
      </c>
      <c r="P1736" s="3" t="s">
        <v>102</v>
      </c>
      <c r="R1736" s="3" t="s">
        <v>70</v>
      </c>
      <c r="S1736" s="4">
        <v>9</v>
      </c>
      <c r="T1736" s="4">
        <v>9</v>
      </c>
      <c r="U1736" s="5" t="s">
        <v>11917</v>
      </c>
      <c r="V1736" s="5" t="s">
        <v>11917</v>
      </c>
      <c r="W1736" s="5" t="s">
        <v>72</v>
      </c>
      <c r="X1736" s="5" t="s">
        <v>72</v>
      </c>
      <c r="Y1736" s="4">
        <v>117</v>
      </c>
      <c r="Z1736" s="4">
        <v>7</v>
      </c>
      <c r="AA1736" s="4">
        <v>33</v>
      </c>
      <c r="AB1736" s="4">
        <v>1</v>
      </c>
      <c r="AC1736" s="4">
        <v>6</v>
      </c>
      <c r="AD1736" s="4">
        <v>35</v>
      </c>
      <c r="AE1736" s="4">
        <v>58</v>
      </c>
      <c r="AF1736" s="4">
        <v>0</v>
      </c>
      <c r="AG1736" s="4">
        <v>2</v>
      </c>
      <c r="AH1736" s="4">
        <v>32</v>
      </c>
      <c r="AI1736" s="4">
        <v>50</v>
      </c>
      <c r="AJ1736" s="4">
        <v>5</v>
      </c>
      <c r="AK1736" s="4">
        <v>12</v>
      </c>
      <c r="AL1736" s="4">
        <v>20</v>
      </c>
      <c r="AM1736" s="4">
        <v>27</v>
      </c>
      <c r="AN1736" s="4">
        <v>0</v>
      </c>
      <c r="AO1736" s="4">
        <v>0</v>
      </c>
      <c r="AP1736" s="4">
        <v>6</v>
      </c>
      <c r="AQ1736" s="4">
        <v>15</v>
      </c>
      <c r="AR1736" s="3" t="s">
        <v>64</v>
      </c>
      <c r="AS1736" s="3" t="s">
        <v>64</v>
      </c>
      <c r="AT1736" s="3" t="s">
        <v>64</v>
      </c>
      <c r="AV1736" s="6" t="str">
        <f>HYPERLINK("http://mcgill.on.worldcat.org/oclc/59099124","Catalog Record")</f>
        <v>Catalog Record</v>
      </c>
      <c r="AW1736" s="6" t="str">
        <f>HYPERLINK("http://www.worldcat.org/oclc/59099124","WorldCat Record")</f>
        <v>WorldCat Record</v>
      </c>
      <c r="AX1736" s="3" t="s">
        <v>17611</v>
      </c>
      <c r="AY1736" s="3" t="s">
        <v>17612</v>
      </c>
      <c r="AZ1736" s="3" t="s">
        <v>17613</v>
      </c>
      <c r="BA1736" s="3" t="s">
        <v>17613</v>
      </c>
      <c r="BB1736" s="3" t="s">
        <v>17614</v>
      </c>
      <c r="BC1736" s="3" t="s">
        <v>77</v>
      </c>
      <c r="BD1736" s="3" t="s">
        <v>78</v>
      </c>
      <c r="BE1736" s="3" t="s">
        <v>17615</v>
      </c>
      <c r="BF1736" s="3" t="s">
        <v>17614</v>
      </c>
      <c r="BG1736" s="3" t="s">
        <v>17616</v>
      </c>
      <c r="BH1736">
        <f t="shared" si="49"/>
        <v>0</v>
      </c>
    </row>
    <row r="1737" spans="1:60" ht="58" x14ac:dyDescent="0.35">
      <c r="A1737" s="2" t="s">
        <v>59</v>
      </c>
      <c r="B1737" s="2" t="s">
        <v>60</v>
      </c>
      <c r="C1737" s="2" t="s">
        <v>17617</v>
      </c>
      <c r="D1737" s="2" t="s">
        <v>17618</v>
      </c>
      <c r="E1737" s="2" t="s">
        <v>17619</v>
      </c>
      <c r="G1737" s="3" t="s">
        <v>64</v>
      </c>
      <c r="I1737" s="3" t="s">
        <v>64</v>
      </c>
      <c r="J1737" s="3" t="s">
        <v>64</v>
      </c>
      <c r="K1737" s="3" t="s">
        <v>65</v>
      </c>
      <c r="M1737" s="2" t="s">
        <v>17620</v>
      </c>
      <c r="N1737" s="3" t="s">
        <v>326</v>
      </c>
      <c r="P1737" s="3" t="s">
        <v>102</v>
      </c>
      <c r="Q1737" s="2" t="s">
        <v>17621</v>
      </c>
      <c r="R1737" s="3" t="s">
        <v>70</v>
      </c>
      <c r="S1737" s="4">
        <v>5</v>
      </c>
      <c r="T1737" s="4">
        <v>5</v>
      </c>
      <c r="U1737" s="5" t="s">
        <v>5624</v>
      </c>
      <c r="V1737" s="5" t="s">
        <v>5624</v>
      </c>
      <c r="W1737" s="5" t="s">
        <v>72</v>
      </c>
      <c r="X1737" s="5" t="s">
        <v>72</v>
      </c>
      <c r="Y1737" s="4">
        <v>179</v>
      </c>
      <c r="Z1737" s="4">
        <v>14</v>
      </c>
      <c r="AA1737" s="4">
        <v>43</v>
      </c>
      <c r="AB1737" s="4">
        <v>1</v>
      </c>
      <c r="AC1737" s="4">
        <v>9</v>
      </c>
      <c r="AD1737" s="4">
        <v>67</v>
      </c>
      <c r="AE1737" s="4">
        <v>79</v>
      </c>
      <c r="AF1737" s="4">
        <v>0</v>
      </c>
      <c r="AG1737" s="4">
        <v>2</v>
      </c>
      <c r="AH1737" s="4">
        <v>60</v>
      </c>
      <c r="AI1737" s="4">
        <v>67</v>
      </c>
      <c r="AJ1737" s="4">
        <v>9</v>
      </c>
      <c r="AK1737" s="4">
        <v>12</v>
      </c>
      <c r="AL1737" s="4">
        <v>37</v>
      </c>
      <c r="AM1737" s="4">
        <v>41</v>
      </c>
      <c r="AN1737" s="4">
        <v>0</v>
      </c>
      <c r="AO1737" s="4">
        <v>0</v>
      </c>
      <c r="AP1737" s="4">
        <v>11</v>
      </c>
      <c r="AQ1737" s="4">
        <v>17</v>
      </c>
      <c r="AR1737" s="3" t="s">
        <v>64</v>
      </c>
      <c r="AS1737" s="3" t="s">
        <v>64</v>
      </c>
      <c r="AT1737" s="3" t="s">
        <v>64</v>
      </c>
      <c r="AV1737" s="6" t="str">
        <f>HYPERLINK("http://mcgill.on.worldcat.org/oclc/711947504","Catalog Record")</f>
        <v>Catalog Record</v>
      </c>
      <c r="AW1737" s="6" t="str">
        <f>HYPERLINK("http://www.worldcat.org/oclc/711947504","WorldCat Record")</f>
        <v>WorldCat Record</v>
      </c>
      <c r="AX1737" s="3" t="s">
        <v>17622</v>
      </c>
      <c r="AY1737" s="3" t="s">
        <v>17623</v>
      </c>
      <c r="AZ1737" s="3" t="s">
        <v>17624</v>
      </c>
      <c r="BA1737" s="3" t="s">
        <v>17624</v>
      </c>
      <c r="BB1737" s="3" t="s">
        <v>17625</v>
      </c>
      <c r="BC1737" s="3" t="s">
        <v>77</v>
      </c>
      <c r="BD1737" s="3" t="s">
        <v>78</v>
      </c>
      <c r="BE1737" s="3" t="s">
        <v>17626</v>
      </c>
      <c r="BF1737" s="3" t="s">
        <v>17625</v>
      </c>
      <c r="BG1737" s="3" t="s">
        <v>17627</v>
      </c>
      <c r="BH1737">
        <f t="shared" si="49"/>
        <v>0</v>
      </c>
    </row>
    <row r="1738" spans="1:60" ht="72.5" x14ac:dyDescent="0.35">
      <c r="A1738" s="2" t="s">
        <v>59</v>
      </c>
      <c r="B1738" s="2" t="s">
        <v>60</v>
      </c>
      <c r="C1738" s="2" t="s">
        <v>17628</v>
      </c>
      <c r="D1738" s="2" t="s">
        <v>17629</v>
      </c>
      <c r="E1738" s="2" t="s">
        <v>17630</v>
      </c>
      <c r="G1738" s="3" t="s">
        <v>64</v>
      </c>
      <c r="I1738" s="3" t="s">
        <v>64</v>
      </c>
      <c r="J1738" s="3" t="s">
        <v>64</v>
      </c>
      <c r="K1738" s="3" t="s">
        <v>65</v>
      </c>
      <c r="M1738" s="2" t="s">
        <v>14751</v>
      </c>
      <c r="N1738" s="3" t="s">
        <v>291</v>
      </c>
      <c r="P1738" s="3" t="s">
        <v>102</v>
      </c>
      <c r="R1738" s="3" t="s">
        <v>70</v>
      </c>
      <c r="S1738" s="4">
        <v>12</v>
      </c>
      <c r="T1738" s="4">
        <v>12</v>
      </c>
      <c r="U1738" s="5" t="s">
        <v>5624</v>
      </c>
      <c r="V1738" s="5" t="s">
        <v>5624</v>
      </c>
      <c r="W1738" s="5" t="s">
        <v>72</v>
      </c>
      <c r="X1738" s="5" t="s">
        <v>72</v>
      </c>
      <c r="Y1738" s="4">
        <v>294</v>
      </c>
      <c r="Z1738" s="4">
        <v>11</v>
      </c>
      <c r="AA1738" s="4">
        <v>27</v>
      </c>
      <c r="AB1738" s="4">
        <v>1</v>
      </c>
      <c r="AC1738" s="4">
        <v>3</v>
      </c>
      <c r="AD1738" s="4">
        <v>78</v>
      </c>
      <c r="AE1738" s="4">
        <v>96</v>
      </c>
      <c r="AF1738" s="4">
        <v>0</v>
      </c>
      <c r="AG1738" s="4">
        <v>0</v>
      </c>
      <c r="AH1738" s="4">
        <v>71</v>
      </c>
      <c r="AI1738" s="4">
        <v>82</v>
      </c>
      <c r="AJ1738" s="4">
        <v>7</v>
      </c>
      <c r="AK1738" s="4">
        <v>9</v>
      </c>
      <c r="AL1738" s="4">
        <v>44</v>
      </c>
      <c r="AM1738" s="4">
        <v>50</v>
      </c>
      <c r="AN1738" s="4">
        <v>0</v>
      </c>
      <c r="AO1738" s="4">
        <v>0</v>
      </c>
      <c r="AP1738" s="4">
        <v>8</v>
      </c>
      <c r="AQ1738" s="4">
        <v>16</v>
      </c>
      <c r="AR1738" s="3" t="s">
        <v>64</v>
      </c>
      <c r="AS1738" s="3" t="s">
        <v>64</v>
      </c>
      <c r="AT1738" s="3" t="s">
        <v>128</v>
      </c>
      <c r="AU1738" s="6" t="str">
        <f>HYPERLINK("http://catalog.hathitrust.org/Record/005419442","HathiTrust Record")</f>
        <v>HathiTrust Record</v>
      </c>
      <c r="AV1738" s="6" t="str">
        <f>HYPERLINK("http://mcgill.on.worldcat.org/oclc/71126716","Catalog Record")</f>
        <v>Catalog Record</v>
      </c>
      <c r="AW1738" s="6" t="str">
        <f>HYPERLINK("http://www.worldcat.org/oclc/71126716","WorldCat Record")</f>
        <v>WorldCat Record</v>
      </c>
      <c r="AX1738" s="3" t="s">
        <v>17631</v>
      </c>
      <c r="AY1738" s="3" t="s">
        <v>17632</v>
      </c>
      <c r="AZ1738" s="3" t="s">
        <v>17633</v>
      </c>
      <c r="BA1738" s="3" t="s">
        <v>17633</v>
      </c>
      <c r="BB1738" s="3" t="s">
        <v>17634</v>
      </c>
      <c r="BC1738" s="3" t="s">
        <v>77</v>
      </c>
      <c r="BD1738" s="3" t="s">
        <v>78</v>
      </c>
      <c r="BE1738" s="3" t="s">
        <v>17635</v>
      </c>
      <c r="BF1738" s="3" t="s">
        <v>17634</v>
      </c>
      <c r="BG1738" s="3" t="s">
        <v>17636</v>
      </c>
      <c r="BH1738">
        <f t="shared" si="49"/>
        <v>0</v>
      </c>
    </row>
    <row r="1739" spans="1:60" ht="58" x14ac:dyDescent="0.35">
      <c r="A1739" s="2" t="s">
        <v>59</v>
      </c>
      <c r="B1739" s="2" t="s">
        <v>60</v>
      </c>
      <c r="C1739" s="2" t="s">
        <v>17637</v>
      </c>
      <c r="D1739" s="2" t="s">
        <v>17638</v>
      </c>
      <c r="E1739" s="2" t="s">
        <v>17639</v>
      </c>
      <c r="G1739" s="3" t="s">
        <v>64</v>
      </c>
      <c r="I1739" s="3" t="s">
        <v>128</v>
      </c>
      <c r="J1739" s="3" t="s">
        <v>64</v>
      </c>
      <c r="K1739" s="3" t="s">
        <v>65</v>
      </c>
      <c r="M1739" s="2" t="s">
        <v>17640</v>
      </c>
      <c r="N1739" s="3" t="s">
        <v>3330</v>
      </c>
      <c r="P1739" s="3" t="s">
        <v>102</v>
      </c>
      <c r="R1739" s="3" t="s">
        <v>70</v>
      </c>
      <c r="S1739" s="4">
        <v>10</v>
      </c>
      <c r="T1739" s="4">
        <v>19</v>
      </c>
      <c r="U1739" s="5" t="s">
        <v>7981</v>
      </c>
      <c r="V1739" s="5" t="s">
        <v>7981</v>
      </c>
      <c r="W1739" s="5" t="s">
        <v>72</v>
      </c>
      <c r="X1739" s="5" t="s">
        <v>72</v>
      </c>
      <c r="Y1739" s="4">
        <v>142</v>
      </c>
      <c r="Z1739" s="4">
        <v>38</v>
      </c>
      <c r="AA1739" s="4">
        <v>45</v>
      </c>
      <c r="AB1739" s="4">
        <v>4</v>
      </c>
      <c r="AC1739" s="4">
        <v>10</v>
      </c>
      <c r="AD1739" s="4">
        <v>67</v>
      </c>
      <c r="AE1739" s="4">
        <v>71</v>
      </c>
      <c r="AF1739" s="4">
        <v>1</v>
      </c>
      <c r="AG1739" s="4">
        <v>5</v>
      </c>
      <c r="AH1739" s="4">
        <v>53</v>
      </c>
      <c r="AI1739" s="4">
        <v>54</v>
      </c>
      <c r="AJ1739" s="4">
        <v>18</v>
      </c>
      <c r="AK1739" s="4">
        <v>22</v>
      </c>
      <c r="AL1739" s="4">
        <v>37</v>
      </c>
      <c r="AM1739" s="4">
        <v>37</v>
      </c>
      <c r="AN1739" s="4">
        <v>0</v>
      </c>
      <c r="AO1739" s="4">
        <v>0</v>
      </c>
      <c r="AP1739" s="4">
        <v>20</v>
      </c>
      <c r="AQ1739" s="4">
        <v>23</v>
      </c>
      <c r="AR1739" s="3" t="s">
        <v>128</v>
      </c>
      <c r="AS1739" s="3" t="s">
        <v>64</v>
      </c>
      <c r="AT1739" s="3" t="s">
        <v>64</v>
      </c>
      <c r="AV1739" s="6" t="str">
        <f>HYPERLINK("http://mcgill.on.worldcat.org/oclc/16530191","Catalog Record")</f>
        <v>Catalog Record</v>
      </c>
      <c r="AW1739" s="6" t="str">
        <f>HYPERLINK("http://www.worldcat.org/oclc/16530191","WorldCat Record")</f>
        <v>WorldCat Record</v>
      </c>
      <c r="AX1739" s="3" t="s">
        <v>17641</v>
      </c>
      <c r="AY1739" s="3" t="s">
        <v>17642</v>
      </c>
      <c r="AZ1739" s="3" t="s">
        <v>17643</v>
      </c>
      <c r="BA1739" s="3" t="s">
        <v>17643</v>
      </c>
      <c r="BB1739" s="3" t="s">
        <v>17644</v>
      </c>
      <c r="BC1739" s="3" t="s">
        <v>77</v>
      </c>
      <c r="BD1739" s="3" t="s">
        <v>78</v>
      </c>
      <c r="BE1739" s="3" t="s">
        <v>17645</v>
      </c>
      <c r="BF1739" s="3" t="s">
        <v>17644</v>
      </c>
      <c r="BG1739" s="3" t="s">
        <v>17646</v>
      </c>
      <c r="BH1739">
        <f t="shared" si="49"/>
        <v>0</v>
      </c>
    </row>
    <row r="1740" spans="1:60" ht="58" x14ac:dyDescent="0.35">
      <c r="A1740" s="2" t="s">
        <v>59</v>
      </c>
      <c r="B1740" s="2" t="s">
        <v>60</v>
      </c>
      <c r="C1740" s="2" t="s">
        <v>17647</v>
      </c>
      <c r="D1740" s="2" t="s">
        <v>17648</v>
      </c>
      <c r="E1740" s="2" t="s">
        <v>17649</v>
      </c>
      <c r="G1740" s="3" t="s">
        <v>64</v>
      </c>
      <c r="I1740" s="3" t="s">
        <v>64</v>
      </c>
      <c r="J1740" s="3" t="s">
        <v>64</v>
      </c>
      <c r="K1740" s="3" t="s">
        <v>65</v>
      </c>
      <c r="M1740" s="2" t="s">
        <v>17650</v>
      </c>
      <c r="N1740" s="3" t="s">
        <v>253</v>
      </c>
      <c r="P1740" s="3" t="s">
        <v>102</v>
      </c>
      <c r="R1740" s="3" t="s">
        <v>70</v>
      </c>
      <c r="S1740" s="4">
        <v>0</v>
      </c>
      <c r="T1740" s="4">
        <v>0</v>
      </c>
      <c r="W1740" s="5" t="s">
        <v>72</v>
      </c>
      <c r="X1740" s="5" t="s">
        <v>72</v>
      </c>
      <c r="Y1740" s="4">
        <v>74</v>
      </c>
      <c r="Z1740" s="4">
        <v>2</v>
      </c>
      <c r="AA1740" s="4">
        <v>5</v>
      </c>
      <c r="AB1740" s="4">
        <v>1</v>
      </c>
      <c r="AC1740" s="4">
        <v>3</v>
      </c>
      <c r="AD1740" s="4">
        <v>31</v>
      </c>
      <c r="AE1740" s="4">
        <v>37</v>
      </c>
      <c r="AF1740" s="4">
        <v>0</v>
      </c>
      <c r="AG1740" s="4">
        <v>0</v>
      </c>
      <c r="AH1740" s="4">
        <v>29</v>
      </c>
      <c r="AI1740" s="4">
        <v>32</v>
      </c>
      <c r="AJ1740" s="4">
        <v>1</v>
      </c>
      <c r="AK1740" s="4">
        <v>2</v>
      </c>
      <c r="AL1740" s="4">
        <v>18</v>
      </c>
      <c r="AM1740" s="4">
        <v>22</v>
      </c>
      <c r="AN1740" s="4">
        <v>0</v>
      </c>
      <c r="AO1740" s="4">
        <v>0</v>
      </c>
      <c r="AP1740" s="4">
        <v>1</v>
      </c>
      <c r="AQ1740" s="4">
        <v>2</v>
      </c>
      <c r="AR1740" s="3" t="s">
        <v>64</v>
      </c>
      <c r="AS1740" s="3" t="s">
        <v>64</v>
      </c>
      <c r="AT1740" s="3" t="s">
        <v>64</v>
      </c>
      <c r="AV1740" s="6" t="str">
        <f>HYPERLINK("http://mcgill.on.worldcat.org/oclc/919481139","Catalog Record")</f>
        <v>Catalog Record</v>
      </c>
      <c r="AW1740" s="6" t="str">
        <f>HYPERLINK("http://www.worldcat.org/oclc/919481139","WorldCat Record")</f>
        <v>WorldCat Record</v>
      </c>
      <c r="AX1740" s="3" t="s">
        <v>17651</v>
      </c>
      <c r="AY1740" s="3" t="s">
        <v>17652</v>
      </c>
      <c r="AZ1740" s="3" t="s">
        <v>17653</v>
      </c>
      <c r="BA1740" s="3" t="s">
        <v>17653</v>
      </c>
      <c r="BB1740" s="3" t="s">
        <v>17654</v>
      </c>
      <c r="BC1740" s="3" t="s">
        <v>77</v>
      </c>
      <c r="BD1740" s="3" t="s">
        <v>78</v>
      </c>
      <c r="BE1740" s="3" t="s">
        <v>17655</v>
      </c>
      <c r="BF1740" s="3" t="s">
        <v>17654</v>
      </c>
      <c r="BG1740" s="3" t="s">
        <v>17656</v>
      </c>
      <c r="BH1740">
        <f t="shared" si="49"/>
        <v>0</v>
      </c>
    </row>
    <row r="1741" spans="1:60" ht="58" x14ac:dyDescent="0.35">
      <c r="A1741" s="2" t="s">
        <v>59</v>
      </c>
      <c r="B1741" s="2" t="s">
        <v>60</v>
      </c>
      <c r="C1741" s="2" t="s">
        <v>17657</v>
      </c>
      <c r="D1741" s="2" t="s">
        <v>17658</v>
      </c>
      <c r="E1741" s="2" t="s">
        <v>17659</v>
      </c>
      <c r="G1741" s="3" t="s">
        <v>64</v>
      </c>
      <c r="I1741" s="3" t="s">
        <v>64</v>
      </c>
      <c r="J1741" s="3" t="s">
        <v>64</v>
      </c>
      <c r="K1741" s="3" t="s">
        <v>65</v>
      </c>
      <c r="L1741" s="2" t="s">
        <v>17660</v>
      </c>
      <c r="M1741" s="2" t="s">
        <v>17661</v>
      </c>
      <c r="N1741" s="3" t="s">
        <v>1075</v>
      </c>
      <c r="P1741" s="3" t="s">
        <v>102</v>
      </c>
      <c r="Q1741" s="2" t="s">
        <v>16888</v>
      </c>
      <c r="R1741" s="3" t="s">
        <v>70</v>
      </c>
      <c r="S1741" s="4">
        <v>2</v>
      </c>
      <c r="T1741" s="4">
        <v>2</v>
      </c>
      <c r="U1741" s="5" t="s">
        <v>5624</v>
      </c>
      <c r="V1741" s="5" t="s">
        <v>5624</v>
      </c>
      <c r="W1741" s="5" t="s">
        <v>72</v>
      </c>
      <c r="X1741" s="5" t="s">
        <v>72</v>
      </c>
      <c r="Y1741" s="4">
        <v>78</v>
      </c>
      <c r="Z1741" s="4">
        <v>5</v>
      </c>
      <c r="AA1741" s="4">
        <v>10</v>
      </c>
      <c r="AB1741" s="4">
        <v>1</v>
      </c>
      <c r="AC1741" s="4">
        <v>3</v>
      </c>
      <c r="AD1741" s="4">
        <v>28</v>
      </c>
      <c r="AE1741" s="4">
        <v>32</v>
      </c>
      <c r="AF1741" s="4">
        <v>0</v>
      </c>
      <c r="AG1741" s="4">
        <v>0</v>
      </c>
      <c r="AH1741" s="4">
        <v>26</v>
      </c>
      <c r="AI1741" s="4">
        <v>28</v>
      </c>
      <c r="AJ1741" s="4">
        <v>3</v>
      </c>
      <c r="AK1741" s="4">
        <v>4</v>
      </c>
      <c r="AL1741" s="4">
        <v>18</v>
      </c>
      <c r="AM1741" s="4">
        <v>19</v>
      </c>
      <c r="AN1741" s="4">
        <v>0</v>
      </c>
      <c r="AO1741" s="4">
        <v>0</v>
      </c>
      <c r="AP1741" s="4">
        <v>3</v>
      </c>
      <c r="AQ1741" s="4">
        <v>5</v>
      </c>
      <c r="AR1741" s="3" t="s">
        <v>64</v>
      </c>
      <c r="AS1741" s="3" t="s">
        <v>64</v>
      </c>
      <c r="AT1741" s="3" t="s">
        <v>64</v>
      </c>
      <c r="AV1741" s="6" t="str">
        <f>HYPERLINK("http://mcgill.on.worldcat.org/oclc/794709071","Catalog Record")</f>
        <v>Catalog Record</v>
      </c>
      <c r="AW1741" s="6" t="str">
        <f>HYPERLINK("http://www.worldcat.org/oclc/794709071","WorldCat Record")</f>
        <v>WorldCat Record</v>
      </c>
      <c r="AX1741" s="3" t="s">
        <v>17662</v>
      </c>
      <c r="AY1741" s="3" t="s">
        <v>17663</v>
      </c>
      <c r="AZ1741" s="3" t="s">
        <v>17664</v>
      </c>
      <c r="BA1741" s="3" t="s">
        <v>17664</v>
      </c>
      <c r="BB1741" s="3" t="s">
        <v>17665</v>
      </c>
      <c r="BC1741" s="3" t="s">
        <v>77</v>
      </c>
      <c r="BD1741" s="3" t="s">
        <v>78</v>
      </c>
      <c r="BE1741" s="3" t="s">
        <v>17666</v>
      </c>
      <c r="BF1741" s="3" t="s">
        <v>17665</v>
      </c>
      <c r="BG1741" s="3" t="s">
        <v>17667</v>
      </c>
      <c r="BH1741">
        <f t="shared" si="49"/>
        <v>0</v>
      </c>
    </row>
    <row r="1742" spans="1:60" ht="58" x14ac:dyDescent="0.35">
      <c r="A1742" s="2" t="s">
        <v>59</v>
      </c>
      <c r="B1742" s="2" t="s">
        <v>60</v>
      </c>
      <c r="C1742" s="2" t="s">
        <v>17668</v>
      </c>
      <c r="D1742" s="2" t="s">
        <v>17669</v>
      </c>
      <c r="E1742" s="2" t="s">
        <v>17670</v>
      </c>
      <c r="G1742" s="3" t="s">
        <v>64</v>
      </c>
      <c r="I1742" s="3" t="s">
        <v>64</v>
      </c>
      <c r="J1742" s="3" t="s">
        <v>64</v>
      </c>
      <c r="K1742" s="3" t="s">
        <v>65</v>
      </c>
      <c r="M1742" s="2" t="s">
        <v>17671</v>
      </c>
      <c r="N1742" s="3" t="s">
        <v>67</v>
      </c>
      <c r="P1742" s="3" t="s">
        <v>102</v>
      </c>
      <c r="R1742" s="3" t="s">
        <v>70</v>
      </c>
      <c r="S1742" s="4">
        <v>0</v>
      </c>
      <c r="T1742" s="4">
        <v>0</v>
      </c>
      <c r="W1742" s="5" t="s">
        <v>72</v>
      </c>
      <c r="X1742" s="5" t="s">
        <v>72</v>
      </c>
      <c r="Y1742" s="4">
        <v>36</v>
      </c>
      <c r="Z1742" s="4">
        <v>2</v>
      </c>
      <c r="AA1742" s="4">
        <v>2</v>
      </c>
      <c r="AB1742" s="4">
        <v>1</v>
      </c>
      <c r="AC1742" s="4">
        <v>1</v>
      </c>
      <c r="AD1742" s="4">
        <v>16</v>
      </c>
      <c r="AE1742" s="4">
        <v>16</v>
      </c>
      <c r="AF1742" s="4">
        <v>0</v>
      </c>
      <c r="AG1742" s="4">
        <v>0</v>
      </c>
      <c r="AH1742" s="4">
        <v>15</v>
      </c>
      <c r="AI1742" s="4">
        <v>15</v>
      </c>
      <c r="AJ1742" s="4">
        <v>1</v>
      </c>
      <c r="AK1742" s="4">
        <v>1</v>
      </c>
      <c r="AL1742" s="4">
        <v>10</v>
      </c>
      <c r="AM1742" s="4">
        <v>10</v>
      </c>
      <c r="AN1742" s="4">
        <v>0</v>
      </c>
      <c r="AO1742" s="4">
        <v>0</v>
      </c>
      <c r="AP1742" s="4">
        <v>1</v>
      </c>
      <c r="AQ1742" s="4">
        <v>1</v>
      </c>
      <c r="AR1742" s="3" t="s">
        <v>64</v>
      </c>
      <c r="AS1742" s="3" t="s">
        <v>64</v>
      </c>
      <c r="AT1742" s="3" t="s">
        <v>64</v>
      </c>
      <c r="AV1742" s="6" t="str">
        <f>HYPERLINK("http://mcgill.on.worldcat.org/oclc/896435574","Catalog Record")</f>
        <v>Catalog Record</v>
      </c>
      <c r="AW1742" s="6" t="str">
        <f>HYPERLINK("http://www.worldcat.org/oclc/896435574","WorldCat Record")</f>
        <v>WorldCat Record</v>
      </c>
      <c r="AX1742" s="3" t="s">
        <v>17672</v>
      </c>
      <c r="AY1742" s="3" t="s">
        <v>17673</v>
      </c>
      <c r="AZ1742" s="3" t="s">
        <v>17674</v>
      </c>
      <c r="BA1742" s="3" t="s">
        <v>17674</v>
      </c>
      <c r="BB1742" s="3" t="s">
        <v>17675</v>
      </c>
      <c r="BC1742" s="3" t="s">
        <v>77</v>
      </c>
      <c r="BD1742" s="3" t="s">
        <v>78</v>
      </c>
      <c r="BE1742" s="3" t="s">
        <v>17676</v>
      </c>
      <c r="BF1742" s="3" t="s">
        <v>17675</v>
      </c>
      <c r="BG1742" s="3" t="s">
        <v>17677</v>
      </c>
      <c r="BH1742">
        <f t="shared" si="49"/>
        <v>0</v>
      </c>
    </row>
    <row r="1743" spans="1:60" ht="58" x14ac:dyDescent="0.35">
      <c r="A1743" s="2" t="s">
        <v>59</v>
      </c>
      <c r="B1743" s="2" t="s">
        <v>60</v>
      </c>
      <c r="C1743" s="2" t="s">
        <v>17678</v>
      </c>
      <c r="D1743" s="2" t="s">
        <v>17679</v>
      </c>
      <c r="E1743" s="2" t="s">
        <v>17680</v>
      </c>
      <c r="G1743" s="3" t="s">
        <v>64</v>
      </c>
      <c r="I1743" s="3" t="s">
        <v>64</v>
      </c>
      <c r="J1743" s="3" t="s">
        <v>64</v>
      </c>
      <c r="K1743" s="3" t="s">
        <v>65</v>
      </c>
      <c r="L1743" s="2" t="s">
        <v>16955</v>
      </c>
      <c r="M1743" s="2" t="s">
        <v>17681</v>
      </c>
      <c r="N1743" s="3" t="s">
        <v>1075</v>
      </c>
      <c r="P1743" s="3" t="s">
        <v>102</v>
      </c>
      <c r="R1743" s="3" t="s">
        <v>70</v>
      </c>
      <c r="S1743" s="4">
        <v>0</v>
      </c>
      <c r="T1743" s="4">
        <v>0</v>
      </c>
      <c r="W1743" s="5" t="s">
        <v>72</v>
      </c>
      <c r="X1743" s="5" t="s">
        <v>72</v>
      </c>
      <c r="Y1743" s="4">
        <v>39</v>
      </c>
      <c r="Z1743" s="4">
        <v>4</v>
      </c>
      <c r="AA1743" s="4">
        <v>4</v>
      </c>
      <c r="AB1743" s="4">
        <v>1</v>
      </c>
      <c r="AC1743" s="4">
        <v>1</v>
      </c>
      <c r="AD1743" s="4">
        <v>16</v>
      </c>
      <c r="AE1743" s="4">
        <v>16</v>
      </c>
      <c r="AF1743" s="4">
        <v>0</v>
      </c>
      <c r="AG1743" s="4">
        <v>0</v>
      </c>
      <c r="AH1743" s="4">
        <v>15</v>
      </c>
      <c r="AI1743" s="4">
        <v>15</v>
      </c>
      <c r="AJ1743" s="4">
        <v>3</v>
      </c>
      <c r="AK1743" s="4">
        <v>3</v>
      </c>
      <c r="AL1743" s="4">
        <v>9</v>
      </c>
      <c r="AM1743" s="4">
        <v>9</v>
      </c>
      <c r="AN1743" s="4">
        <v>0</v>
      </c>
      <c r="AO1743" s="4">
        <v>0</v>
      </c>
      <c r="AP1743" s="4">
        <v>3</v>
      </c>
      <c r="AQ1743" s="4">
        <v>3</v>
      </c>
      <c r="AR1743" s="3" t="s">
        <v>64</v>
      </c>
      <c r="AS1743" s="3" t="s">
        <v>64</v>
      </c>
      <c r="AT1743" s="3" t="s">
        <v>64</v>
      </c>
      <c r="AV1743" s="6" t="str">
        <f>HYPERLINK("http://mcgill.on.worldcat.org/oclc/827694341","Catalog Record")</f>
        <v>Catalog Record</v>
      </c>
      <c r="AW1743" s="6" t="str">
        <f>HYPERLINK("http://www.worldcat.org/oclc/827694341","WorldCat Record")</f>
        <v>WorldCat Record</v>
      </c>
      <c r="AX1743" s="3" t="s">
        <v>17682</v>
      </c>
      <c r="AY1743" s="3" t="s">
        <v>17683</v>
      </c>
      <c r="AZ1743" s="3" t="s">
        <v>17684</v>
      </c>
      <c r="BA1743" s="3" t="s">
        <v>17684</v>
      </c>
      <c r="BB1743" s="3" t="s">
        <v>17685</v>
      </c>
      <c r="BC1743" s="3" t="s">
        <v>77</v>
      </c>
      <c r="BD1743" s="3" t="s">
        <v>78</v>
      </c>
      <c r="BE1743" s="3" t="s">
        <v>17686</v>
      </c>
      <c r="BF1743" s="3" t="s">
        <v>17685</v>
      </c>
      <c r="BG1743" s="3" t="s">
        <v>17687</v>
      </c>
      <c r="BH1743">
        <f t="shared" si="49"/>
        <v>0</v>
      </c>
    </row>
    <row r="1744" spans="1:60" ht="58" x14ac:dyDescent="0.35">
      <c r="A1744" s="2" t="s">
        <v>59</v>
      </c>
      <c r="B1744" s="2" t="s">
        <v>60</v>
      </c>
      <c r="C1744" s="2" t="s">
        <v>17688</v>
      </c>
      <c r="D1744" s="2" t="s">
        <v>17689</v>
      </c>
      <c r="E1744" s="2" t="s">
        <v>17690</v>
      </c>
      <c r="G1744" s="3" t="s">
        <v>64</v>
      </c>
      <c r="I1744" s="3" t="s">
        <v>64</v>
      </c>
      <c r="J1744" s="3" t="s">
        <v>64</v>
      </c>
      <c r="K1744" s="3" t="s">
        <v>65</v>
      </c>
      <c r="M1744" s="2" t="s">
        <v>17691</v>
      </c>
      <c r="N1744" s="3" t="s">
        <v>86</v>
      </c>
      <c r="P1744" s="3" t="s">
        <v>102</v>
      </c>
      <c r="R1744" s="3" t="s">
        <v>70</v>
      </c>
      <c r="S1744" s="4">
        <v>2</v>
      </c>
      <c r="T1744" s="4">
        <v>2</v>
      </c>
      <c r="U1744" s="5" t="s">
        <v>13933</v>
      </c>
      <c r="V1744" s="5" t="s">
        <v>13933</v>
      </c>
      <c r="W1744" s="5" t="s">
        <v>72</v>
      </c>
      <c r="X1744" s="5" t="s">
        <v>72</v>
      </c>
      <c r="Y1744" s="4">
        <v>100</v>
      </c>
      <c r="Z1744" s="4">
        <v>11</v>
      </c>
      <c r="AA1744" s="4">
        <v>77</v>
      </c>
      <c r="AB1744" s="4">
        <v>1</v>
      </c>
      <c r="AC1744" s="4">
        <v>15</v>
      </c>
      <c r="AD1744" s="4">
        <v>29</v>
      </c>
      <c r="AE1744" s="4">
        <v>86</v>
      </c>
      <c r="AF1744" s="4">
        <v>0</v>
      </c>
      <c r="AG1744" s="4">
        <v>8</v>
      </c>
      <c r="AH1744" s="4">
        <v>27</v>
      </c>
      <c r="AI1744" s="4">
        <v>55</v>
      </c>
      <c r="AJ1744" s="4">
        <v>9</v>
      </c>
      <c r="AK1744" s="4">
        <v>19</v>
      </c>
      <c r="AL1744" s="4">
        <v>14</v>
      </c>
      <c r="AM1744" s="4">
        <v>28</v>
      </c>
      <c r="AN1744" s="4">
        <v>0</v>
      </c>
      <c r="AO1744" s="4">
        <v>0</v>
      </c>
      <c r="AP1744" s="4">
        <v>9</v>
      </c>
      <c r="AQ1744" s="4">
        <v>38</v>
      </c>
      <c r="AR1744" s="3" t="s">
        <v>64</v>
      </c>
      <c r="AS1744" s="3" t="s">
        <v>64</v>
      </c>
      <c r="AT1744" s="3" t="s">
        <v>64</v>
      </c>
      <c r="AV1744" s="6" t="str">
        <f>HYPERLINK("http://mcgill.on.worldcat.org/oclc/772223086","Catalog Record")</f>
        <v>Catalog Record</v>
      </c>
      <c r="AW1744" s="6" t="str">
        <f>HYPERLINK("http://www.worldcat.org/oclc/772223086","WorldCat Record")</f>
        <v>WorldCat Record</v>
      </c>
      <c r="AX1744" s="3" t="s">
        <v>17692</v>
      </c>
      <c r="AY1744" s="3" t="s">
        <v>17693</v>
      </c>
      <c r="AZ1744" s="3" t="s">
        <v>17694</v>
      </c>
      <c r="BA1744" s="3" t="s">
        <v>17694</v>
      </c>
      <c r="BB1744" s="3" t="s">
        <v>17695</v>
      </c>
      <c r="BC1744" s="3" t="s">
        <v>77</v>
      </c>
      <c r="BD1744" s="3" t="s">
        <v>78</v>
      </c>
      <c r="BE1744" s="3" t="s">
        <v>17696</v>
      </c>
      <c r="BF1744" s="3" t="s">
        <v>17695</v>
      </c>
      <c r="BG1744" s="3" t="s">
        <v>17697</v>
      </c>
      <c r="BH1744">
        <f t="shared" si="49"/>
        <v>0</v>
      </c>
    </row>
    <row r="1745" spans="1:60" ht="58" x14ac:dyDescent="0.35">
      <c r="A1745" s="2" t="s">
        <v>1040</v>
      </c>
      <c r="B1745" s="2" t="s">
        <v>60</v>
      </c>
      <c r="C1745" s="2" t="s">
        <v>17698</v>
      </c>
      <c r="D1745" s="2" t="s">
        <v>17699</v>
      </c>
      <c r="E1745" s="2" t="s">
        <v>17700</v>
      </c>
      <c r="G1745" s="3" t="s">
        <v>64</v>
      </c>
      <c r="I1745" s="3" t="s">
        <v>64</v>
      </c>
      <c r="J1745" s="3" t="s">
        <v>64</v>
      </c>
      <c r="K1745" s="3" t="s">
        <v>65</v>
      </c>
      <c r="L1745" s="2" t="s">
        <v>17701</v>
      </c>
      <c r="M1745" s="2" t="s">
        <v>17702</v>
      </c>
      <c r="N1745" s="3" t="s">
        <v>511</v>
      </c>
      <c r="P1745" s="3" t="s">
        <v>102</v>
      </c>
      <c r="R1745" s="3" t="s">
        <v>70</v>
      </c>
      <c r="S1745" s="4">
        <v>11</v>
      </c>
      <c r="T1745" s="4">
        <v>11</v>
      </c>
      <c r="U1745" s="5" t="s">
        <v>17703</v>
      </c>
      <c r="V1745" s="5" t="s">
        <v>17703</v>
      </c>
      <c r="W1745" s="5" t="s">
        <v>72</v>
      </c>
      <c r="X1745" s="5" t="s">
        <v>72</v>
      </c>
      <c r="Y1745" s="4">
        <v>244</v>
      </c>
      <c r="Z1745" s="4">
        <v>15</v>
      </c>
      <c r="AA1745" s="4">
        <v>105</v>
      </c>
      <c r="AB1745" s="4">
        <v>1</v>
      </c>
      <c r="AC1745" s="4">
        <v>17</v>
      </c>
      <c r="AD1745" s="4">
        <v>40</v>
      </c>
      <c r="AE1745" s="4">
        <v>114</v>
      </c>
      <c r="AF1745" s="4">
        <v>0</v>
      </c>
      <c r="AG1745" s="4">
        <v>8</v>
      </c>
      <c r="AH1745" s="4">
        <v>35</v>
      </c>
      <c r="AI1745" s="4">
        <v>78</v>
      </c>
      <c r="AJ1745" s="4">
        <v>10</v>
      </c>
      <c r="AK1745" s="4">
        <v>23</v>
      </c>
      <c r="AL1745" s="4">
        <v>19</v>
      </c>
      <c r="AM1745" s="4">
        <v>37</v>
      </c>
      <c r="AN1745" s="4">
        <v>0</v>
      </c>
      <c r="AO1745" s="4">
        <v>0</v>
      </c>
      <c r="AP1745" s="4">
        <v>11</v>
      </c>
      <c r="AQ1745" s="4">
        <v>44</v>
      </c>
      <c r="AR1745" s="3" t="s">
        <v>64</v>
      </c>
      <c r="AS1745" s="3" t="s">
        <v>64</v>
      </c>
      <c r="AT1745" s="3" t="s">
        <v>64</v>
      </c>
      <c r="AV1745" s="6" t="str">
        <f>HYPERLINK("http://mcgill.on.worldcat.org/oclc/463283960","Catalog Record")</f>
        <v>Catalog Record</v>
      </c>
      <c r="AW1745" s="6" t="str">
        <f>HYPERLINK("http://www.worldcat.org/oclc/463283960","WorldCat Record")</f>
        <v>WorldCat Record</v>
      </c>
      <c r="AX1745" s="3" t="s">
        <v>17704</v>
      </c>
      <c r="AY1745" s="3" t="s">
        <v>17705</v>
      </c>
      <c r="AZ1745" s="3" t="s">
        <v>17706</v>
      </c>
      <c r="BA1745" s="3" t="s">
        <v>17706</v>
      </c>
      <c r="BB1745" s="3" t="s">
        <v>17707</v>
      </c>
      <c r="BC1745" s="3" t="s">
        <v>77</v>
      </c>
      <c r="BD1745" s="3" t="s">
        <v>78</v>
      </c>
      <c r="BE1745" s="3" t="s">
        <v>17708</v>
      </c>
      <c r="BF1745" s="3" t="s">
        <v>17707</v>
      </c>
      <c r="BG1745" s="3" t="s">
        <v>17709</v>
      </c>
      <c r="BH1745">
        <f t="shared" si="49"/>
        <v>0</v>
      </c>
    </row>
    <row r="1746" spans="1:60" ht="58" x14ac:dyDescent="0.35">
      <c r="A1746" s="2" t="s">
        <v>1040</v>
      </c>
      <c r="B1746" s="2" t="s">
        <v>60</v>
      </c>
      <c r="C1746" s="2" t="s">
        <v>17710</v>
      </c>
      <c r="D1746" s="2" t="s">
        <v>17711</v>
      </c>
      <c r="E1746" s="2" t="s">
        <v>17712</v>
      </c>
      <c r="G1746" s="3" t="s">
        <v>64</v>
      </c>
      <c r="I1746" s="3" t="s">
        <v>64</v>
      </c>
      <c r="J1746" s="3" t="s">
        <v>64</v>
      </c>
      <c r="K1746" s="3" t="s">
        <v>65</v>
      </c>
      <c r="M1746" s="2" t="s">
        <v>17713</v>
      </c>
      <c r="N1746" s="3" t="s">
        <v>67</v>
      </c>
      <c r="P1746" s="3" t="s">
        <v>102</v>
      </c>
      <c r="R1746" s="3" t="s">
        <v>70</v>
      </c>
      <c r="S1746" s="4">
        <v>7</v>
      </c>
      <c r="T1746" s="4">
        <v>7</v>
      </c>
      <c r="U1746" s="5" t="s">
        <v>17714</v>
      </c>
      <c r="V1746" s="5" t="s">
        <v>17714</v>
      </c>
      <c r="W1746" s="5" t="s">
        <v>72</v>
      </c>
      <c r="X1746" s="5" t="s">
        <v>72</v>
      </c>
      <c r="Y1746" s="4">
        <v>74</v>
      </c>
      <c r="Z1746" s="4">
        <v>7</v>
      </c>
      <c r="AA1746" s="4">
        <v>17</v>
      </c>
      <c r="AB1746" s="4">
        <v>1</v>
      </c>
      <c r="AC1746" s="4">
        <v>3</v>
      </c>
      <c r="AD1746" s="4">
        <v>21</v>
      </c>
      <c r="AE1746" s="4">
        <v>38</v>
      </c>
      <c r="AF1746" s="4">
        <v>0</v>
      </c>
      <c r="AG1746" s="4">
        <v>0</v>
      </c>
      <c r="AH1746" s="4">
        <v>20</v>
      </c>
      <c r="AI1746" s="4">
        <v>37</v>
      </c>
      <c r="AJ1746" s="4">
        <v>1</v>
      </c>
      <c r="AK1746" s="4">
        <v>3</v>
      </c>
      <c r="AL1746" s="4">
        <v>13</v>
      </c>
      <c r="AM1746" s="4">
        <v>22</v>
      </c>
      <c r="AN1746" s="4">
        <v>0</v>
      </c>
      <c r="AO1746" s="4">
        <v>0</v>
      </c>
      <c r="AP1746" s="4">
        <v>2</v>
      </c>
      <c r="AQ1746" s="4">
        <v>4</v>
      </c>
      <c r="AR1746" s="3" t="s">
        <v>64</v>
      </c>
      <c r="AS1746" s="3" t="s">
        <v>64</v>
      </c>
      <c r="AT1746" s="3" t="s">
        <v>64</v>
      </c>
      <c r="AV1746" s="6" t="str">
        <f>HYPERLINK("http://mcgill.on.worldcat.org/oclc/862958383","Catalog Record")</f>
        <v>Catalog Record</v>
      </c>
      <c r="AW1746" s="6" t="str">
        <f>HYPERLINK("http://www.worldcat.org/oclc/862958383","WorldCat Record")</f>
        <v>WorldCat Record</v>
      </c>
      <c r="AX1746" s="3" t="s">
        <v>17715</v>
      </c>
      <c r="AY1746" s="3" t="s">
        <v>17716</v>
      </c>
      <c r="AZ1746" s="3" t="s">
        <v>17717</v>
      </c>
      <c r="BA1746" s="3" t="s">
        <v>17717</v>
      </c>
      <c r="BB1746" s="3" t="s">
        <v>17718</v>
      </c>
      <c r="BC1746" s="3" t="s">
        <v>77</v>
      </c>
      <c r="BD1746" s="3" t="s">
        <v>78</v>
      </c>
      <c r="BE1746" s="3" t="s">
        <v>17719</v>
      </c>
      <c r="BF1746" s="3" t="s">
        <v>17718</v>
      </c>
      <c r="BG1746" s="3" t="s">
        <v>17720</v>
      </c>
      <c r="BH1746">
        <f t="shared" si="49"/>
        <v>0</v>
      </c>
    </row>
    <row r="1747" spans="1:60" ht="58" x14ac:dyDescent="0.35">
      <c r="A1747" s="2" t="s">
        <v>59</v>
      </c>
      <c r="B1747" s="2" t="s">
        <v>60</v>
      </c>
      <c r="C1747" s="2" t="s">
        <v>17721</v>
      </c>
      <c r="D1747" s="2" t="s">
        <v>17722</v>
      </c>
      <c r="E1747" s="2" t="s">
        <v>17723</v>
      </c>
      <c r="G1747" s="3" t="s">
        <v>64</v>
      </c>
      <c r="I1747" s="3" t="s">
        <v>128</v>
      </c>
      <c r="J1747" s="3" t="s">
        <v>64</v>
      </c>
      <c r="K1747" s="3" t="s">
        <v>65</v>
      </c>
      <c r="M1747" s="2" t="s">
        <v>17724</v>
      </c>
      <c r="N1747" s="3" t="s">
        <v>144</v>
      </c>
      <c r="P1747" s="3" t="s">
        <v>102</v>
      </c>
      <c r="R1747" s="3" t="s">
        <v>70</v>
      </c>
      <c r="S1747" s="4">
        <v>7</v>
      </c>
      <c r="T1747" s="4">
        <v>12</v>
      </c>
      <c r="U1747" s="5" t="s">
        <v>17224</v>
      </c>
      <c r="V1747" s="5" t="s">
        <v>5782</v>
      </c>
      <c r="W1747" s="5" t="s">
        <v>72</v>
      </c>
      <c r="X1747" s="5" t="s">
        <v>72</v>
      </c>
      <c r="Y1747" s="4">
        <v>229</v>
      </c>
      <c r="Z1747" s="4">
        <v>20</v>
      </c>
      <c r="AA1747" s="4">
        <v>83</v>
      </c>
      <c r="AB1747" s="4">
        <v>2</v>
      </c>
      <c r="AC1747" s="4">
        <v>17</v>
      </c>
      <c r="AD1747" s="4">
        <v>57</v>
      </c>
      <c r="AE1747" s="4">
        <v>107</v>
      </c>
      <c r="AF1747" s="4">
        <v>0</v>
      </c>
      <c r="AG1747" s="4">
        <v>8</v>
      </c>
      <c r="AH1747" s="4">
        <v>52</v>
      </c>
      <c r="AI1747" s="4">
        <v>74</v>
      </c>
      <c r="AJ1747" s="4">
        <v>12</v>
      </c>
      <c r="AK1747" s="4">
        <v>22</v>
      </c>
      <c r="AL1747" s="4">
        <v>29</v>
      </c>
      <c r="AM1747" s="4">
        <v>38</v>
      </c>
      <c r="AN1747" s="4">
        <v>0</v>
      </c>
      <c r="AO1747" s="4">
        <v>0</v>
      </c>
      <c r="AP1747" s="4">
        <v>12</v>
      </c>
      <c r="AQ1747" s="4">
        <v>41</v>
      </c>
      <c r="AR1747" s="3" t="s">
        <v>64</v>
      </c>
      <c r="AS1747" s="3" t="s">
        <v>64</v>
      </c>
      <c r="AT1747" s="3" t="s">
        <v>64</v>
      </c>
      <c r="AV1747" s="6" t="str">
        <f>HYPERLINK("http://mcgill.on.worldcat.org/oclc/181862721","Catalog Record")</f>
        <v>Catalog Record</v>
      </c>
      <c r="AW1747" s="6" t="str">
        <f>HYPERLINK("http://www.worldcat.org/oclc/181862721","WorldCat Record")</f>
        <v>WorldCat Record</v>
      </c>
      <c r="AX1747" s="3" t="s">
        <v>17725</v>
      </c>
      <c r="AY1747" s="3" t="s">
        <v>17726</v>
      </c>
      <c r="AZ1747" s="3" t="s">
        <v>17727</v>
      </c>
      <c r="BA1747" s="3" t="s">
        <v>17727</v>
      </c>
      <c r="BB1747" s="3" t="s">
        <v>17728</v>
      </c>
      <c r="BC1747" s="3" t="s">
        <v>77</v>
      </c>
      <c r="BD1747" s="3" t="s">
        <v>78</v>
      </c>
      <c r="BE1747" s="3" t="s">
        <v>17729</v>
      </c>
      <c r="BF1747" s="3" t="s">
        <v>17728</v>
      </c>
      <c r="BG1747" s="3" t="s">
        <v>17730</v>
      </c>
      <c r="BH1747">
        <f t="shared" si="49"/>
        <v>0</v>
      </c>
    </row>
    <row r="1748" spans="1:60" ht="58" x14ac:dyDescent="0.35">
      <c r="A1748" s="2" t="s">
        <v>1040</v>
      </c>
      <c r="B1748" s="2" t="s">
        <v>60</v>
      </c>
      <c r="C1748" s="2" t="s">
        <v>17721</v>
      </c>
      <c r="D1748" s="2" t="s">
        <v>17722</v>
      </c>
      <c r="E1748" s="2" t="s">
        <v>17723</v>
      </c>
      <c r="G1748" s="3" t="s">
        <v>64</v>
      </c>
      <c r="I1748" s="3" t="s">
        <v>128</v>
      </c>
      <c r="J1748" s="3" t="s">
        <v>64</v>
      </c>
      <c r="K1748" s="3" t="s">
        <v>65</v>
      </c>
      <c r="M1748" s="2" t="s">
        <v>17724</v>
      </c>
      <c r="N1748" s="3" t="s">
        <v>144</v>
      </c>
      <c r="P1748" s="3" t="s">
        <v>102</v>
      </c>
      <c r="R1748" s="3" t="s">
        <v>70</v>
      </c>
      <c r="S1748" s="4">
        <v>5</v>
      </c>
      <c r="T1748" s="4">
        <v>12</v>
      </c>
      <c r="U1748" s="5" t="s">
        <v>5782</v>
      </c>
      <c r="V1748" s="5" t="s">
        <v>5782</v>
      </c>
      <c r="W1748" s="5" t="s">
        <v>72</v>
      </c>
      <c r="X1748" s="5" t="s">
        <v>72</v>
      </c>
      <c r="Y1748" s="4">
        <v>229</v>
      </c>
      <c r="Z1748" s="4">
        <v>20</v>
      </c>
      <c r="AA1748" s="4">
        <v>83</v>
      </c>
      <c r="AB1748" s="4">
        <v>2</v>
      </c>
      <c r="AC1748" s="4">
        <v>17</v>
      </c>
      <c r="AD1748" s="4">
        <v>57</v>
      </c>
      <c r="AE1748" s="4">
        <v>107</v>
      </c>
      <c r="AF1748" s="4">
        <v>0</v>
      </c>
      <c r="AG1748" s="4">
        <v>8</v>
      </c>
      <c r="AH1748" s="4">
        <v>52</v>
      </c>
      <c r="AI1748" s="4">
        <v>74</v>
      </c>
      <c r="AJ1748" s="4">
        <v>12</v>
      </c>
      <c r="AK1748" s="4">
        <v>22</v>
      </c>
      <c r="AL1748" s="4">
        <v>29</v>
      </c>
      <c r="AM1748" s="4">
        <v>38</v>
      </c>
      <c r="AN1748" s="4">
        <v>0</v>
      </c>
      <c r="AO1748" s="4">
        <v>0</v>
      </c>
      <c r="AP1748" s="4">
        <v>12</v>
      </c>
      <c r="AQ1748" s="4">
        <v>41</v>
      </c>
      <c r="AR1748" s="3" t="s">
        <v>64</v>
      </c>
      <c r="AS1748" s="3" t="s">
        <v>64</v>
      </c>
      <c r="AT1748" s="3" t="s">
        <v>64</v>
      </c>
      <c r="AV1748" s="6" t="str">
        <f>HYPERLINK("http://mcgill.on.worldcat.org/oclc/181862721","Catalog Record")</f>
        <v>Catalog Record</v>
      </c>
      <c r="AW1748" s="6" t="str">
        <f>HYPERLINK("http://www.worldcat.org/oclc/181862721","WorldCat Record")</f>
        <v>WorldCat Record</v>
      </c>
      <c r="AX1748" s="3" t="s">
        <v>17725</v>
      </c>
      <c r="AY1748" s="3" t="s">
        <v>17726</v>
      </c>
      <c r="AZ1748" s="3" t="s">
        <v>17727</v>
      </c>
      <c r="BA1748" s="3" t="s">
        <v>17727</v>
      </c>
      <c r="BB1748" s="3" t="s">
        <v>17731</v>
      </c>
      <c r="BC1748" s="3" t="s">
        <v>77</v>
      </c>
      <c r="BD1748" s="3" t="s">
        <v>78</v>
      </c>
      <c r="BE1748" s="3" t="s">
        <v>17729</v>
      </c>
      <c r="BF1748" s="3" t="s">
        <v>17731</v>
      </c>
      <c r="BG1748" s="3" t="s">
        <v>17732</v>
      </c>
      <c r="BH1748">
        <f t="shared" si="49"/>
        <v>0</v>
      </c>
    </row>
    <row r="1749" spans="1:60" ht="72.5" x14ac:dyDescent="0.35">
      <c r="A1749" s="2" t="s">
        <v>1040</v>
      </c>
      <c r="B1749" s="2" t="s">
        <v>60</v>
      </c>
      <c r="C1749" s="2" t="s">
        <v>17733</v>
      </c>
      <c r="D1749" s="2" t="s">
        <v>17734</v>
      </c>
      <c r="E1749" s="2" t="s">
        <v>17735</v>
      </c>
      <c r="G1749" s="3" t="s">
        <v>64</v>
      </c>
      <c r="I1749" s="3" t="s">
        <v>128</v>
      </c>
      <c r="J1749" s="3" t="s">
        <v>64</v>
      </c>
      <c r="K1749" s="3" t="s">
        <v>65</v>
      </c>
      <c r="L1749" s="2" t="s">
        <v>17736</v>
      </c>
      <c r="M1749" s="2" t="s">
        <v>17071</v>
      </c>
      <c r="N1749" s="3" t="s">
        <v>144</v>
      </c>
      <c r="P1749" s="3" t="s">
        <v>102</v>
      </c>
      <c r="Q1749" s="2" t="s">
        <v>17737</v>
      </c>
      <c r="R1749" s="3" t="s">
        <v>70</v>
      </c>
      <c r="S1749" s="4">
        <v>6</v>
      </c>
      <c r="T1749" s="4">
        <v>14</v>
      </c>
      <c r="U1749" s="5" t="s">
        <v>17738</v>
      </c>
      <c r="V1749" s="5" t="s">
        <v>1567</v>
      </c>
      <c r="W1749" s="5" t="s">
        <v>72</v>
      </c>
      <c r="X1749" s="5" t="s">
        <v>72</v>
      </c>
      <c r="Y1749" s="4">
        <v>381</v>
      </c>
      <c r="Z1749" s="4">
        <v>20</v>
      </c>
      <c r="AA1749" s="4">
        <v>22</v>
      </c>
      <c r="AB1749" s="4">
        <v>1</v>
      </c>
      <c r="AC1749" s="4">
        <v>2</v>
      </c>
      <c r="AD1749" s="4">
        <v>67</v>
      </c>
      <c r="AE1749" s="4">
        <v>68</v>
      </c>
      <c r="AF1749" s="4">
        <v>0</v>
      </c>
      <c r="AG1749" s="4">
        <v>0</v>
      </c>
      <c r="AH1749" s="4">
        <v>62</v>
      </c>
      <c r="AI1749" s="4">
        <v>63</v>
      </c>
      <c r="AJ1749" s="4">
        <v>13</v>
      </c>
      <c r="AK1749" s="4">
        <v>14</v>
      </c>
      <c r="AL1749" s="4">
        <v>34</v>
      </c>
      <c r="AM1749" s="4">
        <v>34</v>
      </c>
      <c r="AN1749" s="4">
        <v>0</v>
      </c>
      <c r="AO1749" s="4">
        <v>0</v>
      </c>
      <c r="AP1749" s="4">
        <v>14</v>
      </c>
      <c r="AQ1749" s="4">
        <v>15</v>
      </c>
      <c r="AR1749" s="3" t="s">
        <v>64</v>
      </c>
      <c r="AS1749" s="3" t="s">
        <v>64</v>
      </c>
      <c r="AT1749" s="3" t="s">
        <v>64</v>
      </c>
      <c r="AV1749" s="6" t="str">
        <f>HYPERLINK("http://mcgill.on.worldcat.org/oclc/180755587","Catalog Record")</f>
        <v>Catalog Record</v>
      </c>
      <c r="AW1749" s="6" t="str">
        <f>HYPERLINK("http://www.worldcat.org/oclc/180755587","WorldCat Record")</f>
        <v>WorldCat Record</v>
      </c>
      <c r="AX1749" s="3" t="s">
        <v>17739</v>
      </c>
      <c r="AY1749" s="3" t="s">
        <v>17740</v>
      </c>
      <c r="AZ1749" s="3" t="s">
        <v>17741</v>
      </c>
      <c r="BA1749" s="3" t="s">
        <v>17741</v>
      </c>
      <c r="BB1749" s="3" t="s">
        <v>17742</v>
      </c>
      <c r="BC1749" s="3" t="s">
        <v>77</v>
      </c>
      <c r="BD1749" s="3" t="s">
        <v>78</v>
      </c>
      <c r="BE1749" s="3" t="s">
        <v>17743</v>
      </c>
      <c r="BF1749" s="3" t="s">
        <v>17742</v>
      </c>
      <c r="BG1749" s="3" t="s">
        <v>17744</v>
      </c>
      <c r="BH1749">
        <f t="shared" si="49"/>
        <v>0</v>
      </c>
    </row>
    <row r="1750" spans="1:60" ht="72.5" x14ac:dyDescent="0.35">
      <c r="A1750" s="2" t="s">
        <v>59</v>
      </c>
      <c r="B1750" s="2" t="s">
        <v>60</v>
      </c>
      <c r="C1750" s="2" t="s">
        <v>17733</v>
      </c>
      <c r="D1750" s="2" t="s">
        <v>17734</v>
      </c>
      <c r="E1750" s="2" t="s">
        <v>17735</v>
      </c>
      <c r="G1750" s="3" t="s">
        <v>64</v>
      </c>
      <c r="I1750" s="3" t="s">
        <v>128</v>
      </c>
      <c r="J1750" s="3" t="s">
        <v>64</v>
      </c>
      <c r="K1750" s="3" t="s">
        <v>65</v>
      </c>
      <c r="L1750" s="2" t="s">
        <v>17736</v>
      </c>
      <c r="M1750" s="2" t="s">
        <v>17071</v>
      </c>
      <c r="N1750" s="3" t="s">
        <v>144</v>
      </c>
      <c r="P1750" s="3" t="s">
        <v>102</v>
      </c>
      <c r="Q1750" s="2" t="s">
        <v>17737</v>
      </c>
      <c r="R1750" s="3" t="s">
        <v>70</v>
      </c>
      <c r="S1750" s="4">
        <v>7</v>
      </c>
      <c r="T1750" s="4">
        <v>14</v>
      </c>
      <c r="U1750" s="5" t="s">
        <v>1567</v>
      </c>
      <c r="V1750" s="5" t="s">
        <v>1567</v>
      </c>
      <c r="W1750" s="5" t="s">
        <v>72</v>
      </c>
      <c r="X1750" s="5" t="s">
        <v>72</v>
      </c>
      <c r="Y1750" s="4">
        <v>381</v>
      </c>
      <c r="Z1750" s="4">
        <v>20</v>
      </c>
      <c r="AA1750" s="4">
        <v>22</v>
      </c>
      <c r="AB1750" s="4">
        <v>1</v>
      </c>
      <c r="AC1750" s="4">
        <v>2</v>
      </c>
      <c r="AD1750" s="4">
        <v>67</v>
      </c>
      <c r="AE1750" s="4">
        <v>68</v>
      </c>
      <c r="AF1750" s="4">
        <v>0</v>
      </c>
      <c r="AG1750" s="4">
        <v>0</v>
      </c>
      <c r="AH1750" s="4">
        <v>62</v>
      </c>
      <c r="AI1750" s="4">
        <v>63</v>
      </c>
      <c r="AJ1750" s="4">
        <v>13</v>
      </c>
      <c r="AK1750" s="4">
        <v>14</v>
      </c>
      <c r="AL1750" s="4">
        <v>34</v>
      </c>
      <c r="AM1750" s="4">
        <v>34</v>
      </c>
      <c r="AN1750" s="4">
        <v>0</v>
      </c>
      <c r="AO1750" s="4">
        <v>0</v>
      </c>
      <c r="AP1750" s="4">
        <v>14</v>
      </c>
      <c r="AQ1750" s="4">
        <v>15</v>
      </c>
      <c r="AR1750" s="3" t="s">
        <v>64</v>
      </c>
      <c r="AS1750" s="3" t="s">
        <v>64</v>
      </c>
      <c r="AT1750" s="3" t="s">
        <v>64</v>
      </c>
      <c r="AV1750" s="6" t="str">
        <f>HYPERLINK("http://mcgill.on.worldcat.org/oclc/180755587","Catalog Record")</f>
        <v>Catalog Record</v>
      </c>
      <c r="AW1750" s="6" t="str">
        <f>HYPERLINK("http://www.worldcat.org/oclc/180755587","WorldCat Record")</f>
        <v>WorldCat Record</v>
      </c>
      <c r="AX1750" s="3" t="s">
        <v>17739</v>
      </c>
      <c r="AY1750" s="3" t="s">
        <v>17740</v>
      </c>
      <c r="AZ1750" s="3" t="s">
        <v>17741</v>
      </c>
      <c r="BA1750" s="3" t="s">
        <v>17741</v>
      </c>
      <c r="BB1750" s="3" t="s">
        <v>17745</v>
      </c>
      <c r="BC1750" s="3" t="s">
        <v>77</v>
      </c>
      <c r="BD1750" s="3" t="s">
        <v>78</v>
      </c>
      <c r="BE1750" s="3" t="s">
        <v>17743</v>
      </c>
      <c r="BF1750" s="3" t="s">
        <v>17745</v>
      </c>
      <c r="BG1750" s="3" t="s">
        <v>17746</v>
      </c>
      <c r="BH1750">
        <f t="shared" si="49"/>
        <v>0</v>
      </c>
    </row>
    <row r="1751" spans="1:60" ht="58" x14ac:dyDescent="0.35">
      <c r="A1751" s="2" t="s">
        <v>59</v>
      </c>
      <c r="B1751" s="2" t="s">
        <v>60</v>
      </c>
      <c r="C1751" s="2" t="s">
        <v>17747</v>
      </c>
      <c r="D1751" s="2" t="s">
        <v>17748</v>
      </c>
      <c r="E1751" s="2" t="s">
        <v>17749</v>
      </c>
      <c r="G1751" s="3" t="s">
        <v>64</v>
      </c>
      <c r="I1751" s="3" t="s">
        <v>64</v>
      </c>
      <c r="J1751" s="3" t="s">
        <v>64</v>
      </c>
      <c r="K1751" s="3" t="s">
        <v>65</v>
      </c>
      <c r="M1751" s="2" t="s">
        <v>17750</v>
      </c>
      <c r="N1751" s="3" t="s">
        <v>537</v>
      </c>
      <c r="P1751" s="3" t="s">
        <v>102</v>
      </c>
      <c r="R1751" s="3" t="s">
        <v>70</v>
      </c>
      <c r="S1751" s="4">
        <v>1</v>
      </c>
      <c r="T1751" s="4">
        <v>1</v>
      </c>
      <c r="U1751" s="5" t="s">
        <v>17751</v>
      </c>
      <c r="V1751" s="5" t="s">
        <v>17751</v>
      </c>
      <c r="W1751" s="5" t="s">
        <v>72</v>
      </c>
      <c r="X1751" s="5" t="s">
        <v>72</v>
      </c>
      <c r="Y1751" s="4">
        <v>22</v>
      </c>
      <c r="Z1751" s="4">
        <v>2</v>
      </c>
      <c r="AA1751" s="4">
        <v>3</v>
      </c>
      <c r="AB1751" s="4">
        <v>1</v>
      </c>
      <c r="AC1751" s="4">
        <v>2</v>
      </c>
      <c r="AD1751" s="4">
        <v>11</v>
      </c>
      <c r="AE1751" s="4">
        <v>14</v>
      </c>
      <c r="AF1751" s="4">
        <v>0</v>
      </c>
      <c r="AG1751" s="4">
        <v>0</v>
      </c>
      <c r="AH1751" s="4">
        <v>11</v>
      </c>
      <c r="AI1751" s="4">
        <v>13</v>
      </c>
      <c r="AJ1751" s="4">
        <v>1</v>
      </c>
      <c r="AK1751" s="4">
        <v>1</v>
      </c>
      <c r="AL1751" s="4">
        <v>4</v>
      </c>
      <c r="AM1751" s="4">
        <v>5</v>
      </c>
      <c r="AN1751" s="4">
        <v>0</v>
      </c>
      <c r="AO1751" s="4">
        <v>0</v>
      </c>
      <c r="AP1751" s="4">
        <v>1</v>
      </c>
      <c r="AQ1751" s="4">
        <v>1</v>
      </c>
      <c r="AR1751" s="3" t="s">
        <v>64</v>
      </c>
      <c r="AS1751" s="3" t="s">
        <v>64</v>
      </c>
      <c r="AT1751" s="3" t="s">
        <v>64</v>
      </c>
      <c r="AV1751" s="6" t="str">
        <f>HYPERLINK("http://mcgill.on.worldcat.org/oclc/950432243","Catalog Record")</f>
        <v>Catalog Record</v>
      </c>
      <c r="AW1751" s="6" t="str">
        <f>HYPERLINK("http://www.worldcat.org/oclc/950432243","WorldCat Record")</f>
        <v>WorldCat Record</v>
      </c>
      <c r="AX1751" s="3" t="s">
        <v>17752</v>
      </c>
      <c r="AY1751" s="3" t="s">
        <v>17753</v>
      </c>
      <c r="AZ1751" s="3" t="s">
        <v>17754</v>
      </c>
      <c r="BA1751" s="3" t="s">
        <v>17754</v>
      </c>
      <c r="BB1751" s="3" t="s">
        <v>17755</v>
      </c>
      <c r="BC1751" s="3" t="s">
        <v>77</v>
      </c>
      <c r="BD1751" s="3" t="s">
        <v>78</v>
      </c>
      <c r="BE1751" s="3" t="s">
        <v>17756</v>
      </c>
      <c r="BF1751" s="3" t="s">
        <v>17755</v>
      </c>
      <c r="BG1751" s="3" t="s">
        <v>17757</v>
      </c>
      <c r="BH1751">
        <f t="shared" si="49"/>
        <v>0</v>
      </c>
    </row>
    <row r="1752" spans="1:60" ht="87" x14ac:dyDescent="0.35">
      <c r="A1752" s="2" t="s">
        <v>1040</v>
      </c>
      <c r="B1752" s="2" t="s">
        <v>17758</v>
      </c>
      <c r="C1752" s="2" t="s">
        <v>17759</v>
      </c>
      <c r="D1752" s="2" t="s">
        <v>17760</v>
      </c>
      <c r="E1752" s="2" t="s">
        <v>17761</v>
      </c>
      <c r="F1752" s="3" t="s">
        <v>7062</v>
      </c>
      <c r="G1752" s="3" t="s">
        <v>128</v>
      </c>
      <c r="I1752" s="3" t="s">
        <v>64</v>
      </c>
      <c r="J1752" s="3" t="s">
        <v>64</v>
      </c>
      <c r="K1752" s="3" t="s">
        <v>65</v>
      </c>
      <c r="M1752" s="2" t="s">
        <v>17762</v>
      </c>
      <c r="N1752" s="3" t="s">
        <v>326</v>
      </c>
      <c r="O1752" s="2" t="s">
        <v>172</v>
      </c>
      <c r="P1752" s="3" t="s">
        <v>102</v>
      </c>
      <c r="Q1752" s="2" t="s">
        <v>17737</v>
      </c>
      <c r="R1752" s="3" t="s">
        <v>70</v>
      </c>
      <c r="S1752" s="4">
        <v>0</v>
      </c>
      <c r="T1752" s="4">
        <v>2</v>
      </c>
      <c r="V1752" s="5" t="s">
        <v>2282</v>
      </c>
      <c r="W1752" s="5" t="s">
        <v>17763</v>
      </c>
      <c r="X1752" s="5" t="s">
        <v>17763</v>
      </c>
      <c r="Y1752" s="4">
        <v>253</v>
      </c>
      <c r="Z1752" s="4">
        <v>15</v>
      </c>
      <c r="AA1752" s="4">
        <v>17</v>
      </c>
      <c r="AB1752" s="4">
        <v>2</v>
      </c>
      <c r="AC1752" s="4">
        <v>4</v>
      </c>
      <c r="AD1752" s="4">
        <v>53</v>
      </c>
      <c r="AE1752" s="4">
        <v>55</v>
      </c>
      <c r="AF1752" s="4">
        <v>0</v>
      </c>
      <c r="AG1752" s="4">
        <v>2</v>
      </c>
      <c r="AH1752" s="4">
        <v>49</v>
      </c>
      <c r="AI1752" s="4">
        <v>49</v>
      </c>
      <c r="AJ1752" s="4">
        <v>10</v>
      </c>
      <c r="AK1752" s="4">
        <v>12</v>
      </c>
      <c r="AL1752" s="4">
        <v>28</v>
      </c>
      <c r="AM1752" s="4">
        <v>28</v>
      </c>
      <c r="AN1752" s="4">
        <v>0</v>
      </c>
      <c r="AO1752" s="4">
        <v>0</v>
      </c>
      <c r="AP1752" s="4">
        <v>10</v>
      </c>
      <c r="AQ1752" s="4">
        <v>11</v>
      </c>
      <c r="AR1752" s="3" t="s">
        <v>64</v>
      </c>
      <c r="AS1752" s="3" t="s">
        <v>64</v>
      </c>
      <c r="AT1752" s="3" t="s">
        <v>64</v>
      </c>
      <c r="AV1752" s="6" t="str">
        <f>HYPERLINK("http://mcgill.on.worldcat.org/oclc/697036783","Catalog Record")</f>
        <v>Catalog Record</v>
      </c>
      <c r="AW1752" s="6" t="str">
        <f>HYPERLINK("http://www.worldcat.org/oclc/697036783","WorldCat Record")</f>
        <v>WorldCat Record</v>
      </c>
      <c r="AX1752" s="3" t="s">
        <v>17764</v>
      </c>
      <c r="AY1752" s="3" t="s">
        <v>17765</v>
      </c>
      <c r="AZ1752" s="3" t="s">
        <v>17766</v>
      </c>
      <c r="BA1752" s="3" t="s">
        <v>17766</v>
      </c>
      <c r="BB1752" s="3" t="s">
        <v>17767</v>
      </c>
      <c r="BC1752" s="3" t="s">
        <v>77</v>
      </c>
      <c r="BD1752" s="3" t="s">
        <v>78</v>
      </c>
      <c r="BE1752" s="3" t="s">
        <v>17768</v>
      </c>
      <c r="BF1752" s="3" t="s">
        <v>17767</v>
      </c>
      <c r="BG1752" s="3" t="s">
        <v>17769</v>
      </c>
      <c r="BH1752">
        <f t="shared" si="49"/>
        <v>0</v>
      </c>
    </row>
    <row r="1753" spans="1:60" ht="58" x14ac:dyDescent="0.35">
      <c r="A1753" s="2" t="s">
        <v>59</v>
      </c>
      <c r="B1753" s="2" t="s">
        <v>60</v>
      </c>
      <c r="C1753" s="2" t="s">
        <v>17770</v>
      </c>
      <c r="D1753" s="2" t="s">
        <v>17771</v>
      </c>
      <c r="E1753" s="2" t="s">
        <v>17772</v>
      </c>
      <c r="G1753" s="3" t="s">
        <v>64</v>
      </c>
      <c r="I1753" s="3" t="s">
        <v>128</v>
      </c>
      <c r="J1753" s="3" t="s">
        <v>64</v>
      </c>
      <c r="K1753" s="3" t="s">
        <v>65</v>
      </c>
      <c r="M1753" s="2" t="s">
        <v>17773</v>
      </c>
      <c r="N1753" s="3" t="s">
        <v>144</v>
      </c>
      <c r="P1753" s="3" t="s">
        <v>102</v>
      </c>
      <c r="Q1753" s="2" t="s">
        <v>17737</v>
      </c>
      <c r="R1753" s="3" t="s">
        <v>70</v>
      </c>
      <c r="S1753" s="4">
        <v>3</v>
      </c>
      <c r="T1753" s="4">
        <v>3</v>
      </c>
      <c r="U1753" s="5" t="s">
        <v>17072</v>
      </c>
      <c r="V1753" s="5" t="s">
        <v>17072</v>
      </c>
      <c r="W1753" s="5" t="s">
        <v>72</v>
      </c>
      <c r="X1753" s="5" t="s">
        <v>72</v>
      </c>
      <c r="Y1753" s="4">
        <v>385</v>
      </c>
      <c r="Z1753" s="4">
        <v>25</v>
      </c>
      <c r="AA1753" s="4">
        <v>29</v>
      </c>
      <c r="AB1753" s="4">
        <v>1</v>
      </c>
      <c r="AC1753" s="4">
        <v>4</v>
      </c>
      <c r="AD1753" s="4">
        <v>71</v>
      </c>
      <c r="AE1753" s="4">
        <v>75</v>
      </c>
      <c r="AF1753" s="4">
        <v>0</v>
      </c>
      <c r="AG1753" s="4">
        <v>2</v>
      </c>
      <c r="AH1753" s="4">
        <v>65</v>
      </c>
      <c r="AI1753" s="4">
        <v>67</v>
      </c>
      <c r="AJ1753" s="4">
        <v>12</v>
      </c>
      <c r="AK1753" s="4">
        <v>14</v>
      </c>
      <c r="AL1753" s="4">
        <v>34</v>
      </c>
      <c r="AM1753" s="4">
        <v>35</v>
      </c>
      <c r="AN1753" s="4">
        <v>0</v>
      </c>
      <c r="AO1753" s="4">
        <v>0</v>
      </c>
      <c r="AP1753" s="4">
        <v>14</v>
      </c>
      <c r="AQ1753" s="4">
        <v>16</v>
      </c>
      <c r="AR1753" s="3" t="s">
        <v>64</v>
      </c>
      <c r="AS1753" s="3" t="s">
        <v>64</v>
      </c>
      <c r="AT1753" s="3" t="s">
        <v>128</v>
      </c>
      <c r="AU1753" s="6" t="str">
        <f>HYPERLINK("http://catalog.hathitrust.org/Record/005865050","HathiTrust Record")</f>
        <v>HathiTrust Record</v>
      </c>
      <c r="AV1753" s="6" t="str">
        <f>HYPERLINK("http://mcgill.on.worldcat.org/oclc/221148693","Catalog Record")</f>
        <v>Catalog Record</v>
      </c>
      <c r="AW1753" s="6" t="str">
        <f>HYPERLINK("http://www.worldcat.org/oclc/221148693","WorldCat Record")</f>
        <v>WorldCat Record</v>
      </c>
      <c r="AX1753" s="3" t="s">
        <v>17774</v>
      </c>
      <c r="AY1753" s="3" t="s">
        <v>17775</v>
      </c>
      <c r="AZ1753" s="3" t="s">
        <v>17776</v>
      </c>
      <c r="BA1753" s="3" t="s">
        <v>17776</v>
      </c>
      <c r="BB1753" s="3" t="s">
        <v>17777</v>
      </c>
      <c r="BC1753" s="3" t="s">
        <v>77</v>
      </c>
      <c r="BD1753" s="3" t="s">
        <v>78</v>
      </c>
      <c r="BE1753" s="3" t="s">
        <v>17778</v>
      </c>
      <c r="BF1753" s="3" t="s">
        <v>17777</v>
      </c>
      <c r="BG1753" s="3" t="s">
        <v>17779</v>
      </c>
      <c r="BH1753">
        <f t="shared" si="49"/>
        <v>0</v>
      </c>
    </row>
    <row r="1754" spans="1:60" ht="72.5" x14ac:dyDescent="0.35">
      <c r="A1754" s="2" t="s">
        <v>1932</v>
      </c>
      <c r="B1754" s="2" t="s">
        <v>7461</v>
      </c>
      <c r="C1754" s="2" t="s">
        <v>17780</v>
      </c>
      <c r="D1754" s="2" t="s">
        <v>17781</v>
      </c>
      <c r="E1754" s="2" t="s">
        <v>17782</v>
      </c>
      <c r="G1754" s="3" t="s">
        <v>128</v>
      </c>
      <c r="I1754" s="3" t="s">
        <v>128</v>
      </c>
      <c r="J1754" s="3" t="s">
        <v>64</v>
      </c>
      <c r="K1754" s="3" t="s">
        <v>65</v>
      </c>
      <c r="L1754" s="2" t="s">
        <v>17783</v>
      </c>
      <c r="M1754" s="2" t="s">
        <v>17784</v>
      </c>
      <c r="N1754" s="3" t="s">
        <v>17785</v>
      </c>
      <c r="P1754" s="3" t="s">
        <v>102</v>
      </c>
      <c r="R1754" s="3" t="s">
        <v>70</v>
      </c>
      <c r="S1754" s="4">
        <v>0</v>
      </c>
      <c r="T1754" s="4">
        <v>1</v>
      </c>
      <c r="V1754" s="5" t="s">
        <v>6555</v>
      </c>
      <c r="W1754" s="5" t="s">
        <v>17763</v>
      </c>
      <c r="X1754" s="5" t="s">
        <v>17763</v>
      </c>
      <c r="Y1754" s="4">
        <v>186</v>
      </c>
      <c r="Z1754" s="4">
        <v>8</v>
      </c>
      <c r="AA1754" s="4">
        <v>8</v>
      </c>
      <c r="AB1754" s="4">
        <v>1</v>
      </c>
      <c r="AC1754" s="4">
        <v>1</v>
      </c>
      <c r="AD1754" s="4">
        <v>73</v>
      </c>
      <c r="AE1754" s="4">
        <v>73</v>
      </c>
      <c r="AF1754" s="4">
        <v>0</v>
      </c>
      <c r="AG1754" s="4">
        <v>0</v>
      </c>
      <c r="AH1754" s="4">
        <v>69</v>
      </c>
      <c r="AI1754" s="4">
        <v>69</v>
      </c>
      <c r="AJ1754" s="4">
        <v>7</v>
      </c>
      <c r="AK1754" s="4">
        <v>7</v>
      </c>
      <c r="AL1754" s="4">
        <v>45</v>
      </c>
      <c r="AM1754" s="4">
        <v>45</v>
      </c>
      <c r="AN1754" s="4">
        <v>0</v>
      </c>
      <c r="AO1754" s="4">
        <v>0</v>
      </c>
      <c r="AP1754" s="4">
        <v>6</v>
      </c>
      <c r="AQ1754" s="4">
        <v>6</v>
      </c>
      <c r="AR1754" s="3" t="s">
        <v>64</v>
      </c>
      <c r="AS1754" s="3" t="s">
        <v>64</v>
      </c>
      <c r="AT1754" s="3" t="s">
        <v>64</v>
      </c>
      <c r="AV1754" s="6" t="str">
        <f>HYPERLINK("http://mcgill.on.worldcat.org/oclc/3355689","Catalog Record")</f>
        <v>Catalog Record</v>
      </c>
      <c r="AW1754" s="6" t="str">
        <f>HYPERLINK("http://www.worldcat.org/oclc/3355689","WorldCat Record")</f>
        <v>WorldCat Record</v>
      </c>
      <c r="AX1754" s="3" t="s">
        <v>17786</v>
      </c>
      <c r="AY1754" s="3" t="s">
        <v>17787</v>
      </c>
      <c r="AZ1754" s="3" t="s">
        <v>17788</v>
      </c>
      <c r="BA1754" s="3" t="s">
        <v>17788</v>
      </c>
      <c r="BB1754" s="3" t="s">
        <v>17789</v>
      </c>
      <c r="BC1754" s="3" t="s">
        <v>77</v>
      </c>
      <c r="BD1754" s="3" t="s">
        <v>78</v>
      </c>
      <c r="BF1754" s="3" t="s">
        <v>17789</v>
      </c>
      <c r="BG1754" s="3" t="s">
        <v>17790</v>
      </c>
      <c r="BH1754">
        <f t="shared" si="49"/>
        <v>0</v>
      </c>
    </row>
    <row r="1755" spans="1:60" ht="72.5" x14ac:dyDescent="0.35">
      <c r="A1755" s="2" t="s">
        <v>59</v>
      </c>
      <c r="B1755" s="2" t="s">
        <v>1025</v>
      </c>
      <c r="C1755" s="2" t="s">
        <v>17791</v>
      </c>
      <c r="D1755" s="2" t="s">
        <v>17792</v>
      </c>
      <c r="E1755" s="2" t="s">
        <v>17793</v>
      </c>
      <c r="G1755" s="3" t="s">
        <v>64</v>
      </c>
      <c r="I1755" s="3" t="s">
        <v>128</v>
      </c>
      <c r="J1755" s="3" t="s">
        <v>64</v>
      </c>
      <c r="K1755" s="3" t="s">
        <v>65</v>
      </c>
      <c r="M1755" s="2" t="s">
        <v>17794</v>
      </c>
      <c r="N1755" s="3" t="s">
        <v>434</v>
      </c>
      <c r="P1755" s="3" t="s">
        <v>102</v>
      </c>
      <c r="Q1755" s="2" t="s">
        <v>17795</v>
      </c>
      <c r="R1755" s="3" t="s">
        <v>70</v>
      </c>
      <c r="S1755" s="4">
        <v>2</v>
      </c>
      <c r="T1755" s="4">
        <v>18</v>
      </c>
      <c r="U1755" s="5" t="s">
        <v>17796</v>
      </c>
      <c r="V1755" s="5" t="s">
        <v>17797</v>
      </c>
      <c r="W1755" s="5" t="s">
        <v>72</v>
      </c>
      <c r="X1755" s="5" t="s">
        <v>72</v>
      </c>
      <c r="Y1755" s="4">
        <v>225</v>
      </c>
      <c r="Z1755" s="4">
        <v>14</v>
      </c>
      <c r="AA1755" s="4">
        <v>21</v>
      </c>
      <c r="AB1755" s="4">
        <v>1</v>
      </c>
      <c r="AC1755" s="4">
        <v>8</v>
      </c>
      <c r="AD1755" s="4">
        <v>63</v>
      </c>
      <c r="AE1755" s="4">
        <v>67</v>
      </c>
      <c r="AF1755" s="4">
        <v>0</v>
      </c>
      <c r="AG1755" s="4">
        <v>3</v>
      </c>
      <c r="AH1755" s="4">
        <v>60</v>
      </c>
      <c r="AI1755" s="4">
        <v>62</v>
      </c>
      <c r="AJ1755" s="4">
        <v>9</v>
      </c>
      <c r="AK1755" s="4">
        <v>12</v>
      </c>
      <c r="AL1755" s="4">
        <v>32</v>
      </c>
      <c r="AM1755" s="4">
        <v>33</v>
      </c>
      <c r="AN1755" s="4">
        <v>0</v>
      </c>
      <c r="AO1755" s="4">
        <v>0</v>
      </c>
      <c r="AP1755" s="4">
        <v>9</v>
      </c>
      <c r="AQ1755" s="4">
        <v>11</v>
      </c>
      <c r="AR1755" s="3" t="s">
        <v>64</v>
      </c>
      <c r="AS1755" s="3" t="s">
        <v>64</v>
      </c>
      <c r="AT1755" s="3" t="s">
        <v>128</v>
      </c>
      <c r="AU1755" s="6" t="str">
        <f>HYPERLINK("http://catalog.hathitrust.org/Record/005060687","HathiTrust Record")</f>
        <v>HathiTrust Record</v>
      </c>
      <c r="AV1755" s="6" t="str">
        <f>HYPERLINK("http://mcgill.on.worldcat.org/oclc/57682588","Catalog Record")</f>
        <v>Catalog Record</v>
      </c>
      <c r="AW1755" s="6" t="str">
        <f>HYPERLINK("http://www.worldcat.org/oclc/57682588","WorldCat Record")</f>
        <v>WorldCat Record</v>
      </c>
      <c r="AX1755" s="3" t="s">
        <v>17798</v>
      </c>
      <c r="AY1755" s="3" t="s">
        <v>17799</v>
      </c>
      <c r="AZ1755" s="3" t="s">
        <v>17800</v>
      </c>
      <c r="BA1755" s="3" t="s">
        <v>17800</v>
      </c>
      <c r="BB1755" s="3" t="s">
        <v>17801</v>
      </c>
      <c r="BC1755" s="3" t="s">
        <v>77</v>
      </c>
      <c r="BD1755" s="3" t="s">
        <v>78</v>
      </c>
      <c r="BE1755" s="3" t="s">
        <v>17802</v>
      </c>
      <c r="BF1755" s="3" t="s">
        <v>17801</v>
      </c>
      <c r="BG1755" s="3" t="s">
        <v>17803</v>
      </c>
      <c r="BH1755">
        <f t="shared" si="49"/>
        <v>0</v>
      </c>
    </row>
    <row r="1756" spans="1:60" ht="58" x14ac:dyDescent="0.35">
      <c r="A1756" s="2" t="s">
        <v>59</v>
      </c>
      <c r="B1756" s="2" t="s">
        <v>60</v>
      </c>
      <c r="C1756" s="2" t="s">
        <v>17791</v>
      </c>
      <c r="D1756" s="2" t="s">
        <v>17792</v>
      </c>
      <c r="E1756" s="2" t="s">
        <v>17793</v>
      </c>
      <c r="G1756" s="3" t="s">
        <v>64</v>
      </c>
      <c r="I1756" s="3" t="s">
        <v>128</v>
      </c>
      <c r="J1756" s="3" t="s">
        <v>64</v>
      </c>
      <c r="K1756" s="3" t="s">
        <v>65</v>
      </c>
      <c r="M1756" s="2" t="s">
        <v>17794</v>
      </c>
      <c r="N1756" s="3" t="s">
        <v>434</v>
      </c>
      <c r="P1756" s="3" t="s">
        <v>102</v>
      </c>
      <c r="Q1756" s="2" t="s">
        <v>17795</v>
      </c>
      <c r="R1756" s="3" t="s">
        <v>70</v>
      </c>
      <c r="S1756" s="4">
        <v>15</v>
      </c>
      <c r="T1756" s="4">
        <v>18</v>
      </c>
      <c r="U1756" s="5" t="s">
        <v>17797</v>
      </c>
      <c r="V1756" s="5" t="s">
        <v>17797</v>
      </c>
      <c r="W1756" s="5" t="s">
        <v>72</v>
      </c>
      <c r="X1756" s="5" t="s">
        <v>72</v>
      </c>
      <c r="Y1756" s="4">
        <v>225</v>
      </c>
      <c r="Z1756" s="4">
        <v>14</v>
      </c>
      <c r="AA1756" s="4">
        <v>21</v>
      </c>
      <c r="AB1756" s="4">
        <v>1</v>
      </c>
      <c r="AC1756" s="4">
        <v>8</v>
      </c>
      <c r="AD1756" s="4">
        <v>63</v>
      </c>
      <c r="AE1756" s="4">
        <v>67</v>
      </c>
      <c r="AF1756" s="4">
        <v>0</v>
      </c>
      <c r="AG1756" s="4">
        <v>3</v>
      </c>
      <c r="AH1756" s="4">
        <v>60</v>
      </c>
      <c r="AI1756" s="4">
        <v>62</v>
      </c>
      <c r="AJ1756" s="4">
        <v>9</v>
      </c>
      <c r="AK1756" s="4">
        <v>12</v>
      </c>
      <c r="AL1756" s="4">
        <v>32</v>
      </c>
      <c r="AM1756" s="4">
        <v>33</v>
      </c>
      <c r="AN1756" s="4">
        <v>0</v>
      </c>
      <c r="AO1756" s="4">
        <v>0</v>
      </c>
      <c r="AP1756" s="4">
        <v>9</v>
      </c>
      <c r="AQ1756" s="4">
        <v>11</v>
      </c>
      <c r="AR1756" s="3" t="s">
        <v>64</v>
      </c>
      <c r="AS1756" s="3" t="s">
        <v>64</v>
      </c>
      <c r="AT1756" s="3" t="s">
        <v>128</v>
      </c>
      <c r="AU1756" s="6" t="str">
        <f>HYPERLINK("http://catalog.hathitrust.org/Record/005060687","HathiTrust Record")</f>
        <v>HathiTrust Record</v>
      </c>
      <c r="AV1756" s="6" t="str">
        <f>HYPERLINK("http://mcgill.on.worldcat.org/oclc/57682588","Catalog Record")</f>
        <v>Catalog Record</v>
      </c>
      <c r="AW1756" s="6" t="str">
        <f>HYPERLINK("http://www.worldcat.org/oclc/57682588","WorldCat Record")</f>
        <v>WorldCat Record</v>
      </c>
      <c r="AX1756" s="3" t="s">
        <v>17798</v>
      </c>
      <c r="AY1756" s="3" t="s">
        <v>17799</v>
      </c>
      <c r="AZ1756" s="3" t="s">
        <v>17800</v>
      </c>
      <c r="BA1756" s="3" t="s">
        <v>17800</v>
      </c>
      <c r="BB1756" s="3" t="s">
        <v>17804</v>
      </c>
      <c r="BC1756" s="3" t="s">
        <v>77</v>
      </c>
      <c r="BD1756" s="3" t="s">
        <v>78</v>
      </c>
      <c r="BE1756" s="3" t="s">
        <v>17802</v>
      </c>
      <c r="BF1756" s="3" t="s">
        <v>17804</v>
      </c>
      <c r="BG1756" s="3" t="s">
        <v>17805</v>
      </c>
      <c r="BH1756">
        <f t="shared" si="49"/>
        <v>0</v>
      </c>
    </row>
    <row r="1757" spans="1:60" ht="87" x14ac:dyDescent="0.35">
      <c r="A1757" s="2" t="s">
        <v>59</v>
      </c>
      <c r="B1757" s="2" t="s">
        <v>60</v>
      </c>
      <c r="C1757" s="2" t="s">
        <v>17806</v>
      </c>
      <c r="D1757" s="2" t="s">
        <v>17807</v>
      </c>
      <c r="E1757" s="2" t="s">
        <v>17808</v>
      </c>
      <c r="G1757" s="3" t="s">
        <v>64</v>
      </c>
      <c r="I1757" s="3" t="s">
        <v>128</v>
      </c>
      <c r="J1757" s="3" t="s">
        <v>64</v>
      </c>
      <c r="K1757" s="3" t="s">
        <v>65</v>
      </c>
      <c r="L1757" s="2" t="s">
        <v>17809</v>
      </c>
      <c r="M1757" s="2" t="s">
        <v>17810</v>
      </c>
      <c r="N1757" s="3" t="s">
        <v>4872</v>
      </c>
      <c r="P1757" s="3" t="s">
        <v>102</v>
      </c>
      <c r="R1757" s="3" t="s">
        <v>70</v>
      </c>
      <c r="S1757" s="4">
        <v>4</v>
      </c>
      <c r="T1757" s="4">
        <v>4</v>
      </c>
      <c r="U1757" s="5" t="s">
        <v>17811</v>
      </c>
      <c r="V1757" s="5" t="s">
        <v>17811</v>
      </c>
      <c r="W1757" s="5" t="s">
        <v>72</v>
      </c>
      <c r="X1757" s="5" t="s">
        <v>72</v>
      </c>
      <c r="Y1757" s="4">
        <v>77</v>
      </c>
      <c r="Z1757" s="4">
        <v>24</v>
      </c>
      <c r="AA1757" s="4">
        <v>28</v>
      </c>
      <c r="AB1757" s="4">
        <v>1</v>
      </c>
      <c r="AC1757" s="4">
        <v>5</v>
      </c>
      <c r="AD1757" s="4">
        <v>47</v>
      </c>
      <c r="AE1757" s="4">
        <v>50</v>
      </c>
      <c r="AF1757" s="4">
        <v>0</v>
      </c>
      <c r="AG1757" s="4">
        <v>3</v>
      </c>
      <c r="AH1757" s="4">
        <v>38</v>
      </c>
      <c r="AI1757" s="4">
        <v>39</v>
      </c>
      <c r="AJ1757" s="4">
        <v>15</v>
      </c>
      <c r="AK1757" s="4">
        <v>18</v>
      </c>
      <c r="AL1757" s="4">
        <v>24</v>
      </c>
      <c r="AM1757" s="4">
        <v>24</v>
      </c>
      <c r="AN1757" s="4">
        <v>0</v>
      </c>
      <c r="AO1757" s="4">
        <v>0</v>
      </c>
      <c r="AP1757" s="4">
        <v>16</v>
      </c>
      <c r="AQ1757" s="4">
        <v>18</v>
      </c>
      <c r="AR1757" s="3" t="s">
        <v>128</v>
      </c>
      <c r="AS1757" s="3" t="s">
        <v>64</v>
      </c>
      <c r="AT1757" s="3" t="s">
        <v>128</v>
      </c>
      <c r="AU1757" s="6" t="str">
        <f>HYPERLINK("http://catalog.hathitrust.org/Record/001346370","HathiTrust Record")</f>
        <v>HathiTrust Record</v>
      </c>
      <c r="AV1757" s="6" t="str">
        <f>HYPERLINK("http://mcgill.on.worldcat.org/oclc/5777547","Catalog Record")</f>
        <v>Catalog Record</v>
      </c>
      <c r="AW1757" s="6" t="str">
        <f>HYPERLINK("http://www.worldcat.org/oclc/5777547","WorldCat Record")</f>
        <v>WorldCat Record</v>
      </c>
      <c r="AX1757" s="3" t="s">
        <v>17812</v>
      </c>
      <c r="AY1757" s="3" t="s">
        <v>17813</v>
      </c>
      <c r="AZ1757" s="3" t="s">
        <v>17814</v>
      </c>
      <c r="BA1757" s="3" t="s">
        <v>17814</v>
      </c>
      <c r="BB1757" s="3" t="s">
        <v>17815</v>
      </c>
      <c r="BC1757" s="3" t="s">
        <v>77</v>
      </c>
      <c r="BD1757" s="3" t="s">
        <v>78</v>
      </c>
      <c r="BF1757" s="3" t="s">
        <v>17815</v>
      </c>
      <c r="BG1757" s="3" t="s">
        <v>17816</v>
      </c>
      <c r="BH1757">
        <f t="shared" si="49"/>
        <v>0</v>
      </c>
    </row>
    <row r="1758" spans="1:60" ht="58" x14ac:dyDescent="0.35">
      <c r="A1758" s="2" t="s">
        <v>1040</v>
      </c>
      <c r="B1758" s="2" t="s">
        <v>60</v>
      </c>
      <c r="C1758" s="2" t="s">
        <v>17817</v>
      </c>
      <c r="D1758" s="2" t="s">
        <v>17818</v>
      </c>
      <c r="E1758" s="2" t="s">
        <v>17819</v>
      </c>
      <c r="G1758" s="3" t="s">
        <v>64</v>
      </c>
      <c r="I1758" s="3" t="s">
        <v>128</v>
      </c>
      <c r="J1758" s="3" t="s">
        <v>64</v>
      </c>
      <c r="K1758" s="3" t="s">
        <v>65</v>
      </c>
      <c r="L1758" s="2" t="s">
        <v>17820</v>
      </c>
      <c r="M1758" s="2" t="s">
        <v>17071</v>
      </c>
      <c r="N1758" s="3" t="s">
        <v>144</v>
      </c>
      <c r="P1758" s="3" t="s">
        <v>102</v>
      </c>
      <c r="Q1758" s="2" t="s">
        <v>17737</v>
      </c>
      <c r="R1758" s="3" t="s">
        <v>70</v>
      </c>
      <c r="S1758" s="4">
        <v>2</v>
      </c>
      <c r="T1758" s="4">
        <v>6</v>
      </c>
      <c r="U1758" s="5" t="s">
        <v>17821</v>
      </c>
      <c r="V1758" s="5" t="s">
        <v>14080</v>
      </c>
      <c r="W1758" s="5" t="s">
        <v>72</v>
      </c>
      <c r="X1758" s="5" t="s">
        <v>72</v>
      </c>
      <c r="Y1758" s="4">
        <v>303</v>
      </c>
      <c r="Z1758" s="4">
        <v>13</v>
      </c>
      <c r="AA1758" s="4">
        <v>14</v>
      </c>
      <c r="AB1758" s="4">
        <v>2</v>
      </c>
      <c r="AC1758" s="4">
        <v>3</v>
      </c>
      <c r="AD1758" s="4">
        <v>56</v>
      </c>
      <c r="AE1758" s="4">
        <v>57</v>
      </c>
      <c r="AF1758" s="4">
        <v>0</v>
      </c>
      <c r="AG1758" s="4">
        <v>1</v>
      </c>
      <c r="AH1758" s="4">
        <v>55</v>
      </c>
      <c r="AI1758" s="4">
        <v>55</v>
      </c>
      <c r="AJ1758" s="4">
        <v>8</v>
      </c>
      <c r="AK1758" s="4">
        <v>9</v>
      </c>
      <c r="AL1758" s="4">
        <v>30</v>
      </c>
      <c r="AM1758" s="4">
        <v>30</v>
      </c>
      <c r="AN1758" s="4">
        <v>0</v>
      </c>
      <c r="AO1758" s="4">
        <v>0</v>
      </c>
      <c r="AP1758" s="4">
        <v>8</v>
      </c>
      <c r="AQ1758" s="4">
        <v>8</v>
      </c>
      <c r="AR1758" s="3" t="s">
        <v>64</v>
      </c>
      <c r="AS1758" s="3" t="s">
        <v>64</v>
      </c>
      <c r="AT1758" s="3" t="s">
        <v>128</v>
      </c>
      <c r="AU1758" s="6" t="str">
        <f>HYPERLINK("http://catalog.hathitrust.org/Record/005925404","HathiTrust Record")</f>
        <v>HathiTrust Record</v>
      </c>
      <c r="AV1758" s="6" t="str">
        <f>HYPERLINK("http://mcgill.on.worldcat.org/oclc/221148653","Catalog Record")</f>
        <v>Catalog Record</v>
      </c>
      <c r="AW1758" s="6" t="str">
        <f>HYPERLINK("http://www.worldcat.org/oclc/221148653","WorldCat Record")</f>
        <v>WorldCat Record</v>
      </c>
      <c r="AX1758" s="3" t="s">
        <v>17822</v>
      </c>
      <c r="AY1758" s="3" t="s">
        <v>17823</v>
      </c>
      <c r="AZ1758" s="3" t="s">
        <v>17824</v>
      </c>
      <c r="BA1758" s="3" t="s">
        <v>17824</v>
      </c>
      <c r="BB1758" s="3" t="s">
        <v>17825</v>
      </c>
      <c r="BC1758" s="3" t="s">
        <v>77</v>
      </c>
      <c r="BD1758" s="3" t="s">
        <v>78</v>
      </c>
      <c r="BE1758" s="3" t="s">
        <v>17826</v>
      </c>
      <c r="BF1758" s="3" t="s">
        <v>17825</v>
      </c>
      <c r="BG1758" s="3" t="s">
        <v>17827</v>
      </c>
      <c r="BH1758">
        <f t="shared" si="49"/>
        <v>0</v>
      </c>
    </row>
    <row r="1759" spans="1:60" ht="58" x14ac:dyDescent="0.35">
      <c r="A1759" s="2" t="s">
        <v>59</v>
      </c>
      <c r="B1759" s="2" t="s">
        <v>60</v>
      </c>
      <c r="C1759" s="2" t="s">
        <v>17828</v>
      </c>
      <c r="D1759" s="2" t="s">
        <v>17829</v>
      </c>
      <c r="E1759" s="2" t="s">
        <v>17830</v>
      </c>
      <c r="G1759" s="3" t="s">
        <v>64</v>
      </c>
      <c r="I1759" s="3" t="s">
        <v>64</v>
      </c>
      <c r="J1759" s="3" t="s">
        <v>64</v>
      </c>
      <c r="K1759" s="3" t="s">
        <v>65</v>
      </c>
      <c r="M1759" s="2" t="s">
        <v>17831</v>
      </c>
      <c r="N1759" s="3" t="s">
        <v>86</v>
      </c>
      <c r="P1759" s="3" t="s">
        <v>102</v>
      </c>
      <c r="R1759" s="3" t="s">
        <v>70</v>
      </c>
      <c r="S1759" s="4">
        <v>0</v>
      </c>
      <c r="T1759" s="4">
        <v>0</v>
      </c>
      <c r="W1759" s="5" t="s">
        <v>72</v>
      </c>
      <c r="X1759" s="5" t="s">
        <v>72</v>
      </c>
      <c r="Y1759" s="4">
        <v>36</v>
      </c>
      <c r="Z1759" s="4">
        <v>7</v>
      </c>
      <c r="AA1759" s="4">
        <v>8</v>
      </c>
      <c r="AB1759" s="4">
        <v>1</v>
      </c>
      <c r="AC1759" s="4">
        <v>2</v>
      </c>
      <c r="AD1759" s="4">
        <v>17</v>
      </c>
      <c r="AE1759" s="4">
        <v>17</v>
      </c>
      <c r="AF1759" s="4">
        <v>0</v>
      </c>
      <c r="AG1759" s="4">
        <v>0</v>
      </c>
      <c r="AH1759" s="4">
        <v>15</v>
      </c>
      <c r="AI1759" s="4">
        <v>15</v>
      </c>
      <c r="AJ1759" s="4">
        <v>5</v>
      </c>
      <c r="AK1759" s="4">
        <v>5</v>
      </c>
      <c r="AL1759" s="4">
        <v>9</v>
      </c>
      <c r="AM1759" s="4">
        <v>9</v>
      </c>
      <c r="AN1759" s="4">
        <v>0</v>
      </c>
      <c r="AO1759" s="4">
        <v>0</v>
      </c>
      <c r="AP1759" s="4">
        <v>5</v>
      </c>
      <c r="AQ1759" s="4">
        <v>5</v>
      </c>
      <c r="AR1759" s="3" t="s">
        <v>64</v>
      </c>
      <c r="AS1759" s="3" t="s">
        <v>64</v>
      </c>
      <c r="AT1759" s="3" t="s">
        <v>64</v>
      </c>
      <c r="AV1759" s="6" t="str">
        <f>HYPERLINK("http://mcgill.on.worldcat.org/oclc/795394239","Catalog Record")</f>
        <v>Catalog Record</v>
      </c>
      <c r="AW1759" s="6" t="str">
        <f>HYPERLINK("http://www.worldcat.org/oclc/795394239","WorldCat Record")</f>
        <v>WorldCat Record</v>
      </c>
      <c r="AX1759" s="3" t="s">
        <v>17832</v>
      </c>
      <c r="AY1759" s="3" t="s">
        <v>17833</v>
      </c>
      <c r="AZ1759" s="3" t="s">
        <v>17834</v>
      </c>
      <c r="BA1759" s="3" t="s">
        <v>17834</v>
      </c>
      <c r="BB1759" s="3" t="s">
        <v>17835</v>
      </c>
      <c r="BC1759" s="3" t="s">
        <v>77</v>
      </c>
      <c r="BD1759" s="3" t="s">
        <v>78</v>
      </c>
      <c r="BE1759" s="3" t="s">
        <v>17836</v>
      </c>
      <c r="BF1759" s="3" t="s">
        <v>17835</v>
      </c>
      <c r="BG1759" s="3" t="s">
        <v>17837</v>
      </c>
      <c r="BH1759">
        <f t="shared" si="49"/>
        <v>0</v>
      </c>
    </row>
    <row r="1760" spans="1:60" ht="72.5" x14ac:dyDescent="0.35">
      <c r="A1760" s="2" t="s">
        <v>59</v>
      </c>
      <c r="B1760" s="2" t="s">
        <v>1025</v>
      </c>
      <c r="C1760" s="2" t="s">
        <v>17838</v>
      </c>
      <c r="D1760" s="2" t="s">
        <v>17839</v>
      </c>
      <c r="E1760" s="2" t="s">
        <v>17840</v>
      </c>
      <c r="G1760" s="3" t="s">
        <v>64</v>
      </c>
      <c r="I1760" s="3" t="s">
        <v>64</v>
      </c>
      <c r="J1760" s="3" t="s">
        <v>64</v>
      </c>
      <c r="K1760" s="3" t="s">
        <v>65</v>
      </c>
      <c r="M1760" s="2" t="s">
        <v>17841</v>
      </c>
      <c r="N1760" s="3" t="s">
        <v>291</v>
      </c>
      <c r="P1760" s="3" t="s">
        <v>102</v>
      </c>
      <c r="Q1760" s="2" t="s">
        <v>17842</v>
      </c>
      <c r="R1760" s="3" t="s">
        <v>70</v>
      </c>
      <c r="S1760" s="4">
        <v>20</v>
      </c>
      <c r="T1760" s="4">
        <v>20</v>
      </c>
      <c r="U1760" s="5" t="s">
        <v>3416</v>
      </c>
      <c r="V1760" s="5" t="s">
        <v>3416</v>
      </c>
      <c r="W1760" s="5" t="s">
        <v>72</v>
      </c>
      <c r="X1760" s="5" t="s">
        <v>72</v>
      </c>
      <c r="Y1760" s="4">
        <v>409</v>
      </c>
      <c r="Z1760" s="4">
        <v>30</v>
      </c>
      <c r="AA1760" s="4">
        <v>34</v>
      </c>
      <c r="AB1760" s="4">
        <v>4</v>
      </c>
      <c r="AC1760" s="4">
        <v>8</v>
      </c>
      <c r="AD1760" s="4">
        <v>95</v>
      </c>
      <c r="AE1760" s="4">
        <v>99</v>
      </c>
      <c r="AF1760" s="4">
        <v>1</v>
      </c>
      <c r="AG1760" s="4">
        <v>5</v>
      </c>
      <c r="AH1760" s="4">
        <v>85</v>
      </c>
      <c r="AI1760" s="4">
        <v>86</v>
      </c>
      <c r="AJ1760" s="4">
        <v>14</v>
      </c>
      <c r="AK1760" s="4">
        <v>17</v>
      </c>
      <c r="AL1760" s="4">
        <v>47</v>
      </c>
      <c r="AM1760" s="4">
        <v>47</v>
      </c>
      <c r="AN1760" s="4">
        <v>0</v>
      </c>
      <c r="AO1760" s="4">
        <v>0</v>
      </c>
      <c r="AP1760" s="4">
        <v>17</v>
      </c>
      <c r="AQ1760" s="4">
        <v>20</v>
      </c>
      <c r="AR1760" s="3" t="s">
        <v>64</v>
      </c>
      <c r="AS1760" s="3" t="s">
        <v>64</v>
      </c>
      <c r="AT1760" s="3" t="s">
        <v>128</v>
      </c>
      <c r="AU1760" s="6" t="str">
        <f>HYPERLINK("http://catalog.hathitrust.org/Record/005556000","HathiTrust Record")</f>
        <v>HathiTrust Record</v>
      </c>
      <c r="AV1760" s="6" t="str">
        <f>HYPERLINK("http://mcgill.on.worldcat.org/oclc/77485821","Catalog Record")</f>
        <v>Catalog Record</v>
      </c>
      <c r="AW1760" s="6" t="str">
        <f>HYPERLINK("http://www.worldcat.org/oclc/77485821","WorldCat Record")</f>
        <v>WorldCat Record</v>
      </c>
      <c r="AX1760" s="3" t="s">
        <v>17843</v>
      </c>
      <c r="AY1760" s="3" t="s">
        <v>17844</v>
      </c>
      <c r="AZ1760" s="3" t="s">
        <v>17845</v>
      </c>
      <c r="BA1760" s="3" t="s">
        <v>17845</v>
      </c>
      <c r="BB1760" s="3" t="s">
        <v>17846</v>
      </c>
      <c r="BC1760" s="3" t="s">
        <v>77</v>
      </c>
      <c r="BD1760" s="3" t="s">
        <v>78</v>
      </c>
      <c r="BE1760" s="3" t="s">
        <v>17847</v>
      </c>
      <c r="BF1760" s="3" t="s">
        <v>17846</v>
      </c>
      <c r="BG1760" s="3" t="s">
        <v>17848</v>
      </c>
      <c r="BH1760">
        <f t="shared" si="49"/>
        <v>0</v>
      </c>
    </row>
    <row r="1761" spans="1:60" ht="58" x14ac:dyDescent="0.35">
      <c r="A1761" s="2" t="s">
        <v>59</v>
      </c>
      <c r="B1761" s="2" t="s">
        <v>60</v>
      </c>
      <c r="C1761" s="2" t="s">
        <v>17849</v>
      </c>
      <c r="D1761" s="2" t="s">
        <v>17850</v>
      </c>
      <c r="E1761" s="2" t="s">
        <v>17851</v>
      </c>
      <c r="G1761" s="3" t="s">
        <v>64</v>
      </c>
      <c r="I1761" s="3" t="s">
        <v>64</v>
      </c>
      <c r="J1761" s="3" t="s">
        <v>64</v>
      </c>
      <c r="K1761" s="3" t="s">
        <v>65</v>
      </c>
      <c r="L1761" s="2" t="s">
        <v>17852</v>
      </c>
      <c r="N1761" s="3" t="s">
        <v>3761</v>
      </c>
      <c r="P1761" s="3" t="s">
        <v>102</v>
      </c>
      <c r="Q1761" s="2" t="s">
        <v>17853</v>
      </c>
      <c r="R1761" s="3" t="s">
        <v>70</v>
      </c>
      <c r="S1761" s="4">
        <v>1</v>
      </c>
      <c r="T1761" s="4">
        <v>1</v>
      </c>
      <c r="U1761" s="5" t="s">
        <v>17854</v>
      </c>
      <c r="V1761" s="5" t="s">
        <v>17854</v>
      </c>
      <c r="W1761" s="5" t="s">
        <v>72</v>
      </c>
      <c r="X1761" s="5" t="s">
        <v>72</v>
      </c>
      <c r="Y1761" s="4">
        <v>22</v>
      </c>
      <c r="Z1761" s="4">
        <v>3</v>
      </c>
      <c r="AA1761" s="4">
        <v>4</v>
      </c>
      <c r="AB1761" s="4">
        <v>1</v>
      </c>
      <c r="AC1761" s="4">
        <v>1</v>
      </c>
      <c r="AD1761" s="4">
        <v>1</v>
      </c>
      <c r="AE1761" s="4">
        <v>2</v>
      </c>
      <c r="AF1761" s="4">
        <v>0</v>
      </c>
      <c r="AG1761" s="4">
        <v>0</v>
      </c>
      <c r="AH1761" s="4">
        <v>0</v>
      </c>
      <c r="AI1761" s="4">
        <v>1</v>
      </c>
      <c r="AJ1761" s="4">
        <v>1</v>
      </c>
      <c r="AK1761" s="4">
        <v>2</v>
      </c>
      <c r="AL1761" s="4">
        <v>0</v>
      </c>
      <c r="AM1761" s="4">
        <v>0</v>
      </c>
      <c r="AN1761" s="4">
        <v>0</v>
      </c>
      <c r="AO1761" s="4">
        <v>0</v>
      </c>
      <c r="AP1761" s="4">
        <v>1</v>
      </c>
      <c r="AQ1761" s="4">
        <v>2</v>
      </c>
      <c r="AR1761" s="3" t="s">
        <v>64</v>
      </c>
      <c r="AS1761" s="3" t="s">
        <v>64</v>
      </c>
      <c r="AT1761" s="3" t="s">
        <v>64</v>
      </c>
      <c r="AV1761" s="6" t="str">
        <f>HYPERLINK("http://mcgill.on.worldcat.org/oclc/61611140","Catalog Record")</f>
        <v>Catalog Record</v>
      </c>
      <c r="AW1761" s="6" t="str">
        <f>HYPERLINK("http://www.worldcat.org/oclc/61611140","WorldCat Record")</f>
        <v>WorldCat Record</v>
      </c>
      <c r="AX1761" s="3" t="s">
        <v>17855</v>
      </c>
      <c r="AY1761" s="3" t="s">
        <v>17856</v>
      </c>
      <c r="AZ1761" s="3" t="s">
        <v>17857</v>
      </c>
      <c r="BA1761" s="3" t="s">
        <v>17857</v>
      </c>
      <c r="BB1761" s="3" t="s">
        <v>17858</v>
      </c>
      <c r="BC1761" s="3" t="s">
        <v>77</v>
      </c>
      <c r="BD1761" s="3" t="s">
        <v>78</v>
      </c>
      <c r="BF1761" s="3" t="s">
        <v>17858</v>
      </c>
      <c r="BG1761" s="3" t="s">
        <v>17859</v>
      </c>
      <c r="BH1761">
        <f t="shared" si="49"/>
        <v>0</v>
      </c>
    </row>
    <row r="1762" spans="1:60" ht="58" x14ac:dyDescent="0.35">
      <c r="A1762" s="2" t="s">
        <v>59</v>
      </c>
      <c r="B1762" s="2" t="s">
        <v>60</v>
      </c>
      <c r="C1762" s="2" t="s">
        <v>17860</v>
      </c>
      <c r="D1762" s="2" t="s">
        <v>17861</v>
      </c>
      <c r="E1762" s="2" t="s">
        <v>17862</v>
      </c>
      <c r="G1762" s="3" t="s">
        <v>64</v>
      </c>
      <c r="I1762" s="3" t="s">
        <v>64</v>
      </c>
      <c r="J1762" s="3" t="s">
        <v>64</v>
      </c>
      <c r="K1762" s="3" t="s">
        <v>65</v>
      </c>
      <c r="M1762" s="2" t="s">
        <v>17863</v>
      </c>
      <c r="N1762" s="3" t="s">
        <v>326</v>
      </c>
      <c r="P1762" s="3" t="s">
        <v>102</v>
      </c>
      <c r="R1762" s="3" t="s">
        <v>70</v>
      </c>
      <c r="S1762" s="4">
        <v>0</v>
      </c>
      <c r="T1762" s="4">
        <v>0</v>
      </c>
      <c r="W1762" s="5" t="s">
        <v>72</v>
      </c>
      <c r="X1762" s="5" t="s">
        <v>72</v>
      </c>
      <c r="Y1762" s="4">
        <v>260</v>
      </c>
      <c r="Z1762" s="4">
        <v>12</v>
      </c>
      <c r="AA1762" s="4">
        <v>23</v>
      </c>
      <c r="AB1762" s="4">
        <v>1</v>
      </c>
      <c r="AC1762" s="4">
        <v>6</v>
      </c>
      <c r="AD1762" s="4">
        <v>59</v>
      </c>
      <c r="AE1762" s="4">
        <v>70</v>
      </c>
      <c r="AF1762" s="4">
        <v>0</v>
      </c>
      <c r="AG1762" s="4">
        <v>2</v>
      </c>
      <c r="AH1762" s="4">
        <v>51</v>
      </c>
      <c r="AI1762" s="4">
        <v>57</v>
      </c>
      <c r="AJ1762" s="4">
        <v>7</v>
      </c>
      <c r="AK1762" s="4">
        <v>14</v>
      </c>
      <c r="AL1762" s="4">
        <v>27</v>
      </c>
      <c r="AM1762" s="4">
        <v>29</v>
      </c>
      <c r="AN1762" s="4">
        <v>0</v>
      </c>
      <c r="AO1762" s="4">
        <v>0</v>
      </c>
      <c r="AP1762" s="4">
        <v>9</v>
      </c>
      <c r="AQ1762" s="4">
        <v>16</v>
      </c>
      <c r="AR1762" s="3" t="s">
        <v>64</v>
      </c>
      <c r="AS1762" s="3" t="s">
        <v>64</v>
      </c>
      <c r="AT1762" s="3" t="s">
        <v>64</v>
      </c>
      <c r="AV1762" s="6" t="str">
        <f>HYPERLINK("http://mcgill.on.worldcat.org/oclc/768417862","Catalog Record")</f>
        <v>Catalog Record</v>
      </c>
      <c r="AW1762" s="6" t="str">
        <f>HYPERLINK("http://www.worldcat.org/oclc/768417862","WorldCat Record")</f>
        <v>WorldCat Record</v>
      </c>
      <c r="AX1762" s="3" t="s">
        <v>17864</v>
      </c>
      <c r="AY1762" s="3" t="s">
        <v>17865</v>
      </c>
      <c r="AZ1762" s="3" t="s">
        <v>17866</v>
      </c>
      <c r="BA1762" s="3" t="s">
        <v>17866</v>
      </c>
      <c r="BB1762" s="3" t="s">
        <v>17867</v>
      </c>
      <c r="BC1762" s="3" t="s">
        <v>77</v>
      </c>
      <c r="BD1762" s="3" t="s">
        <v>78</v>
      </c>
      <c r="BE1762" s="3" t="s">
        <v>17868</v>
      </c>
      <c r="BF1762" s="3" t="s">
        <v>17867</v>
      </c>
      <c r="BG1762" s="3" t="s">
        <v>17869</v>
      </c>
      <c r="BH1762">
        <f t="shared" si="49"/>
        <v>0</v>
      </c>
    </row>
    <row r="1763" spans="1:60" ht="87" x14ac:dyDescent="0.35">
      <c r="A1763" s="2" t="s">
        <v>59</v>
      </c>
      <c r="B1763" s="2" t="s">
        <v>60</v>
      </c>
      <c r="C1763" s="2" t="s">
        <v>17870</v>
      </c>
      <c r="D1763" s="2" t="s">
        <v>17871</v>
      </c>
      <c r="E1763" s="2" t="s">
        <v>17872</v>
      </c>
      <c r="G1763" s="3" t="s">
        <v>64</v>
      </c>
      <c r="I1763" s="3" t="s">
        <v>64</v>
      </c>
      <c r="J1763" s="3" t="s">
        <v>64</v>
      </c>
      <c r="K1763" s="3" t="s">
        <v>65</v>
      </c>
      <c r="L1763" s="2" t="s">
        <v>17873</v>
      </c>
      <c r="M1763" s="2" t="s">
        <v>17874</v>
      </c>
      <c r="N1763" s="3" t="s">
        <v>511</v>
      </c>
      <c r="P1763" s="3" t="s">
        <v>102</v>
      </c>
      <c r="R1763" s="3" t="s">
        <v>70</v>
      </c>
      <c r="S1763" s="4">
        <v>0</v>
      </c>
      <c r="T1763" s="4">
        <v>0</v>
      </c>
      <c r="W1763" s="5" t="s">
        <v>72</v>
      </c>
      <c r="X1763" s="5" t="s">
        <v>72</v>
      </c>
      <c r="Y1763" s="4">
        <v>28</v>
      </c>
      <c r="Z1763" s="4">
        <v>6</v>
      </c>
      <c r="AA1763" s="4">
        <v>6</v>
      </c>
      <c r="AB1763" s="4">
        <v>1</v>
      </c>
      <c r="AC1763" s="4">
        <v>1</v>
      </c>
      <c r="AD1763" s="4">
        <v>11</v>
      </c>
      <c r="AE1763" s="4">
        <v>11</v>
      </c>
      <c r="AF1763" s="4">
        <v>0</v>
      </c>
      <c r="AG1763" s="4">
        <v>0</v>
      </c>
      <c r="AH1763" s="4">
        <v>8</v>
      </c>
      <c r="AI1763" s="4">
        <v>8</v>
      </c>
      <c r="AJ1763" s="4">
        <v>5</v>
      </c>
      <c r="AK1763" s="4">
        <v>5</v>
      </c>
      <c r="AL1763" s="4">
        <v>4</v>
      </c>
      <c r="AM1763" s="4">
        <v>4</v>
      </c>
      <c r="AN1763" s="4">
        <v>0</v>
      </c>
      <c r="AO1763" s="4">
        <v>0</v>
      </c>
      <c r="AP1763" s="4">
        <v>5</v>
      </c>
      <c r="AQ1763" s="4">
        <v>5</v>
      </c>
      <c r="AR1763" s="3" t="s">
        <v>64</v>
      </c>
      <c r="AS1763" s="3" t="s">
        <v>64</v>
      </c>
      <c r="AT1763" s="3" t="s">
        <v>64</v>
      </c>
      <c r="AV1763" s="6" t="str">
        <f>HYPERLINK("http://mcgill.on.worldcat.org/oclc/613646389","Catalog Record")</f>
        <v>Catalog Record</v>
      </c>
      <c r="AW1763" s="6" t="str">
        <f>HYPERLINK("http://www.worldcat.org/oclc/613646389","WorldCat Record")</f>
        <v>WorldCat Record</v>
      </c>
      <c r="AX1763" s="3" t="s">
        <v>17875</v>
      </c>
      <c r="AY1763" s="3" t="s">
        <v>17876</v>
      </c>
      <c r="AZ1763" s="3" t="s">
        <v>17877</v>
      </c>
      <c r="BA1763" s="3" t="s">
        <v>17877</v>
      </c>
      <c r="BB1763" s="3" t="s">
        <v>17878</v>
      </c>
      <c r="BC1763" s="3" t="s">
        <v>77</v>
      </c>
      <c r="BD1763" s="3" t="s">
        <v>78</v>
      </c>
      <c r="BE1763" s="3" t="s">
        <v>17879</v>
      </c>
      <c r="BF1763" s="3" t="s">
        <v>17878</v>
      </c>
      <c r="BG1763" s="3" t="s">
        <v>17880</v>
      </c>
      <c r="BH1763">
        <f t="shared" si="49"/>
        <v>0</v>
      </c>
    </row>
    <row r="1764" spans="1:60" ht="72.5" x14ac:dyDescent="0.35">
      <c r="A1764" s="2" t="s">
        <v>59</v>
      </c>
      <c r="B1764" s="2" t="s">
        <v>60</v>
      </c>
      <c r="C1764" s="2" t="s">
        <v>17881</v>
      </c>
      <c r="D1764" s="2" t="s">
        <v>17882</v>
      </c>
      <c r="E1764" s="2" t="s">
        <v>17883</v>
      </c>
      <c r="G1764" s="3" t="s">
        <v>64</v>
      </c>
      <c r="I1764" s="3" t="s">
        <v>64</v>
      </c>
      <c r="J1764" s="3" t="s">
        <v>64</v>
      </c>
      <c r="K1764" s="3" t="s">
        <v>65</v>
      </c>
      <c r="L1764" s="2" t="s">
        <v>17884</v>
      </c>
      <c r="M1764" s="2" t="s">
        <v>17885</v>
      </c>
      <c r="N1764" s="3" t="s">
        <v>1075</v>
      </c>
      <c r="P1764" s="3" t="s">
        <v>102</v>
      </c>
      <c r="Q1764" s="2" t="s">
        <v>17886</v>
      </c>
      <c r="R1764" s="3" t="s">
        <v>70</v>
      </c>
      <c r="S1764" s="4">
        <v>0</v>
      </c>
      <c r="T1764" s="4">
        <v>0</v>
      </c>
      <c r="W1764" s="5" t="s">
        <v>72</v>
      </c>
      <c r="X1764" s="5" t="s">
        <v>72</v>
      </c>
      <c r="Y1764" s="4">
        <v>53</v>
      </c>
      <c r="Z1764" s="4">
        <v>1</v>
      </c>
      <c r="AA1764" s="4">
        <v>1</v>
      </c>
      <c r="AB1764" s="4">
        <v>1</v>
      </c>
      <c r="AC1764" s="4">
        <v>1</v>
      </c>
      <c r="AD1764" s="4">
        <v>15</v>
      </c>
      <c r="AE1764" s="4">
        <v>15</v>
      </c>
      <c r="AF1764" s="4">
        <v>0</v>
      </c>
      <c r="AG1764" s="4">
        <v>0</v>
      </c>
      <c r="AH1764" s="4">
        <v>15</v>
      </c>
      <c r="AI1764" s="4">
        <v>15</v>
      </c>
      <c r="AJ1764" s="4">
        <v>0</v>
      </c>
      <c r="AK1764" s="4">
        <v>0</v>
      </c>
      <c r="AL1764" s="4">
        <v>11</v>
      </c>
      <c r="AM1764" s="4">
        <v>11</v>
      </c>
      <c r="AN1764" s="4">
        <v>0</v>
      </c>
      <c r="AO1764" s="4">
        <v>0</v>
      </c>
      <c r="AP1764" s="4">
        <v>0</v>
      </c>
      <c r="AQ1764" s="4">
        <v>0</v>
      </c>
      <c r="AR1764" s="3" t="s">
        <v>64</v>
      </c>
      <c r="AS1764" s="3" t="s">
        <v>64</v>
      </c>
      <c r="AT1764" s="3" t="s">
        <v>64</v>
      </c>
      <c r="AV1764" s="6" t="str">
        <f>HYPERLINK("http://mcgill.on.worldcat.org/oclc/822229918","Catalog Record")</f>
        <v>Catalog Record</v>
      </c>
      <c r="AW1764" s="6" t="str">
        <f>HYPERLINK("http://www.worldcat.org/oclc/822229918","WorldCat Record")</f>
        <v>WorldCat Record</v>
      </c>
      <c r="AX1764" s="3" t="s">
        <v>17887</v>
      </c>
      <c r="AY1764" s="3" t="s">
        <v>17888</v>
      </c>
      <c r="AZ1764" s="3" t="s">
        <v>17889</v>
      </c>
      <c r="BA1764" s="3" t="s">
        <v>17889</v>
      </c>
      <c r="BB1764" s="3" t="s">
        <v>17890</v>
      </c>
      <c r="BC1764" s="3" t="s">
        <v>77</v>
      </c>
      <c r="BD1764" s="3" t="s">
        <v>78</v>
      </c>
      <c r="BE1764" s="3" t="s">
        <v>17891</v>
      </c>
      <c r="BF1764" s="3" t="s">
        <v>17890</v>
      </c>
      <c r="BG1764" s="3" t="s">
        <v>17892</v>
      </c>
      <c r="BH1764">
        <f t="shared" si="49"/>
        <v>0</v>
      </c>
    </row>
    <row r="1765" spans="1:60" ht="58" x14ac:dyDescent="0.35">
      <c r="A1765" s="2" t="s">
        <v>59</v>
      </c>
      <c r="B1765" s="2" t="s">
        <v>60</v>
      </c>
      <c r="C1765" s="2" t="s">
        <v>17893</v>
      </c>
      <c r="D1765" s="2" t="s">
        <v>17894</v>
      </c>
      <c r="E1765" s="2" t="s">
        <v>17895</v>
      </c>
      <c r="G1765" s="3" t="s">
        <v>64</v>
      </c>
      <c r="I1765" s="3" t="s">
        <v>64</v>
      </c>
      <c r="J1765" s="3" t="s">
        <v>64</v>
      </c>
      <c r="K1765" s="3" t="s">
        <v>65</v>
      </c>
      <c r="L1765" s="2" t="s">
        <v>17896</v>
      </c>
      <c r="M1765" s="2" t="s">
        <v>17897</v>
      </c>
      <c r="N1765" s="3" t="s">
        <v>86</v>
      </c>
      <c r="P1765" s="3" t="s">
        <v>102</v>
      </c>
      <c r="Q1765" s="2" t="s">
        <v>17898</v>
      </c>
      <c r="R1765" s="3" t="s">
        <v>70</v>
      </c>
      <c r="S1765" s="4">
        <v>0</v>
      </c>
      <c r="T1765" s="4">
        <v>0</v>
      </c>
      <c r="W1765" s="5" t="s">
        <v>72</v>
      </c>
      <c r="X1765" s="5" t="s">
        <v>72</v>
      </c>
      <c r="Y1765" s="4">
        <v>78</v>
      </c>
      <c r="Z1765" s="4">
        <v>8</v>
      </c>
      <c r="AA1765" s="4">
        <v>24</v>
      </c>
      <c r="AB1765" s="4">
        <v>1</v>
      </c>
      <c r="AC1765" s="4">
        <v>5</v>
      </c>
      <c r="AD1765" s="4">
        <v>25</v>
      </c>
      <c r="AE1765" s="4">
        <v>59</v>
      </c>
      <c r="AF1765" s="4">
        <v>0</v>
      </c>
      <c r="AG1765" s="4">
        <v>2</v>
      </c>
      <c r="AH1765" s="4">
        <v>24</v>
      </c>
      <c r="AI1765" s="4">
        <v>51</v>
      </c>
      <c r="AJ1765" s="4">
        <v>6</v>
      </c>
      <c r="AK1765" s="4">
        <v>12</v>
      </c>
      <c r="AL1765" s="4">
        <v>17</v>
      </c>
      <c r="AM1765" s="4">
        <v>29</v>
      </c>
      <c r="AN1765" s="4">
        <v>0</v>
      </c>
      <c r="AO1765" s="4">
        <v>0</v>
      </c>
      <c r="AP1765" s="4">
        <v>6</v>
      </c>
      <c r="AQ1765" s="4">
        <v>14</v>
      </c>
      <c r="AR1765" s="3" t="s">
        <v>64</v>
      </c>
      <c r="AS1765" s="3" t="s">
        <v>64</v>
      </c>
      <c r="AT1765" s="3" t="s">
        <v>64</v>
      </c>
      <c r="AV1765" s="6" t="str">
        <f>HYPERLINK("http://mcgill.on.worldcat.org/oclc/649319833","Catalog Record")</f>
        <v>Catalog Record</v>
      </c>
      <c r="AW1765" s="6" t="str">
        <f>HYPERLINK("http://www.worldcat.org/oclc/649319833","WorldCat Record")</f>
        <v>WorldCat Record</v>
      </c>
      <c r="AX1765" s="3" t="s">
        <v>17899</v>
      </c>
      <c r="AY1765" s="3" t="s">
        <v>17900</v>
      </c>
      <c r="AZ1765" s="3" t="s">
        <v>17901</v>
      </c>
      <c r="BA1765" s="3" t="s">
        <v>17901</v>
      </c>
      <c r="BB1765" s="3" t="s">
        <v>17902</v>
      </c>
      <c r="BC1765" s="3" t="s">
        <v>77</v>
      </c>
      <c r="BD1765" s="3" t="s">
        <v>78</v>
      </c>
      <c r="BE1765" s="3" t="s">
        <v>17903</v>
      </c>
      <c r="BF1765" s="3" t="s">
        <v>17902</v>
      </c>
      <c r="BG1765" s="3" t="s">
        <v>17904</v>
      </c>
      <c r="BH1765">
        <f t="shared" si="49"/>
        <v>0</v>
      </c>
    </row>
    <row r="1766" spans="1:60" ht="58" x14ac:dyDescent="0.35">
      <c r="A1766" s="2" t="s">
        <v>59</v>
      </c>
      <c r="B1766" s="2" t="s">
        <v>60</v>
      </c>
      <c r="C1766" s="2" t="s">
        <v>17905</v>
      </c>
      <c r="D1766" s="2" t="s">
        <v>17906</v>
      </c>
      <c r="E1766" s="2" t="s">
        <v>17907</v>
      </c>
      <c r="G1766" s="3" t="s">
        <v>64</v>
      </c>
      <c r="I1766" s="3" t="s">
        <v>64</v>
      </c>
      <c r="J1766" s="3" t="s">
        <v>64</v>
      </c>
      <c r="K1766" s="3" t="s">
        <v>65</v>
      </c>
      <c r="L1766" s="2" t="s">
        <v>16955</v>
      </c>
      <c r="M1766" s="2" t="s">
        <v>17908</v>
      </c>
      <c r="N1766" s="3" t="s">
        <v>67</v>
      </c>
      <c r="P1766" s="3" t="s">
        <v>102</v>
      </c>
      <c r="R1766" s="3" t="s">
        <v>70</v>
      </c>
      <c r="S1766" s="4">
        <v>0</v>
      </c>
      <c r="T1766" s="4">
        <v>0</v>
      </c>
      <c r="W1766" s="5" t="s">
        <v>72</v>
      </c>
      <c r="X1766" s="5" t="s">
        <v>72</v>
      </c>
      <c r="Y1766" s="4">
        <v>19</v>
      </c>
      <c r="Z1766" s="4">
        <v>1</v>
      </c>
      <c r="AA1766" s="4">
        <v>2</v>
      </c>
      <c r="AB1766" s="4">
        <v>1</v>
      </c>
      <c r="AC1766" s="4">
        <v>2</v>
      </c>
      <c r="AD1766" s="4">
        <v>7</v>
      </c>
      <c r="AE1766" s="4">
        <v>8</v>
      </c>
      <c r="AF1766" s="4">
        <v>0</v>
      </c>
      <c r="AG1766" s="4">
        <v>0</v>
      </c>
      <c r="AH1766" s="4">
        <v>7</v>
      </c>
      <c r="AI1766" s="4">
        <v>8</v>
      </c>
      <c r="AJ1766" s="4">
        <v>0</v>
      </c>
      <c r="AK1766" s="4">
        <v>0</v>
      </c>
      <c r="AL1766" s="4">
        <v>3</v>
      </c>
      <c r="AM1766" s="4">
        <v>3</v>
      </c>
      <c r="AN1766" s="4">
        <v>0</v>
      </c>
      <c r="AO1766" s="4">
        <v>0</v>
      </c>
      <c r="AP1766" s="4">
        <v>0</v>
      </c>
      <c r="AQ1766" s="4">
        <v>0</v>
      </c>
      <c r="AR1766" s="3" t="s">
        <v>64</v>
      </c>
      <c r="AS1766" s="3" t="s">
        <v>64</v>
      </c>
      <c r="AT1766" s="3" t="s">
        <v>64</v>
      </c>
      <c r="AV1766" s="6" t="str">
        <f>HYPERLINK("http://mcgill.on.worldcat.org/oclc/894931884","Catalog Record")</f>
        <v>Catalog Record</v>
      </c>
      <c r="AW1766" s="6" t="str">
        <f>HYPERLINK("http://www.worldcat.org/oclc/894931884","WorldCat Record")</f>
        <v>WorldCat Record</v>
      </c>
      <c r="AX1766" s="3" t="s">
        <v>17909</v>
      </c>
      <c r="AY1766" s="3" t="s">
        <v>17910</v>
      </c>
      <c r="AZ1766" s="3" t="s">
        <v>17911</v>
      </c>
      <c r="BA1766" s="3" t="s">
        <v>17911</v>
      </c>
      <c r="BB1766" s="3" t="s">
        <v>17912</v>
      </c>
      <c r="BC1766" s="3" t="s">
        <v>77</v>
      </c>
      <c r="BD1766" s="3" t="s">
        <v>78</v>
      </c>
      <c r="BE1766" s="3" t="s">
        <v>17913</v>
      </c>
      <c r="BF1766" s="3" t="s">
        <v>17912</v>
      </c>
      <c r="BG1766" s="3" t="s">
        <v>17914</v>
      </c>
      <c r="BH1766">
        <f t="shared" si="49"/>
        <v>0</v>
      </c>
    </row>
    <row r="1767" spans="1:60" ht="58" x14ac:dyDescent="0.35">
      <c r="A1767" s="2" t="s">
        <v>59</v>
      </c>
      <c r="B1767" s="2" t="s">
        <v>60</v>
      </c>
      <c r="C1767" s="2" t="s">
        <v>17915</v>
      </c>
      <c r="D1767" s="2" t="s">
        <v>17916</v>
      </c>
      <c r="E1767" s="2" t="s">
        <v>17917</v>
      </c>
      <c r="G1767" s="3" t="s">
        <v>64</v>
      </c>
      <c r="I1767" s="3" t="s">
        <v>64</v>
      </c>
      <c r="J1767" s="3" t="s">
        <v>64</v>
      </c>
      <c r="K1767" s="3" t="s">
        <v>65</v>
      </c>
      <c r="L1767" s="2" t="s">
        <v>17918</v>
      </c>
      <c r="M1767" s="2" t="s">
        <v>17919</v>
      </c>
      <c r="N1767" s="3" t="s">
        <v>86</v>
      </c>
      <c r="P1767" s="3" t="s">
        <v>102</v>
      </c>
      <c r="Q1767" s="2" t="s">
        <v>17920</v>
      </c>
      <c r="R1767" s="3" t="s">
        <v>70</v>
      </c>
      <c r="S1767" s="4">
        <v>0</v>
      </c>
      <c r="T1767" s="4">
        <v>0</v>
      </c>
      <c r="W1767" s="5" t="s">
        <v>72</v>
      </c>
      <c r="X1767" s="5" t="s">
        <v>72</v>
      </c>
      <c r="Y1767" s="4">
        <v>166</v>
      </c>
      <c r="Z1767" s="4">
        <v>14</v>
      </c>
      <c r="AA1767" s="4">
        <v>19</v>
      </c>
      <c r="AB1767" s="4">
        <v>1</v>
      </c>
      <c r="AC1767" s="4">
        <v>3</v>
      </c>
      <c r="AD1767" s="4">
        <v>60</v>
      </c>
      <c r="AE1767" s="4">
        <v>75</v>
      </c>
      <c r="AF1767" s="4">
        <v>0</v>
      </c>
      <c r="AG1767" s="4">
        <v>1</v>
      </c>
      <c r="AH1767" s="4">
        <v>52</v>
      </c>
      <c r="AI1767" s="4">
        <v>64</v>
      </c>
      <c r="AJ1767" s="4">
        <v>9</v>
      </c>
      <c r="AK1767" s="4">
        <v>13</v>
      </c>
      <c r="AL1767" s="4">
        <v>29</v>
      </c>
      <c r="AM1767" s="4">
        <v>37</v>
      </c>
      <c r="AN1767" s="4">
        <v>0</v>
      </c>
      <c r="AO1767" s="4">
        <v>0</v>
      </c>
      <c r="AP1767" s="4">
        <v>12</v>
      </c>
      <c r="AQ1767" s="4">
        <v>15</v>
      </c>
      <c r="AR1767" s="3" t="s">
        <v>64</v>
      </c>
      <c r="AS1767" s="3" t="s">
        <v>64</v>
      </c>
      <c r="AT1767" s="3" t="s">
        <v>64</v>
      </c>
      <c r="AV1767" s="6" t="str">
        <f>HYPERLINK("http://mcgill.on.worldcat.org/oclc/821047302","Catalog Record")</f>
        <v>Catalog Record</v>
      </c>
      <c r="AW1767" s="6" t="str">
        <f>HYPERLINK("http://www.worldcat.org/oclc/821047302","WorldCat Record")</f>
        <v>WorldCat Record</v>
      </c>
      <c r="AX1767" s="3" t="s">
        <v>17921</v>
      </c>
      <c r="AY1767" s="3" t="s">
        <v>17922</v>
      </c>
      <c r="AZ1767" s="3" t="s">
        <v>17923</v>
      </c>
      <c r="BA1767" s="3" t="s">
        <v>17923</v>
      </c>
      <c r="BB1767" s="3" t="s">
        <v>17924</v>
      </c>
      <c r="BC1767" s="3" t="s">
        <v>77</v>
      </c>
      <c r="BD1767" s="3" t="s">
        <v>78</v>
      </c>
      <c r="BE1767" s="3" t="s">
        <v>17925</v>
      </c>
      <c r="BF1767" s="3" t="s">
        <v>17924</v>
      </c>
      <c r="BG1767" s="3" t="s">
        <v>17926</v>
      </c>
      <c r="BH1767">
        <f t="shared" si="49"/>
        <v>0</v>
      </c>
    </row>
    <row r="1768" spans="1:60" ht="58" x14ac:dyDescent="0.35">
      <c r="A1768" s="2" t="s">
        <v>59</v>
      </c>
      <c r="B1768" s="2" t="s">
        <v>60</v>
      </c>
      <c r="C1768" s="2" t="s">
        <v>17927</v>
      </c>
      <c r="D1768" s="2" t="s">
        <v>17928</v>
      </c>
      <c r="E1768" s="2" t="s">
        <v>17929</v>
      </c>
      <c r="G1768" s="3" t="s">
        <v>64</v>
      </c>
      <c r="I1768" s="3" t="s">
        <v>64</v>
      </c>
      <c r="J1768" s="3" t="s">
        <v>64</v>
      </c>
      <c r="K1768" s="3" t="s">
        <v>65</v>
      </c>
      <c r="M1768" s="2" t="s">
        <v>17930</v>
      </c>
      <c r="N1768" s="3" t="s">
        <v>116</v>
      </c>
      <c r="P1768" s="3" t="s">
        <v>102</v>
      </c>
      <c r="Q1768" s="2" t="s">
        <v>17931</v>
      </c>
      <c r="R1768" s="3" t="s">
        <v>70</v>
      </c>
      <c r="S1768" s="4">
        <v>12</v>
      </c>
      <c r="T1768" s="4">
        <v>12</v>
      </c>
      <c r="U1768" s="5" t="s">
        <v>17932</v>
      </c>
      <c r="V1768" s="5" t="s">
        <v>17932</v>
      </c>
      <c r="W1768" s="5" t="s">
        <v>72</v>
      </c>
      <c r="X1768" s="5" t="s">
        <v>72</v>
      </c>
      <c r="Y1768" s="4">
        <v>181</v>
      </c>
      <c r="Z1768" s="4">
        <v>11</v>
      </c>
      <c r="AA1768" s="4">
        <v>14</v>
      </c>
      <c r="AB1768" s="4">
        <v>1</v>
      </c>
      <c r="AC1768" s="4">
        <v>2</v>
      </c>
      <c r="AD1768" s="4">
        <v>82</v>
      </c>
      <c r="AE1768" s="4">
        <v>86</v>
      </c>
      <c r="AF1768" s="4">
        <v>0</v>
      </c>
      <c r="AG1768" s="4">
        <v>1</v>
      </c>
      <c r="AH1768" s="4">
        <v>78</v>
      </c>
      <c r="AI1768" s="4">
        <v>81</v>
      </c>
      <c r="AJ1768" s="4">
        <v>8</v>
      </c>
      <c r="AK1768" s="4">
        <v>11</v>
      </c>
      <c r="AL1768" s="4">
        <v>44</v>
      </c>
      <c r="AM1768" s="4">
        <v>44</v>
      </c>
      <c r="AN1768" s="4">
        <v>0</v>
      </c>
      <c r="AO1768" s="4">
        <v>0</v>
      </c>
      <c r="AP1768" s="4">
        <v>8</v>
      </c>
      <c r="AQ1768" s="4">
        <v>11</v>
      </c>
      <c r="AR1768" s="3" t="s">
        <v>64</v>
      </c>
      <c r="AS1768" s="3" t="s">
        <v>64</v>
      </c>
      <c r="AT1768" s="3" t="s">
        <v>128</v>
      </c>
      <c r="AU1768" s="6" t="str">
        <f>HYPERLINK("http://catalog.hathitrust.org/Record/003836412","HathiTrust Record")</f>
        <v>HathiTrust Record</v>
      </c>
      <c r="AV1768" s="6" t="str">
        <f>HYPERLINK("http://mcgill.on.worldcat.org/oclc/48844292","Catalog Record")</f>
        <v>Catalog Record</v>
      </c>
      <c r="AW1768" s="6" t="str">
        <f>HYPERLINK("http://www.worldcat.org/oclc/48844292","WorldCat Record")</f>
        <v>WorldCat Record</v>
      </c>
      <c r="AX1768" s="3" t="s">
        <v>17933</v>
      </c>
      <c r="AY1768" s="3" t="s">
        <v>17934</v>
      </c>
      <c r="AZ1768" s="3" t="s">
        <v>17935</v>
      </c>
      <c r="BA1768" s="3" t="s">
        <v>17935</v>
      </c>
      <c r="BB1768" s="3" t="s">
        <v>17936</v>
      </c>
      <c r="BC1768" s="3" t="s">
        <v>77</v>
      </c>
      <c r="BD1768" s="3" t="s">
        <v>78</v>
      </c>
      <c r="BE1768" s="3" t="s">
        <v>17937</v>
      </c>
      <c r="BF1768" s="3" t="s">
        <v>17936</v>
      </c>
      <c r="BG1768" s="3" t="s">
        <v>17938</v>
      </c>
      <c r="BH1768">
        <f t="shared" si="49"/>
        <v>0</v>
      </c>
    </row>
    <row r="1769" spans="1:60" ht="72.5" x14ac:dyDescent="0.35">
      <c r="A1769" s="2" t="s">
        <v>59</v>
      </c>
      <c r="B1769" s="2" t="s">
        <v>60</v>
      </c>
      <c r="C1769" s="2" t="s">
        <v>17939</v>
      </c>
      <c r="D1769" s="2" t="s">
        <v>17940</v>
      </c>
      <c r="E1769" s="2" t="s">
        <v>17941</v>
      </c>
      <c r="G1769" s="3" t="s">
        <v>64</v>
      </c>
      <c r="I1769" s="3" t="s">
        <v>64</v>
      </c>
      <c r="J1769" s="3" t="s">
        <v>64</v>
      </c>
      <c r="K1769" s="3" t="s">
        <v>65</v>
      </c>
      <c r="L1769" s="2" t="s">
        <v>17942</v>
      </c>
      <c r="M1769" s="2" t="s">
        <v>15824</v>
      </c>
      <c r="N1769" s="3" t="s">
        <v>291</v>
      </c>
      <c r="P1769" s="3" t="s">
        <v>102</v>
      </c>
      <c r="R1769" s="3" t="s">
        <v>70</v>
      </c>
      <c r="S1769" s="4">
        <v>4</v>
      </c>
      <c r="T1769" s="4">
        <v>4</v>
      </c>
      <c r="U1769" s="5" t="s">
        <v>17932</v>
      </c>
      <c r="V1769" s="5" t="s">
        <v>17932</v>
      </c>
      <c r="W1769" s="5" t="s">
        <v>72</v>
      </c>
      <c r="X1769" s="5" t="s">
        <v>72</v>
      </c>
      <c r="Y1769" s="4">
        <v>323</v>
      </c>
      <c r="Z1769" s="4">
        <v>21</v>
      </c>
      <c r="AA1769" s="4">
        <v>84</v>
      </c>
      <c r="AB1769" s="4">
        <v>1</v>
      </c>
      <c r="AC1769" s="4">
        <v>15</v>
      </c>
      <c r="AD1769" s="4">
        <v>58</v>
      </c>
      <c r="AE1769" s="4">
        <v>108</v>
      </c>
      <c r="AF1769" s="4">
        <v>0</v>
      </c>
      <c r="AG1769" s="4">
        <v>8</v>
      </c>
      <c r="AH1769" s="4">
        <v>48</v>
      </c>
      <c r="AI1769" s="4">
        <v>73</v>
      </c>
      <c r="AJ1769" s="4">
        <v>14</v>
      </c>
      <c r="AK1769" s="4">
        <v>22</v>
      </c>
      <c r="AL1769" s="4">
        <v>27</v>
      </c>
      <c r="AM1769" s="4">
        <v>38</v>
      </c>
      <c r="AN1769" s="4">
        <v>0</v>
      </c>
      <c r="AO1769" s="4">
        <v>0</v>
      </c>
      <c r="AP1769" s="4">
        <v>17</v>
      </c>
      <c r="AQ1769" s="4">
        <v>44</v>
      </c>
      <c r="AR1769" s="3" t="s">
        <v>64</v>
      </c>
      <c r="AS1769" s="3" t="s">
        <v>64</v>
      </c>
      <c r="AT1769" s="3" t="s">
        <v>128</v>
      </c>
      <c r="AU1769" s="6" t="str">
        <f>HYPERLINK("http://catalog.hathitrust.org/Record/005579645","HathiTrust Record")</f>
        <v>HathiTrust Record</v>
      </c>
      <c r="AV1769" s="6" t="str">
        <f>HYPERLINK("http://mcgill.on.worldcat.org/oclc/70882337","Catalog Record")</f>
        <v>Catalog Record</v>
      </c>
      <c r="AW1769" s="6" t="str">
        <f>HYPERLINK("http://www.worldcat.org/oclc/70882337","WorldCat Record")</f>
        <v>WorldCat Record</v>
      </c>
      <c r="AX1769" s="3" t="s">
        <v>17943</v>
      </c>
      <c r="AY1769" s="3" t="s">
        <v>17944</v>
      </c>
      <c r="AZ1769" s="3" t="s">
        <v>17945</v>
      </c>
      <c r="BA1769" s="3" t="s">
        <v>17945</v>
      </c>
      <c r="BB1769" s="3" t="s">
        <v>17946</v>
      </c>
      <c r="BC1769" s="3" t="s">
        <v>77</v>
      </c>
      <c r="BD1769" s="3" t="s">
        <v>78</v>
      </c>
      <c r="BE1769" s="3" t="s">
        <v>17947</v>
      </c>
      <c r="BF1769" s="3" t="s">
        <v>17946</v>
      </c>
      <c r="BG1769" s="3" t="s">
        <v>17948</v>
      </c>
      <c r="BH1769">
        <f t="shared" si="49"/>
        <v>0</v>
      </c>
    </row>
    <row r="1770" spans="1:60" ht="58" x14ac:dyDescent="0.35">
      <c r="A1770" s="2" t="s">
        <v>59</v>
      </c>
      <c r="B1770" s="2" t="s">
        <v>60</v>
      </c>
      <c r="C1770" s="2" t="s">
        <v>17949</v>
      </c>
      <c r="D1770" s="2" t="s">
        <v>17950</v>
      </c>
      <c r="E1770" s="2" t="s">
        <v>17951</v>
      </c>
      <c r="G1770" s="3" t="s">
        <v>64</v>
      </c>
      <c r="I1770" s="3" t="s">
        <v>64</v>
      </c>
      <c r="J1770" s="3" t="s">
        <v>64</v>
      </c>
      <c r="K1770" s="3" t="s">
        <v>65</v>
      </c>
      <c r="L1770" s="2" t="s">
        <v>17952</v>
      </c>
      <c r="M1770" s="2" t="s">
        <v>17465</v>
      </c>
      <c r="N1770" s="3" t="s">
        <v>190</v>
      </c>
      <c r="P1770" s="3" t="s">
        <v>102</v>
      </c>
      <c r="R1770" s="3" t="s">
        <v>70</v>
      </c>
      <c r="S1770" s="4">
        <v>1</v>
      </c>
      <c r="T1770" s="4">
        <v>1</v>
      </c>
      <c r="U1770" s="5" t="s">
        <v>6114</v>
      </c>
      <c r="V1770" s="5" t="s">
        <v>6114</v>
      </c>
      <c r="W1770" s="5" t="s">
        <v>72</v>
      </c>
      <c r="X1770" s="5" t="s">
        <v>72</v>
      </c>
      <c r="Y1770" s="4">
        <v>182</v>
      </c>
      <c r="Z1770" s="4">
        <v>4</v>
      </c>
      <c r="AA1770" s="4">
        <v>6</v>
      </c>
      <c r="AB1770" s="4">
        <v>1</v>
      </c>
      <c r="AC1770" s="4">
        <v>3</v>
      </c>
      <c r="AD1770" s="4">
        <v>39</v>
      </c>
      <c r="AE1770" s="4">
        <v>41</v>
      </c>
      <c r="AF1770" s="4">
        <v>0</v>
      </c>
      <c r="AG1770" s="4">
        <v>2</v>
      </c>
      <c r="AH1770" s="4">
        <v>39</v>
      </c>
      <c r="AI1770" s="4">
        <v>40</v>
      </c>
      <c r="AJ1770" s="4">
        <v>3</v>
      </c>
      <c r="AK1770" s="4">
        <v>5</v>
      </c>
      <c r="AL1770" s="4">
        <v>18</v>
      </c>
      <c r="AM1770" s="4">
        <v>18</v>
      </c>
      <c r="AN1770" s="4">
        <v>0</v>
      </c>
      <c r="AO1770" s="4">
        <v>0</v>
      </c>
      <c r="AP1770" s="4">
        <v>3</v>
      </c>
      <c r="AQ1770" s="4">
        <v>4</v>
      </c>
      <c r="AR1770" s="3" t="s">
        <v>64</v>
      </c>
      <c r="AS1770" s="3" t="s">
        <v>64</v>
      </c>
      <c r="AT1770" s="3" t="s">
        <v>64</v>
      </c>
      <c r="AV1770" s="6" t="str">
        <f>HYPERLINK("http://mcgill.on.worldcat.org/oclc/999673647","Catalog Record")</f>
        <v>Catalog Record</v>
      </c>
      <c r="AW1770" s="6" t="str">
        <f>HYPERLINK("http://www.worldcat.org/oclc/999673647","WorldCat Record")</f>
        <v>WorldCat Record</v>
      </c>
      <c r="AX1770" s="3" t="s">
        <v>17953</v>
      </c>
      <c r="AY1770" s="3" t="s">
        <v>17954</v>
      </c>
      <c r="AZ1770" s="3" t="s">
        <v>17955</v>
      </c>
      <c r="BA1770" s="3" t="s">
        <v>17955</v>
      </c>
      <c r="BB1770" s="3" t="s">
        <v>17956</v>
      </c>
      <c r="BC1770" s="3" t="s">
        <v>77</v>
      </c>
      <c r="BD1770" s="3" t="s">
        <v>78</v>
      </c>
      <c r="BE1770" s="3" t="s">
        <v>17957</v>
      </c>
      <c r="BF1770" s="3" t="s">
        <v>17956</v>
      </c>
      <c r="BG1770" s="3" t="s">
        <v>17958</v>
      </c>
      <c r="BH1770">
        <f t="shared" si="49"/>
        <v>0</v>
      </c>
    </row>
    <row r="1771" spans="1:60" ht="72.5" x14ac:dyDescent="0.35">
      <c r="A1771" s="2" t="s">
        <v>59</v>
      </c>
      <c r="B1771" s="2" t="s">
        <v>60</v>
      </c>
      <c r="C1771" s="2" t="s">
        <v>17959</v>
      </c>
      <c r="D1771" s="2" t="s">
        <v>17960</v>
      </c>
      <c r="E1771" s="2" t="s">
        <v>17961</v>
      </c>
      <c r="G1771" s="3" t="s">
        <v>64</v>
      </c>
      <c r="I1771" s="3" t="s">
        <v>128</v>
      </c>
      <c r="J1771" s="3" t="s">
        <v>64</v>
      </c>
      <c r="K1771" s="3" t="s">
        <v>65</v>
      </c>
      <c r="L1771" s="2" t="s">
        <v>17962</v>
      </c>
      <c r="M1771" s="2" t="s">
        <v>16038</v>
      </c>
      <c r="N1771" s="3" t="s">
        <v>153</v>
      </c>
      <c r="P1771" s="3" t="s">
        <v>102</v>
      </c>
      <c r="R1771" s="3" t="s">
        <v>70</v>
      </c>
      <c r="S1771" s="4">
        <v>22</v>
      </c>
      <c r="T1771" s="4">
        <v>22</v>
      </c>
      <c r="U1771" s="5" t="s">
        <v>17963</v>
      </c>
      <c r="V1771" s="5" t="s">
        <v>17963</v>
      </c>
      <c r="W1771" s="5" t="s">
        <v>72</v>
      </c>
      <c r="X1771" s="5" t="s">
        <v>72</v>
      </c>
      <c r="Y1771" s="4">
        <v>840</v>
      </c>
      <c r="Z1771" s="4">
        <v>21</v>
      </c>
      <c r="AA1771" s="4">
        <v>22</v>
      </c>
      <c r="AB1771" s="4">
        <v>2</v>
      </c>
      <c r="AC1771" s="4">
        <v>3</v>
      </c>
      <c r="AD1771" s="4">
        <v>88</v>
      </c>
      <c r="AE1771" s="4">
        <v>89</v>
      </c>
      <c r="AF1771" s="4">
        <v>1</v>
      </c>
      <c r="AG1771" s="4">
        <v>2</v>
      </c>
      <c r="AH1771" s="4">
        <v>81</v>
      </c>
      <c r="AI1771" s="4">
        <v>81</v>
      </c>
      <c r="AJ1771" s="4">
        <v>12</v>
      </c>
      <c r="AK1771" s="4">
        <v>13</v>
      </c>
      <c r="AL1771" s="4">
        <v>38</v>
      </c>
      <c r="AM1771" s="4">
        <v>38</v>
      </c>
      <c r="AN1771" s="4">
        <v>0</v>
      </c>
      <c r="AO1771" s="4">
        <v>0</v>
      </c>
      <c r="AP1771" s="4">
        <v>13</v>
      </c>
      <c r="AQ1771" s="4">
        <v>13</v>
      </c>
      <c r="AR1771" s="3" t="s">
        <v>64</v>
      </c>
      <c r="AS1771" s="3" t="s">
        <v>64</v>
      </c>
      <c r="AT1771" s="3" t="s">
        <v>64</v>
      </c>
      <c r="AV1771" s="6" t="str">
        <f>HYPERLINK("http://mcgill.on.worldcat.org/oclc/39042940","Catalog Record")</f>
        <v>Catalog Record</v>
      </c>
      <c r="AW1771" s="6" t="str">
        <f>HYPERLINK("http://www.worldcat.org/oclc/39042940","WorldCat Record")</f>
        <v>WorldCat Record</v>
      </c>
      <c r="AX1771" s="3" t="s">
        <v>17964</v>
      </c>
      <c r="AY1771" s="3" t="s">
        <v>17965</v>
      </c>
      <c r="AZ1771" s="3" t="s">
        <v>17966</v>
      </c>
      <c r="BA1771" s="3" t="s">
        <v>17966</v>
      </c>
      <c r="BB1771" s="3" t="s">
        <v>17967</v>
      </c>
      <c r="BC1771" s="3" t="s">
        <v>77</v>
      </c>
      <c r="BD1771" s="3" t="s">
        <v>78</v>
      </c>
      <c r="BE1771" s="3" t="s">
        <v>17968</v>
      </c>
      <c r="BF1771" s="3" t="s">
        <v>17967</v>
      </c>
      <c r="BG1771" s="3" t="s">
        <v>17969</v>
      </c>
      <c r="BH1771">
        <f t="shared" si="49"/>
        <v>0</v>
      </c>
    </row>
    <row r="1772" spans="1:60" ht="72.5" x14ac:dyDescent="0.35">
      <c r="A1772" s="2" t="s">
        <v>59</v>
      </c>
      <c r="B1772" s="2" t="s">
        <v>60</v>
      </c>
      <c r="C1772" s="2" t="s">
        <v>17959</v>
      </c>
      <c r="D1772" s="2" t="s">
        <v>17960</v>
      </c>
      <c r="E1772" s="2" t="s">
        <v>17961</v>
      </c>
      <c r="G1772" s="3" t="s">
        <v>64</v>
      </c>
      <c r="I1772" s="3" t="s">
        <v>128</v>
      </c>
      <c r="J1772" s="3" t="s">
        <v>64</v>
      </c>
      <c r="K1772" s="3" t="s">
        <v>65</v>
      </c>
      <c r="L1772" s="2" t="s">
        <v>17962</v>
      </c>
      <c r="M1772" s="2" t="s">
        <v>16038</v>
      </c>
      <c r="N1772" s="3" t="s">
        <v>153</v>
      </c>
      <c r="P1772" s="3" t="s">
        <v>102</v>
      </c>
      <c r="R1772" s="3" t="s">
        <v>70</v>
      </c>
      <c r="S1772" s="4">
        <v>0</v>
      </c>
      <c r="T1772" s="4">
        <v>22</v>
      </c>
      <c r="V1772" s="5" t="s">
        <v>17963</v>
      </c>
      <c r="W1772" s="5" t="s">
        <v>72</v>
      </c>
      <c r="X1772" s="5" t="s">
        <v>72</v>
      </c>
      <c r="Y1772" s="4">
        <v>840</v>
      </c>
      <c r="Z1772" s="4">
        <v>21</v>
      </c>
      <c r="AA1772" s="4">
        <v>22</v>
      </c>
      <c r="AB1772" s="4">
        <v>2</v>
      </c>
      <c r="AC1772" s="4">
        <v>3</v>
      </c>
      <c r="AD1772" s="4">
        <v>88</v>
      </c>
      <c r="AE1772" s="4">
        <v>89</v>
      </c>
      <c r="AF1772" s="4">
        <v>1</v>
      </c>
      <c r="AG1772" s="4">
        <v>2</v>
      </c>
      <c r="AH1772" s="4">
        <v>81</v>
      </c>
      <c r="AI1772" s="4">
        <v>81</v>
      </c>
      <c r="AJ1772" s="4">
        <v>12</v>
      </c>
      <c r="AK1772" s="4">
        <v>13</v>
      </c>
      <c r="AL1772" s="4">
        <v>38</v>
      </c>
      <c r="AM1772" s="4">
        <v>38</v>
      </c>
      <c r="AN1772" s="4">
        <v>0</v>
      </c>
      <c r="AO1772" s="4">
        <v>0</v>
      </c>
      <c r="AP1772" s="4">
        <v>13</v>
      </c>
      <c r="AQ1772" s="4">
        <v>13</v>
      </c>
      <c r="AR1772" s="3" t="s">
        <v>64</v>
      </c>
      <c r="AS1772" s="3" t="s">
        <v>64</v>
      </c>
      <c r="AT1772" s="3" t="s">
        <v>64</v>
      </c>
      <c r="AV1772" s="6" t="str">
        <f>HYPERLINK("http://mcgill.on.worldcat.org/oclc/39042940","Catalog Record")</f>
        <v>Catalog Record</v>
      </c>
      <c r="AW1772" s="6" t="str">
        <f>HYPERLINK("http://www.worldcat.org/oclc/39042940","WorldCat Record")</f>
        <v>WorldCat Record</v>
      </c>
      <c r="AX1772" s="3" t="s">
        <v>17964</v>
      </c>
      <c r="AY1772" s="3" t="s">
        <v>17965</v>
      </c>
      <c r="AZ1772" s="3" t="s">
        <v>17966</v>
      </c>
      <c r="BA1772" s="3" t="s">
        <v>17966</v>
      </c>
      <c r="BB1772" s="3" t="s">
        <v>17970</v>
      </c>
      <c r="BC1772" s="3" t="s">
        <v>77</v>
      </c>
      <c r="BD1772" s="3" t="s">
        <v>78</v>
      </c>
      <c r="BE1772" s="3" t="s">
        <v>17968</v>
      </c>
      <c r="BF1772" s="3" t="s">
        <v>17970</v>
      </c>
      <c r="BG1772" s="3" t="s">
        <v>17971</v>
      </c>
      <c r="BH1772">
        <f t="shared" si="49"/>
        <v>0</v>
      </c>
    </row>
    <row r="1773" spans="1:60" ht="58" x14ac:dyDescent="0.35">
      <c r="A1773" s="2" t="s">
        <v>59</v>
      </c>
      <c r="B1773" s="2" t="s">
        <v>60</v>
      </c>
      <c r="C1773" s="2" t="s">
        <v>17972</v>
      </c>
      <c r="D1773" s="2" t="s">
        <v>17973</v>
      </c>
      <c r="E1773" s="2" t="s">
        <v>17974</v>
      </c>
      <c r="G1773" s="3" t="s">
        <v>64</v>
      </c>
      <c r="I1773" s="3" t="s">
        <v>64</v>
      </c>
      <c r="J1773" s="3" t="s">
        <v>64</v>
      </c>
      <c r="K1773" s="3" t="s">
        <v>65</v>
      </c>
      <c r="L1773" s="2" t="s">
        <v>17975</v>
      </c>
      <c r="M1773" s="2" t="s">
        <v>17976</v>
      </c>
      <c r="N1773" s="3" t="s">
        <v>86</v>
      </c>
      <c r="P1773" s="3" t="s">
        <v>102</v>
      </c>
      <c r="R1773" s="3" t="s">
        <v>70</v>
      </c>
      <c r="S1773" s="4">
        <v>0</v>
      </c>
      <c r="T1773" s="4">
        <v>0</v>
      </c>
      <c r="W1773" s="5" t="s">
        <v>72</v>
      </c>
      <c r="X1773" s="5" t="s">
        <v>72</v>
      </c>
      <c r="Y1773" s="4">
        <v>64</v>
      </c>
      <c r="Z1773" s="4">
        <v>5</v>
      </c>
      <c r="AA1773" s="4">
        <v>115</v>
      </c>
      <c r="AB1773" s="4">
        <v>1</v>
      </c>
      <c r="AC1773" s="4">
        <v>17</v>
      </c>
      <c r="AD1773" s="4">
        <v>17</v>
      </c>
      <c r="AE1773" s="4">
        <v>106</v>
      </c>
      <c r="AF1773" s="4">
        <v>0</v>
      </c>
      <c r="AG1773" s="4">
        <v>8</v>
      </c>
      <c r="AH1773" s="4">
        <v>17</v>
      </c>
      <c r="AI1773" s="4">
        <v>67</v>
      </c>
      <c r="AJ1773" s="4">
        <v>3</v>
      </c>
      <c r="AK1773" s="4">
        <v>21</v>
      </c>
      <c r="AL1773" s="4">
        <v>9</v>
      </c>
      <c r="AM1773" s="4">
        <v>34</v>
      </c>
      <c r="AN1773" s="4">
        <v>0</v>
      </c>
      <c r="AO1773" s="4">
        <v>0</v>
      </c>
      <c r="AP1773" s="4">
        <v>3</v>
      </c>
      <c r="AQ1773" s="4">
        <v>45</v>
      </c>
      <c r="AR1773" s="3" t="s">
        <v>64</v>
      </c>
      <c r="AS1773" s="3" t="s">
        <v>64</v>
      </c>
      <c r="AT1773" s="3" t="s">
        <v>64</v>
      </c>
      <c r="AV1773" s="6" t="str">
        <f>HYPERLINK("http://mcgill.on.worldcat.org/oclc/805389600","Catalog Record")</f>
        <v>Catalog Record</v>
      </c>
      <c r="AW1773" s="6" t="str">
        <f>HYPERLINK("http://www.worldcat.org/oclc/805389600","WorldCat Record")</f>
        <v>WorldCat Record</v>
      </c>
      <c r="AX1773" s="3" t="s">
        <v>17977</v>
      </c>
      <c r="AY1773" s="3" t="s">
        <v>17978</v>
      </c>
      <c r="AZ1773" s="3" t="s">
        <v>17979</v>
      </c>
      <c r="BA1773" s="3" t="s">
        <v>17979</v>
      </c>
      <c r="BB1773" s="3" t="s">
        <v>17980</v>
      </c>
      <c r="BC1773" s="3" t="s">
        <v>77</v>
      </c>
      <c r="BD1773" s="3" t="s">
        <v>78</v>
      </c>
      <c r="BE1773" s="3" t="s">
        <v>17981</v>
      </c>
      <c r="BF1773" s="3" t="s">
        <v>17980</v>
      </c>
      <c r="BG1773" s="3" t="s">
        <v>17982</v>
      </c>
      <c r="BH1773">
        <f t="shared" si="49"/>
        <v>0</v>
      </c>
    </row>
    <row r="1774" spans="1:60" ht="58" x14ac:dyDescent="0.35">
      <c r="A1774" s="2" t="s">
        <v>59</v>
      </c>
      <c r="B1774" s="2" t="s">
        <v>60</v>
      </c>
      <c r="C1774" s="2" t="s">
        <v>17983</v>
      </c>
      <c r="D1774" s="2" t="s">
        <v>17984</v>
      </c>
      <c r="E1774" s="2" t="s">
        <v>17985</v>
      </c>
      <c r="G1774" s="3" t="s">
        <v>64</v>
      </c>
      <c r="I1774" s="3" t="s">
        <v>64</v>
      </c>
      <c r="J1774" s="3" t="s">
        <v>64</v>
      </c>
      <c r="K1774" s="3" t="s">
        <v>65</v>
      </c>
      <c r="L1774" s="2" t="s">
        <v>17986</v>
      </c>
      <c r="M1774" s="2" t="s">
        <v>16093</v>
      </c>
      <c r="N1774" s="3" t="s">
        <v>511</v>
      </c>
      <c r="P1774" s="3" t="s">
        <v>102</v>
      </c>
      <c r="R1774" s="3" t="s">
        <v>70</v>
      </c>
      <c r="S1774" s="4">
        <v>0</v>
      </c>
      <c r="T1774" s="4">
        <v>0</v>
      </c>
      <c r="W1774" s="5" t="s">
        <v>72</v>
      </c>
      <c r="X1774" s="5" t="s">
        <v>72</v>
      </c>
      <c r="Y1774" s="4">
        <v>113</v>
      </c>
      <c r="Z1774" s="4">
        <v>10</v>
      </c>
      <c r="AA1774" s="4">
        <v>10</v>
      </c>
      <c r="AB1774" s="4">
        <v>1</v>
      </c>
      <c r="AC1774" s="4">
        <v>1</v>
      </c>
      <c r="AD1774" s="4">
        <v>25</v>
      </c>
      <c r="AE1774" s="4">
        <v>25</v>
      </c>
      <c r="AF1774" s="4">
        <v>0</v>
      </c>
      <c r="AG1774" s="4">
        <v>0</v>
      </c>
      <c r="AH1774" s="4">
        <v>25</v>
      </c>
      <c r="AI1774" s="4">
        <v>25</v>
      </c>
      <c r="AJ1774" s="4">
        <v>5</v>
      </c>
      <c r="AK1774" s="4">
        <v>5</v>
      </c>
      <c r="AL1774" s="4">
        <v>12</v>
      </c>
      <c r="AM1774" s="4">
        <v>12</v>
      </c>
      <c r="AN1774" s="4">
        <v>0</v>
      </c>
      <c r="AO1774" s="4">
        <v>0</v>
      </c>
      <c r="AP1774" s="4">
        <v>5</v>
      </c>
      <c r="AQ1774" s="4">
        <v>5</v>
      </c>
      <c r="AR1774" s="3" t="s">
        <v>64</v>
      </c>
      <c r="AS1774" s="3" t="s">
        <v>64</v>
      </c>
      <c r="AT1774" s="3" t="s">
        <v>64</v>
      </c>
      <c r="AV1774" s="6" t="str">
        <f>HYPERLINK("http://mcgill.on.worldcat.org/oclc/430839896","Catalog Record")</f>
        <v>Catalog Record</v>
      </c>
      <c r="AW1774" s="6" t="str">
        <f>HYPERLINK("http://www.worldcat.org/oclc/430839896","WorldCat Record")</f>
        <v>WorldCat Record</v>
      </c>
      <c r="AX1774" s="3" t="s">
        <v>17987</v>
      </c>
      <c r="AY1774" s="3" t="s">
        <v>17988</v>
      </c>
      <c r="AZ1774" s="3" t="s">
        <v>17989</v>
      </c>
      <c r="BA1774" s="3" t="s">
        <v>17989</v>
      </c>
      <c r="BB1774" s="3" t="s">
        <v>17990</v>
      </c>
      <c r="BC1774" s="3" t="s">
        <v>77</v>
      </c>
      <c r="BD1774" s="3" t="s">
        <v>78</v>
      </c>
      <c r="BE1774" s="3" t="s">
        <v>17991</v>
      </c>
      <c r="BF1774" s="3" t="s">
        <v>17990</v>
      </c>
      <c r="BG1774" s="3" t="s">
        <v>17992</v>
      </c>
      <c r="BH1774">
        <f t="shared" si="49"/>
        <v>0</v>
      </c>
    </row>
    <row r="1775" spans="1:60" ht="58" x14ac:dyDescent="0.35">
      <c r="A1775" s="2" t="s">
        <v>59</v>
      </c>
      <c r="B1775" s="2" t="s">
        <v>60</v>
      </c>
      <c r="C1775" s="2" t="s">
        <v>17993</v>
      </c>
      <c r="D1775" s="2" t="s">
        <v>17994</v>
      </c>
      <c r="E1775" s="2" t="s">
        <v>17995</v>
      </c>
      <c r="G1775" s="3" t="s">
        <v>64</v>
      </c>
      <c r="I1775" s="3" t="s">
        <v>64</v>
      </c>
      <c r="J1775" s="3" t="s">
        <v>64</v>
      </c>
      <c r="K1775" s="3" t="s">
        <v>65</v>
      </c>
      <c r="L1775" s="2" t="s">
        <v>17996</v>
      </c>
      <c r="M1775" s="2" t="s">
        <v>16093</v>
      </c>
      <c r="N1775" s="3" t="s">
        <v>511</v>
      </c>
      <c r="P1775" s="3" t="s">
        <v>102</v>
      </c>
      <c r="R1775" s="3" t="s">
        <v>70</v>
      </c>
      <c r="S1775" s="4">
        <v>1</v>
      </c>
      <c r="T1775" s="4">
        <v>1</v>
      </c>
      <c r="U1775" s="5" t="s">
        <v>14236</v>
      </c>
      <c r="V1775" s="5" t="s">
        <v>14236</v>
      </c>
      <c r="W1775" s="5" t="s">
        <v>72</v>
      </c>
      <c r="X1775" s="5" t="s">
        <v>72</v>
      </c>
      <c r="Y1775" s="4">
        <v>246</v>
      </c>
      <c r="Z1775" s="4">
        <v>14</v>
      </c>
      <c r="AA1775" s="4">
        <v>15</v>
      </c>
      <c r="AB1775" s="4">
        <v>1</v>
      </c>
      <c r="AC1775" s="4">
        <v>2</v>
      </c>
      <c r="AD1775" s="4">
        <v>32</v>
      </c>
      <c r="AE1775" s="4">
        <v>33</v>
      </c>
      <c r="AF1775" s="4">
        <v>0</v>
      </c>
      <c r="AG1775" s="4">
        <v>1</v>
      </c>
      <c r="AH1775" s="4">
        <v>31</v>
      </c>
      <c r="AI1775" s="4">
        <v>31</v>
      </c>
      <c r="AJ1775" s="4">
        <v>6</v>
      </c>
      <c r="AK1775" s="4">
        <v>7</v>
      </c>
      <c r="AL1775" s="4">
        <v>18</v>
      </c>
      <c r="AM1775" s="4">
        <v>18</v>
      </c>
      <c r="AN1775" s="4">
        <v>0</v>
      </c>
      <c r="AO1775" s="4">
        <v>0</v>
      </c>
      <c r="AP1775" s="4">
        <v>7</v>
      </c>
      <c r="AQ1775" s="4">
        <v>7</v>
      </c>
      <c r="AR1775" s="3" t="s">
        <v>64</v>
      </c>
      <c r="AS1775" s="3" t="s">
        <v>64</v>
      </c>
      <c r="AT1775" s="3" t="s">
        <v>128</v>
      </c>
      <c r="AU1775" s="6" t="str">
        <f>HYPERLINK("http://catalog.hathitrust.org/Record/008563484","HathiTrust Record")</f>
        <v>HathiTrust Record</v>
      </c>
      <c r="AV1775" s="6" t="str">
        <f>HYPERLINK("http://mcgill.on.worldcat.org/oclc/498370169","Catalog Record")</f>
        <v>Catalog Record</v>
      </c>
      <c r="AW1775" s="6" t="str">
        <f>HYPERLINK("http://www.worldcat.org/oclc/498370169","WorldCat Record")</f>
        <v>WorldCat Record</v>
      </c>
      <c r="AX1775" s="3" t="s">
        <v>17997</v>
      </c>
      <c r="AY1775" s="3" t="s">
        <v>17998</v>
      </c>
      <c r="AZ1775" s="3" t="s">
        <v>17999</v>
      </c>
      <c r="BA1775" s="3" t="s">
        <v>17999</v>
      </c>
      <c r="BB1775" s="3" t="s">
        <v>18000</v>
      </c>
      <c r="BC1775" s="3" t="s">
        <v>77</v>
      </c>
      <c r="BD1775" s="3" t="s">
        <v>78</v>
      </c>
      <c r="BE1775" s="3" t="s">
        <v>18001</v>
      </c>
      <c r="BF1775" s="3" t="s">
        <v>18000</v>
      </c>
      <c r="BG1775" s="3" t="s">
        <v>18002</v>
      </c>
      <c r="BH1775">
        <f t="shared" si="49"/>
        <v>0</v>
      </c>
    </row>
    <row r="1776" spans="1:60" ht="58" x14ac:dyDescent="0.35">
      <c r="A1776" s="2" t="s">
        <v>59</v>
      </c>
      <c r="B1776" s="2" t="s">
        <v>60</v>
      </c>
      <c r="C1776" s="2" t="s">
        <v>18003</v>
      </c>
      <c r="D1776" s="2" t="s">
        <v>18004</v>
      </c>
      <c r="E1776" s="2" t="s">
        <v>18005</v>
      </c>
      <c r="G1776" s="3" t="s">
        <v>64</v>
      </c>
      <c r="I1776" s="3" t="s">
        <v>64</v>
      </c>
      <c r="J1776" s="3" t="s">
        <v>64</v>
      </c>
      <c r="K1776" s="3" t="s">
        <v>65</v>
      </c>
      <c r="L1776" s="2" t="s">
        <v>18006</v>
      </c>
      <c r="M1776" s="2" t="s">
        <v>4095</v>
      </c>
      <c r="N1776" s="3" t="s">
        <v>253</v>
      </c>
      <c r="P1776" s="3" t="s">
        <v>102</v>
      </c>
      <c r="R1776" s="3" t="s">
        <v>70</v>
      </c>
      <c r="S1776" s="4">
        <v>0</v>
      </c>
      <c r="T1776" s="4">
        <v>0</v>
      </c>
      <c r="W1776" s="5" t="s">
        <v>72</v>
      </c>
      <c r="X1776" s="5" t="s">
        <v>72</v>
      </c>
      <c r="Y1776" s="4">
        <v>81</v>
      </c>
      <c r="Z1776" s="4">
        <v>4</v>
      </c>
      <c r="AA1776" s="4">
        <v>7</v>
      </c>
      <c r="AB1776" s="4">
        <v>1</v>
      </c>
      <c r="AC1776" s="4">
        <v>4</v>
      </c>
      <c r="AD1776" s="4">
        <v>10</v>
      </c>
      <c r="AE1776" s="4">
        <v>12</v>
      </c>
      <c r="AF1776" s="4">
        <v>0</v>
      </c>
      <c r="AG1776" s="4">
        <v>1</v>
      </c>
      <c r="AH1776" s="4">
        <v>10</v>
      </c>
      <c r="AI1776" s="4">
        <v>11</v>
      </c>
      <c r="AJ1776" s="4">
        <v>2</v>
      </c>
      <c r="AK1776" s="4">
        <v>3</v>
      </c>
      <c r="AL1776" s="4">
        <v>4</v>
      </c>
      <c r="AM1776" s="4">
        <v>5</v>
      </c>
      <c r="AN1776" s="4">
        <v>0</v>
      </c>
      <c r="AO1776" s="4">
        <v>0</v>
      </c>
      <c r="AP1776" s="4">
        <v>2</v>
      </c>
      <c r="AQ1776" s="4">
        <v>2</v>
      </c>
      <c r="AR1776" s="3" t="s">
        <v>64</v>
      </c>
      <c r="AS1776" s="3" t="s">
        <v>64</v>
      </c>
      <c r="AT1776" s="3" t="s">
        <v>64</v>
      </c>
      <c r="AV1776" s="6" t="str">
        <f>HYPERLINK("http://mcgill.on.worldcat.org/oclc/903688909","Catalog Record")</f>
        <v>Catalog Record</v>
      </c>
      <c r="AW1776" s="6" t="str">
        <f>HYPERLINK("http://www.worldcat.org/oclc/903688909","WorldCat Record")</f>
        <v>WorldCat Record</v>
      </c>
      <c r="AX1776" s="3" t="s">
        <v>18007</v>
      </c>
      <c r="AY1776" s="3" t="s">
        <v>18008</v>
      </c>
      <c r="AZ1776" s="3" t="s">
        <v>18009</v>
      </c>
      <c r="BA1776" s="3" t="s">
        <v>18009</v>
      </c>
      <c r="BB1776" s="3" t="s">
        <v>18010</v>
      </c>
      <c r="BC1776" s="3" t="s">
        <v>77</v>
      </c>
      <c r="BD1776" s="3" t="s">
        <v>78</v>
      </c>
      <c r="BE1776" s="3" t="s">
        <v>18011</v>
      </c>
      <c r="BF1776" s="3" t="s">
        <v>18010</v>
      </c>
      <c r="BG1776" s="3" t="s">
        <v>18012</v>
      </c>
      <c r="BH1776">
        <f t="shared" si="49"/>
        <v>0</v>
      </c>
    </row>
    <row r="1777" spans="1:60" ht="58" x14ac:dyDescent="0.35">
      <c r="A1777" s="2" t="s">
        <v>59</v>
      </c>
      <c r="B1777" s="2" t="s">
        <v>60</v>
      </c>
      <c r="C1777" s="2" t="s">
        <v>18013</v>
      </c>
      <c r="D1777" s="2" t="s">
        <v>18014</v>
      </c>
      <c r="E1777" s="2" t="s">
        <v>18015</v>
      </c>
      <c r="G1777" s="3" t="s">
        <v>64</v>
      </c>
      <c r="I1777" s="3" t="s">
        <v>64</v>
      </c>
      <c r="J1777" s="3" t="s">
        <v>64</v>
      </c>
      <c r="K1777" s="3" t="s">
        <v>65</v>
      </c>
      <c r="L1777" s="2" t="s">
        <v>18016</v>
      </c>
      <c r="M1777" s="2" t="s">
        <v>15333</v>
      </c>
      <c r="N1777" s="3" t="s">
        <v>67</v>
      </c>
      <c r="O1777" s="2" t="s">
        <v>18017</v>
      </c>
      <c r="P1777" s="3" t="s">
        <v>102</v>
      </c>
      <c r="R1777" s="3" t="s">
        <v>70</v>
      </c>
      <c r="S1777" s="4">
        <v>0</v>
      </c>
      <c r="T1777" s="4">
        <v>0</v>
      </c>
      <c r="W1777" s="5" t="s">
        <v>72</v>
      </c>
      <c r="X1777" s="5" t="s">
        <v>72</v>
      </c>
      <c r="Y1777" s="4">
        <v>53</v>
      </c>
      <c r="Z1777" s="4">
        <v>6</v>
      </c>
      <c r="AA1777" s="4">
        <v>13</v>
      </c>
      <c r="AB1777" s="4">
        <v>1</v>
      </c>
      <c r="AC1777" s="4">
        <v>6</v>
      </c>
      <c r="AD1777" s="4">
        <v>8</v>
      </c>
      <c r="AE1777" s="4">
        <v>24</v>
      </c>
      <c r="AF1777" s="4">
        <v>0</v>
      </c>
      <c r="AG1777" s="4">
        <v>2</v>
      </c>
      <c r="AH1777" s="4">
        <v>8</v>
      </c>
      <c r="AI1777" s="4">
        <v>19</v>
      </c>
      <c r="AJ1777" s="4">
        <v>4</v>
      </c>
      <c r="AK1777" s="4">
        <v>7</v>
      </c>
      <c r="AL1777" s="4">
        <v>3</v>
      </c>
      <c r="AM1777" s="4">
        <v>11</v>
      </c>
      <c r="AN1777" s="4">
        <v>0</v>
      </c>
      <c r="AO1777" s="4">
        <v>0</v>
      </c>
      <c r="AP1777" s="4">
        <v>4</v>
      </c>
      <c r="AQ1777" s="4">
        <v>7</v>
      </c>
      <c r="AR1777" s="3" t="s">
        <v>64</v>
      </c>
      <c r="AS1777" s="3" t="s">
        <v>64</v>
      </c>
      <c r="AT1777" s="3" t="s">
        <v>64</v>
      </c>
      <c r="AV1777" s="6" t="str">
        <f>HYPERLINK("http://mcgill.on.worldcat.org/oclc/872987695","Catalog Record")</f>
        <v>Catalog Record</v>
      </c>
      <c r="AW1777" s="6" t="str">
        <f>HYPERLINK("http://www.worldcat.org/oclc/872987695","WorldCat Record")</f>
        <v>WorldCat Record</v>
      </c>
      <c r="AX1777" s="3" t="s">
        <v>18018</v>
      </c>
      <c r="AY1777" s="3" t="s">
        <v>18019</v>
      </c>
      <c r="AZ1777" s="3" t="s">
        <v>18020</v>
      </c>
      <c r="BA1777" s="3" t="s">
        <v>18020</v>
      </c>
      <c r="BB1777" s="3" t="s">
        <v>18021</v>
      </c>
      <c r="BC1777" s="3" t="s">
        <v>77</v>
      </c>
      <c r="BD1777" s="3" t="s">
        <v>78</v>
      </c>
      <c r="BE1777" s="3" t="s">
        <v>18022</v>
      </c>
      <c r="BF1777" s="3" t="s">
        <v>18021</v>
      </c>
      <c r="BG1777" s="3" t="s">
        <v>18023</v>
      </c>
      <c r="BH1777">
        <f t="shared" si="49"/>
        <v>0</v>
      </c>
    </row>
    <row r="1778" spans="1:60" ht="58" x14ac:dyDescent="0.35">
      <c r="A1778" s="2" t="s">
        <v>59</v>
      </c>
      <c r="B1778" s="2" t="s">
        <v>60</v>
      </c>
      <c r="C1778" s="2" t="s">
        <v>18024</v>
      </c>
      <c r="D1778" s="2" t="s">
        <v>18025</v>
      </c>
      <c r="E1778" s="2" t="s">
        <v>18026</v>
      </c>
      <c r="G1778" s="3" t="s">
        <v>64</v>
      </c>
      <c r="I1778" s="3" t="s">
        <v>64</v>
      </c>
      <c r="J1778" s="3" t="s">
        <v>64</v>
      </c>
      <c r="K1778" s="3" t="s">
        <v>65</v>
      </c>
      <c r="L1778" s="2" t="s">
        <v>18027</v>
      </c>
      <c r="M1778" s="2" t="s">
        <v>14033</v>
      </c>
      <c r="N1778" s="3" t="s">
        <v>434</v>
      </c>
      <c r="P1778" s="3" t="s">
        <v>102</v>
      </c>
      <c r="R1778" s="3" t="s">
        <v>70</v>
      </c>
      <c r="S1778" s="4">
        <v>9</v>
      </c>
      <c r="T1778" s="4">
        <v>9</v>
      </c>
      <c r="U1778" s="5" t="s">
        <v>18028</v>
      </c>
      <c r="V1778" s="5" t="s">
        <v>18028</v>
      </c>
      <c r="W1778" s="5" t="s">
        <v>72</v>
      </c>
      <c r="X1778" s="5" t="s">
        <v>72</v>
      </c>
      <c r="Y1778" s="4">
        <v>184</v>
      </c>
      <c r="Z1778" s="4">
        <v>13</v>
      </c>
      <c r="AA1778" s="4">
        <v>14</v>
      </c>
      <c r="AB1778" s="4">
        <v>1</v>
      </c>
      <c r="AC1778" s="4">
        <v>2</v>
      </c>
      <c r="AD1778" s="4">
        <v>47</v>
      </c>
      <c r="AE1778" s="4">
        <v>48</v>
      </c>
      <c r="AF1778" s="4">
        <v>0</v>
      </c>
      <c r="AG1778" s="4">
        <v>1</v>
      </c>
      <c r="AH1778" s="4">
        <v>43</v>
      </c>
      <c r="AI1778" s="4">
        <v>43</v>
      </c>
      <c r="AJ1778" s="4">
        <v>8</v>
      </c>
      <c r="AK1778" s="4">
        <v>9</v>
      </c>
      <c r="AL1778" s="4">
        <v>19</v>
      </c>
      <c r="AM1778" s="4">
        <v>19</v>
      </c>
      <c r="AN1778" s="4">
        <v>0</v>
      </c>
      <c r="AO1778" s="4">
        <v>0</v>
      </c>
      <c r="AP1778" s="4">
        <v>9</v>
      </c>
      <c r="AQ1778" s="4">
        <v>9</v>
      </c>
      <c r="AR1778" s="3" t="s">
        <v>64</v>
      </c>
      <c r="AS1778" s="3" t="s">
        <v>64</v>
      </c>
      <c r="AT1778" s="3" t="s">
        <v>64</v>
      </c>
      <c r="AV1778" s="6" t="str">
        <f>HYPERLINK("http://mcgill.on.worldcat.org/oclc/55847424","Catalog Record")</f>
        <v>Catalog Record</v>
      </c>
      <c r="AW1778" s="6" t="str">
        <f>HYPERLINK("http://www.worldcat.org/oclc/55847424","WorldCat Record")</f>
        <v>WorldCat Record</v>
      </c>
      <c r="AX1778" s="3" t="s">
        <v>18029</v>
      </c>
      <c r="AY1778" s="3" t="s">
        <v>18030</v>
      </c>
      <c r="AZ1778" s="3" t="s">
        <v>18031</v>
      </c>
      <c r="BA1778" s="3" t="s">
        <v>18031</v>
      </c>
      <c r="BB1778" s="3" t="s">
        <v>18032</v>
      </c>
      <c r="BC1778" s="3" t="s">
        <v>77</v>
      </c>
      <c r="BD1778" s="3" t="s">
        <v>78</v>
      </c>
      <c r="BE1778" s="3" t="s">
        <v>18033</v>
      </c>
      <c r="BF1778" s="3" t="s">
        <v>18032</v>
      </c>
      <c r="BG1778" s="3" t="s">
        <v>18034</v>
      </c>
      <c r="BH1778">
        <f t="shared" si="49"/>
        <v>0</v>
      </c>
    </row>
    <row r="1779" spans="1:60" ht="58" x14ac:dyDescent="0.35">
      <c r="A1779" s="2" t="s">
        <v>59</v>
      </c>
      <c r="B1779" s="2" t="s">
        <v>60</v>
      </c>
      <c r="C1779" s="2" t="s">
        <v>18035</v>
      </c>
      <c r="D1779" s="2" t="s">
        <v>18036</v>
      </c>
      <c r="E1779" s="2" t="s">
        <v>18037</v>
      </c>
      <c r="G1779" s="3" t="s">
        <v>64</v>
      </c>
      <c r="I1779" s="3" t="s">
        <v>64</v>
      </c>
      <c r="J1779" s="3" t="s">
        <v>64</v>
      </c>
      <c r="K1779" s="3" t="s">
        <v>65</v>
      </c>
      <c r="L1779" s="2" t="s">
        <v>18027</v>
      </c>
      <c r="M1779" s="2" t="s">
        <v>14772</v>
      </c>
      <c r="N1779" s="3" t="s">
        <v>1087</v>
      </c>
      <c r="P1779" s="3" t="s">
        <v>102</v>
      </c>
      <c r="R1779" s="3" t="s">
        <v>70</v>
      </c>
      <c r="S1779" s="4">
        <v>12</v>
      </c>
      <c r="T1779" s="4">
        <v>12</v>
      </c>
      <c r="U1779" s="5" t="s">
        <v>1628</v>
      </c>
      <c r="V1779" s="5" t="s">
        <v>1628</v>
      </c>
      <c r="W1779" s="5" t="s">
        <v>72</v>
      </c>
      <c r="X1779" s="5" t="s">
        <v>72</v>
      </c>
      <c r="Y1779" s="4">
        <v>285</v>
      </c>
      <c r="Z1779" s="4">
        <v>19</v>
      </c>
      <c r="AA1779" s="4">
        <v>20</v>
      </c>
      <c r="AB1779" s="4">
        <v>2</v>
      </c>
      <c r="AC1779" s="4">
        <v>3</v>
      </c>
      <c r="AD1779" s="4">
        <v>71</v>
      </c>
      <c r="AE1779" s="4">
        <v>72</v>
      </c>
      <c r="AF1779" s="4">
        <v>0</v>
      </c>
      <c r="AG1779" s="4">
        <v>1</v>
      </c>
      <c r="AH1779" s="4">
        <v>63</v>
      </c>
      <c r="AI1779" s="4">
        <v>63</v>
      </c>
      <c r="AJ1779" s="4">
        <v>10</v>
      </c>
      <c r="AK1779" s="4">
        <v>11</v>
      </c>
      <c r="AL1779" s="4">
        <v>31</v>
      </c>
      <c r="AM1779" s="4">
        <v>31</v>
      </c>
      <c r="AN1779" s="4">
        <v>0</v>
      </c>
      <c r="AO1779" s="4">
        <v>0</v>
      </c>
      <c r="AP1779" s="4">
        <v>12</v>
      </c>
      <c r="AQ1779" s="4">
        <v>12</v>
      </c>
      <c r="AR1779" s="3" t="s">
        <v>64</v>
      </c>
      <c r="AS1779" s="3" t="s">
        <v>64</v>
      </c>
      <c r="AT1779" s="3" t="s">
        <v>128</v>
      </c>
      <c r="AU1779" s="6" t="str">
        <f>HYPERLINK("http://catalog.hathitrust.org/Record/002441389","HathiTrust Record")</f>
        <v>HathiTrust Record</v>
      </c>
      <c r="AV1779" s="6" t="str">
        <f>HYPERLINK("http://mcgill.on.worldcat.org/oclc/21869882","Catalog Record")</f>
        <v>Catalog Record</v>
      </c>
      <c r="AW1779" s="6" t="str">
        <f>HYPERLINK("http://www.worldcat.org/oclc/21869882","WorldCat Record")</f>
        <v>WorldCat Record</v>
      </c>
      <c r="AX1779" s="3" t="s">
        <v>18038</v>
      </c>
      <c r="AY1779" s="3" t="s">
        <v>18039</v>
      </c>
      <c r="AZ1779" s="3" t="s">
        <v>18040</v>
      </c>
      <c r="BA1779" s="3" t="s">
        <v>18040</v>
      </c>
      <c r="BB1779" s="3" t="s">
        <v>18041</v>
      </c>
      <c r="BC1779" s="3" t="s">
        <v>77</v>
      </c>
      <c r="BD1779" s="3" t="s">
        <v>78</v>
      </c>
      <c r="BE1779" s="3" t="s">
        <v>18042</v>
      </c>
      <c r="BF1779" s="3" t="s">
        <v>18041</v>
      </c>
      <c r="BG1779" s="3" t="s">
        <v>18043</v>
      </c>
      <c r="BH1779">
        <f t="shared" si="49"/>
        <v>0</v>
      </c>
    </row>
    <row r="1780" spans="1:60" ht="58" x14ac:dyDescent="0.35">
      <c r="A1780" s="2" t="s">
        <v>59</v>
      </c>
      <c r="B1780" s="2" t="s">
        <v>60</v>
      </c>
      <c r="C1780" s="2" t="s">
        <v>18044</v>
      </c>
      <c r="D1780" s="2" t="s">
        <v>18045</v>
      </c>
      <c r="E1780" s="2" t="s">
        <v>18046</v>
      </c>
      <c r="G1780" s="3" t="s">
        <v>64</v>
      </c>
      <c r="I1780" s="3" t="s">
        <v>64</v>
      </c>
      <c r="J1780" s="3" t="s">
        <v>64</v>
      </c>
      <c r="K1780" s="3" t="s">
        <v>65</v>
      </c>
      <c r="L1780" s="2" t="s">
        <v>18027</v>
      </c>
      <c r="M1780" s="2" t="s">
        <v>16093</v>
      </c>
      <c r="N1780" s="3" t="s">
        <v>511</v>
      </c>
      <c r="P1780" s="3" t="s">
        <v>102</v>
      </c>
      <c r="R1780" s="3" t="s">
        <v>70</v>
      </c>
      <c r="S1780" s="4">
        <v>0</v>
      </c>
      <c r="T1780" s="4">
        <v>0</v>
      </c>
      <c r="W1780" s="5" t="s">
        <v>72</v>
      </c>
      <c r="X1780" s="5" t="s">
        <v>72</v>
      </c>
      <c r="Y1780" s="4">
        <v>87</v>
      </c>
      <c r="Z1780" s="4">
        <v>7</v>
      </c>
      <c r="AA1780" s="4">
        <v>8</v>
      </c>
      <c r="AB1780" s="4">
        <v>1</v>
      </c>
      <c r="AC1780" s="4">
        <v>2</v>
      </c>
      <c r="AD1780" s="4">
        <v>23</v>
      </c>
      <c r="AE1780" s="4">
        <v>24</v>
      </c>
      <c r="AF1780" s="4">
        <v>0</v>
      </c>
      <c r="AG1780" s="4">
        <v>1</v>
      </c>
      <c r="AH1780" s="4">
        <v>23</v>
      </c>
      <c r="AI1780" s="4">
        <v>23</v>
      </c>
      <c r="AJ1780" s="4">
        <v>4</v>
      </c>
      <c r="AK1780" s="4">
        <v>5</v>
      </c>
      <c r="AL1780" s="4">
        <v>13</v>
      </c>
      <c r="AM1780" s="4">
        <v>13</v>
      </c>
      <c r="AN1780" s="4">
        <v>0</v>
      </c>
      <c r="AO1780" s="4">
        <v>0</v>
      </c>
      <c r="AP1780" s="4">
        <v>4</v>
      </c>
      <c r="AQ1780" s="4">
        <v>4</v>
      </c>
      <c r="AR1780" s="3" t="s">
        <v>64</v>
      </c>
      <c r="AS1780" s="3" t="s">
        <v>64</v>
      </c>
      <c r="AT1780" s="3" t="s">
        <v>64</v>
      </c>
      <c r="AV1780" s="6" t="str">
        <f>HYPERLINK("http://mcgill.on.worldcat.org/oclc/639573825","Catalog Record")</f>
        <v>Catalog Record</v>
      </c>
      <c r="AW1780" s="6" t="str">
        <f>HYPERLINK("http://www.worldcat.org/oclc/639573825","WorldCat Record")</f>
        <v>WorldCat Record</v>
      </c>
      <c r="AX1780" s="3" t="s">
        <v>18047</v>
      </c>
      <c r="AY1780" s="3" t="s">
        <v>18048</v>
      </c>
      <c r="AZ1780" s="3" t="s">
        <v>18049</v>
      </c>
      <c r="BA1780" s="3" t="s">
        <v>18049</v>
      </c>
      <c r="BB1780" s="3" t="s">
        <v>18050</v>
      </c>
      <c r="BC1780" s="3" t="s">
        <v>77</v>
      </c>
      <c r="BD1780" s="3" t="s">
        <v>78</v>
      </c>
      <c r="BE1780" s="3" t="s">
        <v>18051</v>
      </c>
      <c r="BF1780" s="3" t="s">
        <v>18050</v>
      </c>
      <c r="BG1780" s="3" t="s">
        <v>18052</v>
      </c>
      <c r="BH1780">
        <f t="shared" si="49"/>
        <v>0</v>
      </c>
    </row>
    <row r="1781" spans="1:60" ht="58" x14ac:dyDescent="0.35">
      <c r="A1781" s="2" t="s">
        <v>59</v>
      </c>
      <c r="B1781" s="2" t="s">
        <v>60</v>
      </c>
      <c r="C1781" s="2" t="s">
        <v>18053</v>
      </c>
      <c r="D1781" s="2" t="s">
        <v>18054</v>
      </c>
      <c r="E1781" s="2" t="s">
        <v>18055</v>
      </c>
      <c r="G1781" s="3" t="s">
        <v>64</v>
      </c>
      <c r="I1781" s="3" t="s">
        <v>64</v>
      </c>
      <c r="J1781" s="3" t="s">
        <v>64</v>
      </c>
      <c r="K1781" s="3" t="s">
        <v>65</v>
      </c>
      <c r="L1781" s="2" t="s">
        <v>18056</v>
      </c>
      <c r="M1781" s="2" t="s">
        <v>14793</v>
      </c>
      <c r="N1781" s="3" t="s">
        <v>1075</v>
      </c>
      <c r="O1781" s="2" t="s">
        <v>15120</v>
      </c>
      <c r="P1781" s="3" t="s">
        <v>102</v>
      </c>
      <c r="R1781" s="3" t="s">
        <v>70</v>
      </c>
      <c r="S1781" s="4">
        <v>0</v>
      </c>
      <c r="T1781" s="4">
        <v>0</v>
      </c>
      <c r="W1781" s="5" t="s">
        <v>72</v>
      </c>
      <c r="X1781" s="5" t="s">
        <v>72</v>
      </c>
      <c r="Y1781" s="4">
        <v>142</v>
      </c>
      <c r="Z1781" s="4">
        <v>13</v>
      </c>
      <c r="AA1781" s="4">
        <v>15</v>
      </c>
      <c r="AB1781" s="4">
        <v>3</v>
      </c>
      <c r="AC1781" s="4">
        <v>5</v>
      </c>
      <c r="AD1781" s="4">
        <v>41</v>
      </c>
      <c r="AE1781" s="4">
        <v>43</v>
      </c>
      <c r="AF1781" s="4">
        <v>1</v>
      </c>
      <c r="AG1781" s="4">
        <v>1</v>
      </c>
      <c r="AH1781" s="4">
        <v>37</v>
      </c>
      <c r="AI1781" s="4">
        <v>39</v>
      </c>
      <c r="AJ1781" s="4">
        <v>6</v>
      </c>
      <c r="AK1781" s="4">
        <v>6</v>
      </c>
      <c r="AL1781" s="4">
        <v>15</v>
      </c>
      <c r="AM1781" s="4">
        <v>16</v>
      </c>
      <c r="AN1781" s="4">
        <v>0</v>
      </c>
      <c r="AO1781" s="4">
        <v>0</v>
      </c>
      <c r="AP1781" s="4">
        <v>7</v>
      </c>
      <c r="AQ1781" s="4">
        <v>7</v>
      </c>
      <c r="AR1781" s="3" t="s">
        <v>64</v>
      </c>
      <c r="AS1781" s="3" t="s">
        <v>64</v>
      </c>
      <c r="AT1781" s="3" t="s">
        <v>64</v>
      </c>
      <c r="AV1781" s="6" t="str">
        <f>HYPERLINK("http://mcgill.on.worldcat.org/oclc/841039471","Catalog Record")</f>
        <v>Catalog Record</v>
      </c>
      <c r="AW1781" s="6" t="str">
        <f>HYPERLINK("http://www.worldcat.org/oclc/841039471","WorldCat Record")</f>
        <v>WorldCat Record</v>
      </c>
      <c r="AX1781" s="3" t="s">
        <v>18057</v>
      </c>
      <c r="AY1781" s="3" t="s">
        <v>18058</v>
      </c>
      <c r="AZ1781" s="3" t="s">
        <v>18059</v>
      </c>
      <c r="BA1781" s="3" t="s">
        <v>18059</v>
      </c>
      <c r="BB1781" s="3" t="s">
        <v>18060</v>
      </c>
      <c r="BC1781" s="3" t="s">
        <v>77</v>
      </c>
      <c r="BD1781" s="3" t="s">
        <v>78</v>
      </c>
      <c r="BE1781" s="3" t="s">
        <v>18061</v>
      </c>
      <c r="BF1781" s="3" t="s">
        <v>18060</v>
      </c>
      <c r="BG1781" s="3" t="s">
        <v>18062</v>
      </c>
      <c r="BH1781">
        <f t="shared" si="49"/>
        <v>0</v>
      </c>
    </row>
    <row r="1782" spans="1:60" ht="72.5" x14ac:dyDescent="0.35">
      <c r="A1782" s="2" t="s">
        <v>59</v>
      </c>
      <c r="B1782" s="2" t="s">
        <v>60</v>
      </c>
      <c r="C1782" s="2" t="s">
        <v>18063</v>
      </c>
      <c r="D1782" s="2" t="s">
        <v>18064</v>
      </c>
      <c r="E1782" s="2" t="s">
        <v>18065</v>
      </c>
      <c r="G1782" s="3" t="s">
        <v>64</v>
      </c>
      <c r="I1782" s="3" t="s">
        <v>64</v>
      </c>
      <c r="J1782" s="3" t="s">
        <v>64</v>
      </c>
      <c r="K1782" s="3" t="s">
        <v>65</v>
      </c>
      <c r="L1782" s="2" t="s">
        <v>18066</v>
      </c>
      <c r="M1782" s="2" t="s">
        <v>14442</v>
      </c>
      <c r="N1782" s="3" t="s">
        <v>578</v>
      </c>
      <c r="P1782" s="3" t="s">
        <v>102</v>
      </c>
      <c r="R1782" s="3" t="s">
        <v>70</v>
      </c>
      <c r="S1782" s="4">
        <v>0</v>
      </c>
      <c r="T1782" s="4">
        <v>0</v>
      </c>
      <c r="W1782" s="5" t="s">
        <v>72</v>
      </c>
      <c r="X1782" s="5" t="s">
        <v>72</v>
      </c>
      <c r="Y1782" s="4">
        <v>116</v>
      </c>
      <c r="Z1782" s="4">
        <v>4</v>
      </c>
      <c r="AA1782" s="4">
        <v>68</v>
      </c>
      <c r="AB1782" s="4">
        <v>1</v>
      </c>
      <c r="AC1782" s="4">
        <v>14</v>
      </c>
      <c r="AD1782" s="4">
        <v>27</v>
      </c>
      <c r="AE1782" s="4">
        <v>85</v>
      </c>
      <c r="AF1782" s="4">
        <v>0</v>
      </c>
      <c r="AG1782" s="4">
        <v>8</v>
      </c>
      <c r="AH1782" s="4">
        <v>27</v>
      </c>
      <c r="AI1782" s="4">
        <v>58</v>
      </c>
      <c r="AJ1782" s="4">
        <v>3</v>
      </c>
      <c r="AK1782" s="4">
        <v>16</v>
      </c>
      <c r="AL1782" s="4">
        <v>14</v>
      </c>
      <c r="AM1782" s="4">
        <v>29</v>
      </c>
      <c r="AN1782" s="4">
        <v>0</v>
      </c>
      <c r="AO1782" s="4">
        <v>0</v>
      </c>
      <c r="AP1782" s="4">
        <v>3</v>
      </c>
      <c r="AQ1782" s="4">
        <v>32</v>
      </c>
      <c r="AR1782" s="3" t="s">
        <v>64</v>
      </c>
      <c r="AS1782" s="3" t="s">
        <v>64</v>
      </c>
      <c r="AT1782" s="3" t="s">
        <v>64</v>
      </c>
      <c r="AV1782" s="6" t="str">
        <f>HYPERLINK("http://mcgill.on.worldcat.org/oclc/957134121","Catalog Record")</f>
        <v>Catalog Record</v>
      </c>
      <c r="AW1782" s="6" t="str">
        <f>HYPERLINK("http://www.worldcat.org/oclc/957134121","WorldCat Record")</f>
        <v>WorldCat Record</v>
      </c>
      <c r="AX1782" s="3" t="s">
        <v>18067</v>
      </c>
      <c r="AY1782" s="3" t="s">
        <v>18068</v>
      </c>
      <c r="AZ1782" s="3" t="s">
        <v>18069</v>
      </c>
      <c r="BA1782" s="3" t="s">
        <v>18069</v>
      </c>
      <c r="BB1782" s="3" t="s">
        <v>18070</v>
      </c>
      <c r="BC1782" s="3" t="s">
        <v>77</v>
      </c>
      <c r="BD1782" s="3" t="s">
        <v>78</v>
      </c>
      <c r="BE1782" s="3" t="s">
        <v>18071</v>
      </c>
      <c r="BF1782" s="3" t="s">
        <v>18070</v>
      </c>
      <c r="BG1782" s="3" t="s">
        <v>18072</v>
      </c>
      <c r="BH1782">
        <f t="shared" si="49"/>
        <v>0</v>
      </c>
    </row>
    <row r="1783" spans="1:60" ht="58" x14ac:dyDescent="0.35">
      <c r="A1783" s="2" t="s">
        <v>59</v>
      </c>
      <c r="B1783" s="2" t="s">
        <v>60</v>
      </c>
      <c r="C1783" s="2" t="s">
        <v>18073</v>
      </c>
      <c r="D1783" s="2" t="s">
        <v>18074</v>
      </c>
      <c r="E1783" s="2" t="s">
        <v>18075</v>
      </c>
      <c r="G1783" s="3" t="s">
        <v>64</v>
      </c>
      <c r="I1783" s="3" t="s">
        <v>64</v>
      </c>
      <c r="J1783" s="3" t="s">
        <v>128</v>
      </c>
      <c r="K1783" s="3" t="s">
        <v>65</v>
      </c>
      <c r="L1783" s="2" t="s">
        <v>18076</v>
      </c>
      <c r="M1783" s="2" t="s">
        <v>16093</v>
      </c>
      <c r="N1783" s="3" t="s">
        <v>511</v>
      </c>
      <c r="O1783" s="2" t="s">
        <v>18077</v>
      </c>
      <c r="P1783" s="3" t="s">
        <v>102</v>
      </c>
      <c r="R1783" s="3" t="s">
        <v>70</v>
      </c>
      <c r="S1783" s="4">
        <v>2</v>
      </c>
      <c r="T1783" s="4">
        <v>2</v>
      </c>
      <c r="U1783" s="5" t="s">
        <v>18078</v>
      </c>
      <c r="V1783" s="5" t="s">
        <v>18078</v>
      </c>
      <c r="W1783" s="5" t="s">
        <v>72</v>
      </c>
      <c r="X1783" s="5" t="s">
        <v>72</v>
      </c>
      <c r="Y1783" s="4">
        <v>121</v>
      </c>
      <c r="Z1783" s="4">
        <v>7</v>
      </c>
      <c r="AA1783" s="4">
        <v>20</v>
      </c>
      <c r="AB1783" s="4">
        <v>1</v>
      </c>
      <c r="AC1783" s="4">
        <v>2</v>
      </c>
      <c r="AD1783" s="4">
        <v>21</v>
      </c>
      <c r="AE1783" s="4">
        <v>62</v>
      </c>
      <c r="AF1783" s="4">
        <v>0</v>
      </c>
      <c r="AG1783" s="4">
        <v>1</v>
      </c>
      <c r="AH1783" s="4">
        <v>20</v>
      </c>
      <c r="AI1783" s="4">
        <v>55</v>
      </c>
      <c r="AJ1783" s="4">
        <v>5</v>
      </c>
      <c r="AK1783" s="4">
        <v>13</v>
      </c>
      <c r="AL1783" s="4">
        <v>11</v>
      </c>
      <c r="AM1783" s="4">
        <v>22</v>
      </c>
      <c r="AN1783" s="4">
        <v>0</v>
      </c>
      <c r="AO1783" s="4">
        <v>0</v>
      </c>
      <c r="AP1783" s="4">
        <v>5</v>
      </c>
      <c r="AQ1783" s="4">
        <v>12</v>
      </c>
      <c r="AR1783" s="3" t="s">
        <v>64</v>
      </c>
      <c r="AS1783" s="3" t="s">
        <v>64</v>
      </c>
      <c r="AT1783" s="3" t="s">
        <v>64</v>
      </c>
      <c r="AV1783" s="6" t="str">
        <f>HYPERLINK("http://mcgill.on.worldcat.org/oclc/548555611","Catalog Record")</f>
        <v>Catalog Record</v>
      </c>
      <c r="AW1783" s="6" t="str">
        <f>HYPERLINK("http://www.worldcat.org/oclc/548555611","WorldCat Record")</f>
        <v>WorldCat Record</v>
      </c>
      <c r="AX1783" s="3" t="s">
        <v>18079</v>
      </c>
      <c r="AY1783" s="3" t="s">
        <v>18080</v>
      </c>
      <c r="AZ1783" s="3" t="s">
        <v>18081</v>
      </c>
      <c r="BA1783" s="3" t="s">
        <v>18081</v>
      </c>
      <c r="BB1783" s="3" t="s">
        <v>18082</v>
      </c>
      <c r="BC1783" s="3" t="s">
        <v>77</v>
      </c>
      <c r="BD1783" s="3" t="s">
        <v>78</v>
      </c>
      <c r="BE1783" s="3" t="s">
        <v>18083</v>
      </c>
      <c r="BF1783" s="3" t="s">
        <v>18082</v>
      </c>
      <c r="BG1783" s="3" t="s">
        <v>18084</v>
      </c>
      <c r="BH1783">
        <f t="shared" si="49"/>
        <v>0</v>
      </c>
    </row>
    <row r="1784" spans="1:60" ht="58" x14ac:dyDescent="0.35">
      <c r="A1784" s="2" t="s">
        <v>59</v>
      </c>
      <c r="B1784" s="2" t="s">
        <v>60</v>
      </c>
      <c r="C1784" s="2" t="s">
        <v>18085</v>
      </c>
      <c r="D1784" s="2" t="s">
        <v>18086</v>
      </c>
      <c r="E1784" s="2" t="s">
        <v>18087</v>
      </c>
      <c r="G1784" s="3" t="s">
        <v>64</v>
      </c>
      <c r="I1784" s="3" t="s">
        <v>64</v>
      </c>
      <c r="J1784" s="3" t="s">
        <v>64</v>
      </c>
      <c r="K1784" s="3" t="s">
        <v>65</v>
      </c>
      <c r="L1784" s="2" t="s">
        <v>18088</v>
      </c>
      <c r="M1784" s="2" t="s">
        <v>16093</v>
      </c>
      <c r="N1784" s="3" t="s">
        <v>511</v>
      </c>
      <c r="P1784" s="3" t="s">
        <v>102</v>
      </c>
      <c r="R1784" s="3" t="s">
        <v>70</v>
      </c>
      <c r="S1784" s="4">
        <v>2</v>
      </c>
      <c r="T1784" s="4">
        <v>2</v>
      </c>
      <c r="U1784" s="5" t="s">
        <v>18089</v>
      </c>
      <c r="V1784" s="5" t="s">
        <v>18089</v>
      </c>
      <c r="W1784" s="5" t="s">
        <v>72</v>
      </c>
      <c r="X1784" s="5" t="s">
        <v>72</v>
      </c>
      <c r="Y1784" s="4">
        <v>78</v>
      </c>
      <c r="Z1784" s="4">
        <v>7</v>
      </c>
      <c r="AA1784" s="4">
        <v>42</v>
      </c>
      <c r="AB1784" s="4">
        <v>1</v>
      </c>
      <c r="AC1784" s="4">
        <v>7</v>
      </c>
      <c r="AD1784" s="4">
        <v>22</v>
      </c>
      <c r="AE1784" s="4">
        <v>38</v>
      </c>
      <c r="AF1784" s="4">
        <v>0</v>
      </c>
      <c r="AG1784" s="4">
        <v>1</v>
      </c>
      <c r="AH1784" s="4">
        <v>22</v>
      </c>
      <c r="AI1784" s="4">
        <v>33</v>
      </c>
      <c r="AJ1784" s="4">
        <v>5</v>
      </c>
      <c r="AK1784" s="4">
        <v>6</v>
      </c>
      <c r="AL1784" s="4">
        <v>11</v>
      </c>
      <c r="AM1784" s="4">
        <v>16</v>
      </c>
      <c r="AN1784" s="4">
        <v>0</v>
      </c>
      <c r="AO1784" s="4">
        <v>0</v>
      </c>
      <c r="AP1784" s="4">
        <v>5</v>
      </c>
      <c r="AQ1784" s="4">
        <v>9</v>
      </c>
      <c r="AR1784" s="3" t="s">
        <v>64</v>
      </c>
      <c r="AS1784" s="3" t="s">
        <v>64</v>
      </c>
      <c r="AT1784" s="3" t="s">
        <v>64</v>
      </c>
      <c r="AV1784" s="6" t="str">
        <f>HYPERLINK("http://mcgill.on.worldcat.org/oclc/607083825","Catalog Record")</f>
        <v>Catalog Record</v>
      </c>
      <c r="AW1784" s="6" t="str">
        <f>HYPERLINK("http://www.worldcat.org/oclc/607083825","WorldCat Record")</f>
        <v>WorldCat Record</v>
      </c>
      <c r="AX1784" s="3" t="s">
        <v>18090</v>
      </c>
      <c r="AY1784" s="3" t="s">
        <v>18091</v>
      </c>
      <c r="AZ1784" s="3" t="s">
        <v>18092</v>
      </c>
      <c r="BA1784" s="3" t="s">
        <v>18092</v>
      </c>
      <c r="BB1784" s="3" t="s">
        <v>18093</v>
      </c>
      <c r="BC1784" s="3" t="s">
        <v>77</v>
      </c>
      <c r="BD1784" s="3" t="s">
        <v>78</v>
      </c>
      <c r="BE1784" s="3" t="s">
        <v>18094</v>
      </c>
      <c r="BF1784" s="3" t="s">
        <v>18093</v>
      </c>
      <c r="BG1784" s="3" t="s">
        <v>18095</v>
      </c>
      <c r="BH1784">
        <f t="shared" si="49"/>
        <v>0</v>
      </c>
    </row>
    <row r="1785" spans="1:60" ht="58" x14ac:dyDescent="0.35">
      <c r="A1785" s="2" t="s">
        <v>59</v>
      </c>
      <c r="B1785" s="2" t="s">
        <v>60</v>
      </c>
      <c r="C1785" s="2" t="s">
        <v>18096</v>
      </c>
      <c r="D1785" s="2" t="s">
        <v>18097</v>
      </c>
      <c r="E1785" s="2" t="s">
        <v>18098</v>
      </c>
      <c r="G1785" s="3" t="s">
        <v>64</v>
      </c>
      <c r="I1785" s="3" t="s">
        <v>64</v>
      </c>
      <c r="J1785" s="3" t="s">
        <v>64</v>
      </c>
      <c r="K1785" s="3" t="s">
        <v>65</v>
      </c>
      <c r="M1785" s="2" t="s">
        <v>18099</v>
      </c>
      <c r="N1785" s="3" t="s">
        <v>326</v>
      </c>
      <c r="P1785" s="3" t="s">
        <v>102</v>
      </c>
      <c r="Q1785" s="2" t="s">
        <v>18100</v>
      </c>
      <c r="R1785" s="3" t="s">
        <v>70</v>
      </c>
      <c r="S1785" s="4">
        <v>1</v>
      </c>
      <c r="T1785" s="4">
        <v>1</v>
      </c>
      <c r="U1785" s="5" t="s">
        <v>18101</v>
      </c>
      <c r="V1785" s="5" t="s">
        <v>18101</v>
      </c>
      <c r="W1785" s="5" t="s">
        <v>72</v>
      </c>
      <c r="X1785" s="5" t="s">
        <v>72</v>
      </c>
      <c r="Y1785" s="4">
        <v>110</v>
      </c>
      <c r="Z1785" s="4">
        <v>7</v>
      </c>
      <c r="AA1785" s="4">
        <v>87</v>
      </c>
      <c r="AB1785" s="4">
        <v>1</v>
      </c>
      <c r="AC1785" s="4">
        <v>17</v>
      </c>
      <c r="AD1785" s="4">
        <v>30</v>
      </c>
      <c r="AE1785" s="4">
        <v>104</v>
      </c>
      <c r="AF1785" s="4">
        <v>0</v>
      </c>
      <c r="AG1785" s="4">
        <v>8</v>
      </c>
      <c r="AH1785" s="4">
        <v>29</v>
      </c>
      <c r="AI1785" s="4">
        <v>71</v>
      </c>
      <c r="AJ1785" s="4">
        <v>5</v>
      </c>
      <c r="AK1785" s="4">
        <v>20</v>
      </c>
      <c r="AL1785" s="4">
        <v>18</v>
      </c>
      <c r="AM1785" s="4">
        <v>36</v>
      </c>
      <c r="AN1785" s="4">
        <v>0</v>
      </c>
      <c r="AO1785" s="4">
        <v>0</v>
      </c>
      <c r="AP1785" s="4">
        <v>5</v>
      </c>
      <c r="AQ1785" s="4">
        <v>41</v>
      </c>
      <c r="AR1785" s="3" t="s">
        <v>64</v>
      </c>
      <c r="AS1785" s="3" t="s">
        <v>64</v>
      </c>
      <c r="AT1785" s="3" t="s">
        <v>64</v>
      </c>
      <c r="AV1785" s="6" t="str">
        <f>HYPERLINK("http://mcgill.on.worldcat.org/oclc/613423140","Catalog Record")</f>
        <v>Catalog Record</v>
      </c>
      <c r="AW1785" s="6" t="str">
        <f>HYPERLINK("http://www.worldcat.org/oclc/613423140","WorldCat Record")</f>
        <v>WorldCat Record</v>
      </c>
      <c r="AX1785" s="3" t="s">
        <v>18102</v>
      </c>
      <c r="AY1785" s="3" t="s">
        <v>18103</v>
      </c>
      <c r="AZ1785" s="3" t="s">
        <v>18104</v>
      </c>
      <c r="BA1785" s="3" t="s">
        <v>18104</v>
      </c>
      <c r="BB1785" s="3" t="s">
        <v>18105</v>
      </c>
      <c r="BC1785" s="3" t="s">
        <v>77</v>
      </c>
      <c r="BD1785" s="3" t="s">
        <v>78</v>
      </c>
      <c r="BE1785" s="3" t="s">
        <v>18106</v>
      </c>
      <c r="BF1785" s="3" t="s">
        <v>18105</v>
      </c>
      <c r="BG1785" s="3" t="s">
        <v>18107</v>
      </c>
      <c r="BH1785">
        <f t="shared" si="49"/>
        <v>0</v>
      </c>
    </row>
    <row r="1786" spans="1:60" ht="58" x14ac:dyDescent="0.35">
      <c r="A1786" s="2" t="s">
        <v>59</v>
      </c>
      <c r="B1786" s="2" t="s">
        <v>60</v>
      </c>
      <c r="C1786" s="2" t="s">
        <v>18108</v>
      </c>
      <c r="D1786" s="2" t="s">
        <v>18109</v>
      </c>
      <c r="E1786" s="2" t="s">
        <v>18110</v>
      </c>
      <c r="G1786" s="3" t="s">
        <v>64</v>
      </c>
      <c r="I1786" s="3" t="s">
        <v>64</v>
      </c>
      <c r="J1786" s="3" t="s">
        <v>64</v>
      </c>
      <c r="K1786" s="3" t="s">
        <v>65</v>
      </c>
      <c r="M1786" s="2" t="s">
        <v>16093</v>
      </c>
      <c r="N1786" s="3" t="s">
        <v>511</v>
      </c>
      <c r="O1786" s="2" t="s">
        <v>18111</v>
      </c>
      <c r="P1786" s="3" t="s">
        <v>102</v>
      </c>
      <c r="R1786" s="3" t="s">
        <v>70</v>
      </c>
      <c r="S1786" s="4">
        <v>0</v>
      </c>
      <c r="T1786" s="4">
        <v>0</v>
      </c>
      <c r="W1786" s="5" t="s">
        <v>72</v>
      </c>
      <c r="X1786" s="5" t="s">
        <v>72</v>
      </c>
      <c r="Y1786" s="4">
        <v>80</v>
      </c>
      <c r="Z1786" s="4">
        <v>5</v>
      </c>
      <c r="AA1786" s="4">
        <v>5</v>
      </c>
      <c r="AB1786" s="4">
        <v>1</v>
      </c>
      <c r="AC1786" s="4">
        <v>1</v>
      </c>
      <c r="AD1786" s="4">
        <v>19</v>
      </c>
      <c r="AE1786" s="4">
        <v>19</v>
      </c>
      <c r="AF1786" s="4">
        <v>0</v>
      </c>
      <c r="AG1786" s="4">
        <v>0</v>
      </c>
      <c r="AH1786" s="4">
        <v>19</v>
      </c>
      <c r="AI1786" s="4">
        <v>19</v>
      </c>
      <c r="AJ1786" s="4">
        <v>3</v>
      </c>
      <c r="AK1786" s="4">
        <v>3</v>
      </c>
      <c r="AL1786" s="4">
        <v>11</v>
      </c>
      <c r="AM1786" s="4">
        <v>11</v>
      </c>
      <c r="AN1786" s="4">
        <v>0</v>
      </c>
      <c r="AO1786" s="4">
        <v>0</v>
      </c>
      <c r="AP1786" s="4">
        <v>3</v>
      </c>
      <c r="AQ1786" s="4">
        <v>3</v>
      </c>
      <c r="AR1786" s="3" t="s">
        <v>64</v>
      </c>
      <c r="AS1786" s="3" t="s">
        <v>64</v>
      </c>
      <c r="AT1786" s="3" t="s">
        <v>64</v>
      </c>
      <c r="AV1786" s="6" t="str">
        <f>HYPERLINK("http://mcgill.on.worldcat.org/oclc/655302327","Catalog Record")</f>
        <v>Catalog Record</v>
      </c>
      <c r="AW1786" s="6" t="str">
        <f>HYPERLINK("http://www.worldcat.org/oclc/655302327","WorldCat Record")</f>
        <v>WorldCat Record</v>
      </c>
      <c r="AX1786" s="3" t="s">
        <v>18112</v>
      </c>
      <c r="AY1786" s="3" t="s">
        <v>18113</v>
      </c>
      <c r="AZ1786" s="3" t="s">
        <v>18114</v>
      </c>
      <c r="BA1786" s="3" t="s">
        <v>18114</v>
      </c>
      <c r="BB1786" s="3" t="s">
        <v>18115</v>
      </c>
      <c r="BC1786" s="3" t="s">
        <v>77</v>
      </c>
      <c r="BD1786" s="3" t="s">
        <v>78</v>
      </c>
      <c r="BE1786" s="3" t="s">
        <v>18116</v>
      </c>
      <c r="BF1786" s="3" t="s">
        <v>18115</v>
      </c>
      <c r="BG1786" s="3" t="s">
        <v>18117</v>
      </c>
      <c r="BH1786">
        <f t="shared" si="49"/>
        <v>0</v>
      </c>
    </row>
    <row r="1787" spans="1:60" ht="58" x14ac:dyDescent="0.35">
      <c r="A1787" s="2" t="s">
        <v>59</v>
      </c>
      <c r="B1787" s="2" t="s">
        <v>60</v>
      </c>
      <c r="C1787" s="2" t="s">
        <v>18118</v>
      </c>
      <c r="D1787" s="2" t="s">
        <v>18119</v>
      </c>
      <c r="E1787" s="2" t="s">
        <v>18120</v>
      </c>
      <c r="G1787" s="3" t="s">
        <v>64</v>
      </c>
      <c r="I1787" s="3" t="s">
        <v>64</v>
      </c>
      <c r="J1787" s="3" t="s">
        <v>64</v>
      </c>
      <c r="K1787" s="3" t="s">
        <v>65</v>
      </c>
      <c r="L1787" s="2" t="s">
        <v>18121</v>
      </c>
      <c r="M1787" s="2" t="s">
        <v>16093</v>
      </c>
      <c r="N1787" s="3" t="s">
        <v>511</v>
      </c>
      <c r="O1787" s="2" t="s">
        <v>18122</v>
      </c>
      <c r="P1787" s="3" t="s">
        <v>102</v>
      </c>
      <c r="R1787" s="3" t="s">
        <v>70</v>
      </c>
      <c r="S1787" s="4">
        <v>4</v>
      </c>
      <c r="T1787" s="4">
        <v>4</v>
      </c>
      <c r="U1787" s="5" t="s">
        <v>18123</v>
      </c>
      <c r="V1787" s="5" t="s">
        <v>18123</v>
      </c>
      <c r="W1787" s="5" t="s">
        <v>72</v>
      </c>
      <c r="X1787" s="5" t="s">
        <v>72</v>
      </c>
      <c r="Y1787" s="4">
        <v>141</v>
      </c>
      <c r="Z1787" s="4">
        <v>10</v>
      </c>
      <c r="AA1787" s="4">
        <v>46</v>
      </c>
      <c r="AB1787" s="4">
        <v>1</v>
      </c>
      <c r="AC1787" s="4">
        <v>7</v>
      </c>
      <c r="AD1787" s="4">
        <v>25</v>
      </c>
      <c r="AE1787" s="4">
        <v>51</v>
      </c>
      <c r="AF1787" s="4">
        <v>0</v>
      </c>
      <c r="AG1787" s="4">
        <v>1</v>
      </c>
      <c r="AH1787" s="4">
        <v>23</v>
      </c>
      <c r="AI1787" s="4">
        <v>43</v>
      </c>
      <c r="AJ1787" s="4">
        <v>5</v>
      </c>
      <c r="AK1787" s="4">
        <v>6</v>
      </c>
      <c r="AL1787" s="4">
        <v>12</v>
      </c>
      <c r="AM1787" s="4">
        <v>20</v>
      </c>
      <c r="AN1787" s="4">
        <v>0</v>
      </c>
      <c r="AO1787" s="4">
        <v>0</v>
      </c>
      <c r="AP1787" s="4">
        <v>6</v>
      </c>
      <c r="AQ1787" s="4">
        <v>12</v>
      </c>
      <c r="AR1787" s="3" t="s">
        <v>64</v>
      </c>
      <c r="AS1787" s="3" t="s">
        <v>64</v>
      </c>
      <c r="AT1787" s="3" t="s">
        <v>64</v>
      </c>
      <c r="AV1787" s="6" t="str">
        <f>HYPERLINK("http://mcgill.on.worldcat.org/oclc/639162738","Catalog Record")</f>
        <v>Catalog Record</v>
      </c>
      <c r="AW1787" s="6" t="str">
        <f>HYPERLINK("http://www.worldcat.org/oclc/639162738","WorldCat Record")</f>
        <v>WorldCat Record</v>
      </c>
      <c r="AX1787" s="3" t="s">
        <v>18124</v>
      </c>
      <c r="AY1787" s="3" t="s">
        <v>18125</v>
      </c>
      <c r="AZ1787" s="3" t="s">
        <v>18126</v>
      </c>
      <c r="BA1787" s="3" t="s">
        <v>18126</v>
      </c>
      <c r="BB1787" s="3" t="s">
        <v>18127</v>
      </c>
      <c r="BC1787" s="3" t="s">
        <v>77</v>
      </c>
      <c r="BD1787" s="3" t="s">
        <v>78</v>
      </c>
      <c r="BE1787" s="3" t="s">
        <v>18128</v>
      </c>
      <c r="BF1787" s="3" t="s">
        <v>18127</v>
      </c>
      <c r="BG1787" s="3" t="s">
        <v>18129</v>
      </c>
      <c r="BH1787">
        <f t="shared" si="49"/>
        <v>0</v>
      </c>
    </row>
    <row r="1788" spans="1:60" ht="58" x14ac:dyDescent="0.35">
      <c r="A1788" s="2" t="s">
        <v>59</v>
      </c>
      <c r="B1788" s="2" t="s">
        <v>60</v>
      </c>
      <c r="C1788" s="2" t="s">
        <v>18130</v>
      </c>
      <c r="D1788" s="2" t="s">
        <v>18131</v>
      </c>
      <c r="E1788" s="2" t="s">
        <v>18132</v>
      </c>
      <c r="G1788" s="3" t="s">
        <v>64</v>
      </c>
      <c r="I1788" s="3" t="s">
        <v>64</v>
      </c>
      <c r="J1788" s="3" t="s">
        <v>64</v>
      </c>
      <c r="K1788" s="3" t="s">
        <v>65</v>
      </c>
      <c r="L1788" s="2" t="s">
        <v>18133</v>
      </c>
      <c r="M1788" s="2" t="s">
        <v>18134</v>
      </c>
      <c r="N1788" s="3" t="s">
        <v>326</v>
      </c>
      <c r="P1788" s="3" t="s">
        <v>102</v>
      </c>
      <c r="R1788" s="3" t="s">
        <v>70</v>
      </c>
      <c r="S1788" s="4">
        <v>1</v>
      </c>
      <c r="T1788" s="4">
        <v>1</v>
      </c>
      <c r="U1788" s="5" t="s">
        <v>8491</v>
      </c>
      <c r="V1788" s="5" t="s">
        <v>8491</v>
      </c>
      <c r="W1788" s="5" t="s">
        <v>72</v>
      </c>
      <c r="X1788" s="5" t="s">
        <v>72</v>
      </c>
      <c r="Y1788" s="4">
        <v>153</v>
      </c>
      <c r="Z1788" s="4">
        <v>9</v>
      </c>
      <c r="AA1788" s="4">
        <v>10</v>
      </c>
      <c r="AB1788" s="4">
        <v>1</v>
      </c>
      <c r="AC1788" s="4">
        <v>1</v>
      </c>
      <c r="AD1788" s="4">
        <v>30</v>
      </c>
      <c r="AE1788" s="4">
        <v>30</v>
      </c>
      <c r="AF1788" s="4">
        <v>0</v>
      </c>
      <c r="AG1788" s="4">
        <v>0</v>
      </c>
      <c r="AH1788" s="4">
        <v>29</v>
      </c>
      <c r="AI1788" s="4">
        <v>29</v>
      </c>
      <c r="AJ1788" s="4">
        <v>4</v>
      </c>
      <c r="AK1788" s="4">
        <v>4</v>
      </c>
      <c r="AL1788" s="4">
        <v>14</v>
      </c>
      <c r="AM1788" s="4">
        <v>14</v>
      </c>
      <c r="AN1788" s="4">
        <v>0</v>
      </c>
      <c r="AO1788" s="4">
        <v>0</v>
      </c>
      <c r="AP1788" s="4">
        <v>5</v>
      </c>
      <c r="AQ1788" s="4">
        <v>5</v>
      </c>
      <c r="AR1788" s="3" t="s">
        <v>64</v>
      </c>
      <c r="AS1788" s="3" t="s">
        <v>64</v>
      </c>
      <c r="AT1788" s="3" t="s">
        <v>64</v>
      </c>
      <c r="AV1788" s="6" t="str">
        <f>HYPERLINK("http://mcgill.on.worldcat.org/oclc/669262644","Catalog Record")</f>
        <v>Catalog Record</v>
      </c>
      <c r="AW1788" s="6" t="str">
        <f>HYPERLINK("http://www.worldcat.org/oclc/669262644","WorldCat Record")</f>
        <v>WorldCat Record</v>
      </c>
      <c r="AX1788" s="3" t="s">
        <v>18135</v>
      </c>
      <c r="AY1788" s="3" t="s">
        <v>18136</v>
      </c>
      <c r="AZ1788" s="3" t="s">
        <v>18137</v>
      </c>
      <c r="BA1788" s="3" t="s">
        <v>18137</v>
      </c>
      <c r="BB1788" s="3" t="s">
        <v>18138</v>
      </c>
      <c r="BC1788" s="3" t="s">
        <v>77</v>
      </c>
      <c r="BD1788" s="3" t="s">
        <v>78</v>
      </c>
      <c r="BE1788" s="3" t="s">
        <v>18139</v>
      </c>
      <c r="BF1788" s="3" t="s">
        <v>18138</v>
      </c>
      <c r="BG1788" s="3" t="s">
        <v>18140</v>
      </c>
      <c r="BH1788">
        <f t="shared" si="49"/>
        <v>0</v>
      </c>
    </row>
    <row r="1789" spans="1:60" ht="58" x14ac:dyDescent="0.35">
      <c r="A1789" s="2" t="s">
        <v>59</v>
      </c>
      <c r="B1789" s="2" t="s">
        <v>60</v>
      </c>
      <c r="C1789" s="2" t="s">
        <v>18141</v>
      </c>
      <c r="D1789" s="2" t="s">
        <v>18142</v>
      </c>
      <c r="E1789" s="2" t="s">
        <v>18143</v>
      </c>
      <c r="G1789" s="3" t="s">
        <v>64</v>
      </c>
      <c r="I1789" s="3" t="s">
        <v>64</v>
      </c>
      <c r="J1789" s="3" t="s">
        <v>64</v>
      </c>
      <c r="K1789" s="3" t="s">
        <v>65</v>
      </c>
      <c r="L1789" s="2" t="s">
        <v>18144</v>
      </c>
      <c r="M1789" s="2" t="s">
        <v>18145</v>
      </c>
      <c r="N1789" s="3" t="s">
        <v>511</v>
      </c>
      <c r="P1789" s="3" t="s">
        <v>102</v>
      </c>
      <c r="R1789" s="3" t="s">
        <v>70</v>
      </c>
      <c r="S1789" s="4">
        <v>0</v>
      </c>
      <c r="T1789" s="4">
        <v>0</v>
      </c>
      <c r="W1789" s="5" t="s">
        <v>72</v>
      </c>
      <c r="X1789" s="5" t="s">
        <v>72</v>
      </c>
      <c r="Y1789" s="4">
        <v>99</v>
      </c>
      <c r="Z1789" s="4">
        <v>4</v>
      </c>
      <c r="AA1789" s="4">
        <v>33</v>
      </c>
      <c r="AB1789" s="4">
        <v>1</v>
      </c>
      <c r="AC1789" s="4">
        <v>6</v>
      </c>
      <c r="AD1789" s="4">
        <v>30</v>
      </c>
      <c r="AE1789" s="4">
        <v>42</v>
      </c>
      <c r="AF1789" s="4">
        <v>0</v>
      </c>
      <c r="AG1789" s="4">
        <v>0</v>
      </c>
      <c r="AH1789" s="4">
        <v>30</v>
      </c>
      <c r="AI1789" s="4">
        <v>40</v>
      </c>
      <c r="AJ1789" s="4">
        <v>3</v>
      </c>
      <c r="AK1789" s="4">
        <v>3</v>
      </c>
      <c r="AL1789" s="4">
        <v>15</v>
      </c>
      <c r="AM1789" s="4">
        <v>21</v>
      </c>
      <c r="AN1789" s="4">
        <v>0</v>
      </c>
      <c r="AO1789" s="4">
        <v>0</v>
      </c>
      <c r="AP1789" s="4">
        <v>3</v>
      </c>
      <c r="AQ1789" s="4">
        <v>5</v>
      </c>
      <c r="AR1789" s="3" t="s">
        <v>64</v>
      </c>
      <c r="AS1789" s="3" t="s">
        <v>64</v>
      </c>
      <c r="AT1789" s="3" t="s">
        <v>64</v>
      </c>
      <c r="AV1789" s="6" t="str">
        <f>HYPERLINK("http://mcgill.on.worldcat.org/oclc/430839889","Catalog Record")</f>
        <v>Catalog Record</v>
      </c>
      <c r="AW1789" s="6" t="str">
        <f>HYPERLINK("http://www.worldcat.org/oclc/430839889","WorldCat Record")</f>
        <v>WorldCat Record</v>
      </c>
      <c r="AX1789" s="3" t="s">
        <v>18146</v>
      </c>
      <c r="AY1789" s="3" t="s">
        <v>18147</v>
      </c>
      <c r="AZ1789" s="3" t="s">
        <v>18148</v>
      </c>
      <c r="BA1789" s="3" t="s">
        <v>18148</v>
      </c>
      <c r="BB1789" s="3" t="s">
        <v>18149</v>
      </c>
      <c r="BC1789" s="3" t="s">
        <v>77</v>
      </c>
      <c r="BD1789" s="3" t="s">
        <v>78</v>
      </c>
      <c r="BE1789" s="3" t="s">
        <v>18150</v>
      </c>
      <c r="BF1789" s="3" t="s">
        <v>18149</v>
      </c>
      <c r="BG1789" s="3" t="s">
        <v>18151</v>
      </c>
      <c r="BH1789">
        <f t="shared" si="49"/>
        <v>0</v>
      </c>
    </row>
    <row r="1790" spans="1:60" ht="58" x14ac:dyDescent="0.35">
      <c r="A1790" s="2" t="s">
        <v>59</v>
      </c>
      <c r="B1790" s="2" t="s">
        <v>60</v>
      </c>
      <c r="C1790" s="2" t="s">
        <v>18152</v>
      </c>
      <c r="D1790" s="2" t="s">
        <v>18153</v>
      </c>
      <c r="E1790" s="2" t="s">
        <v>18154</v>
      </c>
      <c r="G1790" s="3" t="s">
        <v>64</v>
      </c>
      <c r="I1790" s="3" t="s">
        <v>64</v>
      </c>
      <c r="J1790" s="3" t="s">
        <v>64</v>
      </c>
      <c r="K1790" s="3" t="s">
        <v>65</v>
      </c>
      <c r="L1790" s="2" t="s">
        <v>18155</v>
      </c>
      <c r="M1790" s="2" t="s">
        <v>18156</v>
      </c>
      <c r="N1790" s="3" t="s">
        <v>326</v>
      </c>
      <c r="P1790" s="3" t="s">
        <v>102</v>
      </c>
      <c r="R1790" s="3" t="s">
        <v>70</v>
      </c>
      <c r="S1790" s="4">
        <v>3</v>
      </c>
      <c r="T1790" s="4">
        <v>3</v>
      </c>
      <c r="U1790" s="5" t="s">
        <v>18078</v>
      </c>
      <c r="V1790" s="5" t="s">
        <v>18078</v>
      </c>
      <c r="W1790" s="5" t="s">
        <v>72</v>
      </c>
      <c r="X1790" s="5" t="s">
        <v>72</v>
      </c>
      <c r="Y1790" s="4">
        <v>189</v>
      </c>
      <c r="Z1790" s="4">
        <v>22</v>
      </c>
      <c r="AA1790" s="4">
        <v>31</v>
      </c>
      <c r="AB1790" s="4">
        <v>2</v>
      </c>
      <c r="AC1790" s="4">
        <v>5</v>
      </c>
      <c r="AD1790" s="4">
        <v>40</v>
      </c>
      <c r="AE1790" s="4">
        <v>51</v>
      </c>
      <c r="AF1790" s="4">
        <v>1</v>
      </c>
      <c r="AG1790" s="4">
        <v>2</v>
      </c>
      <c r="AH1790" s="4">
        <v>38</v>
      </c>
      <c r="AI1790" s="4">
        <v>47</v>
      </c>
      <c r="AJ1790" s="4">
        <v>8</v>
      </c>
      <c r="AK1790" s="4">
        <v>9</v>
      </c>
      <c r="AL1790" s="4">
        <v>16</v>
      </c>
      <c r="AM1790" s="4">
        <v>21</v>
      </c>
      <c r="AN1790" s="4">
        <v>0</v>
      </c>
      <c r="AO1790" s="4">
        <v>0</v>
      </c>
      <c r="AP1790" s="4">
        <v>9</v>
      </c>
      <c r="AQ1790" s="4">
        <v>10</v>
      </c>
      <c r="AR1790" s="3" t="s">
        <v>64</v>
      </c>
      <c r="AS1790" s="3" t="s">
        <v>64</v>
      </c>
      <c r="AT1790" s="3" t="s">
        <v>64</v>
      </c>
      <c r="AV1790" s="6" t="str">
        <f>HYPERLINK("http://mcgill.on.worldcat.org/oclc/606787464","Catalog Record")</f>
        <v>Catalog Record</v>
      </c>
      <c r="AW1790" s="6" t="str">
        <f>HYPERLINK("http://www.worldcat.org/oclc/606787464","WorldCat Record")</f>
        <v>WorldCat Record</v>
      </c>
      <c r="AX1790" s="3" t="s">
        <v>18157</v>
      </c>
      <c r="AY1790" s="3" t="s">
        <v>18158</v>
      </c>
      <c r="AZ1790" s="3" t="s">
        <v>18159</v>
      </c>
      <c r="BA1790" s="3" t="s">
        <v>18159</v>
      </c>
      <c r="BB1790" s="3" t="s">
        <v>18160</v>
      </c>
      <c r="BC1790" s="3" t="s">
        <v>77</v>
      </c>
      <c r="BD1790" s="3" t="s">
        <v>78</v>
      </c>
      <c r="BE1790" s="3" t="s">
        <v>18161</v>
      </c>
      <c r="BF1790" s="3" t="s">
        <v>18160</v>
      </c>
      <c r="BG1790" s="3" t="s">
        <v>18162</v>
      </c>
      <c r="BH1790">
        <f t="shared" si="49"/>
        <v>0</v>
      </c>
    </row>
    <row r="1791" spans="1:60" ht="58" x14ac:dyDescent="0.35">
      <c r="A1791" s="2" t="s">
        <v>59</v>
      </c>
      <c r="B1791" s="2" t="s">
        <v>60</v>
      </c>
      <c r="C1791" s="2" t="s">
        <v>18163</v>
      </c>
      <c r="D1791" s="2" t="s">
        <v>18164</v>
      </c>
      <c r="E1791" s="2" t="s">
        <v>18165</v>
      </c>
      <c r="G1791" s="3" t="s">
        <v>64</v>
      </c>
      <c r="I1791" s="3" t="s">
        <v>64</v>
      </c>
      <c r="J1791" s="3" t="s">
        <v>128</v>
      </c>
      <c r="K1791" s="3" t="s">
        <v>65</v>
      </c>
      <c r="M1791" s="2" t="s">
        <v>18166</v>
      </c>
      <c r="N1791" s="3" t="s">
        <v>551</v>
      </c>
      <c r="P1791" s="3" t="s">
        <v>102</v>
      </c>
      <c r="R1791" s="3" t="s">
        <v>70</v>
      </c>
      <c r="S1791" s="4">
        <v>1</v>
      </c>
      <c r="T1791" s="4">
        <v>1</v>
      </c>
      <c r="U1791" s="5" t="s">
        <v>18167</v>
      </c>
      <c r="V1791" s="5" t="s">
        <v>18167</v>
      </c>
      <c r="W1791" s="5" t="s">
        <v>72</v>
      </c>
      <c r="X1791" s="5" t="s">
        <v>72</v>
      </c>
      <c r="Y1791" s="4">
        <v>113</v>
      </c>
      <c r="Z1791" s="4">
        <v>4</v>
      </c>
      <c r="AA1791" s="4">
        <v>78</v>
      </c>
      <c r="AB1791" s="4">
        <v>2</v>
      </c>
      <c r="AC1791" s="4">
        <v>16</v>
      </c>
      <c r="AD1791" s="4">
        <v>17</v>
      </c>
      <c r="AE1791" s="4">
        <v>84</v>
      </c>
      <c r="AF1791" s="4">
        <v>0</v>
      </c>
      <c r="AG1791" s="4">
        <v>8</v>
      </c>
      <c r="AH1791" s="4">
        <v>17</v>
      </c>
      <c r="AI1791" s="4">
        <v>53</v>
      </c>
      <c r="AJ1791" s="4">
        <v>2</v>
      </c>
      <c r="AK1791" s="4">
        <v>17</v>
      </c>
      <c r="AL1791" s="4">
        <v>10</v>
      </c>
      <c r="AM1791" s="4">
        <v>28</v>
      </c>
      <c r="AN1791" s="4">
        <v>0</v>
      </c>
      <c r="AO1791" s="4">
        <v>0</v>
      </c>
      <c r="AP1791" s="4">
        <v>2</v>
      </c>
      <c r="AQ1791" s="4">
        <v>37</v>
      </c>
      <c r="AR1791" s="3" t="s">
        <v>64</v>
      </c>
      <c r="AS1791" s="3" t="s">
        <v>64</v>
      </c>
      <c r="AT1791" s="3" t="s">
        <v>64</v>
      </c>
      <c r="AV1791" s="6" t="str">
        <f>HYPERLINK("http://mcgill.on.worldcat.org/oclc/221145335","Catalog Record")</f>
        <v>Catalog Record</v>
      </c>
      <c r="AW1791" s="6" t="str">
        <f>HYPERLINK("http://www.worldcat.org/oclc/221145335","WorldCat Record")</f>
        <v>WorldCat Record</v>
      </c>
      <c r="AX1791" s="3" t="s">
        <v>18168</v>
      </c>
      <c r="AY1791" s="3" t="s">
        <v>18169</v>
      </c>
      <c r="AZ1791" s="3" t="s">
        <v>18170</v>
      </c>
      <c r="BA1791" s="3" t="s">
        <v>18170</v>
      </c>
      <c r="BB1791" s="3" t="s">
        <v>18171</v>
      </c>
      <c r="BC1791" s="3" t="s">
        <v>77</v>
      </c>
      <c r="BD1791" s="3" t="s">
        <v>78</v>
      </c>
      <c r="BE1791" s="3" t="s">
        <v>18172</v>
      </c>
      <c r="BF1791" s="3" t="s">
        <v>18171</v>
      </c>
      <c r="BG1791" s="3" t="s">
        <v>18173</v>
      </c>
      <c r="BH1791">
        <f t="shared" si="49"/>
        <v>0</v>
      </c>
    </row>
    <row r="1792" spans="1:60" ht="58" x14ac:dyDescent="0.35">
      <c r="A1792" s="2" t="s">
        <v>59</v>
      </c>
      <c r="B1792" s="2" t="s">
        <v>60</v>
      </c>
      <c r="C1792" s="2" t="s">
        <v>18174</v>
      </c>
      <c r="D1792" s="2" t="s">
        <v>18175</v>
      </c>
      <c r="E1792" s="2" t="s">
        <v>18176</v>
      </c>
      <c r="G1792" s="3" t="s">
        <v>64</v>
      </c>
      <c r="I1792" s="3" t="s">
        <v>64</v>
      </c>
      <c r="J1792" s="3" t="s">
        <v>128</v>
      </c>
      <c r="K1792" s="3" t="s">
        <v>65</v>
      </c>
      <c r="M1792" s="2" t="s">
        <v>14860</v>
      </c>
      <c r="N1792" s="3" t="s">
        <v>537</v>
      </c>
      <c r="O1792" s="2" t="s">
        <v>3787</v>
      </c>
      <c r="P1792" s="3" t="s">
        <v>102</v>
      </c>
      <c r="R1792" s="3" t="s">
        <v>70</v>
      </c>
      <c r="S1792" s="4">
        <v>0</v>
      </c>
      <c r="T1792" s="4">
        <v>0</v>
      </c>
      <c r="W1792" s="5" t="s">
        <v>72</v>
      </c>
      <c r="X1792" s="5" t="s">
        <v>72</v>
      </c>
      <c r="Y1792" s="4">
        <v>67</v>
      </c>
      <c r="Z1792" s="4">
        <v>5</v>
      </c>
      <c r="AA1792" s="4">
        <v>78</v>
      </c>
      <c r="AB1792" s="4">
        <v>1</v>
      </c>
      <c r="AC1792" s="4">
        <v>16</v>
      </c>
      <c r="AD1792" s="4">
        <v>9</v>
      </c>
      <c r="AE1792" s="4">
        <v>84</v>
      </c>
      <c r="AF1792" s="4">
        <v>0</v>
      </c>
      <c r="AG1792" s="4">
        <v>8</v>
      </c>
      <c r="AH1792" s="4">
        <v>9</v>
      </c>
      <c r="AI1792" s="4">
        <v>53</v>
      </c>
      <c r="AJ1792" s="4">
        <v>3</v>
      </c>
      <c r="AK1792" s="4">
        <v>17</v>
      </c>
      <c r="AL1792" s="4">
        <v>5</v>
      </c>
      <c r="AM1792" s="4">
        <v>28</v>
      </c>
      <c r="AN1792" s="4">
        <v>0</v>
      </c>
      <c r="AO1792" s="4">
        <v>0</v>
      </c>
      <c r="AP1792" s="4">
        <v>3</v>
      </c>
      <c r="AQ1792" s="4">
        <v>37</v>
      </c>
      <c r="AR1792" s="3" t="s">
        <v>64</v>
      </c>
      <c r="AS1792" s="3" t="s">
        <v>64</v>
      </c>
      <c r="AT1792" s="3" t="s">
        <v>64</v>
      </c>
      <c r="AV1792" s="6" t="str">
        <f>HYPERLINK("http://mcgill.on.worldcat.org/oclc/951611532","Catalog Record")</f>
        <v>Catalog Record</v>
      </c>
      <c r="AW1792" s="6" t="str">
        <f>HYPERLINK("http://www.worldcat.org/oclc/951611532","WorldCat Record")</f>
        <v>WorldCat Record</v>
      </c>
      <c r="AX1792" s="3" t="s">
        <v>18168</v>
      </c>
      <c r="AY1792" s="3" t="s">
        <v>18177</v>
      </c>
      <c r="AZ1792" s="3" t="s">
        <v>18178</v>
      </c>
      <c r="BA1792" s="3" t="s">
        <v>18178</v>
      </c>
      <c r="BB1792" s="3" t="s">
        <v>18179</v>
      </c>
      <c r="BC1792" s="3" t="s">
        <v>77</v>
      </c>
      <c r="BD1792" s="3" t="s">
        <v>78</v>
      </c>
      <c r="BE1792" s="3" t="s">
        <v>18180</v>
      </c>
      <c r="BF1792" s="3" t="s">
        <v>18179</v>
      </c>
      <c r="BG1792" s="3" t="s">
        <v>18181</v>
      </c>
      <c r="BH1792">
        <f t="shared" si="49"/>
        <v>0</v>
      </c>
    </row>
    <row r="1793" spans="1:60" ht="58" x14ac:dyDescent="0.35">
      <c r="A1793" s="2" t="s">
        <v>59</v>
      </c>
      <c r="B1793" s="2" t="s">
        <v>60</v>
      </c>
      <c r="C1793" s="2" t="s">
        <v>18182</v>
      </c>
      <c r="D1793" s="2" t="s">
        <v>18183</v>
      </c>
      <c r="E1793" s="2" t="s">
        <v>18184</v>
      </c>
      <c r="G1793" s="3" t="s">
        <v>64</v>
      </c>
      <c r="I1793" s="3" t="s">
        <v>64</v>
      </c>
      <c r="J1793" s="3" t="s">
        <v>64</v>
      </c>
      <c r="K1793" s="3" t="s">
        <v>65</v>
      </c>
      <c r="M1793" s="2" t="s">
        <v>18185</v>
      </c>
      <c r="N1793" s="3" t="s">
        <v>116</v>
      </c>
      <c r="P1793" s="3" t="s">
        <v>102</v>
      </c>
      <c r="R1793" s="3" t="s">
        <v>70</v>
      </c>
      <c r="S1793" s="4">
        <v>1</v>
      </c>
      <c r="T1793" s="4">
        <v>1</v>
      </c>
      <c r="U1793" s="5" t="s">
        <v>18167</v>
      </c>
      <c r="V1793" s="5" t="s">
        <v>18167</v>
      </c>
      <c r="W1793" s="5" t="s">
        <v>72</v>
      </c>
      <c r="X1793" s="5" t="s">
        <v>72</v>
      </c>
      <c r="Y1793" s="4">
        <v>130</v>
      </c>
      <c r="Z1793" s="4">
        <v>9</v>
      </c>
      <c r="AA1793" s="4">
        <v>9</v>
      </c>
      <c r="AB1793" s="4">
        <v>1</v>
      </c>
      <c r="AC1793" s="4">
        <v>1</v>
      </c>
      <c r="AD1793" s="4">
        <v>24</v>
      </c>
      <c r="AE1793" s="4">
        <v>24</v>
      </c>
      <c r="AF1793" s="4">
        <v>0</v>
      </c>
      <c r="AG1793" s="4">
        <v>0</v>
      </c>
      <c r="AH1793" s="4">
        <v>22</v>
      </c>
      <c r="AI1793" s="4">
        <v>22</v>
      </c>
      <c r="AJ1793" s="4">
        <v>4</v>
      </c>
      <c r="AK1793" s="4">
        <v>4</v>
      </c>
      <c r="AL1793" s="4">
        <v>11</v>
      </c>
      <c r="AM1793" s="4">
        <v>11</v>
      </c>
      <c r="AN1793" s="4">
        <v>0</v>
      </c>
      <c r="AO1793" s="4">
        <v>0</v>
      </c>
      <c r="AP1793" s="4">
        <v>5</v>
      </c>
      <c r="AQ1793" s="4">
        <v>5</v>
      </c>
      <c r="AR1793" s="3" t="s">
        <v>64</v>
      </c>
      <c r="AS1793" s="3" t="s">
        <v>64</v>
      </c>
      <c r="AT1793" s="3" t="s">
        <v>64</v>
      </c>
      <c r="AV1793" s="6" t="str">
        <f>HYPERLINK("http://mcgill.on.worldcat.org/oclc/47240349","Catalog Record")</f>
        <v>Catalog Record</v>
      </c>
      <c r="AW1793" s="6" t="str">
        <f>HYPERLINK("http://www.worldcat.org/oclc/47240349","WorldCat Record")</f>
        <v>WorldCat Record</v>
      </c>
      <c r="AX1793" s="3" t="s">
        <v>18186</v>
      </c>
      <c r="AY1793" s="3" t="s">
        <v>18187</v>
      </c>
      <c r="AZ1793" s="3" t="s">
        <v>18188</v>
      </c>
      <c r="BA1793" s="3" t="s">
        <v>18188</v>
      </c>
      <c r="BB1793" s="3" t="s">
        <v>18189</v>
      </c>
      <c r="BC1793" s="3" t="s">
        <v>77</v>
      </c>
      <c r="BD1793" s="3" t="s">
        <v>78</v>
      </c>
      <c r="BE1793" s="3" t="s">
        <v>18190</v>
      </c>
      <c r="BF1793" s="3" t="s">
        <v>18189</v>
      </c>
      <c r="BG1793" s="3" t="s">
        <v>18191</v>
      </c>
      <c r="BH1793">
        <f t="shared" si="49"/>
        <v>0</v>
      </c>
    </row>
    <row r="1794" spans="1:60" ht="58" x14ac:dyDescent="0.35">
      <c r="A1794" s="2" t="s">
        <v>59</v>
      </c>
      <c r="B1794" s="2" t="s">
        <v>60</v>
      </c>
      <c r="C1794" s="2" t="s">
        <v>18192</v>
      </c>
      <c r="D1794" s="2" t="s">
        <v>18193</v>
      </c>
      <c r="E1794" s="2" t="s">
        <v>18194</v>
      </c>
      <c r="G1794" s="3" t="s">
        <v>64</v>
      </c>
      <c r="I1794" s="3" t="s">
        <v>64</v>
      </c>
      <c r="J1794" s="3" t="s">
        <v>64</v>
      </c>
      <c r="K1794" s="3" t="s">
        <v>65</v>
      </c>
      <c r="L1794" s="2" t="s">
        <v>18195</v>
      </c>
      <c r="M1794" s="2" t="s">
        <v>16093</v>
      </c>
      <c r="N1794" s="3" t="s">
        <v>511</v>
      </c>
      <c r="P1794" s="3" t="s">
        <v>102</v>
      </c>
      <c r="R1794" s="3" t="s">
        <v>70</v>
      </c>
      <c r="S1794" s="4">
        <v>2</v>
      </c>
      <c r="T1794" s="4">
        <v>2</v>
      </c>
      <c r="U1794" s="5" t="s">
        <v>18196</v>
      </c>
      <c r="V1794" s="5" t="s">
        <v>18196</v>
      </c>
      <c r="W1794" s="5" t="s">
        <v>72</v>
      </c>
      <c r="X1794" s="5" t="s">
        <v>72</v>
      </c>
      <c r="Y1794" s="4">
        <v>66</v>
      </c>
      <c r="Z1794" s="4">
        <v>4</v>
      </c>
      <c r="AA1794" s="4">
        <v>11</v>
      </c>
      <c r="AB1794" s="4">
        <v>2</v>
      </c>
      <c r="AC1794" s="4">
        <v>4</v>
      </c>
      <c r="AD1794" s="4">
        <v>18</v>
      </c>
      <c r="AE1794" s="4">
        <v>27</v>
      </c>
      <c r="AF1794" s="4">
        <v>0</v>
      </c>
      <c r="AG1794" s="4">
        <v>1</v>
      </c>
      <c r="AH1794" s="4">
        <v>18</v>
      </c>
      <c r="AI1794" s="4">
        <v>25</v>
      </c>
      <c r="AJ1794" s="4">
        <v>1</v>
      </c>
      <c r="AK1794" s="4">
        <v>6</v>
      </c>
      <c r="AL1794" s="4">
        <v>8</v>
      </c>
      <c r="AM1794" s="4">
        <v>10</v>
      </c>
      <c r="AN1794" s="4">
        <v>0</v>
      </c>
      <c r="AO1794" s="4">
        <v>0</v>
      </c>
      <c r="AP1794" s="4">
        <v>1</v>
      </c>
      <c r="AQ1794" s="4">
        <v>5</v>
      </c>
      <c r="AR1794" s="3" t="s">
        <v>64</v>
      </c>
      <c r="AS1794" s="3" t="s">
        <v>64</v>
      </c>
      <c r="AT1794" s="3" t="s">
        <v>64</v>
      </c>
      <c r="AV1794" s="6" t="str">
        <f>HYPERLINK("http://mcgill.on.worldcat.org/oclc/399545114","Catalog Record")</f>
        <v>Catalog Record</v>
      </c>
      <c r="AW1794" s="6" t="str">
        <f>HYPERLINK("http://www.worldcat.org/oclc/399545114","WorldCat Record")</f>
        <v>WorldCat Record</v>
      </c>
      <c r="AX1794" s="3" t="s">
        <v>18197</v>
      </c>
      <c r="AY1794" s="3" t="s">
        <v>18198</v>
      </c>
      <c r="AZ1794" s="3" t="s">
        <v>18199</v>
      </c>
      <c r="BA1794" s="3" t="s">
        <v>18199</v>
      </c>
      <c r="BB1794" s="3" t="s">
        <v>18200</v>
      </c>
      <c r="BC1794" s="3" t="s">
        <v>77</v>
      </c>
      <c r="BD1794" s="3" t="s">
        <v>78</v>
      </c>
      <c r="BE1794" s="3" t="s">
        <v>18201</v>
      </c>
      <c r="BF1794" s="3" t="s">
        <v>18200</v>
      </c>
      <c r="BG1794" s="3" t="s">
        <v>18202</v>
      </c>
      <c r="BH1794">
        <f t="shared" ref="BH1794:BH1857" si="50">IF(COUNTIF($BF$1:$BF$5431,BF1794)=1,0,1)</f>
        <v>0</v>
      </c>
    </row>
    <row r="1795" spans="1:60" ht="58" x14ac:dyDescent="0.35">
      <c r="A1795" s="2" t="s">
        <v>59</v>
      </c>
      <c r="B1795" s="2" t="s">
        <v>60</v>
      </c>
      <c r="C1795" s="2" t="s">
        <v>18203</v>
      </c>
      <c r="D1795" s="2" t="s">
        <v>18204</v>
      </c>
      <c r="E1795" s="2" t="s">
        <v>18205</v>
      </c>
      <c r="G1795" s="3" t="s">
        <v>64</v>
      </c>
      <c r="I1795" s="3" t="s">
        <v>64</v>
      </c>
      <c r="J1795" s="3" t="s">
        <v>64</v>
      </c>
      <c r="K1795" s="3" t="s">
        <v>65</v>
      </c>
      <c r="L1795" s="2" t="s">
        <v>18206</v>
      </c>
      <c r="M1795" s="2" t="s">
        <v>18207</v>
      </c>
      <c r="N1795" s="3" t="s">
        <v>511</v>
      </c>
      <c r="P1795" s="3" t="s">
        <v>102</v>
      </c>
      <c r="Q1795" s="2" t="s">
        <v>18208</v>
      </c>
      <c r="R1795" s="3" t="s">
        <v>70</v>
      </c>
      <c r="S1795" s="4">
        <v>0</v>
      </c>
      <c r="T1795" s="4">
        <v>0</v>
      </c>
      <c r="W1795" s="5" t="s">
        <v>72</v>
      </c>
      <c r="X1795" s="5" t="s">
        <v>72</v>
      </c>
      <c r="Y1795" s="4">
        <v>83</v>
      </c>
      <c r="Z1795" s="4">
        <v>8</v>
      </c>
      <c r="AA1795" s="4">
        <v>88</v>
      </c>
      <c r="AB1795" s="4">
        <v>1</v>
      </c>
      <c r="AC1795" s="4">
        <v>18</v>
      </c>
      <c r="AD1795" s="4">
        <v>14</v>
      </c>
      <c r="AE1795" s="4">
        <v>82</v>
      </c>
      <c r="AF1795" s="4">
        <v>0</v>
      </c>
      <c r="AG1795" s="4">
        <v>9</v>
      </c>
      <c r="AH1795" s="4">
        <v>13</v>
      </c>
      <c r="AI1795" s="4">
        <v>50</v>
      </c>
      <c r="AJ1795" s="4">
        <v>5</v>
      </c>
      <c r="AK1795" s="4">
        <v>16</v>
      </c>
      <c r="AL1795" s="4">
        <v>7</v>
      </c>
      <c r="AM1795" s="4">
        <v>24</v>
      </c>
      <c r="AN1795" s="4">
        <v>0</v>
      </c>
      <c r="AO1795" s="4">
        <v>0</v>
      </c>
      <c r="AP1795" s="4">
        <v>5</v>
      </c>
      <c r="AQ1795" s="4">
        <v>38</v>
      </c>
      <c r="AR1795" s="3" t="s">
        <v>64</v>
      </c>
      <c r="AS1795" s="3" t="s">
        <v>64</v>
      </c>
      <c r="AT1795" s="3" t="s">
        <v>64</v>
      </c>
      <c r="AV1795" s="6" t="str">
        <f>HYPERLINK("http://mcgill.on.worldcat.org/oclc/613609554","Catalog Record")</f>
        <v>Catalog Record</v>
      </c>
      <c r="AW1795" s="6" t="str">
        <f>HYPERLINK("http://www.worldcat.org/oclc/613609554","WorldCat Record")</f>
        <v>WorldCat Record</v>
      </c>
      <c r="AX1795" s="3" t="s">
        <v>18209</v>
      </c>
      <c r="AY1795" s="3" t="s">
        <v>18210</v>
      </c>
      <c r="AZ1795" s="3" t="s">
        <v>18211</v>
      </c>
      <c r="BA1795" s="3" t="s">
        <v>18211</v>
      </c>
      <c r="BB1795" s="3" t="s">
        <v>18212</v>
      </c>
      <c r="BC1795" s="3" t="s">
        <v>77</v>
      </c>
      <c r="BD1795" s="3" t="s">
        <v>78</v>
      </c>
      <c r="BE1795" s="3" t="s">
        <v>18213</v>
      </c>
      <c r="BF1795" s="3" t="s">
        <v>18212</v>
      </c>
      <c r="BG1795" s="3" t="s">
        <v>18214</v>
      </c>
      <c r="BH1795">
        <f t="shared" si="50"/>
        <v>0</v>
      </c>
    </row>
    <row r="1796" spans="1:60" ht="72.5" x14ac:dyDescent="0.35">
      <c r="A1796" s="2" t="s">
        <v>59</v>
      </c>
      <c r="B1796" s="2" t="s">
        <v>60</v>
      </c>
      <c r="C1796" s="2" t="s">
        <v>18215</v>
      </c>
      <c r="D1796" s="2" t="s">
        <v>18216</v>
      </c>
      <c r="E1796" s="2" t="s">
        <v>18217</v>
      </c>
      <c r="G1796" s="3" t="s">
        <v>64</v>
      </c>
      <c r="I1796" s="3" t="s">
        <v>64</v>
      </c>
      <c r="J1796" s="3" t="s">
        <v>64</v>
      </c>
      <c r="K1796" s="3" t="s">
        <v>65</v>
      </c>
      <c r="L1796" s="2" t="s">
        <v>18218</v>
      </c>
      <c r="M1796" s="2" t="s">
        <v>17762</v>
      </c>
      <c r="N1796" s="3" t="s">
        <v>326</v>
      </c>
      <c r="P1796" s="3" t="s">
        <v>102</v>
      </c>
      <c r="R1796" s="3" t="s">
        <v>70</v>
      </c>
      <c r="S1796" s="4">
        <v>2</v>
      </c>
      <c r="T1796" s="4">
        <v>2</v>
      </c>
      <c r="U1796" s="5" t="s">
        <v>18219</v>
      </c>
      <c r="V1796" s="5" t="s">
        <v>18219</v>
      </c>
      <c r="W1796" s="5" t="s">
        <v>72</v>
      </c>
      <c r="X1796" s="5" t="s">
        <v>72</v>
      </c>
      <c r="Y1796" s="4">
        <v>102</v>
      </c>
      <c r="Z1796" s="4">
        <v>6</v>
      </c>
      <c r="AA1796" s="4">
        <v>7</v>
      </c>
      <c r="AB1796" s="4">
        <v>1</v>
      </c>
      <c r="AC1796" s="4">
        <v>2</v>
      </c>
      <c r="AD1796" s="4">
        <v>20</v>
      </c>
      <c r="AE1796" s="4">
        <v>21</v>
      </c>
      <c r="AF1796" s="4">
        <v>0</v>
      </c>
      <c r="AG1796" s="4">
        <v>1</v>
      </c>
      <c r="AH1796" s="4">
        <v>19</v>
      </c>
      <c r="AI1796" s="4">
        <v>19</v>
      </c>
      <c r="AJ1796" s="4">
        <v>4</v>
      </c>
      <c r="AK1796" s="4">
        <v>5</v>
      </c>
      <c r="AL1796" s="4">
        <v>10</v>
      </c>
      <c r="AM1796" s="4">
        <v>10</v>
      </c>
      <c r="AN1796" s="4">
        <v>0</v>
      </c>
      <c r="AO1796" s="4">
        <v>0</v>
      </c>
      <c r="AP1796" s="4">
        <v>4</v>
      </c>
      <c r="AQ1796" s="4">
        <v>4</v>
      </c>
      <c r="AR1796" s="3" t="s">
        <v>64</v>
      </c>
      <c r="AS1796" s="3" t="s">
        <v>64</v>
      </c>
      <c r="AT1796" s="3" t="s">
        <v>64</v>
      </c>
      <c r="AV1796" s="6" t="str">
        <f>HYPERLINK("http://mcgill.on.worldcat.org/oclc/747819320","Catalog Record")</f>
        <v>Catalog Record</v>
      </c>
      <c r="AW1796" s="6" t="str">
        <f>HYPERLINK("http://www.worldcat.org/oclc/747819320","WorldCat Record")</f>
        <v>WorldCat Record</v>
      </c>
      <c r="AX1796" s="3" t="s">
        <v>18220</v>
      </c>
      <c r="AY1796" s="3" t="s">
        <v>18221</v>
      </c>
      <c r="AZ1796" s="3" t="s">
        <v>18222</v>
      </c>
      <c r="BA1796" s="3" t="s">
        <v>18222</v>
      </c>
      <c r="BB1796" s="3" t="s">
        <v>18223</v>
      </c>
      <c r="BC1796" s="3" t="s">
        <v>77</v>
      </c>
      <c r="BD1796" s="3" t="s">
        <v>78</v>
      </c>
      <c r="BE1796" s="3" t="s">
        <v>18224</v>
      </c>
      <c r="BF1796" s="3" t="s">
        <v>18223</v>
      </c>
      <c r="BG1796" s="3" t="s">
        <v>18225</v>
      </c>
      <c r="BH1796">
        <f t="shared" si="50"/>
        <v>0</v>
      </c>
    </row>
    <row r="1797" spans="1:60" ht="58" x14ac:dyDescent="0.35">
      <c r="A1797" s="2" t="s">
        <v>59</v>
      </c>
      <c r="B1797" s="2" t="s">
        <v>60</v>
      </c>
      <c r="C1797" s="2" t="s">
        <v>18226</v>
      </c>
      <c r="D1797" s="2" t="s">
        <v>18227</v>
      </c>
      <c r="E1797" s="2" t="s">
        <v>18228</v>
      </c>
      <c r="G1797" s="3" t="s">
        <v>64</v>
      </c>
      <c r="I1797" s="3" t="s">
        <v>64</v>
      </c>
      <c r="J1797" s="3" t="s">
        <v>128</v>
      </c>
      <c r="K1797" s="3" t="s">
        <v>65</v>
      </c>
      <c r="L1797" s="2" t="s">
        <v>18229</v>
      </c>
      <c r="M1797" s="2" t="s">
        <v>16093</v>
      </c>
      <c r="N1797" s="3" t="s">
        <v>511</v>
      </c>
      <c r="O1797" s="2" t="s">
        <v>172</v>
      </c>
      <c r="P1797" s="3" t="s">
        <v>102</v>
      </c>
      <c r="R1797" s="3" t="s">
        <v>70</v>
      </c>
      <c r="S1797" s="4">
        <v>5</v>
      </c>
      <c r="T1797" s="4">
        <v>5</v>
      </c>
      <c r="U1797" s="5" t="s">
        <v>18230</v>
      </c>
      <c r="V1797" s="5" t="s">
        <v>18230</v>
      </c>
      <c r="W1797" s="5" t="s">
        <v>72</v>
      </c>
      <c r="X1797" s="5" t="s">
        <v>72</v>
      </c>
      <c r="Y1797" s="4">
        <v>137</v>
      </c>
      <c r="Z1797" s="4">
        <v>7</v>
      </c>
      <c r="AA1797" s="4">
        <v>17</v>
      </c>
      <c r="AB1797" s="4">
        <v>1</v>
      </c>
      <c r="AC1797" s="4">
        <v>2</v>
      </c>
      <c r="AD1797" s="4">
        <v>32</v>
      </c>
      <c r="AE1797" s="4">
        <v>62</v>
      </c>
      <c r="AF1797" s="4">
        <v>0</v>
      </c>
      <c r="AG1797" s="4">
        <v>1</v>
      </c>
      <c r="AH1797" s="4">
        <v>31</v>
      </c>
      <c r="AI1797" s="4">
        <v>58</v>
      </c>
      <c r="AJ1797" s="4">
        <v>5</v>
      </c>
      <c r="AK1797" s="4">
        <v>9</v>
      </c>
      <c r="AL1797" s="4">
        <v>18</v>
      </c>
      <c r="AM1797" s="4">
        <v>26</v>
      </c>
      <c r="AN1797" s="4">
        <v>0</v>
      </c>
      <c r="AO1797" s="4">
        <v>0</v>
      </c>
      <c r="AP1797" s="4">
        <v>5</v>
      </c>
      <c r="AQ1797" s="4">
        <v>10</v>
      </c>
      <c r="AR1797" s="3" t="s">
        <v>64</v>
      </c>
      <c r="AS1797" s="3" t="s">
        <v>64</v>
      </c>
      <c r="AT1797" s="3" t="s">
        <v>64</v>
      </c>
      <c r="AV1797" s="6" t="str">
        <f>HYPERLINK("http://mcgill.on.worldcat.org/oclc/422757070","Catalog Record")</f>
        <v>Catalog Record</v>
      </c>
      <c r="AW1797" s="6" t="str">
        <f>HYPERLINK("http://www.worldcat.org/oclc/422757070","WorldCat Record")</f>
        <v>WorldCat Record</v>
      </c>
      <c r="AX1797" s="3" t="s">
        <v>18231</v>
      </c>
      <c r="AY1797" s="3" t="s">
        <v>18232</v>
      </c>
      <c r="AZ1797" s="3" t="s">
        <v>18233</v>
      </c>
      <c r="BA1797" s="3" t="s">
        <v>18233</v>
      </c>
      <c r="BB1797" s="3" t="s">
        <v>18234</v>
      </c>
      <c r="BC1797" s="3" t="s">
        <v>77</v>
      </c>
      <c r="BD1797" s="3" t="s">
        <v>78</v>
      </c>
      <c r="BE1797" s="3" t="s">
        <v>18235</v>
      </c>
      <c r="BF1797" s="3" t="s">
        <v>18234</v>
      </c>
      <c r="BG1797" s="3" t="s">
        <v>18236</v>
      </c>
      <c r="BH1797">
        <f t="shared" si="50"/>
        <v>0</v>
      </c>
    </row>
    <row r="1798" spans="1:60" ht="58" x14ac:dyDescent="0.35">
      <c r="A1798" s="2" t="s">
        <v>59</v>
      </c>
      <c r="B1798" s="2" t="s">
        <v>60</v>
      </c>
      <c r="C1798" s="2" t="s">
        <v>18237</v>
      </c>
      <c r="D1798" s="2" t="s">
        <v>18238</v>
      </c>
      <c r="E1798" s="2" t="s">
        <v>18239</v>
      </c>
      <c r="G1798" s="3" t="s">
        <v>64</v>
      </c>
      <c r="I1798" s="3" t="s">
        <v>64</v>
      </c>
      <c r="J1798" s="3" t="s">
        <v>64</v>
      </c>
      <c r="K1798" s="3" t="s">
        <v>65</v>
      </c>
      <c r="L1798" s="2" t="s">
        <v>18240</v>
      </c>
      <c r="M1798" s="2" t="s">
        <v>18241</v>
      </c>
      <c r="N1798" s="3" t="s">
        <v>67</v>
      </c>
      <c r="O1798" s="2" t="s">
        <v>15120</v>
      </c>
      <c r="P1798" s="3" t="s">
        <v>102</v>
      </c>
      <c r="R1798" s="3" t="s">
        <v>70</v>
      </c>
      <c r="S1798" s="4">
        <v>2</v>
      </c>
      <c r="T1798" s="4">
        <v>2</v>
      </c>
      <c r="U1798" s="5" t="s">
        <v>18242</v>
      </c>
      <c r="V1798" s="5" t="s">
        <v>18242</v>
      </c>
      <c r="W1798" s="5" t="s">
        <v>72</v>
      </c>
      <c r="X1798" s="5" t="s">
        <v>72</v>
      </c>
      <c r="Y1798" s="4">
        <v>84</v>
      </c>
      <c r="Z1798" s="4">
        <v>4</v>
      </c>
      <c r="AA1798" s="4">
        <v>14</v>
      </c>
      <c r="AB1798" s="4">
        <v>1</v>
      </c>
      <c r="AC1798" s="4">
        <v>5</v>
      </c>
      <c r="AD1798" s="4">
        <v>13</v>
      </c>
      <c r="AE1798" s="4">
        <v>29</v>
      </c>
      <c r="AF1798" s="4">
        <v>0</v>
      </c>
      <c r="AG1798" s="4">
        <v>1</v>
      </c>
      <c r="AH1798" s="4">
        <v>12</v>
      </c>
      <c r="AI1798" s="4">
        <v>27</v>
      </c>
      <c r="AJ1798" s="4">
        <v>1</v>
      </c>
      <c r="AK1798" s="4">
        <v>3</v>
      </c>
      <c r="AL1798" s="4">
        <v>5</v>
      </c>
      <c r="AM1798" s="4">
        <v>12</v>
      </c>
      <c r="AN1798" s="4">
        <v>0</v>
      </c>
      <c r="AO1798" s="4">
        <v>0</v>
      </c>
      <c r="AP1798" s="4">
        <v>2</v>
      </c>
      <c r="AQ1798" s="4">
        <v>3</v>
      </c>
      <c r="AR1798" s="3" t="s">
        <v>64</v>
      </c>
      <c r="AS1798" s="3" t="s">
        <v>64</v>
      </c>
      <c r="AT1798" s="3" t="s">
        <v>64</v>
      </c>
      <c r="AV1798" s="6" t="str">
        <f>HYPERLINK("http://mcgill.on.worldcat.org/oclc/878050660","Catalog Record")</f>
        <v>Catalog Record</v>
      </c>
      <c r="AW1798" s="6" t="str">
        <f>HYPERLINK("http://www.worldcat.org/oclc/878050660","WorldCat Record")</f>
        <v>WorldCat Record</v>
      </c>
      <c r="AX1798" s="3" t="s">
        <v>18243</v>
      </c>
      <c r="AY1798" s="3" t="s">
        <v>18244</v>
      </c>
      <c r="AZ1798" s="3" t="s">
        <v>18245</v>
      </c>
      <c r="BA1798" s="3" t="s">
        <v>18245</v>
      </c>
      <c r="BB1798" s="3" t="s">
        <v>18246</v>
      </c>
      <c r="BC1798" s="3" t="s">
        <v>77</v>
      </c>
      <c r="BD1798" s="3" t="s">
        <v>78</v>
      </c>
      <c r="BE1798" s="3" t="s">
        <v>18247</v>
      </c>
      <c r="BF1798" s="3" t="s">
        <v>18246</v>
      </c>
      <c r="BG1798" s="3" t="s">
        <v>18248</v>
      </c>
      <c r="BH1798">
        <f t="shared" si="50"/>
        <v>0</v>
      </c>
    </row>
    <row r="1799" spans="1:60" ht="58" x14ac:dyDescent="0.35">
      <c r="A1799" s="2" t="s">
        <v>59</v>
      </c>
      <c r="B1799" s="2" t="s">
        <v>60</v>
      </c>
      <c r="C1799" s="2" t="s">
        <v>18249</v>
      </c>
      <c r="D1799" s="2" t="s">
        <v>18250</v>
      </c>
      <c r="E1799" s="2" t="s">
        <v>18251</v>
      </c>
      <c r="G1799" s="3" t="s">
        <v>64</v>
      </c>
      <c r="I1799" s="3" t="s">
        <v>128</v>
      </c>
      <c r="J1799" s="3" t="s">
        <v>64</v>
      </c>
      <c r="K1799" s="3" t="s">
        <v>65</v>
      </c>
      <c r="M1799" s="2" t="s">
        <v>18252</v>
      </c>
      <c r="N1799" s="3" t="s">
        <v>434</v>
      </c>
      <c r="P1799" s="3" t="s">
        <v>102</v>
      </c>
      <c r="R1799" s="3" t="s">
        <v>70</v>
      </c>
      <c r="S1799" s="4">
        <v>4</v>
      </c>
      <c r="T1799" s="4">
        <v>8</v>
      </c>
      <c r="U1799" s="5" t="s">
        <v>18253</v>
      </c>
      <c r="V1799" s="5" t="s">
        <v>18219</v>
      </c>
      <c r="W1799" s="5" t="s">
        <v>72</v>
      </c>
      <c r="X1799" s="5" t="s">
        <v>72</v>
      </c>
      <c r="Y1799" s="4">
        <v>150</v>
      </c>
      <c r="Z1799" s="4">
        <v>31</v>
      </c>
      <c r="AA1799" s="4">
        <v>36</v>
      </c>
      <c r="AB1799" s="4">
        <v>3</v>
      </c>
      <c r="AC1799" s="4">
        <v>5</v>
      </c>
      <c r="AD1799" s="4">
        <v>43</v>
      </c>
      <c r="AE1799" s="4">
        <v>47</v>
      </c>
      <c r="AF1799" s="4">
        <v>2</v>
      </c>
      <c r="AG1799" s="4">
        <v>4</v>
      </c>
      <c r="AH1799" s="4">
        <v>27</v>
      </c>
      <c r="AI1799" s="4">
        <v>29</v>
      </c>
      <c r="AJ1799" s="4">
        <v>13</v>
      </c>
      <c r="AK1799" s="4">
        <v>17</v>
      </c>
      <c r="AL1799" s="4">
        <v>9</v>
      </c>
      <c r="AM1799" s="4">
        <v>10</v>
      </c>
      <c r="AN1799" s="4">
        <v>0</v>
      </c>
      <c r="AO1799" s="4">
        <v>0</v>
      </c>
      <c r="AP1799" s="4">
        <v>21</v>
      </c>
      <c r="AQ1799" s="4">
        <v>25</v>
      </c>
      <c r="AR1799" s="3" t="s">
        <v>128</v>
      </c>
      <c r="AS1799" s="3" t="s">
        <v>64</v>
      </c>
      <c r="AT1799" s="3" t="s">
        <v>64</v>
      </c>
      <c r="AV1799" s="6" t="str">
        <f>HYPERLINK("http://mcgill.on.worldcat.org/oclc/61526338","Catalog Record")</f>
        <v>Catalog Record</v>
      </c>
      <c r="AW1799" s="6" t="str">
        <f>HYPERLINK("http://www.worldcat.org/oclc/61526338","WorldCat Record")</f>
        <v>WorldCat Record</v>
      </c>
      <c r="AX1799" s="3" t="s">
        <v>18254</v>
      </c>
      <c r="AY1799" s="3" t="s">
        <v>18255</v>
      </c>
      <c r="AZ1799" s="3" t="s">
        <v>18256</v>
      </c>
      <c r="BA1799" s="3" t="s">
        <v>18256</v>
      </c>
      <c r="BB1799" s="3" t="s">
        <v>18257</v>
      </c>
      <c r="BC1799" s="3" t="s">
        <v>77</v>
      </c>
      <c r="BD1799" s="3" t="s">
        <v>78</v>
      </c>
      <c r="BE1799" s="3" t="s">
        <v>18258</v>
      </c>
      <c r="BF1799" s="3" t="s">
        <v>18257</v>
      </c>
      <c r="BG1799" s="3" t="s">
        <v>18259</v>
      </c>
      <c r="BH1799">
        <f t="shared" si="50"/>
        <v>0</v>
      </c>
    </row>
    <row r="1800" spans="1:60" ht="58" x14ac:dyDescent="0.35">
      <c r="A1800" s="2" t="s">
        <v>59</v>
      </c>
      <c r="B1800" s="2" t="s">
        <v>60</v>
      </c>
      <c r="C1800" s="2" t="s">
        <v>18249</v>
      </c>
      <c r="D1800" s="2" t="s">
        <v>18250</v>
      </c>
      <c r="E1800" s="2" t="s">
        <v>18251</v>
      </c>
      <c r="G1800" s="3" t="s">
        <v>64</v>
      </c>
      <c r="I1800" s="3" t="s">
        <v>128</v>
      </c>
      <c r="J1800" s="3" t="s">
        <v>64</v>
      </c>
      <c r="K1800" s="3" t="s">
        <v>65</v>
      </c>
      <c r="M1800" s="2" t="s">
        <v>18252</v>
      </c>
      <c r="N1800" s="3" t="s">
        <v>434</v>
      </c>
      <c r="P1800" s="3" t="s">
        <v>102</v>
      </c>
      <c r="R1800" s="3" t="s">
        <v>70</v>
      </c>
      <c r="S1800" s="4">
        <v>4</v>
      </c>
      <c r="T1800" s="4">
        <v>8</v>
      </c>
      <c r="U1800" s="5" t="s">
        <v>18219</v>
      </c>
      <c r="V1800" s="5" t="s">
        <v>18219</v>
      </c>
      <c r="W1800" s="5" t="s">
        <v>72</v>
      </c>
      <c r="X1800" s="5" t="s">
        <v>72</v>
      </c>
      <c r="Y1800" s="4">
        <v>150</v>
      </c>
      <c r="Z1800" s="4">
        <v>31</v>
      </c>
      <c r="AA1800" s="4">
        <v>36</v>
      </c>
      <c r="AB1800" s="4">
        <v>3</v>
      </c>
      <c r="AC1800" s="4">
        <v>5</v>
      </c>
      <c r="AD1800" s="4">
        <v>43</v>
      </c>
      <c r="AE1800" s="4">
        <v>47</v>
      </c>
      <c r="AF1800" s="4">
        <v>2</v>
      </c>
      <c r="AG1800" s="4">
        <v>4</v>
      </c>
      <c r="AH1800" s="4">
        <v>27</v>
      </c>
      <c r="AI1800" s="4">
        <v>29</v>
      </c>
      <c r="AJ1800" s="4">
        <v>13</v>
      </c>
      <c r="AK1800" s="4">
        <v>17</v>
      </c>
      <c r="AL1800" s="4">
        <v>9</v>
      </c>
      <c r="AM1800" s="4">
        <v>10</v>
      </c>
      <c r="AN1800" s="4">
        <v>0</v>
      </c>
      <c r="AO1800" s="4">
        <v>0</v>
      </c>
      <c r="AP1800" s="4">
        <v>21</v>
      </c>
      <c r="AQ1800" s="4">
        <v>25</v>
      </c>
      <c r="AR1800" s="3" t="s">
        <v>128</v>
      </c>
      <c r="AS1800" s="3" t="s">
        <v>64</v>
      </c>
      <c r="AT1800" s="3" t="s">
        <v>64</v>
      </c>
      <c r="AV1800" s="6" t="str">
        <f>HYPERLINK("http://mcgill.on.worldcat.org/oclc/61526338","Catalog Record")</f>
        <v>Catalog Record</v>
      </c>
      <c r="AW1800" s="6" t="str">
        <f>HYPERLINK("http://www.worldcat.org/oclc/61526338","WorldCat Record")</f>
        <v>WorldCat Record</v>
      </c>
      <c r="AX1800" s="3" t="s">
        <v>18254</v>
      </c>
      <c r="AY1800" s="3" t="s">
        <v>18255</v>
      </c>
      <c r="AZ1800" s="3" t="s">
        <v>18256</v>
      </c>
      <c r="BA1800" s="3" t="s">
        <v>18256</v>
      </c>
      <c r="BB1800" s="3" t="s">
        <v>18260</v>
      </c>
      <c r="BC1800" s="3" t="s">
        <v>77</v>
      </c>
      <c r="BD1800" s="3" t="s">
        <v>78</v>
      </c>
      <c r="BE1800" s="3" t="s">
        <v>18258</v>
      </c>
      <c r="BF1800" s="3" t="s">
        <v>18260</v>
      </c>
      <c r="BG1800" s="3" t="s">
        <v>18261</v>
      </c>
      <c r="BH1800">
        <f t="shared" si="50"/>
        <v>0</v>
      </c>
    </row>
    <row r="1801" spans="1:60" ht="58" x14ac:dyDescent="0.35">
      <c r="A1801" s="2" t="s">
        <v>59</v>
      </c>
      <c r="B1801" s="2" t="s">
        <v>60</v>
      </c>
      <c r="C1801" s="2" t="s">
        <v>18249</v>
      </c>
      <c r="D1801" s="2" t="s">
        <v>18250</v>
      </c>
      <c r="E1801" s="2" t="s">
        <v>18251</v>
      </c>
      <c r="G1801" s="3" t="s">
        <v>64</v>
      </c>
      <c r="I1801" s="3" t="s">
        <v>128</v>
      </c>
      <c r="J1801" s="3" t="s">
        <v>64</v>
      </c>
      <c r="K1801" s="3" t="s">
        <v>65</v>
      </c>
      <c r="M1801" s="2" t="s">
        <v>18252</v>
      </c>
      <c r="N1801" s="3" t="s">
        <v>434</v>
      </c>
      <c r="P1801" s="3" t="s">
        <v>102</v>
      </c>
      <c r="R1801" s="3" t="s">
        <v>70</v>
      </c>
      <c r="S1801" s="4">
        <v>0</v>
      </c>
      <c r="T1801" s="4">
        <v>8</v>
      </c>
      <c r="V1801" s="5" t="s">
        <v>18219</v>
      </c>
      <c r="W1801" s="5" t="s">
        <v>72</v>
      </c>
      <c r="X1801" s="5" t="s">
        <v>72</v>
      </c>
      <c r="Y1801" s="4">
        <v>150</v>
      </c>
      <c r="Z1801" s="4">
        <v>31</v>
      </c>
      <c r="AA1801" s="4">
        <v>36</v>
      </c>
      <c r="AB1801" s="4">
        <v>3</v>
      </c>
      <c r="AC1801" s="4">
        <v>5</v>
      </c>
      <c r="AD1801" s="4">
        <v>43</v>
      </c>
      <c r="AE1801" s="4">
        <v>47</v>
      </c>
      <c r="AF1801" s="4">
        <v>2</v>
      </c>
      <c r="AG1801" s="4">
        <v>4</v>
      </c>
      <c r="AH1801" s="4">
        <v>27</v>
      </c>
      <c r="AI1801" s="4">
        <v>29</v>
      </c>
      <c r="AJ1801" s="4">
        <v>13</v>
      </c>
      <c r="AK1801" s="4">
        <v>17</v>
      </c>
      <c r="AL1801" s="4">
        <v>9</v>
      </c>
      <c r="AM1801" s="4">
        <v>10</v>
      </c>
      <c r="AN1801" s="4">
        <v>0</v>
      </c>
      <c r="AO1801" s="4">
        <v>0</v>
      </c>
      <c r="AP1801" s="4">
        <v>21</v>
      </c>
      <c r="AQ1801" s="4">
        <v>25</v>
      </c>
      <c r="AR1801" s="3" t="s">
        <v>128</v>
      </c>
      <c r="AS1801" s="3" t="s">
        <v>64</v>
      </c>
      <c r="AT1801" s="3" t="s">
        <v>64</v>
      </c>
      <c r="AV1801" s="6" t="str">
        <f>HYPERLINK("http://mcgill.on.worldcat.org/oclc/61526338","Catalog Record")</f>
        <v>Catalog Record</v>
      </c>
      <c r="AW1801" s="6" t="str">
        <f>HYPERLINK("http://www.worldcat.org/oclc/61526338","WorldCat Record")</f>
        <v>WorldCat Record</v>
      </c>
      <c r="AX1801" s="3" t="s">
        <v>18254</v>
      </c>
      <c r="AY1801" s="3" t="s">
        <v>18255</v>
      </c>
      <c r="AZ1801" s="3" t="s">
        <v>18256</v>
      </c>
      <c r="BA1801" s="3" t="s">
        <v>18256</v>
      </c>
      <c r="BB1801" s="3" t="s">
        <v>18262</v>
      </c>
      <c r="BC1801" s="3" t="s">
        <v>77</v>
      </c>
      <c r="BD1801" s="3" t="s">
        <v>78</v>
      </c>
      <c r="BE1801" s="3" t="s">
        <v>18258</v>
      </c>
      <c r="BF1801" s="3" t="s">
        <v>18262</v>
      </c>
      <c r="BG1801" s="3" t="s">
        <v>18263</v>
      </c>
      <c r="BH1801">
        <f t="shared" si="50"/>
        <v>0</v>
      </c>
    </row>
    <row r="1802" spans="1:60" ht="58" x14ac:dyDescent="0.35">
      <c r="A1802" s="2" t="s">
        <v>59</v>
      </c>
      <c r="B1802" s="2" t="s">
        <v>60</v>
      </c>
      <c r="C1802" s="2" t="s">
        <v>18264</v>
      </c>
      <c r="D1802" s="2" t="s">
        <v>18265</v>
      </c>
      <c r="E1802" s="2" t="s">
        <v>18266</v>
      </c>
      <c r="F1802" s="3" t="s">
        <v>529</v>
      </c>
      <c r="G1802" s="3" t="s">
        <v>128</v>
      </c>
      <c r="I1802" s="3" t="s">
        <v>64</v>
      </c>
      <c r="J1802" s="3" t="s">
        <v>64</v>
      </c>
      <c r="K1802" s="3" t="s">
        <v>65</v>
      </c>
      <c r="L1802" s="2" t="s">
        <v>18267</v>
      </c>
      <c r="M1802" s="2" t="s">
        <v>18268</v>
      </c>
      <c r="N1802" s="3" t="s">
        <v>190</v>
      </c>
      <c r="P1802" s="3" t="s">
        <v>102</v>
      </c>
      <c r="R1802" s="3" t="s">
        <v>70</v>
      </c>
      <c r="S1802" s="4">
        <v>0</v>
      </c>
      <c r="T1802" s="4">
        <v>0</v>
      </c>
      <c r="W1802" s="5" t="s">
        <v>72</v>
      </c>
      <c r="X1802" s="5" t="s">
        <v>72</v>
      </c>
      <c r="Y1802" s="4">
        <v>20</v>
      </c>
      <c r="Z1802" s="4">
        <v>3</v>
      </c>
      <c r="AA1802" s="4">
        <v>3</v>
      </c>
      <c r="AB1802" s="4">
        <v>1</v>
      </c>
      <c r="AC1802" s="4">
        <v>1</v>
      </c>
      <c r="AD1802" s="4">
        <v>5</v>
      </c>
      <c r="AE1802" s="4">
        <v>6</v>
      </c>
      <c r="AF1802" s="4">
        <v>0</v>
      </c>
      <c r="AG1802" s="4">
        <v>0</v>
      </c>
      <c r="AH1802" s="4">
        <v>4</v>
      </c>
      <c r="AI1802" s="4">
        <v>5</v>
      </c>
      <c r="AJ1802" s="4">
        <v>2</v>
      </c>
      <c r="AK1802" s="4">
        <v>2</v>
      </c>
      <c r="AL1802" s="4">
        <v>0</v>
      </c>
      <c r="AM1802" s="4">
        <v>1</v>
      </c>
      <c r="AN1802" s="4">
        <v>0</v>
      </c>
      <c r="AO1802" s="4">
        <v>0</v>
      </c>
      <c r="AP1802" s="4">
        <v>1</v>
      </c>
      <c r="AQ1802" s="4">
        <v>1</v>
      </c>
      <c r="AR1802" s="3" t="s">
        <v>128</v>
      </c>
      <c r="AS1802" s="3" t="s">
        <v>64</v>
      </c>
      <c r="AT1802" s="3" t="s">
        <v>64</v>
      </c>
      <c r="AV1802" s="6" t="str">
        <f>HYPERLINK("http://mcgill.on.worldcat.org/oclc/1035331138","Catalog Record")</f>
        <v>Catalog Record</v>
      </c>
      <c r="AW1802" s="6" t="str">
        <f>HYPERLINK("http://www.worldcat.org/oclc/1035331138","WorldCat Record")</f>
        <v>WorldCat Record</v>
      </c>
      <c r="AX1802" s="3" t="s">
        <v>18269</v>
      </c>
      <c r="AY1802" s="3" t="s">
        <v>18270</v>
      </c>
      <c r="AZ1802" s="3" t="s">
        <v>18271</v>
      </c>
      <c r="BA1802" s="3" t="s">
        <v>18271</v>
      </c>
      <c r="BB1802" s="3" t="s">
        <v>18272</v>
      </c>
      <c r="BC1802" s="3" t="s">
        <v>77</v>
      </c>
      <c r="BD1802" s="3" t="s">
        <v>78</v>
      </c>
      <c r="BE1802" s="3" t="s">
        <v>18273</v>
      </c>
      <c r="BF1802" s="3" t="s">
        <v>18272</v>
      </c>
      <c r="BG1802" s="3" t="s">
        <v>18274</v>
      </c>
      <c r="BH1802">
        <f t="shared" si="50"/>
        <v>0</v>
      </c>
    </row>
    <row r="1803" spans="1:60" ht="58" x14ac:dyDescent="0.35">
      <c r="A1803" s="2" t="s">
        <v>59</v>
      </c>
      <c r="B1803" s="2" t="s">
        <v>60</v>
      </c>
      <c r="C1803" s="2" t="s">
        <v>18264</v>
      </c>
      <c r="D1803" s="2" t="s">
        <v>18265</v>
      </c>
      <c r="E1803" s="2" t="s">
        <v>18266</v>
      </c>
      <c r="F1803" s="3" t="s">
        <v>525</v>
      </c>
      <c r="G1803" s="3" t="s">
        <v>128</v>
      </c>
      <c r="I1803" s="3" t="s">
        <v>64</v>
      </c>
      <c r="J1803" s="3" t="s">
        <v>64</v>
      </c>
      <c r="K1803" s="3" t="s">
        <v>65</v>
      </c>
      <c r="L1803" s="2" t="s">
        <v>18267</v>
      </c>
      <c r="M1803" s="2" t="s">
        <v>18268</v>
      </c>
      <c r="N1803" s="3" t="s">
        <v>190</v>
      </c>
      <c r="P1803" s="3" t="s">
        <v>102</v>
      </c>
      <c r="R1803" s="3" t="s">
        <v>70</v>
      </c>
      <c r="S1803" s="4">
        <v>0</v>
      </c>
      <c r="T1803" s="4">
        <v>0</v>
      </c>
      <c r="W1803" s="5" t="s">
        <v>72</v>
      </c>
      <c r="X1803" s="5" t="s">
        <v>72</v>
      </c>
      <c r="Y1803" s="4">
        <v>20</v>
      </c>
      <c r="Z1803" s="4">
        <v>3</v>
      </c>
      <c r="AA1803" s="4">
        <v>3</v>
      </c>
      <c r="AB1803" s="4">
        <v>1</v>
      </c>
      <c r="AC1803" s="4">
        <v>1</v>
      </c>
      <c r="AD1803" s="4">
        <v>5</v>
      </c>
      <c r="AE1803" s="4">
        <v>6</v>
      </c>
      <c r="AF1803" s="4">
        <v>0</v>
      </c>
      <c r="AG1803" s="4">
        <v>0</v>
      </c>
      <c r="AH1803" s="4">
        <v>4</v>
      </c>
      <c r="AI1803" s="4">
        <v>5</v>
      </c>
      <c r="AJ1803" s="4">
        <v>2</v>
      </c>
      <c r="AK1803" s="4">
        <v>2</v>
      </c>
      <c r="AL1803" s="4">
        <v>0</v>
      </c>
      <c r="AM1803" s="4">
        <v>1</v>
      </c>
      <c r="AN1803" s="4">
        <v>0</v>
      </c>
      <c r="AO1803" s="4">
        <v>0</v>
      </c>
      <c r="AP1803" s="4">
        <v>1</v>
      </c>
      <c r="AQ1803" s="4">
        <v>1</v>
      </c>
      <c r="AR1803" s="3" t="s">
        <v>128</v>
      </c>
      <c r="AS1803" s="3" t="s">
        <v>64</v>
      </c>
      <c r="AT1803" s="3" t="s">
        <v>64</v>
      </c>
      <c r="AV1803" s="6" t="str">
        <f>HYPERLINK("http://mcgill.on.worldcat.org/oclc/1035331138","Catalog Record")</f>
        <v>Catalog Record</v>
      </c>
      <c r="AW1803" s="6" t="str">
        <f>HYPERLINK("http://www.worldcat.org/oclc/1035331138","WorldCat Record")</f>
        <v>WorldCat Record</v>
      </c>
      <c r="AX1803" s="3" t="s">
        <v>18269</v>
      </c>
      <c r="AY1803" s="3" t="s">
        <v>18270</v>
      </c>
      <c r="AZ1803" s="3" t="s">
        <v>18271</v>
      </c>
      <c r="BA1803" s="3" t="s">
        <v>18271</v>
      </c>
      <c r="BB1803" s="3" t="s">
        <v>18275</v>
      </c>
      <c r="BC1803" s="3" t="s">
        <v>77</v>
      </c>
      <c r="BD1803" s="3" t="s">
        <v>78</v>
      </c>
      <c r="BE1803" s="3" t="s">
        <v>18273</v>
      </c>
      <c r="BF1803" s="3" t="s">
        <v>18275</v>
      </c>
      <c r="BG1803" s="3" t="s">
        <v>18276</v>
      </c>
      <c r="BH1803">
        <f t="shared" si="50"/>
        <v>0</v>
      </c>
    </row>
    <row r="1804" spans="1:60" ht="58" x14ac:dyDescent="0.35">
      <c r="A1804" s="2" t="s">
        <v>59</v>
      </c>
      <c r="B1804" s="2" t="s">
        <v>60</v>
      </c>
      <c r="C1804" s="2" t="s">
        <v>18277</v>
      </c>
      <c r="D1804" s="2" t="s">
        <v>18278</v>
      </c>
      <c r="E1804" s="2" t="s">
        <v>18279</v>
      </c>
      <c r="G1804" s="3" t="s">
        <v>64</v>
      </c>
      <c r="I1804" s="3" t="s">
        <v>64</v>
      </c>
      <c r="J1804" s="3" t="s">
        <v>64</v>
      </c>
      <c r="K1804" s="3" t="s">
        <v>65</v>
      </c>
      <c r="L1804" s="2" t="s">
        <v>18280</v>
      </c>
      <c r="M1804" s="2" t="s">
        <v>17565</v>
      </c>
      <c r="N1804" s="3" t="s">
        <v>86</v>
      </c>
      <c r="P1804" s="3" t="s">
        <v>102</v>
      </c>
      <c r="R1804" s="3" t="s">
        <v>70</v>
      </c>
      <c r="S1804" s="4">
        <v>1</v>
      </c>
      <c r="T1804" s="4">
        <v>1</v>
      </c>
      <c r="U1804" s="5" t="s">
        <v>18281</v>
      </c>
      <c r="V1804" s="5" t="s">
        <v>18281</v>
      </c>
      <c r="W1804" s="5" t="s">
        <v>72</v>
      </c>
      <c r="X1804" s="5" t="s">
        <v>72</v>
      </c>
      <c r="Y1804" s="4">
        <v>372</v>
      </c>
      <c r="Z1804" s="4">
        <v>18</v>
      </c>
      <c r="AA1804" s="4">
        <v>18</v>
      </c>
      <c r="AB1804" s="4">
        <v>1</v>
      </c>
      <c r="AC1804" s="4">
        <v>1</v>
      </c>
      <c r="AD1804" s="4">
        <v>47</v>
      </c>
      <c r="AE1804" s="4">
        <v>47</v>
      </c>
      <c r="AF1804" s="4">
        <v>0</v>
      </c>
      <c r="AG1804" s="4">
        <v>0</v>
      </c>
      <c r="AH1804" s="4">
        <v>42</v>
      </c>
      <c r="AI1804" s="4">
        <v>42</v>
      </c>
      <c r="AJ1804" s="4">
        <v>4</v>
      </c>
      <c r="AK1804" s="4">
        <v>4</v>
      </c>
      <c r="AL1804" s="4">
        <v>19</v>
      </c>
      <c r="AM1804" s="4">
        <v>19</v>
      </c>
      <c r="AN1804" s="4">
        <v>0</v>
      </c>
      <c r="AO1804" s="4">
        <v>0</v>
      </c>
      <c r="AP1804" s="4">
        <v>7</v>
      </c>
      <c r="AQ1804" s="4">
        <v>7</v>
      </c>
      <c r="AR1804" s="3" t="s">
        <v>64</v>
      </c>
      <c r="AS1804" s="3" t="s">
        <v>64</v>
      </c>
      <c r="AT1804" s="3" t="s">
        <v>64</v>
      </c>
      <c r="AV1804" s="6" t="str">
        <f>HYPERLINK("http://mcgill.on.worldcat.org/oclc/666224079","Catalog Record")</f>
        <v>Catalog Record</v>
      </c>
      <c r="AW1804" s="6" t="str">
        <f>HYPERLINK("http://www.worldcat.org/oclc/666224079","WorldCat Record")</f>
        <v>WorldCat Record</v>
      </c>
      <c r="AX1804" s="3" t="s">
        <v>18282</v>
      </c>
      <c r="AY1804" s="3" t="s">
        <v>18283</v>
      </c>
      <c r="AZ1804" s="3" t="s">
        <v>18284</v>
      </c>
      <c r="BA1804" s="3" t="s">
        <v>18284</v>
      </c>
      <c r="BB1804" s="3" t="s">
        <v>18285</v>
      </c>
      <c r="BC1804" s="3" t="s">
        <v>77</v>
      </c>
      <c r="BD1804" s="3" t="s">
        <v>78</v>
      </c>
      <c r="BE1804" s="3" t="s">
        <v>18286</v>
      </c>
      <c r="BF1804" s="3" t="s">
        <v>18285</v>
      </c>
      <c r="BG1804" s="3" t="s">
        <v>18287</v>
      </c>
      <c r="BH1804">
        <f t="shared" si="50"/>
        <v>0</v>
      </c>
    </row>
    <row r="1805" spans="1:60" ht="58" x14ac:dyDescent="0.35">
      <c r="A1805" s="2" t="s">
        <v>59</v>
      </c>
      <c r="B1805" s="2" t="s">
        <v>60</v>
      </c>
      <c r="C1805" s="2" t="s">
        <v>18288</v>
      </c>
      <c r="D1805" s="2" t="s">
        <v>18289</v>
      </c>
      <c r="E1805" s="2" t="s">
        <v>18290</v>
      </c>
      <c r="G1805" s="3" t="s">
        <v>64</v>
      </c>
      <c r="I1805" s="3" t="s">
        <v>64</v>
      </c>
      <c r="J1805" s="3" t="s">
        <v>64</v>
      </c>
      <c r="K1805" s="3" t="s">
        <v>65</v>
      </c>
      <c r="M1805" s="2" t="s">
        <v>16093</v>
      </c>
      <c r="N1805" s="3" t="s">
        <v>511</v>
      </c>
      <c r="P1805" s="3" t="s">
        <v>102</v>
      </c>
      <c r="R1805" s="3" t="s">
        <v>70</v>
      </c>
      <c r="S1805" s="4">
        <v>1</v>
      </c>
      <c r="T1805" s="4">
        <v>1</v>
      </c>
      <c r="U1805" s="5" t="s">
        <v>886</v>
      </c>
      <c r="V1805" s="5" t="s">
        <v>886</v>
      </c>
      <c r="W1805" s="5" t="s">
        <v>72</v>
      </c>
      <c r="X1805" s="5" t="s">
        <v>72</v>
      </c>
      <c r="Y1805" s="4">
        <v>121</v>
      </c>
      <c r="Z1805" s="4">
        <v>8</v>
      </c>
      <c r="AA1805" s="4">
        <v>16</v>
      </c>
      <c r="AB1805" s="4">
        <v>1</v>
      </c>
      <c r="AC1805" s="4">
        <v>5</v>
      </c>
      <c r="AD1805" s="4">
        <v>25</v>
      </c>
      <c r="AE1805" s="4">
        <v>42</v>
      </c>
      <c r="AF1805" s="4">
        <v>0</v>
      </c>
      <c r="AG1805" s="4">
        <v>2</v>
      </c>
      <c r="AH1805" s="4">
        <v>25</v>
      </c>
      <c r="AI1805" s="4">
        <v>38</v>
      </c>
      <c r="AJ1805" s="4">
        <v>5</v>
      </c>
      <c r="AK1805" s="4">
        <v>7</v>
      </c>
      <c r="AL1805" s="4">
        <v>13</v>
      </c>
      <c r="AM1805" s="4">
        <v>21</v>
      </c>
      <c r="AN1805" s="4">
        <v>0</v>
      </c>
      <c r="AO1805" s="4">
        <v>0</v>
      </c>
      <c r="AP1805" s="4">
        <v>5</v>
      </c>
      <c r="AQ1805" s="4">
        <v>7</v>
      </c>
      <c r="AR1805" s="3" t="s">
        <v>64</v>
      </c>
      <c r="AS1805" s="3" t="s">
        <v>64</v>
      </c>
      <c r="AT1805" s="3" t="s">
        <v>64</v>
      </c>
      <c r="AV1805" s="6" t="str">
        <f>HYPERLINK("http://mcgill.on.worldcat.org/oclc/502874657","Catalog Record")</f>
        <v>Catalog Record</v>
      </c>
      <c r="AW1805" s="6" t="str">
        <f>HYPERLINK("http://www.worldcat.org/oclc/502874657","WorldCat Record")</f>
        <v>WorldCat Record</v>
      </c>
      <c r="AX1805" s="3" t="s">
        <v>18291</v>
      </c>
      <c r="AY1805" s="3" t="s">
        <v>18292</v>
      </c>
      <c r="AZ1805" s="3" t="s">
        <v>18293</v>
      </c>
      <c r="BA1805" s="3" t="s">
        <v>18293</v>
      </c>
      <c r="BB1805" s="3" t="s">
        <v>18294</v>
      </c>
      <c r="BC1805" s="3" t="s">
        <v>77</v>
      </c>
      <c r="BD1805" s="3" t="s">
        <v>78</v>
      </c>
      <c r="BE1805" s="3" t="s">
        <v>18295</v>
      </c>
      <c r="BF1805" s="3" t="s">
        <v>18294</v>
      </c>
      <c r="BG1805" s="3" t="s">
        <v>18296</v>
      </c>
      <c r="BH1805">
        <f t="shared" si="50"/>
        <v>0</v>
      </c>
    </row>
    <row r="1806" spans="1:60" ht="58" x14ac:dyDescent="0.35">
      <c r="A1806" s="2" t="s">
        <v>59</v>
      </c>
      <c r="B1806" s="2" t="s">
        <v>60</v>
      </c>
      <c r="C1806" s="2" t="s">
        <v>18297</v>
      </c>
      <c r="D1806" s="2" t="s">
        <v>18298</v>
      </c>
      <c r="E1806" s="2" t="s">
        <v>18299</v>
      </c>
      <c r="G1806" s="3" t="s">
        <v>64</v>
      </c>
      <c r="I1806" s="3" t="s">
        <v>64</v>
      </c>
      <c r="J1806" s="3" t="s">
        <v>64</v>
      </c>
      <c r="K1806" s="3" t="s">
        <v>65</v>
      </c>
      <c r="L1806" s="2" t="s">
        <v>18300</v>
      </c>
      <c r="M1806" s="2" t="s">
        <v>16229</v>
      </c>
      <c r="N1806" s="3" t="s">
        <v>190</v>
      </c>
      <c r="P1806" s="3" t="s">
        <v>102</v>
      </c>
      <c r="R1806" s="3" t="s">
        <v>70</v>
      </c>
      <c r="S1806" s="4">
        <v>1</v>
      </c>
      <c r="T1806" s="4">
        <v>1</v>
      </c>
      <c r="U1806" s="5" t="s">
        <v>18301</v>
      </c>
      <c r="V1806" s="5" t="s">
        <v>18301</v>
      </c>
      <c r="W1806" s="5" t="s">
        <v>72</v>
      </c>
      <c r="X1806" s="5" t="s">
        <v>72</v>
      </c>
      <c r="Y1806" s="4">
        <v>78</v>
      </c>
      <c r="Z1806" s="4">
        <v>1</v>
      </c>
      <c r="AA1806" s="4">
        <v>2</v>
      </c>
      <c r="AB1806" s="4">
        <v>1</v>
      </c>
      <c r="AC1806" s="4">
        <v>2</v>
      </c>
      <c r="AD1806" s="4">
        <v>22</v>
      </c>
      <c r="AE1806" s="4">
        <v>23</v>
      </c>
      <c r="AF1806" s="4">
        <v>0</v>
      </c>
      <c r="AG1806" s="4">
        <v>1</v>
      </c>
      <c r="AH1806" s="4">
        <v>22</v>
      </c>
      <c r="AI1806" s="4">
        <v>22</v>
      </c>
      <c r="AJ1806" s="4">
        <v>0</v>
      </c>
      <c r="AK1806" s="4">
        <v>1</v>
      </c>
      <c r="AL1806" s="4">
        <v>11</v>
      </c>
      <c r="AM1806" s="4">
        <v>11</v>
      </c>
      <c r="AN1806" s="4">
        <v>0</v>
      </c>
      <c r="AO1806" s="4">
        <v>0</v>
      </c>
      <c r="AP1806" s="4">
        <v>0</v>
      </c>
      <c r="AQ1806" s="4">
        <v>0</v>
      </c>
      <c r="AR1806" s="3" t="s">
        <v>64</v>
      </c>
      <c r="AS1806" s="3" t="s">
        <v>64</v>
      </c>
      <c r="AT1806" s="3" t="s">
        <v>64</v>
      </c>
      <c r="AV1806" s="6" t="str">
        <f>HYPERLINK("http://mcgill.on.worldcat.org/oclc/1033587002","Catalog Record")</f>
        <v>Catalog Record</v>
      </c>
      <c r="AW1806" s="6" t="str">
        <f>HYPERLINK("http://www.worldcat.org/oclc/1033587002","WorldCat Record")</f>
        <v>WorldCat Record</v>
      </c>
      <c r="AX1806" s="3" t="s">
        <v>18302</v>
      </c>
      <c r="AY1806" s="3" t="s">
        <v>18303</v>
      </c>
      <c r="AZ1806" s="3" t="s">
        <v>18304</v>
      </c>
      <c r="BA1806" s="3" t="s">
        <v>18304</v>
      </c>
      <c r="BB1806" s="3" t="s">
        <v>18305</v>
      </c>
      <c r="BC1806" s="3" t="s">
        <v>77</v>
      </c>
      <c r="BD1806" s="3" t="s">
        <v>78</v>
      </c>
      <c r="BE1806" s="3" t="s">
        <v>18306</v>
      </c>
      <c r="BF1806" s="3" t="s">
        <v>18305</v>
      </c>
      <c r="BG1806" s="3" t="s">
        <v>18307</v>
      </c>
      <c r="BH1806">
        <f t="shared" si="50"/>
        <v>0</v>
      </c>
    </row>
    <row r="1807" spans="1:60" ht="58" x14ac:dyDescent="0.35">
      <c r="A1807" s="2" t="s">
        <v>59</v>
      </c>
      <c r="B1807" s="2" t="s">
        <v>60</v>
      </c>
      <c r="C1807" s="2" t="s">
        <v>18308</v>
      </c>
      <c r="D1807" s="2" t="s">
        <v>18309</v>
      </c>
      <c r="E1807" s="2" t="s">
        <v>18310</v>
      </c>
      <c r="G1807" s="3" t="s">
        <v>64</v>
      </c>
      <c r="I1807" s="3" t="s">
        <v>64</v>
      </c>
      <c r="J1807" s="3" t="s">
        <v>64</v>
      </c>
      <c r="K1807" s="3" t="s">
        <v>65</v>
      </c>
      <c r="L1807" s="2" t="s">
        <v>18311</v>
      </c>
      <c r="M1807" s="2" t="s">
        <v>16093</v>
      </c>
      <c r="N1807" s="3" t="s">
        <v>511</v>
      </c>
      <c r="P1807" s="3" t="s">
        <v>102</v>
      </c>
      <c r="R1807" s="3" t="s">
        <v>70</v>
      </c>
      <c r="S1807" s="4">
        <v>5</v>
      </c>
      <c r="T1807" s="4">
        <v>5</v>
      </c>
      <c r="U1807" s="5" t="s">
        <v>18312</v>
      </c>
      <c r="V1807" s="5" t="s">
        <v>18312</v>
      </c>
      <c r="W1807" s="5" t="s">
        <v>72</v>
      </c>
      <c r="X1807" s="5" t="s">
        <v>72</v>
      </c>
      <c r="Y1807" s="4">
        <v>158</v>
      </c>
      <c r="Z1807" s="4">
        <v>14</v>
      </c>
      <c r="AA1807" s="4">
        <v>46</v>
      </c>
      <c r="AB1807" s="4">
        <v>2</v>
      </c>
      <c r="AC1807" s="4">
        <v>8</v>
      </c>
      <c r="AD1807" s="4">
        <v>31</v>
      </c>
      <c r="AE1807" s="4">
        <v>41</v>
      </c>
      <c r="AF1807" s="4">
        <v>1</v>
      </c>
      <c r="AG1807" s="4">
        <v>2</v>
      </c>
      <c r="AH1807" s="4">
        <v>28</v>
      </c>
      <c r="AI1807" s="4">
        <v>35</v>
      </c>
      <c r="AJ1807" s="4">
        <v>7</v>
      </c>
      <c r="AK1807" s="4">
        <v>8</v>
      </c>
      <c r="AL1807" s="4">
        <v>14</v>
      </c>
      <c r="AM1807" s="4">
        <v>17</v>
      </c>
      <c r="AN1807" s="4">
        <v>0</v>
      </c>
      <c r="AO1807" s="4">
        <v>0</v>
      </c>
      <c r="AP1807" s="4">
        <v>9</v>
      </c>
      <c r="AQ1807" s="4">
        <v>11</v>
      </c>
      <c r="AR1807" s="3" t="s">
        <v>64</v>
      </c>
      <c r="AS1807" s="3" t="s">
        <v>64</v>
      </c>
      <c r="AT1807" s="3" t="s">
        <v>64</v>
      </c>
      <c r="AV1807" s="6" t="str">
        <f>HYPERLINK("http://mcgill.on.worldcat.org/oclc/503073116","Catalog Record")</f>
        <v>Catalog Record</v>
      </c>
      <c r="AW1807" s="6" t="str">
        <f>HYPERLINK("http://www.worldcat.org/oclc/503073116","WorldCat Record")</f>
        <v>WorldCat Record</v>
      </c>
      <c r="AX1807" s="3" t="s">
        <v>18313</v>
      </c>
      <c r="AY1807" s="3" t="s">
        <v>18314</v>
      </c>
      <c r="AZ1807" s="3" t="s">
        <v>18315</v>
      </c>
      <c r="BA1807" s="3" t="s">
        <v>18315</v>
      </c>
      <c r="BB1807" s="3" t="s">
        <v>18316</v>
      </c>
      <c r="BC1807" s="3" t="s">
        <v>77</v>
      </c>
      <c r="BD1807" s="3" t="s">
        <v>78</v>
      </c>
      <c r="BE1807" s="3" t="s">
        <v>18317</v>
      </c>
      <c r="BF1807" s="3" t="s">
        <v>18316</v>
      </c>
      <c r="BG1807" s="3" t="s">
        <v>18318</v>
      </c>
      <c r="BH1807">
        <f t="shared" si="50"/>
        <v>0</v>
      </c>
    </row>
    <row r="1808" spans="1:60" ht="58" x14ac:dyDescent="0.35">
      <c r="A1808" s="2" t="s">
        <v>59</v>
      </c>
      <c r="B1808" s="2" t="s">
        <v>60</v>
      </c>
      <c r="C1808" s="2" t="s">
        <v>18319</v>
      </c>
      <c r="D1808" s="2" t="s">
        <v>18320</v>
      </c>
      <c r="E1808" s="2" t="s">
        <v>18321</v>
      </c>
      <c r="G1808" s="3" t="s">
        <v>64</v>
      </c>
      <c r="I1808" s="3" t="s">
        <v>64</v>
      </c>
      <c r="J1808" s="3" t="s">
        <v>64</v>
      </c>
      <c r="K1808" s="3" t="s">
        <v>65</v>
      </c>
      <c r="L1808" s="2" t="s">
        <v>18322</v>
      </c>
      <c r="M1808" s="2" t="s">
        <v>16093</v>
      </c>
      <c r="N1808" s="3" t="s">
        <v>511</v>
      </c>
      <c r="P1808" s="3" t="s">
        <v>102</v>
      </c>
      <c r="R1808" s="3" t="s">
        <v>70</v>
      </c>
      <c r="S1808" s="4">
        <v>0</v>
      </c>
      <c r="T1808" s="4">
        <v>0</v>
      </c>
      <c r="W1808" s="5" t="s">
        <v>72</v>
      </c>
      <c r="X1808" s="5" t="s">
        <v>72</v>
      </c>
      <c r="Y1808" s="4">
        <v>102</v>
      </c>
      <c r="Z1808" s="4">
        <v>8</v>
      </c>
      <c r="AA1808" s="4">
        <v>9</v>
      </c>
      <c r="AB1808" s="4">
        <v>1</v>
      </c>
      <c r="AC1808" s="4">
        <v>2</v>
      </c>
      <c r="AD1808" s="4">
        <v>28</v>
      </c>
      <c r="AE1808" s="4">
        <v>30</v>
      </c>
      <c r="AF1808" s="4">
        <v>0</v>
      </c>
      <c r="AG1808" s="4">
        <v>1</v>
      </c>
      <c r="AH1808" s="4">
        <v>27</v>
      </c>
      <c r="AI1808" s="4">
        <v>28</v>
      </c>
      <c r="AJ1808" s="4">
        <v>5</v>
      </c>
      <c r="AK1808" s="4">
        <v>6</v>
      </c>
      <c r="AL1808" s="4">
        <v>13</v>
      </c>
      <c r="AM1808" s="4">
        <v>13</v>
      </c>
      <c r="AN1808" s="4">
        <v>0</v>
      </c>
      <c r="AO1808" s="4">
        <v>0</v>
      </c>
      <c r="AP1808" s="4">
        <v>6</v>
      </c>
      <c r="AQ1808" s="4">
        <v>6</v>
      </c>
      <c r="AR1808" s="3" t="s">
        <v>64</v>
      </c>
      <c r="AS1808" s="3" t="s">
        <v>64</v>
      </c>
      <c r="AT1808" s="3" t="s">
        <v>64</v>
      </c>
      <c r="AV1808" s="6" t="str">
        <f>HYPERLINK("http://mcgill.on.worldcat.org/oclc/462893854","Catalog Record")</f>
        <v>Catalog Record</v>
      </c>
      <c r="AW1808" s="6" t="str">
        <f>HYPERLINK("http://www.worldcat.org/oclc/462893854","WorldCat Record")</f>
        <v>WorldCat Record</v>
      </c>
      <c r="AX1808" s="3" t="s">
        <v>18323</v>
      </c>
      <c r="AY1808" s="3" t="s">
        <v>18324</v>
      </c>
      <c r="AZ1808" s="3" t="s">
        <v>18325</v>
      </c>
      <c r="BA1808" s="3" t="s">
        <v>18325</v>
      </c>
      <c r="BB1808" s="3" t="s">
        <v>18326</v>
      </c>
      <c r="BC1808" s="3" t="s">
        <v>77</v>
      </c>
      <c r="BD1808" s="3" t="s">
        <v>78</v>
      </c>
      <c r="BE1808" s="3" t="s">
        <v>18327</v>
      </c>
      <c r="BF1808" s="3" t="s">
        <v>18326</v>
      </c>
      <c r="BG1808" s="3" t="s">
        <v>18328</v>
      </c>
      <c r="BH1808">
        <f t="shared" si="50"/>
        <v>0</v>
      </c>
    </row>
    <row r="1809" spans="1:60" ht="72.5" x14ac:dyDescent="0.35">
      <c r="A1809" s="2" t="s">
        <v>59</v>
      </c>
      <c r="B1809" s="2" t="s">
        <v>60</v>
      </c>
      <c r="C1809" s="2" t="s">
        <v>18329</v>
      </c>
      <c r="D1809" s="2" t="s">
        <v>18330</v>
      </c>
      <c r="E1809" s="2" t="s">
        <v>18331</v>
      </c>
      <c r="G1809" s="3" t="s">
        <v>64</v>
      </c>
      <c r="I1809" s="3" t="s">
        <v>64</v>
      </c>
      <c r="J1809" s="3" t="s">
        <v>64</v>
      </c>
      <c r="K1809" s="3" t="s">
        <v>65</v>
      </c>
      <c r="M1809" s="2" t="s">
        <v>18332</v>
      </c>
      <c r="N1809" s="3" t="s">
        <v>1075</v>
      </c>
      <c r="P1809" s="3" t="s">
        <v>102</v>
      </c>
      <c r="R1809" s="3" t="s">
        <v>70</v>
      </c>
      <c r="S1809" s="4">
        <v>2</v>
      </c>
      <c r="T1809" s="4">
        <v>2</v>
      </c>
      <c r="U1809" s="5" t="s">
        <v>18333</v>
      </c>
      <c r="V1809" s="5" t="s">
        <v>18333</v>
      </c>
      <c r="W1809" s="5" t="s">
        <v>72</v>
      </c>
      <c r="X1809" s="5" t="s">
        <v>72</v>
      </c>
      <c r="Y1809" s="4">
        <v>104</v>
      </c>
      <c r="Z1809" s="4">
        <v>9</v>
      </c>
      <c r="AA1809" s="4">
        <v>42</v>
      </c>
      <c r="AB1809" s="4">
        <v>1</v>
      </c>
      <c r="AC1809" s="4">
        <v>3</v>
      </c>
      <c r="AD1809" s="4">
        <v>32</v>
      </c>
      <c r="AE1809" s="4">
        <v>47</v>
      </c>
      <c r="AF1809" s="4">
        <v>0</v>
      </c>
      <c r="AG1809" s="4">
        <v>0</v>
      </c>
      <c r="AH1809" s="4">
        <v>32</v>
      </c>
      <c r="AI1809" s="4">
        <v>40</v>
      </c>
      <c r="AJ1809" s="4">
        <v>5</v>
      </c>
      <c r="AK1809" s="4">
        <v>7</v>
      </c>
      <c r="AL1809" s="4">
        <v>14</v>
      </c>
      <c r="AM1809" s="4">
        <v>19</v>
      </c>
      <c r="AN1809" s="4">
        <v>0</v>
      </c>
      <c r="AO1809" s="4">
        <v>0</v>
      </c>
      <c r="AP1809" s="4">
        <v>5</v>
      </c>
      <c r="AQ1809" s="4">
        <v>11</v>
      </c>
      <c r="AR1809" s="3" t="s">
        <v>64</v>
      </c>
      <c r="AS1809" s="3" t="s">
        <v>64</v>
      </c>
      <c r="AT1809" s="3" t="s">
        <v>64</v>
      </c>
      <c r="AV1809" s="6" t="str">
        <f>HYPERLINK("http://mcgill.on.worldcat.org/oclc/805057752","Catalog Record")</f>
        <v>Catalog Record</v>
      </c>
      <c r="AW1809" s="6" t="str">
        <f>HYPERLINK("http://www.worldcat.org/oclc/805057752","WorldCat Record")</f>
        <v>WorldCat Record</v>
      </c>
      <c r="AX1809" s="3" t="s">
        <v>18334</v>
      </c>
      <c r="AY1809" s="3" t="s">
        <v>18335</v>
      </c>
      <c r="AZ1809" s="3" t="s">
        <v>18336</v>
      </c>
      <c r="BA1809" s="3" t="s">
        <v>18336</v>
      </c>
      <c r="BB1809" s="3" t="s">
        <v>18337</v>
      </c>
      <c r="BC1809" s="3" t="s">
        <v>77</v>
      </c>
      <c r="BD1809" s="3" t="s">
        <v>78</v>
      </c>
      <c r="BE1809" s="3" t="s">
        <v>18338</v>
      </c>
      <c r="BF1809" s="3" t="s">
        <v>18337</v>
      </c>
      <c r="BG1809" s="3" t="s">
        <v>18339</v>
      </c>
      <c r="BH1809">
        <f t="shared" si="50"/>
        <v>0</v>
      </c>
    </row>
    <row r="1810" spans="1:60" ht="58" x14ac:dyDescent="0.35">
      <c r="A1810" s="2" t="s">
        <v>59</v>
      </c>
      <c r="B1810" s="2" t="s">
        <v>60</v>
      </c>
      <c r="C1810" s="2" t="s">
        <v>18340</v>
      </c>
      <c r="D1810" s="2" t="s">
        <v>18341</v>
      </c>
      <c r="E1810" s="2" t="s">
        <v>18342</v>
      </c>
      <c r="G1810" s="3" t="s">
        <v>64</v>
      </c>
      <c r="I1810" s="3" t="s">
        <v>64</v>
      </c>
      <c r="J1810" s="3" t="s">
        <v>64</v>
      </c>
      <c r="K1810" s="3" t="s">
        <v>65</v>
      </c>
      <c r="L1810" s="2" t="s">
        <v>18343</v>
      </c>
      <c r="M1810" s="2" t="s">
        <v>14044</v>
      </c>
      <c r="N1810" s="3" t="s">
        <v>326</v>
      </c>
      <c r="P1810" s="3" t="s">
        <v>102</v>
      </c>
      <c r="R1810" s="3" t="s">
        <v>70</v>
      </c>
      <c r="S1810" s="4">
        <v>2</v>
      </c>
      <c r="T1810" s="4">
        <v>2</v>
      </c>
      <c r="U1810" s="5" t="s">
        <v>18344</v>
      </c>
      <c r="V1810" s="5" t="s">
        <v>18344</v>
      </c>
      <c r="W1810" s="5" t="s">
        <v>72</v>
      </c>
      <c r="X1810" s="5" t="s">
        <v>72</v>
      </c>
      <c r="Y1810" s="4">
        <v>199</v>
      </c>
      <c r="Z1810" s="4">
        <v>10</v>
      </c>
      <c r="AA1810" s="4">
        <v>95</v>
      </c>
      <c r="AB1810" s="4">
        <v>1</v>
      </c>
      <c r="AC1810" s="4">
        <v>17</v>
      </c>
      <c r="AD1810" s="4">
        <v>47</v>
      </c>
      <c r="AE1810" s="4">
        <v>109</v>
      </c>
      <c r="AF1810" s="4">
        <v>0</v>
      </c>
      <c r="AG1810" s="4">
        <v>8</v>
      </c>
      <c r="AH1810" s="4">
        <v>44</v>
      </c>
      <c r="AI1810" s="4">
        <v>73</v>
      </c>
      <c r="AJ1810" s="4">
        <v>7</v>
      </c>
      <c r="AK1810" s="4">
        <v>20</v>
      </c>
      <c r="AL1810" s="4">
        <v>18</v>
      </c>
      <c r="AM1810" s="4">
        <v>38</v>
      </c>
      <c r="AN1810" s="4">
        <v>0</v>
      </c>
      <c r="AO1810" s="4">
        <v>0</v>
      </c>
      <c r="AP1810" s="4">
        <v>8</v>
      </c>
      <c r="AQ1810" s="4">
        <v>42</v>
      </c>
      <c r="AR1810" s="3" t="s">
        <v>64</v>
      </c>
      <c r="AS1810" s="3" t="s">
        <v>64</v>
      </c>
      <c r="AT1810" s="3" t="s">
        <v>64</v>
      </c>
      <c r="AV1810" s="6" t="str">
        <f>HYPERLINK("http://mcgill.on.worldcat.org/oclc/609099892","Catalog Record")</f>
        <v>Catalog Record</v>
      </c>
      <c r="AW1810" s="6" t="str">
        <f>HYPERLINK("http://www.worldcat.org/oclc/609099892","WorldCat Record")</f>
        <v>WorldCat Record</v>
      </c>
      <c r="AX1810" s="3" t="s">
        <v>18345</v>
      </c>
      <c r="AY1810" s="3" t="s">
        <v>18346</v>
      </c>
      <c r="AZ1810" s="3" t="s">
        <v>18347</v>
      </c>
      <c r="BA1810" s="3" t="s">
        <v>18347</v>
      </c>
      <c r="BB1810" s="3" t="s">
        <v>18348</v>
      </c>
      <c r="BC1810" s="3" t="s">
        <v>77</v>
      </c>
      <c r="BD1810" s="3" t="s">
        <v>78</v>
      </c>
      <c r="BE1810" s="3" t="s">
        <v>18349</v>
      </c>
      <c r="BF1810" s="3" t="s">
        <v>18348</v>
      </c>
      <c r="BG1810" s="3" t="s">
        <v>18350</v>
      </c>
      <c r="BH1810">
        <f t="shared" si="50"/>
        <v>0</v>
      </c>
    </row>
    <row r="1811" spans="1:60" ht="58" x14ac:dyDescent="0.35">
      <c r="A1811" s="2" t="s">
        <v>59</v>
      </c>
      <c r="B1811" s="2" t="s">
        <v>60</v>
      </c>
      <c r="C1811" s="2" t="s">
        <v>18351</v>
      </c>
      <c r="D1811" s="2" t="s">
        <v>18352</v>
      </c>
      <c r="E1811" s="2" t="s">
        <v>18353</v>
      </c>
      <c r="G1811" s="3" t="s">
        <v>128</v>
      </c>
      <c r="I1811" s="3" t="s">
        <v>64</v>
      </c>
      <c r="J1811" s="3" t="s">
        <v>128</v>
      </c>
      <c r="K1811" s="3" t="s">
        <v>65</v>
      </c>
      <c r="L1811" s="2" t="s">
        <v>18354</v>
      </c>
      <c r="M1811" s="2" t="s">
        <v>18355</v>
      </c>
      <c r="N1811" s="3" t="s">
        <v>1075</v>
      </c>
      <c r="O1811" s="2" t="s">
        <v>18356</v>
      </c>
      <c r="P1811" s="3" t="s">
        <v>102</v>
      </c>
      <c r="Q1811" s="2" t="s">
        <v>15094</v>
      </c>
      <c r="R1811" s="3" t="s">
        <v>70</v>
      </c>
      <c r="S1811" s="4">
        <v>1</v>
      </c>
      <c r="T1811" s="4">
        <v>1</v>
      </c>
      <c r="U1811" s="5" t="s">
        <v>16768</v>
      </c>
      <c r="V1811" s="5" t="s">
        <v>16768</v>
      </c>
      <c r="W1811" s="5" t="s">
        <v>72</v>
      </c>
      <c r="X1811" s="5" t="s">
        <v>72</v>
      </c>
      <c r="Y1811" s="4">
        <v>73</v>
      </c>
      <c r="Z1811" s="4">
        <v>5</v>
      </c>
      <c r="AA1811" s="4">
        <v>14</v>
      </c>
      <c r="AB1811" s="4">
        <v>1</v>
      </c>
      <c r="AC1811" s="4">
        <v>3</v>
      </c>
      <c r="AD1811" s="4">
        <v>23</v>
      </c>
      <c r="AE1811" s="4">
        <v>42</v>
      </c>
      <c r="AF1811" s="4">
        <v>0</v>
      </c>
      <c r="AG1811" s="4">
        <v>0</v>
      </c>
      <c r="AH1811" s="4">
        <v>23</v>
      </c>
      <c r="AI1811" s="4">
        <v>41</v>
      </c>
      <c r="AJ1811" s="4">
        <v>3</v>
      </c>
      <c r="AK1811" s="4">
        <v>5</v>
      </c>
      <c r="AL1811" s="4">
        <v>12</v>
      </c>
      <c r="AM1811" s="4">
        <v>19</v>
      </c>
      <c r="AN1811" s="4">
        <v>0</v>
      </c>
      <c r="AO1811" s="4">
        <v>0</v>
      </c>
      <c r="AP1811" s="4">
        <v>3</v>
      </c>
      <c r="AQ1811" s="4">
        <v>6</v>
      </c>
      <c r="AR1811" s="3" t="s">
        <v>64</v>
      </c>
      <c r="AS1811" s="3" t="s">
        <v>64</v>
      </c>
      <c r="AT1811" s="3" t="s">
        <v>64</v>
      </c>
      <c r="AV1811" s="6" t="str">
        <f>HYPERLINK("http://mcgill.on.worldcat.org/oclc/795760566","Catalog Record")</f>
        <v>Catalog Record</v>
      </c>
      <c r="AW1811" s="6" t="str">
        <f>HYPERLINK("http://www.worldcat.org/oclc/795760566","WorldCat Record")</f>
        <v>WorldCat Record</v>
      </c>
      <c r="AX1811" s="3" t="s">
        <v>18357</v>
      </c>
      <c r="AY1811" s="3" t="s">
        <v>18358</v>
      </c>
      <c r="AZ1811" s="3" t="s">
        <v>18359</v>
      </c>
      <c r="BA1811" s="3" t="s">
        <v>18359</v>
      </c>
      <c r="BB1811" s="3" t="s">
        <v>18360</v>
      </c>
      <c r="BC1811" s="3" t="s">
        <v>77</v>
      </c>
      <c r="BD1811" s="3" t="s">
        <v>78</v>
      </c>
      <c r="BE1811" s="3" t="s">
        <v>18361</v>
      </c>
      <c r="BF1811" s="3" t="s">
        <v>18360</v>
      </c>
      <c r="BG1811" s="3" t="s">
        <v>18362</v>
      </c>
      <c r="BH1811">
        <f t="shared" si="50"/>
        <v>0</v>
      </c>
    </row>
    <row r="1812" spans="1:60" ht="58" x14ac:dyDescent="0.35">
      <c r="A1812" s="2" t="s">
        <v>59</v>
      </c>
      <c r="B1812" s="2" t="s">
        <v>60</v>
      </c>
      <c r="C1812" s="2" t="s">
        <v>18363</v>
      </c>
      <c r="D1812" s="2" t="s">
        <v>18364</v>
      </c>
      <c r="E1812" s="2" t="s">
        <v>18365</v>
      </c>
      <c r="G1812" s="3" t="s">
        <v>64</v>
      </c>
      <c r="I1812" s="3" t="s">
        <v>64</v>
      </c>
      <c r="J1812" s="3" t="s">
        <v>64</v>
      </c>
      <c r="K1812" s="3" t="s">
        <v>65</v>
      </c>
      <c r="L1812" s="2" t="s">
        <v>18366</v>
      </c>
      <c r="M1812" s="2" t="s">
        <v>18367</v>
      </c>
      <c r="N1812" s="3" t="s">
        <v>67</v>
      </c>
      <c r="O1812" s="2" t="s">
        <v>15875</v>
      </c>
      <c r="P1812" s="3" t="s">
        <v>102</v>
      </c>
      <c r="Q1812" s="2" t="s">
        <v>15094</v>
      </c>
      <c r="R1812" s="3" t="s">
        <v>70</v>
      </c>
      <c r="S1812" s="4">
        <v>0</v>
      </c>
      <c r="T1812" s="4">
        <v>0</v>
      </c>
      <c r="W1812" s="5" t="s">
        <v>72</v>
      </c>
      <c r="X1812" s="5" t="s">
        <v>72</v>
      </c>
      <c r="Y1812" s="4">
        <v>82</v>
      </c>
      <c r="Z1812" s="4">
        <v>6</v>
      </c>
      <c r="AA1812" s="4">
        <v>9</v>
      </c>
      <c r="AB1812" s="4">
        <v>1</v>
      </c>
      <c r="AC1812" s="4">
        <v>3</v>
      </c>
      <c r="AD1812" s="4">
        <v>18</v>
      </c>
      <c r="AE1812" s="4">
        <v>22</v>
      </c>
      <c r="AF1812" s="4">
        <v>0</v>
      </c>
      <c r="AG1812" s="4">
        <v>1</v>
      </c>
      <c r="AH1812" s="4">
        <v>18</v>
      </c>
      <c r="AI1812" s="4">
        <v>20</v>
      </c>
      <c r="AJ1812" s="4">
        <v>3</v>
      </c>
      <c r="AK1812" s="4">
        <v>4</v>
      </c>
      <c r="AL1812" s="4">
        <v>9</v>
      </c>
      <c r="AM1812" s="4">
        <v>10</v>
      </c>
      <c r="AN1812" s="4">
        <v>0</v>
      </c>
      <c r="AO1812" s="4">
        <v>0</v>
      </c>
      <c r="AP1812" s="4">
        <v>3</v>
      </c>
      <c r="AQ1812" s="4">
        <v>5</v>
      </c>
      <c r="AR1812" s="3" t="s">
        <v>64</v>
      </c>
      <c r="AS1812" s="3" t="s">
        <v>64</v>
      </c>
      <c r="AT1812" s="3" t="s">
        <v>64</v>
      </c>
      <c r="AV1812" s="6" t="str">
        <f>HYPERLINK("http://mcgill.on.worldcat.org/oclc/852220681","Catalog Record")</f>
        <v>Catalog Record</v>
      </c>
      <c r="AW1812" s="6" t="str">
        <f>HYPERLINK("http://www.worldcat.org/oclc/852220681","WorldCat Record")</f>
        <v>WorldCat Record</v>
      </c>
      <c r="AX1812" s="3" t="s">
        <v>18368</v>
      </c>
      <c r="AY1812" s="3" t="s">
        <v>18369</v>
      </c>
      <c r="AZ1812" s="3" t="s">
        <v>18370</v>
      </c>
      <c r="BA1812" s="3" t="s">
        <v>18370</v>
      </c>
      <c r="BB1812" s="3" t="s">
        <v>18371</v>
      </c>
      <c r="BC1812" s="3" t="s">
        <v>77</v>
      </c>
      <c r="BD1812" s="3" t="s">
        <v>78</v>
      </c>
      <c r="BE1812" s="3" t="s">
        <v>18372</v>
      </c>
      <c r="BF1812" s="3" t="s">
        <v>18371</v>
      </c>
      <c r="BG1812" s="3" t="s">
        <v>18373</v>
      </c>
      <c r="BH1812">
        <f t="shared" si="50"/>
        <v>0</v>
      </c>
    </row>
    <row r="1813" spans="1:60" ht="58" x14ac:dyDescent="0.35">
      <c r="A1813" s="2" t="s">
        <v>59</v>
      </c>
      <c r="B1813" s="2" t="s">
        <v>60</v>
      </c>
      <c r="C1813" s="2" t="s">
        <v>18374</v>
      </c>
      <c r="D1813" s="2" t="s">
        <v>18375</v>
      </c>
      <c r="E1813" s="2" t="s">
        <v>18376</v>
      </c>
      <c r="G1813" s="3" t="s">
        <v>64</v>
      </c>
      <c r="I1813" s="3" t="s">
        <v>64</v>
      </c>
      <c r="J1813" s="3" t="s">
        <v>64</v>
      </c>
      <c r="K1813" s="3" t="s">
        <v>65</v>
      </c>
      <c r="M1813" s="2" t="s">
        <v>18377</v>
      </c>
      <c r="N1813" s="3" t="s">
        <v>86</v>
      </c>
      <c r="P1813" s="3" t="s">
        <v>102</v>
      </c>
      <c r="R1813" s="3" t="s">
        <v>70</v>
      </c>
      <c r="S1813" s="4">
        <v>1</v>
      </c>
      <c r="T1813" s="4">
        <v>1</v>
      </c>
      <c r="U1813" s="5" t="s">
        <v>18378</v>
      </c>
      <c r="V1813" s="5" t="s">
        <v>18378</v>
      </c>
      <c r="W1813" s="5" t="s">
        <v>72</v>
      </c>
      <c r="X1813" s="5" t="s">
        <v>72</v>
      </c>
      <c r="Y1813" s="4">
        <v>178</v>
      </c>
      <c r="Z1813" s="4">
        <v>14</v>
      </c>
      <c r="AA1813" s="4">
        <v>19</v>
      </c>
      <c r="AB1813" s="4">
        <v>2</v>
      </c>
      <c r="AC1813" s="4">
        <v>7</v>
      </c>
      <c r="AD1813" s="4">
        <v>28</v>
      </c>
      <c r="AE1813" s="4">
        <v>32</v>
      </c>
      <c r="AF1813" s="4">
        <v>0</v>
      </c>
      <c r="AG1813" s="4">
        <v>2</v>
      </c>
      <c r="AH1813" s="4">
        <v>28</v>
      </c>
      <c r="AI1813" s="4">
        <v>30</v>
      </c>
      <c r="AJ1813" s="4">
        <v>4</v>
      </c>
      <c r="AK1813" s="4">
        <v>5</v>
      </c>
      <c r="AL1813" s="4">
        <v>15</v>
      </c>
      <c r="AM1813" s="4">
        <v>17</v>
      </c>
      <c r="AN1813" s="4">
        <v>0</v>
      </c>
      <c r="AO1813" s="4">
        <v>0</v>
      </c>
      <c r="AP1813" s="4">
        <v>4</v>
      </c>
      <c r="AQ1813" s="4">
        <v>5</v>
      </c>
      <c r="AR1813" s="3" t="s">
        <v>64</v>
      </c>
      <c r="AS1813" s="3" t="s">
        <v>64</v>
      </c>
      <c r="AT1813" s="3" t="s">
        <v>64</v>
      </c>
      <c r="AV1813" s="6" t="str">
        <f>HYPERLINK("http://mcgill.on.worldcat.org/oclc/729721209","Catalog Record")</f>
        <v>Catalog Record</v>
      </c>
      <c r="AW1813" s="6" t="str">
        <f>HYPERLINK("http://www.worldcat.org/oclc/729721209","WorldCat Record")</f>
        <v>WorldCat Record</v>
      </c>
      <c r="AX1813" s="3" t="s">
        <v>18379</v>
      </c>
      <c r="AY1813" s="3" t="s">
        <v>18380</v>
      </c>
      <c r="AZ1813" s="3" t="s">
        <v>18381</v>
      </c>
      <c r="BA1813" s="3" t="s">
        <v>18381</v>
      </c>
      <c r="BB1813" s="3" t="s">
        <v>18382</v>
      </c>
      <c r="BC1813" s="3" t="s">
        <v>77</v>
      </c>
      <c r="BD1813" s="3" t="s">
        <v>78</v>
      </c>
      <c r="BE1813" s="3" t="s">
        <v>18383</v>
      </c>
      <c r="BF1813" s="3" t="s">
        <v>18382</v>
      </c>
      <c r="BG1813" s="3" t="s">
        <v>18384</v>
      </c>
      <c r="BH1813">
        <f t="shared" si="50"/>
        <v>0</v>
      </c>
    </row>
    <row r="1814" spans="1:60" ht="58" x14ac:dyDescent="0.35">
      <c r="A1814" s="2" t="s">
        <v>59</v>
      </c>
      <c r="B1814" s="2" t="s">
        <v>60</v>
      </c>
      <c r="C1814" s="2" t="s">
        <v>18385</v>
      </c>
      <c r="D1814" s="2" t="s">
        <v>18386</v>
      </c>
      <c r="E1814" s="2" t="s">
        <v>18387</v>
      </c>
      <c r="G1814" s="3" t="s">
        <v>64</v>
      </c>
      <c r="I1814" s="3" t="s">
        <v>64</v>
      </c>
      <c r="J1814" s="3" t="s">
        <v>64</v>
      </c>
      <c r="K1814" s="3" t="s">
        <v>65</v>
      </c>
      <c r="L1814" s="2" t="s">
        <v>18388</v>
      </c>
      <c r="M1814" s="2" t="s">
        <v>18389</v>
      </c>
      <c r="N1814" s="3" t="s">
        <v>86</v>
      </c>
      <c r="P1814" s="3" t="s">
        <v>102</v>
      </c>
      <c r="Q1814" s="2" t="s">
        <v>18390</v>
      </c>
      <c r="R1814" s="3" t="s">
        <v>70</v>
      </c>
      <c r="S1814" s="4">
        <v>0</v>
      </c>
      <c r="T1814" s="4">
        <v>0</v>
      </c>
      <c r="W1814" s="5" t="s">
        <v>72</v>
      </c>
      <c r="X1814" s="5" t="s">
        <v>72</v>
      </c>
      <c r="Y1814" s="4">
        <v>281</v>
      </c>
      <c r="Z1814" s="4">
        <v>12</v>
      </c>
      <c r="AA1814" s="4">
        <v>117</v>
      </c>
      <c r="AB1814" s="4">
        <v>2</v>
      </c>
      <c r="AC1814" s="4">
        <v>18</v>
      </c>
      <c r="AD1814" s="4">
        <v>38</v>
      </c>
      <c r="AE1814" s="4">
        <v>112</v>
      </c>
      <c r="AF1814" s="4">
        <v>0</v>
      </c>
      <c r="AG1814" s="4">
        <v>8</v>
      </c>
      <c r="AH1814" s="4">
        <v>37</v>
      </c>
      <c r="AI1814" s="4">
        <v>73</v>
      </c>
      <c r="AJ1814" s="4">
        <v>4</v>
      </c>
      <c r="AK1814" s="4">
        <v>20</v>
      </c>
      <c r="AL1814" s="4">
        <v>16</v>
      </c>
      <c r="AM1814" s="4">
        <v>36</v>
      </c>
      <c r="AN1814" s="4">
        <v>0</v>
      </c>
      <c r="AO1814" s="4">
        <v>0</v>
      </c>
      <c r="AP1814" s="4">
        <v>4</v>
      </c>
      <c r="AQ1814" s="4">
        <v>44</v>
      </c>
      <c r="AR1814" s="3" t="s">
        <v>64</v>
      </c>
      <c r="AS1814" s="3" t="s">
        <v>64</v>
      </c>
      <c r="AT1814" s="3" t="s">
        <v>64</v>
      </c>
      <c r="AV1814" s="6" t="str">
        <f>HYPERLINK("http://mcgill.on.worldcat.org/oclc/666224060","Catalog Record")</f>
        <v>Catalog Record</v>
      </c>
      <c r="AW1814" s="6" t="str">
        <f>HYPERLINK("http://www.worldcat.org/oclc/666224060","WorldCat Record")</f>
        <v>WorldCat Record</v>
      </c>
      <c r="AX1814" s="3" t="s">
        <v>18391</v>
      </c>
      <c r="AY1814" s="3" t="s">
        <v>18392</v>
      </c>
      <c r="AZ1814" s="3" t="s">
        <v>18393</v>
      </c>
      <c r="BA1814" s="3" t="s">
        <v>18393</v>
      </c>
      <c r="BB1814" s="3" t="s">
        <v>18394</v>
      </c>
      <c r="BC1814" s="3" t="s">
        <v>77</v>
      </c>
      <c r="BD1814" s="3" t="s">
        <v>78</v>
      </c>
      <c r="BE1814" s="3" t="s">
        <v>18395</v>
      </c>
      <c r="BF1814" s="3" t="s">
        <v>18394</v>
      </c>
      <c r="BG1814" s="3" t="s">
        <v>18396</v>
      </c>
      <c r="BH1814">
        <f t="shared" si="50"/>
        <v>0</v>
      </c>
    </row>
    <row r="1815" spans="1:60" ht="58" x14ac:dyDescent="0.35">
      <c r="A1815" s="2" t="s">
        <v>59</v>
      </c>
      <c r="B1815" s="2" t="s">
        <v>60</v>
      </c>
      <c r="C1815" s="2" t="s">
        <v>18397</v>
      </c>
      <c r="D1815" s="2" t="s">
        <v>18398</v>
      </c>
      <c r="E1815" s="2" t="s">
        <v>18399</v>
      </c>
      <c r="G1815" s="3" t="s">
        <v>64</v>
      </c>
      <c r="I1815" s="3" t="s">
        <v>64</v>
      </c>
      <c r="J1815" s="3" t="s">
        <v>128</v>
      </c>
      <c r="K1815" s="3" t="s">
        <v>65</v>
      </c>
      <c r="M1815" s="2" t="s">
        <v>18400</v>
      </c>
      <c r="N1815" s="3" t="s">
        <v>253</v>
      </c>
      <c r="O1815" s="2" t="s">
        <v>3787</v>
      </c>
      <c r="P1815" s="3" t="s">
        <v>102</v>
      </c>
      <c r="Q1815" s="2" t="s">
        <v>18401</v>
      </c>
      <c r="R1815" s="3" t="s">
        <v>70</v>
      </c>
      <c r="S1815" s="4">
        <v>0</v>
      </c>
      <c r="T1815" s="4">
        <v>0</v>
      </c>
      <c r="W1815" s="5" t="s">
        <v>72</v>
      </c>
      <c r="X1815" s="5" t="s">
        <v>72</v>
      </c>
      <c r="Y1815" s="4">
        <v>178</v>
      </c>
      <c r="Z1815" s="4">
        <v>10</v>
      </c>
      <c r="AA1815" s="4">
        <v>26</v>
      </c>
      <c r="AB1815" s="4">
        <v>1</v>
      </c>
      <c r="AC1815" s="4">
        <v>3</v>
      </c>
      <c r="AD1815" s="4">
        <v>29</v>
      </c>
      <c r="AE1815" s="4">
        <v>54</v>
      </c>
      <c r="AF1815" s="4">
        <v>0</v>
      </c>
      <c r="AG1815" s="4">
        <v>1</v>
      </c>
      <c r="AH1815" s="4">
        <v>29</v>
      </c>
      <c r="AI1815" s="4">
        <v>49</v>
      </c>
      <c r="AJ1815" s="4">
        <v>4</v>
      </c>
      <c r="AK1815" s="4">
        <v>8</v>
      </c>
      <c r="AL1815" s="4">
        <v>11</v>
      </c>
      <c r="AM1815" s="4">
        <v>25</v>
      </c>
      <c r="AN1815" s="4">
        <v>0</v>
      </c>
      <c r="AO1815" s="4">
        <v>0</v>
      </c>
      <c r="AP1815" s="4">
        <v>4</v>
      </c>
      <c r="AQ1815" s="4">
        <v>8</v>
      </c>
      <c r="AR1815" s="3" t="s">
        <v>64</v>
      </c>
      <c r="AS1815" s="3" t="s">
        <v>64</v>
      </c>
      <c r="AT1815" s="3" t="s">
        <v>64</v>
      </c>
      <c r="AV1815" s="6" t="str">
        <f>HYPERLINK("http://mcgill.on.worldcat.org/oclc/901374744","Catalog Record")</f>
        <v>Catalog Record</v>
      </c>
      <c r="AW1815" s="6" t="str">
        <f>HYPERLINK("http://www.worldcat.org/oclc/901374744","WorldCat Record")</f>
        <v>WorldCat Record</v>
      </c>
      <c r="AX1815" s="3" t="s">
        <v>18402</v>
      </c>
      <c r="AY1815" s="3" t="s">
        <v>18403</v>
      </c>
      <c r="AZ1815" s="3" t="s">
        <v>18404</v>
      </c>
      <c r="BA1815" s="3" t="s">
        <v>18404</v>
      </c>
      <c r="BB1815" s="3" t="s">
        <v>18405</v>
      </c>
      <c r="BC1815" s="3" t="s">
        <v>77</v>
      </c>
      <c r="BD1815" s="3" t="s">
        <v>78</v>
      </c>
      <c r="BE1815" s="3" t="s">
        <v>18406</v>
      </c>
      <c r="BF1815" s="3" t="s">
        <v>18405</v>
      </c>
      <c r="BG1815" s="3" t="s">
        <v>18407</v>
      </c>
      <c r="BH1815">
        <f t="shared" si="50"/>
        <v>0</v>
      </c>
    </row>
    <row r="1816" spans="1:60" ht="58" x14ac:dyDescent="0.35">
      <c r="A1816" s="2" t="s">
        <v>59</v>
      </c>
      <c r="B1816" s="2" t="s">
        <v>60</v>
      </c>
      <c r="C1816" s="2" t="s">
        <v>18408</v>
      </c>
      <c r="D1816" s="2" t="s">
        <v>18409</v>
      </c>
      <c r="E1816" s="2" t="s">
        <v>18410</v>
      </c>
      <c r="G1816" s="3" t="s">
        <v>64</v>
      </c>
      <c r="I1816" s="3" t="s">
        <v>64</v>
      </c>
      <c r="J1816" s="3" t="s">
        <v>64</v>
      </c>
      <c r="K1816" s="3" t="s">
        <v>65</v>
      </c>
      <c r="M1816" s="2" t="s">
        <v>4309</v>
      </c>
      <c r="N1816" s="3" t="s">
        <v>511</v>
      </c>
      <c r="O1816" s="2" t="s">
        <v>117</v>
      </c>
      <c r="P1816" s="3" t="s">
        <v>102</v>
      </c>
      <c r="Q1816" s="2" t="s">
        <v>18411</v>
      </c>
      <c r="R1816" s="3" t="s">
        <v>70</v>
      </c>
      <c r="S1816" s="4">
        <v>2</v>
      </c>
      <c r="T1816" s="4">
        <v>2</v>
      </c>
      <c r="U1816" s="5" t="s">
        <v>18412</v>
      </c>
      <c r="V1816" s="5" t="s">
        <v>18412</v>
      </c>
      <c r="W1816" s="5" t="s">
        <v>72</v>
      </c>
      <c r="X1816" s="5" t="s">
        <v>72</v>
      </c>
      <c r="Y1816" s="4">
        <v>156</v>
      </c>
      <c r="Z1816" s="4">
        <v>14</v>
      </c>
      <c r="AA1816" s="4">
        <v>54</v>
      </c>
      <c r="AB1816" s="4">
        <v>1</v>
      </c>
      <c r="AC1816" s="4">
        <v>9</v>
      </c>
      <c r="AD1816" s="4">
        <v>48</v>
      </c>
      <c r="AE1816" s="4">
        <v>73</v>
      </c>
      <c r="AF1816" s="4">
        <v>0</v>
      </c>
      <c r="AG1816" s="4">
        <v>2</v>
      </c>
      <c r="AH1816" s="4">
        <v>42</v>
      </c>
      <c r="AI1816" s="4">
        <v>55</v>
      </c>
      <c r="AJ1816" s="4">
        <v>9</v>
      </c>
      <c r="AK1816" s="4">
        <v>17</v>
      </c>
      <c r="AL1816" s="4">
        <v>30</v>
      </c>
      <c r="AM1816" s="4">
        <v>35</v>
      </c>
      <c r="AN1816" s="4">
        <v>0</v>
      </c>
      <c r="AO1816" s="4">
        <v>0</v>
      </c>
      <c r="AP1816" s="4">
        <v>8</v>
      </c>
      <c r="AQ1816" s="4">
        <v>22</v>
      </c>
      <c r="AR1816" s="3" t="s">
        <v>64</v>
      </c>
      <c r="AS1816" s="3" t="s">
        <v>64</v>
      </c>
      <c r="AT1816" s="3" t="s">
        <v>64</v>
      </c>
      <c r="AV1816" s="6" t="str">
        <f>HYPERLINK("http://mcgill.on.worldcat.org/oclc/610832054","Catalog Record")</f>
        <v>Catalog Record</v>
      </c>
      <c r="AW1816" s="6" t="str">
        <f>HYPERLINK("http://www.worldcat.org/oclc/610832054","WorldCat Record")</f>
        <v>WorldCat Record</v>
      </c>
      <c r="AX1816" s="3" t="s">
        <v>18413</v>
      </c>
      <c r="AY1816" s="3" t="s">
        <v>18414</v>
      </c>
      <c r="AZ1816" s="3" t="s">
        <v>18415</v>
      </c>
      <c r="BA1816" s="3" t="s">
        <v>18415</v>
      </c>
      <c r="BB1816" s="3" t="s">
        <v>18416</v>
      </c>
      <c r="BC1816" s="3" t="s">
        <v>77</v>
      </c>
      <c r="BD1816" s="3" t="s">
        <v>78</v>
      </c>
      <c r="BE1816" s="3" t="s">
        <v>18417</v>
      </c>
      <c r="BF1816" s="3" t="s">
        <v>18416</v>
      </c>
      <c r="BG1816" s="3" t="s">
        <v>18418</v>
      </c>
      <c r="BH1816">
        <f t="shared" si="50"/>
        <v>0</v>
      </c>
    </row>
    <row r="1817" spans="1:60" ht="58" x14ac:dyDescent="0.35">
      <c r="A1817" s="2" t="s">
        <v>59</v>
      </c>
      <c r="B1817" s="2" t="s">
        <v>60</v>
      </c>
      <c r="C1817" s="2" t="s">
        <v>18419</v>
      </c>
      <c r="D1817" s="2" t="s">
        <v>18420</v>
      </c>
      <c r="E1817" s="2" t="s">
        <v>18421</v>
      </c>
      <c r="G1817" s="3" t="s">
        <v>64</v>
      </c>
      <c r="I1817" s="3" t="s">
        <v>64</v>
      </c>
      <c r="J1817" s="3" t="s">
        <v>64</v>
      </c>
      <c r="K1817" s="3" t="s">
        <v>65</v>
      </c>
      <c r="M1817" s="2" t="s">
        <v>18422</v>
      </c>
      <c r="N1817" s="3" t="s">
        <v>116</v>
      </c>
      <c r="P1817" s="3" t="s">
        <v>102</v>
      </c>
      <c r="R1817" s="3" t="s">
        <v>70</v>
      </c>
      <c r="S1817" s="4">
        <v>7</v>
      </c>
      <c r="T1817" s="4">
        <v>7</v>
      </c>
      <c r="U1817" s="5" t="s">
        <v>18423</v>
      </c>
      <c r="V1817" s="5" t="s">
        <v>18423</v>
      </c>
      <c r="W1817" s="5" t="s">
        <v>72</v>
      </c>
      <c r="X1817" s="5" t="s">
        <v>72</v>
      </c>
      <c r="Y1817" s="4">
        <v>296</v>
      </c>
      <c r="Z1817" s="4">
        <v>23</v>
      </c>
      <c r="AA1817" s="4">
        <v>51</v>
      </c>
      <c r="AB1817" s="4">
        <v>2</v>
      </c>
      <c r="AC1817" s="4">
        <v>9</v>
      </c>
      <c r="AD1817" s="4">
        <v>99</v>
      </c>
      <c r="AE1817" s="4">
        <v>106</v>
      </c>
      <c r="AF1817" s="4">
        <v>0</v>
      </c>
      <c r="AG1817" s="4">
        <v>2</v>
      </c>
      <c r="AH1817" s="4">
        <v>91</v>
      </c>
      <c r="AI1817" s="4">
        <v>95</v>
      </c>
      <c r="AJ1817" s="4">
        <v>15</v>
      </c>
      <c r="AK1817" s="4">
        <v>17</v>
      </c>
      <c r="AL1817" s="4">
        <v>49</v>
      </c>
      <c r="AM1817" s="4">
        <v>49</v>
      </c>
      <c r="AN1817" s="4">
        <v>0</v>
      </c>
      <c r="AO1817" s="4">
        <v>0</v>
      </c>
      <c r="AP1817" s="4">
        <v>14</v>
      </c>
      <c r="AQ1817" s="4">
        <v>17</v>
      </c>
      <c r="AR1817" s="3" t="s">
        <v>64</v>
      </c>
      <c r="AS1817" s="3" t="s">
        <v>64</v>
      </c>
      <c r="AT1817" s="3" t="s">
        <v>64</v>
      </c>
      <c r="AV1817" s="6" t="str">
        <f>HYPERLINK("http://mcgill.on.worldcat.org/oclc/46785113","Catalog Record")</f>
        <v>Catalog Record</v>
      </c>
      <c r="AW1817" s="6" t="str">
        <f>HYPERLINK("http://www.worldcat.org/oclc/46785113","WorldCat Record")</f>
        <v>WorldCat Record</v>
      </c>
      <c r="AX1817" s="3" t="s">
        <v>18424</v>
      </c>
      <c r="AY1817" s="3" t="s">
        <v>18425</v>
      </c>
      <c r="AZ1817" s="3" t="s">
        <v>18426</v>
      </c>
      <c r="BA1817" s="3" t="s">
        <v>18426</v>
      </c>
      <c r="BB1817" s="3" t="s">
        <v>18427</v>
      </c>
      <c r="BC1817" s="3" t="s">
        <v>77</v>
      </c>
      <c r="BD1817" s="3" t="s">
        <v>165</v>
      </c>
      <c r="BE1817" s="3" t="s">
        <v>18428</v>
      </c>
      <c r="BF1817" s="3" t="s">
        <v>18427</v>
      </c>
      <c r="BG1817" s="3" t="s">
        <v>18429</v>
      </c>
      <c r="BH1817">
        <f t="shared" si="50"/>
        <v>0</v>
      </c>
    </row>
    <row r="1818" spans="1:60" ht="58" x14ac:dyDescent="0.35">
      <c r="A1818" s="2" t="s">
        <v>59</v>
      </c>
      <c r="B1818" s="2" t="s">
        <v>60</v>
      </c>
      <c r="C1818" s="2" t="s">
        <v>18430</v>
      </c>
      <c r="D1818" s="2" t="s">
        <v>18431</v>
      </c>
      <c r="E1818" s="2" t="s">
        <v>18432</v>
      </c>
      <c r="G1818" s="3" t="s">
        <v>64</v>
      </c>
      <c r="I1818" s="3" t="s">
        <v>64</v>
      </c>
      <c r="J1818" s="3" t="s">
        <v>64</v>
      </c>
      <c r="K1818" s="3" t="s">
        <v>65</v>
      </c>
      <c r="M1818" s="2" t="s">
        <v>16093</v>
      </c>
      <c r="N1818" s="3" t="s">
        <v>511</v>
      </c>
      <c r="P1818" s="3" t="s">
        <v>102</v>
      </c>
      <c r="R1818" s="3" t="s">
        <v>70</v>
      </c>
      <c r="S1818" s="4">
        <v>0</v>
      </c>
      <c r="T1818" s="4">
        <v>0</v>
      </c>
      <c r="W1818" s="5" t="s">
        <v>72</v>
      </c>
      <c r="X1818" s="5" t="s">
        <v>72</v>
      </c>
      <c r="Y1818" s="4">
        <v>169</v>
      </c>
      <c r="Z1818" s="4">
        <v>17</v>
      </c>
      <c r="AA1818" s="4">
        <v>47</v>
      </c>
      <c r="AB1818" s="4">
        <v>2</v>
      </c>
      <c r="AC1818" s="4">
        <v>9</v>
      </c>
      <c r="AD1818" s="4">
        <v>70</v>
      </c>
      <c r="AE1818" s="4">
        <v>84</v>
      </c>
      <c r="AF1818" s="4">
        <v>1</v>
      </c>
      <c r="AG1818" s="4">
        <v>3</v>
      </c>
      <c r="AH1818" s="4">
        <v>62</v>
      </c>
      <c r="AI1818" s="4">
        <v>73</v>
      </c>
      <c r="AJ1818" s="4">
        <v>14</v>
      </c>
      <c r="AK1818" s="4">
        <v>17</v>
      </c>
      <c r="AL1818" s="4">
        <v>36</v>
      </c>
      <c r="AM1818" s="4">
        <v>41</v>
      </c>
      <c r="AN1818" s="4">
        <v>0</v>
      </c>
      <c r="AO1818" s="4">
        <v>0</v>
      </c>
      <c r="AP1818" s="4">
        <v>15</v>
      </c>
      <c r="AQ1818" s="4">
        <v>19</v>
      </c>
      <c r="AR1818" s="3" t="s">
        <v>64</v>
      </c>
      <c r="AS1818" s="3" t="s">
        <v>64</v>
      </c>
      <c r="AT1818" s="3" t="s">
        <v>64</v>
      </c>
      <c r="AV1818" s="6" t="str">
        <f>HYPERLINK("http://mcgill.on.worldcat.org/oclc/422757082","Catalog Record")</f>
        <v>Catalog Record</v>
      </c>
      <c r="AW1818" s="6" t="str">
        <f>HYPERLINK("http://www.worldcat.org/oclc/422757082","WorldCat Record")</f>
        <v>WorldCat Record</v>
      </c>
      <c r="AX1818" s="3" t="s">
        <v>18433</v>
      </c>
      <c r="AY1818" s="3" t="s">
        <v>18434</v>
      </c>
      <c r="AZ1818" s="3" t="s">
        <v>18435</v>
      </c>
      <c r="BA1818" s="3" t="s">
        <v>18435</v>
      </c>
      <c r="BB1818" s="3" t="s">
        <v>18436</v>
      </c>
      <c r="BC1818" s="3" t="s">
        <v>77</v>
      </c>
      <c r="BD1818" s="3" t="s">
        <v>78</v>
      </c>
      <c r="BE1818" s="3" t="s">
        <v>18437</v>
      </c>
      <c r="BF1818" s="3" t="s">
        <v>18436</v>
      </c>
      <c r="BG1818" s="3" t="s">
        <v>18438</v>
      </c>
      <c r="BH1818">
        <f t="shared" si="50"/>
        <v>0</v>
      </c>
    </row>
    <row r="1819" spans="1:60" ht="58" x14ac:dyDescent="0.35">
      <c r="A1819" s="2" t="s">
        <v>59</v>
      </c>
      <c r="B1819" s="2" t="s">
        <v>60</v>
      </c>
      <c r="C1819" s="2" t="s">
        <v>18439</v>
      </c>
      <c r="D1819" s="2" t="s">
        <v>18440</v>
      </c>
      <c r="E1819" s="2" t="s">
        <v>18441</v>
      </c>
      <c r="G1819" s="3" t="s">
        <v>64</v>
      </c>
      <c r="I1819" s="3" t="s">
        <v>64</v>
      </c>
      <c r="J1819" s="3" t="s">
        <v>64</v>
      </c>
      <c r="K1819" s="3" t="s">
        <v>65</v>
      </c>
      <c r="M1819" s="2" t="s">
        <v>18442</v>
      </c>
      <c r="N1819" s="3" t="s">
        <v>326</v>
      </c>
      <c r="P1819" s="3" t="s">
        <v>102</v>
      </c>
      <c r="R1819" s="3" t="s">
        <v>70</v>
      </c>
      <c r="S1819" s="4">
        <v>5</v>
      </c>
      <c r="T1819" s="4">
        <v>5</v>
      </c>
      <c r="U1819" s="5" t="s">
        <v>8841</v>
      </c>
      <c r="V1819" s="5" t="s">
        <v>8841</v>
      </c>
      <c r="W1819" s="5" t="s">
        <v>72</v>
      </c>
      <c r="X1819" s="5" t="s">
        <v>72</v>
      </c>
      <c r="Y1819" s="4">
        <v>57</v>
      </c>
      <c r="Z1819" s="4">
        <v>5</v>
      </c>
      <c r="AA1819" s="4">
        <v>5</v>
      </c>
      <c r="AB1819" s="4">
        <v>1</v>
      </c>
      <c r="AC1819" s="4">
        <v>1</v>
      </c>
      <c r="AD1819" s="4">
        <v>13</v>
      </c>
      <c r="AE1819" s="4">
        <v>13</v>
      </c>
      <c r="AF1819" s="4">
        <v>0</v>
      </c>
      <c r="AG1819" s="4">
        <v>0</v>
      </c>
      <c r="AH1819" s="4">
        <v>13</v>
      </c>
      <c r="AI1819" s="4">
        <v>13</v>
      </c>
      <c r="AJ1819" s="4">
        <v>4</v>
      </c>
      <c r="AK1819" s="4">
        <v>4</v>
      </c>
      <c r="AL1819" s="4">
        <v>6</v>
      </c>
      <c r="AM1819" s="4">
        <v>6</v>
      </c>
      <c r="AN1819" s="4">
        <v>0</v>
      </c>
      <c r="AO1819" s="4">
        <v>0</v>
      </c>
      <c r="AP1819" s="4">
        <v>4</v>
      </c>
      <c r="AQ1819" s="4">
        <v>4</v>
      </c>
      <c r="AR1819" s="3" t="s">
        <v>64</v>
      </c>
      <c r="AS1819" s="3" t="s">
        <v>64</v>
      </c>
      <c r="AT1819" s="3" t="s">
        <v>64</v>
      </c>
      <c r="AV1819" s="6" t="str">
        <f>HYPERLINK("http://mcgill.on.worldcat.org/oclc/663422410","Catalog Record")</f>
        <v>Catalog Record</v>
      </c>
      <c r="AW1819" s="6" t="str">
        <f>HYPERLINK("http://www.worldcat.org/oclc/663422410","WorldCat Record")</f>
        <v>WorldCat Record</v>
      </c>
      <c r="AX1819" s="3" t="s">
        <v>18443</v>
      </c>
      <c r="AY1819" s="3" t="s">
        <v>18444</v>
      </c>
      <c r="AZ1819" s="3" t="s">
        <v>18445</v>
      </c>
      <c r="BA1819" s="3" t="s">
        <v>18445</v>
      </c>
      <c r="BB1819" s="3" t="s">
        <v>18446</v>
      </c>
      <c r="BC1819" s="3" t="s">
        <v>77</v>
      </c>
      <c r="BD1819" s="3" t="s">
        <v>78</v>
      </c>
      <c r="BE1819" s="3" t="s">
        <v>18447</v>
      </c>
      <c r="BF1819" s="3" t="s">
        <v>18446</v>
      </c>
      <c r="BG1819" s="3" t="s">
        <v>18448</v>
      </c>
      <c r="BH1819">
        <f t="shared" si="50"/>
        <v>0</v>
      </c>
    </row>
    <row r="1820" spans="1:60" ht="145" x14ac:dyDescent="0.35">
      <c r="A1820" s="2" t="s">
        <v>59</v>
      </c>
      <c r="B1820" s="2" t="s">
        <v>60</v>
      </c>
      <c r="C1820" s="2" t="s">
        <v>18449</v>
      </c>
      <c r="D1820" s="2" t="s">
        <v>18450</v>
      </c>
      <c r="E1820" s="2" t="s">
        <v>18451</v>
      </c>
      <c r="G1820" s="3" t="s">
        <v>64</v>
      </c>
      <c r="I1820" s="3" t="s">
        <v>64</v>
      </c>
      <c r="J1820" s="3" t="s">
        <v>64</v>
      </c>
      <c r="K1820" s="3" t="s">
        <v>65</v>
      </c>
      <c r="L1820" s="2" t="s">
        <v>18452</v>
      </c>
      <c r="M1820" s="2" t="s">
        <v>18453</v>
      </c>
      <c r="N1820" s="3" t="s">
        <v>266</v>
      </c>
      <c r="O1820" s="2" t="s">
        <v>18454</v>
      </c>
      <c r="P1820" s="3" t="s">
        <v>68</v>
      </c>
      <c r="R1820" s="3" t="s">
        <v>70</v>
      </c>
      <c r="S1820" s="4">
        <v>1</v>
      </c>
      <c r="T1820" s="4">
        <v>1</v>
      </c>
      <c r="U1820" s="5" t="s">
        <v>18455</v>
      </c>
      <c r="V1820" s="5" t="s">
        <v>18455</v>
      </c>
      <c r="W1820" s="5" t="s">
        <v>72</v>
      </c>
      <c r="X1820" s="5" t="s">
        <v>72</v>
      </c>
      <c r="Y1820" s="4">
        <v>165</v>
      </c>
      <c r="Z1820" s="4">
        <v>6</v>
      </c>
      <c r="AA1820" s="4">
        <v>20</v>
      </c>
      <c r="AB1820" s="4">
        <v>2</v>
      </c>
      <c r="AC1820" s="4">
        <v>5</v>
      </c>
      <c r="AD1820" s="4">
        <v>69</v>
      </c>
      <c r="AE1820" s="4">
        <v>97</v>
      </c>
      <c r="AF1820" s="4">
        <v>0</v>
      </c>
      <c r="AG1820" s="4">
        <v>2</v>
      </c>
      <c r="AH1820" s="4">
        <v>65</v>
      </c>
      <c r="AI1820" s="4">
        <v>86</v>
      </c>
      <c r="AJ1820" s="4">
        <v>3</v>
      </c>
      <c r="AK1820" s="4">
        <v>13</v>
      </c>
      <c r="AL1820" s="4">
        <v>39</v>
      </c>
      <c r="AM1820" s="4">
        <v>51</v>
      </c>
      <c r="AN1820" s="4">
        <v>0</v>
      </c>
      <c r="AO1820" s="4">
        <v>0</v>
      </c>
      <c r="AP1820" s="4">
        <v>3</v>
      </c>
      <c r="AQ1820" s="4">
        <v>12</v>
      </c>
      <c r="AR1820" s="3" t="s">
        <v>64</v>
      </c>
      <c r="AS1820" s="3" t="s">
        <v>64</v>
      </c>
      <c r="AT1820" s="3" t="s">
        <v>128</v>
      </c>
      <c r="AU1820" s="6" t="str">
        <f>HYPERLINK("http://catalog.hathitrust.org/Record/000007761","HathiTrust Record")</f>
        <v>HathiTrust Record</v>
      </c>
      <c r="AV1820" s="6" t="str">
        <f>HYPERLINK("http://mcgill.on.worldcat.org/oclc/576771","Catalog Record")</f>
        <v>Catalog Record</v>
      </c>
      <c r="AW1820" s="6" t="str">
        <f>HYPERLINK("http://www.worldcat.org/oclc/576771","WorldCat Record")</f>
        <v>WorldCat Record</v>
      </c>
      <c r="AX1820" s="3" t="s">
        <v>18456</v>
      </c>
      <c r="AY1820" s="3" t="s">
        <v>18457</v>
      </c>
      <c r="AZ1820" s="3" t="s">
        <v>18458</v>
      </c>
      <c r="BA1820" s="3" t="s">
        <v>18458</v>
      </c>
      <c r="BB1820" s="3" t="s">
        <v>18459</v>
      </c>
      <c r="BC1820" s="3" t="s">
        <v>77</v>
      </c>
      <c r="BD1820" s="3" t="s">
        <v>78</v>
      </c>
      <c r="BF1820" s="3" t="s">
        <v>18459</v>
      </c>
      <c r="BG1820" s="3" t="s">
        <v>18460</v>
      </c>
      <c r="BH1820">
        <f t="shared" si="50"/>
        <v>0</v>
      </c>
    </row>
    <row r="1821" spans="1:60" ht="58" x14ac:dyDescent="0.35">
      <c r="A1821" s="2" t="s">
        <v>59</v>
      </c>
      <c r="B1821" s="2" t="s">
        <v>60</v>
      </c>
      <c r="C1821" s="2" t="s">
        <v>18461</v>
      </c>
      <c r="D1821" s="2" t="s">
        <v>18462</v>
      </c>
      <c r="E1821" s="2" t="s">
        <v>18463</v>
      </c>
      <c r="G1821" s="3" t="s">
        <v>64</v>
      </c>
      <c r="I1821" s="3" t="s">
        <v>64</v>
      </c>
      <c r="J1821" s="3" t="s">
        <v>64</v>
      </c>
      <c r="K1821" s="3" t="s">
        <v>65</v>
      </c>
      <c r="M1821" s="2" t="s">
        <v>18464</v>
      </c>
      <c r="N1821" s="3" t="s">
        <v>1075</v>
      </c>
      <c r="P1821" s="3" t="s">
        <v>102</v>
      </c>
      <c r="R1821" s="3" t="s">
        <v>70</v>
      </c>
      <c r="S1821" s="4">
        <v>5</v>
      </c>
      <c r="T1821" s="4">
        <v>5</v>
      </c>
      <c r="U1821" s="5" t="s">
        <v>5906</v>
      </c>
      <c r="V1821" s="5" t="s">
        <v>5906</v>
      </c>
      <c r="W1821" s="5" t="s">
        <v>72</v>
      </c>
      <c r="X1821" s="5" t="s">
        <v>72</v>
      </c>
      <c r="Y1821" s="4">
        <v>437</v>
      </c>
      <c r="Z1821" s="4">
        <v>22</v>
      </c>
      <c r="AA1821" s="4">
        <v>30</v>
      </c>
      <c r="AB1821" s="4">
        <v>2</v>
      </c>
      <c r="AC1821" s="4">
        <v>7</v>
      </c>
      <c r="AD1821" s="4">
        <v>89</v>
      </c>
      <c r="AE1821" s="4">
        <v>97</v>
      </c>
      <c r="AF1821" s="4">
        <v>1</v>
      </c>
      <c r="AG1821" s="4">
        <v>3</v>
      </c>
      <c r="AH1821" s="4">
        <v>76</v>
      </c>
      <c r="AI1821" s="4">
        <v>79</v>
      </c>
      <c r="AJ1821" s="4">
        <v>12</v>
      </c>
      <c r="AK1821" s="4">
        <v>16</v>
      </c>
      <c r="AL1821" s="4">
        <v>42</v>
      </c>
      <c r="AM1821" s="4">
        <v>44</v>
      </c>
      <c r="AN1821" s="4">
        <v>0</v>
      </c>
      <c r="AO1821" s="4">
        <v>0</v>
      </c>
      <c r="AP1821" s="4">
        <v>17</v>
      </c>
      <c r="AQ1821" s="4">
        <v>21</v>
      </c>
      <c r="AR1821" s="3" t="s">
        <v>64</v>
      </c>
      <c r="AS1821" s="3" t="s">
        <v>64</v>
      </c>
      <c r="AT1821" s="3" t="s">
        <v>64</v>
      </c>
      <c r="AV1821" s="6" t="str">
        <f>HYPERLINK("http://mcgill.on.worldcat.org/oclc/847246393","Catalog Record")</f>
        <v>Catalog Record</v>
      </c>
      <c r="AW1821" s="6" t="str">
        <f>HYPERLINK("http://www.worldcat.org/oclc/847246393","WorldCat Record")</f>
        <v>WorldCat Record</v>
      </c>
      <c r="AX1821" s="3" t="s">
        <v>18465</v>
      </c>
      <c r="AY1821" s="3" t="s">
        <v>18466</v>
      </c>
      <c r="AZ1821" s="3" t="s">
        <v>18467</v>
      </c>
      <c r="BA1821" s="3" t="s">
        <v>18467</v>
      </c>
      <c r="BB1821" s="3" t="s">
        <v>18468</v>
      </c>
      <c r="BC1821" s="3" t="s">
        <v>77</v>
      </c>
      <c r="BD1821" s="3" t="s">
        <v>165</v>
      </c>
      <c r="BE1821" s="3" t="s">
        <v>18469</v>
      </c>
      <c r="BF1821" s="3" t="s">
        <v>18468</v>
      </c>
      <c r="BG1821" s="3" t="s">
        <v>18470</v>
      </c>
      <c r="BH1821">
        <f t="shared" si="50"/>
        <v>0</v>
      </c>
    </row>
    <row r="1822" spans="1:60" ht="58" x14ac:dyDescent="0.35">
      <c r="A1822" s="2" t="s">
        <v>59</v>
      </c>
      <c r="B1822" s="2" t="s">
        <v>60</v>
      </c>
      <c r="C1822" s="2" t="s">
        <v>18471</v>
      </c>
      <c r="D1822" s="2" t="s">
        <v>18472</v>
      </c>
      <c r="E1822" s="2" t="s">
        <v>18473</v>
      </c>
      <c r="G1822" s="3" t="s">
        <v>64</v>
      </c>
      <c r="I1822" s="3" t="s">
        <v>64</v>
      </c>
      <c r="J1822" s="3" t="s">
        <v>64</v>
      </c>
      <c r="K1822" s="3" t="s">
        <v>65</v>
      </c>
      <c r="M1822" s="2" t="s">
        <v>18474</v>
      </c>
      <c r="N1822" s="3" t="s">
        <v>1075</v>
      </c>
      <c r="P1822" s="3" t="s">
        <v>102</v>
      </c>
      <c r="R1822" s="3" t="s">
        <v>70</v>
      </c>
      <c r="S1822" s="4">
        <v>0</v>
      </c>
      <c r="T1822" s="4">
        <v>0</v>
      </c>
      <c r="W1822" s="5" t="s">
        <v>72</v>
      </c>
      <c r="X1822" s="5" t="s">
        <v>72</v>
      </c>
      <c r="Y1822" s="4">
        <v>36</v>
      </c>
      <c r="Z1822" s="4">
        <v>5</v>
      </c>
      <c r="AA1822" s="4">
        <v>7</v>
      </c>
      <c r="AB1822" s="4">
        <v>1</v>
      </c>
      <c r="AC1822" s="4">
        <v>2</v>
      </c>
      <c r="AD1822" s="4">
        <v>15</v>
      </c>
      <c r="AE1822" s="4">
        <v>16</v>
      </c>
      <c r="AF1822" s="4">
        <v>0</v>
      </c>
      <c r="AG1822" s="4">
        <v>0</v>
      </c>
      <c r="AH1822" s="4">
        <v>14</v>
      </c>
      <c r="AI1822" s="4">
        <v>15</v>
      </c>
      <c r="AJ1822" s="4">
        <v>3</v>
      </c>
      <c r="AK1822" s="4">
        <v>4</v>
      </c>
      <c r="AL1822" s="4">
        <v>8</v>
      </c>
      <c r="AM1822" s="4">
        <v>8</v>
      </c>
      <c r="AN1822" s="4">
        <v>0</v>
      </c>
      <c r="AO1822" s="4">
        <v>0</v>
      </c>
      <c r="AP1822" s="4">
        <v>3</v>
      </c>
      <c r="AQ1822" s="4">
        <v>4</v>
      </c>
      <c r="AR1822" s="3" t="s">
        <v>64</v>
      </c>
      <c r="AS1822" s="3" t="s">
        <v>64</v>
      </c>
      <c r="AT1822" s="3" t="s">
        <v>64</v>
      </c>
      <c r="AV1822" s="6" t="str">
        <f>HYPERLINK("http://mcgill.on.worldcat.org/oclc/862102438","Catalog Record")</f>
        <v>Catalog Record</v>
      </c>
      <c r="AW1822" s="6" t="str">
        <f>HYPERLINK("http://www.worldcat.org/oclc/862102438","WorldCat Record")</f>
        <v>WorldCat Record</v>
      </c>
      <c r="AX1822" s="3" t="s">
        <v>18475</v>
      </c>
      <c r="AY1822" s="3" t="s">
        <v>18476</v>
      </c>
      <c r="AZ1822" s="3" t="s">
        <v>18477</v>
      </c>
      <c r="BA1822" s="3" t="s">
        <v>18477</v>
      </c>
      <c r="BB1822" s="3" t="s">
        <v>18478</v>
      </c>
      <c r="BC1822" s="3" t="s">
        <v>77</v>
      </c>
      <c r="BD1822" s="3" t="s">
        <v>78</v>
      </c>
      <c r="BE1822" s="3" t="s">
        <v>18479</v>
      </c>
      <c r="BF1822" s="3" t="s">
        <v>18478</v>
      </c>
      <c r="BG1822" s="3" t="s">
        <v>18480</v>
      </c>
      <c r="BH1822">
        <f t="shared" si="50"/>
        <v>0</v>
      </c>
    </row>
    <row r="1823" spans="1:60" ht="58" x14ac:dyDescent="0.35">
      <c r="A1823" s="2" t="s">
        <v>59</v>
      </c>
      <c r="B1823" s="2" t="s">
        <v>60</v>
      </c>
      <c r="C1823" s="2" t="s">
        <v>18481</v>
      </c>
      <c r="D1823" s="2" t="s">
        <v>18482</v>
      </c>
      <c r="E1823" s="2" t="s">
        <v>18483</v>
      </c>
      <c r="G1823" s="3" t="s">
        <v>64</v>
      </c>
      <c r="I1823" s="3" t="s">
        <v>64</v>
      </c>
      <c r="J1823" s="3" t="s">
        <v>64</v>
      </c>
      <c r="K1823" s="3" t="s">
        <v>65</v>
      </c>
      <c r="M1823" s="2" t="s">
        <v>17671</v>
      </c>
      <c r="N1823" s="3" t="s">
        <v>67</v>
      </c>
      <c r="P1823" s="3" t="s">
        <v>102</v>
      </c>
      <c r="R1823" s="3" t="s">
        <v>70</v>
      </c>
      <c r="S1823" s="4">
        <v>1</v>
      </c>
      <c r="T1823" s="4">
        <v>1</v>
      </c>
      <c r="U1823" s="5" t="s">
        <v>3994</v>
      </c>
      <c r="V1823" s="5" t="s">
        <v>3994</v>
      </c>
      <c r="W1823" s="5" t="s">
        <v>72</v>
      </c>
      <c r="X1823" s="5" t="s">
        <v>72</v>
      </c>
      <c r="Y1823" s="4">
        <v>73</v>
      </c>
      <c r="Z1823" s="4">
        <v>5</v>
      </c>
      <c r="AA1823" s="4">
        <v>6</v>
      </c>
      <c r="AB1823" s="4">
        <v>1</v>
      </c>
      <c r="AC1823" s="4">
        <v>2</v>
      </c>
      <c r="AD1823" s="4">
        <v>27</v>
      </c>
      <c r="AE1823" s="4">
        <v>31</v>
      </c>
      <c r="AF1823" s="4">
        <v>0</v>
      </c>
      <c r="AG1823" s="4">
        <v>0</v>
      </c>
      <c r="AH1823" s="4">
        <v>27</v>
      </c>
      <c r="AI1823" s="4">
        <v>31</v>
      </c>
      <c r="AJ1823" s="4">
        <v>3</v>
      </c>
      <c r="AK1823" s="4">
        <v>3</v>
      </c>
      <c r="AL1823" s="4">
        <v>15</v>
      </c>
      <c r="AM1823" s="4">
        <v>19</v>
      </c>
      <c r="AN1823" s="4">
        <v>0</v>
      </c>
      <c r="AO1823" s="4">
        <v>0</v>
      </c>
      <c r="AP1823" s="4">
        <v>3</v>
      </c>
      <c r="AQ1823" s="4">
        <v>3</v>
      </c>
      <c r="AR1823" s="3" t="s">
        <v>64</v>
      </c>
      <c r="AS1823" s="3" t="s">
        <v>64</v>
      </c>
      <c r="AT1823" s="3" t="s">
        <v>64</v>
      </c>
      <c r="AV1823" s="6" t="str">
        <f>HYPERLINK("http://mcgill.on.worldcat.org/oclc/890757170","Catalog Record")</f>
        <v>Catalog Record</v>
      </c>
      <c r="AW1823" s="6" t="str">
        <f>HYPERLINK("http://www.worldcat.org/oclc/890757170","WorldCat Record")</f>
        <v>WorldCat Record</v>
      </c>
      <c r="AX1823" s="3" t="s">
        <v>18484</v>
      </c>
      <c r="AY1823" s="3" t="s">
        <v>18485</v>
      </c>
      <c r="AZ1823" s="3" t="s">
        <v>18486</v>
      </c>
      <c r="BA1823" s="3" t="s">
        <v>18486</v>
      </c>
      <c r="BB1823" s="3" t="s">
        <v>18487</v>
      </c>
      <c r="BC1823" s="3" t="s">
        <v>77</v>
      </c>
      <c r="BD1823" s="3" t="s">
        <v>78</v>
      </c>
      <c r="BE1823" s="3" t="s">
        <v>18488</v>
      </c>
      <c r="BF1823" s="3" t="s">
        <v>18487</v>
      </c>
      <c r="BG1823" s="3" t="s">
        <v>18489</v>
      </c>
      <c r="BH1823">
        <f t="shared" si="50"/>
        <v>0</v>
      </c>
    </row>
    <row r="1824" spans="1:60" ht="58" x14ac:dyDescent="0.35">
      <c r="A1824" s="2" t="s">
        <v>59</v>
      </c>
      <c r="B1824" s="2" t="s">
        <v>60</v>
      </c>
      <c r="C1824" s="2" t="s">
        <v>18490</v>
      </c>
      <c r="D1824" s="2" t="s">
        <v>18491</v>
      </c>
      <c r="E1824" s="2" t="s">
        <v>18492</v>
      </c>
      <c r="G1824" s="3" t="s">
        <v>64</v>
      </c>
      <c r="I1824" s="3" t="s">
        <v>64</v>
      </c>
      <c r="J1824" s="3" t="s">
        <v>64</v>
      </c>
      <c r="K1824" s="3" t="s">
        <v>65</v>
      </c>
      <c r="M1824" s="2" t="s">
        <v>16229</v>
      </c>
      <c r="N1824" s="3" t="s">
        <v>190</v>
      </c>
      <c r="P1824" s="3" t="s">
        <v>102</v>
      </c>
      <c r="R1824" s="3" t="s">
        <v>70</v>
      </c>
      <c r="S1824" s="4">
        <v>0</v>
      </c>
      <c r="T1824" s="4">
        <v>0</v>
      </c>
      <c r="W1824" s="5" t="s">
        <v>72</v>
      </c>
      <c r="X1824" s="5" t="s">
        <v>72</v>
      </c>
      <c r="Y1824" s="4">
        <v>321</v>
      </c>
      <c r="Z1824" s="4">
        <v>9</v>
      </c>
      <c r="AA1824" s="4">
        <v>69</v>
      </c>
      <c r="AB1824" s="4">
        <v>1</v>
      </c>
      <c r="AC1824" s="4">
        <v>14</v>
      </c>
      <c r="AD1824" s="4">
        <v>49</v>
      </c>
      <c r="AE1824" s="4">
        <v>100</v>
      </c>
      <c r="AF1824" s="4">
        <v>0</v>
      </c>
      <c r="AG1824" s="4">
        <v>8</v>
      </c>
      <c r="AH1824" s="4">
        <v>47</v>
      </c>
      <c r="AI1824" s="4">
        <v>71</v>
      </c>
      <c r="AJ1824" s="4">
        <v>5</v>
      </c>
      <c r="AK1824" s="4">
        <v>17</v>
      </c>
      <c r="AL1824" s="4">
        <v>26</v>
      </c>
      <c r="AM1824" s="4">
        <v>37</v>
      </c>
      <c r="AN1824" s="4">
        <v>0</v>
      </c>
      <c r="AO1824" s="4">
        <v>0</v>
      </c>
      <c r="AP1824" s="4">
        <v>5</v>
      </c>
      <c r="AQ1824" s="4">
        <v>36</v>
      </c>
      <c r="AR1824" s="3" t="s">
        <v>64</v>
      </c>
      <c r="AS1824" s="3" t="s">
        <v>64</v>
      </c>
      <c r="AT1824" s="3" t="s">
        <v>64</v>
      </c>
      <c r="AV1824" s="6" t="str">
        <f>HYPERLINK("http://mcgill.on.worldcat.org/oclc/1027731900","Catalog Record")</f>
        <v>Catalog Record</v>
      </c>
      <c r="AW1824" s="6" t="str">
        <f>HYPERLINK("http://www.worldcat.org/oclc/1027731900","WorldCat Record")</f>
        <v>WorldCat Record</v>
      </c>
      <c r="AX1824" s="3" t="s">
        <v>18493</v>
      </c>
      <c r="AY1824" s="3" t="s">
        <v>18494</v>
      </c>
      <c r="AZ1824" s="3" t="s">
        <v>18495</v>
      </c>
      <c r="BA1824" s="3" t="s">
        <v>18495</v>
      </c>
      <c r="BB1824" s="3" t="s">
        <v>18496</v>
      </c>
      <c r="BC1824" s="3" t="s">
        <v>77</v>
      </c>
      <c r="BD1824" s="3" t="s">
        <v>78</v>
      </c>
      <c r="BE1824" s="3" t="s">
        <v>18497</v>
      </c>
      <c r="BF1824" s="3" t="s">
        <v>18496</v>
      </c>
      <c r="BG1824" s="3" t="s">
        <v>18498</v>
      </c>
      <c r="BH1824">
        <f t="shared" si="50"/>
        <v>0</v>
      </c>
    </row>
    <row r="1825" spans="1:60" ht="58" x14ac:dyDescent="0.35">
      <c r="A1825" s="2" t="s">
        <v>59</v>
      </c>
      <c r="B1825" s="2" t="s">
        <v>60</v>
      </c>
      <c r="C1825" s="2" t="s">
        <v>18499</v>
      </c>
      <c r="D1825" s="2" t="s">
        <v>18500</v>
      </c>
      <c r="E1825" s="2" t="s">
        <v>18501</v>
      </c>
      <c r="G1825" s="3" t="s">
        <v>64</v>
      </c>
      <c r="I1825" s="3" t="s">
        <v>64</v>
      </c>
      <c r="J1825" s="3" t="s">
        <v>64</v>
      </c>
      <c r="K1825" s="3" t="s">
        <v>65</v>
      </c>
      <c r="M1825" s="2" t="s">
        <v>14363</v>
      </c>
      <c r="N1825" s="3" t="s">
        <v>1031</v>
      </c>
      <c r="P1825" s="3" t="s">
        <v>102</v>
      </c>
      <c r="Q1825" s="2" t="s">
        <v>18502</v>
      </c>
      <c r="R1825" s="3" t="s">
        <v>70</v>
      </c>
      <c r="S1825" s="4">
        <v>7</v>
      </c>
      <c r="T1825" s="4">
        <v>7</v>
      </c>
      <c r="U1825" s="5" t="s">
        <v>5612</v>
      </c>
      <c r="V1825" s="5" t="s">
        <v>5612</v>
      </c>
      <c r="W1825" s="5" t="s">
        <v>72</v>
      </c>
      <c r="X1825" s="5" t="s">
        <v>72</v>
      </c>
      <c r="Y1825" s="4">
        <v>237</v>
      </c>
      <c r="Z1825" s="4">
        <v>13</v>
      </c>
      <c r="AA1825" s="4">
        <v>37</v>
      </c>
      <c r="AB1825" s="4">
        <v>2</v>
      </c>
      <c r="AC1825" s="4">
        <v>7</v>
      </c>
      <c r="AD1825" s="4">
        <v>83</v>
      </c>
      <c r="AE1825" s="4">
        <v>87</v>
      </c>
      <c r="AF1825" s="4">
        <v>1</v>
      </c>
      <c r="AG1825" s="4">
        <v>1</v>
      </c>
      <c r="AH1825" s="4">
        <v>75</v>
      </c>
      <c r="AI1825" s="4">
        <v>77</v>
      </c>
      <c r="AJ1825" s="4">
        <v>11</v>
      </c>
      <c r="AK1825" s="4">
        <v>11</v>
      </c>
      <c r="AL1825" s="4">
        <v>40</v>
      </c>
      <c r="AM1825" s="4">
        <v>41</v>
      </c>
      <c r="AN1825" s="4">
        <v>0</v>
      </c>
      <c r="AO1825" s="4">
        <v>0</v>
      </c>
      <c r="AP1825" s="4">
        <v>10</v>
      </c>
      <c r="AQ1825" s="4">
        <v>12</v>
      </c>
      <c r="AR1825" s="3" t="s">
        <v>64</v>
      </c>
      <c r="AS1825" s="3" t="s">
        <v>64</v>
      </c>
      <c r="AT1825" s="3" t="s">
        <v>64</v>
      </c>
      <c r="AV1825" s="6" t="str">
        <f>HYPERLINK("http://mcgill.on.worldcat.org/oclc/23941072","Catalog Record")</f>
        <v>Catalog Record</v>
      </c>
      <c r="AW1825" s="6" t="str">
        <f>HYPERLINK("http://www.worldcat.org/oclc/23941072","WorldCat Record")</f>
        <v>WorldCat Record</v>
      </c>
      <c r="AX1825" s="3" t="s">
        <v>18503</v>
      </c>
      <c r="AY1825" s="3" t="s">
        <v>18504</v>
      </c>
      <c r="AZ1825" s="3" t="s">
        <v>18505</v>
      </c>
      <c r="BA1825" s="3" t="s">
        <v>18505</v>
      </c>
      <c r="BB1825" s="3" t="s">
        <v>18506</v>
      </c>
      <c r="BC1825" s="3" t="s">
        <v>77</v>
      </c>
      <c r="BD1825" s="3" t="s">
        <v>78</v>
      </c>
      <c r="BE1825" s="3" t="s">
        <v>18507</v>
      </c>
      <c r="BF1825" s="3" t="s">
        <v>18506</v>
      </c>
      <c r="BG1825" s="3" t="s">
        <v>18508</v>
      </c>
      <c r="BH1825">
        <f t="shared" si="50"/>
        <v>0</v>
      </c>
    </row>
    <row r="1826" spans="1:60" ht="58" x14ac:dyDescent="0.35">
      <c r="A1826" s="2" t="s">
        <v>59</v>
      </c>
      <c r="B1826" s="2" t="s">
        <v>60</v>
      </c>
      <c r="C1826" s="2" t="s">
        <v>18509</v>
      </c>
      <c r="D1826" s="2" t="s">
        <v>18510</v>
      </c>
      <c r="E1826" s="2" t="s">
        <v>18511</v>
      </c>
      <c r="G1826" s="3" t="s">
        <v>64</v>
      </c>
      <c r="I1826" s="3" t="s">
        <v>64</v>
      </c>
      <c r="J1826" s="3" t="s">
        <v>64</v>
      </c>
      <c r="K1826" s="3" t="s">
        <v>65</v>
      </c>
      <c r="M1826" s="2" t="s">
        <v>18512</v>
      </c>
      <c r="N1826" s="3" t="s">
        <v>498</v>
      </c>
      <c r="P1826" s="3" t="s">
        <v>102</v>
      </c>
      <c r="R1826" s="3" t="s">
        <v>70</v>
      </c>
      <c r="S1826" s="4">
        <v>2</v>
      </c>
      <c r="T1826" s="4">
        <v>2</v>
      </c>
      <c r="U1826" s="5" t="s">
        <v>14476</v>
      </c>
      <c r="V1826" s="5" t="s">
        <v>14476</v>
      </c>
      <c r="W1826" s="5" t="s">
        <v>72</v>
      </c>
      <c r="X1826" s="5" t="s">
        <v>72</v>
      </c>
      <c r="Y1826" s="4">
        <v>478</v>
      </c>
      <c r="Z1826" s="4">
        <v>23</v>
      </c>
      <c r="AA1826" s="4">
        <v>25</v>
      </c>
      <c r="AB1826" s="4">
        <v>1</v>
      </c>
      <c r="AC1826" s="4">
        <v>3</v>
      </c>
      <c r="AD1826" s="4">
        <v>108</v>
      </c>
      <c r="AE1826" s="4">
        <v>110</v>
      </c>
      <c r="AF1826" s="4">
        <v>0</v>
      </c>
      <c r="AG1826" s="4">
        <v>2</v>
      </c>
      <c r="AH1826" s="4">
        <v>94</v>
      </c>
      <c r="AI1826" s="4">
        <v>94</v>
      </c>
      <c r="AJ1826" s="4">
        <v>15</v>
      </c>
      <c r="AK1826" s="4">
        <v>17</v>
      </c>
      <c r="AL1826" s="4">
        <v>54</v>
      </c>
      <c r="AM1826" s="4">
        <v>54</v>
      </c>
      <c r="AN1826" s="4">
        <v>0</v>
      </c>
      <c r="AO1826" s="4">
        <v>0</v>
      </c>
      <c r="AP1826" s="4">
        <v>18</v>
      </c>
      <c r="AQ1826" s="4">
        <v>19</v>
      </c>
      <c r="AR1826" s="3" t="s">
        <v>64</v>
      </c>
      <c r="AS1826" s="3" t="s">
        <v>64</v>
      </c>
      <c r="AT1826" s="3" t="s">
        <v>128</v>
      </c>
      <c r="AU1826" s="6" t="str">
        <f>HYPERLINK("http://catalog.hathitrust.org/Record/000962118","HathiTrust Record")</f>
        <v>HathiTrust Record</v>
      </c>
      <c r="AV1826" s="6" t="str">
        <f>HYPERLINK("http://mcgill.on.worldcat.org/oclc/821388","Catalog Record")</f>
        <v>Catalog Record</v>
      </c>
      <c r="AW1826" s="6" t="str">
        <f>HYPERLINK("http://www.worldcat.org/oclc/821388","WorldCat Record")</f>
        <v>WorldCat Record</v>
      </c>
      <c r="AX1826" s="3" t="s">
        <v>18513</v>
      </c>
      <c r="AY1826" s="3" t="s">
        <v>18514</v>
      </c>
      <c r="AZ1826" s="3" t="s">
        <v>18515</v>
      </c>
      <c r="BA1826" s="3" t="s">
        <v>18515</v>
      </c>
      <c r="BB1826" s="3" t="s">
        <v>18516</v>
      </c>
      <c r="BC1826" s="3" t="s">
        <v>77</v>
      </c>
      <c r="BD1826" s="3" t="s">
        <v>78</v>
      </c>
      <c r="BE1826" s="3" t="s">
        <v>18517</v>
      </c>
      <c r="BF1826" s="3" t="s">
        <v>18516</v>
      </c>
      <c r="BG1826" s="3" t="s">
        <v>18518</v>
      </c>
      <c r="BH1826">
        <f t="shared" si="50"/>
        <v>0</v>
      </c>
    </row>
    <row r="1827" spans="1:60" ht="58" x14ac:dyDescent="0.35">
      <c r="A1827" s="2" t="s">
        <v>59</v>
      </c>
      <c r="B1827" s="2" t="s">
        <v>60</v>
      </c>
      <c r="C1827" s="2" t="s">
        <v>18519</v>
      </c>
      <c r="D1827" s="2" t="s">
        <v>18520</v>
      </c>
      <c r="E1827" s="2" t="s">
        <v>18521</v>
      </c>
      <c r="G1827" s="3" t="s">
        <v>64</v>
      </c>
      <c r="I1827" s="3" t="s">
        <v>64</v>
      </c>
      <c r="J1827" s="3" t="s">
        <v>64</v>
      </c>
      <c r="K1827" s="3" t="s">
        <v>65</v>
      </c>
      <c r="M1827" s="2" t="s">
        <v>18522</v>
      </c>
      <c r="N1827" s="3" t="s">
        <v>511</v>
      </c>
      <c r="P1827" s="3" t="s">
        <v>102</v>
      </c>
      <c r="R1827" s="3" t="s">
        <v>70</v>
      </c>
      <c r="S1827" s="4">
        <v>4</v>
      </c>
      <c r="T1827" s="4">
        <v>4</v>
      </c>
      <c r="U1827" s="5" t="s">
        <v>18523</v>
      </c>
      <c r="V1827" s="5" t="s">
        <v>18523</v>
      </c>
      <c r="W1827" s="5" t="s">
        <v>72</v>
      </c>
      <c r="X1827" s="5" t="s">
        <v>72</v>
      </c>
      <c r="Y1827" s="4">
        <v>270</v>
      </c>
      <c r="Z1827" s="4">
        <v>14</v>
      </c>
      <c r="AA1827" s="4">
        <v>21</v>
      </c>
      <c r="AB1827" s="4">
        <v>2</v>
      </c>
      <c r="AC1827" s="4">
        <v>7</v>
      </c>
      <c r="AD1827" s="4">
        <v>76</v>
      </c>
      <c r="AE1827" s="4">
        <v>82</v>
      </c>
      <c r="AF1827" s="4">
        <v>1</v>
      </c>
      <c r="AG1827" s="4">
        <v>4</v>
      </c>
      <c r="AH1827" s="4">
        <v>71</v>
      </c>
      <c r="AI1827" s="4">
        <v>74</v>
      </c>
      <c r="AJ1827" s="4">
        <v>11</v>
      </c>
      <c r="AK1827" s="4">
        <v>15</v>
      </c>
      <c r="AL1827" s="4">
        <v>36</v>
      </c>
      <c r="AM1827" s="4">
        <v>36</v>
      </c>
      <c r="AN1827" s="4">
        <v>0</v>
      </c>
      <c r="AO1827" s="4">
        <v>0</v>
      </c>
      <c r="AP1827" s="4">
        <v>12</v>
      </c>
      <c r="AQ1827" s="4">
        <v>15</v>
      </c>
      <c r="AR1827" s="3" t="s">
        <v>64</v>
      </c>
      <c r="AS1827" s="3" t="s">
        <v>64</v>
      </c>
      <c r="AT1827" s="3" t="s">
        <v>64</v>
      </c>
      <c r="AV1827" s="6" t="str">
        <f>HYPERLINK("http://mcgill.on.worldcat.org/oclc/624030896","Catalog Record")</f>
        <v>Catalog Record</v>
      </c>
      <c r="AW1827" s="6" t="str">
        <f>HYPERLINK("http://www.worldcat.org/oclc/624030896","WorldCat Record")</f>
        <v>WorldCat Record</v>
      </c>
      <c r="AX1827" s="3" t="s">
        <v>18524</v>
      </c>
      <c r="AY1827" s="3" t="s">
        <v>18525</v>
      </c>
      <c r="AZ1827" s="3" t="s">
        <v>18526</v>
      </c>
      <c r="BA1827" s="3" t="s">
        <v>18526</v>
      </c>
      <c r="BB1827" s="3" t="s">
        <v>18527</v>
      </c>
      <c r="BC1827" s="3" t="s">
        <v>77</v>
      </c>
      <c r="BD1827" s="3" t="s">
        <v>78</v>
      </c>
      <c r="BE1827" s="3" t="s">
        <v>18528</v>
      </c>
      <c r="BF1827" s="3" t="s">
        <v>18527</v>
      </c>
      <c r="BG1827" s="3" t="s">
        <v>18529</v>
      </c>
      <c r="BH1827">
        <f t="shared" si="50"/>
        <v>0</v>
      </c>
    </row>
    <row r="1828" spans="1:60" ht="58" x14ac:dyDescent="0.35">
      <c r="A1828" s="2" t="s">
        <v>59</v>
      </c>
      <c r="B1828" s="2" t="s">
        <v>60</v>
      </c>
      <c r="C1828" s="2" t="s">
        <v>18530</v>
      </c>
      <c r="D1828" s="2" t="s">
        <v>18531</v>
      </c>
      <c r="E1828" s="2" t="s">
        <v>18532</v>
      </c>
      <c r="G1828" s="3" t="s">
        <v>64</v>
      </c>
      <c r="I1828" s="3" t="s">
        <v>64</v>
      </c>
      <c r="J1828" s="3" t="s">
        <v>64</v>
      </c>
      <c r="K1828" s="3" t="s">
        <v>65</v>
      </c>
      <c r="M1828" s="2" t="s">
        <v>18533</v>
      </c>
      <c r="N1828" s="3" t="s">
        <v>578</v>
      </c>
      <c r="P1828" s="3" t="s">
        <v>102</v>
      </c>
      <c r="Q1828" s="2" t="s">
        <v>18534</v>
      </c>
      <c r="R1828" s="3" t="s">
        <v>70</v>
      </c>
      <c r="S1828" s="4">
        <v>2</v>
      </c>
      <c r="T1828" s="4">
        <v>2</v>
      </c>
      <c r="U1828" s="5" t="s">
        <v>5052</v>
      </c>
      <c r="V1828" s="5" t="s">
        <v>5052</v>
      </c>
      <c r="W1828" s="5" t="s">
        <v>72</v>
      </c>
      <c r="X1828" s="5" t="s">
        <v>72</v>
      </c>
      <c r="Y1828" s="4">
        <v>301</v>
      </c>
      <c r="Z1828" s="4">
        <v>10</v>
      </c>
      <c r="AA1828" s="4">
        <v>10</v>
      </c>
      <c r="AB1828" s="4">
        <v>1</v>
      </c>
      <c r="AC1828" s="4">
        <v>1</v>
      </c>
      <c r="AD1828" s="4">
        <v>62</v>
      </c>
      <c r="AE1828" s="4">
        <v>62</v>
      </c>
      <c r="AF1828" s="4">
        <v>0</v>
      </c>
      <c r="AG1828" s="4">
        <v>0</v>
      </c>
      <c r="AH1828" s="4">
        <v>59</v>
      </c>
      <c r="AI1828" s="4">
        <v>59</v>
      </c>
      <c r="AJ1828" s="4">
        <v>2</v>
      </c>
      <c r="AK1828" s="4">
        <v>2</v>
      </c>
      <c r="AL1828" s="4">
        <v>32</v>
      </c>
      <c r="AM1828" s="4">
        <v>32</v>
      </c>
      <c r="AN1828" s="4">
        <v>0</v>
      </c>
      <c r="AO1828" s="4">
        <v>0</v>
      </c>
      <c r="AP1828" s="4">
        <v>6</v>
      </c>
      <c r="AQ1828" s="4">
        <v>6</v>
      </c>
      <c r="AR1828" s="3" t="s">
        <v>64</v>
      </c>
      <c r="AS1828" s="3" t="s">
        <v>64</v>
      </c>
      <c r="AT1828" s="3" t="s">
        <v>64</v>
      </c>
      <c r="AV1828" s="6" t="str">
        <f>HYPERLINK("http://mcgill.on.worldcat.org/oclc/988225566","Catalog Record")</f>
        <v>Catalog Record</v>
      </c>
      <c r="AW1828" s="6" t="str">
        <f>HYPERLINK("http://www.worldcat.org/oclc/988225566","WorldCat Record")</f>
        <v>WorldCat Record</v>
      </c>
      <c r="AX1828" s="3" t="s">
        <v>18535</v>
      </c>
      <c r="AY1828" s="3" t="s">
        <v>18536</v>
      </c>
      <c r="AZ1828" s="3" t="s">
        <v>18537</v>
      </c>
      <c r="BA1828" s="3" t="s">
        <v>18537</v>
      </c>
      <c r="BB1828" s="3" t="s">
        <v>18538</v>
      </c>
      <c r="BC1828" s="3" t="s">
        <v>77</v>
      </c>
      <c r="BD1828" s="3" t="s">
        <v>78</v>
      </c>
      <c r="BE1828" s="3" t="s">
        <v>18539</v>
      </c>
      <c r="BF1828" s="3" t="s">
        <v>18538</v>
      </c>
      <c r="BG1828" s="3" t="s">
        <v>18540</v>
      </c>
      <c r="BH1828">
        <f t="shared" si="50"/>
        <v>0</v>
      </c>
    </row>
    <row r="1829" spans="1:60" ht="58" x14ac:dyDescent="0.35">
      <c r="A1829" s="2" t="s">
        <v>59</v>
      </c>
      <c r="B1829" s="2" t="s">
        <v>60</v>
      </c>
      <c r="C1829" s="2" t="s">
        <v>18541</v>
      </c>
      <c r="D1829" s="2" t="s">
        <v>18542</v>
      </c>
      <c r="E1829" s="2" t="s">
        <v>18543</v>
      </c>
      <c r="G1829" s="3" t="s">
        <v>64</v>
      </c>
      <c r="I1829" s="3" t="s">
        <v>64</v>
      </c>
      <c r="J1829" s="3" t="s">
        <v>64</v>
      </c>
      <c r="K1829" s="3" t="s">
        <v>65</v>
      </c>
      <c r="L1829" s="2" t="s">
        <v>18544</v>
      </c>
      <c r="M1829" s="2" t="s">
        <v>14840</v>
      </c>
      <c r="N1829" s="3" t="s">
        <v>511</v>
      </c>
      <c r="P1829" s="3" t="s">
        <v>102</v>
      </c>
      <c r="R1829" s="3" t="s">
        <v>70</v>
      </c>
      <c r="S1829" s="4">
        <v>7</v>
      </c>
      <c r="T1829" s="4">
        <v>7</v>
      </c>
      <c r="U1829" s="5" t="s">
        <v>5906</v>
      </c>
      <c r="V1829" s="5" t="s">
        <v>5906</v>
      </c>
      <c r="W1829" s="5" t="s">
        <v>72</v>
      </c>
      <c r="X1829" s="5" t="s">
        <v>72</v>
      </c>
      <c r="Y1829" s="4">
        <v>355</v>
      </c>
      <c r="Z1829" s="4">
        <v>18</v>
      </c>
      <c r="AA1829" s="4">
        <v>75</v>
      </c>
      <c r="AB1829" s="4">
        <v>2</v>
      </c>
      <c r="AC1829" s="4">
        <v>14</v>
      </c>
      <c r="AD1829" s="4">
        <v>60</v>
      </c>
      <c r="AE1829" s="4">
        <v>118</v>
      </c>
      <c r="AF1829" s="4">
        <v>1</v>
      </c>
      <c r="AG1829" s="4">
        <v>8</v>
      </c>
      <c r="AH1829" s="4">
        <v>52</v>
      </c>
      <c r="AI1829" s="4">
        <v>86</v>
      </c>
      <c r="AJ1829" s="4">
        <v>10</v>
      </c>
      <c r="AK1829" s="4">
        <v>19</v>
      </c>
      <c r="AL1829" s="4">
        <v>28</v>
      </c>
      <c r="AM1829" s="4">
        <v>43</v>
      </c>
      <c r="AN1829" s="4">
        <v>0</v>
      </c>
      <c r="AO1829" s="4">
        <v>0</v>
      </c>
      <c r="AP1829" s="4">
        <v>13</v>
      </c>
      <c r="AQ1829" s="4">
        <v>39</v>
      </c>
      <c r="AR1829" s="3" t="s">
        <v>64</v>
      </c>
      <c r="AS1829" s="3" t="s">
        <v>64</v>
      </c>
      <c r="AT1829" s="3" t="s">
        <v>128</v>
      </c>
      <c r="AU1829" s="6" t="str">
        <f>HYPERLINK("http://catalog.hathitrust.org/Record/008935834","HathiTrust Record")</f>
        <v>HathiTrust Record</v>
      </c>
      <c r="AV1829" s="6" t="str">
        <f>HYPERLINK("http://mcgill.on.worldcat.org/oclc/535492600","Catalog Record")</f>
        <v>Catalog Record</v>
      </c>
      <c r="AW1829" s="6" t="str">
        <f>HYPERLINK("http://www.worldcat.org/oclc/535492600","WorldCat Record")</f>
        <v>WorldCat Record</v>
      </c>
      <c r="AX1829" s="3" t="s">
        <v>18545</v>
      </c>
      <c r="AY1829" s="3" t="s">
        <v>18546</v>
      </c>
      <c r="AZ1829" s="3" t="s">
        <v>18547</v>
      </c>
      <c r="BA1829" s="3" t="s">
        <v>18547</v>
      </c>
      <c r="BB1829" s="3" t="s">
        <v>18548</v>
      </c>
      <c r="BC1829" s="3" t="s">
        <v>77</v>
      </c>
      <c r="BD1829" s="3" t="s">
        <v>78</v>
      </c>
      <c r="BE1829" s="3" t="s">
        <v>18549</v>
      </c>
      <c r="BF1829" s="3" t="s">
        <v>18548</v>
      </c>
      <c r="BG1829" s="3" t="s">
        <v>18550</v>
      </c>
      <c r="BH1829">
        <f t="shared" si="50"/>
        <v>0</v>
      </c>
    </row>
    <row r="1830" spans="1:60" ht="58" x14ac:dyDescent="0.35">
      <c r="A1830" s="2" t="s">
        <v>59</v>
      </c>
      <c r="B1830" s="2" t="s">
        <v>60</v>
      </c>
      <c r="C1830" s="2" t="s">
        <v>18551</v>
      </c>
      <c r="D1830" s="2" t="s">
        <v>18552</v>
      </c>
      <c r="E1830" s="2" t="s">
        <v>18553</v>
      </c>
      <c r="G1830" s="3" t="s">
        <v>64</v>
      </c>
      <c r="I1830" s="3" t="s">
        <v>64</v>
      </c>
      <c r="J1830" s="3" t="s">
        <v>64</v>
      </c>
      <c r="K1830" s="3" t="s">
        <v>65</v>
      </c>
      <c r="L1830" s="2" t="s">
        <v>18554</v>
      </c>
      <c r="M1830" s="2" t="s">
        <v>18555</v>
      </c>
      <c r="N1830" s="3" t="s">
        <v>326</v>
      </c>
      <c r="P1830" s="3" t="s">
        <v>102</v>
      </c>
      <c r="Q1830" s="2" t="s">
        <v>8981</v>
      </c>
      <c r="R1830" s="3" t="s">
        <v>70</v>
      </c>
      <c r="S1830" s="4">
        <v>3</v>
      </c>
      <c r="T1830" s="4">
        <v>3</v>
      </c>
      <c r="U1830" s="5" t="s">
        <v>5052</v>
      </c>
      <c r="V1830" s="5" t="s">
        <v>5052</v>
      </c>
      <c r="W1830" s="5" t="s">
        <v>72</v>
      </c>
      <c r="X1830" s="5" t="s">
        <v>72</v>
      </c>
      <c r="Y1830" s="4">
        <v>225</v>
      </c>
      <c r="Z1830" s="4">
        <v>18</v>
      </c>
      <c r="AA1830" s="4">
        <v>31</v>
      </c>
      <c r="AB1830" s="4">
        <v>2</v>
      </c>
      <c r="AC1830" s="4">
        <v>7</v>
      </c>
      <c r="AD1830" s="4">
        <v>54</v>
      </c>
      <c r="AE1830" s="4">
        <v>76</v>
      </c>
      <c r="AF1830" s="4">
        <v>1</v>
      </c>
      <c r="AG1830" s="4">
        <v>4</v>
      </c>
      <c r="AH1830" s="4">
        <v>49</v>
      </c>
      <c r="AI1830" s="4">
        <v>65</v>
      </c>
      <c r="AJ1830" s="4">
        <v>11</v>
      </c>
      <c r="AK1830" s="4">
        <v>15</v>
      </c>
      <c r="AL1830" s="4">
        <v>28</v>
      </c>
      <c r="AM1830" s="4">
        <v>33</v>
      </c>
      <c r="AN1830" s="4">
        <v>0</v>
      </c>
      <c r="AO1830" s="4">
        <v>0</v>
      </c>
      <c r="AP1830" s="4">
        <v>13</v>
      </c>
      <c r="AQ1830" s="4">
        <v>18</v>
      </c>
      <c r="AR1830" s="3" t="s">
        <v>64</v>
      </c>
      <c r="AS1830" s="3" t="s">
        <v>64</v>
      </c>
      <c r="AT1830" s="3" t="s">
        <v>64</v>
      </c>
      <c r="AV1830" s="6" t="str">
        <f>HYPERLINK("http://mcgill.on.worldcat.org/oclc/648102656","Catalog Record")</f>
        <v>Catalog Record</v>
      </c>
      <c r="AW1830" s="6" t="str">
        <f>HYPERLINK("http://www.worldcat.org/oclc/648102656","WorldCat Record")</f>
        <v>WorldCat Record</v>
      </c>
      <c r="AX1830" s="3" t="s">
        <v>18556</v>
      </c>
      <c r="AY1830" s="3" t="s">
        <v>18557</v>
      </c>
      <c r="AZ1830" s="3" t="s">
        <v>18558</v>
      </c>
      <c r="BA1830" s="3" t="s">
        <v>18558</v>
      </c>
      <c r="BB1830" s="3" t="s">
        <v>18559</v>
      </c>
      <c r="BC1830" s="3" t="s">
        <v>77</v>
      </c>
      <c r="BD1830" s="3" t="s">
        <v>78</v>
      </c>
      <c r="BE1830" s="3" t="s">
        <v>18560</v>
      </c>
      <c r="BF1830" s="3" t="s">
        <v>18559</v>
      </c>
      <c r="BG1830" s="3" t="s">
        <v>18561</v>
      </c>
      <c r="BH1830">
        <f t="shared" si="50"/>
        <v>0</v>
      </c>
    </row>
    <row r="1831" spans="1:60" ht="58" x14ac:dyDescent="0.35">
      <c r="A1831" s="2" t="s">
        <v>59</v>
      </c>
      <c r="B1831" s="2" t="s">
        <v>60</v>
      </c>
      <c r="C1831" s="2" t="s">
        <v>18562</v>
      </c>
      <c r="D1831" s="2" t="s">
        <v>18563</v>
      </c>
      <c r="E1831" s="2" t="s">
        <v>18564</v>
      </c>
      <c r="G1831" s="3" t="s">
        <v>64</v>
      </c>
      <c r="I1831" s="3" t="s">
        <v>64</v>
      </c>
      <c r="J1831" s="3" t="s">
        <v>64</v>
      </c>
      <c r="K1831" s="3" t="s">
        <v>65</v>
      </c>
      <c r="L1831" s="2" t="s">
        <v>18565</v>
      </c>
      <c r="M1831" s="2" t="s">
        <v>16093</v>
      </c>
      <c r="N1831" s="3" t="s">
        <v>511</v>
      </c>
      <c r="P1831" s="3" t="s">
        <v>102</v>
      </c>
      <c r="Q1831" s="2" t="s">
        <v>18566</v>
      </c>
      <c r="R1831" s="3" t="s">
        <v>70</v>
      </c>
      <c r="S1831" s="4">
        <v>0</v>
      </c>
      <c r="T1831" s="4">
        <v>0</v>
      </c>
      <c r="W1831" s="5" t="s">
        <v>72</v>
      </c>
      <c r="X1831" s="5" t="s">
        <v>72</v>
      </c>
      <c r="Y1831" s="4">
        <v>175</v>
      </c>
      <c r="Z1831" s="4">
        <v>14</v>
      </c>
      <c r="AA1831" s="4">
        <v>18</v>
      </c>
      <c r="AB1831" s="4">
        <v>2</v>
      </c>
      <c r="AC1831" s="4">
        <v>5</v>
      </c>
      <c r="AD1831" s="4">
        <v>30</v>
      </c>
      <c r="AE1831" s="4">
        <v>33</v>
      </c>
      <c r="AF1831" s="4">
        <v>0</v>
      </c>
      <c r="AG1831" s="4">
        <v>1</v>
      </c>
      <c r="AH1831" s="4">
        <v>29</v>
      </c>
      <c r="AI1831" s="4">
        <v>30</v>
      </c>
      <c r="AJ1831" s="4">
        <v>6</v>
      </c>
      <c r="AK1831" s="4">
        <v>7</v>
      </c>
      <c r="AL1831" s="4">
        <v>18</v>
      </c>
      <c r="AM1831" s="4">
        <v>18</v>
      </c>
      <c r="AN1831" s="4">
        <v>0</v>
      </c>
      <c r="AO1831" s="4">
        <v>0</v>
      </c>
      <c r="AP1831" s="4">
        <v>6</v>
      </c>
      <c r="AQ1831" s="4">
        <v>7</v>
      </c>
      <c r="AR1831" s="3" t="s">
        <v>64</v>
      </c>
      <c r="AS1831" s="3" t="s">
        <v>64</v>
      </c>
      <c r="AT1831" s="3" t="s">
        <v>64</v>
      </c>
      <c r="AV1831" s="6" t="str">
        <f>HYPERLINK("http://mcgill.on.worldcat.org/oclc/615339618","Catalog Record")</f>
        <v>Catalog Record</v>
      </c>
      <c r="AW1831" s="6" t="str">
        <f>HYPERLINK("http://www.worldcat.org/oclc/615339618","WorldCat Record")</f>
        <v>WorldCat Record</v>
      </c>
      <c r="AX1831" s="3" t="s">
        <v>18567</v>
      </c>
      <c r="AY1831" s="3" t="s">
        <v>18568</v>
      </c>
      <c r="AZ1831" s="3" t="s">
        <v>18569</v>
      </c>
      <c r="BA1831" s="3" t="s">
        <v>18569</v>
      </c>
      <c r="BB1831" s="3" t="s">
        <v>18570</v>
      </c>
      <c r="BC1831" s="3" t="s">
        <v>77</v>
      </c>
      <c r="BD1831" s="3" t="s">
        <v>78</v>
      </c>
      <c r="BE1831" s="3" t="s">
        <v>18571</v>
      </c>
      <c r="BF1831" s="3" t="s">
        <v>18570</v>
      </c>
      <c r="BG1831" s="3" t="s">
        <v>18572</v>
      </c>
      <c r="BH1831">
        <f t="shared" si="50"/>
        <v>0</v>
      </c>
    </row>
    <row r="1832" spans="1:60" ht="58" x14ac:dyDescent="0.35">
      <c r="A1832" s="2" t="s">
        <v>59</v>
      </c>
      <c r="B1832" s="2" t="s">
        <v>60</v>
      </c>
      <c r="C1832" s="2" t="s">
        <v>18574</v>
      </c>
      <c r="D1832" s="2" t="s">
        <v>18575</v>
      </c>
      <c r="E1832" s="2" t="s">
        <v>18576</v>
      </c>
      <c r="G1832" s="3" t="s">
        <v>64</v>
      </c>
      <c r="I1832" s="3" t="s">
        <v>64</v>
      </c>
      <c r="J1832" s="3" t="s">
        <v>64</v>
      </c>
      <c r="K1832" s="3" t="s">
        <v>65</v>
      </c>
      <c r="L1832" s="2" t="s">
        <v>18577</v>
      </c>
      <c r="M1832" s="2" t="s">
        <v>18578</v>
      </c>
      <c r="N1832" s="3" t="s">
        <v>144</v>
      </c>
      <c r="P1832" s="3" t="s">
        <v>102</v>
      </c>
      <c r="R1832" s="3" t="s">
        <v>70</v>
      </c>
      <c r="S1832" s="4">
        <v>1</v>
      </c>
      <c r="T1832" s="4">
        <v>1</v>
      </c>
      <c r="U1832" s="5" t="s">
        <v>8704</v>
      </c>
      <c r="V1832" s="5" t="s">
        <v>8704</v>
      </c>
      <c r="W1832" s="5" t="s">
        <v>72</v>
      </c>
      <c r="X1832" s="5" t="s">
        <v>72</v>
      </c>
      <c r="Y1832" s="4">
        <v>11</v>
      </c>
      <c r="Z1832" s="4">
        <v>2</v>
      </c>
      <c r="AA1832" s="4">
        <v>2</v>
      </c>
      <c r="AB1832" s="4">
        <v>2</v>
      </c>
      <c r="AC1832" s="4">
        <v>2</v>
      </c>
      <c r="AD1832" s="4">
        <v>2</v>
      </c>
      <c r="AE1832" s="4">
        <v>2</v>
      </c>
      <c r="AF1832" s="4">
        <v>0</v>
      </c>
      <c r="AG1832" s="4">
        <v>0</v>
      </c>
      <c r="AH1832" s="4">
        <v>2</v>
      </c>
      <c r="AI1832" s="4">
        <v>2</v>
      </c>
      <c r="AJ1832" s="4">
        <v>0</v>
      </c>
      <c r="AK1832" s="4">
        <v>0</v>
      </c>
      <c r="AL1832" s="4">
        <v>2</v>
      </c>
      <c r="AM1832" s="4">
        <v>2</v>
      </c>
      <c r="AN1832" s="4">
        <v>0</v>
      </c>
      <c r="AO1832" s="4">
        <v>0</v>
      </c>
      <c r="AP1832" s="4">
        <v>0</v>
      </c>
      <c r="AQ1832" s="4">
        <v>0</v>
      </c>
      <c r="AR1832" s="3" t="s">
        <v>64</v>
      </c>
      <c r="AS1832" s="3" t="s">
        <v>64</v>
      </c>
      <c r="AT1832" s="3" t="s">
        <v>64</v>
      </c>
      <c r="AV1832" s="6" t="str">
        <f>HYPERLINK("http://mcgill.on.worldcat.org/oclc/262485961","Catalog Record")</f>
        <v>Catalog Record</v>
      </c>
      <c r="AW1832" s="6" t="str">
        <f>HYPERLINK("http://www.worldcat.org/oclc/262485961","WorldCat Record")</f>
        <v>WorldCat Record</v>
      </c>
      <c r="AX1832" s="3" t="s">
        <v>18579</v>
      </c>
      <c r="AY1832" s="3" t="s">
        <v>18580</v>
      </c>
      <c r="AZ1832" s="3" t="s">
        <v>18581</v>
      </c>
      <c r="BA1832" s="3" t="s">
        <v>18581</v>
      </c>
      <c r="BB1832" s="3" t="s">
        <v>18582</v>
      </c>
      <c r="BC1832" s="3" t="s">
        <v>77</v>
      </c>
      <c r="BD1832" s="3" t="s">
        <v>78</v>
      </c>
      <c r="BE1832" s="3" t="s">
        <v>18583</v>
      </c>
      <c r="BF1832" s="3" t="s">
        <v>18582</v>
      </c>
      <c r="BG1832" s="3" t="s">
        <v>18584</v>
      </c>
      <c r="BH1832">
        <f t="shared" si="50"/>
        <v>0</v>
      </c>
    </row>
    <row r="1833" spans="1:60" ht="72.5" x14ac:dyDescent="0.35">
      <c r="A1833" s="2" t="s">
        <v>59</v>
      </c>
      <c r="B1833" s="2" t="s">
        <v>60</v>
      </c>
      <c r="C1833" s="2" t="s">
        <v>18585</v>
      </c>
      <c r="D1833" s="2" t="s">
        <v>18586</v>
      </c>
      <c r="E1833" s="2" t="s">
        <v>18587</v>
      </c>
      <c r="G1833" s="3" t="s">
        <v>64</v>
      </c>
      <c r="I1833" s="3" t="s">
        <v>64</v>
      </c>
      <c r="J1833" s="3" t="s">
        <v>64</v>
      </c>
      <c r="K1833" s="3" t="s">
        <v>65</v>
      </c>
      <c r="L1833" s="2" t="s">
        <v>18588</v>
      </c>
      <c r="M1833" s="2" t="s">
        <v>18589</v>
      </c>
      <c r="N1833" s="3" t="s">
        <v>101</v>
      </c>
      <c r="P1833" s="3" t="s">
        <v>102</v>
      </c>
      <c r="R1833" s="3" t="s">
        <v>70</v>
      </c>
      <c r="S1833" s="4">
        <v>2</v>
      </c>
      <c r="T1833" s="4">
        <v>2</v>
      </c>
      <c r="U1833" s="5" t="s">
        <v>16597</v>
      </c>
      <c r="V1833" s="5" t="s">
        <v>16597</v>
      </c>
      <c r="W1833" s="5" t="s">
        <v>72</v>
      </c>
      <c r="X1833" s="5" t="s">
        <v>72</v>
      </c>
      <c r="Y1833" s="4">
        <v>204</v>
      </c>
      <c r="Z1833" s="4">
        <v>8</v>
      </c>
      <c r="AA1833" s="4">
        <v>9</v>
      </c>
      <c r="AB1833" s="4">
        <v>1</v>
      </c>
      <c r="AC1833" s="4">
        <v>2</v>
      </c>
      <c r="AD1833" s="4">
        <v>53</v>
      </c>
      <c r="AE1833" s="4">
        <v>54</v>
      </c>
      <c r="AF1833" s="4">
        <v>0</v>
      </c>
      <c r="AG1833" s="4">
        <v>1</v>
      </c>
      <c r="AH1833" s="4">
        <v>50</v>
      </c>
      <c r="AI1833" s="4">
        <v>50</v>
      </c>
      <c r="AJ1833" s="4">
        <v>6</v>
      </c>
      <c r="AK1833" s="4">
        <v>6</v>
      </c>
      <c r="AL1833" s="4">
        <v>27</v>
      </c>
      <c r="AM1833" s="4">
        <v>27</v>
      </c>
      <c r="AN1833" s="4">
        <v>0</v>
      </c>
      <c r="AO1833" s="4">
        <v>0</v>
      </c>
      <c r="AP1833" s="4">
        <v>6</v>
      </c>
      <c r="AQ1833" s="4">
        <v>7</v>
      </c>
      <c r="AR1833" s="3" t="s">
        <v>64</v>
      </c>
      <c r="AS1833" s="3" t="s">
        <v>64</v>
      </c>
      <c r="AT1833" s="3" t="s">
        <v>64</v>
      </c>
      <c r="AV1833" s="6" t="str">
        <f>HYPERLINK("http://mcgill.on.worldcat.org/oclc/51769094","Catalog Record")</f>
        <v>Catalog Record</v>
      </c>
      <c r="AW1833" s="6" t="str">
        <f>HYPERLINK("http://www.worldcat.org/oclc/51769094","WorldCat Record")</f>
        <v>WorldCat Record</v>
      </c>
      <c r="AX1833" s="3" t="s">
        <v>18590</v>
      </c>
      <c r="AY1833" s="3" t="s">
        <v>18591</v>
      </c>
      <c r="AZ1833" s="3" t="s">
        <v>18592</v>
      </c>
      <c r="BA1833" s="3" t="s">
        <v>18592</v>
      </c>
      <c r="BB1833" s="3" t="s">
        <v>18593</v>
      </c>
      <c r="BC1833" s="3" t="s">
        <v>77</v>
      </c>
      <c r="BD1833" s="3" t="s">
        <v>78</v>
      </c>
      <c r="BE1833" s="3" t="s">
        <v>18594</v>
      </c>
      <c r="BF1833" s="3" t="s">
        <v>18593</v>
      </c>
      <c r="BG1833" s="3" t="s">
        <v>18595</v>
      </c>
      <c r="BH1833">
        <f t="shared" si="50"/>
        <v>0</v>
      </c>
    </row>
    <row r="1834" spans="1:60" ht="58" x14ac:dyDescent="0.35">
      <c r="A1834" s="2" t="s">
        <v>59</v>
      </c>
      <c r="B1834" s="2" t="s">
        <v>60</v>
      </c>
      <c r="C1834" s="2" t="s">
        <v>18596</v>
      </c>
      <c r="D1834" s="2" t="s">
        <v>18597</v>
      </c>
      <c r="E1834" s="2" t="s">
        <v>18598</v>
      </c>
      <c r="G1834" s="3" t="s">
        <v>64</v>
      </c>
      <c r="I1834" s="3" t="s">
        <v>64</v>
      </c>
      <c r="J1834" s="3" t="s">
        <v>64</v>
      </c>
      <c r="K1834" s="3" t="s">
        <v>65</v>
      </c>
      <c r="M1834" s="2" t="s">
        <v>18599</v>
      </c>
      <c r="N1834" s="3" t="s">
        <v>979</v>
      </c>
      <c r="P1834" s="3" t="s">
        <v>102</v>
      </c>
      <c r="R1834" s="3" t="s">
        <v>70</v>
      </c>
      <c r="S1834" s="4">
        <v>7</v>
      </c>
      <c r="T1834" s="4">
        <v>7</v>
      </c>
      <c r="U1834" s="5" t="s">
        <v>13889</v>
      </c>
      <c r="V1834" s="5" t="s">
        <v>13889</v>
      </c>
      <c r="W1834" s="5" t="s">
        <v>72</v>
      </c>
      <c r="X1834" s="5" t="s">
        <v>72</v>
      </c>
      <c r="Y1834" s="4">
        <v>118</v>
      </c>
      <c r="Z1834" s="4">
        <v>6</v>
      </c>
      <c r="AA1834" s="4">
        <v>10</v>
      </c>
      <c r="AB1834" s="4">
        <v>1</v>
      </c>
      <c r="AC1834" s="4">
        <v>1</v>
      </c>
      <c r="AD1834" s="4">
        <v>31</v>
      </c>
      <c r="AE1834" s="4">
        <v>34</v>
      </c>
      <c r="AF1834" s="4">
        <v>0</v>
      </c>
      <c r="AG1834" s="4">
        <v>0</v>
      </c>
      <c r="AH1834" s="4">
        <v>28</v>
      </c>
      <c r="AI1834" s="4">
        <v>31</v>
      </c>
      <c r="AJ1834" s="4">
        <v>3</v>
      </c>
      <c r="AK1834" s="4">
        <v>4</v>
      </c>
      <c r="AL1834" s="4">
        <v>17</v>
      </c>
      <c r="AM1834" s="4">
        <v>20</v>
      </c>
      <c r="AN1834" s="4">
        <v>0</v>
      </c>
      <c r="AO1834" s="4">
        <v>0</v>
      </c>
      <c r="AP1834" s="4">
        <v>5</v>
      </c>
      <c r="AQ1834" s="4">
        <v>6</v>
      </c>
      <c r="AR1834" s="3" t="s">
        <v>64</v>
      </c>
      <c r="AS1834" s="3" t="s">
        <v>64</v>
      </c>
      <c r="AT1834" s="3" t="s">
        <v>128</v>
      </c>
      <c r="AU1834" s="6" t="str">
        <f>HYPERLINK("http://catalog.hathitrust.org/Record/003821589","HathiTrust Record")</f>
        <v>HathiTrust Record</v>
      </c>
      <c r="AV1834" s="6" t="str">
        <f>HYPERLINK("http://mcgill.on.worldcat.org/oclc/44498343","Catalog Record")</f>
        <v>Catalog Record</v>
      </c>
      <c r="AW1834" s="6" t="str">
        <f>HYPERLINK("http://www.worldcat.org/oclc/44498343","WorldCat Record")</f>
        <v>WorldCat Record</v>
      </c>
      <c r="AX1834" s="3" t="s">
        <v>18600</v>
      </c>
      <c r="AY1834" s="3" t="s">
        <v>18601</v>
      </c>
      <c r="AZ1834" s="3" t="s">
        <v>18602</v>
      </c>
      <c r="BA1834" s="3" t="s">
        <v>18602</v>
      </c>
      <c r="BB1834" s="3" t="s">
        <v>18603</v>
      </c>
      <c r="BC1834" s="3" t="s">
        <v>77</v>
      </c>
      <c r="BD1834" s="3" t="s">
        <v>78</v>
      </c>
      <c r="BF1834" s="3" t="s">
        <v>18603</v>
      </c>
      <c r="BG1834" s="3" t="s">
        <v>18604</v>
      </c>
      <c r="BH1834">
        <f t="shared" si="50"/>
        <v>0</v>
      </c>
    </row>
    <row r="1835" spans="1:60" ht="58" x14ac:dyDescent="0.35">
      <c r="A1835" s="2" t="s">
        <v>59</v>
      </c>
      <c r="B1835" s="2" t="s">
        <v>60</v>
      </c>
      <c r="C1835" s="2" t="s">
        <v>18605</v>
      </c>
      <c r="D1835" s="2" t="s">
        <v>18606</v>
      </c>
      <c r="E1835" s="2" t="s">
        <v>18607</v>
      </c>
      <c r="G1835" s="3" t="s">
        <v>64</v>
      </c>
      <c r="I1835" s="3" t="s">
        <v>64</v>
      </c>
      <c r="J1835" s="3" t="s">
        <v>64</v>
      </c>
      <c r="K1835" s="3" t="s">
        <v>65</v>
      </c>
      <c r="L1835" s="2" t="s">
        <v>18608</v>
      </c>
      <c r="M1835" s="2" t="s">
        <v>18555</v>
      </c>
      <c r="N1835" s="3" t="s">
        <v>326</v>
      </c>
      <c r="P1835" s="3" t="s">
        <v>102</v>
      </c>
      <c r="Q1835" s="2" t="s">
        <v>17898</v>
      </c>
      <c r="R1835" s="3" t="s">
        <v>70</v>
      </c>
      <c r="S1835" s="4">
        <v>1</v>
      </c>
      <c r="T1835" s="4">
        <v>1</v>
      </c>
      <c r="U1835" s="5" t="s">
        <v>15859</v>
      </c>
      <c r="V1835" s="5" t="s">
        <v>15859</v>
      </c>
      <c r="W1835" s="5" t="s">
        <v>72</v>
      </c>
      <c r="X1835" s="5" t="s">
        <v>72</v>
      </c>
      <c r="Y1835" s="4">
        <v>116</v>
      </c>
      <c r="Z1835" s="4">
        <v>14</v>
      </c>
      <c r="AA1835" s="4">
        <v>27</v>
      </c>
      <c r="AB1835" s="4">
        <v>1</v>
      </c>
      <c r="AC1835" s="4">
        <v>5</v>
      </c>
      <c r="AD1835" s="4">
        <v>37</v>
      </c>
      <c r="AE1835" s="4">
        <v>62</v>
      </c>
      <c r="AF1835" s="4">
        <v>0</v>
      </c>
      <c r="AG1835" s="4">
        <v>2</v>
      </c>
      <c r="AH1835" s="4">
        <v>31</v>
      </c>
      <c r="AI1835" s="4">
        <v>51</v>
      </c>
      <c r="AJ1835" s="4">
        <v>8</v>
      </c>
      <c r="AK1835" s="4">
        <v>12</v>
      </c>
      <c r="AL1835" s="4">
        <v>18</v>
      </c>
      <c r="AM1835" s="4">
        <v>26</v>
      </c>
      <c r="AN1835" s="4">
        <v>0</v>
      </c>
      <c r="AO1835" s="4">
        <v>0</v>
      </c>
      <c r="AP1835" s="4">
        <v>10</v>
      </c>
      <c r="AQ1835" s="4">
        <v>16</v>
      </c>
      <c r="AR1835" s="3" t="s">
        <v>64</v>
      </c>
      <c r="AS1835" s="3" t="s">
        <v>64</v>
      </c>
      <c r="AT1835" s="3" t="s">
        <v>64</v>
      </c>
      <c r="AV1835" s="6" t="str">
        <f>HYPERLINK("http://mcgill.on.worldcat.org/oclc/758511311","Catalog Record")</f>
        <v>Catalog Record</v>
      </c>
      <c r="AW1835" s="6" t="str">
        <f>HYPERLINK("http://www.worldcat.org/oclc/758511311","WorldCat Record")</f>
        <v>WorldCat Record</v>
      </c>
      <c r="AX1835" s="3" t="s">
        <v>18609</v>
      </c>
      <c r="AY1835" s="3" t="s">
        <v>18610</v>
      </c>
      <c r="AZ1835" s="3" t="s">
        <v>18611</v>
      </c>
      <c r="BA1835" s="3" t="s">
        <v>18611</v>
      </c>
      <c r="BB1835" s="3" t="s">
        <v>18612</v>
      </c>
      <c r="BC1835" s="3" t="s">
        <v>77</v>
      </c>
      <c r="BD1835" s="3" t="s">
        <v>78</v>
      </c>
      <c r="BE1835" s="3" t="s">
        <v>18613</v>
      </c>
      <c r="BF1835" s="3" t="s">
        <v>18612</v>
      </c>
      <c r="BG1835" s="3" t="s">
        <v>18614</v>
      </c>
      <c r="BH1835">
        <f t="shared" si="50"/>
        <v>0</v>
      </c>
    </row>
    <row r="1836" spans="1:60" ht="58" x14ac:dyDescent="0.35">
      <c r="A1836" s="2" t="s">
        <v>59</v>
      </c>
      <c r="B1836" s="2" t="s">
        <v>60</v>
      </c>
      <c r="C1836" s="2" t="s">
        <v>18615</v>
      </c>
      <c r="D1836" s="2" t="s">
        <v>18616</v>
      </c>
      <c r="E1836" s="2" t="s">
        <v>18617</v>
      </c>
      <c r="G1836" s="3" t="s">
        <v>64</v>
      </c>
      <c r="I1836" s="3" t="s">
        <v>64</v>
      </c>
      <c r="J1836" s="3" t="s">
        <v>64</v>
      </c>
      <c r="K1836" s="3" t="s">
        <v>65</v>
      </c>
      <c r="L1836" s="2" t="s">
        <v>18618</v>
      </c>
      <c r="M1836" s="2" t="s">
        <v>18619</v>
      </c>
      <c r="N1836" s="3" t="s">
        <v>153</v>
      </c>
      <c r="P1836" s="3" t="s">
        <v>102</v>
      </c>
      <c r="R1836" s="3" t="s">
        <v>70</v>
      </c>
      <c r="S1836" s="4">
        <v>7</v>
      </c>
      <c r="T1836" s="4">
        <v>7</v>
      </c>
      <c r="U1836" s="5" t="s">
        <v>8704</v>
      </c>
      <c r="V1836" s="5" t="s">
        <v>8704</v>
      </c>
      <c r="W1836" s="5" t="s">
        <v>72</v>
      </c>
      <c r="X1836" s="5" t="s">
        <v>72</v>
      </c>
      <c r="Y1836" s="4">
        <v>362</v>
      </c>
      <c r="Z1836" s="4">
        <v>20</v>
      </c>
      <c r="AA1836" s="4">
        <v>46</v>
      </c>
      <c r="AB1836" s="4">
        <v>1</v>
      </c>
      <c r="AC1836" s="4">
        <v>8</v>
      </c>
      <c r="AD1836" s="4">
        <v>97</v>
      </c>
      <c r="AE1836" s="4">
        <v>113</v>
      </c>
      <c r="AF1836" s="4">
        <v>0</v>
      </c>
      <c r="AG1836" s="4">
        <v>2</v>
      </c>
      <c r="AH1836" s="4">
        <v>90</v>
      </c>
      <c r="AI1836" s="4">
        <v>102</v>
      </c>
      <c r="AJ1836" s="4">
        <v>13</v>
      </c>
      <c r="AK1836" s="4">
        <v>15</v>
      </c>
      <c r="AL1836" s="4">
        <v>48</v>
      </c>
      <c r="AM1836" s="4">
        <v>54</v>
      </c>
      <c r="AN1836" s="4">
        <v>0</v>
      </c>
      <c r="AO1836" s="4">
        <v>0</v>
      </c>
      <c r="AP1836" s="4">
        <v>14</v>
      </c>
      <c r="AQ1836" s="4">
        <v>17</v>
      </c>
      <c r="AR1836" s="3" t="s">
        <v>64</v>
      </c>
      <c r="AS1836" s="3" t="s">
        <v>64</v>
      </c>
      <c r="AT1836" s="3" t="s">
        <v>128</v>
      </c>
      <c r="AU1836" s="6" t="str">
        <f>HYPERLINK("http://catalog.hathitrust.org/Record/003982973","HathiTrust Record")</f>
        <v>HathiTrust Record</v>
      </c>
      <c r="AV1836" s="6" t="str">
        <f>HYPERLINK("http://mcgill.on.worldcat.org/oclc/38989698","Catalog Record")</f>
        <v>Catalog Record</v>
      </c>
      <c r="AW1836" s="6" t="str">
        <f>HYPERLINK("http://www.worldcat.org/oclc/38989698","WorldCat Record")</f>
        <v>WorldCat Record</v>
      </c>
      <c r="AX1836" s="3" t="s">
        <v>18620</v>
      </c>
      <c r="AY1836" s="3" t="s">
        <v>18621</v>
      </c>
      <c r="AZ1836" s="3" t="s">
        <v>18622</v>
      </c>
      <c r="BA1836" s="3" t="s">
        <v>18622</v>
      </c>
      <c r="BB1836" s="3" t="s">
        <v>18623</v>
      </c>
      <c r="BC1836" s="3" t="s">
        <v>77</v>
      </c>
      <c r="BD1836" s="3" t="s">
        <v>78</v>
      </c>
      <c r="BE1836" s="3" t="s">
        <v>18624</v>
      </c>
      <c r="BF1836" s="3" t="s">
        <v>18623</v>
      </c>
      <c r="BG1836" s="3" t="s">
        <v>18625</v>
      </c>
      <c r="BH1836">
        <f t="shared" si="50"/>
        <v>0</v>
      </c>
    </row>
    <row r="1837" spans="1:60" ht="58" x14ac:dyDescent="0.35">
      <c r="A1837" s="2" t="s">
        <v>59</v>
      </c>
      <c r="B1837" s="2" t="s">
        <v>60</v>
      </c>
      <c r="C1837" s="2" t="s">
        <v>18626</v>
      </c>
      <c r="D1837" s="2" t="s">
        <v>18627</v>
      </c>
      <c r="E1837" s="2" t="s">
        <v>18628</v>
      </c>
      <c r="G1837" s="3" t="s">
        <v>64</v>
      </c>
      <c r="I1837" s="3" t="s">
        <v>64</v>
      </c>
      <c r="J1837" s="3" t="s">
        <v>64</v>
      </c>
      <c r="K1837" s="3" t="s">
        <v>65</v>
      </c>
      <c r="M1837" s="2" t="s">
        <v>18629</v>
      </c>
      <c r="N1837" s="3" t="s">
        <v>551</v>
      </c>
      <c r="P1837" s="3" t="s">
        <v>102</v>
      </c>
      <c r="R1837" s="3" t="s">
        <v>70</v>
      </c>
      <c r="S1837" s="4">
        <v>6</v>
      </c>
      <c r="T1837" s="4">
        <v>6</v>
      </c>
      <c r="U1837" s="5" t="s">
        <v>380</v>
      </c>
      <c r="V1837" s="5" t="s">
        <v>380</v>
      </c>
      <c r="W1837" s="5" t="s">
        <v>72</v>
      </c>
      <c r="X1837" s="5" t="s">
        <v>72</v>
      </c>
      <c r="Y1837" s="4">
        <v>132</v>
      </c>
      <c r="Z1837" s="4">
        <v>4</v>
      </c>
      <c r="AA1837" s="4">
        <v>6</v>
      </c>
      <c r="AB1837" s="4">
        <v>2</v>
      </c>
      <c r="AC1837" s="4">
        <v>4</v>
      </c>
      <c r="AD1837" s="4">
        <v>20</v>
      </c>
      <c r="AE1837" s="4">
        <v>23</v>
      </c>
      <c r="AF1837" s="4">
        <v>0</v>
      </c>
      <c r="AG1837" s="4">
        <v>1</v>
      </c>
      <c r="AH1837" s="4">
        <v>20</v>
      </c>
      <c r="AI1837" s="4">
        <v>22</v>
      </c>
      <c r="AJ1837" s="4">
        <v>2</v>
      </c>
      <c r="AK1837" s="4">
        <v>3</v>
      </c>
      <c r="AL1837" s="4">
        <v>10</v>
      </c>
      <c r="AM1837" s="4">
        <v>12</v>
      </c>
      <c r="AN1837" s="4">
        <v>0</v>
      </c>
      <c r="AO1837" s="4">
        <v>0</v>
      </c>
      <c r="AP1837" s="4">
        <v>2</v>
      </c>
      <c r="AQ1837" s="4">
        <v>2</v>
      </c>
      <c r="AR1837" s="3" t="s">
        <v>64</v>
      </c>
      <c r="AS1837" s="3" t="s">
        <v>64</v>
      </c>
      <c r="AT1837" s="3" t="s">
        <v>64</v>
      </c>
      <c r="AV1837" s="6" t="str">
        <f>HYPERLINK("http://mcgill.on.worldcat.org/oclc/180190782","Catalog Record")</f>
        <v>Catalog Record</v>
      </c>
      <c r="AW1837" s="6" t="str">
        <f>HYPERLINK("http://www.worldcat.org/oclc/180190782","WorldCat Record")</f>
        <v>WorldCat Record</v>
      </c>
      <c r="AX1837" s="3" t="s">
        <v>18630</v>
      </c>
      <c r="AY1837" s="3" t="s">
        <v>18631</v>
      </c>
      <c r="AZ1837" s="3" t="s">
        <v>18632</v>
      </c>
      <c r="BA1837" s="3" t="s">
        <v>18632</v>
      </c>
      <c r="BB1837" s="3" t="s">
        <v>18633</v>
      </c>
      <c r="BC1837" s="3" t="s">
        <v>77</v>
      </c>
      <c r="BD1837" s="3" t="s">
        <v>78</v>
      </c>
      <c r="BE1837" s="3" t="s">
        <v>18634</v>
      </c>
      <c r="BF1837" s="3" t="s">
        <v>18633</v>
      </c>
      <c r="BG1837" s="3" t="s">
        <v>18635</v>
      </c>
      <c r="BH1837">
        <f t="shared" si="50"/>
        <v>0</v>
      </c>
    </row>
    <row r="1838" spans="1:60" ht="58" x14ac:dyDescent="0.35">
      <c r="A1838" s="2" t="s">
        <v>59</v>
      </c>
      <c r="B1838" s="2" t="s">
        <v>60</v>
      </c>
      <c r="C1838" s="2" t="s">
        <v>18636</v>
      </c>
      <c r="D1838" s="2" t="s">
        <v>18637</v>
      </c>
      <c r="E1838" s="2" t="s">
        <v>18638</v>
      </c>
      <c r="G1838" s="3" t="s">
        <v>64</v>
      </c>
      <c r="I1838" s="3" t="s">
        <v>64</v>
      </c>
      <c r="J1838" s="3" t="s">
        <v>64</v>
      </c>
      <c r="K1838" s="3" t="s">
        <v>65</v>
      </c>
      <c r="M1838" s="2" t="s">
        <v>18639</v>
      </c>
      <c r="N1838" s="3" t="s">
        <v>253</v>
      </c>
      <c r="P1838" s="3" t="s">
        <v>68</v>
      </c>
      <c r="Q1838" s="2" t="s">
        <v>18640</v>
      </c>
      <c r="R1838" s="3" t="s">
        <v>70</v>
      </c>
      <c r="S1838" s="4">
        <v>1</v>
      </c>
      <c r="T1838" s="4">
        <v>1</v>
      </c>
      <c r="U1838" s="5" t="s">
        <v>12693</v>
      </c>
      <c r="V1838" s="5" t="s">
        <v>12693</v>
      </c>
      <c r="W1838" s="5" t="s">
        <v>72</v>
      </c>
      <c r="X1838" s="5" t="s">
        <v>72</v>
      </c>
      <c r="Y1838" s="4">
        <v>6</v>
      </c>
      <c r="Z1838" s="4">
        <v>1</v>
      </c>
      <c r="AA1838" s="4">
        <v>5</v>
      </c>
      <c r="AB1838" s="4">
        <v>1</v>
      </c>
      <c r="AC1838" s="4">
        <v>5</v>
      </c>
      <c r="AD1838" s="4">
        <v>1</v>
      </c>
      <c r="AE1838" s="4">
        <v>4</v>
      </c>
      <c r="AF1838" s="4">
        <v>0</v>
      </c>
      <c r="AG1838" s="4">
        <v>2</v>
      </c>
      <c r="AH1838" s="4">
        <v>1</v>
      </c>
      <c r="AI1838" s="4">
        <v>2</v>
      </c>
      <c r="AJ1838" s="4">
        <v>0</v>
      </c>
      <c r="AK1838" s="4">
        <v>1</v>
      </c>
      <c r="AL1838" s="4">
        <v>1</v>
      </c>
      <c r="AM1838" s="4">
        <v>2</v>
      </c>
      <c r="AN1838" s="4">
        <v>0</v>
      </c>
      <c r="AO1838" s="4">
        <v>0</v>
      </c>
      <c r="AP1838" s="4">
        <v>0</v>
      </c>
      <c r="AQ1838" s="4">
        <v>1</v>
      </c>
      <c r="AR1838" s="3" t="s">
        <v>64</v>
      </c>
      <c r="AS1838" s="3" t="s">
        <v>64</v>
      </c>
      <c r="AT1838" s="3" t="s">
        <v>64</v>
      </c>
      <c r="AV1838" s="6" t="str">
        <f>HYPERLINK("http://mcgill.on.worldcat.org/oclc/908086691","Catalog Record")</f>
        <v>Catalog Record</v>
      </c>
      <c r="AW1838" s="6" t="str">
        <f>HYPERLINK("http://www.worldcat.org/oclc/908086691","WorldCat Record")</f>
        <v>WorldCat Record</v>
      </c>
      <c r="AX1838" s="3" t="s">
        <v>18641</v>
      </c>
      <c r="AY1838" s="3" t="s">
        <v>18642</v>
      </c>
      <c r="AZ1838" s="3" t="s">
        <v>18643</v>
      </c>
      <c r="BA1838" s="3" t="s">
        <v>18643</v>
      </c>
      <c r="BB1838" s="3" t="s">
        <v>18644</v>
      </c>
      <c r="BC1838" s="3" t="s">
        <v>77</v>
      </c>
      <c r="BD1838" s="3" t="s">
        <v>78</v>
      </c>
      <c r="BE1838" s="3" t="s">
        <v>18645</v>
      </c>
      <c r="BF1838" s="3" t="s">
        <v>18644</v>
      </c>
      <c r="BG1838" s="3" t="s">
        <v>18646</v>
      </c>
      <c r="BH1838">
        <f t="shared" si="50"/>
        <v>0</v>
      </c>
    </row>
    <row r="1839" spans="1:60" ht="58" x14ac:dyDescent="0.35">
      <c r="A1839" s="2" t="s">
        <v>59</v>
      </c>
      <c r="B1839" s="2" t="s">
        <v>60</v>
      </c>
      <c r="C1839" s="2" t="s">
        <v>18647</v>
      </c>
      <c r="D1839" s="2" t="s">
        <v>18648</v>
      </c>
      <c r="E1839" s="2" t="s">
        <v>18649</v>
      </c>
      <c r="G1839" s="3" t="s">
        <v>64</v>
      </c>
      <c r="I1839" s="3" t="s">
        <v>64</v>
      </c>
      <c r="J1839" s="3" t="s">
        <v>128</v>
      </c>
      <c r="K1839" s="3" t="s">
        <v>65</v>
      </c>
      <c r="L1839" s="2" t="s">
        <v>18650</v>
      </c>
      <c r="M1839" s="2" t="s">
        <v>18651</v>
      </c>
      <c r="N1839" s="3" t="s">
        <v>434</v>
      </c>
      <c r="O1839" s="2" t="s">
        <v>172</v>
      </c>
      <c r="P1839" s="3" t="s">
        <v>102</v>
      </c>
      <c r="R1839" s="3" t="s">
        <v>70</v>
      </c>
      <c r="S1839" s="4">
        <v>9</v>
      </c>
      <c r="T1839" s="4">
        <v>9</v>
      </c>
      <c r="U1839" s="5" t="s">
        <v>18652</v>
      </c>
      <c r="V1839" s="5" t="s">
        <v>18652</v>
      </c>
      <c r="W1839" s="5" t="s">
        <v>72</v>
      </c>
      <c r="X1839" s="5" t="s">
        <v>72</v>
      </c>
      <c r="Y1839" s="4">
        <v>300</v>
      </c>
      <c r="Z1839" s="4">
        <v>17</v>
      </c>
      <c r="AA1839" s="4">
        <v>22</v>
      </c>
      <c r="AB1839" s="4">
        <v>1</v>
      </c>
      <c r="AC1839" s="4">
        <v>3</v>
      </c>
      <c r="AD1839" s="4">
        <v>42</v>
      </c>
      <c r="AE1839" s="4">
        <v>57</v>
      </c>
      <c r="AF1839" s="4">
        <v>0</v>
      </c>
      <c r="AG1839" s="4">
        <v>2</v>
      </c>
      <c r="AH1839" s="4">
        <v>36</v>
      </c>
      <c r="AI1839" s="4">
        <v>48</v>
      </c>
      <c r="AJ1839" s="4">
        <v>10</v>
      </c>
      <c r="AK1839" s="4">
        <v>14</v>
      </c>
      <c r="AL1839" s="4">
        <v>21</v>
      </c>
      <c r="AM1839" s="4">
        <v>29</v>
      </c>
      <c r="AN1839" s="4">
        <v>0</v>
      </c>
      <c r="AO1839" s="4">
        <v>0</v>
      </c>
      <c r="AP1839" s="4">
        <v>11</v>
      </c>
      <c r="AQ1839" s="4">
        <v>14</v>
      </c>
      <c r="AR1839" s="3" t="s">
        <v>64</v>
      </c>
      <c r="AS1839" s="3" t="s">
        <v>64</v>
      </c>
      <c r="AT1839" s="3" t="s">
        <v>128</v>
      </c>
      <c r="AU1839" s="6" t="str">
        <f>HYPERLINK("http://catalog.hathitrust.org/Record/005555504","HathiTrust Record")</f>
        <v>HathiTrust Record</v>
      </c>
      <c r="AV1839" s="6" t="str">
        <f>HYPERLINK("http://mcgill.on.worldcat.org/oclc/57619867","Catalog Record")</f>
        <v>Catalog Record</v>
      </c>
      <c r="AW1839" s="6" t="str">
        <f>HYPERLINK("http://www.worldcat.org/oclc/57619867","WorldCat Record")</f>
        <v>WorldCat Record</v>
      </c>
      <c r="AX1839" s="3" t="s">
        <v>18653</v>
      </c>
      <c r="AY1839" s="3" t="s">
        <v>18654</v>
      </c>
      <c r="AZ1839" s="3" t="s">
        <v>18655</v>
      </c>
      <c r="BA1839" s="3" t="s">
        <v>18655</v>
      </c>
      <c r="BB1839" s="3" t="s">
        <v>18656</v>
      </c>
      <c r="BC1839" s="3" t="s">
        <v>77</v>
      </c>
      <c r="BD1839" s="3" t="s">
        <v>78</v>
      </c>
      <c r="BE1839" s="3" t="s">
        <v>18657</v>
      </c>
      <c r="BF1839" s="3" t="s">
        <v>18656</v>
      </c>
      <c r="BG1839" s="3" t="s">
        <v>18658</v>
      </c>
      <c r="BH1839">
        <f t="shared" si="50"/>
        <v>0</v>
      </c>
    </row>
    <row r="1840" spans="1:60" ht="58" x14ac:dyDescent="0.35">
      <c r="A1840" s="2" t="s">
        <v>59</v>
      </c>
      <c r="B1840" s="2" t="s">
        <v>60</v>
      </c>
      <c r="C1840" s="2" t="s">
        <v>18659</v>
      </c>
      <c r="D1840" s="2" t="s">
        <v>18660</v>
      </c>
      <c r="E1840" s="2" t="s">
        <v>18661</v>
      </c>
      <c r="G1840" s="3" t="s">
        <v>64</v>
      </c>
      <c r="I1840" s="3" t="s">
        <v>64</v>
      </c>
      <c r="J1840" s="3" t="s">
        <v>64</v>
      </c>
      <c r="K1840" s="3" t="s">
        <v>65</v>
      </c>
      <c r="L1840" s="2" t="s">
        <v>18662</v>
      </c>
      <c r="M1840" s="2" t="s">
        <v>18663</v>
      </c>
      <c r="N1840" s="3" t="s">
        <v>421</v>
      </c>
      <c r="P1840" s="3" t="s">
        <v>102</v>
      </c>
      <c r="R1840" s="3" t="s">
        <v>70</v>
      </c>
      <c r="S1840" s="4">
        <v>13</v>
      </c>
      <c r="T1840" s="4">
        <v>13</v>
      </c>
      <c r="U1840" s="5" t="s">
        <v>7981</v>
      </c>
      <c r="V1840" s="5" t="s">
        <v>7981</v>
      </c>
      <c r="W1840" s="5" t="s">
        <v>72</v>
      </c>
      <c r="X1840" s="5" t="s">
        <v>72</v>
      </c>
      <c r="Y1840" s="4">
        <v>186</v>
      </c>
      <c r="Z1840" s="4">
        <v>10</v>
      </c>
      <c r="AA1840" s="4">
        <v>11</v>
      </c>
      <c r="AB1840" s="4">
        <v>2</v>
      </c>
      <c r="AC1840" s="4">
        <v>3</v>
      </c>
      <c r="AD1840" s="4">
        <v>31</v>
      </c>
      <c r="AE1840" s="4">
        <v>32</v>
      </c>
      <c r="AF1840" s="4">
        <v>1</v>
      </c>
      <c r="AG1840" s="4">
        <v>2</v>
      </c>
      <c r="AH1840" s="4">
        <v>26</v>
      </c>
      <c r="AI1840" s="4">
        <v>26</v>
      </c>
      <c r="AJ1840" s="4">
        <v>8</v>
      </c>
      <c r="AK1840" s="4">
        <v>9</v>
      </c>
      <c r="AL1840" s="4">
        <v>14</v>
      </c>
      <c r="AM1840" s="4">
        <v>14</v>
      </c>
      <c r="AN1840" s="4">
        <v>0</v>
      </c>
      <c r="AO1840" s="4">
        <v>0</v>
      </c>
      <c r="AP1840" s="4">
        <v>8</v>
      </c>
      <c r="AQ1840" s="4">
        <v>8</v>
      </c>
      <c r="AR1840" s="3" t="s">
        <v>64</v>
      </c>
      <c r="AS1840" s="3" t="s">
        <v>64</v>
      </c>
      <c r="AT1840" s="3" t="s">
        <v>128</v>
      </c>
      <c r="AU1840" s="6" t="str">
        <f>HYPERLINK("http://catalog.hathitrust.org/Record/003953686","HathiTrust Record")</f>
        <v>HathiTrust Record</v>
      </c>
      <c r="AV1840" s="6" t="str">
        <f>HYPERLINK("http://mcgill.on.worldcat.org/oclc/37485467","Catalog Record")</f>
        <v>Catalog Record</v>
      </c>
      <c r="AW1840" s="6" t="str">
        <f>HYPERLINK("http://www.worldcat.org/oclc/37485467","WorldCat Record")</f>
        <v>WorldCat Record</v>
      </c>
      <c r="AX1840" s="3" t="s">
        <v>18664</v>
      </c>
      <c r="AY1840" s="3" t="s">
        <v>18665</v>
      </c>
      <c r="AZ1840" s="3" t="s">
        <v>18666</v>
      </c>
      <c r="BA1840" s="3" t="s">
        <v>18666</v>
      </c>
      <c r="BB1840" s="3" t="s">
        <v>18667</v>
      </c>
      <c r="BC1840" s="3" t="s">
        <v>77</v>
      </c>
      <c r="BD1840" s="3" t="s">
        <v>78</v>
      </c>
      <c r="BE1840" s="3" t="s">
        <v>18668</v>
      </c>
      <c r="BF1840" s="3" t="s">
        <v>18667</v>
      </c>
      <c r="BG1840" s="3" t="s">
        <v>18669</v>
      </c>
      <c r="BH1840">
        <f t="shared" si="50"/>
        <v>0</v>
      </c>
    </row>
    <row r="1841" spans="1:60" ht="58" x14ac:dyDescent="0.35">
      <c r="A1841" s="2" t="s">
        <v>59</v>
      </c>
      <c r="B1841" s="2" t="s">
        <v>60</v>
      </c>
      <c r="C1841" s="2" t="s">
        <v>18670</v>
      </c>
      <c r="D1841" s="2" t="s">
        <v>18671</v>
      </c>
      <c r="E1841" s="2" t="s">
        <v>18672</v>
      </c>
      <c r="G1841" s="3" t="s">
        <v>64</v>
      </c>
      <c r="I1841" s="3" t="s">
        <v>64</v>
      </c>
      <c r="J1841" s="3" t="s">
        <v>64</v>
      </c>
      <c r="K1841" s="3" t="s">
        <v>65</v>
      </c>
      <c r="L1841" s="2" t="s">
        <v>18673</v>
      </c>
      <c r="M1841" s="2" t="s">
        <v>18674</v>
      </c>
      <c r="N1841" s="3" t="s">
        <v>4872</v>
      </c>
      <c r="P1841" s="3" t="s">
        <v>102</v>
      </c>
      <c r="R1841" s="3" t="s">
        <v>70</v>
      </c>
      <c r="S1841" s="4">
        <v>1</v>
      </c>
      <c r="T1841" s="4">
        <v>1</v>
      </c>
      <c r="U1841" s="5" t="s">
        <v>7981</v>
      </c>
      <c r="V1841" s="5" t="s">
        <v>7981</v>
      </c>
      <c r="W1841" s="5" t="s">
        <v>72</v>
      </c>
      <c r="X1841" s="5" t="s">
        <v>72</v>
      </c>
      <c r="Y1841" s="4">
        <v>534</v>
      </c>
      <c r="Z1841" s="4">
        <v>17</v>
      </c>
      <c r="AA1841" s="4">
        <v>29</v>
      </c>
      <c r="AB1841" s="4">
        <v>1</v>
      </c>
      <c r="AC1841" s="4">
        <v>4</v>
      </c>
      <c r="AD1841" s="4">
        <v>102</v>
      </c>
      <c r="AE1841" s="4">
        <v>118</v>
      </c>
      <c r="AF1841" s="4">
        <v>0</v>
      </c>
      <c r="AG1841" s="4">
        <v>2</v>
      </c>
      <c r="AH1841" s="4">
        <v>90</v>
      </c>
      <c r="AI1841" s="4">
        <v>99</v>
      </c>
      <c r="AJ1841" s="4">
        <v>7</v>
      </c>
      <c r="AK1841" s="4">
        <v>15</v>
      </c>
      <c r="AL1841" s="4">
        <v>51</v>
      </c>
      <c r="AM1841" s="4">
        <v>54</v>
      </c>
      <c r="AN1841" s="4">
        <v>0</v>
      </c>
      <c r="AO1841" s="4">
        <v>0</v>
      </c>
      <c r="AP1841" s="4">
        <v>13</v>
      </c>
      <c r="AQ1841" s="4">
        <v>21</v>
      </c>
      <c r="AR1841" s="3" t="s">
        <v>64</v>
      </c>
      <c r="AS1841" s="3" t="s">
        <v>64</v>
      </c>
      <c r="AT1841" s="3" t="s">
        <v>128</v>
      </c>
      <c r="AU1841" s="6" t="str">
        <f>HYPERLINK("http://catalog.hathitrust.org/Record/001107546","HathiTrust Record")</f>
        <v>HathiTrust Record</v>
      </c>
      <c r="AV1841" s="6" t="str">
        <f>HYPERLINK("http://mcgill.on.worldcat.org/oclc/574238","Catalog Record")</f>
        <v>Catalog Record</v>
      </c>
      <c r="AW1841" s="6" t="str">
        <f>HYPERLINK("http://www.worldcat.org/oclc/574238","WorldCat Record")</f>
        <v>WorldCat Record</v>
      </c>
      <c r="AX1841" s="3" t="s">
        <v>18675</v>
      </c>
      <c r="AY1841" s="3" t="s">
        <v>18676</v>
      </c>
      <c r="AZ1841" s="3" t="s">
        <v>18677</v>
      </c>
      <c r="BA1841" s="3" t="s">
        <v>18677</v>
      </c>
      <c r="BB1841" s="3" t="s">
        <v>18678</v>
      </c>
      <c r="BC1841" s="3" t="s">
        <v>77</v>
      </c>
      <c r="BD1841" s="3" t="s">
        <v>78</v>
      </c>
      <c r="BF1841" s="3" t="s">
        <v>18678</v>
      </c>
      <c r="BG1841" s="3" t="s">
        <v>18679</v>
      </c>
      <c r="BH1841">
        <f t="shared" si="50"/>
        <v>0</v>
      </c>
    </row>
    <row r="1842" spans="1:60" ht="58" x14ac:dyDescent="0.35">
      <c r="A1842" s="2" t="s">
        <v>59</v>
      </c>
      <c r="B1842" s="2" t="s">
        <v>60</v>
      </c>
      <c r="C1842" s="2" t="s">
        <v>18680</v>
      </c>
      <c r="D1842" s="2" t="s">
        <v>18681</v>
      </c>
      <c r="E1842" s="2" t="s">
        <v>18682</v>
      </c>
      <c r="G1842" s="3" t="s">
        <v>64</v>
      </c>
      <c r="I1842" s="3" t="s">
        <v>64</v>
      </c>
      <c r="J1842" s="3" t="s">
        <v>64</v>
      </c>
      <c r="K1842" s="3" t="s">
        <v>65</v>
      </c>
      <c r="L1842" s="2" t="s">
        <v>13930</v>
      </c>
      <c r="M1842" s="2" t="s">
        <v>18683</v>
      </c>
      <c r="N1842" s="3" t="s">
        <v>153</v>
      </c>
      <c r="P1842" s="3" t="s">
        <v>102</v>
      </c>
      <c r="Q1842" s="2" t="s">
        <v>15094</v>
      </c>
      <c r="R1842" s="3" t="s">
        <v>70</v>
      </c>
      <c r="S1842" s="4">
        <v>19</v>
      </c>
      <c r="T1842" s="4">
        <v>19</v>
      </c>
      <c r="U1842" s="5" t="s">
        <v>1846</v>
      </c>
      <c r="V1842" s="5" t="s">
        <v>1846</v>
      </c>
      <c r="W1842" s="5" t="s">
        <v>72</v>
      </c>
      <c r="X1842" s="5" t="s">
        <v>72</v>
      </c>
      <c r="Y1842" s="4">
        <v>471</v>
      </c>
      <c r="Z1842" s="4">
        <v>24</v>
      </c>
      <c r="AA1842" s="4">
        <v>28</v>
      </c>
      <c r="AB1842" s="4">
        <v>3</v>
      </c>
      <c r="AC1842" s="4">
        <v>6</v>
      </c>
      <c r="AD1842" s="4">
        <v>95</v>
      </c>
      <c r="AE1842" s="4">
        <v>109</v>
      </c>
      <c r="AF1842" s="4">
        <v>2</v>
      </c>
      <c r="AG1842" s="4">
        <v>4</v>
      </c>
      <c r="AH1842" s="4">
        <v>83</v>
      </c>
      <c r="AI1842" s="4">
        <v>96</v>
      </c>
      <c r="AJ1842" s="4">
        <v>13</v>
      </c>
      <c r="AK1842" s="4">
        <v>15</v>
      </c>
      <c r="AL1842" s="4">
        <v>46</v>
      </c>
      <c r="AM1842" s="4">
        <v>50</v>
      </c>
      <c r="AN1842" s="4">
        <v>0</v>
      </c>
      <c r="AO1842" s="4">
        <v>0</v>
      </c>
      <c r="AP1842" s="4">
        <v>18</v>
      </c>
      <c r="AQ1842" s="4">
        <v>19</v>
      </c>
      <c r="AR1842" s="3" t="s">
        <v>64</v>
      </c>
      <c r="AS1842" s="3" t="s">
        <v>64</v>
      </c>
      <c r="AT1842" s="3" t="s">
        <v>128</v>
      </c>
      <c r="AU1842" s="6" t="str">
        <f>HYPERLINK("http://catalog.hathitrust.org/Record/003969223","HathiTrust Record")</f>
        <v>HathiTrust Record</v>
      </c>
      <c r="AV1842" s="6" t="str">
        <f>HYPERLINK("http://mcgill.on.worldcat.org/oclc/37451911","Catalog Record")</f>
        <v>Catalog Record</v>
      </c>
      <c r="AW1842" s="6" t="str">
        <f>HYPERLINK("http://www.worldcat.org/oclc/37451911","WorldCat Record")</f>
        <v>WorldCat Record</v>
      </c>
      <c r="AX1842" s="3" t="s">
        <v>18684</v>
      </c>
      <c r="AY1842" s="3" t="s">
        <v>18685</v>
      </c>
      <c r="AZ1842" s="3" t="s">
        <v>18686</v>
      </c>
      <c r="BA1842" s="3" t="s">
        <v>18686</v>
      </c>
      <c r="BB1842" s="3" t="s">
        <v>18687</v>
      </c>
      <c r="BC1842" s="3" t="s">
        <v>77</v>
      </c>
      <c r="BD1842" s="3" t="s">
        <v>78</v>
      </c>
      <c r="BE1842" s="3" t="s">
        <v>18688</v>
      </c>
      <c r="BF1842" s="3" t="s">
        <v>18687</v>
      </c>
      <c r="BG1842" s="3" t="s">
        <v>18689</v>
      </c>
      <c r="BH1842">
        <f t="shared" si="50"/>
        <v>0</v>
      </c>
    </row>
    <row r="1843" spans="1:60" ht="58" x14ac:dyDescent="0.35">
      <c r="A1843" s="2" t="s">
        <v>59</v>
      </c>
      <c r="B1843" s="2" t="s">
        <v>60</v>
      </c>
      <c r="C1843" s="2" t="s">
        <v>18690</v>
      </c>
      <c r="D1843" s="2" t="s">
        <v>18691</v>
      </c>
      <c r="E1843" s="2" t="s">
        <v>18692</v>
      </c>
      <c r="G1843" s="3" t="s">
        <v>64</v>
      </c>
      <c r="I1843" s="3" t="s">
        <v>64</v>
      </c>
      <c r="J1843" s="3" t="s">
        <v>64</v>
      </c>
      <c r="K1843" s="3" t="s">
        <v>65</v>
      </c>
      <c r="L1843" s="2" t="s">
        <v>18693</v>
      </c>
      <c r="M1843" s="2" t="s">
        <v>18694</v>
      </c>
      <c r="N1843" s="3" t="s">
        <v>421</v>
      </c>
      <c r="P1843" s="3" t="s">
        <v>102</v>
      </c>
      <c r="Q1843" s="2" t="s">
        <v>14685</v>
      </c>
      <c r="R1843" s="3" t="s">
        <v>70</v>
      </c>
      <c r="S1843" s="4">
        <v>4</v>
      </c>
      <c r="T1843" s="4">
        <v>4</v>
      </c>
      <c r="U1843" s="5" t="s">
        <v>13933</v>
      </c>
      <c r="V1843" s="5" t="s">
        <v>13933</v>
      </c>
      <c r="W1843" s="5" t="s">
        <v>72</v>
      </c>
      <c r="X1843" s="5" t="s">
        <v>72</v>
      </c>
      <c r="Y1843" s="4">
        <v>234</v>
      </c>
      <c r="Z1843" s="4">
        <v>15</v>
      </c>
      <c r="AA1843" s="4">
        <v>17</v>
      </c>
      <c r="AB1843" s="4">
        <v>1</v>
      </c>
      <c r="AC1843" s="4">
        <v>3</v>
      </c>
      <c r="AD1843" s="4">
        <v>78</v>
      </c>
      <c r="AE1843" s="4">
        <v>80</v>
      </c>
      <c r="AF1843" s="4">
        <v>0</v>
      </c>
      <c r="AG1843" s="4">
        <v>2</v>
      </c>
      <c r="AH1843" s="4">
        <v>71</v>
      </c>
      <c r="AI1843" s="4">
        <v>71</v>
      </c>
      <c r="AJ1843" s="4">
        <v>13</v>
      </c>
      <c r="AK1843" s="4">
        <v>15</v>
      </c>
      <c r="AL1843" s="4">
        <v>39</v>
      </c>
      <c r="AM1843" s="4">
        <v>39</v>
      </c>
      <c r="AN1843" s="4">
        <v>0</v>
      </c>
      <c r="AO1843" s="4">
        <v>0</v>
      </c>
      <c r="AP1843" s="4">
        <v>11</v>
      </c>
      <c r="AQ1843" s="4">
        <v>12</v>
      </c>
      <c r="AR1843" s="3" t="s">
        <v>64</v>
      </c>
      <c r="AS1843" s="3" t="s">
        <v>64</v>
      </c>
      <c r="AT1843" s="3" t="s">
        <v>128</v>
      </c>
      <c r="AU1843" s="6" t="str">
        <f>HYPERLINK("http://catalog.hathitrust.org/Record/003154315","HathiTrust Record")</f>
        <v>HathiTrust Record</v>
      </c>
      <c r="AV1843" s="6" t="str">
        <f>HYPERLINK("http://mcgill.on.worldcat.org/oclc/36284355","Catalog Record")</f>
        <v>Catalog Record</v>
      </c>
      <c r="AW1843" s="6" t="str">
        <f>HYPERLINK("http://www.worldcat.org/oclc/36284355","WorldCat Record")</f>
        <v>WorldCat Record</v>
      </c>
      <c r="AX1843" s="3" t="s">
        <v>18695</v>
      </c>
      <c r="AY1843" s="3" t="s">
        <v>18696</v>
      </c>
      <c r="AZ1843" s="3" t="s">
        <v>18697</v>
      </c>
      <c r="BA1843" s="3" t="s">
        <v>18697</v>
      </c>
      <c r="BB1843" s="3" t="s">
        <v>18698</v>
      </c>
      <c r="BC1843" s="3" t="s">
        <v>77</v>
      </c>
      <c r="BD1843" s="3" t="s">
        <v>78</v>
      </c>
      <c r="BE1843" s="3" t="s">
        <v>18699</v>
      </c>
      <c r="BF1843" s="3" t="s">
        <v>18698</v>
      </c>
      <c r="BG1843" s="3" t="s">
        <v>18700</v>
      </c>
      <c r="BH1843">
        <f t="shared" si="50"/>
        <v>0</v>
      </c>
    </row>
    <row r="1844" spans="1:60" ht="58" x14ac:dyDescent="0.35">
      <c r="A1844" s="2" t="s">
        <v>59</v>
      </c>
      <c r="B1844" s="2" t="s">
        <v>60</v>
      </c>
      <c r="C1844" s="2" t="s">
        <v>18701</v>
      </c>
      <c r="D1844" s="2" t="s">
        <v>18702</v>
      </c>
      <c r="E1844" s="2" t="s">
        <v>18703</v>
      </c>
      <c r="G1844" s="3" t="s">
        <v>64</v>
      </c>
      <c r="I1844" s="3" t="s">
        <v>64</v>
      </c>
      <c r="J1844" s="3" t="s">
        <v>64</v>
      </c>
      <c r="K1844" s="3" t="s">
        <v>65</v>
      </c>
      <c r="M1844" s="2" t="s">
        <v>18704</v>
      </c>
      <c r="N1844" s="3" t="s">
        <v>979</v>
      </c>
      <c r="P1844" s="3" t="s">
        <v>102</v>
      </c>
      <c r="R1844" s="3" t="s">
        <v>70</v>
      </c>
      <c r="S1844" s="4">
        <v>11</v>
      </c>
      <c r="T1844" s="4">
        <v>11</v>
      </c>
      <c r="U1844" s="5" t="s">
        <v>14431</v>
      </c>
      <c r="V1844" s="5" t="s">
        <v>14431</v>
      </c>
      <c r="W1844" s="5" t="s">
        <v>72</v>
      </c>
      <c r="X1844" s="5" t="s">
        <v>72</v>
      </c>
      <c r="Y1844" s="4">
        <v>863</v>
      </c>
      <c r="Z1844" s="4">
        <v>44</v>
      </c>
      <c r="AA1844" s="4">
        <v>47</v>
      </c>
      <c r="AB1844" s="4">
        <v>2</v>
      </c>
      <c r="AC1844" s="4">
        <v>5</v>
      </c>
      <c r="AD1844" s="4">
        <v>122</v>
      </c>
      <c r="AE1844" s="4">
        <v>126</v>
      </c>
      <c r="AF1844" s="4">
        <v>1</v>
      </c>
      <c r="AG1844" s="4">
        <v>4</v>
      </c>
      <c r="AH1844" s="4">
        <v>101</v>
      </c>
      <c r="AI1844" s="4">
        <v>103</v>
      </c>
      <c r="AJ1844" s="4">
        <v>17</v>
      </c>
      <c r="AK1844" s="4">
        <v>20</v>
      </c>
      <c r="AL1844" s="4">
        <v>51</v>
      </c>
      <c r="AM1844" s="4">
        <v>51</v>
      </c>
      <c r="AN1844" s="4">
        <v>0</v>
      </c>
      <c r="AO1844" s="4">
        <v>0</v>
      </c>
      <c r="AP1844" s="4">
        <v>29</v>
      </c>
      <c r="AQ1844" s="4">
        <v>31</v>
      </c>
      <c r="AR1844" s="3" t="s">
        <v>64</v>
      </c>
      <c r="AS1844" s="3" t="s">
        <v>64</v>
      </c>
      <c r="AT1844" s="3" t="s">
        <v>64</v>
      </c>
      <c r="AV1844" s="6" t="str">
        <f>HYPERLINK("http://mcgill.on.worldcat.org/oclc/43648589","Catalog Record")</f>
        <v>Catalog Record</v>
      </c>
      <c r="AW1844" s="6" t="str">
        <f>HYPERLINK("http://www.worldcat.org/oclc/43648589","WorldCat Record")</f>
        <v>WorldCat Record</v>
      </c>
      <c r="AX1844" s="3" t="s">
        <v>18705</v>
      </c>
      <c r="AY1844" s="3" t="s">
        <v>18706</v>
      </c>
      <c r="AZ1844" s="3" t="s">
        <v>18707</v>
      </c>
      <c r="BA1844" s="3" t="s">
        <v>18707</v>
      </c>
      <c r="BB1844" s="3" t="s">
        <v>18708</v>
      </c>
      <c r="BC1844" s="3" t="s">
        <v>77</v>
      </c>
      <c r="BD1844" s="3" t="s">
        <v>78</v>
      </c>
      <c r="BE1844" s="3" t="s">
        <v>18709</v>
      </c>
      <c r="BF1844" s="3" t="s">
        <v>18708</v>
      </c>
      <c r="BG1844" s="3" t="s">
        <v>18710</v>
      </c>
      <c r="BH1844">
        <f t="shared" si="50"/>
        <v>0</v>
      </c>
    </row>
    <row r="1845" spans="1:60" ht="58" x14ac:dyDescent="0.35">
      <c r="A1845" s="2" t="s">
        <v>59</v>
      </c>
      <c r="B1845" s="2" t="s">
        <v>60</v>
      </c>
      <c r="C1845" s="2" t="s">
        <v>18711</v>
      </c>
      <c r="D1845" s="2" t="s">
        <v>18712</v>
      </c>
      <c r="E1845" s="2" t="s">
        <v>18713</v>
      </c>
      <c r="G1845" s="3" t="s">
        <v>64</v>
      </c>
      <c r="I1845" s="3" t="s">
        <v>64</v>
      </c>
      <c r="J1845" s="3" t="s">
        <v>64</v>
      </c>
      <c r="K1845" s="3" t="s">
        <v>65</v>
      </c>
      <c r="M1845" s="2" t="s">
        <v>9037</v>
      </c>
      <c r="N1845" s="3" t="s">
        <v>1075</v>
      </c>
      <c r="P1845" s="3" t="s">
        <v>102</v>
      </c>
      <c r="R1845" s="3" t="s">
        <v>70</v>
      </c>
      <c r="S1845" s="4">
        <v>0</v>
      </c>
      <c r="T1845" s="4">
        <v>0</v>
      </c>
      <c r="W1845" s="5" t="s">
        <v>72</v>
      </c>
      <c r="X1845" s="5" t="s">
        <v>72</v>
      </c>
      <c r="Y1845" s="4">
        <v>173</v>
      </c>
      <c r="Z1845" s="4">
        <v>15</v>
      </c>
      <c r="AA1845" s="4">
        <v>83</v>
      </c>
      <c r="AB1845" s="4">
        <v>1</v>
      </c>
      <c r="AC1845" s="4">
        <v>16</v>
      </c>
      <c r="AD1845" s="4">
        <v>30</v>
      </c>
      <c r="AE1845" s="4">
        <v>97</v>
      </c>
      <c r="AF1845" s="4">
        <v>0</v>
      </c>
      <c r="AG1845" s="4">
        <v>8</v>
      </c>
      <c r="AH1845" s="4">
        <v>26</v>
      </c>
      <c r="AI1845" s="4">
        <v>63</v>
      </c>
      <c r="AJ1845" s="4">
        <v>9</v>
      </c>
      <c r="AK1845" s="4">
        <v>22</v>
      </c>
      <c r="AL1845" s="4">
        <v>16</v>
      </c>
      <c r="AM1845" s="4">
        <v>33</v>
      </c>
      <c r="AN1845" s="4">
        <v>0</v>
      </c>
      <c r="AO1845" s="4">
        <v>0</v>
      </c>
      <c r="AP1845" s="4">
        <v>10</v>
      </c>
      <c r="AQ1845" s="4">
        <v>43</v>
      </c>
      <c r="AR1845" s="3" t="s">
        <v>64</v>
      </c>
      <c r="AS1845" s="3" t="s">
        <v>64</v>
      </c>
      <c r="AT1845" s="3" t="s">
        <v>64</v>
      </c>
      <c r="AV1845" s="6" t="str">
        <f>HYPERLINK("http://mcgill.on.worldcat.org/oclc/806494829","Catalog Record")</f>
        <v>Catalog Record</v>
      </c>
      <c r="AW1845" s="6" t="str">
        <f>HYPERLINK("http://www.worldcat.org/oclc/806494829","WorldCat Record")</f>
        <v>WorldCat Record</v>
      </c>
      <c r="AX1845" s="3" t="s">
        <v>18714</v>
      </c>
      <c r="AY1845" s="3" t="s">
        <v>18715</v>
      </c>
      <c r="AZ1845" s="3" t="s">
        <v>18716</v>
      </c>
      <c r="BA1845" s="3" t="s">
        <v>18716</v>
      </c>
      <c r="BB1845" s="3" t="s">
        <v>18717</v>
      </c>
      <c r="BC1845" s="3" t="s">
        <v>77</v>
      </c>
      <c r="BD1845" s="3" t="s">
        <v>78</v>
      </c>
      <c r="BE1845" s="3" t="s">
        <v>18718</v>
      </c>
      <c r="BF1845" s="3" t="s">
        <v>18717</v>
      </c>
      <c r="BG1845" s="3" t="s">
        <v>18719</v>
      </c>
      <c r="BH1845">
        <f t="shared" si="50"/>
        <v>0</v>
      </c>
    </row>
    <row r="1846" spans="1:60" ht="58" x14ac:dyDescent="0.35">
      <c r="A1846" s="2" t="s">
        <v>59</v>
      </c>
      <c r="B1846" s="2" t="s">
        <v>60</v>
      </c>
      <c r="C1846" s="2" t="s">
        <v>18720</v>
      </c>
      <c r="D1846" s="2" t="s">
        <v>18721</v>
      </c>
      <c r="E1846" s="2" t="s">
        <v>18722</v>
      </c>
      <c r="G1846" s="3" t="s">
        <v>64</v>
      </c>
      <c r="I1846" s="3" t="s">
        <v>64</v>
      </c>
      <c r="J1846" s="3" t="s">
        <v>64</v>
      </c>
      <c r="K1846" s="3" t="s">
        <v>65</v>
      </c>
      <c r="M1846" s="2" t="s">
        <v>18723</v>
      </c>
      <c r="N1846" s="3" t="s">
        <v>1087</v>
      </c>
      <c r="P1846" s="3" t="s">
        <v>102</v>
      </c>
      <c r="R1846" s="3" t="s">
        <v>70</v>
      </c>
      <c r="S1846" s="4">
        <v>14</v>
      </c>
      <c r="T1846" s="4">
        <v>14</v>
      </c>
      <c r="U1846" s="5" t="s">
        <v>11674</v>
      </c>
      <c r="V1846" s="5" t="s">
        <v>11674</v>
      </c>
      <c r="W1846" s="5" t="s">
        <v>72</v>
      </c>
      <c r="X1846" s="5" t="s">
        <v>72</v>
      </c>
      <c r="Y1846" s="4">
        <v>312</v>
      </c>
      <c r="Z1846" s="4">
        <v>21</v>
      </c>
      <c r="AA1846" s="4">
        <v>46</v>
      </c>
      <c r="AB1846" s="4">
        <v>2</v>
      </c>
      <c r="AC1846" s="4">
        <v>10</v>
      </c>
      <c r="AD1846" s="4">
        <v>71</v>
      </c>
      <c r="AE1846" s="4">
        <v>105</v>
      </c>
      <c r="AF1846" s="4">
        <v>0</v>
      </c>
      <c r="AG1846" s="4">
        <v>7</v>
      </c>
      <c r="AH1846" s="4">
        <v>58</v>
      </c>
      <c r="AI1846" s="4">
        <v>78</v>
      </c>
      <c r="AJ1846" s="4">
        <v>13</v>
      </c>
      <c r="AK1846" s="4">
        <v>22</v>
      </c>
      <c r="AL1846" s="4">
        <v>31</v>
      </c>
      <c r="AM1846" s="4">
        <v>42</v>
      </c>
      <c r="AN1846" s="4">
        <v>0</v>
      </c>
      <c r="AO1846" s="4">
        <v>0</v>
      </c>
      <c r="AP1846" s="4">
        <v>17</v>
      </c>
      <c r="AQ1846" s="4">
        <v>32</v>
      </c>
      <c r="AR1846" s="3" t="s">
        <v>64</v>
      </c>
      <c r="AS1846" s="3" t="s">
        <v>64</v>
      </c>
      <c r="AT1846" s="3" t="s">
        <v>128</v>
      </c>
      <c r="AU1846" s="6" t="str">
        <f>HYPERLINK("http://catalog.hathitrust.org/Record/002548110","HathiTrust Record")</f>
        <v>HathiTrust Record</v>
      </c>
      <c r="AV1846" s="6" t="str">
        <f>HYPERLINK("http://mcgill.on.worldcat.org/oclc/22734364","Catalog Record")</f>
        <v>Catalog Record</v>
      </c>
      <c r="AW1846" s="6" t="str">
        <f>HYPERLINK("http://www.worldcat.org/oclc/22734364","WorldCat Record")</f>
        <v>WorldCat Record</v>
      </c>
      <c r="AX1846" s="3" t="s">
        <v>18724</v>
      </c>
      <c r="AY1846" s="3" t="s">
        <v>18725</v>
      </c>
      <c r="AZ1846" s="3" t="s">
        <v>18726</v>
      </c>
      <c r="BA1846" s="3" t="s">
        <v>18726</v>
      </c>
      <c r="BB1846" s="3" t="s">
        <v>18727</v>
      </c>
      <c r="BC1846" s="3" t="s">
        <v>77</v>
      </c>
      <c r="BD1846" s="3" t="s">
        <v>78</v>
      </c>
      <c r="BE1846" s="3" t="s">
        <v>18728</v>
      </c>
      <c r="BF1846" s="3" t="s">
        <v>18727</v>
      </c>
      <c r="BG1846" s="3" t="s">
        <v>18729</v>
      </c>
      <c r="BH1846">
        <f t="shared" si="50"/>
        <v>0</v>
      </c>
    </row>
    <row r="1847" spans="1:60" ht="58" x14ac:dyDescent="0.35">
      <c r="A1847" s="2" t="s">
        <v>59</v>
      </c>
      <c r="B1847" s="2" t="s">
        <v>60</v>
      </c>
      <c r="C1847" s="2" t="s">
        <v>18730</v>
      </c>
      <c r="D1847" s="2" t="s">
        <v>18731</v>
      </c>
      <c r="E1847" s="2" t="s">
        <v>18732</v>
      </c>
      <c r="G1847" s="3" t="s">
        <v>64</v>
      </c>
      <c r="I1847" s="3" t="s">
        <v>64</v>
      </c>
      <c r="J1847" s="3" t="s">
        <v>64</v>
      </c>
      <c r="K1847" s="3" t="s">
        <v>65</v>
      </c>
      <c r="M1847" s="2" t="s">
        <v>17565</v>
      </c>
      <c r="N1847" s="3" t="s">
        <v>86</v>
      </c>
      <c r="P1847" s="3" t="s">
        <v>102</v>
      </c>
      <c r="R1847" s="3" t="s">
        <v>70</v>
      </c>
      <c r="S1847" s="4">
        <v>9</v>
      </c>
      <c r="T1847" s="4">
        <v>9</v>
      </c>
      <c r="U1847" s="5" t="s">
        <v>18733</v>
      </c>
      <c r="V1847" s="5" t="s">
        <v>18733</v>
      </c>
      <c r="W1847" s="5" t="s">
        <v>72</v>
      </c>
      <c r="X1847" s="5" t="s">
        <v>72</v>
      </c>
      <c r="Y1847" s="4">
        <v>792</v>
      </c>
      <c r="Z1847" s="4">
        <v>30</v>
      </c>
      <c r="AA1847" s="4">
        <v>104</v>
      </c>
      <c r="AB1847" s="4">
        <v>1</v>
      </c>
      <c r="AC1847" s="4">
        <v>19</v>
      </c>
      <c r="AD1847" s="4">
        <v>93</v>
      </c>
      <c r="AE1847" s="4">
        <v>143</v>
      </c>
      <c r="AF1847" s="4">
        <v>0</v>
      </c>
      <c r="AG1847" s="4">
        <v>9</v>
      </c>
      <c r="AH1847" s="4">
        <v>81</v>
      </c>
      <c r="AI1847" s="4">
        <v>104</v>
      </c>
      <c r="AJ1847" s="4">
        <v>10</v>
      </c>
      <c r="AK1847" s="4">
        <v>23</v>
      </c>
      <c r="AL1847" s="4">
        <v>43</v>
      </c>
      <c r="AM1847" s="4">
        <v>54</v>
      </c>
      <c r="AN1847" s="4">
        <v>0</v>
      </c>
      <c r="AO1847" s="4">
        <v>0</v>
      </c>
      <c r="AP1847" s="4">
        <v>17</v>
      </c>
      <c r="AQ1847" s="4">
        <v>47</v>
      </c>
      <c r="AR1847" s="3" t="s">
        <v>64</v>
      </c>
      <c r="AS1847" s="3" t="s">
        <v>64</v>
      </c>
      <c r="AT1847" s="3" t="s">
        <v>64</v>
      </c>
      <c r="AV1847" s="6" t="str">
        <f>HYPERLINK("http://mcgill.on.worldcat.org/oclc/704391709","Catalog Record")</f>
        <v>Catalog Record</v>
      </c>
      <c r="AW1847" s="6" t="str">
        <f>HYPERLINK("http://www.worldcat.org/oclc/704391709","WorldCat Record")</f>
        <v>WorldCat Record</v>
      </c>
      <c r="AX1847" s="3" t="s">
        <v>18734</v>
      </c>
      <c r="AY1847" s="3" t="s">
        <v>18735</v>
      </c>
      <c r="AZ1847" s="3" t="s">
        <v>18736</v>
      </c>
      <c r="BA1847" s="3" t="s">
        <v>18736</v>
      </c>
      <c r="BB1847" s="3" t="s">
        <v>18737</v>
      </c>
      <c r="BC1847" s="3" t="s">
        <v>77</v>
      </c>
      <c r="BD1847" s="3" t="s">
        <v>78</v>
      </c>
      <c r="BE1847" s="3" t="s">
        <v>18738</v>
      </c>
      <c r="BF1847" s="3" t="s">
        <v>18737</v>
      </c>
      <c r="BG1847" s="3" t="s">
        <v>18739</v>
      </c>
      <c r="BH1847">
        <f t="shared" si="50"/>
        <v>0</v>
      </c>
    </row>
    <row r="1848" spans="1:60" ht="58" x14ac:dyDescent="0.35">
      <c r="A1848" s="2" t="s">
        <v>59</v>
      </c>
      <c r="B1848" s="2" t="s">
        <v>60</v>
      </c>
      <c r="C1848" s="2" t="s">
        <v>18740</v>
      </c>
      <c r="D1848" s="2" t="s">
        <v>18741</v>
      </c>
      <c r="E1848" s="2" t="s">
        <v>18742</v>
      </c>
      <c r="G1848" s="3" t="s">
        <v>64</v>
      </c>
      <c r="H1848" s="3" t="s">
        <v>183</v>
      </c>
      <c r="I1848" s="3" t="s">
        <v>64</v>
      </c>
      <c r="J1848" s="3" t="s">
        <v>64</v>
      </c>
      <c r="K1848" s="3" t="s">
        <v>65</v>
      </c>
      <c r="M1848" s="2" t="s">
        <v>16501</v>
      </c>
      <c r="N1848" s="3" t="s">
        <v>537</v>
      </c>
      <c r="P1848" s="3" t="s">
        <v>102</v>
      </c>
      <c r="R1848" s="3" t="s">
        <v>70</v>
      </c>
      <c r="S1848" s="4">
        <v>1</v>
      </c>
      <c r="T1848" s="4">
        <v>1</v>
      </c>
      <c r="W1848" s="5" t="s">
        <v>18743</v>
      </c>
      <c r="X1848" s="5" t="s">
        <v>18743</v>
      </c>
      <c r="Y1848" s="4">
        <v>300</v>
      </c>
      <c r="Z1848" s="4">
        <v>21</v>
      </c>
      <c r="AA1848" s="4">
        <v>68</v>
      </c>
      <c r="AB1848" s="4">
        <v>3</v>
      </c>
      <c r="AC1848" s="4">
        <v>8</v>
      </c>
      <c r="AD1848" s="4">
        <v>84</v>
      </c>
      <c r="AE1848" s="4">
        <v>116</v>
      </c>
      <c r="AF1848" s="4">
        <v>1</v>
      </c>
      <c r="AG1848" s="4">
        <v>3</v>
      </c>
      <c r="AH1848" s="4">
        <v>70</v>
      </c>
      <c r="AI1848" s="4">
        <v>87</v>
      </c>
      <c r="AJ1848" s="4">
        <v>13</v>
      </c>
      <c r="AK1848" s="4">
        <v>20</v>
      </c>
      <c r="AL1848" s="4">
        <v>39</v>
      </c>
      <c r="AM1848" s="4">
        <v>46</v>
      </c>
      <c r="AN1848" s="4">
        <v>0</v>
      </c>
      <c r="AO1848" s="4">
        <v>0</v>
      </c>
      <c r="AP1848" s="4">
        <v>17</v>
      </c>
      <c r="AQ1848" s="4">
        <v>33</v>
      </c>
      <c r="AR1848" s="3" t="s">
        <v>64</v>
      </c>
      <c r="AS1848" s="3" t="s">
        <v>64</v>
      </c>
      <c r="AT1848" s="3" t="s">
        <v>64</v>
      </c>
      <c r="AV1848" s="6" t="str">
        <f>HYPERLINK("http://mcgill.on.worldcat.org/oclc/948748352","Catalog Record")</f>
        <v>Catalog Record</v>
      </c>
      <c r="AW1848" s="6" t="str">
        <f>HYPERLINK("http://www.worldcat.org/oclc/948748352","WorldCat Record")</f>
        <v>WorldCat Record</v>
      </c>
      <c r="AX1848" s="3" t="s">
        <v>18744</v>
      </c>
      <c r="AY1848" s="3" t="s">
        <v>18745</v>
      </c>
      <c r="AZ1848" s="3" t="s">
        <v>18746</v>
      </c>
      <c r="BA1848" s="3" t="s">
        <v>18746</v>
      </c>
      <c r="BB1848" s="3" t="s">
        <v>18747</v>
      </c>
      <c r="BC1848" s="3" t="s">
        <v>77</v>
      </c>
      <c r="BD1848" s="3" t="s">
        <v>165</v>
      </c>
      <c r="BE1848" s="3" t="s">
        <v>18748</v>
      </c>
      <c r="BF1848" s="3" t="s">
        <v>18747</v>
      </c>
      <c r="BG1848" s="3" t="s">
        <v>18749</v>
      </c>
      <c r="BH1848">
        <f t="shared" si="50"/>
        <v>0</v>
      </c>
    </row>
    <row r="1849" spans="1:60" ht="58" x14ac:dyDescent="0.35">
      <c r="A1849" s="2" t="s">
        <v>59</v>
      </c>
      <c r="B1849" s="2" t="s">
        <v>60</v>
      </c>
      <c r="C1849" s="2" t="s">
        <v>18750</v>
      </c>
      <c r="D1849" s="2" t="s">
        <v>18751</v>
      </c>
      <c r="E1849" s="2" t="s">
        <v>18752</v>
      </c>
      <c r="G1849" s="3" t="s">
        <v>64</v>
      </c>
      <c r="I1849" s="3" t="s">
        <v>64</v>
      </c>
      <c r="J1849" s="3" t="s">
        <v>64</v>
      </c>
      <c r="K1849" s="3" t="s">
        <v>65</v>
      </c>
      <c r="M1849" s="2" t="s">
        <v>13931</v>
      </c>
      <c r="N1849" s="3" t="s">
        <v>144</v>
      </c>
      <c r="P1849" s="3" t="s">
        <v>102</v>
      </c>
      <c r="Q1849" s="2" t="s">
        <v>18566</v>
      </c>
      <c r="R1849" s="3" t="s">
        <v>70</v>
      </c>
      <c r="S1849" s="4">
        <v>5</v>
      </c>
      <c r="T1849" s="4">
        <v>5</v>
      </c>
      <c r="U1849" s="5" t="s">
        <v>1846</v>
      </c>
      <c r="V1849" s="5" t="s">
        <v>1846</v>
      </c>
      <c r="W1849" s="5" t="s">
        <v>72</v>
      </c>
      <c r="X1849" s="5" t="s">
        <v>72</v>
      </c>
      <c r="Y1849" s="4">
        <v>369</v>
      </c>
      <c r="Z1849" s="4">
        <v>29</v>
      </c>
      <c r="AA1849" s="4">
        <v>59</v>
      </c>
      <c r="AB1849" s="4">
        <v>3</v>
      </c>
      <c r="AC1849" s="4">
        <v>10</v>
      </c>
      <c r="AD1849" s="4">
        <v>80</v>
      </c>
      <c r="AE1849" s="4">
        <v>90</v>
      </c>
      <c r="AF1849" s="4">
        <v>1</v>
      </c>
      <c r="AG1849" s="4">
        <v>3</v>
      </c>
      <c r="AH1849" s="4">
        <v>63</v>
      </c>
      <c r="AI1849" s="4">
        <v>69</v>
      </c>
      <c r="AJ1849" s="4">
        <v>12</v>
      </c>
      <c r="AK1849" s="4">
        <v>13</v>
      </c>
      <c r="AL1849" s="4">
        <v>40</v>
      </c>
      <c r="AM1849" s="4">
        <v>42</v>
      </c>
      <c r="AN1849" s="4">
        <v>0</v>
      </c>
      <c r="AO1849" s="4">
        <v>0</v>
      </c>
      <c r="AP1849" s="4">
        <v>22</v>
      </c>
      <c r="AQ1849" s="4">
        <v>25</v>
      </c>
      <c r="AR1849" s="3" t="s">
        <v>64</v>
      </c>
      <c r="AS1849" s="3" t="s">
        <v>64</v>
      </c>
      <c r="AT1849" s="3" t="s">
        <v>64</v>
      </c>
      <c r="AV1849" s="6" t="str">
        <f>HYPERLINK("http://mcgill.on.worldcat.org/oclc/173659506","Catalog Record")</f>
        <v>Catalog Record</v>
      </c>
      <c r="AW1849" s="6" t="str">
        <f>HYPERLINK("http://www.worldcat.org/oclc/173659506","WorldCat Record")</f>
        <v>WorldCat Record</v>
      </c>
      <c r="AX1849" s="3" t="s">
        <v>18753</v>
      </c>
      <c r="AY1849" s="3" t="s">
        <v>18754</v>
      </c>
      <c r="AZ1849" s="3" t="s">
        <v>18755</v>
      </c>
      <c r="BA1849" s="3" t="s">
        <v>18755</v>
      </c>
      <c r="BB1849" s="3" t="s">
        <v>18756</v>
      </c>
      <c r="BC1849" s="3" t="s">
        <v>77</v>
      </c>
      <c r="BD1849" s="3" t="s">
        <v>78</v>
      </c>
      <c r="BE1849" s="3" t="s">
        <v>18757</v>
      </c>
      <c r="BF1849" s="3" t="s">
        <v>18756</v>
      </c>
      <c r="BG1849" s="3" t="s">
        <v>18758</v>
      </c>
      <c r="BH1849">
        <f t="shared" si="50"/>
        <v>0</v>
      </c>
    </row>
    <row r="1850" spans="1:60" ht="58" x14ac:dyDescent="0.35">
      <c r="A1850" s="2" t="s">
        <v>59</v>
      </c>
      <c r="B1850" s="2" t="s">
        <v>60</v>
      </c>
      <c r="C1850" s="2" t="s">
        <v>18759</v>
      </c>
      <c r="D1850" s="2" t="s">
        <v>18760</v>
      </c>
      <c r="E1850" s="2" t="s">
        <v>18761</v>
      </c>
      <c r="G1850" s="3" t="s">
        <v>64</v>
      </c>
      <c r="I1850" s="3" t="s">
        <v>64</v>
      </c>
      <c r="J1850" s="3" t="s">
        <v>64</v>
      </c>
      <c r="K1850" s="3" t="s">
        <v>65</v>
      </c>
      <c r="L1850" s="2" t="s">
        <v>18762</v>
      </c>
      <c r="M1850" s="2" t="s">
        <v>18763</v>
      </c>
      <c r="N1850" s="3" t="s">
        <v>456</v>
      </c>
      <c r="P1850" s="3" t="s">
        <v>68</v>
      </c>
      <c r="R1850" s="3" t="s">
        <v>70</v>
      </c>
      <c r="S1850" s="4">
        <v>1</v>
      </c>
      <c r="T1850" s="4">
        <v>1</v>
      </c>
      <c r="U1850" s="5" t="s">
        <v>18764</v>
      </c>
      <c r="V1850" s="5" t="s">
        <v>18764</v>
      </c>
      <c r="W1850" s="5" t="s">
        <v>72</v>
      </c>
      <c r="X1850" s="5" t="s">
        <v>72</v>
      </c>
      <c r="Y1850" s="4">
        <v>10</v>
      </c>
      <c r="Z1850" s="4">
        <v>2</v>
      </c>
      <c r="AA1850" s="4">
        <v>8</v>
      </c>
      <c r="AB1850" s="4">
        <v>1</v>
      </c>
      <c r="AC1850" s="4">
        <v>6</v>
      </c>
      <c r="AD1850" s="4">
        <v>8</v>
      </c>
      <c r="AE1850" s="4">
        <v>13</v>
      </c>
      <c r="AF1850" s="4">
        <v>0</v>
      </c>
      <c r="AG1850" s="4">
        <v>4</v>
      </c>
      <c r="AH1850" s="4">
        <v>8</v>
      </c>
      <c r="AI1850" s="4">
        <v>9</v>
      </c>
      <c r="AJ1850" s="4">
        <v>1</v>
      </c>
      <c r="AK1850" s="4">
        <v>6</v>
      </c>
      <c r="AL1850" s="4">
        <v>5</v>
      </c>
      <c r="AM1850" s="4">
        <v>5</v>
      </c>
      <c r="AN1850" s="4">
        <v>0</v>
      </c>
      <c r="AO1850" s="4">
        <v>0</v>
      </c>
      <c r="AP1850" s="4">
        <v>1</v>
      </c>
      <c r="AQ1850" s="4">
        <v>4</v>
      </c>
      <c r="AR1850" s="3" t="s">
        <v>128</v>
      </c>
      <c r="AS1850" s="3" t="s">
        <v>64</v>
      </c>
      <c r="AT1850" s="3" t="s">
        <v>64</v>
      </c>
      <c r="AV1850" s="6" t="str">
        <f>HYPERLINK("http://mcgill.on.worldcat.org/oclc/17758346","Catalog Record")</f>
        <v>Catalog Record</v>
      </c>
      <c r="AW1850" s="6" t="str">
        <f>HYPERLINK("http://www.worldcat.org/oclc/17758346","WorldCat Record")</f>
        <v>WorldCat Record</v>
      </c>
      <c r="AX1850" s="3" t="s">
        <v>18765</v>
      </c>
      <c r="AY1850" s="3" t="s">
        <v>18766</v>
      </c>
      <c r="AZ1850" s="3" t="s">
        <v>18767</v>
      </c>
      <c r="BA1850" s="3" t="s">
        <v>18767</v>
      </c>
      <c r="BB1850" s="3" t="s">
        <v>18768</v>
      </c>
      <c r="BC1850" s="3" t="s">
        <v>77</v>
      </c>
      <c r="BD1850" s="3" t="s">
        <v>78</v>
      </c>
      <c r="BF1850" s="3" t="s">
        <v>18768</v>
      </c>
      <c r="BG1850" s="3" t="s">
        <v>18769</v>
      </c>
      <c r="BH1850">
        <f t="shared" si="50"/>
        <v>0</v>
      </c>
    </row>
    <row r="1851" spans="1:60" ht="58" x14ac:dyDescent="0.35">
      <c r="A1851" s="2" t="s">
        <v>59</v>
      </c>
      <c r="B1851" s="2" t="s">
        <v>60</v>
      </c>
      <c r="C1851" s="2" t="s">
        <v>18770</v>
      </c>
      <c r="D1851" s="2" t="s">
        <v>18771</v>
      </c>
      <c r="E1851" s="2" t="s">
        <v>18772</v>
      </c>
      <c r="G1851" s="3" t="s">
        <v>64</v>
      </c>
      <c r="I1851" s="3" t="s">
        <v>64</v>
      </c>
      <c r="J1851" s="3" t="s">
        <v>64</v>
      </c>
      <c r="K1851" s="3" t="s">
        <v>65</v>
      </c>
      <c r="M1851" s="2" t="s">
        <v>18773</v>
      </c>
      <c r="N1851" s="3" t="s">
        <v>537</v>
      </c>
      <c r="O1851" s="2" t="s">
        <v>15733</v>
      </c>
      <c r="P1851" s="3" t="s">
        <v>102</v>
      </c>
      <c r="R1851" s="3" t="s">
        <v>70</v>
      </c>
      <c r="S1851" s="4">
        <v>3</v>
      </c>
      <c r="T1851" s="4">
        <v>3</v>
      </c>
      <c r="U1851" s="5" t="s">
        <v>18774</v>
      </c>
      <c r="V1851" s="5" t="s">
        <v>18774</v>
      </c>
      <c r="W1851" s="5" t="s">
        <v>72</v>
      </c>
      <c r="X1851" s="5" t="s">
        <v>72</v>
      </c>
      <c r="Y1851" s="4">
        <v>178</v>
      </c>
      <c r="Z1851" s="4">
        <v>8</v>
      </c>
      <c r="AA1851" s="4">
        <v>76</v>
      </c>
      <c r="AB1851" s="4">
        <v>3</v>
      </c>
      <c r="AC1851" s="4">
        <v>15</v>
      </c>
      <c r="AD1851" s="4">
        <v>54</v>
      </c>
      <c r="AE1851" s="4">
        <v>114</v>
      </c>
      <c r="AF1851" s="4">
        <v>1</v>
      </c>
      <c r="AG1851" s="4">
        <v>8</v>
      </c>
      <c r="AH1851" s="4">
        <v>52</v>
      </c>
      <c r="AI1851" s="4">
        <v>82</v>
      </c>
      <c r="AJ1851" s="4">
        <v>5</v>
      </c>
      <c r="AK1851" s="4">
        <v>19</v>
      </c>
      <c r="AL1851" s="4">
        <v>24</v>
      </c>
      <c r="AM1851" s="4">
        <v>43</v>
      </c>
      <c r="AN1851" s="4">
        <v>0</v>
      </c>
      <c r="AO1851" s="4">
        <v>0</v>
      </c>
      <c r="AP1851" s="4">
        <v>5</v>
      </c>
      <c r="AQ1851" s="4">
        <v>38</v>
      </c>
      <c r="AR1851" s="3" t="s">
        <v>64</v>
      </c>
      <c r="AS1851" s="3" t="s">
        <v>64</v>
      </c>
      <c r="AT1851" s="3" t="s">
        <v>64</v>
      </c>
      <c r="AV1851" s="6" t="str">
        <f>HYPERLINK("http://mcgill.on.worldcat.org/oclc/967966094","Catalog Record")</f>
        <v>Catalog Record</v>
      </c>
      <c r="AW1851" s="6" t="str">
        <f>HYPERLINK("http://www.worldcat.org/oclc/967966094","WorldCat Record")</f>
        <v>WorldCat Record</v>
      </c>
      <c r="AX1851" s="3" t="s">
        <v>18775</v>
      </c>
      <c r="AY1851" s="3" t="s">
        <v>18776</v>
      </c>
      <c r="AZ1851" s="3" t="s">
        <v>18777</v>
      </c>
      <c r="BA1851" s="3" t="s">
        <v>18777</v>
      </c>
      <c r="BB1851" s="3" t="s">
        <v>18778</v>
      </c>
      <c r="BC1851" s="3" t="s">
        <v>77</v>
      </c>
      <c r="BD1851" s="3" t="s">
        <v>165</v>
      </c>
      <c r="BE1851" s="3" t="s">
        <v>18779</v>
      </c>
      <c r="BF1851" s="3" t="s">
        <v>18778</v>
      </c>
      <c r="BG1851" s="3" t="s">
        <v>18780</v>
      </c>
      <c r="BH1851">
        <f t="shared" si="50"/>
        <v>0</v>
      </c>
    </row>
    <row r="1852" spans="1:60" ht="58" x14ac:dyDescent="0.35">
      <c r="A1852" s="2" t="s">
        <v>59</v>
      </c>
      <c r="B1852" s="2" t="s">
        <v>60</v>
      </c>
      <c r="C1852" s="2" t="s">
        <v>18781</v>
      </c>
      <c r="D1852" s="2" t="s">
        <v>18782</v>
      </c>
      <c r="E1852" s="2" t="s">
        <v>18783</v>
      </c>
      <c r="G1852" s="3" t="s">
        <v>64</v>
      </c>
      <c r="I1852" s="3" t="s">
        <v>64</v>
      </c>
      <c r="J1852" s="3" t="s">
        <v>64</v>
      </c>
      <c r="K1852" s="3" t="s">
        <v>65</v>
      </c>
      <c r="M1852" s="2" t="s">
        <v>18784</v>
      </c>
      <c r="N1852" s="3" t="s">
        <v>253</v>
      </c>
      <c r="P1852" s="3" t="s">
        <v>102</v>
      </c>
      <c r="R1852" s="3" t="s">
        <v>70</v>
      </c>
      <c r="S1852" s="4">
        <v>2</v>
      </c>
      <c r="T1852" s="4">
        <v>2</v>
      </c>
      <c r="U1852" s="5" t="s">
        <v>18785</v>
      </c>
      <c r="V1852" s="5" t="s">
        <v>18785</v>
      </c>
      <c r="W1852" s="5" t="s">
        <v>72</v>
      </c>
      <c r="X1852" s="5" t="s">
        <v>72</v>
      </c>
      <c r="Y1852" s="4">
        <v>170</v>
      </c>
      <c r="Z1852" s="4">
        <v>11</v>
      </c>
      <c r="AA1852" s="4">
        <v>17</v>
      </c>
      <c r="AB1852" s="4">
        <v>1</v>
      </c>
      <c r="AC1852" s="4">
        <v>5</v>
      </c>
      <c r="AD1852" s="4">
        <v>48</v>
      </c>
      <c r="AE1852" s="4">
        <v>54</v>
      </c>
      <c r="AF1852" s="4">
        <v>0</v>
      </c>
      <c r="AG1852" s="4">
        <v>1</v>
      </c>
      <c r="AH1852" s="4">
        <v>45</v>
      </c>
      <c r="AI1852" s="4">
        <v>49</v>
      </c>
      <c r="AJ1852" s="4">
        <v>8</v>
      </c>
      <c r="AK1852" s="4">
        <v>11</v>
      </c>
      <c r="AL1852" s="4">
        <v>25</v>
      </c>
      <c r="AM1852" s="4">
        <v>28</v>
      </c>
      <c r="AN1852" s="4">
        <v>0</v>
      </c>
      <c r="AO1852" s="4">
        <v>0</v>
      </c>
      <c r="AP1852" s="4">
        <v>8</v>
      </c>
      <c r="AQ1852" s="4">
        <v>10</v>
      </c>
      <c r="AR1852" s="3" t="s">
        <v>64</v>
      </c>
      <c r="AS1852" s="3" t="s">
        <v>64</v>
      </c>
      <c r="AT1852" s="3" t="s">
        <v>64</v>
      </c>
      <c r="AV1852" s="6" t="str">
        <f>HYPERLINK("http://mcgill.on.worldcat.org/oclc/911180182","Catalog Record")</f>
        <v>Catalog Record</v>
      </c>
      <c r="AW1852" s="6" t="str">
        <f>HYPERLINK("http://www.worldcat.org/oclc/911180182","WorldCat Record")</f>
        <v>WorldCat Record</v>
      </c>
      <c r="AX1852" s="3" t="s">
        <v>18786</v>
      </c>
      <c r="AY1852" s="3" t="s">
        <v>18787</v>
      </c>
      <c r="AZ1852" s="3" t="s">
        <v>18788</v>
      </c>
      <c r="BA1852" s="3" t="s">
        <v>18788</v>
      </c>
      <c r="BB1852" s="3" t="s">
        <v>18789</v>
      </c>
      <c r="BC1852" s="3" t="s">
        <v>77</v>
      </c>
      <c r="BD1852" s="3" t="s">
        <v>78</v>
      </c>
      <c r="BE1852" s="3" t="s">
        <v>18790</v>
      </c>
      <c r="BF1852" s="3" t="s">
        <v>18789</v>
      </c>
      <c r="BG1852" s="3" t="s">
        <v>18791</v>
      </c>
      <c r="BH1852">
        <f t="shared" si="50"/>
        <v>0</v>
      </c>
    </row>
    <row r="1853" spans="1:60" ht="58" x14ac:dyDescent="0.35">
      <c r="A1853" s="2" t="s">
        <v>59</v>
      </c>
      <c r="B1853" s="2" t="s">
        <v>60</v>
      </c>
      <c r="C1853" s="2" t="s">
        <v>18792</v>
      </c>
      <c r="D1853" s="2" t="s">
        <v>18793</v>
      </c>
      <c r="E1853" s="2" t="s">
        <v>18794</v>
      </c>
      <c r="G1853" s="3" t="s">
        <v>64</v>
      </c>
      <c r="I1853" s="3" t="s">
        <v>64</v>
      </c>
      <c r="J1853" s="3" t="s">
        <v>64</v>
      </c>
      <c r="K1853" s="3" t="s">
        <v>65</v>
      </c>
      <c r="M1853" s="2" t="s">
        <v>18795</v>
      </c>
      <c r="N1853" s="3" t="s">
        <v>537</v>
      </c>
      <c r="P1853" s="3" t="s">
        <v>102</v>
      </c>
      <c r="R1853" s="3" t="s">
        <v>70</v>
      </c>
      <c r="S1853" s="4">
        <v>4</v>
      </c>
      <c r="T1853" s="4">
        <v>4</v>
      </c>
      <c r="U1853" s="5" t="s">
        <v>16412</v>
      </c>
      <c r="V1853" s="5" t="s">
        <v>16412</v>
      </c>
      <c r="W1853" s="5" t="s">
        <v>72</v>
      </c>
      <c r="X1853" s="5" t="s">
        <v>72</v>
      </c>
      <c r="Y1853" s="4">
        <v>121</v>
      </c>
      <c r="Z1853" s="4">
        <v>10</v>
      </c>
      <c r="AA1853" s="4">
        <v>16</v>
      </c>
      <c r="AB1853" s="4">
        <v>1</v>
      </c>
      <c r="AC1853" s="4">
        <v>3</v>
      </c>
      <c r="AD1853" s="4">
        <v>36</v>
      </c>
      <c r="AE1853" s="4">
        <v>44</v>
      </c>
      <c r="AF1853" s="4">
        <v>0</v>
      </c>
      <c r="AG1853" s="4">
        <v>1</v>
      </c>
      <c r="AH1853" s="4">
        <v>34</v>
      </c>
      <c r="AI1853" s="4">
        <v>39</v>
      </c>
      <c r="AJ1853" s="4">
        <v>7</v>
      </c>
      <c r="AK1853" s="4">
        <v>11</v>
      </c>
      <c r="AL1853" s="4">
        <v>16</v>
      </c>
      <c r="AM1853" s="4">
        <v>19</v>
      </c>
      <c r="AN1853" s="4">
        <v>0</v>
      </c>
      <c r="AO1853" s="4">
        <v>0</v>
      </c>
      <c r="AP1853" s="4">
        <v>8</v>
      </c>
      <c r="AQ1853" s="4">
        <v>12</v>
      </c>
      <c r="AR1853" s="3" t="s">
        <v>64</v>
      </c>
      <c r="AS1853" s="3" t="s">
        <v>64</v>
      </c>
      <c r="AT1853" s="3" t="s">
        <v>64</v>
      </c>
      <c r="AV1853" s="6" t="str">
        <f>HYPERLINK("http://mcgill.on.worldcat.org/oclc/944463295","Catalog Record")</f>
        <v>Catalog Record</v>
      </c>
      <c r="AW1853" s="6" t="str">
        <f>HYPERLINK("http://www.worldcat.org/oclc/944463295","WorldCat Record")</f>
        <v>WorldCat Record</v>
      </c>
      <c r="AX1853" s="3" t="s">
        <v>18796</v>
      </c>
      <c r="AY1853" s="3" t="s">
        <v>18797</v>
      </c>
      <c r="AZ1853" s="3" t="s">
        <v>18798</v>
      </c>
      <c r="BA1853" s="3" t="s">
        <v>18798</v>
      </c>
      <c r="BB1853" s="3" t="s">
        <v>18799</v>
      </c>
      <c r="BC1853" s="3" t="s">
        <v>77</v>
      </c>
      <c r="BD1853" s="3" t="s">
        <v>78</v>
      </c>
      <c r="BE1853" s="3" t="s">
        <v>18800</v>
      </c>
      <c r="BF1853" s="3" t="s">
        <v>18799</v>
      </c>
      <c r="BG1853" s="3" t="s">
        <v>18801</v>
      </c>
      <c r="BH1853">
        <f t="shared" si="50"/>
        <v>0</v>
      </c>
    </row>
    <row r="1854" spans="1:60" ht="58" x14ac:dyDescent="0.35">
      <c r="A1854" s="2" t="s">
        <v>59</v>
      </c>
      <c r="B1854" s="2" t="s">
        <v>60</v>
      </c>
      <c r="C1854" s="2" t="s">
        <v>18802</v>
      </c>
      <c r="D1854" s="2" t="s">
        <v>18803</v>
      </c>
      <c r="E1854" s="2" t="s">
        <v>18804</v>
      </c>
      <c r="G1854" s="3" t="s">
        <v>64</v>
      </c>
      <c r="I1854" s="3" t="s">
        <v>64</v>
      </c>
      <c r="J1854" s="3" t="s">
        <v>64</v>
      </c>
      <c r="K1854" s="3" t="s">
        <v>65</v>
      </c>
      <c r="M1854" s="2" t="s">
        <v>15788</v>
      </c>
      <c r="N1854" s="3" t="s">
        <v>67</v>
      </c>
      <c r="P1854" s="3" t="s">
        <v>102</v>
      </c>
      <c r="Q1854" s="2" t="s">
        <v>18805</v>
      </c>
      <c r="R1854" s="3" t="s">
        <v>70</v>
      </c>
      <c r="S1854" s="4">
        <v>5</v>
      </c>
      <c r="T1854" s="4">
        <v>5</v>
      </c>
      <c r="U1854" s="5" t="s">
        <v>18806</v>
      </c>
      <c r="V1854" s="5" t="s">
        <v>18806</v>
      </c>
      <c r="W1854" s="5" t="s">
        <v>72</v>
      </c>
      <c r="X1854" s="5" t="s">
        <v>72</v>
      </c>
      <c r="Y1854" s="4">
        <v>468</v>
      </c>
      <c r="Z1854" s="4">
        <v>29</v>
      </c>
      <c r="AA1854" s="4">
        <v>33</v>
      </c>
      <c r="AB1854" s="4">
        <v>2</v>
      </c>
      <c r="AC1854" s="4">
        <v>6</v>
      </c>
      <c r="AD1854" s="4">
        <v>79</v>
      </c>
      <c r="AE1854" s="4">
        <v>81</v>
      </c>
      <c r="AF1854" s="4">
        <v>1</v>
      </c>
      <c r="AG1854" s="4">
        <v>3</v>
      </c>
      <c r="AH1854" s="4">
        <v>68</v>
      </c>
      <c r="AI1854" s="4">
        <v>68</v>
      </c>
      <c r="AJ1854" s="4">
        <v>13</v>
      </c>
      <c r="AK1854" s="4">
        <v>15</v>
      </c>
      <c r="AL1854" s="4">
        <v>35</v>
      </c>
      <c r="AM1854" s="4">
        <v>35</v>
      </c>
      <c r="AN1854" s="4">
        <v>0</v>
      </c>
      <c r="AO1854" s="4">
        <v>0</v>
      </c>
      <c r="AP1854" s="4">
        <v>18</v>
      </c>
      <c r="AQ1854" s="4">
        <v>19</v>
      </c>
      <c r="AR1854" s="3" t="s">
        <v>64</v>
      </c>
      <c r="AS1854" s="3" t="s">
        <v>64</v>
      </c>
      <c r="AT1854" s="3" t="s">
        <v>64</v>
      </c>
      <c r="AV1854" s="6" t="str">
        <f>HYPERLINK("http://mcgill.on.worldcat.org/oclc/878953766","Catalog Record")</f>
        <v>Catalog Record</v>
      </c>
      <c r="AW1854" s="6" t="str">
        <f>HYPERLINK("http://www.worldcat.org/oclc/878953766","WorldCat Record")</f>
        <v>WorldCat Record</v>
      </c>
      <c r="AX1854" s="3" t="s">
        <v>18807</v>
      </c>
      <c r="AY1854" s="3" t="s">
        <v>18808</v>
      </c>
      <c r="AZ1854" s="3" t="s">
        <v>18809</v>
      </c>
      <c r="BA1854" s="3" t="s">
        <v>18809</v>
      </c>
      <c r="BB1854" s="3" t="s">
        <v>18810</v>
      </c>
      <c r="BC1854" s="3" t="s">
        <v>77</v>
      </c>
      <c r="BD1854" s="3" t="s">
        <v>78</v>
      </c>
      <c r="BE1854" s="3" t="s">
        <v>18811</v>
      </c>
      <c r="BF1854" s="3" t="s">
        <v>18810</v>
      </c>
      <c r="BG1854" s="3" t="s">
        <v>18812</v>
      </c>
      <c r="BH1854">
        <f t="shared" si="50"/>
        <v>0</v>
      </c>
    </row>
    <row r="1855" spans="1:60" ht="58" x14ac:dyDescent="0.35">
      <c r="A1855" s="2" t="s">
        <v>59</v>
      </c>
      <c r="B1855" s="2" t="s">
        <v>60</v>
      </c>
      <c r="C1855" s="2" t="s">
        <v>18813</v>
      </c>
      <c r="D1855" s="2" t="s">
        <v>18814</v>
      </c>
      <c r="E1855" s="2" t="s">
        <v>18815</v>
      </c>
      <c r="G1855" s="3" t="s">
        <v>64</v>
      </c>
      <c r="I1855" s="3" t="s">
        <v>64</v>
      </c>
      <c r="J1855" s="3" t="s">
        <v>64</v>
      </c>
      <c r="K1855" s="3" t="s">
        <v>65</v>
      </c>
      <c r="M1855" s="2" t="s">
        <v>18816</v>
      </c>
      <c r="N1855" s="3" t="s">
        <v>326</v>
      </c>
      <c r="P1855" s="3" t="s">
        <v>102</v>
      </c>
      <c r="R1855" s="3" t="s">
        <v>70</v>
      </c>
      <c r="S1855" s="4">
        <v>4</v>
      </c>
      <c r="T1855" s="4">
        <v>4</v>
      </c>
      <c r="U1855" s="5" t="s">
        <v>16052</v>
      </c>
      <c r="V1855" s="5" t="s">
        <v>16052</v>
      </c>
      <c r="W1855" s="5" t="s">
        <v>72</v>
      </c>
      <c r="X1855" s="5" t="s">
        <v>72</v>
      </c>
      <c r="Y1855" s="4">
        <v>895</v>
      </c>
      <c r="Z1855" s="4">
        <v>45</v>
      </c>
      <c r="AA1855" s="4">
        <v>55</v>
      </c>
      <c r="AB1855" s="4">
        <v>5</v>
      </c>
      <c r="AC1855" s="4">
        <v>14</v>
      </c>
      <c r="AD1855" s="4">
        <v>118</v>
      </c>
      <c r="AE1855" s="4">
        <v>127</v>
      </c>
      <c r="AF1855" s="4">
        <v>2</v>
      </c>
      <c r="AG1855" s="4">
        <v>7</v>
      </c>
      <c r="AH1855" s="4">
        <v>98</v>
      </c>
      <c r="AI1855" s="4">
        <v>102</v>
      </c>
      <c r="AJ1855" s="4">
        <v>20</v>
      </c>
      <c r="AK1855" s="4">
        <v>23</v>
      </c>
      <c r="AL1855" s="4">
        <v>55</v>
      </c>
      <c r="AM1855" s="4">
        <v>56</v>
      </c>
      <c r="AN1855" s="4">
        <v>0</v>
      </c>
      <c r="AO1855" s="4">
        <v>0</v>
      </c>
      <c r="AP1855" s="4">
        <v>27</v>
      </c>
      <c r="AQ1855" s="4">
        <v>32</v>
      </c>
      <c r="AR1855" s="3" t="s">
        <v>64</v>
      </c>
      <c r="AS1855" s="3" t="s">
        <v>64</v>
      </c>
      <c r="AT1855" s="3" t="s">
        <v>64</v>
      </c>
      <c r="AV1855" s="6" t="str">
        <f>HYPERLINK("http://mcgill.on.worldcat.org/oclc/720259010","Catalog Record")</f>
        <v>Catalog Record</v>
      </c>
      <c r="AW1855" s="6" t="str">
        <f>HYPERLINK("http://www.worldcat.org/oclc/720259010","WorldCat Record")</f>
        <v>WorldCat Record</v>
      </c>
      <c r="AX1855" s="3" t="s">
        <v>18817</v>
      </c>
      <c r="AY1855" s="3" t="s">
        <v>18818</v>
      </c>
      <c r="AZ1855" s="3" t="s">
        <v>18819</v>
      </c>
      <c r="BA1855" s="3" t="s">
        <v>18819</v>
      </c>
      <c r="BB1855" s="3" t="s">
        <v>18820</v>
      </c>
      <c r="BC1855" s="3" t="s">
        <v>77</v>
      </c>
      <c r="BD1855" s="3" t="s">
        <v>78</v>
      </c>
      <c r="BE1855" s="3" t="s">
        <v>18821</v>
      </c>
      <c r="BF1855" s="3" t="s">
        <v>18820</v>
      </c>
      <c r="BG1855" s="3" t="s">
        <v>18822</v>
      </c>
      <c r="BH1855">
        <f t="shared" si="50"/>
        <v>0</v>
      </c>
    </row>
    <row r="1856" spans="1:60" ht="58" x14ac:dyDescent="0.35">
      <c r="A1856" s="2" t="s">
        <v>59</v>
      </c>
      <c r="B1856" s="2" t="s">
        <v>60</v>
      </c>
      <c r="C1856" s="2" t="s">
        <v>18823</v>
      </c>
      <c r="D1856" s="2" t="s">
        <v>18824</v>
      </c>
      <c r="E1856" s="2" t="s">
        <v>18825</v>
      </c>
      <c r="G1856" s="3" t="s">
        <v>64</v>
      </c>
      <c r="I1856" s="3" t="s">
        <v>64</v>
      </c>
      <c r="J1856" s="3" t="s">
        <v>64</v>
      </c>
      <c r="K1856" s="3" t="s">
        <v>65</v>
      </c>
      <c r="M1856" s="2" t="s">
        <v>14097</v>
      </c>
      <c r="N1856" s="3" t="s">
        <v>1075</v>
      </c>
      <c r="P1856" s="3" t="s">
        <v>102</v>
      </c>
      <c r="R1856" s="3" t="s">
        <v>70</v>
      </c>
      <c r="S1856" s="4">
        <v>2</v>
      </c>
      <c r="T1856" s="4">
        <v>2</v>
      </c>
      <c r="U1856" s="5" t="s">
        <v>18826</v>
      </c>
      <c r="V1856" s="5" t="s">
        <v>18826</v>
      </c>
      <c r="W1856" s="5" t="s">
        <v>72</v>
      </c>
      <c r="X1856" s="5" t="s">
        <v>72</v>
      </c>
      <c r="Y1856" s="4">
        <v>316</v>
      </c>
      <c r="Z1856" s="4">
        <v>14</v>
      </c>
      <c r="AA1856" s="4">
        <v>53</v>
      </c>
      <c r="AB1856" s="4">
        <v>1</v>
      </c>
      <c r="AC1856" s="4">
        <v>5</v>
      </c>
      <c r="AD1856" s="4">
        <v>62</v>
      </c>
      <c r="AE1856" s="4">
        <v>84</v>
      </c>
      <c r="AF1856" s="4">
        <v>0</v>
      </c>
      <c r="AG1856" s="4">
        <v>2</v>
      </c>
      <c r="AH1856" s="4">
        <v>55</v>
      </c>
      <c r="AI1856" s="4">
        <v>66</v>
      </c>
      <c r="AJ1856" s="4">
        <v>7</v>
      </c>
      <c r="AK1856" s="4">
        <v>12</v>
      </c>
      <c r="AL1856" s="4">
        <v>30</v>
      </c>
      <c r="AM1856" s="4">
        <v>36</v>
      </c>
      <c r="AN1856" s="4">
        <v>0</v>
      </c>
      <c r="AO1856" s="4">
        <v>0</v>
      </c>
      <c r="AP1856" s="4">
        <v>12</v>
      </c>
      <c r="AQ1856" s="4">
        <v>21</v>
      </c>
      <c r="AR1856" s="3" t="s">
        <v>64</v>
      </c>
      <c r="AS1856" s="3" t="s">
        <v>64</v>
      </c>
      <c r="AT1856" s="3" t="s">
        <v>64</v>
      </c>
      <c r="AV1856" s="6" t="str">
        <f>HYPERLINK("http://mcgill.on.worldcat.org/oclc/842881063","Catalog Record")</f>
        <v>Catalog Record</v>
      </c>
      <c r="AW1856" s="6" t="str">
        <f>HYPERLINK("http://www.worldcat.org/oclc/842881063","WorldCat Record")</f>
        <v>WorldCat Record</v>
      </c>
      <c r="AX1856" s="3" t="s">
        <v>18827</v>
      </c>
      <c r="AY1856" s="3" t="s">
        <v>18828</v>
      </c>
      <c r="AZ1856" s="3" t="s">
        <v>18829</v>
      </c>
      <c r="BA1856" s="3" t="s">
        <v>18829</v>
      </c>
      <c r="BB1856" s="3" t="s">
        <v>18830</v>
      </c>
      <c r="BC1856" s="3" t="s">
        <v>77</v>
      </c>
      <c r="BD1856" s="3" t="s">
        <v>78</v>
      </c>
      <c r="BE1856" s="3" t="s">
        <v>18831</v>
      </c>
      <c r="BF1856" s="3" t="s">
        <v>18830</v>
      </c>
      <c r="BG1856" s="3" t="s">
        <v>18832</v>
      </c>
      <c r="BH1856">
        <f t="shared" si="50"/>
        <v>0</v>
      </c>
    </row>
    <row r="1857" spans="1:60" ht="58" x14ac:dyDescent="0.35">
      <c r="A1857" s="2" t="s">
        <v>59</v>
      </c>
      <c r="B1857" s="2" t="s">
        <v>60</v>
      </c>
      <c r="C1857" s="2" t="s">
        <v>18833</v>
      </c>
      <c r="D1857" s="2" t="s">
        <v>18834</v>
      </c>
      <c r="E1857" s="2" t="s">
        <v>18835</v>
      </c>
      <c r="G1857" s="3" t="s">
        <v>64</v>
      </c>
      <c r="I1857" s="3" t="s">
        <v>64</v>
      </c>
      <c r="J1857" s="3" t="s">
        <v>64</v>
      </c>
      <c r="K1857" s="3" t="s">
        <v>65</v>
      </c>
      <c r="M1857" s="2" t="s">
        <v>16336</v>
      </c>
      <c r="N1857" s="3" t="s">
        <v>511</v>
      </c>
      <c r="P1857" s="3" t="s">
        <v>102</v>
      </c>
      <c r="R1857" s="3" t="s">
        <v>70</v>
      </c>
      <c r="S1857" s="4">
        <v>12</v>
      </c>
      <c r="T1857" s="4">
        <v>12</v>
      </c>
      <c r="U1857" s="5" t="s">
        <v>18836</v>
      </c>
      <c r="V1857" s="5" t="s">
        <v>18836</v>
      </c>
      <c r="W1857" s="5" t="s">
        <v>72</v>
      </c>
      <c r="X1857" s="5" t="s">
        <v>72</v>
      </c>
      <c r="Y1857" s="4">
        <v>615</v>
      </c>
      <c r="Z1857" s="4">
        <v>37</v>
      </c>
      <c r="AA1857" s="4">
        <v>43</v>
      </c>
      <c r="AB1857" s="4">
        <v>3</v>
      </c>
      <c r="AC1857" s="4">
        <v>8</v>
      </c>
      <c r="AD1857" s="4">
        <v>115</v>
      </c>
      <c r="AE1857" s="4">
        <v>121</v>
      </c>
      <c r="AF1857" s="4">
        <v>2</v>
      </c>
      <c r="AG1857" s="4">
        <v>5</v>
      </c>
      <c r="AH1857" s="4">
        <v>93</v>
      </c>
      <c r="AI1857" s="4">
        <v>95</v>
      </c>
      <c r="AJ1857" s="4">
        <v>22</v>
      </c>
      <c r="AK1857" s="4">
        <v>25</v>
      </c>
      <c r="AL1857" s="4">
        <v>51</v>
      </c>
      <c r="AM1857" s="4">
        <v>52</v>
      </c>
      <c r="AN1857" s="4">
        <v>0</v>
      </c>
      <c r="AO1857" s="4">
        <v>0</v>
      </c>
      <c r="AP1857" s="4">
        <v>31</v>
      </c>
      <c r="AQ1857" s="4">
        <v>34</v>
      </c>
      <c r="AR1857" s="3" t="s">
        <v>64</v>
      </c>
      <c r="AS1857" s="3" t="s">
        <v>64</v>
      </c>
      <c r="AT1857" s="3" t="s">
        <v>64</v>
      </c>
      <c r="AV1857" s="6" t="str">
        <f>HYPERLINK("http://mcgill.on.worldcat.org/oclc/660087677","Catalog Record")</f>
        <v>Catalog Record</v>
      </c>
      <c r="AW1857" s="6" t="str">
        <f>HYPERLINK("http://www.worldcat.org/oclc/660087677","WorldCat Record")</f>
        <v>WorldCat Record</v>
      </c>
      <c r="AX1857" s="3" t="s">
        <v>18837</v>
      </c>
      <c r="AY1857" s="3" t="s">
        <v>18838</v>
      </c>
      <c r="AZ1857" s="3" t="s">
        <v>18839</v>
      </c>
      <c r="BA1857" s="3" t="s">
        <v>18839</v>
      </c>
      <c r="BB1857" s="3" t="s">
        <v>18840</v>
      </c>
      <c r="BC1857" s="3" t="s">
        <v>77</v>
      </c>
      <c r="BD1857" s="3" t="s">
        <v>165</v>
      </c>
      <c r="BE1857" s="3" t="s">
        <v>18841</v>
      </c>
      <c r="BF1857" s="3" t="s">
        <v>18840</v>
      </c>
      <c r="BG1857" s="3" t="s">
        <v>18842</v>
      </c>
      <c r="BH1857">
        <f t="shared" si="50"/>
        <v>0</v>
      </c>
    </row>
    <row r="1858" spans="1:60" ht="58" x14ac:dyDescent="0.35">
      <c r="A1858" s="2" t="s">
        <v>59</v>
      </c>
      <c r="B1858" s="2" t="s">
        <v>60</v>
      </c>
      <c r="C1858" s="2" t="s">
        <v>18843</v>
      </c>
      <c r="D1858" s="2" t="s">
        <v>18844</v>
      </c>
      <c r="E1858" s="2" t="s">
        <v>18845</v>
      </c>
      <c r="G1858" s="3" t="s">
        <v>64</v>
      </c>
      <c r="I1858" s="3" t="s">
        <v>64</v>
      </c>
      <c r="J1858" s="3" t="s">
        <v>64</v>
      </c>
      <c r="K1858" s="3" t="s">
        <v>65</v>
      </c>
      <c r="L1858" s="2" t="s">
        <v>18846</v>
      </c>
      <c r="M1858" s="2" t="s">
        <v>18847</v>
      </c>
      <c r="N1858" s="3" t="s">
        <v>86</v>
      </c>
      <c r="P1858" s="3" t="s">
        <v>102</v>
      </c>
      <c r="R1858" s="3" t="s">
        <v>70</v>
      </c>
      <c r="S1858" s="4">
        <v>2</v>
      </c>
      <c r="T1858" s="4">
        <v>2</v>
      </c>
      <c r="U1858" s="5" t="s">
        <v>18848</v>
      </c>
      <c r="V1858" s="5" t="s">
        <v>18848</v>
      </c>
      <c r="W1858" s="5" t="s">
        <v>72</v>
      </c>
      <c r="X1858" s="5" t="s">
        <v>72</v>
      </c>
      <c r="Y1858" s="4">
        <v>101</v>
      </c>
      <c r="Z1858" s="4">
        <v>9</v>
      </c>
      <c r="AA1858" s="4">
        <v>18</v>
      </c>
      <c r="AB1858" s="4">
        <v>2</v>
      </c>
      <c r="AC1858" s="4">
        <v>6</v>
      </c>
      <c r="AD1858" s="4">
        <v>24</v>
      </c>
      <c r="AE1858" s="4">
        <v>36</v>
      </c>
      <c r="AF1858" s="4">
        <v>1</v>
      </c>
      <c r="AG1858" s="4">
        <v>2</v>
      </c>
      <c r="AH1858" s="4">
        <v>19</v>
      </c>
      <c r="AI1858" s="4">
        <v>28</v>
      </c>
      <c r="AJ1858" s="4">
        <v>6</v>
      </c>
      <c r="AK1858" s="4">
        <v>9</v>
      </c>
      <c r="AL1858" s="4">
        <v>11</v>
      </c>
      <c r="AM1858" s="4">
        <v>14</v>
      </c>
      <c r="AN1858" s="4">
        <v>0</v>
      </c>
      <c r="AO1858" s="4">
        <v>0</v>
      </c>
      <c r="AP1858" s="4">
        <v>7</v>
      </c>
      <c r="AQ1858" s="4">
        <v>10</v>
      </c>
      <c r="AR1858" s="3" t="s">
        <v>64</v>
      </c>
      <c r="AS1858" s="3" t="s">
        <v>64</v>
      </c>
      <c r="AT1858" s="3" t="s">
        <v>64</v>
      </c>
      <c r="AV1858" s="6" t="str">
        <f>HYPERLINK("http://mcgill.on.worldcat.org/oclc/768335620","Catalog Record")</f>
        <v>Catalog Record</v>
      </c>
      <c r="AW1858" s="6" t="str">
        <f>HYPERLINK("http://www.worldcat.org/oclc/768335620","WorldCat Record")</f>
        <v>WorldCat Record</v>
      </c>
      <c r="AX1858" s="3" t="s">
        <v>18849</v>
      </c>
      <c r="AY1858" s="3" t="s">
        <v>18850</v>
      </c>
      <c r="AZ1858" s="3" t="s">
        <v>18851</v>
      </c>
      <c r="BA1858" s="3" t="s">
        <v>18851</v>
      </c>
      <c r="BB1858" s="3" t="s">
        <v>18852</v>
      </c>
      <c r="BC1858" s="3" t="s">
        <v>77</v>
      </c>
      <c r="BD1858" s="3" t="s">
        <v>78</v>
      </c>
      <c r="BE1858" s="3" t="s">
        <v>18853</v>
      </c>
      <c r="BF1858" s="3" t="s">
        <v>18852</v>
      </c>
      <c r="BG1858" s="3" t="s">
        <v>18854</v>
      </c>
      <c r="BH1858">
        <f t="shared" ref="BH1858:BH1921" si="51">IF(COUNTIF($BF$1:$BF$5431,BF1858)=1,0,1)</f>
        <v>0</v>
      </c>
    </row>
    <row r="1859" spans="1:60" ht="58" x14ac:dyDescent="0.35">
      <c r="A1859" s="2" t="s">
        <v>59</v>
      </c>
      <c r="B1859" s="2" t="s">
        <v>60</v>
      </c>
      <c r="C1859" s="2" t="s">
        <v>18855</v>
      </c>
      <c r="D1859" s="2" t="s">
        <v>18856</v>
      </c>
      <c r="E1859" s="2" t="s">
        <v>18857</v>
      </c>
      <c r="G1859" s="3" t="s">
        <v>64</v>
      </c>
      <c r="I1859" s="3" t="s">
        <v>64</v>
      </c>
      <c r="J1859" s="3" t="s">
        <v>64</v>
      </c>
      <c r="K1859" s="3" t="s">
        <v>65</v>
      </c>
      <c r="L1859" s="2" t="s">
        <v>18858</v>
      </c>
      <c r="M1859" s="2" t="s">
        <v>18859</v>
      </c>
      <c r="N1859" s="3" t="s">
        <v>291</v>
      </c>
      <c r="P1859" s="3" t="s">
        <v>102</v>
      </c>
      <c r="Q1859" s="2" t="s">
        <v>17566</v>
      </c>
      <c r="R1859" s="3" t="s">
        <v>70</v>
      </c>
      <c r="S1859" s="4">
        <v>6</v>
      </c>
      <c r="T1859" s="4">
        <v>6</v>
      </c>
      <c r="U1859" s="5" t="s">
        <v>1846</v>
      </c>
      <c r="V1859" s="5" t="s">
        <v>1846</v>
      </c>
      <c r="W1859" s="5" t="s">
        <v>72</v>
      </c>
      <c r="X1859" s="5" t="s">
        <v>72</v>
      </c>
      <c r="Y1859" s="4">
        <v>1017</v>
      </c>
      <c r="Z1859" s="4">
        <v>52</v>
      </c>
      <c r="AA1859" s="4">
        <v>117</v>
      </c>
      <c r="AB1859" s="4">
        <v>3</v>
      </c>
      <c r="AC1859" s="4">
        <v>19</v>
      </c>
      <c r="AD1859" s="4">
        <v>125</v>
      </c>
      <c r="AE1859" s="4">
        <v>155</v>
      </c>
      <c r="AF1859" s="4">
        <v>1</v>
      </c>
      <c r="AG1859" s="4">
        <v>9</v>
      </c>
      <c r="AH1859" s="4">
        <v>98</v>
      </c>
      <c r="AI1859" s="4">
        <v>107</v>
      </c>
      <c r="AJ1859" s="4">
        <v>17</v>
      </c>
      <c r="AK1859" s="4">
        <v>25</v>
      </c>
      <c r="AL1859" s="4">
        <v>54</v>
      </c>
      <c r="AM1859" s="4">
        <v>59</v>
      </c>
      <c r="AN1859" s="4">
        <v>0</v>
      </c>
      <c r="AO1859" s="4">
        <v>0</v>
      </c>
      <c r="AP1859" s="4">
        <v>34</v>
      </c>
      <c r="AQ1859" s="4">
        <v>56</v>
      </c>
      <c r="AR1859" s="3" t="s">
        <v>64</v>
      </c>
      <c r="AS1859" s="3" t="s">
        <v>64</v>
      </c>
      <c r="AT1859" s="3" t="s">
        <v>64</v>
      </c>
      <c r="AV1859" s="6" t="str">
        <f>HYPERLINK("http://mcgill.on.worldcat.org/oclc/123119498","Catalog Record")</f>
        <v>Catalog Record</v>
      </c>
      <c r="AW1859" s="6" t="str">
        <f>HYPERLINK("http://www.worldcat.org/oclc/123119498","WorldCat Record")</f>
        <v>WorldCat Record</v>
      </c>
      <c r="AX1859" s="3" t="s">
        <v>18860</v>
      </c>
      <c r="AY1859" s="3" t="s">
        <v>18861</v>
      </c>
      <c r="AZ1859" s="3" t="s">
        <v>18862</v>
      </c>
      <c r="BA1859" s="3" t="s">
        <v>18862</v>
      </c>
      <c r="BB1859" s="3" t="s">
        <v>18863</v>
      </c>
      <c r="BC1859" s="3" t="s">
        <v>77</v>
      </c>
      <c r="BD1859" s="3" t="s">
        <v>78</v>
      </c>
      <c r="BE1859" s="3" t="s">
        <v>18864</v>
      </c>
      <c r="BF1859" s="3" t="s">
        <v>18863</v>
      </c>
      <c r="BG1859" s="3" t="s">
        <v>18865</v>
      </c>
      <c r="BH1859">
        <f t="shared" si="51"/>
        <v>0</v>
      </c>
    </row>
    <row r="1860" spans="1:60" ht="58" x14ac:dyDescent="0.35">
      <c r="A1860" s="2" t="s">
        <v>59</v>
      </c>
      <c r="B1860" s="2" t="s">
        <v>60</v>
      </c>
      <c r="C1860" s="2" t="s">
        <v>18866</v>
      </c>
      <c r="D1860" s="2" t="s">
        <v>18867</v>
      </c>
      <c r="E1860" s="2" t="s">
        <v>18868</v>
      </c>
      <c r="G1860" s="3" t="s">
        <v>64</v>
      </c>
      <c r="I1860" s="3" t="s">
        <v>64</v>
      </c>
      <c r="J1860" s="3" t="s">
        <v>64</v>
      </c>
      <c r="K1860" s="3" t="s">
        <v>65</v>
      </c>
      <c r="L1860" s="2" t="s">
        <v>18869</v>
      </c>
      <c r="M1860" s="2" t="s">
        <v>18555</v>
      </c>
      <c r="N1860" s="3" t="s">
        <v>326</v>
      </c>
      <c r="P1860" s="3" t="s">
        <v>102</v>
      </c>
      <c r="Q1860" s="2" t="s">
        <v>8981</v>
      </c>
      <c r="R1860" s="3" t="s">
        <v>70</v>
      </c>
      <c r="S1860" s="4">
        <v>1</v>
      </c>
      <c r="T1860" s="4">
        <v>1</v>
      </c>
      <c r="U1860" s="5" t="s">
        <v>3222</v>
      </c>
      <c r="V1860" s="5" t="s">
        <v>3222</v>
      </c>
      <c r="W1860" s="5" t="s">
        <v>72</v>
      </c>
      <c r="X1860" s="5" t="s">
        <v>72</v>
      </c>
      <c r="Y1860" s="4">
        <v>175</v>
      </c>
      <c r="Z1860" s="4">
        <v>17</v>
      </c>
      <c r="AA1860" s="4">
        <v>31</v>
      </c>
      <c r="AB1860" s="4">
        <v>2</v>
      </c>
      <c r="AC1860" s="4">
        <v>5</v>
      </c>
      <c r="AD1860" s="4">
        <v>47</v>
      </c>
      <c r="AE1860" s="4">
        <v>71</v>
      </c>
      <c r="AF1860" s="4">
        <v>1</v>
      </c>
      <c r="AG1860" s="4">
        <v>2</v>
      </c>
      <c r="AH1860" s="4">
        <v>40</v>
      </c>
      <c r="AI1860" s="4">
        <v>60</v>
      </c>
      <c r="AJ1860" s="4">
        <v>9</v>
      </c>
      <c r="AK1860" s="4">
        <v>14</v>
      </c>
      <c r="AL1860" s="4">
        <v>25</v>
      </c>
      <c r="AM1860" s="4">
        <v>32</v>
      </c>
      <c r="AN1860" s="4">
        <v>0</v>
      </c>
      <c r="AO1860" s="4">
        <v>0</v>
      </c>
      <c r="AP1860" s="4">
        <v>13</v>
      </c>
      <c r="AQ1860" s="4">
        <v>19</v>
      </c>
      <c r="AR1860" s="3" t="s">
        <v>64</v>
      </c>
      <c r="AS1860" s="3" t="s">
        <v>64</v>
      </c>
      <c r="AT1860" s="3" t="s">
        <v>64</v>
      </c>
      <c r="AV1860" s="6" t="str">
        <f>HYPERLINK("http://mcgill.on.worldcat.org/oclc/711047949","Catalog Record")</f>
        <v>Catalog Record</v>
      </c>
      <c r="AW1860" s="6" t="str">
        <f>HYPERLINK("http://www.worldcat.org/oclc/711047949","WorldCat Record")</f>
        <v>WorldCat Record</v>
      </c>
      <c r="AX1860" s="3" t="s">
        <v>18870</v>
      </c>
      <c r="AY1860" s="3" t="s">
        <v>18871</v>
      </c>
      <c r="AZ1860" s="3" t="s">
        <v>18872</v>
      </c>
      <c r="BA1860" s="3" t="s">
        <v>18872</v>
      </c>
      <c r="BB1860" s="3" t="s">
        <v>18873</v>
      </c>
      <c r="BC1860" s="3" t="s">
        <v>77</v>
      </c>
      <c r="BD1860" s="3" t="s">
        <v>78</v>
      </c>
      <c r="BE1860" s="3" t="s">
        <v>18874</v>
      </c>
      <c r="BF1860" s="3" t="s">
        <v>18873</v>
      </c>
      <c r="BG1860" s="3" t="s">
        <v>18875</v>
      </c>
      <c r="BH1860">
        <f t="shared" si="51"/>
        <v>0</v>
      </c>
    </row>
    <row r="1861" spans="1:60" ht="58" x14ac:dyDescent="0.35">
      <c r="A1861" s="2" t="s">
        <v>59</v>
      </c>
      <c r="B1861" s="2" t="s">
        <v>60</v>
      </c>
      <c r="C1861" s="2" t="s">
        <v>18876</v>
      </c>
      <c r="D1861" s="2" t="s">
        <v>18877</v>
      </c>
      <c r="E1861" s="2" t="s">
        <v>18878</v>
      </c>
      <c r="G1861" s="3" t="s">
        <v>64</v>
      </c>
      <c r="I1861" s="3" t="s">
        <v>64</v>
      </c>
      <c r="J1861" s="3" t="s">
        <v>64</v>
      </c>
      <c r="K1861" s="3" t="s">
        <v>65</v>
      </c>
      <c r="L1861" s="2" t="s">
        <v>18879</v>
      </c>
      <c r="M1861" s="2" t="s">
        <v>18880</v>
      </c>
      <c r="N1861" s="3" t="s">
        <v>159</v>
      </c>
      <c r="O1861" s="2" t="s">
        <v>117</v>
      </c>
      <c r="P1861" s="3" t="s">
        <v>102</v>
      </c>
      <c r="R1861" s="3" t="s">
        <v>70</v>
      </c>
      <c r="S1861" s="4">
        <v>18</v>
      </c>
      <c r="T1861" s="4">
        <v>18</v>
      </c>
      <c r="U1861" s="5" t="s">
        <v>17811</v>
      </c>
      <c r="V1861" s="5" t="s">
        <v>17811</v>
      </c>
      <c r="W1861" s="5" t="s">
        <v>72</v>
      </c>
      <c r="X1861" s="5" t="s">
        <v>72</v>
      </c>
      <c r="Y1861" s="4">
        <v>1133</v>
      </c>
      <c r="Z1861" s="4">
        <v>38</v>
      </c>
      <c r="AA1861" s="4">
        <v>38</v>
      </c>
      <c r="AB1861" s="4">
        <v>4</v>
      </c>
      <c r="AC1861" s="4">
        <v>4</v>
      </c>
      <c r="AD1861" s="4">
        <v>114</v>
      </c>
      <c r="AE1861" s="4">
        <v>114</v>
      </c>
      <c r="AF1861" s="4">
        <v>1</v>
      </c>
      <c r="AG1861" s="4">
        <v>1</v>
      </c>
      <c r="AH1861" s="4">
        <v>96</v>
      </c>
      <c r="AI1861" s="4">
        <v>96</v>
      </c>
      <c r="AJ1861" s="4">
        <v>15</v>
      </c>
      <c r="AK1861" s="4">
        <v>15</v>
      </c>
      <c r="AL1861" s="4">
        <v>49</v>
      </c>
      <c r="AM1861" s="4">
        <v>49</v>
      </c>
      <c r="AN1861" s="4">
        <v>0</v>
      </c>
      <c r="AO1861" s="4">
        <v>0</v>
      </c>
      <c r="AP1861" s="4">
        <v>22</v>
      </c>
      <c r="AQ1861" s="4">
        <v>22</v>
      </c>
      <c r="AR1861" s="3" t="s">
        <v>64</v>
      </c>
      <c r="AS1861" s="3" t="s">
        <v>64</v>
      </c>
      <c r="AT1861" s="3" t="s">
        <v>64</v>
      </c>
      <c r="AV1861" s="6" t="str">
        <f>HYPERLINK("http://mcgill.on.worldcat.org/oclc/48563109","Catalog Record")</f>
        <v>Catalog Record</v>
      </c>
      <c r="AW1861" s="6" t="str">
        <f>HYPERLINK("http://www.worldcat.org/oclc/48563109","WorldCat Record")</f>
        <v>WorldCat Record</v>
      </c>
      <c r="AX1861" s="3" t="s">
        <v>18881</v>
      </c>
      <c r="AY1861" s="3" t="s">
        <v>18882</v>
      </c>
      <c r="AZ1861" s="3" t="s">
        <v>18883</v>
      </c>
      <c r="BA1861" s="3" t="s">
        <v>18883</v>
      </c>
      <c r="BB1861" s="3" t="s">
        <v>18884</v>
      </c>
      <c r="BC1861" s="3" t="s">
        <v>77</v>
      </c>
      <c r="BD1861" s="3" t="s">
        <v>165</v>
      </c>
      <c r="BE1861" s="3" t="s">
        <v>18885</v>
      </c>
      <c r="BF1861" s="3" t="s">
        <v>18884</v>
      </c>
      <c r="BG1861" s="3" t="s">
        <v>18886</v>
      </c>
      <c r="BH1861">
        <f t="shared" si="51"/>
        <v>0</v>
      </c>
    </row>
    <row r="1862" spans="1:60" ht="58" x14ac:dyDescent="0.35">
      <c r="A1862" s="2" t="s">
        <v>59</v>
      </c>
      <c r="B1862" s="2" t="s">
        <v>60</v>
      </c>
      <c r="C1862" s="2" t="s">
        <v>18887</v>
      </c>
      <c r="D1862" s="2" t="s">
        <v>18888</v>
      </c>
      <c r="E1862" s="2" t="s">
        <v>18889</v>
      </c>
      <c r="G1862" s="3" t="s">
        <v>64</v>
      </c>
      <c r="I1862" s="3" t="s">
        <v>64</v>
      </c>
      <c r="J1862" s="3" t="s">
        <v>64</v>
      </c>
      <c r="K1862" s="3" t="s">
        <v>65</v>
      </c>
      <c r="M1862" s="2" t="s">
        <v>15858</v>
      </c>
      <c r="N1862" s="3" t="s">
        <v>1275</v>
      </c>
      <c r="P1862" s="3" t="s">
        <v>102</v>
      </c>
      <c r="Q1862" s="2" t="s">
        <v>18890</v>
      </c>
      <c r="R1862" s="3" t="s">
        <v>70</v>
      </c>
      <c r="S1862" s="4">
        <v>8</v>
      </c>
      <c r="T1862" s="4">
        <v>8</v>
      </c>
      <c r="U1862" s="5" t="s">
        <v>16412</v>
      </c>
      <c r="V1862" s="5" t="s">
        <v>16412</v>
      </c>
      <c r="W1862" s="5" t="s">
        <v>72</v>
      </c>
      <c r="X1862" s="5" t="s">
        <v>72</v>
      </c>
      <c r="Y1862" s="4">
        <v>341</v>
      </c>
      <c r="Z1862" s="4">
        <v>19</v>
      </c>
      <c r="AA1862" s="4">
        <v>45</v>
      </c>
      <c r="AB1862" s="4">
        <v>2</v>
      </c>
      <c r="AC1862" s="4">
        <v>8</v>
      </c>
      <c r="AD1862" s="4">
        <v>84</v>
      </c>
      <c r="AE1862" s="4">
        <v>92</v>
      </c>
      <c r="AF1862" s="4">
        <v>1</v>
      </c>
      <c r="AG1862" s="4">
        <v>2</v>
      </c>
      <c r="AH1862" s="4">
        <v>76</v>
      </c>
      <c r="AI1862" s="4">
        <v>81</v>
      </c>
      <c r="AJ1862" s="4">
        <v>13</v>
      </c>
      <c r="AK1862" s="4">
        <v>14</v>
      </c>
      <c r="AL1862" s="4">
        <v>37</v>
      </c>
      <c r="AM1862" s="4">
        <v>41</v>
      </c>
      <c r="AN1862" s="4">
        <v>0</v>
      </c>
      <c r="AO1862" s="4">
        <v>0</v>
      </c>
      <c r="AP1862" s="4">
        <v>15</v>
      </c>
      <c r="AQ1862" s="4">
        <v>17</v>
      </c>
      <c r="AR1862" s="3" t="s">
        <v>64</v>
      </c>
      <c r="AS1862" s="3" t="s">
        <v>64</v>
      </c>
      <c r="AT1862" s="3" t="s">
        <v>64</v>
      </c>
      <c r="AV1862" s="6" t="str">
        <f>HYPERLINK("http://mcgill.on.worldcat.org/oclc/54467003","Catalog Record")</f>
        <v>Catalog Record</v>
      </c>
      <c r="AW1862" s="6" t="str">
        <f>HYPERLINK("http://www.worldcat.org/oclc/54467003","WorldCat Record")</f>
        <v>WorldCat Record</v>
      </c>
      <c r="AX1862" s="3" t="s">
        <v>18891</v>
      </c>
      <c r="AY1862" s="3" t="s">
        <v>18892</v>
      </c>
      <c r="AZ1862" s="3" t="s">
        <v>18893</v>
      </c>
      <c r="BA1862" s="3" t="s">
        <v>18893</v>
      </c>
      <c r="BB1862" s="3" t="s">
        <v>18894</v>
      </c>
      <c r="BC1862" s="3" t="s">
        <v>77</v>
      </c>
      <c r="BD1862" s="3" t="s">
        <v>78</v>
      </c>
      <c r="BE1862" s="3" t="s">
        <v>18895</v>
      </c>
      <c r="BF1862" s="3" t="s">
        <v>18894</v>
      </c>
      <c r="BG1862" s="3" t="s">
        <v>18896</v>
      </c>
      <c r="BH1862">
        <f t="shared" si="51"/>
        <v>0</v>
      </c>
    </row>
    <row r="1863" spans="1:60" ht="58" x14ac:dyDescent="0.35">
      <c r="A1863" s="2" t="s">
        <v>59</v>
      </c>
      <c r="B1863" s="2" t="s">
        <v>60</v>
      </c>
      <c r="C1863" s="2" t="s">
        <v>18897</v>
      </c>
      <c r="D1863" s="2" t="s">
        <v>18898</v>
      </c>
      <c r="E1863" s="2" t="s">
        <v>18899</v>
      </c>
      <c r="G1863" s="3" t="s">
        <v>64</v>
      </c>
      <c r="H1863" s="3" t="s">
        <v>183</v>
      </c>
      <c r="I1863" s="3" t="s">
        <v>64</v>
      </c>
      <c r="J1863" s="3" t="s">
        <v>64</v>
      </c>
      <c r="K1863" s="3" t="s">
        <v>65</v>
      </c>
      <c r="M1863" s="2" t="s">
        <v>18900</v>
      </c>
      <c r="N1863" s="3" t="s">
        <v>1492</v>
      </c>
      <c r="P1863" s="3" t="s">
        <v>102</v>
      </c>
      <c r="R1863" s="3" t="s">
        <v>70</v>
      </c>
      <c r="S1863" s="4">
        <v>0</v>
      </c>
      <c r="T1863" s="4">
        <v>0</v>
      </c>
      <c r="W1863" s="5" t="s">
        <v>826</v>
      </c>
      <c r="X1863" s="5" t="s">
        <v>826</v>
      </c>
      <c r="Y1863" s="4">
        <v>122</v>
      </c>
      <c r="Z1863" s="4">
        <v>6</v>
      </c>
      <c r="AA1863" s="4">
        <v>6</v>
      </c>
      <c r="AB1863" s="4">
        <v>2</v>
      </c>
      <c r="AC1863" s="4">
        <v>2</v>
      </c>
      <c r="AD1863" s="4">
        <v>30</v>
      </c>
      <c r="AE1863" s="4">
        <v>30</v>
      </c>
      <c r="AF1863" s="4">
        <v>0</v>
      </c>
      <c r="AG1863" s="4">
        <v>0</v>
      </c>
      <c r="AH1863" s="4">
        <v>27</v>
      </c>
      <c r="AI1863" s="4">
        <v>27</v>
      </c>
      <c r="AJ1863" s="4">
        <v>1</v>
      </c>
      <c r="AK1863" s="4">
        <v>1</v>
      </c>
      <c r="AL1863" s="4">
        <v>15</v>
      </c>
      <c r="AM1863" s="4">
        <v>15</v>
      </c>
      <c r="AN1863" s="4">
        <v>0</v>
      </c>
      <c r="AO1863" s="4">
        <v>0</v>
      </c>
      <c r="AP1863" s="4">
        <v>3</v>
      </c>
      <c r="AQ1863" s="4">
        <v>3</v>
      </c>
      <c r="AR1863" s="3" t="s">
        <v>64</v>
      </c>
      <c r="AS1863" s="3" t="s">
        <v>64</v>
      </c>
      <c r="AT1863" s="3" t="s">
        <v>64</v>
      </c>
      <c r="AV1863" s="6" t="str">
        <f>HYPERLINK("http://mcgill.on.worldcat.org/oclc/1121075442","Catalog Record")</f>
        <v>Catalog Record</v>
      </c>
      <c r="AW1863" s="6" t="str">
        <f>HYPERLINK("http://www.worldcat.org/oclc/1121075442","WorldCat Record")</f>
        <v>WorldCat Record</v>
      </c>
      <c r="AX1863" s="3" t="s">
        <v>18901</v>
      </c>
      <c r="AY1863" s="3" t="s">
        <v>18902</v>
      </c>
      <c r="AZ1863" s="3" t="s">
        <v>18903</v>
      </c>
      <c r="BA1863" s="3" t="s">
        <v>18903</v>
      </c>
      <c r="BB1863" s="3" t="s">
        <v>18904</v>
      </c>
      <c r="BC1863" s="3" t="s">
        <v>77</v>
      </c>
      <c r="BD1863" s="3" t="s">
        <v>78</v>
      </c>
      <c r="BE1863" s="3" t="s">
        <v>18905</v>
      </c>
      <c r="BF1863" s="3" t="s">
        <v>18904</v>
      </c>
      <c r="BG1863" s="3" t="s">
        <v>18906</v>
      </c>
      <c r="BH1863">
        <f t="shared" si="51"/>
        <v>0</v>
      </c>
    </row>
    <row r="1864" spans="1:60" ht="58" x14ac:dyDescent="0.35">
      <c r="A1864" s="2" t="s">
        <v>59</v>
      </c>
      <c r="B1864" s="2" t="s">
        <v>60</v>
      </c>
      <c r="C1864" s="2" t="s">
        <v>18907</v>
      </c>
      <c r="D1864" s="2" t="s">
        <v>18908</v>
      </c>
      <c r="E1864" s="2" t="s">
        <v>18909</v>
      </c>
      <c r="G1864" s="3" t="s">
        <v>64</v>
      </c>
      <c r="I1864" s="3" t="s">
        <v>64</v>
      </c>
      <c r="J1864" s="3" t="s">
        <v>64</v>
      </c>
      <c r="K1864" s="3" t="s">
        <v>65</v>
      </c>
      <c r="M1864" s="2" t="s">
        <v>18910</v>
      </c>
      <c r="N1864" s="3" t="s">
        <v>326</v>
      </c>
      <c r="P1864" s="3" t="s">
        <v>102</v>
      </c>
      <c r="R1864" s="3" t="s">
        <v>70</v>
      </c>
      <c r="S1864" s="4">
        <v>10</v>
      </c>
      <c r="T1864" s="4">
        <v>10</v>
      </c>
      <c r="U1864" s="5" t="s">
        <v>1655</v>
      </c>
      <c r="V1864" s="5" t="s">
        <v>1655</v>
      </c>
      <c r="W1864" s="5" t="s">
        <v>72</v>
      </c>
      <c r="X1864" s="5" t="s">
        <v>72</v>
      </c>
      <c r="Y1864" s="4">
        <v>415</v>
      </c>
      <c r="Z1864" s="4">
        <v>34</v>
      </c>
      <c r="AA1864" s="4">
        <v>41</v>
      </c>
      <c r="AB1864" s="4">
        <v>2</v>
      </c>
      <c r="AC1864" s="4">
        <v>7</v>
      </c>
      <c r="AD1864" s="4">
        <v>91</v>
      </c>
      <c r="AE1864" s="4">
        <v>95</v>
      </c>
      <c r="AF1864" s="4">
        <v>1</v>
      </c>
      <c r="AG1864" s="4">
        <v>3</v>
      </c>
      <c r="AH1864" s="4">
        <v>76</v>
      </c>
      <c r="AI1864" s="4">
        <v>78</v>
      </c>
      <c r="AJ1864" s="4">
        <v>15</v>
      </c>
      <c r="AK1864" s="4">
        <v>17</v>
      </c>
      <c r="AL1864" s="4">
        <v>40</v>
      </c>
      <c r="AM1864" s="4">
        <v>40</v>
      </c>
      <c r="AN1864" s="4">
        <v>0</v>
      </c>
      <c r="AO1864" s="4">
        <v>0</v>
      </c>
      <c r="AP1864" s="4">
        <v>23</v>
      </c>
      <c r="AQ1864" s="4">
        <v>25</v>
      </c>
      <c r="AR1864" s="3" t="s">
        <v>64</v>
      </c>
      <c r="AS1864" s="3" t="s">
        <v>64</v>
      </c>
      <c r="AT1864" s="3" t="s">
        <v>64</v>
      </c>
      <c r="AV1864" s="6" t="str">
        <f>HYPERLINK("http://mcgill.on.worldcat.org/oclc/758098747","Catalog Record")</f>
        <v>Catalog Record</v>
      </c>
      <c r="AW1864" s="6" t="str">
        <f>HYPERLINK("http://www.worldcat.org/oclc/758098747","WorldCat Record")</f>
        <v>WorldCat Record</v>
      </c>
      <c r="AX1864" s="3" t="s">
        <v>18911</v>
      </c>
      <c r="AY1864" s="3" t="s">
        <v>18912</v>
      </c>
      <c r="AZ1864" s="3" t="s">
        <v>18913</v>
      </c>
      <c r="BA1864" s="3" t="s">
        <v>18913</v>
      </c>
      <c r="BB1864" s="3" t="s">
        <v>18914</v>
      </c>
      <c r="BC1864" s="3" t="s">
        <v>77</v>
      </c>
      <c r="BD1864" s="3" t="s">
        <v>165</v>
      </c>
      <c r="BE1864" s="3" t="s">
        <v>18915</v>
      </c>
      <c r="BF1864" s="3" t="s">
        <v>18914</v>
      </c>
      <c r="BG1864" s="3" t="s">
        <v>18916</v>
      </c>
      <c r="BH1864">
        <f t="shared" si="51"/>
        <v>0</v>
      </c>
    </row>
    <row r="1865" spans="1:60" ht="72.5" x14ac:dyDescent="0.35">
      <c r="A1865" s="2" t="s">
        <v>59</v>
      </c>
      <c r="B1865" s="2" t="s">
        <v>60</v>
      </c>
      <c r="C1865" s="2" t="s">
        <v>18917</v>
      </c>
      <c r="D1865" s="2" t="s">
        <v>18918</v>
      </c>
      <c r="E1865" s="2" t="s">
        <v>18919</v>
      </c>
      <c r="G1865" s="3" t="s">
        <v>64</v>
      </c>
      <c r="I1865" s="3" t="s">
        <v>64</v>
      </c>
      <c r="J1865" s="3" t="s">
        <v>64</v>
      </c>
      <c r="K1865" s="3" t="s">
        <v>65</v>
      </c>
      <c r="M1865" s="2" t="s">
        <v>18920</v>
      </c>
      <c r="N1865" s="3" t="s">
        <v>537</v>
      </c>
      <c r="O1865" s="2" t="s">
        <v>18921</v>
      </c>
      <c r="P1865" s="3" t="s">
        <v>102</v>
      </c>
      <c r="R1865" s="3" t="s">
        <v>70</v>
      </c>
      <c r="S1865" s="4">
        <v>0</v>
      </c>
      <c r="T1865" s="4">
        <v>0</v>
      </c>
      <c r="W1865" s="5" t="s">
        <v>72</v>
      </c>
      <c r="X1865" s="5" t="s">
        <v>72</v>
      </c>
      <c r="Y1865" s="4">
        <v>13</v>
      </c>
      <c r="Z1865" s="4">
        <v>3</v>
      </c>
      <c r="AA1865" s="4">
        <v>6</v>
      </c>
      <c r="AB1865" s="4">
        <v>1</v>
      </c>
      <c r="AC1865" s="4">
        <v>3</v>
      </c>
      <c r="AD1865" s="4">
        <v>2</v>
      </c>
      <c r="AE1865" s="4">
        <v>10</v>
      </c>
      <c r="AF1865" s="4">
        <v>0</v>
      </c>
      <c r="AG1865" s="4">
        <v>0</v>
      </c>
      <c r="AH1865" s="4">
        <v>2</v>
      </c>
      <c r="AI1865" s="4">
        <v>9</v>
      </c>
      <c r="AJ1865" s="4">
        <v>1</v>
      </c>
      <c r="AK1865" s="4">
        <v>2</v>
      </c>
      <c r="AL1865" s="4">
        <v>1</v>
      </c>
      <c r="AM1865" s="4">
        <v>6</v>
      </c>
      <c r="AN1865" s="4">
        <v>0</v>
      </c>
      <c r="AO1865" s="4">
        <v>0</v>
      </c>
      <c r="AP1865" s="4">
        <v>1</v>
      </c>
      <c r="AQ1865" s="4">
        <v>2</v>
      </c>
      <c r="AR1865" s="3" t="s">
        <v>64</v>
      </c>
      <c r="AS1865" s="3" t="s">
        <v>64</v>
      </c>
      <c r="AT1865" s="3" t="s">
        <v>64</v>
      </c>
      <c r="AV1865" s="6" t="str">
        <f>HYPERLINK("http://mcgill.on.worldcat.org/oclc/949911903","Catalog Record")</f>
        <v>Catalog Record</v>
      </c>
      <c r="AW1865" s="6" t="str">
        <f>HYPERLINK("http://www.worldcat.org/oclc/949911903","WorldCat Record")</f>
        <v>WorldCat Record</v>
      </c>
      <c r="AX1865" s="3" t="s">
        <v>18922</v>
      </c>
      <c r="AY1865" s="3" t="s">
        <v>18923</v>
      </c>
      <c r="AZ1865" s="3" t="s">
        <v>18924</v>
      </c>
      <c r="BA1865" s="3" t="s">
        <v>18924</v>
      </c>
      <c r="BB1865" s="3" t="s">
        <v>18925</v>
      </c>
      <c r="BC1865" s="3" t="s">
        <v>77</v>
      </c>
      <c r="BD1865" s="3" t="s">
        <v>78</v>
      </c>
      <c r="BE1865" s="3" t="s">
        <v>18926</v>
      </c>
      <c r="BF1865" s="3" t="s">
        <v>18925</v>
      </c>
      <c r="BG1865" s="3" t="s">
        <v>18927</v>
      </c>
      <c r="BH1865">
        <f t="shared" si="51"/>
        <v>0</v>
      </c>
    </row>
    <row r="1866" spans="1:60" ht="58" x14ac:dyDescent="0.35">
      <c r="A1866" s="2" t="s">
        <v>59</v>
      </c>
      <c r="B1866" s="2" t="s">
        <v>60</v>
      </c>
      <c r="C1866" s="2" t="s">
        <v>18928</v>
      </c>
      <c r="D1866" s="2" t="s">
        <v>18929</v>
      </c>
      <c r="E1866" s="2" t="s">
        <v>18930</v>
      </c>
      <c r="G1866" s="3" t="s">
        <v>64</v>
      </c>
      <c r="I1866" s="3" t="s">
        <v>64</v>
      </c>
      <c r="J1866" s="3" t="s">
        <v>64</v>
      </c>
      <c r="K1866" s="3" t="s">
        <v>65</v>
      </c>
      <c r="L1866" s="2" t="s">
        <v>18931</v>
      </c>
      <c r="M1866" s="2" t="s">
        <v>18932</v>
      </c>
      <c r="N1866" s="3" t="s">
        <v>434</v>
      </c>
      <c r="P1866" s="3" t="s">
        <v>102</v>
      </c>
      <c r="Q1866" s="2" t="s">
        <v>8981</v>
      </c>
      <c r="R1866" s="3" t="s">
        <v>70</v>
      </c>
      <c r="S1866" s="4">
        <v>16</v>
      </c>
      <c r="T1866" s="4">
        <v>16</v>
      </c>
      <c r="U1866" s="5" t="s">
        <v>18733</v>
      </c>
      <c r="V1866" s="5" t="s">
        <v>18733</v>
      </c>
      <c r="W1866" s="5" t="s">
        <v>72</v>
      </c>
      <c r="X1866" s="5" t="s">
        <v>72</v>
      </c>
      <c r="Y1866" s="4">
        <v>375</v>
      </c>
      <c r="Z1866" s="4">
        <v>33</v>
      </c>
      <c r="AA1866" s="4">
        <v>41</v>
      </c>
      <c r="AB1866" s="4">
        <v>2</v>
      </c>
      <c r="AC1866" s="4">
        <v>8</v>
      </c>
      <c r="AD1866" s="4">
        <v>68</v>
      </c>
      <c r="AE1866" s="4">
        <v>76</v>
      </c>
      <c r="AF1866" s="4">
        <v>1</v>
      </c>
      <c r="AG1866" s="4">
        <v>5</v>
      </c>
      <c r="AH1866" s="4">
        <v>55</v>
      </c>
      <c r="AI1866" s="4">
        <v>60</v>
      </c>
      <c r="AJ1866" s="4">
        <v>19</v>
      </c>
      <c r="AK1866" s="4">
        <v>22</v>
      </c>
      <c r="AL1866" s="4">
        <v>28</v>
      </c>
      <c r="AM1866" s="4">
        <v>30</v>
      </c>
      <c r="AN1866" s="4">
        <v>0</v>
      </c>
      <c r="AO1866" s="4">
        <v>0</v>
      </c>
      <c r="AP1866" s="4">
        <v>24</v>
      </c>
      <c r="AQ1866" s="4">
        <v>27</v>
      </c>
      <c r="AR1866" s="3" t="s">
        <v>64</v>
      </c>
      <c r="AS1866" s="3" t="s">
        <v>64</v>
      </c>
      <c r="AT1866" s="3" t="s">
        <v>128</v>
      </c>
      <c r="AU1866" s="6" t="str">
        <f>HYPERLINK("http://catalog.hathitrust.org/Record/005082477","HathiTrust Record")</f>
        <v>HathiTrust Record</v>
      </c>
      <c r="AV1866" s="6" t="str">
        <f>HYPERLINK("http://mcgill.on.worldcat.org/oclc/60793461","Catalog Record")</f>
        <v>Catalog Record</v>
      </c>
      <c r="AW1866" s="6" t="str">
        <f>HYPERLINK("http://www.worldcat.org/oclc/60793461","WorldCat Record")</f>
        <v>WorldCat Record</v>
      </c>
      <c r="AX1866" s="3" t="s">
        <v>18933</v>
      </c>
      <c r="AY1866" s="3" t="s">
        <v>18934</v>
      </c>
      <c r="AZ1866" s="3" t="s">
        <v>18935</v>
      </c>
      <c r="BA1866" s="3" t="s">
        <v>18935</v>
      </c>
      <c r="BB1866" s="3" t="s">
        <v>18936</v>
      </c>
      <c r="BC1866" s="3" t="s">
        <v>77</v>
      </c>
      <c r="BD1866" s="3" t="s">
        <v>78</v>
      </c>
      <c r="BE1866" s="3" t="s">
        <v>18937</v>
      </c>
      <c r="BF1866" s="3" t="s">
        <v>18936</v>
      </c>
      <c r="BG1866" s="3" t="s">
        <v>18938</v>
      </c>
      <c r="BH1866">
        <f t="shared" si="51"/>
        <v>0</v>
      </c>
    </row>
    <row r="1867" spans="1:60" ht="58" x14ac:dyDescent="0.35">
      <c r="A1867" s="2" t="s">
        <v>59</v>
      </c>
      <c r="B1867" s="2" t="s">
        <v>60</v>
      </c>
      <c r="C1867" s="2" t="s">
        <v>18939</v>
      </c>
      <c r="D1867" s="2" t="s">
        <v>18940</v>
      </c>
      <c r="E1867" s="2" t="s">
        <v>18941</v>
      </c>
      <c r="G1867" s="3" t="s">
        <v>64</v>
      </c>
      <c r="I1867" s="3" t="s">
        <v>64</v>
      </c>
      <c r="J1867" s="3" t="s">
        <v>64</v>
      </c>
      <c r="K1867" s="3" t="s">
        <v>65</v>
      </c>
      <c r="L1867" s="2" t="s">
        <v>18942</v>
      </c>
      <c r="M1867" s="2" t="s">
        <v>18943</v>
      </c>
      <c r="N1867" s="3" t="s">
        <v>551</v>
      </c>
      <c r="P1867" s="3" t="s">
        <v>102</v>
      </c>
      <c r="Q1867" s="2" t="s">
        <v>18944</v>
      </c>
      <c r="R1867" s="3" t="s">
        <v>70</v>
      </c>
      <c r="S1867" s="4">
        <v>5</v>
      </c>
      <c r="T1867" s="4">
        <v>5</v>
      </c>
      <c r="U1867" s="5" t="s">
        <v>3222</v>
      </c>
      <c r="V1867" s="5" t="s">
        <v>3222</v>
      </c>
      <c r="W1867" s="5" t="s">
        <v>72</v>
      </c>
      <c r="X1867" s="5" t="s">
        <v>72</v>
      </c>
      <c r="Y1867" s="4">
        <v>471</v>
      </c>
      <c r="Z1867" s="4">
        <v>21</v>
      </c>
      <c r="AA1867" s="4">
        <v>98</v>
      </c>
      <c r="AB1867" s="4">
        <v>4</v>
      </c>
      <c r="AC1867" s="4">
        <v>19</v>
      </c>
      <c r="AD1867" s="4">
        <v>80</v>
      </c>
      <c r="AE1867" s="4">
        <v>120</v>
      </c>
      <c r="AF1867" s="4">
        <v>1</v>
      </c>
      <c r="AG1867" s="4">
        <v>8</v>
      </c>
      <c r="AH1867" s="4">
        <v>74</v>
      </c>
      <c r="AI1867" s="4">
        <v>87</v>
      </c>
      <c r="AJ1867" s="4">
        <v>11</v>
      </c>
      <c r="AK1867" s="4">
        <v>20</v>
      </c>
      <c r="AL1867" s="4">
        <v>34</v>
      </c>
      <c r="AM1867" s="4">
        <v>44</v>
      </c>
      <c r="AN1867" s="4">
        <v>0</v>
      </c>
      <c r="AO1867" s="4">
        <v>0</v>
      </c>
      <c r="AP1867" s="4">
        <v>14</v>
      </c>
      <c r="AQ1867" s="4">
        <v>42</v>
      </c>
      <c r="AR1867" s="3" t="s">
        <v>64</v>
      </c>
      <c r="AS1867" s="3" t="s">
        <v>64</v>
      </c>
      <c r="AT1867" s="3" t="s">
        <v>64</v>
      </c>
      <c r="AV1867" s="6" t="str">
        <f>HYPERLINK("http://mcgill.on.worldcat.org/oclc/271103755","Catalog Record")</f>
        <v>Catalog Record</v>
      </c>
      <c r="AW1867" s="6" t="str">
        <f>HYPERLINK("http://www.worldcat.org/oclc/271103755","WorldCat Record")</f>
        <v>WorldCat Record</v>
      </c>
      <c r="AX1867" s="3" t="s">
        <v>18945</v>
      </c>
      <c r="AY1867" s="3" t="s">
        <v>18946</v>
      </c>
      <c r="AZ1867" s="3" t="s">
        <v>18947</v>
      </c>
      <c r="BA1867" s="3" t="s">
        <v>18947</v>
      </c>
      <c r="BB1867" s="3" t="s">
        <v>18948</v>
      </c>
      <c r="BC1867" s="3" t="s">
        <v>77</v>
      </c>
      <c r="BD1867" s="3" t="s">
        <v>78</v>
      </c>
      <c r="BE1867" s="3" t="s">
        <v>18949</v>
      </c>
      <c r="BF1867" s="3" t="s">
        <v>18948</v>
      </c>
      <c r="BG1867" s="3" t="s">
        <v>18950</v>
      </c>
      <c r="BH1867">
        <f t="shared" si="51"/>
        <v>0</v>
      </c>
    </row>
    <row r="1868" spans="1:60" ht="58" x14ac:dyDescent="0.35">
      <c r="A1868" s="2" t="s">
        <v>59</v>
      </c>
      <c r="B1868" s="2" t="s">
        <v>60</v>
      </c>
      <c r="C1868" s="2" t="s">
        <v>18951</v>
      </c>
      <c r="D1868" s="2" t="s">
        <v>18952</v>
      </c>
      <c r="E1868" s="2" t="s">
        <v>18953</v>
      </c>
      <c r="G1868" s="3" t="s">
        <v>64</v>
      </c>
      <c r="I1868" s="3" t="s">
        <v>64</v>
      </c>
      <c r="J1868" s="3" t="s">
        <v>64</v>
      </c>
      <c r="K1868" s="3" t="s">
        <v>65</v>
      </c>
      <c r="L1868" s="2" t="s">
        <v>18954</v>
      </c>
      <c r="M1868" s="2" t="s">
        <v>18955</v>
      </c>
      <c r="N1868" s="3" t="s">
        <v>511</v>
      </c>
      <c r="P1868" s="3" t="s">
        <v>102</v>
      </c>
      <c r="Q1868" s="2" t="s">
        <v>18956</v>
      </c>
      <c r="R1868" s="3" t="s">
        <v>70</v>
      </c>
      <c r="S1868" s="4">
        <v>0</v>
      </c>
      <c r="T1868" s="4">
        <v>0</v>
      </c>
      <c r="W1868" s="5" t="s">
        <v>72</v>
      </c>
      <c r="X1868" s="5" t="s">
        <v>72</v>
      </c>
      <c r="Y1868" s="4">
        <v>243</v>
      </c>
      <c r="Z1868" s="4">
        <v>17</v>
      </c>
      <c r="AA1868" s="4">
        <v>23</v>
      </c>
      <c r="AB1868" s="4">
        <v>1</v>
      </c>
      <c r="AC1868" s="4">
        <v>3</v>
      </c>
      <c r="AD1868" s="4">
        <v>85</v>
      </c>
      <c r="AE1868" s="4">
        <v>96</v>
      </c>
      <c r="AF1868" s="4">
        <v>0</v>
      </c>
      <c r="AG1868" s="4">
        <v>2</v>
      </c>
      <c r="AH1868" s="4">
        <v>78</v>
      </c>
      <c r="AI1868" s="4">
        <v>86</v>
      </c>
      <c r="AJ1868" s="4">
        <v>10</v>
      </c>
      <c r="AK1868" s="4">
        <v>15</v>
      </c>
      <c r="AL1868" s="4">
        <v>39</v>
      </c>
      <c r="AM1868" s="4">
        <v>43</v>
      </c>
      <c r="AN1868" s="4">
        <v>0</v>
      </c>
      <c r="AO1868" s="4">
        <v>0</v>
      </c>
      <c r="AP1868" s="4">
        <v>14</v>
      </c>
      <c r="AQ1868" s="4">
        <v>19</v>
      </c>
      <c r="AR1868" s="3" t="s">
        <v>64</v>
      </c>
      <c r="AS1868" s="3" t="s">
        <v>64</v>
      </c>
      <c r="AT1868" s="3" t="s">
        <v>64</v>
      </c>
      <c r="AV1868" s="6" t="str">
        <f>HYPERLINK("http://mcgill.on.worldcat.org/oclc/662603742","Catalog Record")</f>
        <v>Catalog Record</v>
      </c>
      <c r="AW1868" s="6" t="str">
        <f>HYPERLINK("http://www.worldcat.org/oclc/662603742","WorldCat Record")</f>
        <v>WorldCat Record</v>
      </c>
      <c r="AX1868" s="3" t="s">
        <v>18957</v>
      </c>
      <c r="AY1868" s="3" t="s">
        <v>18958</v>
      </c>
      <c r="AZ1868" s="3" t="s">
        <v>18959</v>
      </c>
      <c r="BA1868" s="3" t="s">
        <v>18959</v>
      </c>
      <c r="BB1868" s="3" t="s">
        <v>18960</v>
      </c>
      <c r="BC1868" s="3" t="s">
        <v>77</v>
      </c>
      <c r="BD1868" s="3" t="s">
        <v>78</v>
      </c>
      <c r="BE1868" s="3" t="s">
        <v>18961</v>
      </c>
      <c r="BF1868" s="3" t="s">
        <v>18960</v>
      </c>
      <c r="BG1868" s="3" t="s">
        <v>18962</v>
      </c>
      <c r="BH1868">
        <f t="shared" si="51"/>
        <v>0</v>
      </c>
    </row>
    <row r="1869" spans="1:60" ht="58" x14ac:dyDescent="0.35">
      <c r="A1869" s="2" t="s">
        <v>59</v>
      </c>
      <c r="B1869" s="2" t="s">
        <v>60</v>
      </c>
      <c r="C1869" s="2" t="s">
        <v>18963</v>
      </c>
      <c r="D1869" s="2" t="s">
        <v>18964</v>
      </c>
      <c r="E1869" s="2" t="s">
        <v>18965</v>
      </c>
      <c r="G1869" s="3" t="s">
        <v>64</v>
      </c>
      <c r="I1869" s="3" t="s">
        <v>64</v>
      </c>
      <c r="J1869" s="3" t="s">
        <v>64</v>
      </c>
      <c r="K1869" s="3" t="s">
        <v>65</v>
      </c>
      <c r="L1869" s="2" t="s">
        <v>18966</v>
      </c>
      <c r="M1869" s="2" t="s">
        <v>17048</v>
      </c>
      <c r="N1869" s="3" t="s">
        <v>67</v>
      </c>
      <c r="P1869" s="3" t="s">
        <v>102</v>
      </c>
      <c r="Q1869" s="2" t="s">
        <v>18967</v>
      </c>
      <c r="R1869" s="3" t="s">
        <v>70</v>
      </c>
      <c r="S1869" s="4">
        <v>3</v>
      </c>
      <c r="T1869" s="4">
        <v>3</v>
      </c>
      <c r="U1869" s="5" t="s">
        <v>9131</v>
      </c>
      <c r="V1869" s="5" t="s">
        <v>9131</v>
      </c>
      <c r="W1869" s="5" t="s">
        <v>72</v>
      </c>
      <c r="X1869" s="5" t="s">
        <v>72</v>
      </c>
      <c r="Y1869" s="4">
        <v>266</v>
      </c>
      <c r="Z1869" s="4">
        <v>20</v>
      </c>
      <c r="AA1869" s="4">
        <v>108</v>
      </c>
      <c r="AB1869" s="4">
        <v>2</v>
      </c>
      <c r="AC1869" s="4">
        <v>15</v>
      </c>
      <c r="AD1869" s="4">
        <v>79</v>
      </c>
      <c r="AE1869" s="4">
        <v>135</v>
      </c>
      <c r="AF1869" s="4">
        <v>1</v>
      </c>
      <c r="AG1869" s="4">
        <v>8</v>
      </c>
      <c r="AH1869" s="4">
        <v>69</v>
      </c>
      <c r="AI1869" s="4">
        <v>92</v>
      </c>
      <c r="AJ1869" s="4">
        <v>12</v>
      </c>
      <c r="AK1869" s="4">
        <v>24</v>
      </c>
      <c r="AL1869" s="4">
        <v>34</v>
      </c>
      <c r="AM1869" s="4">
        <v>48</v>
      </c>
      <c r="AN1869" s="4">
        <v>0</v>
      </c>
      <c r="AO1869" s="4">
        <v>0</v>
      </c>
      <c r="AP1869" s="4">
        <v>17</v>
      </c>
      <c r="AQ1869" s="4">
        <v>48</v>
      </c>
      <c r="AR1869" s="3" t="s">
        <v>64</v>
      </c>
      <c r="AS1869" s="3" t="s">
        <v>64</v>
      </c>
      <c r="AT1869" s="3" t="s">
        <v>64</v>
      </c>
      <c r="AV1869" s="6" t="str">
        <f>HYPERLINK("http://mcgill.on.worldcat.org/oclc/861072939","Catalog Record")</f>
        <v>Catalog Record</v>
      </c>
      <c r="AW1869" s="6" t="str">
        <f>HYPERLINK("http://www.worldcat.org/oclc/861072939","WorldCat Record")</f>
        <v>WorldCat Record</v>
      </c>
      <c r="AX1869" s="3" t="s">
        <v>18968</v>
      </c>
      <c r="AY1869" s="3" t="s">
        <v>18969</v>
      </c>
      <c r="AZ1869" s="3" t="s">
        <v>18970</v>
      </c>
      <c r="BA1869" s="3" t="s">
        <v>18970</v>
      </c>
      <c r="BB1869" s="3" t="s">
        <v>18971</v>
      </c>
      <c r="BC1869" s="3" t="s">
        <v>77</v>
      </c>
      <c r="BD1869" s="3" t="s">
        <v>78</v>
      </c>
      <c r="BE1869" s="3" t="s">
        <v>18972</v>
      </c>
      <c r="BF1869" s="3" t="s">
        <v>18971</v>
      </c>
      <c r="BG1869" s="3" t="s">
        <v>18973</v>
      </c>
      <c r="BH1869">
        <f t="shared" si="51"/>
        <v>0</v>
      </c>
    </row>
    <row r="1870" spans="1:60" ht="58" x14ac:dyDescent="0.35">
      <c r="A1870" s="2" t="s">
        <v>59</v>
      </c>
      <c r="B1870" s="2" t="s">
        <v>60</v>
      </c>
      <c r="C1870" s="2" t="s">
        <v>18974</v>
      </c>
      <c r="D1870" s="2" t="s">
        <v>18975</v>
      </c>
      <c r="E1870" s="2" t="s">
        <v>18976</v>
      </c>
      <c r="G1870" s="3" t="s">
        <v>64</v>
      </c>
      <c r="I1870" s="3" t="s">
        <v>64</v>
      </c>
      <c r="J1870" s="3" t="s">
        <v>64</v>
      </c>
      <c r="K1870" s="3" t="s">
        <v>65</v>
      </c>
      <c r="L1870" s="2" t="s">
        <v>18977</v>
      </c>
      <c r="M1870" s="2" t="s">
        <v>18978</v>
      </c>
      <c r="N1870" s="3" t="s">
        <v>1047</v>
      </c>
      <c r="P1870" s="3" t="s">
        <v>102</v>
      </c>
      <c r="R1870" s="3" t="s">
        <v>70</v>
      </c>
      <c r="S1870" s="4">
        <v>3</v>
      </c>
      <c r="T1870" s="4">
        <v>3</v>
      </c>
      <c r="U1870" s="5" t="s">
        <v>13640</v>
      </c>
      <c r="V1870" s="5" t="s">
        <v>13640</v>
      </c>
      <c r="W1870" s="5" t="s">
        <v>72</v>
      </c>
      <c r="X1870" s="5" t="s">
        <v>72</v>
      </c>
      <c r="Y1870" s="4">
        <v>294</v>
      </c>
      <c r="Z1870" s="4">
        <v>12</v>
      </c>
      <c r="AA1870" s="4">
        <v>13</v>
      </c>
      <c r="AB1870" s="4">
        <v>1</v>
      </c>
      <c r="AC1870" s="4">
        <v>2</v>
      </c>
      <c r="AD1870" s="4">
        <v>90</v>
      </c>
      <c r="AE1870" s="4">
        <v>91</v>
      </c>
      <c r="AF1870" s="4">
        <v>0</v>
      </c>
      <c r="AG1870" s="4">
        <v>1</v>
      </c>
      <c r="AH1870" s="4">
        <v>83</v>
      </c>
      <c r="AI1870" s="4">
        <v>83</v>
      </c>
      <c r="AJ1870" s="4">
        <v>9</v>
      </c>
      <c r="AK1870" s="4">
        <v>10</v>
      </c>
      <c r="AL1870" s="4">
        <v>45</v>
      </c>
      <c r="AM1870" s="4">
        <v>45</v>
      </c>
      <c r="AN1870" s="4">
        <v>0</v>
      </c>
      <c r="AO1870" s="4">
        <v>0</v>
      </c>
      <c r="AP1870" s="4">
        <v>8</v>
      </c>
      <c r="AQ1870" s="4">
        <v>8</v>
      </c>
      <c r="AR1870" s="3" t="s">
        <v>64</v>
      </c>
      <c r="AS1870" s="3" t="s">
        <v>64</v>
      </c>
      <c r="AT1870" s="3" t="s">
        <v>128</v>
      </c>
      <c r="AU1870" s="6" t="str">
        <f>HYPERLINK("http://catalog.hathitrust.org/Record/000191212","HathiTrust Record")</f>
        <v>HathiTrust Record</v>
      </c>
      <c r="AV1870" s="6" t="str">
        <f>HYPERLINK("http://mcgill.on.worldcat.org/oclc/8220787","Catalog Record")</f>
        <v>Catalog Record</v>
      </c>
      <c r="AW1870" s="6" t="str">
        <f>HYPERLINK("http://www.worldcat.org/oclc/8220787","WorldCat Record")</f>
        <v>WorldCat Record</v>
      </c>
      <c r="AX1870" s="3" t="s">
        <v>18979</v>
      </c>
      <c r="AY1870" s="3" t="s">
        <v>18980</v>
      </c>
      <c r="AZ1870" s="3" t="s">
        <v>18981</v>
      </c>
      <c r="BA1870" s="3" t="s">
        <v>18981</v>
      </c>
      <c r="BB1870" s="3" t="s">
        <v>18982</v>
      </c>
      <c r="BC1870" s="3" t="s">
        <v>77</v>
      </c>
      <c r="BD1870" s="3" t="s">
        <v>78</v>
      </c>
      <c r="BE1870" s="3" t="s">
        <v>18983</v>
      </c>
      <c r="BF1870" s="3" t="s">
        <v>18982</v>
      </c>
      <c r="BG1870" s="3" t="s">
        <v>18984</v>
      </c>
      <c r="BH1870">
        <f t="shared" si="51"/>
        <v>0</v>
      </c>
    </row>
    <row r="1871" spans="1:60" ht="58" x14ac:dyDescent="0.35">
      <c r="A1871" s="2" t="s">
        <v>59</v>
      </c>
      <c r="B1871" s="2" t="s">
        <v>60</v>
      </c>
      <c r="C1871" s="2" t="s">
        <v>18985</v>
      </c>
      <c r="D1871" s="2" t="s">
        <v>18986</v>
      </c>
      <c r="E1871" s="2" t="s">
        <v>18987</v>
      </c>
      <c r="G1871" s="3" t="s">
        <v>64</v>
      </c>
      <c r="I1871" s="3" t="s">
        <v>64</v>
      </c>
      <c r="J1871" s="3" t="s">
        <v>64</v>
      </c>
      <c r="K1871" s="3" t="s">
        <v>65</v>
      </c>
      <c r="L1871" s="2" t="s">
        <v>18988</v>
      </c>
      <c r="M1871" s="2" t="s">
        <v>18989</v>
      </c>
      <c r="N1871" s="3" t="s">
        <v>101</v>
      </c>
      <c r="P1871" s="3" t="s">
        <v>102</v>
      </c>
      <c r="Q1871" s="2" t="s">
        <v>8981</v>
      </c>
      <c r="R1871" s="3" t="s">
        <v>70</v>
      </c>
      <c r="S1871" s="4">
        <v>3</v>
      </c>
      <c r="T1871" s="4">
        <v>3</v>
      </c>
      <c r="U1871" s="5" t="s">
        <v>18990</v>
      </c>
      <c r="V1871" s="5" t="s">
        <v>18990</v>
      </c>
      <c r="W1871" s="5" t="s">
        <v>72</v>
      </c>
      <c r="X1871" s="5" t="s">
        <v>72</v>
      </c>
      <c r="Y1871" s="4">
        <v>216</v>
      </c>
      <c r="Z1871" s="4">
        <v>15</v>
      </c>
      <c r="AA1871" s="4">
        <v>21</v>
      </c>
      <c r="AB1871" s="4">
        <v>1</v>
      </c>
      <c r="AC1871" s="4">
        <v>5</v>
      </c>
      <c r="AD1871" s="4">
        <v>31</v>
      </c>
      <c r="AE1871" s="4">
        <v>38</v>
      </c>
      <c r="AF1871" s="4">
        <v>0</v>
      </c>
      <c r="AG1871" s="4">
        <v>2</v>
      </c>
      <c r="AH1871" s="4">
        <v>23</v>
      </c>
      <c r="AI1871" s="4">
        <v>29</v>
      </c>
      <c r="AJ1871" s="4">
        <v>10</v>
      </c>
      <c r="AK1871" s="4">
        <v>13</v>
      </c>
      <c r="AL1871" s="4">
        <v>14</v>
      </c>
      <c r="AM1871" s="4">
        <v>16</v>
      </c>
      <c r="AN1871" s="4">
        <v>0</v>
      </c>
      <c r="AO1871" s="4">
        <v>0</v>
      </c>
      <c r="AP1871" s="4">
        <v>13</v>
      </c>
      <c r="AQ1871" s="4">
        <v>15</v>
      </c>
      <c r="AR1871" s="3" t="s">
        <v>64</v>
      </c>
      <c r="AS1871" s="3" t="s">
        <v>64</v>
      </c>
      <c r="AT1871" s="3" t="s">
        <v>128</v>
      </c>
      <c r="AU1871" s="6" t="str">
        <f>HYPERLINK("http://catalog.hathitrust.org/Record/005137300","HathiTrust Record")</f>
        <v>HathiTrust Record</v>
      </c>
      <c r="AV1871" s="6" t="str">
        <f>HYPERLINK("http://mcgill.on.worldcat.org/oclc/52783801","Catalog Record")</f>
        <v>Catalog Record</v>
      </c>
      <c r="AW1871" s="6" t="str">
        <f>HYPERLINK("http://www.worldcat.org/oclc/52783801","WorldCat Record")</f>
        <v>WorldCat Record</v>
      </c>
      <c r="AX1871" s="3" t="s">
        <v>18991</v>
      </c>
      <c r="AY1871" s="3" t="s">
        <v>18992</v>
      </c>
      <c r="AZ1871" s="3" t="s">
        <v>18993</v>
      </c>
      <c r="BA1871" s="3" t="s">
        <v>18993</v>
      </c>
      <c r="BB1871" s="3" t="s">
        <v>18994</v>
      </c>
      <c r="BC1871" s="3" t="s">
        <v>77</v>
      </c>
      <c r="BD1871" s="3" t="s">
        <v>78</v>
      </c>
      <c r="BE1871" s="3" t="s">
        <v>18995</v>
      </c>
      <c r="BF1871" s="3" t="s">
        <v>18994</v>
      </c>
      <c r="BG1871" s="3" t="s">
        <v>18996</v>
      </c>
      <c r="BH1871">
        <f t="shared" si="51"/>
        <v>0</v>
      </c>
    </row>
    <row r="1872" spans="1:60" ht="58" x14ac:dyDescent="0.35">
      <c r="A1872" s="2" t="s">
        <v>59</v>
      </c>
      <c r="B1872" s="2" t="s">
        <v>60</v>
      </c>
      <c r="C1872" s="2" t="s">
        <v>18997</v>
      </c>
      <c r="D1872" s="2" t="s">
        <v>18998</v>
      </c>
      <c r="E1872" s="2" t="s">
        <v>18999</v>
      </c>
      <c r="G1872" s="3" t="s">
        <v>64</v>
      </c>
      <c r="I1872" s="3" t="s">
        <v>64</v>
      </c>
      <c r="J1872" s="3" t="s">
        <v>64</v>
      </c>
      <c r="K1872" s="3" t="s">
        <v>65</v>
      </c>
      <c r="L1872" s="2" t="s">
        <v>19000</v>
      </c>
      <c r="M1872" s="2" t="s">
        <v>8509</v>
      </c>
      <c r="N1872" s="3" t="s">
        <v>144</v>
      </c>
      <c r="P1872" s="3" t="s">
        <v>102</v>
      </c>
      <c r="Q1872" s="2" t="s">
        <v>8981</v>
      </c>
      <c r="R1872" s="3" t="s">
        <v>70</v>
      </c>
      <c r="S1872" s="4">
        <v>11</v>
      </c>
      <c r="T1872" s="4">
        <v>11</v>
      </c>
      <c r="U1872" s="5" t="s">
        <v>14827</v>
      </c>
      <c r="V1872" s="5" t="s">
        <v>14827</v>
      </c>
      <c r="W1872" s="5" t="s">
        <v>72</v>
      </c>
      <c r="X1872" s="5" t="s">
        <v>72</v>
      </c>
      <c r="Y1872" s="4">
        <v>375</v>
      </c>
      <c r="Z1872" s="4">
        <v>30</v>
      </c>
      <c r="AA1872" s="4">
        <v>40</v>
      </c>
      <c r="AB1872" s="4">
        <v>2</v>
      </c>
      <c r="AC1872" s="4">
        <v>7</v>
      </c>
      <c r="AD1872" s="4">
        <v>63</v>
      </c>
      <c r="AE1872" s="4">
        <v>74</v>
      </c>
      <c r="AF1872" s="4">
        <v>0</v>
      </c>
      <c r="AG1872" s="4">
        <v>3</v>
      </c>
      <c r="AH1872" s="4">
        <v>49</v>
      </c>
      <c r="AI1872" s="4">
        <v>56</v>
      </c>
      <c r="AJ1872" s="4">
        <v>13</v>
      </c>
      <c r="AK1872" s="4">
        <v>16</v>
      </c>
      <c r="AL1872" s="4">
        <v>26</v>
      </c>
      <c r="AM1872" s="4">
        <v>29</v>
      </c>
      <c r="AN1872" s="4">
        <v>0</v>
      </c>
      <c r="AO1872" s="4">
        <v>0</v>
      </c>
      <c r="AP1872" s="4">
        <v>21</v>
      </c>
      <c r="AQ1872" s="4">
        <v>26</v>
      </c>
      <c r="AR1872" s="3" t="s">
        <v>64</v>
      </c>
      <c r="AS1872" s="3" t="s">
        <v>64</v>
      </c>
      <c r="AT1872" s="3" t="s">
        <v>128</v>
      </c>
      <c r="AU1872" s="6" t="str">
        <f>HYPERLINK("http://catalog.hathitrust.org/Record/005930643","HathiTrust Record")</f>
        <v>HathiTrust Record</v>
      </c>
      <c r="AV1872" s="6" t="str">
        <f>HYPERLINK("http://mcgill.on.worldcat.org/oclc/148313748","Catalog Record")</f>
        <v>Catalog Record</v>
      </c>
      <c r="AW1872" s="6" t="str">
        <f>HYPERLINK("http://www.worldcat.org/oclc/148313748","WorldCat Record")</f>
        <v>WorldCat Record</v>
      </c>
      <c r="AX1872" s="3" t="s">
        <v>19001</v>
      </c>
      <c r="AY1872" s="3" t="s">
        <v>19002</v>
      </c>
      <c r="AZ1872" s="3" t="s">
        <v>19003</v>
      </c>
      <c r="BA1872" s="3" t="s">
        <v>19003</v>
      </c>
      <c r="BB1872" s="3" t="s">
        <v>19004</v>
      </c>
      <c r="BC1872" s="3" t="s">
        <v>77</v>
      </c>
      <c r="BD1872" s="3" t="s">
        <v>78</v>
      </c>
      <c r="BE1872" s="3" t="s">
        <v>19005</v>
      </c>
      <c r="BF1872" s="3" t="s">
        <v>19004</v>
      </c>
      <c r="BG1872" s="3" t="s">
        <v>19006</v>
      </c>
      <c r="BH1872">
        <f t="shared" si="51"/>
        <v>0</v>
      </c>
    </row>
    <row r="1873" spans="1:60" ht="58" x14ac:dyDescent="0.35">
      <c r="A1873" s="2" t="s">
        <v>59</v>
      </c>
      <c r="B1873" s="2" t="s">
        <v>60</v>
      </c>
      <c r="C1873" s="2" t="s">
        <v>19007</v>
      </c>
      <c r="D1873" s="2" t="s">
        <v>19008</v>
      </c>
      <c r="E1873" s="2" t="s">
        <v>19009</v>
      </c>
      <c r="G1873" s="3" t="s">
        <v>64</v>
      </c>
      <c r="I1873" s="3" t="s">
        <v>64</v>
      </c>
      <c r="J1873" s="3" t="s">
        <v>64</v>
      </c>
      <c r="K1873" s="3" t="s">
        <v>65</v>
      </c>
      <c r="L1873" s="2" t="s">
        <v>19010</v>
      </c>
      <c r="M1873" s="2" t="s">
        <v>9095</v>
      </c>
      <c r="N1873" s="3" t="s">
        <v>551</v>
      </c>
      <c r="P1873" s="3" t="s">
        <v>102</v>
      </c>
      <c r="Q1873" s="2" t="s">
        <v>8981</v>
      </c>
      <c r="R1873" s="3" t="s">
        <v>70</v>
      </c>
      <c r="S1873" s="4">
        <v>20</v>
      </c>
      <c r="T1873" s="4">
        <v>20</v>
      </c>
      <c r="U1873" s="5" t="s">
        <v>19011</v>
      </c>
      <c r="V1873" s="5" t="s">
        <v>19011</v>
      </c>
      <c r="W1873" s="5" t="s">
        <v>72</v>
      </c>
      <c r="X1873" s="5" t="s">
        <v>72</v>
      </c>
      <c r="Y1873" s="4">
        <v>206</v>
      </c>
      <c r="Z1873" s="4">
        <v>21</v>
      </c>
      <c r="AA1873" s="4">
        <v>27</v>
      </c>
      <c r="AB1873" s="4">
        <v>3</v>
      </c>
      <c r="AC1873" s="4">
        <v>6</v>
      </c>
      <c r="AD1873" s="4">
        <v>50</v>
      </c>
      <c r="AE1873" s="4">
        <v>57</v>
      </c>
      <c r="AF1873" s="4">
        <v>1</v>
      </c>
      <c r="AG1873" s="4">
        <v>2</v>
      </c>
      <c r="AH1873" s="4">
        <v>40</v>
      </c>
      <c r="AI1873" s="4">
        <v>44</v>
      </c>
      <c r="AJ1873" s="4">
        <v>13</v>
      </c>
      <c r="AK1873" s="4">
        <v>14</v>
      </c>
      <c r="AL1873" s="4">
        <v>25</v>
      </c>
      <c r="AM1873" s="4">
        <v>27</v>
      </c>
      <c r="AN1873" s="4">
        <v>0</v>
      </c>
      <c r="AO1873" s="4">
        <v>0</v>
      </c>
      <c r="AP1873" s="4">
        <v>16</v>
      </c>
      <c r="AQ1873" s="4">
        <v>18</v>
      </c>
      <c r="AR1873" s="3" t="s">
        <v>64</v>
      </c>
      <c r="AS1873" s="3" t="s">
        <v>64</v>
      </c>
      <c r="AT1873" s="3" t="s">
        <v>128</v>
      </c>
      <c r="AU1873" s="6" t="str">
        <f>HYPERLINK("http://catalog.hathitrust.org/Record/005927528","HathiTrust Record")</f>
        <v>HathiTrust Record</v>
      </c>
      <c r="AV1873" s="6" t="str">
        <f>HYPERLINK("http://mcgill.on.worldcat.org/oclc/148313906","Catalog Record")</f>
        <v>Catalog Record</v>
      </c>
      <c r="AW1873" s="6" t="str">
        <f>HYPERLINK("http://www.worldcat.org/oclc/148313906","WorldCat Record")</f>
        <v>WorldCat Record</v>
      </c>
      <c r="AX1873" s="3" t="s">
        <v>19012</v>
      </c>
      <c r="AY1873" s="3" t="s">
        <v>19013</v>
      </c>
      <c r="AZ1873" s="3" t="s">
        <v>19014</v>
      </c>
      <c r="BA1873" s="3" t="s">
        <v>19014</v>
      </c>
      <c r="BB1873" s="3" t="s">
        <v>19015</v>
      </c>
      <c r="BC1873" s="3" t="s">
        <v>77</v>
      </c>
      <c r="BD1873" s="3" t="s">
        <v>78</v>
      </c>
      <c r="BE1873" s="3" t="s">
        <v>19016</v>
      </c>
      <c r="BF1873" s="3" t="s">
        <v>19015</v>
      </c>
      <c r="BG1873" s="3" t="s">
        <v>19017</v>
      </c>
      <c r="BH1873">
        <f t="shared" si="51"/>
        <v>0</v>
      </c>
    </row>
    <row r="1874" spans="1:60" ht="58" x14ac:dyDescent="0.35">
      <c r="A1874" s="2" t="s">
        <v>59</v>
      </c>
      <c r="B1874" s="2" t="s">
        <v>60</v>
      </c>
      <c r="C1874" s="2" t="s">
        <v>19018</v>
      </c>
      <c r="D1874" s="2" t="s">
        <v>19019</v>
      </c>
      <c r="E1874" s="2" t="s">
        <v>19020</v>
      </c>
      <c r="G1874" s="3" t="s">
        <v>64</v>
      </c>
      <c r="I1874" s="3" t="s">
        <v>64</v>
      </c>
      <c r="J1874" s="3" t="s">
        <v>64</v>
      </c>
      <c r="K1874" s="3" t="s">
        <v>65</v>
      </c>
      <c r="M1874" s="2" t="s">
        <v>16385</v>
      </c>
      <c r="N1874" s="3" t="s">
        <v>392</v>
      </c>
      <c r="P1874" s="3" t="s">
        <v>102</v>
      </c>
      <c r="R1874" s="3" t="s">
        <v>70</v>
      </c>
      <c r="S1874" s="4">
        <v>5</v>
      </c>
      <c r="T1874" s="4">
        <v>5</v>
      </c>
      <c r="U1874" s="5" t="s">
        <v>14431</v>
      </c>
      <c r="V1874" s="5" t="s">
        <v>14431</v>
      </c>
      <c r="W1874" s="5" t="s">
        <v>72</v>
      </c>
      <c r="X1874" s="5" t="s">
        <v>72</v>
      </c>
      <c r="Y1874" s="4">
        <v>534</v>
      </c>
      <c r="Z1874" s="4">
        <v>30</v>
      </c>
      <c r="AA1874" s="4">
        <v>32</v>
      </c>
      <c r="AB1874" s="4">
        <v>4</v>
      </c>
      <c r="AC1874" s="4">
        <v>6</v>
      </c>
      <c r="AD1874" s="4">
        <v>106</v>
      </c>
      <c r="AE1874" s="4">
        <v>108</v>
      </c>
      <c r="AF1874" s="4">
        <v>2</v>
      </c>
      <c r="AG1874" s="4">
        <v>4</v>
      </c>
      <c r="AH1874" s="4">
        <v>92</v>
      </c>
      <c r="AI1874" s="4">
        <v>92</v>
      </c>
      <c r="AJ1874" s="4">
        <v>15</v>
      </c>
      <c r="AK1874" s="4">
        <v>16</v>
      </c>
      <c r="AL1874" s="4">
        <v>48</v>
      </c>
      <c r="AM1874" s="4">
        <v>48</v>
      </c>
      <c r="AN1874" s="4">
        <v>0</v>
      </c>
      <c r="AO1874" s="4">
        <v>0</v>
      </c>
      <c r="AP1874" s="4">
        <v>21</v>
      </c>
      <c r="AQ1874" s="4">
        <v>22</v>
      </c>
      <c r="AR1874" s="3" t="s">
        <v>64</v>
      </c>
      <c r="AS1874" s="3" t="s">
        <v>64</v>
      </c>
      <c r="AT1874" s="3" t="s">
        <v>64</v>
      </c>
      <c r="AV1874" s="6" t="str">
        <f>HYPERLINK("http://mcgill.on.worldcat.org/oclc/40861966","Catalog Record")</f>
        <v>Catalog Record</v>
      </c>
      <c r="AW1874" s="6" t="str">
        <f>HYPERLINK("http://www.worldcat.org/oclc/40861966","WorldCat Record")</f>
        <v>WorldCat Record</v>
      </c>
      <c r="AX1874" s="3" t="s">
        <v>19021</v>
      </c>
      <c r="AY1874" s="3" t="s">
        <v>19022</v>
      </c>
      <c r="AZ1874" s="3" t="s">
        <v>19023</v>
      </c>
      <c r="BA1874" s="3" t="s">
        <v>19023</v>
      </c>
      <c r="BB1874" s="3" t="s">
        <v>19024</v>
      </c>
      <c r="BC1874" s="3" t="s">
        <v>77</v>
      </c>
      <c r="BD1874" s="3" t="s">
        <v>78</v>
      </c>
      <c r="BE1874" s="3" t="s">
        <v>19025</v>
      </c>
      <c r="BF1874" s="3" t="s">
        <v>19024</v>
      </c>
      <c r="BG1874" s="3" t="s">
        <v>19026</v>
      </c>
      <c r="BH1874">
        <f t="shared" si="51"/>
        <v>0</v>
      </c>
    </row>
    <row r="1875" spans="1:60" ht="58" x14ac:dyDescent="0.35">
      <c r="A1875" s="2" t="s">
        <v>59</v>
      </c>
      <c r="B1875" s="2" t="s">
        <v>60</v>
      </c>
      <c r="C1875" s="2" t="s">
        <v>19027</v>
      </c>
      <c r="D1875" s="2" t="s">
        <v>19028</v>
      </c>
      <c r="E1875" s="2" t="s">
        <v>19029</v>
      </c>
      <c r="G1875" s="3" t="s">
        <v>64</v>
      </c>
      <c r="I1875" s="3" t="s">
        <v>64</v>
      </c>
      <c r="J1875" s="3" t="s">
        <v>64</v>
      </c>
      <c r="K1875" s="3" t="s">
        <v>65</v>
      </c>
      <c r="M1875" s="2" t="s">
        <v>19030</v>
      </c>
      <c r="N1875" s="3" t="s">
        <v>291</v>
      </c>
      <c r="P1875" s="3" t="s">
        <v>102</v>
      </c>
      <c r="R1875" s="3" t="s">
        <v>70</v>
      </c>
      <c r="S1875" s="4">
        <v>9</v>
      </c>
      <c r="T1875" s="4">
        <v>9</v>
      </c>
      <c r="U1875" s="5" t="s">
        <v>15095</v>
      </c>
      <c r="V1875" s="5" t="s">
        <v>15095</v>
      </c>
      <c r="W1875" s="5" t="s">
        <v>72</v>
      </c>
      <c r="X1875" s="5" t="s">
        <v>72</v>
      </c>
      <c r="Y1875" s="4">
        <v>576</v>
      </c>
      <c r="Z1875" s="4">
        <v>40</v>
      </c>
      <c r="AA1875" s="4">
        <v>45</v>
      </c>
      <c r="AB1875" s="4">
        <v>2</v>
      </c>
      <c r="AC1875" s="4">
        <v>7</v>
      </c>
      <c r="AD1875" s="4">
        <v>93</v>
      </c>
      <c r="AE1875" s="4">
        <v>96</v>
      </c>
      <c r="AF1875" s="4">
        <v>1</v>
      </c>
      <c r="AG1875" s="4">
        <v>4</v>
      </c>
      <c r="AH1875" s="4">
        <v>72</v>
      </c>
      <c r="AI1875" s="4">
        <v>73</v>
      </c>
      <c r="AJ1875" s="4">
        <v>16</v>
      </c>
      <c r="AK1875" s="4">
        <v>18</v>
      </c>
      <c r="AL1875" s="4">
        <v>36</v>
      </c>
      <c r="AM1875" s="4">
        <v>36</v>
      </c>
      <c r="AN1875" s="4">
        <v>0</v>
      </c>
      <c r="AO1875" s="4">
        <v>0</v>
      </c>
      <c r="AP1875" s="4">
        <v>26</v>
      </c>
      <c r="AQ1875" s="4">
        <v>29</v>
      </c>
      <c r="AR1875" s="3" t="s">
        <v>64</v>
      </c>
      <c r="AS1875" s="3" t="s">
        <v>64</v>
      </c>
      <c r="AT1875" s="3" t="s">
        <v>64</v>
      </c>
      <c r="AV1875" s="6" t="str">
        <f>HYPERLINK("http://mcgill.on.worldcat.org/oclc/177818002","Catalog Record")</f>
        <v>Catalog Record</v>
      </c>
      <c r="AW1875" s="6" t="str">
        <f>HYPERLINK("http://www.worldcat.org/oclc/177818002","WorldCat Record")</f>
        <v>WorldCat Record</v>
      </c>
      <c r="AX1875" s="3" t="s">
        <v>19031</v>
      </c>
      <c r="AY1875" s="3" t="s">
        <v>19032</v>
      </c>
      <c r="AZ1875" s="3" t="s">
        <v>19033</v>
      </c>
      <c r="BA1875" s="3" t="s">
        <v>19033</v>
      </c>
      <c r="BB1875" s="3" t="s">
        <v>19034</v>
      </c>
      <c r="BC1875" s="3" t="s">
        <v>77</v>
      </c>
      <c r="BD1875" s="3" t="s">
        <v>78</v>
      </c>
      <c r="BE1875" s="3" t="s">
        <v>19035</v>
      </c>
      <c r="BF1875" s="3" t="s">
        <v>19034</v>
      </c>
      <c r="BG1875" s="3" t="s">
        <v>19036</v>
      </c>
      <c r="BH1875">
        <f t="shared" si="51"/>
        <v>0</v>
      </c>
    </row>
    <row r="1876" spans="1:60" ht="58" x14ac:dyDescent="0.35">
      <c r="A1876" s="2" t="s">
        <v>59</v>
      </c>
      <c r="B1876" s="2" t="s">
        <v>60</v>
      </c>
      <c r="C1876" s="2" t="s">
        <v>19037</v>
      </c>
      <c r="D1876" s="2" t="s">
        <v>19038</v>
      </c>
      <c r="E1876" s="2" t="s">
        <v>19039</v>
      </c>
      <c r="G1876" s="3" t="s">
        <v>64</v>
      </c>
      <c r="I1876" s="3" t="s">
        <v>64</v>
      </c>
      <c r="J1876" s="3" t="s">
        <v>64</v>
      </c>
      <c r="K1876" s="3" t="s">
        <v>65</v>
      </c>
      <c r="M1876" s="2" t="s">
        <v>19040</v>
      </c>
      <c r="N1876" s="3" t="s">
        <v>1075</v>
      </c>
      <c r="P1876" s="3" t="s">
        <v>102</v>
      </c>
      <c r="R1876" s="3" t="s">
        <v>70</v>
      </c>
      <c r="S1876" s="4">
        <v>3</v>
      </c>
      <c r="T1876" s="4">
        <v>3</v>
      </c>
      <c r="U1876" s="5" t="s">
        <v>17588</v>
      </c>
      <c r="V1876" s="5" t="s">
        <v>17588</v>
      </c>
      <c r="W1876" s="5" t="s">
        <v>72</v>
      </c>
      <c r="X1876" s="5" t="s">
        <v>72</v>
      </c>
      <c r="Y1876" s="4">
        <v>40</v>
      </c>
      <c r="Z1876" s="4">
        <v>3</v>
      </c>
      <c r="AA1876" s="4">
        <v>3</v>
      </c>
      <c r="AB1876" s="4">
        <v>1</v>
      </c>
      <c r="AC1876" s="4">
        <v>1</v>
      </c>
      <c r="AD1876" s="4">
        <v>8</v>
      </c>
      <c r="AE1876" s="4">
        <v>8</v>
      </c>
      <c r="AF1876" s="4">
        <v>0</v>
      </c>
      <c r="AG1876" s="4">
        <v>0</v>
      </c>
      <c r="AH1876" s="4">
        <v>7</v>
      </c>
      <c r="AI1876" s="4">
        <v>7</v>
      </c>
      <c r="AJ1876" s="4">
        <v>2</v>
      </c>
      <c r="AK1876" s="4">
        <v>2</v>
      </c>
      <c r="AL1876" s="4">
        <v>2</v>
      </c>
      <c r="AM1876" s="4">
        <v>2</v>
      </c>
      <c r="AN1876" s="4">
        <v>0</v>
      </c>
      <c r="AO1876" s="4">
        <v>0</v>
      </c>
      <c r="AP1876" s="4">
        <v>2</v>
      </c>
      <c r="AQ1876" s="4">
        <v>2</v>
      </c>
      <c r="AR1876" s="3" t="s">
        <v>64</v>
      </c>
      <c r="AS1876" s="3" t="s">
        <v>64</v>
      </c>
      <c r="AT1876" s="3" t="s">
        <v>64</v>
      </c>
      <c r="AV1876" s="6" t="str">
        <f>HYPERLINK("http://mcgill.on.worldcat.org/oclc/773023799","Catalog Record")</f>
        <v>Catalog Record</v>
      </c>
      <c r="AW1876" s="6" t="str">
        <f>HYPERLINK("http://www.worldcat.org/oclc/773023799","WorldCat Record")</f>
        <v>WorldCat Record</v>
      </c>
      <c r="AX1876" s="3" t="s">
        <v>19041</v>
      </c>
      <c r="AY1876" s="3" t="s">
        <v>19042</v>
      </c>
      <c r="AZ1876" s="3" t="s">
        <v>19043</v>
      </c>
      <c r="BA1876" s="3" t="s">
        <v>19043</v>
      </c>
      <c r="BB1876" s="3" t="s">
        <v>19044</v>
      </c>
      <c r="BC1876" s="3" t="s">
        <v>77</v>
      </c>
      <c r="BD1876" s="3" t="s">
        <v>78</v>
      </c>
      <c r="BE1876" s="3" t="s">
        <v>19045</v>
      </c>
      <c r="BF1876" s="3" t="s">
        <v>19044</v>
      </c>
      <c r="BG1876" s="3" t="s">
        <v>19046</v>
      </c>
      <c r="BH1876">
        <f t="shared" si="51"/>
        <v>0</v>
      </c>
    </row>
    <row r="1877" spans="1:60" ht="58" x14ac:dyDescent="0.35">
      <c r="A1877" s="2" t="s">
        <v>59</v>
      </c>
      <c r="B1877" s="2" t="s">
        <v>60</v>
      </c>
      <c r="C1877" s="2" t="s">
        <v>19047</v>
      </c>
      <c r="D1877" s="2" t="s">
        <v>19048</v>
      </c>
      <c r="E1877" s="2" t="s">
        <v>19049</v>
      </c>
      <c r="G1877" s="3" t="s">
        <v>64</v>
      </c>
      <c r="I1877" s="3" t="s">
        <v>64</v>
      </c>
      <c r="J1877" s="3" t="s">
        <v>64</v>
      </c>
      <c r="K1877" s="3" t="s">
        <v>65</v>
      </c>
      <c r="M1877" s="2" t="s">
        <v>19050</v>
      </c>
      <c r="N1877" s="3" t="s">
        <v>1075</v>
      </c>
      <c r="P1877" s="3" t="s">
        <v>102</v>
      </c>
      <c r="R1877" s="3" t="s">
        <v>70</v>
      </c>
      <c r="S1877" s="4">
        <v>10</v>
      </c>
      <c r="T1877" s="4">
        <v>10</v>
      </c>
      <c r="U1877" s="5" t="s">
        <v>15334</v>
      </c>
      <c r="V1877" s="5" t="s">
        <v>15334</v>
      </c>
      <c r="W1877" s="5" t="s">
        <v>72</v>
      </c>
      <c r="X1877" s="5" t="s">
        <v>72</v>
      </c>
      <c r="Y1877" s="4">
        <v>122</v>
      </c>
      <c r="Z1877" s="4">
        <v>13</v>
      </c>
      <c r="AA1877" s="4">
        <v>24</v>
      </c>
      <c r="AB1877" s="4">
        <v>1</v>
      </c>
      <c r="AC1877" s="4">
        <v>6</v>
      </c>
      <c r="AD1877" s="4">
        <v>34</v>
      </c>
      <c r="AE1877" s="4">
        <v>43</v>
      </c>
      <c r="AF1877" s="4">
        <v>0</v>
      </c>
      <c r="AG1877" s="4">
        <v>2</v>
      </c>
      <c r="AH1877" s="4">
        <v>30</v>
      </c>
      <c r="AI1877" s="4">
        <v>35</v>
      </c>
      <c r="AJ1877" s="4">
        <v>7</v>
      </c>
      <c r="AK1877" s="4">
        <v>11</v>
      </c>
      <c r="AL1877" s="4">
        <v>20</v>
      </c>
      <c r="AM1877" s="4">
        <v>23</v>
      </c>
      <c r="AN1877" s="4">
        <v>0</v>
      </c>
      <c r="AO1877" s="4">
        <v>0</v>
      </c>
      <c r="AP1877" s="4">
        <v>8</v>
      </c>
      <c r="AQ1877" s="4">
        <v>12</v>
      </c>
      <c r="AR1877" s="3" t="s">
        <v>64</v>
      </c>
      <c r="AS1877" s="3" t="s">
        <v>64</v>
      </c>
      <c r="AT1877" s="3" t="s">
        <v>64</v>
      </c>
      <c r="AV1877" s="6" t="str">
        <f>HYPERLINK("http://mcgill.on.worldcat.org/oclc/781939375","Catalog Record")</f>
        <v>Catalog Record</v>
      </c>
      <c r="AW1877" s="6" t="str">
        <f>HYPERLINK("http://www.worldcat.org/oclc/781939375","WorldCat Record")</f>
        <v>WorldCat Record</v>
      </c>
      <c r="AX1877" s="3" t="s">
        <v>19051</v>
      </c>
      <c r="AY1877" s="3" t="s">
        <v>19052</v>
      </c>
      <c r="AZ1877" s="3" t="s">
        <v>19053</v>
      </c>
      <c r="BA1877" s="3" t="s">
        <v>19053</v>
      </c>
      <c r="BB1877" s="3" t="s">
        <v>19054</v>
      </c>
      <c r="BC1877" s="3" t="s">
        <v>77</v>
      </c>
      <c r="BD1877" s="3" t="s">
        <v>78</v>
      </c>
      <c r="BE1877" s="3" t="s">
        <v>19055</v>
      </c>
      <c r="BF1877" s="3" t="s">
        <v>19054</v>
      </c>
      <c r="BG1877" s="3" t="s">
        <v>19056</v>
      </c>
      <c r="BH1877">
        <f t="shared" si="51"/>
        <v>0</v>
      </c>
    </row>
    <row r="1878" spans="1:60" ht="58" x14ac:dyDescent="0.35">
      <c r="A1878" s="2" t="s">
        <v>59</v>
      </c>
      <c r="B1878" s="2" t="s">
        <v>60</v>
      </c>
      <c r="C1878" s="2" t="s">
        <v>19057</v>
      </c>
      <c r="D1878" s="2" t="s">
        <v>19058</v>
      </c>
      <c r="E1878" s="2" t="s">
        <v>19059</v>
      </c>
      <c r="G1878" s="3" t="s">
        <v>64</v>
      </c>
      <c r="I1878" s="3" t="s">
        <v>64</v>
      </c>
      <c r="J1878" s="3" t="s">
        <v>64</v>
      </c>
      <c r="K1878" s="3" t="s">
        <v>65</v>
      </c>
      <c r="M1878" s="2" t="s">
        <v>15272</v>
      </c>
      <c r="N1878" s="3" t="s">
        <v>291</v>
      </c>
      <c r="P1878" s="3" t="s">
        <v>102</v>
      </c>
      <c r="R1878" s="3" t="s">
        <v>70</v>
      </c>
      <c r="S1878" s="4">
        <v>8</v>
      </c>
      <c r="T1878" s="4">
        <v>8</v>
      </c>
      <c r="U1878" s="5" t="s">
        <v>19060</v>
      </c>
      <c r="V1878" s="5" t="s">
        <v>19060</v>
      </c>
      <c r="W1878" s="5" t="s">
        <v>72</v>
      </c>
      <c r="X1878" s="5" t="s">
        <v>72</v>
      </c>
      <c r="Y1878" s="4">
        <v>409</v>
      </c>
      <c r="Z1878" s="4">
        <v>30</v>
      </c>
      <c r="AA1878" s="4">
        <v>57</v>
      </c>
      <c r="AB1878" s="4">
        <v>3</v>
      </c>
      <c r="AC1878" s="4">
        <v>9</v>
      </c>
      <c r="AD1878" s="4">
        <v>97</v>
      </c>
      <c r="AE1878" s="4">
        <v>105</v>
      </c>
      <c r="AF1878" s="4">
        <v>1</v>
      </c>
      <c r="AG1878" s="4">
        <v>3</v>
      </c>
      <c r="AH1878" s="4">
        <v>84</v>
      </c>
      <c r="AI1878" s="4">
        <v>88</v>
      </c>
      <c r="AJ1878" s="4">
        <v>19</v>
      </c>
      <c r="AK1878" s="4">
        <v>21</v>
      </c>
      <c r="AL1878" s="4">
        <v>44</v>
      </c>
      <c r="AM1878" s="4">
        <v>44</v>
      </c>
      <c r="AN1878" s="4">
        <v>0</v>
      </c>
      <c r="AO1878" s="4">
        <v>0</v>
      </c>
      <c r="AP1878" s="4">
        <v>23</v>
      </c>
      <c r="AQ1878" s="4">
        <v>26</v>
      </c>
      <c r="AR1878" s="3" t="s">
        <v>64</v>
      </c>
      <c r="AS1878" s="3" t="s">
        <v>64</v>
      </c>
      <c r="AT1878" s="3" t="s">
        <v>64</v>
      </c>
      <c r="AV1878" s="6" t="str">
        <f>HYPERLINK("http://mcgill.on.worldcat.org/oclc/71779016","Catalog Record")</f>
        <v>Catalog Record</v>
      </c>
      <c r="AW1878" s="6" t="str">
        <f>HYPERLINK("http://www.worldcat.org/oclc/71779016","WorldCat Record")</f>
        <v>WorldCat Record</v>
      </c>
      <c r="AX1878" s="3" t="s">
        <v>19061</v>
      </c>
      <c r="AY1878" s="3" t="s">
        <v>19062</v>
      </c>
      <c r="AZ1878" s="3" t="s">
        <v>19063</v>
      </c>
      <c r="BA1878" s="3" t="s">
        <v>19063</v>
      </c>
      <c r="BB1878" s="3" t="s">
        <v>19064</v>
      </c>
      <c r="BC1878" s="3" t="s">
        <v>77</v>
      </c>
      <c r="BD1878" s="3" t="s">
        <v>78</v>
      </c>
      <c r="BE1878" s="3" t="s">
        <v>19065</v>
      </c>
      <c r="BF1878" s="3" t="s">
        <v>19064</v>
      </c>
      <c r="BG1878" s="3" t="s">
        <v>19066</v>
      </c>
      <c r="BH1878">
        <f t="shared" si="51"/>
        <v>0</v>
      </c>
    </row>
    <row r="1879" spans="1:60" ht="58" x14ac:dyDescent="0.35">
      <c r="A1879" s="2" t="s">
        <v>59</v>
      </c>
      <c r="B1879" s="2" t="s">
        <v>60</v>
      </c>
      <c r="C1879" s="2" t="s">
        <v>19067</v>
      </c>
      <c r="D1879" s="2" t="s">
        <v>19068</v>
      </c>
      <c r="E1879" s="2" t="s">
        <v>19069</v>
      </c>
      <c r="G1879" s="3" t="s">
        <v>64</v>
      </c>
      <c r="I1879" s="3" t="s">
        <v>64</v>
      </c>
      <c r="J1879" s="3" t="s">
        <v>64</v>
      </c>
      <c r="K1879" s="3" t="s">
        <v>65</v>
      </c>
      <c r="M1879" s="2" t="s">
        <v>19070</v>
      </c>
      <c r="N1879" s="3" t="s">
        <v>159</v>
      </c>
      <c r="P1879" s="3" t="s">
        <v>102</v>
      </c>
      <c r="R1879" s="3" t="s">
        <v>70</v>
      </c>
      <c r="S1879" s="4">
        <v>12</v>
      </c>
      <c r="T1879" s="4">
        <v>12</v>
      </c>
      <c r="U1879" s="5" t="s">
        <v>17588</v>
      </c>
      <c r="V1879" s="5" t="s">
        <v>17588</v>
      </c>
      <c r="W1879" s="5" t="s">
        <v>72</v>
      </c>
      <c r="X1879" s="5" t="s">
        <v>72</v>
      </c>
      <c r="Y1879" s="4">
        <v>542</v>
      </c>
      <c r="Z1879" s="4">
        <v>36</v>
      </c>
      <c r="AA1879" s="4">
        <v>38</v>
      </c>
      <c r="AB1879" s="4">
        <v>2</v>
      </c>
      <c r="AC1879" s="4">
        <v>4</v>
      </c>
      <c r="AD1879" s="4">
        <v>94</v>
      </c>
      <c r="AE1879" s="4">
        <v>97</v>
      </c>
      <c r="AF1879" s="4">
        <v>1</v>
      </c>
      <c r="AG1879" s="4">
        <v>3</v>
      </c>
      <c r="AH1879" s="4">
        <v>72</v>
      </c>
      <c r="AI1879" s="4">
        <v>74</v>
      </c>
      <c r="AJ1879" s="4">
        <v>16</v>
      </c>
      <c r="AK1879" s="4">
        <v>18</v>
      </c>
      <c r="AL1879" s="4">
        <v>40</v>
      </c>
      <c r="AM1879" s="4">
        <v>40</v>
      </c>
      <c r="AN1879" s="4">
        <v>0</v>
      </c>
      <c r="AO1879" s="4">
        <v>0</v>
      </c>
      <c r="AP1879" s="4">
        <v>28</v>
      </c>
      <c r="AQ1879" s="4">
        <v>29</v>
      </c>
      <c r="AR1879" s="3" t="s">
        <v>64</v>
      </c>
      <c r="AS1879" s="3" t="s">
        <v>64</v>
      </c>
      <c r="AT1879" s="3" t="s">
        <v>64</v>
      </c>
      <c r="AV1879" s="6" t="str">
        <f>HYPERLINK("http://mcgill.on.worldcat.org/oclc/48559503","Catalog Record")</f>
        <v>Catalog Record</v>
      </c>
      <c r="AW1879" s="6" t="str">
        <f>HYPERLINK("http://www.worldcat.org/oclc/48559503","WorldCat Record")</f>
        <v>WorldCat Record</v>
      </c>
      <c r="AX1879" s="3" t="s">
        <v>19071</v>
      </c>
      <c r="AY1879" s="3" t="s">
        <v>19072</v>
      </c>
      <c r="AZ1879" s="3" t="s">
        <v>19073</v>
      </c>
      <c r="BA1879" s="3" t="s">
        <v>19073</v>
      </c>
      <c r="BB1879" s="3" t="s">
        <v>19074</v>
      </c>
      <c r="BC1879" s="3" t="s">
        <v>77</v>
      </c>
      <c r="BD1879" s="3" t="s">
        <v>78</v>
      </c>
      <c r="BE1879" s="3" t="s">
        <v>19075</v>
      </c>
      <c r="BF1879" s="3" t="s">
        <v>19074</v>
      </c>
      <c r="BG1879" s="3" t="s">
        <v>19076</v>
      </c>
      <c r="BH1879">
        <f t="shared" si="51"/>
        <v>0</v>
      </c>
    </row>
    <row r="1880" spans="1:60" ht="72.5" x14ac:dyDescent="0.35">
      <c r="A1880" s="2" t="s">
        <v>59</v>
      </c>
      <c r="B1880" s="2" t="s">
        <v>60</v>
      </c>
      <c r="C1880" s="2" t="s">
        <v>19077</v>
      </c>
      <c r="D1880" s="2" t="s">
        <v>19078</v>
      </c>
      <c r="E1880" s="2" t="s">
        <v>19079</v>
      </c>
      <c r="G1880" s="3" t="s">
        <v>64</v>
      </c>
      <c r="I1880" s="3" t="s">
        <v>64</v>
      </c>
      <c r="J1880" s="3" t="s">
        <v>64</v>
      </c>
      <c r="K1880" s="3" t="s">
        <v>65</v>
      </c>
      <c r="L1880" s="2" t="s">
        <v>19080</v>
      </c>
      <c r="M1880" s="2" t="s">
        <v>19081</v>
      </c>
      <c r="N1880" s="3" t="s">
        <v>578</v>
      </c>
      <c r="P1880" s="3" t="s">
        <v>102</v>
      </c>
      <c r="Q1880" s="2" t="s">
        <v>19082</v>
      </c>
      <c r="R1880" s="3" t="s">
        <v>70</v>
      </c>
      <c r="S1880" s="4">
        <v>1</v>
      </c>
      <c r="T1880" s="4">
        <v>1</v>
      </c>
      <c r="U1880" s="5" t="s">
        <v>1325</v>
      </c>
      <c r="V1880" s="5" t="s">
        <v>1325</v>
      </c>
      <c r="W1880" s="5" t="s">
        <v>72</v>
      </c>
      <c r="X1880" s="5" t="s">
        <v>72</v>
      </c>
      <c r="Y1880" s="4">
        <v>180</v>
      </c>
      <c r="Z1880" s="4">
        <v>8</v>
      </c>
      <c r="AA1880" s="4">
        <v>28</v>
      </c>
      <c r="AB1880" s="4">
        <v>2</v>
      </c>
      <c r="AC1880" s="4">
        <v>6</v>
      </c>
      <c r="AD1880" s="4">
        <v>52</v>
      </c>
      <c r="AE1880" s="4">
        <v>81</v>
      </c>
      <c r="AF1880" s="4">
        <v>1</v>
      </c>
      <c r="AG1880" s="4">
        <v>3</v>
      </c>
      <c r="AH1880" s="4">
        <v>49</v>
      </c>
      <c r="AI1880" s="4">
        <v>67</v>
      </c>
      <c r="AJ1880" s="4">
        <v>2</v>
      </c>
      <c r="AK1880" s="4">
        <v>10</v>
      </c>
      <c r="AL1880" s="4">
        <v>27</v>
      </c>
      <c r="AM1880" s="4">
        <v>35</v>
      </c>
      <c r="AN1880" s="4">
        <v>0</v>
      </c>
      <c r="AO1880" s="4">
        <v>0</v>
      </c>
      <c r="AP1880" s="4">
        <v>4</v>
      </c>
      <c r="AQ1880" s="4">
        <v>17</v>
      </c>
      <c r="AR1880" s="3" t="s">
        <v>64</v>
      </c>
      <c r="AS1880" s="3" t="s">
        <v>64</v>
      </c>
      <c r="AT1880" s="3" t="s">
        <v>64</v>
      </c>
      <c r="AV1880" s="6" t="str">
        <f>HYPERLINK("http://mcgill.on.worldcat.org/oclc/1007085361","Catalog Record")</f>
        <v>Catalog Record</v>
      </c>
      <c r="AW1880" s="6" t="str">
        <f>HYPERLINK("http://www.worldcat.org/oclc/1007085361","WorldCat Record")</f>
        <v>WorldCat Record</v>
      </c>
      <c r="AX1880" s="3" t="s">
        <v>19083</v>
      </c>
      <c r="AY1880" s="3" t="s">
        <v>19084</v>
      </c>
      <c r="AZ1880" s="3" t="s">
        <v>19085</v>
      </c>
      <c r="BA1880" s="3" t="s">
        <v>19085</v>
      </c>
      <c r="BB1880" s="3" t="s">
        <v>19086</v>
      </c>
      <c r="BC1880" s="3" t="s">
        <v>77</v>
      </c>
      <c r="BD1880" s="3" t="s">
        <v>78</v>
      </c>
      <c r="BE1880" s="3" t="s">
        <v>19087</v>
      </c>
      <c r="BF1880" s="3" t="s">
        <v>19086</v>
      </c>
      <c r="BG1880" s="3" t="s">
        <v>19088</v>
      </c>
      <c r="BH1880">
        <f t="shared" si="51"/>
        <v>0</v>
      </c>
    </row>
    <row r="1881" spans="1:60" ht="58" x14ac:dyDescent="0.35">
      <c r="A1881" s="2" t="s">
        <v>59</v>
      </c>
      <c r="B1881" s="2" t="s">
        <v>60</v>
      </c>
      <c r="C1881" s="2" t="s">
        <v>19089</v>
      </c>
      <c r="D1881" s="2" t="s">
        <v>19090</v>
      </c>
      <c r="E1881" s="2" t="s">
        <v>19091</v>
      </c>
      <c r="G1881" s="3" t="s">
        <v>64</v>
      </c>
      <c r="I1881" s="3" t="s">
        <v>64</v>
      </c>
      <c r="J1881" s="3" t="s">
        <v>64</v>
      </c>
      <c r="K1881" s="3" t="s">
        <v>65</v>
      </c>
      <c r="L1881" s="2" t="s">
        <v>17245</v>
      </c>
      <c r="M1881" s="2" t="s">
        <v>15272</v>
      </c>
      <c r="N1881" s="3" t="s">
        <v>291</v>
      </c>
      <c r="P1881" s="3" t="s">
        <v>102</v>
      </c>
      <c r="R1881" s="3" t="s">
        <v>70</v>
      </c>
      <c r="S1881" s="4">
        <v>3</v>
      </c>
      <c r="T1881" s="4">
        <v>3</v>
      </c>
      <c r="U1881" s="5" t="s">
        <v>5273</v>
      </c>
      <c r="V1881" s="5" t="s">
        <v>5273</v>
      </c>
      <c r="W1881" s="5" t="s">
        <v>72</v>
      </c>
      <c r="X1881" s="5" t="s">
        <v>72</v>
      </c>
      <c r="Y1881" s="4">
        <v>709</v>
      </c>
      <c r="Z1881" s="4">
        <v>31</v>
      </c>
      <c r="AA1881" s="4">
        <v>55</v>
      </c>
      <c r="AB1881" s="4">
        <v>2</v>
      </c>
      <c r="AC1881" s="4">
        <v>6</v>
      </c>
      <c r="AD1881" s="4">
        <v>89</v>
      </c>
      <c r="AE1881" s="4">
        <v>96</v>
      </c>
      <c r="AF1881" s="4">
        <v>0</v>
      </c>
      <c r="AG1881" s="4">
        <v>0</v>
      </c>
      <c r="AH1881" s="4">
        <v>78</v>
      </c>
      <c r="AI1881" s="4">
        <v>83</v>
      </c>
      <c r="AJ1881" s="4">
        <v>13</v>
      </c>
      <c r="AK1881" s="4">
        <v>13</v>
      </c>
      <c r="AL1881" s="4">
        <v>41</v>
      </c>
      <c r="AM1881" s="4">
        <v>41</v>
      </c>
      <c r="AN1881" s="4">
        <v>5</v>
      </c>
      <c r="AO1881" s="4">
        <v>5</v>
      </c>
      <c r="AP1881" s="4">
        <v>19</v>
      </c>
      <c r="AQ1881" s="4">
        <v>21</v>
      </c>
      <c r="AR1881" s="3" t="s">
        <v>64</v>
      </c>
      <c r="AS1881" s="3" t="s">
        <v>64</v>
      </c>
      <c r="AT1881" s="3" t="s">
        <v>128</v>
      </c>
      <c r="AU1881" s="6" t="str">
        <f>HYPERLINK("http://catalog.hathitrust.org/Record/005561536","HathiTrust Record")</f>
        <v>HathiTrust Record</v>
      </c>
      <c r="AV1881" s="6" t="str">
        <f>HYPERLINK("http://mcgill.on.worldcat.org/oclc/131063369","Catalog Record")</f>
        <v>Catalog Record</v>
      </c>
      <c r="AW1881" s="6" t="str">
        <f>HYPERLINK("http://www.worldcat.org/oclc/131063369","WorldCat Record")</f>
        <v>WorldCat Record</v>
      </c>
      <c r="AX1881" s="3" t="s">
        <v>19092</v>
      </c>
      <c r="AY1881" s="3" t="s">
        <v>19093</v>
      </c>
      <c r="AZ1881" s="3" t="s">
        <v>19094</v>
      </c>
      <c r="BA1881" s="3" t="s">
        <v>19094</v>
      </c>
      <c r="BB1881" s="3" t="s">
        <v>19095</v>
      </c>
      <c r="BC1881" s="3" t="s">
        <v>77</v>
      </c>
      <c r="BD1881" s="3" t="s">
        <v>78</v>
      </c>
      <c r="BE1881" s="3" t="s">
        <v>19096</v>
      </c>
      <c r="BF1881" s="3" t="s">
        <v>19095</v>
      </c>
      <c r="BG1881" s="3" t="s">
        <v>19097</v>
      </c>
      <c r="BH1881">
        <f t="shared" si="51"/>
        <v>0</v>
      </c>
    </row>
    <row r="1882" spans="1:60" ht="58" x14ac:dyDescent="0.35">
      <c r="A1882" s="2" t="s">
        <v>59</v>
      </c>
      <c r="B1882" s="2" t="s">
        <v>60</v>
      </c>
      <c r="C1882" s="2" t="s">
        <v>19098</v>
      </c>
      <c r="D1882" s="2" t="s">
        <v>19099</v>
      </c>
      <c r="E1882" s="2" t="s">
        <v>19091</v>
      </c>
      <c r="G1882" s="3" t="s">
        <v>64</v>
      </c>
      <c r="I1882" s="3" t="s">
        <v>64</v>
      </c>
      <c r="J1882" s="3" t="s">
        <v>64</v>
      </c>
      <c r="K1882" s="3" t="s">
        <v>65</v>
      </c>
      <c r="L1882" s="2" t="s">
        <v>17245</v>
      </c>
      <c r="M1882" s="2" t="s">
        <v>19100</v>
      </c>
      <c r="N1882" s="3" t="s">
        <v>253</v>
      </c>
      <c r="O1882" s="2" t="s">
        <v>3787</v>
      </c>
      <c r="P1882" s="3" t="s">
        <v>102</v>
      </c>
      <c r="R1882" s="3" t="s">
        <v>70</v>
      </c>
      <c r="S1882" s="4">
        <v>4</v>
      </c>
      <c r="T1882" s="4">
        <v>4</v>
      </c>
      <c r="U1882" s="5" t="s">
        <v>17811</v>
      </c>
      <c r="V1882" s="5" t="s">
        <v>17811</v>
      </c>
      <c r="W1882" s="5" t="s">
        <v>72</v>
      </c>
      <c r="X1882" s="5" t="s">
        <v>72</v>
      </c>
      <c r="Y1882" s="4">
        <v>385</v>
      </c>
      <c r="Z1882" s="4">
        <v>9</v>
      </c>
      <c r="AA1882" s="4">
        <v>54</v>
      </c>
      <c r="AB1882" s="4">
        <v>1</v>
      </c>
      <c r="AC1882" s="4">
        <v>14</v>
      </c>
      <c r="AD1882" s="4">
        <v>38</v>
      </c>
      <c r="AE1882" s="4">
        <v>68</v>
      </c>
      <c r="AF1882" s="4">
        <v>0</v>
      </c>
      <c r="AG1882" s="4">
        <v>5</v>
      </c>
      <c r="AH1882" s="4">
        <v>33</v>
      </c>
      <c r="AI1882" s="4">
        <v>51</v>
      </c>
      <c r="AJ1882" s="4">
        <v>4</v>
      </c>
      <c r="AK1882" s="4">
        <v>11</v>
      </c>
      <c r="AL1882" s="4">
        <v>17</v>
      </c>
      <c r="AM1882" s="4">
        <v>26</v>
      </c>
      <c r="AN1882" s="4">
        <v>0</v>
      </c>
      <c r="AO1882" s="4">
        <v>0</v>
      </c>
      <c r="AP1882" s="4">
        <v>6</v>
      </c>
      <c r="AQ1882" s="4">
        <v>19</v>
      </c>
      <c r="AR1882" s="3" t="s">
        <v>64</v>
      </c>
      <c r="AS1882" s="3" t="s">
        <v>64</v>
      </c>
      <c r="AT1882" s="3" t="s">
        <v>64</v>
      </c>
      <c r="AV1882" s="6" t="str">
        <f>HYPERLINK("http://mcgill.on.worldcat.org/oclc/890912313","Catalog Record")</f>
        <v>Catalog Record</v>
      </c>
      <c r="AW1882" s="6" t="str">
        <f>HYPERLINK("http://www.worldcat.org/oclc/890912313","WorldCat Record")</f>
        <v>WorldCat Record</v>
      </c>
      <c r="AX1882" s="3" t="s">
        <v>19101</v>
      </c>
      <c r="AY1882" s="3" t="s">
        <v>19102</v>
      </c>
      <c r="AZ1882" s="3" t="s">
        <v>19103</v>
      </c>
      <c r="BA1882" s="3" t="s">
        <v>19103</v>
      </c>
      <c r="BB1882" s="3" t="s">
        <v>19104</v>
      </c>
      <c r="BC1882" s="3" t="s">
        <v>77</v>
      </c>
      <c r="BD1882" s="3" t="s">
        <v>78</v>
      </c>
      <c r="BE1882" s="3" t="s">
        <v>19105</v>
      </c>
      <c r="BF1882" s="3" t="s">
        <v>19104</v>
      </c>
      <c r="BG1882" s="3" t="s">
        <v>19106</v>
      </c>
      <c r="BH1882">
        <f t="shared" si="51"/>
        <v>0</v>
      </c>
    </row>
    <row r="1883" spans="1:60" ht="58" x14ac:dyDescent="0.35">
      <c r="A1883" s="2" t="s">
        <v>59</v>
      </c>
      <c r="B1883" s="2" t="s">
        <v>60</v>
      </c>
      <c r="C1883" s="2" t="s">
        <v>19107</v>
      </c>
      <c r="D1883" s="2" t="s">
        <v>19108</v>
      </c>
      <c r="E1883" s="2" t="s">
        <v>19109</v>
      </c>
      <c r="G1883" s="3" t="s">
        <v>64</v>
      </c>
      <c r="I1883" s="3" t="s">
        <v>64</v>
      </c>
      <c r="J1883" s="3" t="s">
        <v>64</v>
      </c>
      <c r="K1883" s="3" t="s">
        <v>65</v>
      </c>
      <c r="L1883" s="2" t="s">
        <v>19110</v>
      </c>
      <c r="M1883" s="2" t="s">
        <v>14235</v>
      </c>
      <c r="N1883" s="3" t="s">
        <v>511</v>
      </c>
      <c r="P1883" s="3" t="s">
        <v>102</v>
      </c>
      <c r="R1883" s="3" t="s">
        <v>70</v>
      </c>
      <c r="S1883" s="4">
        <v>11</v>
      </c>
      <c r="T1883" s="4">
        <v>11</v>
      </c>
      <c r="U1883" s="5" t="s">
        <v>14431</v>
      </c>
      <c r="V1883" s="5" t="s">
        <v>14431</v>
      </c>
      <c r="W1883" s="5" t="s">
        <v>72</v>
      </c>
      <c r="X1883" s="5" t="s">
        <v>72</v>
      </c>
      <c r="Y1883" s="4">
        <v>811</v>
      </c>
      <c r="Z1883" s="4">
        <v>41</v>
      </c>
      <c r="AA1883" s="4">
        <v>116</v>
      </c>
      <c r="AB1883" s="4">
        <v>2</v>
      </c>
      <c r="AC1883" s="4">
        <v>17</v>
      </c>
      <c r="AD1883" s="4">
        <v>102</v>
      </c>
      <c r="AE1883" s="4">
        <v>143</v>
      </c>
      <c r="AF1883" s="4">
        <v>1</v>
      </c>
      <c r="AG1883" s="4">
        <v>8</v>
      </c>
      <c r="AH1883" s="4">
        <v>85</v>
      </c>
      <c r="AI1883" s="4">
        <v>99</v>
      </c>
      <c r="AJ1883" s="4">
        <v>14</v>
      </c>
      <c r="AK1883" s="4">
        <v>23</v>
      </c>
      <c r="AL1883" s="4">
        <v>38</v>
      </c>
      <c r="AM1883" s="4">
        <v>48</v>
      </c>
      <c r="AN1883" s="4">
        <v>0</v>
      </c>
      <c r="AO1883" s="4">
        <v>0</v>
      </c>
      <c r="AP1883" s="4">
        <v>25</v>
      </c>
      <c r="AQ1883" s="4">
        <v>51</v>
      </c>
      <c r="AR1883" s="3" t="s">
        <v>64</v>
      </c>
      <c r="AS1883" s="3" t="s">
        <v>64</v>
      </c>
      <c r="AT1883" s="3" t="s">
        <v>64</v>
      </c>
      <c r="AV1883" s="6" t="str">
        <f>HYPERLINK("http://mcgill.on.worldcat.org/oclc/427704476","Catalog Record")</f>
        <v>Catalog Record</v>
      </c>
      <c r="AW1883" s="6" t="str">
        <f>HYPERLINK("http://www.worldcat.org/oclc/427704476","WorldCat Record")</f>
        <v>WorldCat Record</v>
      </c>
      <c r="AX1883" s="3" t="s">
        <v>19111</v>
      </c>
      <c r="AY1883" s="3" t="s">
        <v>19112</v>
      </c>
      <c r="AZ1883" s="3" t="s">
        <v>19113</v>
      </c>
      <c r="BA1883" s="3" t="s">
        <v>19113</v>
      </c>
      <c r="BB1883" s="3" t="s">
        <v>19114</v>
      </c>
      <c r="BC1883" s="3" t="s">
        <v>77</v>
      </c>
      <c r="BD1883" s="3" t="s">
        <v>78</v>
      </c>
      <c r="BE1883" s="3" t="s">
        <v>19115</v>
      </c>
      <c r="BF1883" s="3" t="s">
        <v>19114</v>
      </c>
      <c r="BG1883" s="3" t="s">
        <v>19116</v>
      </c>
      <c r="BH1883">
        <f t="shared" si="51"/>
        <v>0</v>
      </c>
    </row>
    <row r="1884" spans="1:60" ht="58" x14ac:dyDescent="0.35">
      <c r="A1884" s="2" t="s">
        <v>59</v>
      </c>
      <c r="B1884" s="2" t="s">
        <v>60</v>
      </c>
      <c r="C1884" s="2" t="s">
        <v>19117</v>
      </c>
      <c r="D1884" s="2" t="s">
        <v>19118</v>
      </c>
      <c r="E1884" s="2" t="s">
        <v>19119</v>
      </c>
      <c r="G1884" s="3" t="s">
        <v>64</v>
      </c>
      <c r="I1884" s="3" t="s">
        <v>64</v>
      </c>
      <c r="J1884" s="3" t="s">
        <v>64</v>
      </c>
      <c r="K1884" s="3" t="s">
        <v>65</v>
      </c>
      <c r="M1884" s="2" t="s">
        <v>15333</v>
      </c>
      <c r="N1884" s="3" t="s">
        <v>67</v>
      </c>
      <c r="P1884" s="3" t="s">
        <v>102</v>
      </c>
      <c r="R1884" s="3" t="s">
        <v>70</v>
      </c>
      <c r="S1884" s="4">
        <v>8</v>
      </c>
      <c r="T1884" s="4">
        <v>8</v>
      </c>
      <c r="U1884" s="5" t="s">
        <v>5052</v>
      </c>
      <c r="V1884" s="5" t="s">
        <v>5052</v>
      </c>
      <c r="W1884" s="5" t="s">
        <v>72</v>
      </c>
      <c r="X1884" s="5" t="s">
        <v>72</v>
      </c>
      <c r="Y1884" s="4">
        <v>209</v>
      </c>
      <c r="Z1884" s="4">
        <v>10</v>
      </c>
      <c r="AA1884" s="4">
        <v>98</v>
      </c>
      <c r="AB1884" s="4">
        <v>2</v>
      </c>
      <c r="AC1884" s="4">
        <v>16</v>
      </c>
      <c r="AD1884" s="4">
        <v>41</v>
      </c>
      <c r="AE1884" s="4">
        <v>101</v>
      </c>
      <c r="AF1884" s="4">
        <v>1</v>
      </c>
      <c r="AG1884" s="4">
        <v>8</v>
      </c>
      <c r="AH1884" s="4">
        <v>38</v>
      </c>
      <c r="AI1884" s="4">
        <v>67</v>
      </c>
      <c r="AJ1884" s="4">
        <v>5</v>
      </c>
      <c r="AK1884" s="4">
        <v>18</v>
      </c>
      <c r="AL1884" s="4">
        <v>24</v>
      </c>
      <c r="AM1884" s="4">
        <v>37</v>
      </c>
      <c r="AN1884" s="4">
        <v>0</v>
      </c>
      <c r="AO1884" s="4">
        <v>0</v>
      </c>
      <c r="AP1884" s="4">
        <v>6</v>
      </c>
      <c r="AQ1884" s="4">
        <v>39</v>
      </c>
      <c r="AR1884" s="3" t="s">
        <v>64</v>
      </c>
      <c r="AS1884" s="3" t="s">
        <v>64</v>
      </c>
      <c r="AT1884" s="3" t="s">
        <v>64</v>
      </c>
      <c r="AV1884" s="6" t="str">
        <f>HYPERLINK("http://mcgill.on.worldcat.org/oclc/861678331","Catalog Record")</f>
        <v>Catalog Record</v>
      </c>
      <c r="AW1884" s="6" t="str">
        <f>HYPERLINK("http://www.worldcat.org/oclc/861678331","WorldCat Record")</f>
        <v>WorldCat Record</v>
      </c>
      <c r="AX1884" s="3" t="s">
        <v>19120</v>
      </c>
      <c r="AY1884" s="3" t="s">
        <v>19121</v>
      </c>
      <c r="AZ1884" s="3" t="s">
        <v>19122</v>
      </c>
      <c r="BA1884" s="3" t="s">
        <v>19122</v>
      </c>
      <c r="BB1884" s="3" t="s">
        <v>19123</v>
      </c>
      <c r="BC1884" s="3" t="s">
        <v>77</v>
      </c>
      <c r="BD1884" s="3" t="s">
        <v>78</v>
      </c>
      <c r="BE1884" s="3" t="s">
        <v>19124</v>
      </c>
      <c r="BF1884" s="3" t="s">
        <v>19123</v>
      </c>
      <c r="BG1884" s="3" t="s">
        <v>19125</v>
      </c>
      <c r="BH1884">
        <f t="shared" si="51"/>
        <v>0</v>
      </c>
    </row>
    <row r="1885" spans="1:60" ht="58" x14ac:dyDescent="0.35">
      <c r="A1885" s="2" t="s">
        <v>59</v>
      </c>
      <c r="B1885" s="2" t="s">
        <v>60</v>
      </c>
      <c r="C1885" s="2" t="s">
        <v>19126</v>
      </c>
      <c r="D1885" s="2" t="s">
        <v>19127</v>
      </c>
      <c r="E1885" s="2" t="s">
        <v>19128</v>
      </c>
      <c r="G1885" s="3" t="s">
        <v>64</v>
      </c>
      <c r="I1885" s="3" t="s">
        <v>64</v>
      </c>
      <c r="J1885" s="3" t="s">
        <v>64</v>
      </c>
      <c r="K1885" s="3" t="s">
        <v>65</v>
      </c>
      <c r="M1885" s="2" t="s">
        <v>14662</v>
      </c>
      <c r="N1885" s="3" t="s">
        <v>551</v>
      </c>
      <c r="P1885" s="3" t="s">
        <v>102</v>
      </c>
      <c r="R1885" s="3" t="s">
        <v>70</v>
      </c>
      <c r="S1885" s="4">
        <v>10</v>
      </c>
      <c r="T1885" s="4">
        <v>10</v>
      </c>
      <c r="U1885" s="5" t="s">
        <v>1325</v>
      </c>
      <c r="V1885" s="5" t="s">
        <v>1325</v>
      </c>
      <c r="W1885" s="5" t="s">
        <v>72</v>
      </c>
      <c r="X1885" s="5" t="s">
        <v>72</v>
      </c>
      <c r="Y1885" s="4">
        <v>366</v>
      </c>
      <c r="Z1885" s="4">
        <v>21</v>
      </c>
      <c r="AA1885" s="4">
        <v>24</v>
      </c>
      <c r="AB1885" s="4">
        <v>3</v>
      </c>
      <c r="AC1885" s="4">
        <v>6</v>
      </c>
      <c r="AD1885" s="4">
        <v>74</v>
      </c>
      <c r="AE1885" s="4">
        <v>75</v>
      </c>
      <c r="AF1885" s="4">
        <v>1</v>
      </c>
      <c r="AG1885" s="4">
        <v>2</v>
      </c>
      <c r="AH1885" s="4">
        <v>63</v>
      </c>
      <c r="AI1885" s="4">
        <v>63</v>
      </c>
      <c r="AJ1885" s="4">
        <v>12</v>
      </c>
      <c r="AK1885" s="4">
        <v>13</v>
      </c>
      <c r="AL1885" s="4">
        <v>34</v>
      </c>
      <c r="AM1885" s="4">
        <v>34</v>
      </c>
      <c r="AN1885" s="4">
        <v>0</v>
      </c>
      <c r="AO1885" s="4">
        <v>0</v>
      </c>
      <c r="AP1885" s="4">
        <v>17</v>
      </c>
      <c r="AQ1885" s="4">
        <v>17</v>
      </c>
      <c r="AR1885" s="3" t="s">
        <v>64</v>
      </c>
      <c r="AS1885" s="3" t="s">
        <v>64</v>
      </c>
      <c r="AT1885" s="3" t="s">
        <v>64</v>
      </c>
      <c r="AV1885" s="6" t="str">
        <f>HYPERLINK("http://mcgill.on.worldcat.org/oclc/320524679","Catalog Record")</f>
        <v>Catalog Record</v>
      </c>
      <c r="AW1885" s="6" t="str">
        <f>HYPERLINK("http://www.worldcat.org/oclc/320524679","WorldCat Record")</f>
        <v>WorldCat Record</v>
      </c>
      <c r="AX1885" s="3" t="s">
        <v>19129</v>
      </c>
      <c r="AY1885" s="3" t="s">
        <v>19130</v>
      </c>
      <c r="AZ1885" s="3" t="s">
        <v>19131</v>
      </c>
      <c r="BA1885" s="3" t="s">
        <v>19131</v>
      </c>
      <c r="BB1885" s="3" t="s">
        <v>19132</v>
      </c>
      <c r="BC1885" s="3" t="s">
        <v>77</v>
      </c>
      <c r="BD1885" s="3" t="s">
        <v>78</v>
      </c>
      <c r="BE1885" s="3" t="s">
        <v>19133</v>
      </c>
      <c r="BF1885" s="3" t="s">
        <v>19132</v>
      </c>
      <c r="BG1885" s="3" t="s">
        <v>19134</v>
      </c>
      <c r="BH1885">
        <f t="shared" si="51"/>
        <v>0</v>
      </c>
    </row>
    <row r="1886" spans="1:60" ht="58" x14ac:dyDescent="0.35">
      <c r="A1886" s="2" t="s">
        <v>59</v>
      </c>
      <c r="B1886" s="2" t="s">
        <v>60</v>
      </c>
      <c r="C1886" s="2" t="s">
        <v>19135</v>
      </c>
      <c r="D1886" s="2" t="s">
        <v>19136</v>
      </c>
      <c r="E1886" s="2" t="s">
        <v>19137</v>
      </c>
      <c r="G1886" s="3" t="s">
        <v>64</v>
      </c>
      <c r="I1886" s="3" t="s">
        <v>64</v>
      </c>
      <c r="J1886" s="3" t="s">
        <v>64</v>
      </c>
      <c r="K1886" s="3" t="s">
        <v>65</v>
      </c>
      <c r="L1886" s="2" t="s">
        <v>19138</v>
      </c>
      <c r="M1886" s="2" t="s">
        <v>19139</v>
      </c>
      <c r="N1886" s="3" t="s">
        <v>86</v>
      </c>
      <c r="P1886" s="3" t="s">
        <v>102</v>
      </c>
      <c r="R1886" s="3" t="s">
        <v>70</v>
      </c>
      <c r="S1886" s="4">
        <v>3</v>
      </c>
      <c r="T1886" s="4">
        <v>3</v>
      </c>
      <c r="U1886" s="5" t="s">
        <v>6010</v>
      </c>
      <c r="V1886" s="5" t="s">
        <v>6010</v>
      </c>
      <c r="W1886" s="5" t="s">
        <v>72</v>
      </c>
      <c r="X1886" s="5" t="s">
        <v>72</v>
      </c>
      <c r="Y1886" s="4">
        <v>53</v>
      </c>
      <c r="Z1886" s="4">
        <v>3</v>
      </c>
      <c r="AA1886" s="4">
        <v>109</v>
      </c>
      <c r="AB1886" s="4">
        <v>1</v>
      </c>
      <c r="AC1886" s="4">
        <v>15</v>
      </c>
      <c r="AD1886" s="4">
        <v>9</v>
      </c>
      <c r="AE1886" s="4">
        <v>134</v>
      </c>
      <c r="AF1886" s="4">
        <v>0</v>
      </c>
      <c r="AG1886" s="4">
        <v>8</v>
      </c>
      <c r="AH1886" s="4">
        <v>7</v>
      </c>
      <c r="AI1886" s="4">
        <v>92</v>
      </c>
      <c r="AJ1886" s="4">
        <v>1</v>
      </c>
      <c r="AK1886" s="4">
        <v>24</v>
      </c>
      <c r="AL1886" s="4">
        <v>7</v>
      </c>
      <c r="AM1886" s="4">
        <v>46</v>
      </c>
      <c r="AN1886" s="4">
        <v>0</v>
      </c>
      <c r="AO1886" s="4">
        <v>0</v>
      </c>
      <c r="AP1886" s="4">
        <v>2</v>
      </c>
      <c r="AQ1886" s="4">
        <v>48</v>
      </c>
      <c r="AR1886" s="3" t="s">
        <v>64</v>
      </c>
      <c r="AS1886" s="3" t="s">
        <v>64</v>
      </c>
      <c r="AT1886" s="3" t="s">
        <v>64</v>
      </c>
      <c r="AV1886" s="6" t="str">
        <f>HYPERLINK("http://mcgill.on.worldcat.org/oclc/870649646","Catalog Record")</f>
        <v>Catalog Record</v>
      </c>
      <c r="AW1886" s="6" t="str">
        <f>HYPERLINK("http://www.worldcat.org/oclc/870649646","WorldCat Record")</f>
        <v>WorldCat Record</v>
      </c>
      <c r="AX1886" s="3" t="s">
        <v>19140</v>
      </c>
      <c r="AY1886" s="3" t="s">
        <v>19141</v>
      </c>
      <c r="AZ1886" s="3" t="s">
        <v>19142</v>
      </c>
      <c r="BA1886" s="3" t="s">
        <v>19142</v>
      </c>
      <c r="BB1886" s="3" t="s">
        <v>19143</v>
      </c>
      <c r="BC1886" s="3" t="s">
        <v>77</v>
      </c>
      <c r="BD1886" s="3" t="s">
        <v>78</v>
      </c>
      <c r="BE1886" s="3" t="s">
        <v>19144</v>
      </c>
      <c r="BF1886" s="3" t="s">
        <v>19143</v>
      </c>
      <c r="BG1886" s="3" t="s">
        <v>19145</v>
      </c>
      <c r="BH1886">
        <f t="shared" si="51"/>
        <v>0</v>
      </c>
    </row>
    <row r="1887" spans="1:60" ht="58" x14ac:dyDescent="0.35">
      <c r="A1887" s="2" t="s">
        <v>59</v>
      </c>
      <c r="B1887" s="2" t="s">
        <v>60</v>
      </c>
      <c r="C1887" s="2" t="s">
        <v>19146</v>
      </c>
      <c r="D1887" s="2" t="s">
        <v>19147</v>
      </c>
      <c r="E1887" s="2" t="s">
        <v>19148</v>
      </c>
      <c r="G1887" s="3" t="s">
        <v>64</v>
      </c>
      <c r="I1887" s="3" t="s">
        <v>64</v>
      </c>
      <c r="J1887" s="3" t="s">
        <v>64</v>
      </c>
      <c r="K1887" s="3" t="s">
        <v>65</v>
      </c>
      <c r="M1887" s="2" t="s">
        <v>19149</v>
      </c>
      <c r="N1887" s="3" t="s">
        <v>1031</v>
      </c>
      <c r="P1887" s="3" t="s">
        <v>68</v>
      </c>
      <c r="R1887" s="3" t="s">
        <v>70</v>
      </c>
      <c r="S1887" s="4">
        <v>3</v>
      </c>
      <c r="T1887" s="4">
        <v>3</v>
      </c>
      <c r="U1887" s="5" t="s">
        <v>1541</v>
      </c>
      <c r="V1887" s="5" t="s">
        <v>1541</v>
      </c>
      <c r="W1887" s="5" t="s">
        <v>72</v>
      </c>
      <c r="X1887" s="5" t="s">
        <v>72</v>
      </c>
      <c r="Y1887" s="4">
        <v>34</v>
      </c>
      <c r="Z1887" s="4">
        <v>14</v>
      </c>
      <c r="AA1887" s="4">
        <v>14</v>
      </c>
      <c r="AB1887" s="4">
        <v>9</v>
      </c>
      <c r="AC1887" s="4">
        <v>9</v>
      </c>
      <c r="AD1887" s="4">
        <v>12</v>
      </c>
      <c r="AE1887" s="4">
        <v>12</v>
      </c>
      <c r="AF1887" s="4">
        <v>5</v>
      </c>
      <c r="AG1887" s="4">
        <v>5</v>
      </c>
      <c r="AH1887" s="4">
        <v>7</v>
      </c>
      <c r="AI1887" s="4">
        <v>7</v>
      </c>
      <c r="AJ1887" s="4">
        <v>8</v>
      </c>
      <c r="AK1887" s="4">
        <v>8</v>
      </c>
      <c r="AL1887" s="4">
        <v>4</v>
      </c>
      <c r="AM1887" s="4">
        <v>4</v>
      </c>
      <c r="AN1887" s="4">
        <v>0</v>
      </c>
      <c r="AO1887" s="4">
        <v>0</v>
      </c>
      <c r="AP1887" s="4">
        <v>7</v>
      </c>
      <c r="AQ1887" s="4">
        <v>7</v>
      </c>
      <c r="AR1887" s="3" t="s">
        <v>128</v>
      </c>
      <c r="AS1887" s="3" t="s">
        <v>64</v>
      </c>
      <c r="AT1887" s="3" t="s">
        <v>64</v>
      </c>
      <c r="AV1887" s="6" t="str">
        <f>HYPERLINK("http://mcgill.on.worldcat.org/oclc/25552036","Catalog Record")</f>
        <v>Catalog Record</v>
      </c>
      <c r="AW1887" s="6" t="str">
        <f>HYPERLINK("http://www.worldcat.org/oclc/25552036","WorldCat Record")</f>
        <v>WorldCat Record</v>
      </c>
      <c r="AX1887" s="3" t="s">
        <v>19150</v>
      </c>
      <c r="AY1887" s="3" t="s">
        <v>19151</v>
      </c>
      <c r="AZ1887" s="3" t="s">
        <v>19152</v>
      </c>
      <c r="BA1887" s="3" t="s">
        <v>19152</v>
      </c>
      <c r="BB1887" s="3" t="s">
        <v>19153</v>
      </c>
      <c r="BC1887" s="3" t="s">
        <v>77</v>
      </c>
      <c r="BD1887" s="3" t="s">
        <v>165</v>
      </c>
      <c r="BE1887" s="3" t="s">
        <v>19154</v>
      </c>
      <c r="BF1887" s="3" t="s">
        <v>19153</v>
      </c>
      <c r="BG1887" s="3" t="s">
        <v>19155</v>
      </c>
      <c r="BH1887">
        <f t="shared" si="51"/>
        <v>0</v>
      </c>
    </row>
    <row r="1888" spans="1:60" ht="58" x14ac:dyDescent="0.35">
      <c r="A1888" s="2" t="s">
        <v>59</v>
      </c>
      <c r="B1888" s="2" t="s">
        <v>60</v>
      </c>
      <c r="C1888" s="2" t="s">
        <v>19156</v>
      </c>
      <c r="D1888" s="2" t="s">
        <v>19157</v>
      </c>
      <c r="E1888" s="2" t="s">
        <v>19158</v>
      </c>
      <c r="G1888" s="3" t="s">
        <v>64</v>
      </c>
      <c r="I1888" s="3" t="s">
        <v>64</v>
      </c>
      <c r="J1888" s="3" t="s">
        <v>64</v>
      </c>
      <c r="K1888" s="3" t="s">
        <v>65</v>
      </c>
      <c r="L1888" s="2" t="s">
        <v>19159</v>
      </c>
      <c r="M1888" s="2" t="s">
        <v>13920</v>
      </c>
      <c r="N1888" s="3" t="s">
        <v>1075</v>
      </c>
      <c r="P1888" s="3" t="s">
        <v>102</v>
      </c>
      <c r="R1888" s="3" t="s">
        <v>70</v>
      </c>
      <c r="S1888" s="4">
        <v>3</v>
      </c>
      <c r="T1888" s="4">
        <v>3</v>
      </c>
      <c r="U1888" s="5" t="s">
        <v>1325</v>
      </c>
      <c r="V1888" s="5" t="s">
        <v>1325</v>
      </c>
      <c r="W1888" s="5" t="s">
        <v>72</v>
      </c>
      <c r="X1888" s="5" t="s">
        <v>72</v>
      </c>
      <c r="Y1888" s="4">
        <v>260</v>
      </c>
      <c r="Z1888" s="4">
        <v>10</v>
      </c>
      <c r="AA1888" s="4">
        <v>103</v>
      </c>
      <c r="AB1888" s="4">
        <v>1</v>
      </c>
      <c r="AC1888" s="4">
        <v>15</v>
      </c>
      <c r="AD1888" s="4">
        <v>52</v>
      </c>
      <c r="AE1888" s="4">
        <v>117</v>
      </c>
      <c r="AF1888" s="4">
        <v>0</v>
      </c>
      <c r="AG1888" s="4">
        <v>8</v>
      </c>
      <c r="AH1888" s="4">
        <v>50</v>
      </c>
      <c r="AI1888" s="4">
        <v>78</v>
      </c>
      <c r="AJ1888" s="4">
        <v>6</v>
      </c>
      <c r="AK1888" s="4">
        <v>21</v>
      </c>
      <c r="AL1888" s="4">
        <v>25</v>
      </c>
      <c r="AM1888" s="4">
        <v>40</v>
      </c>
      <c r="AN1888" s="4">
        <v>0</v>
      </c>
      <c r="AO1888" s="4">
        <v>0</v>
      </c>
      <c r="AP1888" s="4">
        <v>7</v>
      </c>
      <c r="AQ1888" s="4">
        <v>43</v>
      </c>
      <c r="AR1888" s="3" t="s">
        <v>64</v>
      </c>
      <c r="AS1888" s="3" t="s">
        <v>64</v>
      </c>
      <c r="AT1888" s="3" t="s">
        <v>64</v>
      </c>
      <c r="AV1888" s="6" t="str">
        <f>HYPERLINK("http://mcgill.on.worldcat.org/oclc/794973726","Catalog Record")</f>
        <v>Catalog Record</v>
      </c>
      <c r="AW1888" s="6" t="str">
        <f>HYPERLINK("http://www.worldcat.org/oclc/794973726","WorldCat Record")</f>
        <v>WorldCat Record</v>
      </c>
      <c r="AX1888" s="3" t="s">
        <v>19160</v>
      </c>
      <c r="AY1888" s="3" t="s">
        <v>19161</v>
      </c>
      <c r="AZ1888" s="3" t="s">
        <v>19162</v>
      </c>
      <c r="BA1888" s="3" t="s">
        <v>19162</v>
      </c>
      <c r="BB1888" s="3" t="s">
        <v>19163</v>
      </c>
      <c r="BC1888" s="3" t="s">
        <v>77</v>
      </c>
      <c r="BD1888" s="3" t="s">
        <v>78</v>
      </c>
      <c r="BE1888" s="3" t="s">
        <v>19164</v>
      </c>
      <c r="BF1888" s="3" t="s">
        <v>19163</v>
      </c>
      <c r="BG1888" s="3" t="s">
        <v>19165</v>
      </c>
      <c r="BH1888">
        <f t="shared" si="51"/>
        <v>0</v>
      </c>
    </row>
    <row r="1889" spans="1:60" ht="58" x14ac:dyDescent="0.35">
      <c r="A1889" s="2" t="s">
        <v>59</v>
      </c>
      <c r="B1889" s="2" t="s">
        <v>60</v>
      </c>
      <c r="C1889" s="2" t="s">
        <v>19166</v>
      </c>
      <c r="D1889" s="2" t="s">
        <v>19167</v>
      </c>
      <c r="E1889" s="2" t="s">
        <v>19168</v>
      </c>
      <c r="G1889" s="3" t="s">
        <v>64</v>
      </c>
      <c r="I1889" s="3" t="s">
        <v>64</v>
      </c>
      <c r="J1889" s="3" t="s">
        <v>128</v>
      </c>
      <c r="K1889" s="3" t="s">
        <v>65</v>
      </c>
      <c r="L1889" s="2" t="s">
        <v>19169</v>
      </c>
      <c r="M1889" s="2" t="s">
        <v>18533</v>
      </c>
      <c r="N1889" s="3" t="s">
        <v>578</v>
      </c>
      <c r="P1889" s="3" t="s">
        <v>102</v>
      </c>
      <c r="R1889" s="3" t="s">
        <v>70</v>
      </c>
      <c r="S1889" s="4">
        <v>4</v>
      </c>
      <c r="T1889" s="4">
        <v>4</v>
      </c>
      <c r="U1889" s="5" t="s">
        <v>12009</v>
      </c>
      <c r="V1889" s="5" t="s">
        <v>12009</v>
      </c>
      <c r="W1889" s="5" t="s">
        <v>72</v>
      </c>
      <c r="X1889" s="5" t="s">
        <v>72</v>
      </c>
      <c r="Y1889" s="4">
        <v>418</v>
      </c>
      <c r="Z1889" s="4">
        <v>18</v>
      </c>
      <c r="AA1889" s="4">
        <v>35</v>
      </c>
      <c r="AB1889" s="4">
        <v>1</v>
      </c>
      <c r="AC1889" s="4">
        <v>4</v>
      </c>
      <c r="AD1889" s="4">
        <v>57</v>
      </c>
      <c r="AE1889" s="4">
        <v>90</v>
      </c>
      <c r="AF1889" s="4">
        <v>0</v>
      </c>
      <c r="AG1889" s="4">
        <v>3</v>
      </c>
      <c r="AH1889" s="4">
        <v>49</v>
      </c>
      <c r="AI1889" s="4">
        <v>72</v>
      </c>
      <c r="AJ1889" s="4">
        <v>5</v>
      </c>
      <c r="AK1889" s="4">
        <v>13</v>
      </c>
      <c r="AL1889" s="4">
        <v>21</v>
      </c>
      <c r="AM1889" s="4">
        <v>36</v>
      </c>
      <c r="AN1889" s="4">
        <v>0</v>
      </c>
      <c r="AO1889" s="4">
        <v>0</v>
      </c>
      <c r="AP1889" s="4">
        <v>12</v>
      </c>
      <c r="AQ1889" s="4">
        <v>25</v>
      </c>
      <c r="AR1889" s="3" t="s">
        <v>64</v>
      </c>
      <c r="AS1889" s="3" t="s">
        <v>64</v>
      </c>
      <c r="AT1889" s="3" t="s">
        <v>64</v>
      </c>
      <c r="AV1889" s="6" t="str">
        <f>HYPERLINK("http://mcgill.on.worldcat.org/oclc/992688914","Catalog Record")</f>
        <v>Catalog Record</v>
      </c>
      <c r="AW1889" s="6" t="str">
        <f>HYPERLINK("http://www.worldcat.org/oclc/992688914","WorldCat Record")</f>
        <v>WorldCat Record</v>
      </c>
      <c r="AX1889" s="3" t="s">
        <v>19170</v>
      </c>
      <c r="AY1889" s="3" t="s">
        <v>19171</v>
      </c>
      <c r="AZ1889" s="3" t="s">
        <v>19172</v>
      </c>
      <c r="BA1889" s="3" t="s">
        <v>19172</v>
      </c>
      <c r="BB1889" s="3" t="s">
        <v>19173</v>
      </c>
      <c r="BC1889" s="3" t="s">
        <v>77</v>
      </c>
      <c r="BD1889" s="3" t="s">
        <v>78</v>
      </c>
      <c r="BE1889" s="3" t="s">
        <v>19174</v>
      </c>
      <c r="BF1889" s="3" t="s">
        <v>19173</v>
      </c>
      <c r="BG1889" s="3" t="s">
        <v>19175</v>
      </c>
      <c r="BH1889">
        <f t="shared" si="51"/>
        <v>0</v>
      </c>
    </row>
    <row r="1890" spans="1:60" ht="58" x14ac:dyDescent="0.35">
      <c r="A1890" s="2" t="s">
        <v>59</v>
      </c>
      <c r="B1890" s="2" t="s">
        <v>60</v>
      </c>
      <c r="C1890" s="2" t="s">
        <v>19176</v>
      </c>
      <c r="D1890" s="2" t="s">
        <v>19177</v>
      </c>
      <c r="E1890" s="2" t="s">
        <v>19168</v>
      </c>
      <c r="G1890" s="3" t="s">
        <v>64</v>
      </c>
      <c r="I1890" s="3" t="s">
        <v>64</v>
      </c>
      <c r="J1890" s="3" t="s">
        <v>128</v>
      </c>
      <c r="K1890" s="3" t="s">
        <v>65</v>
      </c>
      <c r="L1890" s="2" t="s">
        <v>19169</v>
      </c>
      <c r="M1890" s="2" t="s">
        <v>19178</v>
      </c>
      <c r="N1890" s="3" t="s">
        <v>86</v>
      </c>
      <c r="P1890" s="3" t="s">
        <v>102</v>
      </c>
      <c r="R1890" s="3" t="s">
        <v>70</v>
      </c>
      <c r="S1890" s="4">
        <v>2</v>
      </c>
      <c r="T1890" s="4">
        <v>2</v>
      </c>
      <c r="U1890" s="5" t="s">
        <v>19179</v>
      </c>
      <c r="V1890" s="5" t="s">
        <v>19179</v>
      </c>
      <c r="W1890" s="5" t="s">
        <v>72</v>
      </c>
      <c r="X1890" s="5" t="s">
        <v>72</v>
      </c>
      <c r="Y1890" s="4">
        <v>172</v>
      </c>
      <c r="Z1890" s="4">
        <v>17</v>
      </c>
      <c r="AA1890" s="4">
        <v>35</v>
      </c>
      <c r="AB1890" s="4">
        <v>1</v>
      </c>
      <c r="AC1890" s="4">
        <v>4</v>
      </c>
      <c r="AD1890" s="4">
        <v>48</v>
      </c>
      <c r="AE1890" s="4">
        <v>90</v>
      </c>
      <c r="AF1890" s="4">
        <v>0</v>
      </c>
      <c r="AG1890" s="4">
        <v>3</v>
      </c>
      <c r="AH1890" s="4">
        <v>41</v>
      </c>
      <c r="AI1890" s="4">
        <v>72</v>
      </c>
      <c r="AJ1890" s="4">
        <v>9</v>
      </c>
      <c r="AK1890" s="4">
        <v>13</v>
      </c>
      <c r="AL1890" s="4">
        <v>23</v>
      </c>
      <c r="AM1890" s="4">
        <v>36</v>
      </c>
      <c r="AN1890" s="4">
        <v>0</v>
      </c>
      <c r="AO1890" s="4">
        <v>0</v>
      </c>
      <c r="AP1890" s="4">
        <v>12</v>
      </c>
      <c r="AQ1890" s="4">
        <v>25</v>
      </c>
      <c r="AR1890" s="3" t="s">
        <v>64</v>
      </c>
      <c r="AS1890" s="3" t="s">
        <v>64</v>
      </c>
      <c r="AT1890" s="3" t="s">
        <v>64</v>
      </c>
      <c r="AV1890" s="6" t="str">
        <f>HYPERLINK("http://mcgill.on.worldcat.org/oclc/818251681","Catalog Record")</f>
        <v>Catalog Record</v>
      </c>
      <c r="AW1890" s="6" t="str">
        <f>HYPERLINK("http://www.worldcat.org/oclc/818251681","WorldCat Record")</f>
        <v>WorldCat Record</v>
      </c>
      <c r="AX1890" s="3" t="s">
        <v>19170</v>
      </c>
      <c r="AY1890" s="3" t="s">
        <v>19180</v>
      </c>
      <c r="AZ1890" s="3" t="s">
        <v>19181</v>
      </c>
      <c r="BA1890" s="3" t="s">
        <v>19181</v>
      </c>
      <c r="BB1890" s="3" t="s">
        <v>19182</v>
      </c>
      <c r="BC1890" s="3" t="s">
        <v>77</v>
      </c>
      <c r="BD1890" s="3" t="s">
        <v>78</v>
      </c>
      <c r="BE1890" s="3" t="s">
        <v>19183</v>
      </c>
      <c r="BF1890" s="3" t="s">
        <v>19182</v>
      </c>
      <c r="BG1890" s="3" t="s">
        <v>19184</v>
      </c>
      <c r="BH1890">
        <f t="shared" si="51"/>
        <v>0</v>
      </c>
    </row>
    <row r="1891" spans="1:60" ht="58" x14ac:dyDescent="0.35">
      <c r="A1891" s="2" t="s">
        <v>59</v>
      </c>
      <c r="B1891" s="2" t="s">
        <v>60</v>
      </c>
      <c r="C1891" s="2" t="s">
        <v>19185</v>
      </c>
      <c r="D1891" s="2" t="s">
        <v>19186</v>
      </c>
      <c r="E1891" s="2" t="s">
        <v>19187</v>
      </c>
      <c r="G1891" s="3" t="s">
        <v>64</v>
      </c>
      <c r="I1891" s="3" t="s">
        <v>64</v>
      </c>
      <c r="J1891" s="3" t="s">
        <v>64</v>
      </c>
      <c r="K1891" s="3" t="s">
        <v>65</v>
      </c>
      <c r="L1891" s="2" t="s">
        <v>19188</v>
      </c>
      <c r="M1891" s="2" t="s">
        <v>19189</v>
      </c>
      <c r="N1891" s="3" t="s">
        <v>86</v>
      </c>
      <c r="P1891" s="3" t="s">
        <v>102</v>
      </c>
      <c r="Q1891" s="2" t="s">
        <v>19190</v>
      </c>
      <c r="R1891" s="3" t="s">
        <v>70</v>
      </c>
      <c r="S1891" s="4">
        <v>1</v>
      </c>
      <c r="T1891" s="4">
        <v>1</v>
      </c>
      <c r="U1891" s="5" t="s">
        <v>19191</v>
      </c>
      <c r="V1891" s="5" t="s">
        <v>19191</v>
      </c>
      <c r="W1891" s="5" t="s">
        <v>72</v>
      </c>
      <c r="X1891" s="5" t="s">
        <v>72</v>
      </c>
      <c r="Y1891" s="4">
        <v>156</v>
      </c>
      <c r="Z1891" s="4">
        <v>11</v>
      </c>
      <c r="AA1891" s="4">
        <v>14</v>
      </c>
      <c r="AB1891" s="4">
        <v>1</v>
      </c>
      <c r="AC1891" s="4">
        <v>1</v>
      </c>
      <c r="AD1891" s="4">
        <v>53</v>
      </c>
      <c r="AE1891" s="4">
        <v>71</v>
      </c>
      <c r="AF1891" s="4">
        <v>0</v>
      </c>
      <c r="AG1891" s="4">
        <v>0</v>
      </c>
      <c r="AH1891" s="4">
        <v>48</v>
      </c>
      <c r="AI1891" s="4">
        <v>64</v>
      </c>
      <c r="AJ1891" s="4">
        <v>8</v>
      </c>
      <c r="AK1891" s="4">
        <v>11</v>
      </c>
      <c r="AL1891" s="4">
        <v>29</v>
      </c>
      <c r="AM1891" s="4">
        <v>38</v>
      </c>
      <c r="AN1891" s="4">
        <v>0</v>
      </c>
      <c r="AO1891" s="4">
        <v>0</v>
      </c>
      <c r="AP1891" s="4">
        <v>9</v>
      </c>
      <c r="AQ1891" s="4">
        <v>12</v>
      </c>
      <c r="AR1891" s="3" t="s">
        <v>64</v>
      </c>
      <c r="AS1891" s="3" t="s">
        <v>64</v>
      </c>
      <c r="AT1891" s="3" t="s">
        <v>64</v>
      </c>
      <c r="AV1891" s="6" t="str">
        <f>HYPERLINK("http://mcgill.on.worldcat.org/oclc/801693249","Catalog Record")</f>
        <v>Catalog Record</v>
      </c>
      <c r="AW1891" s="6" t="str">
        <f>HYPERLINK("http://www.worldcat.org/oclc/801693249","WorldCat Record")</f>
        <v>WorldCat Record</v>
      </c>
      <c r="AX1891" s="3" t="s">
        <v>19192</v>
      </c>
      <c r="AY1891" s="3" t="s">
        <v>19193</v>
      </c>
      <c r="AZ1891" s="3" t="s">
        <v>19194</v>
      </c>
      <c r="BA1891" s="3" t="s">
        <v>19194</v>
      </c>
      <c r="BB1891" s="3" t="s">
        <v>19195</v>
      </c>
      <c r="BC1891" s="3" t="s">
        <v>77</v>
      </c>
      <c r="BD1891" s="3" t="s">
        <v>78</v>
      </c>
      <c r="BE1891" s="3" t="s">
        <v>19196</v>
      </c>
      <c r="BF1891" s="3" t="s">
        <v>19195</v>
      </c>
      <c r="BG1891" s="3" t="s">
        <v>19197</v>
      </c>
      <c r="BH1891">
        <f t="shared" si="51"/>
        <v>0</v>
      </c>
    </row>
    <row r="1892" spans="1:60" ht="58" x14ac:dyDescent="0.35">
      <c r="A1892" s="2" t="s">
        <v>59</v>
      </c>
      <c r="B1892" s="2" t="s">
        <v>60</v>
      </c>
      <c r="C1892" s="2" t="s">
        <v>19198</v>
      </c>
      <c r="D1892" s="2" t="s">
        <v>19199</v>
      </c>
      <c r="E1892" s="2" t="s">
        <v>19200</v>
      </c>
      <c r="G1892" s="3" t="s">
        <v>64</v>
      </c>
      <c r="I1892" s="3" t="s">
        <v>64</v>
      </c>
      <c r="J1892" s="3" t="s">
        <v>64</v>
      </c>
      <c r="K1892" s="3" t="s">
        <v>65</v>
      </c>
      <c r="L1892" s="2" t="s">
        <v>19201</v>
      </c>
      <c r="M1892" s="2" t="s">
        <v>19202</v>
      </c>
      <c r="N1892" s="3" t="s">
        <v>1275</v>
      </c>
      <c r="P1892" s="3" t="s">
        <v>102</v>
      </c>
      <c r="R1892" s="3" t="s">
        <v>70</v>
      </c>
      <c r="S1892" s="4">
        <v>4</v>
      </c>
      <c r="T1892" s="4">
        <v>4</v>
      </c>
      <c r="U1892" s="5" t="s">
        <v>17014</v>
      </c>
      <c r="V1892" s="5" t="s">
        <v>17014</v>
      </c>
      <c r="W1892" s="5" t="s">
        <v>72</v>
      </c>
      <c r="X1892" s="5" t="s">
        <v>72</v>
      </c>
      <c r="Y1892" s="4">
        <v>102</v>
      </c>
      <c r="Z1892" s="4">
        <v>8</v>
      </c>
      <c r="AA1892" s="4">
        <v>17</v>
      </c>
      <c r="AB1892" s="4">
        <v>1</v>
      </c>
      <c r="AC1892" s="4">
        <v>4</v>
      </c>
      <c r="AD1892" s="4">
        <v>28</v>
      </c>
      <c r="AE1892" s="4">
        <v>36</v>
      </c>
      <c r="AF1892" s="4">
        <v>0</v>
      </c>
      <c r="AG1892" s="4">
        <v>0</v>
      </c>
      <c r="AH1892" s="4">
        <v>26</v>
      </c>
      <c r="AI1892" s="4">
        <v>32</v>
      </c>
      <c r="AJ1892" s="4">
        <v>6</v>
      </c>
      <c r="AK1892" s="4">
        <v>9</v>
      </c>
      <c r="AL1892" s="4">
        <v>10</v>
      </c>
      <c r="AM1892" s="4">
        <v>13</v>
      </c>
      <c r="AN1892" s="4">
        <v>0</v>
      </c>
      <c r="AO1892" s="4">
        <v>0</v>
      </c>
      <c r="AP1892" s="4">
        <v>7</v>
      </c>
      <c r="AQ1892" s="4">
        <v>11</v>
      </c>
      <c r="AR1892" s="3" t="s">
        <v>64</v>
      </c>
      <c r="AS1892" s="3" t="s">
        <v>64</v>
      </c>
      <c r="AT1892" s="3" t="s">
        <v>64</v>
      </c>
      <c r="AV1892" s="6" t="str">
        <f>HYPERLINK("http://mcgill.on.worldcat.org/oclc/56913206","Catalog Record")</f>
        <v>Catalog Record</v>
      </c>
      <c r="AW1892" s="6" t="str">
        <f>HYPERLINK("http://www.worldcat.org/oclc/56913206","WorldCat Record")</f>
        <v>WorldCat Record</v>
      </c>
      <c r="AX1892" s="3" t="s">
        <v>19203</v>
      </c>
      <c r="AY1892" s="3" t="s">
        <v>19204</v>
      </c>
      <c r="AZ1892" s="3" t="s">
        <v>19205</v>
      </c>
      <c r="BA1892" s="3" t="s">
        <v>19205</v>
      </c>
      <c r="BB1892" s="3" t="s">
        <v>19206</v>
      </c>
      <c r="BC1892" s="3" t="s">
        <v>77</v>
      </c>
      <c r="BD1892" s="3" t="s">
        <v>78</v>
      </c>
      <c r="BE1892" s="3" t="s">
        <v>19207</v>
      </c>
      <c r="BF1892" s="3" t="s">
        <v>19206</v>
      </c>
      <c r="BG1892" s="3" t="s">
        <v>19208</v>
      </c>
      <c r="BH1892">
        <f t="shared" si="51"/>
        <v>0</v>
      </c>
    </row>
    <row r="1893" spans="1:60" ht="58" x14ac:dyDescent="0.35">
      <c r="A1893" s="2" t="s">
        <v>59</v>
      </c>
      <c r="B1893" s="2" t="s">
        <v>60</v>
      </c>
      <c r="C1893" s="2" t="s">
        <v>19209</v>
      </c>
      <c r="D1893" s="2" t="s">
        <v>19210</v>
      </c>
      <c r="E1893" s="2" t="s">
        <v>19211</v>
      </c>
      <c r="G1893" s="3" t="s">
        <v>64</v>
      </c>
      <c r="I1893" s="3" t="s">
        <v>64</v>
      </c>
      <c r="J1893" s="3" t="s">
        <v>64</v>
      </c>
      <c r="K1893" s="3" t="s">
        <v>65</v>
      </c>
      <c r="M1893" s="2" t="s">
        <v>16349</v>
      </c>
      <c r="N1893" s="3" t="s">
        <v>86</v>
      </c>
      <c r="P1893" s="3" t="s">
        <v>102</v>
      </c>
      <c r="R1893" s="3" t="s">
        <v>70</v>
      </c>
      <c r="S1893" s="4">
        <v>18</v>
      </c>
      <c r="T1893" s="4">
        <v>18</v>
      </c>
      <c r="U1893" s="5" t="s">
        <v>19212</v>
      </c>
      <c r="V1893" s="5" t="s">
        <v>19212</v>
      </c>
      <c r="W1893" s="5" t="s">
        <v>72</v>
      </c>
      <c r="X1893" s="5" t="s">
        <v>72</v>
      </c>
      <c r="Y1893" s="4">
        <v>508</v>
      </c>
      <c r="Z1893" s="4">
        <v>29</v>
      </c>
      <c r="AA1893" s="4">
        <v>35</v>
      </c>
      <c r="AB1893" s="4">
        <v>2</v>
      </c>
      <c r="AC1893" s="4">
        <v>6</v>
      </c>
      <c r="AD1893" s="4">
        <v>99</v>
      </c>
      <c r="AE1893" s="4">
        <v>103</v>
      </c>
      <c r="AF1893" s="4">
        <v>1</v>
      </c>
      <c r="AG1893" s="4">
        <v>2</v>
      </c>
      <c r="AH1893" s="4">
        <v>82</v>
      </c>
      <c r="AI1893" s="4">
        <v>84</v>
      </c>
      <c r="AJ1893" s="4">
        <v>18</v>
      </c>
      <c r="AK1893" s="4">
        <v>20</v>
      </c>
      <c r="AL1893" s="4">
        <v>46</v>
      </c>
      <c r="AM1893" s="4">
        <v>46</v>
      </c>
      <c r="AN1893" s="4">
        <v>0</v>
      </c>
      <c r="AO1893" s="4">
        <v>0</v>
      </c>
      <c r="AP1893" s="4">
        <v>25</v>
      </c>
      <c r="AQ1893" s="4">
        <v>26</v>
      </c>
      <c r="AR1893" s="3" t="s">
        <v>64</v>
      </c>
      <c r="AS1893" s="3" t="s">
        <v>64</v>
      </c>
      <c r="AT1893" s="3" t="s">
        <v>64</v>
      </c>
      <c r="AV1893" s="6" t="str">
        <f>HYPERLINK("http://mcgill.on.worldcat.org/oclc/779777869","Catalog Record")</f>
        <v>Catalog Record</v>
      </c>
      <c r="AW1893" s="6" t="str">
        <f>HYPERLINK("http://www.worldcat.org/oclc/779777869","WorldCat Record")</f>
        <v>WorldCat Record</v>
      </c>
      <c r="AX1893" s="3" t="s">
        <v>19213</v>
      </c>
      <c r="AY1893" s="3" t="s">
        <v>19214</v>
      </c>
      <c r="AZ1893" s="3" t="s">
        <v>19215</v>
      </c>
      <c r="BA1893" s="3" t="s">
        <v>19215</v>
      </c>
      <c r="BB1893" s="3" t="s">
        <v>19216</v>
      </c>
      <c r="BC1893" s="3" t="s">
        <v>77</v>
      </c>
      <c r="BD1893" s="3" t="s">
        <v>78</v>
      </c>
      <c r="BE1893" s="3" t="s">
        <v>19217</v>
      </c>
      <c r="BF1893" s="3" t="s">
        <v>19216</v>
      </c>
      <c r="BG1893" s="3" t="s">
        <v>19218</v>
      </c>
      <c r="BH1893">
        <f t="shared" si="51"/>
        <v>0</v>
      </c>
    </row>
    <row r="1894" spans="1:60" ht="72.5" x14ac:dyDescent="0.35">
      <c r="A1894" s="2" t="s">
        <v>59</v>
      </c>
      <c r="B1894" s="2" t="s">
        <v>60</v>
      </c>
      <c r="C1894" s="2" t="s">
        <v>19219</v>
      </c>
      <c r="D1894" s="2" t="s">
        <v>19220</v>
      </c>
      <c r="E1894" s="2" t="s">
        <v>19221</v>
      </c>
      <c r="G1894" s="3" t="s">
        <v>64</v>
      </c>
      <c r="I1894" s="3" t="s">
        <v>64</v>
      </c>
      <c r="J1894" s="3" t="s">
        <v>64</v>
      </c>
      <c r="K1894" s="3" t="s">
        <v>65</v>
      </c>
      <c r="M1894" s="2" t="s">
        <v>16855</v>
      </c>
      <c r="N1894" s="3" t="s">
        <v>67</v>
      </c>
      <c r="P1894" s="3" t="s">
        <v>102</v>
      </c>
      <c r="R1894" s="3" t="s">
        <v>70</v>
      </c>
      <c r="S1894" s="4">
        <v>3</v>
      </c>
      <c r="T1894" s="4">
        <v>3</v>
      </c>
      <c r="U1894" s="5" t="s">
        <v>19222</v>
      </c>
      <c r="V1894" s="5" t="s">
        <v>19222</v>
      </c>
      <c r="W1894" s="5" t="s">
        <v>72</v>
      </c>
      <c r="X1894" s="5" t="s">
        <v>72</v>
      </c>
      <c r="Y1894" s="4">
        <v>415</v>
      </c>
      <c r="Z1894" s="4">
        <v>22</v>
      </c>
      <c r="AA1894" s="4">
        <v>114</v>
      </c>
      <c r="AB1894" s="4">
        <v>4</v>
      </c>
      <c r="AC1894" s="4">
        <v>17</v>
      </c>
      <c r="AD1894" s="4">
        <v>72</v>
      </c>
      <c r="AE1894" s="4">
        <v>133</v>
      </c>
      <c r="AF1894" s="4">
        <v>2</v>
      </c>
      <c r="AG1894" s="4">
        <v>8</v>
      </c>
      <c r="AH1894" s="4">
        <v>62</v>
      </c>
      <c r="AI1894" s="4">
        <v>89</v>
      </c>
      <c r="AJ1894" s="4">
        <v>10</v>
      </c>
      <c r="AK1894" s="4">
        <v>23</v>
      </c>
      <c r="AL1894" s="4">
        <v>26</v>
      </c>
      <c r="AM1894" s="4">
        <v>45</v>
      </c>
      <c r="AN1894" s="4">
        <v>0</v>
      </c>
      <c r="AO1894" s="4">
        <v>0</v>
      </c>
      <c r="AP1894" s="4">
        <v>15</v>
      </c>
      <c r="AQ1894" s="4">
        <v>49</v>
      </c>
      <c r="AR1894" s="3" t="s">
        <v>64</v>
      </c>
      <c r="AS1894" s="3" t="s">
        <v>64</v>
      </c>
      <c r="AT1894" s="3" t="s">
        <v>64</v>
      </c>
      <c r="AV1894" s="6" t="str">
        <f>HYPERLINK("http://mcgill.on.worldcat.org/oclc/881910218","Catalog Record")</f>
        <v>Catalog Record</v>
      </c>
      <c r="AW1894" s="6" t="str">
        <f>HYPERLINK("http://www.worldcat.org/oclc/881910218","WorldCat Record")</f>
        <v>WorldCat Record</v>
      </c>
      <c r="AX1894" s="3" t="s">
        <v>19223</v>
      </c>
      <c r="AY1894" s="3" t="s">
        <v>19224</v>
      </c>
      <c r="AZ1894" s="3" t="s">
        <v>19225</v>
      </c>
      <c r="BA1894" s="3" t="s">
        <v>19225</v>
      </c>
      <c r="BB1894" s="3" t="s">
        <v>19226</v>
      </c>
      <c r="BC1894" s="3" t="s">
        <v>77</v>
      </c>
      <c r="BD1894" s="3" t="s">
        <v>78</v>
      </c>
      <c r="BE1894" s="3" t="s">
        <v>19227</v>
      </c>
      <c r="BF1894" s="3" t="s">
        <v>19226</v>
      </c>
      <c r="BG1894" s="3" t="s">
        <v>19228</v>
      </c>
      <c r="BH1894">
        <f t="shared" si="51"/>
        <v>0</v>
      </c>
    </row>
    <row r="1895" spans="1:60" ht="58" x14ac:dyDescent="0.35">
      <c r="A1895" s="2" t="s">
        <v>59</v>
      </c>
      <c r="B1895" s="2" t="s">
        <v>60</v>
      </c>
      <c r="C1895" s="2" t="s">
        <v>19229</v>
      </c>
      <c r="D1895" s="2" t="s">
        <v>19230</v>
      </c>
      <c r="E1895" s="2" t="s">
        <v>19231</v>
      </c>
      <c r="G1895" s="3" t="s">
        <v>64</v>
      </c>
      <c r="I1895" s="3" t="s">
        <v>64</v>
      </c>
      <c r="J1895" s="3" t="s">
        <v>64</v>
      </c>
      <c r="K1895" s="3" t="s">
        <v>65</v>
      </c>
      <c r="M1895" s="2" t="s">
        <v>19232</v>
      </c>
      <c r="N1895" s="3" t="s">
        <v>86</v>
      </c>
      <c r="P1895" s="3" t="s">
        <v>102</v>
      </c>
      <c r="R1895" s="3" t="s">
        <v>70</v>
      </c>
      <c r="S1895" s="4">
        <v>4</v>
      </c>
      <c r="T1895" s="4">
        <v>4</v>
      </c>
      <c r="U1895" s="5" t="s">
        <v>19233</v>
      </c>
      <c r="V1895" s="5" t="s">
        <v>19233</v>
      </c>
      <c r="W1895" s="5" t="s">
        <v>72</v>
      </c>
      <c r="X1895" s="5" t="s">
        <v>72</v>
      </c>
      <c r="Y1895" s="4">
        <v>127</v>
      </c>
      <c r="Z1895" s="4">
        <v>14</v>
      </c>
      <c r="AA1895" s="4">
        <v>42</v>
      </c>
      <c r="AB1895" s="4">
        <v>1</v>
      </c>
      <c r="AC1895" s="4">
        <v>7</v>
      </c>
      <c r="AD1895" s="4">
        <v>32</v>
      </c>
      <c r="AE1895" s="4">
        <v>59</v>
      </c>
      <c r="AF1895" s="4">
        <v>0</v>
      </c>
      <c r="AG1895" s="4">
        <v>2</v>
      </c>
      <c r="AH1895" s="4">
        <v>26</v>
      </c>
      <c r="AI1895" s="4">
        <v>46</v>
      </c>
      <c r="AJ1895" s="4">
        <v>6</v>
      </c>
      <c r="AK1895" s="4">
        <v>10</v>
      </c>
      <c r="AL1895" s="4">
        <v>14</v>
      </c>
      <c r="AM1895" s="4">
        <v>25</v>
      </c>
      <c r="AN1895" s="4">
        <v>0</v>
      </c>
      <c r="AO1895" s="4">
        <v>0</v>
      </c>
      <c r="AP1895" s="4">
        <v>11</v>
      </c>
      <c r="AQ1895" s="4">
        <v>19</v>
      </c>
      <c r="AR1895" s="3" t="s">
        <v>64</v>
      </c>
      <c r="AS1895" s="3" t="s">
        <v>64</v>
      </c>
      <c r="AT1895" s="3" t="s">
        <v>64</v>
      </c>
      <c r="AV1895" s="6" t="str">
        <f>HYPERLINK("http://mcgill.on.worldcat.org/oclc/781432080","Catalog Record")</f>
        <v>Catalog Record</v>
      </c>
      <c r="AW1895" s="6" t="str">
        <f>HYPERLINK("http://www.worldcat.org/oclc/781432080","WorldCat Record")</f>
        <v>WorldCat Record</v>
      </c>
      <c r="AX1895" s="3" t="s">
        <v>19234</v>
      </c>
      <c r="AY1895" s="3" t="s">
        <v>19235</v>
      </c>
      <c r="AZ1895" s="3" t="s">
        <v>19236</v>
      </c>
      <c r="BA1895" s="3" t="s">
        <v>19236</v>
      </c>
      <c r="BB1895" s="3" t="s">
        <v>19237</v>
      </c>
      <c r="BC1895" s="3" t="s">
        <v>77</v>
      </c>
      <c r="BD1895" s="3" t="s">
        <v>78</v>
      </c>
      <c r="BE1895" s="3" t="s">
        <v>19238</v>
      </c>
      <c r="BF1895" s="3" t="s">
        <v>19237</v>
      </c>
      <c r="BG1895" s="3" t="s">
        <v>19239</v>
      </c>
      <c r="BH1895">
        <f t="shared" si="51"/>
        <v>0</v>
      </c>
    </row>
    <row r="1896" spans="1:60" ht="58" x14ac:dyDescent="0.35">
      <c r="A1896" s="2" t="s">
        <v>59</v>
      </c>
      <c r="B1896" s="2" t="s">
        <v>60</v>
      </c>
      <c r="C1896" s="2" t="s">
        <v>19240</v>
      </c>
      <c r="D1896" s="2" t="s">
        <v>19241</v>
      </c>
      <c r="E1896" s="2" t="s">
        <v>19242</v>
      </c>
      <c r="G1896" s="3" t="s">
        <v>64</v>
      </c>
      <c r="I1896" s="3" t="s">
        <v>64</v>
      </c>
      <c r="J1896" s="3" t="s">
        <v>64</v>
      </c>
      <c r="K1896" s="3" t="s">
        <v>65</v>
      </c>
      <c r="L1896" s="2" t="s">
        <v>19243</v>
      </c>
      <c r="M1896" s="2" t="s">
        <v>19244</v>
      </c>
      <c r="N1896" s="3" t="s">
        <v>578</v>
      </c>
      <c r="P1896" s="3" t="s">
        <v>102</v>
      </c>
      <c r="Q1896" s="2" t="s">
        <v>18401</v>
      </c>
      <c r="R1896" s="3" t="s">
        <v>70</v>
      </c>
      <c r="S1896" s="4">
        <v>2</v>
      </c>
      <c r="T1896" s="4">
        <v>2</v>
      </c>
      <c r="U1896" s="5" t="s">
        <v>17588</v>
      </c>
      <c r="V1896" s="5" t="s">
        <v>17588</v>
      </c>
      <c r="W1896" s="5" t="s">
        <v>72</v>
      </c>
      <c r="X1896" s="5" t="s">
        <v>72</v>
      </c>
      <c r="Y1896" s="4">
        <v>283</v>
      </c>
      <c r="Z1896" s="4">
        <v>7</v>
      </c>
      <c r="AA1896" s="4">
        <v>11</v>
      </c>
      <c r="AB1896" s="4">
        <v>1</v>
      </c>
      <c r="AC1896" s="4">
        <v>4</v>
      </c>
      <c r="AD1896" s="4">
        <v>48</v>
      </c>
      <c r="AE1896" s="4">
        <v>51</v>
      </c>
      <c r="AF1896" s="4">
        <v>0</v>
      </c>
      <c r="AG1896" s="4">
        <v>2</v>
      </c>
      <c r="AH1896" s="4">
        <v>46</v>
      </c>
      <c r="AI1896" s="4">
        <v>47</v>
      </c>
      <c r="AJ1896" s="4">
        <v>3</v>
      </c>
      <c r="AK1896" s="4">
        <v>5</v>
      </c>
      <c r="AL1896" s="4">
        <v>23</v>
      </c>
      <c r="AM1896" s="4">
        <v>23</v>
      </c>
      <c r="AN1896" s="4">
        <v>0</v>
      </c>
      <c r="AO1896" s="4">
        <v>0</v>
      </c>
      <c r="AP1896" s="4">
        <v>4</v>
      </c>
      <c r="AQ1896" s="4">
        <v>6</v>
      </c>
      <c r="AR1896" s="3" t="s">
        <v>64</v>
      </c>
      <c r="AS1896" s="3" t="s">
        <v>64</v>
      </c>
      <c r="AT1896" s="3" t="s">
        <v>64</v>
      </c>
      <c r="AV1896" s="6" t="str">
        <f>HYPERLINK("http://mcgill.on.worldcat.org/oclc/984742950","Catalog Record")</f>
        <v>Catalog Record</v>
      </c>
      <c r="AW1896" s="6" t="str">
        <f>HYPERLINK("http://www.worldcat.org/oclc/984742950","WorldCat Record")</f>
        <v>WorldCat Record</v>
      </c>
      <c r="AX1896" s="3" t="s">
        <v>19245</v>
      </c>
      <c r="AY1896" s="3" t="s">
        <v>19246</v>
      </c>
      <c r="AZ1896" s="3" t="s">
        <v>19247</v>
      </c>
      <c r="BA1896" s="3" t="s">
        <v>19247</v>
      </c>
      <c r="BB1896" s="3" t="s">
        <v>19248</v>
      </c>
      <c r="BC1896" s="3" t="s">
        <v>77</v>
      </c>
      <c r="BD1896" s="3" t="s">
        <v>78</v>
      </c>
      <c r="BE1896" s="3" t="s">
        <v>19249</v>
      </c>
      <c r="BF1896" s="3" t="s">
        <v>19248</v>
      </c>
      <c r="BG1896" s="3" t="s">
        <v>19250</v>
      </c>
      <c r="BH1896">
        <f t="shared" si="51"/>
        <v>0</v>
      </c>
    </row>
    <row r="1897" spans="1:60" ht="101.5" x14ac:dyDescent="0.35">
      <c r="A1897" s="2" t="s">
        <v>59</v>
      </c>
      <c r="B1897" s="2" t="s">
        <v>60</v>
      </c>
      <c r="C1897" s="2" t="s">
        <v>19251</v>
      </c>
      <c r="D1897" s="2" t="s">
        <v>19252</v>
      </c>
      <c r="E1897" s="2" t="s">
        <v>19253</v>
      </c>
      <c r="G1897" s="3" t="s">
        <v>64</v>
      </c>
      <c r="I1897" s="3" t="s">
        <v>64</v>
      </c>
      <c r="J1897" s="3" t="s">
        <v>64</v>
      </c>
      <c r="K1897" s="3" t="s">
        <v>65</v>
      </c>
      <c r="L1897" s="2" t="s">
        <v>19254</v>
      </c>
      <c r="M1897" s="2" t="s">
        <v>19255</v>
      </c>
      <c r="N1897" s="3" t="s">
        <v>1615</v>
      </c>
      <c r="P1897" s="3" t="s">
        <v>102</v>
      </c>
      <c r="Q1897" s="2" t="s">
        <v>19256</v>
      </c>
      <c r="R1897" s="3" t="s">
        <v>70</v>
      </c>
      <c r="S1897" s="4">
        <v>14</v>
      </c>
      <c r="T1897" s="4">
        <v>14</v>
      </c>
      <c r="U1897" s="5" t="s">
        <v>19257</v>
      </c>
      <c r="V1897" s="5" t="s">
        <v>19257</v>
      </c>
      <c r="W1897" s="5" t="s">
        <v>72</v>
      </c>
      <c r="X1897" s="5" t="s">
        <v>72</v>
      </c>
      <c r="Y1897" s="4">
        <v>275</v>
      </c>
      <c r="Z1897" s="4">
        <v>20</v>
      </c>
      <c r="AA1897" s="4">
        <v>24</v>
      </c>
      <c r="AB1897" s="4">
        <v>3</v>
      </c>
      <c r="AC1897" s="4">
        <v>6</v>
      </c>
      <c r="AD1897" s="4">
        <v>79</v>
      </c>
      <c r="AE1897" s="4">
        <v>81</v>
      </c>
      <c r="AF1897" s="4">
        <v>1</v>
      </c>
      <c r="AG1897" s="4">
        <v>3</v>
      </c>
      <c r="AH1897" s="4">
        <v>69</v>
      </c>
      <c r="AI1897" s="4">
        <v>69</v>
      </c>
      <c r="AJ1897" s="4">
        <v>13</v>
      </c>
      <c r="AK1897" s="4">
        <v>14</v>
      </c>
      <c r="AL1897" s="4">
        <v>35</v>
      </c>
      <c r="AM1897" s="4">
        <v>35</v>
      </c>
      <c r="AN1897" s="4">
        <v>0</v>
      </c>
      <c r="AO1897" s="4">
        <v>0</v>
      </c>
      <c r="AP1897" s="4">
        <v>14</v>
      </c>
      <c r="AQ1897" s="4">
        <v>15</v>
      </c>
      <c r="AR1897" s="3" t="s">
        <v>64</v>
      </c>
      <c r="AS1897" s="3" t="s">
        <v>64</v>
      </c>
      <c r="AT1897" s="3" t="s">
        <v>128</v>
      </c>
      <c r="AU1897" s="6" t="str">
        <f>HYPERLINK("http://catalog.hathitrust.org/Record/006184040","HathiTrust Record")</f>
        <v>HathiTrust Record</v>
      </c>
      <c r="AV1897" s="6" t="str">
        <f>HYPERLINK("http://mcgill.on.worldcat.org/oclc/35181577","Catalog Record")</f>
        <v>Catalog Record</v>
      </c>
      <c r="AW1897" s="6" t="str">
        <f>HYPERLINK("http://www.worldcat.org/oclc/35181577","WorldCat Record")</f>
        <v>WorldCat Record</v>
      </c>
      <c r="AX1897" s="3" t="s">
        <v>19258</v>
      </c>
      <c r="AY1897" s="3" t="s">
        <v>19259</v>
      </c>
      <c r="AZ1897" s="3" t="s">
        <v>19260</v>
      </c>
      <c r="BA1897" s="3" t="s">
        <v>19260</v>
      </c>
      <c r="BB1897" s="3" t="s">
        <v>19261</v>
      </c>
      <c r="BC1897" s="3" t="s">
        <v>77</v>
      </c>
      <c r="BD1897" s="3" t="s">
        <v>78</v>
      </c>
      <c r="BE1897" s="3" t="s">
        <v>19262</v>
      </c>
      <c r="BF1897" s="3" t="s">
        <v>19261</v>
      </c>
      <c r="BG1897" s="3" t="s">
        <v>19263</v>
      </c>
      <c r="BH1897">
        <f t="shared" si="51"/>
        <v>0</v>
      </c>
    </row>
    <row r="1898" spans="1:60" ht="58" x14ac:dyDescent="0.35">
      <c r="A1898" s="2" t="s">
        <v>59</v>
      </c>
      <c r="B1898" s="2" t="s">
        <v>60</v>
      </c>
      <c r="C1898" s="2" t="s">
        <v>19264</v>
      </c>
      <c r="D1898" s="2" t="s">
        <v>19265</v>
      </c>
      <c r="E1898" s="2" t="s">
        <v>19266</v>
      </c>
      <c r="G1898" s="3" t="s">
        <v>64</v>
      </c>
      <c r="I1898" s="3" t="s">
        <v>64</v>
      </c>
      <c r="J1898" s="3" t="s">
        <v>64</v>
      </c>
      <c r="K1898" s="3" t="s">
        <v>65</v>
      </c>
      <c r="M1898" s="2" t="s">
        <v>14893</v>
      </c>
      <c r="N1898" s="3" t="s">
        <v>67</v>
      </c>
      <c r="P1898" s="3" t="s">
        <v>102</v>
      </c>
      <c r="R1898" s="3" t="s">
        <v>70</v>
      </c>
      <c r="S1898" s="4">
        <v>0</v>
      </c>
      <c r="T1898" s="4">
        <v>0</v>
      </c>
      <c r="W1898" s="5" t="s">
        <v>72</v>
      </c>
      <c r="X1898" s="5" t="s">
        <v>72</v>
      </c>
      <c r="Y1898" s="4">
        <v>362</v>
      </c>
      <c r="Z1898" s="4">
        <v>20</v>
      </c>
      <c r="AA1898" s="4">
        <v>89</v>
      </c>
      <c r="AB1898" s="4">
        <v>1</v>
      </c>
      <c r="AC1898" s="4">
        <v>15</v>
      </c>
      <c r="AD1898" s="4">
        <v>77</v>
      </c>
      <c r="AE1898" s="4">
        <v>129</v>
      </c>
      <c r="AF1898" s="4">
        <v>0</v>
      </c>
      <c r="AG1898" s="4">
        <v>8</v>
      </c>
      <c r="AH1898" s="4">
        <v>73</v>
      </c>
      <c r="AI1898" s="4">
        <v>95</v>
      </c>
      <c r="AJ1898" s="4">
        <v>9</v>
      </c>
      <c r="AK1898" s="4">
        <v>20</v>
      </c>
      <c r="AL1898" s="4">
        <v>32</v>
      </c>
      <c r="AM1898" s="4">
        <v>47</v>
      </c>
      <c r="AN1898" s="4">
        <v>0</v>
      </c>
      <c r="AO1898" s="4">
        <v>0</v>
      </c>
      <c r="AP1898" s="4">
        <v>11</v>
      </c>
      <c r="AQ1898" s="4">
        <v>41</v>
      </c>
      <c r="AR1898" s="3" t="s">
        <v>64</v>
      </c>
      <c r="AS1898" s="3" t="s">
        <v>64</v>
      </c>
      <c r="AT1898" s="3" t="s">
        <v>64</v>
      </c>
      <c r="AV1898" s="6" t="str">
        <f>HYPERLINK("http://mcgill.on.worldcat.org/oclc/833630040","Catalog Record")</f>
        <v>Catalog Record</v>
      </c>
      <c r="AW1898" s="6" t="str">
        <f>HYPERLINK("http://www.worldcat.org/oclc/833630040","WorldCat Record")</f>
        <v>WorldCat Record</v>
      </c>
      <c r="AX1898" s="3" t="s">
        <v>19267</v>
      </c>
      <c r="AY1898" s="3" t="s">
        <v>19268</v>
      </c>
      <c r="AZ1898" s="3" t="s">
        <v>19269</v>
      </c>
      <c r="BA1898" s="3" t="s">
        <v>19269</v>
      </c>
      <c r="BB1898" s="3" t="s">
        <v>19270</v>
      </c>
      <c r="BC1898" s="3" t="s">
        <v>77</v>
      </c>
      <c r="BD1898" s="3" t="s">
        <v>78</v>
      </c>
      <c r="BE1898" s="3" t="s">
        <v>19271</v>
      </c>
      <c r="BF1898" s="3" t="s">
        <v>19270</v>
      </c>
      <c r="BG1898" s="3" t="s">
        <v>19272</v>
      </c>
      <c r="BH1898">
        <f t="shared" si="51"/>
        <v>0</v>
      </c>
    </row>
    <row r="1899" spans="1:60" ht="58" x14ac:dyDescent="0.35">
      <c r="A1899" s="2" t="s">
        <v>59</v>
      </c>
      <c r="B1899" s="2" t="s">
        <v>60</v>
      </c>
      <c r="C1899" s="2" t="s">
        <v>19273</v>
      </c>
      <c r="D1899" s="2" t="s">
        <v>19274</v>
      </c>
      <c r="E1899" s="2" t="s">
        <v>19275</v>
      </c>
      <c r="G1899" s="3" t="s">
        <v>64</v>
      </c>
      <c r="I1899" s="3" t="s">
        <v>64</v>
      </c>
      <c r="J1899" s="3" t="s">
        <v>64</v>
      </c>
      <c r="K1899" s="3" t="s">
        <v>65</v>
      </c>
      <c r="M1899" s="2" t="s">
        <v>19276</v>
      </c>
      <c r="N1899" s="3" t="s">
        <v>101</v>
      </c>
      <c r="P1899" s="3" t="s">
        <v>102</v>
      </c>
      <c r="R1899" s="3" t="s">
        <v>70</v>
      </c>
      <c r="S1899" s="4">
        <v>11</v>
      </c>
      <c r="T1899" s="4">
        <v>11</v>
      </c>
      <c r="U1899" s="5" t="s">
        <v>19277</v>
      </c>
      <c r="V1899" s="5" t="s">
        <v>19277</v>
      </c>
      <c r="W1899" s="5" t="s">
        <v>72</v>
      </c>
      <c r="X1899" s="5" t="s">
        <v>72</v>
      </c>
      <c r="Y1899" s="4">
        <v>339</v>
      </c>
      <c r="Z1899" s="4">
        <v>28</v>
      </c>
      <c r="AA1899" s="4">
        <v>30</v>
      </c>
      <c r="AB1899" s="4">
        <v>3</v>
      </c>
      <c r="AC1899" s="4">
        <v>5</v>
      </c>
      <c r="AD1899" s="4">
        <v>91</v>
      </c>
      <c r="AE1899" s="4">
        <v>92</v>
      </c>
      <c r="AF1899" s="4">
        <v>2</v>
      </c>
      <c r="AG1899" s="4">
        <v>3</v>
      </c>
      <c r="AH1899" s="4">
        <v>77</v>
      </c>
      <c r="AI1899" s="4">
        <v>77</v>
      </c>
      <c r="AJ1899" s="4">
        <v>15</v>
      </c>
      <c r="AK1899" s="4">
        <v>16</v>
      </c>
      <c r="AL1899" s="4">
        <v>38</v>
      </c>
      <c r="AM1899" s="4">
        <v>38</v>
      </c>
      <c r="AN1899" s="4">
        <v>0</v>
      </c>
      <c r="AO1899" s="4">
        <v>0</v>
      </c>
      <c r="AP1899" s="4">
        <v>22</v>
      </c>
      <c r="AQ1899" s="4">
        <v>22</v>
      </c>
      <c r="AR1899" s="3" t="s">
        <v>64</v>
      </c>
      <c r="AS1899" s="3" t="s">
        <v>64</v>
      </c>
      <c r="AT1899" s="3" t="s">
        <v>64</v>
      </c>
      <c r="AV1899" s="6" t="str">
        <f>HYPERLINK("http://mcgill.on.worldcat.org/oclc/51637812","Catalog Record")</f>
        <v>Catalog Record</v>
      </c>
      <c r="AW1899" s="6" t="str">
        <f>HYPERLINK("http://www.worldcat.org/oclc/51637812","WorldCat Record")</f>
        <v>WorldCat Record</v>
      </c>
      <c r="AX1899" s="3" t="s">
        <v>19278</v>
      </c>
      <c r="AY1899" s="3" t="s">
        <v>19279</v>
      </c>
      <c r="AZ1899" s="3" t="s">
        <v>19280</v>
      </c>
      <c r="BA1899" s="3" t="s">
        <v>19280</v>
      </c>
      <c r="BB1899" s="3" t="s">
        <v>19281</v>
      </c>
      <c r="BC1899" s="3" t="s">
        <v>77</v>
      </c>
      <c r="BD1899" s="3" t="s">
        <v>78</v>
      </c>
      <c r="BE1899" s="3" t="s">
        <v>19282</v>
      </c>
      <c r="BF1899" s="3" t="s">
        <v>19281</v>
      </c>
      <c r="BG1899" s="3" t="s">
        <v>19283</v>
      </c>
      <c r="BH1899">
        <f t="shared" si="51"/>
        <v>0</v>
      </c>
    </row>
    <row r="1900" spans="1:60" ht="58" x14ac:dyDescent="0.35">
      <c r="A1900" s="2" t="s">
        <v>59</v>
      </c>
      <c r="B1900" s="2" t="s">
        <v>60</v>
      </c>
      <c r="C1900" s="2" t="s">
        <v>19284</v>
      </c>
      <c r="D1900" s="2" t="s">
        <v>19285</v>
      </c>
      <c r="E1900" s="2" t="s">
        <v>19286</v>
      </c>
      <c r="G1900" s="3" t="s">
        <v>64</v>
      </c>
      <c r="I1900" s="3" t="s">
        <v>64</v>
      </c>
      <c r="J1900" s="3" t="s">
        <v>64</v>
      </c>
      <c r="K1900" s="3" t="s">
        <v>65</v>
      </c>
      <c r="L1900" s="2" t="s">
        <v>19287</v>
      </c>
      <c r="M1900" s="2" t="s">
        <v>19288</v>
      </c>
      <c r="N1900" s="3" t="s">
        <v>326</v>
      </c>
      <c r="P1900" s="3" t="s">
        <v>102</v>
      </c>
      <c r="Q1900" s="2" t="s">
        <v>19289</v>
      </c>
      <c r="R1900" s="3" t="s">
        <v>70</v>
      </c>
      <c r="S1900" s="4">
        <v>1</v>
      </c>
      <c r="T1900" s="4">
        <v>1</v>
      </c>
      <c r="U1900" s="5" t="s">
        <v>19290</v>
      </c>
      <c r="V1900" s="5" t="s">
        <v>19290</v>
      </c>
      <c r="W1900" s="5" t="s">
        <v>72</v>
      </c>
      <c r="X1900" s="5" t="s">
        <v>72</v>
      </c>
      <c r="Y1900" s="4">
        <v>244</v>
      </c>
      <c r="Z1900" s="4">
        <v>22</v>
      </c>
      <c r="AA1900" s="4">
        <v>25</v>
      </c>
      <c r="AB1900" s="4">
        <v>1</v>
      </c>
      <c r="AC1900" s="4">
        <v>3</v>
      </c>
      <c r="AD1900" s="4">
        <v>94</v>
      </c>
      <c r="AE1900" s="4">
        <v>100</v>
      </c>
      <c r="AF1900" s="4">
        <v>0</v>
      </c>
      <c r="AG1900" s="4">
        <v>1</v>
      </c>
      <c r="AH1900" s="4">
        <v>84</v>
      </c>
      <c r="AI1900" s="4">
        <v>88</v>
      </c>
      <c r="AJ1900" s="4">
        <v>15</v>
      </c>
      <c r="AK1900" s="4">
        <v>17</v>
      </c>
      <c r="AL1900" s="4">
        <v>41</v>
      </c>
      <c r="AM1900" s="4">
        <v>44</v>
      </c>
      <c r="AN1900" s="4">
        <v>0</v>
      </c>
      <c r="AO1900" s="4">
        <v>0</v>
      </c>
      <c r="AP1900" s="4">
        <v>20</v>
      </c>
      <c r="AQ1900" s="4">
        <v>21</v>
      </c>
      <c r="AR1900" s="3" t="s">
        <v>64</v>
      </c>
      <c r="AS1900" s="3" t="s">
        <v>64</v>
      </c>
      <c r="AT1900" s="3" t="s">
        <v>64</v>
      </c>
      <c r="AV1900" s="6" t="str">
        <f>HYPERLINK("http://mcgill.on.worldcat.org/oclc/770226464","Catalog Record")</f>
        <v>Catalog Record</v>
      </c>
      <c r="AW1900" s="6" t="str">
        <f>HYPERLINK("http://www.worldcat.org/oclc/770226464","WorldCat Record")</f>
        <v>WorldCat Record</v>
      </c>
      <c r="AX1900" s="3" t="s">
        <v>19291</v>
      </c>
      <c r="AY1900" s="3" t="s">
        <v>19292</v>
      </c>
      <c r="AZ1900" s="3" t="s">
        <v>19293</v>
      </c>
      <c r="BA1900" s="3" t="s">
        <v>19293</v>
      </c>
      <c r="BB1900" s="3" t="s">
        <v>19294</v>
      </c>
      <c r="BC1900" s="3" t="s">
        <v>77</v>
      </c>
      <c r="BD1900" s="3" t="s">
        <v>78</v>
      </c>
      <c r="BE1900" s="3" t="s">
        <v>19295</v>
      </c>
      <c r="BF1900" s="3" t="s">
        <v>19294</v>
      </c>
      <c r="BG1900" s="3" t="s">
        <v>19296</v>
      </c>
      <c r="BH1900">
        <f t="shared" si="51"/>
        <v>0</v>
      </c>
    </row>
    <row r="1901" spans="1:60" ht="58" x14ac:dyDescent="0.35">
      <c r="A1901" s="2" t="s">
        <v>59</v>
      </c>
      <c r="B1901" s="2" t="s">
        <v>60</v>
      </c>
      <c r="C1901" s="2" t="s">
        <v>19297</v>
      </c>
      <c r="D1901" s="2" t="s">
        <v>19298</v>
      </c>
      <c r="E1901" s="2" t="s">
        <v>19299</v>
      </c>
      <c r="G1901" s="3" t="s">
        <v>64</v>
      </c>
      <c r="I1901" s="3" t="s">
        <v>64</v>
      </c>
      <c r="J1901" s="3" t="s">
        <v>64</v>
      </c>
      <c r="K1901" s="3" t="s">
        <v>65</v>
      </c>
      <c r="M1901" s="2" t="s">
        <v>16911</v>
      </c>
      <c r="N1901" s="3" t="s">
        <v>1075</v>
      </c>
      <c r="P1901" s="3" t="s">
        <v>102</v>
      </c>
      <c r="R1901" s="3" t="s">
        <v>70</v>
      </c>
      <c r="S1901" s="4">
        <v>1</v>
      </c>
      <c r="T1901" s="4">
        <v>1</v>
      </c>
      <c r="U1901" s="5" t="s">
        <v>17095</v>
      </c>
      <c r="V1901" s="5" t="s">
        <v>17095</v>
      </c>
      <c r="W1901" s="5" t="s">
        <v>72</v>
      </c>
      <c r="X1901" s="5" t="s">
        <v>72</v>
      </c>
      <c r="Y1901" s="4">
        <v>496</v>
      </c>
      <c r="Z1901" s="4">
        <v>28</v>
      </c>
      <c r="AA1901" s="4">
        <v>119</v>
      </c>
      <c r="AB1901" s="4">
        <v>1</v>
      </c>
      <c r="AC1901" s="4">
        <v>17</v>
      </c>
      <c r="AD1901" s="4">
        <v>81</v>
      </c>
      <c r="AE1901" s="4">
        <v>135</v>
      </c>
      <c r="AF1901" s="4">
        <v>0</v>
      </c>
      <c r="AG1901" s="4">
        <v>8</v>
      </c>
      <c r="AH1901" s="4">
        <v>72</v>
      </c>
      <c r="AI1901" s="4">
        <v>93</v>
      </c>
      <c r="AJ1901" s="4">
        <v>12</v>
      </c>
      <c r="AK1901" s="4">
        <v>24</v>
      </c>
      <c r="AL1901" s="4">
        <v>34</v>
      </c>
      <c r="AM1901" s="4">
        <v>48</v>
      </c>
      <c r="AN1901" s="4">
        <v>0</v>
      </c>
      <c r="AO1901" s="4">
        <v>0</v>
      </c>
      <c r="AP1901" s="4">
        <v>15</v>
      </c>
      <c r="AQ1901" s="4">
        <v>47</v>
      </c>
      <c r="AR1901" s="3" t="s">
        <v>64</v>
      </c>
      <c r="AS1901" s="3" t="s">
        <v>64</v>
      </c>
      <c r="AT1901" s="3" t="s">
        <v>64</v>
      </c>
      <c r="AV1901" s="6" t="str">
        <f>HYPERLINK("http://mcgill.on.worldcat.org/oclc/812122282","Catalog Record")</f>
        <v>Catalog Record</v>
      </c>
      <c r="AW1901" s="6" t="str">
        <f>HYPERLINK("http://www.worldcat.org/oclc/812122282","WorldCat Record")</f>
        <v>WorldCat Record</v>
      </c>
      <c r="AX1901" s="3" t="s">
        <v>19300</v>
      </c>
      <c r="AY1901" s="3" t="s">
        <v>19301</v>
      </c>
      <c r="AZ1901" s="3" t="s">
        <v>19302</v>
      </c>
      <c r="BA1901" s="3" t="s">
        <v>19302</v>
      </c>
      <c r="BB1901" s="3" t="s">
        <v>19303</v>
      </c>
      <c r="BC1901" s="3" t="s">
        <v>77</v>
      </c>
      <c r="BD1901" s="3" t="s">
        <v>78</v>
      </c>
      <c r="BE1901" s="3" t="s">
        <v>19304</v>
      </c>
      <c r="BF1901" s="3" t="s">
        <v>19303</v>
      </c>
      <c r="BG1901" s="3" t="s">
        <v>19305</v>
      </c>
      <c r="BH1901">
        <f t="shared" si="51"/>
        <v>0</v>
      </c>
    </row>
    <row r="1902" spans="1:60" ht="58" x14ac:dyDescent="0.35">
      <c r="A1902" s="2" t="s">
        <v>59</v>
      </c>
      <c r="B1902" s="2" t="s">
        <v>60</v>
      </c>
      <c r="C1902" s="2" t="s">
        <v>19306</v>
      </c>
      <c r="D1902" s="2" t="s">
        <v>19307</v>
      </c>
      <c r="E1902" s="2" t="s">
        <v>19308</v>
      </c>
      <c r="G1902" s="3" t="s">
        <v>64</v>
      </c>
      <c r="I1902" s="3" t="s">
        <v>64</v>
      </c>
      <c r="J1902" s="3" t="s">
        <v>64</v>
      </c>
      <c r="K1902" s="3" t="s">
        <v>65</v>
      </c>
      <c r="L1902" s="2" t="s">
        <v>19309</v>
      </c>
      <c r="M1902" s="2" t="s">
        <v>19310</v>
      </c>
      <c r="N1902" s="3" t="s">
        <v>511</v>
      </c>
      <c r="P1902" s="3" t="s">
        <v>68</v>
      </c>
      <c r="Q1902" s="2" t="s">
        <v>19311</v>
      </c>
      <c r="R1902" s="3" t="s">
        <v>70</v>
      </c>
      <c r="S1902" s="4">
        <v>0</v>
      </c>
      <c r="T1902" s="4">
        <v>0</v>
      </c>
      <c r="W1902" s="5" t="s">
        <v>72</v>
      </c>
      <c r="X1902" s="5" t="s">
        <v>72</v>
      </c>
      <c r="Y1902" s="4">
        <v>22</v>
      </c>
      <c r="Z1902" s="4">
        <v>3</v>
      </c>
      <c r="AA1902" s="4">
        <v>7</v>
      </c>
      <c r="AB1902" s="4">
        <v>1</v>
      </c>
      <c r="AC1902" s="4">
        <v>4</v>
      </c>
      <c r="AD1902" s="4">
        <v>11</v>
      </c>
      <c r="AE1902" s="4">
        <v>14</v>
      </c>
      <c r="AF1902" s="4">
        <v>0</v>
      </c>
      <c r="AG1902" s="4">
        <v>2</v>
      </c>
      <c r="AH1902" s="4">
        <v>10</v>
      </c>
      <c r="AI1902" s="4">
        <v>11</v>
      </c>
      <c r="AJ1902" s="4">
        <v>1</v>
      </c>
      <c r="AK1902" s="4">
        <v>4</v>
      </c>
      <c r="AL1902" s="4">
        <v>11</v>
      </c>
      <c r="AM1902" s="4">
        <v>11</v>
      </c>
      <c r="AN1902" s="4">
        <v>0</v>
      </c>
      <c r="AO1902" s="4">
        <v>0</v>
      </c>
      <c r="AP1902" s="4">
        <v>1</v>
      </c>
      <c r="AQ1902" s="4">
        <v>3</v>
      </c>
      <c r="AR1902" s="3" t="s">
        <v>64</v>
      </c>
      <c r="AS1902" s="3" t="s">
        <v>64</v>
      </c>
      <c r="AT1902" s="3" t="s">
        <v>64</v>
      </c>
      <c r="AV1902" s="6" t="str">
        <f>HYPERLINK("http://mcgill.on.worldcat.org/oclc/642213351","Catalog Record")</f>
        <v>Catalog Record</v>
      </c>
      <c r="AW1902" s="6" t="str">
        <f>HYPERLINK("http://www.worldcat.org/oclc/642213351","WorldCat Record")</f>
        <v>WorldCat Record</v>
      </c>
      <c r="AX1902" s="3" t="s">
        <v>19312</v>
      </c>
      <c r="AY1902" s="3" t="s">
        <v>19313</v>
      </c>
      <c r="AZ1902" s="3" t="s">
        <v>19314</v>
      </c>
      <c r="BA1902" s="3" t="s">
        <v>19314</v>
      </c>
      <c r="BB1902" s="3" t="s">
        <v>19315</v>
      </c>
      <c r="BC1902" s="3" t="s">
        <v>77</v>
      </c>
      <c r="BD1902" s="3" t="s">
        <v>78</v>
      </c>
      <c r="BE1902" s="3" t="s">
        <v>19316</v>
      </c>
      <c r="BF1902" s="3" t="s">
        <v>19315</v>
      </c>
      <c r="BG1902" s="3" t="s">
        <v>19317</v>
      </c>
      <c r="BH1902">
        <f t="shared" si="51"/>
        <v>0</v>
      </c>
    </row>
    <row r="1903" spans="1:60" ht="58" x14ac:dyDescent="0.35">
      <c r="A1903" s="2" t="s">
        <v>59</v>
      </c>
      <c r="B1903" s="2" t="s">
        <v>60</v>
      </c>
      <c r="C1903" s="2" t="s">
        <v>19318</v>
      </c>
      <c r="D1903" s="2" t="s">
        <v>19319</v>
      </c>
      <c r="E1903" s="2" t="s">
        <v>19320</v>
      </c>
      <c r="G1903" s="3" t="s">
        <v>64</v>
      </c>
      <c r="I1903" s="3" t="s">
        <v>64</v>
      </c>
      <c r="J1903" s="3" t="s">
        <v>64</v>
      </c>
      <c r="K1903" s="3" t="s">
        <v>65</v>
      </c>
      <c r="L1903" s="2" t="s">
        <v>19321</v>
      </c>
      <c r="M1903" s="2" t="s">
        <v>19322</v>
      </c>
      <c r="N1903" s="3" t="s">
        <v>874</v>
      </c>
      <c r="P1903" s="3" t="s">
        <v>102</v>
      </c>
      <c r="Q1903" s="2" t="s">
        <v>19323</v>
      </c>
      <c r="R1903" s="3" t="s">
        <v>70</v>
      </c>
      <c r="S1903" s="4">
        <v>1</v>
      </c>
      <c r="T1903" s="4">
        <v>1</v>
      </c>
      <c r="U1903" s="5" t="s">
        <v>9951</v>
      </c>
      <c r="V1903" s="5" t="s">
        <v>9951</v>
      </c>
      <c r="W1903" s="5" t="s">
        <v>72</v>
      </c>
      <c r="X1903" s="5" t="s">
        <v>72</v>
      </c>
      <c r="Y1903" s="4">
        <v>218</v>
      </c>
      <c r="Z1903" s="4">
        <v>13</v>
      </c>
      <c r="AA1903" s="4">
        <v>14</v>
      </c>
      <c r="AB1903" s="4">
        <v>1</v>
      </c>
      <c r="AC1903" s="4">
        <v>2</v>
      </c>
      <c r="AD1903" s="4">
        <v>77</v>
      </c>
      <c r="AE1903" s="4">
        <v>79</v>
      </c>
      <c r="AF1903" s="4">
        <v>0</v>
      </c>
      <c r="AG1903" s="4">
        <v>1</v>
      </c>
      <c r="AH1903" s="4">
        <v>71</v>
      </c>
      <c r="AI1903" s="4">
        <v>72</v>
      </c>
      <c r="AJ1903" s="4">
        <v>8</v>
      </c>
      <c r="AK1903" s="4">
        <v>9</v>
      </c>
      <c r="AL1903" s="4">
        <v>40</v>
      </c>
      <c r="AM1903" s="4">
        <v>40</v>
      </c>
      <c r="AN1903" s="4">
        <v>0</v>
      </c>
      <c r="AO1903" s="4">
        <v>0</v>
      </c>
      <c r="AP1903" s="4">
        <v>11</v>
      </c>
      <c r="AQ1903" s="4">
        <v>11</v>
      </c>
      <c r="AR1903" s="3" t="s">
        <v>64</v>
      </c>
      <c r="AS1903" s="3" t="s">
        <v>64</v>
      </c>
      <c r="AT1903" s="3" t="s">
        <v>128</v>
      </c>
      <c r="AU1903" s="6" t="str">
        <f>HYPERLINK("http://catalog.hathitrust.org/Record/000224329","HathiTrust Record")</f>
        <v>HathiTrust Record</v>
      </c>
      <c r="AV1903" s="6" t="str">
        <f>HYPERLINK("http://mcgill.on.worldcat.org/oclc/8409836","Catalog Record")</f>
        <v>Catalog Record</v>
      </c>
      <c r="AW1903" s="6" t="str">
        <f>HYPERLINK("http://www.worldcat.org/oclc/8409836","WorldCat Record")</f>
        <v>WorldCat Record</v>
      </c>
      <c r="AX1903" s="3" t="s">
        <v>19324</v>
      </c>
      <c r="AY1903" s="3" t="s">
        <v>19325</v>
      </c>
      <c r="AZ1903" s="3" t="s">
        <v>19326</v>
      </c>
      <c r="BA1903" s="3" t="s">
        <v>19326</v>
      </c>
      <c r="BB1903" s="3" t="s">
        <v>19327</v>
      </c>
      <c r="BC1903" s="3" t="s">
        <v>77</v>
      </c>
      <c r="BD1903" s="3" t="s">
        <v>78</v>
      </c>
      <c r="BE1903" s="3" t="s">
        <v>19328</v>
      </c>
      <c r="BF1903" s="3" t="s">
        <v>19327</v>
      </c>
      <c r="BG1903" s="3" t="s">
        <v>19329</v>
      </c>
      <c r="BH1903">
        <f t="shared" si="51"/>
        <v>0</v>
      </c>
    </row>
    <row r="1904" spans="1:60" ht="58" x14ac:dyDescent="0.35">
      <c r="A1904" s="2" t="s">
        <v>59</v>
      </c>
      <c r="B1904" s="2" t="s">
        <v>60</v>
      </c>
      <c r="C1904" s="2" t="s">
        <v>19330</v>
      </c>
      <c r="D1904" s="2" t="s">
        <v>19331</v>
      </c>
      <c r="E1904" s="2" t="s">
        <v>19332</v>
      </c>
      <c r="G1904" s="3" t="s">
        <v>64</v>
      </c>
      <c r="I1904" s="3" t="s">
        <v>64</v>
      </c>
      <c r="J1904" s="3" t="s">
        <v>64</v>
      </c>
      <c r="K1904" s="3" t="s">
        <v>65</v>
      </c>
      <c r="L1904" s="2" t="s">
        <v>19333</v>
      </c>
      <c r="M1904" s="2" t="s">
        <v>14893</v>
      </c>
      <c r="N1904" s="3" t="s">
        <v>67</v>
      </c>
      <c r="P1904" s="3" t="s">
        <v>102</v>
      </c>
      <c r="R1904" s="3" t="s">
        <v>70</v>
      </c>
      <c r="S1904" s="4">
        <v>1</v>
      </c>
      <c r="T1904" s="4">
        <v>1</v>
      </c>
      <c r="U1904" s="5" t="s">
        <v>15859</v>
      </c>
      <c r="V1904" s="5" t="s">
        <v>15859</v>
      </c>
      <c r="W1904" s="5" t="s">
        <v>72</v>
      </c>
      <c r="X1904" s="5" t="s">
        <v>72</v>
      </c>
      <c r="Y1904" s="4">
        <v>419</v>
      </c>
      <c r="Z1904" s="4">
        <v>20</v>
      </c>
      <c r="AA1904" s="4">
        <v>108</v>
      </c>
      <c r="AB1904" s="4">
        <v>2</v>
      </c>
      <c r="AC1904" s="4">
        <v>16</v>
      </c>
      <c r="AD1904" s="4">
        <v>77</v>
      </c>
      <c r="AE1904" s="4">
        <v>131</v>
      </c>
      <c r="AF1904" s="4">
        <v>1</v>
      </c>
      <c r="AG1904" s="4">
        <v>8</v>
      </c>
      <c r="AH1904" s="4">
        <v>70</v>
      </c>
      <c r="AI1904" s="4">
        <v>90</v>
      </c>
      <c r="AJ1904" s="4">
        <v>15</v>
      </c>
      <c r="AK1904" s="4">
        <v>25</v>
      </c>
      <c r="AL1904" s="4">
        <v>35</v>
      </c>
      <c r="AM1904" s="4">
        <v>46</v>
      </c>
      <c r="AN1904" s="4">
        <v>0</v>
      </c>
      <c r="AO1904" s="4">
        <v>0</v>
      </c>
      <c r="AP1904" s="4">
        <v>16</v>
      </c>
      <c r="AQ1904" s="4">
        <v>48</v>
      </c>
      <c r="AR1904" s="3" t="s">
        <v>64</v>
      </c>
      <c r="AS1904" s="3" t="s">
        <v>64</v>
      </c>
      <c r="AT1904" s="3" t="s">
        <v>64</v>
      </c>
      <c r="AV1904" s="6" t="str">
        <f>HYPERLINK("http://mcgill.on.worldcat.org/oclc/857141231","Catalog Record")</f>
        <v>Catalog Record</v>
      </c>
      <c r="AW1904" s="6" t="str">
        <f>HYPERLINK("http://www.worldcat.org/oclc/857141231","WorldCat Record")</f>
        <v>WorldCat Record</v>
      </c>
      <c r="AX1904" s="3" t="s">
        <v>19334</v>
      </c>
      <c r="AY1904" s="3" t="s">
        <v>19335</v>
      </c>
      <c r="AZ1904" s="3" t="s">
        <v>19336</v>
      </c>
      <c r="BA1904" s="3" t="s">
        <v>19336</v>
      </c>
      <c r="BB1904" s="3" t="s">
        <v>19337</v>
      </c>
      <c r="BC1904" s="3" t="s">
        <v>77</v>
      </c>
      <c r="BD1904" s="3" t="s">
        <v>78</v>
      </c>
      <c r="BE1904" s="3" t="s">
        <v>19338</v>
      </c>
      <c r="BF1904" s="3" t="s">
        <v>19337</v>
      </c>
      <c r="BG1904" s="3" t="s">
        <v>19339</v>
      </c>
      <c r="BH1904">
        <f t="shared" si="51"/>
        <v>0</v>
      </c>
    </row>
    <row r="1905" spans="1:60" ht="58" x14ac:dyDescent="0.35">
      <c r="A1905" s="2" t="s">
        <v>59</v>
      </c>
      <c r="B1905" s="2" t="s">
        <v>60</v>
      </c>
      <c r="C1905" s="2" t="s">
        <v>19340</v>
      </c>
      <c r="D1905" s="2" t="s">
        <v>19341</v>
      </c>
      <c r="E1905" s="2" t="s">
        <v>19342</v>
      </c>
      <c r="G1905" s="3" t="s">
        <v>64</v>
      </c>
      <c r="I1905" s="3" t="s">
        <v>64</v>
      </c>
      <c r="J1905" s="3" t="s">
        <v>64</v>
      </c>
      <c r="K1905" s="3" t="s">
        <v>65</v>
      </c>
      <c r="M1905" s="2" t="s">
        <v>19343</v>
      </c>
      <c r="N1905" s="3" t="s">
        <v>326</v>
      </c>
      <c r="P1905" s="3" t="s">
        <v>102</v>
      </c>
      <c r="Q1905" s="2" t="s">
        <v>19344</v>
      </c>
      <c r="R1905" s="3" t="s">
        <v>70</v>
      </c>
      <c r="S1905" s="4">
        <v>1</v>
      </c>
      <c r="T1905" s="4">
        <v>1</v>
      </c>
      <c r="U1905" s="5" t="s">
        <v>14365</v>
      </c>
      <c r="V1905" s="5" t="s">
        <v>14365</v>
      </c>
      <c r="W1905" s="5" t="s">
        <v>72</v>
      </c>
      <c r="X1905" s="5" t="s">
        <v>72</v>
      </c>
      <c r="Y1905" s="4">
        <v>471</v>
      </c>
      <c r="Z1905" s="4">
        <v>19</v>
      </c>
      <c r="AA1905" s="4">
        <v>20</v>
      </c>
      <c r="AB1905" s="4">
        <v>1</v>
      </c>
      <c r="AC1905" s="4">
        <v>2</v>
      </c>
      <c r="AD1905" s="4">
        <v>67</v>
      </c>
      <c r="AE1905" s="4">
        <v>68</v>
      </c>
      <c r="AF1905" s="4">
        <v>0</v>
      </c>
      <c r="AG1905" s="4">
        <v>1</v>
      </c>
      <c r="AH1905" s="4">
        <v>59</v>
      </c>
      <c r="AI1905" s="4">
        <v>59</v>
      </c>
      <c r="AJ1905" s="4">
        <v>11</v>
      </c>
      <c r="AK1905" s="4">
        <v>12</v>
      </c>
      <c r="AL1905" s="4">
        <v>30</v>
      </c>
      <c r="AM1905" s="4">
        <v>30</v>
      </c>
      <c r="AN1905" s="4">
        <v>0</v>
      </c>
      <c r="AO1905" s="4">
        <v>0</v>
      </c>
      <c r="AP1905" s="4">
        <v>13</v>
      </c>
      <c r="AQ1905" s="4">
        <v>13</v>
      </c>
      <c r="AR1905" s="3" t="s">
        <v>64</v>
      </c>
      <c r="AS1905" s="3" t="s">
        <v>64</v>
      </c>
      <c r="AT1905" s="3" t="s">
        <v>64</v>
      </c>
      <c r="AV1905" s="6" t="str">
        <f>HYPERLINK("http://mcgill.on.worldcat.org/oclc/726695778","Catalog Record")</f>
        <v>Catalog Record</v>
      </c>
      <c r="AW1905" s="6" t="str">
        <f>HYPERLINK("http://www.worldcat.org/oclc/726695778","WorldCat Record")</f>
        <v>WorldCat Record</v>
      </c>
      <c r="AX1905" s="3" t="s">
        <v>19345</v>
      </c>
      <c r="AY1905" s="3" t="s">
        <v>19346</v>
      </c>
      <c r="AZ1905" s="3" t="s">
        <v>19347</v>
      </c>
      <c r="BA1905" s="3" t="s">
        <v>19347</v>
      </c>
      <c r="BB1905" s="3" t="s">
        <v>19348</v>
      </c>
      <c r="BC1905" s="3" t="s">
        <v>77</v>
      </c>
      <c r="BD1905" s="3" t="s">
        <v>78</v>
      </c>
      <c r="BE1905" s="3" t="s">
        <v>19349</v>
      </c>
      <c r="BF1905" s="3" t="s">
        <v>19348</v>
      </c>
      <c r="BG1905" s="3" t="s">
        <v>19350</v>
      </c>
      <c r="BH1905">
        <f t="shared" si="51"/>
        <v>0</v>
      </c>
    </row>
    <row r="1906" spans="1:60" ht="58" x14ac:dyDescent="0.35">
      <c r="A1906" s="2" t="s">
        <v>59</v>
      </c>
      <c r="B1906" s="2" t="s">
        <v>60</v>
      </c>
      <c r="C1906" s="2" t="s">
        <v>19351</v>
      </c>
      <c r="D1906" s="2" t="s">
        <v>19352</v>
      </c>
      <c r="E1906" s="2" t="s">
        <v>19353</v>
      </c>
      <c r="G1906" s="3" t="s">
        <v>64</v>
      </c>
      <c r="I1906" s="3" t="s">
        <v>64</v>
      </c>
      <c r="J1906" s="3" t="s">
        <v>64</v>
      </c>
      <c r="K1906" s="3" t="s">
        <v>65</v>
      </c>
      <c r="M1906" s="2" t="s">
        <v>16779</v>
      </c>
      <c r="N1906" s="3" t="s">
        <v>86</v>
      </c>
      <c r="P1906" s="3" t="s">
        <v>102</v>
      </c>
      <c r="R1906" s="3" t="s">
        <v>70</v>
      </c>
      <c r="S1906" s="4">
        <v>2</v>
      </c>
      <c r="T1906" s="4">
        <v>2</v>
      </c>
      <c r="U1906" s="5" t="s">
        <v>4189</v>
      </c>
      <c r="V1906" s="5" t="s">
        <v>4189</v>
      </c>
      <c r="W1906" s="5" t="s">
        <v>72</v>
      </c>
      <c r="X1906" s="5" t="s">
        <v>72</v>
      </c>
      <c r="Y1906" s="4">
        <v>459</v>
      </c>
      <c r="Z1906" s="4">
        <v>18</v>
      </c>
      <c r="AA1906" s="4">
        <v>31</v>
      </c>
      <c r="AB1906" s="4">
        <v>1</v>
      </c>
      <c r="AC1906" s="4">
        <v>5</v>
      </c>
      <c r="AD1906" s="4">
        <v>65</v>
      </c>
      <c r="AE1906" s="4">
        <v>86</v>
      </c>
      <c r="AF1906" s="4">
        <v>0</v>
      </c>
      <c r="AG1906" s="4">
        <v>1</v>
      </c>
      <c r="AH1906" s="4">
        <v>58</v>
      </c>
      <c r="AI1906" s="4">
        <v>76</v>
      </c>
      <c r="AJ1906" s="4">
        <v>8</v>
      </c>
      <c r="AK1906" s="4">
        <v>11</v>
      </c>
      <c r="AL1906" s="4">
        <v>26</v>
      </c>
      <c r="AM1906" s="4">
        <v>37</v>
      </c>
      <c r="AN1906" s="4">
        <v>0</v>
      </c>
      <c r="AO1906" s="4">
        <v>0</v>
      </c>
      <c r="AP1906" s="4">
        <v>12</v>
      </c>
      <c r="AQ1906" s="4">
        <v>16</v>
      </c>
      <c r="AR1906" s="3" t="s">
        <v>64</v>
      </c>
      <c r="AS1906" s="3" t="s">
        <v>64</v>
      </c>
      <c r="AT1906" s="3" t="s">
        <v>64</v>
      </c>
      <c r="AV1906" s="6" t="str">
        <f>HYPERLINK("http://mcgill.on.worldcat.org/oclc/759916017","Catalog Record")</f>
        <v>Catalog Record</v>
      </c>
      <c r="AW1906" s="6" t="str">
        <f>HYPERLINK("http://www.worldcat.org/oclc/759916017","WorldCat Record")</f>
        <v>WorldCat Record</v>
      </c>
      <c r="AX1906" s="3" t="s">
        <v>19354</v>
      </c>
      <c r="AY1906" s="3" t="s">
        <v>19355</v>
      </c>
      <c r="AZ1906" s="3" t="s">
        <v>19356</v>
      </c>
      <c r="BA1906" s="3" t="s">
        <v>19356</v>
      </c>
      <c r="BB1906" s="3" t="s">
        <v>19357</v>
      </c>
      <c r="BC1906" s="3" t="s">
        <v>77</v>
      </c>
      <c r="BD1906" s="3" t="s">
        <v>78</v>
      </c>
      <c r="BE1906" s="3" t="s">
        <v>19358</v>
      </c>
      <c r="BF1906" s="3" t="s">
        <v>19357</v>
      </c>
      <c r="BG1906" s="3" t="s">
        <v>19359</v>
      </c>
      <c r="BH1906">
        <f t="shared" si="51"/>
        <v>0</v>
      </c>
    </row>
    <row r="1907" spans="1:60" ht="58" x14ac:dyDescent="0.35">
      <c r="A1907" s="2" t="s">
        <v>59</v>
      </c>
      <c r="B1907" s="2" t="s">
        <v>60</v>
      </c>
      <c r="C1907" s="2" t="s">
        <v>19360</v>
      </c>
      <c r="D1907" s="2" t="s">
        <v>19361</v>
      </c>
      <c r="E1907" s="2" t="s">
        <v>19362</v>
      </c>
      <c r="G1907" s="3" t="s">
        <v>64</v>
      </c>
      <c r="I1907" s="3" t="s">
        <v>64</v>
      </c>
      <c r="J1907" s="3" t="s">
        <v>64</v>
      </c>
      <c r="K1907" s="3" t="s">
        <v>65</v>
      </c>
      <c r="M1907" s="2" t="s">
        <v>16944</v>
      </c>
      <c r="N1907" s="3" t="s">
        <v>1075</v>
      </c>
      <c r="P1907" s="3" t="s">
        <v>102</v>
      </c>
      <c r="R1907" s="3" t="s">
        <v>70</v>
      </c>
      <c r="S1907" s="4">
        <v>0</v>
      </c>
      <c r="T1907" s="4">
        <v>0</v>
      </c>
      <c r="W1907" s="5" t="s">
        <v>72</v>
      </c>
      <c r="X1907" s="5" t="s">
        <v>72</v>
      </c>
      <c r="Y1907" s="4">
        <v>44</v>
      </c>
      <c r="Z1907" s="4">
        <v>9</v>
      </c>
      <c r="AA1907" s="4">
        <v>11</v>
      </c>
      <c r="AB1907" s="4">
        <v>1</v>
      </c>
      <c r="AC1907" s="4">
        <v>2</v>
      </c>
      <c r="AD1907" s="4">
        <v>20</v>
      </c>
      <c r="AE1907" s="4">
        <v>21</v>
      </c>
      <c r="AF1907" s="4">
        <v>0</v>
      </c>
      <c r="AG1907" s="4">
        <v>0</v>
      </c>
      <c r="AH1907" s="4">
        <v>18</v>
      </c>
      <c r="AI1907" s="4">
        <v>19</v>
      </c>
      <c r="AJ1907" s="4">
        <v>7</v>
      </c>
      <c r="AK1907" s="4">
        <v>8</v>
      </c>
      <c r="AL1907" s="4">
        <v>8</v>
      </c>
      <c r="AM1907" s="4">
        <v>8</v>
      </c>
      <c r="AN1907" s="4">
        <v>0</v>
      </c>
      <c r="AO1907" s="4">
        <v>0</v>
      </c>
      <c r="AP1907" s="4">
        <v>7</v>
      </c>
      <c r="AQ1907" s="4">
        <v>8</v>
      </c>
      <c r="AR1907" s="3" t="s">
        <v>64</v>
      </c>
      <c r="AS1907" s="3" t="s">
        <v>64</v>
      </c>
      <c r="AT1907" s="3" t="s">
        <v>64</v>
      </c>
      <c r="AV1907" s="6" t="str">
        <f>HYPERLINK("http://mcgill.on.worldcat.org/oclc/825096687","Catalog Record")</f>
        <v>Catalog Record</v>
      </c>
      <c r="AW1907" s="6" t="str">
        <f>HYPERLINK("http://www.worldcat.org/oclc/825096687","WorldCat Record")</f>
        <v>WorldCat Record</v>
      </c>
      <c r="AX1907" s="3" t="s">
        <v>19363</v>
      </c>
      <c r="AY1907" s="3" t="s">
        <v>19364</v>
      </c>
      <c r="AZ1907" s="3" t="s">
        <v>19365</v>
      </c>
      <c r="BA1907" s="3" t="s">
        <v>19365</v>
      </c>
      <c r="BB1907" s="3" t="s">
        <v>19366</v>
      </c>
      <c r="BC1907" s="3" t="s">
        <v>77</v>
      </c>
      <c r="BD1907" s="3" t="s">
        <v>78</v>
      </c>
      <c r="BE1907" s="3" t="s">
        <v>19367</v>
      </c>
      <c r="BF1907" s="3" t="s">
        <v>19366</v>
      </c>
      <c r="BG1907" s="3" t="s">
        <v>19368</v>
      </c>
      <c r="BH1907">
        <f t="shared" si="51"/>
        <v>0</v>
      </c>
    </row>
    <row r="1908" spans="1:60" ht="72.5" x14ac:dyDescent="0.35">
      <c r="A1908" s="2" t="s">
        <v>59</v>
      </c>
      <c r="B1908" s="2" t="s">
        <v>60</v>
      </c>
      <c r="C1908" s="2" t="s">
        <v>19369</v>
      </c>
      <c r="D1908" s="2" t="s">
        <v>19370</v>
      </c>
      <c r="E1908" s="2" t="s">
        <v>19371</v>
      </c>
      <c r="G1908" s="3" t="s">
        <v>64</v>
      </c>
      <c r="I1908" s="3" t="s">
        <v>64</v>
      </c>
      <c r="J1908" s="3" t="s">
        <v>64</v>
      </c>
      <c r="K1908" s="3" t="s">
        <v>65</v>
      </c>
      <c r="M1908" s="2" t="s">
        <v>19372</v>
      </c>
      <c r="N1908" s="3" t="s">
        <v>253</v>
      </c>
      <c r="P1908" s="3" t="s">
        <v>102</v>
      </c>
      <c r="R1908" s="3" t="s">
        <v>70</v>
      </c>
      <c r="S1908" s="4">
        <v>0</v>
      </c>
      <c r="T1908" s="4">
        <v>0</v>
      </c>
      <c r="W1908" s="5" t="s">
        <v>72</v>
      </c>
      <c r="X1908" s="5" t="s">
        <v>72</v>
      </c>
      <c r="Y1908" s="4">
        <v>36</v>
      </c>
      <c r="Z1908" s="4">
        <v>4</v>
      </c>
      <c r="AA1908" s="4">
        <v>6</v>
      </c>
      <c r="AB1908" s="4">
        <v>1</v>
      </c>
      <c r="AC1908" s="4">
        <v>3</v>
      </c>
      <c r="AD1908" s="4">
        <v>14</v>
      </c>
      <c r="AE1908" s="4">
        <v>16</v>
      </c>
      <c r="AF1908" s="4">
        <v>0</v>
      </c>
      <c r="AG1908" s="4">
        <v>0</v>
      </c>
      <c r="AH1908" s="4">
        <v>12</v>
      </c>
      <c r="AI1908" s="4">
        <v>14</v>
      </c>
      <c r="AJ1908" s="4">
        <v>3</v>
      </c>
      <c r="AK1908" s="4">
        <v>3</v>
      </c>
      <c r="AL1908" s="4">
        <v>8</v>
      </c>
      <c r="AM1908" s="4">
        <v>8</v>
      </c>
      <c r="AN1908" s="4">
        <v>0</v>
      </c>
      <c r="AO1908" s="4">
        <v>0</v>
      </c>
      <c r="AP1908" s="4">
        <v>3</v>
      </c>
      <c r="AQ1908" s="4">
        <v>3</v>
      </c>
      <c r="AR1908" s="3" t="s">
        <v>64</v>
      </c>
      <c r="AS1908" s="3" t="s">
        <v>64</v>
      </c>
      <c r="AT1908" s="3" t="s">
        <v>64</v>
      </c>
      <c r="AV1908" s="6" t="str">
        <f>HYPERLINK("http://mcgill.on.worldcat.org/oclc/906762398","Catalog Record")</f>
        <v>Catalog Record</v>
      </c>
      <c r="AW1908" s="6" t="str">
        <f>HYPERLINK("http://www.worldcat.org/oclc/906762398","WorldCat Record")</f>
        <v>WorldCat Record</v>
      </c>
      <c r="AX1908" s="3" t="s">
        <v>19373</v>
      </c>
      <c r="AY1908" s="3" t="s">
        <v>19374</v>
      </c>
      <c r="AZ1908" s="3" t="s">
        <v>19375</v>
      </c>
      <c r="BA1908" s="3" t="s">
        <v>19375</v>
      </c>
      <c r="BB1908" s="3" t="s">
        <v>19376</v>
      </c>
      <c r="BC1908" s="3" t="s">
        <v>77</v>
      </c>
      <c r="BD1908" s="3" t="s">
        <v>78</v>
      </c>
      <c r="BE1908" s="3" t="s">
        <v>19377</v>
      </c>
      <c r="BF1908" s="3" t="s">
        <v>19376</v>
      </c>
      <c r="BG1908" s="3" t="s">
        <v>19378</v>
      </c>
      <c r="BH1908">
        <f t="shared" si="51"/>
        <v>0</v>
      </c>
    </row>
    <row r="1909" spans="1:60" ht="58" x14ac:dyDescent="0.35">
      <c r="A1909" s="2" t="s">
        <v>59</v>
      </c>
      <c r="B1909" s="2" t="s">
        <v>60</v>
      </c>
      <c r="C1909" s="2" t="s">
        <v>19379</v>
      </c>
      <c r="D1909" s="2" t="s">
        <v>19380</v>
      </c>
      <c r="E1909" s="2" t="s">
        <v>19381</v>
      </c>
      <c r="G1909" s="3" t="s">
        <v>64</v>
      </c>
      <c r="I1909" s="3" t="s">
        <v>64</v>
      </c>
      <c r="J1909" s="3" t="s">
        <v>64</v>
      </c>
      <c r="K1909" s="3" t="s">
        <v>65</v>
      </c>
      <c r="M1909" s="2" t="s">
        <v>19382</v>
      </c>
      <c r="N1909" s="3" t="s">
        <v>1075</v>
      </c>
      <c r="P1909" s="3" t="s">
        <v>102</v>
      </c>
      <c r="R1909" s="3" t="s">
        <v>70</v>
      </c>
      <c r="S1909" s="4">
        <v>0</v>
      </c>
      <c r="T1909" s="4">
        <v>0</v>
      </c>
      <c r="W1909" s="5" t="s">
        <v>72</v>
      </c>
      <c r="X1909" s="5" t="s">
        <v>72</v>
      </c>
      <c r="Y1909" s="4">
        <v>52</v>
      </c>
      <c r="Z1909" s="4">
        <v>7</v>
      </c>
      <c r="AA1909" s="4">
        <v>8</v>
      </c>
      <c r="AB1909" s="4">
        <v>1</v>
      </c>
      <c r="AC1909" s="4">
        <v>2</v>
      </c>
      <c r="AD1909" s="4">
        <v>19</v>
      </c>
      <c r="AE1909" s="4">
        <v>19</v>
      </c>
      <c r="AF1909" s="4">
        <v>0</v>
      </c>
      <c r="AG1909" s="4">
        <v>0</v>
      </c>
      <c r="AH1909" s="4">
        <v>18</v>
      </c>
      <c r="AI1909" s="4">
        <v>18</v>
      </c>
      <c r="AJ1909" s="4">
        <v>3</v>
      </c>
      <c r="AK1909" s="4">
        <v>3</v>
      </c>
      <c r="AL1909" s="4">
        <v>11</v>
      </c>
      <c r="AM1909" s="4">
        <v>11</v>
      </c>
      <c r="AN1909" s="4">
        <v>0</v>
      </c>
      <c r="AO1909" s="4">
        <v>0</v>
      </c>
      <c r="AP1909" s="4">
        <v>4</v>
      </c>
      <c r="AQ1909" s="4">
        <v>4</v>
      </c>
      <c r="AR1909" s="3" t="s">
        <v>64</v>
      </c>
      <c r="AS1909" s="3" t="s">
        <v>64</v>
      </c>
      <c r="AT1909" s="3" t="s">
        <v>64</v>
      </c>
      <c r="AV1909" s="6" t="str">
        <f>HYPERLINK("http://mcgill.on.worldcat.org/oclc/857966671","Catalog Record")</f>
        <v>Catalog Record</v>
      </c>
      <c r="AW1909" s="6" t="str">
        <f>HYPERLINK("http://www.worldcat.org/oclc/857966671","WorldCat Record")</f>
        <v>WorldCat Record</v>
      </c>
      <c r="AX1909" s="3" t="s">
        <v>19383</v>
      </c>
      <c r="AY1909" s="3" t="s">
        <v>19384</v>
      </c>
      <c r="AZ1909" s="3" t="s">
        <v>19385</v>
      </c>
      <c r="BA1909" s="3" t="s">
        <v>19385</v>
      </c>
      <c r="BB1909" s="3" t="s">
        <v>19386</v>
      </c>
      <c r="BC1909" s="3" t="s">
        <v>77</v>
      </c>
      <c r="BD1909" s="3" t="s">
        <v>78</v>
      </c>
      <c r="BE1909" s="3" t="s">
        <v>19387</v>
      </c>
      <c r="BF1909" s="3" t="s">
        <v>19386</v>
      </c>
      <c r="BG1909" s="3" t="s">
        <v>19388</v>
      </c>
      <c r="BH1909">
        <f t="shared" si="51"/>
        <v>0</v>
      </c>
    </row>
    <row r="1910" spans="1:60" ht="58" x14ac:dyDescent="0.35">
      <c r="A1910" s="2" t="s">
        <v>59</v>
      </c>
      <c r="B1910" s="2" t="s">
        <v>60</v>
      </c>
      <c r="C1910" s="2" t="s">
        <v>19389</v>
      </c>
      <c r="D1910" s="2" t="s">
        <v>19390</v>
      </c>
      <c r="E1910" s="2" t="s">
        <v>19391</v>
      </c>
      <c r="G1910" s="3" t="s">
        <v>64</v>
      </c>
      <c r="I1910" s="3" t="s">
        <v>64</v>
      </c>
      <c r="J1910" s="3" t="s">
        <v>64</v>
      </c>
      <c r="K1910" s="3" t="s">
        <v>65</v>
      </c>
      <c r="L1910" s="2" t="s">
        <v>19392</v>
      </c>
      <c r="M1910" s="2" t="s">
        <v>19393</v>
      </c>
      <c r="N1910" s="3" t="s">
        <v>3330</v>
      </c>
      <c r="P1910" s="3" t="s">
        <v>102</v>
      </c>
      <c r="Q1910" s="2" t="s">
        <v>19394</v>
      </c>
      <c r="R1910" s="3" t="s">
        <v>70</v>
      </c>
      <c r="S1910" s="4">
        <v>6</v>
      </c>
      <c r="T1910" s="4">
        <v>6</v>
      </c>
      <c r="U1910" s="5" t="s">
        <v>9951</v>
      </c>
      <c r="V1910" s="5" t="s">
        <v>9951</v>
      </c>
      <c r="W1910" s="5" t="s">
        <v>72</v>
      </c>
      <c r="X1910" s="5" t="s">
        <v>72</v>
      </c>
      <c r="Y1910" s="4">
        <v>510</v>
      </c>
      <c r="Z1910" s="4">
        <v>35</v>
      </c>
      <c r="AA1910" s="4">
        <v>37</v>
      </c>
      <c r="AB1910" s="4">
        <v>2</v>
      </c>
      <c r="AC1910" s="4">
        <v>4</v>
      </c>
      <c r="AD1910" s="4">
        <v>109</v>
      </c>
      <c r="AE1910" s="4">
        <v>110</v>
      </c>
      <c r="AF1910" s="4">
        <v>0</v>
      </c>
      <c r="AG1910" s="4">
        <v>1</v>
      </c>
      <c r="AH1910" s="4">
        <v>93</v>
      </c>
      <c r="AI1910" s="4">
        <v>93</v>
      </c>
      <c r="AJ1910" s="4">
        <v>17</v>
      </c>
      <c r="AK1910" s="4">
        <v>18</v>
      </c>
      <c r="AL1910" s="4">
        <v>48</v>
      </c>
      <c r="AM1910" s="4">
        <v>48</v>
      </c>
      <c r="AN1910" s="4">
        <v>0</v>
      </c>
      <c r="AO1910" s="4">
        <v>0</v>
      </c>
      <c r="AP1910" s="4">
        <v>23</v>
      </c>
      <c r="AQ1910" s="4">
        <v>23</v>
      </c>
      <c r="AR1910" s="3" t="s">
        <v>64</v>
      </c>
      <c r="AS1910" s="3" t="s">
        <v>64</v>
      </c>
      <c r="AT1910" s="3" t="s">
        <v>64</v>
      </c>
      <c r="AV1910" s="6" t="str">
        <f>HYPERLINK("http://mcgill.on.worldcat.org/oclc/16683927","Catalog Record")</f>
        <v>Catalog Record</v>
      </c>
      <c r="AW1910" s="6" t="str">
        <f>HYPERLINK("http://www.worldcat.org/oclc/16683927","WorldCat Record")</f>
        <v>WorldCat Record</v>
      </c>
      <c r="AX1910" s="3" t="s">
        <v>19395</v>
      </c>
      <c r="AY1910" s="3" t="s">
        <v>19396</v>
      </c>
      <c r="AZ1910" s="3" t="s">
        <v>19397</v>
      </c>
      <c r="BA1910" s="3" t="s">
        <v>19397</v>
      </c>
      <c r="BB1910" s="3" t="s">
        <v>19398</v>
      </c>
      <c r="BC1910" s="3" t="s">
        <v>77</v>
      </c>
      <c r="BD1910" s="3" t="s">
        <v>78</v>
      </c>
      <c r="BE1910" s="3" t="s">
        <v>19399</v>
      </c>
      <c r="BF1910" s="3" t="s">
        <v>19398</v>
      </c>
      <c r="BG1910" s="3" t="s">
        <v>19400</v>
      </c>
      <c r="BH1910">
        <f t="shared" si="51"/>
        <v>0</v>
      </c>
    </row>
    <row r="1911" spans="1:60" ht="58" x14ac:dyDescent="0.35">
      <c r="A1911" s="2" t="s">
        <v>59</v>
      </c>
      <c r="B1911" s="2" t="s">
        <v>60</v>
      </c>
      <c r="C1911" s="2" t="s">
        <v>19401</v>
      </c>
      <c r="D1911" s="2" t="s">
        <v>19402</v>
      </c>
      <c r="E1911" s="2" t="s">
        <v>19403</v>
      </c>
      <c r="G1911" s="3" t="s">
        <v>64</v>
      </c>
      <c r="I1911" s="3" t="s">
        <v>64</v>
      </c>
      <c r="J1911" s="3" t="s">
        <v>64</v>
      </c>
      <c r="K1911" s="3" t="s">
        <v>65</v>
      </c>
      <c r="M1911" s="2" t="s">
        <v>18474</v>
      </c>
      <c r="N1911" s="3" t="s">
        <v>1075</v>
      </c>
      <c r="P1911" s="3" t="s">
        <v>102</v>
      </c>
      <c r="R1911" s="3" t="s">
        <v>70</v>
      </c>
      <c r="S1911" s="4">
        <v>0</v>
      </c>
      <c r="T1911" s="4">
        <v>0</v>
      </c>
      <c r="W1911" s="5" t="s">
        <v>72</v>
      </c>
      <c r="X1911" s="5" t="s">
        <v>72</v>
      </c>
      <c r="Y1911" s="4">
        <v>24</v>
      </c>
      <c r="Z1911" s="4">
        <v>4</v>
      </c>
      <c r="AA1911" s="4">
        <v>4</v>
      </c>
      <c r="AB1911" s="4">
        <v>1</v>
      </c>
      <c r="AC1911" s="4">
        <v>1</v>
      </c>
      <c r="AD1911" s="4">
        <v>11</v>
      </c>
      <c r="AE1911" s="4">
        <v>11</v>
      </c>
      <c r="AF1911" s="4">
        <v>0</v>
      </c>
      <c r="AG1911" s="4">
        <v>0</v>
      </c>
      <c r="AH1911" s="4">
        <v>10</v>
      </c>
      <c r="AI1911" s="4">
        <v>10</v>
      </c>
      <c r="AJ1911" s="4">
        <v>2</v>
      </c>
      <c r="AK1911" s="4">
        <v>2</v>
      </c>
      <c r="AL1911" s="4">
        <v>6</v>
      </c>
      <c r="AM1911" s="4">
        <v>6</v>
      </c>
      <c r="AN1911" s="4">
        <v>0</v>
      </c>
      <c r="AO1911" s="4">
        <v>0</v>
      </c>
      <c r="AP1911" s="4">
        <v>3</v>
      </c>
      <c r="AQ1911" s="4">
        <v>3</v>
      </c>
      <c r="AR1911" s="3" t="s">
        <v>64</v>
      </c>
      <c r="AS1911" s="3" t="s">
        <v>64</v>
      </c>
      <c r="AT1911" s="3" t="s">
        <v>64</v>
      </c>
      <c r="AV1911" s="6" t="str">
        <f>HYPERLINK("http://mcgill.on.worldcat.org/oclc/844308215","Catalog Record")</f>
        <v>Catalog Record</v>
      </c>
      <c r="AW1911" s="6" t="str">
        <f>HYPERLINK("http://www.worldcat.org/oclc/844308215","WorldCat Record")</f>
        <v>WorldCat Record</v>
      </c>
      <c r="AX1911" s="3" t="s">
        <v>19404</v>
      </c>
      <c r="AY1911" s="3" t="s">
        <v>19405</v>
      </c>
      <c r="AZ1911" s="3" t="s">
        <v>19406</v>
      </c>
      <c r="BA1911" s="3" t="s">
        <v>19406</v>
      </c>
      <c r="BB1911" s="3" t="s">
        <v>19407</v>
      </c>
      <c r="BC1911" s="3" t="s">
        <v>77</v>
      </c>
      <c r="BD1911" s="3" t="s">
        <v>78</v>
      </c>
      <c r="BE1911" s="3" t="s">
        <v>19408</v>
      </c>
      <c r="BF1911" s="3" t="s">
        <v>19407</v>
      </c>
      <c r="BG1911" s="3" t="s">
        <v>19409</v>
      </c>
      <c r="BH1911">
        <f t="shared" si="51"/>
        <v>0</v>
      </c>
    </row>
    <row r="1912" spans="1:60" ht="58" x14ac:dyDescent="0.35">
      <c r="A1912" s="2" t="s">
        <v>59</v>
      </c>
      <c r="B1912" s="2" t="s">
        <v>60</v>
      </c>
      <c r="C1912" s="2" t="s">
        <v>19410</v>
      </c>
      <c r="D1912" s="2" t="s">
        <v>19411</v>
      </c>
      <c r="E1912" s="2" t="s">
        <v>19412</v>
      </c>
      <c r="G1912" s="3" t="s">
        <v>64</v>
      </c>
      <c r="H1912" s="3" t="s">
        <v>183</v>
      </c>
      <c r="I1912" s="3" t="s">
        <v>64</v>
      </c>
      <c r="J1912" s="3" t="s">
        <v>64</v>
      </c>
      <c r="K1912" s="3" t="s">
        <v>65</v>
      </c>
      <c r="M1912" s="2" t="s">
        <v>19413</v>
      </c>
      <c r="N1912" s="3" t="s">
        <v>1492</v>
      </c>
      <c r="P1912" s="3" t="s">
        <v>102</v>
      </c>
      <c r="R1912" s="3" t="s">
        <v>70</v>
      </c>
      <c r="S1912" s="4">
        <v>0</v>
      </c>
      <c r="T1912" s="4">
        <v>0</v>
      </c>
      <c r="W1912" s="5" t="s">
        <v>826</v>
      </c>
      <c r="X1912" s="5" t="s">
        <v>826</v>
      </c>
      <c r="Y1912" s="4">
        <v>10</v>
      </c>
      <c r="Z1912" s="4">
        <v>1</v>
      </c>
      <c r="AA1912" s="4">
        <v>2</v>
      </c>
      <c r="AB1912" s="4">
        <v>1</v>
      </c>
      <c r="AC1912" s="4">
        <v>2</v>
      </c>
      <c r="AD1912" s="4">
        <v>4</v>
      </c>
      <c r="AE1912" s="4">
        <v>7</v>
      </c>
      <c r="AF1912" s="4">
        <v>0</v>
      </c>
      <c r="AG1912" s="4">
        <v>0</v>
      </c>
      <c r="AH1912" s="4">
        <v>4</v>
      </c>
      <c r="AI1912" s="4">
        <v>7</v>
      </c>
      <c r="AJ1912" s="4">
        <v>0</v>
      </c>
      <c r="AK1912" s="4">
        <v>0</v>
      </c>
      <c r="AL1912" s="4">
        <v>3</v>
      </c>
      <c r="AM1912" s="4">
        <v>4</v>
      </c>
      <c r="AN1912" s="4">
        <v>0</v>
      </c>
      <c r="AO1912" s="4">
        <v>0</v>
      </c>
      <c r="AP1912" s="4">
        <v>0</v>
      </c>
      <c r="AQ1912" s="4">
        <v>0</v>
      </c>
      <c r="AR1912" s="3" t="s">
        <v>64</v>
      </c>
      <c r="AS1912" s="3" t="s">
        <v>64</v>
      </c>
      <c r="AT1912" s="3" t="s">
        <v>64</v>
      </c>
      <c r="AV1912" s="6" t="str">
        <f>HYPERLINK("http://mcgill.on.worldcat.org/oclc/1112897121","Catalog Record")</f>
        <v>Catalog Record</v>
      </c>
      <c r="AW1912" s="6" t="str">
        <f>HYPERLINK("http://www.worldcat.org/oclc/1112897121","WorldCat Record")</f>
        <v>WorldCat Record</v>
      </c>
      <c r="AX1912" s="3" t="s">
        <v>19414</v>
      </c>
      <c r="AY1912" s="3" t="s">
        <v>19415</v>
      </c>
      <c r="AZ1912" s="3" t="s">
        <v>19416</v>
      </c>
      <c r="BA1912" s="3" t="s">
        <v>19416</v>
      </c>
      <c r="BB1912" s="3" t="s">
        <v>19417</v>
      </c>
      <c r="BC1912" s="3" t="s">
        <v>77</v>
      </c>
      <c r="BD1912" s="3" t="s">
        <v>78</v>
      </c>
      <c r="BE1912" s="3" t="s">
        <v>19418</v>
      </c>
      <c r="BF1912" s="3" t="s">
        <v>19417</v>
      </c>
      <c r="BG1912" s="3" t="s">
        <v>19419</v>
      </c>
      <c r="BH1912">
        <f t="shared" si="51"/>
        <v>0</v>
      </c>
    </row>
    <row r="1913" spans="1:60" ht="58" x14ac:dyDescent="0.35">
      <c r="A1913" s="2" t="s">
        <v>59</v>
      </c>
      <c r="B1913" s="2" t="s">
        <v>60</v>
      </c>
      <c r="C1913" s="2" t="s">
        <v>19420</v>
      </c>
      <c r="D1913" s="2" t="s">
        <v>19421</v>
      </c>
      <c r="E1913" s="2" t="s">
        <v>19422</v>
      </c>
      <c r="G1913" s="3" t="s">
        <v>64</v>
      </c>
      <c r="I1913" s="3" t="s">
        <v>64</v>
      </c>
      <c r="J1913" s="3" t="s">
        <v>64</v>
      </c>
      <c r="K1913" s="3" t="s">
        <v>65</v>
      </c>
      <c r="M1913" s="2" t="s">
        <v>19423</v>
      </c>
      <c r="N1913" s="3" t="s">
        <v>1075</v>
      </c>
      <c r="P1913" s="3" t="s">
        <v>102</v>
      </c>
      <c r="R1913" s="3" t="s">
        <v>70</v>
      </c>
      <c r="S1913" s="4">
        <v>0</v>
      </c>
      <c r="T1913" s="4">
        <v>0</v>
      </c>
      <c r="W1913" s="5" t="s">
        <v>72</v>
      </c>
      <c r="X1913" s="5" t="s">
        <v>72</v>
      </c>
      <c r="Y1913" s="4">
        <v>32</v>
      </c>
      <c r="Z1913" s="4">
        <v>4</v>
      </c>
      <c r="AA1913" s="4">
        <v>5</v>
      </c>
      <c r="AB1913" s="4">
        <v>1</v>
      </c>
      <c r="AC1913" s="4">
        <v>2</v>
      </c>
      <c r="AD1913" s="4">
        <v>14</v>
      </c>
      <c r="AE1913" s="4">
        <v>14</v>
      </c>
      <c r="AF1913" s="4">
        <v>0</v>
      </c>
      <c r="AG1913" s="4">
        <v>0</v>
      </c>
      <c r="AH1913" s="4">
        <v>13</v>
      </c>
      <c r="AI1913" s="4">
        <v>13</v>
      </c>
      <c r="AJ1913" s="4">
        <v>3</v>
      </c>
      <c r="AK1913" s="4">
        <v>3</v>
      </c>
      <c r="AL1913" s="4">
        <v>7</v>
      </c>
      <c r="AM1913" s="4">
        <v>7</v>
      </c>
      <c r="AN1913" s="4">
        <v>0</v>
      </c>
      <c r="AO1913" s="4">
        <v>0</v>
      </c>
      <c r="AP1913" s="4">
        <v>3</v>
      </c>
      <c r="AQ1913" s="4">
        <v>3</v>
      </c>
      <c r="AR1913" s="3" t="s">
        <v>64</v>
      </c>
      <c r="AS1913" s="3" t="s">
        <v>64</v>
      </c>
      <c r="AT1913" s="3" t="s">
        <v>64</v>
      </c>
      <c r="AV1913" s="6" t="str">
        <f>HYPERLINK("http://mcgill.on.worldcat.org/oclc/855190442","Catalog Record")</f>
        <v>Catalog Record</v>
      </c>
      <c r="AW1913" s="6" t="str">
        <f>HYPERLINK("http://www.worldcat.org/oclc/855190442","WorldCat Record")</f>
        <v>WorldCat Record</v>
      </c>
      <c r="AX1913" s="3" t="s">
        <v>19424</v>
      </c>
      <c r="AY1913" s="3" t="s">
        <v>19425</v>
      </c>
      <c r="AZ1913" s="3" t="s">
        <v>19426</v>
      </c>
      <c r="BA1913" s="3" t="s">
        <v>19426</v>
      </c>
      <c r="BB1913" s="3" t="s">
        <v>19427</v>
      </c>
      <c r="BC1913" s="3" t="s">
        <v>77</v>
      </c>
      <c r="BD1913" s="3" t="s">
        <v>78</v>
      </c>
      <c r="BE1913" s="3" t="s">
        <v>19428</v>
      </c>
      <c r="BF1913" s="3" t="s">
        <v>19427</v>
      </c>
      <c r="BG1913" s="3" t="s">
        <v>19429</v>
      </c>
      <c r="BH1913">
        <f t="shared" si="51"/>
        <v>0</v>
      </c>
    </row>
    <row r="1914" spans="1:60" ht="58" x14ac:dyDescent="0.35">
      <c r="A1914" s="2" t="s">
        <v>59</v>
      </c>
      <c r="B1914" s="2" t="s">
        <v>60</v>
      </c>
      <c r="C1914" s="2" t="s">
        <v>19430</v>
      </c>
      <c r="D1914" s="2" t="s">
        <v>19431</v>
      </c>
      <c r="E1914" s="2" t="s">
        <v>19432</v>
      </c>
      <c r="G1914" s="3" t="s">
        <v>64</v>
      </c>
      <c r="I1914" s="3" t="s">
        <v>64</v>
      </c>
      <c r="J1914" s="3" t="s">
        <v>64</v>
      </c>
      <c r="K1914" s="3" t="s">
        <v>65</v>
      </c>
      <c r="M1914" s="2" t="s">
        <v>19433</v>
      </c>
      <c r="N1914" s="3" t="s">
        <v>326</v>
      </c>
      <c r="O1914" s="2" t="s">
        <v>16791</v>
      </c>
      <c r="P1914" s="3" t="s">
        <v>102</v>
      </c>
      <c r="Q1914" s="2" t="s">
        <v>19434</v>
      </c>
      <c r="R1914" s="3" t="s">
        <v>70</v>
      </c>
      <c r="S1914" s="4">
        <v>0</v>
      </c>
      <c r="T1914" s="4">
        <v>0</v>
      </c>
      <c r="W1914" s="5" t="s">
        <v>72</v>
      </c>
      <c r="X1914" s="5" t="s">
        <v>72</v>
      </c>
      <c r="Y1914" s="4">
        <v>66</v>
      </c>
      <c r="Z1914" s="4">
        <v>15</v>
      </c>
      <c r="AA1914" s="4">
        <v>18</v>
      </c>
      <c r="AB1914" s="4">
        <v>1</v>
      </c>
      <c r="AC1914" s="4">
        <v>2</v>
      </c>
      <c r="AD1914" s="4">
        <v>28</v>
      </c>
      <c r="AE1914" s="4">
        <v>37</v>
      </c>
      <c r="AF1914" s="4">
        <v>0</v>
      </c>
      <c r="AG1914" s="4">
        <v>1</v>
      </c>
      <c r="AH1914" s="4">
        <v>23</v>
      </c>
      <c r="AI1914" s="4">
        <v>29</v>
      </c>
      <c r="AJ1914" s="4">
        <v>9</v>
      </c>
      <c r="AK1914" s="4">
        <v>10</v>
      </c>
      <c r="AL1914" s="4">
        <v>10</v>
      </c>
      <c r="AM1914" s="4">
        <v>13</v>
      </c>
      <c r="AN1914" s="4">
        <v>0</v>
      </c>
      <c r="AO1914" s="4">
        <v>0</v>
      </c>
      <c r="AP1914" s="4">
        <v>11</v>
      </c>
      <c r="AQ1914" s="4">
        <v>14</v>
      </c>
      <c r="AR1914" s="3" t="s">
        <v>64</v>
      </c>
      <c r="AS1914" s="3" t="s">
        <v>64</v>
      </c>
      <c r="AT1914" s="3" t="s">
        <v>64</v>
      </c>
      <c r="AV1914" s="6" t="str">
        <f>HYPERLINK("http://mcgill.on.worldcat.org/oclc/752001396","Catalog Record")</f>
        <v>Catalog Record</v>
      </c>
      <c r="AW1914" s="6" t="str">
        <f>HYPERLINK("http://www.worldcat.org/oclc/752001396","WorldCat Record")</f>
        <v>WorldCat Record</v>
      </c>
      <c r="AX1914" s="3" t="s">
        <v>19435</v>
      </c>
      <c r="AY1914" s="3" t="s">
        <v>19436</v>
      </c>
      <c r="AZ1914" s="3" t="s">
        <v>19437</v>
      </c>
      <c r="BA1914" s="3" t="s">
        <v>19437</v>
      </c>
      <c r="BB1914" s="3" t="s">
        <v>19438</v>
      </c>
      <c r="BC1914" s="3" t="s">
        <v>77</v>
      </c>
      <c r="BD1914" s="3" t="s">
        <v>78</v>
      </c>
      <c r="BE1914" s="3" t="s">
        <v>19439</v>
      </c>
      <c r="BF1914" s="3" t="s">
        <v>19438</v>
      </c>
      <c r="BG1914" s="3" t="s">
        <v>19440</v>
      </c>
      <c r="BH1914">
        <f t="shared" si="51"/>
        <v>0</v>
      </c>
    </row>
    <row r="1915" spans="1:60" ht="58" x14ac:dyDescent="0.35">
      <c r="A1915" s="2" t="s">
        <v>59</v>
      </c>
      <c r="B1915" s="2" t="s">
        <v>60</v>
      </c>
      <c r="C1915" s="2" t="s">
        <v>19441</v>
      </c>
      <c r="D1915" s="2" t="s">
        <v>19442</v>
      </c>
      <c r="E1915" s="2" t="s">
        <v>19443</v>
      </c>
      <c r="G1915" s="3" t="s">
        <v>64</v>
      </c>
      <c r="I1915" s="3" t="s">
        <v>64</v>
      </c>
      <c r="J1915" s="3" t="s">
        <v>64</v>
      </c>
      <c r="K1915" s="3" t="s">
        <v>65</v>
      </c>
      <c r="M1915" s="2" t="s">
        <v>19444</v>
      </c>
      <c r="N1915" s="3" t="s">
        <v>511</v>
      </c>
      <c r="P1915" s="3" t="s">
        <v>102</v>
      </c>
      <c r="R1915" s="3" t="s">
        <v>70</v>
      </c>
      <c r="S1915" s="4">
        <v>0</v>
      </c>
      <c r="T1915" s="4">
        <v>0</v>
      </c>
      <c r="W1915" s="5" t="s">
        <v>72</v>
      </c>
      <c r="X1915" s="5" t="s">
        <v>72</v>
      </c>
      <c r="Y1915" s="4">
        <v>52</v>
      </c>
      <c r="Z1915" s="4">
        <v>9</v>
      </c>
      <c r="AA1915" s="4">
        <v>10</v>
      </c>
      <c r="AB1915" s="4">
        <v>1</v>
      </c>
      <c r="AC1915" s="4">
        <v>1</v>
      </c>
      <c r="AD1915" s="4">
        <v>17</v>
      </c>
      <c r="AE1915" s="4">
        <v>18</v>
      </c>
      <c r="AF1915" s="4">
        <v>0</v>
      </c>
      <c r="AG1915" s="4">
        <v>0</v>
      </c>
      <c r="AH1915" s="4">
        <v>13</v>
      </c>
      <c r="AI1915" s="4">
        <v>14</v>
      </c>
      <c r="AJ1915" s="4">
        <v>6</v>
      </c>
      <c r="AK1915" s="4">
        <v>7</v>
      </c>
      <c r="AL1915" s="4">
        <v>9</v>
      </c>
      <c r="AM1915" s="4">
        <v>9</v>
      </c>
      <c r="AN1915" s="4">
        <v>0</v>
      </c>
      <c r="AO1915" s="4">
        <v>0</v>
      </c>
      <c r="AP1915" s="4">
        <v>5</v>
      </c>
      <c r="AQ1915" s="4">
        <v>6</v>
      </c>
      <c r="AR1915" s="3" t="s">
        <v>64</v>
      </c>
      <c r="AS1915" s="3" t="s">
        <v>64</v>
      </c>
      <c r="AT1915" s="3" t="s">
        <v>64</v>
      </c>
      <c r="AV1915" s="6" t="str">
        <f>HYPERLINK("http://mcgill.on.worldcat.org/oclc/620108304","Catalog Record")</f>
        <v>Catalog Record</v>
      </c>
      <c r="AW1915" s="6" t="str">
        <f>HYPERLINK("http://www.worldcat.org/oclc/620108304","WorldCat Record")</f>
        <v>WorldCat Record</v>
      </c>
      <c r="AX1915" s="3" t="s">
        <v>19445</v>
      </c>
      <c r="AY1915" s="3" t="s">
        <v>19446</v>
      </c>
      <c r="AZ1915" s="3" t="s">
        <v>19447</v>
      </c>
      <c r="BA1915" s="3" t="s">
        <v>19447</v>
      </c>
      <c r="BB1915" s="3" t="s">
        <v>19448</v>
      </c>
      <c r="BC1915" s="3" t="s">
        <v>77</v>
      </c>
      <c r="BD1915" s="3" t="s">
        <v>78</v>
      </c>
      <c r="BE1915" s="3" t="s">
        <v>19449</v>
      </c>
      <c r="BF1915" s="3" t="s">
        <v>19448</v>
      </c>
      <c r="BG1915" s="3" t="s">
        <v>19450</v>
      </c>
      <c r="BH1915">
        <f t="shared" si="51"/>
        <v>0</v>
      </c>
    </row>
    <row r="1916" spans="1:60" ht="58" x14ac:dyDescent="0.35">
      <c r="A1916" s="2" t="s">
        <v>59</v>
      </c>
      <c r="B1916" s="2" t="s">
        <v>60</v>
      </c>
      <c r="C1916" s="2" t="s">
        <v>19451</v>
      </c>
      <c r="D1916" s="2" t="s">
        <v>19452</v>
      </c>
      <c r="E1916" s="2" t="s">
        <v>19453</v>
      </c>
      <c r="G1916" s="3" t="s">
        <v>64</v>
      </c>
      <c r="I1916" s="3" t="s">
        <v>64</v>
      </c>
      <c r="J1916" s="3" t="s">
        <v>64</v>
      </c>
      <c r="K1916" s="3" t="s">
        <v>65</v>
      </c>
      <c r="M1916" s="2" t="s">
        <v>19423</v>
      </c>
      <c r="N1916" s="3" t="s">
        <v>1075</v>
      </c>
      <c r="P1916" s="3" t="s">
        <v>102</v>
      </c>
      <c r="R1916" s="3" t="s">
        <v>70</v>
      </c>
      <c r="S1916" s="4">
        <v>0</v>
      </c>
      <c r="T1916" s="4">
        <v>0</v>
      </c>
      <c r="W1916" s="5" t="s">
        <v>72</v>
      </c>
      <c r="X1916" s="5" t="s">
        <v>72</v>
      </c>
      <c r="Y1916" s="4">
        <v>25</v>
      </c>
      <c r="Z1916" s="4">
        <v>6</v>
      </c>
      <c r="AA1916" s="4">
        <v>7</v>
      </c>
      <c r="AB1916" s="4">
        <v>1</v>
      </c>
      <c r="AC1916" s="4">
        <v>2</v>
      </c>
      <c r="AD1916" s="4">
        <v>10</v>
      </c>
      <c r="AE1916" s="4">
        <v>10</v>
      </c>
      <c r="AF1916" s="4">
        <v>0</v>
      </c>
      <c r="AG1916" s="4">
        <v>0</v>
      </c>
      <c r="AH1916" s="4">
        <v>9</v>
      </c>
      <c r="AI1916" s="4">
        <v>9</v>
      </c>
      <c r="AJ1916" s="4">
        <v>4</v>
      </c>
      <c r="AK1916" s="4">
        <v>4</v>
      </c>
      <c r="AL1916" s="4">
        <v>4</v>
      </c>
      <c r="AM1916" s="4">
        <v>4</v>
      </c>
      <c r="AN1916" s="4">
        <v>0</v>
      </c>
      <c r="AO1916" s="4">
        <v>0</v>
      </c>
      <c r="AP1916" s="4">
        <v>4</v>
      </c>
      <c r="AQ1916" s="4">
        <v>4</v>
      </c>
      <c r="AR1916" s="3" t="s">
        <v>64</v>
      </c>
      <c r="AS1916" s="3" t="s">
        <v>64</v>
      </c>
      <c r="AT1916" s="3" t="s">
        <v>64</v>
      </c>
      <c r="AV1916" s="6" t="str">
        <f>HYPERLINK("http://mcgill.on.worldcat.org/oclc/857645995","Catalog Record")</f>
        <v>Catalog Record</v>
      </c>
      <c r="AW1916" s="6" t="str">
        <f>HYPERLINK("http://www.worldcat.org/oclc/857645995","WorldCat Record")</f>
        <v>WorldCat Record</v>
      </c>
      <c r="AX1916" s="3" t="s">
        <v>19454</v>
      </c>
      <c r="AY1916" s="3" t="s">
        <v>19455</v>
      </c>
      <c r="AZ1916" s="3" t="s">
        <v>19456</v>
      </c>
      <c r="BA1916" s="3" t="s">
        <v>19456</v>
      </c>
      <c r="BB1916" s="3" t="s">
        <v>19457</v>
      </c>
      <c r="BC1916" s="3" t="s">
        <v>77</v>
      </c>
      <c r="BD1916" s="3" t="s">
        <v>78</v>
      </c>
      <c r="BE1916" s="3" t="s">
        <v>19458</v>
      </c>
      <c r="BF1916" s="3" t="s">
        <v>19457</v>
      </c>
      <c r="BG1916" s="3" t="s">
        <v>19459</v>
      </c>
      <c r="BH1916">
        <f t="shared" si="51"/>
        <v>0</v>
      </c>
    </row>
    <row r="1917" spans="1:60" ht="58" x14ac:dyDescent="0.35">
      <c r="A1917" s="2" t="s">
        <v>59</v>
      </c>
      <c r="B1917" s="2" t="s">
        <v>60</v>
      </c>
      <c r="C1917" s="2" t="s">
        <v>19460</v>
      </c>
      <c r="D1917" s="2" t="s">
        <v>19461</v>
      </c>
      <c r="E1917" s="2" t="s">
        <v>19462</v>
      </c>
      <c r="G1917" s="3" t="s">
        <v>64</v>
      </c>
      <c r="I1917" s="3" t="s">
        <v>64</v>
      </c>
      <c r="J1917" s="3" t="s">
        <v>64</v>
      </c>
      <c r="K1917" s="3" t="s">
        <v>65</v>
      </c>
      <c r="M1917" s="2" t="s">
        <v>18533</v>
      </c>
      <c r="N1917" s="3" t="s">
        <v>578</v>
      </c>
      <c r="P1917" s="3" t="s">
        <v>102</v>
      </c>
      <c r="Q1917" s="2" t="s">
        <v>14022</v>
      </c>
      <c r="R1917" s="3" t="s">
        <v>70</v>
      </c>
      <c r="S1917" s="4">
        <v>0</v>
      </c>
      <c r="T1917" s="4">
        <v>0</v>
      </c>
      <c r="W1917" s="5" t="s">
        <v>72</v>
      </c>
      <c r="X1917" s="5" t="s">
        <v>72</v>
      </c>
      <c r="Y1917" s="4">
        <v>250</v>
      </c>
      <c r="Z1917" s="4">
        <v>6</v>
      </c>
      <c r="AA1917" s="4">
        <v>68</v>
      </c>
      <c r="AB1917" s="4">
        <v>2</v>
      </c>
      <c r="AC1917" s="4">
        <v>14</v>
      </c>
      <c r="AD1917" s="4">
        <v>59</v>
      </c>
      <c r="AE1917" s="4">
        <v>102</v>
      </c>
      <c r="AF1917" s="4">
        <v>1</v>
      </c>
      <c r="AG1917" s="4">
        <v>8</v>
      </c>
      <c r="AH1917" s="4">
        <v>56</v>
      </c>
      <c r="AI1917" s="4">
        <v>76</v>
      </c>
      <c r="AJ1917" s="4">
        <v>4</v>
      </c>
      <c r="AK1917" s="4">
        <v>16</v>
      </c>
      <c r="AL1917" s="4">
        <v>31</v>
      </c>
      <c r="AM1917" s="4">
        <v>40</v>
      </c>
      <c r="AN1917" s="4">
        <v>0</v>
      </c>
      <c r="AO1917" s="4">
        <v>0</v>
      </c>
      <c r="AP1917" s="4">
        <v>5</v>
      </c>
      <c r="AQ1917" s="4">
        <v>32</v>
      </c>
      <c r="AR1917" s="3" t="s">
        <v>64</v>
      </c>
      <c r="AS1917" s="3" t="s">
        <v>64</v>
      </c>
      <c r="AT1917" s="3" t="s">
        <v>64</v>
      </c>
      <c r="AV1917" s="6" t="str">
        <f>HYPERLINK("http://mcgill.on.worldcat.org/oclc/988232167","Catalog Record")</f>
        <v>Catalog Record</v>
      </c>
      <c r="AW1917" s="6" t="str">
        <f>HYPERLINK("http://www.worldcat.org/oclc/988232167","WorldCat Record")</f>
        <v>WorldCat Record</v>
      </c>
      <c r="AX1917" s="3" t="s">
        <v>19463</v>
      </c>
      <c r="AY1917" s="3" t="s">
        <v>19464</v>
      </c>
      <c r="AZ1917" s="3" t="s">
        <v>19465</v>
      </c>
      <c r="BA1917" s="3" t="s">
        <v>19465</v>
      </c>
      <c r="BB1917" s="3" t="s">
        <v>19466</v>
      </c>
      <c r="BC1917" s="3" t="s">
        <v>77</v>
      </c>
      <c r="BD1917" s="3" t="s">
        <v>78</v>
      </c>
      <c r="BE1917" s="3" t="s">
        <v>19467</v>
      </c>
      <c r="BF1917" s="3" t="s">
        <v>19466</v>
      </c>
      <c r="BG1917" s="3" t="s">
        <v>19468</v>
      </c>
      <c r="BH1917">
        <f t="shared" si="51"/>
        <v>0</v>
      </c>
    </row>
    <row r="1918" spans="1:60" ht="58" x14ac:dyDescent="0.35">
      <c r="A1918" s="2" t="s">
        <v>59</v>
      </c>
      <c r="B1918" s="2" t="s">
        <v>60</v>
      </c>
      <c r="C1918" s="2" t="s">
        <v>19469</v>
      </c>
      <c r="D1918" s="2" t="s">
        <v>19470</v>
      </c>
      <c r="E1918" s="2" t="s">
        <v>19471</v>
      </c>
      <c r="G1918" s="3" t="s">
        <v>64</v>
      </c>
      <c r="I1918" s="3" t="s">
        <v>64</v>
      </c>
      <c r="J1918" s="3" t="s">
        <v>64</v>
      </c>
      <c r="K1918" s="3" t="s">
        <v>65</v>
      </c>
      <c r="M1918" s="2" t="s">
        <v>19472</v>
      </c>
      <c r="N1918" s="3" t="s">
        <v>101</v>
      </c>
      <c r="P1918" s="3" t="s">
        <v>102</v>
      </c>
      <c r="R1918" s="3" t="s">
        <v>70</v>
      </c>
      <c r="S1918" s="4">
        <v>4</v>
      </c>
      <c r="T1918" s="4">
        <v>4</v>
      </c>
      <c r="U1918" s="5" t="s">
        <v>1751</v>
      </c>
      <c r="V1918" s="5" t="s">
        <v>1751</v>
      </c>
      <c r="W1918" s="5" t="s">
        <v>72</v>
      </c>
      <c r="X1918" s="5" t="s">
        <v>72</v>
      </c>
      <c r="Y1918" s="4">
        <v>134</v>
      </c>
      <c r="Z1918" s="4">
        <v>9</v>
      </c>
      <c r="AA1918" s="4">
        <v>9</v>
      </c>
      <c r="AB1918" s="4">
        <v>2</v>
      </c>
      <c r="AC1918" s="4">
        <v>2</v>
      </c>
      <c r="AD1918" s="4">
        <v>23</v>
      </c>
      <c r="AE1918" s="4">
        <v>23</v>
      </c>
      <c r="AF1918" s="4">
        <v>0</v>
      </c>
      <c r="AG1918" s="4">
        <v>0</v>
      </c>
      <c r="AH1918" s="4">
        <v>21</v>
      </c>
      <c r="AI1918" s="4">
        <v>21</v>
      </c>
      <c r="AJ1918" s="4">
        <v>3</v>
      </c>
      <c r="AK1918" s="4">
        <v>3</v>
      </c>
      <c r="AL1918" s="4">
        <v>8</v>
      </c>
      <c r="AM1918" s="4">
        <v>8</v>
      </c>
      <c r="AN1918" s="4">
        <v>0</v>
      </c>
      <c r="AO1918" s="4">
        <v>0</v>
      </c>
      <c r="AP1918" s="4">
        <v>5</v>
      </c>
      <c r="AQ1918" s="4">
        <v>5</v>
      </c>
      <c r="AR1918" s="3" t="s">
        <v>64</v>
      </c>
      <c r="AS1918" s="3" t="s">
        <v>64</v>
      </c>
      <c r="AT1918" s="3" t="s">
        <v>64</v>
      </c>
      <c r="AV1918" s="6" t="str">
        <f>HYPERLINK("http://mcgill.on.worldcat.org/oclc/52313414","Catalog Record")</f>
        <v>Catalog Record</v>
      </c>
      <c r="AW1918" s="6" t="str">
        <f>HYPERLINK("http://www.worldcat.org/oclc/52313414","WorldCat Record")</f>
        <v>WorldCat Record</v>
      </c>
      <c r="AX1918" s="3" t="s">
        <v>19473</v>
      </c>
      <c r="AY1918" s="3" t="s">
        <v>19474</v>
      </c>
      <c r="AZ1918" s="3" t="s">
        <v>19475</v>
      </c>
      <c r="BA1918" s="3" t="s">
        <v>19475</v>
      </c>
      <c r="BB1918" s="3" t="s">
        <v>19476</v>
      </c>
      <c r="BC1918" s="3" t="s">
        <v>77</v>
      </c>
      <c r="BD1918" s="3" t="s">
        <v>78</v>
      </c>
      <c r="BF1918" s="3" t="s">
        <v>19476</v>
      </c>
      <c r="BG1918" s="3" t="s">
        <v>19477</v>
      </c>
      <c r="BH1918">
        <f t="shared" si="51"/>
        <v>0</v>
      </c>
    </row>
    <row r="1919" spans="1:60" ht="58" x14ac:dyDescent="0.35">
      <c r="A1919" s="2" t="s">
        <v>59</v>
      </c>
      <c r="B1919" s="2" t="s">
        <v>60</v>
      </c>
      <c r="C1919" s="2" t="s">
        <v>19478</v>
      </c>
      <c r="D1919" s="2" t="s">
        <v>19479</v>
      </c>
      <c r="E1919" s="2" t="s">
        <v>19480</v>
      </c>
      <c r="G1919" s="3" t="s">
        <v>64</v>
      </c>
      <c r="I1919" s="3" t="s">
        <v>64</v>
      </c>
      <c r="J1919" s="3" t="s">
        <v>64</v>
      </c>
      <c r="K1919" s="3" t="s">
        <v>65</v>
      </c>
      <c r="M1919" s="2" t="s">
        <v>8980</v>
      </c>
      <c r="N1919" s="3" t="s">
        <v>511</v>
      </c>
      <c r="P1919" s="3" t="s">
        <v>102</v>
      </c>
      <c r="Q1919" s="2" t="s">
        <v>8981</v>
      </c>
      <c r="R1919" s="3" t="s">
        <v>70</v>
      </c>
      <c r="S1919" s="4">
        <v>3</v>
      </c>
      <c r="T1919" s="4">
        <v>3</v>
      </c>
      <c r="U1919" s="5" t="s">
        <v>5263</v>
      </c>
      <c r="V1919" s="5" t="s">
        <v>5263</v>
      </c>
      <c r="W1919" s="5" t="s">
        <v>72</v>
      </c>
      <c r="X1919" s="5" t="s">
        <v>72</v>
      </c>
      <c r="Y1919" s="4">
        <v>183</v>
      </c>
      <c r="Z1919" s="4">
        <v>15</v>
      </c>
      <c r="AA1919" s="4">
        <v>30</v>
      </c>
      <c r="AB1919" s="4">
        <v>2</v>
      </c>
      <c r="AC1919" s="4">
        <v>5</v>
      </c>
      <c r="AD1919" s="4">
        <v>67</v>
      </c>
      <c r="AE1919" s="4">
        <v>88</v>
      </c>
      <c r="AF1919" s="4">
        <v>1</v>
      </c>
      <c r="AG1919" s="4">
        <v>2</v>
      </c>
      <c r="AH1919" s="4">
        <v>63</v>
      </c>
      <c r="AI1919" s="4">
        <v>78</v>
      </c>
      <c r="AJ1919" s="4">
        <v>12</v>
      </c>
      <c r="AK1919" s="4">
        <v>15</v>
      </c>
      <c r="AL1919" s="4">
        <v>35</v>
      </c>
      <c r="AM1919" s="4">
        <v>41</v>
      </c>
      <c r="AN1919" s="4">
        <v>0</v>
      </c>
      <c r="AO1919" s="4">
        <v>0</v>
      </c>
      <c r="AP1919" s="4">
        <v>13</v>
      </c>
      <c r="AQ1919" s="4">
        <v>19</v>
      </c>
      <c r="AR1919" s="3" t="s">
        <v>64</v>
      </c>
      <c r="AS1919" s="3" t="s">
        <v>64</v>
      </c>
      <c r="AT1919" s="3" t="s">
        <v>64</v>
      </c>
      <c r="AV1919" s="6" t="str">
        <f>HYPERLINK("http://mcgill.on.worldcat.org/oclc/503046652","Catalog Record")</f>
        <v>Catalog Record</v>
      </c>
      <c r="AW1919" s="6" t="str">
        <f>HYPERLINK("http://www.worldcat.org/oclc/503046652","WorldCat Record")</f>
        <v>WorldCat Record</v>
      </c>
      <c r="AX1919" s="3" t="s">
        <v>19481</v>
      </c>
      <c r="AY1919" s="3" t="s">
        <v>19482</v>
      </c>
      <c r="AZ1919" s="3" t="s">
        <v>19483</v>
      </c>
      <c r="BA1919" s="3" t="s">
        <v>19483</v>
      </c>
      <c r="BB1919" s="3" t="s">
        <v>19484</v>
      </c>
      <c r="BC1919" s="3" t="s">
        <v>77</v>
      </c>
      <c r="BD1919" s="3" t="s">
        <v>78</v>
      </c>
      <c r="BE1919" s="3" t="s">
        <v>19485</v>
      </c>
      <c r="BF1919" s="3" t="s">
        <v>19484</v>
      </c>
      <c r="BG1919" s="3" t="s">
        <v>19486</v>
      </c>
      <c r="BH1919">
        <f t="shared" si="51"/>
        <v>0</v>
      </c>
    </row>
    <row r="1920" spans="1:60" ht="58" x14ac:dyDescent="0.35">
      <c r="A1920" s="2" t="s">
        <v>59</v>
      </c>
      <c r="B1920" s="2" t="s">
        <v>60</v>
      </c>
      <c r="C1920" s="2" t="s">
        <v>19487</v>
      </c>
      <c r="D1920" s="2" t="s">
        <v>19488</v>
      </c>
      <c r="E1920" s="2" t="s">
        <v>19489</v>
      </c>
      <c r="G1920" s="3" t="s">
        <v>64</v>
      </c>
      <c r="I1920" s="3" t="s">
        <v>64</v>
      </c>
      <c r="J1920" s="3" t="s">
        <v>64</v>
      </c>
      <c r="K1920" s="3" t="s">
        <v>65</v>
      </c>
      <c r="L1920" s="2" t="s">
        <v>19490</v>
      </c>
      <c r="M1920" s="2" t="s">
        <v>14793</v>
      </c>
      <c r="N1920" s="3" t="s">
        <v>1075</v>
      </c>
      <c r="P1920" s="3" t="s">
        <v>102</v>
      </c>
      <c r="Q1920" s="2" t="s">
        <v>19491</v>
      </c>
      <c r="R1920" s="3" t="s">
        <v>70</v>
      </c>
      <c r="S1920" s="4">
        <v>4</v>
      </c>
      <c r="T1920" s="4">
        <v>4</v>
      </c>
      <c r="U1920" s="5" t="s">
        <v>18733</v>
      </c>
      <c r="V1920" s="5" t="s">
        <v>18733</v>
      </c>
      <c r="W1920" s="5" t="s">
        <v>72</v>
      </c>
      <c r="X1920" s="5" t="s">
        <v>72</v>
      </c>
      <c r="Y1920" s="4">
        <v>428</v>
      </c>
      <c r="Z1920" s="4">
        <v>22</v>
      </c>
      <c r="AA1920" s="4">
        <v>116</v>
      </c>
      <c r="AB1920" s="4">
        <v>1</v>
      </c>
      <c r="AC1920" s="4">
        <v>16</v>
      </c>
      <c r="AD1920" s="4">
        <v>71</v>
      </c>
      <c r="AE1920" s="4">
        <v>131</v>
      </c>
      <c r="AF1920" s="4">
        <v>0</v>
      </c>
      <c r="AG1920" s="4">
        <v>8</v>
      </c>
      <c r="AH1920" s="4">
        <v>66</v>
      </c>
      <c r="AI1920" s="4">
        <v>90</v>
      </c>
      <c r="AJ1920" s="4">
        <v>8</v>
      </c>
      <c r="AK1920" s="4">
        <v>25</v>
      </c>
      <c r="AL1920" s="4">
        <v>29</v>
      </c>
      <c r="AM1920" s="4">
        <v>43</v>
      </c>
      <c r="AN1920" s="4">
        <v>0</v>
      </c>
      <c r="AO1920" s="4">
        <v>0</v>
      </c>
      <c r="AP1920" s="4">
        <v>13</v>
      </c>
      <c r="AQ1920" s="4">
        <v>50</v>
      </c>
      <c r="AR1920" s="3" t="s">
        <v>64</v>
      </c>
      <c r="AS1920" s="3" t="s">
        <v>64</v>
      </c>
      <c r="AT1920" s="3" t="s">
        <v>64</v>
      </c>
      <c r="AV1920" s="6" t="str">
        <f>HYPERLINK("http://mcgill.on.worldcat.org/oclc/836261183","Catalog Record")</f>
        <v>Catalog Record</v>
      </c>
      <c r="AW1920" s="6" t="str">
        <f>HYPERLINK("http://www.worldcat.org/oclc/836261183","WorldCat Record")</f>
        <v>WorldCat Record</v>
      </c>
      <c r="AX1920" s="3" t="s">
        <v>19492</v>
      </c>
      <c r="AY1920" s="3" t="s">
        <v>19493</v>
      </c>
      <c r="AZ1920" s="3" t="s">
        <v>19494</v>
      </c>
      <c r="BA1920" s="3" t="s">
        <v>19494</v>
      </c>
      <c r="BB1920" s="3" t="s">
        <v>19495</v>
      </c>
      <c r="BC1920" s="3" t="s">
        <v>77</v>
      </c>
      <c r="BD1920" s="3" t="s">
        <v>78</v>
      </c>
      <c r="BE1920" s="3" t="s">
        <v>19496</v>
      </c>
      <c r="BF1920" s="3" t="s">
        <v>19495</v>
      </c>
      <c r="BG1920" s="3" t="s">
        <v>19497</v>
      </c>
      <c r="BH1920">
        <f t="shared" si="51"/>
        <v>0</v>
      </c>
    </row>
    <row r="1921" spans="1:60" ht="58" x14ac:dyDescent="0.35">
      <c r="A1921" s="2" t="s">
        <v>59</v>
      </c>
      <c r="B1921" s="2" t="s">
        <v>60</v>
      </c>
      <c r="C1921" s="2" t="s">
        <v>19498</v>
      </c>
      <c r="D1921" s="2" t="s">
        <v>19499</v>
      </c>
      <c r="E1921" s="2" t="s">
        <v>19500</v>
      </c>
      <c r="G1921" s="3" t="s">
        <v>64</v>
      </c>
      <c r="I1921" s="3" t="s">
        <v>64</v>
      </c>
      <c r="J1921" s="3" t="s">
        <v>64</v>
      </c>
      <c r="K1921" s="3" t="s">
        <v>65</v>
      </c>
      <c r="M1921" s="2" t="s">
        <v>19501</v>
      </c>
      <c r="N1921" s="3" t="s">
        <v>898</v>
      </c>
      <c r="P1921" s="3" t="s">
        <v>102</v>
      </c>
      <c r="R1921" s="3" t="s">
        <v>70</v>
      </c>
      <c r="S1921" s="4">
        <v>6</v>
      </c>
      <c r="T1921" s="4">
        <v>6</v>
      </c>
      <c r="U1921" s="5" t="s">
        <v>19502</v>
      </c>
      <c r="V1921" s="5" t="s">
        <v>19502</v>
      </c>
      <c r="W1921" s="5" t="s">
        <v>72</v>
      </c>
      <c r="X1921" s="5" t="s">
        <v>72</v>
      </c>
      <c r="Y1921" s="4">
        <v>247</v>
      </c>
      <c r="Z1921" s="4">
        <v>18</v>
      </c>
      <c r="AA1921" s="4">
        <v>20</v>
      </c>
      <c r="AB1921" s="4">
        <v>1</v>
      </c>
      <c r="AC1921" s="4">
        <v>3</v>
      </c>
      <c r="AD1921" s="4">
        <v>78</v>
      </c>
      <c r="AE1921" s="4">
        <v>80</v>
      </c>
      <c r="AF1921" s="4">
        <v>0</v>
      </c>
      <c r="AG1921" s="4">
        <v>2</v>
      </c>
      <c r="AH1921" s="4">
        <v>67</v>
      </c>
      <c r="AI1921" s="4">
        <v>68</v>
      </c>
      <c r="AJ1921" s="4">
        <v>12</v>
      </c>
      <c r="AK1921" s="4">
        <v>14</v>
      </c>
      <c r="AL1921" s="4">
        <v>43</v>
      </c>
      <c r="AM1921" s="4">
        <v>43</v>
      </c>
      <c r="AN1921" s="4">
        <v>0</v>
      </c>
      <c r="AO1921" s="4">
        <v>0</v>
      </c>
      <c r="AP1921" s="4">
        <v>13</v>
      </c>
      <c r="AQ1921" s="4">
        <v>14</v>
      </c>
      <c r="AR1921" s="3" t="s">
        <v>64</v>
      </c>
      <c r="AS1921" s="3" t="s">
        <v>64</v>
      </c>
      <c r="AT1921" s="3" t="s">
        <v>128</v>
      </c>
      <c r="AU1921" s="6" t="str">
        <f>HYPERLINK("http://catalog.hathitrust.org/Record/000273840","HathiTrust Record")</f>
        <v>HathiTrust Record</v>
      </c>
      <c r="AV1921" s="6" t="str">
        <f>HYPERLINK("http://mcgill.on.worldcat.org/oclc/7339236","Catalog Record")</f>
        <v>Catalog Record</v>
      </c>
      <c r="AW1921" s="6" t="str">
        <f>HYPERLINK("http://www.worldcat.org/oclc/7339236","WorldCat Record")</f>
        <v>WorldCat Record</v>
      </c>
      <c r="AX1921" s="3" t="s">
        <v>19503</v>
      </c>
      <c r="AY1921" s="3" t="s">
        <v>19504</v>
      </c>
      <c r="AZ1921" s="3" t="s">
        <v>19505</v>
      </c>
      <c r="BA1921" s="3" t="s">
        <v>19505</v>
      </c>
      <c r="BB1921" s="3" t="s">
        <v>19506</v>
      </c>
      <c r="BC1921" s="3" t="s">
        <v>77</v>
      </c>
      <c r="BD1921" s="3" t="s">
        <v>78</v>
      </c>
      <c r="BE1921" s="3" t="s">
        <v>19507</v>
      </c>
      <c r="BF1921" s="3" t="s">
        <v>19506</v>
      </c>
      <c r="BG1921" s="3" t="s">
        <v>19508</v>
      </c>
      <c r="BH1921">
        <f t="shared" si="51"/>
        <v>0</v>
      </c>
    </row>
    <row r="1922" spans="1:60" ht="58" x14ac:dyDescent="0.35">
      <c r="A1922" s="2" t="s">
        <v>59</v>
      </c>
      <c r="B1922" s="2" t="s">
        <v>60</v>
      </c>
      <c r="C1922" s="2" t="s">
        <v>19509</v>
      </c>
      <c r="D1922" s="2" t="s">
        <v>19510</v>
      </c>
      <c r="E1922" s="2" t="s">
        <v>19511</v>
      </c>
      <c r="G1922" s="3" t="s">
        <v>64</v>
      </c>
      <c r="I1922" s="3" t="s">
        <v>64</v>
      </c>
      <c r="J1922" s="3" t="s">
        <v>64</v>
      </c>
      <c r="K1922" s="3" t="s">
        <v>65</v>
      </c>
      <c r="M1922" s="2" t="s">
        <v>10528</v>
      </c>
      <c r="N1922" s="3" t="s">
        <v>326</v>
      </c>
      <c r="P1922" s="3" t="s">
        <v>102</v>
      </c>
      <c r="R1922" s="3" t="s">
        <v>70</v>
      </c>
      <c r="S1922" s="4">
        <v>16</v>
      </c>
      <c r="T1922" s="4">
        <v>16</v>
      </c>
      <c r="U1922" s="5" t="s">
        <v>19512</v>
      </c>
      <c r="V1922" s="5" t="s">
        <v>19512</v>
      </c>
      <c r="W1922" s="5" t="s">
        <v>72</v>
      </c>
      <c r="X1922" s="5" t="s">
        <v>72</v>
      </c>
      <c r="Y1922" s="4">
        <v>184</v>
      </c>
      <c r="Z1922" s="4">
        <v>14</v>
      </c>
      <c r="AA1922" s="4">
        <v>43</v>
      </c>
      <c r="AB1922" s="4">
        <v>1</v>
      </c>
      <c r="AC1922" s="4">
        <v>11</v>
      </c>
      <c r="AD1922" s="4">
        <v>51</v>
      </c>
      <c r="AE1922" s="4">
        <v>67</v>
      </c>
      <c r="AF1922" s="4">
        <v>0</v>
      </c>
      <c r="AG1922" s="4">
        <v>3</v>
      </c>
      <c r="AH1922" s="4">
        <v>47</v>
      </c>
      <c r="AI1922" s="4">
        <v>57</v>
      </c>
      <c r="AJ1922" s="4">
        <v>9</v>
      </c>
      <c r="AK1922" s="4">
        <v>13</v>
      </c>
      <c r="AL1922" s="4">
        <v>26</v>
      </c>
      <c r="AM1922" s="4">
        <v>34</v>
      </c>
      <c r="AN1922" s="4">
        <v>0</v>
      </c>
      <c r="AO1922" s="4">
        <v>0</v>
      </c>
      <c r="AP1922" s="4">
        <v>10</v>
      </c>
      <c r="AQ1922" s="4">
        <v>16</v>
      </c>
      <c r="AR1922" s="3" t="s">
        <v>64</v>
      </c>
      <c r="AS1922" s="3" t="s">
        <v>64</v>
      </c>
      <c r="AT1922" s="3" t="s">
        <v>64</v>
      </c>
      <c r="AV1922" s="6" t="str">
        <f>HYPERLINK("http://mcgill.on.worldcat.org/oclc/663822326","Catalog Record")</f>
        <v>Catalog Record</v>
      </c>
      <c r="AW1922" s="6" t="str">
        <f>HYPERLINK("http://www.worldcat.org/oclc/663822326","WorldCat Record")</f>
        <v>WorldCat Record</v>
      </c>
      <c r="AX1922" s="3" t="s">
        <v>19513</v>
      </c>
      <c r="AY1922" s="3" t="s">
        <v>19514</v>
      </c>
      <c r="AZ1922" s="3" t="s">
        <v>19515</v>
      </c>
      <c r="BA1922" s="3" t="s">
        <v>19515</v>
      </c>
      <c r="BB1922" s="3" t="s">
        <v>19516</v>
      </c>
      <c r="BC1922" s="3" t="s">
        <v>77</v>
      </c>
      <c r="BD1922" s="3" t="s">
        <v>78</v>
      </c>
      <c r="BE1922" s="3" t="s">
        <v>19517</v>
      </c>
      <c r="BF1922" s="3" t="s">
        <v>19516</v>
      </c>
      <c r="BG1922" s="3" t="s">
        <v>19518</v>
      </c>
      <c r="BH1922">
        <f t="shared" ref="BH1922:BH1985" si="52">IF(COUNTIF($BF$1:$BF$5431,BF1922)=1,0,1)</f>
        <v>0</v>
      </c>
    </row>
    <row r="1923" spans="1:60" ht="58" x14ac:dyDescent="0.35">
      <c r="A1923" s="2" t="s">
        <v>59</v>
      </c>
      <c r="B1923" s="2" t="s">
        <v>60</v>
      </c>
      <c r="C1923" s="2" t="s">
        <v>19519</v>
      </c>
      <c r="D1923" s="2" t="s">
        <v>19520</v>
      </c>
      <c r="E1923" s="2" t="s">
        <v>19521</v>
      </c>
      <c r="G1923" s="3" t="s">
        <v>64</v>
      </c>
      <c r="I1923" s="3" t="s">
        <v>64</v>
      </c>
      <c r="J1923" s="3" t="s">
        <v>64</v>
      </c>
      <c r="K1923" s="3" t="s">
        <v>65</v>
      </c>
      <c r="M1923" s="2" t="s">
        <v>15788</v>
      </c>
      <c r="N1923" s="3" t="s">
        <v>67</v>
      </c>
      <c r="P1923" s="3" t="s">
        <v>102</v>
      </c>
      <c r="R1923" s="3" t="s">
        <v>70</v>
      </c>
      <c r="S1923" s="4">
        <v>0</v>
      </c>
      <c r="T1923" s="4">
        <v>0</v>
      </c>
      <c r="W1923" s="5" t="s">
        <v>72</v>
      </c>
      <c r="X1923" s="5" t="s">
        <v>72</v>
      </c>
      <c r="Y1923" s="4">
        <v>435</v>
      </c>
      <c r="Z1923" s="4">
        <v>21</v>
      </c>
      <c r="AA1923" s="4">
        <v>29</v>
      </c>
      <c r="AB1923" s="4">
        <v>3</v>
      </c>
      <c r="AC1923" s="4">
        <v>7</v>
      </c>
      <c r="AD1923" s="4">
        <v>67</v>
      </c>
      <c r="AE1923" s="4">
        <v>74</v>
      </c>
      <c r="AF1923" s="4">
        <v>1</v>
      </c>
      <c r="AG1923" s="4">
        <v>3</v>
      </c>
      <c r="AH1923" s="4">
        <v>60</v>
      </c>
      <c r="AI1923" s="4">
        <v>64</v>
      </c>
      <c r="AJ1923" s="4">
        <v>12</v>
      </c>
      <c r="AK1923" s="4">
        <v>17</v>
      </c>
      <c r="AL1923" s="4">
        <v>27</v>
      </c>
      <c r="AM1923" s="4">
        <v>28</v>
      </c>
      <c r="AN1923" s="4">
        <v>0</v>
      </c>
      <c r="AO1923" s="4">
        <v>0</v>
      </c>
      <c r="AP1923" s="4">
        <v>13</v>
      </c>
      <c r="AQ1923" s="4">
        <v>18</v>
      </c>
      <c r="AR1923" s="3" t="s">
        <v>64</v>
      </c>
      <c r="AS1923" s="3" t="s">
        <v>64</v>
      </c>
      <c r="AT1923" s="3" t="s">
        <v>64</v>
      </c>
      <c r="AV1923" s="6" t="str">
        <f>HYPERLINK("http://mcgill.on.worldcat.org/oclc/866766750","Catalog Record")</f>
        <v>Catalog Record</v>
      </c>
      <c r="AW1923" s="6" t="str">
        <f>HYPERLINK("http://www.worldcat.org/oclc/866766750","WorldCat Record")</f>
        <v>WorldCat Record</v>
      </c>
      <c r="AX1923" s="3" t="s">
        <v>19522</v>
      </c>
      <c r="AY1923" s="3" t="s">
        <v>19523</v>
      </c>
      <c r="AZ1923" s="3" t="s">
        <v>19524</v>
      </c>
      <c r="BA1923" s="3" t="s">
        <v>19524</v>
      </c>
      <c r="BB1923" s="3" t="s">
        <v>19525</v>
      </c>
      <c r="BC1923" s="3" t="s">
        <v>77</v>
      </c>
      <c r="BD1923" s="3" t="s">
        <v>78</v>
      </c>
      <c r="BE1923" s="3" t="s">
        <v>19526</v>
      </c>
      <c r="BF1923" s="3" t="s">
        <v>19525</v>
      </c>
      <c r="BG1923" s="3" t="s">
        <v>19527</v>
      </c>
      <c r="BH1923">
        <f t="shared" si="52"/>
        <v>0</v>
      </c>
    </row>
    <row r="1924" spans="1:60" ht="58" x14ac:dyDescent="0.35">
      <c r="A1924" s="2" t="s">
        <v>59</v>
      </c>
      <c r="B1924" s="2" t="s">
        <v>60</v>
      </c>
      <c r="C1924" s="2" t="s">
        <v>19528</v>
      </c>
      <c r="D1924" s="2" t="s">
        <v>19529</v>
      </c>
      <c r="E1924" s="2" t="s">
        <v>19530</v>
      </c>
      <c r="G1924" s="3" t="s">
        <v>64</v>
      </c>
      <c r="I1924" s="3" t="s">
        <v>64</v>
      </c>
      <c r="J1924" s="3" t="s">
        <v>64</v>
      </c>
      <c r="K1924" s="3" t="s">
        <v>65</v>
      </c>
      <c r="L1924" s="2" t="s">
        <v>19531</v>
      </c>
      <c r="M1924" s="2" t="s">
        <v>15640</v>
      </c>
      <c r="N1924" s="3" t="s">
        <v>253</v>
      </c>
      <c r="P1924" s="3" t="s">
        <v>102</v>
      </c>
      <c r="R1924" s="3" t="s">
        <v>70</v>
      </c>
      <c r="S1924" s="4">
        <v>8</v>
      </c>
      <c r="T1924" s="4">
        <v>8</v>
      </c>
      <c r="U1924" s="5" t="s">
        <v>269</v>
      </c>
      <c r="V1924" s="5" t="s">
        <v>269</v>
      </c>
      <c r="W1924" s="5" t="s">
        <v>72</v>
      </c>
      <c r="X1924" s="5" t="s">
        <v>72</v>
      </c>
      <c r="Y1924" s="4">
        <v>579</v>
      </c>
      <c r="Z1924" s="4">
        <v>18</v>
      </c>
      <c r="AA1924" s="4">
        <v>86</v>
      </c>
      <c r="AB1924" s="4">
        <v>2</v>
      </c>
      <c r="AC1924" s="4">
        <v>16</v>
      </c>
      <c r="AD1924" s="4">
        <v>75</v>
      </c>
      <c r="AE1924" s="4">
        <v>134</v>
      </c>
      <c r="AF1924" s="4">
        <v>1</v>
      </c>
      <c r="AG1924" s="4">
        <v>8</v>
      </c>
      <c r="AH1924" s="4">
        <v>69</v>
      </c>
      <c r="AI1924" s="4">
        <v>97</v>
      </c>
      <c r="AJ1924" s="4">
        <v>8</v>
      </c>
      <c r="AK1924" s="4">
        <v>23</v>
      </c>
      <c r="AL1924" s="4">
        <v>35</v>
      </c>
      <c r="AM1924" s="4">
        <v>50</v>
      </c>
      <c r="AN1924" s="4">
        <v>0</v>
      </c>
      <c r="AO1924" s="4">
        <v>0</v>
      </c>
      <c r="AP1924" s="4">
        <v>10</v>
      </c>
      <c r="AQ1924" s="4">
        <v>43</v>
      </c>
      <c r="AR1924" s="3" t="s">
        <v>64</v>
      </c>
      <c r="AS1924" s="3" t="s">
        <v>64</v>
      </c>
      <c r="AT1924" s="3" t="s">
        <v>64</v>
      </c>
      <c r="AV1924" s="6" t="str">
        <f>HYPERLINK("http://mcgill.on.worldcat.org/oclc/894128431","Catalog Record")</f>
        <v>Catalog Record</v>
      </c>
      <c r="AW1924" s="6" t="str">
        <f>HYPERLINK("http://www.worldcat.org/oclc/894128431","WorldCat Record")</f>
        <v>WorldCat Record</v>
      </c>
      <c r="AX1924" s="3" t="s">
        <v>19532</v>
      </c>
      <c r="AY1924" s="3" t="s">
        <v>19533</v>
      </c>
      <c r="AZ1924" s="3" t="s">
        <v>19534</v>
      </c>
      <c r="BA1924" s="3" t="s">
        <v>19534</v>
      </c>
      <c r="BB1924" s="3" t="s">
        <v>19535</v>
      </c>
      <c r="BC1924" s="3" t="s">
        <v>77</v>
      </c>
      <c r="BD1924" s="3" t="s">
        <v>165</v>
      </c>
      <c r="BE1924" s="3" t="s">
        <v>19536</v>
      </c>
      <c r="BF1924" s="3" t="s">
        <v>19535</v>
      </c>
      <c r="BG1924" s="3" t="s">
        <v>19537</v>
      </c>
      <c r="BH1924">
        <f t="shared" si="52"/>
        <v>0</v>
      </c>
    </row>
    <row r="1925" spans="1:60" ht="58" x14ac:dyDescent="0.35">
      <c r="A1925" s="2" t="s">
        <v>59</v>
      </c>
      <c r="B1925" s="2" t="s">
        <v>60</v>
      </c>
      <c r="C1925" s="2" t="s">
        <v>19538</v>
      </c>
      <c r="D1925" s="2" t="s">
        <v>19539</v>
      </c>
      <c r="E1925" s="2" t="s">
        <v>19540</v>
      </c>
      <c r="G1925" s="3" t="s">
        <v>64</v>
      </c>
      <c r="I1925" s="3" t="s">
        <v>64</v>
      </c>
      <c r="J1925" s="3" t="s">
        <v>64</v>
      </c>
      <c r="K1925" s="3" t="s">
        <v>65</v>
      </c>
      <c r="L1925" s="2" t="s">
        <v>19541</v>
      </c>
      <c r="M1925" s="2" t="s">
        <v>19542</v>
      </c>
      <c r="N1925" s="3" t="s">
        <v>86</v>
      </c>
      <c r="P1925" s="3" t="s">
        <v>102</v>
      </c>
      <c r="R1925" s="3" t="s">
        <v>70</v>
      </c>
      <c r="S1925" s="4">
        <v>0</v>
      </c>
      <c r="T1925" s="4">
        <v>0</v>
      </c>
      <c r="W1925" s="5" t="s">
        <v>72</v>
      </c>
      <c r="X1925" s="5" t="s">
        <v>72</v>
      </c>
      <c r="Y1925" s="4">
        <v>85</v>
      </c>
      <c r="Z1925" s="4">
        <v>7</v>
      </c>
      <c r="AA1925" s="4">
        <v>16</v>
      </c>
      <c r="AB1925" s="4">
        <v>1</v>
      </c>
      <c r="AC1925" s="4">
        <v>4</v>
      </c>
      <c r="AD1925" s="4">
        <v>30</v>
      </c>
      <c r="AE1925" s="4">
        <v>43</v>
      </c>
      <c r="AF1925" s="4">
        <v>0</v>
      </c>
      <c r="AG1925" s="4">
        <v>1</v>
      </c>
      <c r="AH1925" s="4">
        <v>28</v>
      </c>
      <c r="AI1925" s="4">
        <v>37</v>
      </c>
      <c r="AJ1925" s="4">
        <v>4</v>
      </c>
      <c r="AK1925" s="4">
        <v>8</v>
      </c>
      <c r="AL1925" s="4">
        <v>17</v>
      </c>
      <c r="AM1925" s="4">
        <v>21</v>
      </c>
      <c r="AN1925" s="4">
        <v>0</v>
      </c>
      <c r="AO1925" s="4">
        <v>0</v>
      </c>
      <c r="AP1925" s="4">
        <v>5</v>
      </c>
      <c r="AQ1925" s="4">
        <v>10</v>
      </c>
      <c r="AR1925" s="3" t="s">
        <v>64</v>
      </c>
      <c r="AS1925" s="3" t="s">
        <v>64</v>
      </c>
      <c r="AT1925" s="3" t="s">
        <v>64</v>
      </c>
      <c r="AV1925" s="6" t="str">
        <f>HYPERLINK("http://mcgill.on.worldcat.org/oclc/799251918","Catalog Record")</f>
        <v>Catalog Record</v>
      </c>
      <c r="AW1925" s="6" t="str">
        <f>HYPERLINK("http://www.worldcat.org/oclc/799251918","WorldCat Record")</f>
        <v>WorldCat Record</v>
      </c>
      <c r="AX1925" s="3" t="s">
        <v>19543</v>
      </c>
      <c r="AY1925" s="3" t="s">
        <v>19544</v>
      </c>
      <c r="AZ1925" s="3" t="s">
        <v>19545</v>
      </c>
      <c r="BA1925" s="3" t="s">
        <v>19545</v>
      </c>
      <c r="BB1925" s="3" t="s">
        <v>19546</v>
      </c>
      <c r="BC1925" s="3" t="s">
        <v>77</v>
      </c>
      <c r="BD1925" s="3" t="s">
        <v>78</v>
      </c>
      <c r="BE1925" s="3" t="s">
        <v>19547</v>
      </c>
      <c r="BF1925" s="3" t="s">
        <v>19546</v>
      </c>
      <c r="BG1925" s="3" t="s">
        <v>19548</v>
      </c>
      <c r="BH1925">
        <f t="shared" si="52"/>
        <v>0</v>
      </c>
    </row>
    <row r="1926" spans="1:60" ht="58" x14ac:dyDescent="0.35">
      <c r="A1926" s="2" t="s">
        <v>59</v>
      </c>
      <c r="B1926" s="2" t="s">
        <v>60</v>
      </c>
      <c r="C1926" s="2" t="s">
        <v>19549</v>
      </c>
      <c r="D1926" s="2" t="s">
        <v>19550</v>
      </c>
      <c r="E1926" s="2" t="s">
        <v>19551</v>
      </c>
      <c r="G1926" s="3" t="s">
        <v>64</v>
      </c>
      <c r="I1926" s="3" t="s">
        <v>64</v>
      </c>
      <c r="J1926" s="3" t="s">
        <v>64</v>
      </c>
      <c r="K1926" s="3" t="s">
        <v>65</v>
      </c>
      <c r="L1926" s="2" t="s">
        <v>19552</v>
      </c>
      <c r="M1926" s="2" t="s">
        <v>18943</v>
      </c>
      <c r="N1926" s="3" t="s">
        <v>551</v>
      </c>
      <c r="P1926" s="3" t="s">
        <v>102</v>
      </c>
      <c r="R1926" s="3" t="s">
        <v>70</v>
      </c>
      <c r="S1926" s="4">
        <v>11</v>
      </c>
      <c r="T1926" s="4">
        <v>11</v>
      </c>
      <c r="U1926" s="5" t="s">
        <v>14905</v>
      </c>
      <c r="V1926" s="5" t="s">
        <v>14905</v>
      </c>
      <c r="W1926" s="5" t="s">
        <v>72</v>
      </c>
      <c r="X1926" s="5" t="s">
        <v>72</v>
      </c>
      <c r="Y1926" s="4">
        <v>984</v>
      </c>
      <c r="Z1926" s="4">
        <v>49</v>
      </c>
      <c r="AA1926" s="4">
        <v>120</v>
      </c>
      <c r="AB1926" s="4">
        <v>2</v>
      </c>
      <c r="AC1926" s="4">
        <v>18</v>
      </c>
      <c r="AD1926" s="4">
        <v>117</v>
      </c>
      <c r="AE1926" s="4">
        <v>154</v>
      </c>
      <c r="AF1926" s="4">
        <v>1</v>
      </c>
      <c r="AG1926" s="4">
        <v>9</v>
      </c>
      <c r="AH1926" s="4">
        <v>97</v>
      </c>
      <c r="AI1926" s="4">
        <v>108</v>
      </c>
      <c r="AJ1926" s="4">
        <v>19</v>
      </c>
      <c r="AK1926" s="4">
        <v>26</v>
      </c>
      <c r="AL1926" s="4">
        <v>51</v>
      </c>
      <c r="AM1926" s="4">
        <v>57</v>
      </c>
      <c r="AN1926" s="4">
        <v>0</v>
      </c>
      <c r="AO1926" s="4">
        <v>0</v>
      </c>
      <c r="AP1926" s="4">
        <v>29</v>
      </c>
      <c r="AQ1926" s="4">
        <v>55</v>
      </c>
      <c r="AR1926" s="3" t="s">
        <v>64</v>
      </c>
      <c r="AS1926" s="3" t="s">
        <v>64</v>
      </c>
      <c r="AT1926" s="3" t="s">
        <v>64</v>
      </c>
      <c r="AV1926" s="6" t="str">
        <f>HYPERLINK("http://mcgill.on.worldcat.org/oclc/229446136","Catalog Record")</f>
        <v>Catalog Record</v>
      </c>
      <c r="AW1926" s="6" t="str">
        <f>HYPERLINK("http://www.worldcat.org/oclc/229446136","WorldCat Record")</f>
        <v>WorldCat Record</v>
      </c>
      <c r="AX1926" s="3" t="s">
        <v>19553</v>
      </c>
      <c r="AY1926" s="3" t="s">
        <v>19554</v>
      </c>
      <c r="AZ1926" s="3" t="s">
        <v>19555</v>
      </c>
      <c r="BA1926" s="3" t="s">
        <v>19555</v>
      </c>
      <c r="BB1926" s="3" t="s">
        <v>19556</v>
      </c>
      <c r="BC1926" s="3" t="s">
        <v>77</v>
      </c>
      <c r="BD1926" s="3" t="s">
        <v>78</v>
      </c>
      <c r="BE1926" s="3" t="s">
        <v>19557</v>
      </c>
      <c r="BF1926" s="3" t="s">
        <v>19556</v>
      </c>
      <c r="BG1926" s="3" t="s">
        <v>19558</v>
      </c>
      <c r="BH1926">
        <f t="shared" si="52"/>
        <v>0</v>
      </c>
    </row>
    <row r="1927" spans="1:60" ht="58" x14ac:dyDescent="0.35">
      <c r="A1927" s="2" t="s">
        <v>59</v>
      </c>
      <c r="B1927" s="2" t="s">
        <v>60</v>
      </c>
      <c r="C1927" s="2" t="s">
        <v>19559</v>
      </c>
      <c r="D1927" s="2" t="s">
        <v>19560</v>
      </c>
      <c r="E1927" s="2" t="s">
        <v>19561</v>
      </c>
      <c r="G1927" s="3" t="s">
        <v>64</v>
      </c>
      <c r="I1927" s="3" t="s">
        <v>64</v>
      </c>
      <c r="J1927" s="3" t="s">
        <v>64</v>
      </c>
      <c r="K1927" s="3" t="s">
        <v>65</v>
      </c>
      <c r="L1927" s="2" t="s">
        <v>19562</v>
      </c>
      <c r="M1927" s="2" t="s">
        <v>16980</v>
      </c>
      <c r="N1927" s="3" t="s">
        <v>326</v>
      </c>
      <c r="P1927" s="3" t="s">
        <v>102</v>
      </c>
      <c r="Q1927" s="2" t="s">
        <v>8981</v>
      </c>
      <c r="R1927" s="3" t="s">
        <v>70</v>
      </c>
      <c r="S1927" s="4">
        <v>3</v>
      </c>
      <c r="T1927" s="4">
        <v>3</v>
      </c>
      <c r="U1927" s="5" t="s">
        <v>19563</v>
      </c>
      <c r="V1927" s="5" t="s">
        <v>19563</v>
      </c>
      <c r="W1927" s="5" t="s">
        <v>72</v>
      </c>
      <c r="X1927" s="5" t="s">
        <v>72</v>
      </c>
      <c r="Y1927" s="4">
        <v>101</v>
      </c>
      <c r="Z1927" s="4">
        <v>9</v>
      </c>
      <c r="AA1927" s="4">
        <v>80</v>
      </c>
      <c r="AB1927" s="4">
        <v>1</v>
      </c>
      <c r="AC1927" s="4">
        <v>15</v>
      </c>
      <c r="AD1927" s="4">
        <v>37</v>
      </c>
      <c r="AE1927" s="4">
        <v>111</v>
      </c>
      <c r="AF1927" s="4">
        <v>0</v>
      </c>
      <c r="AG1927" s="4">
        <v>8</v>
      </c>
      <c r="AH1927" s="4">
        <v>36</v>
      </c>
      <c r="AI1927" s="4">
        <v>78</v>
      </c>
      <c r="AJ1927" s="4">
        <v>7</v>
      </c>
      <c r="AK1927" s="4">
        <v>20</v>
      </c>
      <c r="AL1927" s="4">
        <v>17</v>
      </c>
      <c r="AM1927" s="4">
        <v>40</v>
      </c>
      <c r="AN1927" s="4">
        <v>0</v>
      </c>
      <c r="AO1927" s="4">
        <v>0</v>
      </c>
      <c r="AP1927" s="4">
        <v>7</v>
      </c>
      <c r="AQ1927" s="4">
        <v>40</v>
      </c>
      <c r="AR1927" s="3" t="s">
        <v>64</v>
      </c>
      <c r="AS1927" s="3" t="s">
        <v>64</v>
      </c>
      <c r="AT1927" s="3" t="s">
        <v>64</v>
      </c>
      <c r="AV1927" s="6" t="str">
        <f>HYPERLINK("http://mcgill.on.worldcat.org/oclc/713610151","Catalog Record")</f>
        <v>Catalog Record</v>
      </c>
      <c r="AW1927" s="6" t="str">
        <f>HYPERLINK("http://www.worldcat.org/oclc/713610151","WorldCat Record")</f>
        <v>WorldCat Record</v>
      </c>
      <c r="AX1927" s="3" t="s">
        <v>19564</v>
      </c>
      <c r="AY1927" s="3" t="s">
        <v>19565</v>
      </c>
      <c r="AZ1927" s="3" t="s">
        <v>19566</v>
      </c>
      <c r="BA1927" s="3" t="s">
        <v>19566</v>
      </c>
      <c r="BB1927" s="3" t="s">
        <v>19567</v>
      </c>
      <c r="BC1927" s="3" t="s">
        <v>77</v>
      </c>
      <c r="BD1927" s="3" t="s">
        <v>78</v>
      </c>
      <c r="BE1927" s="3" t="s">
        <v>19568</v>
      </c>
      <c r="BF1927" s="3" t="s">
        <v>19567</v>
      </c>
      <c r="BG1927" s="3" t="s">
        <v>19569</v>
      </c>
      <c r="BH1927">
        <f t="shared" si="52"/>
        <v>0</v>
      </c>
    </row>
    <row r="1928" spans="1:60" ht="58" x14ac:dyDescent="0.35">
      <c r="A1928" s="2" t="s">
        <v>59</v>
      </c>
      <c r="B1928" s="2" t="s">
        <v>60</v>
      </c>
      <c r="C1928" s="2" t="s">
        <v>19570</v>
      </c>
      <c r="D1928" s="2" t="s">
        <v>19571</v>
      </c>
      <c r="E1928" s="2" t="s">
        <v>19572</v>
      </c>
      <c r="G1928" s="3" t="s">
        <v>64</v>
      </c>
      <c r="I1928" s="3" t="s">
        <v>64</v>
      </c>
      <c r="J1928" s="3" t="s">
        <v>64</v>
      </c>
      <c r="K1928" s="3" t="s">
        <v>65</v>
      </c>
      <c r="L1928" s="2" t="s">
        <v>19573</v>
      </c>
      <c r="M1928" s="2" t="s">
        <v>19574</v>
      </c>
      <c r="N1928" s="3" t="s">
        <v>511</v>
      </c>
      <c r="P1928" s="3" t="s">
        <v>68</v>
      </c>
      <c r="Q1928" s="2" t="s">
        <v>19575</v>
      </c>
      <c r="R1928" s="3" t="s">
        <v>70</v>
      </c>
      <c r="S1928" s="4">
        <v>0</v>
      </c>
      <c r="T1928" s="4">
        <v>0</v>
      </c>
      <c r="W1928" s="5" t="s">
        <v>72</v>
      </c>
      <c r="X1928" s="5" t="s">
        <v>72</v>
      </c>
      <c r="Y1928" s="4">
        <v>13</v>
      </c>
      <c r="Z1928" s="4">
        <v>1</v>
      </c>
      <c r="AA1928" s="4">
        <v>4</v>
      </c>
      <c r="AB1928" s="4">
        <v>1</v>
      </c>
      <c r="AC1928" s="4">
        <v>3</v>
      </c>
      <c r="AD1928" s="4">
        <v>5</v>
      </c>
      <c r="AE1928" s="4">
        <v>7</v>
      </c>
      <c r="AF1928" s="4">
        <v>0</v>
      </c>
      <c r="AG1928" s="4">
        <v>1</v>
      </c>
      <c r="AH1928" s="4">
        <v>4</v>
      </c>
      <c r="AI1928" s="4">
        <v>5</v>
      </c>
      <c r="AJ1928" s="4">
        <v>0</v>
      </c>
      <c r="AK1928" s="4">
        <v>2</v>
      </c>
      <c r="AL1928" s="4">
        <v>5</v>
      </c>
      <c r="AM1928" s="4">
        <v>5</v>
      </c>
      <c r="AN1928" s="4">
        <v>0</v>
      </c>
      <c r="AO1928" s="4">
        <v>0</v>
      </c>
      <c r="AP1928" s="4">
        <v>0</v>
      </c>
      <c r="AQ1928" s="4">
        <v>1</v>
      </c>
      <c r="AR1928" s="3" t="s">
        <v>64</v>
      </c>
      <c r="AS1928" s="3" t="s">
        <v>64</v>
      </c>
      <c r="AT1928" s="3" t="s">
        <v>64</v>
      </c>
      <c r="AV1928" s="6" t="str">
        <f>HYPERLINK("http://mcgill.on.worldcat.org/oclc/647902943","Catalog Record")</f>
        <v>Catalog Record</v>
      </c>
      <c r="AW1928" s="6" t="str">
        <f>HYPERLINK("http://www.worldcat.org/oclc/647902943","WorldCat Record")</f>
        <v>WorldCat Record</v>
      </c>
      <c r="AX1928" s="3" t="s">
        <v>19576</v>
      </c>
      <c r="AY1928" s="3" t="s">
        <v>19577</v>
      </c>
      <c r="AZ1928" s="3" t="s">
        <v>19578</v>
      </c>
      <c r="BA1928" s="3" t="s">
        <v>19578</v>
      </c>
      <c r="BB1928" s="3" t="s">
        <v>19579</v>
      </c>
      <c r="BC1928" s="3" t="s">
        <v>77</v>
      </c>
      <c r="BD1928" s="3" t="s">
        <v>78</v>
      </c>
      <c r="BE1928" s="3" t="s">
        <v>19580</v>
      </c>
      <c r="BF1928" s="3" t="s">
        <v>19579</v>
      </c>
      <c r="BG1928" s="3" t="s">
        <v>19581</v>
      </c>
      <c r="BH1928">
        <f t="shared" si="52"/>
        <v>0</v>
      </c>
    </row>
    <row r="1929" spans="1:60" ht="58" x14ac:dyDescent="0.35">
      <c r="A1929" s="2" t="s">
        <v>59</v>
      </c>
      <c r="B1929" s="2" t="s">
        <v>60</v>
      </c>
      <c r="C1929" s="2" t="s">
        <v>19588</v>
      </c>
      <c r="D1929" s="2" t="s">
        <v>19589</v>
      </c>
      <c r="E1929" s="2" t="s">
        <v>19590</v>
      </c>
      <c r="G1929" s="3" t="s">
        <v>64</v>
      </c>
      <c r="I1929" s="3" t="s">
        <v>64</v>
      </c>
      <c r="J1929" s="3" t="s">
        <v>64</v>
      </c>
      <c r="K1929" s="3" t="s">
        <v>65</v>
      </c>
      <c r="L1929" s="2" t="s">
        <v>19591</v>
      </c>
      <c r="M1929" s="2" t="s">
        <v>19592</v>
      </c>
      <c r="N1929" s="3" t="s">
        <v>86</v>
      </c>
      <c r="P1929" s="3" t="s">
        <v>102</v>
      </c>
      <c r="Q1929" s="2" t="s">
        <v>8981</v>
      </c>
      <c r="R1929" s="3" t="s">
        <v>70</v>
      </c>
      <c r="S1929" s="4">
        <v>2</v>
      </c>
      <c r="T1929" s="4">
        <v>2</v>
      </c>
      <c r="U1929" s="5" t="s">
        <v>19593</v>
      </c>
      <c r="V1929" s="5" t="s">
        <v>19593</v>
      </c>
      <c r="W1929" s="5" t="s">
        <v>72</v>
      </c>
      <c r="X1929" s="5" t="s">
        <v>72</v>
      </c>
      <c r="Y1929" s="4">
        <v>85</v>
      </c>
      <c r="Z1929" s="4">
        <v>10</v>
      </c>
      <c r="AA1929" s="4">
        <v>84</v>
      </c>
      <c r="AB1929" s="4">
        <v>1</v>
      </c>
      <c r="AC1929" s="4">
        <v>18</v>
      </c>
      <c r="AD1929" s="4">
        <v>26</v>
      </c>
      <c r="AE1929" s="4">
        <v>110</v>
      </c>
      <c r="AF1929" s="4">
        <v>0</v>
      </c>
      <c r="AG1929" s="4">
        <v>8</v>
      </c>
      <c r="AH1929" s="4">
        <v>22</v>
      </c>
      <c r="AI1929" s="4">
        <v>76</v>
      </c>
      <c r="AJ1929" s="4">
        <v>5</v>
      </c>
      <c r="AK1929" s="4">
        <v>19</v>
      </c>
      <c r="AL1929" s="4">
        <v>17</v>
      </c>
      <c r="AM1929" s="4">
        <v>40</v>
      </c>
      <c r="AN1929" s="4">
        <v>0</v>
      </c>
      <c r="AO1929" s="4">
        <v>0</v>
      </c>
      <c r="AP1929" s="4">
        <v>7</v>
      </c>
      <c r="AQ1929" s="4">
        <v>40</v>
      </c>
      <c r="AR1929" s="3" t="s">
        <v>64</v>
      </c>
      <c r="AS1929" s="3" t="s">
        <v>64</v>
      </c>
      <c r="AT1929" s="3" t="s">
        <v>64</v>
      </c>
      <c r="AV1929" s="6" t="str">
        <f>HYPERLINK("http://mcgill.on.worldcat.org/oclc/711047948","Catalog Record")</f>
        <v>Catalog Record</v>
      </c>
      <c r="AW1929" s="6" t="str">
        <f>HYPERLINK("http://www.worldcat.org/oclc/711047948","WorldCat Record")</f>
        <v>WorldCat Record</v>
      </c>
      <c r="AX1929" s="3" t="s">
        <v>19594</v>
      </c>
      <c r="AY1929" s="3" t="s">
        <v>19595</v>
      </c>
      <c r="AZ1929" s="3" t="s">
        <v>19596</v>
      </c>
      <c r="BA1929" s="3" t="s">
        <v>19596</v>
      </c>
      <c r="BB1929" s="3" t="s">
        <v>19597</v>
      </c>
      <c r="BC1929" s="3" t="s">
        <v>77</v>
      </c>
      <c r="BD1929" s="3" t="s">
        <v>78</v>
      </c>
      <c r="BE1929" s="3" t="s">
        <v>19598</v>
      </c>
      <c r="BF1929" s="3" t="s">
        <v>19597</v>
      </c>
      <c r="BG1929" s="3" t="s">
        <v>19599</v>
      </c>
      <c r="BH1929">
        <f t="shared" si="52"/>
        <v>0</v>
      </c>
    </row>
    <row r="1930" spans="1:60" ht="58" x14ac:dyDescent="0.35">
      <c r="A1930" s="2" t="s">
        <v>59</v>
      </c>
      <c r="B1930" s="2" t="s">
        <v>60</v>
      </c>
      <c r="C1930" s="2" t="s">
        <v>19600</v>
      </c>
      <c r="D1930" s="2" t="s">
        <v>19601</v>
      </c>
      <c r="E1930" s="2" t="s">
        <v>19602</v>
      </c>
      <c r="G1930" s="3" t="s">
        <v>64</v>
      </c>
      <c r="I1930" s="3" t="s">
        <v>64</v>
      </c>
      <c r="J1930" s="3" t="s">
        <v>64</v>
      </c>
      <c r="K1930" s="3" t="s">
        <v>65</v>
      </c>
      <c r="L1930" s="2" t="s">
        <v>15532</v>
      </c>
      <c r="M1930" s="2" t="s">
        <v>14056</v>
      </c>
      <c r="N1930" s="3" t="s">
        <v>1275</v>
      </c>
      <c r="P1930" s="3" t="s">
        <v>102</v>
      </c>
      <c r="R1930" s="3" t="s">
        <v>70</v>
      </c>
      <c r="S1930" s="4">
        <v>9</v>
      </c>
      <c r="T1930" s="4">
        <v>9</v>
      </c>
      <c r="U1930" s="5" t="s">
        <v>5052</v>
      </c>
      <c r="V1930" s="5" t="s">
        <v>5052</v>
      </c>
      <c r="W1930" s="5" t="s">
        <v>72</v>
      </c>
      <c r="X1930" s="5" t="s">
        <v>72</v>
      </c>
      <c r="Y1930" s="4">
        <v>309</v>
      </c>
      <c r="Z1930" s="4">
        <v>14</v>
      </c>
      <c r="AA1930" s="4">
        <v>25</v>
      </c>
      <c r="AB1930" s="4">
        <v>2</v>
      </c>
      <c r="AC1930" s="4">
        <v>6</v>
      </c>
      <c r="AD1930" s="4">
        <v>46</v>
      </c>
      <c r="AE1930" s="4">
        <v>58</v>
      </c>
      <c r="AF1930" s="4">
        <v>1</v>
      </c>
      <c r="AG1930" s="4">
        <v>3</v>
      </c>
      <c r="AH1930" s="4">
        <v>43</v>
      </c>
      <c r="AI1930" s="4">
        <v>51</v>
      </c>
      <c r="AJ1930" s="4">
        <v>8</v>
      </c>
      <c r="AK1930" s="4">
        <v>12</v>
      </c>
      <c r="AL1930" s="4">
        <v>19</v>
      </c>
      <c r="AM1930" s="4">
        <v>23</v>
      </c>
      <c r="AN1930" s="4">
        <v>0</v>
      </c>
      <c r="AO1930" s="4">
        <v>0</v>
      </c>
      <c r="AP1930" s="4">
        <v>8</v>
      </c>
      <c r="AQ1930" s="4">
        <v>12</v>
      </c>
      <c r="AR1930" s="3" t="s">
        <v>64</v>
      </c>
      <c r="AS1930" s="3" t="s">
        <v>64</v>
      </c>
      <c r="AT1930" s="3" t="s">
        <v>64</v>
      </c>
      <c r="AV1930" s="6" t="str">
        <f>HYPERLINK("http://mcgill.on.worldcat.org/oclc/53068485","Catalog Record")</f>
        <v>Catalog Record</v>
      </c>
      <c r="AW1930" s="6" t="str">
        <f>HYPERLINK("http://www.worldcat.org/oclc/53068485","WorldCat Record")</f>
        <v>WorldCat Record</v>
      </c>
      <c r="AX1930" s="3" t="s">
        <v>19603</v>
      </c>
      <c r="AY1930" s="3" t="s">
        <v>19604</v>
      </c>
      <c r="AZ1930" s="3" t="s">
        <v>19605</v>
      </c>
      <c r="BA1930" s="3" t="s">
        <v>19605</v>
      </c>
      <c r="BB1930" s="3" t="s">
        <v>19606</v>
      </c>
      <c r="BC1930" s="3" t="s">
        <v>77</v>
      </c>
      <c r="BD1930" s="3" t="s">
        <v>78</v>
      </c>
      <c r="BE1930" s="3" t="s">
        <v>19607</v>
      </c>
      <c r="BF1930" s="3" t="s">
        <v>19606</v>
      </c>
      <c r="BG1930" s="3" t="s">
        <v>19608</v>
      </c>
      <c r="BH1930">
        <f t="shared" si="52"/>
        <v>0</v>
      </c>
    </row>
    <row r="1931" spans="1:60" ht="58" x14ac:dyDescent="0.35">
      <c r="A1931" s="2" t="s">
        <v>59</v>
      </c>
      <c r="B1931" s="2" t="s">
        <v>60</v>
      </c>
      <c r="C1931" s="2" t="s">
        <v>19609</v>
      </c>
      <c r="D1931" s="2" t="s">
        <v>19610</v>
      </c>
      <c r="E1931" s="2" t="s">
        <v>19611</v>
      </c>
      <c r="G1931" s="3" t="s">
        <v>64</v>
      </c>
      <c r="I1931" s="3" t="s">
        <v>64</v>
      </c>
      <c r="J1931" s="3" t="s">
        <v>64</v>
      </c>
      <c r="K1931" s="3" t="s">
        <v>65</v>
      </c>
      <c r="L1931" s="2" t="s">
        <v>19612</v>
      </c>
      <c r="M1931" s="2" t="s">
        <v>14033</v>
      </c>
      <c r="N1931" s="3" t="s">
        <v>434</v>
      </c>
      <c r="P1931" s="3" t="s">
        <v>102</v>
      </c>
      <c r="R1931" s="3" t="s">
        <v>70</v>
      </c>
      <c r="S1931" s="4">
        <v>3</v>
      </c>
      <c r="T1931" s="4">
        <v>3</v>
      </c>
      <c r="U1931" s="5" t="s">
        <v>19060</v>
      </c>
      <c r="V1931" s="5" t="s">
        <v>19060</v>
      </c>
      <c r="W1931" s="5" t="s">
        <v>72</v>
      </c>
      <c r="X1931" s="5" t="s">
        <v>72</v>
      </c>
      <c r="Y1931" s="4">
        <v>165</v>
      </c>
      <c r="Z1931" s="4">
        <v>29</v>
      </c>
      <c r="AA1931" s="4">
        <v>29</v>
      </c>
      <c r="AB1931" s="4">
        <v>1</v>
      </c>
      <c r="AC1931" s="4">
        <v>1</v>
      </c>
      <c r="AD1931" s="4">
        <v>61</v>
      </c>
      <c r="AE1931" s="4">
        <v>61</v>
      </c>
      <c r="AF1931" s="4">
        <v>0</v>
      </c>
      <c r="AG1931" s="4">
        <v>0</v>
      </c>
      <c r="AH1931" s="4">
        <v>56</v>
      </c>
      <c r="AI1931" s="4">
        <v>56</v>
      </c>
      <c r="AJ1931" s="4">
        <v>14</v>
      </c>
      <c r="AK1931" s="4">
        <v>14</v>
      </c>
      <c r="AL1931" s="4">
        <v>29</v>
      </c>
      <c r="AM1931" s="4">
        <v>29</v>
      </c>
      <c r="AN1931" s="4">
        <v>0</v>
      </c>
      <c r="AO1931" s="4">
        <v>0</v>
      </c>
      <c r="AP1931" s="4">
        <v>16</v>
      </c>
      <c r="AQ1931" s="4">
        <v>16</v>
      </c>
      <c r="AR1931" s="3" t="s">
        <v>64</v>
      </c>
      <c r="AS1931" s="3" t="s">
        <v>64</v>
      </c>
      <c r="AT1931" s="3" t="s">
        <v>128</v>
      </c>
      <c r="AU1931" s="6" t="str">
        <f>HYPERLINK("http://catalog.hathitrust.org/Record/005089543","HathiTrust Record")</f>
        <v>HathiTrust Record</v>
      </c>
      <c r="AV1931" s="6" t="str">
        <f>HYPERLINK("http://mcgill.on.worldcat.org/oclc/58535521","Catalog Record")</f>
        <v>Catalog Record</v>
      </c>
      <c r="AW1931" s="6" t="str">
        <f>HYPERLINK("http://www.worldcat.org/oclc/58535521","WorldCat Record")</f>
        <v>WorldCat Record</v>
      </c>
      <c r="AX1931" s="3" t="s">
        <v>19613</v>
      </c>
      <c r="AY1931" s="3" t="s">
        <v>19614</v>
      </c>
      <c r="AZ1931" s="3" t="s">
        <v>19615</v>
      </c>
      <c r="BA1931" s="3" t="s">
        <v>19615</v>
      </c>
      <c r="BB1931" s="3" t="s">
        <v>19616</v>
      </c>
      <c r="BC1931" s="3" t="s">
        <v>77</v>
      </c>
      <c r="BD1931" s="3" t="s">
        <v>78</v>
      </c>
      <c r="BE1931" s="3" t="s">
        <v>19617</v>
      </c>
      <c r="BF1931" s="3" t="s">
        <v>19616</v>
      </c>
      <c r="BG1931" s="3" t="s">
        <v>19618</v>
      </c>
      <c r="BH1931">
        <f t="shared" si="52"/>
        <v>0</v>
      </c>
    </row>
    <row r="1932" spans="1:60" ht="58" x14ac:dyDescent="0.35">
      <c r="A1932" s="2" t="s">
        <v>59</v>
      </c>
      <c r="B1932" s="2" t="s">
        <v>60</v>
      </c>
      <c r="C1932" s="2" t="s">
        <v>19619</v>
      </c>
      <c r="D1932" s="2" t="s">
        <v>19620</v>
      </c>
      <c r="E1932" s="2" t="s">
        <v>19621</v>
      </c>
      <c r="G1932" s="3" t="s">
        <v>64</v>
      </c>
      <c r="I1932" s="3" t="s">
        <v>64</v>
      </c>
      <c r="J1932" s="3" t="s">
        <v>64</v>
      </c>
      <c r="K1932" s="3" t="s">
        <v>65</v>
      </c>
      <c r="L1932" s="2" t="s">
        <v>19622</v>
      </c>
      <c r="M1932" s="2" t="s">
        <v>19623</v>
      </c>
      <c r="N1932" s="3" t="s">
        <v>291</v>
      </c>
      <c r="P1932" s="3" t="s">
        <v>102</v>
      </c>
      <c r="R1932" s="3" t="s">
        <v>70</v>
      </c>
      <c r="S1932" s="4">
        <v>15</v>
      </c>
      <c r="T1932" s="4">
        <v>15</v>
      </c>
      <c r="U1932" s="5" t="s">
        <v>19563</v>
      </c>
      <c r="V1932" s="5" t="s">
        <v>19563</v>
      </c>
      <c r="W1932" s="5" t="s">
        <v>72</v>
      </c>
      <c r="X1932" s="5" t="s">
        <v>72</v>
      </c>
      <c r="Y1932" s="4">
        <v>830</v>
      </c>
      <c r="Z1932" s="4">
        <v>47</v>
      </c>
      <c r="AA1932" s="4">
        <v>133</v>
      </c>
      <c r="AB1932" s="4">
        <v>5</v>
      </c>
      <c r="AC1932" s="4">
        <v>24</v>
      </c>
      <c r="AD1932" s="4">
        <v>73</v>
      </c>
      <c r="AE1932" s="4">
        <v>128</v>
      </c>
      <c r="AF1932" s="4">
        <v>1</v>
      </c>
      <c r="AG1932" s="4">
        <v>9</v>
      </c>
      <c r="AH1932" s="4">
        <v>64</v>
      </c>
      <c r="AI1932" s="4">
        <v>90</v>
      </c>
      <c r="AJ1932" s="4">
        <v>12</v>
      </c>
      <c r="AK1932" s="4">
        <v>23</v>
      </c>
      <c r="AL1932" s="4">
        <v>33</v>
      </c>
      <c r="AM1932" s="4">
        <v>43</v>
      </c>
      <c r="AN1932" s="4">
        <v>0</v>
      </c>
      <c r="AO1932" s="4">
        <v>0</v>
      </c>
      <c r="AP1932" s="4">
        <v>17</v>
      </c>
      <c r="AQ1932" s="4">
        <v>47</v>
      </c>
      <c r="AR1932" s="3" t="s">
        <v>64</v>
      </c>
      <c r="AS1932" s="3" t="s">
        <v>64</v>
      </c>
      <c r="AT1932" s="3" t="s">
        <v>64</v>
      </c>
      <c r="AV1932" s="6" t="str">
        <f>HYPERLINK("http://mcgill.on.worldcat.org/oclc/85018094","Catalog Record")</f>
        <v>Catalog Record</v>
      </c>
      <c r="AW1932" s="6" t="str">
        <f>HYPERLINK("http://www.worldcat.org/oclc/85018094","WorldCat Record")</f>
        <v>WorldCat Record</v>
      </c>
      <c r="AX1932" s="3" t="s">
        <v>19624</v>
      </c>
      <c r="AY1932" s="3" t="s">
        <v>19625</v>
      </c>
      <c r="AZ1932" s="3" t="s">
        <v>19626</v>
      </c>
      <c r="BA1932" s="3" t="s">
        <v>19626</v>
      </c>
      <c r="BB1932" s="3" t="s">
        <v>19627</v>
      </c>
      <c r="BC1932" s="3" t="s">
        <v>77</v>
      </c>
      <c r="BD1932" s="3" t="s">
        <v>78</v>
      </c>
      <c r="BE1932" s="3" t="s">
        <v>19628</v>
      </c>
      <c r="BF1932" s="3" t="s">
        <v>19627</v>
      </c>
      <c r="BG1932" s="3" t="s">
        <v>19629</v>
      </c>
      <c r="BH1932">
        <f t="shared" si="52"/>
        <v>0</v>
      </c>
    </row>
    <row r="1933" spans="1:60" ht="58" x14ac:dyDescent="0.35">
      <c r="A1933" s="2" t="s">
        <v>59</v>
      </c>
      <c r="B1933" s="2" t="s">
        <v>60</v>
      </c>
      <c r="C1933" s="2" t="s">
        <v>19630</v>
      </c>
      <c r="D1933" s="2" t="s">
        <v>19631</v>
      </c>
      <c r="E1933" s="2" t="s">
        <v>19632</v>
      </c>
      <c r="G1933" s="3" t="s">
        <v>64</v>
      </c>
      <c r="I1933" s="3" t="s">
        <v>64</v>
      </c>
      <c r="J1933" s="3" t="s">
        <v>64</v>
      </c>
      <c r="K1933" s="3" t="s">
        <v>65</v>
      </c>
      <c r="L1933" s="2" t="s">
        <v>19633</v>
      </c>
      <c r="M1933" s="2" t="s">
        <v>19634</v>
      </c>
      <c r="N1933" s="3" t="s">
        <v>1250</v>
      </c>
      <c r="P1933" s="3" t="s">
        <v>102</v>
      </c>
      <c r="Q1933" s="2" t="s">
        <v>19635</v>
      </c>
      <c r="R1933" s="3" t="s">
        <v>70</v>
      </c>
      <c r="S1933" s="4">
        <v>9</v>
      </c>
      <c r="T1933" s="4">
        <v>9</v>
      </c>
      <c r="U1933" s="5" t="s">
        <v>19636</v>
      </c>
      <c r="V1933" s="5" t="s">
        <v>19636</v>
      </c>
      <c r="W1933" s="5" t="s">
        <v>72</v>
      </c>
      <c r="X1933" s="5" t="s">
        <v>72</v>
      </c>
      <c r="Y1933" s="4">
        <v>162</v>
      </c>
      <c r="Z1933" s="4">
        <v>4</v>
      </c>
      <c r="AA1933" s="4">
        <v>5</v>
      </c>
      <c r="AB1933" s="4">
        <v>1</v>
      </c>
      <c r="AC1933" s="4">
        <v>2</v>
      </c>
      <c r="AD1933" s="4">
        <v>5</v>
      </c>
      <c r="AE1933" s="4">
        <v>6</v>
      </c>
      <c r="AF1933" s="4">
        <v>0</v>
      </c>
      <c r="AG1933" s="4">
        <v>1</v>
      </c>
      <c r="AH1933" s="4">
        <v>5</v>
      </c>
      <c r="AI1933" s="4">
        <v>5</v>
      </c>
      <c r="AJ1933" s="4">
        <v>1</v>
      </c>
      <c r="AK1933" s="4">
        <v>2</v>
      </c>
      <c r="AL1933" s="4">
        <v>5</v>
      </c>
      <c r="AM1933" s="4">
        <v>5</v>
      </c>
      <c r="AN1933" s="4">
        <v>0</v>
      </c>
      <c r="AO1933" s="4">
        <v>0</v>
      </c>
      <c r="AP1933" s="4">
        <v>1</v>
      </c>
      <c r="AQ1933" s="4">
        <v>1</v>
      </c>
      <c r="AR1933" s="3" t="s">
        <v>64</v>
      </c>
      <c r="AS1933" s="3" t="s">
        <v>64</v>
      </c>
      <c r="AT1933" s="3" t="s">
        <v>64</v>
      </c>
      <c r="AV1933" s="6" t="str">
        <f>HYPERLINK("http://mcgill.on.worldcat.org/oclc/31505477","Catalog Record")</f>
        <v>Catalog Record</v>
      </c>
      <c r="AW1933" s="6" t="str">
        <f>HYPERLINK("http://www.worldcat.org/oclc/31505477","WorldCat Record")</f>
        <v>WorldCat Record</v>
      </c>
      <c r="AX1933" s="3" t="s">
        <v>19637</v>
      </c>
      <c r="AY1933" s="3" t="s">
        <v>19638</v>
      </c>
      <c r="AZ1933" s="3" t="s">
        <v>19639</v>
      </c>
      <c r="BA1933" s="3" t="s">
        <v>19639</v>
      </c>
      <c r="BB1933" s="3" t="s">
        <v>19640</v>
      </c>
      <c r="BC1933" s="3" t="s">
        <v>77</v>
      </c>
      <c r="BD1933" s="3" t="s">
        <v>78</v>
      </c>
      <c r="BE1933" s="3" t="s">
        <v>19641</v>
      </c>
      <c r="BF1933" s="3" t="s">
        <v>19640</v>
      </c>
      <c r="BG1933" s="3" t="s">
        <v>19642</v>
      </c>
      <c r="BH1933">
        <f t="shared" si="52"/>
        <v>0</v>
      </c>
    </row>
    <row r="1934" spans="1:60" ht="58" x14ac:dyDescent="0.35">
      <c r="A1934" s="2" t="s">
        <v>59</v>
      </c>
      <c r="B1934" s="2" t="s">
        <v>60</v>
      </c>
      <c r="C1934" s="2" t="s">
        <v>19643</v>
      </c>
      <c r="D1934" s="2" t="s">
        <v>19644</v>
      </c>
      <c r="E1934" s="2" t="s">
        <v>19645</v>
      </c>
      <c r="G1934" s="3" t="s">
        <v>64</v>
      </c>
      <c r="I1934" s="3" t="s">
        <v>64</v>
      </c>
      <c r="J1934" s="3" t="s">
        <v>64</v>
      </c>
      <c r="K1934" s="3" t="s">
        <v>65</v>
      </c>
      <c r="L1934" s="2" t="s">
        <v>19646</v>
      </c>
      <c r="M1934" s="2" t="s">
        <v>14033</v>
      </c>
      <c r="N1934" s="3" t="s">
        <v>434</v>
      </c>
      <c r="P1934" s="3" t="s">
        <v>102</v>
      </c>
      <c r="R1934" s="3" t="s">
        <v>70</v>
      </c>
      <c r="S1934" s="4">
        <v>2</v>
      </c>
      <c r="T1934" s="4">
        <v>2</v>
      </c>
      <c r="U1934" s="5" t="s">
        <v>19587</v>
      </c>
      <c r="V1934" s="5" t="s">
        <v>19587</v>
      </c>
      <c r="W1934" s="5" t="s">
        <v>72</v>
      </c>
      <c r="X1934" s="5" t="s">
        <v>72</v>
      </c>
      <c r="Y1934" s="4">
        <v>174</v>
      </c>
      <c r="Z1934" s="4">
        <v>15</v>
      </c>
      <c r="AA1934" s="4">
        <v>15</v>
      </c>
      <c r="AB1934" s="4">
        <v>3</v>
      </c>
      <c r="AC1934" s="4">
        <v>3</v>
      </c>
      <c r="AD1934" s="4">
        <v>50</v>
      </c>
      <c r="AE1934" s="4">
        <v>50</v>
      </c>
      <c r="AF1934" s="4">
        <v>1</v>
      </c>
      <c r="AG1934" s="4">
        <v>1</v>
      </c>
      <c r="AH1934" s="4">
        <v>45</v>
      </c>
      <c r="AI1934" s="4">
        <v>45</v>
      </c>
      <c r="AJ1934" s="4">
        <v>9</v>
      </c>
      <c r="AK1934" s="4">
        <v>9</v>
      </c>
      <c r="AL1934" s="4">
        <v>24</v>
      </c>
      <c r="AM1934" s="4">
        <v>24</v>
      </c>
      <c r="AN1934" s="4">
        <v>0</v>
      </c>
      <c r="AO1934" s="4">
        <v>0</v>
      </c>
      <c r="AP1934" s="4">
        <v>10</v>
      </c>
      <c r="AQ1934" s="4">
        <v>10</v>
      </c>
      <c r="AR1934" s="3" t="s">
        <v>64</v>
      </c>
      <c r="AS1934" s="3" t="s">
        <v>64</v>
      </c>
      <c r="AT1934" s="3" t="s">
        <v>64</v>
      </c>
      <c r="AV1934" s="6" t="str">
        <f>HYPERLINK("http://mcgill.on.worldcat.org/oclc/60402082","Catalog Record")</f>
        <v>Catalog Record</v>
      </c>
      <c r="AW1934" s="6" t="str">
        <f>HYPERLINK("http://www.worldcat.org/oclc/60402082","WorldCat Record")</f>
        <v>WorldCat Record</v>
      </c>
      <c r="AX1934" s="3" t="s">
        <v>19647</v>
      </c>
      <c r="AY1934" s="3" t="s">
        <v>19648</v>
      </c>
      <c r="AZ1934" s="3" t="s">
        <v>19649</v>
      </c>
      <c r="BA1934" s="3" t="s">
        <v>19649</v>
      </c>
      <c r="BB1934" s="3" t="s">
        <v>19650</v>
      </c>
      <c r="BC1934" s="3" t="s">
        <v>77</v>
      </c>
      <c r="BD1934" s="3" t="s">
        <v>78</v>
      </c>
      <c r="BE1934" s="3" t="s">
        <v>19651</v>
      </c>
      <c r="BF1934" s="3" t="s">
        <v>19650</v>
      </c>
      <c r="BG1934" s="3" t="s">
        <v>19652</v>
      </c>
      <c r="BH1934">
        <f t="shared" si="52"/>
        <v>0</v>
      </c>
    </row>
    <row r="1935" spans="1:60" ht="58" x14ac:dyDescent="0.35">
      <c r="A1935" s="2" t="s">
        <v>59</v>
      </c>
      <c r="B1935" s="2" t="s">
        <v>60</v>
      </c>
      <c r="C1935" s="2" t="s">
        <v>19653</v>
      </c>
      <c r="D1935" s="2" t="s">
        <v>19654</v>
      </c>
      <c r="E1935" s="2" t="s">
        <v>19655</v>
      </c>
      <c r="G1935" s="3" t="s">
        <v>64</v>
      </c>
      <c r="I1935" s="3" t="s">
        <v>64</v>
      </c>
      <c r="J1935" s="3" t="s">
        <v>64</v>
      </c>
      <c r="K1935" s="3" t="s">
        <v>65</v>
      </c>
      <c r="L1935" s="2" t="s">
        <v>19656</v>
      </c>
      <c r="M1935" s="2" t="s">
        <v>16855</v>
      </c>
      <c r="N1935" s="3" t="s">
        <v>67</v>
      </c>
      <c r="P1935" s="3" t="s">
        <v>102</v>
      </c>
      <c r="R1935" s="3" t="s">
        <v>70</v>
      </c>
      <c r="S1935" s="4">
        <v>0</v>
      </c>
      <c r="T1935" s="4">
        <v>0</v>
      </c>
      <c r="W1935" s="5" t="s">
        <v>72</v>
      </c>
      <c r="X1935" s="5" t="s">
        <v>72</v>
      </c>
      <c r="Y1935" s="4">
        <v>445</v>
      </c>
      <c r="Z1935" s="4">
        <v>18</v>
      </c>
      <c r="AA1935" s="4">
        <v>109</v>
      </c>
      <c r="AB1935" s="4">
        <v>2</v>
      </c>
      <c r="AC1935" s="4">
        <v>16</v>
      </c>
      <c r="AD1935" s="4">
        <v>60</v>
      </c>
      <c r="AE1935" s="4">
        <v>119</v>
      </c>
      <c r="AF1935" s="4">
        <v>1</v>
      </c>
      <c r="AG1935" s="4">
        <v>8</v>
      </c>
      <c r="AH1935" s="4">
        <v>57</v>
      </c>
      <c r="AI1935" s="4">
        <v>81</v>
      </c>
      <c r="AJ1935" s="4">
        <v>8</v>
      </c>
      <c r="AK1935" s="4">
        <v>21</v>
      </c>
      <c r="AL1935" s="4">
        <v>23</v>
      </c>
      <c r="AM1935" s="4">
        <v>40</v>
      </c>
      <c r="AN1935" s="4">
        <v>0</v>
      </c>
      <c r="AO1935" s="4">
        <v>0</v>
      </c>
      <c r="AP1935" s="4">
        <v>9</v>
      </c>
      <c r="AQ1935" s="4">
        <v>43</v>
      </c>
      <c r="AR1935" s="3" t="s">
        <v>64</v>
      </c>
      <c r="AS1935" s="3" t="s">
        <v>64</v>
      </c>
      <c r="AT1935" s="3" t="s">
        <v>64</v>
      </c>
      <c r="AV1935" s="6" t="str">
        <f>HYPERLINK("http://mcgill.on.worldcat.org/oclc/852763529","Catalog Record")</f>
        <v>Catalog Record</v>
      </c>
      <c r="AW1935" s="6" t="str">
        <f>HYPERLINK("http://www.worldcat.org/oclc/852763529","WorldCat Record")</f>
        <v>WorldCat Record</v>
      </c>
      <c r="AX1935" s="3" t="s">
        <v>19657</v>
      </c>
      <c r="AY1935" s="3" t="s">
        <v>19658</v>
      </c>
      <c r="AZ1935" s="3" t="s">
        <v>19659</v>
      </c>
      <c r="BA1935" s="3" t="s">
        <v>19659</v>
      </c>
      <c r="BB1935" s="3" t="s">
        <v>19660</v>
      </c>
      <c r="BC1935" s="3" t="s">
        <v>77</v>
      </c>
      <c r="BD1935" s="3" t="s">
        <v>78</v>
      </c>
      <c r="BE1935" s="3" t="s">
        <v>19661</v>
      </c>
      <c r="BF1935" s="3" t="s">
        <v>19660</v>
      </c>
      <c r="BG1935" s="3" t="s">
        <v>19662</v>
      </c>
      <c r="BH1935">
        <f t="shared" si="52"/>
        <v>0</v>
      </c>
    </row>
    <row r="1936" spans="1:60" ht="58" x14ac:dyDescent="0.35">
      <c r="A1936" s="2" t="s">
        <v>59</v>
      </c>
      <c r="B1936" s="2" t="s">
        <v>60</v>
      </c>
      <c r="C1936" s="2" t="s">
        <v>19663</v>
      </c>
      <c r="D1936" s="2" t="s">
        <v>19664</v>
      </c>
      <c r="E1936" s="2" t="s">
        <v>19665</v>
      </c>
      <c r="G1936" s="3" t="s">
        <v>64</v>
      </c>
      <c r="I1936" s="3" t="s">
        <v>64</v>
      </c>
      <c r="J1936" s="3" t="s">
        <v>64</v>
      </c>
      <c r="K1936" s="3" t="s">
        <v>65</v>
      </c>
      <c r="L1936" s="2" t="s">
        <v>19666</v>
      </c>
      <c r="M1936" s="2" t="s">
        <v>19667</v>
      </c>
      <c r="N1936" s="3" t="s">
        <v>253</v>
      </c>
      <c r="P1936" s="3" t="s">
        <v>102</v>
      </c>
      <c r="R1936" s="3" t="s">
        <v>70</v>
      </c>
      <c r="S1936" s="4">
        <v>2</v>
      </c>
      <c r="T1936" s="4">
        <v>2</v>
      </c>
      <c r="U1936" s="5" t="s">
        <v>19668</v>
      </c>
      <c r="V1936" s="5" t="s">
        <v>19668</v>
      </c>
      <c r="W1936" s="5" t="s">
        <v>72</v>
      </c>
      <c r="X1936" s="5" t="s">
        <v>72</v>
      </c>
      <c r="Y1936" s="4">
        <v>352</v>
      </c>
      <c r="Z1936" s="4">
        <v>14</v>
      </c>
      <c r="AA1936" s="4">
        <v>108</v>
      </c>
      <c r="AB1936" s="4">
        <v>1</v>
      </c>
      <c r="AC1936" s="4">
        <v>15</v>
      </c>
      <c r="AD1936" s="4">
        <v>36</v>
      </c>
      <c r="AE1936" s="4">
        <v>113</v>
      </c>
      <c r="AF1936" s="4">
        <v>0</v>
      </c>
      <c r="AG1936" s="4">
        <v>8</v>
      </c>
      <c r="AH1936" s="4">
        <v>35</v>
      </c>
      <c r="AI1936" s="4">
        <v>75</v>
      </c>
      <c r="AJ1936" s="4">
        <v>3</v>
      </c>
      <c r="AK1936" s="4">
        <v>19</v>
      </c>
      <c r="AL1936" s="4">
        <v>16</v>
      </c>
      <c r="AM1936" s="4">
        <v>38</v>
      </c>
      <c r="AN1936" s="4">
        <v>0</v>
      </c>
      <c r="AO1936" s="4">
        <v>0</v>
      </c>
      <c r="AP1936" s="4">
        <v>4</v>
      </c>
      <c r="AQ1936" s="4">
        <v>41</v>
      </c>
      <c r="AR1936" s="3" t="s">
        <v>64</v>
      </c>
      <c r="AS1936" s="3" t="s">
        <v>64</v>
      </c>
      <c r="AT1936" s="3" t="s">
        <v>64</v>
      </c>
      <c r="AV1936" s="6" t="str">
        <f>HYPERLINK("http://mcgill.on.worldcat.org/oclc/903473537","Catalog Record")</f>
        <v>Catalog Record</v>
      </c>
      <c r="AW1936" s="6" t="str">
        <f>HYPERLINK("http://www.worldcat.org/oclc/903473537","WorldCat Record")</f>
        <v>WorldCat Record</v>
      </c>
      <c r="AX1936" s="3" t="s">
        <v>19669</v>
      </c>
      <c r="AY1936" s="3" t="s">
        <v>19670</v>
      </c>
      <c r="AZ1936" s="3" t="s">
        <v>19671</v>
      </c>
      <c r="BA1936" s="3" t="s">
        <v>19671</v>
      </c>
      <c r="BB1936" s="3" t="s">
        <v>19672</v>
      </c>
      <c r="BC1936" s="3" t="s">
        <v>77</v>
      </c>
      <c r="BD1936" s="3" t="s">
        <v>78</v>
      </c>
      <c r="BE1936" s="3" t="s">
        <v>19673</v>
      </c>
      <c r="BF1936" s="3" t="s">
        <v>19672</v>
      </c>
      <c r="BG1936" s="3" t="s">
        <v>19674</v>
      </c>
      <c r="BH1936">
        <f t="shared" si="52"/>
        <v>0</v>
      </c>
    </row>
    <row r="1937" spans="1:60" ht="58" x14ac:dyDescent="0.35">
      <c r="A1937" s="2" t="s">
        <v>59</v>
      </c>
      <c r="B1937" s="2" t="s">
        <v>60</v>
      </c>
      <c r="C1937" s="2" t="s">
        <v>19675</v>
      </c>
      <c r="D1937" s="2" t="s">
        <v>19676</v>
      </c>
      <c r="E1937" s="2" t="s">
        <v>19677</v>
      </c>
      <c r="G1937" s="3" t="s">
        <v>64</v>
      </c>
      <c r="I1937" s="3" t="s">
        <v>64</v>
      </c>
      <c r="J1937" s="3" t="s">
        <v>64</v>
      </c>
      <c r="K1937" s="3" t="s">
        <v>65</v>
      </c>
      <c r="L1937" s="2" t="s">
        <v>19678</v>
      </c>
      <c r="M1937" s="2" t="s">
        <v>16217</v>
      </c>
      <c r="N1937" s="3" t="s">
        <v>144</v>
      </c>
      <c r="P1937" s="3" t="s">
        <v>102</v>
      </c>
      <c r="R1937" s="3" t="s">
        <v>70</v>
      </c>
      <c r="S1937" s="4">
        <v>4</v>
      </c>
      <c r="T1937" s="4">
        <v>4</v>
      </c>
      <c r="U1937" s="5" t="s">
        <v>19679</v>
      </c>
      <c r="V1937" s="5" t="s">
        <v>19679</v>
      </c>
      <c r="W1937" s="5" t="s">
        <v>72</v>
      </c>
      <c r="X1937" s="5" t="s">
        <v>72</v>
      </c>
      <c r="Y1937" s="4">
        <v>649</v>
      </c>
      <c r="Z1937" s="4">
        <v>35</v>
      </c>
      <c r="AA1937" s="4">
        <v>38</v>
      </c>
      <c r="AB1937" s="4">
        <v>4</v>
      </c>
      <c r="AC1937" s="4">
        <v>7</v>
      </c>
      <c r="AD1937" s="4">
        <v>86</v>
      </c>
      <c r="AE1937" s="4">
        <v>87</v>
      </c>
      <c r="AF1937" s="4">
        <v>1</v>
      </c>
      <c r="AG1937" s="4">
        <v>2</v>
      </c>
      <c r="AH1937" s="4">
        <v>77</v>
      </c>
      <c r="AI1937" s="4">
        <v>77</v>
      </c>
      <c r="AJ1937" s="4">
        <v>12</v>
      </c>
      <c r="AK1937" s="4">
        <v>13</v>
      </c>
      <c r="AL1937" s="4">
        <v>38</v>
      </c>
      <c r="AM1937" s="4">
        <v>38</v>
      </c>
      <c r="AN1937" s="4">
        <v>0</v>
      </c>
      <c r="AO1937" s="4">
        <v>0</v>
      </c>
      <c r="AP1937" s="4">
        <v>16</v>
      </c>
      <c r="AQ1937" s="4">
        <v>16</v>
      </c>
      <c r="AR1937" s="3" t="s">
        <v>64</v>
      </c>
      <c r="AS1937" s="3" t="s">
        <v>64</v>
      </c>
      <c r="AT1937" s="3" t="s">
        <v>128</v>
      </c>
      <c r="AU1937" s="6" t="str">
        <f>HYPERLINK("http://catalog.hathitrust.org/Record/005679880","HathiTrust Record")</f>
        <v>HathiTrust Record</v>
      </c>
      <c r="AV1937" s="6" t="str">
        <f>HYPERLINK("http://mcgill.on.worldcat.org/oclc/174134023","Catalog Record")</f>
        <v>Catalog Record</v>
      </c>
      <c r="AW1937" s="6" t="str">
        <f>HYPERLINK("http://www.worldcat.org/oclc/174134023","WorldCat Record")</f>
        <v>WorldCat Record</v>
      </c>
      <c r="AX1937" s="3" t="s">
        <v>19680</v>
      </c>
      <c r="AY1937" s="3" t="s">
        <v>19681</v>
      </c>
      <c r="AZ1937" s="3" t="s">
        <v>19682</v>
      </c>
      <c r="BA1937" s="3" t="s">
        <v>19682</v>
      </c>
      <c r="BB1937" s="3" t="s">
        <v>19683</v>
      </c>
      <c r="BC1937" s="3" t="s">
        <v>77</v>
      </c>
      <c r="BD1937" s="3" t="s">
        <v>78</v>
      </c>
      <c r="BE1937" s="3" t="s">
        <v>19684</v>
      </c>
      <c r="BF1937" s="3" t="s">
        <v>19683</v>
      </c>
      <c r="BG1937" s="3" t="s">
        <v>19685</v>
      </c>
      <c r="BH1937">
        <f t="shared" si="52"/>
        <v>0</v>
      </c>
    </row>
    <row r="1938" spans="1:60" ht="58" x14ac:dyDescent="0.35">
      <c r="A1938" s="2" t="s">
        <v>59</v>
      </c>
      <c r="B1938" s="2" t="s">
        <v>60</v>
      </c>
      <c r="C1938" s="2" t="s">
        <v>19686</v>
      </c>
      <c r="D1938" s="2" t="s">
        <v>19687</v>
      </c>
      <c r="E1938" s="2" t="s">
        <v>19688</v>
      </c>
      <c r="G1938" s="3" t="s">
        <v>64</v>
      </c>
      <c r="I1938" s="3" t="s">
        <v>64</v>
      </c>
      <c r="J1938" s="3" t="s">
        <v>64</v>
      </c>
      <c r="K1938" s="3" t="s">
        <v>65</v>
      </c>
      <c r="M1938" s="2" t="s">
        <v>19689</v>
      </c>
      <c r="N1938" s="3" t="s">
        <v>86</v>
      </c>
      <c r="P1938" s="3" t="s">
        <v>102</v>
      </c>
      <c r="R1938" s="3" t="s">
        <v>70</v>
      </c>
      <c r="S1938" s="4">
        <v>1</v>
      </c>
      <c r="T1938" s="4">
        <v>1</v>
      </c>
      <c r="U1938" s="5" t="s">
        <v>9404</v>
      </c>
      <c r="V1938" s="5" t="s">
        <v>9404</v>
      </c>
      <c r="W1938" s="5" t="s">
        <v>72</v>
      </c>
      <c r="X1938" s="5" t="s">
        <v>72</v>
      </c>
      <c r="Y1938" s="4">
        <v>125</v>
      </c>
      <c r="Z1938" s="4">
        <v>9</v>
      </c>
      <c r="AA1938" s="4">
        <v>15</v>
      </c>
      <c r="AB1938" s="4">
        <v>1</v>
      </c>
      <c r="AC1938" s="4">
        <v>4</v>
      </c>
      <c r="AD1938" s="4">
        <v>35</v>
      </c>
      <c r="AE1938" s="4">
        <v>45</v>
      </c>
      <c r="AF1938" s="4">
        <v>0</v>
      </c>
      <c r="AG1938" s="4">
        <v>1</v>
      </c>
      <c r="AH1938" s="4">
        <v>33</v>
      </c>
      <c r="AI1938" s="4">
        <v>43</v>
      </c>
      <c r="AJ1938" s="4">
        <v>5</v>
      </c>
      <c r="AK1938" s="4">
        <v>7</v>
      </c>
      <c r="AL1938" s="4">
        <v>20</v>
      </c>
      <c r="AM1938" s="4">
        <v>26</v>
      </c>
      <c r="AN1938" s="4">
        <v>0</v>
      </c>
      <c r="AO1938" s="4">
        <v>0</v>
      </c>
      <c r="AP1938" s="4">
        <v>5</v>
      </c>
      <c r="AQ1938" s="4">
        <v>7</v>
      </c>
      <c r="AR1938" s="3" t="s">
        <v>64</v>
      </c>
      <c r="AS1938" s="3" t="s">
        <v>64</v>
      </c>
      <c r="AT1938" s="3" t="s">
        <v>64</v>
      </c>
      <c r="AV1938" s="6" t="str">
        <f>HYPERLINK("http://mcgill.on.worldcat.org/oclc/761851457","Catalog Record")</f>
        <v>Catalog Record</v>
      </c>
      <c r="AW1938" s="6" t="str">
        <f>HYPERLINK("http://www.worldcat.org/oclc/761851457","WorldCat Record")</f>
        <v>WorldCat Record</v>
      </c>
      <c r="AX1938" s="3" t="s">
        <v>19690</v>
      </c>
      <c r="AY1938" s="3" t="s">
        <v>19691</v>
      </c>
      <c r="AZ1938" s="3" t="s">
        <v>19692</v>
      </c>
      <c r="BA1938" s="3" t="s">
        <v>19692</v>
      </c>
      <c r="BB1938" s="3" t="s">
        <v>19693</v>
      </c>
      <c r="BC1938" s="3" t="s">
        <v>77</v>
      </c>
      <c r="BD1938" s="3" t="s">
        <v>78</v>
      </c>
      <c r="BE1938" s="3" t="s">
        <v>19694</v>
      </c>
      <c r="BF1938" s="3" t="s">
        <v>19693</v>
      </c>
      <c r="BG1938" s="3" t="s">
        <v>19695</v>
      </c>
      <c r="BH1938">
        <f t="shared" si="52"/>
        <v>0</v>
      </c>
    </row>
    <row r="1939" spans="1:60" ht="58" x14ac:dyDescent="0.35">
      <c r="A1939" s="2" t="s">
        <v>59</v>
      </c>
      <c r="B1939" s="2" t="s">
        <v>60</v>
      </c>
      <c r="C1939" s="2" t="s">
        <v>19696</v>
      </c>
      <c r="D1939" s="2" t="s">
        <v>19697</v>
      </c>
      <c r="E1939" s="2" t="s">
        <v>19698</v>
      </c>
      <c r="G1939" s="3" t="s">
        <v>64</v>
      </c>
      <c r="I1939" s="3" t="s">
        <v>64</v>
      </c>
      <c r="J1939" s="3" t="s">
        <v>128</v>
      </c>
      <c r="K1939" s="3" t="s">
        <v>65</v>
      </c>
      <c r="L1939" s="2" t="s">
        <v>19699</v>
      </c>
      <c r="M1939" s="2" t="s">
        <v>14817</v>
      </c>
      <c r="N1939" s="3" t="s">
        <v>979</v>
      </c>
      <c r="P1939" s="3" t="s">
        <v>102</v>
      </c>
      <c r="R1939" s="3" t="s">
        <v>70</v>
      </c>
      <c r="S1939" s="4">
        <v>19</v>
      </c>
      <c r="T1939" s="4">
        <v>19</v>
      </c>
      <c r="U1939" s="5" t="s">
        <v>8511</v>
      </c>
      <c r="V1939" s="5" t="s">
        <v>8511</v>
      </c>
      <c r="W1939" s="5" t="s">
        <v>72</v>
      </c>
      <c r="X1939" s="5" t="s">
        <v>72</v>
      </c>
      <c r="Y1939" s="4">
        <v>405</v>
      </c>
      <c r="Z1939" s="4">
        <v>22</v>
      </c>
      <c r="AA1939" s="4">
        <v>64</v>
      </c>
      <c r="AB1939" s="4">
        <v>1</v>
      </c>
      <c r="AC1939" s="4">
        <v>6</v>
      </c>
      <c r="AD1939" s="4">
        <v>76</v>
      </c>
      <c r="AE1939" s="4">
        <v>114</v>
      </c>
      <c r="AF1939" s="4">
        <v>0</v>
      </c>
      <c r="AG1939" s="4">
        <v>1</v>
      </c>
      <c r="AH1939" s="4">
        <v>68</v>
      </c>
      <c r="AI1939" s="4">
        <v>92</v>
      </c>
      <c r="AJ1939" s="4">
        <v>11</v>
      </c>
      <c r="AK1939" s="4">
        <v>15</v>
      </c>
      <c r="AL1939" s="4">
        <v>38</v>
      </c>
      <c r="AM1939" s="4">
        <v>51</v>
      </c>
      <c r="AN1939" s="4">
        <v>0</v>
      </c>
      <c r="AO1939" s="4">
        <v>0</v>
      </c>
      <c r="AP1939" s="4">
        <v>13</v>
      </c>
      <c r="AQ1939" s="4">
        <v>26</v>
      </c>
      <c r="AR1939" s="3" t="s">
        <v>64</v>
      </c>
      <c r="AS1939" s="3" t="s">
        <v>64</v>
      </c>
      <c r="AT1939" s="3" t="s">
        <v>64</v>
      </c>
      <c r="AV1939" s="6" t="str">
        <f>HYPERLINK("http://mcgill.on.worldcat.org/oclc/43227502","Catalog Record")</f>
        <v>Catalog Record</v>
      </c>
      <c r="AW1939" s="6" t="str">
        <f>HYPERLINK("http://www.worldcat.org/oclc/43227502","WorldCat Record")</f>
        <v>WorldCat Record</v>
      </c>
      <c r="AX1939" s="3" t="s">
        <v>19700</v>
      </c>
      <c r="AY1939" s="3" t="s">
        <v>19701</v>
      </c>
      <c r="AZ1939" s="3" t="s">
        <v>19702</v>
      </c>
      <c r="BA1939" s="3" t="s">
        <v>19702</v>
      </c>
      <c r="BB1939" s="3" t="s">
        <v>19703</v>
      </c>
      <c r="BC1939" s="3" t="s">
        <v>77</v>
      </c>
      <c r="BD1939" s="3" t="s">
        <v>78</v>
      </c>
      <c r="BE1939" s="3" t="s">
        <v>19704</v>
      </c>
      <c r="BF1939" s="3" t="s">
        <v>19703</v>
      </c>
      <c r="BG1939" s="3" t="s">
        <v>19705</v>
      </c>
      <c r="BH1939">
        <f t="shared" si="52"/>
        <v>0</v>
      </c>
    </row>
    <row r="1940" spans="1:60" ht="58" x14ac:dyDescent="0.35">
      <c r="A1940" s="2" t="s">
        <v>59</v>
      </c>
      <c r="B1940" s="2" t="s">
        <v>60</v>
      </c>
      <c r="C1940" s="2" t="s">
        <v>19706</v>
      </c>
      <c r="D1940" s="2" t="s">
        <v>19707</v>
      </c>
      <c r="E1940" s="2" t="s">
        <v>19708</v>
      </c>
      <c r="G1940" s="3" t="s">
        <v>64</v>
      </c>
      <c r="I1940" s="3" t="s">
        <v>64</v>
      </c>
      <c r="J1940" s="3" t="s">
        <v>128</v>
      </c>
      <c r="K1940" s="3" t="s">
        <v>65</v>
      </c>
      <c r="L1940" s="2" t="s">
        <v>19699</v>
      </c>
      <c r="M1940" s="2" t="s">
        <v>19709</v>
      </c>
      <c r="N1940" s="3" t="s">
        <v>291</v>
      </c>
      <c r="O1940" s="2" t="s">
        <v>172</v>
      </c>
      <c r="P1940" s="3" t="s">
        <v>102</v>
      </c>
      <c r="R1940" s="3" t="s">
        <v>70</v>
      </c>
      <c r="S1940" s="4">
        <v>7</v>
      </c>
      <c r="T1940" s="4">
        <v>7</v>
      </c>
      <c r="U1940" s="5" t="s">
        <v>19710</v>
      </c>
      <c r="V1940" s="5" t="s">
        <v>19710</v>
      </c>
      <c r="W1940" s="5" t="s">
        <v>72</v>
      </c>
      <c r="X1940" s="5" t="s">
        <v>72</v>
      </c>
      <c r="Y1940" s="4">
        <v>300</v>
      </c>
      <c r="Z1940" s="4">
        <v>17</v>
      </c>
      <c r="AA1940" s="4">
        <v>64</v>
      </c>
      <c r="AB1940" s="4">
        <v>1</v>
      </c>
      <c r="AC1940" s="4">
        <v>6</v>
      </c>
      <c r="AD1940" s="4">
        <v>49</v>
      </c>
      <c r="AE1940" s="4">
        <v>114</v>
      </c>
      <c r="AF1940" s="4">
        <v>0</v>
      </c>
      <c r="AG1940" s="4">
        <v>1</v>
      </c>
      <c r="AH1940" s="4">
        <v>42</v>
      </c>
      <c r="AI1940" s="4">
        <v>92</v>
      </c>
      <c r="AJ1940" s="4">
        <v>10</v>
      </c>
      <c r="AK1940" s="4">
        <v>15</v>
      </c>
      <c r="AL1940" s="4">
        <v>27</v>
      </c>
      <c r="AM1940" s="4">
        <v>51</v>
      </c>
      <c r="AN1940" s="4">
        <v>0</v>
      </c>
      <c r="AO1940" s="4">
        <v>0</v>
      </c>
      <c r="AP1940" s="4">
        <v>11</v>
      </c>
      <c r="AQ1940" s="4">
        <v>26</v>
      </c>
      <c r="AR1940" s="3" t="s">
        <v>64</v>
      </c>
      <c r="AS1940" s="3" t="s">
        <v>64</v>
      </c>
      <c r="AT1940" s="3" t="s">
        <v>128</v>
      </c>
      <c r="AU1940" s="6" t="str">
        <f>HYPERLINK("http://catalog.hathitrust.org/Record/009353379","HathiTrust Record")</f>
        <v>HathiTrust Record</v>
      </c>
      <c r="AV1940" s="6" t="str">
        <f>HYPERLINK("http://mcgill.on.worldcat.org/oclc/122526041","Catalog Record")</f>
        <v>Catalog Record</v>
      </c>
      <c r="AW1940" s="6" t="str">
        <f>HYPERLINK("http://www.worldcat.org/oclc/122526041","WorldCat Record")</f>
        <v>WorldCat Record</v>
      </c>
      <c r="AX1940" s="3" t="s">
        <v>19700</v>
      </c>
      <c r="AY1940" s="3" t="s">
        <v>19711</v>
      </c>
      <c r="AZ1940" s="3" t="s">
        <v>19712</v>
      </c>
      <c r="BA1940" s="3" t="s">
        <v>19712</v>
      </c>
      <c r="BB1940" s="3" t="s">
        <v>19713</v>
      </c>
      <c r="BC1940" s="3" t="s">
        <v>77</v>
      </c>
      <c r="BD1940" s="3" t="s">
        <v>78</v>
      </c>
      <c r="BE1940" s="3" t="s">
        <v>19714</v>
      </c>
      <c r="BF1940" s="3" t="s">
        <v>19713</v>
      </c>
      <c r="BG1940" s="3" t="s">
        <v>19715</v>
      </c>
      <c r="BH1940">
        <f t="shared" si="52"/>
        <v>0</v>
      </c>
    </row>
    <row r="1941" spans="1:60" ht="58" x14ac:dyDescent="0.35">
      <c r="A1941" s="2" t="s">
        <v>59</v>
      </c>
      <c r="B1941" s="2" t="s">
        <v>60</v>
      </c>
      <c r="C1941" s="2" t="s">
        <v>19716</v>
      </c>
      <c r="D1941" s="2" t="s">
        <v>19717</v>
      </c>
      <c r="E1941" s="2" t="s">
        <v>19718</v>
      </c>
      <c r="G1941" s="3" t="s">
        <v>64</v>
      </c>
      <c r="I1941" s="3" t="s">
        <v>64</v>
      </c>
      <c r="J1941" s="3" t="s">
        <v>128</v>
      </c>
      <c r="K1941" s="3" t="s">
        <v>65</v>
      </c>
      <c r="L1941" s="2" t="s">
        <v>19719</v>
      </c>
      <c r="M1941" s="2" t="s">
        <v>19720</v>
      </c>
      <c r="N1941" s="3" t="s">
        <v>1075</v>
      </c>
      <c r="O1941" s="2" t="s">
        <v>15120</v>
      </c>
      <c r="P1941" s="3" t="s">
        <v>102</v>
      </c>
      <c r="R1941" s="3" t="s">
        <v>70</v>
      </c>
      <c r="S1941" s="4">
        <v>9</v>
      </c>
      <c r="T1941" s="4">
        <v>9</v>
      </c>
      <c r="U1941" s="5" t="s">
        <v>14927</v>
      </c>
      <c r="V1941" s="5" t="s">
        <v>14927</v>
      </c>
      <c r="W1941" s="5" t="s">
        <v>72</v>
      </c>
      <c r="X1941" s="5" t="s">
        <v>72</v>
      </c>
      <c r="Y1941" s="4">
        <v>84</v>
      </c>
      <c r="Z1941" s="4">
        <v>2</v>
      </c>
      <c r="AA1941" s="4">
        <v>64</v>
      </c>
      <c r="AB1941" s="4">
        <v>1</v>
      </c>
      <c r="AC1941" s="4">
        <v>6</v>
      </c>
      <c r="AD1941" s="4">
        <v>5</v>
      </c>
      <c r="AE1941" s="4">
        <v>114</v>
      </c>
      <c r="AF1941" s="4">
        <v>0</v>
      </c>
      <c r="AG1941" s="4">
        <v>1</v>
      </c>
      <c r="AH1941" s="4">
        <v>5</v>
      </c>
      <c r="AI1941" s="4">
        <v>92</v>
      </c>
      <c r="AJ1941" s="4">
        <v>1</v>
      </c>
      <c r="AK1941" s="4">
        <v>15</v>
      </c>
      <c r="AL1941" s="4">
        <v>4</v>
      </c>
      <c r="AM1941" s="4">
        <v>51</v>
      </c>
      <c r="AN1941" s="4">
        <v>0</v>
      </c>
      <c r="AO1941" s="4">
        <v>0</v>
      </c>
      <c r="AP1941" s="4">
        <v>1</v>
      </c>
      <c r="AQ1941" s="4">
        <v>26</v>
      </c>
      <c r="AR1941" s="3" t="s">
        <v>64</v>
      </c>
      <c r="AS1941" s="3" t="s">
        <v>64</v>
      </c>
      <c r="AT1941" s="3" t="s">
        <v>64</v>
      </c>
      <c r="AV1941" s="6" t="str">
        <f>HYPERLINK("http://mcgill.on.worldcat.org/oclc/859577565","Catalog Record")</f>
        <v>Catalog Record</v>
      </c>
      <c r="AW1941" s="6" t="str">
        <f>HYPERLINK("http://www.worldcat.org/oclc/859577565","WorldCat Record")</f>
        <v>WorldCat Record</v>
      </c>
      <c r="AX1941" s="3" t="s">
        <v>19700</v>
      </c>
      <c r="AY1941" s="3" t="s">
        <v>19721</v>
      </c>
      <c r="AZ1941" s="3" t="s">
        <v>19722</v>
      </c>
      <c r="BA1941" s="3" t="s">
        <v>19722</v>
      </c>
      <c r="BB1941" s="3" t="s">
        <v>19723</v>
      </c>
      <c r="BC1941" s="3" t="s">
        <v>77</v>
      </c>
      <c r="BD1941" s="3" t="s">
        <v>78</v>
      </c>
      <c r="BE1941" s="3" t="s">
        <v>19724</v>
      </c>
      <c r="BF1941" s="3" t="s">
        <v>19723</v>
      </c>
      <c r="BG1941" s="3" t="s">
        <v>19725</v>
      </c>
      <c r="BH1941">
        <f t="shared" si="52"/>
        <v>0</v>
      </c>
    </row>
    <row r="1942" spans="1:60" ht="58" x14ac:dyDescent="0.35">
      <c r="A1942" s="2" t="s">
        <v>59</v>
      </c>
      <c r="B1942" s="2" t="s">
        <v>60</v>
      </c>
      <c r="C1942" s="2" t="s">
        <v>19726</v>
      </c>
      <c r="D1942" s="2" t="s">
        <v>19727</v>
      </c>
      <c r="E1942" s="2" t="s">
        <v>19728</v>
      </c>
      <c r="G1942" s="3" t="s">
        <v>64</v>
      </c>
      <c r="I1942" s="3" t="s">
        <v>64</v>
      </c>
      <c r="J1942" s="3" t="s">
        <v>64</v>
      </c>
      <c r="K1942" s="3" t="s">
        <v>65</v>
      </c>
      <c r="L1942" s="2" t="s">
        <v>19729</v>
      </c>
      <c r="M1942" s="2" t="s">
        <v>9095</v>
      </c>
      <c r="N1942" s="3" t="s">
        <v>551</v>
      </c>
      <c r="P1942" s="3" t="s">
        <v>102</v>
      </c>
      <c r="Q1942" s="2" t="s">
        <v>8981</v>
      </c>
      <c r="R1942" s="3" t="s">
        <v>70</v>
      </c>
      <c r="S1942" s="4">
        <v>7</v>
      </c>
      <c r="T1942" s="4">
        <v>7</v>
      </c>
      <c r="U1942" s="5" t="s">
        <v>19563</v>
      </c>
      <c r="V1942" s="5" t="s">
        <v>19563</v>
      </c>
      <c r="W1942" s="5" t="s">
        <v>72</v>
      </c>
      <c r="X1942" s="5" t="s">
        <v>72</v>
      </c>
      <c r="Y1942" s="4">
        <v>337</v>
      </c>
      <c r="Z1942" s="4">
        <v>25</v>
      </c>
      <c r="AA1942" s="4">
        <v>34</v>
      </c>
      <c r="AB1942" s="4">
        <v>2</v>
      </c>
      <c r="AC1942" s="4">
        <v>8</v>
      </c>
      <c r="AD1942" s="4">
        <v>53</v>
      </c>
      <c r="AE1942" s="4">
        <v>63</v>
      </c>
      <c r="AF1942" s="4">
        <v>1</v>
      </c>
      <c r="AG1942" s="4">
        <v>5</v>
      </c>
      <c r="AH1942" s="4">
        <v>46</v>
      </c>
      <c r="AI1942" s="4">
        <v>52</v>
      </c>
      <c r="AJ1942" s="4">
        <v>14</v>
      </c>
      <c r="AK1942" s="4">
        <v>17</v>
      </c>
      <c r="AL1942" s="4">
        <v>23</v>
      </c>
      <c r="AM1942" s="4">
        <v>25</v>
      </c>
      <c r="AN1942" s="4">
        <v>0</v>
      </c>
      <c r="AO1942" s="4">
        <v>0</v>
      </c>
      <c r="AP1942" s="4">
        <v>15</v>
      </c>
      <c r="AQ1942" s="4">
        <v>20</v>
      </c>
      <c r="AR1942" s="3" t="s">
        <v>64</v>
      </c>
      <c r="AS1942" s="3" t="s">
        <v>64</v>
      </c>
      <c r="AT1942" s="3" t="s">
        <v>64</v>
      </c>
      <c r="AV1942" s="6" t="str">
        <f>HYPERLINK("http://mcgill.on.worldcat.org/oclc/436753615","Catalog Record")</f>
        <v>Catalog Record</v>
      </c>
      <c r="AW1942" s="6" t="str">
        <f>HYPERLINK("http://www.worldcat.org/oclc/436753615","WorldCat Record")</f>
        <v>WorldCat Record</v>
      </c>
      <c r="AX1942" s="3" t="s">
        <v>19730</v>
      </c>
      <c r="AY1942" s="3" t="s">
        <v>19731</v>
      </c>
      <c r="AZ1942" s="3" t="s">
        <v>19732</v>
      </c>
      <c r="BA1942" s="3" t="s">
        <v>19732</v>
      </c>
      <c r="BB1942" s="3" t="s">
        <v>19733</v>
      </c>
      <c r="BC1942" s="3" t="s">
        <v>77</v>
      </c>
      <c r="BD1942" s="3" t="s">
        <v>78</v>
      </c>
      <c r="BE1942" s="3" t="s">
        <v>19734</v>
      </c>
      <c r="BF1942" s="3" t="s">
        <v>19733</v>
      </c>
      <c r="BG1942" s="3" t="s">
        <v>19735</v>
      </c>
      <c r="BH1942">
        <f t="shared" si="52"/>
        <v>0</v>
      </c>
    </row>
    <row r="1943" spans="1:60" ht="58" x14ac:dyDescent="0.35">
      <c r="A1943" s="2" t="s">
        <v>59</v>
      </c>
      <c r="B1943" s="2" t="s">
        <v>60</v>
      </c>
      <c r="C1943" s="2" t="s">
        <v>19736</v>
      </c>
      <c r="D1943" s="2" t="s">
        <v>19737</v>
      </c>
      <c r="E1943" s="2" t="s">
        <v>19738</v>
      </c>
      <c r="G1943" s="3" t="s">
        <v>64</v>
      </c>
      <c r="I1943" s="3" t="s">
        <v>64</v>
      </c>
      <c r="J1943" s="3" t="s">
        <v>64</v>
      </c>
      <c r="K1943" s="3" t="s">
        <v>65</v>
      </c>
      <c r="M1943" s="2" t="s">
        <v>19739</v>
      </c>
      <c r="N1943" s="3" t="s">
        <v>578</v>
      </c>
      <c r="P1943" s="3" t="s">
        <v>102</v>
      </c>
      <c r="Q1943" s="2" t="s">
        <v>19740</v>
      </c>
      <c r="R1943" s="3" t="s">
        <v>70</v>
      </c>
      <c r="S1943" s="4">
        <v>6</v>
      </c>
      <c r="T1943" s="4">
        <v>6</v>
      </c>
      <c r="U1943" s="5" t="s">
        <v>12153</v>
      </c>
      <c r="V1943" s="5" t="s">
        <v>12153</v>
      </c>
      <c r="W1943" s="5" t="s">
        <v>72</v>
      </c>
      <c r="X1943" s="5" t="s">
        <v>72</v>
      </c>
      <c r="Y1943" s="4">
        <v>188</v>
      </c>
      <c r="Z1943" s="4">
        <v>32</v>
      </c>
      <c r="AA1943" s="4">
        <v>34</v>
      </c>
      <c r="AB1943" s="4">
        <v>3</v>
      </c>
      <c r="AC1943" s="4">
        <v>5</v>
      </c>
      <c r="AD1943" s="4">
        <v>71</v>
      </c>
      <c r="AE1943" s="4">
        <v>74</v>
      </c>
      <c r="AF1943" s="4">
        <v>1</v>
      </c>
      <c r="AG1943" s="4">
        <v>1</v>
      </c>
      <c r="AH1943" s="4">
        <v>54</v>
      </c>
      <c r="AI1943" s="4">
        <v>57</v>
      </c>
      <c r="AJ1943" s="4">
        <v>16</v>
      </c>
      <c r="AK1943" s="4">
        <v>16</v>
      </c>
      <c r="AL1943" s="4">
        <v>37</v>
      </c>
      <c r="AM1943" s="4">
        <v>38</v>
      </c>
      <c r="AN1943" s="4">
        <v>0</v>
      </c>
      <c r="AO1943" s="4">
        <v>0</v>
      </c>
      <c r="AP1943" s="4">
        <v>22</v>
      </c>
      <c r="AQ1943" s="4">
        <v>22</v>
      </c>
      <c r="AR1943" s="3" t="s">
        <v>64</v>
      </c>
      <c r="AS1943" s="3" t="s">
        <v>64</v>
      </c>
      <c r="AT1943" s="3" t="s">
        <v>64</v>
      </c>
      <c r="AV1943" s="6" t="str">
        <f>HYPERLINK("http://mcgill.on.worldcat.org/oclc/992395269","Catalog Record")</f>
        <v>Catalog Record</v>
      </c>
      <c r="AW1943" s="6" t="str">
        <f>HYPERLINK("http://www.worldcat.org/oclc/992395269","WorldCat Record")</f>
        <v>WorldCat Record</v>
      </c>
      <c r="AX1943" s="3" t="s">
        <v>19741</v>
      </c>
      <c r="AY1943" s="3" t="s">
        <v>19742</v>
      </c>
      <c r="AZ1943" s="3" t="s">
        <v>19743</v>
      </c>
      <c r="BA1943" s="3" t="s">
        <v>19743</v>
      </c>
      <c r="BB1943" s="3" t="s">
        <v>19744</v>
      </c>
      <c r="BC1943" s="3" t="s">
        <v>77</v>
      </c>
      <c r="BD1943" s="3" t="s">
        <v>78</v>
      </c>
      <c r="BE1943" s="3" t="s">
        <v>19745</v>
      </c>
      <c r="BF1943" s="3" t="s">
        <v>19744</v>
      </c>
      <c r="BG1943" s="3" t="s">
        <v>19746</v>
      </c>
      <c r="BH1943">
        <f t="shared" si="52"/>
        <v>0</v>
      </c>
    </row>
    <row r="1944" spans="1:60" ht="58" x14ac:dyDescent="0.35">
      <c r="A1944" s="2" t="s">
        <v>59</v>
      </c>
      <c r="B1944" s="2" t="s">
        <v>60</v>
      </c>
      <c r="C1944" s="2" t="s">
        <v>19747</v>
      </c>
      <c r="D1944" s="2" t="s">
        <v>19748</v>
      </c>
      <c r="E1944" s="2" t="s">
        <v>19749</v>
      </c>
      <c r="G1944" s="3" t="s">
        <v>64</v>
      </c>
      <c r="I1944" s="3" t="s">
        <v>64</v>
      </c>
      <c r="J1944" s="3" t="s">
        <v>64</v>
      </c>
      <c r="K1944" s="3" t="s">
        <v>65</v>
      </c>
      <c r="L1944" s="2" t="s">
        <v>15776</v>
      </c>
      <c r="M1944" s="2" t="s">
        <v>19750</v>
      </c>
      <c r="N1944" s="3" t="s">
        <v>434</v>
      </c>
      <c r="P1944" s="3" t="s">
        <v>102</v>
      </c>
      <c r="R1944" s="3" t="s">
        <v>70</v>
      </c>
      <c r="S1944" s="4">
        <v>15</v>
      </c>
      <c r="T1944" s="4">
        <v>15</v>
      </c>
      <c r="U1944" s="5" t="s">
        <v>6853</v>
      </c>
      <c r="V1944" s="5" t="s">
        <v>6853</v>
      </c>
      <c r="W1944" s="5" t="s">
        <v>72</v>
      </c>
      <c r="X1944" s="5" t="s">
        <v>72</v>
      </c>
      <c r="Y1944" s="4">
        <v>739</v>
      </c>
      <c r="Z1944" s="4">
        <v>39</v>
      </c>
      <c r="AA1944" s="4">
        <v>125</v>
      </c>
      <c r="AB1944" s="4">
        <v>4</v>
      </c>
      <c r="AC1944" s="4">
        <v>18</v>
      </c>
      <c r="AD1944" s="4">
        <v>71</v>
      </c>
      <c r="AE1944" s="4">
        <v>132</v>
      </c>
      <c r="AF1944" s="4">
        <v>2</v>
      </c>
      <c r="AG1944" s="4">
        <v>8</v>
      </c>
      <c r="AH1944" s="4">
        <v>64</v>
      </c>
      <c r="AI1944" s="4">
        <v>93</v>
      </c>
      <c r="AJ1944" s="4">
        <v>10</v>
      </c>
      <c r="AK1944" s="4">
        <v>23</v>
      </c>
      <c r="AL1944" s="4">
        <v>32</v>
      </c>
      <c r="AM1944" s="4">
        <v>45</v>
      </c>
      <c r="AN1944" s="4">
        <v>0</v>
      </c>
      <c r="AO1944" s="4">
        <v>0</v>
      </c>
      <c r="AP1944" s="4">
        <v>13</v>
      </c>
      <c r="AQ1944" s="4">
        <v>46</v>
      </c>
      <c r="AR1944" s="3" t="s">
        <v>64</v>
      </c>
      <c r="AS1944" s="3" t="s">
        <v>64</v>
      </c>
      <c r="AT1944" s="3" t="s">
        <v>64</v>
      </c>
      <c r="AV1944" s="6" t="str">
        <f>HYPERLINK("http://mcgill.on.worldcat.org/oclc/56404955","Catalog Record")</f>
        <v>Catalog Record</v>
      </c>
      <c r="AW1944" s="6" t="str">
        <f>HYPERLINK("http://www.worldcat.org/oclc/56404955","WorldCat Record")</f>
        <v>WorldCat Record</v>
      </c>
      <c r="AX1944" s="3" t="s">
        <v>19751</v>
      </c>
      <c r="AY1944" s="3" t="s">
        <v>19752</v>
      </c>
      <c r="AZ1944" s="3" t="s">
        <v>19753</v>
      </c>
      <c r="BA1944" s="3" t="s">
        <v>19753</v>
      </c>
      <c r="BB1944" s="3" t="s">
        <v>19754</v>
      </c>
      <c r="BC1944" s="3" t="s">
        <v>77</v>
      </c>
      <c r="BD1944" s="3" t="s">
        <v>78</v>
      </c>
      <c r="BE1944" s="3" t="s">
        <v>19755</v>
      </c>
      <c r="BF1944" s="3" t="s">
        <v>19754</v>
      </c>
      <c r="BG1944" s="3" t="s">
        <v>19756</v>
      </c>
      <c r="BH1944">
        <f t="shared" si="52"/>
        <v>0</v>
      </c>
    </row>
    <row r="1945" spans="1:60" ht="58" x14ac:dyDescent="0.35">
      <c r="A1945" s="2" t="s">
        <v>59</v>
      </c>
      <c r="B1945" s="2" t="s">
        <v>60</v>
      </c>
      <c r="C1945" s="2" t="s">
        <v>19757</v>
      </c>
      <c r="D1945" s="2" t="s">
        <v>19758</v>
      </c>
      <c r="E1945" s="2" t="s">
        <v>19759</v>
      </c>
      <c r="G1945" s="3" t="s">
        <v>64</v>
      </c>
      <c r="I1945" s="3" t="s">
        <v>64</v>
      </c>
      <c r="J1945" s="3" t="s">
        <v>64</v>
      </c>
      <c r="K1945" s="3" t="s">
        <v>65</v>
      </c>
      <c r="L1945" s="2" t="s">
        <v>19760</v>
      </c>
      <c r="M1945" s="2" t="s">
        <v>16093</v>
      </c>
      <c r="N1945" s="3" t="s">
        <v>511</v>
      </c>
      <c r="P1945" s="3" t="s">
        <v>102</v>
      </c>
      <c r="R1945" s="3" t="s">
        <v>70</v>
      </c>
      <c r="S1945" s="4">
        <v>3</v>
      </c>
      <c r="T1945" s="4">
        <v>3</v>
      </c>
      <c r="U1945" s="5" t="s">
        <v>3560</v>
      </c>
      <c r="V1945" s="5" t="s">
        <v>3560</v>
      </c>
      <c r="W1945" s="5" t="s">
        <v>72</v>
      </c>
      <c r="X1945" s="5" t="s">
        <v>72</v>
      </c>
      <c r="Y1945" s="4">
        <v>193</v>
      </c>
      <c r="Z1945" s="4">
        <v>14</v>
      </c>
      <c r="AA1945" s="4">
        <v>44</v>
      </c>
      <c r="AB1945" s="4">
        <v>3</v>
      </c>
      <c r="AC1945" s="4">
        <v>9</v>
      </c>
      <c r="AD1945" s="4">
        <v>47</v>
      </c>
      <c r="AE1945" s="4">
        <v>64</v>
      </c>
      <c r="AF1945" s="4">
        <v>1</v>
      </c>
      <c r="AG1945" s="4">
        <v>2</v>
      </c>
      <c r="AH1945" s="4">
        <v>42</v>
      </c>
      <c r="AI1945" s="4">
        <v>56</v>
      </c>
      <c r="AJ1945" s="4">
        <v>10</v>
      </c>
      <c r="AK1945" s="4">
        <v>12</v>
      </c>
      <c r="AL1945" s="4">
        <v>26</v>
      </c>
      <c r="AM1945" s="4">
        <v>32</v>
      </c>
      <c r="AN1945" s="4">
        <v>0</v>
      </c>
      <c r="AO1945" s="4">
        <v>0</v>
      </c>
      <c r="AP1945" s="4">
        <v>11</v>
      </c>
      <c r="AQ1945" s="4">
        <v>14</v>
      </c>
      <c r="AR1945" s="3" t="s">
        <v>64</v>
      </c>
      <c r="AS1945" s="3" t="s">
        <v>64</v>
      </c>
      <c r="AT1945" s="3" t="s">
        <v>64</v>
      </c>
      <c r="AV1945" s="6" t="str">
        <f>HYPERLINK("http://mcgill.on.worldcat.org/oclc/548555600","Catalog Record")</f>
        <v>Catalog Record</v>
      </c>
      <c r="AW1945" s="6" t="str">
        <f>HYPERLINK("http://www.worldcat.org/oclc/548555600","WorldCat Record")</f>
        <v>WorldCat Record</v>
      </c>
      <c r="AX1945" s="3" t="s">
        <v>19761</v>
      </c>
      <c r="AY1945" s="3" t="s">
        <v>19762</v>
      </c>
      <c r="AZ1945" s="3" t="s">
        <v>19763</v>
      </c>
      <c r="BA1945" s="3" t="s">
        <v>19763</v>
      </c>
      <c r="BB1945" s="3" t="s">
        <v>19764</v>
      </c>
      <c r="BC1945" s="3" t="s">
        <v>77</v>
      </c>
      <c r="BD1945" s="3" t="s">
        <v>78</v>
      </c>
      <c r="BE1945" s="3" t="s">
        <v>19765</v>
      </c>
      <c r="BF1945" s="3" t="s">
        <v>19764</v>
      </c>
      <c r="BG1945" s="3" t="s">
        <v>19766</v>
      </c>
      <c r="BH1945">
        <f t="shared" si="52"/>
        <v>0</v>
      </c>
    </row>
    <row r="1946" spans="1:60" ht="58" x14ac:dyDescent="0.35">
      <c r="A1946" s="2" t="s">
        <v>59</v>
      </c>
      <c r="B1946" s="2" t="s">
        <v>60</v>
      </c>
      <c r="C1946" s="2" t="s">
        <v>19767</v>
      </c>
      <c r="D1946" s="2" t="s">
        <v>19768</v>
      </c>
      <c r="E1946" s="2" t="s">
        <v>19769</v>
      </c>
      <c r="F1946" s="3" t="s">
        <v>19770</v>
      </c>
      <c r="G1946" s="3" t="s">
        <v>64</v>
      </c>
      <c r="I1946" s="3" t="s">
        <v>64</v>
      </c>
      <c r="J1946" s="3" t="s">
        <v>64</v>
      </c>
      <c r="K1946" s="3" t="s">
        <v>65</v>
      </c>
      <c r="L1946" s="2" t="s">
        <v>19771</v>
      </c>
      <c r="M1946" s="2" t="s">
        <v>17071</v>
      </c>
      <c r="N1946" s="3" t="s">
        <v>144</v>
      </c>
      <c r="P1946" s="3" t="s">
        <v>102</v>
      </c>
      <c r="Q1946" s="2" t="s">
        <v>19772</v>
      </c>
      <c r="R1946" s="3" t="s">
        <v>70</v>
      </c>
      <c r="S1946" s="4">
        <v>1</v>
      </c>
      <c r="T1946" s="4">
        <v>1</v>
      </c>
      <c r="U1946" s="5" t="s">
        <v>19773</v>
      </c>
      <c r="V1946" s="5" t="s">
        <v>19773</v>
      </c>
      <c r="W1946" s="5" t="s">
        <v>72</v>
      </c>
      <c r="X1946" s="5" t="s">
        <v>72</v>
      </c>
      <c r="Y1946" s="4">
        <v>227</v>
      </c>
      <c r="Z1946" s="4">
        <v>17</v>
      </c>
      <c r="AA1946" s="4">
        <v>18</v>
      </c>
      <c r="AB1946" s="4">
        <v>4</v>
      </c>
      <c r="AC1946" s="4">
        <v>4</v>
      </c>
      <c r="AD1946" s="4">
        <v>38</v>
      </c>
      <c r="AE1946" s="4">
        <v>39</v>
      </c>
      <c r="AF1946" s="4">
        <v>0</v>
      </c>
      <c r="AG1946" s="4">
        <v>0</v>
      </c>
      <c r="AH1946" s="4">
        <v>35</v>
      </c>
      <c r="AI1946" s="4">
        <v>36</v>
      </c>
      <c r="AJ1946" s="4">
        <v>6</v>
      </c>
      <c r="AK1946" s="4">
        <v>7</v>
      </c>
      <c r="AL1946" s="4">
        <v>18</v>
      </c>
      <c r="AM1946" s="4">
        <v>18</v>
      </c>
      <c r="AN1946" s="4">
        <v>0</v>
      </c>
      <c r="AO1946" s="4">
        <v>0</v>
      </c>
      <c r="AP1946" s="4">
        <v>7</v>
      </c>
      <c r="AQ1946" s="4">
        <v>8</v>
      </c>
      <c r="AR1946" s="3" t="s">
        <v>64</v>
      </c>
      <c r="AS1946" s="3" t="s">
        <v>64</v>
      </c>
      <c r="AT1946" s="3" t="s">
        <v>128</v>
      </c>
      <c r="AU1946" s="6" t="str">
        <f>HYPERLINK("http://catalog.hathitrust.org/Record/005924583","HathiTrust Record")</f>
        <v>HathiTrust Record</v>
      </c>
      <c r="AV1946" s="6" t="str">
        <f>HYPERLINK("http://mcgill.on.worldcat.org/oclc/213384918","Catalog Record")</f>
        <v>Catalog Record</v>
      </c>
      <c r="AW1946" s="6" t="str">
        <f>HYPERLINK("http://www.worldcat.org/oclc/213384918","WorldCat Record")</f>
        <v>WorldCat Record</v>
      </c>
      <c r="AX1946" s="3" t="s">
        <v>19774</v>
      </c>
      <c r="AY1946" s="3" t="s">
        <v>19775</v>
      </c>
      <c r="AZ1946" s="3" t="s">
        <v>19776</v>
      </c>
      <c r="BA1946" s="3" t="s">
        <v>19776</v>
      </c>
      <c r="BB1946" s="3" t="s">
        <v>19777</v>
      </c>
      <c r="BC1946" s="3" t="s">
        <v>77</v>
      </c>
      <c r="BD1946" s="3" t="s">
        <v>78</v>
      </c>
      <c r="BE1946" s="3" t="s">
        <v>19778</v>
      </c>
      <c r="BF1946" s="3" t="s">
        <v>19777</v>
      </c>
      <c r="BG1946" s="3" t="s">
        <v>19779</v>
      </c>
      <c r="BH1946">
        <f t="shared" si="52"/>
        <v>0</v>
      </c>
    </row>
    <row r="1947" spans="1:60" ht="58" x14ac:dyDescent="0.35">
      <c r="A1947" s="2" t="s">
        <v>59</v>
      </c>
      <c r="B1947" s="2" t="s">
        <v>60</v>
      </c>
      <c r="C1947" s="2" t="s">
        <v>19780</v>
      </c>
      <c r="D1947" s="2" t="s">
        <v>19781</v>
      </c>
      <c r="E1947" s="2" t="s">
        <v>19782</v>
      </c>
      <c r="G1947" s="3" t="s">
        <v>64</v>
      </c>
      <c r="I1947" s="3" t="s">
        <v>64</v>
      </c>
      <c r="J1947" s="3" t="s">
        <v>64</v>
      </c>
      <c r="K1947" s="3" t="s">
        <v>65</v>
      </c>
      <c r="L1947" s="2" t="s">
        <v>19783</v>
      </c>
      <c r="M1947" s="2" t="s">
        <v>19784</v>
      </c>
      <c r="N1947" s="3" t="s">
        <v>1615</v>
      </c>
      <c r="P1947" s="3" t="s">
        <v>102</v>
      </c>
      <c r="Q1947" s="2" t="s">
        <v>18502</v>
      </c>
      <c r="R1947" s="3" t="s">
        <v>70</v>
      </c>
      <c r="S1947" s="4">
        <v>21</v>
      </c>
      <c r="T1947" s="4">
        <v>21</v>
      </c>
      <c r="U1947" s="5" t="s">
        <v>14365</v>
      </c>
      <c r="V1947" s="5" t="s">
        <v>14365</v>
      </c>
      <c r="W1947" s="5" t="s">
        <v>72</v>
      </c>
      <c r="X1947" s="5" t="s">
        <v>72</v>
      </c>
      <c r="Y1947" s="4">
        <v>159</v>
      </c>
      <c r="Z1947" s="4">
        <v>8</v>
      </c>
      <c r="AA1947" s="4">
        <v>9</v>
      </c>
      <c r="AB1947" s="4">
        <v>1</v>
      </c>
      <c r="AC1947" s="4">
        <v>2</v>
      </c>
      <c r="AD1947" s="4">
        <v>53</v>
      </c>
      <c r="AE1947" s="4">
        <v>55</v>
      </c>
      <c r="AF1947" s="4">
        <v>0</v>
      </c>
      <c r="AG1947" s="4">
        <v>1</v>
      </c>
      <c r="AH1947" s="4">
        <v>50</v>
      </c>
      <c r="AI1947" s="4">
        <v>51</v>
      </c>
      <c r="AJ1947" s="4">
        <v>5</v>
      </c>
      <c r="AK1947" s="4">
        <v>6</v>
      </c>
      <c r="AL1947" s="4">
        <v>26</v>
      </c>
      <c r="AM1947" s="4">
        <v>26</v>
      </c>
      <c r="AN1947" s="4">
        <v>0</v>
      </c>
      <c r="AO1947" s="4">
        <v>0</v>
      </c>
      <c r="AP1947" s="4">
        <v>6</v>
      </c>
      <c r="AQ1947" s="4">
        <v>6</v>
      </c>
      <c r="AR1947" s="3" t="s">
        <v>64</v>
      </c>
      <c r="AS1947" s="3" t="s">
        <v>64</v>
      </c>
      <c r="AT1947" s="3" t="s">
        <v>64</v>
      </c>
      <c r="AV1947" s="6" t="str">
        <f>HYPERLINK("http://mcgill.on.worldcat.org/oclc/34150097","Catalog Record")</f>
        <v>Catalog Record</v>
      </c>
      <c r="AW1947" s="6" t="str">
        <f>HYPERLINK("http://www.worldcat.org/oclc/34150097","WorldCat Record")</f>
        <v>WorldCat Record</v>
      </c>
      <c r="AX1947" s="3" t="s">
        <v>19785</v>
      </c>
      <c r="AY1947" s="3" t="s">
        <v>19786</v>
      </c>
      <c r="AZ1947" s="3" t="s">
        <v>19787</v>
      </c>
      <c r="BA1947" s="3" t="s">
        <v>19787</v>
      </c>
      <c r="BB1947" s="3" t="s">
        <v>19788</v>
      </c>
      <c r="BC1947" s="3" t="s">
        <v>77</v>
      </c>
      <c r="BD1947" s="3" t="s">
        <v>78</v>
      </c>
      <c r="BE1947" s="3" t="s">
        <v>19789</v>
      </c>
      <c r="BF1947" s="3" t="s">
        <v>19788</v>
      </c>
      <c r="BG1947" s="3" t="s">
        <v>19790</v>
      </c>
      <c r="BH1947">
        <f t="shared" si="52"/>
        <v>0</v>
      </c>
    </row>
    <row r="1948" spans="1:60" ht="58" x14ac:dyDescent="0.35">
      <c r="A1948" s="2" t="s">
        <v>59</v>
      </c>
      <c r="B1948" s="2" t="s">
        <v>60</v>
      </c>
      <c r="C1948" s="2" t="s">
        <v>19791</v>
      </c>
      <c r="D1948" s="2" t="s">
        <v>19792</v>
      </c>
      <c r="E1948" s="2" t="s">
        <v>19793</v>
      </c>
      <c r="G1948" s="3" t="s">
        <v>64</v>
      </c>
      <c r="I1948" s="3" t="s">
        <v>64</v>
      </c>
      <c r="J1948" s="3" t="s">
        <v>64</v>
      </c>
      <c r="K1948" s="3" t="s">
        <v>65</v>
      </c>
      <c r="L1948" s="2" t="s">
        <v>19794</v>
      </c>
      <c r="M1948" s="2" t="s">
        <v>19592</v>
      </c>
      <c r="N1948" s="3" t="s">
        <v>86</v>
      </c>
      <c r="P1948" s="3" t="s">
        <v>102</v>
      </c>
      <c r="Q1948" s="2" t="s">
        <v>8981</v>
      </c>
      <c r="R1948" s="3" t="s">
        <v>70</v>
      </c>
      <c r="S1948" s="4">
        <v>0</v>
      </c>
      <c r="T1948" s="4">
        <v>0</v>
      </c>
      <c r="W1948" s="5" t="s">
        <v>72</v>
      </c>
      <c r="X1948" s="5" t="s">
        <v>72</v>
      </c>
      <c r="Y1948" s="4">
        <v>88</v>
      </c>
      <c r="Z1948" s="4">
        <v>11</v>
      </c>
      <c r="AA1948" s="4">
        <v>27</v>
      </c>
      <c r="AB1948" s="4">
        <v>1</v>
      </c>
      <c r="AC1948" s="4">
        <v>7</v>
      </c>
      <c r="AD1948" s="4">
        <v>28</v>
      </c>
      <c r="AE1948" s="4">
        <v>59</v>
      </c>
      <c r="AF1948" s="4">
        <v>0</v>
      </c>
      <c r="AG1948" s="4">
        <v>3</v>
      </c>
      <c r="AH1948" s="4">
        <v>25</v>
      </c>
      <c r="AI1948" s="4">
        <v>48</v>
      </c>
      <c r="AJ1948" s="4">
        <v>6</v>
      </c>
      <c r="AK1948" s="4">
        <v>12</v>
      </c>
      <c r="AL1948" s="4">
        <v>18</v>
      </c>
      <c r="AM1948" s="4">
        <v>27</v>
      </c>
      <c r="AN1948" s="4">
        <v>0</v>
      </c>
      <c r="AO1948" s="4">
        <v>0</v>
      </c>
      <c r="AP1948" s="4">
        <v>7</v>
      </c>
      <c r="AQ1948" s="4">
        <v>14</v>
      </c>
      <c r="AR1948" s="3" t="s">
        <v>64</v>
      </c>
      <c r="AS1948" s="3" t="s">
        <v>64</v>
      </c>
      <c r="AT1948" s="3" t="s">
        <v>64</v>
      </c>
      <c r="AV1948" s="6" t="str">
        <f>HYPERLINK("http://mcgill.on.worldcat.org/oclc/793217365","Catalog Record")</f>
        <v>Catalog Record</v>
      </c>
      <c r="AW1948" s="6" t="str">
        <f>HYPERLINK("http://www.worldcat.org/oclc/793217365","WorldCat Record")</f>
        <v>WorldCat Record</v>
      </c>
      <c r="AX1948" s="3" t="s">
        <v>19795</v>
      </c>
      <c r="AY1948" s="3" t="s">
        <v>19796</v>
      </c>
      <c r="AZ1948" s="3" t="s">
        <v>19797</v>
      </c>
      <c r="BA1948" s="3" t="s">
        <v>19797</v>
      </c>
      <c r="BB1948" s="3" t="s">
        <v>19798</v>
      </c>
      <c r="BC1948" s="3" t="s">
        <v>77</v>
      </c>
      <c r="BD1948" s="3" t="s">
        <v>78</v>
      </c>
      <c r="BE1948" s="3" t="s">
        <v>19799</v>
      </c>
      <c r="BF1948" s="3" t="s">
        <v>19798</v>
      </c>
      <c r="BG1948" s="3" t="s">
        <v>19800</v>
      </c>
      <c r="BH1948">
        <f t="shared" si="52"/>
        <v>0</v>
      </c>
    </row>
    <row r="1949" spans="1:60" ht="58" x14ac:dyDescent="0.35">
      <c r="A1949" s="2" t="s">
        <v>59</v>
      </c>
      <c r="B1949" s="2" t="s">
        <v>60</v>
      </c>
      <c r="C1949" s="2" t="s">
        <v>19801</v>
      </c>
      <c r="D1949" s="2" t="s">
        <v>19802</v>
      </c>
      <c r="E1949" s="2" t="s">
        <v>19803</v>
      </c>
      <c r="F1949" s="3" t="s">
        <v>19804</v>
      </c>
      <c r="G1949" s="3" t="s">
        <v>64</v>
      </c>
      <c r="I1949" s="3" t="s">
        <v>64</v>
      </c>
      <c r="J1949" s="3" t="s">
        <v>64</v>
      </c>
      <c r="K1949" s="3" t="s">
        <v>65</v>
      </c>
      <c r="L1949" s="2" t="s">
        <v>19805</v>
      </c>
      <c r="M1949" s="2" t="s">
        <v>19806</v>
      </c>
      <c r="N1949" s="3" t="s">
        <v>1275</v>
      </c>
      <c r="P1949" s="3" t="s">
        <v>102</v>
      </c>
      <c r="R1949" s="3" t="s">
        <v>70</v>
      </c>
      <c r="S1949" s="4">
        <v>7</v>
      </c>
      <c r="T1949" s="4">
        <v>7</v>
      </c>
      <c r="U1949" s="5" t="s">
        <v>14365</v>
      </c>
      <c r="V1949" s="5" t="s">
        <v>14365</v>
      </c>
      <c r="W1949" s="5" t="s">
        <v>72</v>
      </c>
      <c r="X1949" s="5" t="s">
        <v>72</v>
      </c>
      <c r="Y1949" s="4">
        <v>169</v>
      </c>
      <c r="Z1949" s="4">
        <v>10</v>
      </c>
      <c r="AA1949" s="4">
        <v>11</v>
      </c>
      <c r="AB1949" s="4">
        <v>1</v>
      </c>
      <c r="AC1949" s="4">
        <v>1</v>
      </c>
      <c r="AD1949" s="4">
        <v>22</v>
      </c>
      <c r="AE1949" s="4">
        <v>22</v>
      </c>
      <c r="AF1949" s="4">
        <v>0</v>
      </c>
      <c r="AG1949" s="4">
        <v>0</v>
      </c>
      <c r="AH1949" s="4">
        <v>22</v>
      </c>
      <c r="AI1949" s="4">
        <v>22</v>
      </c>
      <c r="AJ1949" s="4">
        <v>4</v>
      </c>
      <c r="AK1949" s="4">
        <v>4</v>
      </c>
      <c r="AL1949" s="4">
        <v>8</v>
      </c>
      <c r="AM1949" s="4">
        <v>8</v>
      </c>
      <c r="AN1949" s="4">
        <v>0</v>
      </c>
      <c r="AO1949" s="4">
        <v>0</v>
      </c>
      <c r="AP1949" s="4">
        <v>4</v>
      </c>
      <c r="AQ1949" s="4">
        <v>4</v>
      </c>
      <c r="AR1949" s="3" t="s">
        <v>64</v>
      </c>
      <c r="AS1949" s="3" t="s">
        <v>64</v>
      </c>
      <c r="AT1949" s="3" t="s">
        <v>64</v>
      </c>
      <c r="AV1949" s="6" t="str">
        <f>HYPERLINK("http://mcgill.on.worldcat.org/oclc/54001660","Catalog Record")</f>
        <v>Catalog Record</v>
      </c>
      <c r="AW1949" s="6" t="str">
        <f>HYPERLINK("http://www.worldcat.org/oclc/54001660","WorldCat Record")</f>
        <v>WorldCat Record</v>
      </c>
      <c r="AX1949" s="3" t="s">
        <v>19807</v>
      </c>
      <c r="AY1949" s="3" t="s">
        <v>19808</v>
      </c>
      <c r="AZ1949" s="3" t="s">
        <v>19809</v>
      </c>
      <c r="BA1949" s="3" t="s">
        <v>19809</v>
      </c>
      <c r="BB1949" s="3" t="s">
        <v>19810</v>
      </c>
      <c r="BC1949" s="3" t="s">
        <v>77</v>
      </c>
      <c r="BD1949" s="3" t="s">
        <v>78</v>
      </c>
      <c r="BE1949" s="3" t="s">
        <v>19811</v>
      </c>
      <c r="BF1949" s="3" t="s">
        <v>19810</v>
      </c>
      <c r="BG1949" s="3" t="s">
        <v>19812</v>
      </c>
      <c r="BH1949">
        <f t="shared" si="52"/>
        <v>0</v>
      </c>
    </row>
    <row r="1950" spans="1:60" ht="58" x14ac:dyDescent="0.35">
      <c r="A1950" s="2" t="s">
        <v>59</v>
      </c>
      <c r="B1950" s="2" t="s">
        <v>60</v>
      </c>
      <c r="C1950" s="2" t="s">
        <v>19813</v>
      </c>
      <c r="D1950" s="2" t="s">
        <v>19814</v>
      </c>
      <c r="E1950" s="2" t="s">
        <v>19815</v>
      </c>
      <c r="G1950" s="3" t="s">
        <v>64</v>
      </c>
      <c r="I1950" s="3" t="s">
        <v>64</v>
      </c>
      <c r="J1950" s="3" t="s">
        <v>64</v>
      </c>
      <c r="K1950" s="3" t="s">
        <v>65</v>
      </c>
      <c r="L1950" s="2" t="s">
        <v>19816</v>
      </c>
      <c r="M1950" s="2" t="s">
        <v>19817</v>
      </c>
      <c r="N1950" s="3" t="s">
        <v>253</v>
      </c>
      <c r="P1950" s="3" t="s">
        <v>102</v>
      </c>
      <c r="R1950" s="3" t="s">
        <v>70</v>
      </c>
      <c r="S1950" s="4">
        <v>0</v>
      </c>
      <c r="T1950" s="4">
        <v>0</v>
      </c>
      <c r="W1950" s="5" t="s">
        <v>72</v>
      </c>
      <c r="X1950" s="5" t="s">
        <v>72</v>
      </c>
      <c r="Y1950" s="4">
        <v>440</v>
      </c>
      <c r="Z1950" s="4">
        <v>16</v>
      </c>
      <c r="AA1950" s="4">
        <v>111</v>
      </c>
      <c r="AB1950" s="4">
        <v>1</v>
      </c>
      <c r="AC1950" s="4">
        <v>15</v>
      </c>
      <c r="AD1950" s="4">
        <v>49</v>
      </c>
      <c r="AE1950" s="4">
        <v>122</v>
      </c>
      <c r="AF1950" s="4">
        <v>0</v>
      </c>
      <c r="AG1950" s="4">
        <v>8</v>
      </c>
      <c r="AH1950" s="4">
        <v>46</v>
      </c>
      <c r="AI1950" s="4">
        <v>84</v>
      </c>
      <c r="AJ1950" s="4">
        <v>3</v>
      </c>
      <c r="AK1950" s="4">
        <v>21</v>
      </c>
      <c r="AL1950" s="4">
        <v>21</v>
      </c>
      <c r="AM1950" s="4">
        <v>41</v>
      </c>
      <c r="AN1950" s="4">
        <v>0</v>
      </c>
      <c r="AO1950" s="4">
        <v>0</v>
      </c>
      <c r="AP1950" s="4">
        <v>3</v>
      </c>
      <c r="AQ1950" s="4">
        <v>42</v>
      </c>
      <c r="AR1950" s="3" t="s">
        <v>64</v>
      </c>
      <c r="AS1950" s="3" t="s">
        <v>64</v>
      </c>
      <c r="AT1950" s="3" t="s">
        <v>64</v>
      </c>
      <c r="AV1950" s="6" t="str">
        <f>HYPERLINK("http://mcgill.on.worldcat.org/oclc/903473536","Catalog Record")</f>
        <v>Catalog Record</v>
      </c>
      <c r="AW1950" s="6" t="str">
        <f>HYPERLINK("http://www.worldcat.org/oclc/903473536","WorldCat Record")</f>
        <v>WorldCat Record</v>
      </c>
      <c r="AX1950" s="3" t="s">
        <v>19818</v>
      </c>
      <c r="AY1950" s="3" t="s">
        <v>19819</v>
      </c>
      <c r="AZ1950" s="3" t="s">
        <v>19820</v>
      </c>
      <c r="BA1950" s="3" t="s">
        <v>19820</v>
      </c>
      <c r="BB1950" s="3" t="s">
        <v>19821</v>
      </c>
      <c r="BC1950" s="3" t="s">
        <v>77</v>
      </c>
      <c r="BD1950" s="3" t="s">
        <v>78</v>
      </c>
      <c r="BE1950" s="3" t="s">
        <v>19822</v>
      </c>
      <c r="BF1950" s="3" t="s">
        <v>19821</v>
      </c>
      <c r="BG1950" s="3" t="s">
        <v>19823</v>
      </c>
      <c r="BH1950">
        <f t="shared" si="52"/>
        <v>0</v>
      </c>
    </row>
    <row r="1951" spans="1:60" ht="58" x14ac:dyDescent="0.35">
      <c r="A1951" s="2" t="s">
        <v>59</v>
      </c>
      <c r="B1951" s="2" t="s">
        <v>60</v>
      </c>
      <c r="C1951" s="2" t="s">
        <v>19824</v>
      </c>
      <c r="D1951" s="2" t="s">
        <v>19825</v>
      </c>
      <c r="E1951" s="2" t="s">
        <v>19826</v>
      </c>
      <c r="G1951" s="3" t="s">
        <v>64</v>
      </c>
      <c r="I1951" s="3" t="s">
        <v>64</v>
      </c>
      <c r="J1951" s="3" t="s">
        <v>64</v>
      </c>
      <c r="K1951" s="3" t="s">
        <v>65</v>
      </c>
      <c r="M1951" s="2" t="s">
        <v>4095</v>
      </c>
      <c r="N1951" s="3" t="s">
        <v>253</v>
      </c>
      <c r="P1951" s="3" t="s">
        <v>102</v>
      </c>
      <c r="R1951" s="3" t="s">
        <v>70</v>
      </c>
      <c r="S1951" s="4">
        <v>50</v>
      </c>
      <c r="T1951" s="4">
        <v>50</v>
      </c>
      <c r="U1951" s="5" t="s">
        <v>3344</v>
      </c>
      <c r="V1951" s="5" t="s">
        <v>3344</v>
      </c>
      <c r="W1951" s="5" t="s">
        <v>72</v>
      </c>
      <c r="X1951" s="5" t="s">
        <v>72</v>
      </c>
      <c r="Y1951" s="4">
        <v>154</v>
      </c>
      <c r="Z1951" s="4">
        <v>8</v>
      </c>
      <c r="AA1951" s="4">
        <v>17</v>
      </c>
      <c r="AB1951" s="4">
        <v>1</v>
      </c>
      <c r="AC1951" s="4">
        <v>5</v>
      </c>
      <c r="AD1951" s="4">
        <v>19</v>
      </c>
      <c r="AE1951" s="4">
        <v>44</v>
      </c>
      <c r="AF1951" s="4">
        <v>0</v>
      </c>
      <c r="AG1951" s="4">
        <v>1</v>
      </c>
      <c r="AH1951" s="4">
        <v>18</v>
      </c>
      <c r="AI1951" s="4">
        <v>39</v>
      </c>
      <c r="AJ1951" s="4">
        <v>4</v>
      </c>
      <c r="AK1951" s="4">
        <v>7</v>
      </c>
      <c r="AL1951" s="4">
        <v>9</v>
      </c>
      <c r="AM1951" s="4">
        <v>23</v>
      </c>
      <c r="AN1951" s="4">
        <v>0</v>
      </c>
      <c r="AO1951" s="4">
        <v>0</v>
      </c>
      <c r="AP1951" s="4">
        <v>3</v>
      </c>
      <c r="AQ1951" s="4">
        <v>7</v>
      </c>
      <c r="AR1951" s="3" t="s">
        <v>64</v>
      </c>
      <c r="AS1951" s="3" t="s">
        <v>64</v>
      </c>
      <c r="AT1951" s="3" t="s">
        <v>64</v>
      </c>
      <c r="AV1951" s="6" t="str">
        <f>HYPERLINK("http://mcgill.on.worldcat.org/oclc/898161627","Catalog Record")</f>
        <v>Catalog Record</v>
      </c>
      <c r="AW1951" s="6" t="str">
        <f>HYPERLINK("http://www.worldcat.org/oclc/898161627","WorldCat Record")</f>
        <v>WorldCat Record</v>
      </c>
      <c r="AX1951" s="3" t="s">
        <v>19827</v>
      </c>
      <c r="AY1951" s="3" t="s">
        <v>19828</v>
      </c>
      <c r="AZ1951" s="3" t="s">
        <v>19829</v>
      </c>
      <c r="BA1951" s="3" t="s">
        <v>19829</v>
      </c>
      <c r="BB1951" s="3" t="s">
        <v>19830</v>
      </c>
      <c r="BC1951" s="3" t="s">
        <v>77</v>
      </c>
      <c r="BD1951" s="3" t="s">
        <v>78</v>
      </c>
      <c r="BE1951" s="3" t="s">
        <v>19831</v>
      </c>
      <c r="BF1951" s="3" t="s">
        <v>19830</v>
      </c>
      <c r="BG1951" s="3" t="s">
        <v>19832</v>
      </c>
      <c r="BH1951">
        <f t="shared" si="52"/>
        <v>0</v>
      </c>
    </row>
    <row r="1952" spans="1:60" ht="58" x14ac:dyDescent="0.35">
      <c r="A1952" s="2" t="s">
        <v>59</v>
      </c>
      <c r="B1952" s="2" t="s">
        <v>60</v>
      </c>
      <c r="C1952" s="2" t="s">
        <v>19833</v>
      </c>
      <c r="D1952" s="2" t="s">
        <v>19834</v>
      </c>
      <c r="E1952" s="2" t="s">
        <v>19835</v>
      </c>
      <c r="G1952" s="3" t="s">
        <v>64</v>
      </c>
      <c r="I1952" s="3" t="s">
        <v>64</v>
      </c>
      <c r="J1952" s="3" t="s">
        <v>64</v>
      </c>
      <c r="K1952" s="3" t="s">
        <v>65</v>
      </c>
      <c r="L1952" s="2" t="s">
        <v>19836</v>
      </c>
      <c r="M1952" s="2" t="s">
        <v>19837</v>
      </c>
      <c r="N1952" s="3" t="s">
        <v>898</v>
      </c>
      <c r="P1952" s="3" t="s">
        <v>102</v>
      </c>
      <c r="Q1952" s="2" t="s">
        <v>19838</v>
      </c>
      <c r="R1952" s="3" t="s">
        <v>70</v>
      </c>
      <c r="S1952" s="4">
        <v>2</v>
      </c>
      <c r="T1952" s="4">
        <v>2</v>
      </c>
      <c r="U1952" s="5" t="s">
        <v>18573</v>
      </c>
      <c r="V1952" s="5" t="s">
        <v>18573</v>
      </c>
      <c r="W1952" s="5" t="s">
        <v>72</v>
      </c>
      <c r="X1952" s="5" t="s">
        <v>72</v>
      </c>
      <c r="Y1952" s="4">
        <v>256</v>
      </c>
      <c r="Z1952" s="4">
        <v>17</v>
      </c>
      <c r="AA1952" s="4">
        <v>19</v>
      </c>
      <c r="AB1952" s="4">
        <v>3</v>
      </c>
      <c r="AC1952" s="4">
        <v>5</v>
      </c>
      <c r="AD1952" s="4">
        <v>91</v>
      </c>
      <c r="AE1952" s="4">
        <v>93</v>
      </c>
      <c r="AF1952" s="4">
        <v>1</v>
      </c>
      <c r="AG1952" s="4">
        <v>3</v>
      </c>
      <c r="AH1952" s="4">
        <v>83</v>
      </c>
      <c r="AI1952" s="4">
        <v>83</v>
      </c>
      <c r="AJ1952" s="4">
        <v>11</v>
      </c>
      <c r="AK1952" s="4">
        <v>13</v>
      </c>
      <c r="AL1952" s="4">
        <v>46</v>
      </c>
      <c r="AM1952" s="4">
        <v>46</v>
      </c>
      <c r="AN1952" s="4">
        <v>0</v>
      </c>
      <c r="AO1952" s="4">
        <v>0</v>
      </c>
      <c r="AP1952" s="4">
        <v>11</v>
      </c>
      <c r="AQ1952" s="4">
        <v>12</v>
      </c>
      <c r="AR1952" s="3" t="s">
        <v>64</v>
      </c>
      <c r="AS1952" s="3" t="s">
        <v>64</v>
      </c>
      <c r="AT1952" s="3" t="s">
        <v>128</v>
      </c>
      <c r="AU1952" s="6" t="str">
        <f>HYPERLINK("http://catalog.hathitrust.org/Record/000304926","HathiTrust Record")</f>
        <v>HathiTrust Record</v>
      </c>
      <c r="AV1952" s="6" t="str">
        <f>HYPERLINK("http://mcgill.on.worldcat.org/oclc/6762984","Catalog Record")</f>
        <v>Catalog Record</v>
      </c>
      <c r="AW1952" s="6" t="str">
        <f>HYPERLINK("http://www.worldcat.org/oclc/6762984","WorldCat Record")</f>
        <v>WorldCat Record</v>
      </c>
      <c r="AX1952" s="3" t="s">
        <v>19839</v>
      </c>
      <c r="AY1952" s="3" t="s">
        <v>19840</v>
      </c>
      <c r="AZ1952" s="3" t="s">
        <v>19841</v>
      </c>
      <c r="BA1952" s="3" t="s">
        <v>19841</v>
      </c>
      <c r="BB1952" s="3" t="s">
        <v>19842</v>
      </c>
      <c r="BC1952" s="3" t="s">
        <v>77</v>
      </c>
      <c r="BD1952" s="3" t="s">
        <v>78</v>
      </c>
      <c r="BE1952" s="3" t="s">
        <v>19843</v>
      </c>
      <c r="BF1952" s="3" t="s">
        <v>19842</v>
      </c>
      <c r="BG1952" s="3" t="s">
        <v>19844</v>
      </c>
      <c r="BH1952">
        <f t="shared" si="52"/>
        <v>0</v>
      </c>
    </row>
    <row r="1953" spans="1:60" ht="58" x14ac:dyDescent="0.35">
      <c r="A1953" s="2" t="s">
        <v>59</v>
      </c>
      <c r="B1953" s="2" t="s">
        <v>60</v>
      </c>
      <c r="C1953" s="2" t="s">
        <v>19845</v>
      </c>
      <c r="D1953" s="2" t="s">
        <v>19846</v>
      </c>
      <c r="E1953" s="2" t="s">
        <v>19847</v>
      </c>
      <c r="G1953" s="3" t="s">
        <v>64</v>
      </c>
      <c r="I1953" s="3" t="s">
        <v>64</v>
      </c>
      <c r="J1953" s="3" t="s">
        <v>64</v>
      </c>
      <c r="K1953" s="3" t="s">
        <v>65</v>
      </c>
      <c r="M1953" s="2" t="s">
        <v>19848</v>
      </c>
      <c r="N1953" s="3" t="s">
        <v>67</v>
      </c>
      <c r="P1953" s="3" t="s">
        <v>102</v>
      </c>
      <c r="R1953" s="3" t="s">
        <v>70</v>
      </c>
      <c r="S1953" s="4">
        <v>1</v>
      </c>
      <c r="T1953" s="4">
        <v>1</v>
      </c>
      <c r="U1953" s="5" t="s">
        <v>19679</v>
      </c>
      <c r="V1953" s="5" t="s">
        <v>19679</v>
      </c>
      <c r="W1953" s="5" t="s">
        <v>72</v>
      </c>
      <c r="X1953" s="5" t="s">
        <v>72</v>
      </c>
      <c r="Y1953" s="4">
        <v>521</v>
      </c>
      <c r="Z1953" s="4">
        <v>32</v>
      </c>
      <c r="AA1953" s="4">
        <v>35</v>
      </c>
      <c r="AB1953" s="4">
        <v>1</v>
      </c>
      <c r="AC1953" s="4">
        <v>4</v>
      </c>
      <c r="AD1953" s="4">
        <v>82</v>
      </c>
      <c r="AE1953" s="4">
        <v>83</v>
      </c>
      <c r="AF1953" s="4">
        <v>0</v>
      </c>
      <c r="AG1953" s="4">
        <v>1</v>
      </c>
      <c r="AH1953" s="4">
        <v>71</v>
      </c>
      <c r="AI1953" s="4">
        <v>71</v>
      </c>
      <c r="AJ1953" s="4">
        <v>12</v>
      </c>
      <c r="AK1953" s="4">
        <v>13</v>
      </c>
      <c r="AL1953" s="4">
        <v>38</v>
      </c>
      <c r="AM1953" s="4">
        <v>38</v>
      </c>
      <c r="AN1953" s="4">
        <v>0</v>
      </c>
      <c r="AO1953" s="4">
        <v>0</v>
      </c>
      <c r="AP1953" s="4">
        <v>15</v>
      </c>
      <c r="AQ1953" s="4">
        <v>15</v>
      </c>
      <c r="AR1953" s="3" t="s">
        <v>64</v>
      </c>
      <c r="AS1953" s="3" t="s">
        <v>64</v>
      </c>
      <c r="AT1953" s="3" t="s">
        <v>64</v>
      </c>
      <c r="AV1953" s="6" t="str">
        <f>HYPERLINK("http://mcgill.on.worldcat.org/oclc/872381775","Catalog Record")</f>
        <v>Catalog Record</v>
      </c>
      <c r="AW1953" s="6" t="str">
        <f>HYPERLINK("http://www.worldcat.org/oclc/872381775","WorldCat Record")</f>
        <v>WorldCat Record</v>
      </c>
      <c r="AX1953" s="3" t="s">
        <v>19849</v>
      </c>
      <c r="AY1953" s="3" t="s">
        <v>19850</v>
      </c>
      <c r="AZ1953" s="3" t="s">
        <v>19851</v>
      </c>
      <c r="BA1953" s="3" t="s">
        <v>19851</v>
      </c>
      <c r="BB1953" s="3" t="s">
        <v>19852</v>
      </c>
      <c r="BC1953" s="3" t="s">
        <v>77</v>
      </c>
      <c r="BD1953" s="3" t="s">
        <v>78</v>
      </c>
      <c r="BE1953" s="3" t="s">
        <v>19853</v>
      </c>
      <c r="BF1953" s="3" t="s">
        <v>19852</v>
      </c>
      <c r="BG1953" s="3" t="s">
        <v>19854</v>
      </c>
      <c r="BH1953">
        <f t="shared" si="52"/>
        <v>0</v>
      </c>
    </row>
    <row r="1954" spans="1:60" ht="58" x14ac:dyDescent="0.35">
      <c r="A1954" s="2" t="s">
        <v>59</v>
      </c>
      <c r="B1954" s="2" t="s">
        <v>60</v>
      </c>
      <c r="C1954" s="2" t="s">
        <v>19855</v>
      </c>
      <c r="D1954" s="2" t="s">
        <v>19856</v>
      </c>
      <c r="E1954" s="2" t="s">
        <v>19857</v>
      </c>
      <c r="G1954" s="3" t="s">
        <v>64</v>
      </c>
      <c r="I1954" s="3" t="s">
        <v>64</v>
      </c>
      <c r="J1954" s="3" t="s">
        <v>64</v>
      </c>
      <c r="K1954" s="3" t="s">
        <v>65</v>
      </c>
      <c r="M1954" s="2" t="s">
        <v>14772</v>
      </c>
      <c r="N1954" s="3" t="s">
        <v>1087</v>
      </c>
      <c r="P1954" s="3" t="s">
        <v>102</v>
      </c>
      <c r="R1954" s="3" t="s">
        <v>70</v>
      </c>
      <c r="S1954" s="4">
        <v>7</v>
      </c>
      <c r="T1954" s="4">
        <v>7</v>
      </c>
      <c r="U1954" s="5" t="s">
        <v>19060</v>
      </c>
      <c r="V1954" s="5" t="s">
        <v>19060</v>
      </c>
      <c r="W1954" s="5" t="s">
        <v>72</v>
      </c>
      <c r="X1954" s="5" t="s">
        <v>72</v>
      </c>
      <c r="Y1954" s="4">
        <v>444</v>
      </c>
      <c r="Z1954" s="4">
        <v>27</v>
      </c>
      <c r="AA1954" s="4">
        <v>29</v>
      </c>
      <c r="AB1954" s="4">
        <v>2</v>
      </c>
      <c r="AC1954" s="4">
        <v>4</v>
      </c>
      <c r="AD1954" s="4">
        <v>107</v>
      </c>
      <c r="AE1954" s="4">
        <v>109</v>
      </c>
      <c r="AF1954" s="4">
        <v>1</v>
      </c>
      <c r="AG1954" s="4">
        <v>3</v>
      </c>
      <c r="AH1954" s="4">
        <v>91</v>
      </c>
      <c r="AI1954" s="4">
        <v>91</v>
      </c>
      <c r="AJ1954" s="4">
        <v>17</v>
      </c>
      <c r="AK1954" s="4">
        <v>19</v>
      </c>
      <c r="AL1954" s="4">
        <v>49</v>
      </c>
      <c r="AM1954" s="4">
        <v>49</v>
      </c>
      <c r="AN1954" s="4">
        <v>0</v>
      </c>
      <c r="AO1954" s="4">
        <v>0</v>
      </c>
      <c r="AP1954" s="4">
        <v>20</v>
      </c>
      <c r="AQ1954" s="4">
        <v>21</v>
      </c>
      <c r="AR1954" s="3" t="s">
        <v>64</v>
      </c>
      <c r="AS1954" s="3" t="s">
        <v>64</v>
      </c>
      <c r="AT1954" s="3" t="s">
        <v>128</v>
      </c>
      <c r="AU1954" s="6" t="str">
        <f>HYPERLINK("http://catalog.hathitrust.org/Record/002501530","HathiTrust Record")</f>
        <v>HathiTrust Record</v>
      </c>
      <c r="AV1954" s="6" t="str">
        <f>HYPERLINK("http://mcgill.on.worldcat.org/oclc/24502813","Catalog Record")</f>
        <v>Catalog Record</v>
      </c>
      <c r="AW1954" s="6" t="str">
        <f>HYPERLINK("http://www.worldcat.org/oclc/24502813","WorldCat Record")</f>
        <v>WorldCat Record</v>
      </c>
      <c r="AX1954" s="3" t="s">
        <v>19858</v>
      </c>
      <c r="AY1954" s="3" t="s">
        <v>19859</v>
      </c>
      <c r="AZ1954" s="3" t="s">
        <v>19860</v>
      </c>
      <c r="BA1954" s="3" t="s">
        <v>19860</v>
      </c>
      <c r="BB1954" s="3" t="s">
        <v>19861</v>
      </c>
      <c r="BC1954" s="3" t="s">
        <v>77</v>
      </c>
      <c r="BD1954" s="3" t="s">
        <v>78</v>
      </c>
      <c r="BE1954" s="3" t="s">
        <v>19862</v>
      </c>
      <c r="BF1954" s="3" t="s">
        <v>19861</v>
      </c>
      <c r="BG1954" s="3" t="s">
        <v>19863</v>
      </c>
      <c r="BH1954">
        <f t="shared" si="52"/>
        <v>0</v>
      </c>
    </row>
    <row r="1955" spans="1:60" ht="58" x14ac:dyDescent="0.35">
      <c r="A1955" s="2" t="s">
        <v>59</v>
      </c>
      <c r="B1955" s="2" t="s">
        <v>60</v>
      </c>
      <c r="C1955" s="2" t="s">
        <v>19864</v>
      </c>
      <c r="D1955" s="2" t="s">
        <v>19865</v>
      </c>
      <c r="E1955" s="2" t="s">
        <v>19866</v>
      </c>
      <c r="G1955" s="3" t="s">
        <v>64</v>
      </c>
      <c r="I1955" s="3" t="s">
        <v>64</v>
      </c>
      <c r="J1955" s="3" t="s">
        <v>64</v>
      </c>
      <c r="K1955" s="3" t="s">
        <v>65</v>
      </c>
      <c r="M1955" s="2" t="s">
        <v>15640</v>
      </c>
      <c r="N1955" s="3" t="s">
        <v>253</v>
      </c>
      <c r="P1955" s="3" t="s">
        <v>102</v>
      </c>
      <c r="R1955" s="3" t="s">
        <v>70</v>
      </c>
      <c r="S1955" s="4">
        <v>8</v>
      </c>
      <c r="T1955" s="4">
        <v>8</v>
      </c>
      <c r="U1955" s="5" t="s">
        <v>423</v>
      </c>
      <c r="V1955" s="5" t="s">
        <v>423</v>
      </c>
      <c r="W1955" s="5" t="s">
        <v>72</v>
      </c>
      <c r="X1955" s="5" t="s">
        <v>72</v>
      </c>
      <c r="Y1955" s="4">
        <v>484</v>
      </c>
      <c r="Z1955" s="4">
        <v>23</v>
      </c>
      <c r="AA1955" s="4">
        <v>92</v>
      </c>
      <c r="AB1955" s="4">
        <v>1</v>
      </c>
      <c r="AC1955" s="4">
        <v>16</v>
      </c>
      <c r="AD1955" s="4">
        <v>59</v>
      </c>
      <c r="AE1955" s="4">
        <v>122</v>
      </c>
      <c r="AF1955" s="4">
        <v>0</v>
      </c>
      <c r="AG1955" s="4">
        <v>8</v>
      </c>
      <c r="AH1955" s="4">
        <v>56</v>
      </c>
      <c r="AI1955" s="4">
        <v>87</v>
      </c>
      <c r="AJ1955" s="4">
        <v>6</v>
      </c>
      <c r="AK1955" s="4">
        <v>20</v>
      </c>
      <c r="AL1955" s="4">
        <v>26</v>
      </c>
      <c r="AM1955" s="4">
        <v>44</v>
      </c>
      <c r="AN1955" s="4">
        <v>0</v>
      </c>
      <c r="AO1955" s="4">
        <v>0</v>
      </c>
      <c r="AP1955" s="4">
        <v>7</v>
      </c>
      <c r="AQ1955" s="4">
        <v>40</v>
      </c>
      <c r="AR1955" s="3" t="s">
        <v>64</v>
      </c>
      <c r="AS1955" s="3" t="s">
        <v>64</v>
      </c>
      <c r="AT1955" s="3" t="s">
        <v>64</v>
      </c>
      <c r="AV1955" s="6" t="str">
        <f>HYPERLINK("http://mcgill.on.worldcat.org/oclc/894201331","Catalog Record")</f>
        <v>Catalog Record</v>
      </c>
      <c r="AW1955" s="6" t="str">
        <f>HYPERLINK("http://www.worldcat.org/oclc/894201331","WorldCat Record")</f>
        <v>WorldCat Record</v>
      </c>
      <c r="AX1955" s="3" t="s">
        <v>19867</v>
      </c>
      <c r="AY1955" s="3" t="s">
        <v>19868</v>
      </c>
      <c r="AZ1955" s="3" t="s">
        <v>19869</v>
      </c>
      <c r="BA1955" s="3" t="s">
        <v>19869</v>
      </c>
      <c r="BB1955" s="3" t="s">
        <v>19870</v>
      </c>
      <c r="BC1955" s="3" t="s">
        <v>77</v>
      </c>
      <c r="BD1955" s="3" t="s">
        <v>78</v>
      </c>
      <c r="BE1955" s="3" t="s">
        <v>19871</v>
      </c>
      <c r="BF1955" s="3" t="s">
        <v>19870</v>
      </c>
      <c r="BG1955" s="3" t="s">
        <v>19872</v>
      </c>
      <c r="BH1955">
        <f t="shared" si="52"/>
        <v>0</v>
      </c>
    </row>
    <row r="1956" spans="1:60" ht="58" x14ac:dyDescent="0.35">
      <c r="A1956" s="2" t="s">
        <v>59</v>
      </c>
      <c r="B1956" s="2" t="s">
        <v>60</v>
      </c>
      <c r="C1956" s="2" t="s">
        <v>19873</v>
      </c>
      <c r="D1956" s="2" t="s">
        <v>19874</v>
      </c>
      <c r="E1956" s="2" t="s">
        <v>19875</v>
      </c>
      <c r="G1956" s="3" t="s">
        <v>64</v>
      </c>
      <c r="I1956" s="3" t="s">
        <v>64</v>
      </c>
      <c r="J1956" s="3" t="s">
        <v>64</v>
      </c>
      <c r="K1956" s="3" t="s">
        <v>65</v>
      </c>
      <c r="M1956" s="2" t="s">
        <v>19876</v>
      </c>
      <c r="N1956" s="3" t="s">
        <v>1075</v>
      </c>
      <c r="P1956" s="3" t="s">
        <v>102</v>
      </c>
      <c r="R1956" s="3" t="s">
        <v>70</v>
      </c>
      <c r="S1956" s="4">
        <v>2</v>
      </c>
      <c r="T1956" s="4">
        <v>2</v>
      </c>
      <c r="U1956" s="5" t="s">
        <v>19060</v>
      </c>
      <c r="V1956" s="5" t="s">
        <v>19060</v>
      </c>
      <c r="W1956" s="5" t="s">
        <v>72</v>
      </c>
      <c r="X1956" s="5" t="s">
        <v>72</v>
      </c>
      <c r="Y1956" s="4">
        <v>110</v>
      </c>
      <c r="Z1956" s="4">
        <v>9</v>
      </c>
      <c r="AA1956" s="4">
        <v>10</v>
      </c>
      <c r="AB1956" s="4">
        <v>1</v>
      </c>
      <c r="AC1956" s="4">
        <v>2</v>
      </c>
      <c r="AD1956" s="4">
        <v>41</v>
      </c>
      <c r="AE1956" s="4">
        <v>41</v>
      </c>
      <c r="AF1956" s="4">
        <v>0</v>
      </c>
      <c r="AG1956" s="4">
        <v>0</v>
      </c>
      <c r="AH1956" s="4">
        <v>40</v>
      </c>
      <c r="AI1956" s="4">
        <v>40</v>
      </c>
      <c r="AJ1956" s="4">
        <v>6</v>
      </c>
      <c r="AK1956" s="4">
        <v>6</v>
      </c>
      <c r="AL1956" s="4">
        <v>23</v>
      </c>
      <c r="AM1956" s="4">
        <v>23</v>
      </c>
      <c r="AN1956" s="4">
        <v>0</v>
      </c>
      <c r="AO1956" s="4">
        <v>0</v>
      </c>
      <c r="AP1956" s="4">
        <v>6</v>
      </c>
      <c r="AQ1956" s="4">
        <v>6</v>
      </c>
      <c r="AR1956" s="3" t="s">
        <v>64</v>
      </c>
      <c r="AS1956" s="3" t="s">
        <v>64</v>
      </c>
      <c r="AT1956" s="3" t="s">
        <v>64</v>
      </c>
      <c r="AV1956" s="6" t="str">
        <f>HYPERLINK("http://mcgill.on.worldcat.org/oclc/810111218","Catalog Record")</f>
        <v>Catalog Record</v>
      </c>
      <c r="AW1956" s="6" t="str">
        <f>HYPERLINK("http://www.worldcat.org/oclc/810111218","WorldCat Record")</f>
        <v>WorldCat Record</v>
      </c>
      <c r="AX1956" s="3" t="s">
        <v>19877</v>
      </c>
      <c r="AY1956" s="3" t="s">
        <v>19878</v>
      </c>
      <c r="AZ1956" s="3" t="s">
        <v>19879</v>
      </c>
      <c r="BA1956" s="3" t="s">
        <v>19879</v>
      </c>
      <c r="BB1956" s="3" t="s">
        <v>19880</v>
      </c>
      <c r="BC1956" s="3" t="s">
        <v>77</v>
      </c>
      <c r="BD1956" s="3" t="s">
        <v>78</v>
      </c>
      <c r="BE1956" s="3" t="s">
        <v>19881</v>
      </c>
      <c r="BF1956" s="3" t="s">
        <v>19880</v>
      </c>
      <c r="BG1956" s="3" t="s">
        <v>19882</v>
      </c>
      <c r="BH1956">
        <f t="shared" si="52"/>
        <v>0</v>
      </c>
    </row>
    <row r="1957" spans="1:60" ht="58" x14ac:dyDescent="0.35">
      <c r="A1957" s="2" t="s">
        <v>59</v>
      </c>
      <c r="B1957" s="2" t="s">
        <v>60</v>
      </c>
      <c r="C1957" s="2" t="s">
        <v>19883</v>
      </c>
      <c r="D1957" s="2" t="s">
        <v>19884</v>
      </c>
      <c r="E1957" s="2" t="s">
        <v>19885</v>
      </c>
      <c r="G1957" s="3" t="s">
        <v>64</v>
      </c>
      <c r="I1957" s="3" t="s">
        <v>64</v>
      </c>
      <c r="J1957" s="3" t="s">
        <v>64</v>
      </c>
      <c r="K1957" s="3" t="s">
        <v>65</v>
      </c>
      <c r="M1957" s="2" t="s">
        <v>16911</v>
      </c>
      <c r="N1957" s="3" t="s">
        <v>1075</v>
      </c>
      <c r="P1957" s="3" t="s">
        <v>102</v>
      </c>
      <c r="R1957" s="3" t="s">
        <v>70</v>
      </c>
      <c r="S1957" s="4">
        <v>4</v>
      </c>
      <c r="T1957" s="4">
        <v>4</v>
      </c>
      <c r="U1957" s="5" t="s">
        <v>19060</v>
      </c>
      <c r="V1957" s="5" t="s">
        <v>19060</v>
      </c>
      <c r="W1957" s="5" t="s">
        <v>72</v>
      </c>
      <c r="X1957" s="5" t="s">
        <v>72</v>
      </c>
      <c r="Y1957" s="4">
        <v>352</v>
      </c>
      <c r="Z1957" s="4">
        <v>19</v>
      </c>
      <c r="AA1957" s="4">
        <v>118</v>
      </c>
      <c r="AB1957" s="4">
        <v>1</v>
      </c>
      <c r="AC1957" s="4">
        <v>16</v>
      </c>
      <c r="AD1957" s="4">
        <v>52</v>
      </c>
      <c r="AE1957" s="4">
        <v>124</v>
      </c>
      <c r="AF1957" s="4">
        <v>0</v>
      </c>
      <c r="AG1957" s="4">
        <v>8</v>
      </c>
      <c r="AH1957" s="4">
        <v>50</v>
      </c>
      <c r="AI1957" s="4">
        <v>85</v>
      </c>
      <c r="AJ1957" s="4">
        <v>6</v>
      </c>
      <c r="AK1957" s="4">
        <v>21</v>
      </c>
      <c r="AL1957" s="4">
        <v>22</v>
      </c>
      <c r="AM1957" s="4">
        <v>42</v>
      </c>
      <c r="AN1957" s="4">
        <v>0</v>
      </c>
      <c r="AO1957" s="4">
        <v>0</v>
      </c>
      <c r="AP1957" s="4">
        <v>7</v>
      </c>
      <c r="AQ1957" s="4">
        <v>44</v>
      </c>
      <c r="AR1957" s="3" t="s">
        <v>64</v>
      </c>
      <c r="AS1957" s="3" t="s">
        <v>64</v>
      </c>
      <c r="AT1957" s="3" t="s">
        <v>64</v>
      </c>
      <c r="AV1957" s="6" t="str">
        <f>HYPERLINK("http://mcgill.on.worldcat.org/oclc/820349440","Catalog Record")</f>
        <v>Catalog Record</v>
      </c>
      <c r="AW1957" s="6" t="str">
        <f>HYPERLINK("http://www.worldcat.org/oclc/820349440","WorldCat Record")</f>
        <v>WorldCat Record</v>
      </c>
      <c r="AX1957" s="3" t="s">
        <v>19886</v>
      </c>
      <c r="AY1957" s="3" t="s">
        <v>19887</v>
      </c>
      <c r="AZ1957" s="3" t="s">
        <v>19888</v>
      </c>
      <c r="BA1957" s="3" t="s">
        <v>19888</v>
      </c>
      <c r="BB1957" s="3" t="s">
        <v>19889</v>
      </c>
      <c r="BC1957" s="3" t="s">
        <v>77</v>
      </c>
      <c r="BD1957" s="3" t="s">
        <v>78</v>
      </c>
      <c r="BE1957" s="3" t="s">
        <v>19890</v>
      </c>
      <c r="BF1957" s="3" t="s">
        <v>19889</v>
      </c>
      <c r="BG1957" s="3" t="s">
        <v>19891</v>
      </c>
      <c r="BH1957">
        <f t="shared" si="52"/>
        <v>0</v>
      </c>
    </row>
    <row r="1958" spans="1:60" ht="58" x14ac:dyDescent="0.35">
      <c r="A1958" s="2" t="s">
        <v>59</v>
      </c>
      <c r="B1958" s="2" t="s">
        <v>60</v>
      </c>
      <c r="C1958" s="2" t="s">
        <v>19892</v>
      </c>
      <c r="D1958" s="2" t="s">
        <v>19893</v>
      </c>
      <c r="E1958" s="2" t="s">
        <v>19894</v>
      </c>
      <c r="F1958" s="3" t="s">
        <v>525</v>
      </c>
      <c r="G1958" s="3" t="s">
        <v>128</v>
      </c>
      <c r="I1958" s="3" t="s">
        <v>64</v>
      </c>
      <c r="J1958" s="3" t="s">
        <v>64</v>
      </c>
      <c r="K1958" s="3" t="s">
        <v>65</v>
      </c>
      <c r="M1958" s="2" t="s">
        <v>19895</v>
      </c>
      <c r="N1958" s="3" t="s">
        <v>874</v>
      </c>
      <c r="P1958" s="3" t="s">
        <v>102</v>
      </c>
      <c r="R1958" s="3" t="s">
        <v>70</v>
      </c>
      <c r="S1958" s="4">
        <v>0</v>
      </c>
      <c r="T1958" s="4">
        <v>3</v>
      </c>
      <c r="V1958" s="5" t="s">
        <v>19896</v>
      </c>
      <c r="W1958" s="5" t="s">
        <v>72</v>
      </c>
      <c r="X1958" s="5" t="s">
        <v>72</v>
      </c>
      <c r="Y1958" s="4">
        <v>9</v>
      </c>
      <c r="Z1958" s="4">
        <v>1</v>
      </c>
      <c r="AA1958" s="4">
        <v>12</v>
      </c>
      <c r="AB1958" s="4">
        <v>1</v>
      </c>
      <c r="AC1958" s="4">
        <v>2</v>
      </c>
      <c r="AD1958" s="4">
        <v>3</v>
      </c>
      <c r="AE1958" s="4">
        <v>52</v>
      </c>
      <c r="AF1958" s="4">
        <v>0</v>
      </c>
      <c r="AG1958" s="4">
        <v>1</v>
      </c>
      <c r="AH1958" s="4">
        <v>3</v>
      </c>
      <c r="AI1958" s="4">
        <v>48</v>
      </c>
      <c r="AJ1958" s="4">
        <v>0</v>
      </c>
      <c r="AK1958" s="4">
        <v>8</v>
      </c>
      <c r="AL1958" s="4">
        <v>1</v>
      </c>
      <c r="AM1958" s="4">
        <v>26</v>
      </c>
      <c r="AN1958" s="4">
        <v>0</v>
      </c>
      <c r="AO1958" s="4">
        <v>0</v>
      </c>
      <c r="AP1958" s="4">
        <v>0</v>
      </c>
      <c r="AQ1958" s="4">
        <v>6</v>
      </c>
      <c r="AR1958" s="3" t="s">
        <v>64</v>
      </c>
      <c r="AS1958" s="3" t="s">
        <v>64</v>
      </c>
      <c r="AT1958" s="3" t="s">
        <v>128</v>
      </c>
      <c r="AU1958" s="6" t="str">
        <f>HYPERLINK("http://catalog.hathitrust.org/Record/000146237","HathiTrust Record")</f>
        <v>HathiTrust Record</v>
      </c>
      <c r="AV1958" s="6" t="str">
        <f>HYPERLINK("http://mcgill.on.worldcat.org/oclc/427104440","Catalog Record")</f>
        <v>Catalog Record</v>
      </c>
      <c r="AW1958" s="6" t="str">
        <f>HYPERLINK("http://www.worldcat.org/oclc/427104440","WorldCat Record")</f>
        <v>WorldCat Record</v>
      </c>
      <c r="AX1958" s="3" t="s">
        <v>19897</v>
      </c>
      <c r="AY1958" s="3" t="s">
        <v>19898</v>
      </c>
      <c r="AZ1958" s="3" t="s">
        <v>19899</v>
      </c>
      <c r="BA1958" s="3" t="s">
        <v>19899</v>
      </c>
      <c r="BB1958" s="3" t="s">
        <v>19900</v>
      </c>
      <c r="BC1958" s="3" t="s">
        <v>77</v>
      </c>
      <c r="BD1958" s="3" t="s">
        <v>78</v>
      </c>
      <c r="BE1958" s="3" t="s">
        <v>19901</v>
      </c>
      <c r="BF1958" s="3" t="s">
        <v>19900</v>
      </c>
      <c r="BG1958" s="3" t="s">
        <v>19902</v>
      </c>
      <c r="BH1958">
        <f t="shared" si="52"/>
        <v>0</v>
      </c>
    </row>
    <row r="1959" spans="1:60" ht="58" x14ac:dyDescent="0.35">
      <c r="A1959" s="2" t="s">
        <v>59</v>
      </c>
      <c r="B1959" s="2" t="s">
        <v>60</v>
      </c>
      <c r="C1959" s="2" t="s">
        <v>19892</v>
      </c>
      <c r="D1959" s="2" t="s">
        <v>19893</v>
      </c>
      <c r="E1959" s="2" t="s">
        <v>19894</v>
      </c>
      <c r="F1959" s="3" t="s">
        <v>529</v>
      </c>
      <c r="G1959" s="3" t="s">
        <v>128</v>
      </c>
      <c r="I1959" s="3" t="s">
        <v>64</v>
      </c>
      <c r="J1959" s="3" t="s">
        <v>64</v>
      </c>
      <c r="K1959" s="3" t="s">
        <v>65</v>
      </c>
      <c r="M1959" s="2" t="s">
        <v>19895</v>
      </c>
      <c r="N1959" s="3" t="s">
        <v>874</v>
      </c>
      <c r="P1959" s="3" t="s">
        <v>102</v>
      </c>
      <c r="R1959" s="3" t="s">
        <v>70</v>
      </c>
      <c r="S1959" s="4">
        <v>3</v>
      </c>
      <c r="T1959" s="4">
        <v>3</v>
      </c>
      <c r="U1959" s="5" t="s">
        <v>19896</v>
      </c>
      <c r="V1959" s="5" t="s">
        <v>19896</v>
      </c>
      <c r="W1959" s="5" t="s">
        <v>72</v>
      </c>
      <c r="X1959" s="5" t="s">
        <v>72</v>
      </c>
      <c r="Y1959" s="4">
        <v>9</v>
      </c>
      <c r="Z1959" s="4">
        <v>1</v>
      </c>
      <c r="AA1959" s="4">
        <v>12</v>
      </c>
      <c r="AB1959" s="4">
        <v>1</v>
      </c>
      <c r="AC1959" s="4">
        <v>2</v>
      </c>
      <c r="AD1959" s="4">
        <v>3</v>
      </c>
      <c r="AE1959" s="4">
        <v>52</v>
      </c>
      <c r="AF1959" s="4">
        <v>0</v>
      </c>
      <c r="AG1959" s="4">
        <v>1</v>
      </c>
      <c r="AH1959" s="4">
        <v>3</v>
      </c>
      <c r="AI1959" s="4">
        <v>48</v>
      </c>
      <c r="AJ1959" s="4">
        <v>0</v>
      </c>
      <c r="AK1959" s="4">
        <v>8</v>
      </c>
      <c r="AL1959" s="4">
        <v>1</v>
      </c>
      <c r="AM1959" s="4">
        <v>26</v>
      </c>
      <c r="AN1959" s="4">
        <v>0</v>
      </c>
      <c r="AO1959" s="4">
        <v>0</v>
      </c>
      <c r="AP1959" s="4">
        <v>0</v>
      </c>
      <c r="AQ1959" s="4">
        <v>6</v>
      </c>
      <c r="AR1959" s="3" t="s">
        <v>64</v>
      </c>
      <c r="AS1959" s="3" t="s">
        <v>64</v>
      </c>
      <c r="AT1959" s="3" t="s">
        <v>128</v>
      </c>
      <c r="AU1959" s="6" t="str">
        <f>HYPERLINK("http://catalog.hathitrust.org/Record/000146237","HathiTrust Record")</f>
        <v>HathiTrust Record</v>
      </c>
      <c r="AV1959" s="6" t="str">
        <f>HYPERLINK("http://mcgill.on.worldcat.org/oclc/427104440","Catalog Record")</f>
        <v>Catalog Record</v>
      </c>
      <c r="AW1959" s="6" t="str">
        <f>HYPERLINK("http://www.worldcat.org/oclc/427104440","WorldCat Record")</f>
        <v>WorldCat Record</v>
      </c>
      <c r="AX1959" s="3" t="s">
        <v>19897</v>
      </c>
      <c r="AY1959" s="3" t="s">
        <v>19898</v>
      </c>
      <c r="AZ1959" s="3" t="s">
        <v>19899</v>
      </c>
      <c r="BA1959" s="3" t="s">
        <v>19899</v>
      </c>
      <c r="BB1959" s="3" t="s">
        <v>19903</v>
      </c>
      <c r="BC1959" s="3" t="s">
        <v>77</v>
      </c>
      <c r="BD1959" s="3" t="s">
        <v>78</v>
      </c>
      <c r="BE1959" s="3" t="s">
        <v>19901</v>
      </c>
      <c r="BF1959" s="3" t="s">
        <v>19903</v>
      </c>
      <c r="BG1959" s="3" t="s">
        <v>19904</v>
      </c>
      <c r="BH1959">
        <f t="shared" si="52"/>
        <v>0</v>
      </c>
    </row>
    <row r="1960" spans="1:60" ht="58" x14ac:dyDescent="0.35">
      <c r="A1960" s="2" t="s">
        <v>59</v>
      </c>
      <c r="B1960" s="2" t="s">
        <v>60</v>
      </c>
      <c r="C1960" s="2" t="s">
        <v>19905</v>
      </c>
      <c r="D1960" s="2" t="s">
        <v>19906</v>
      </c>
      <c r="E1960" s="2" t="s">
        <v>19907</v>
      </c>
      <c r="G1960" s="3" t="s">
        <v>64</v>
      </c>
      <c r="I1960" s="3" t="s">
        <v>64</v>
      </c>
      <c r="J1960" s="3" t="s">
        <v>64</v>
      </c>
      <c r="K1960" s="3" t="s">
        <v>65</v>
      </c>
      <c r="M1960" s="2" t="s">
        <v>14044</v>
      </c>
      <c r="N1960" s="3" t="s">
        <v>326</v>
      </c>
      <c r="P1960" s="3" t="s">
        <v>102</v>
      </c>
      <c r="Q1960" s="2" t="s">
        <v>14045</v>
      </c>
      <c r="R1960" s="3" t="s">
        <v>70</v>
      </c>
      <c r="S1960" s="4">
        <v>10</v>
      </c>
      <c r="T1960" s="4">
        <v>10</v>
      </c>
      <c r="U1960" s="5" t="s">
        <v>19908</v>
      </c>
      <c r="V1960" s="5" t="s">
        <v>19908</v>
      </c>
      <c r="W1960" s="5" t="s">
        <v>72</v>
      </c>
      <c r="X1960" s="5" t="s">
        <v>72</v>
      </c>
      <c r="Y1960" s="4">
        <v>449</v>
      </c>
      <c r="Z1960" s="4">
        <v>26</v>
      </c>
      <c r="AA1960" s="4">
        <v>97</v>
      </c>
      <c r="AB1960" s="4">
        <v>3</v>
      </c>
      <c r="AC1960" s="4">
        <v>16</v>
      </c>
      <c r="AD1960" s="4">
        <v>63</v>
      </c>
      <c r="AE1960" s="4">
        <v>117</v>
      </c>
      <c r="AF1960" s="4">
        <v>0</v>
      </c>
      <c r="AG1960" s="4">
        <v>8</v>
      </c>
      <c r="AH1960" s="4">
        <v>56</v>
      </c>
      <c r="AI1960" s="4">
        <v>82</v>
      </c>
      <c r="AJ1960" s="4">
        <v>8</v>
      </c>
      <c r="AK1960" s="4">
        <v>19</v>
      </c>
      <c r="AL1960" s="4">
        <v>30</v>
      </c>
      <c r="AM1960" s="4">
        <v>41</v>
      </c>
      <c r="AN1960" s="4">
        <v>0</v>
      </c>
      <c r="AO1960" s="4">
        <v>0</v>
      </c>
      <c r="AP1960" s="4">
        <v>12</v>
      </c>
      <c r="AQ1960" s="4">
        <v>41</v>
      </c>
      <c r="AR1960" s="3" t="s">
        <v>64</v>
      </c>
      <c r="AS1960" s="3" t="s">
        <v>64</v>
      </c>
      <c r="AT1960" s="3" t="s">
        <v>64</v>
      </c>
      <c r="AV1960" s="6" t="str">
        <f>HYPERLINK("http://mcgill.on.worldcat.org/oclc/704391665","Catalog Record")</f>
        <v>Catalog Record</v>
      </c>
      <c r="AW1960" s="6" t="str">
        <f>HYPERLINK("http://www.worldcat.org/oclc/704391665","WorldCat Record")</f>
        <v>WorldCat Record</v>
      </c>
      <c r="AX1960" s="3" t="s">
        <v>19909</v>
      </c>
      <c r="AY1960" s="3" t="s">
        <v>19910</v>
      </c>
      <c r="AZ1960" s="3" t="s">
        <v>19911</v>
      </c>
      <c r="BA1960" s="3" t="s">
        <v>19911</v>
      </c>
      <c r="BB1960" s="3" t="s">
        <v>19912</v>
      </c>
      <c r="BC1960" s="3" t="s">
        <v>77</v>
      </c>
      <c r="BD1960" s="3" t="s">
        <v>78</v>
      </c>
      <c r="BE1960" s="3" t="s">
        <v>19913</v>
      </c>
      <c r="BF1960" s="3" t="s">
        <v>19912</v>
      </c>
      <c r="BG1960" s="3" t="s">
        <v>19914</v>
      </c>
      <c r="BH1960">
        <f t="shared" si="52"/>
        <v>0</v>
      </c>
    </row>
    <row r="1961" spans="1:60" ht="58" x14ac:dyDescent="0.35">
      <c r="A1961" s="2" t="s">
        <v>59</v>
      </c>
      <c r="B1961" s="2" t="s">
        <v>60</v>
      </c>
      <c r="C1961" s="2" t="s">
        <v>19915</v>
      </c>
      <c r="D1961" s="2" t="s">
        <v>19916</v>
      </c>
      <c r="E1961" s="2" t="s">
        <v>19917</v>
      </c>
      <c r="G1961" s="3" t="s">
        <v>64</v>
      </c>
      <c r="I1961" s="3" t="s">
        <v>64</v>
      </c>
      <c r="J1961" s="3" t="s">
        <v>128</v>
      </c>
      <c r="K1961" s="3" t="s">
        <v>65</v>
      </c>
      <c r="M1961" s="2" t="s">
        <v>19918</v>
      </c>
      <c r="N1961" s="3" t="s">
        <v>3428</v>
      </c>
      <c r="P1961" s="3" t="s">
        <v>102</v>
      </c>
      <c r="Q1961" s="2" t="s">
        <v>19919</v>
      </c>
      <c r="R1961" s="3" t="s">
        <v>70</v>
      </c>
      <c r="S1961" s="4">
        <v>6</v>
      </c>
      <c r="T1961" s="4">
        <v>6</v>
      </c>
      <c r="U1961" s="5" t="s">
        <v>19896</v>
      </c>
      <c r="V1961" s="5" t="s">
        <v>19896</v>
      </c>
      <c r="W1961" s="5" t="s">
        <v>72</v>
      </c>
      <c r="X1961" s="5" t="s">
        <v>72</v>
      </c>
      <c r="Y1961" s="4">
        <v>220</v>
      </c>
      <c r="Z1961" s="4">
        <v>15</v>
      </c>
      <c r="AA1961" s="4">
        <v>21</v>
      </c>
      <c r="AB1961" s="4">
        <v>1</v>
      </c>
      <c r="AC1961" s="4">
        <v>2</v>
      </c>
      <c r="AD1961" s="4">
        <v>83</v>
      </c>
      <c r="AE1961" s="4">
        <v>100</v>
      </c>
      <c r="AF1961" s="4">
        <v>0</v>
      </c>
      <c r="AG1961" s="4">
        <v>1</v>
      </c>
      <c r="AH1961" s="4">
        <v>75</v>
      </c>
      <c r="AI1961" s="4">
        <v>86</v>
      </c>
      <c r="AJ1961" s="4">
        <v>12</v>
      </c>
      <c r="AK1961" s="4">
        <v>14</v>
      </c>
      <c r="AL1961" s="4">
        <v>38</v>
      </c>
      <c r="AM1961" s="4">
        <v>45</v>
      </c>
      <c r="AN1961" s="4">
        <v>0</v>
      </c>
      <c r="AO1961" s="4">
        <v>0</v>
      </c>
      <c r="AP1961" s="4">
        <v>12</v>
      </c>
      <c r="AQ1961" s="4">
        <v>16</v>
      </c>
      <c r="AR1961" s="3" t="s">
        <v>64</v>
      </c>
      <c r="AS1961" s="3" t="s">
        <v>128</v>
      </c>
      <c r="AT1961" s="3" t="s">
        <v>64</v>
      </c>
      <c r="AU1961" s="6" t="str">
        <f>HYPERLINK("http://catalog.hathitrust.org/Record/003004495","HathiTrust Record")</f>
        <v>HathiTrust Record</v>
      </c>
      <c r="AV1961" s="6" t="str">
        <f>HYPERLINK("http://mcgill.on.worldcat.org/oclc/33340220","Catalog Record")</f>
        <v>Catalog Record</v>
      </c>
      <c r="AW1961" s="6" t="str">
        <f>HYPERLINK("http://www.worldcat.org/oclc/33340220","WorldCat Record")</f>
        <v>WorldCat Record</v>
      </c>
      <c r="AX1961" s="3" t="s">
        <v>19920</v>
      </c>
      <c r="AY1961" s="3" t="s">
        <v>19921</v>
      </c>
      <c r="AZ1961" s="3" t="s">
        <v>19922</v>
      </c>
      <c r="BA1961" s="3" t="s">
        <v>19922</v>
      </c>
      <c r="BB1961" s="3" t="s">
        <v>19923</v>
      </c>
      <c r="BC1961" s="3" t="s">
        <v>77</v>
      </c>
      <c r="BD1961" s="3" t="s">
        <v>78</v>
      </c>
      <c r="BF1961" s="3" t="s">
        <v>19923</v>
      </c>
      <c r="BG1961" s="3" t="s">
        <v>19924</v>
      </c>
      <c r="BH1961">
        <f t="shared" si="52"/>
        <v>0</v>
      </c>
    </row>
    <row r="1962" spans="1:60" ht="58" x14ac:dyDescent="0.35">
      <c r="A1962" s="2" t="s">
        <v>59</v>
      </c>
      <c r="B1962" s="2" t="s">
        <v>60</v>
      </c>
      <c r="C1962" s="2" t="s">
        <v>19925</v>
      </c>
      <c r="D1962" s="2" t="s">
        <v>19926</v>
      </c>
      <c r="E1962" s="2" t="s">
        <v>19927</v>
      </c>
      <c r="G1962" s="3" t="s">
        <v>64</v>
      </c>
      <c r="I1962" s="3" t="s">
        <v>64</v>
      </c>
      <c r="J1962" s="3" t="s">
        <v>64</v>
      </c>
      <c r="K1962" s="3" t="s">
        <v>65</v>
      </c>
      <c r="M1962" s="2" t="s">
        <v>19928</v>
      </c>
      <c r="N1962" s="3" t="s">
        <v>537</v>
      </c>
      <c r="P1962" s="3" t="s">
        <v>102</v>
      </c>
      <c r="R1962" s="3" t="s">
        <v>70</v>
      </c>
      <c r="S1962" s="4">
        <v>0</v>
      </c>
      <c r="T1962" s="4">
        <v>0</v>
      </c>
      <c r="W1962" s="5" t="s">
        <v>72</v>
      </c>
      <c r="X1962" s="5" t="s">
        <v>72</v>
      </c>
      <c r="Y1962" s="4">
        <v>30</v>
      </c>
      <c r="Z1962" s="4">
        <v>4</v>
      </c>
      <c r="AA1962" s="4">
        <v>5</v>
      </c>
      <c r="AB1962" s="4">
        <v>1</v>
      </c>
      <c r="AC1962" s="4">
        <v>2</v>
      </c>
      <c r="AD1962" s="4">
        <v>14</v>
      </c>
      <c r="AE1962" s="4">
        <v>16</v>
      </c>
      <c r="AF1962" s="4">
        <v>0</v>
      </c>
      <c r="AG1962" s="4">
        <v>0</v>
      </c>
      <c r="AH1962" s="4">
        <v>13</v>
      </c>
      <c r="AI1962" s="4">
        <v>15</v>
      </c>
      <c r="AJ1962" s="4">
        <v>2</v>
      </c>
      <c r="AK1962" s="4">
        <v>2</v>
      </c>
      <c r="AL1962" s="4">
        <v>7</v>
      </c>
      <c r="AM1962" s="4">
        <v>7</v>
      </c>
      <c r="AN1962" s="4">
        <v>0</v>
      </c>
      <c r="AO1962" s="4">
        <v>0</v>
      </c>
      <c r="AP1962" s="4">
        <v>2</v>
      </c>
      <c r="AQ1962" s="4">
        <v>2</v>
      </c>
      <c r="AR1962" s="3" t="s">
        <v>64</v>
      </c>
      <c r="AS1962" s="3" t="s">
        <v>64</v>
      </c>
      <c r="AT1962" s="3" t="s">
        <v>64</v>
      </c>
      <c r="AV1962" s="6" t="str">
        <f>HYPERLINK("http://mcgill.on.worldcat.org/oclc/951338065","Catalog Record")</f>
        <v>Catalog Record</v>
      </c>
      <c r="AW1962" s="6" t="str">
        <f>HYPERLINK("http://www.worldcat.org/oclc/951338065","WorldCat Record")</f>
        <v>WorldCat Record</v>
      </c>
      <c r="AX1962" s="3" t="s">
        <v>19929</v>
      </c>
      <c r="AY1962" s="3" t="s">
        <v>19930</v>
      </c>
      <c r="AZ1962" s="3" t="s">
        <v>19931</v>
      </c>
      <c r="BA1962" s="3" t="s">
        <v>19931</v>
      </c>
      <c r="BB1962" s="3" t="s">
        <v>19932</v>
      </c>
      <c r="BC1962" s="3" t="s">
        <v>77</v>
      </c>
      <c r="BD1962" s="3" t="s">
        <v>78</v>
      </c>
      <c r="BE1962" s="3" t="s">
        <v>19933</v>
      </c>
      <c r="BF1962" s="3" t="s">
        <v>19932</v>
      </c>
      <c r="BG1962" s="3" t="s">
        <v>19934</v>
      </c>
      <c r="BH1962">
        <f t="shared" si="52"/>
        <v>0</v>
      </c>
    </row>
    <row r="1963" spans="1:60" ht="58" x14ac:dyDescent="0.35">
      <c r="A1963" s="2" t="s">
        <v>59</v>
      </c>
      <c r="B1963" s="2" t="s">
        <v>60</v>
      </c>
      <c r="C1963" s="2" t="s">
        <v>19935</v>
      </c>
      <c r="D1963" s="2" t="s">
        <v>19936</v>
      </c>
      <c r="E1963" s="2" t="s">
        <v>19937</v>
      </c>
      <c r="G1963" s="3" t="s">
        <v>64</v>
      </c>
      <c r="I1963" s="3" t="s">
        <v>64</v>
      </c>
      <c r="J1963" s="3" t="s">
        <v>128</v>
      </c>
      <c r="K1963" s="3" t="s">
        <v>65</v>
      </c>
      <c r="L1963" s="2" t="s">
        <v>19938</v>
      </c>
      <c r="M1963" s="2" t="s">
        <v>19939</v>
      </c>
      <c r="N1963" s="3" t="s">
        <v>364</v>
      </c>
      <c r="O1963" s="2" t="s">
        <v>2994</v>
      </c>
      <c r="P1963" s="3" t="s">
        <v>102</v>
      </c>
      <c r="R1963" s="3" t="s">
        <v>70</v>
      </c>
      <c r="S1963" s="4">
        <v>1</v>
      </c>
      <c r="T1963" s="4">
        <v>1</v>
      </c>
      <c r="U1963" s="5" t="s">
        <v>19896</v>
      </c>
      <c r="V1963" s="5" t="s">
        <v>19896</v>
      </c>
      <c r="W1963" s="5" t="s">
        <v>72</v>
      </c>
      <c r="X1963" s="5" t="s">
        <v>72</v>
      </c>
      <c r="Y1963" s="4">
        <v>164</v>
      </c>
      <c r="Z1963" s="4">
        <v>11</v>
      </c>
      <c r="AA1963" s="4">
        <v>24</v>
      </c>
      <c r="AB1963" s="4">
        <v>1</v>
      </c>
      <c r="AC1963" s="4">
        <v>3</v>
      </c>
      <c r="AD1963" s="4">
        <v>45</v>
      </c>
      <c r="AE1963" s="4">
        <v>82</v>
      </c>
      <c r="AF1963" s="4">
        <v>0</v>
      </c>
      <c r="AG1963" s="4">
        <v>2</v>
      </c>
      <c r="AH1963" s="4">
        <v>42</v>
      </c>
      <c r="AI1963" s="4">
        <v>71</v>
      </c>
      <c r="AJ1963" s="4">
        <v>8</v>
      </c>
      <c r="AK1963" s="4">
        <v>16</v>
      </c>
      <c r="AL1963" s="4">
        <v>25</v>
      </c>
      <c r="AM1963" s="4">
        <v>39</v>
      </c>
      <c r="AN1963" s="4">
        <v>0</v>
      </c>
      <c r="AO1963" s="4">
        <v>0</v>
      </c>
      <c r="AP1963" s="4">
        <v>7</v>
      </c>
      <c r="AQ1963" s="4">
        <v>17</v>
      </c>
      <c r="AR1963" s="3" t="s">
        <v>64</v>
      </c>
      <c r="AS1963" s="3" t="s">
        <v>64</v>
      </c>
      <c r="AT1963" s="3" t="s">
        <v>128</v>
      </c>
      <c r="AU1963" s="6" t="str">
        <f>HYPERLINK("http://catalog.hathitrust.org/Record/000963999","HathiTrust Record")</f>
        <v>HathiTrust Record</v>
      </c>
      <c r="AV1963" s="6" t="str">
        <f>HYPERLINK("http://mcgill.on.worldcat.org/oclc/3206927","Catalog Record")</f>
        <v>Catalog Record</v>
      </c>
      <c r="AW1963" s="6" t="str">
        <f>HYPERLINK("http://www.worldcat.org/oclc/3206927","WorldCat Record")</f>
        <v>WorldCat Record</v>
      </c>
      <c r="AX1963" s="3" t="s">
        <v>19940</v>
      </c>
      <c r="AY1963" s="3" t="s">
        <v>19941</v>
      </c>
      <c r="AZ1963" s="3" t="s">
        <v>19942</v>
      </c>
      <c r="BA1963" s="3" t="s">
        <v>19942</v>
      </c>
      <c r="BB1963" s="3" t="s">
        <v>19943</v>
      </c>
      <c r="BC1963" s="3" t="s">
        <v>77</v>
      </c>
      <c r="BD1963" s="3" t="s">
        <v>78</v>
      </c>
      <c r="BE1963" s="3" t="s">
        <v>19944</v>
      </c>
      <c r="BF1963" s="3" t="s">
        <v>19943</v>
      </c>
      <c r="BG1963" s="3" t="s">
        <v>19945</v>
      </c>
      <c r="BH1963">
        <f t="shared" si="52"/>
        <v>0</v>
      </c>
    </row>
    <row r="1964" spans="1:60" ht="58" x14ac:dyDescent="0.35">
      <c r="A1964" s="2" t="s">
        <v>59</v>
      </c>
      <c r="B1964" s="2" t="s">
        <v>60</v>
      </c>
      <c r="C1964" s="2" t="s">
        <v>19946</v>
      </c>
      <c r="D1964" s="2" t="s">
        <v>19947</v>
      </c>
      <c r="E1964" s="2" t="s">
        <v>19948</v>
      </c>
      <c r="G1964" s="3" t="s">
        <v>64</v>
      </c>
      <c r="I1964" s="3" t="s">
        <v>64</v>
      </c>
      <c r="J1964" s="3" t="s">
        <v>128</v>
      </c>
      <c r="K1964" s="3" t="s">
        <v>65</v>
      </c>
      <c r="L1964" s="2" t="s">
        <v>19938</v>
      </c>
      <c r="M1964" s="2" t="s">
        <v>19949</v>
      </c>
      <c r="N1964" s="3" t="s">
        <v>456</v>
      </c>
      <c r="P1964" s="3" t="s">
        <v>102</v>
      </c>
      <c r="Q1964" s="2" t="s">
        <v>19950</v>
      </c>
      <c r="R1964" s="3" t="s">
        <v>70</v>
      </c>
      <c r="S1964" s="4">
        <v>1</v>
      </c>
      <c r="T1964" s="4">
        <v>1</v>
      </c>
      <c r="U1964" s="5" t="s">
        <v>19896</v>
      </c>
      <c r="V1964" s="5" t="s">
        <v>19896</v>
      </c>
      <c r="W1964" s="5" t="s">
        <v>72</v>
      </c>
      <c r="X1964" s="5" t="s">
        <v>72</v>
      </c>
      <c r="Y1964" s="4">
        <v>114</v>
      </c>
      <c r="Z1964" s="4">
        <v>10</v>
      </c>
      <c r="AA1964" s="4">
        <v>24</v>
      </c>
      <c r="AB1964" s="4">
        <v>1</v>
      </c>
      <c r="AC1964" s="4">
        <v>3</v>
      </c>
      <c r="AD1964" s="4">
        <v>35</v>
      </c>
      <c r="AE1964" s="4">
        <v>82</v>
      </c>
      <c r="AF1964" s="4">
        <v>0</v>
      </c>
      <c r="AG1964" s="4">
        <v>2</v>
      </c>
      <c r="AH1964" s="4">
        <v>32</v>
      </c>
      <c r="AI1964" s="4">
        <v>71</v>
      </c>
      <c r="AJ1964" s="4">
        <v>6</v>
      </c>
      <c r="AK1964" s="4">
        <v>16</v>
      </c>
      <c r="AL1964" s="4">
        <v>21</v>
      </c>
      <c r="AM1964" s="4">
        <v>39</v>
      </c>
      <c r="AN1964" s="4">
        <v>0</v>
      </c>
      <c r="AO1964" s="4">
        <v>0</v>
      </c>
      <c r="AP1964" s="4">
        <v>5</v>
      </c>
      <c r="AQ1964" s="4">
        <v>17</v>
      </c>
      <c r="AR1964" s="3" t="s">
        <v>64</v>
      </c>
      <c r="AS1964" s="3" t="s">
        <v>64</v>
      </c>
      <c r="AT1964" s="3" t="s">
        <v>128</v>
      </c>
      <c r="AU1964" s="6" t="str">
        <f>HYPERLINK("http://catalog.hathitrust.org/Record/000962253","HathiTrust Record")</f>
        <v>HathiTrust Record</v>
      </c>
      <c r="AV1964" s="6" t="str">
        <f>HYPERLINK("http://mcgill.on.worldcat.org/oclc/2828809","Catalog Record")</f>
        <v>Catalog Record</v>
      </c>
      <c r="AW1964" s="6" t="str">
        <f>HYPERLINK("http://www.worldcat.org/oclc/2828809","WorldCat Record")</f>
        <v>WorldCat Record</v>
      </c>
      <c r="AX1964" s="3" t="s">
        <v>19940</v>
      </c>
      <c r="AY1964" s="3" t="s">
        <v>19951</v>
      </c>
      <c r="AZ1964" s="3" t="s">
        <v>19952</v>
      </c>
      <c r="BA1964" s="3" t="s">
        <v>19952</v>
      </c>
      <c r="BB1964" s="3" t="s">
        <v>19953</v>
      </c>
      <c r="BC1964" s="3" t="s">
        <v>77</v>
      </c>
      <c r="BD1964" s="3" t="s">
        <v>78</v>
      </c>
      <c r="BF1964" s="3" t="s">
        <v>19953</v>
      </c>
      <c r="BG1964" s="3" t="s">
        <v>19954</v>
      </c>
      <c r="BH1964">
        <f t="shared" si="52"/>
        <v>0</v>
      </c>
    </row>
    <row r="1965" spans="1:60" ht="58" x14ac:dyDescent="0.35">
      <c r="A1965" s="2" t="s">
        <v>59</v>
      </c>
      <c r="B1965" s="2" t="s">
        <v>60</v>
      </c>
      <c r="C1965" s="2" t="s">
        <v>19955</v>
      </c>
      <c r="D1965" s="2" t="s">
        <v>19956</v>
      </c>
      <c r="E1965" s="2" t="s">
        <v>19957</v>
      </c>
      <c r="G1965" s="3" t="s">
        <v>64</v>
      </c>
      <c r="I1965" s="3" t="s">
        <v>64</v>
      </c>
      <c r="J1965" s="3" t="s">
        <v>64</v>
      </c>
      <c r="K1965" s="3" t="s">
        <v>65</v>
      </c>
      <c r="L1965" s="2" t="s">
        <v>19958</v>
      </c>
      <c r="M1965" s="2" t="s">
        <v>19959</v>
      </c>
      <c r="N1965" s="3" t="s">
        <v>4167</v>
      </c>
      <c r="P1965" s="3" t="s">
        <v>102</v>
      </c>
      <c r="R1965" s="3" t="s">
        <v>70</v>
      </c>
      <c r="S1965" s="4">
        <v>3</v>
      </c>
      <c r="T1965" s="4">
        <v>3</v>
      </c>
      <c r="U1965" s="5" t="s">
        <v>19896</v>
      </c>
      <c r="V1965" s="5" t="s">
        <v>19896</v>
      </c>
      <c r="W1965" s="5" t="s">
        <v>72</v>
      </c>
      <c r="X1965" s="5" t="s">
        <v>72</v>
      </c>
      <c r="Y1965" s="4">
        <v>137</v>
      </c>
      <c r="Z1965" s="4">
        <v>8</v>
      </c>
      <c r="AA1965" s="4">
        <v>9</v>
      </c>
      <c r="AB1965" s="4">
        <v>1</v>
      </c>
      <c r="AC1965" s="4">
        <v>1</v>
      </c>
      <c r="AD1965" s="4">
        <v>49</v>
      </c>
      <c r="AE1965" s="4">
        <v>51</v>
      </c>
      <c r="AF1965" s="4">
        <v>0</v>
      </c>
      <c r="AG1965" s="4">
        <v>0</v>
      </c>
      <c r="AH1965" s="4">
        <v>46</v>
      </c>
      <c r="AI1965" s="4">
        <v>47</v>
      </c>
      <c r="AJ1965" s="4">
        <v>4</v>
      </c>
      <c r="AK1965" s="4">
        <v>4</v>
      </c>
      <c r="AL1965" s="4">
        <v>31</v>
      </c>
      <c r="AM1965" s="4">
        <v>31</v>
      </c>
      <c r="AN1965" s="4">
        <v>0</v>
      </c>
      <c r="AO1965" s="4">
        <v>0</v>
      </c>
      <c r="AP1965" s="4">
        <v>3</v>
      </c>
      <c r="AQ1965" s="4">
        <v>4</v>
      </c>
      <c r="AR1965" s="3" t="s">
        <v>64</v>
      </c>
      <c r="AS1965" s="3" t="s">
        <v>128</v>
      </c>
      <c r="AT1965" s="3" t="s">
        <v>64</v>
      </c>
      <c r="AU1965" s="6" t="str">
        <f>HYPERLINK("http://catalog.hathitrust.org/Record/000962254","HathiTrust Record")</f>
        <v>HathiTrust Record</v>
      </c>
      <c r="AV1965" s="6" t="str">
        <f>HYPERLINK("http://mcgill.on.worldcat.org/oclc/1748545","Catalog Record")</f>
        <v>Catalog Record</v>
      </c>
      <c r="AW1965" s="6" t="str">
        <f>HYPERLINK("http://www.worldcat.org/oclc/1748545","WorldCat Record")</f>
        <v>WorldCat Record</v>
      </c>
      <c r="AX1965" s="3" t="s">
        <v>19960</v>
      </c>
      <c r="AY1965" s="3" t="s">
        <v>19961</v>
      </c>
      <c r="AZ1965" s="3" t="s">
        <v>19962</v>
      </c>
      <c r="BA1965" s="3" t="s">
        <v>19962</v>
      </c>
      <c r="BB1965" s="3" t="s">
        <v>19963</v>
      </c>
      <c r="BC1965" s="3" t="s">
        <v>77</v>
      </c>
      <c r="BD1965" s="3" t="s">
        <v>78</v>
      </c>
      <c r="BF1965" s="3" t="s">
        <v>19963</v>
      </c>
      <c r="BG1965" s="3" t="s">
        <v>19964</v>
      </c>
      <c r="BH1965">
        <f t="shared" si="52"/>
        <v>0</v>
      </c>
    </row>
    <row r="1966" spans="1:60" ht="58" x14ac:dyDescent="0.35">
      <c r="A1966" s="2" t="s">
        <v>59</v>
      </c>
      <c r="B1966" s="2" t="s">
        <v>60</v>
      </c>
      <c r="C1966" s="2" t="s">
        <v>19965</v>
      </c>
      <c r="D1966" s="2" t="s">
        <v>19966</v>
      </c>
      <c r="E1966" s="2" t="s">
        <v>19967</v>
      </c>
      <c r="G1966" s="3" t="s">
        <v>64</v>
      </c>
      <c r="I1966" s="3" t="s">
        <v>64</v>
      </c>
      <c r="J1966" s="3" t="s">
        <v>64</v>
      </c>
      <c r="K1966" s="3" t="s">
        <v>65</v>
      </c>
      <c r="L1966" s="2" t="s">
        <v>19968</v>
      </c>
      <c r="M1966" s="2" t="s">
        <v>19969</v>
      </c>
      <c r="N1966" s="3" t="s">
        <v>511</v>
      </c>
      <c r="P1966" s="3" t="s">
        <v>102</v>
      </c>
      <c r="Q1966" s="2" t="s">
        <v>19970</v>
      </c>
      <c r="R1966" s="3" t="s">
        <v>70</v>
      </c>
      <c r="S1966" s="4">
        <v>9</v>
      </c>
      <c r="T1966" s="4">
        <v>9</v>
      </c>
      <c r="U1966" s="5" t="s">
        <v>8841</v>
      </c>
      <c r="V1966" s="5" t="s">
        <v>8841</v>
      </c>
      <c r="W1966" s="5" t="s">
        <v>72</v>
      </c>
      <c r="X1966" s="5" t="s">
        <v>72</v>
      </c>
      <c r="Y1966" s="4">
        <v>302</v>
      </c>
      <c r="Z1966" s="4">
        <v>30</v>
      </c>
      <c r="AA1966" s="4">
        <v>60</v>
      </c>
      <c r="AB1966" s="4">
        <v>3</v>
      </c>
      <c r="AC1966" s="4">
        <v>9</v>
      </c>
      <c r="AD1966" s="4">
        <v>53</v>
      </c>
      <c r="AE1966" s="4">
        <v>68</v>
      </c>
      <c r="AF1966" s="4">
        <v>1</v>
      </c>
      <c r="AG1966" s="4">
        <v>2</v>
      </c>
      <c r="AH1966" s="4">
        <v>44</v>
      </c>
      <c r="AI1966" s="4">
        <v>57</v>
      </c>
      <c r="AJ1966" s="4">
        <v>12</v>
      </c>
      <c r="AK1966" s="4">
        <v>13</v>
      </c>
      <c r="AL1966" s="4">
        <v>23</v>
      </c>
      <c r="AM1966" s="4">
        <v>27</v>
      </c>
      <c r="AN1966" s="4">
        <v>0</v>
      </c>
      <c r="AO1966" s="4">
        <v>0</v>
      </c>
      <c r="AP1966" s="4">
        <v>17</v>
      </c>
      <c r="AQ1966" s="4">
        <v>18</v>
      </c>
      <c r="AR1966" s="3" t="s">
        <v>64</v>
      </c>
      <c r="AS1966" s="3" t="s">
        <v>64</v>
      </c>
      <c r="AT1966" s="3" t="s">
        <v>64</v>
      </c>
      <c r="AV1966" s="6" t="str">
        <f>HYPERLINK("http://mcgill.on.worldcat.org/oclc/609100968","Catalog Record")</f>
        <v>Catalog Record</v>
      </c>
      <c r="AW1966" s="6" t="str">
        <f>HYPERLINK("http://www.worldcat.org/oclc/609100968","WorldCat Record")</f>
        <v>WorldCat Record</v>
      </c>
      <c r="AX1966" s="3" t="s">
        <v>19971</v>
      </c>
      <c r="AY1966" s="3" t="s">
        <v>19972</v>
      </c>
      <c r="AZ1966" s="3" t="s">
        <v>19973</v>
      </c>
      <c r="BA1966" s="3" t="s">
        <v>19973</v>
      </c>
      <c r="BB1966" s="3" t="s">
        <v>19974</v>
      </c>
      <c r="BC1966" s="3" t="s">
        <v>77</v>
      </c>
      <c r="BD1966" s="3" t="s">
        <v>78</v>
      </c>
      <c r="BE1966" s="3" t="s">
        <v>19975</v>
      </c>
      <c r="BF1966" s="3" t="s">
        <v>19974</v>
      </c>
      <c r="BG1966" s="3" t="s">
        <v>19976</v>
      </c>
      <c r="BH1966">
        <f t="shared" si="52"/>
        <v>0</v>
      </c>
    </row>
    <row r="1967" spans="1:60" ht="58" x14ac:dyDescent="0.35">
      <c r="A1967" s="2" t="s">
        <v>59</v>
      </c>
      <c r="B1967" s="2" t="s">
        <v>60</v>
      </c>
      <c r="C1967" s="2" t="s">
        <v>19977</v>
      </c>
      <c r="D1967" s="2" t="s">
        <v>19978</v>
      </c>
      <c r="E1967" s="2" t="s">
        <v>19979</v>
      </c>
      <c r="G1967" s="3" t="s">
        <v>64</v>
      </c>
      <c r="I1967" s="3" t="s">
        <v>64</v>
      </c>
      <c r="J1967" s="3" t="s">
        <v>64</v>
      </c>
      <c r="K1967" s="3" t="s">
        <v>65</v>
      </c>
      <c r="M1967" s="2" t="s">
        <v>19980</v>
      </c>
      <c r="N1967" s="3" t="s">
        <v>1061</v>
      </c>
      <c r="P1967" s="3" t="s">
        <v>102</v>
      </c>
      <c r="R1967" s="3" t="s">
        <v>70</v>
      </c>
      <c r="S1967" s="4">
        <v>136</v>
      </c>
      <c r="T1967" s="4">
        <v>136</v>
      </c>
      <c r="U1967" s="5" t="s">
        <v>19981</v>
      </c>
      <c r="V1967" s="5" t="s">
        <v>19981</v>
      </c>
      <c r="W1967" s="5" t="s">
        <v>72</v>
      </c>
      <c r="X1967" s="5" t="s">
        <v>72</v>
      </c>
      <c r="Y1967" s="4">
        <v>454</v>
      </c>
      <c r="Z1967" s="4">
        <v>21</v>
      </c>
      <c r="AA1967" s="4">
        <v>22</v>
      </c>
      <c r="AB1967" s="4">
        <v>3</v>
      </c>
      <c r="AC1967" s="4">
        <v>4</v>
      </c>
      <c r="AD1967" s="4">
        <v>99</v>
      </c>
      <c r="AE1967" s="4">
        <v>100</v>
      </c>
      <c r="AF1967" s="4">
        <v>1</v>
      </c>
      <c r="AG1967" s="4">
        <v>2</v>
      </c>
      <c r="AH1967" s="4">
        <v>89</v>
      </c>
      <c r="AI1967" s="4">
        <v>89</v>
      </c>
      <c r="AJ1967" s="4">
        <v>11</v>
      </c>
      <c r="AK1967" s="4">
        <v>12</v>
      </c>
      <c r="AL1967" s="4">
        <v>45</v>
      </c>
      <c r="AM1967" s="4">
        <v>45</v>
      </c>
      <c r="AN1967" s="4">
        <v>0</v>
      </c>
      <c r="AO1967" s="4">
        <v>0</v>
      </c>
      <c r="AP1967" s="4">
        <v>14</v>
      </c>
      <c r="AQ1967" s="4">
        <v>14</v>
      </c>
      <c r="AR1967" s="3" t="s">
        <v>64</v>
      </c>
      <c r="AS1967" s="3" t="s">
        <v>64</v>
      </c>
      <c r="AT1967" s="3" t="s">
        <v>128</v>
      </c>
      <c r="AU1967" s="6" t="str">
        <f>HYPERLINK("http://catalog.hathitrust.org/Record/000423724","HathiTrust Record")</f>
        <v>HathiTrust Record</v>
      </c>
      <c r="AV1967" s="6" t="str">
        <f>HYPERLINK("http://mcgill.on.worldcat.org/oclc/11812646","Catalog Record")</f>
        <v>Catalog Record</v>
      </c>
      <c r="AW1967" s="6" t="str">
        <f>HYPERLINK("http://www.worldcat.org/oclc/11812646","WorldCat Record")</f>
        <v>WorldCat Record</v>
      </c>
      <c r="AX1967" s="3" t="s">
        <v>19982</v>
      </c>
      <c r="AY1967" s="3" t="s">
        <v>19983</v>
      </c>
      <c r="AZ1967" s="3" t="s">
        <v>19984</v>
      </c>
      <c r="BA1967" s="3" t="s">
        <v>19984</v>
      </c>
      <c r="BB1967" s="3" t="s">
        <v>19985</v>
      </c>
      <c r="BC1967" s="3" t="s">
        <v>77</v>
      </c>
      <c r="BD1967" s="3" t="s">
        <v>78</v>
      </c>
      <c r="BE1967" s="3" t="s">
        <v>19986</v>
      </c>
      <c r="BF1967" s="3" t="s">
        <v>19985</v>
      </c>
      <c r="BG1967" s="3" t="s">
        <v>19987</v>
      </c>
      <c r="BH1967">
        <f t="shared" si="52"/>
        <v>0</v>
      </c>
    </row>
    <row r="1968" spans="1:60" ht="58" x14ac:dyDescent="0.35">
      <c r="A1968" s="2" t="s">
        <v>59</v>
      </c>
      <c r="B1968" s="2" t="s">
        <v>60</v>
      </c>
      <c r="C1968" s="2" t="s">
        <v>19988</v>
      </c>
      <c r="D1968" s="2" t="s">
        <v>19989</v>
      </c>
      <c r="E1968" s="2" t="s">
        <v>19990</v>
      </c>
      <c r="G1968" s="3" t="s">
        <v>64</v>
      </c>
      <c r="I1968" s="3" t="s">
        <v>64</v>
      </c>
      <c r="J1968" s="3" t="s">
        <v>64</v>
      </c>
      <c r="K1968" s="3" t="s">
        <v>65</v>
      </c>
      <c r="M1968" s="2" t="s">
        <v>19991</v>
      </c>
      <c r="N1968" s="3" t="s">
        <v>2067</v>
      </c>
      <c r="P1968" s="3" t="s">
        <v>102</v>
      </c>
      <c r="R1968" s="3" t="s">
        <v>70</v>
      </c>
      <c r="S1968" s="4">
        <v>4</v>
      </c>
      <c r="T1968" s="4">
        <v>4</v>
      </c>
      <c r="U1968" s="5" t="s">
        <v>19992</v>
      </c>
      <c r="V1968" s="5" t="s">
        <v>19992</v>
      </c>
      <c r="W1968" s="5" t="s">
        <v>72</v>
      </c>
      <c r="X1968" s="5" t="s">
        <v>72</v>
      </c>
      <c r="Y1968" s="4">
        <v>89</v>
      </c>
      <c r="Z1968" s="4">
        <v>4</v>
      </c>
      <c r="AA1968" s="4">
        <v>4</v>
      </c>
      <c r="AB1968" s="4">
        <v>1</v>
      </c>
      <c r="AC1968" s="4">
        <v>1</v>
      </c>
      <c r="AD1968" s="4">
        <v>8</v>
      </c>
      <c r="AE1968" s="4">
        <v>8</v>
      </c>
      <c r="AF1968" s="4">
        <v>0</v>
      </c>
      <c r="AG1968" s="4">
        <v>0</v>
      </c>
      <c r="AH1968" s="4">
        <v>8</v>
      </c>
      <c r="AI1968" s="4">
        <v>8</v>
      </c>
      <c r="AJ1968" s="4">
        <v>0</v>
      </c>
      <c r="AK1968" s="4">
        <v>0</v>
      </c>
      <c r="AL1968" s="4">
        <v>3</v>
      </c>
      <c r="AM1968" s="4">
        <v>3</v>
      </c>
      <c r="AN1968" s="4">
        <v>0</v>
      </c>
      <c r="AO1968" s="4">
        <v>0</v>
      </c>
      <c r="AP1968" s="4">
        <v>0</v>
      </c>
      <c r="AQ1968" s="4">
        <v>0</v>
      </c>
      <c r="AR1968" s="3" t="s">
        <v>64</v>
      </c>
      <c r="AS1968" s="3" t="s">
        <v>64</v>
      </c>
      <c r="AT1968" s="3" t="s">
        <v>64</v>
      </c>
      <c r="AV1968" s="6" t="str">
        <f>HYPERLINK("http://mcgill.on.worldcat.org/oclc/20261061","Catalog Record")</f>
        <v>Catalog Record</v>
      </c>
      <c r="AW1968" s="6" t="str">
        <f>HYPERLINK("http://www.worldcat.org/oclc/20261061","WorldCat Record")</f>
        <v>WorldCat Record</v>
      </c>
      <c r="AX1968" s="3" t="s">
        <v>19993</v>
      </c>
      <c r="AY1968" s="3" t="s">
        <v>19994</v>
      </c>
      <c r="AZ1968" s="3" t="s">
        <v>19995</v>
      </c>
      <c r="BA1968" s="3" t="s">
        <v>19995</v>
      </c>
      <c r="BB1968" s="3" t="s">
        <v>19996</v>
      </c>
      <c r="BC1968" s="3" t="s">
        <v>77</v>
      </c>
      <c r="BD1968" s="3" t="s">
        <v>78</v>
      </c>
      <c r="BE1968" s="3" t="s">
        <v>19997</v>
      </c>
      <c r="BF1968" s="3" t="s">
        <v>19996</v>
      </c>
      <c r="BG1968" s="3" t="s">
        <v>19998</v>
      </c>
      <c r="BH1968">
        <f t="shared" si="52"/>
        <v>0</v>
      </c>
    </row>
    <row r="1969" spans="1:60" ht="58" x14ac:dyDescent="0.35">
      <c r="A1969" s="2" t="s">
        <v>59</v>
      </c>
      <c r="B1969" s="2" t="s">
        <v>60</v>
      </c>
      <c r="C1969" s="2" t="s">
        <v>19999</v>
      </c>
      <c r="D1969" s="2" t="s">
        <v>20000</v>
      </c>
      <c r="E1969" s="2" t="s">
        <v>20001</v>
      </c>
      <c r="G1969" s="3" t="s">
        <v>64</v>
      </c>
      <c r="I1969" s="3" t="s">
        <v>64</v>
      </c>
      <c r="J1969" s="3" t="s">
        <v>64</v>
      </c>
      <c r="K1969" s="3" t="s">
        <v>65</v>
      </c>
      <c r="L1969" s="2" t="s">
        <v>20002</v>
      </c>
      <c r="M1969" s="2" t="s">
        <v>20003</v>
      </c>
      <c r="N1969" s="3" t="s">
        <v>468</v>
      </c>
      <c r="P1969" s="3" t="s">
        <v>102</v>
      </c>
      <c r="Q1969" s="2" t="s">
        <v>20004</v>
      </c>
      <c r="R1969" s="3" t="s">
        <v>70</v>
      </c>
      <c r="S1969" s="4">
        <v>3</v>
      </c>
      <c r="T1969" s="4">
        <v>3</v>
      </c>
      <c r="U1969" s="5" t="s">
        <v>19896</v>
      </c>
      <c r="V1969" s="5" t="s">
        <v>19896</v>
      </c>
      <c r="W1969" s="5" t="s">
        <v>72</v>
      </c>
      <c r="X1969" s="5" t="s">
        <v>72</v>
      </c>
      <c r="Y1969" s="4">
        <v>172</v>
      </c>
      <c r="Z1969" s="4">
        <v>7</v>
      </c>
      <c r="AA1969" s="4">
        <v>11</v>
      </c>
      <c r="AB1969" s="4">
        <v>1</v>
      </c>
      <c r="AC1969" s="4">
        <v>2</v>
      </c>
      <c r="AD1969" s="4">
        <v>59</v>
      </c>
      <c r="AE1969" s="4">
        <v>64</v>
      </c>
      <c r="AF1969" s="4">
        <v>0</v>
      </c>
      <c r="AG1969" s="4">
        <v>0</v>
      </c>
      <c r="AH1969" s="4">
        <v>58</v>
      </c>
      <c r="AI1969" s="4">
        <v>61</v>
      </c>
      <c r="AJ1969" s="4">
        <v>4</v>
      </c>
      <c r="AK1969" s="4">
        <v>6</v>
      </c>
      <c r="AL1969" s="4">
        <v>34</v>
      </c>
      <c r="AM1969" s="4">
        <v>34</v>
      </c>
      <c r="AN1969" s="4">
        <v>0</v>
      </c>
      <c r="AO1969" s="4">
        <v>0</v>
      </c>
      <c r="AP1969" s="4">
        <v>4</v>
      </c>
      <c r="AQ1969" s="4">
        <v>7</v>
      </c>
      <c r="AR1969" s="3" t="s">
        <v>64</v>
      </c>
      <c r="AS1969" s="3" t="s">
        <v>64</v>
      </c>
      <c r="AT1969" s="3" t="s">
        <v>128</v>
      </c>
      <c r="AU1969" s="6" t="str">
        <f>HYPERLINK("http://catalog.hathitrust.org/Record/000962255","HathiTrust Record")</f>
        <v>HathiTrust Record</v>
      </c>
      <c r="AV1969" s="6" t="str">
        <f>HYPERLINK("http://mcgill.on.worldcat.org/oclc/1594348","Catalog Record")</f>
        <v>Catalog Record</v>
      </c>
      <c r="AW1969" s="6" t="str">
        <f>HYPERLINK("http://www.worldcat.org/oclc/1594348","WorldCat Record")</f>
        <v>WorldCat Record</v>
      </c>
      <c r="AX1969" s="3" t="s">
        <v>20005</v>
      </c>
      <c r="AY1969" s="3" t="s">
        <v>20006</v>
      </c>
      <c r="AZ1969" s="3" t="s">
        <v>20007</v>
      </c>
      <c r="BA1969" s="3" t="s">
        <v>20007</v>
      </c>
      <c r="BB1969" s="3" t="s">
        <v>20008</v>
      </c>
      <c r="BC1969" s="3" t="s">
        <v>77</v>
      </c>
      <c r="BD1969" s="3" t="s">
        <v>78</v>
      </c>
      <c r="BF1969" s="3" t="s">
        <v>20008</v>
      </c>
      <c r="BG1969" s="3" t="s">
        <v>20009</v>
      </c>
      <c r="BH1969">
        <f t="shared" si="52"/>
        <v>0</v>
      </c>
    </row>
    <row r="1970" spans="1:60" ht="72.5" x14ac:dyDescent="0.35">
      <c r="A1970" s="2" t="s">
        <v>59</v>
      </c>
      <c r="B1970" s="2" t="s">
        <v>60</v>
      </c>
      <c r="C1970" s="2" t="s">
        <v>20010</v>
      </c>
      <c r="D1970" s="2" t="s">
        <v>20011</v>
      </c>
      <c r="E1970" s="2" t="s">
        <v>20012</v>
      </c>
      <c r="G1970" s="3" t="s">
        <v>64</v>
      </c>
      <c r="I1970" s="3" t="s">
        <v>64</v>
      </c>
      <c r="J1970" s="3" t="s">
        <v>64</v>
      </c>
      <c r="K1970" s="3" t="s">
        <v>65</v>
      </c>
      <c r="L1970" s="2" t="s">
        <v>20013</v>
      </c>
      <c r="M1970" s="2" t="s">
        <v>20014</v>
      </c>
      <c r="N1970" s="3" t="s">
        <v>253</v>
      </c>
      <c r="O1970" s="2" t="s">
        <v>20015</v>
      </c>
      <c r="P1970" s="3" t="s">
        <v>102</v>
      </c>
      <c r="R1970" s="3" t="s">
        <v>70</v>
      </c>
      <c r="S1970" s="4">
        <v>0</v>
      </c>
      <c r="T1970" s="4">
        <v>0</v>
      </c>
      <c r="W1970" s="5" t="s">
        <v>72</v>
      </c>
      <c r="X1970" s="5" t="s">
        <v>72</v>
      </c>
      <c r="Y1970" s="4">
        <v>5</v>
      </c>
      <c r="Z1970" s="4">
        <v>4</v>
      </c>
      <c r="AA1970" s="4">
        <v>5</v>
      </c>
      <c r="AB1970" s="4">
        <v>1</v>
      </c>
      <c r="AC1970" s="4">
        <v>1</v>
      </c>
      <c r="AD1970" s="4">
        <v>1</v>
      </c>
      <c r="AE1970" s="4">
        <v>3</v>
      </c>
      <c r="AF1970" s="4">
        <v>0</v>
      </c>
      <c r="AG1970" s="4">
        <v>0</v>
      </c>
      <c r="AH1970" s="4">
        <v>1</v>
      </c>
      <c r="AI1970" s="4">
        <v>3</v>
      </c>
      <c r="AJ1970" s="4">
        <v>1</v>
      </c>
      <c r="AK1970" s="4">
        <v>2</v>
      </c>
      <c r="AL1970" s="4">
        <v>1</v>
      </c>
      <c r="AM1970" s="4">
        <v>2</v>
      </c>
      <c r="AN1970" s="4">
        <v>0</v>
      </c>
      <c r="AO1970" s="4">
        <v>0</v>
      </c>
      <c r="AP1970" s="4">
        <v>1</v>
      </c>
      <c r="AQ1970" s="4">
        <v>2</v>
      </c>
      <c r="AR1970" s="3" t="s">
        <v>64</v>
      </c>
      <c r="AS1970" s="3" t="s">
        <v>64</v>
      </c>
      <c r="AT1970" s="3" t="s">
        <v>64</v>
      </c>
      <c r="AV1970" s="6" t="str">
        <f>HYPERLINK("http://mcgill.on.worldcat.org/oclc/906703063","Catalog Record")</f>
        <v>Catalog Record</v>
      </c>
      <c r="AW1970" s="6" t="str">
        <f>HYPERLINK("http://www.worldcat.org/oclc/906703063","WorldCat Record")</f>
        <v>WorldCat Record</v>
      </c>
      <c r="AX1970" s="3" t="s">
        <v>20016</v>
      </c>
      <c r="AY1970" s="3" t="s">
        <v>20017</v>
      </c>
      <c r="AZ1970" s="3" t="s">
        <v>20018</v>
      </c>
      <c r="BA1970" s="3" t="s">
        <v>20018</v>
      </c>
      <c r="BB1970" s="3" t="s">
        <v>20019</v>
      </c>
      <c r="BC1970" s="3" t="s">
        <v>77</v>
      </c>
      <c r="BD1970" s="3" t="s">
        <v>78</v>
      </c>
      <c r="BF1970" s="3" t="s">
        <v>20019</v>
      </c>
      <c r="BG1970" s="3" t="s">
        <v>20020</v>
      </c>
      <c r="BH1970">
        <f t="shared" si="52"/>
        <v>0</v>
      </c>
    </row>
    <row r="1971" spans="1:60" ht="58" x14ac:dyDescent="0.35">
      <c r="A1971" s="2" t="s">
        <v>59</v>
      </c>
      <c r="B1971" s="2" t="s">
        <v>60</v>
      </c>
      <c r="C1971" s="2" t="s">
        <v>20021</v>
      </c>
      <c r="D1971" s="2" t="s">
        <v>20022</v>
      </c>
      <c r="E1971" s="2" t="s">
        <v>20023</v>
      </c>
      <c r="G1971" s="3" t="s">
        <v>64</v>
      </c>
      <c r="I1971" s="3" t="s">
        <v>64</v>
      </c>
      <c r="J1971" s="3" t="s">
        <v>64</v>
      </c>
      <c r="K1971" s="3" t="s">
        <v>65</v>
      </c>
      <c r="L1971" s="2" t="s">
        <v>20024</v>
      </c>
      <c r="M1971" s="2" t="s">
        <v>14044</v>
      </c>
      <c r="N1971" s="3" t="s">
        <v>326</v>
      </c>
      <c r="P1971" s="3" t="s">
        <v>102</v>
      </c>
      <c r="R1971" s="3" t="s">
        <v>70</v>
      </c>
      <c r="S1971" s="4">
        <v>1</v>
      </c>
      <c r="T1971" s="4">
        <v>1</v>
      </c>
      <c r="U1971" s="5" t="s">
        <v>20025</v>
      </c>
      <c r="V1971" s="5" t="s">
        <v>20025</v>
      </c>
      <c r="W1971" s="5" t="s">
        <v>72</v>
      </c>
      <c r="X1971" s="5" t="s">
        <v>72</v>
      </c>
      <c r="Y1971" s="4">
        <v>403</v>
      </c>
      <c r="Z1971" s="4">
        <v>25</v>
      </c>
      <c r="AA1971" s="4">
        <v>26</v>
      </c>
      <c r="AB1971" s="4">
        <v>1</v>
      </c>
      <c r="AC1971" s="4">
        <v>2</v>
      </c>
      <c r="AD1971" s="4">
        <v>69</v>
      </c>
      <c r="AE1971" s="4">
        <v>70</v>
      </c>
      <c r="AF1971" s="4">
        <v>0</v>
      </c>
      <c r="AG1971" s="4">
        <v>1</v>
      </c>
      <c r="AH1971" s="4">
        <v>63</v>
      </c>
      <c r="AI1971" s="4">
        <v>63</v>
      </c>
      <c r="AJ1971" s="4">
        <v>8</v>
      </c>
      <c r="AK1971" s="4">
        <v>9</v>
      </c>
      <c r="AL1971" s="4">
        <v>30</v>
      </c>
      <c r="AM1971" s="4">
        <v>30</v>
      </c>
      <c r="AN1971" s="4">
        <v>0</v>
      </c>
      <c r="AO1971" s="4">
        <v>0</v>
      </c>
      <c r="AP1971" s="4">
        <v>10</v>
      </c>
      <c r="AQ1971" s="4">
        <v>10</v>
      </c>
      <c r="AR1971" s="3" t="s">
        <v>64</v>
      </c>
      <c r="AS1971" s="3" t="s">
        <v>64</v>
      </c>
      <c r="AT1971" s="3" t="s">
        <v>64</v>
      </c>
      <c r="AV1971" s="6" t="str">
        <f>HYPERLINK("http://mcgill.on.worldcat.org/oclc/662152479","Catalog Record")</f>
        <v>Catalog Record</v>
      </c>
      <c r="AW1971" s="6" t="str">
        <f>HYPERLINK("http://www.worldcat.org/oclc/662152479","WorldCat Record")</f>
        <v>WorldCat Record</v>
      </c>
      <c r="AX1971" s="3" t="s">
        <v>20026</v>
      </c>
      <c r="AY1971" s="3" t="s">
        <v>20027</v>
      </c>
      <c r="AZ1971" s="3" t="s">
        <v>20028</v>
      </c>
      <c r="BA1971" s="3" t="s">
        <v>20028</v>
      </c>
      <c r="BB1971" s="3" t="s">
        <v>20029</v>
      </c>
      <c r="BC1971" s="3" t="s">
        <v>77</v>
      </c>
      <c r="BD1971" s="3" t="s">
        <v>78</v>
      </c>
      <c r="BE1971" s="3" t="s">
        <v>20030</v>
      </c>
      <c r="BF1971" s="3" t="s">
        <v>20029</v>
      </c>
      <c r="BG1971" s="3" t="s">
        <v>20031</v>
      </c>
      <c r="BH1971">
        <f t="shared" si="52"/>
        <v>0</v>
      </c>
    </row>
    <row r="1972" spans="1:60" ht="58" x14ac:dyDescent="0.35">
      <c r="A1972" s="2" t="s">
        <v>59</v>
      </c>
      <c r="B1972" s="2" t="s">
        <v>60</v>
      </c>
      <c r="C1972" s="2" t="s">
        <v>20032</v>
      </c>
      <c r="D1972" s="2" t="s">
        <v>20033</v>
      </c>
      <c r="E1972" s="2" t="s">
        <v>20034</v>
      </c>
      <c r="G1972" s="3" t="s">
        <v>64</v>
      </c>
      <c r="I1972" s="3" t="s">
        <v>64</v>
      </c>
      <c r="J1972" s="3" t="s">
        <v>128</v>
      </c>
      <c r="K1972" s="3" t="s">
        <v>65</v>
      </c>
      <c r="L1972" s="2" t="s">
        <v>20035</v>
      </c>
      <c r="M1972" s="2" t="s">
        <v>20036</v>
      </c>
      <c r="N1972" s="3" t="s">
        <v>1615</v>
      </c>
      <c r="O1972" s="2" t="s">
        <v>734</v>
      </c>
      <c r="P1972" s="3" t="s">
        <v>102</v>
      </c>
      <c r="Q1972" s="2" t="s">
        <v>20037</v>
      </c>
      <c r="R1972" s="3" t="s">
        <v>70</v>
      </c>
      <c r="S1972" s="4">
        <v>13</v>
      </c>
      <c r="T1972" s="4">
        <v>13</v>
      </c>
      <c r="U1972" s="5" t="s">
        <v>20038</v>
      </c>
      <c r="V1972" s="5" t="s">
        <v>20038</v>
      </c>
      <c r="W1972" s="5" t="s">
        <v>72</v>
      </c>
      <c r="X1972" s="5" t="s">
        <v>72</v>
      </c>
      <c r="Y1972" s="4">
        <v>253</v>
      </c>
      <c r="Z1972" s="4">
        <v>7</v>
      </c>
      <c r="AA1972" s="4">
        <v>22</v>
      </c>
      <c r="AB1972" s="4">
        <v>2</v>
      </c>
      <c r="AC1972" s="4">
        <v>5</v>
      </c>
      <c r="AD1972" s="4">
        <v>68</v>
      </c>
      <c r="AE1972" s="4">
        <v>107</v>
      </c>
      <c r="AF1972" s="4">
        <v>1</v>
      </c>
      <c r="AG1972" s="4">
        <v>2</v>
      </c>
      <c r="AH1972" s="4">
        <v>65</v>
      </c>
      <c r="AI1972" s="4">
        <v>98</v>
      </c>
      <c r="AJ1972" s="4">
        <v>5</v>
      </c>
      <c r="AK1972" s="4">
        <v>14</v>
      </c>
      <c r="AL1972" s="4">
        <v>35</v>
      </c>
      <c r="AM1972" s="4">
        <v>51</v>
      </c>
      <c r="AN1972" s="4">
        <v>0</v>
      </c>
      <c r="AO1972" s="4">
        <v>0</v>
      </c>
      <c r="AP1972" s="4">
        <v>5</v>
      </c>
      <c r="AQ1972" s="4">
        <v>14</v>
      </c>
      <c r="AR1972" s="3" t="s">
        <v>64</v>
      </c>
      <c r="AS1972" s="3" t="s">
        <v>64</v>
      </c>
      <c r="AT1972" s="3" t="s">
        <v>128</v>
      </c>
      <c r="AU1972" s="6" t="str">
        <f>HYPERLINK("http://catalog.hathitrust.org/Record/003142120","HathiTrust Record")</f>
        <v>HathiTrust Record</v>
      </c>
      <c r="AV1972" s="6" t="str">
        <f>HYPERLINK("http://mcgill.on.worldcat.org/oclc/35122057","Catalog Record")</f>
        <v>Catalog Record</v>
      </c>
      <c r="AW1972" s="6" t="str">
        <f>HYPERLINK("http://www.worldcat.org/oclc/35122057","WorldCat Record")</f>
        <v>WorldCat Record</v>
      </c>
      <c r="AX1972" s="3" t="s">
        <v>20039</v>
      </c>
      <c r="AY1972" s="3" t="s">
        <v>20040</v>
      </c>
      <c r="AZ1972" s="3" t="s">
        <v>20041</v>
      </c>
      <c r="BA1972" s="3" t="s">
        <v>20041</v>
      </c>
      <c r="BB1972" s="3" t="s">
        <v>20042</v>
      </c>
      <c r="BC1972" s="3" t="s">
        <v>77</v>
      </c>
      <c r="BD1972" s="3" t="s">
        <v>78</v>
      </c>
      <c r="BE1972" s="3" t="s">
        <v>20043</v>
      </c>
      <c r="BF1972" s="3" t="s">
        <v>20042</v>
      </c>
      <c r="BG1972" s="3" t="s">
        <v>20044</v>
      </c>
      <c r="BH1972">
        <f t="shared" si="52"/>
        <v>0</v>
      </c>
    </row>
    <row r="1973" spans="1:60" ht="58" x14ac:dyDescent="0.35">
      <c r="A1973" s="2" t="s">
        <v>59</v>
      </c>
      <c r="B1973" s="2" t="s">
        <v>60</v>
      </c>
      <c r="C1973" s="2" t="s">
        <v>20045</v>
      </c>
      <c r="D1973" s="2" t="s">
        <v>20046</v>
      </c>
      <c r="E1973" s="2" t="s">
        <v>20047</v>
      </c>
      <c r="G1973" s="3" t="s">
        <v>64</v>
      </c>
      <c r="I1973" s="3" t="s">
        <v>64</v>
      </c>
      <c r="J1973" s="3" t="s">
        <v>64</v>
      </c>
      <c r="K1973" s="3" t="s">
        <v>65</v>
      </c>
      <c r="L1973" s="2" t="s">
        <v>20048</v>
      </c>
      <c r="M1973" s="2" t="s">
        <v>20049</v>
      </c>
      <c r="N1973" s="3" t="s">
        <v>434</v>
      </c>
      <c r="O1973" s="2" t="s">
        <v>2149</v>
      </c>
      <c r="P1973" s="3" t="s">
        <v>102</v>
      </c>
      <c r="R1973" s="3" t="s">
        <v>70</v>
      </c>
      <c r="S1973" s="4">
        <v>18</v>
      </c>
      <c r="T1973" s="4">
        <v>18</v>
      </c>
      <c r="U1973" s="5" t="s">
        <v>5624</v>
      </c>
      <c r="V1973" s="5" t="s">
        <v>5624</v>
      </c>
      <c r="W1973" s="5" t="s">
        <v>72</v>
      </c>
      <c r="X1973" s="5" t="s">
        <v>72</v>
      </c>
      <c r="Y1973" s="4">
        <v>673</v>
      </c>
      <c r="Z1973" s="4">
        <v>36</v>
      </c>
      <c r="AA1973" s="4">
        <v>39</v>
      </c>
      <c r="AB1973" s="4">
        <v>4</v>
      </c>
      <c r="AC1973" s="4">
        <v>7</v>
      </c>
      <c r="AD1973" s="4">
        <v>82</v>
      </c>
      <c r="AE1973" s="4">
        <v>83</v>
      </c>
      <c r="AF1973" s="4">
        <v>1</v>
      </c>
      <c r="AG1973" s="4">
        <v>2</v>
      </c>
      <c r="AH1973" s="4">
        <v>73</v>
      </c>
      <c r="AI1973" s="4">
        <v>73</v>
      </c>
      <c r="AJ1973" s="4">
        <v>14</v>
      </c>
      <c r="AK1973" s="4">
        <v>15</v>
      </c>
      <c r="AL1973" s="4">
        <v>36</v>
      </c>
      <c r="AM1973" s="4">
        <v>36</v>
      </c>
      <c r="AN1973" s="4">
        <v>0</v>
      </c>
      <c r="AO1973" s="4">
        <v>0</v>
      </c>
      <c r="AP1973" s="4">
        <v>17</v>
      </c>
      <c r="AQ1973" s="4">
        <v>17</v>
      </c>
      <c r="AR1973" s="3" t="s">
        <v>64</v>
      </c>
      <c r="AS1973" s="3" t="s">
        <v>64</v>
      </c>
      <c r="AT1973" s="3" t="s">
        <v>64</v>
      </c>
      <c r="AV1973" s="6" t="str">
        <f>HYPERLINK("http://mcgill.on.worldcat.org/oclc/59002833","Catalog Record")</f>
        <v>Catalog Record</v>
      </c>
      <c r="AW1973" s="6" t="str">
        <f>HYPERLINK("http://www.worldcat.org/oclc/59002833","WorldCat Record")</f>
        <v>WorldCat Record</v>
      </c>
      <c r="AX1973" s="3" t="s">
        <v>20050</v>
      </c>
      <c r="AY1973" s="3" t="s">
        <v>20051</v>
      </c>
      <c r="AZ1973" s="3" t="s">
        <v>20052</v>
      </c>
      <c r="BA1973" s="3" t="s">
        <v>20052</v>
      </c>
      <c r="BB1973" s="3" t="s">
        <v>20053</v>
      </c>
      <c r="BC1973" s="3" t="s">
        <v>77</v>
      </c>
      <c r="BD1973" s="3" t="s">
        <v>78</v>
      </c>
      <c r="BE1973" s="3" t="s">
        <v>20054</v>
      </c>
      <c r="BF1973" s="3" t="s">
        <v>20053</v>
      </c>
      <c r="BG1973" s="3" t="s">
        <v>20055</v>
      </c>
      <c r="BH1973">
        <f t="shared" si="52"/>
        <v>0</v>
      </c>
    </row>
    <row r="1974" spans="1:60" ht="58" x14ac:dyDescent="0.35">
      <c r="A1974" s="2" t="s">
        <v>59</v>
      </c>
      <c r="B1974" s="2" t="s">
        <v>60</v>
      </c>
      <c r="C1974" s="2" t="s">
        <v>20056</v>
      </c>
      <c r="D1974" s="2" t="s">
        <v>20057</v>
      </c>
      <c r="E1974" s="2" t="s">
        <v>20058</v>
      </c>
      <c r="G1974" s="3" t="s">
        <v>64</v>
      </c>
      <c r="I1974" s="3" t="s">
        <v>64</v>
      </c>
      <c r="J1974" s="3" t="s">
        <v>64</v>
      </c>
      <c r="K1974" s="3" t="s">
        <v>65</v>
      </c>
      <c r="L1974" s="2" t="s">
        <v>20059</v>
      </c>
      <c r="M1974" s="2" t="s">
        <v>20060</v>
      </c>
      <c r="N1974" s="3" t="s">
        <v>2067</v>
      </c>
      <c r="P1974" s="3" t="s">
        <v>102</v>
      </c>
      <c r="R1974" s="3" t="s">
        <v>70</v>
      </c>
      <c r="S1974" s="4">
        <v>6</v>
      </c>
      <c r="T1974" s="4">
        <v>6</v>
      </c>
      <c r="U1974" s="5" t="s">
        <v>19896</v>
      </c>
      <c r="V1974" s="5" t="s">
        <v>19896</v>
      </c>
      <c r="W1974" s="5" t="s">
        <v>72</v>
      </c>
      <c r="X1974" s="5" t="s">
        <v>72</v>
      </c>
      <c r="Y1974" s="4">
        <v>216</v>
      </c>
      <c r="Z1974" s="4">
        <v>14</v>
      </c>
      <c r="AA1974" s="4">
        <v>16</v>
      </c>
      <c r="AB1974" s="4">
        <v>1</v>
      </c>
      <c r="AC1974" s="4">
        <v>3</v>
      </c>
      <c r="AD1974" s="4">
        <v>43</v>
      </c>
      <c r="AE1974" s="4">
        <v>44</v>
      </c>
      <c r="AF1974" s="4">
        <v>0</v>
      </c>
      <c r="AG1974" s="4">
        <v>1</v>
      </c>
      <c r="AH1974" s="4">
        <v>39</v>
      </c>
      <c r="AI1974" s="4">
        <v>39</v>
      </c>
      <c r="AJ1974" s="4">
        <v>6</v>
      </c>
      <c r="AK1974" s="4">
        <v>7</v>
      </c>
      <c r="AL1974" s="4">
        <v>19</v>
      </c>
      <c r="AM1974" s="4">
        <v>19</v>
      </c>
      <c r="AN1974" s="4">
        <v>0</v>
      </c>
      <c r="AO1974" s="4">
        <v>0</v>
      </c>
      <c r="AP1974" s="4">
        <v>7</v>
      </c>
      <c r="AQ1974" s="4">
        <v>7</v>
      </c>
      <c r="AR1974" s="3" t="s">
        <v>64</v>
      </c>
      <c r="AS1974" s="3" t="s">
        <v>64</v>
      </c>
      <c r="AT1974" s="3" t="s">
        <v>128</v>
      </c>
      <c r="AU1974" s="6" t="str">
        <f>HYPERLINK("http://catalog.hathitrust.org/Record/001534759","HathiTrust Record")</f>
        <v>HathiTrust Record</v>
      </c>
      <c r="AV1974" s="6" t="str">
        <f>HYPERLINK("http://mcgill.on.worldcat.org/oclc/22003675","Catalog Record")</f>
        <v>Catalog Record</v>
      </c>
      <c r="AW1974" s="6" t="str">
        <f>HYPERLINK("http://www.worldcat.org/oclc/22003675","WorldCat Record")</f>
        <v>WorldCat Record</v>
      </c>
      <c r="AX1974" s="3" t="s">
        <v>20061</v>
      </c>
      <c r="AY1974" s="3" t="s">
        <v>20062</v>
      </c>
      <c r="AZ1974" s="3" t="s">
        <v>20063</v>
      </c>
      <c r="BA1974" s="3" t="s">
        <v>20063</v>
      </c>
      <c r="BB1974" s="3" t="s">
        <v>20064</v>
      </c>
      <c r="BC1974" s="3" t="s">
        <v>77</v>
      </c>
      <c r="BD1974" s="3" t="s">
        <v>78</v>
      </c>
      <c r="BE1974" s="3" t="s">
        <v>20065</v>
      </c>
      <c r="BF1974" s="3" t="s">
        <v>20064</v>
      </c>
      <c r="BG1974" s="3" t="s">
        <v>20066</v>
      </c>
      <c r="BH1974">
        <f t="shared" si="52"/>
        <v>0</v>
      </c>
    </row>
    <row r="1975" spans="1:60" ht="58" x14ac:dyDescent="0.35">
      <c r="A1975" s="2" t="s">
        <v>59</v>
      </c>
      <c r="B1975" s="2" t="s">
        <v>60</v>
      </c>
      <c r="C1975" s="2" t="s">
        <v>20067</v>
      </c>
      <c r="D1975" s="2" t="s">
        <v>20068</v>
      </c>
      <c r="E1975" s="2" t="s">
        <v>20069</v>
      </c>
      <c r="G1975" s="3" t="s">
        <v>64</v>
      </c>
      <c r="I1975" s="3" t="s">
        <v>128</v>
      </c>
      <c r="J1975" s="3" t="s">
        <v>64</v>
      </c>
      <c r="K1975" s="3" t="s">
        <v>65</v>
      </c>
      <c r="L1975" s="2" t="s">
        <v>20070</v>
      </c>
      <c r="M1975" s="2" t="s">
        <v>20071</v>
      </c>
      <c r="N1975" s="3" t="s">
        <v>768</v>
      </c>
      <c r="P1975" s="3" t="s">
        <v>102</v>
      </c>
      <c r="Q1975" s="2" t="s">
        <v>20072</v>
      </c>
      <c r="R1975" s="3" t="s">
        <v>70</v>
      </c>
      <c r="S1975" s="4">
        <v>3</v>
      </c>
      <c r="T1975" s="4">
        <v>6</v>
      </c>
      <c r="U1975" s="5" t="s">
        <v>20073</v>
      </c>
      <c r="V1975" s="5" t="s">
        <v>19896</v>
      </c>
      <c r="W1975" s="5" t="s">
        <v>72</v>
      </c>
      <c r="X1975" s="5" t="s">
        <v>72</v>
      </c>
      <c r="Y1975" s="4">
        <v>122</v>
      </c>
      <c r="Z1975" s="4">
        <v>6</v>
      </c>
      <c r="AA1975" s="4">
        <v>6</v>
      </c>
      <c r="AB1975" s="4">
        <v>1</v>
      </c>
      <c r="AC1975" s="4">
        <v>1</v>
      </c>
      <c r="AD1975" s="4">
        <v>39</v>
      </c>
      <c r="AE1975" s="4">
        <v>39</v>
      </c>
      <c r="AF1975" s="4">
        <v>0</v>
      </c>
      <c r="AG1975" s="4">
        <v>0</v>
      </c>
      <c r="AH1975" s="4">
        <v>37</v>
      </c>
      <c r="AI1975" s="4">
        <v>37</v>
      </c>
      <c r="AJ1975" s="4">
        <v>4</v>
      </c>
      <c r="AK1975" s="4">
        <v>4</v>
      </c>
      <c r="AL1975" s="4">
        <v>21</v>
      </c>
      <c r="AM1975" s="4">
        <v>21</v>
      </c>
      <c r="AN1975" s="4">
        <v>0</v>
      </c>
      <c r="AO1975" s="4">
        <v>0</v>
      </c>
      <c r="AP1975" s="4">
        <v>3</v>
      </c>
      <c r="AQ1975" s="4">
        <v>3</v>
      </c>
      <c r="AR1975" s="3" t="s">
        <v>64</v>
      </c>
      <c r="AS1975" s="3" t="s">
        <v>64</v>
      </c>
      <c r="AT1975" s="3" t="s">
        <v>64</v>
      </c>
      <c r="AV1975" s="6" t="str">
        <f>HYPERLINK("http://mcgill.on.worldcat.org/oclc/4272943","Catalog Record")</f>
        <v>Catalog Record</v>
      </c>
      <c r="AW1975" s="6" t="str">
        <f>HYPERLINK("http://www.worldcat.org/oclc/4272943","WorldCat Record")</f>
        <v>WorldCat Record</v>
      </c>
      <c r="AX1975" s="3" t="s">
        <v>20074</v>
      </c>
      <c r="AY1975" s="3" t="s">
        <v>20075</v>
      </c>
      <c r="AZ1975" s="3" t="s">
        <v>20076</v>
      </c>
      <c r="BA1975" s="3" t="s">
        <v>20076</v>
      </c>
      <c r="BB1975" s="3" t="s">
        <v>20077</v>
      </c>
      <c r="BC1975" s="3" t="s">
        <v>77</v>
      </c>
      <c r="BD1975" s="3" t="s">
        <v>78</v>
      </c>
      <c r="BE1975" s="3" t="s">
        <v>20078</v>
      </c>
      <c r="BF1975" s="3" t="s">
        <v>20077</v>
      </c>
      <c r="BG1975" s="3" t="s">
        <v>20079</v>
      </c>
      <c r="BH1975">
        <f t="shared" si="52"/>
        <v>0</v>
      </c>
    </row>
    <row r="1976" spans="1:60" ht="58" x14ac:dyDescent="0.35">
      <c r="A1976" s="2" t="s">
        <v>59</v>
      </c>
      <c r="B1976" s="2" t="s">
        <v>60</v>
      </c>
      <c r="C1976" s="2" t="s">
        <v>20067</v>
      </c>
      <c r="D1976" s="2" t="s">
        <v>20068</v>
      </c>
      <c r="E1976" s="2" t="s">
        <v>20069</v>
      </c>
      <c r="G1976" s="3" t="s">
        <v>64</v>
      </c>
      <c r="I1976" s="3" t="s">
        <v>128</v>
      </c>
      <c r="J1976" s="3" t="s">
        <v>64</v>
      </c>
      <c r="K1976" s="3" t="s">
        <v>65</v>
      </c>
      <c r="L1976" s="2" t="s">
        <v>20070</v>
      </c>
      <c r="M1976" s="2" t="s">
        <v>20071</v>
      </c>
      <c r="N1976" s="3" t="s">
        <v>768</v>
      </c>
      <c r="P1976" s="3" t="s">
        <v>102</v>
      </c>
      <c r="Q1976" s="2" t="s">
        <v>20072</v>
      </c>
      <c r="R1976" s="3" t="s">
        <v>70</v>
      </c>
      <c r="S1976" s="4">
        <v>3</v>
      </c>
      <c r="T1976" s="4">
        <v>6</v>
      </c>
      <c r="U1976" s="5" t="s">
        <v>19896</v>
      </c>
      <c r="V1976" s="5" t="s">
        <v>19896</v>
      </c>
      <c r="W1976" s="5" t="s">
        <v>72</v>
      </c>
      <c r="X1976" s="5" t="s">
        <v>72</v>
      </c>
      <c r="Y1976" s="4">
        <v>122</v>
      </c>
      <c r="Z1976" s="4">
        <v>6</v>
      </c>
      <c r="AA1976" s="4">
        <v>6</v>
      </c>
      <c r="AB1976" s="4">
        <v>1</v>
      </c>
      <c r="AC1976" s="4">
        <v>1</v>
      </c>
      <c r="AD1976" s="4">
        <v>39</v>
      </c>
      <c r="AE1976" s="4">
        <v>39</v>
      </c>
      <c r="AF1976" s="4">
        <v>0</v>
      </c>
      <c r="AG1976" s="4">
        <v>0</v>
      </c>
      <c r="AH1976" s="4">
        <v>37</v>
      </c>
      <c r="AI1976" s="4">
        <v>37</v>
      </c>
      <c r="AJ1976" s="4">
        <v>4</v>
      </c>
      <c r="AK1976" s="4">
        <v>4</v>
      </c>
      <c r="AL1976" s="4">
        <v>21</v>
      </c>
      <c r="AM1976" s="4">
        <v>21</v>
      </c>
      <c r="AN1976" s="4">
        <v>0</v>
      </c>
      <c r="AO1976" s="4">
        <v>0</v>
      </c>
      <c r="AP1976" s="4">
        <v>3</v>
      </c>
      <c r="AQ1976" s="4">
        <v>3</v>
      </c>
      <c r="AR1976" s="3" t="s">
        <v>64</v>
      </c>
      <c r="AS1976" s="3" t="s">
        <v>64</v>
      </c>
      <c r="AT1976" s="3" t="s">
        <v>64</v>
      </c>
      <c r="AV1976" s="6" t="str">
        <f>HYPERLINK("http://mcgill.on.worldcat.org/oclc/4272943","Catalog Record")</f>
        <v>Catalog Record</v>
      </c>
      <c r="AW1976" s="6" t="str">
        <f>HYPERLINK("http://www.worldcat.org/oclc/4272943","WorldCat Record")</f>
        <v>WorldCat Record</v>
      </c>
      <c r="AX1976" s="3" t="s">
        <v>20074</v>
      </c>
      <c r="AY1976" s="3" t="s">
        <v>20075</v>
      </c>
      <c r="AZ1976" s="3" t="s">
        <v>20076</v>
      </c>
      <c r="BA1976" s="3" t="s">
        <v>20076</v>
      </c>
      <c r="BB1976" s="3" t="s">
        <v>20080</v>
      </c>
      <c r="BC1976" s="3" t="s">
        <v>77</v>
      </c>
      <c r="BD1976" s="3" t="s">
        <v>78</v>
      </c>
      <c r="BE1976" s="3" t="s">
        <v>20078</v>
      </c>
      <c r="BF1976" s="3" t="s">
        <v>20080</v>
      </c>
      <c r="BG1976" s="3" t="s">
        <v>20081</v>
      </c>
      <c r="BH1976">
        <f t="shared" si="52"/>
        <v>0</v>
      </c>
    </row>
    <row r="1977" spans="1:60" ht="58" x14ac:dyDescent="0.35">
      <c r="A1977" s="2" t="s">
        <v>59</v>
      </c>
      <c r="B1977" s="2" t="s">
        <v>60</v>
      </c>
      <c r="C1977" s="2" t="s">
        <v>20082</v>
      </c>
      <c r="D1977" s="2" t="s">
        <v>20083</v>
      </c>
      <c r="E1977" s="2" t="s">
        <v>20084</v>
      </c>
      <c r="G1977" s="3" t="s">
        <v>64</v>
      </c>
      <c r="I1977" s="3" t="s">
        <v>64</v>
      </c>
      <c r="J1977" s="3" t="s">
        <v>64</v>
      </c>
      <c r="K1977" s="3" t="s">
        <v>65</v>
      </c>
      <c r="L1977" s="2" t="s">
        <v>20085</v>
      </c>
      <c r="M1977" s="2" t="s">
        <v>20086</v>
      </c>
      <c r="N1977" s="3" t="s">
        <v>1938</v>
      </c>
      <c r="P1977" s="3" t="s">
        <v>102</v>
      </c>
      <c r="Q1977" s="2" t="s">
        <v>20087</v>
      </c>
      <c r="R1977" s="3" t="s">
        <v>70</v>
      </c>
      <c r="S1977" s="4">
        <v>4</v>
      </c>
      <c r="T1977" s="4">
        <v>4</v>
      </c>
      <c r="U1977" s="5" t="s">
        <v>4382</v>
      </c>
      <c r="V1977" s="5" t="s">
        <v>4382</v>
      </c>
      <c r="W1977" s="5" t="s">
        <v>72</v>
      </c>
      <c r="X1977" s="5" t="s">
        <v>72</v>
      </c>
      <c r="Y1977" s="4">
        <v>312</v>
      </c>
      <c r="Z1977" s="4">
        <v>21</v>
      </c>
      <c r="AA1977" s="4">
        <v>22</v>
      </c>
      <c r="AB1977" s="4">
        <v>1</v>
      </c>
      <c r="AC1977" s="4">
        <v>2</v>
      </c>
      <c r="AD1977" s="4">
        <v>83</v>
      </c>
      <c r="AE1977" s="4">
        <v>84</v>
      </c>
      <c r="AF1977" s="4">
        <v>0</v>
      </c>
      <c r="AG1977" s="4">
        <v>1</v>
      </c>
      <c r="AH1977" s="4">
        <v>77</v>
      </c>
      <c r="AI1977" s="4">
        <v>77</v>
      </c>
      <c r="AJ1977" s="4">
        <v>9</v>
      </c>
      <c r="AK1977" s="4">
        <v>10</v>
      </c>
      <c r="AL1977" s="4">
        <v>41</v>
      </c>
      <c r="AM1977" s="4">
        <v>41</v>
      </c>
      <c r="AN1977" s="4">
        <v>0</v>
      </c>
      <c r="AO1977" s="4">
        <v>0</v>
      </c>
      <c r="AP1977" s="4">
        <v>10</v>
      </c>
      <c r="AQ1977" s="4">
        <v>10</v>
      </c>
      <c r="AR1977" s="3" t="s">
        <v>64</v>
      </c>
      <c r="AS1977" s="3" t="s">
        <v>64</v>
      </c>
      <c r="AT1977" s="3" t="s">
        <v>128</v>
      </c>
      <c r="AU1977" s="6" t="str">
        <f>HYPERLINK("http://catalog.hathitrust.org/Record/002228229","HathiTrust Record")</f>
        <v>HathiTrust Record</v>
      </c>
      <c r="AV1977" s="6" t="str">
        <f>HYPERLINK("http://mcgill.on.worldcat.org/oclc/20994707","Catalog Record")</f>
        <v>Catalog Record</v>
      </c>
      <c r="AW1977" s="6" t="str">
        <f>HYPERLINK("http://www.worldcat.org/oclc/20994707","WorldCat Record")</f>
        <v>WorldCat Record</v>
      </c>
      <c r="AX1977" s="3" t="s">
        <v>20088</v>
      </c>
      <c r="AY1977" s="3" t="s">
        <v>20089</v>
      </c>
      <c r="AZ1977" s="3" t="s">
        <v>20090</v>
      </c>
      <c r="BA1977" s="3" t="s">
        <v>20090</v>
      </c>
      <c r="BB1977" s="3" t="s">
        <v>20091</v>
      </c>
      <c r="BC1977" s="3" t="s">
        <v>77</v>
      </c>
      <c r="BD1977" s="3" t="s">
        <v>78</v>
      </c>
      <c r="BE1977" s="3" t="s">
        <v>20092</v>
      </c>
      <c r="BF1977" s="3" t="s">
        <v>20091</v>
      </c>
      <c r="BG1977" s="3" t="s">
        <v>20093</v>
      </c>
      <c r="BH1977">
        <f t="shared" si="52"/>
        <v>0</v>
      </c>
    </row>
    <row r="1978" spans="1:60" ht="58" x14ac:dyDescent="0.35">
      <c r="A1978" s="2" t="s">
        <v>59</v>
      </c>
      <c r="B1978" s="2" t="s">
        <v>60</v>
      </c>
      <c r="C1978" s="2" t="s">
        <v>20094</v>
      </c>
      <c r="D1978" s="2" t="s">
        <v>20095</v>
      </c>
      <c r="E1978" s="2" t="s">
        <v>20096</v>
      </c>
      <c r="G1978" s="3" t="s">
        <v>64</v>
      </c>
      <c r="I1978" s="3" t="s">
        <v>64</v>
      </c>
      <c r="J1978" s="3" t="s">
        <v>64</v>
      </c>
      <c r="K1978" s="3" t="s">
        <v>65</v>
      </c>
      <c r="L1978" s="2" t="s">
        <v>20097</v>
      </c>
      <c r="M1978" s="2" t="s">
        <v>9226</v>
      </c>
      <c r="N1978" s="3" t="s">
        <v>511</v>
      </c>
      <c r="P1978" s="3" t="s">
        <v>102</v>
      </c>
      <c r="Q1978" s="2" t="s">
        <v>8981</v>
      </c>
      <c r="R1978" s="3" t="s">
        <v>70</v>
      </c>
      <c r="S1978" s="4">
        <v>1</v>
      </c>
      <c r="T1978" s="4">
        <v>1</v>
      </c>
      <c r="U1978" s="5" t="s">
        <v>19593</v>
      </c>
      <c r="V1978" s="5" t="s">
        <v>19593</v>
      </c>
      <c r="W1978" s="5" t="s">
        <v>72</v>
      </c>
      <c r="X1978" s="5" t="s">
        <v>72</v>
      </c>
      <c r="Y1978" s="4">
        <v>147</v>
      </c>
      <c r="Z1978" s="4">
        <v>14</v>
      </c>
      <c r="AA1978" s="4">
        <v>28</v>
      </c>
      <c r="AB1978" s="4">
        <v>3</v>
      </c>
      <c r="AC1978" s="4">
        <v>6</v>
      </c>
      <c r="AD1978" s="4">
        <v>25</v>
      </c>
      <c r="AE1978" s="4">
        <v>55</v>
      </c>
      <c r="AF1978" s="4">
        <v>1</v>
      </c>
      <c r="AG1978" s="4">
        <v>2</v>
      </c>
      <c r="AH1978" s="4">
        <v>20</v>
      </c>
      <c r="AI1978" s="4">
        <v>45</v>
      </c>
      <c r="AJ1978" s="4">
        <v>7</v>
      </c>
      <c r="AK1978" s="4">
        <v>12</v>
      </c>
      <c r="AL1978" s="4">
        <v>13</v>
      </c>
      <c r="AM1978" s="4">
        <v>24</v>
      </c>
      <c r="AN1978" s="4">
        <v>0</v>
      </c>
      <c r="AO1978" s="4">
        <v>0</v>
      </c>
      <c r="AP1978" s="4">
        <v>9</v>
      </c>
      <c r="AQ1978" s="4">
        <v>15</v>
      </c>
      <c r="AR1978" s="3" t="s">
        <v>64</v>
      </c>
      <c r="AS1978" s="3" t="s">
        <v>64</v>
      </c>
      <c r="AT1978" s="3" t="s">
        <v>64</v>
      </c>
      <c r="AV1978" s="6" t="str">
        <f>HYPERLINK("http://mcgill.on.worldcat.org/oclc/503046660","Catalog Record")</f>
        <v>Catalog Record</v>
      </c>
      <c r="AW1978" s="6" t="str">
        <f>HYPERLINK("http://www.worldcat.org/oclc/503046660","WorldCat Record")</f>
        <v>WorldCat Record</v>
      </c>
      <c r="AX1978" s="3" t="s">
        <v>20098</v>
      </c>
      <c r="AY1978" s="3" t="s">
        <v>20099</v>
      </c>
      <c r="AZ1978" s="3" t="s">
        <v>20100</v>
      </c>
      <c r="BA1978" s="3" t="s">
        <v>20100</v>
      </c>
      <c r="BB1978" s="3" t="s">
        <v>20101</v>
      </c>
      <c r="BC1978" s="3" t="s">
        <v>77</v>
      </c>
      <c r="BD1978" s="3" t="s">
        <v>78</v>
      </c>
      <c r="BE1978" s="3" t="s">
        <v>20102</v>
      </c>
      <c r="BF1978" s="3" t="s">
        <v>20101</v>
      </c>
      <c r="BG1978" s="3" t="s">
        <v>20103</v>
      </c>
      <c r="BH1978">
        <f t="shared" si="52"/>
        <v>0</v>
      </c>
    </row>
    <row r="1979" spans="1:60" ht="58" x14ac:dyDescent="0.35">
      <c r="A1979" s="2" t="s">
        <v>59</v>
      </c>
      <c r="B1979" s="2" t="s">
        <v>60</v>
      </c>
      <c r="C1979" s="2" t="s">
        <v>20104</v>
      </c>
      <c r="D1979" s="2" t="s">
        <v>20105</v>
      </c>
      <c r="E1979" s="2" t="s">
        <v>20106</v>
      </c>
      <c r="G1979" s="3" t="s">
        <v>64</v>
      </c>
      <c r="I1979" s="3" t="s">
        <v>64</v>
      </c>
      <c r="J1979" s="3" t="s">
        <v>64</v>
      </c>
      <c r="K1979" s="3" t="s">
        <v>65</v>
      </c>
      <c r="L1979" s="2" t="s">
        <v>20107</v>
      </c>
      <c r="M1979" s="2" t="s">
        <v>18533</v>
      </c>
      <c r="N1979" s="3" t="s">
        <v>578</v>
      </c>
      <c r="P1979" s="3" t="s">
        <v>102</v>
      </c>
      <c r="R1979" s="3" t="s">
        <v>70</v>
      </c>
      <c r="S1979" s="4">
        <v>1</v>
      </c>
      <c r="T1979" s="4">
        <v>1</v>
      </c>
      <c r="U1979" s="5" t="s">
        <v>9697</v>
      </c>
      <c r="V1979" s="5" t="s">
        <v>9697</v>
      </c>
      <c r="W1979" s="5" t="s">
        <v>72</v>
      </c>
      <c r="X1979" s="5" t="s">
        <v>72</v>
      </c>
      <c r="Y1979" s="4">
        <v>267</v>
      </c>
      <c r="Z1979" s="4">
        <v>11</v>
      </c>
      <c r="AA1979" s="4">
        <v>14</v>
      </c>
      <c r="AB1979" s="4">
        <v>1</v>
      </c>
      <c r="AC1979" s="4">
        <v>3</v>
      </c>
      <c r="AD1979" s="4">
        <v>49</v>
      </c>
      <c r="AE1979" s="4">
        <v>50</v>
      </c>
      <c r="AF1979" s="4">
        <v>0</v>
      </c>
      <c r="AG1979" s="4">
        <v>1</v>
      </c>
      <c r="AH1979" s="4">
        <v>46</v>
      </c>
      <c r="AI1979" s="4">
        <v>46</v>
      </c>
      <c r="AJ1979" s="4">
        <v>4</v>
      </c>
      <c r="AK1979" s="4">
        <v>5</v>
      </c>
      <c r="AL1979" s="4">
        <v>26</v>
      </c>
      <c r="AM1979" s="4">
        <v>26</v>
      </c>
      <c r="AN1979" s="4">
        <v>0</v>
      </c>
      <c r="AO1979" s="4">
        <v>0</v>
      </c>
      <c r="AP1979" s="4">
        <v>6</v>
      </c>
      <c r="AQ1979" s="4">
        <v>6</v>
      </c>
      <c r="AR1979" s="3" t="s">
        <v>64</v>
      </c>
      <c r="AS1979" s="3" t="s">
        <v>64</v>
      </c>
      <c r="AT1979" s="3" t="s">
        <v>64</v>
      </c>
      <c r="AV1979" s="6" t="str">
        <f>HYPERLINK("http://mcgill.on.worldcat.org/oclc/985446891","Catalog Record")</f>
        <v>Catalog Record</v>
      </c>
      <c r="AW1979" s="6" t="str">
        <f>HYPERLINK("http://www.worldcat.org/oclc/985446891","WorldCat Record")</f>
        <v>WorldCat Record</v>
      </c>
      <c r="AX1979" s="3" t="s">
        <v>20108</v>
      </c>
      <c r="AY1979" s="3" t="s">
        <v>20109</v>
      </c>
      <c r="AZ1979" s="3" t="s">
        <v>20110</v>
      </c>
      <c r="BA1979" s="3" t="s">
        <v>20110</v>
      </c>
      <c r="BB1979" s="3" t="s">
        <v>20111</v>
      </c>
      <c r="BC1979" s="3" t="s">
        <v>77</v>
      </c>
      <c r="BD1979" s="3" t="s">
        <v>78</v>
      </c>
      <c r="BE1979" s="3" t="s">
        <v>20112</v>
      </c>
      <c r="BF1979" s="3" t="s">
        <v>20111</v>
      </c>
      <c r="BG1979" s="3" t="s">
        <v>20113</v>
      </c>
      <c r="BH1979">
        <f t="shared" si="52"/>
        <v>0</v>
      </c>
    </row>
    <row r="1980" spans="1:60" ht="58" x14ac:dyDescent="0.35">
      <c r="A1980" s="2" t="s">
        <v>59</v>
      </c>
      <c r="B1980" s="2" t="s">
        <v>60</v>
      </c>
      <c r="C1980" s="2" t="s">
        <v>20114</v>
      </c>
      <c r="D1980" s="2" t="s">
        <v>20115</v>
      </c>
      <c r="E1980" s="2" t="s">
        <v>20116</v>
      </c>
      <c r="G1980" s="3" t="s">
        <v>64</v>
      </c>
      <c r="I1980" s="3" t="s">
        <v>64</v>
      </c>
      <c r="J1980" s="3" t="s">
        <v>64</v>
      </c>
      <c r="K1980" s="3" t="s">
        <v>65</v>
      </c>
      <c r="L1980" s="2" t="s">
        <v>20117</v>
      </c>
      <c r="M1980" s="2" t="s">
        <v>20118</v>
      </c>
      <c r="N1980" s="3" t="s">
        <v>1750</v>
      </c>
      <c r="P1980" s="3" t="s">
        <v>102</v>
      </c>
      <c r="R1980" s="3" t="s">
        <v>70</v>
      </c>
      <c r="S1980" s="4">
        <v>1</v>
      </c>
      <c r="T1980" s="4">
        <v>1</v>
      </c>
      <c r="U1980" s="5" t="s">
        <v>19896</v>
      </c>
      <c r="V1980" s="5" t="s">
        <v>19896</v>
      </c>
      <c r="W1980" s="5" t="s">
        <v>72</v>
      </c>
      <c r="X1980" s="5" t="s">
        <v>72</v>
      </c>
      <c r="Y1980" s="4">
        <v>88</v>
      </c>
      <c r="Z1980" s="4">
        <v>8</v>
      </c>
      <c r="AA1980" s="4">
        <v>9</v>
      </c>
      <c r="AB1980" s="4">
        <v>1</v>
      </c>
      <c r="AC1980" s="4">
        <v>2</v>
      </c>
      <c r="AD1980" s="4">
        <v>31</v>
      </c>
      <c r="AE1980" s="4">
        <v>32</v>
      </c>
      <c r="AF1980" s="4">
        <v>0</v>
      </c>
      <c r="AG1980" s="4">
        <v>1</v>
      </c>
      <c r="AH1980" s="4">
        <v>28</v>
      </c>
      <c r="AI1980" s="4">
        <v>28</v>
      </c>
      <c r="AJ1980" s="4">
        <v>6</v>
      </c>
      <c r="AK1980" s="4">
        <v>7</v>
      </c>
      <c r="AL1980" s="4">
        <v>16</v>
      </c>
      <c r="AM1980" s="4">
        <v>16</v>
      </c>
      <c r="AN1980" s="4">
        <v>0</v>
      </c>
      <c r="AO1980" s="4">
        <v>0</v>
      </c>
      <c r="AP1980" s="4">
        <v>5</v>
      </c>
      <c r="AQ1980" s="4">
        <v>5</v>
      </c>
      <c r="AR1980" s="3" t="s">
        <v>64</v>
      </c>
      <c r="AS1980" s="3" t="s">
        <v>64</v>
      </c>
      <c r="AT1980" s="3" t="s">
        <v>128</v>
      </c>
      <c r="AU1980" s="6" t="str">
        <f>HYPERLINK("http://catalog.hathitrust.org/Record/000696004","HathiTrust Record")</f>
        <v>HathiTrust Record</v>
      </c>
      <c r="AV1980" s="6" t="str">
        <f>HYPERLINK("http://mcgill.on.worldcat.org/oclc/1860161","Catalog Record")</f>
        <v>Catalog Record</v>
      </c>
      <c r="AW1980" s="6" t="str">
        <f>HYPERLINK("http://www.worldcat.org/oclc/1860161","WorldCat Record")</f>
        <v>WorldCat Record</v>
      </c>
      <c r="AX1980" s="3" t="s">
        <v>20119</v>
      </c>
      <c r="AY1980" s="3" t="s">
        <v>20120</v>
      </c>
      <c r="AZ1980" s="3" t="s">
        <v>20121</v>
      </c>
      <c r="BA1980" s="3" t="s">
        <v>20121</v>
      </c>
      <c r="BB1980" s="3" t="s">
        <v>20122</v>
      </c>
      <c r="BC1980" s="3" t="s">
        <v>77</v>
      </c>
      <c r="BD1980" s="3" t="s">
        <v>78</v>
      </c>
      <c r="BE1980" s="3" t="s">
        <v>20123</v>
      </c>
      <c r="BF1980" s="3" t="s">
        <v>20122</v>
      </c>
      <c r="BG1980" s="3" t="s">
        <v>20124</v>
      </c>
      <c r="BH1980">
        <f t="shared" si="52"/>
        <v>0</v>
      </c>
    </row>
    <row r="1981" spans="1:60" ht="58" x14ac:dyDescent="0.35">
      <c r="A1981" s="2" t="s">
        <v>59</v>
      </c>
      <c r="B1981" s="2" t="s">
        <v>60</v>
      </c>
      <c r="C1981" s="2" t="s">
        <v>20125</v>
      </c>
      <c r="D1981" s="2" t="s">
        <v>20126</v>
      </c>
      <c r="E1981" s="2" t="s">
        <v>20127</v>
      </c>
      <c r="G1981" s="3" t="s">
        <v>64</v>
      </c>
      <c r="I1981" s="3" t="s">
        <v>64</v>
      </c>
      <c r="J1981" s="3" t="s">
        <v>64</v>
      </c>
      <c r="K1981" s="3" t="s">
        <v>65</v>
      </c>
      <c r="L1981" s="2" t="s">
        <v>20128</v>
      </c>
      <c r="M1981" s="2" t="s">
        <v>19592</v>
      </c>
      <c r="N1981" s="3" t="s">
        <v>86</v>
      </c>
      <c r="P1981" s="3" t="s">
        <v>102</v>
      </c>
      <c r="Q1981" s="2" t="s">
        <v>8981</v>
      </c>
      <c r="R1981" s="3" t="s">
        <v>70</v>
      </c>
      <c r="S1981" s="4">
        <v>0</v>
      </c>
      <c r="T1981" s="4">
        <v>0</v>
      </c>
      <c r="W1981" s="5" t="s">
        <v>72</v>
      </c>
      <c r="X1981" s="5" t="s">
        <v>72</v>
      </c>
      <c r="Y1981" s="4">
        <v>63</v>
      </c>
      <c r="Z1981" s="4">
        <v>6</v>
      </c>
      <c r="AA1981" s="4">
        <v>80</v>
      </c>
      <c r="AB1981" s="4">
        <v>1</v>
      </c>
      <c r="AC1981" s="4">
        <v>15</v>
      </c>
      <c r="AD1981" s="4">
        <v>11</v>
      </c>
      <c r="AE1981" s="4">
        <v>102</v>
      </c>
      <c r="AF1981" s="4">
        <v>0</v>
      </c>
      <c r="AG1981" s="4">
        <v>8</v>
      </c>
      <c r="AH1981" s="4">
        <v>10</v>
      </c>
      <c r="AI1981" s="4">
        <v>69</v>
      </c>
      <c r="AJ1981" s="4">
        <v>4</v>
      </c>
      <c r="AK1981" s="4">
        <v>19</v>
      </c>
      <c r="AL1981" s="4">
        <v>7</v>
      </c>
      <c r="AM1981" s="4">
        <v>34</v>
      </c>
      <c r="AN1981" s="4">
        <v>0</v>
      </c>
      <c r="AO1981" s="4">
        <v>0</v>
      </c>
      <c r="AP1981" s="4">
        <v>4</v>
      </c>
      <c r="AQ1981" s="4">
        <v>39</v>
      </c>
      <c r="AR1981" s="3" t="s">
        <v>64</v>
      </c>
      <c r="AS1981" s="3" t="s">
        <v>64</v>
      </c>
      <c r="AT1981" s="3" t="s">
        <v>64</v>
      </c>
      <c r="AV1981" s="6" t="str">
        <f>HYPERLINK("http://mcgill.on.worldcat.org/oclc/758076070","Catalog Record")</f>
        <v>Catalog Record</v>
      </c>
      <c r="AW1981" s="6" t="str">
        <f>HYPERLINK("http://www.worldcat.org/oclc/758076070","WorldCat Record")</f>
        <v>WorldCat Record</v>
      </c>
      <c r="AX1981" s="3" t="s">
        <v>20129</v>
      </c>
      <c r="AY1981" s="3" t="s">
        <v>20130</v>
      </c>
      <c r="AZ1981" s="3" t="s">
        <v>20131</v>
      </c>
      <c r="BA1981" s="3" t="s">
        <v>20131</v>
      </c>
      <c r="BB1981" s="3" t="s">
        <v>20132</v>
      </c>
      <c r="BC1981" s="3" t="s">
        <v>77</v>
      </c>
      <c r="BD1981" s="3" t="s">
        <v>78</v>
      </c>
      <c r="BE1981" s="3" t="s">
        <v>20133</v>
      </c>
      <c r="BF1981" s="3" t="s">
        <v>20132</v>
      </c>
      <c r="BG1981" s="3" t="s">
        <v>20134</v>
      </c>
      <c r="BH1981">
        <f t="shared" si="52"/>
        <v>0</v>
      </c>
    </row>
    <row r="1982" spans="1:60" ht="58" x14ac:dyDescent="0.35">
      <c r="A1982" s="2" t="s">
        <v>59</v>
      </c>
      <c r="B1982" s="2" t="s">
        <v>60</v>
      </c>
      <c r="C1982" s="2" t="s">
        <v>20135</v>
      </c>
      <c r="D1982" s="2" t="s">
        <v>20136</v>
      </c>
      <c r="E1982" s="2" t="s">
        <v>20137</v>
      </c>
      <c r="G1982" s="3" t="s">
        <v>64</v>
      </c>
      <c r="I1982" s="3" t="s">
        <v>64</v>
      </c>
      <c r="J1982" s="3" t="s">
        <v>64</v>
      </c>
      <c r="K1982" s="3" t="s">
        <v>65</v>
      </c>
      <c r="L1982" s="2" t="s">
        <v>20138</v>
      </c>
      <c r="M1982" s="2" t="s">
        <v>18943</v>
      </c>
      <c r="N1982" s="3" t="s">
        <v>551</v>
      </c>
      <c r="P1982" s="3" t="s">
        <v>102</v>
      </c>
      <c r="Q1982" s="2" t="s">
        <v>20139</v>
      </c>
      <c r="R1982" s="3" t="s">
        <v>70</v>
      </c>
      <c r="S1982" s="4">
        <v>6</v>
      </c>
      <c r="T1982" s="4">
        <v>6</v>
      </c>
      <c r="U1982" s="5" t="s">
        <v>20140</v>
      </c>
      <c r="V1982" s="5" t="s">
        <v>20140</v>
      </c>
      <c r="W1982" s="5" t="s">
        <v>72</v>
      </c>
      <c r="X1982" s="5" t="s">
        <v>72</v>
      </c>
      <c r="Y1982" s="4">
        <v>392</v>
      </c>
      <c r="Z1982" s="4">
        <v>25</v>
      </c>
      <c r="AA1982" s="4">
        <v>107</v>
      </c>
      <c r="AB1982" s="4">
        <v>2</v>
      </c>
      <c r="AC1982" s="4">
        <v>18</v>
      </c>
      <c r="AD1982" s="4">
        <v>52</v>
      </c>
      <c r="AE1982" s="4">
        <v>104</v>
      </c>
      <c r="AF1982" s="4">
        <v>0</v>
      </c>
      <c r="AG1982" s="4">
        <v>8</v>
      </c>
      <c r="AH1982" s="4">
        <v>51</v>
      </c>
      <c r="AI1982" s="4">
        <v>73</v>
      </c>
      <c r="AJ1982" s="4">
        <v>5</v>
      </c>
      <c r="AK1982" s="4">
        <v>16</v>
      </c>
      <c r="AL1982" s="4">
        <v>22</v>
      </c>
      <c r="AM1982" s="4">
        <v>34</v>
      </c>
      <c r="AN1982" s="4">
        <v>0</v>
      </c>
      <c r="AO1982" s="4">
        <v>0</v>
      </c>
      <c r="AP1982" s="4">
        <v>5</v>
      </c>
      <c r="AQ1982" s="4">
        <v>37</v>
      </c>
      <c r="AR1982" s="3" t="s">
        <v>64</v>
      </c>
      <c r="AS1982" s="3" t="s">
        <v>64</v>
      </c>
      <c r="AT1982" s="3" t="s">
        <v>64</v>
      </c>
      <c r="AV1982" s="6" t="str">
        <f>HYPERLINK("http://mcgill.on.worldcat.org/oclc/269247480","Catalog Record")</f>
        <v>Catalog Record</v>
      </c>
      <c r="AW1982" s="6" t="str">
        <f>HYPERLINK("http://www.worldcat.org/oclc/269247480","WorldCat Record")</f>
        <v>WorldCat Record</v>
      </c>
      <c r="AX1982" s="3" t="s">
        <v>20141</v>
      </c>
      <c r="AY1982" s="3" t="s">
        <v>20142</v>
      </c>
      <c r="AZ1982" s="3" t="s">
        <v>20143</v>
      </c>
      <c r="BA1982" s="3" t="s">
        <v>20143</v>
      </c>
      <c r="BB1982" s="3" t="s">
        <v>20144</v>
      </c>
      <c r="BC1982" s="3" t="s">
        <v>77</v>
      </c>
      <c r="BD1982" s="3" t="s">
        <v>78</v>
      </c>
      <c r="BE1982" s="3" t="s">
        <v>20145</v>
      </c>
      <c r="BF1982" s="3" t="s">
        <v>20144</v>
      </c>
      <c r="BG1982" s="3" t="s">
        <v>20146</v>
      </c>
      <c r="BH1982">
        <f t="shared" si="52"/>
        <v>0</v>
      </c>
    </row>
    <row r="1983" spans="1:60" ht="58" x14ac:dyDescent="0.35">
      <c r="A1983" s="2" t="s">
        <v>59</v>
      </c>
      <c r="B1983" s="2" t="s">
        <v>60</v>
      </c>
      <c r="C1983" s="2" t="s">
        <v>20147</v>
      </c>
      <c r="D1983" s="2" t="s">
        <v>20148</v>
      </c>
      <c r="E1983" s="2" t="s">
        <v>20149</v>
      </c>
      <c r="G1983" s="3" t="s">
        <v>64</v>
      </c>
      <c r="I1983" s="3" t="s">
        <v>64</v>
      </c>
      <c r="J1983" s="3" t="s">
        <v>64</v>
      </c>
      <c r="K1983" s="3" t="s">
        <v>65</v>
      </c>
      <c r="L1983" s="2" t="s">
        <v>20138</v>
      </c>
      <c r="M1983" s="2" t="s">
        <v>20150</v>
      </c>
      <c r="N1983" s="3" t="s">
        <v>116</v>
      </c>
      <c r="P1983" s="3" t="s">
        <v>102</v>
      </c>
      <c r="R1983" s="3" t="s">
        <v>70</v>
      </c>
      <c r="S1983" s="4">
        <v>9</v>
      </c>
      <c r="T1983" s="4">
        <v>9</v>
      </c>
      <c r="U1983" s="5" t="s">
        <v>14905</v>
      </c>
      <c r="V1983" s="5" t="s">
        <v>14905</v>
      </c>
      <c r="W1983" s="5" t="s">
        <v>72</v>
      </c>
      <c r="X1983" s="5" t="s">
        <v>72</v>
      </c>
      <c r="Y1983" s="4">
        <v>794</v>
      </c>
      <c r="Z1983" s="4">
        <v>24</v>
      </c>
      <c r="AA1983" s="4">
        <v>26</v>
      </c>
      <c r="AB1983" s="4">
        <v>2</v>
      </c>
      <c r="AC1983" s="4">
        <v>3</v>
      </c>
      <c r="AD1983" s="4">
        <v>62</v>
      </c>
      <c r="AE1983" s="4">
        <v>64</v>
      </c>
      <c r="AF1983" s="4">
        <v>0</v>
      </c>
      <c r="AG1983" s="4">
        <v>1</v>
      </c>
      <c r="AH1983" s="4">
        <v>58</v>
      </c>
      <c r="AI1983" s="4">
        <v>58</v>
      </c>
      <c r="AJ1983" s="4">
        <v>8</v>
      </c>
      <c r="AK1983" s="4">
        <v>9</v>
      </c>
      <c r="AL1983" s="4">
        <v>27</v>
      </c>
      <c r="AM1983" s="4">
        <v>27</v>
      </c>
      <c r="AN1983" s="4">
        <v>0</v>
      </c>
      <c r="AO1983" s="4">
        <v>0</v>
      </c>
      <c r="AP1983" s="4">
        <v>8</v>
      </c>
      <c r="AQ1983" s="4">
        <v>9</v>
      </c>
      <c r="AR1983" s="3" t="s">
        <v>64</v>
      </c>
      <c r="AS1983" s="3" t="s">
        <v>64</v>
      </c>
      <c r="AT1983" s="3" t="s">
        <v>64</v>
      </c>
      <c r="AV1983" s="6" t="str">
        <f>HYPERLINK("http://mcgill.on.worldcat.org/oclc/45024356","Catalog Record")</f>
        <v>Catalog Record</v>
      </c>
      <c r="AW1983" s="6" t="str">
        <f>HYPERLINK("http://www.worldcat.org/oclc/45024356","WorldCat Record")</f>
        <v>WorldCat Record</v>
      </c>
      <c r="AX1983" s="3" t="s">
        <v>20151</v>
      </c>
      <c r="AY1983" s="3" t="s">
        <v>20152</v>
      </c>
      <c r="AZ1983" s="3" t="s">
        <v>20153</v>
      </c>
      <c r="BA1983" s="3" t="s">
        <v>20153</v>
      </c>
      <c r="BB1983" s="3" t="s">
        <v>20154</v>
      </c>
      <c r="BC1983" s="3" t="s">
        <v>77</v>
      </c>
      <c r="BD1983" s="3" t="s">
        <v>78</v>
      </c>
      <c r="BE1983" s="3" t="s">
        <v>20155</v>
      </c>
      <c r="BF1983" s="3" t="s">
        <v>20154</v>
      </c>
      <c r="BG1983" s="3" t="s">
        <v>20156</v>
      </c>
      <c r="BH1983">
        <f t="shared" si="52"/>
        <v>0</v>
      </c>
    </row>
    <row r="1984" spans="1:60" ht="58" x14ac:dyDescent="0.35">
      <c r="A1984" s="2" t="s">
        <v>59</v>
      </c>
      <c r="B1984" s="2" t="s">
        <v>60</v>
      </c>
      <c r="C1984" s="2" t="s">
        <v>20157</v>
      </c>
      <c r="D1984" s="2" t="s">
        <v>20158</v>
      </c>
      <c r="E1984" s="2" t="s">
        <v>20159</v>
      </c>
      <c r="G1984" s="3" t="s">
        <v>64</v>
      </c>
      <c r="I1984" s="3" t="s">
        <v>64</v>
      </c>
      <c r="J1984" s="3" t="s">
        <v>64</v>
      </c>
      <c r="K1984" s="3" t="s">
        <v>65</v>
      </c>
      <c r="L1984" s="2" t="s">
        <v>20138</v>
      </c>
      <c r="M1984" s="2" t="s">
        <v>15158</v>
      </c>
      <c r="N1984" s="3" t="s">
        <v>144</v>
      </c>
      <c r="O1984" s="2" t="s">
        <v>20160</v>
      </c>
      <c r="P1984" s="3" t="s">
        <v>102</v>
      </c>
      <c r="Q1984" s="2" t="s">
        <v>20139</v>
      </c>
      <c r="R1984" s="3" t="s">
        <v>70</v>
      </c>
      <c r="S1984" s="4">
        <v>9</v>
      </c>
      <c r="T1984" s="4">
        <v>9</v>
      </c>
      <c r="U1984" s="5" t="s">
        <v>20140</v>
      </c>
      <c r="V1984" s="5" t="s">
        <v>20140</v>
      </c>
      <c r="W1984" s="5" t="s">
        <v>72</v>
      </c>
      <c r="X1984" s="5" t="s">
        <v>72</v>
      </c>
      <c r="Y1984" s="4">
        <v>563</v>
      </c>
      <c r="Z1984" s="4">
        <v>18</v>
      </c>
      <c r="AA1984" s="4">
        <v>113</v>
      </c>
      <c r="AB1984" s="4">
        <v>1</v>
      </c>
      <c r="AC1984" s="4">
        <v>18</v>
      </c>
      <c r="AD1984" s="4">
        <v>50</v>
      </c>
      <c r="AE1984" s="4">
        <v>104</v>
      </c>
      <c r="AF1984" s="4">
        <v>0</v>
      </c>
      <c r="AG1984" s="4">
        <v>8</v>
      </c>
      <c r="AH1984" s="4">
        <v>47</v>
      </c>
      <c r="AI1984" s="4">
        <v>71</v>
      </c>
      <c r="AJ1984" s="4">
        <v>4</v>
      </c>
      <c r="AK1984" s="4">
        <v>18</v>
      </c>
      <c r="AL1984" s="4">
        <v>21</v>
      </c>
      <c r="AM1984" s="4">
        <v>33</v>
      </c>
      <c r="AN1984" s="4">
        <v>0</v>
      </c>
      <c r="AO1984" s="4">
        <v>0</v>
      </c>
      <c r="AP1984" s="4">
        <v>6</v>
      </c>
      <c r="AQ1984" s="4">
        <v>39</v>
      </c>
      <c r="AR1984" s="3" t="s">
        <v>64</v>
      </c>
      <c r="AS1984" s="3" t="s">
        <v>64</v>
      </c>
      <c r="AT1984" s="3" t="s">
        <v>64</v>
      </c>
      <c r="AV1984" s="6" t="str">
        <f>HYPERLINK("http://mcgill.on.worldcat.org/oclc/155755838","Catalog Record")</f>
        <v>Catalog Record</v>
      </c>
      <c r="AW1984" s="6" t="str">
        <f>HYPERLINK("http://www.worldcat.org/oclc/155755838","WorldCat Record")</f>
        <v>WorldCat Record</v>
      </c>
      <c r="AX1984" s="3" t="s">
        <v>20161</v>
      </c>
      <c r="AY1984" s="3" t="s">
        <v>20162</v>
      </c>
      <c r="AZ1984" s="3" t="s">
        <v>20163</v>
      </c>
      <c r="BA1984" s="3" t="s">
        <v>20163</v>
      </c>
      <c r="BB1984" s="3" t="s">
        <v>20164</v>
      </c>
      <c r="BC1984" s="3" t="s">
        <v>77</v>
      </c>
      <c r="BD1984" s="3" t="s">
        <v>78</v>
      </c>
      <c r="BE1984" s="3" t="s">
        <v>20165</v>
      </c>
      <c r="BF1984" s="3" t="s">
        <v>20164</v>
      </c>
      <c r="BG1984" s="3" t="s">
        <v>20166</v>
      </c>
      <c r="BH1984">
        <f t="shared" si="52"/>
        <v>0</v>
      </c>
    </row>
    <row r="1985" spans="1:60" ht="58" x14ac:dyDescent="0.35">
      <c r="A1985" s="2" t="s">
        <v>59</v>
      </c>
      <c r="B1985" s="2" t="s">
        <v>60</v>
      </c>
      <c r="C1985" s="2" t="s">
        <v>20167</v>
      </c>
      <c r="D1985" s="2" t="s">
        <v>20168</v>
      </c>
      <c r="E1985" s="2" t="s">
        <v>20169</v>
      </c>
      <c r="G1985" s="3" t="s">
        <v>64</v>
      </c>
      <c r="I1985" s="3" t="s">
        <v>64</v>
      </c>
      <c r="J1985" s="3" t="s">
        <v>64</v>
      </c>
      <c r="K1985" s="3" t="s">
        <v>65</v>
      </c>
      <c r="L1985" s="2" t="s">
        <v>20170</v>
      </c>
      <c r="M1985" s="2" t="s">
        <v>19592</v>
      </c>
      <c r="N1985" s="3" t="s">
        <v>86</v>
      </c>
      <c r="P1985" s="3" t="s">
        <v>102</v>
      </c>
      <c r="Q1985" s="2" t="s">
        <v>8981</v>
      </c>
      <c r="R1985" s="3" t="s">
        <v>70</v>
      </c>
      <c r="S1985" s="4">
        <v>0</v>
      </c>
      <c r="T1985" s="4">
        <v>0</v>
      </c>
      <c r="W1985" s="5" t="s">
        <v>72</v>
      </c>
      <c r="X1985" s="5" t="s">
        <v>72</v>
      </c>
      <c r="Y1985" s="4">
        <v>89</v>
      </c>
      <c r="Z1985" s="4">
        <v>7</v>
      </c>
      <c r="AA1985" s="4">
        <v>25</v>
      </c>
      <c r="AB1985" s="4">
        <v>1</v>
      </c>
      <c r="AC1985" s="4">
        <v>7</v>
      </c>
      <c r="AD1985" s="4">
        <v>19</v>
      </c>
      <c r="AE1985" s="4">
        <v>53</v>
      </c>
      <c r="AF1985" s="4">
        <v>0</v>
      </c>
      <c r="AG1985" s="4">
        <v>3</v>
      </c>
      <c r="AH1985" s="4">
        <v>16</v>
      </c>
      <c r="AI1985" s="4">
        <v>42</v>
      </c>
      <c r="AJ1985" s="4">
        <v>4</v>
      </c>
      <c r="AK1985" s="4">
        <v>11</v>
      </c>
      <c r="AL1985" s="4">
        <v>10</v>
      </c>
      <c r="AM1985" s="4">
        <v>23</v>
      </c>
      <c r="AN1985" s="4">
        <v>0</v>
      </c>
      <c r="AO1985" s="4">
        <v>0</v>
      </c>
      <c r="AP1985" s="4">
        <v>5</v>
      </c>
      <c r="AQ1985" s="4">
        <v>13</v>
      </c>
      <c r="AR1985" s="3" t="s">
        <v>64</v>
      </c>
      <c r="AS1985" s="3" t="s">
        <v>64</v>
      </c>
      <c r="AT1985" s="3" t="s">
        <v>64</v>
      </c>
      <c r="AV1985" s="6" t="str">
        <f>HYPERLINK("http://mcgill.on.worldcat.org/oclc/773822088","Catalog Record")</f>
        <v>Catalog Record</v>
      </c>
      <c r="AW1985" s="6" t="str">
        <f>HYPERLINK("http://www.worldcat.org/oclc/773822088","WorldCat Record")</f>
        <v>WorldCat Record</v>
      </c>
      <c r="AX1985" s="3" t="s">
        <v>20171</v>
      </c>
      <c r="AY1985" s="3" t="s">
        <v>20172</v>
      </c>
      <c r="AZ1985" s="3" t="s">
        <v>20173</v>
      </c>
      <c r="BA1985" s="3" t="s">
        <v>20173</v>
      </c>
      <c r="BB1985" s="3" t="s">
        <v>20174</v>
      </c>
      <c r="BC1985" s="3" t="s">
        <v>77</v>
      </c>
      <c r="BD1985" s="3" t="s">
        <v>78</v>
      </c>
      <c r="BE1985" s="3" t="s">
        <v>20175</v>
      </c>
      <c r="BF1985" s="3" t="s">
        <v>20174</v>
      </c>
      <c r="BG1985" s="3" t="s">
        <v>20176</v>
      </c>
      <c r="BH1985">
        <f t="shared" si="52"/>
        <v>0</v>
      </c>
    </row>
    <row r="1986" spans="1:60" ht="58" x14ac:dyDescent="0.35">
      <c r="A1986" s="2" t="s">
        <v>59</v>
      </c>
      <c r="B1986" s="2" t="s">
        <v>60</v>
      </c>
      <c r="C1986" s="2" t="s">
        <v>20177</v>
      </c>
      <c r="D1986" s="2" t="s">
        <v>20178</v>
      </c>
      <c r="E1986" s="2" t="s">
        <v>20179</v>
      </c>
      <c r="G1986" s="3" t="s">
        <v>64</v>
      </c>
      <c r="I1986" s="3" t="s">
        <v>64</v>
      </c>
      <c r="J1986" s="3" t="s">
        <v>64</v>
      </c>
      <c r="K1986" s="3" t="s">
        <v>65</v>
      </c>
      <c r="L1986" s="2" t="s">
        <v>20180</v>
      </c>
      <c r="M1986" s="2" t="s">
        <v>20181</v>
      </c>
      <c r="N1986" s="3" t="s">
        <v>511</v>
      </c>
      <c r="P1986" s="3" t="s">
        <v>102</v>
      </c>
      <c r="Q1986" s="2" t="s">
        <v>8981</v>
      </c>
      <c r="R1986" s="3" t="s">
        <v>70</v>
      </c>
      <c r="S1986" s="4">
        <v>2</v>
      </c>
      <c r="T1986" s="4">
        <v>2</v>
      </c>
      <c r="U1986" s="5" t="s">
        <v>19563</v>
      </c>
      <c r="V1986" s="5" t="s">
        <v>19563</v>
      </c>
      <c r="W1986" s="5" t="s">
        <v>72</v>
      </c>
      <c r="X1986" s="5" t="s">
        <v>72</v>
      </c>
      <c r="Y1986" s="4">
        <v>164</v>
      </c>
      <c r="Z1986" s="4">
        <v>19</v>
      </c>
      <c r="AA1986" s="4">
        <v>32</v>
      </c>
      <c r="AB1986" s="4">
        <v>3</v>
      </c>
      <c r="AC1986" s="4">
        <v>6</v>
      </c>
      <c r="AD1986" s="4">
        <v>34</v>
      </c>
      <c r="AE1986" s="4">
        <v>62</v>
      </c>
      <c r="AF1986" s="4">
        <v>1</v>
      </c>
      <c r="AG1986" s="4">
        <v>2</v>
      </c>
      <c r="AH1986" s="4">
        <v>28</v>
      </c>
      <c r="AI1986" s="4">
        <v>51</v>
      </c>
      <c r="AJ1986" s="4">
        <v>9</v>
      </c>
      <c r="AK1986" s="4">
        <v>12</v>
      </c>
      <c r="AL1986" s="4">
        <v>19</v>
      </c>
      <c r="AM1986" s="4">
        <v>28</v>
      </c>
      <c r="AN1986" s="4">
        <v>0</v>
      </c>
      <c r="AO1986" s="4">
        <v>0</v>
      </c>
      <c r="AP1986" s="4">
        <v>12</v>
      </c>
      <c r="AQ1986" s="4">
        <v>17</v>
      </c>
      <c r="AR1986" s="3" t="s">
        <v>64</v>
      </c>
      <c r="AS1986" s="3" t="s">
        <v>64</v>
      </c>
      <c r="AT1986" s="3" t="s">
        <v>64</v>
      </c>
      <c r="AV1986" s="6" t="str">
        <f>HYPERLINK("http://mcgill.on.worldcat.org/oclc/671154082","Catalog Record")</f>
        <v>Catalog Record</v>
      </c>
      <c r="AW1986" s="6" t="str">
        <f>HYPERLINK("http://www.worldcat.org/oclc/671154082","WorldCat Record")</f>
        <v>WorldCat Record</v>
      </c>
      <c r="AX1986" s="3" t="s">
        <v>20182</v>
      </c>
      <c r="AY1986" s="3" t="s">
        <v>20183</v>
      </c>
      <c r="AZ1986" s="3" t="s">
        <v>20184</v>
      </c>
      <c r="BA1986" s="3" t="s">
        <v>20184</v>
      </c>
      <c r="BB1986" s="3" t="s">
        <v>20185</v>
      </c>
      <c r="BC1986" s="3" t="s">
        <v>77</v>
      </c>
      <c r="BD1986" s="3" t="s">
        <v>78</v>
      </c>
      <c r="BE1986" s="3" t="s">
        <v>20186</v>
      </c>
      <c r="BF1986" s="3" t="s">
        <v>20185</v>
      </c>
      <c r="BG1986" s="3" t="s">
        <v>20187</v>
      </c>
      <c r="BH1986">
        <f t="shared" ref="BH1986:BH2049" si="53">IF(COUNTIF($BF$1:$BF$5431,BF1986)=1,0,1)</f>
        <v>0</v>
      </c>
    </row>
    <row r="1987" spans="1:60" ht="58" x14ac:dyDescent="0.35">
      <c r="A1987" s="2" t="s">
        <v>59</v>
      </c>
      <c r="B1987" s="2" t="s">
        <v>60</v>
      </c>
      <c r="C1987" s="2" t="s">
        <v>20188</v>
      </c>
      <c r="D1987" s="2" t="s">
        <v>20189</v>
      </c>
      <c r="E1987" s="2" t="s">
        <v>20190</v>
      </c>
      <c r="G1987" s="3" t="s">
        <v>64</v>
      </c>
      <c r="I1987" s="3" t="s">
        <v>128</v>
      </c>
      <c r="J1987" s="3" t="s">
        <v>128</v>
      </c>
      <c r="K1987" s="3" t="s">
        <v>65</v>
      </c>
      <c r="L1987" s="2" t="s">
        <v>20191</v>
      </c>
      <c r="M1987" s="2" t="s">
        <v>20192</v>
      </c>
      <c r="N1987" s="3" t="s">
        <v>1250</v>
      </c>
      <c r="P1987" s="3" t="s">
        <v>102</v>
      </c>
      <c r="Q1987" s="2" t="s">
        <v>20193</v>
      </c>
      <c r="R1987" s="3" t="s">
        <v>70</v>
      </c>
      <c r="S1987" s="4">
        <v>18</v>
      </c>
      <c r="T1987" s="4">
        <v>34</v>
      </c>
      <c r="U1987" s="5" t="s">
        <v>20194</v>
      </c>
      <c r="V1987" s="5" t="s">
        <v>20195</v>
      </c>
      <c r="W1987" s="5" t="s">
        <v>72</v>
      </c>
      <c r="X1987" s="5" t="s">
        <v>72</v>
      </c>
      <c r="Y1987" s="4">
        <v>247</v>
      </c>
      <c r="Z1987" s="4">
        <v>9</v>
      </c>
      <c r="AA1987" s="4">
        <v>21</v>
      </c>
      <c r="AB1987" s="4">
        <v>1</v>
      </c>
      <c r="AC1987" s="4">
        <v>5</v>
      </c>
      <c r="AD1987" s="4">
        <v>69</v>
      </c>
      <c r="AE1987" s="4">
        <v>103</v>
      </c>
      <c r="AF1987" s="4">
        <v>0</v>
      </c>
      <c r="AG1987" s="4">
        <v>1</v>
      </c>
      <c r="AH1987" s="4">
        <v>65</v>
      </c>
      <c r="AI1987" s="4">
        <v>94</v>
      </c>
      <c r="AJ1987" s="4">
        <v>7</v>
      </c>
      <c r="AK1987" s="4">
        <v>11</v>
      </c>
      <c r="AL1987" s="4">
        <v>35</v>
      </c>
      <c r="AM1987" s="4">
        <v>51</v>
      </c>
      <c r="AN1987" s="4">
        <v>0</v>
      </c>
      <c r="AO1987" s="4">
        <v>0</v>
      </c>
      <c r="AP1987" s="4">
        <v>7</v>
      </c>
      <c r="AQ1987" s="4">
        <v>10</v>
      </c>
      <c r="AR1987" s="3" t="s">
        <v>64</v>
      </c>
      <c r="AS1987" s="3" t="s">
        <v>64</v>
      </c>
      <c r="AT1987" s="3" t="s">
        <v>128</v>
      </c>
      <c r="AU1987" s="6" t="str">
        <f>HYPERLINK("http://catalog.hathitrust.org/Record/002916357","HathiTrust Record")</f>
        <v>HathiTrust Record</v>
      </c>
      <c r="AV1987" s="6" t="str">
        <f>HYPERLINK("http://mcgill.on.worldcat.org/oclc/30892118","Catalog Record")</f>
        <v>Catalog Record</v>
      </c>
      <c r="AW1987" s="6" t="str">
        <f>HYPERLINK("http://www.worldcat.org/oclc/30892118","WorldCat Record")</f>
        <v>WorldCat Record</v>
      </c>
      <c r="AX1987" s="3" t="s">
        <v>20196</v>
      </c>
      <c r="AY1987" s="3" t="s">
        <v>20197</v>
      </c>
      <c r="AZ1987" s="3" t="s">
        <v>20198</v>
      </c>
      <c r="BA1987" s="3" t="s">
        <v>20198</v>
      </c>
      <c r="BB1987" s="3" t="s">
        <v>20199</v>
      </c>
      <c r="BC1987" s="3" t="s">
        <v>77</v>
      </c>
      <c r="BD1987" s="3" t="s">
        <v>78</v>
      </c>
      <c r="BE1987" s="3" t="s">
        <v>20200</v>
      </c>
      <c r="BF1987" s="3" t="s">
        <v>20199</v>
      </c>
      <c r="BG1987" s="3" t="s">
        <v>20201</v>
      </c>
      <c r="BH1987">
        <f t="shared" si="53"/>
        <v>0</v>
      </c>
    </row>
    <row r="1988" spans="1:60" ht="58" x14ac:dyDescent="0.35">
      <c r="A1988" s="2" t="s">
        <v>59</v>
      </c>
      <c r="B1988" s="2" t="s">
        <v>60</v>
      </c>
      <c r="C1988" s="2" t="s">
        <v>20188</v>
      </c>
      <c r="D1988" s="2" t="s">
        <v>20189</v>
      </c>
      <c r="E1988" s="2" t="s">
        <v>20190</v>
      </c>
      <c r="G1988" s="3" t="s">
        <v>64</v>
      </c>
      <c r="I1988" s="3" t="s">
        <v>128</v>
      </c>
      <c r="J1988" s="3" t="s">
        <v>128</v>
      </c>
      <c r="K1988" s="3" t="s">
        <v>65</v>
      </c>
      <c r="L1988" s="2" t="s">
        <v>20191</v>
      </c>
      <c r="M1988" s="2" t="s">
        <v>20192</v>
      </c>
      <c r="N1988" s="3" t="s">
        <v>1250</v>
      </c>
      <c r="P1988" s="3" t="s">
        <v>102</v>
      </c>
      <c r="Q1988" s="2" t="s">
        <v>20193</v>
      </c>
      <c r="R1988" s="3" t="s">
        <v>70</v>
      </c>
      <c r="S1988" s="4">
        <v>16</v>
      </c>
      <c r="T1988" s="4">
        <v>34</v>
      </c>
      <c r="U1988" s="5" t="s">
        <v>20195</v>
      </c>
      <c r="V1988" s="5" t="s">
        <v>20195</v>
      </c>
      <c r="W1988" s="5" t="s">
        <v>72</v>
      </c>
      <c r="X1988" s="5" t="s">
        <v>72</v>
      </c>
      <c r="Y1988" s="4">
        <v>247</v>
      </c>
      <c r="Z1988" s="4">
        <v>9</v>
      </c>
      <c r="AA1988" s="4">
        <v>21</v>
      </c>
      <c r="AB1988" s="4">
        <v>1</v>
      </c>
      <c r="AC1988" s="4">
        <v>5</v>
      </c>
      <c r="AD1988" s="4">
        <v>69</v>
      </c>
      <c r="AE1988" s="4">
        <v>103</v>
      </c>
      <c r="AF1988" s="4">
        <v>0</v>
      </c>
      <c r="AG1988" s="4">
        <v>1</v>
      </c>
      <c r="AH1988" s="4">
        <v>65</v>
      </c>
      <c r="AI1988" s="4">
        <v>94</v>
      </c>
      <c r="AJ1988" s="4">
        <v>7</v>
      </c>
      <c r="AK1988" s="4">
        <v>11</v>
      </c>
      <c r="AL1988" s="4">
        <v>35</v>
      </c>
      <c r="AM1988" s="4">
        <v>51</v>
      </c>
      <c r="AN1988" s="4">
        <v>0</v>
      </c>
      <c r="AO1988" s="4">
        <v>0</v>
      </c>
      <c r="AP1988" s="4">
        <v>7</v>
      </c>
      <c r="AQ1988" s="4">
        <v>10</v>
      </c>
      <c r="AR1988" s="3" t="s">
        <v>64</v>
      </c>
      <c r="AS1988" s="3" t="s">
        <v>64</v>
      </c>
      <c r="AT1988" s="3" t="s">
        <v>128</v>
      </c>
      <c r="AU1988" s="6" t="str">
        <f>HYPERLINK("http://catalog.hathitrust.org/Record/002916357","HathiTrust Record")</f>
        <v>HathiTrust Record</v>
      </c>
      <c r="AV1988" s="6" t="str">
        <f>HYPERLINK("http://mcgill.on.worldcat.org/oclc/30892118","Catalog Record")</f>
        <v>Catalog Record</v>
      </c>
      <c r="AW1988" s="6" t="str">
        <f>HYPERLINK("http://www.worldcat.org/oclc/30892118","WorldCat Record")</f>
        <v>WorldCat Record</v>
      </c>
      <c r="AX1988" s="3" t="s">
        <v>20196</v>
      </c>
      <c r="AY1988" s="3" t="s">
        <v>20197</v>
      </c>
      <c r="AZ1988" s="3" t="s">
        <v>20198</v>
      </c>
      <c r="BA1988" s="3" t="s">
        <v>20198</v>
      </c>
      <c r="BB1988" s="3" t="s">
        <v>20202</v>
      </c>
      <c r="BC1988" s="3" t="s">
        <v>77</v>
      </c>
      <c r="BD1988" s="3" t="s">
        <v>78</v>
      </c>
      <c r="BE1988" s="3" t="s">
        <v>20200</v>
      </c>
      <c r="BF1988" s="3" t="s">
        <v>20202</v>
      </c>
      <c r="BG1988" s="3" t="s">
        <v>20203</v>
      </c>
      <c r="BH1988">
        <f t="shared" si="53"/>
        <v>0</v>
      </c>
    </row>
    <row r="1989" spans="1:60" ht="72.5" x14ac:dyDescent="0.35">
      <c r="A1989" s="2" t="s">
        <v>59</v>
      </c>
      <c r="B1989" s="2" t="s">
        <v>60</v>
      </c>
      <c r="C1989" s="2" t="s">
        <v>20204</v>
      </c>
      <c r="D1989" s="2" t="s">
        <v>20205</v>
      </c>
      <c r="E1989" s="2" t="s">
        <v>20206</v>
      </c>
      <c r="G1989" s="3" t="s">
        <v>64</v>
      </c>
      <c r="I1989" s="3" t="s">
        <v>64</v>
      </c>
      <c r="J1989" s="3" t="s">
        <v>64</v>
      </c>
      <c r="K1989" s="3" t="s">
        <v>65</v>
      </c>
      <c r="M1989" s="2" t="s">
        <v>14408</v>
      </c>
      <c r="N1989" s="3" t="s">
        <v>144</v>
      </c>
      <c r="P1989" s="3" t="s">
        <v>102</v>
      </c>
      <c r="Q1989" s="2" t="s">
        <v>18566</v>
      </c>
      <c r="R1989" s="3" t="s">
        <v>70</v>
      </c>
      <c r="S1989" s="4">
        <v>12</v>
      </c>
      <c r="T1989" s="4">
        <v>12</v>
      </c>
      <c r="U1989" s="5" t="s">
        <v>6902</v>
      </c>
      <c r="V1989" s="5" t="s">
        <v>6902</v>
      </c>
      <c r="W1989" s="5" t="s">
        <v>72</v>
      </c>
      <c r="X1989" s="5" t="s">
        <v>72</v>
      </c>
      <c r="Y1989" s="4">
        <v>358</v>
      </c>
      <c r="Z1989" s="4">
        <v>23</v>
      </c>
      <c r="AA1989" s="4">
        <v>28</v>
      </c>
      <c r="AB1989" s="4">
        <v>3</v>
      </c>
      <c r="AC1989" s="4">
        <v>8</v>
      </c>
      <c r="AD1989" s="4">
        <v>68</v>
      </c>
      <c r="AE1989" s="4">
        <v>71</v>
      </c>
      <c r="AF1989" s="4">
        <v>1</v>
      </c>
      <c r="AG1989" s="4">
        <v>4</v>
      </c>
      <c r="AH1989" s="4">
        <v>63</v>
      </c>
      <c r="AI1989" s="4">
        <v>63</v>
      </c>
      <c r="AJ1989" s="4">
        <v>9</v>
      </c>
      <c r="AK1989" s="4">
        <v>10</v>
      </c>
      <c r="AL1989" s="4">
        <v>34</v>
      </c>
      <c r="AM1989" s="4">
        <v>34</v>
      </c>
      <c r="AN1989" s="4">
        <v>0</v>
      </c>
      <c r="AO1989" s="4">
        <v>0</v>
      </c>
      <c r="AP1989" s="4">
        <v>11</v>
      </c>
      <c r="AQ1989" s="4">
        <v>13</v>
      </c>
      <c r="AR1989" s="3" t="s">
        <v>64</v>
      </c>
      <c r="AS1989" s="3" t="s">
        <v>64</v>
      </c>
      <c r="AT1989" s="3" t="s">
        <v>128</v>
      </c>
      <c r="AU1989" s="6" t="str">
        <f>HYPERLINK("http://catalog.hathitrust.org/Record/005635662","HathiTrust Record")</f>
        <v>HathiTrust Record</v>
      </c>
      <c r="AV1989" s="6" t="str">
        <f>HYPERLINK("http://mcgill.on.worldcat.org/oclc/173243720","Catalog Record")</f>
        <v>Catalog Record</v>
      </c>
      <c r="AW1989" s="6" t="str">
        <f>HYPERLINK("http://www.worldcat.org/oclc/173243720","WorldCat Record")</f>
        <v>WorldCat Record</v>
      </c>
      <c r="AX1989" s="3" t="s">
        <v>20207</v>
      </c>
      <c r="AY1989" s="3" t="s">
        <v>20208</v>
      </c>
      <c r="AZ1989" s="3" t="s">
        <v>20209</v>
      </c>
      <c r="BA1989" s="3" t="s">
        <v>20209</v>
      </c>
      <c r="BB1989" s="3" t="s">
        <v>20210</v>
      </c>
      <c r="BC1989" s="3" t="s">
        <v>77</v>
      </c>
      <c r="BD1989" s="3" t="s">
        <v>78</v>
      </c>
      <c r="BE1989" s="3" t="s">
        <v>20211</v>
      </c>
      <c r="BF1989" s="3" t="s">
        <v>20210</v>
      </c>
      <c r="BG1989" s="3" t="s">
        <v>20212</v>
      </c>
      <c r="BH1989">
        <f t="shared" si="53"/>
        <v>0</v>
      </c>
    </row>
    <row r="1990" spans="1:60" ht="58" x14ac:dyDescent="0.35">
      <c r="A1990" s="2" t="s">
        <v>59</v>
      </c>
      <c r="B1990" s="2" t="s">
        <v>60</v>
      </c>
      <c r="C1990" s="2" t="s">
        <v>20213</v>
      </c>
      <c r="D1990" s="2" t="s">
        <v>20214</v>
      </c>
      <c r="E1990" s="2" t="s">
        <v>20215</v>
      </c>
      <c r="G1990" s="3" t="s">
        <v>64</v>
      </c>
      <c r="I1990" s="3" t="s">
        <v>64</v>
      </c>
      <c r="J1990" s="3" t="s">
        <v>64</v>
      </c>
      <c r="K1990" s="3" t="s">
        <v>65</v>
      </c>
      <c r="L1990" s="2" t="s">
        <v>20216</v>
      </c>
      <c r="M1990" s="2" t="s">
        <v>14626</v>
      </c>
      <c r="N1990" s="3" t="s">
        <v>434</v>
      </c>
      <c r="P1990" s="3" t="s">
        <v>102</v>
      </c>
      <c r="R1990" s="3" t="s">
        <v>70</v>
      </c>
      <c r="S1990" s="4">
        <v>10</v>
      </c>
      <c r="T1990" s="4">
        <v>10</v>
      </c>
      <c r="U1990" s="5" t="s">
        <v>19896</v>
      </c>
      <c r="V1990" s="5" t="s">
        <v>19896</v>
      </c>
      <c r="W1990" s="5" t="s">
        <v>72</v>
      </c>
      <c r="X1990" s="5" t="s">
        <v>72</v>
      </c>
      <c r="Y1990" s="4">
        <v>100</v>
      </c>
      <c r="Z1990" s="4">
        <v>4</v>
      </c>
      <c r="AA1990" s="4">
        <v>8</v>
      </c>
      <c r="AB1990" s="4">
        <v>1</v>
      </c>
      <c r="AC1990" s="4">
        <v>4</v>
      </c>
      <c r="AD1990" s="4">
        <v>13</v>
      </c>
      <c r="AE1990" s="4">
        <v>14</v>
      </c>
      <c r="AF1990" s="4">
        <v>0</v>
      </c>
      <c r="AG1990" s="4">
        <v>1</v>
      </c>
      <c r="AH1990" s="4">
        <v>13</v>
      </c>
      <c r="AI1990" s="4">
        <v>13</v>
      </c>
      <c r="AJ1990" s="4">
        <v>2</v>
      </c>
      <c r="AK1990" s="4">
        <v>3</v>
      </c>
      <c r="AL1990" s="4">
        <v>9</v>
      </c>
      <c r="AM1990" s="4">
        <v>9</v>
      </c>
      <c r="AN1990" s="4">
        <v>0</v>
      </c>
      <c r="AO1990" s="4">
        <v>0</v>
      </c>
      <c r="AP1990" s="4">
        <v>2</v>
      </c>
      <c r="AQ1990" s="4">
        <v>2</v>
      </c>
      <c r="AR1990" s="3" t="s">
        <v>64</v>
      </c>
      <c r="AS1990" s="3" t="s">
        <v>64</v>
      </c>
      <c r="AT1990" s="3" t="s">
        <v>128</v>
      </c>
      <c r="AU1990" s="6" t="str">
        <f>HYPERLINK("http://catalog.hathitrust.org/Record/005076605","HathiTrust Record")</f>
        <v>HathiTrust Record</v>
      </c>
      <c r="AV1990" s="6" t="str">
        <f>HYPERLINK("http://mcgill.on.worldcat.org/oclc/60793325","Catalog Record")</f>
        <v>Catalog Record</v>
      </c>
      <c r="AW1990" s="6" t="str">
        <f>HYPERLINK("http://www.worldcat.org/oclc/60793325","WorldCat Record")</f>
        <v>WorldCat Record</v>
      </c>
      <c r="AX1990" s="3" t="s">
        <v>20217</v>
      </c>
      <c r="AY1990" s="3" t="s">
        <v>20218</v>
      </c>
      <c r="AZ1990" s="3" t="s">
        <v>20219</v>
      </c>
      <c r="BA1990" s="3" t="s">
        <v>20219</v>
      </c>
      <c r="BB1990" s="3" t="s">
        <v>20220</v>
      </c>
      <c r="BC1990" s="3" t="s">
        <v>77</v>
      </c>
      <c r="BD1990" s="3" t="s">
        <v>78</v>
      </c>
      <c r="BE1990" s="3" t="s">
        <v>20221</v>
      </c>
      <c r="BF1990" s="3" t="s">
        <v>20220</v>
      </c>
      <c r="BG1990" s="3" t="s">
        <v>20222</v>
      </c>
      <c r="BH1990">
        <f t="shared" si="53"/>
        <v>0</v>
      </c>
    </row>
    <row r="1991" spans="1:60" ht="58" x14ac:dyDescent="0.35">
      <c r="A1991" s="2" t="s">
        <v>59</v>
      </c>
      <c r="B1991" s="2" t="s">
        <v>60</v>
      </c>
      <c r="C1991" s="2" t="s">
        <v>20223</v>
      </c>
      <c r="D1991" s="2" t="s">
        <v>20224</v>
      </c>
      <c r="E1991" s="2" t="s">
        <v>20225</v>
      </c>
      <c r="G1991" s="3" t="s">
        <v>64</v>
      </c>
      <c r="I1991" s="3" t="s">
        <v>64</v>
      </c>
      <c r="J1991" s="3" t="s">
        <v>64</v>
      </c>
      <c r="K1991" s="3" t="s">
        <v>65</v>
      </c>
      <c r="M1991" s="2" t="s">
        <v>20226</v>
      </c>
      <c r="N1991" s="3" t="s">
        <v>67</v>
      </c>
      <c r="P1991" s="3" t="s">
        <v>102</v>
      </c>
      <c r="R1991" s="3" t="s">
        <v>70</v>
      </c>
      <c r="S1991" s="4">
        <v>2</v>
      </c>
      <c r="T1991" s="4">
        <v>2</v>
      </c>
      <c r="U1991" s="5" t="s">
        <v>1102</v>
      </c>
      <c r="V1991" s="5" t="s">
        <v>1102</v>
      </c>
      <c r="W1991" s="5" t="s">
        <v>72</v>
      </c>
      <c r="X1991" s="5" t="s">
        <v>72</v>
      </c>
      <c r="Y1991" s="4">
        <v>392</v>
      </c>
      <c r="Z1991" s="4">
        <v>21</v>
      </c>
      <c r="AA1991" s="4">
        <v>93</v>
      </c>
      <c r="AB1991" s="4">
        <v>1</v>
      </c>
      <c r="AC1991" s="4">
        <v>15</v>
      </c>
      <c r="AD1991" s="4">
        <v>73</v>
      </c>
      <c r="AE1991" s="4">
        <v>129</v>
      </c>
      <c r="AF1991" s="4">
        <v>0</v>
      </c>
      <c r="AG1991" s="4">
        <v>8</v>
      </c>
      <c r="AH1991" s="4">
        <v>68</v>
      </c>
      <c r="AI1991" s="4">
        <v>93</v>
      </c>
      <c r="AJ1991" s="4">
        <v>10</v>
      </c>
      <c r="AK1991" s="4">
        <v>22</v>
      </c>
      <c r="AL1991" s="4">
        <v>34</v>
      </c>
      <c r="AM1991" s="4">
        <v>49</v>
      </c>
      <c r="AN1991" s="4">
        <v>0</v>
      </c>
      <c r="AO1991" s="4">
        <v>0</v>
      </c>
      <c r="AP1991" s="4">
        <v>13</v>
      </c>
      <c r="AQ1991" s="4">
        <v>44</v>
      </c>
      <c r="AR1991" s="3" t="s">
        <v>64</v>
      </c>
      <c r="AS1991" s="3" t="s">
        <v>64</v>
      </c>
      <c r="AT1991" s="3" t="s">
        <v>64</v>
      </c>
      <c r="AV1991" s="6" t="str">
        <f>HYPERLINK("http://mcgill.on.worldcat.org/oclc/857141238","Catalog Record")</f>
        <v>Catalog Record</v>
      </c>
      <c r="AW1991" s="6" t="str">
        <f>HYPERLINK("http://www.worldcat.org/oclc/857141238","WorldCat Record")</f>
        <v>WorldCat Record</v>
      </c>
      <c r="AX1991" s="3" t="s">
        <v>20227</v>
      </c>
      <c r="AY1991" s="3" t="s">
        <v>20228</v>
      </c>
      <c r="AZ1991" s="3" t="s">
        <v>20229</v>
      </c>
      <c r="BA1991" s="3" t="s">
        <v>20229</v>
      </c>
      <c r="BB1991" s="3" t="s">
        <v>20230</v>
      </c>
      <c r="BC1991" s="3" t="s">
        <v>77</v>
      </c>
      <c r="BD1991" s="3" t="s">
        <v>78</v>
      </c>
      <c r="BE1991" s="3" t="s">
        <v>20231</v>
      </c>
      <c r="BF1991" s="3" t="s">
        <v>20230</v>
      </c>
      <c r="BG1991" s="3" t="s">
        <v>20232</v>
      </c>
      <c r="BH1991">
        <f t="shared" si="53"/>
        <v>0</v>
      </c>
    </row>
    <row r="1992" spans="1:60" ht="58" x14ac:dyDescent="0.35">
      <c r="A1992" s="2" t="s">
        <v>59</v>
      </c>
      <c r="B1992" s="2" t="s">
        <v>60</v>
      </c>
      <c r="C1992" s="2" t="s">
        <v>20233</v>
      </c>
      <c r="D1992" s="2" t="s">
        <v>20234</v>
      </c>
      <c r="E1992" s="2" t="s">
        <v>20235</v>
      </c>
      <c r="G1992" s="3" t="s">
        <v>64</v>
      </c>
      <c r="I1992" s="3" t="s">
        <v>128</v>
      </c>
      <c r="J1992" s="3" t="s">
        <v>64</v>
      </c>
      <c r="K1992" s="3" t="s">
        <v>65</v>
      </c>
      <c r="L1992" s="2" t="s">
        <v>20236</v>
      </c>
      <c r="M1992" s="2" t="s">
        <v>14056</v>
      </c>
      <c r="N1992" s="3" t="s">
        <v>1275</v>
      </c>
      <c r="P1992" s="3" t="s">
        <v>102</v>
      </c>
      <c r="R1992" s="3" t="s">
        <v>70</v>
      </c>
      <c r="S1992" s="4">
        <v>10</v>
      </c>
      <c r="T1992" s="4">
        <v>16</v>
      </c>
      <c r="U1992" s="5" t="s">
        <v>19896</v>
      </c>
      <c r="V1992" s="5" t="s">
        <v>19896</v>
      </c>
      <c r="W1992" s="5" t="s">
        <v>72</v>
      </c>
      <c r="X1992" s="5" t="s">
        <v>72</v>
      </c>
      <c r="Y1992" s="4">
        <v>216</v>
      </c>
      <c r="Z1992" s="4">
        <v>10</v>
      </c>
      <c r="AA1992" s="4">
        <v>13</v>
      </c>
      <c r="AB1992" s="4">
        <v>2</v>
      </c>
      <c r="AC1992" s="4">
        <v>4</v>
      </c>
      <c r="AD1992" s="4">
        <v>28</v>
      </c>
      <c r="AE1992" s="4">
        <v>30</v>
      </c>
      <c r="AF1992" s="4">
        <v>1</v>
      </c>
      <c r="AG1992" s="4">
        <v>2</v>
      </c>
      <c r="AH1992" s="4">
        <v>26</v>
      </c>
      <c r="AI1992" s="4">
        <v>27</v>
      </c>
      <c r="AJ1992" s="4">
        <v>6</v>
      </c>
      <c r="AK1992" s="4">
        <v>7</v>
      </c>
      <c r="AL1992" s="4">
        <v>14</v>
      </c>
      <c r="AM1992" s="4">
        <v>15</v>
      </c>
      <c r="AN1992" s="4">
        <v>0</v>
      </c>
      <c r="AO1992" s="4">
        <v>0</v>
      </c>
      <c r="AP1992" s="4">
        <v>6</v>
      </c>
      <c r="AQ1992" s="4">
        <v>6</v>
      </c>
      <c r="AR1992" s="3" t="s">
        <v>64</v>
      </c>
      <c r="AS1992" s="3" t="s">
        <v>64</v>
      </c>
      <c r="AT1992" s="3" t="s">
        <v>128</v>
      </c>
      <c r="AU1992" s="6" t="str">
        <f>HYPERLINK("http://catalog.hathitrust.org/Record/004928279","HathiTrust Record")</f>
        <v>HathiTrust Record</v>
      </c>
      <c r="AV1992" s="6" t="str">
        <f>HYPERLINK("http://mcgill.on.worldcat.org/oclc/56649033","Catalog Record")</f>
        <v>Catalog Record</v>
      </c>
      <c r="AW1992" s="6" t="str">
        <f>HYPERLINK("http://www.worldcat.org/oclc/56649033","WorldCat Record")</f>
        <v>WorldCat Record</v>
      </c>
      <c r="AX1992" s="3" t="s">
        <v>20237</v>
      </c>
      <c r="AY1992" s="3" t="s">
        <v>20238</v>
      </c>
      <c r="AZ1992" s="3" t="s">
        <v>20239</v>
      </c>
      <c r="BA1992" s="3" t="s">
        <v>20239</v>
      </c>
      <c r="BB1992" s="3" t="s">
        <v>20240</v>
      </c>
      <c r="BC1992" s="3" t="s">
        <v>77</v>
      </c>
      <c r="BD1992" s="3" t="s">
        <v>78</v>
      </c>
      <c r="BE1992" s="3" t="s">
        <v>20241</v>
      </c>
      <c r="BF1992" s="3" t="s">
        <v>20240</v>
      </c>
      <c r="BG1992" s="3" t="s">
        <v>20242</v>
      </c>
      <c r="BH1992">
        <f t="shared" si="53"/>
        <v>0</v>
      </c>
    </row>
    <row r="1993" spans="1:60" ht="58" x14ac:dyDescent="0.35">
      <c r="A1993" s="2" t="s">
        <v>59</v>
      </c>
      <c r="B1993" s="2" t="s">
        <v>60</v>
      </c>
      <c r="C1993" s="2" t="s">
        <v>20233</v>
      </c>
      <c r="D1993" s="2" t="s">
        <v>20234</v>
      </c>
      <c r="E1993" s="2" t="s">
        <v>20235</v>
      </c>
      <c r="G1993" s="3" t="s">
        <v>64</v>
      </c>
      <c r="I1993" s="3" t="s">
        <v>128</v>
      </c>
      <c r="J1993" s="3" t="s">
        <v>64</v>
      </c>
      <c r="K1993" s="3" t="s">
        <v>65</v>
      </c>
      <c r="L1993" s="2" t="s">
        <v>20236</v>
      </c>
      <c r="M1993" s="2" t="s">
        <v>14056</v>
      </c>
      <c r="N1993" s="3" t="s">
        <v>1275</v>
      </c>
      <c r="P1993" s="3" t="s">
        <v>102</v>
      </c>
      <c r="R1993" s="3" t="s">
        <v>70</v>
      </c>
      <c r="S1993" s="4">
        <v>6</v>
      </c>
      <c r="T1993" s="4">
        <v>16</v>
      </c>
      <c r="U1993" s="5" t="s">
        <v>20243</v>
      </c>
      <c r="V1993" s="5" t="s">
        <v>19896</v>
      </c>
      <c r="W1993" s="5" t="s">
        <v>72</v>
      </c>
      <c r="X1993" s="5" t="s">
        <v>72</v>
      </c>
      <c r="Y1993" s="4">
        <v>216</v>
      </c>
      <c r="Z1993" s="4">
        <v>10</v>
      </c>
      <c r="AA1993" s="4">
        <v>13</v>
      </c>
      <c r="AB1993" s="4">
        <v>2</v>
      </c>
      <c r="AC1993" s="4">
        <v>4</v>
      </c>
      <c r="AD1993" s="4">
        <v>28</v>
      </c>
      <c r="AE1993" s="4">
        <v>30</v>
      </c>
      <c r="AF1993" s="4">
        <v>1</v>
      </c>
      <c r="AG1993" s="4">
        <v>2</v>
      </c>
      <c r="AH1993" s="4">
        <v>26</v>
      </c>
      <c r="AI1993" s="4">
        <v>27</v>
      </c>
      <c r="AJ1993" s="4">
        <v>6</v>
      </c>
      <c r="AK1993" s="4">
        <v>7</v>
      </c>
      <c r="AL1993" s="4">
        <v>14</v>
      </c>
      <c r="AM1993" s="4">
        <v>15</v>
      </c>
      <c r="AN1993" s="4">
        <v>0</v>
      </c>
      <c r="AO1993" s="4">
        <v>0</v>
      </c>
      <c r="AP1993" s="4">
        <v>6</v>
      </c>
      <c r="AQ1993" s="4">
        <v>6</v>
      </c>
      <c r="AR1993" s="3" t="s">
        <v>64</v>
      </c>
      <c r="AS1993" s="3" t="s">
        <v>64</v>
      </c>
      <c r="AT1993" s="3" t="s">
        <v>128</v>
      </c>
      <c r="AU1993" s="6" t="str">
        <f>HYPERLINK("http://catalog.hathitrust.org/Record/004928279","HathiTrust Record")</f>
        <v>HathiTrust Record</v>
      </c>
      <c r="AV1993" s="6" t="str">
        <f>HYPERLINK("http://mcgill.on.worldcat.org/oclc/56649033","Catalog Record")</f>
        <v>Catalog Record</v>
      </c>
      <c r="AW1993" s="6" t="str">
        <f>HYPERLINK("http://www.worldcat.org/oclc/56649033","WorldCat Record")</f>
        <v>WorldCat Record</v>
      </c>
      <c r="AX1993" s="3" t="s">
        <v>20237</v>
      </c>
      <c r="AY1993" s="3" t="s">
        <v>20238</v>
      </c>
      <c r="AZ1993" s="3" t="s">
        <v>20239</v>
      </c>
      <c r="BA1993" s="3" t="s">
        <v>20239</v>
      </c>
      <c r="BB1993" s="3" t="s">
        <v>20244</v>
      </c>
      <c r="BC1993" s="3" t="s">
        <v>77</v>
      </c>
      <c r="BD1993" s="3" t="s">
        <v>78</v>
      </c>
      <c r="BE1993" s="3" t="s">
        <v>20241</v>
      </c>
      <c r="BF1993" s="3" t="s">
        <v>20244</v>
      </c>
      <c r="BG1993" s="3" t="s">
        <v>20245</v>
      </c>
      <c r="BH1993">
        <f t="shared" si="53"/>
        <v>0</v>
      </c>
    </row>
    <row r="1994" spans="1:60" ht="58" x14ac:dyDescent="0.35">
      <c r="A1994" s="2" t="s">
        <v>59</v>
      </c>
      <c r="B1994" s="2" t="s">
        <v>60</v>
      </c>
      <c r="C1994" s="2" t="s">
        <v>20246</v>
      </c>
      <c r="D1994" s="2" t="s">
        <v>20247</v>
      </c>
      <c r="E1994" s="2" t="s">
        <v>20248</v>
      </c>
      <c r="G1994" s="3" t="s">
        <v>64</v>
      </c>
      <c r="I1994" s="3" t="s">
        <v>64</v>
      </c>
      <c r="J1994" s="3" t="s">
        <v>64</v>
      </c>
      <c r="K1994" s="3" t="s">
        <v>65</v>
      </c>
      <c r="L1994" s="2" t="s">
        <v>20249</v>
      </c>
      <c r="M1994" s="2" t="s">
        <v>14793</v>
      </c>
      <c r="N1994" s="3" t="s">
        <v>1075</v>
      </c>
      <c r="O1994" s="2" t="s">
        <v>15120</v>
      </c>
      <c r="P1994" s="3" t="s">
        <v>102</v>
      </c>
      <c r="Q1994" s="2" t="s">
        <v>20250</v>
      </c>
      <c r="R1994" s="3" t="s">
        <v>70</v>
      </c>
      <c r="S1994" s="4">
        <v>4</v>
      </c>
      <c r="T1994" s="4">
        <v>4</v>
      </c>
      <c r="U1994" s="5" t="s">
        <v>18733</v>
      </c>
      <c r="V1994" s="5" t="s">
        <v>18733</v>
      </c>
      <c r="W1994" s="5" t="s">
        <v>72</v>
      </c>
      <c r="X1994" s="5" t="s">
        <v>72</v>
      </c>
      <c r="Y1994" s="4">
        <v>323</v>
      </c>
      <c r="Z1994" s="4">
        <v>27</v>
      </c>
      <c r="AA1994" s="4">
        <v>42</v>
      </c>
      <c r="AB1994" s="4">
        <v>1</v>
      </c>
      <c r="AC1994" s="4">
        <v>7</v>
      </c>
      <c r="AD1994" s="4">
        <v>53</v>
      </c>
      <c r="AE1994" s="4">
        <v>64</v>
      </c>
      <c r="AF1994" s="4">
        <v>0</v>
      </c>
      <c r="AG1994" s="4">
        <v>3</v>
      </c>
      <c r="AH1994" s="4">
        <v>47</v>
      </c>
      <c r="AI1994" s="4">
        <v>53</v>
      </c>
      <c r="AJ1994" s="4">
        <v>10</v>
      </c>
      <c r="AK1994" s="4">
        <v>15</v>
      </c>
      <c r="AL1994" s="4">
        <v>18</v>
      </c>
      <c r="AM1994" s="4">
        <v>21</v>
      </c>
      <c r="AN1994" s="4">
        <v>0</v>
      </c>
      <c r="AO1994" s="4">
        <v>0</v>
      </c>
      <c r="AP1994" s="4">
        <v>12</v>
      </c>
      <c r="AQ1994" s="4">
        <v>18</v>
      </c>
      <c r="AR1994" s="3" t="s">
        <v>64</v>
      </c>
      <c r="AS1994" s="3" t="s">
        <v>64</v>
      </c>
      <c r="AT1994" s="3" t="s">
        <v>64</v>
      </c>
      <c r="AV1994" s="6" t="str">
        <f>HYPERLINK("http://mcgill.on.worldcat.org/oclc/827256173","Catalog Record")</f>
        <v>Catalog Record</v>
      </c>
      <c r="AW1994" s="6" t="str">
        <f>HYPERLINK("http://www.worldcat.org/oclc/827256173","WorldCat Record")</f>
        <v>WorldCat Record</v>
      </c>
      <c r="AX1994" s="3" t="s">
        <v>20251</v>
      </c>
      <c r="AY1994" s="3" t="s">
        <v>20252</v>
      </c>
      <c r="AZ1994" s="3" t="s">
        <v>20253</v>
      </c>
      <c r="BA1994" s="3" t="s">
        <v>20253</v>
      </c>
      <c r="BB1994" s="3" t="s">
        <v>20254</v>
      </c>
      <c r="BC1994" s="3" t="s">
        <v>77</v>
      </c>
      <c r="BD1994" s="3" t="s">
        <v>78</v>
      </c>
      <c r="BE1994" s="3" t="s">
        <v>20255</v>
      </c>
      <c r="BF1994" s="3" t="s">
        <v>20254</v>
      </c>
      <c r="BG1994" s="3" t="s">
        <v>20256</v>
      </c>
      <c r="BH1994">
        <f t="shared" si="53"/>
        <v>0</v>
      </c>
    </row>
    <row r="1995" spans="1:60" ht="58" x14ac:dyDescent="0.35">
      <c r="A1995" s="2" t="s">
        <v>59</v>
      </c>
      <c r="B1995" s="2" t="s">
        <v>60</v>
      </c>
      <c r="C1995" s="2" t="s">
        <v>20257</v>
      </c>
      <c r="D1995" s="2" t="s">
        <v>20258</v>
      </c>
      <c r="E1995" s="2" t="s">
        <v>20259</v>
      </c>
      <c r="G1995" s="3" t="s">
        <v>64</v>
      </c>
      <c r="I1995" s="3" t="s">
        <v>64</v>
      </c>
      <c r="J1995" s="3" t="s">
        <v>128</v>
      </c>
      <c r="K1995" s="3" t="s">
        <v>65</v>
      </c>
      <c r="L1995" s="2" t="s">
        <v>20260</v>
      </c>
      <c r="M1995" s="2" t="s">
        <v>20261</v>
      </c>
      <c r="N1995" s="3" t="s">
        <v>2067</v>
      </c>
      <c r="P1995" s="3" t="s">
        <v>102</v>
      </c>
      <c r="Q1995" s="2" t="s">
        <v>20262</v>
      </c>
      <c r="R1995" s="3" t="s">
        <v>70</v>
      </c>
      <c r="S1995" s="4">
        <v>8</v>
      </c>
      <c r="T1995" s="4">
        <v>8</v>
      </c>
      <c r="U1995" s="5" t="s">
        <v>7994</v>
      </c>
      <c r="V1995" s="5" t="s">
        <v>7994</v>
      </c>
      <c r="W1995" s="5" t="s">
        <v>72</v>
      </c>
      <c r="X1995" s="5" t="s">
        <v>72</v>
      </c>
      <c r="Y1995" s="4">
        <v>665</v>
      </c>
      <c r="Z1995" s="4">
        <v>50</v>
      </c>
      <c r="AA1995" s="4">
        <v>67</v>
      </c>
      <c r="AB1995" s="4">
        <v>3</v>
      </c>
      <c r="AC1995" s="4">
        <v>4</v>
      </c>
      <c r="AD1995" s="4">
        <v>100</v>
      </c>
      <c r="AE1995" s="4">
        <v>120</v>
      </c>
      <c r="AF1995" s="4">
        <v>0</v>
      </c>
      <c r="AG1995" s="4">
        <v>1</v>
      </c>
      <c r="AH1995" s="4">
        <v>81</v>
      </c>
      <c r="AI1995" s="4">
        <v>98</v>
      </c>
      <c r="AJ1995" s="4">
        <v>16</v>
      </c>
      <c r="AK1995" s="4">
        <v>20</v>
      </c>
      <c r="AL1995" s="4">
        <v>40</v>
      </c>
      <c r="AM1995" s="4">
        <v>47</v>
      </c>
      <c r="AN1995" s="4">
        <v>0</v>
      </c>
      <c r="AO1995" s="4">
        <v>0</v>
      </c>
      <c r="AP1995" s="4">
        <v>24</v>
      </c>
      <c r="AQ1995" s="4">
        <v>29</v>
      </c>
      <c r="AR1995" s="3" t="s">
        <v>64</v>
      </c>
      <c r="AS1995" s="3" t="s">
        <v>64</v>
      </c>
      <c r="AT1995" s="3" t="s">
        <v>128</v>
      </c>
      <c r="AU1995" s="6" t="str">
        <f>HYPERLINK("http://catalog.hathitrust.org/Record/001546082","HathiTrust Record")</f>
        <v>HathiTrust Record</v>
      </c>
      <c r="AV1995" s="6" t="str">
        <f>HYPERLINK("http://mcgill.on.worldcat.org/oclc/18986868","Catalog Record")</f>
        <v>Catalog Record</v>
      </c>
      <c r="AW1995" s="6" t="str">
        <f>HYPERLINK("http://www.worldcat.org/oclc/18986868","WorldCat Record")</f>
        <v>WorldCat Record</v>
      </c>
      <c r="AX1995" s="3" t="s">
        <v>20263</v>
      </c>
      <c r="AY1995" s="3" t="s">
        <v>20264</v>
      </c>
      <c r="AZ1995" s="3" t="s">
        <v>20265</v>
      </c>
      <c r="BA1995" s="3" t="s">
        <v>20265</v>
      </c>
      <c r="BB1995" s="3" t="s">
        <v>20266</v>
      </c>
      <c r="BC1995" s="3" t="s">
        <v>77</v>
      </c>
      <c r="BD1995" s="3" t="s">
        <v>78</v>
      </c>
      <c r="BE1995" s="3" t="s">
        <v>20267</v>
      </c>
      <c r="BF1995" s="3" t="s">
        <v>20266</v>
      </c>
      <c r="BG1995" s="3" t="s">
        <v>20268</v>
      </c>
      <c r="BH1995">
        <f t="shared" si="53"/>
        <v>0</v>
      </c>
    </row>
    <row r="1996" spans="1:60" ht="58" x14ac:dyDescent="0.35">
      <c r="A1996" s="2" t="s">
        <v>59</v>
      </c>
      <c r="B1996" s="2" t="s">
        <v>60</v>
      </c>
      <c r="C1996" s="2" t="s">
        <v>20269</v>
      </c>
      <c r="D1996" s="2" t="s">
        <v>20270</v>
      </c>
      <c r="E1996" s="2" t="s">
        <v>20271</v>
      </c>
      <c r="G1996" s="3" t="s">
        <v>64</v>
      </c>
      <c r="I1996" s="3" t="s">
        <v>64</v>
      </c>
      <c r="J1996" s="3" t="s">
        <v>64</v>
      </c>
      <c r="K1996" s="3" t="s">
        <v>65</v>
      </c>
      <c r="L1996" s="2" t="s">
        <v>20272</v>
      </c>
      <c r="M1996" s="2" t="s">
        <v>17313</v>
      </c>
      <c r="N1996" s="3" t="s">
        <v>1763</v>
      </c>
      <c r="P1996" s="3" t="s">
        <v>102</v>
      </c>
      <c r="Q1996" s="2" t="s">
        <v>17314</v>
      </c>
      <c r="R1996" s="3" t="s">
        <v>70</v>
      </c>
      <c r="S1996" s="4">
        <v>5</v>
      </c>
      <c r="T1996" s="4">
        <v>5</v>
      </c>
      <c r="U1996" s="5" t="s">
        <v>19593</v>
      </c>
      <c r="V1996" s="5" t="s">
        <v>19593</v>
      </c>
      <c r="W1996" s="5" t="s">
        <v>72</v>
      </c>
      <c r="X1996" s="5" t="s">
        <v>72</v>
      </c>
      <c r="Y1996" s="4">
        <v>306</v>
      </c>
      <c r="Z1996" s="4">
        <v>9</v>
      </c>
      <c r="AA1996" s="4">
        <v>17</v>
      </c>
      <c r="AB1996" s="4">
        <v>1</v>
      </c>
      <c r="AC1996" s="4">
        <v>6</v>
      </c>
      <c r="AD1996" s="4">
        <v>54</v>
      </c>
      <c r="AE1996" s="4">
        <v>65</v>
      </c>
      <c r="AF1996" s="4">
        <v>0</v>
      </c>
      <c r="AG1996" s="4">
        <v>3</v>
      </c>
      <c r="AH1996" s="4">
        <v>52</v>
      </c>
      <c r="AI1996" s="4">
        <v>60</v>
      </c>
      <c r="AJ1996" s="4">
        <v>6</v>
      </c>
      <c r="AK1996" s="4">
        <v>10</v>
      </c>
      <c r="AL1996" s="4">
        <v>28</v>
      </c>
      <c r="AM1996" s="4">
        <v>28</v>
      </c>
      <c r="AN1996" s="4">
        <v>0</v>
      </c>
      <c r="AO1996" s="4">
        <v>0</v>
      </c>
      <c r="AP1996" s="4">
        <v>5</v>
      </c>
      <c r="AQ1996" s="4">
        <v>9</v>
      </c>
      <c r="AR1996" s="3" t="s">
        <v>64</v>
      </c>
      <c r="AS1996" s="3" t="s">
        <v>64</v>
      </c>
      <c r="AT1996" s="3" t="s">
        <v>128</v>
      </c>
      <c r="AU1996" s="6" t="str">
        <f>HYPERLINK("http://catalog.hathitrust.org/Record/000123310","HathiTrust Record")</f>
        <v>HathiTrust Record</v>
      </c>
      <c r="AV1996" s="6" t="str">
        <f>HYPERLINK("http://mcgill.on.worldcat.org/oclc/10618609","Catalog Record")</f>
        <v>Catalog Record</v>
      </c>
      <c r="AW1996" s="6" t="str">
        <f>HYPERLINK("http://www.worldcat.org/oclc/10618609","WorldCat Record")</f>
        <v>WorldCat Record</v>
      </c>
      <c r="AX1996" s="3" t="s">
        <v>20273</v>
      </c>
      <c r="AY1996" s="3" t="s">
        <v>20274</v>
      </c>
      <c r="AZ1996" s="3" t="s">
        <v>20275</v>
      </c>
      <c r="BA1996" s="3" t="s">
        <v>20275</v>
      </c>
      <c r="BB1996" s="3" t="s">
        <v>20276</v>
      </c>
      <c r="BC1996" s="3" t="s">
        <v>77</v>
      </c>
      <c r="BD1996" s="3" t="s">
        <v>78</v>
      </c>
      <c r="BE1996" s="3" t="s">
        <v>20277</v>
      </c>
      <c r="BF1996" s="3" t="s">
        <v>20276</v>
      </c>
      <c r="BG1996" s="3" t="s">
        <v>20278</v>
      </c>
      <c r="BH1996">
        <f t="shared" si="53"/>
        <v>0</v>
      </c>
    </row>
    <row r="1997" spans="1:60" ht="58" x14ac:dyDescent="0.35">
      <c r="A1997" s="2" t="s">
        <v>59</v>
      </c>
      <c r="B1997" s="2" t="s">
        <v>60</v>
      </c>
      <c r="C1997" s="2" t="s">
        <v>20279</v>
      </c>
      <c r="D1997" s="2" t="s">
        <v>20280</v>
      </c>
      <c r="E1997" s="2" t="s">
        <v>20281</v>
      </c>
      <c r="G1997" s="3" t="s">
        <v>64</v>
      </c>
      <c r="I1997" s="3" t="s">
        <v>64</v>
      </c>
      <c r="J1997" s="3" t="s">
        <v>64</v>
      </c>
      <c r="K1997" s="3" t="s">
        <v>65</v>
      </c>
      <c r="L1997" s="2" t="s">
        <v>20282</v>
      </c>
      <c r="M1997" s="2" t="s">
        <v>16855</v>
      </c>
      <c r="N1997" s="3" t="s">
        <v>67</v>
      </c>
      <c r="O1997" s="2" t="s">
        <v>117</v>
      </c>
      <c r="P1997" s="3" t="s">
        <v>102</v>
      </c>
      <c r="R1997" s="3" t="s">
        <v>70</v>
      </c>
      <c r="S1997" s="4">
        <v>8</v>
      </c>
      <c r="T1997" s="4">
        <v>8</v>
      </c>
      <c r="U1997" s="5" t="s">
        <v>20283</v>
      </c>
      <c r="V1997" s="5" t="s">
        <v>20283</v>
      </c>
      <c r="W1997" s="5" t="s">
        <v>72</v>
      </c>
      <c r="X1997" s="5" t="s">
        <v>72</v>
      </c>
      <c r="Y1997" s="4">
        <v>879</v>
      </c>
      <c r="Z1997" s="4">
        <v>50</v>
      </c>
      <c r="AA1997" s="4">
        <v>55</v>
      </c>
      <c r="AB1997" s="4">
        <v>4</v>
      </c>
      <c r="AC1997" s="4">
        <v>9</v>
      </c>
      <c r="AD1997" s="4">
        <v>92</v>
      </c>
      <c r="AE1997" s="4">
        <v>95</v>
      </c>
      <c r="AF1997" s="4">
        <v>1</v>
      </c>
      <c r="AG1997" s="4">
        <v>4</v>
      </c>
      <c r="AH1997" s="4">
        <v>78</v>
      </c>
      <c r="AI1997" s="4">
        <v>78</v>
      </c>
      <c r="AJ1997" s="4">
        <v>19</v>
      </c>
      <c r="AK1997" s="4">
        <v>21</v>
      </c>
      <c r="AL1997" s="4">
        <v>38</v>
      </c>
      <c r="AM1997" s="4">
        <v>38</v>
      </c>
      <c r="AN1997" s="4">
        <v>0</v>
      </c>
      <c r="AO1997" s="4">
        <v>0</v>
      </c>
      <c r="AP1997" s="4">
        <v>23</v>
      </c>
      <c r="AQ1997" s="4">
        <v>25</v>
      </c>
      <c r="AR1997" s="3" t="s">
        <v>64</v>
      </c>
      <c r="AS1997" s="3" t="s">
        <v>64</v>
      </c>
      <c r="AT1997" s="3" t="s">
        <v>64</v>
      </c>
      <c r="AV1997" s="6" t="str">
        <f>HYPERLINK("http://mcgill.on.worldcat.org/oclc/878812623","Catalog Record")</f>
        <v>Catalog Record</v>
      </c>
      <c r="AW1997" s="6" t="str">
        <f>HYPERLINK("http://www.worldcat.org/oclc/878812623","WorldCat Record")</f>
        <v>WorldCat Record</v>
      </c>
      <c r="AX1997" s="3" t="s">
        <v>20284</v>
      </c>
      <c r="AY1997" s="3" t="s">
        <v>20285</v>
      </c>
      <c r="AZ1997" s="3" t="s">
        <v>20286</v>
      </c>
      <c r="BA1997" s="3" t="s">
        <v>20286</v>
      </c>
      <c r="BB1997" s="3" t="s">
        <v>20287</v>
      </c>
      <c r="BC1997" s="3" t="s">
        <v>77</v>
      </c>
      <c r="BD1997" s="3" t="s">
        <v>78</v>
      </c>
      <c r="BE1997" s="3" t="s">
        <v>20288</v>
      </c>
      <c r="BF1997" s="3" t="s">
        <v>20287</v>
      </c>
      <c r="BG1997" s="3" t="s">
        <v>20289</v>
      </c>
      <c r="BH1997">
        <f t="shared" si="53"/>
        <v>0</v>
      </c>
    </row>
    <row r="1998" spans="1:60" ht="58" x14ac:dyDescent="0.35">
      <c r="A1998" s="2" t="s">
        <v>59</v>
      </c>
      <c r="B1998" s="2" t="s">
        <v>60</v>
      </c>
      <c r="C1998" s="2" t="s">
        <v>20290</v>
      </c>
      <c r="D1998" s="2" t="s">
        <v>20291</v>
      </c>
      <c r="E1998" s="2" t="s">
        <v>20292</v>
      </c>
      <c r="G1998" s="3" t="s">
        <v>64</v>
      </c>
      <c r="I1998" s="3" t="s">
        <v>64</v>
      </c>
      <c r="J1998" s="3" t="s">
        <v>64</v>
      </c>
      <c r="K1998" s="3" t="s">
        <v>65</v>
      </c>
      <c r="L1998" s="2" t="s">
        <v>20293</v>
      </c>
      <c r="M1998" s="2" t="s">
        <v>16229</v>
      </c>
      <c r="N1998" s="3" t="s">
        <v>190</v>
      </c>
      <c r="P1998" s="3" t="s">
        <v>102</v>
      </c>
      <c r="R1998" s="3" t="s">
        <v>70</v>
      </c>
      <c r="S1998" s="4">
        <v>3</v>
      </c>
      <c r="T1998" s="4">
        <v>3</v>
      </c>
      <c r="U1998" s="5" t="s">
        <v>11674</v>
      </c>
      <c r="V1998" s="5" t="s">
        <v>11674</v>
      </c>
      <c r="W1998" s="5" t="s">
        <v>72</v>
      </c>
      <c r="X1998" s="5" t="s">
        <v>72</v>
      </c>
      <c r="Y1998" s="4">
        <v>221</v>
      </c>
      <c r="Z1998" s="4">
        <v>9</v>
      </c>
      <c r="AA1998" s="4">
        <v>11</v>
      </c>
      <c r="AB1998" s="4">
        <v>1</v>
      </c>
      <c r="AC1998" s="4">
        <v>3</v>
      </c>
      <c r="AD1998" s="4">
        <v>29</v>
      </c>
      <c r="AE1998" s="4">
        <v>31</v>
      </c>
      <c r="AF1998" s="4">
        <v>0</v>
      </c>
      <c r="AG1998" s="4">
        <v>2</v>
      </c>
      <c r="AH1998" s="4">
        <v>25</v>
      </c>
      <c r="AI1998" s="4">
        <v>25</v>
      </c>
      <c r="AJ1998" s="4">
        <v>5</v>
      </c>
      <c r="AK1998" s="4">
        <v>6</v>
      </c>
      <c r="AL1998" s="4">
        <v>17</v>
      </c>
      <c r="AM1998" s="4">
        <v>17</v>
      </c>
      <c r="AN1998" s="4">
        <v>0</v>
      </c>
      <c r="AO1998" s="4">
        <v>0</v>
      </c>
      <c r="AP1998" s="4">
        <v>5</v>
      </c>
      <c r="AQ1998" s="4">
        <v>6</v>
      </c>
      <c r="AR1998" s="3" t="s">
        <v>64</v>
      </c>
      <c r="AS1998" s="3" t="s">
        <v>64</v>
      </c>
      <c r="AT1998" s="3" t="s">
        <v>64</v>
      </c>
      <c r="AV1998" s="6" t="str">
        <f>HYPERLINK("http://mcgill.on.worldcat.org/oclc/1031343822","Catalog Record")</f>
        <v>Catalog Record</v>
      </c>
      <c r="AW1998" s="6" t="str">
        <f>HYPERLINK("http://www.worldcat.org/oclc/1031343822","WorldCat Record")</f>
        <v>WorldCat Record</v>
      </c>
      <c r="AX1998" s="3" t="s">
        <v>20294</v>
      </c>
      <c r="AY1998" s="3" t="s">
        <v>20295</v>
      </c>
      <c r="AZ1998" s="3" t="s">
        <v>20296</v>
      </c>
      <c r="BA1998" s="3" t="s">
        <v>20296</v>
      </c>
      <c r="BB1998" s="3" t="s">
        <v>20297</v>
      </c>
      <c r="BC1998" s="3" t="s">
        <v>77</v>
      </c>
      <c r="BD1998" s="3" t="s">
        <v>78</v>
      </c>
      <c r="BE1998" s="3" t="s">
        <v>20298</v>
      </c>
      <c r="BF1998" s="3" t="s">
        <v>20297</v>
      </c>
      <c r="BG1998" s="3" t="s">
        <v>20299</v>
      </c>
      <c r="BH1998">
        <f t="shared" si="53"/>
        <v>0</v>
      </c>
    </row>
    <row r="1999" spans="1:60" ht="58" x14ac:dyDescent="0.35">
      <c r="A1999" s="2" t="s">
        <v>59</v>
      </c>
      <c r="B1999" s="2" t="s">
        <v>60</v>
      </c>
      <c r="C1999" s="2" t="s">
        <v>20300</v>
      </c>
      <c r="D1999" s="2" t="s">
        <v>20301</v>
      </c>
      <c r="E1999" s="2" t="s">
        <v>20302</v>
      </c>
      <c r="G1999" s="3" t="s">
        <v>64</v>
      </c>
      <c r="I1999" s="3" t="s">
        <v>64</v>
      </c>
      <c r="J1999" s="3" t="s">
        <v>64</v>
      </c>
      <c r="K1999" s="3" t="s">
        <v>65</v>
      </c>
      <c r="M1999" s="2" t="s">
        <v>16093</v>
      </c>
      <c r="N1999" s="3" t="s">
        <v>511</v>
      </c>
      <c r="P1999" s="3" t="s">
        <v>102</v>
      </c>
      <c r="R1999" s="3" t="s">
        <v>70</v>
      </c>
      <c r="S1999" s="4">
        <v>2</v>
      </c>
      <c r="T1999" s="4">
        <v>2</v>
      </c>
      <c r="U1999" s="5" t="s">
        <v>20303</v>
      </c>
      <c r="V1999" s="5" t="s">
        <v>20303</v>
      </c>
      <c r="W1999" s="5" t="s">
        <v>72</v>
      </c>
      <c r="X1999" s="5" t="s">
        <v>72</v>
      </c>
      <c r="Y1999" s="4">
        <v>169</v>
      </c>
      <c r="Z1999" s="4">
        <v>15</v>
      </c>
      <c r="AA1999" s="4">
        <v>44</v>
      </c>
      <c r="AB1999" s="4">
        <v>2</v>
      </c>
      <c r="AC1999" s="4">
        <v>8</v>
      </c>
      <c r="AD1999" s="4">
        <v>59</v>
      </c>
      <c r="AE1999" s="4">
        <v>73</v>
      </c>
      <c r="AF1999" s="4">
        <v>1</v>
      </c>
      <c r="AG1999" s="4">
        <v>2</v>
      </c>
      <c r="AH1999" s="4">
        <v>54</v>
      </c>
      <c r="AI1999" s="4">
        <v>63</v>
      </c>
      <c r="AJ1999" s="4">
        <v>9</v>
      </c>
      <c r="AK1999" s="4">
        <v>11</v>
      </c>
      <c r="AL1999" s="4">
        <v>32</v>
      </c>
      <c r="AM1999" s="4">
        <v>37</v>
      </c>
      <c r="AN1999" s="4">
        <v>0</v>
      </c>
      <c r="AO1999" s="4">
        <v>0</v>
      </c>
      <c r="AP1999" s="4">
        <v>11</v>
      </c>
      <c r="AQ1999" s="4">
        <v>15</v>
      </c>
      <c r="AR1999" s="3" t="s">
        <v>64</v>
      </c>
      <c r="AS1999" s="3" t="s">
        <v>64</v>
      </c>
      <c r="AT1999" s="3" t="s">
        <v>64</v>
      </c>
      <c r="AV1999" s="6" t="str">
        <f>HYPERLINK("http://mcgill.on.worldcat.org/oclc/606787473","Catalog Record")</f>
        <v>Catalog Record</v>
      </c>
      <c r="AW1999" s="6" t="str">
        <f>HYPERLINK("http://www.worldcat.org/oclc/606787473","WorldCat Record")</f>
        <v>WorldCat Record</v>
      </c>
      <c r="AX1999" s="3" t="s">
        <v>20304</v>
      </c>
      <c r="AY1999" s="3" t="s">
        <v>20305</v>
      </c>
      <c r="AZ1999" s="3" t="s">
        <v>20306</v>
      </c>
      <c r="BA1999" s="3" t="s">
        <v>20306</v>
      </c>
      <c r="BB1999" s="3" t="s">
        <v>20307</v>
      </c>
      <c r="BC1999" s="3" t="s">
        <v>77</v>
      </c>
      <c r="BD1999" s="3" t="s">
        <v>78</v>
      </c>
      <c r="BE1999" s="3" t="s">
        <v>20308</v>
      </c>
      <c r="BF1999" s="3" t="s">
        <v>20307</v>
      </c>
      <c r="BG1999" s="3" t="s">
        <v>20309</v>
      </c>
      <c r="BH1999">
        <f t="shared" si="53"/>
        <v>0</v>
      </c>
    </row>
    <row r="2000" spans="1:60" ht="58" x14ac:dyDescent="0.35">
      <c r="A2000" s="2" t="s">
        <v>59</v>
      </c>
      <c r="B2000" s="2" t="s">
        <v>60</v>
      </c>
      <c r="C2000" s="2" t="s">
        <v>20310</v>
      </c>
      <c r="D2000" s="2" t="s">
        <v>20311</v>
      </c>
      <c r="E2000" s="2" t="s">
        <v>20312</v>
      </c>
      <c r="G2000" s="3" t="s">
        <v>64</v>
      </c>
      <c r="I2000" s="3" t="s">
        <v>64</v>
      </c>
      <c r="J2000" s="3" t="s">
        <v>64</v>
      </c>
      <c r="K2000" s="3" t="s">
        <v>65</v>
      </c>
      <c r="L2000" s="2" t="s">
        <v>20313</v>
      </c>
      <c r="M2000" s="2" t="s">
        <v>14235</v>
      </c>
      <c r="N2000" s="3" t="s">
        <v>511</v>
      </c>
      <c r="P2000" s="3" t="s">
        <v>102</v>
      </c>
      <c r="R2000" s="3" t="s">
        <v>70</v>
      </c>
      <c r="S2000" s="4">
        <v>3</v>
      </c>
      <c r="T2000" s="4">
        <v>3</v>
      </c>
      <c r="U2000" s="5" t="s">
        <v>15619</v>
      </c>
      <c r="V2000" s="5" t="s">
        <v>15619</v>
      </c>
      <c r="W2000" s="5" t="s">
        <v>72</v>
      </c>
      <c r="X2000" s="5" t="s">
        <v>72</v>
      </c>
      <c r="Y2000" s="4">
        <v>548</v>
      </c>
      <c r="Z2000" s="4">
        <v>33</v>
      </c>
      <c r="AA2000" s="4">
        <v>109</v>
      </c>
      <c r="AB2000" s="4">
        <v>3</v>
      </c>
      <c r="AC2000" s="4">
        <v>18</v>
      </c>
      <c r="AD2000" s="4">
        <v>80</v>
      </c>
      <c r="AE2000" s="4">
        <v>127</v>
      </c>
      <c r="AF2000" s="4">
        <v>1</v>
      </c>
      <c r="AG2000" s="4">
        <v>8</v>
      </c>
      <c r="AH2000" s="4">
        <v>69</v>
      </c>
      <c r="AI2000" s="4">
        <v>89</v>
      </c>
      <c r="AJ2000" s="4">
        <v>12</v>
      </c>
      <c r="AK2000" s="4">
        <v>20</v>
      </c>
      <c r="AL2000" s="4">
        <v>33</v>
      </c>
      <c r="AM2000" s="4">
        <v>44</v>
      </c>
      <c r="AN2000" s="4">
        <v>0</v>
      </c>
      <c r="AO2000" s="4">
        <v>0</v>
      </c>
      <c r="AP2000" s="4">
        <v>18</v>
      </c>
      <c r="AQ2000" s="4">
        <v>45</v>
      </c>
      <c r="AR2000" s="3" t="s">
        <v>64</v>
      </c>
      <c r="AS2000" s="3" t="s">
        <v>64</v>
      </c>
      <c r="AT2000" s="3" t="s">
        <v>64</v>
      </c>
      <c r="AV2000" s="6" t="str">
        <f>HYPERLINK("http://mcgill.on.worldcat.org/oclc/441167479","Catalog Record")</f>
        <v>Catalog Record</v>
      </c>
      <c r="AW2000" s="6" t="str">
        <f>HYPERLINK("http://www.worldcat.org/oclc/441167479","WorldCat Record")</f>
        <v>WorldCat Record</v>
      </c>
      <c r="AX2000" s="3" t="s">
        <v>20314</v>
      </c>
      <c r="AY2000" s="3" t="s">
        <v>20315</v>
      </c>
      <c r="AZ2000" s="3" t="s">
        <v>20316</v>
      </c>
      <c r="BA2000" s="3" t="s">
        <v>20316</v>
      </c>
      <c r="BB2000" s="3" t="s">
        <v>20317</v>
      </c>
      <c r="BC2000" s="3" t="s">
        <v>77</v>
      </c>
      <c r="BD2000" s="3" t="s">
        <v>78</v>
      </c>
      <c r="BE2000" s="3" t="s">
        <v>20318</v>
      </c>
      <c r="BF2000" s="3" t="s">
        <v>20317</v>
      </c>
      <c r="BG2000" s="3" t="s">
        <v>20319</v>
      </c>
      <c r="BH2000">
        <f t="shared" si="53"/>
        <v>0</v>
      </c>
    </row>
    <row r="2001" spans="1:60" ht="58" x14ac:dyDescent="0.35">
      <c r="A2001" s="2" t="s">
        <v>59</v>
      </c>
      <c r="B2001" s="2" t="s">
        <v>60</v>
      </c>
      <c r="C2001" s="2" t="s">
        <v>20320</v>
      </c>
      <c r="D2001" s="2" t="s">
        <v>20321</v>
      </c>
      <c r="E2001" s="2" t="s">
        <v>20322</v>
      </c>
      <c r="G2001" s="3" t="s">
        <v>64</v>
      </c>
      <c r="I2001" s="3" t="s">
        <v>128</v>
      </c>
      <c r="J2001" s="3" t="s">
        <v>128</v>
      </c>
      <c r="K2001" s="3" t="s">
        <v>65</v>
      </c>
      <c r="L2001" s="2" t="s">
        <v>16206</v>
      </c>
      <c r="M2001" s="2" t="s">
        <v>15272</v>
      </c>
      <c r="N2001" s="3" t="s">
        <v>291</v>
      </c>
      <c r="O2001" s="2" t="s">
        <v>18111</v>
      </c>
      <c r="P2001" s="3" t="s">
        <v>102</v>
      </c>
      <c r="Q2001" s="2" t="s">
        <v>15094</v>
      </c>
      <c r="R2001" s="3" t="s">
        <v>70</v>
      </c>
      <c r="S2001" s="4">
        <v>73</v>
      </c>
      <c r="T2001" s="4">
        <v>147</v>
      </c>
      <c r="U2001" s="5" t="s">
        <v>20323</v>
      </c>
      <c r="V2001" s="5" t="s">
        <v>12109</v>
      </c>
      <c r="W2001" s="5" t="s">
        <v>72</v>
      </c>
      <c r="X2001" s="5" t="s">
        <v>72</v>
      </c>
      <c r="Y2001" s="4">
        <v>458</v>
      </c>
      <c r="Z2001" s="4">
        <v>31</v>
      </c>
      <c r="AA2001" s="4">
        <v>61</v>
      </c>
      <c r="AB2001" s="4">
        <v>2</v>
      </c>
      <c r="AC2001" s="4">
        <v>9</v>
      </c>
      <c r="AD2001" s="4">
        <v>58</v>
      </c>
      <c r="AE2001" s="4">
        <v>118</v>
      </c>
      <c r="AF2001" s="4">
        <v>0</v>
      </c>
      <c r="AG2001" s="4">
        <v>2</v>
      </c>
      <c r="AH2001" s="4">
        <v>51</v>
      </c>
      <c r="AI2001" s="4">
        <v>96</v>
      </c>
      <c r="AJ2001" s="4">
        <v>9</v>
      </c>
      <c r="AK2001" s="4">
        <v>16</v>
      </c>
      <c r="AL2001" s="4">
        <v>28</v>
      </c>
      <c r="AM2001" s="4">
        <v>52</v>
      </c>
      <c r="AN2001" s="4">
        <v>0</v>
      </c>
      <c r="AO2001" s="4">
        <v>0</v>
      </c>
      <c r="AP2001" s="4">
        <v>13</v>
      </c>
      <c r="AQ2001" s="4">
        <v>19</v>
      </c>
      <c r="AR2001" s="3" t="s">
        <v>64</v>
      </c>
      <c r="AS2001" s="3" t="s">
        <v>64</v>
      </c>
      <c r="AT2001" s="3" t="s">
        <v>64</v>
      </c>
      <c r="AV2001" s="6" t="str">
        <f>HYPERLINK("http://mcgill.on.worldcat.org/oclc/85348499","Catalog Record")</f>
        <v>Catalog Record</v>
      </c>
      <c r="AW2001" s="6" t="str">
        <f>HYPERLINK("http://www.worldcat.org/oclc/85348499","WorldCat Record")</f>
        <v>WorldCat Record</v>
      </c>
      <c r="AX2001" s="3" t="s">
        <v>20324</v>
      </c>
      <c r="AY2001" s="3" t="s">
        <v>20325</v>
      </c>
      <c r="AZ2001" s="3" t="s">
        <v>20326</v>
      </c>
      <c r="BA2001" s="3" t="s">
        <v>20326</v>
      </c>
      <c r="BB2001" s="3" t="s">
        <v>20327</v>
      </c>
      <c r="BC2001" s="3" t="s">
        <v>77</v>
      </c>
      <c r="BD2001" s="3" t="s">
        <v>78</v>
      </c>
      <c r="BE2001" s="3" t="s">
        <v>20328</v>
      </c>
      <c r="BF2001" s="3" t="s">
        <v>20327</v>
      </c>
      <c r="BG2001" s="3" t="s">
        <v>20329</v>
      </c>
      <c r="BH2001">
        <f t="shared" si="53"/>
        <v>0</v>
      </c>
    </row>
    <row r="2002" spans="1:60" ht="58" x14ac:dyDescent="0.35">
      <c r="A2002" s="2" t="s">
        <v>59</v>
      </c>
      <c r="B2002" s="2" t="s">
        <v>60</v>
      </c>
      <c r="C2002" s="2" t="s">
        <v>20320</v>
      </c>
      <c r="D2002" s="2" t="s">
        <v>20321</v>
      </c>
      <c r="E2002" s="2" t="s">
        <v>20322</v>
      </c>
      <c r="G2002" s="3" t="s">
        <v>64</v>
      </c>
      <c r="I2002" s="3" t="s">
        <v>128</v>
      </c>
      <c r="J2002" s="3" t="s">
        <v>128</v>
      </c>
      <c r="K2002" s="3" t="s">
        <v>65</v>
      </c>
      <c r="L2002" s="2" t="s">
        <v>16206</v>
      </c>
      <c r="M2002" s="2" t="s">
        <v>15272</v>
      </c>
      <c r="N2002" s="3" t="s">
        <v>291</v>
      </c>
      <c r="O2002" s="2" t="s">
        <v>18111</v>
      </c>
      <c r="P2002" s="3" t="s">
        <v>102</v>
      </c>
      <c r="Q2002" s="2" t="s">
        <v>15094</v>
      </c>
      <c r="R2002" s="3" t="s">
        <v>70</v>
      </c>
      <c r="S2002" s="4">
        <v>74</v>
      </c>
      <c r="T2002" s="4">
        <v>147</v>
      </c>
      <c r="U2002" s="5" t="s">
        <v>12109</v>
      </c>
      <c r="V2002" s="5" t="s">
        <v>12109</v>
      </c>
      <c r="W2002" s="5" t="s">
        <v>72</v>
      </c>
      <c r="X2002" s="5" t="s">
        <v>72</v>
      </c>
      <c r="Y2002" s="4">
        <v>458</v>
      </c>
      <c r="Z2002" s="4">
        <v>31</v>
      </c>
      <c r="AA2002" s="4">
        <v>61</v>
      </c>
      <c r="AB2002" s="4">
        <v>2</v>
      </c>
      <c r="AC2002" s="4">
        <v>9</v>
      </c>
      <c r="AD2002" s="4">
        <v>58</v>
      </c>
      <c r="AE2002" s="4">
        <v>118</v>
      </c>
      <c r="AF2002" s="4">
        <v>0</v>
      </c>
      <c r="AG2002" s="4">
        <v>2</v>
      </c>
      <c r="AH2002" s="4">
        <v>51</v>
      </c>
      <c r="AI2002" s="4">
        <v>96</v>
      </c>
      <c r="AJ2002" s="4">
        <v>9</v>
      </c>
      <c r="AK2002" s="4">
        <v>16</v>
      </c>
      <c r="AL2002" s="4">
        <v>28</v>
      </c>
      <c r="AM2002" s="4">
        <v>52</v>
      </c>
      <c r="AN2002" s="4">
        <v>0</v>
      </c>
      <c r="AO2002" s="4">
        <v>0</v>
      </c>
      <c r="AP2002" s="4">
        <v>13</v>
      </c>
      <c r="AQ2002" s="4">
        <v>19</v>
      </c>
      <c r="AR2002" s="3" t="s">
        <v>64</v>
      </c>
      <c r="AS2002" s="3" t="s">
        <v>64</v>
      </c>
      <c r="AT2002" s="3" t="s">
        <v>64</v>
      </c>
      <c r="AV2002" s="6" t="str">
        <f>HYPERLINK("http://mcgill.on.worldcat.org/oclc/85348499","Catalog Record")</f>
        <v>Catalog Record</v>
      </c>
      <c r="AW2002" s="6" t="str">
        <f>HYPERLINK("http://www.worldcat.org/oclc/85348499","WorldCat Record")</f>
        <v>WorldCat Record</v>
      </c>
      <c r="AX2002" s="3" t="s">
        <v>20324</v>
      </c>
      <c r="AY2002" s="3" t="s">
        <v>20325</v>
      </c>
      <c r="AZ2002" s="3" t="s">
        <v>20326</v>
      </c>
      <c r="BA2002" s="3" t="s">
        <v>20326</v>
      </c>
      <c r="BB2002" s="3" t="s">
        <v>20330</v>
      </c>
      <c r="BC2002" s="3" t="s">
        <v>77</v>
      </c>
      <c r="BD2002" s="3" t="s">
        <v>78</v>
      </c>
      <c r="BE2002" s="3" t="s">
        <v>20328</v>
      </c>
      <c r="BF2002" s="3" t="s">
        <v>20330</v>
      </c>
      <c r="BG2002" s="3" t="s">
        <v>20331</v>
      </c>
      <c r="BH2002">
        <f t="shared" si="53"/>
        <v>0</v>
      </c>
    </row>
    <row r="2003" spans="1:60" ht="58" x14ac:dyDescent="0.35">
      <c r="A2003" s="2" t="s">
        <v>59</v>
      </c>
      <c r="B2003" s="2" t="s">
        <v>60</v>
      </c>
      <c r="C2003" s="2" t="s">
        <v>20332</v>
      </c>
      <c r="D2003" s="2" t="s">
        <v>20333</v>
      </c>
      <c r="E2003" s="2" t="s">
        <v>20334</v>
      </c>
      <c r="G2003" s="3" t="s">
        <v>64</v>
      </c>
      <c r="I2003" s="3" t="s">
        <v>64</v>
      </c>
      <c r="J2003" s="3" t="s">
        <v>128</v>
      </c>
      <c r="K2003" s="3" t="s">
        <v>65</v>
      </c>
      <c r="L2003" s="2" t="s">
        <v>20335</v>
      </c>
      <c r="M2003" s="2" t="s">
        <v>20336</v>
      </c>
      <c r="N2003" s="3" t="s">
        <v>1075</v>
      </c>
      <c r="O2003" s="2" t="s">
        <v>20337</v>
      </c>
      <c r="P2003" s="3" t="s">
        <v>102</v>
      </c>
      <c r="Q2003" s="2" t="s">
        <v>15094</v>
      </c>
      <c r="R2003" s="3" t="s">
        <v>70</v>
      </c>
      <c r="S2003" s="4">
        <v>91</v>
      </c>
      <c r="T2003" s="4">
        <v>91</v>
      </c>
      <c r="U2003" s="5" t="s">
        <v>20338</v>
      </c>
      <c r="V2003" s="5" t="s">
        <v>20338</v>
      </c>
      <c r="W2003" s="5" t="s">
        <v>72</v>
      </c>
      <c r="X2003" s="5" t="s">
        <v>72</v>
      </c>
      <c r="Y2003" s="4">
        <v>211</v>
      </c>
      <c r="Z2003" s="4">
        <v>13</v>
      </c>
      <c r="AA2003" s="4">
        <v>61</v>
      </c>
      <c r="AB2003" s="4">
        <v>1</v>
      </c>
      <c r="AC2003" s="4">
        <v>9</v>
      </c>
      <c r="AD2003" s="4">
        <v>40</v>
      </c>
      <c r="AE2003" s="4">
        <v>118</v>
      </c>
      <c r="AF2003" s="4">
        <v>0</v>
      </c>
      <c r="AG2003" s="4">
        <v>2</v>
      </c>
      <c r="AH2003" s="4">
        <v>39</v>
      </c>
      <c r="AI2003" s="4">
        <v>96</v>
      </c>
      <c r="AJ2003" s="4">
        <v>5</v>
      </c>
      <c r="AK2003" s="4">
        <v>16</v>
      </c>
      <c r="AL2003" s="4">
        <v>23</v>
      </c>
      <c r="AM2003" s="4">
        <v>52</v>
      </c>
      <c r="AN2003" s="4">
        <v>0</v>
      </c>
      <c r="AO2003" s="4">
        <v>0</v>
      </c>
      <c r="AP2003" s="4">
        <v>5</v>
      </c>
      <c r="AQ2003" s="4">
        <v>19</v>
      </c>
      <c r="AR2003" s="3" t="s">
        <v>64</v>
      </c>
      <c r="AS2003" s="3" t="s">
        <v>64</v>
      </c>
      <c r="AT2003" s="3" t="s">
        <v>64</v>
      </c>
      <c r="AV2003" s="6" t="str">
        <f>HYPERLINK("http://mcgill.on.worldcat.org/oclc/780481202","Catalog Record")</f>
        <v>Catalog Record</v>
      </c>
      <c r="AW2003" s="6" t="str">
        <f>HYPERLINK("http://www.worldcat.org/oclc/780481202","WorldCat Record")</f>
        <v>WorldCat Record</v>
      </c>
      <c r="AX2003" s="3" t="s">
        <v>20324</v>
      </c>
      <c r="AY2003" s="3" t="s">
        <v>20339</v>
      </c>
      <c r="AZ2003" s="3" t="s">
        <v>20340</v>
      </c>
      <c r="BA2003" s="3" t="s">
        <v>20340</v>
      </c>
      <c r="BB2003" s="3" t="s">
        <v>20341</v>
      </c>
      <c r="BC2003" s="3" t="s">
        <v>77</v>
      </c>
      <c r="BD2003" s="3" t="s">
        <v>78</v>
      </c>
      <c r="BE2003" s="3" t="s">
        <v>20342</v>
      </c>
      <c r="BF2003" s="3" t="s">
        <v>20341</v>
      </c>
      <c r="BG2003" s="3" t="s">
        <v>20343</v>
      </c>
      <c r="BH2003">
        <f t="shared" si="53"/>
        <v>0</v>
      </c>
    </row>
    <row r="2004" spans="1:60" ht="58" x14ac:dyDescent="0.35">
      <c r="A2004" s="2" t="s">
        <v>59</v>
      </c>
      <c r="B2004" s="2" t="s">
        <v>60</v>
      </c>
      <c r="C2004" s="2" t="s">
        <v>20344</v>
      </c>
      <c r="D2004" s="2" t="s">
        <v>20345</v>
      </c>
      <c r="E2004" s="2" t="s">
        <v>20346</v>
      </c>
      <c r="G2004" s="3" t="s">
        <v>64</v>
      </c>
      <c r="I2004" s="3" t="s">
        <v>64</v>
      </c>
      <c r="J2004" s="3" t="s">
        <v>64</v>
      </c>
      <c r="K2004" s="3" t="s">
        <v>65</v>
      </c>
      <c r="M2004" s="2" t="s">
        <v>20347</v>
      </c>
      <c r="N2004" s="3" t="s">
        <v>67</v>
      </c>
      <c r="P2004" s="3" t="s">
        <v>102</v>
      </c>
      <c r="R2004" s="3" t="s">
        <v>70</v>
      </c>
      <c r="S2004" s="4">
        <v>0</v>
      </c>
      <c r="T2004" s="4">
        <v>0</v>
      </c>
      <c r="W2004" s="5" t="s">
        <v>72</v>
      </c>
      <c r="X2004" s="5" t="s">
        <v>72</v>
      </c>
      <c r="Y2004" s="4">
        <v>31</v>
      </c>
      <c r="Z2004" s="4">
        <v>4</v>
      </c>
      <c r="AA2004" s="4">
        <v>7</v>
      </c>
      <c r="AB2004" s="4">
        <v>1</v>
      </c>
      <c r="AC2004" s="4">
        <v>4</v>
      </c>
      <c r="AD2004" s="4">
        <v>13</v>
      </c>
      <c r="AE2004" s="4">
        <v>14</v>
      </c>
      <c r="AF2004" s="4">
        <v>0</v>
      </c>
      <c r="AG2004" s="4">
        <v>1</v>
      </c>
      <c r="AH2004" s="4">
        <v>12</v>
      </c>
      <c r="AI2004" s="4">
        <v>12</v>
      </c>
      <c r="AJ2004" s="4">
        <v>2</v>
      </c>
      <c r="AK2004" s="4">
        <v>3</v>
      </c>
      <c r="AL2004" s="4">
        <v>6</v>
      </c>
      <c r="AM2004" s="4">
        <v>6</v>
      </c>
      <c r="AN2004" s="4">
        <v>0</v>
      </c>
      <c r="AO2004" s="4">
        <v>0</v>
      </c>
      <c r="AP2004" s="4">
        <v>2</v>
      </c>
      <c r="AQ2004" s="4">
        <v>2</v>
      </c>
      <c r="AR2004" s="3" t="s">
        <v>64</v>
      </c>
      <c r="AS2004" s="3" t="s">
        <v>64</v>
      </c>
      <c r="AT2004" s="3" t="s">
        <v>64</v>
      </c>
      <c r="AV2004" s="6" t="str">
        <f>HYPERLINK("http://mcgill.on.worldcat.org/oclc/869269393","Catalog Record")</f>
        <v>Catalog Record</v>
      </c>
      <c r="AW2004" s="6" t="str">
        <f>HYPERLINK("http://www.worldcat.org/oclc/869269393","WorldCat Record")</f>
        <v>WorldCat Record</v>
      </c>
      <c r="AX2004" s="3" t="s">
        <v>20348</v>
      </c>
      <c r="AY2004" s="3" t="s">
        <v>20349</v>
      </c>
      <c r="AZ2004" s="3" t="s">
        <v>20350</v>
      </c>
      <c r="BA2004" s="3" t="s">
        <v>20350</v>
      </c>
      <c r="BB2004" s="3" t="s">
        <v>20351</v>
      </c>
      <c r="BC2004" s="3" t="s">
        <v>77</v>
      </c>
      <c r="BD2004" s="3" t="s">
        <v>78</v>
      </c>
      <c r="BE2004" s="3" t="s">
        <v>20352</v>
      </c>
      <c r="BF2004" s="3" t="s">
        <v>20351</v>
      </c>
      <c r="BG2004" s="3" t="s">
        <v>20353</v>
      </c>
      <c r="BH2004">
        <f t="shared" si="53"/>
        <v>0</v>
      </c>
    </row>
    <row r="2005" spans="1:60" ht="58" x14ac:dyDescent="0.35">
      <c r="A2005" s="2" t="s">
        <v>59</v>
      </c>
      <c r="B2005" s="2" t="s">
        <v>60</v>
      </c>
      <c r="C2005" s="2" t="s">
        <v>20354</v>
      </c>
      <c r="D2005" s="2" t="s">
        <v>20355</v>
      </c>
      <c r="E2005" s="2" t="s">
        <v>20356</v>
      </c>
      <c r="G2005" s="3" t="s">
        <v>64</v>
      </c>
      <c r="I2005" s="3" t="s">
        <v>64</v>
      </c>
      <c r="J2005" s="3" t="s">
        <v>64</v>
      </c>
      <c r="K2005" s="3" t="s">
        <v>65</v>
      </c>
      <c r="L2005" s="2" t="s">
        <v>20357</v>
      </c>
      <c r="M2005" s="2" t="s">
        <v>20358</v>
      </c>
      <c r="N2005" s="3" t="s">
        <v>3428</v>
      </c>
      <c r="P2005" s="3" t="s">
        <v>102</v>
      </c>
      <c r="R2005" s="3" t="s">
        <v>70</v>
      </c>
      <c r="S2005" s="4">
        <v>21</v>
      </c>
      <c r="T2005" s="4">
        <v>21</v>
      </c>
      <c r="U2005" s="5" t="s">
        <v>19896</v>
      </c>
      <c r="V2005" s="5" t="s">
        <v>19896</v>
      </c>
      <c r="W2005" s="5" t="s">
        <v>72</v>
      </c>
      <c r="X2005" s="5" t="s">
        <v>72</v>
      </c>
      <c r="Y2005" s="4">
        <v>244</v>
      </c>
      <c r="Z2005" s="4">
        <v>11</v>
      </c>
      <c r="AA2005" s="4">
        <v>11</v>
      </c>
      <c r="AB2005" s="4">
        <v>1</v>
      </c>
      <c r="AC2005" s="4">
        <v>1</v>
      </c>
      <c r="AD2005" s="4">
        <v>51</v>
      </c>
      <c r="AE2005" s="4">
        <v>52</v>
      </c>
      <c r="AF2005" s="4">
        <v>0</v>
      </c>
      <c r="AG2005" s="4">
        <v>0</v>
      </c>
      <c r="AH2005" s="4">
        <v>47</v>
      </c>
      <c r="AI2005" s="4">
        <v>48</v>
      </c>
      <c r="AJ2005" s="4">
        <v>6</v>
      </c>
      <c r="AK2005" s="4">
        <v>6</v>
      </c>
      <c r="AL2005" s="4">
        <v>21</v>
      </c>
      <c r="AM2005" s="4">
        <v>21</v>
      </c>
      <c r="AN2005" s="4">
        <v>0</v>
      </c>
      <c r="AO2005" s="4">
        <v>0</v>
      </c>
      <c r="AP2005" s="4">
        <v>7</v>
      </c>
      <c r="AQ2005" s="4">
        <v>7</v>
      </c>
      <c r="AR2005" s="3" t="s">
        <v>64</v>
      </c>
      <c r="AS2005" s="3" t="s">
        <v>64</v>
      </c>
      <c r="AT2005" s="3" t="s">
        <v>128</v>
      </c>
      <c r="AU2005" s="6" t="str">
        <f>HYPERLINK("http://catalog.hathitrust.org/Record/002997781","HathiTrust Record")</f>
        <v>HathiTrust Record</v>
      </c>
      <c r="AV2005" s="6" t="str">
        <f>HYPERLINK("http://mcgill.on.worldcat.org/oclc/32167742","Catalog Record")</f>
        <v>Catalog Record</v>
      </c>
      <c r="AW2005" s="6" t="str">
        <f>HYPERLINK("http://www.worldcat.org/oclc/32167742","WorldCat Record")</f>
        <v>WorldCat Record</v>
      </c>
      <c r="AX2005" s="3" t="s">
        <v>20359</v>
      </c>
      <c r="AY2005" s="3" t="s">
        <v>20360</v>
      </c>
      <c r="AZ2005" s="3" t="s">
        <v>20361</v>
      </c>
      <c r="BA2005" s="3" t="s">
        <v>20361</v>
      </c>
      <c r="BB2005" s="3" t="s">
        <v>20362</v>
      </c>
      <c r="BC2005" s="3" t="s">
        <v>77</v>
      </c>
      <c r="BD2005" s="3" t="s">
        <v>78</v>
      </c>
      <c r="BE2005" s="3" t="s">
        <v>20363</v>
      </c>
      <c r="BF2005" s="3" t="s">
        <v>20362</v>
      </c>
      <c r="BG2005" s="3" t="s">
        <v>20364</v>
      </c>
      <c r="BH2005">
        <f t="shared" si="53"/>
        <v>0</v>
      </c>
    </row>
    <row r="2006" spans="1:60" ht="58" x14ac:dyDescent="0.35">
      <c r="A2006" s="2" t="s">
        <v>59</v>
      </c>
      <c r="B2006" s="2" t="s">
        <v>60</v>
      </c>
      <c r="C2006" s="2" t="s">
        <v>20365</v>
      </c>
      <c r="D2006" s="2" t="s">
        <v>20366</v>
      </c>
      <c r="E2006" s="2" t="s">
        <v>20367</v>
      </c>
      <c r="G2006" s="3" t="s">
        <v>64</v>
      </c>
      <c r="I2006" s="3" t="s">
        <v>64</v>
      </c>
      <c r="J2006" s="3" t="s">
        <v>64</v>
      </c>
      <c r="K2006" s="3" t="s">
        <v>65</v>
      </c>
      <c r="L2006" s="2" t="s">
        <v>20368</v>
      </c>
      <c r="M2006" s="2" t="s">
        <v>14044</v>
      </c>
      <c r="N2006" s="3" t="s">
        <v>326</v>
      </c>
      <c r="P2006" s="3" t="s">
        <v>102</v>
      </c>
      <c r="R2006" s="3" t="s">
        <v>70</v>
      </c>
      <c r="S2006" s="4">
        <v>3</v>
      </c>
      <c r="T2006" s="4">
        <v>3</v>
      </c>
      <c r="U2006" s="5" t="s">
        <v>20369</v>
      </c>
      <c r="V2006" s="5" t="s">
        <v>20369</v>
      </c>
      <c r="W2006" s="5" t="s">
        <v>72</v>
      </c>
      <c r="X2006" s="5" t="s">
        <v>72</v>
      </c>
      <c r="Y2006" s="4">
        <v>477</v>
      </c>
      <c r="Z2006" s="4">
        <v>29</v>
      </c>
      <c r="AA2006" s="4">
        <v>108</v>
      </c>
      <c r="AB2006" s="4">
        <v>3</v>
      </c>
      <c r="AC2006" s="4">
        <v>18</v>
      </c>
      <c r="AD2006" s="4">
        <v>83</v>
      </c>
      <c r="AE2006" s="4">
        <v>138</v>
      </c>
      <c r="AF2006" s="4">
        <v>1</v>
      </c>
      <c r="AG2006" s="4">
        <v>8</v>
      </c>
      <c r="AH2006" s="4">
        <v>75</v>
      </c>
      <c r="AI2006" s="4">
        <v>100</v>
      </c>
      <c r="AJ2006" s="4">
        <v>11</v>
      </c>
      <c r="AK2006" s="4">
        <v>22</v>
      </c>
      <c r="AL2006" s="4">
        <v>39</v>
      </c>
      <c r="AM2006" s="4">
        <v>52</v>
      </c>
      <c r="AN2006" s="4">
        <v>0</v>
      </c>
      <c r="AO2006" s="4">
        <v>0</v>
      </c>
      <c r="AP2006" s="4">
        <v>15</v>
      </c>
      <c r="AQ2006" s="4">
        <v>46</v>
      </c>
      <c r="AR2006" s="3" t="s">
        <v>64</v>
      </c>
      <c r="AS2006" s="3" t="s">
        <v>64</v>
      </c>
      <c r="AT2006" s="3" t="s">
        <v>64</v>
      </c>
      <c r="AV2006" s="6" t="str">
        <f>HYPERLINK("http://mcgill.on.worldcat.org/oclc/704391647","Catalog Record")</f>
        <v>Catalog Record</v>
      </c>
      <c r="AW2006" s="6" t="str">
        <f>HYPERLINK("http://www.worldcat.org/oclc/704391647","WorldCat Record")</f>
        <v>WorldCat Record</v>
      </c>
      <c r="AX2006" s="3" t="s">
        <v>20370</v>
      </c>
      <c r="AY2006" s="3" t="s">
        <v>20371</v>
      </c>
      <c r="AZ2006" s="3" t="s">
        <v>20372</v>
      </c>
      <c r="BA2006" s="3" t="s">
        <v>20372</v>
      </c>
      <c r="BB2006" s="3" t="s">
        <v>20373</v>
      </c>
      <c r="BC2006" s="3" t="s">
        <v>77</v>
      </c>
      <c r="BD2006" s="3" t="s">
        <v>78</v>
      </c>
      <c r="BE2006" s="3" t="s">
        <v>20374</v>
      </c>
      <c r="BF2006" s="3" t="s">
        <v>20373</v>
      </c>
      <c r="BG2006" s="3" t="s">
        <v>20375</v>
      </c>
      <c r="BH2006">
        <f t="shared" si="53"/>
        <v>0</v>
      </c>
    </row>
    <row r="2007" spans="1:60" ht="58" x14ac:dyDescent="0.35">
      <c r="A2007" s="2" t="s">
        <v>59</v>
      </c>
      <c r="B2007" s="2" t="s">
        <v>60</v>
      </c>
      <c r="C2007" s="2" t="s">
        <v>20376</v>
      </c>
      <c r="D2007" s="2" t="s">
        <v>20377</v>
      </c>
      <c r="E2007" s="2" t="s">
        <v>20378</v>
      </c>
      <c r="G2007" s="3" t="s">
        <v>64</v>
      </c>
      <c r="I2007" s="3" t="s">
        <v>64</v>
      </c>
      <c r="J2007" s="3" t="s">
        <v>64</v>
      </c>
      <c r="K2007" s="3" t="s">
        <v>65</v>
      </c>
      <c r="L2007" s="2" t="s">
        <v>19552</v>
      </c>
      <c r="M2007" s="2" t="s">
        <v>16911</v>
      </c>
      <c r="N2007" s="3" t="s">
        <v>1075</v>
      </c>
      <c r="P2007" s="3" t="s">
        <v>102</v>
      </c>
      <c r="R2007" s="3" t="s">
        <v>70</v>
      </c>
      <c r="S2007" s="4">
        <v>1</v>
      </c>
      <c r="T2007" s="4">
        <v>1</v>
      </c>
      <c r="U2007" s="5" t="s">
        <v>20379</v>
      </c>
      <c r="V2007" s="5" t="s">
        <v>20379</v>
      </c>
      <c r="W2007" s="5" t="s">
        <v>72</v>
      </c>
      <c r="X2007" s="5" t="s">
        <v>72</v>
      </c>
      <c r="Y2007" s="4">
        <v>552</v>
      </c>
      <c r="Z2007" s="4">
        <v>29</v>
      </c>
      <c r="AA2007" s="4">
        <v>116</v>
      </c>
      <c r="AB2007" s="4">
        <v>2</v>
      </c>
      <c r="AC2007" s="4">
        <v>16</v>
      </c>
      <c r="AD2007" s="4">
        <v>82</v>
      </c>
      <c r="AE2007" s="4">
        <v>137</v>
      </c>
      <c r="AF2007" s="4">
        <v>1</v>
      </c>
      <c r="AG2007" s="4">
        <v>8</v>
      </c>
      <c r="AH2007" s="4">
        <v>74</v>
      </c>
      <c r="AI2007" s="4">
        <v>97</v>
      </c>
      <c r="AJ2007" s="4">
        <v>13</v>
      </c>
      <c r="AK2007" s="4">
        <v>24</v>
      </c>
      <c r="AL2007" s="4">
        <v>38</v>
      </c>
      <c r="AM2007" s="4">
        <v>51</v>
      </c>
      <c r="AN2007" s="4">
        <v>0</v>
      </c>
      <c r="AO2007" s="4">
        <v>0</v>
      </c>
      <c r="AP2007" s="4">
        <v>14</v>
      </c>
      <c r="AQ2007" s="4">
        <v>46</v>
      </c>
      <c r="AR2007" s="3" t="s">
        <v>64</v>
      </c>
      <c r="AS2007" s="3" t="s">
        <v>64</v>
      </c>
      <c r="AT2007" s="3" t="s">
        <v>64</v>
      </c>
      <c r="AV2007" s="6" t="str">
        <f>HYPERLINK("http://mcgill.on.worldcat.org/oclc/794711878","Catalog Record")</f>
        <v>Catalog Record</v>
      </c>
      <c r="AW2007" s="6" t="str">
        <f>HYPERLINK("http://www.worldcat.org/oclc/794711878","WorldCat Record")</f>
        <v>WorldCat Record</v>
      </c>
      <c r="AX2007" s="3" t="s">
        <v>20380</v>
      </c>
      <c r="AY2007" s="3" t="s">
        <v>20381</v>
      </c>
      <c r="AZ2007" s="3" t="s">
        <v>20382</v>
      </c>
      <c r="BA2007" s="3" t="s">
        <v>20382</v>
      </c>
      <c r="BB2007" s="3" t="s">
        <v>20383</v>
      </c>
      <c r="BC2007" s="3" t="s">
        <v>77</v>
      </c>
      <c r="BD2007" s="3" t="s">
        <v>78</v>
      </c>
      <c r="BE2007" s="3" t="s">
        <v>20384</v>
      </c>
      <c r="BF2007" s="3" t="s">
        <v>20383</v>
      </c>
      <c r="BG2007" s="3" t="s">
        <v>20385</v>
      </c>
      <c r="BH2007">
        <f t="shared" si="53"/>
        <v>0</v>
      </c>
    </row>
    <row r="2008" spans="1:60" ht="58" x14ac:dyDescent="0.35">
      <c r="A2008" s="2" t="s">
        <v>59</v>
      </c>
      <c r="B2008" s="2" t="s">
        <v>60</v>
      </c>
      <c r="C2008" s="2" t="s">
        <v>20386</v>
      </c>
      <c r="D2008" s="2" t="s">
        <v>20387</v>
      </c>
      <c r="E2008" s="2" t="s">
        <v>20388</v>
      </c>
      <c r="G2008" s="3" t="s">
        <v>64</v>
      </c>
      <c r="I2008" s="3" t="s">
        <v>64</v>
      </c>
      <c r="J2008" s="3" t="s">
        <v>64</v>
      </c>
      <c r="K2008" s="3" t="s">
        <v>65</v>
      </c>
      <c r="L2008" s="2" t="s">
        <v>14593</v>
      </c>
      <c r="M2008" s="2" t="s">
        <v>20389</v>
      </c>
      <c r="N2008" s="3" t="s">
        <v>1087</v>
      </c>
      <c r="P2008" s="3" t="s">
        <v>102</v>
      </c>
      <c r="Q2008" s="2" t="s">
        <v>20390</v>
      </c>
      <c r="R2008" s="3" t="s">
        <v>70</v>
      </c>
      <c r="S2008" s="4">
        <v>2</v>
      </c>
      <c r="T2008" s="4">
        <v>2</v>
      </c>
      <c r="U2008" s="5" t="s">
        <v>20391</v>
      </c>
      <c r="V2008" s="5" t="s">
        <v>20391</v>
      </c>
      <c r="W2008" s="5" t="s">
        <v>72</v>
      </c>
      <c r="X2008" s="5" t="s">
        <v>72</v>
      </c>
      <c r="Y2008" s="4">
        <v>134</v>
      </c>
      <c r="Z2008" s="4">
        <v>8</v>
      </c>
      <c r="AA2008" s="4">
        <v>11</v>
      </c>
      <c r="AB2008" s="4">
        <v>1</v>
      </c>
      <c r="AC2008" s="4">
        <v>2</v>
      </c>
      <c r="AD2008" s="4">
        <v>30</v>
      </c>
      <c r="AE2008" s="4">
        <v>38</v>
      </c>
      <c r="AF2008" s="4">
        <v>0</v>
      </c>
      <c r="AG2008" s="4">
        <v>1</v>
      </c>
      <c r="AH2008" s="4">
        <v>27</v>
      </c>
      <c r="AI2008" s="4">
        <v>34</v>
      </c>
      <c r="AJ2008" s="4">
        <v>5</v>
      </c>
      <c r="AK2008" s="4">
        <v>8</v>
      </c>
      <c r="AL2008" s="4">
        <v>14</v>
      </c>
      <c r="AM2008" s="4">
        <v>17</v>
      </c>
      <c r="AN2008" s="4">
        <v>1</v>
      </c>
      <c r="AO2008" s="4">
        <v>1</v>
      </c>
      <c r="AP2008" s="4">
        <v>6</v>
      </c>
      <c r="AQ2008" s="4">
        <v>8</v>
      </c>
      <c r="AR2008" s="3" t="s">
        <v>64</v>
      </c>
      <c r="AS2008" s="3" t="s">
        <v>64</v>
      </c>
      <c r="AT2008" s="3" t="s">
        <v>128</v>
      </c>
      <c r="AU2008" s="6" t="str">
        <f>HYPERLINK("http://catalog.hathitrust.org/Record/002513039","HathiTrust Record")</f>
        <v>HathiTrust Record</v>
      </c>
      <c r="AV2008" s="6" t="str">
        <f>HYPERLINK("http://mcgill.on.worldcat.org/oclc/28710282","Catalog Record")</f>
        <v>Catalog Record</v>
      </c>
      <c r="AW2008" s="6" t="str">
        <f>HYPERLINK("http://www.worldcat.org/oclc/28710282","WorldCat Record")</f>
        <v>WorldCat Record</v>
      </c>
      <c r="AX2008" s="3" t="s">
        <v>20392</v>
      </c>
      <c r="AY2008" s="3" t="s">
        <v>20393</v>
      </c>
      <c r="AZ2008" s="3" t="s">
        <v>20394</v>
      </c>
      <c r="BA2008" s="3" t="s">
        <v>20394</v>
      </c>
      <c r="BB2008" s="3" t="s">
        <v>20395</v>
      </c>
      <c r="BC2008" s="3" t="s">
        <v>77</v>
      </c>
      <c r="BD2008" s="3" t="s">
        <v>78</v>
      </c>
      <c r="BE2008" s="3" t="s">
        <v>20396</v>
      </c>
      <c r="BF2008" s="3" t="s">
        <v>20395</v>
      </c>
      <c r="BG2008" s="3" t="s">
        <v>20397</v>
      </c>
      <c r="BH2008">
        <f t="shared" si="53"/>
        <v>0</v>
      </c>
    </row>
    <row r="2009" spans="1:60" ht="58" x14ac:dyDescent="0.35">
      <c r="A2009" s="2" t="s">
        <v>59</v>
      </c>
      <c r="B2009" s="2" t="s">
        <v>60</v>
      </c>
      <c r="C2009" s="2" t="s">
        <v>20398</v>
      </c>
      <c r="D2009" s="2" t="s">
        <v>20399</v>
      </c>
      <c r="E2009" s="2" t="s">
        <v>20400</v>
      </c>
      <c r="G2009" s="3" t="s">
        <v>64</v>
      </c>
      <c r="I2009" s="3" t="s">
        <v>64</v>
      </c>
      <c r="J2009" s="3" t="s">
        <v>64</v>
      </c>
      <c r="K2009" s="3" t="s">
        <v>65</v>
      </c>
      <c r="L2009" s="2" t="s">
        <v>20401</v>
      </c>
      <c r="M2009" s="2" t="s">
        <v>17291</v>
      </c>
      <c r="N2009" s="3" t="s">
        <v>326</v>
      </c>
      <c r="P2009" s="3" t="s">
        <v>102</v>
      </c>
      <c r="Q2009" s="2" t="s">
        <v>8981</v>
      </c>
      <c r="R2009" s="3" t="s">
        <v>70</v>
      </c>
      <c r="S2009" s="4">
        <v>0</v>
      </c>
      <c r="T2009" s="4">
        <v>0</v>
      </c>
      <c r="W2009" s="5" t="s">
        <v>72</v>
      </c>
      <c r="X2009" s="5" t="s">
        <v>72</v>
      </c>
      <c r="Y2009" s="4">
        <v>65</v>
      </c>
      <c r="Z2009" s="4">
        <v>6</v>
      </c>
      <c r="AA2009" s="4">
        <v>81</v>
      </c>
      <c r="AB2009" s="4">
        <v>1</v>
      </c>
      <c r="AC2009" s="4">
        <v>15</v>
      </c>
      <c r="AD2009" s="4">
        <v>12</v>
      </c>
      <c r="AE2009" s="4">
        <v>100</v>
      </c>
      <c r="AF2009" s="4">
        <v>0</v>
      </c>
      <c r="AG2009" s="4">
        <v>8</v>
      </c>
      <c r="AH2009" s="4">
        <v>12</v>
      </c>
      <c r="AI2009" s="4">
        <v>67</v>
      </c>
      <c r="AJ2009" s="4">
        <v>3</v>
      </c>
      <c r="AK2009" s="4">
        <v>19</v>
      </c>
      <c r="AL2009" s="4">
        <v>9</v>
      </c>
      <c r="AM2009" s="4">
        <v>34</v>
      </c>
      <c r="AN2009" s="4">
        <v>0</v>
      </c>
      <c r="AO2009" s="4">
        <v>0</v>
      </c>
      <c r="AP2009" s="4">
        <v>3</v>
      </c>
      <c r="AQ2009" s="4">
        <v>39</v>
      </c>
      <c r="AR2009" s="3" t="s">
        <v>64</v>
      </c>
      <c r="AS2009" s="3" t="s">
        <v>64</v>
      </c>
      <c r="AT2009" s="3" t="s">
        <v>64</v>
      </c>
      <c r="AV2009" s="6" t="str">
        <f>HYPERLINK("http://mcgill.on.worldcat.org/oclc/746598338","Catalog Record")</f>
        <v>Catalog Record</v>
      </c>
      <c r="AW2009" s="6" t="str">
        <f>HYPERLINK("http://www.worldcat.org/oclc/746598338","WorldCat Record")</f>
        <v>WorldCat Record</v>
      </c>
      <c r="AX2009" s="3" t="s">
        <v>20402</v>
      </c>
      <c r="AY2009" s="3" t="s">
        <v>20403</v>
      </c>
      <c r="AZ2009" s="3" t="s">
        <v>20404</v>
      </c>
      <c r="BA2009" s="3" t="s">
        <v>20404</v>
      </c>
      <c r="BB2009" s="3" t="s">
        <v>20405</v>
      </c>
      <c r="BC2009" s="3" t="s">
        <v>77</v>
      </c>
      <c r="BD2009" s="3" t="s">
        <v>78</v>
      </c>
      <c r="BE2009" s="3" t="s">
        <v>20406</v>
      </c>
      <c r="BF2009" s="3" t="s">
        <v>20405</v>
      </c>
      <c r="BG2009" s="3" t="s">
        <v>20407</v>
      </c>
      <c r="BH2009">
        <f t="shared" si="53"/>
        <v>0</v>
      </c>
    </row>
    <row r="2010" spans="1:60" ht="58" x14ac:dyDescent="0.35">
      <c r="A2010" s="2" t="s">
        <v>59</v>
      </c>
      <c r="B2010" s="2" t="s">
        <v>60</v>
      </c>
      <c r="C2010" s="2" t="s">
        <v>20408</v>
      </c>
      <c r="D2010" s="2" t="s">
        <v>20409</v>
      </c>
      <c r="E2010" s="2" t="s">
        <v>20410</v>
      </c>
      <c r="G2010" s="3" t="s">
        <v>64</v>
      </c>
      <c r="I2010" s="3" t="s">
        <v>64</v>
      </c>
      <c r="J2010" s="3" t="s">
        <v>64</v>
      </c>
      <c r="K2010" s="3" t="s">
        <v>65</v>
      </c>
      <c r="M2010" s="2" t="s">
        <v>20411</v>
      </c>
      <c r="N2010" s="3" t="s">
        <v>578</v>
      </c>
      <c r="P2010" s="3" t="s">
        <v>102</v>
      </c>
      <c r="Q2010" s="2" t="s">
        <v>20412</v>
      </c>
      <c r="R2010" s="3" t="s">
        <v>70</v>
      </c>
      <c r="S2010" s="4">
        <v>3</v>
      </c>
      <c r="T2010" s="4">
        <v>3</v>
      </c>
      <c r="U2010" s="5" t="s">
        <v>20413</v>
      </c>
      <c r="V2010" s="5" t="s">
        <v>20413</v>
      </c>
      <c r="W2010" s="5" t="s">
        <v>72</v>
      </c>
      <c r="X2010" s="5" t="s">
        <v>72</v>
      </c>
      <c r="Y2010" s="4">
        <v>388</v>
      </c>
      <c r="Z2010" s="4">
        <v>15</v>
      </c>
      <c r="AA2010" s="4">
        <v>26</v>
      </c>
      <c r="AB2010" s="4">
        <v>2</v>
      </c>
      <c r="AC2010" s="4">
        <v>6</v>
      </c>
      <c r="AD2010" s="4">
        <v>62</v>
      </c>
      <c r="AE2010" s="4">
        <v>80</v>
      </c>
      <c r="AF2010" s="4">
        <v>1</v>
      </c>
      <c r="AG2010" s="4">
        <v>3</v>
      </c>
      <c r="AH2010" s="4">
        <v>56</v>
      </c>
      <c r="AI2010" s="4">
        <v>68</v>
      </c>
      <c r="AJ2010" s="4">
        <v>7</v>
      </c>
      <c r="AK2010" s="4">
        <v>13</v>
      </c>
      <c r="AL2010" s="4">
        <v>24</v>
      </c>
      <c r="AM2010" s="4">
        <v>30</v>
      </c>
      <c r="AN2010" s="4">
        <v>0</v>
      </c>
      <c r="AO2010" s="4">
        <v>0</v>
      </c>
      <c r="AP2010" s="4">
        <v>9</v>
      </c>
      <c r="AQ2010" s="4">
        <v>16</v>
      </c>
      <c r="AR2010" s="3" t="s">
        <v>64</v>
      </c>
      <c r="AS2010" s="3" t="s">
        <v>64</v>
      </c>
      <c r="AT2010" s="3" t="s">
        <v>64</v>
      </c>
      <c r="AV2010" s="6" t="str">
        <f>HYPERLINK("http://mcgill.on.worldcat.org/oclc/1003864289","Catalog Record")</f>
        <v>Catalog Record</v>
      </c>
      <c r="AW2010" s="6" t="str">
        <f>HYPERLINK("http://www.worldcat.org/oclc/1003864289","WorldCat Record")</f>
        <v>WorldCat Record</v>
      </c>
      <c r="AX2010" s="3" t="s">
        <v>20414</v>
      </c>
      <c r="AY2010" s="3" t="s">
        <v>20415</v>
      </c>
      <c r="AZ2010" s="3" t="s">
        <v>20416</v>
      </c>
      <c r="BA2010" s="3" t="s">
        <v>20416</v>
      </c>
      <c r="BB2010" s="3" t="s">
        <v>20417</v>
      </c>
      <c r="BC2010" s="3" t="s">
        <v>77</v>
      </c>
      <c r="BD2010" s="3" t="s">
        <v>165</v>
      </c>
      <c r="BE2010" s="3" t="s">
        <v>20418</v>
      </c>
      <c r="BF2010" s="3" t="s">
        <v>20417</v>
      </c>
      <c r="BG2010" s="3" t="s">
        <v>20419</v>
      </c>
      <c r="BH2010">
        <f t="shared" si="53"/>
        <v>0</v>
      </c>
    </row>
    <row r="2011" spans="1:60" ht="58" x14ac:dyDescent="0.35">
      <c r="A2011" s="2" t="s">
        <v>59</v>
      </c>
      <c r="B2011" s="2" t="s">
        <v>60</v>
      </c>
      <c r="C2011" s="2" t="s">
        <v>20420</v>
      </c>
      <c r="D2011" s="2" t="s">
        <v>20421</v>
      </c>
      <c r="E2011" s="2" t="s">
        <v>20422</v>
      </c>
      <c r="F2011" s="3" t="s">
        <v>7062</v>
      </c>
      <c r="G2011" s="3" t="s">
        <v>64</v>
      </c>
      <c r="I2011" s="3" t="s">
        <v>64</v>
      </c>
      <c r="J2011" s="3" t="s">
        <v>64</v>
      </c>
      <c r="K2011" s="3" t="s">
        <v>65</v>
      </c>
      <c r="L2011" s="2" t="s">
        <v>20423</v>
      </c>
      <c r="M2011" s="2" t="s">
        <v>20424</v>
      </c>
      <c r="N2011" s="3" t="s">
        <v>291</v>
      </c>
      <c r="P2011" s="3" t="s">
        <v>102</v>
      </c>
      <c r="Q2011" s="2" t="s">
        <v>20425</v>
      </c>
      <c r="R2011" s="3" t="s">
        <v>70</v>
      </c>
      <c r="S2011" s="4">
        <v>12</v>
      </c>
      <c r="T2011" s="4">
        <v>12</v>
      </c>
      <c r="U2011" s="5" t="s">
        <v>3560</v>
      </c>
      <c r="V2011" s="5" t="s">
        <v>3560</v>
      </c>
      <c r="W2011" s="5" t="s">
        <v>72</v>
      </c>
      <c r="X2011" s="5" t="s">
        <v>72</v>
      </c>
      <c r="Y2011" s="4">
        <v>583</v>
      </c>
      <c r="Z2011" s="4">
        <v>27</v>
      </c>
      <c r="AA2011" s="4">
        <v>28</v>
      </c>
      <c r="AB2011" s="4">
        <v>2</v>
      </c>
      <c r="AC2011" s="4">
        <v>3</v>
      </c>
      <c r="AD2011" s="4">
        <v>74</v>
      </c>
      <c r="AE2011" s="4">
        <v>75</v>
      </c>
      <c r="AF2011" s="4">
        <v>0</v>
      </c>
      <c r="AG2011" s="4">
        <v>1</v>
      </c>
      <c r="AH2011" s="4">
        <v>68</v>
      </c>
      <c r="AI2011" s="4">
        <v>68</v>
      </c>
      <c r="AJ2011" s="4">
        <v>9</v>
      </c>
      <c r="AK2011" s="4">
        <v>10</v>
      </c>
      <c r="AL2011" s="4">
        <v>31</v>
      </c>
      <c r="AM2011" s="4">
        <v>31</v>
      </c>
      <c r="AN2011" s="4">
        <v>0</v>
      </c>
      <c r="AO2011" s="4">
        <v>0</v>
      </c>
      <c r="AP2011" s="4">
        <v>11</v>
      </c>
      <c r="AQ2011" s="4">
        <v>11</v>
      </c>
      <c r="AR2011" s="3" t="s">
        <v>64</v>
      </c>
      <c r="AS2011" s="3" t="s">
        <v>64</v>
      </c>
      <c r="AT2011" s="3" t="s">
        <v>128</v>
      </c>
      <c r="AU2011" s="6" t="str">
        <f>HYPERLINK("http://catalog.hathitrust.org/Record/005676064","HathiTrust Record")</f>
        <v>HathiTrust Record</v>
      </c>
      <c r="AV2011" s="6" t="str">
        <f>HYPERLINK("http://mcgill.on.worldcat.org/oclc/85830663","Catalog Record")</f>
        <v>Catalog Record</v>
      </c>
      <c r="AW2011" s="6" t="str">
        <f>HYPERLINK("http://www.worldcat.org/oclc/85830663","WorldCat Record")</f>
        <v>WorldCat Record</v>
      </c>
      <c r="AX2011" s="3" t="s">
        <v>20426</v>
      </c>
      <c r="AY2011" s="3" t="s">
        <v>20427</v>
      </c>
      <c r="AZ2011" s="3" t="s">
        <v>20428</v>
      </c>
      <c r="BA2011" s="3" t="s">
        <v>20428</v>
      </c>
      <c r="BB2011" s="3" t="s">
        <v>20429</v>
      </c>
      <c r="BC2011" s="3" t="s">
        <v>77</v>
      </c>
      <c r="BD2011" s="3" t="s">
        <v>78</v>
      </c>
      <c r="BE2011" s="3" t="s">
        <v>20430</v>
      </c>
      <c r="BF2011" s="3" t="s">
        <v>20429</v>
      </c>
      <c r="BG2011" s="3" t="s">
        <v>20431</v>
      </c>
      <c r="BH2011">
        <f t="shared" si="53"/>
        <v>0</v>
      </c>
    </row>
    <row r="2012" spans="1:60" ht="58" x14ac:dyDescent="0.35">
      <c r="A2012" s="2" t="s">
        <v>59</v>
      </c>
      <c r="B2012" s="2" t="s">
        <v>60</v>
      </c>
      <c r="C2012" s="2" t="s">
        <v>20432</v>
      </c>
      <c r="D2012" s="2" t="s">
        <v>20433</v>
      </c>
      <c r="E2012" s="2" t="s">
        <v>20434</v>
      </c>
      <c r="G2012" s="3" t="s">
        <v>64</v>
      </c>
      <c r="I2012" s="3" t="s">
        <v>64</v>
      </c>
      <c r="J2012" s="3" t="s">
        <v>64</v>
      </c>
      <c r="K2012" s="3" t="s">
        <v>65</v>
      </c>
      <c r="L2012" s="2" t="s">
        <v>18066</v>
      </c>
      <c r="M2012" s="2" t="s">
        <v>15732</v>
      </c>
      <c r="N2012" s="3" t="s">
        <v>537</v>
      </c>
      <c r="P2012" s="3" t="s">
        <v>102</v>
      </c>
      <c r="R2012" s="3" t="s">
        <v>70</v>
      </c>
      <c r="S2012" s="4">
        <v>3</v>
      </c>
      <c r="T2012" s="4">
        <v>3</v>
      </c>
      <c r="U2012" s="5" t="s">
        <v>8379</v>
      </c>
      <c r="V2012" s="5" t="s">
        <v>8379</v>
      </c>
      <c r="W2012" s="5" t="s">
        <v>72</v>
      </c>
      <c r="X2012" s="5" t="s">
        <v>72</v>
      </c>
      <c r="Y2012" s="4">
        <v>377</v>
      </c>
      <c r="Z2012" s="4">
        <v>11</v>
      </c>
      <c r="AA2012" s="4">
        <v>15</v>
      </c>
      <c r="AB2012" s="4">
        <v>1</v>
      </c>
      <c r="AC2012" s="4">
        <v>3</v>
      </c>
      <c r="AD2012" s="4">
        <v>58</v>
      </c>
      <c r="AE2012" s="4">
        <v>61</v>
      </c>
      <c r="AF2012" s="4">
        <v>0</v>
      </c>
      <c r="AG2012" s="4">
        <v>1</v>
      </c>
      <c r="AH2012" s="4">
        <v>57</v>
      </c>
      <c r="AI2012" s="4">
        <v>58</v>
      </c>
      <c r="AJ2012" s="4">
        <v>4</v>
      </c>
      <c r="AK2012" s="4">
        <v>6</v>
      </c>
      <c r="AL2012" s="4">
        <v>32</v>
      </c>
      <c r="AM2012" s="4">
        <v>32</v>
      </c>
      <c r="AN2012" s="4">
        <v>0</v>
      </c>
      <c r="AO2012" s="4">
        <v>0</v>
      </c>
      <c r="AP2012" s="4">
        <v>4</v>
      </c>
      <c r="AQ2012" s="4">
        <v>6</v>
      </c>
      <c r="AR2012" s="3" t="s">
        <v>64</v>
      </c>
      <c r="AS2012" s="3" t="s">
        <v>64</v>
      </c>
      <c r="AT2012" s="3" t="s">
        <v>64</v>
      </c>
      <c r="AV2012" s="6" t="str">
        <f>HYPERLINK("http://mcgill.on.worldcat.org/oclc/945767025","Catalog Record")</f>
        <v>Catalog Record</v>
      </c>
      <c r="AW2012" s="6" t="str">
        <f>HYPERLINK("http://www.worldcat.org/oclc/945767025","WorldCat Record")</f>
        <v>WorldCat Record</v>
      </c>
      <c r="AX2012" s="3" t="s">
        <v>20435</v>
      </c>
      <c r="AY2012" s="3" t="s">
        <v>20436</v>
      </c>
      <c r="AZ2012" s="3" t="s">
        <v>20437</v>
      </c>
      <c r="BA2012" s="3" t="s">
        <v>20437</v>
      </c>
      <c r="BB2012" s="3" t="s">
        <v>20438</v>
      </c>
      <c r="BC2012" s="3" t="s">
        <v>77</v>
      </c>
      <c r="BD2012" s="3" t="s">
        <v>78</v>
      </c>
      <c r="BE2012" s="3" t="s">
        <v>20439</v>
      </c>
      <c r="BF2012" s="3" t="s">
        <v>20438</v>
      </c>
      <c r="BG2012" s="3" t="s">
        <v>20440</v>
      </c>
      <c r="BH2012">
        <f t="shared" si="53"/>
        <v>0</v>
      </c>
    </row>
    <row r="2013" spans="1:60" ht="58" x14ac:dyDescent="0.35">
      <c r="A2013" s="2" t="s">
        <v>59</v>
      </c>
      <c r="B2013" s="2" t="s">
        <v>60</v>
      </c>
      <c r="C2013" s="2" t="s">
        <v>20441</v>
      </c>
      <c r="D2013" s="2" t="s">
        <v>20442</v>
      </c>
      <c r="E2013" s="2" t="s">
        <v>20443</v>
      </c>
      <c r="G2013" s="3" t="s">
        <v>64</v>
      </c>
      <c r="I2013" s="3" t="s">
        <v>64</v>
      </c>
      <c r="J2013" s="3" t="s">
        <v>64</v>
      </c>
      <c r="K2013" s="3" t="s">
        <v>65</v>
      </c>
      <c r="L2013" s="2" t="s">
        <v>20444</v>
      </c>
      <c r="M2013" s="2" t="s">
        <v>16229</v>
      </c>
      <c r="N2013" s="3" t="s">
        <v>190</v>
      </c>
      <c r="O2013" s="2" t="s">
        <v>117</v>
      </c>
      <c r="P2013" s="3" t="s">
        <v>102</v>
      </c>
      <c r="R2013" s="3" t="s">
        <v>70</v>
      </c>
      <c r="S2013" s="4">
        <v>4</v>
      </c>
      <c r="T2013" s="4">
        <v>4</v>
      </c>
      <c r="U2013" s="5" t="s">
        <v>8379</v>
      </c>
      <c r="V2013" s="5" t="s">
        <v>8379</v>
      </c>
      <c r="W2013" s="5" t="s">
        <v>72</v>
      </c>
      <c r="X2013" s="5" t="s">
        <v>72</v>
      </c>
      <c r="Y2013" s="4">
        <v>250</v>
      </c>
      <c r="Z2013" s="4">
        <v>10</v>
      </c>
      <c r="AA2013" s="4">
        <v>71</v>
      </c>
      <c r="AB2013" s="4">
        <v>2</v>
      </c>
      <c r="AC2013" s="4">
        <v>14</v>
      </c>
      <c r="AD2013" s="4">
        <v>56</v>
      </c>
      <c r="AE2013" s="4">
        <v>103</v>
      </c>
      <c r="AF2013" s="4">
        <v>1</v>
      </c>
      <c r="AG2013" s="4">
        <v>8</v>
      </c>
      <c r="AH2013" s="4">
        <v>51</v>
      </c>
      <c r="AI2013" s="4">
        <v>73</v>
      </c>
      <c r="AJ2013" s="4">
        <v>4</v>
      </c>
      <c r="AK2013" s="4">
        <v>17</v>
      </c>
      <c r="AL2013" s="4">
        <v>29</v>
      </c>
      <c r="AM2013" s="4">
        <v>38</v>
      </c>
      <c r="AN2013" s="4">
        <v>0</v>
      </c>
      <c r="AO2013" s="4">
        <v>0</v>
      </c>
      <c r="AP2013" s="4">
        <v>6</v>
      </c>
      <c r="AQ2013" s="4">
        <v>36</v>
      </c>
      <c r="AR2013" s="3" t="s">
        <v>64</v>
      </c>
      <c r="AS2013" s="3" t="s">
        <v>64</v>
      </c>
      <c r="AT2013" s="3" t="s">
        <v>64</v>
      </c>
      <c r="AV2013" s="6" t="str">
        <f>HYPERLINK("http://mcgill.on.worldcat.org/oclc/1004424598","Catalog Record")</f>
        <v>Catalog Record</v>
      </c>
      <c r="AW2013" s="6" t="str">
        <f>HYPERLINK("http://www.worldcat.org/oclc/1004424598","WorldCat Record")</f>
        <v>WorldCat Record</v>
      </c>
      <c r="AX2013" s="3" t="s">
        <v>20445</v>
      </c>
      <c r="AY2013" s="3" t="s">
        <v>20446</v>
      </c>
      <c r="AZ2013" s="3" t="s">
        <v>20447</v>
      </c>
      <c r="BA2013" s="3" t="s">
        <v>20447</v>
      </c>
      <c r="BB2013" s="3" t="s">
        <v>20448</v>
      </c>
      <c r="BC2013" s="3" t="s">
        <v>77</v>
      </c>
      <c r="BD2013" s="3" t="s">
        <v>78</v>
      </c>
      <c r="BE2013" s="3" t="s">
        <v>20449</v>
      </c>
      <c r="BF2013" s="3" t="s">
        <v>20448</v>
      </c>
      <c r="BG2013" s="3" t="s">
        <v>20450</v>
      </c>
      <c r="BH2013">
        <f t="shared" si="53"/>
        <v>0</v>
      </c>
    </row>
    <row r="2014" spans="1:60" ht="58" x14ac:dyDescent="0.35">
      <c r="A2014" s="2" t="s">
        <v>59</v>
      </c>
      <c r="B2014" s="2" t="s">
        <v>60</v>
      </c>
      <c r="C2014" s="2" t="s">
        <v>20451</v>
      </c>
      <c r="D2014" s="2" t="s">
        <v>20452</v>
      </c>
      <c r="E2014" s="2" t="s">
        <v>20453</v>
      </c>
      <c r="G2014" s="3" t="s">
        <v>64</v>
      </c>
      <c r="I2014" s="3" t="s">
        <v>64</v>
      </c>
      <c r="J2014" s="3" t="s">
        <v>64</v>
      </c>
      <c r="K2014" s="3" t="s">
        <v>65</v>
      </c>
      <c r="L2014" s="2" t="s">
        <v>20454</v>
      </c>
      <c r="M2014" s="2" t="s">
        <v>16814</v>
      </c>
      <c r="N2014" s="3" t="s">
        <v>326</v>
      </c>
      <c r="P2014" s="3" t="s">
        <v>102</v>
      </c>
      <c r="R2014" s="3" t="s">
        <v>70</v>
      </c>
      <c r="S2014" s="4">
        <v>3</v>
      </c>
      <c r="T2014" s="4">
        <v>3</v>
      </c>
      <c r="U2014" s="5" t="s">
        <v>11674</v>
      </c>
      <c r="V2014" s="5" t="s">
        <v>11674</v>
      </c>
      <c r="W2014" s="5" t="s">
        <v>72</v>
      </c>
      <c r="X2014" s="5" t="s">
        <v>72</v>
      </c>
      <c r="Y2014" s="4">
        <v>90</v>
      </c>
      <c r="Z2014" s="4">
        <v>9</v>
      </c>
      <c r="AA2014" s="4">
        <v>25</v>
      </c>
      <c r="AB2014" s="4">
        <v>1</v>
      </c>
      <c r="AC2014" s="4">
        <v>5</v>
      </c>
      <c r="AD2014" s="4">
        <v>35</v>
      </c>
      <c r="AE2014" s="4">
        <v>50</v>
      </c>
      <c r="AF2014" s="4">
        <v>0</v>
      </c>
      <c r="AG2014" s="4">
        <v>1</v>
      </c>
      <c r="AH2014" s="4">
        <v>30</v>
      </c>
      <c r="AI2014" s="4">
        <v>42</v>
      </c>
      <c r="AJ2014" s="4">
        <v>6</v>
      </c>
      <c r="AK2014" s="4">
        <v>9</v>
      </c>
      <c r="AL2014" s="4">
        <v>20</v>
      </c>
      <c r="AM2014" s="4">
        <v>25</v>
      </c>
      <c r="AN2014" s="4">
        <v>0</v>
      </c>
      <c r="AO2014" s="4">
        <v>0</v>
      </c>
      <c r="AP2014" s="4">
        <v>7</v>
      </c>
      <c r="AQ2014" s="4">
        <v>11</v>
      </c>
      <c r="AR2014" s="3" t="s">
        <v>64</v>
      </c>
      <c r="AS2014" s="3" t="s">
        <v>64</v>
      </c>
      <c r="AT2014" s="3" t="s">
        <v>64</v>
      </c>
      <c r="AV2014" s="6" t="str">
        <f>HYPERLINK("http://mcgill.on.worldcat.org/oclc/729344414","Catalog Record")</f>
        <v>Catalog Record</v>
      </c>
      <c r="AW2014" s="6" t="str">
        <f>HYPERLINK("http://www.worldcat.org/oclc/729344414","WorldCat Record")</f>
        <v>WorldCat Record</v>
      </c>
      <c r="AX2014" s="3" t="s">
        <v>20455</v>
      </c>
      <c r="AY2014" s="3" t="s">
        <v>20456</v>
      </c>
      <c r="AZ2014" s="3" t="s">
        <v>20457</v>
      </c>
      <c r="BA2014" s="3" t="s">
        <v>20457</v>
      </c>
      <c r="BB2014" s="3" t="s">
        <v>20458</v>
      </c>
      <c r="BC2014" s="3" t="s">
        <v>77</v>
      </c>
      <c r="BD2014" s="3" t="s">
        <v>78</v>
      </c>
      <c r="BE2014" s="3" t="s">
        <v>20459</v>
      </c>
      <c r="BF2014" s="3" t="s">
        <v>20458</v>
      </c>
      <c r="BG2014" s="3" t="s">
        <v>20460</v>
      </c>
      <c r="BH2014">
        <f t="shared" si="53"/>
        <v>0</v>
      </c>
    </row>
    <row r="2015" spans="1:60" ht="58" x14ac:dyDescent="0.35">
      <c r="A2015" s="2" t="s">
        <v>59</v>
      </c>
      <c r="B2015" s="2" t="s">
        <v>60</v>
      </c>
      <c r="C2015" s="2" t="s">
        <v>20461</v>
      </c>
      <c r="D2015" s="2" t="s">
        <v>20462</v>
      </c>
      <c r="E2015" s="2" t="s">
        <v>20463</v>
      </c>
      <c r="G2015" s="3" t="s">
        <v>64</v>
      </c>
      <c r="I2015" s="3" t="s">
        <v>64</v>
      </c>
      <c r="J2015" s="3" t="s">
        <v>64</v>
      </c>
      <c r="K2015" s="3" t="s">
        <v>65</v>
      </c>
      <c r="L2015" s="2" t="s">
        <v>20464</v>
      </c>
      <c r="M2015" s="2" t="s">
        <v>16855</v>
      </c>
      <c r="N2015" s="3" t="s">
        <v>67</v>
      </c>
      <c r="P2015" s="3" t="s">
        <v>102</v>
      </c>
      <c r="R2015" s="3" t="s">
        <v>70</v>
      </c>
      <c r="S2015" s="4">
        <v>6</v>
      </c>
      <c r="T2015" s="4">
        <v>6</v>
      </c>
      <c r="U2015" s="5" t="s">
        <v>20465</v>
      </c>
      <c r="V2015" s="5" t="s">
        <v>20465</v>
      </c>
      <c r="W2015" s="5" t="s">
        <v>72</v>
      </c>
      <c r="X2015" s="5" t="s">
        <v>72</v>
      </c>
      <c r="Y2015" s="4">
        <v>492</v>
      </c>
      <c r="Z2015" s="4">
        <v>25</v>
      </c>
      <c r="AA2015" s="4">
        <v>114</v>
      </c>
      <c r="AB2015" s="4">
        <v>1</v>
      </c>
      <c r="AC2015" s="4">
        <v>16</v>
      </c>
      <c r="AD2015" s="4">
        <v>68</v>
      </c>
      <c r="AE2015" s="4">
        <v>127</v>
      </c>
      <c r="AF2015" s="4">
        <v>0</v>
      </c>
      <c r="AG2015" s="4">
        <v>8</v>
      </c>
      <c r="AH2015" s="4">
        <v>62</v>
      </c>
      <c r="AI2015" s="4">
        <v>86</v>
      </c>
      <c r="AJ2015" s="4">
        <v>9</v>
      </c>
      <c r="AK2015" s="4">
        <v>22</v>
      </c>
      <c r="AL2015" s="4">
        <v>29</v>
      </c>
      <c r="AM2015" s="4">
        <v>43</v>
      </c>
      <c r="AN2015" s="4">
        <v>0</v>
      </c>
      <c r="AO2015" s="4">
        <v>0</v>
      </c>
      <c r="AP2015" s="4">
        <v>12</v>
      </c>
      <c r="AQ2015" s="4">
        <v>46</v>
      </c>
      <c r="AR2015" s="3" t="s">
        <v>64</v>
      </c>
      <c r="AS2015" s="3" t="s">
        <v>64</v>
      </c>
      <c r="AT2015" s="3" t="s">
        <v>64</v>
      </c>
      <c r="AV2015" s="6" t="str">
        <f>HYPERLINK("http://mcgill.on.worldcat.org/oclc/845084848","Catalog Record")</f>
        <v>Catalog Record</v>
      </c>
      <c r="AW2015" s="6" t="str">
        <f>HYPERLINK("http://www.worldcat.org/oclc/845084848","WorldCat Record")</f>
        <v>WorldCat Record</v>
      </c>
      <c r="AX2015" s="3" t="s">
        <v>20466</v>
      </c>
      <c r="AY2015" s="3" t="s">
        <v>20467</v>
      </c>
      <c r="AZ2015" s="3" t="s">
        <v>20468</v>
      </c>
      <c r="BA2015" s="3" t="s">
        <v>20468</v>
      </c>
      <c r="BB2015" s="3" t="s">
        <v>20469</v>
      </c>
      <c r="BC2015" s="3" t="s">
        <v>77</v>
      </c>
      <c r="BD2015" s="3" t="s">
        <v>165</v>
      </c>
      <c r="BE2015" s="3" t="s">
        <v>20470</v>
      </c>
      <c r="BF2015" s="3" t="s">
        <v>20469</v>
      </c>
      <c r="BG2015" s="3" t="s">
        <v>20471</v>
      </c>
      <c r="BH2015">
        <f t="shared" si="53"/>
        <v>0</v>
      </c>
    </row>
    <row r="2016" spans="1:60" ht="145" x14ac:dyDescent="0.35">
      <c r="A2016" s="2" t="s">
        <v>59</v>
      </c>
      <c r="B2016" s="2" t="s">
        <v>60</v>
      </c>
      <c r="C2016" s="2" t="s">
        <v>20472</v>
      </c>
      <c r="D2016" s="2" t="s">
        <v>20473</v>
      </c>
      <c r="E2016" s="2" t="s">
        <v>20474</v>
      </c>
      <c r="G2016" s="3" t="s">
        <v>64</v>
      </c>
      <c r="I2016" s="3" t="s">
        <v>64</v>
      </c>
      <c r="J2016" s="3" t="s">
        <v>64</v>
      </c>
      <c r="K2016" s="3" t="s">
        <v>65</v>
      </c>
      <c r="M2016" s="2" t="s">
        <v>20475</v>
      </c>
      <c r="N2016" s="3" t="s">
        <v>511</v>
      </c>
      <c r="O2016" s="2" t="s">
        <v>20476</v>
      </c>
      <c r="P2016" s="3" t="s">
        <v>102</v>
      </c>
      <c r="Q2016" s="2" t="s">
        <v>20477</v>
      </c>
      <c r="R2016" s="3" t="s">
        <v>70</v>
      </c>
      <c r="S2016" s="4">
        <v>5</v>
      </c>
      <c r="T2016" s="4">
        <v>5</v>
      </c>
      <c r="U2016" s="5" t="s">
        <v>20478</v>
      </c>
      <c r="V2016" s="5" t="s">
        <v>20478</v>
      </c>
      <c r="W2016" s="5" t="s">
        <v>72</v>
      </c>
      <c r="X2016" s="5" t="s">
        <v>72</v>
      </c>
      <c r="Y2016" s="4">
        <v>153</v>
      </c>
      <c r="Z2016" s="4">
        <v>8</v>
      </c>
      <c r="AA2016" s="4">
        <v>50</v>
      </c>
      <c r="AB2016" s="4">
        <v>1</v>
      </c>
      <c r="AC2016" s="4">
        <v>7</v>
      </c>
      <c r="AD2016" s="4">
        <v>40</v>
      </c>
      <c r="AE2016" s="4">
        <v>81</v>
      </c>
      <c r="AF2016" s="4">
        <v>0</v>
      </c>
      <c r="AG2016" s="4">
        <v>2</v>
      </c>
      <c r="AH2016" s="4">
        <v>36</v>
      </c>
      <c r="AI2016" s="4">
        <v>64</v>
      </c>
      <c r="AJ2016" s="4">
        <v>3</v>
      </c>
      <c r="AK2016" s="4">
        <v>14</v>
      </c>
      <c r="AL2016" s="4">
        <v>23</v>
      </c>
      <c r="AM2016" s="4">
        <v>35</v>
      </c>
      <c r="AN2016" s="4">
        <v>0</v>
      </c>
      <c r="AO2016" s="4">
        <v>0</v>
      </c>
      <c r="AP2016" s="4">
        <v>3</v>
      </c>
      <c r="AQ2016" s="4">
        <v>19</v>
      </c>
      <c r="AR2016" s="3" t="s">
        <v>64</v>
      </c>
      <c r="AS2016" s="3" t="s">
        <v>64</v>
      </c>
      <c r="AT2016" s="3" t="s">
        <v>64</v>
      </c>
      <c r="AV2016" s="6" t="str">
        <f>HYPERLINK("http://mcgill.on.worldcat.org/oclc/613423143","Catalog Record")</f>
        <v>Catalog Record</v>
      </c>
      <c r="AW2016" s="6" t="str">
        <f>HYPERLINK("http://www.worldcat.org/oclc/613423143","WorldCat Record")</f>
        <v>WorldCat Record</v>
      </c>
      <c r="AX2016" s="3" t="s">
        <v>20479</v>
      </c>
      <c r="AY2016" s="3" t="s">
        <v>20480</v>
      </c>
      <c r="AZ2016" s="3" t="s">
        <v>20481</v>
      </c>
      <c r="BA2016" s="3" t="s">
        <v>20481</v>
      </c>
      <c r="BB2016" s="3" t="s">
        <v>20482</v>
      </c>
      <c r="BC2016" s="3" t="s">
        <v>77</v>
      </c>
      <c r="BD2016" s="3" t="s">
        <v>78</v>
      </c>
      <c r="BE2016" s="3" t="s">
        <v>20483</v>
      </c>
      <c r="BF2016" s="3" t="s">
        <v>20482</v>
      </c>
      <c r="BG2016" s="3" t="s">
        <v>20484</v>
      </c>
      <c r="BH2016">
        <f t="shared" si="53"/>
        <v>0</v>
      </c>
    </row>
    <row r="2017" spans="1:60" ht="116" x14ac:dyDescent="0.35">
      <c r="A2017" s="2" t="s">
        <v>59</v>
      </c>
      <c r="B2017" s="2" t="s">
        <v>60</v>
      </c>
      <c r="C2017" s="2" t="s">
        <v>20485</v>
      </c>
      <c r="D2017" s="2" t="s">
        <v>20486</v>
      </c>
      <c r="E2017" s="2" t="s">
        <v>20487</v>
      </c>
      <c r="G2017" s="3" t="s">
        <v>64</v>
      </c>
      <c r="I2017" s="3" t="s">
        <v>64</v>
      </c>
      <c r="J2017" s="3" t="s">
        <v>64</v>
      </c>
      <c r="K2017" s="3" t="s">
        <v>65</v>
      </c>
      <c r="L2017" s="2" t="s">
        <v>20488</v>
      </c>
      <c r="M2017" s="2" t="s">
        <v>20489</v>
      </c>
      <c r="N2017" s="3" t="s">
        <v>144</v>
      </c>
      <c r="O2017" s="2" t="s">
        <v>172</v>
      </c>
      <c r="P2017" s="3" t="s">
        <v>102</v>
      </c>
      <c r="Q2017" s="2" t="s">
        <v>20490</v>
      </c>
      <c r="R2017" s="3" t="s">
        <v>70</v>
      </c>
      <c r="S2017" s="4">
        <v>4</v>
      </c>
      <c r="T2017" s="4">
        <v>4</v>
      </c>
      <c r="U2017" s="5" t="s">
        <v>1102</v>
      </c>
      <c r="V2017" s="5" t="s">
        <v>1102</v>
      </c>
      <c r="W2017" s="5" t="s">
        <v>72</v>
      </c>
      <c r="X2017" s="5" t="s">
        <v>72</v>
      </c>
      <c r="Y2017" s="4">
        <v>4</v>
      </c>
      <c r="Z2017" s="4">
        <v>1</v>
      </c>
      <c r="AA2017" s="4">
        <v>1</v>
      </c>
      <c r="AB2017" s="4">
        <v>1</v>
      </c>
      <c r="AC2017" s="4">
        <v>1</v>
      </c>
      <c r="AD2017" s="4">
        <v>0</v>
      </c>
      <c r="AE2017" s="4">
        <v>0</v>
      </c>
      <c r="AF2017" s="4">
        <v>0</v>
      </c>
      <c r="AG2017" s="4">
        <v>0</v>
      </c>
      <c r="AH2017" s="4">
        <v>0</v>
      </c>
      <c r="AI2017" s="4">
        <v>0</v>
      </c>
      <c r="AJ2017" s="4">
        <v>0</v>
      </c>
      <c r="AK2017" s="4">
        <v>0</v>
      </c>
      <c r="AL2017" s="4">
        <v>0</v>
      </c>
      <c r="AM2017" s="4">
        <v>0</v>
      </c>
      <c r="AN2017" s="4">
        <v>0</v>
      </c>
      <c r="AO2017" s="4">
        <v>0</v>
      </c>
      <c r="AP2017" s="4">
        <v>0</v>
      </c>
      <c r="AQ2017" s="4">
        <v>0</v>
      </c>
      <c r="AR2017" s="3" t="s">
        <v>64</v>
      </c>
      <c r="AS2017" s="3" t="s">
        <v>64</v>
      </c>
      <c r="AT2017" s="3" t="s">
        <v>64</v>
      </c>
      <c r="AV2017" s="6" t="str">
        <f>HYPERLINK("http://mcgill.on.worldcat.org/oclc/762193174","Catalog Record")</f>
        <v>Catalog Record</v>
      </c>
      <c r="AW2017" s="6" t="str">
        <f>HYPERLINK("http://www.worldcat.org/oclc/762193174","WorldCat Record")</f>
        <v>WorldCat Record</v>
      </c>
      <c r="AX2017" s="3" t="s">
        <v>20491</v>
      </c>
      <c r="AY2017" s="3" t="s">
        <v>20492</v>
      </c>
      <c r="AZ2017" s="3" t="s">
        <v>20493</v>
      </c>
      <c r="BA2017" s="3" t="s">
        <v>20493</v>
      </c>
      <c r="BB2017" s="3" t="s">
        <v>20494</v>
      </c>
      <c r="BC2017" s="3" t="s">
        <v>77</v>
      </c>
      <c r="BD2017" s="3" t="s">
        <v>78</v>
      </c>
      <c r="BF2017" s="3" t="s">
        <v>20494</v>
      </c>
      <c r="BG2017" s="3" t="s">
        <v>20495</v>
      </c>
      <c r="BH2017">
        <f t="shared" si="53"/>
        <v>0</v>
      </c>
    </row>
    <row r="2018" spans="1:60" ht="58" x14ac:dyDescent="0.35">
      <c r="A2018" s="2" t="s">
        <v>59</v>
      </c>
      <c r="B2018" s="2" t="s">
        <v>60</v>
      </c>
      <c r="C2018" s="2" t="s">
        <v>20496</v>
      </c>
      <c r="D2018" s="2" t="s">
        <v>20497</v>
      </c>
      <c r="E2018" s="2" t="s">
        <v>20498</v>
      </c>
      <c r="G2018" s="3" t="s">
        <v>64</v>
      </c>
      <c r="H2018" s="3" t="s">
        <v>183</v>
      </c>
      <c r="I2018" s="3" t="s">
        <v>64</v>
      </c>
      <c r="J2018" s="3" t="s">
        <v>64</v>
      </c>
      <c r="K2018" s="3" t="s">
        <v>65</v>
      </c>
      <c r="L2018" s="2" t="s">
        <v>20499</v>
      </c>
      <c r="M2018" s="2" t="s">
        <v>20500</v>
      </c>
      <c r="N2018" s="3" t="s">
        <v>1492</v>
      </c>
      <c r="P2018" s="3" t="s">
        <v>102</v>
      </c>
      <c r="R2018" s="3" t="s">
        <v>70</v>
      </c>
      <c r="S2018" s="4">
        <v>1</v>
      </c>
      <c r="T2018" s="4">
        <v>1</v>
      </c>
      <c r="W2018" s="5" t="s">
        <v>11848</v>
      </c>
      <c r="X2018" s="5" t="s">
        <v>11848</v>
      </c>
      <c r="Y2018" s="4">
        <v>145</v>
      </c>
      <c r="Z2018" s="4">
        <v>8</v>
      </c>
      <c r="AA2018" s="4">
        <v>14</v>
      </c>
      <c r="AB2018" s="4">
        <v>1</v>
      </c>
      <c r="AC2018" s="4">
        <v>5</v>
      </c>
      <c r="AD2018" s="4">
        <v>23</v>
      </c>
      <c r="AE2018" s="4">
        <v>30</v>
      </c>
      <c r="AF2018" s="4">
        <v>0</v>
      </c>
      <c r="AG2018" s="4">
        <v>2</v>
      </c>
      <c r="AH2018" s="4">
        <v>20</v>
      </c>
      <c r="AI2018" s="4">
        <v>24</v>
      </c>
      <c r="AJ2018" s="4">
        <v>3</v>
      </c>
      <c r="AK2018" s="4">
        <v>7</v>
      </c>
      <c r="AL2018" s="4">
        <v>11</v>
      </c>
      <c r="AM2018" s="4">
        <v>14</v>
      </c>
      <c r="AN2018" s="4">
        <v>0</v>
      </c>
      <c r="AO2018" s="4">
        <v>0</v>
      </c>
      <c r="AP2018" s="4">
        <v>4</v>
      </c>
      <c r="AQ2018" s="4">
        <v>7</v>
      </c>
      <c r="AR2018" s="3" t="s">
        <v>64</v>
      </c>
      <c r="AS2018" s="3" t="s">
        <v>64</v>
      </c>
      <c r="AT2018" s="3" t="s">
        <v>64</v>
      </c>
      <c r="AV2018" s="6" t="str">
        <f>HYPERLINK("http://mcgill.on.worldcat.org/oclc/1111628661","Catalog Record")</f>
        <v>Catalog Record</v>
      </c>
      <c r="AW2018" s="6" t="str">
        <f>HYPERLINK("http://www.worldcat.org/oclc/1111628661","WorldCat Record")</f>
        <v>WorldCat Record</v>
      </c>
      <c r="AX2018" s="3" t="s">
        <v>20501</v>
      </c>
      <c r="AY2018" s="3" t="s">
        <v>20502</v>
      </c>
      <c r="AZ2018" s="3" t="s">
        <v>20503</v>
      </c>
      <c r="BA2018" s="3" t="s">
        <v>20503</v>
      </c>
      <c r="BB2018" s="3" t="s">
        <v>20504</v>
      </c>
      <c r="BC2018" s="3" t="s">
        <v>77</v>
      </c>
      <c r="BD2018" s="3" t="s">
        <v>165</v>
      </c>
      <c r="BE2018" s="3" t="s">
        <v>20505</v>
      </c>
      <c r="BF2018" s="3" t="s">
        <v>20504</v>
      </c>
      <c r="BG2018" s="3" t="s">
        <v>20506</v>
      </c>
      <c r="BH2018">
        <f t="shared" si="53"/>
        <v>0</v>
      </c>
    </row>
    <row r="2019" spans="1:60" ht="58" x14ac:dyDescent="0.35">
      <c r="A2019" s="2" t="s">
        <v>59</v>
      </c>
      <c r="B2019" s="2" t="s">
        <v>60</v>
      </c>
      <c r="C2019" s="2" t="s">
        <v>20507</v>
      </c>
      <c r="D2019" s="2" t="s">
        <v>20508</v>
      </c>
      <c r="E2019" s="2" t="s">
        <v>20509</v>
      </c>
      <c r="G2019" s="3" t="s">
        <v>64</v>
      </c>
      <c r="I2019" s="3" t="s">
        <v>128</v>
      </c>
      <c r="J2019" s="3" t="s">
        <v>128</v>
      </c>
      <c r="K2019" s="3" t="s">
        <v>65</v>
      </c>
      <c r="L2019" s="2" t="s">
        <v>20510</v>
      </c>
      <c r="M2019" s="2" t="s">
        <v>20511</v>
      </c>
      <c r="N2019" s="3" t="s">
        <v>3330</v>
      </c>
      <c r="P2019" s="3" t="s">
        <v>102</v>
      </c>
      <c r="R2019" s="3" t="s">
        <v>70</v>
      </c>
      <c r="S2019" s="4">
        <v>22</v>
      </c>
      <c r="T2019" s="4">
        <v>49</v>
      </c>
      <c r="U2019" s="5" t="s">
        <v>20512</v>
      </c>
      <c r="V2019" s="5" t="s">
        <v>20413</v>
      </c>
      <c r="W2019" s="5" t="s">
        <v>72</v>
      </c>
      <c r="X2019" s="5" t="s">
        <v>72</v>
      </c>
      <c r="Y2019" s="4">
        <v>792</v>
      </c>
      <c r="Z2019" s="4">
        <v>40</v>
      </c>
      <c r="AA2019" s="4">
        <v>62</v>
      </c>
      <c r="AB2019" s="4">
        <v>4</v>
      </c>
      <c r="AC2019" s="4">
        <v>7</v>
      </c>
      <c r="AD2019" s="4">
        <v>109</v>
      </c>
      <c r="AE2019" s="4">
        <v>133</v>
      </c>
      <c r="AF2019" s="4">
        <v>1</v>
      </c>
      <c r="AG2019" s="4">
        <v>3</v>
      </c>
      <c r="AH2019" s="4">
        <v>94</v>
      </c>
      <c r="AI2019" s="4">
        <v>106</v>
      </c>
      <c r="AJ2019" s="4">
        <v>13</v>
      </c>
      <c r="AK2019" s="4">
        <v>20</v>
      </c>
      <c r="AL2019" s="4">
        <v>50</v>
      </c>
      <c r="AM2019" s="4">
        <v>57</v>
      </c>
      <c r="AN2019" s="4">
        <v>0</v>
      </c>
      <c r="AO2019" s="4">
        <v>0</v>
      </c>
      <c r="AP2019" s="4">
        <v>17</v>
      </c>
      <c r="AQ2019" s="4">
        <v>27</v>
      </c>
      <c r="AR2019" s="3" t="s">
        <v>64</v>
      </c>
      <c r="AS2019" s="3" t="s">
        <v>128</v>
      </c>
      <c r="AT2019" s="3" t="s">
        <v>64</v>
      </c>
      <c r="AU2019" s="6" t="str">
        <f>HYPERLINK("http://catalog.hathitrust.org/Record/001096222","HathiTrust Record")</f>
        <v>HathiTrust Record</v>
      </c>
      <c r="AV2019" s="6" t="str">
        <f>HYPERLINK("http://mcgill.on.worldcat.org/oclc/18312711","Catalog Record")</f>
        <v>Catalog Record</v>
      </c>
      <c r="AW2019" s="6" t="str">
        <f>HYPERLINK("http://www.worldcat.org/oclc/18312711","WorldCat Record")</f>
        <v>WorldCat Record</v>
      </c>
      <c r="AX2019" s="3" t="s">
        <v>20513</v>
      </c>
      <c r="AY2019" s="3" t="s">
        <v>20514</v>
      </c>
      <c r="AZ2019" s="3" t="s">
        <v>20515</v>
      </c>
      <c r="BA2019" s="3" t="s">
        <v>20515</v>
      </c>
      <c r="BB2019" s="3" t="s">
        <v>20516</v>
      </c>
      <c r="BC2019" s="3" t="s">
        <v>77</v>
      </c>
      <c r="BD2019" s="3" t="s">
        <v>78</v>
      </c>
      <c r="BE2019" s="3" t="s">
        <v>20517</v>
      </c>
      <c r="BF2019" s="3" t="s">
        <v>20516</v>
      </c>
      <c r="BG2019" s="3" t="s">
        <v>20518</v>
      </c>
      <c r="BH2019">
        <f t="shared" si="53"/>
        <v>0</v>
      </c>
    </row>
    <row r="2020" spans="1:60" ht="58" x14ac:dyDescent="0.35">
      <c r="A2020" s="2" t="s">
        <v>59</v>
      </c>
      <c r="B2020" s="2" t="s">
        <v>60</v>
      </c>
      <c r="C2020" s="2" t="s">
        <v>20507</v>
      </c>
      <c r="D2020" s="2" t="s">
        <v>20508</v>
      </c>
      <c r="E2020" s="2" t="s">
        <v>20509</v>
      </c>
      <c r="G2020" s="3" t="s">
        <v>64</v>
      </c>
      <c r="I2020" s="3" t="s">
        <v>128</v>
      </c>
      <c r="J2020" s="3" t="s">
        <v>128</v>
      </c>
      <c r="K2020" s="3" t="s">
        <v>65</v>
      </c>
      <c r="L2020" s="2" t="s">
        <v>20510</v>
      </c>
      <c r="M2020" s="2" t="s">
        <v>20511</v>
      </c>
      <c r="N2020" s="3" t="s">
        <v>3330</v>
      </c>
      <c r="P2020" s="3" t="s">
        <v>102</v>
      </c>
      <c r="R2020" s="3" t="s">
        <v>70</v>
      </c>
      <c r="S2020" s="4">
        <v>27</v>
      </c>
      <c r="T2020" s="4">
        <v>49</v>
      </c>
      <c r="U2020" s="5" t="s">
        <v>20413</v>
      </c>
      <c r="V2020" s="5" t="s">
        <v>20413</v>
      </c>
      <c r="W2020" s="5" t="s">
        <v>72</v>
      </c>
      <c r="X2020" s="5" t="s">
        <v>72</v>
      </c>
      <c r="Y2020" s="4">
        <v>792</v>
      </c>
      <c r="Z2020" s="4">
        <v>40</v>
      </c>
      <c r="AA2020" s="4">
        <v>62</v>
      </c>
      <c r="AB2020" s="4">
        <v>4</v>
      </c>
      <c r="AC2020" s="4">
        <v>7</v>
      </c>
      <c r="AD2020" s="4">
        <v>109</v>
      </c>
      <c r="AE2020" s="4">
        <v>133</v>
      </c>
      <c r="AF2020" s="4">
        <v>1</v>
      </c>
      <c r="AG2020" s="4">
        <v>3</v>
      </c>
      <c r="AH2020" s="4">
        <v>94</v>
      </c>
      <c r="AI2020" s="4">
        <v>106</v>
      </c>
      <c r="AJ2020" s="4">
        <v>13</v>
      </c>
      <c r="AK2020" s="4">
        <v>20</v>
      </c>
      <c r="AL2020" s="4">
        <v>50</v>
      </c>
      <c r="AM2020" s="4">
        <v>57</v>
      </c>
      <c r="AN2020" s="4">
        <v>0</v>
      </c>
      <c r="AO2020" s="4">
        <v>0</v>
      </c>
      <c r="AP2020" s="4">
        <v>17</v>
      </c>
      <c r="AQ2020" s="4">
        <v>27</v>
      </c>
      <c r="AR2020" s="3" t="s">
        <v>64</v>
      </c>
      <c r="AS2020" s="3" t="s">
        <v>128</v>
      </c>
      <c r="AT2020" s="3" t="s">
        <v>64</v>
      </c>
      <c r="AU2020" s="6" t="str">
        <f>HYPERLINK("http://catalog.hathitrust.org/Record/001096222","HathiTrust Record")</f>
        <v>HathiTrust Record</v>
      </c>
      <c r="AV2020" s="6" t="str">
        <f>HYPERLINK("http://mcgill.on.worldcat.org/oclc/18312711","Catalog Record")</f>
        <v>Catalog Record</v>
      </c>
      <c r="AW2020" s="6" t="str">
        <f>HYPERLINK("http://www.worldcat.org/oclc/18312711","WorldCat Record")</f>
        <v>WorldCat Record</v>
      </c>
      <c r="AX2020" s="3" t="s">
        <v>20513</v>
      </c>
      <c r="AY2020" s="3" t="s">
        <v>20514</v>
      </c>
      <c r="AZ2020" s="3" t="s">
        <v>20515</v>
      </c>
      <c r="BA2020" s="3" t="s">
        <v>20515</v>
      </c>
      <c r="BB2020" s="3" t="s">
        <v>20519</v>
      </c>
      <c r="BC2020" s="3" t="s">
        <v>77</v>
      </c>
      <c r="BD2020" s="3" t="s">
        <v>165</v>
      </c>
      <c r="BE2020" s="3" t="s">
        <v>20517</v>
      </c>
      <c r="BF2020" s="3" t="s">
        <v>20519</v>
      </c>
      <c r="BG2020" s="3" t="s">
        <v>20520</v>
      </c>
      <c r="BH2020">
        <f t="shared" si="53"/>
        <v>0</v>
      </c>
    </row>
    <row r="2021" spans="1:60" ht="58" x14ac:dyDescent="0.35">
      <c r="A2021" s="2" t="s">
        <v>59</v>
      </c>
      <c r="B2021" s="2" t="s">
        <v>60</v>
      </c>
      <c r="C2021" s="2" t="s">
        <v>20521</v>
      </c>
      <c r="D2021" s="2" t="s">
        <v>20522</v>
      </c>
      <c r="E2021" s="2" t="s">
        <v>20509</v>
      </c>
      <c r="G2021" s="3" t="s">
        <v>64</v>
      </c>
      <c r="I2021" s="3" t="s">
        <v>128</v>
      </c>
      <c r="J2021" s="3" t="s">
        <v>128</v>
      </c>
      <c r="K2021" s="3" t="s">
        <v>65</v>
      </c>
      <c r="L2021" s="2" t="s">
        <v>20510</v>
      </c>
      <c r="M2021" s="2" t="s">
        <v>20523</v>
      </c>
      <c r="N2021" s="3" t="s">
        <v>1263</v>
      </c>
      <c r="O2021" s="2" t="s">
        <v>172</v>
      </c>
      <c r="P2021" s="3" t="s">
        <v>102</v>
      </c>
      <c r="R2021" s="3" t="s">
        <v>70</v>
      </c>
      <c r="S2021" s="4">
        <v>270</v>
      </c>
      <c r="T2021" s="4">
        <v>307</v>
      </c>
      <c r="U2021" s="5" t="s">
        <v>15069</v>
      </c>
      <c r="V2021" s="5" t="s">
        <v>15069</v>
      </c>
      <c r="W2021" s="5" t="s">
        <v>72</v>
      </c>
      <c r="X2021" s="5" t="s">
        <v>72</v>
      </c>
      <c r="Y2021" s="4">
        <v>117</v>
      </c>
      <c r="Z2021" s="4">
        <v>2</v>
      </c>
      <c r="AA2021" s="4">
        <v>62</v>
      </c>
      <c r="AB2021" s="4">
        <v>1</v>
      </c>
      <c r="AC2021" s="4">
        <v>7</v>
      </c>
      <c r="AD2021" s="4">
        <v>2</v>
      </c>
      <c r="AE2021" s="4">
        <v>133</v>
      </c>
      <c r="AF2021" s="4">
        <v>0</v>
      </c>
      <c r="AG2021" s="4">
        <v>3</v>
      </c>
      <c r="AH2021" s="4">
        <v>2</v>
      </c>
      <c r="AI2021" s="4">
        <v>106</v>
      </c>
      <c r="AJ2021" s="4">
        <v>1</v>
      </c>
      <c r="AK2021" s="4">
        <v>20</v>
      </c>
      <c r="AL2021" s="4">
        <v>1</v>
      </c>
      <c r="AM2021" s="4">
        <v>57</v>
      </c>
      <c r="AN2021" s="4">
        <v>0</v>
      </c>
      <c r="AO2021" s="4">
        <v>0</v>
      </c>
      <c r="AP2021" s="4">
        <v>1</v>
      </c>
      <c r="AQ2021" s="4">
        <v>27</v>
      </c>
      <c r="AR2021" s="3" t="s">
        <v>64</v>
      </c>
      <c r="AS2021" s="3" t="s">
        <v>64</v>
      </c>
      <c r="AT2021" s="3" t="s">
        <v>64</v>
      </c>
      <c r="AV2021" s="6" t="str">
        <f>HYPERLINK("http://mcgill.on.worldcat.org/oclc/28921146","Catalog Record")</f>
        <v>Catalog Record</v>
      </c>
      <c r="AW2021" s="6" t="str">
        <f>HYPERLINK("http://www.worldcat.org/oclc/28921146","WorldCat Record")</f>
        <v>WorldCat Record</v>
      </c>
      <c r="AX2021" s="3" t="s">
        <v>20513</v>
      </c>
      <c r="AY2021" s="3" t="s">
        <v>20524</v>
      </c>
      <c r="AZ2021" s="3" t="s">
        <v>20525</v>
      </c>
      <c r="BA2021" s="3" t="s">
        <v>20525</v>
      </c>
      <c r="BB2021" s="3" t="s">
        <v>20526</v>
      </c>
      <c r="BC2021" s="3" t="s">
        <v>77</v>
      </c>
      <c r="BD2021" s="3" t="s">
        <v>78</v>
      </c>
      <c r="BE2021" s="3" t="s">
        <v>20527</v>
      </c>
      <c r="BF2021" s="3" t="s">
        <v>20526</v>
      </c>
      <c r="BG2021" s="3" t="s">
        <v>20528</v>
      </c>
      <c r="BH2021">
        <f t="shared" si="53"/>
        <v>0</v>
      </c>
    </row>
    <row r="2022" spans="1:60" ht="58" x14ac:dyDescent="0.35">
      <c r="A2022" s="2" t="s">
        <v>59</v>
      </c>
      <c r="B2022" s="2" t="s">
        <v>60</v>
      </c>
      <c r="C2022" s="2" t="s">
        <v>20521</v>
      </c>
      <c r="D2022" s="2" t="s">
        <v>20522</v>
      </c>
      <c r="E2022" s="2" t="s">
        <v>20509</v>
      </c>
      <c r="G2022" s="3" t="s">
        <v>64</v>
      </c>
      <c r="I2022" s="3" t="s">
        <v>128</v>
      </c>
      <c r="J2022" s="3" t="s">
        <v>128</v>
      </c>
      <c r="K2022" s="3" t="s">
        <v>65</v>
      </c>
      <c r="L2022" s="2" t="s">
        <v>20510</v>
      </c>
      <c r="M2022" s="2" t="s">
        <v>20523</v>
      </c>
      <c r="N2022" s="3" t="s">
        <v>1263</v>
      </c>
      <c r="O2022" s="2" t="s">
        <v>172</v>
      </c>
      <c r="P2022" s="3" t="s">
        <v>102</v>
      </c>
      <c r="R2022" s="3" t="s">
        <v>70</v>
      </c>
      <c r="S2022" s="4">
        <v>37</v>
      </c>
      <c r="T2022" s="4">
        <v>307</v>
      </c>
      <c r="U2022" s="5" t="s">
        <v>20529</v>
      </c>
      <c r="V2022" s="5" t="s">
        <v>15069</v>
      </c>
      <c r="W2022" s="5" t="s">
        <v>72</v>
      </c>
      <c r="X2022" s="5" t="s">
        <v>72</v>
      </c>
      <c r="Y2022" s="4">
        <v>117</v>
      </c>
      <c r="Z2022" s="4">
        <v>2</v>
      </c>
      <c r="AA2022" s="4">
        <v>62</v>
      </c>
      <c r="AB2022" s="4">
        <v>1</v>
      </c>
      <c r="AC2022" s="4">
        <v>7</v>
      </c>
      <c r="AD2022" s="4">
        <v>2</v>
      </c>
      <c r="AE2022" s="4">
        <v>133</v>
      </c>
      <c r="AF2022" s="4">
        <v>0</v>
      </c>
      <c r="AG2022" s="4">
        <v>3</v>
      </c>
      <c r="AH2022" s="4">
        <v>2</v>
      </c>
      <c r="AI2022" s="4">
        <v>106</v>
      </c>
      <c r="AJ2022" s="4">
        <v>1</v>
      </c>
      <c r="AK2022" s="4">
        <v>20</v>
      </c>
      <c r="AL2022" s="4">
        <v>1</v>
      </c>
      <c r="AM2022" s="4">
        <v>57</v>
      </c>
      <c r="AN2022" s="4">
        <v>0</v>
      </c>
      <c r="AO2022" s="4">
        <v>0</v>
      </c>
      <c r="AP2022" s="4">
        <v>1</v>
      </c>
      <c r="AQ2022" s="4">
        <v>27</v>
      </c>
      <c r="AR2022" s="3" t="s">
        <v>64</v>
      </c>
      <c r="AS2022" s="3" t="s">
        <v>64</v>
      </c>
      <c r="AT2022" s="3" t="s">
        <v>64</v>
      </c>
      <c r="AV2022" s="6" t="str">
        <f>HYPERLINK("http://mcgill.on.worldcat.org/oclc/28921146","Catalog Record")</f>
        <v>Catalog Record</v>
      </c>
      <c r="AW2022" s="6" t="str">
        <f>HYPERLINK("http://www.worldcat.org/oclc/28921146","WorldCat Record")</f>
        <v>WorldCat Record</v>
      </c>
      <c r="AX2022" s="3" t="s">
        <v>20513</v>
      </c>
      <c r="AY2022" s="3" t="s">
        <v>20524</v>
      </c>
      <c r="AZ2022" s="3" t="s">
        <v>20525</v>
      </c>
      <c r="BA2022" s="3" t="s">
        <v>20525</v>
      </c>
      <c r="BB2022" s="3" t="s">
        <v>20530</v>
      </c>
      <c r="BC2022" s="3" t="s">
        <v>77</v>
      </c>
      <c r="BD2022" s="3" t="s">
        <v>78</v>
      </c>
      <c r="BE2022" s="3" t="s">
        <v>20527</v>
      </c>
      <c r="BF2022" s="3" t="s">
        <v>20530</v>
      </c>
      <c r="BG2022" s="3" t="s">
        <v>20531</v>
      </c>
      <c r="BH2022">
        <f t="shared" si="53"/>
        <v>0</v>
      </c>
    </row>
    <row r="2023" spans="1:60" ht="58" x14ac:dyDescent="0.35">
      <c r="A2023" s="2" t="s">
        <v>59</v>
      </c>
      <c r="B2023" s="2" t="s">
        <v>60</v>
      </c>
      <c r="C2023" s="2" t="s">
        <v>20532</v>
      </c>
      <c r="D2023" s="2" t="s">
        <v>20533</v>
      </c>
      <c r="E2023" s="2" t="s">
        <v>20534</v>
      </c>
      <c r="G2023" s="3" t="s">
        <v>64</v>
      </c>
      <c r="I2023" s="3" t="s">
        <v>128</v>
      </c>
      <c r="J2023" s="3" t="s">
        <v>64</v>
      </c>
      <c r="K2023" s="3" t="s">
        <v>65</v>
      </c>
      <c r="L2023" s="2" t="s">
        <v>20535</v>
      </c>
      <c r="M2023" s="2" t="s">
        <v>20536</v>
      </c>
      <c r="N2023" s="3" t="s">
        <v>1087</v>
      </c>
      <c r="O2023" s="2" t="s">
        <v>172</v>
      </c>
      <c r="P2023" s="3" t="s">
        <v>102</v>
      </c>
      <c r="R2023" s="3" t="s">
        <v>70</v>
      </c>
      <c r="S2023" s="4">
        <v>27</v>
      </c>
      <c r="T2023" s="4">
        <v>271</v>
      </c>
      <c r="U2023" s="5" t="s">
        <v>20537</v>
      </c>
      <c r="V2023" s="5" t="s">
        <v>20413</v>
      </c>
      <c r="W2023" s="5" t="s">
        <v>72</v>
      </c>
      <c r="X2023" s="5" t="s">
        <v>72</v>
      </c>
      <c r="Y2023" s="4">
        <v>763</v>
      </c>
      <c r="Z2023" s="4">
        <v>28</v>
      </c>
      <c r="AA2023" s="4">
        <v>30</v>
      </c>
      <c r="AB2023" s="4">
        <v>2</v>
      </c>
      <c r="AC2023" s="4">
        <v>4</v>
      </c>
      <c r="AD2023" s="4">
        <v>106</v>
      </c>
      <c r="AE2023" s="4">
        <v>108</v>
      </c>
      <c r="AF2023" s="4">
        <v>1</v>
      </c>
      <c r="AG2023" s="4">
        <v>3</v>
      </c>
      <c r="AH2023" s="4">
        <v>94</v>
      </c>
      <c r="AI2023" s="4">
        <v>94</v>
      </c>
      <c r="AJ2023" s="4">
        <v>16</v>
      </c>
      <c r="AK2023" s="4">
        <v>17</v>
      </c>
      <c r="AL2023" s="4">
        <v>49</v>
      </c>
      <c r="AM2023" s="4">
        <v>49</v>
      </c>
      <c r="AN2023" s="4">
        <v>0</v>
      </c>
      <c r="AO2023" s="4">
        <v>0</v>
      </c>
      <c r="AP2023" s="4">
        <v>18</v>
      </c>
      <c r="AQ2023" s="4">
        <v>19</v>
      </c>
      <c r="AR2023" s="3" t="s">
        <v>64</v>
      </c>
      <c r="AS2023" s="3" t="s">
        <v>64</v>
      </c>
      <c r="AT2023" s="3" t="s">
        <v>128</v>
      </c>
      <c r="AU2023" s="6" t="str">
        <f>HYPERLINK("http://catalog.hathitrust.org/Record/002477479","HathiTrust Record")</f>
        <v>HathiTrust Record</v>
      </c>
      <c r="AV2023" s="6" t="str">
        <f>HYPERLINK("http://mcgill.on.worldcat.org/oclc/24356790","Catalog Record")</f>
        <v>Catalog Record</v>
      </c>
      <c r="AW2023" s="6" t="str">
        <f>HYPERLINK("http://www.worldcat.org/oclc/24356790","WorldCat Record")</f>
        <v>WorldCat Record</v>
      </c>
      <c r="AX2023" s="3" t="s">
        <v>20538</v>
      </c>
      <c r="AY2023" s="3" t="s">
        <v>20539</v>
      </c>
      <c r="AZ2023" s="3" t="s">
        <v>20540</v>
      </c>
      <c r="BA2023" s="3" t="s">
        <v>20540</v>
      </c>
      <c r="BB2023" s="3" t="s">
        <v>20541</v>
      </c>
      <c r="BC2023" s="3" t="s">
        <v>77</v>
      </c>
      <c r="BD2023" s="3" t="s">
        <v>78</v>
      </c>
      <c r="BE2023" s="3" t="s">
        <v>20542</v>
      </c>
      <c r="BF2023" s="3" t="s">
        <v>20541</v>
      </c>
      <c r="BG2023" s="3" t="s">
        <v>20543</v>
      </c>
      <c r="BH2023">
        <f t="shared" si="53"/>
        <v>0</v>
      </c>
    </row>
    <row r="2024" spans="1:60" ht="58" x14ac:dyDescent="0.35">
      <c r="A2024" s="2" t="s">
        <v>59</v>
      </c>
      <c r="B2024" s="2" t="s">
        <v>60</v>
      </c>
      <c r="C2024" s="2" t="s">
        <v>20532</v>
      </c>
      <c r="D2024" s="2" t="s">
        <v>20533</v>
      </c>
      <c r="E2024" s="2" t="s">
        <v>20534</v>
      </c>
      <c r="G2024" s="3" t="s">
        <v>64</v>
      </c>
      <c r="I2024" s="3" t="s">
        <v>128</v>
      </c>
      <c r="J2024" s="3" t="s">
        <v>64</v>
      </c>
      <c r="K2024" s="3" t="s">
        <v>65</v>
      </c>
      <c r="L2024" s="2" t="s">
        <v>20535</v>
      </c>
      <c r="M2024" s="2" t="s">
        <v>20536</v>
      </c>
      <c r="N2024" s="3" t="s">
        <v>1087</v>
      </c>
      <c r="O2024" s="2" t="s">
        <v>172</v>
      </c>
      <c r="P2024" s="3" t="s">
        <v>102</v>
      </c>
      <c r="R2024" s="3" t="s">
        <v>70</v>
      </c>
      <c r="S2024" s="4">
        <v>192</v>
      </c>
      <c r="T2024" s="4">
        <v>271</v>
      </c>
      <c r="U2024" s="5" t="s">
        <v>20544</v>
      </c>
      <c r="V2024" s="5" t="s">
        <v>20413</v>
      </c>
      <c r="W2024" s="5" t="s">
        <v>72</v>
      </c>
      <c r="X2024" s="5" t="s">
        <v>72</v>
      </c>
      <c r="Y2024" s="4">
        <v>763</v>
      </c>
      <c r="Z2024" s="4">
        <v>28</v>
      </c>
      <c r="AA2024" s="4">
        <v>30</v>
      </c>
      <c r="AB2024" s="4">
        <v>2</v>
      </c>
      <c r="AC2024" s="4">
        <v>4</v>
      </c>
      <c r="AD2024" s="4">
        <v>106</v>
      </c>
      <c r="AE2024" s="4">
        <v>108</v>
      </c>
      <c r="AF2024" s="4">
        <v>1</v>
      </c>
      <c r="AG2024" s="4">
        <v>3</v>
      </c>
      <c r="AH2024" s="4">
        <v>94</v>
      </c>
      <c r="AI2024" s="4">
        <v>94</v>
      </c>
      <c r="AJ2024" s="4">
        <v>16</v>
      </c>
      <c r="AK2024" s="4">
        <v>17</v>
      </c>
      <c r="AL2024" s="4">
        <v>49</v>
      </c>
      <c r="AM2024" s="4">
        <v>49</v>
      </c>
      <c r="AN2024" s="4">
        <v>0</v>
      </c>
      <c r="AO2024" s="4">
        <v>0</v>
      </c>
      <c r="AP2024" s="4">
        <v>18</v>
      </c>
      <c r="AQ2024" s="4">
        <v>19</v>
      </c>
      <c r="AR2024" s="3" t="s">
        <v>64</v>
      </c>
      <c r="AS2024" s="3" t="s">
        <v>64</v>
      </c>
      <c r="AT2024" s="3" t="s">
        <v>128</v>
      </c>
      <c r="AU2024" s="6" t="str">
        <f>HYPERLINK("http://catalog.hathitrust.org/Record/002477479","HathiTrust Record")</f>
        <v>HathiTrust Record</v>
      </c>
      <c r="AV2024" s="6" t="str">
        <f>HYPERLINK("http://mcgill.on.worldcat.org/oclc/24356790","Catalog Record")</f>
        <v>Catalog Record</v>
      </c>
      <c r="AW2024" s="6" t="str">
        <f>HYPERLINK("http://www.worldcat.org/oclc/24356790","WorldCat Record")</f>
        <v>WorldCat Record</v>
      </c>
      <c r="AX2024" s="3" t="s">
        <v>20538</v>
      </c>
      <c r="AY2024" s="3" t="s">
        <v>20539</v>
      </c>
      <c r="AZ2024" s="3" t="s">
        <v>20540</v>
      </c>
      <c r="BA2024" s="3" t="s">
        <v>20540</v>
      </c>
      <c r="BB2024" s="3" t="s">
        <v>20545</v>
      </c>
      <c r="BC2024" s="3" t="s">
        <v>77</v>
      </c>
      <c r="BD2024" s="3" t="s">
        <v>78</v>
      </c>
      <c r="BE2024" s="3" t="s">
        <v>20542</v>
      </c>
      <c r="BF2024" s="3" t="s">
        <v>20545</v>
      </c>
      <c r="BG2024" s="3" t="s">
        <v>20546</v>
      </c>
      <c r="BH2024">
        <f t="shared" si="53"/>
        <v>0</v>
      </c>
    </row>
    <row r="2025" spans="1:60" ht="58" x14ac:dyDescent="0.35">
      <c r="A2025" s="2" t="s">
        <v>59</v>
      </c>
      <c r="B2025" s="2" t="s">
        <v>60</v>
      </c>
      <c r="C2025" s="2" t="s">
        <v>20532</v>
      </c>
      <c r="D2025" s="2" t="s">
        <v>20533</v>
      </c>
      <c r="E2025" s="2" t="s">
        <v>20534</v>
      </c>
      <c r="G2025" s="3" t="s">
        <v>64</v>
      </c>
      <c r="I2025" s="3" t="s">
        <v>128</v>
      </c>
      <c r="J2025" s="3" t="s">
        <v>64</v>
      </c>
      <c r="K2025" s="3" t="s">
        <v>65</v>
      </c>
      <c r="L2025" s="2" t="s">
        <v>20535</v>
      </c>
      <c r="M2025" s="2" t="s">
        <v>20536</v>
      </c>
      <c r="N2025" s="3" t="s">
        <v>1087</v>
      </c>
      <c r="O2025" s="2" t="s">
        <v>172</v>
      </c>
      <c r="P2025" s="3" t="s">
        <v>102</v>
      </c>
      <c r="R2025" s="3" t="s">
        <v>70</v>
      </c>
      <c r="S2025" s="4">
        <v>52</v>
      </c>
      <c r="T2025" s="4">
        <v>271</v>
      </c>
      <c r="U2025" s="5" t="s">
        <v>20413</v>
      </c>
      <c r="V2025" s="5" t="s">
        <v>20413</v>
      </c>
      <c r="W2025" s="5" t="s">
        <v>72</v>
      </c>
      <c r="X2025" s="5" t="s">
        <v>72</v>
      </c>
      <c r="Y2025" s="4">
        <v>763</v>
      </c>
      <c r="Z2025" s="4">
        <v>28</v>
      </c>
      <c r="AA2025" s="4">
        <v>30</v>
      </c>
      <c r="AB2025" s="4">
        <v>2</v>
      </c>
      <c r="AC2025" s="4">
        <v>4</v>
      </c>
      <c r="AD2025" s="4">
        <v>106</v>
      </c>
      <c r="AE2025" s="4">
        <v>108</v>
      </c>
      <c r="AF2025" s="4">
        <v>1</v>
      </c>
      <c r="AG2025" s="4">
        <v>3</v>
      </c>
      <c r="AH2025" s="4">
        <v>94</v>
      </c>
      <c r="AI2025" s="4">
        <v>94</v>
      </c>
      <c r="AJ2025" s="4">
        <v>16</v>
      </c>
      <c r="AK2025" s="4">
        <v>17</v>
      </c>
      <c r="AL2025" s="4">
        <v>49</v>
      </c>
      <c r="AM2025" s="4">
        <v>49</v>
      </c>
      <c r="AN2025" s="4">
        <v>0</v>
      </c>
      <c r="AO2025" s="4">
        <v>0</v>
      </c>
      <c r="AP2025" s="4">
        <v>18</v>
      </c>
      <c r="AQ2025" s="4">
        <v>19</v>
      </c>
      <c r="AR2025" s="3" t="s">
        <v>64</v>
      </c>
      <c r="AS2025" s="3" t="s">
        <v>64</v>
      </c>
      <c r="AT2025" s="3" t="s">
        <v>128</v>
      </c>
      <c r="AU2025" s="6" t="str">
        <f>HYPERLINK("http://catalog.hathitrust.org/Record/002477479","HathiTrust Record")</f>
        <v>HathiTrust Record</v>
      </c>
      <c r="AV2025" s="6" t="str">
        <f>HYPERLINK("http://mcgill.on.worldcat.org/oclc/24356790","Catalog Record")</f>
        <v>Catalog Record</v>
      </c>
      <c r="AW2025" s="6" t="str">
        <f>HYPERLINK("http://www.worldcat.org/oclc/24356790","WorldCat Record")</f>
        <v>WorldCat Record</v>
      </c>
      <c r="AX2025" s="3" t="s">
        <v>20538</v>
      </c>
      <c r="AY2025" s="3" t="s">
        <v>20539</v>
      </c>
      <c r="AZ2025" s="3" t="s">
        <v>20540</v>
      </c>
      <c r="BA2025" s="3" t="s">
        <v>20540</v>
      </c>
      <c r="BB2025" s="3" t="s">
        <v>20547</v>
      </c>
      <c r="BC2025" s="3" t="s">
        <v>77</v>
      </c>
      <c r="BD2025" s="3" t="s">
        <v>165</v>
      </c>
      <c r="BE2025" s="3" t="s">
        <v>20542</v>
      </c>
      <c r="BF2025" s="3" t="s">
        <v>20547</v>
      </c>
      <c r="BG2025" s="3" t="s">
        <v>20548</v>
      </c>
      <c r="BH2025">
        <f t="shared" si="53"/>
        <v>0</v>
      </c>
    </row>
    <row r="2026" spans="1:60" ht="58" x14ac:dyDescent="0.35">
      <c r="A2026" s="2" t="s">
        <v>59</v>
      </c>
      <c r="B2026" s="2" t="s">
        <v>60</v>
      </c>
      <c r="C2026" s="2" t="s">
        <v>20549</v>
      </c>
      <c r="D2026" s="2" t="s">
        <v>20550</v>
      </c>
      <c r="E2026" s="2" t="s">
        <v>20551</v>
      </c>
      <c r="G2026" s="3" t="s">
        <v>64</v>
      </c>
      <c r="I2026" s="3" t="s">
        <v>64</v>
      </c>
      <c r="J2026" s="3" t="s">
        <v>128</v>
      </c>
      <c r="K2026" s="3" t="s">
        <v>65</v>
      </c>
      <c r="L2026" s="2" t="s">
        <v>20552</v>
      </c>
      <c r="M2026" s="2" t="s">
        <v>20553</v>
      </c>
      <c r="N2026" s="3" t="s">
        <v>171</v>
      </c>
      <c r="P2026" s="3" t="s">
        <v>102</v>
      </c>
      <c r="R2026" s="3" t="s">
        <v>70</v>
      </c>
      <c r="S2026" s="4">
        <v>6</v>
      </c>
      <c r="T2026" s="4">
        <v>6</v>
      </c>
      <c r="U2026" s="5" t="s">
        <v>19587</v>
      </c>
      <c r="V2026" s="5" t="s">
        <v>19587</v>
      </c>
      <c r="W2026" s="5" t="s">
        <v>72</v>
      </c>
      <c r="X2026" s="5" t="s">
        <v>72</v>
      </c>
      <c r="Y2026" s="4">
        <v>537</v>
      </c>
      <c r="Z2026" s="4">
        <v>26</v>
      </c>
      <c r="AA2026" s="4">
        <v>102</v>
      </c>
      <c r="AB2026" s="4">
        <v>2</v>
      </c>
      <c r="AC2026" s="4">
        <v>19</v>
      </c>
      <c r="AD2026" s="4">
        <v>68</v>
      </c>
      <c r="AE2026" s="4">
        <v>124</v>
      </c>
      <c r="AF2026" s="4">
        <v>1</v>
      </c>
      <c r="AG2026" s="4">
        <v>8</v>
      </c>
      <c r="AH2026" s="4">
        <v>62</v>
      </c>
      <c r="AI2026" s="4">
        <v>89</v>
      </c>
      <c r="AJ2026" s="4">
        <v>11</v>
      </c>
      <c r="AK2026" s="4">
        <v>22</v>
      </c>
      <c r="AL2026" s="4">
        <v>28</v>
      </c>
      <c r="AM2026" s="4">
        <v>43</v>
      </c>
      <c r="AN2026" s="4">
        <v>0</v>
      </c>
      <c r="AO2026" s="4">
        <v>0</v>
      </c>
      <c r="AP2026" s="4">
        <v>14</v>
      </c>
      <c r="AQ2026" s="4">
        <v>44</v>
      </c>
      <c r="AR2026" s="3" t="s">
        <v>64</v>
      </c>
      <c r="AS2026" s="3" t="s">
        <v>64</v>
      </c>
      <c r="AT2026" s="3" t="s">
        <v>128</v>
      </c>
      <c r="AU2026" s="6" t="str">
        <f>HYPERLINK("http://catalog.hathitrust.org/Record/005225514","HathiTrust Record")</f>
        <v>HathiTrust Record</v>
      </c>
      <c r="AV2026" s="6" t="str">
        <f>HYPERLINK("http://mcgill.on.worldcat.org/oclc/52784907","Catalog Record")</f>
        <v>Catalog Record</v>
      </c>
      <c r="AW2026" s="6" t="str">
        <f>HYPERLINK("http://www.worldcat.org/oclc/52784907","WorldCat Record")</f>
        <v>WorldCat Record</v>
      </c>
      <c r="AX2026" s="3" t="s">
        <v>20554</v>
      </c>
      <c r="AY2026" s="3" t="s">
        <v>20555</v>
      </c>
      <c r="AZ2026" s="3" t="s">
        <v>20556</v>
      </c>
      <c r="BA2026" s="3" t="s">
        <v>20556</v>
      </c>
      <c r="BB2026" s="3" t="s">
        <v>20557</v>
      </c>
      <c r="BC2026" s="3" t="s">
        <v>77</v>
      </c>
      <c r="BD2026" s="3" t="s">
        <v>78</v>
      </c>
      <c r="BE2026" s="3" t="s">
        <v>20558</v>
      </c>
      <c r="BF2026" s="3" t="s">
        <v>20557</v>
      </c>
      <c r="BG2026" s="3" t="s">
        <v>20559</v>
      </c>
      <c r="BH2026">
        <f t="shared" si="53"/>
        <v>0</v>
      </c>
    </row>
    <row r="2027" spans="1:60" ht="58" x14ac:dyDescent="0.35">
      <c r="A2027" s="2" t="s">
        <v>59</v>
      </c>
      <c r="B2027" s="2" t="s">
        <v>60</v>
      </c>
      <c r="C2027" s="2" t="s">
        <v>20560</v>
      </c>
      <c r="D2027" s="2" t="s">
        <v>20561</v>
      </c>
      <c r="E2027" s="2" t="s">
        <v>20551</v>
      </c>
      <c r="G2027" s="3" t="s">
        <v>64</v>
      </c>
      <c r="I2027" s="3" t="s">
        <v>64</v>
      </c>
      <c r="J2027" s="3" t="s">
        <v>128</v>
      </c>
      <c r="K2027" s="3" t="s">
        <v>65</v>
      </c>
      <c r="L2027" s="2" t="s">
        <v>20552</v>
      </c>
      <c r="M2027" s="2" t="s">
        <v>19720</v>
      </c>
      <c r="N2027" s="3" t="s">
        <v>1075</v>
      </c>
      <c r="O2027" s="2" t="s">
        <v>3787</v>
      </c>
      <c r="P2027" s="3" t="s">
        <v>102</v>
      </c>
      <c r="R2027" s="3" t="s">
        <v>70</v>
      </c>
      <c r="S2027" s="4">
        <v>3</v>
      </c>
      <c r="T2027" s="4">
        <v>3</v>
      </c>
      <c r="U2027" s="5" t="s">
        <v>17084</v>
      </c>
      <c r="V2027" s="5" t="s">
        <v>17084</v>
      </c>
      <c r="W2027" s="5" t="s">
        <v>72</v>
      </c>
      <c r="X2027" s="5" t="s">
        <v>72</v>
      </c>
      <c r="Y2027" s="4">
        <v>297</v>
      </c>
      <c r="Z2027" s="4">
        <v>20</v>
      </c>
      <c r="AA2027" s="4">
        <v>102</v>
      </c>
      <c r="AB2027" s="4">
        <v>2</v>
      </c>
      <c r="AC2027" s="4">
        <v>19</v>
      </c>
      <c r="AD2027" s="4">
        <v>38</v>
      </c>
      <c r="AE2027" s="4">
        <v>124</v>
      </c>
      <c r="AF2027" s="4">
        <v>0</v>
      </c>
      <c r="AG2027" s="4">
        <v>8</v>
      </c>
      <c r="AH2027" s="4">
        <v>32</v>
      </c>
      <c r="AI2027" s="4">
        <v>89</v>
      </c>
      <c r="AJ2027" s="4">
        <v>7</v>
      </c>
      <c r="AK2027" s="4">
        <v>22</v>
      </c>
      <c r="AL2027" s="4">
        <v>18</v>
      </c>
      <c r="AM2027" s="4">
        <v>43</v>
      </c>
      <c r="AN2027" s="4">
        <v>0</v>
      </c>
      <c r="AO2027" s="4">
        <v>0</v>
      </c>
      <c r="AP2027" s="4">
        <v>10</v>
      </c>
      <c r="AQ2027" s="4">
        <v>44</v>
      </c>
      <c r="AR2027" s="3" t="s">
        <v>64</v>
      </c>
      <c r="AS2027" s="3" t="s">
        <v>64</v>
      </c>
      <c r="AT2027" s="3" t="s">
        <v>64</v>
      </c>
      <c r="AV2027" s="6" t="str">
        <f>HYPERLINK("http://mcgill.on.worldcat.org/oclc/784581108","Catalog Record")</f>
        <v>Catalog Record</v>
      </c>
      <c r="AW2027" s="6" t="str">
        <f>HYPERLINK("http://www.worldcat.org/oclc/784581108","WorldCat Record")</f>
        <v>WorldCat Record</v>
      </c>
      <c r="AX2027" s="3" t="s">
        <v>20554</v>
      </c>
      <c r="AY2027" s="3" t="s">
        <v>20562</v>
      </c>
      <c r="AZ2027" s="3" t="s">
        <v>20563</v>
      </c>
      <c r="BA2027" s="3" t="s">
        <v>20563</v>
      </c>
      <c r="BB2027" s="3" t="s">
        <v>20564</v>
      </c>
      <c r="BC2027" s="3" t="s">
        <v>77</v>
      </c>
      <c r="BD2027" s="3" t="s">
        <v>78</v>
      </c>
      <c r="BE2027" s="3" t="s">
        <v>20565</v>
      </c>
      <c r="BF2027" s="3" t="s">
        <v>20564</v>
      </c>
      <c r="BG2027" s="3" t="s">
        <v>20566</v>
      </c>
      <c r="BH2027">
        <f t="shared" si="53"/>
        <v>0</v>
      </c>
    </row>
    <row r="2028" spans="1:60" ht="58" x14ac:dyDescent="0.35">
      <c r="A2028" s="2" t="s">
        <v>59</v>
      </c>
      <c r="B2028" s="2" t="s">
        <v>60</v>
      </c>
      <c r="C2028" s="2" t="s">
        <v>20567</v>
      </c>
      <c r="D2028" s="2" t="s">
        <v>20568</v>
      </c>
      <c r="E2028" s="2" t="s">
        <v>20569</v>
      </c>
      <c r="G2028" s="3" t="s">
        <v>64</v>
      </c>
      <c r="I2028" s="3" t="s">
        <v>64</v>
      </c>
      <c r="J2028" s="3" t="s">
        <v>64</v>
      </c>
      <c r="K2028" s="3" t="s">
        <v>65</v>
      </c>
      <c r="L2028" s="2" t="s">
        <v>20048</v>
      </c>
      <c r="M2028" s="2" t="s">
        <v>20570</v>
      </c>
      <c r="N2028" s="3" t="s">
        <v>291</v>
      </c>
      <c r="P2028" s="3" t="s">
        <v>102</v>
      </c>
      <c r="R2028" s="3" t="s">
        <v>70</v>
      </c>
      <c r="S2028" s="4">
        <v>15</v>
      </c>
      <c r="T2028" s="4">
        <v>15</v>
      </c>
      <c r="U2028" s="5" t="s">
        <v>17601</v>
      </c>
      <c r="V2028" s="5" t="s">
        <v>17601</v>
      </c>
      <c r="W2028" s="5" t="s">
        <v>72</v>
      </c>
      <c r="X2028" s="5" t="s">
        <v>72</v>
      </c>
      <c r="Y2028" s="4">
        <v>790</v>
      </c>
      <c r="Z2028" s="4">
        <v>57</v>
      </c>
      <c r="AA2028" s="4">
        <v>64</v>
      </c>
      <c r="AB2028" s="4">
        <v>3</v>
      </c>
      <c r="AC2028" s="4">
        <v>7</v>
      </c>
      <c r="AD2028" s="4">
        <v>93</v>
      </c>
      <c r="AE2028" s="4">
        <v>101</v>
      </c>
      <c r="AF2028" s="4">
        <v>1</v>
      </c>
      <c r="AG2028" s="4">
        <v>4</v>
      </c>
      <c r="AH2028" s="4">
        <v>78</v>
      </c>
      <c r="AI2028" s="4">
        <v>82</v>
      </c>
      <c r="AJ2028" s="4">
        <v>15</v>
      </c>
      <c r="AK2028" s="4">
        <v>17</v>
      </c>
      <c r="AL2028" s="4">
        <v>42</v>
      </c>
      <c r="AM2028" s="4">
        <v>46</v>
      </c>
      <c r="AN2028" s="4">
        <v>0</v>
      </c>
      <c r="AO2028" s="4">
        <v>0</v>
      </c>
      <c r="AP2028" s="4">
        <v>25</v>
      </c>
      <c r="AQ2028" s="4">
        <v>28</v>
      </c>
      <c r="AR2028" s="3" t="s">
        <v>64</v>
      </c>
      <c r="AS2028" s="3" t="s">
        <v>64</v>
      </c>
      <c r="AT2028" s="3" t="s">
        <v>128</v>
      </c>
      <c r="AU2028" s="6" t="str">
        <f>HYPERLINK("http://catalog.hathitrust.org/Record/005616055","HathiTrust Record")</f>
        <v>HathiTrust Record</v>
      </c>
      <c r="AV2028" s="6" t="str">
        <f>HYPERLINK("http://mcgill.on.worldcat.org/oclc/124159605","Catalog Record")</f>
        <v>Catalog Record</v>
      </c>
      <c r="AW2028" s="6" t="str">
        <f>HYPERLINK("http://www.worldcat.org/oclc/124159605","WorldCat Record")</f>
        <v>WorldCat Record</v>
      </c>
      <c r="AX2028" s="3" t="s">
        <v>20571</v>
      </c>
      <c r="AY2028" s="3" t="s">
        <v>20572</v>
      </c>
      <c r="AZ2028" s="3" t="s">
        <v>20573</v>
      </c>
      <c r="BA2028" s="3" t="s">
        <v>20573</v>
      </c>
      <c r="BB2028" s="3" t="s">
        <v>20574</v>
      </c>
      <c r="BC2028" s="3" t="s">
        <v>77</v>
      </c>
      <c r="BD2028" s="3" t="s">
        <v>165</v>
      </c>
      <c r="BE2028" s="3" t="s">
        <v>20575</v>
      </c>
      <c r="BF2028" s="3" t="s">
        <v>20574</v>
      </c>
      <c r="BG2028" s="3" t="s">
        <v>20576</v>
      </c>
      <c r="BH2028">
        <f t="shared" si="53"/>
        <v>0</v>
      </c>
    </row>
    <row r="2029" spans="1:60" ht="58" x14ac:dyDescent="0.35">
      <c r="A2029" s="2" t="s">
        <v>59</v>
      </c>
      <c r="B2029" s="2" t="s">
        <v>60</v>
      </c>
      <c r="C2029" s="2" t="s">
        <v>20577</v>
      </c>
      <c r="D2029" s="2" t="s">
        <v>20578</v>
      </c>
      <c r="E2029" s="2" t="s">
        <v>20579</v>
      </c>
      <c r="G2029" s="3" t="s">
        <v>64</v>
      </c>
      <c r="I2029" s="3" t="s">
        <v>64</v>
      </c>
      <c r="J2029" s="3" t="s">
        <v>64</v>
      </c>
      <c r="K2029" s="3" t="s">
        <v>65</v>
      </c>
      <c r="L2029" s="2" t="s">
        <v>17245</v>
      </c>
      <c r="M2029" s="2" t="s">
        <v>15858</v>
      </c>
      <c r="N2029" s="3" t="s">
        <v>1275</v>
      </c>
      <c r="P2029" s="3" t="s">
        <v>102</v>
      </c>
      <c r="R2029" s="3" t="s">
        <v>70</v>
      </c>
      <c r="S2029" s="4">
        <v>9</v>
      </c>
      <c r="T2029" s="4">
        <v>9</v>
      </c>
      <c r="U2029" s="5" t="s">
        <v>20478</v>
      </c>
      <c r="V2029" s="5" t="s">
        <v>20478</v>
      </c>
      <c r="W2029" s="5" t="s">
        <v>72</v>
      </c>
      <c r="X2029" s="5" t="s">
        <v>72</v>
      </c>
      <c r="Y2029" s="4">
        <v>357</v>
      </c>
      <c r="Z2029" s="4">
        <v>21</v>
      </c>
      <c r="AA2029" s="4">
        <v>24</v>
      </c>
      <c r="AB2029" s="4">
        <v>1</v>
      </c>
      <c r="AC2029" s="4">
        <v>4</v>
      </c>
      <c r="AD2029" s="4">
        <v>46</v>
      </c>
      <c r="AE2029" s="4">
        <v>50</v>
      </c>
      <c r="AF2029" s="4">
        <v>0</v>
      </c>
      <c r="AG2029" s="4">
        <v>1</v>
      </c>
      <c r="AH2029" s="4">
        <v>46</v>
      </c>
      <c r="AI2029" s="4">
        <v>49</v>
      </c>
      <c r="AJ2029" s="4">
        <v>5</v>
      </c>
      <c r="AK2029" s="4">
        <v>6</v>
      </c>
      <c r="AL2029" s="4">
        <v>22</v>
      </c>
      <c r="AM2029" s="4">
        <v>23</v>
      </c>
      <c r="AN2029" s="4">
        <v>0</v>
      </c>
      <c r="AO2029" s="4">
        <v>0</v>
      </c>
      <c r="AP2029" s="4">
        <v>5</v>
      </c>
      <c r="AQ2029" s="4">
        <v>5</v>
      </c>
      <c r="AR2029" s="3" t="s">
        <v>64</v>
      </c>
      <c r="AS2029" s="3" t="s">
        <v>64</v>
      </c>
      <c r="AT2029" s="3" t="s">
        <v>128</v>
      </c>
      <c r="AU2029" s="6" t="str">
        <f>HYPERLINK("http://catalog.hathitrust.org/Record/004354493","HathiTrust Record")</f>
        <v>HathiTrust Record</v>
      </c>
      <c r="AV2029" s="6" t="str">
        <f>HYPERLINK("http://mcgill.on.worldcat.org/oclc/52814055","Catalog Record")</f>
        <v>Catalog Record</v>
      </c>
      <c r="AW2029" s="6" t="str">
        <f>HYPERLINK("http://www.worldcat.org/oclc/52814055","WorldCat Record")</f>
        <v>WorldCat Record</v>
      </c>
      <c r="AX2029" s="3" t="s">
        <v>20580</v>
      </c>
      <c r="AY2029" s="3" t="s">
        <v>20581</v>
      </c>
      <c r="AZ2029" s="3" t="s">
        <v>20582</v>
      </c>
      <c r="BA2029" s="3" t="s">
        <v>20582</v>
      </c>
      <c r="BB2029" s="3" t="s">
        <v>20583</v>
      </c>
      <c r="BC2029" s="3" t="s">
        <v>77</v>
      </c>
      <c r="BD2029" s="3" t="s">
        <v>78</v>
      </c>
      <c r="BE2029" s="3" t="s">
        <v>20584</v>
      </c>
      <c r="BF2029" s="3" t="s">
        <v>20583</v>
      </c>
      <c r="BG2029" s="3" t="s">
        <v>20585</v>
      </c>
      <c r="BH2029">
        <f t="shared" si="53"/>
        <v>0</v>
      </c>
    </row>
    <row r="2030" spans="1:60" ht="58" x14ac:dyDescent="0.35">
      <c r="A2030" s="2" t="s">
        <v>59</v>
      </c>
      <c r="B2030" s="2" t="s">
        <v>60</v>
      </c>
      <c r="C2030" s="2" t="s">
        <v>20586</v>
      </c>
      <c r="D2030" s="2" t="s">
        <v>20587</v>
      </c>
      <c r="E2030" s="2" t="s">
        <v>20588</v>
      </c>
      <c r="G2030" s="3" t="s">
        <v>64</v>
      </c>
      <c r="I2030" s="3" t="s">
        <v>64</v>
      </c>
      <c r="J2030" s="3" t="s">
        <v>64</v>
      </c>
      <c r="K2030" s="3" t="s">
        <v>65</v>
      </c>
      <c r="L2030" s="2" t="s">
        <v>17245</v>
      </c>
      <c r="M2030" s="2" t="s">
        <v>13931</v>
      </c>
      <c r="N2030" s="3" t="s">
        <v>144</v>
      </c>
      <c r="P2030" s="3" t="s">
        <v>102</v>
      </c>
      <c r="R2030" s="3" t="s">
        <v>70</v>
      </c>
      <c r="S2030" s="4">
        <v>5</v>
      </c>
      <c r="T2030" s="4">
        <v>5</v>
      </c>
      <c r="U2030" s="5" t="s">
        <v>19587</v>
      </c>
      <c r="V2030" s="5" t="s">
        <v>19587</v>
      </c>
      <c r="W2030" s="5" t="s">
        <v>72</v>
      </c>
      <c r="X2030" s="5" t="s">
        <v>72</v>
      </c>
      <c r="Y2030" s="4">
        <v>264</v>
      </c>
      <c r="Z2030" s="4">
        <v>27</v>
      </c>
      <c r="AA2030" s="4">
        <v>28</v>
      </c>
      <c r="AB2030" s="4">
        <v>2</v>
      </c>
      <c r="AC2030" s="4">
        <v>3</v>
      </c>
      <c r="AD2030" s="4">
        <v>45</v>
      </c>
      <c r="AE2030" s="4">
        <v>46</v>
      </c>
      <c r="AF2030" s="4">
        <v>0</v>
      </c>
      <c r="AG2030" s="4">
        <v>0</v>
      </c>
      <c r="AH2030" s="4">
        <v>41</v>
      </c>
      <c r="AI2030" s="4">
        <v>42</v>
      </c>
      <c r="AJ2030" s="4">
        <v>10</v>
      </c>
      <c r="AK2030" s="4">
        <v>10</v>
      </c>
      <c r="AL2030" s="4">
        <v>19</v>
      </c>
      <c r="AM2030" s="4">
        <v>20</v>
      </c>
      <c r="AN2030" s="4">
        <v>0</v>
      </c>
      <c r="AO2030" s="4">
        <v>0</v>
      </c>
      <c r="AP2030" s="4">
        <v>12</v>
      </c>
      <c r="AQ2030" s="4">
        <v>12</v>
      </c>
      <c r="AR2030" s="3" t="s">
        <v>64</v>
      </c>
      <c r="AS2030" s="3" t="s">
        <v>64</v>
      </c>
      <c r="AT2030" s="3" t="s">
        <v>64</v>
      </c>
      <c r="AV2030" s="6" t="str">
        <f>HYPERLINK("http://mcgill.on.worldcat.org/oclc/191846873","Catalog Record")</f>
        <v>Catalog Record</v>
      </c>
      <c r="AW2030" s="6" t="str">
        <f>HYPERLINK("http://www.worldcat.org/oclc/191846873","WorldCat Record")</f>
        <v>WorldCat Record</v>
      </c>
      <c r="AX2030" s="3" t="s">
        <v>20589</v>
      </c>
      <c r="AY2030" s="3" t="s">
        <v>20590</v>
      </c>
      <c r="AZ2030" s="3" t="s">
        <v>20591</v>
      </c>
      <c r="BA2030" s="3" t="s">
        <v>20591</v>
      </c>
      <c r="BB2030" s="3" t="s">
        <v>20592</v>
      </c>
      <c r="BC2030" s="3" t="s">
        <v>77</v>
      </c>
      <c r="BD2030" s="3" t="s">
        <v>78</v>
      </c>
      <c r="BE2030" s="3" t="s">
        <v>20593</v>
      </c>
      <c r="BF2030" s="3" t="s">
        <v>20592</v>
      </c>
      <c r="BG2030" s="3" t="s">
        <v>20594</v>
      </c>
      <c r="BH2030">
        <f t="shared" si="53"/>
        <v>0</v>
      </c>
    </row>
    <row r="2031" spans="1:60" ht="101.5" x14ac:dyDescent="0.35">
      <c r="A2031" s="2" t="s">
        <v>59</v>
      </c>
      <c r="B2031" s="2" t="s">
        <v>60</v>
      </c>
      <c r="C2031" s="2" t="s">
        <v>20595</v>
      </c>
      <c r="D2031" s="2" t="s">
        <v>20596</v>
      </c>
      <c r="E2031" s="2" t="s">
        <v>20597</v>
      </c>
      <c r="G2031" s="3" t="s">
        <v>64</v>
      </c>
      <c r="I2031" s="3" t="s">
        <v>64</v>
      </c>
      <c r="J2031" s="3" t="s">
        <v>64</v>
      </c>
      <c r="K2031" s="3" t="s">
        <v>65</v>
      </c>
      <c r="L2031" s="2" t="s">
        <v>20598</v>
      </c>
      <c r="M2031" s="2" t="s">
        <v>20599</v>
      </c>
      <c r="N2031" s="3" t="s">
        <v>86</v>
      </c>
      <c r="P2031" s="3" t="s">
        <v>102</v>
      </c>
      <c r="R2031" s="3" t="s">
        <v>70</v>
      </c>
      <c r="S2031" s="4">
        <v>0</v>
      </c>
      <c r="T2031" s="4">
        <v>0</v>
      </c>
      <c r="W2031" s="5" t="s">
        <v>72</v>
      </c>
      <c r="X2031" s="5" t="s">
        <v>72</v>
      </c>
      <c r="Y2031" s="4">
        <v>18</v>
      </c>
      <c r="Z2031" s="4">
        <v>2</v>
      </c>
      <c r="AA2031" s="4">
        <v>2</v>
      </c>
      <c r="AB2031" s="4">
        <v>1</v>
      </c>
      <c r="AC2031" s="4">
        <v>1</v>
      </c>
      <c r="AD2031" s="4">
        <v>3</v>
      </c>
      <c r="AE2031" s="4">
        <v>3</v>
      </c>
      <c r="AF2031" s="4">
        <v>0</v>
      </c>
      <c r="AG2031" s="4">
        <v>0</v>
      </c>
      <c r="AH2031" s="4">
        <v>3</v>
      </c>
      <c r="AI2031" s="4">
        <v>3</v>
      </c>
      <c r="AJ2031" s="4">
        <v>1</v>
      </c>
      <c r="AK2031" s="4">
        <v>1</v>
      </c>
      <c r="AL2031" s="4">
        <v>2</v>
      </c>
      <c r="AM2031" s="4">
        <v>2</v>
      </c>
      <c r="AN2031" s="4">
        <v>0</v>
      </c>
      <c r="AO2031" s="4">
        <v>0</v>
      </c>
      <c r="AP2031" s="4">
        <v>1</v>
      </c>
      <c r="AQ2031" s="4">
        <v>1</v>
      </c>
      <c r="AR2031" s="3" t="s">
        <v>64</v>
      </c>
      <c r="AS2031" s="3" t="s">
        <v>64</v>
      </c>
      <c r="AT2031" s="3" t="s">
        <v>64</v>
      </c>
      <c r="AV2031" s="6" t="str">
        <f>HYPERLINK("http://mcgill.on.worldcat.org/oclc/825094246","Catalog Record")</f>
        <v>Catalog Record</v>
      </c>
      <c r="AW2031" s="6" t="str">
        <f>HYPERLINK("http://www.worldcat.org/oclc/825094246","WorldCat Record")</f>
        <v>WorldCat Record</v>
      </c>
      <c r="AX2031" s="3" t="s">
        <v>20600</v>
      </c>
      <c r="AY2031" s="3" t="s">
        <v>20601</v>
      </c>
      <c r="AZ2031" s="3" t="s">
        <v>20602</v>
      </c>
      <c r="BA2031" s="3" t="s">
        <v>20602</v>
      </c>
      <c r="BB2031" s="3" t="s">
        <v>20603</v>
      </c>
      <c r="BC2031" s="3" t="s">
        <v>77</v>
      </c>
      <c r="BD2031" s="3" t="s">
        <v>78</v>
      </c>
      <c r="BE2031" s="3" t="s">
        <v>20604</v>
      </c>
      <c r="BF2031" s="3" t="s">
        <v>20603</v>
      </c>
      <c r="BG2031" s="3" t="s">
        <v>20605</v>
      </c>
      <c r="BH2031">
        <f t="shared" si="53"/>
        <v>0</v>
      </c>
    </row>
    <row r="2032" spans="1:60" ht="87" x14ac:dyDescent="0.35">
      <c r="A2032" s="2" t="s">
        <v>59</v>
      </c>
      <c r="B2032" s="2" t="s">
        <v>60</v>
      </c>
      <c r="C2032" s="2" t="s">
        <v>20606</v>
      </c>
      <c r="D2032" s="2" t="s">
        <v>20607</v>
      </c>
      <c r="E2032" s="2" t="s">
        <v>20608</v>
      </c>
      <c r="G2032" s="3" t="s">
        <v>64</v>
      </c>
      <c r="I2032" s="3" t="s">
        <v>64</v>
      </c>
      <c r="J2032" s="3" t="s">
        <v>64</v>
      </c>
      <c r="K2032" s="3" t="s">
        <v>65</v>
      </c>
      <c r="L2032" s="2" t="s">
        <v>20609</v>
      </c>
      <c r="M2032" s="2" t="s">
        <v>20610</v>
      </c>
      <c r="N2032" s="3" t="s">
        <v>511</v>
      </c>
      <c r="P2032" s="3" t="s">
        <v>102</v>
      </c>
      <c r="R2032" s="3" t="s">
        <v>70</v>
      </c>
      <c r="S2032" s="4">
        <v>6</v>
      </c>
      <c r="T2032" s="4">
        <v>6</v>
      </c>
      <c r="U2032" s="5" t="s">
        <v>20529</v>
      </c>
      <c r="V2032" s="5" t="s">
        <v>20529</v>
      </c>
      <c r="W2032" s="5" t="s">
        <v>72</v>
      </c>
      <c r="X2032" s="5" t="s">
        <v>72</v>
      </c>
      <c r="Y2032" s="4">
        <v>50</v>
      </c>
      <c r="Z2032" s="4">
        <v>4</v>
      </c>
      <c r="AA2032" s="4">
        <v>87</v>
      </c>
      <c r="AB2032" s="4">
        <v>1</v>
      </c>
      <c r="AC2032" s="4">
        <v>17</v>
      </c>
      <c r="AD2032" s="4">
        <v>17</v>
      </c>
      <c r="AE2032" s="4">
        <v>85</v>
      </c>
      <c r="AF2032" s="4">
        <v>0</v>
      </c>
      <c r="AG2032" s="4">
        <v>8</v>
      </c>
      <c r="AH2032" s="4">
        <v>16</v>
      </c>
      <c r="AI2032" s="4">
        <v>54</v>
      </c>
      <c r="AJ2032" s="4">
        <v>2</v>
      </c>
      <c r="AK2032" s="4">
        <v>15</v>
      </c>
      <c r="AL2032" s="4">
        <v>9</v>
      </c>
      <c r="AM2032" s="4">
        <v>28</v>
      </c>
      <c r="AN2032" s="4">
        <v>0</v>
      </c>
      <c r="AO2032" s="4">
        <v>0</v>
      </c>
      <c r="AP2032" s="4">
        <v>2</v>
      </c>
      <c r="AQ2032" s="4">
        <v>36</v>
      </c>
      <c r="AR2032" s="3" t="s">
        <v>64</v>
      </c>
      <c r="AS2032" s="3" t="s">
        <v>64</v>
      </c>
      <c r="AT2032" s="3" t="s">
        <v>64</v>
      </c>
      <c r="AV2032" s="6" t="str">
        <f>HYPERLINK("http://mcgill.on.worldcat.org/oclc/609940727","Catalog Record")</f>
        <v>Catalog Record</v>
      </c>
      <c r="AW2032" s="6" t="str">
        <f>HYPERLINK("http://www.worldcat.org/oclc/609940727","WorldCat Record")</f>
        <v>WorldCat Record</v>
      </c>
      <c r="AX2032" s="3" t="s">
        <v>20611</v>
      </c>
      <c r="AY2032" s="3" t="s">
        <v>20612</v>
      </c>
      <c r="AZ2032" s="3" t="s">
        <v>20613</v>
      </c>
      <c r="BA2032" s="3" t="s">
        <v>20613</v>
      </c>
      <c r="BB2032" s="3" t="s">
        <v>20614</v>
      </c>
      <c r="BC2032" s="3" t="s">
        <v>77</v>
      </c>
      <c r="BD2032" s="3" t="s">
        <v>78</v>
      </c>
      <c r="BE2032" s="3" t="s">
        <v>20615</v>
      </c>
      <c r="BF2032" s="3" t="s">
        <v>20614</v>
      </c>
      <c r="BG2032" s="3" t="s">
        <v>20616</v>
      </c>
      <c r="BH2032">
        <f t="shared" si="53"/>
        <v>0</v>
      </c>
    </row>
    <row r="2033" spans="1:60" ht="58" x14ac:dyDescent="0.35">
      <c r="A2033" s="2" t="s">
        <v>59</v>
      </c>
      <c r="B2033" s="2" t="s">
        <v>60</v>
      </c>
      <c r="C2033" s="2" t="s">
        <v>20617</v>
      </c>
      <c r="D2033" s="2" t="s">
        <v>20618</v>
      </c>
      <c r="E2033" s="2" t="s">
        <v>20619</v>
      </c>
      <c r="G2033" s="3" t="s">
        <v>64</v>
      </c>
      <c r="I2033" s="3" t="s">
        <v>64</v>
      </c>
      <c r="J2033" s="3" t="s">
        <v>64</v>
      </c>
      <c r="K2033" s="3" t="s">
        <v>65</v>
      </c>
      <c r="M2033" s="2" t="s">
        <v>20620</v>
      </c>
      <c r="N2033" s="3" t="s">
        <v>326</v>
      </c>
      <c r="P2033" s="3" t="s">
        <v>102</v>
      </c>
      <c r="R2033" s="3" t="s">
        <v>70</v>
      </c>
      <c r="S2033" s="4">
        <v>4</v>
      </c>
      <c r="T2033" s="4">
        <v>4</v>
      </c>
      <c r="U2033" s="5" t="s">
        <v>20621</v>
      </c>
      <c r="V2033" s="5" t="s">
        <v>20621</v>
      </c>
      <c r="W2033" s="5" t="s">
        <v>72</v>
      </c>
      <c r="X2033" s="5" t="s">
        <v>72</v>
      </c>
      <c r="Y2033" s="4">
        <v>471</v>
      </c>
      <c r="Z2033" s="4">
        <v>29</v>
      </c>
      <c r="AA2033" s="4">
        <v>33</v>
      </c>
      <c r="AB2033" s="4">
        <v>2</v>
      </c>
      <c r="AC2033" s="4">
        <v>6</v>
      </c>
      <c r="AD2033" s="4">
        <v>100</v>
      </c>
      <c r="AE2033" s="4">
        <v>104</v>
      </c>
      <c r="AF2033" s="4">
        <v>1</v>
      </c>
      <c r="AG2033" s="4">
        <v>3</v>
      </c>
      <c r="AH2033" s="4">
        <v>87</v>
      </c>
      <c r="AI2033" s="4">
        <v>90</v>
      </c>
      <c r="AJ2033" s="4">
        <v>18</v>
      </c>
      <c r="AK2033" s="4">
        <v>20</v>
      </c>
      <c r="AL2033" s="4">
        <v>46</v>
      </c>
      <c r="AM2033" s="4">
        <v>47</v>
      </c>
      <c r="AN2033" s="4">
        <v>0</v>
      </c>
      <c r="AO2033" s="4">
        <v>0</v>
      </c>
      <c r="AP2033" s="4">
        <v>23</v>
      </c>
      <c r="AQ2033" s="4">
        <v>24</v>
      </c>
      <c r="AR2033" s="3" t="s">
        <v>64</v>
      </c>
      <c r="AS2033" s="3" t="s">
        <v>64</v>
      </c>
      <c r="AT2033" s="3" t="s">
        <v>64</v>
      </c>
      <c r="AV2033" s="6" t="str">
        <f>HYPERLINK("http://mcgill.on.worldcat.org/oclc/698451407","Catalog Record")</f>
        <v>Catalog Record</v>
      </c>
      <c r="AW2033" s="6" t="str">
        <f>HYPERLINK("http://www.worldcat.org/oclc/698451407","WorldCat Record")</f>
        <v>WorldCat Record</v>
      </c>
      <c r="AX2033" s="3" t="s">
        <v>20622</v>
      </c>
      <c r="AY2033" s="3" t="s">
        <v>20623</v>
      </c>
      <c r="AZ2033" s="3" t="s">
        <v>20624</v>
      </c>
      <c r="BA2033" s="3" t="s">
        <v>20624</v>
      </c>
      <c r="BB2033" s="3" t="s">
        <v>20625</v>
      </c>
      <c r="BC2033" s="3" t="s">
        <v>77</v>
      </c>
      <c r="BD2033" s="3" t="s">
        <v>78</v>
      </c>
      <c r="BE2033" s="3" t="s">
        <v>20626</v>
      </c>
      <c r="BF2033" s="3" t="s">
        <v>20625</v>
      </c>
      <c r="BG2033" s="3" t="s">
        <v>20627</v>
      </c>
      <c r="BH2033">
        <f t="shared" si="53"/>
        <v>0</v>
      </c>
    </row>
    <row r="2034" spans="1:60" ht="72.5" x14ac:dyDescent="0.35">
      <c r="A2034" s="2" t="s">
        <v>59</v>
      </c>
      <c r="B2034" s="2" t="s">
        <v>60</v>
      </c>
      <c r="C2034" s="2" t="s">
        <v>20628</v>
      </c>
      <c r="D2034" s="2" t="s">
        <v>20629</v>
      </c>
      <c r="E2034" s="2" t="s">
        <v>20630</v>
      </c>
      <c r="G2034" s="3" t="s">
        <v>64</v>
      </c>
      <c r="I2034" s="3" t="s">
        <v>64</v>
      </c>
      <c r="J2034" s="3" t="s">
        <v>64</v>
      </c>
      <c r="K2034" s="3" t="s">
        <v>65</v>
      </c>
      <c r="L2034" s="2" t="s">
        <v>20631</v>
      </c>
      <c r="M2034" s="2" t="s">
        <v>20632</v>
      </c>
      <c r="N2034" s="3" t="s">
        <v>144</v>
      </c>
      <c r="O2034" s="2" t="s">
        <v>117</v>
      </c>
      <c r="P2034" s="3" t="s">
        <v>102</v>
      </c>
      <c r="R2034" s="3" t="s">
        <v>70</v>
      </c>
      <c r="S2034" s="4">
        <v>4</v>
      </c>
      <c r="T2034" s="4">
        <v>4</v>
      </c>
      <c r="U2034" s="5" t="s">
        <v>19587</v>
      </c>
      <c r="V2034" s="5" t="s">
        <v>19587</v>
      </c>
      <c r="W2034" s="5" t="s">
        <v>72</v>
      </c>
      <c r="X2034" s="5" t="s">
        <v>72</v>
      </c>
      <c r="Y2034" s="4">
        <v>302</v>
      </c>
      <c r="Z2034" s="4">
        <v>15</v>
      </c>
      <c r="AA2034" s="4">
        <v>15</v>
      </c>
      <c r="AB2034" s="4">
        <v>1</v>
      </c>
      <c r="AC2034" s="4">
        <v>1</v>
      </c>
      <c r="AD2034" s="4">
        <v>52</v>
      </c>
      <c r="AE2034" s="4">
        <v>52</v>
      </c>
      <c r="AF2034" s="4">
        <v>0</v>
      </c>
      <c r="AG2034" s="4">
        <v>0</v>
      </c>
      <c r="AH2034" s="4">
        <v>49</v>
      </c>
      <c r="AI2034" s="4">
        <v>49</v>
      </c>
      <c r="AJ2034" s="4">
        <v>7</v>
      </c>
      <c r="AK2034" s="4">
        <v>7</v>
      </c>
      <c r="AL2034" s="4">
        <v>24</v>
      </c>
      <c r="AM2034" s="4">
        <v>24</v>
      </c>
      <c r="AN2034" s="4">
        <v>0</v>
      </c>
      <c r="AO2034" s="4">
        <v>0</v>
      </c>
      <c r="AP2034" s="4">
        <v>8</v>
      </c>
      <c r="AQ2034" s="4">
        <v>8</v>
      </c>
      <c r="AR2034" s="3" t="s">
        <v>64</v>
      </c>
      <c r="AS2034" s="3" t="s">
        <v>64</v>
      </c>
      <c r="AT2034" s="3" t="s">
        <v>128</v>
      </c>
      <c r="AU2034" s="6" t="str">
        <f>HYPERLINK("http://catalog.hathitrust.org/Record/005627326","HathiTrust Record")</f>
        <v>HathiTrust Record</v>
      </c>
      <c r="AV2034" s="6" t="str">
        <f>HYPERLINK("http://mcgill.on.worldcat.org/oclc/144223867","Catalog Record")</f>
        <v>Catalog Record</v>
      </c>
      <c r="AW2034" s="6" t="str">
        <f>HYPERLINK("http://www.worldcat.org/oclc/144223867","WorldCat Record")</f>
        <v>WorldCat Record</v>
      </c>
      <c r="AX2034" s="3" t="s">
        <v>20633</v>
      </c>
      <c r="AY2034" s="3" t="s">
        <v>20634</v>
      </c>
      <c r="AZ2034" s="3" t="s">
        <v>20635</v>
      </c>
      <c r="BA2034" s="3" t="s">
        <v>20635</v>
      </c>
      <c r="BB2034" s="3" t="s">
        <v>20636</v>
      </c>
      <c r="BC2034" s="3" t="s">
        <v>77</v>
      </c>
      <c r="BD2034" s="3" t="s">
        <v>78</v>
      </c>
      <c r="BE2034" s="3" t="s">
        <v>20637</v>
      </c>
      <c r="BF2034" s="3" t="s">
        <v>20636</v>
      </c>
      <c r="BG2034" s="3" t="s">
        <v>20638</v>
      </c>
      <c r="BH2034">
        <f t="shared" si="53"/>
        <v>0</v>
      </c>
    </row>
    <row r="2035" spans="1:60" ht="58" x14ac:dyDescent="0.35">
      <c r="A2035" s="2" t="s">
        <v>59</v>
      </c>
      <c r="B2035" s="2" t="s">
        <v>60</v>
      </c>
      <c r="C2035" s="2" t="s">
        <v>20639</v>
      </c>
      <c r="D2035" s="2" t="s">
        <v>20640</v>
      </c>
      <c r="E2035" s="2" t="s">
        <v>20641</v>
      </c>
      <c r="G2035" s="3" t="s">
        <v>64</v>
      </c>
      <c r="I2035" s="3" t="s">
        <v>64</v>
      </c>
      <c r="J2035" s="3" t="s">
        <v>64</v>
      </c>
      <c r="K2035" s="3" t="s">
        <v>65</v>
      </c>
      <c r="L2035" s="2" t="s">
        <v>20642</v>
      </c>
      <c r="M2035" s="2" t="s">
        <v>14044</v>
      </c>
      <c r="N2035" s="3" t="s">
        <v>326</v>
      </c>
      <c r="P2035" s="3" t="s">
        <v>102</v>
      </c>
      <c r="Q2035" s="2" t="s">
        <v>20643</v>
      </c>
      <c r="R2035" s="3" t="s">
        <v>70</v>
      </c>
      <c r="S2035" s="4">
        <v>0</v>
      </c>
      <c r="T2035" s="4">
        <v>0</v>
      </c>
      <c r="W2035" s="5" t="s">
        <v>72</v>
      </c>
      <c r="X2035" s="5" t="s">
        <v>72</v>
      </c>
      <c r="Y2035" s="4">
        <v>199</v>
      </c>
      <c r="Z2035" s="4">
        <v>14</v>
      </c>
      <c r="AA2035" s="4">
        <v>15</v>
      </c>
      <c r="AB2035" s="4">
        <v>2</v>
      </c>
      <c r="AC2035" s="4">
        <v>3</v>
      </c>
      <c r="AD2035" s="4">
        <v>49</v>
      </c>
      <c r="AE2035" s="4">
        <v>50</v>
      </c>
      <c r="AF2035" s="4">
        <v>0</v>
      </c>
      <c r="AG2035" s="4">
        <v>1</v>
      </c>
      <c r="AH2035" s="4">
        <v>47</v>
      </c>
      <c r="AI2035" s="4">
        <v>47</v>
      </c>
      <c r="AJ2035" s="4">
        <v>6</v>
      </c>
      <c r="AK2035" s="4">
        <v>7</v>
      </c>
      <c r="AL2035" s="4">
        <v>20</v>
      </c>
      <c r="AM2035" s="4">
        <v>20</v>
      </c>
      <c r="AN2035" s="4">
        <v>0</v>
      </c>
      <c r="AO2035" s="4">
        <v>0</v>
      </c>
      <c r="AP2035" s="4">
        <v>7</v>
      </c>
      <c r="AQ2035" s="4">
        <v>7</v>
      </c>
      <c r="AR2035" s="3" t="s">
        <v>64</v>
      </c>
      <c r="AS2035" s="3" t="s">
        <v>64</v>
      </c>
      <c r="AT2035" s="3" t="s">
        <v>64</v>
      </c>
      <c r="AV2035" s="6" t="str">
        <f>HYPERLINK("http://mcgill.on.worldcat.org/oclc/710045064","Catalog Record")</f>
        <v>Catalog Record</v>
      </c>
      <c r="AW2035" s="6" t="str">
        <f>HYPERLINK("http://www.worldcat.org/oclc/710045064","WorldCat Record")</f>
        <v>WorldCat Record</v>
      </c>
      <c r="AX2035" s="3" t="s">
        <v>20644</v>
      </c>
      <c r="AY2035" s="3" t="s">
        <v>20645</v>
      </c>
      <c r="AZ2035" s="3" t="s">
        <v>20646</v>
      </c>
      <c r="BA2035" s="3" t="s">
        <v>20646</v>
      </c>
      <c r="BB2035" s="3" t="s">
        <v>20647</v>
      </c>
      <c r="BC2035" s="3" t="s">
        <v>77</v>
      </c>
      <c r="BD2035" s="3" t="s">
        <v>78</v>
      </c>
      <c r="BE2035" s="3" t="s">
        <v>20648</v>
      </c>
      <c r="BF2035" s="3" t="s">
        <v>20647</v>
      </c>
      <c r="BG2035" s="3" t="s">
        <v>20649</v>
      </c>
      <c r="BH2035">
        <f t="shared" si="53"/>
        <v>0</v>
      </c>
    </row>
    <row r="2036" spans="1:60" ht="58" x14ac:dyDescent="0.35">
      <c r="A2036" s="2" t="s">
        <v>59</v>
      </c>
      <c r="B2036" s="2" t="s">
        <v>60</v>
      </c>
      <c r="C2036" s="2" t="s">
        <v>20650</v>
      </c>
      <c r="D2036" s="2" t="s">
        <v>20651</v>
      </c>
      <c r="E2036" s="2" t="s">
        <v>20652</v>
      </c>
      <c r="G2036" s="3" t="s">
        <v>64</v>
      </c>
      <c r="I2036" s="3" t="s">
        <v>64</v>
      </c>
      <c r="J2036" s="3" t="s">
        <v>64</v>
      </c>
      <c r="K2036" s="3" t="s">
        <v>65</v>
      </c>
      <c r="L2036" s="2" t="s">
        <v>20653</v>
      </c>
      <c r="M2036" s="2" t="s">
        <v>20654</v>
      </c>
      <c r="N2036" s="3" t="s">
        <v>1275</v>
      </c>
      <c r="P2036" s="3" t="s">
        <v>68</v>
      </c>
      <c r="Q2036" s="2" t="s">
        <v>20655</v>
      </c>
      <c r="R2036" s="3" t="s">
        <v>70</v>
      </c>
      <c r="S2036" s="4">
        <v>2</v>
      </c>
      <c r="T2036" s="4">
        <v>2</v>
      </c>
      <c r="U2036" s="5" t="s">
        <v>15687</v>
      </c>
      <c r="V2036" s="5" t="s">
        <v>15687</v>
      </c>
      <c r="W2036" s="5" t="s">
        <v>72</v>
      </c>
      <c r="X2036" s="5" t="s">
        <v>72</v>
      </c>
      <c r="Y2036" s="4">
        <v>98</v>
      </c>
      <c r="Z2036" s="4">
        <v>7</v>
      </c>
      <c r="AA2036" s="4">
        <v>7</v>
      </c>
      <c r="AB2036" s="4">
        <v>6</v>
      </c>
      <c r="AC2036" s="4">
        <v>6</v>
      </c>
      <c r="AD2036" s="4">
        <v>3</v>
      </c>
      <c r="AE2036" s="4">
        <v>3</v>
      </c>
      <c r="AF2036" s="4">
        <v>2</v>
      </c>
      <c r="AG2036" s="4">
        <v>2</v>
      </c>
      <c r="AH2036" s="4">
        <v>2</v>
      </c>
      <c r="AI2036" s="4">
        <v>2</v>
      </c>
      <c r="AJ2036" s="4">
        <v>3</v>
      </c>
      <c r="AK2036" s="4">
        <v>3</v>
      </c>
      <c r="AL2036" s="4">
        <v>0</v>
      </c>
      <c r="AM2036" s="4">
        <v>0</v>
      </c>
      <c r="AN2036" s="4">
        <v>0</v>
      </c>
      <c r="AO2036" s="4">
        <v>0</v>
      </c>
      <c r="AP2036" s="4">
        <v>3</v>
      </c>
      <c r="AQ2036" s="4">
        <v>3</v>
      </c>
      <c r="AR2036" s="3" t="s">
        <v>64</v>
      </c>
      <c r="AS2036" s="3" t="s">
        <v>64</v>
      </c>
      <c r="AT2036" s="3" t="s">
        <v>64</v>
      </c>
      <c r="AV2036" s="6" t="str">
        <f>HYPERLINK("http://mcgill.on.worldcat.org/oclc/154665864","Catalog Record")</f>
        <v>Catalog Record</v>
      </c>
      <c r="AW2036" s="6" t="str">
        <f>HYPERLINK("http://www.worldcat.org/oclc/154665864","WorldCat Record")</f>
        <v>WorldCat Record</v>
      </c>
      <c r="AX2036" s="3" t="s">
        <v>20656</v>
      </c>
      <c r="AY2036" s="3" t="s">
        <v>20657</v>
      </c>
      <c r="AZ2036" s="3" t="s">
        <v>20658</v>
      </c>
      <c r="BA2036" s="3" t="s">
        <v>20658</v>
      </c>
      <c r="BB2036" s="3" t="s">
        <v>20659</v>
      </c>
      <c r="BC2036" s="3" t="s">
        <v>77</v>
      </c>
      <c r="BD2036" s="3" t="s">
        <v>78</v>
      </c>
      <c r="BE2036" s="3" t="s">
        <v>20660</v>
      </c>
      <c r="BF2036" s="3" t="s">
        <v>20659</v>
      </c>
      <c r="BG2036" s="3" t="s">
        <v>20661</v>
      </c>
      <c r="BH2036">
        <f t="shared" si="53"/>
        <v>0</v>
      </c>
    </row>
    <row r="2037" spans="1:60" ht="58" x14ac:dyDescent="0.35">
      <c r="A2037" s="2" t="s">
        <v>59</v>
      </c>
      <c r="B2037" s="2" t="s">
        <v>60</v>
      </c>
      <c r="C2037" s="2" t="s">
        <v>20662</v>
      </c>
      <c r="D2037" s="2" t="s">
        <v>20663</v>
      </c>
      <c r="E2037" s="2" t="s">
        <v>20664</v>
      </c>
      <c r="G2037" s="3" t="s">
        <v>64</v>
      </c>
      <c r="I2037" s="3" t="s">
        <v>64</v>
      </c>
      <c r="J2037" s="3" t="s">
        <v>64</v>
      </c>
      <c r="K2037" s="3" t="s">
        <v>65</v>
      </c>
      <c r="M2037" s="2" t="s">
        <v>20665</v>
      </c>
      <c r="N2037" s="3" t="s">
        <v>326</v>
      </c>
      <c r="P2037" s="3" t="s">
        <v>102</v>
      </c>
      <c r="Q2037" s="2" t="s">
        <v>20666</v>
      </c>
      <c r="R2037" s="3" t="s">
        <v>70</v>
      </c>
      <c r="S2037" s="4">
        <v>4</v>
      </c>
      <c r="T2037" s="4">
        <v>4</v>
      </c>
      <c r="U2037" s="5" t="s">
        <v>17084</v>
      </c>
      <c r="V2037" s="5" t="s">
        <v>17084</v>
      </c>
      <c r="W2037" s="5" t="s">
        <v>72</v>
      </c>
      <c r="X2037" s="5" t="s">
        <v>72</v>
      </c>
      <c r="Y2037" s="4">
        <v>242</v>
      </c>
      <c r="Z2037" s="4">
        <v>23</v>
      </c>
      <c r="AA2037" s="4">
        <v>27</v>
      </c>
      <c r="AB2037" s="4">
        <v>1</v>
      </c>
      <c r="AC2037" s="4">
        <v>3</v>
      </c>
      <c r="AD2037" s="4">
        <v>92</v>
      </c>
      <c r="AE2037" s="4">
        <v>102</v>
      </c>
      <c r="AF2037" s="4">
        <v>0</v>
      </c>
      <c r="AG2037" s="4">
        <v>2</v>
      </c>
      <c r="AH2037" s="4">
        <v>82</v>
      </c>
      <c r="AI2037" s="4">
        <v>88</v>
      </c>
      <c r="AJ2037" s="4">
        <v>15</v>
      </c>
      <c r="AK2037" s="4">
        <v>18</v>
      </c>
      <c r="AL2037" s="4">
        <v>38</v>
      </c>
      <c r="AM2037" s="4">
        <v>42</v>
      </c>
      <c r="AN2037" s="4">
        <v>0</v>
      </c>
      <c r="AO2037" s="4">
        <v>0</v>
      </c>
      <c r="AP2037" s="4">
        <v>20</v>
      </c>
      <c r="AQ2037" s="4">
        <v>23</v>
      </c>
      <c r="AR2037" s="3" t="s">
        <v>64</v>
      </c>
      <c r="AS2037" s="3" t="s">
        <v>64</v>
      </c>
      <c r="AT2037" s="3" t="s">
        <v>64</v>
      </c>
      <c r="AV2037" s="6" t="str">
        <f>HYPERLINK("http://mcgill.on.worldcat.org/oclc/743238602","Catalog Record")</f>
        <v>Catalog Record</v>
      </c>
      <c r="AW2037" s="6" t="str">
        <f>HYPERLINK("http://www.worldcat.org/oclc/743238602","WorldCat Record")</f>
        <v>WorldCat Record</v>
      </c>
      <c r="AX2037" s="3" t="s">
        <v>20667</v>
      </c>
      <c r="AY2037" s="3" t="s">
        <v>20668</v>
      </c>
      <c r="AZ2037" s="3" t="s">
        <v>20669</v>
      </c>
      <c r="BA2037" s="3" t="s">
        <v>20669</v>
      </c>
      <c r="BB2037" s="3" t="s">
        <v>20670</v>
      </c>
      <c r="BC2037" s="3" t="s">
        <v>77</v>
      </c>
      <c r="BD2037" s="3" t="s">
        <v>78</v>
      </c>
      <c r="BE2037" s="3" t="s">
        <v>20671</v>
      </c>
      <c r="BF2037" s="3" t="s">
        <v>20670</v>
      </c>
      <c r="BG2037" s="3" t="s">
        <v>20672</v>
      </c>
      <c r="BH2037">
        <f t="shared" si="53"/>
        <v>0</v>
      </c>
    </row>
    <row r="2038" spans="1:60" ht="58" x14ac:dyDescent="0.35">
      <c r="A2038" s="2" t="s">
        <v>59</v>
      </c>
      <c r="B2038" s="2" t="s">
        <v>60</v>
      </c>
      <c r="C2038" s="2" t="s">
        <v>20673</v>
      </c>
      <c r="D2038" s="2" t="s">
        <v>20674</v>
      </c>
      <c r="E2038" s="2" t="s">
        <v>20675</v>
      </c>
      <c r="G2038" s="3" t="s">
        <v>64</v>
      </c>
      <c r="I2038" s="3" t="s">
        <v>64</v>
      </c>
      <c r="J2038" s="3" t="s">
        <v>64</v>
      </c>
      <c r="K2038" s="3" t="s">
        <v>65</v>
      </c>
      <c r="M2038" s="2" t="s">
        <v>19372</v>
      </c>
      <c r="N2038" s="3" t="s">
        <v>253</v>
      </c>
      <c r="P2038" s="3" t="s">
        <v>102</v>
      </c>
      <c r="R2038" s="3" t="s">
        <v>70</v>
      </c>
      <c r="S2038" s="4">
        <v>0</v>
      </c>
      <c r="T2038" s="4">
        <v>0</v>
      </c>
      <c r="W2038" s="5" t="s">
        <v>72</v>
      </c>
      <c r="X2038" s="5" t="s">
        <v>72</v>
      </c>
      <c r="Y2038" s="4">
        <v>32</v>
      </c>
      <c r="Z2038" s="4">
        <v>3</v>
      </c>
      <c r="AA2038" s="4">
        <v>66</v>
      </c>
      <c r="AB2038" s="4">
        <v>1</v>
      </c>
      <c r="AC2038" s="4">
        <v>14</v>
      </c>
      <c r="AD2038" s="4">
        <v>13</v>
      </c>
      <c r="AE2038" s="4">
        <v>75</v>
      </c>
      <c r="AF2038" s="4">
        <v>0</v>
      </c>
      <c r="AG2038" s="4">
        <v>8</v>
      </c>
      <c r="AH2038" s="4">
        <v>12</v>
      </c>
      <c r="AI2038" s="4">
        <v>46</v>
      </c>
      <c r="AJ2038" s="4">
        <v>2</v>
      </c>
      <c r="AK2038" s="4">
        <v>15</v>
      </c>
      <c r="AL2038" s="4">
        <v>8</v>
      </c>
      <c r="AM2038" s="4">
        <v>22</v>
      </c>
      <c r="AN2038" s="4">
        <v>0</v>
      </c>
      <c r="AO2038" s="4">
        <v>0</v>
      </c>
      <c r="AP2038" s="4">
        <v>2</v>
      </c>
      <c r="AQ2038" s="4">
        <v>34</v>
      </c>
      <c r="AR2038" s="3" t="s">
        <v>64</v>
      </c>
      <c r="AS2038" s="3" t="s">
        <v>64</v>
      </c>
      <c r="AT2038" s="3" t="s">
        <v>64</v>
      </c>
      <c r="AV2038" s="6" t="str">
        <f>HYPERLINK("http://mcgill.on.worldcat.org/oclc/905523595","Catalog Record")</f>
        <v>Catalog Record</v>
      </c>
      <c r="AW2038" s="6" t="str">
        <f>HYPERLINK("http://www.worldcat.org/oclc/905523595","WorldCat Record")</f>
        <v>WorldCat Record</v>
      </c>
      <c r="AX2038" s="3" t="s">
        <v>20676</v>
      </c>
      <c r="AY2038" s="3" t="s">
        <v>20677</v>
      </c>
      <c r="AZ2038" s="3" t="s">
        <v>20678</v>
      </c>
      <c r="BA2038" s="3" t="s">
        <v>20678</v>
      </c>
      <c r="BB2038" s="3" t="s">
        <v>20679</v>
      </c>
      <c r="BC2038" s="3" t="s">
        <v>77</v>
      </c>
      <c r="BD2038" s="3" t="s">
        <v>78</v>
      </c>
      <c r="BE2038" s="3" t="s">
        <v>20680</v>
      </c>
      <c r="BF2038" s="3" t="s">
        <v>20679</v>
      </c>
      <c r="BG2038" s="3" t="s">
        <v>20681</v>
      </c>
      <c r="BH2038">
        <f t="shared" si="53"/>
        <v>0</v>
      </c>
    </row>
    <row r="2039" spans="1:60" ht="58" x14ac:dyDescent="0.35">
      <c r="A2039" s="2" t="s">
        <v>59</v>
      </c>
      <c r="B2039" s="2" t="s">
        <v>60</v>
      </c>
      <c r="C2039" s="2" t="s">
        <v>20682</v>
      </c>
      <c r="D2039" s="2" t="s">
        <v>20683</v>
      </c>
      <c r="E2039" s="2" t="s">
        <v>20684</v>
      </c>
      <c r="G2039" s="3" t="s">
        <v>64</v>
      </c>
      <c r="I2039" s="3" t="s">
        <v>64</v>
      </c>
      <c r="J2039" s="3" t="s">
        <v>64</v>
      </c>
      <c r="K2039" s="3" t="s">
        <v>65</v>
      </c>
      <c r="L2039" s="2" t="s">
        <v>20685</v>
      </c>
      <c r="M2039" s="2" t="s">
        <v>20686</v>
      </c>
      <c r="N2039" s="3" t="s">
        <v>1087</v>
      </c>
      <c r="P2039" s="3" t="s">
        <v>102</v>
      </c>
      <c r="Q2039" s="2" t="s">
        <v>20687</v>
      </c>
      <c r="R2039" s="3" t="s">
        <v>70</v>
      </c>
      <c r="S2039" s="4">
        <v>5</v>
      </c>
      <c r="T2039" s="4">
        <v>5</v>
      </c>
      <c r="U2039" s="5" t="s">
        <v>3831</v>
      </c>
      <c r="V2039" s="5" t="s">
        <v>3831</v>
      </c>
      <c r="W2039" s="5" t="s">
        <v>72</v>
      </c>
      <c r="X2039" s="5" t="s">
        <v>72</v>
      </c>
      <c r="Y2039" s="4">
        <v>182</v>
      </c>
      <c r="Z2039" s="4">
        <v>12</v>
      </c>
      <c r="AA2039" s="4">
        <v>13</v>
      </c>
      <c r="AB2039" s="4">
        <v>1</v>
      </c>
      <c r="AC2039" s="4">
        <v>2</v>
      </c>
      <c r="AD2039" s="4">
        <v>64</v>
      </c>
      <c r="AE2039" s="4">
        <v>65</v>
      </c>
      <c r="AF2039" s="4">
        <v>0</v>
      </c>
      <c r="AG2039" s="4">
        <v>1</v>
      </c>
      <c r="AH2039" s="4">
        <v>58</v>
      </c>
      <c r="AI2039" s="4">
        <v>58</v>
      </c>
      <c r="AJ2039" s="4">
        <v>9</v>
      </c>
      <c r="AK2039" s="4">
        <v>10</v>
      </c>
      <c r="AL2039" s="4">
        <v>26</v>
      </c>
      <c r="AM2039" s="4">
        <v>26</v>
      </c>
      <c r="AN2039" s="4">
        <v>0</v>
      </c>
      <c r="AO2039" s="4">
        <v>0</v>
      </c>
      <c r="AP2039" s="4">
        <v>8</v>
      </c>
      <c r="AQ2039" s="4">
        <v>8</v>
      </c>
      <c r="AR2039" s="3" t="s">
        <v>64</v>
      </c>
      <c r="AS2039" s="3" t="s">
        <v>64</v>
      </c>
      <c r="AT2039" s="3" t="s">
        <v>128</v>
      </c>
      <c r="AU2039" s="6" t="str">
        <f>HYPERLINK("http://catalog.hathitrust.org/Record/002463407","HathiTrust Record")</f>
        <v>HathiTrust Record</v>
      </c>
      <c r="AV2039" s="6" t="str">
        <f>HYPERLINK("http://mcgill.on.worldcat.org/oclc/22345333","Catalog Record")</f>
        <v>Catalog Record</v>
      </c>
      <c r="AW2039" s="6" t="str">
        <f>HYPERLINK("http://www.worldcat.org/oclc/22345333","WorldCat Record")</f>
        <v>WorldCat Record</v>
      </c>
      <c r="AX2039" s="3" t="s">
        <v>20688</v>
      </c>
      <c r="AY2039" s="3" t="s">
        <v>20689</v>
      </c>
      <c r="AZ2039" s="3" t="s">
        <v>20690</v>
      </c>
      <c r="BA2039" s="3" t="s">
        <v>20690</v>
      </c>
      <c r="BB2039" s="3" t="s">
        <v>20691</v>
      </c>
      <c r="BC2039" s="3" t="s">
        <v>77</v>
      </c>
      <c r="BD2039" s="3" t="s">
        <v>78</v>
      </c>
      <c r="BE2039" s="3" t="s">
        <v>20692</v>
      </c>
      <c r="BF2039" s="3" t="s">
        <v>20691</v>
      </c>
      <c r="BG2039" s="3" t="s">
        <v>20693</v>
      </c>
      <c r="BH2039">
        <f t="shared" si="53"/>
        <v>0</v>
      </c>
    </row>
    <row r="2040" spans="1:60" ht="72.5" x14ac:dyDescent="0.35">
      <c r="A2040" s="2" t="s">
        <v>59</v>
      </c>
      <c r="B2040" s="2" t="s">
        <v>60</v>
      </c>
      <c r="C2040" s="2" t="s">
        <v>20694</v>
      </c>
      <c r="D2040" s="2" t="s">
        <v>20695</v>
      </c>
      <c r="E2040" s="2" t="s">
        <v>20696</v>
      </c>
      <c r="G2040" s="3" t="s">
        <v>64</v>
      </c>
      <c r="I2040" s="3" t="s">
        <v>64</v>
      </c>
      <c r="J2040" s="3" t="s">
        <v>64</v>
      </c>
      <c r="K2040" s="3" t="s">
        <v>65</v>
      </c>
      <c r="M2040" s="2" t="s">
        <v>20697</v>
      </c>
      <c r="N2040" s="3" t="s">
        <v>86</v>
      </c>
      <c r="P2040" s="3" t="s">
        <v>68</v>
      </c>
      <c r="R2040" s="3" t="s">
        <v>70</v>
      </c>
      <c r="S2040" s="4">
        <v>0</v>
      </c>
      <c r="T2040" s="4">
        <v>0</v>
      </c>
      <c r="W2040" s="5" t="s">
        <v>72</v>
      </c>
      <c r="X2040" s="5" t="s">
        <v>72</v>
      </c>
      <c r="Y2040" s="4">
        <v>9</v>
      </c>
      <c r="Z2040" s="4">
        <v>3</v>
      </c>
      <c r="AA2040" s="4">
        <v>11</v>
      </c>
      <c r="AB2040" s="4">
        <v>1</v>
      </c>
      <c r="AC2040" s="4">
        <v>7</v>
      </c>
      <c r="AD2040" s="4">
        <v>2</v>
      </c>
      <c r="AE2040" s="4">
        <v>7</v>
      </c>
      <c r="AF2040" s="4">
        <v>0</v>
      </c>
      <c r="AG2040" s="4">
        <v>3</v>
      </c>
      <c r="AH2040" s="4">
        <v>2</v>
      </c>
      <c r="AI2040" s="4">
        <v>5</v>
      </c>
      <c r="AJ2040" s="4">
        <v>1</v>
      </c>
      <c r="AK2040" s="4">
        <v>6</v>
      </c>
      <c r="AL2040" s="4">
        <v>2</v>
      </c>
      <c r="AM2040" s="4">
        <v>2</v>
      </c>
      <c r="AN2040" s="4">
        <v>0</v>
      </c>
      <c r="AO2040" s="4">
        <v>0</v>
      </c>
      <c r="AP2040" s="4">
        <v>1</v>
      </c>
      <c r="AQ2040" s="4">
        <v>5</v>
      </c>
      <c r="AR2040" s="3" t="s">
        <v>64</v>
      </c>
      <c r="AS2040" s="3" t="s">
        <v>64</v>
      </c>
      <c r="AT2040" s="3" t="s">
        <v>64</v>
      </c>
      <c r="AV2040" s="6" t="str">
        <f>HYPERLINK("http://mcgill.on.worldcat.org/oclc/822018028","Catalog Record")</f>
        <v>Catalog Record</v>
      </c>
      <c r="AW2040" s="6" t="str">
        <f>HYPERLINK("http://www.worldcat.org/oclc/822018028","WorldCat Record")</f>
        <v>WorldCat Record</v>
      </c>
      <c r="AX2040" s="3" t="s">
        <v>20698</v>
      </c>
      <c r="AY2040" s="3" t="s">
        <v>20699</v>
      </c>
      <c r="AZ2040" s="3" t="s">
        <v>20700</v>
      </c>
      <c r="BA2040" s="3" t="s">
        <v>20700</v>
      </c>
      <c r="BB2040" s="3" t="s">
        <v>20701</v>
      </c>
      <c r="BC2040" s="3" t="s">
        <v>77</v>
      </c>
      <c r="BD2040" s="3" t="s">
        <v>78</v>
      </c>
      <c r="BE2040" s="3" t="s">
        <v>20702</v>
      </c>
      <c r="BF2040" s="3" t="s">
        <v>20701</v>
      </c>
      <c r="BG2040" s="3" t="s">
        <v>20703</v>
      </c>
      <c r="BH2040">
        <f t="shared" si="53"/>
        <v>0</v>
      </c>
    </row>
    <row r="2041" spans="1:60" ht="58" x14ac:dyDescent="0.35">
      <c r="A2041" s="2" t="s">
        <v>59</v>
      </c>
      <c r="B2041" s="2" t="s">
        <v>60</v>
      </c>
      <c r="C2041" s="2" t="s">
        <v>20704</v>
      </c>
      <c r="D2041" s="2" t="s">
        <v>20705</v>
      </c>
      <c r="E2041" s="2" t="s">
        <v>20706</v>
      </c>
      <c r="F2041" s="3" t="s">
        <v>20707</v>
      </c>
      <c r="G2041" s="3" t="s">
        <v>64</v>
      </c>
      <c r="I2041" s="3" t="s">
        <v>64</v>
      </c>
      <c r="J2041" s="3" t="s">
        <v>64</v>
      </c>
      <c r="K2041" s="3" t="s">
        <v>65</v>
      </c>
      <c r="L2041" s="2" t="s">
        <v>20708</v>
      </c>
      <c r="M2041" s="2" t="s">
        <v>14840</v>
      </c>
      <c r="N2041" s="3" t="s">
        <v>511</v>
      </c>
      <c r="P2041" s="3" t="s">
        <v>102</v>
      </c>
      <c r="R2041" s="3" t="s">
        <v>70</v>
      </c>
      <c r="S2041" s="4">
        <v>1</v>
      </c>
      <c r="T2041" s="4">
        <v>1</v>
      </c>
      <c r="U2041" s="5" t="s">
        <v>20709</v>
      </c>
      <c r="V2041" s="5" t="s">
        <v>20709</v>
      </c>
      <c r="W2041" s="5" t="s">
        <v>17763</v>
      </c>
      <c r="X2041" s="5" t="s">
        <v>17763</v>
      </c>
      <c r="Y2041" s="4">
        <v>200</v>
      </c>
      <c r="Z2041" s="4">
        <v>14</v>
      </c>
      <c r="AA2041" s="4">
        <v>15</v>
      </c>
      <c r="AB2041" s="4">
        <v>2</v>
      </c>
      <c r="AC2041" s="4">
        <v>3</v>
      </c>
      <c r="AD2041" s="4">
        <v>29</v>
      </c>
      <c r="AE2041" s="4">
        <v>30</v>
      </c>
      <c r="AF2041" s="4">
        <v>0</v>
      </c>
      <c r="AG2041" s="4">
        <v>1</v>
      </c>
      <c r="AH2041" s="4">
        <v>26</v>
      </c>
      <c r="AI2041" s="4">
        <v>26</v>
      </c>
      <c r="AJ2041" s="4">
        <v>3</v>
      </c>
      <c r="AK2041" s="4">
        <v>4</v>
      </c>
      <c r="AL2041" s="4">
        <v>15</v>
      </c>
      <c r="AM2041" s="4">
        <v>15</v>
      </c>
      <c r="AN2041" s="4">
        <v>0</v>
      </c>
      <c r="AO2041" s="4">
        <v>0</v>
      </c>
      <c r="AP2041" s="4">
        <v>6</v>
      </c>
      <c r="AQ2041" s="4">
        <v>6</v>
      </c>
      <c r="AR2041" s="3" t="s">
        <v>64</v>
      </c>
      <c r="AS2041" s="3" t="s">
        <v>64</v>
      </c>
      <c r="AT2041" s="3" t="s">
        <v>64</v>
      </c>
      <c r="AV2041" s="6" t="str">
        <f>HYPERLINK("http://mcgill.on.worldcat.org/oclc/456977397","Catalog Record")</f>
        <v>Catalog Record</v>
      </c>
      <c r="AW2041" s="6" t="str">
        <f>HYPERLINK("http://www.worldcat.org/oclc/456977397","WorldCat Record")</f>
        <v>WorldCat Record</v>
      </c>
      <c r="AX2041" s="3" t="s">
        <v>20710</v>
      </c>
      <c r="AY2041" s="3" t="s">
        <v>20711</v>
      </c>
      <c r="AZ2041" s="3" t="s">
        <v>20712</v>
      </c>
      <c r="BA2041" s="3" t="s">
        <v>20712</v>
      </c>
      <c r="BB2041" s="3" t="s">
        <v>20713</v>
      </c>
      <c r="BC2041" s="3" t="s">
        <v>77</v>
      </c>
      <c r="BD2041" s="3" t="s">
        <v>78</v>
      </c>
      <c r="BE2041" s="3" t="s">
        <v>20714</v>
      </c>
      <c r="BF2041" s="3" t="s">
        <v>20713</v>
      </c>
      <c r="BG2041" s="3" t="s">
        <v>20715</v>
      </c>
      <c r="BH2041">
        <f t="shared" si="53"/>
        <v>0</v>
      </c>
    </row>
    <row r="2042" spans="1:60" ht="58" x14ac:dyDescent="0.35">
      <c r="A2042" s="2" t="s">
        <v>59</v>
      </c>
      <c r="B2042" s="2" t="s">
        <v>60</v>
      </c>
      <c r="C2042" s="2" t="s">
        <v>20716</v>
      </c>
      <c r="D2042" s="2" t="s">
        <v>20717</v>
      </c>
      <c r="E2042" s="2" t="s">
        <v>20718</v>
      </c>
      <c r="G2042" s="3" t="s">
        <v>64</v>
      </c>
      <c r="I2042" s="3" t="s">
        <v>64</v>
      </c>
      <c r="J2042" s="3" t="s">
        <v>64</v>
      </c>
      <c r="K2042" s="3" t="s">
        <v>65</v>
      </c>
      <c r="L2042" s="2" t="s">
        <v>20719</v>
      </c>
      <c r="M2042" s="2" t="s">
        <v>20720</v>
      </c>
      <c r="N2042" s="3" t="s">
        <v>86</v>
      </c>
      <c r="P2042" s="3" t="s">
        <v>102</v>
      </c>
      <c r="Q2042" s="2" t="s">
        <v>20721</v>
      </c>
      <c r="R2042" s="3" t="s">
        <v>70</v>
      </c>
      <c r="S2042" s="4">
        <v>2</v>
      </c>
      <c r="T2042" s="4">
        <v>2</v>
      </c>
      <c r="U2042" s="5" t="s">
        <v>20722</v>
      </c>
      <c r="V2042" s="5" t="s">
        <v>20722</v>
      </c>
      <c r="W2042" s="5" t="s">
        <v>72</v>
      </c>
      <c r="X2042" s="5" t="s">
        <v>72</v>
      </c>
      <c r="Y2042" s="4">
        <v>179</v>
      </c>
      <c r="Z2042" s="4">
        <v>6</v>
      </c>
      <c r="AA2042" s="4">
        <v>7</v>
      </c>
      <c r="AB2042" s="4">
        <v>1</v>
      </c>
      <c r="AC2042" s="4">
        <v>1</v>
      </c>
      <c r="AD2042" s="4">
        <v>38</v>
      </c>
      <c r="AE2042" s="4">
        <v>39</v>
      </c>
      <c r="AF2042" s="4">
        <v>0</v>
      </c>
      <c r="AG2042" s="4">
        <v>0</v>
      </c>
      <c r="AH2042" s="4">
        <v>38</v>
      </c>
      <c r="AI2042" s="4">
        <v>38</v>
      </c>
      <c r="AJ2042" s="4">
        <v>4</v>
      </c>
      <c r="AK2042" s="4">
        <v>4</v>
      </c>
      <c r="AL2042" s="4">
        <v>22</v>
      </c>
      <c r="AM2042" s="4">
        <v>22</v>
      </c>
      <c r="AN2042" s="4">
        <v>0</v>
      </c>
      <c r="AO2042" s="4">
        <v>0</v>
      </c>
      <c r="AP2042" s="4">
        <v>4</v>
      </c>
      <c r="AQ2042" s="4">
        <v>5</v>
      </c>
      <c r="AR2042" s="3" t="s">
        <v>64</v>
      </c>
      <c r="AS2042" s="3" t="s">
        <v>64</v>
      </c>
      <c r="AT2042" s="3" t="s">
        <v>64</v>
      </c>
      <c r="AV2042" s="6" t="str">
        <f>HYPERLINK("http://mcgill.on.worldcat.org/oclc/759912500","Catalog Record")</f>
        <v>Catalog Record</v>
      </c>
      <c r="AW2042" s="6" t="str">
        <f>HYPERLINK("http://www.worldcat.org/oclc/759912500","WorldCat Record")</f>
        <v>WorldCat Record</v>
      </c>
      <c r="AX2042" s="3" t="s">
        <v>20723</v>
      </c>
      <c r="AY2042" s="3" t="s">
        <v>20724</v>
      </c>
      <c r="AZ2042" s="3" t="s">
        <v>20725</v>
      </c>
      <c r="BA2042" s="3" t="s">
        <v>20725</v>
      </c>
      <c r="BB2042" s="3" t="s">
        <v>20726</v>
      </c>
      <c r="BC2042" s="3" t="s">
        <v>77</v>
      </c>
      <c r="BD2042" s="3" t="s">
        <v>78</v>
      </c>
      <c r="BE2042" s="3" t="s">
        <v>20727</v>
      </c>
      <c r="BF2042" s="3" t="s">
        <v>20726</v>
      </c>
      <c r="BG2042" s="3" t="s">
        <v>20728</v>
      </c>
      <c r="BH2042">
        <f t="shared" si="53"/>
        <v>0</v>
      </c>
    </row>
    <row r="2043" spans="1:60" ht="58" x14ac:dyDescent="0.35">
      <c r="A2043" s="2" t="s">
        <v>59</v>
      </c>
      <c r="B2043" s="2" t="s">
        <v>60</v>
      </c>
      <c r="C2043" s="2" t="s">
        <v>20729</v>
      </c>
      <c r="D2043" s="2" t="s">
        <v>20730</v>
      </c>
      <c r="E2043" s="2" t="s">
        <v>20731</v>
      </c>
      <c r="G2043" s="3" t="s">
        <v>64</v>
      </c>
      <c r="I2043" s="3" t="s">
        <v>64</v>
      </c>
      <c r="J2043" s="3" t="s">
        <v>64</v>
      </c>
      <c r="K2043" s="3" t="s">
        <v>65</v>
      </c>
      <c r="L2043" s="2" t="s">
        <v>20732</v>
      </c>
      <c r="M2043" s="2" t="s">
        <v>17762</v>
      </c>
      <c r="N2043" s="3" t="s">
        <v>326</v>
      </c>
      <c r="P2043" s="3" t="s">
        <v>102</v>
      </c>
      <c r="Q2043" s="2" t="s">
        <v>20733</v>
      </c>
      <c r="R2043" s="3" t="s">
        <v>70</v>
      </c>
      <c r="S2043" s="4">
        <v>0</v>
      </c>
      <c r="T2043" s="4">
        <v>0</v>
      </c>
      <c r="W2043" s="5" t="s">
        <v>72</v>
      </c>
      <c r="X2043" s="5" t="s">
        <v>72</v>
      </c>
      <c r="Y2043" s="4">
        <v>65</v>
      </c>
      <c r="Z2043" s="4">
        <v>6</v>
      </c>
      <c r="AA2043" s="4">
        <v>8</v>
      </c>
      <c r="AB2043" s="4">
        <v>1</v>
      </c>
      <c r="AC2043" s="4">
        <v>2</v>
      </c>
      <c r="AD2043" s="4">
        <v>15</v>
      </c>
      <c r="AE2043" s="4">
        <v>17</v>
      </c>
      <c r="AF2043" s="4">
        <v>0</v>
      </c>
      <c r="AG2043" s="4">
        <v>1</v>
      </c>
      <c r="AH2043" s="4">
        <v>15</v>
      </c>
      <c r="AI2043" s="4">
        <v>15</v>
      </c>
      <c r="AJ2043" s="4">
        <v>4</v>
      </c>
      <c r="AK2043" s="4">
        <v>5</v>
      </c>
      <c r="AL2043" s="4">
        <v>8</v>
      </c>
      <c r="AM2043" s="4">
        <v>8</v>
      </c>
      <c r="AN2043" s="4">
        <v>0</v>
      </c>
      <c r="AO2043" s="4">
        <v>0</v>
      </c>
      <c r="AP2043" s="4">
        <v>4</v>
      </c>
      <c r="AQ2043" s="4">
        <v>5</v>
      </c>
      <c r="AR2043" s="3" t="s">
        <v>64</v>
      </c>
      <c r="AS2043" s="3" t="s">
        <v>64</v>
      </c>
      <c r="AT2043" s="3" t="s">
        <v>64</v>
      </c>
      <c r="AV2043" s="6" t="str">
        <f>HYPERLINK("http://mcgill.on.worldcat.org/oclc/731191857","Catalog Record")</f>
        <v>Catalog Record</v>
      </c>
      <c r="AW2043" s="6" t="str">
        <f>HYPERLINK("http://www.worldcat.org/oclc/731191857","WorldCat Record")</f>
        <v>WorldCat Record</v>
      </c>
      <c r="AX2043" s="3" t="s">
        <v>20734</v>
      </c>
      <c r="AY2043" s="3" t="s">
        <v>20735</v>
      </c>
      <c r="AZ2043" s="3" t="s">
        <v>20736</v>
      </c>
      <c r="BA2043" s="3" t="s">
        <v>20736</v>
      </c>
      <c r="BB2043" s="3" t="s">
        <v>20737</v>
      </c>
      <c r="BC2043" s="3" t="s">
        <v>77</v>
      </c>
      <c r="BD2043" s="3" t="s">
        <v>78</v>
      </c>
      <c r="BE2043" s="3" t="s">
        <v>20738</v>
      </c>
      <c r="BF2043" s="3" t="s">
        <v>20737</v>
      </c>
      <c r="BG2043" s="3" t="s">
        <v>20739</v>
      </c>
      <c r="BH2043">
        <f t="shared" si="53"/>
        <v>0</v>
      </c>
    </row>
    <row r="2044" spans="1:60" ht="58" x14ac:dyDescent="0.35">
      <c r="A2044" s="2" t="s">
        <v>59</v>
      </c>
      <c r="B2044" s="2" t="s">
        <v>60</v>
      </c>
      <c r="C2044" s="2" t="s">
        <v>20740</v>
      </c>
      <c r="D2044" s="2" t="s">
        <v>20741</v>
      </c>
      <c r="E2044" s="2" t="s">
        <v>20742</v>
      </c>
      <c r="G2044" s="3" t="s">
        <v>64</v>
      </c>
      <c r="I2044" s="3" t="s">
        <v>64</v>
      </c>
      <c r="J2044" s="3" t="s">
        <v>64</v>
      </c>
      <c r="K2044" s="3" t="s">
        <v>65</v>
      </c>
      <c r="M2044" s="2" t="s">
        <v>17671</v>
      </c>
      <c r="N2044" s="3" t="s">
        <v>67</v>
      </c>
      <c r="P2044" s="3" t="s">
        <v>102</v>
      </c>
      <c r="R2044" s="3" t="s">
        <v>70</v>
      </c>
      <c r="S2044" s="4">
        <v>0</v>
      </c>
      <c r="T2044" s="4">
        <v>0</v>
      </c>
      <c r="W2044" s="5" t="s">
        <v>72</v>
      </c>
      <c r="X2044" s="5" t="s">
        <v>72</v>
      </c>
      <c r="Y2044" s="4">
        <v>21</v>
      </c>
      <c r="Z2044" s="4">
        <v>2</v>
      </c>
      <c r="AA2044" s="4">
        <v>3</v>
      </c>
      <c r="AB2044" s="4">
        <v>1</v>
      </c>
      <c r="AC2044" s="4">
        <v>2</v>
      </c>
      <c r="AD2044" s="4">
        <v>7</v>
      </c>
      <c r="AE2044" s="4">
        <v>7</v>
      </c>
      <c r="AF2044" s="4">
        <v>0</v>
      </c>
      <c r="AG2044" s="4">
        <v>0</v>
      </c>
      <c r="AH2044" s="4">
        <v>7</v>
      </c>
      <c r="AI2044" s="4">
        <v>7</v>
      </c>
      <c r="AJ2044" s="4">
        <v>1</v>
      </c>
      <c r="AK2044" s="4">
        <v>1</v>
      </c>
      <c r="AL2044" s="4">
        <v>2</v>
      </c>
      <c r="AM2044" s="4">
        <v>2</v>
      </c>
      <c r="AN2044" s="4">
        <v>0</v>
      </c>
      <c r="AO2044" s="4">
        <v>0</v>
      </c>
      <c r="AP2044" s="4">
        <v>1</v>
      </c>
      <c r="AQ2044" s="4">
        <v>1</v>
      </c>
      <c r="AR2044" s="3" t="s">
        <v>64</v>
      </c>
      <c r="AS2044" s="3" t="s">
        <v>64</v>
      </c>
      <c r="AT2044" s="3" t="s">
        <v>64</v>
      </c>
      <c r="AV2044" s="6" t="str">
        <f>HYPERLINK("http://mcgill.on.worldcat.org/oclc/884303316","Catalog Record")</f>
        <v>Catalog Record</v>
      </c>
      <c r="AW2044" s="6" t="str">
        <f>HYPERLINK("http://www.worldcat.org/oclc/884303316","WorldCat Record")</f>
        <v>WorldCat Record</v>
      </c>
      <c r="AX2044" s="3" t="s">
        <v>20743</v>
      </c>
      <c r="AY2044" s="3" t="s">
        <v>20744</v>
      </c>
      <c r="AZ2044" s="3" t="s">
        <v>20745</v>
      </c>
      <c r="BA2044" s="3" t="s">
        <v>20745</v>
      </c>
      <c r="BB2044" s="3" t="s">
        <v>20746</v>
      </c>
      <c r="BC2044" s="3" t="s">
        <v>77</v>
      </c>
      <c r="BD2044" s="3" t="s">
        <v>78</v>
      </c>
      <c r="BE2044" s="3" t="s">
        <v>20747</v>
      </c>
      <c r="BF2044" s="3" t="s">
        <v>20746</v>
      </c>
      <c r="BG2044" s="3" t="s">
        <v>20748</v>
      </c>
      <c r="BH2044">
        <f t="shared" si="53"/>
        <v>0</v>
      </c>
    </row>
    <row r="2045" spans="1:60" ht="58" x14ac:dyDescent="0.35">
      <c r="A2045" s="2" t="s">
        <v>59</v>
      </c>
      <c r="B2045" s="2" t="s">
        <v>60</v>
      </c>
      <c r="C2045" s="2" t="s">
        <v>20749</v>
      </c>
      <c r="D2045" s="2" t="s">
        <v>20750</v>
      </c>
      <c r="E2045" s="2" t="s">
        <v>20751</v>
      </c>
      <c r="G2045" s="3" t="s">
        <v>64</v>
      </c>
      <c r="I2045" s="3" t="s">
        <v>64</v>
      </c>
      <c r="J2045" s="3" t="s">
        <v>64</v>
      </c>
      <c r="K2045" s="3" t="s">
        <v>65</v>
      </c>
      <c r="M2045" s="2" t="s">
        <v>18474</v>
      </c>
      <c r="N2045" s="3" t="s">
        <v>1075</v>
      </c>
      <c r="P2045" s="3" t="s">
        <v>102</v>
      </c>
      <c r="R2045" s="3" t="s">
        <v>70</v>
      </c>
      <c r="S2045" s="4">
        <v>0</v>
      </c>
      <c r="T2045" s="4">
        <v>0</v>
      </c>
      <c r="W2045" s="5" t="s">
        <v>72</v>
      </c>
      <c r="X2045" s="5" t="s">
        <v>72</v>
      </c>
      <c r="Y2045" s="4">
        <v>20</v>
      </c>
      <c r="Z2045" s="4">
        <v>2</v>
      </c>
      <c r="AA2045" s="4">
        <v>3</v>
      </c>
      <c r="AB2045" s="4">
        <v>1</v>
      </c>
      <c r="AC2045" s="4">
        <v>2</v>
      </c>
      <c r="AD2045" s="4">
        <v>8</v>
      </c>
      <c r="AE2045" s="4">
        <v>8</v>
      </c>
      <c r="AF2045" s="4">
        <v>0</v>
      </c>
      <c r="AG2045" s="4">
        <v>0</v>
      </c>
      <c r="AH2045" s="4">
        <v>8</v>
      </c>
      <c r="AI2045" s="4">
        <v>8</v>
      </c>
      <c r="AJ2045" s="4">
        <v>1</v>
      </c>
      <c r="AK2045" s="4">
        <v>1</v>
      </c>
      <c r="AL2045" s="4">
        <v>2</v>
      </c>
      <c r="AM2045" s="4">
        <v>2</v>
      </c>
      <c r="AN2045" s="4">
        <v>0</v>
      </c>
      <c r="AO2045" s="4">
        <v>0</v>
      </c>
      <c r="AP2045" s="4">
        <v>1</v>
      </c>
      <c r="AQ2045" s="4">
        <v>1</v>
      </c>
      <c r="AR2045" s="3" t="s">
        <v>64</v>
      </c>
      <c r="AS2045" s="3" t="s">
        <v>64</v>
      </c>
      <c r="AT2045" s="3" t="s">
        <v>64</v>
      </c>
      <c r="AV2045" s="6" t="str">
        <f>HYPERLINK("http://mcgill.on.worldcat.org/oclc/870015374","Catalog Record")</f>
        <v>Catalog Record</v>
      </c>
      <c r="AW2045" s="6" t="str">
        <f>HYPERLINK("http://www.worldcat.org/oclc/870015374","WorldCat Record")</f>
        <v>WorldCat Record</v>
      </c>
      <c r="AX2045" s="3" t="s">
        <v>20752</v>
      </c>
      <c r="AY2045" s="3" t="s">
        <v>20753</v>
      </c>
      <c r="AZ2045" s="3" t="s">
        <v>20754</v>
      </c>
      <c r="BA2045" s="3" t="s">
        <v>20754</v>
      </c>
      <c r="BB2045" s="3" t="s">
        <v>20755</v>
      </c>
      <c r="BC2045" s="3" t="s">
        <v>77</v>
      </c>
      <c r="BD2045" s="3" t="s">
        <v>78</v>
      </c>
      <c r="BE2045" s="3" t="s">
        <v>20756</v>
      </c>
      <c r="BF2045" s="3" t="s">
        <v>20755</v>
      </c>
      <c r="BG2045" s="3" t="s">
        <v>20757</v>
      </c>
      <c r="BH2045">
        <f t="shared" si="53"/>
        <v>0</v>
      </c>
    </row>
    <row r="2046" spans="1:60" ht="58" x14ac:dyDescent="0.35">
      <c r="A2046" s="2" t="s">
        <v>59</v>
      </c>
      <c r="B2046" s="2" t="s">
        <v>60</v>
      </c>
      <c r="C2046" s="2" t="s">
        <v>20758</v>
      </c>
      <c r="D2046" s="2" t="s">
        <v>20759</v>
      </c>
      <c r="E2046" s="2" t="s">
        <v>20760</v>
      </c>
      <c r="G2046" s="3" t="s">
        <v>64</v>
      </c>
      <c r="I2046" s="3" t="s">
        <v>64</v>
      </c>
      <c r="J2046" s="3" t="s">
        <v>64</v>
      </c>
      <c r="K2046" s="3" t="s">
        <v>65</v>
      </c>
      <c r="M2046" s="2" t="s">
        <v>19433</v>
      </c>
      <c r="N2046" s="3" t="s">
        <v>326</v>
      </c>
      <c r="O2046" s="2" t="s">
        <v>20761</v>
      </c>
      <c r="P2046" s="3" t="s">
        <v>102</v>
      </c>
      <c r="R2046" s="3" t="s">
        <v>70</v>
      </c>
      <c r="S2046" s="4">
        <v>0</v>
      </c>
      <c r="T2046" s="4">
        <v>0</v>
      </c>
      <c r="W2046" s="5" t="s">
        <v>72</v>
      </c>
      <c r="X2046" s="5" t="s">
        <v>72</v>
      </c>
      <c r="Y2046" s="4">
        <v>51</v>
      </c>
      <c r="Z2046" s="4">
        <v>11</v>
      </c>
      <c r="AA2046" s="4">
        <v>14</v>
      </c>
      <c r="AB2046" s="4">
        <v>1</v>
      </c>
      <c r="AC2046" s="4">
        <v>3</v>
      </c>
      <c r="AD2046" s="4">
        <v>22</v>
      </c>
      <c r="AE2046" s="4">
        <v>25</v>
      </c>
      <c r="AF2046" s="4">
        <v>0</v>
      </c>
      <c r="AG2046" s="4">
        <v>1</v>
      </c>
      <c r="AH2046" s="4">
        <v>18</v>
      </c>
      <c r="AI2046" s="4">
        <v>20</v>
      </c>
      <c r="AJ2046" s="4">
        <v>8</v>
      </c>
      <c r="AK2046" s="4">
        <v>10</v>
      </c>
      <c r="AL2046" s="4">
        <v>11</v>
      </c>
      <c r="AM2046" s="4">
        <v>12</v>
      </c>
      <c r="AN2046" s="4">
        <v>0</v>
      </c>
      <c r="AO2046" s="4">
        <v>0</v>
      </c>
      <c r="AP2046" s="4">
        <v>8</v>
      </c>
      <c r="AQ2046" s="4">
        <v>9</v>
      </c>
      <c r="AR2046" s="3" t="s">
        <v>64</v>
      </c>
      <c r="AS2046" s="3" t="s">
        <v>64</v>
      </c>
      <c r="AT2046" s="3" t="s">
        <v>64</v>
      </c>
      <c r="AV2046" s="6" t="str">
        <f>HYPERLINK("http://mcgill.on.worldcat.org/oclc/715171163","Catalog Record")</f>
        <v>Catalog Record</v>
      </c>
      <c r="AW2046" s="6" t="str">
        <f>HYPERLINK("http://www.worldcat.org/oclc/715171163","WorldCat Record")</f>
        <v>WorldCat Record</v>
      </c>
      <c r="AX2046" s="3" t="s">
        <v>20762</v>
      </c>
      <c r="AY2046" s="3" t="s">
        <v>20763</v>
      </c>
      <c r="AZ2046" s="3" t="s">
        <v>20764</v>
      </c>
      <c r="BA2046" s="3" t="s">
        <v>20764</v>
      </c>
      <c r="BB2046" s="3" t="s">
        <v>20765</v>
      </c>
      <c r="BC2046" s="3" t="s">
        <v>77</v>
      </c>
      <c r="BD2046" s="3" t="s">
        <v>78</v>
      </c>
      <c r="BE2046" s="3" t="s">
        <v>20766</v>
      </c>
      <c r="BF2046" s="3" t="s">
        <v>20765</v>
      </c>
      <c r="BG2046" s="3" t="s">
        <v>20767</v>
      </c>
      <c r="BH2046">
        <f t="shared" si="53"/>
        <v>0</v>
      </c>
    </row>
    <row r="2047" spans="1:60" ht="72.5" x14ac:dyDescent="0.35">
      <c r="A2047" s="2" t="s">
        <v>59</v>
      </c>
      <c r="B2047" s="2" t="s">
        <v>60</v>
      </c>
      <c r="C2047" s="2" t="s">
        <v>20768</v>
      </c>
      <c r="D2047" s="2" t="s">
        <v>20769</v>
      </c>
      <c r="E2047" s="2" t="s">
        <v>20770</v>
      </c>
      <c r="G2047" s="3" t="s">
        <v>64</v>
      </c>
      <c r="I2047" s="3" t="s">
        <v>64</v>
      </c>
      <c r="J2047" s="3" t="s">
        <v>64</v>
      </c>
      <c r="K2047" s="3" t="s">
        <v>65</v>
      </c>
      <c r="M2047" s="2" t="s">
        <v>16525</v>
      </c>
      <c r="N2047" s="3" t="s">
        <v>190</v>
      </c>
      <c r="P2047" s="3" t="s">
        <v>102</v>
      </c>
      <c r="Q2047" s="2" t="s">
        <v>20771</v>
      </c>
      <c r="R2047" s="3" t="s">
        <v>70</v>
      </c>
      <c r="S2047" s="4">
        <v>6</v>
      </c>
      <c r="T2047" s="4">
        <v>6</v>
      </c>
      <c r="U2047" s="5" t="s">
        <v>7591</v>
      </c>
      <c r="V2047" s="5" t="s">
        <v>7591</v>
      </c>
      <c r="W2047" s="5" t="s">
        <v>72</v>
      </c>
      <c r="X2047" s="5" t="s">
        <v>72</v>
      </c>
      <c r="Y2047" s="4">
        <v>234</v>
      </c>
      <c r="Z2047" s="4">
        <v>10</v>
      </c>
      <c r="AA2047" s="4">
        <v>20</v>
      </c>
      <c r="AB2047" s="4">
        <v>1</v>
      </c>
      <c r="AC2047" s="4">
        <v>6</v>
      </c>
      <c r="AD2047" s="4">
        <v>63</v>
      </c>
      <c r="AE2047" s="4">
        <v>76</v>
      </c>
      <c r="AF2047" s="4">
        <v>0</v>
      </c>
      <c r="AG2047" s="4">
        <v>2</v>
      </c>
      <c r="AH2047" s="4">
        <v>57</v>
      </c>
      <c r="AI2047" s="4">
        <v>64</v>
      </c>
      <c r="AJ2047" s="4">
        <v>4</v>
      </c>
      <c r="AK2047" s="4">
        <v>9</v>
      </c>
      <c r="AL2047" s="4">
        <v>35</v>
      </c>
      <c r="AM2047" s="4">
        <v>39</v>
      </c>
      <c r="AN2047" s="4">
        <v>0</v>
      </c>
      <c r="AO2047" s="4">
        <v>0</v>
      </c>
      <c r="AP2047" s="4">
        <v>5</v>
      </c>
      <c r="AQ2047" s="4">
        <v>12</v>
      </c>
      <c r="AR2047" s="3" t="s">
        <v>64</v>
      </c>
      <c r="AS2047" s="3" t="s">
        <v>64</v>
      </c>
      <c r="AT2047" s="3" t="s">
        <v>64</v>
      </c>
      <c r="AV2047" s="6" t="str">
        <f>HYPERLINK("http://mcgill.on.worldcat.org/oclc/1024320754","Catalog Record")</f>
        <v>Catalog Record</v>
      </c>
      <c r="AW2047" s="6" t="str">
        <f>HYPERLINK("http://www.worldcat.org/oclc/1024320754","WorldCat Record")</f>
        <v>WorldCat Record</v>
      </c>
      <c r="AX2047" s="3" t="s">
        <v>20772</v>
      </c>
      <c r="AY2047" s="3" t="s">
        <v>20773</v>
      </c>
      <c r="AZ2047" s="3" t="s">
        <v>20774</v>
      </c>
      <c r="BA2047" s="3" t="s">
        <v>20774</v>
      </c>
      <c r="BB2047" s="3" t="s">
        <v>20775</v>
      </c>
      <c r="BC2047" s="3" t="s">
        <v>77</v>
      </c>
      <c r="BD2047" s="3" t="s">
        <v>165</v>
      </c>
      <c r="BE2047" s="3" t="s">
        <v>20776</v>
      </c>
      <c r="BF2047" s="3" t="s">
        <v>20775</v>
      </c>
      <c r="BG2047" s="3" t="s">
        <v>20777</v>
      </c>
      <c r="BH2047">
        <f t="shared" si="53"/>
        <v>0</v>
      </c>
    </row>
    <row r="2048" spans="1:60" ht="58" x14ac:dyDescent="0.35">
      <c r="A2048" s="2" t="s">
        <v>59</v>
      </c>
      <c r="B2048" s="2" t="s">
        <v>60</v>
      </c>
      <c r="C2048" s="2" t="s">
        <v>20778</v>
      </c>
      <c r="D2048" s="2" t="s">
        <v>20779</v>
      </c>
      <c r="E2048" s="2" t="s">
        <v>20780</v>
      </c>
      <c r="G2048" s="3" t="s">
        <v>64</v>
      </c>
      <c r="I2048" s="3" t="s">
        <v>64</v>
      </c>
      <c r="J2048" s="3" t="s">
        <v>64</v>
      </c>
      <c r="K2048" s="3" t="s">
        <v>65</v>
      </c>
      <c r="L2048" s="2" t="s">
        <v>20781</v>
      </c>
      <c r="M2048" s="2" t="s">
        <v>18367</v>
      </c>
      <c r="N2048" s="3" t="s">
        <v>67</v>
      </c>
      <c r="O2048" s="2" t="s">
        <v>15120</v>
      </c>
      <c r="P2048" s="3" t="s">
        <v>102</v>
      </c>
      <c r="R2048" s="3" t="s">
        <v>70</v>
      </c>
      <c r="S2048" s="4">
        <v>3</v>
      </c>
      <c r="T2048" s="4">
        <v>3</v>
      </c>
      <c r="U2048" s="5" t="s">
        <v>89</v>
      </c>
      <c r="V2048" s="5" t="s">
        <v>89</v>
      </c>
      <c r="W2048" s="5" t="s">
        <v>72</v>
      </c>
      <c r="X2048" s="5" t="s">
        <v>72</v>
      </c>
      <c r="Y2048" s="4">
        <v>109</v>
      </c>
      <c r="Z2048" s="4">
        <v>10</v>
      </c>
      <c r="AA2048" s="4">
        <v>15</v>
      </c>
      <c r="AB2048" s="4">
        <v>1</v>
      </c>
      <c r="AC2048" s="4">
        <v>3</v>
      </c>
      <c r="AD2048" s="4">
        <v>15</v>
      </c>
      <c r="AE2048" s="4">
        <v>25</v>
      </c>
      <c r="AF2048" s="4">
        <v>0</v>
      </c>
      <c r="AG2048" s="4">
        <v>0</v>
      </c>
      <c r="AH2048" s="4">
        <v>13</v>
      </c>
      <c r="AI2048" s="4">
        <v>22</v>
      </c>
      <c r="AJ2048" s="4">
        <v>2</v>
      </c>
      <c r="AK2048" s="4">
        <v>4</v>
      </c>
      <c r="AL2048" s="4">
        <v>9</v>
      </c>
      <c r="AM2048" s="4">
        <v>13</v>
      </c>
      <c r="AN2048" s="4">
        <v>0</v>
      </c>
      <c r="AO2048" s="4">
        <v>0</v>
      </c>
      <c r="AP2048" s="4">
        <v>4</v>
      </c>
      <c r="AQ2048" s="4">
        <v>6</v>
      </c>
      <c r="AR2048" s="3" t="s">
        <v>64</v>
      </c>
      <c r="AS2048" s="3" t="s">
        <v>64</v>
      </c>
      <c r="AT2048" s="3" t="s">
        <v>64</v>
      </c>
      <c r="AV2048" s="6" t="str">
        <f>HYPERLINK("http://mcgill.on.worldcat.org/oclc/503073120","Catalog Record")</f>
        <v>Catalog Record</v>
      </c>
      <c r="AW2048" s="6" t="str">
        <f>HYPERLINK("http://www.worldcat.org/oclc/503073120","WorldCat Record")</f>
        <v>WorldCat Record</v>
      </c>
      <c r="AX2048" s="3" t="s">
        <v>20782</v>
      </c>
      <c r="AY2048" s="3" t="s">
        <v>20783</v>
      </c>
      <c r="AZ2048" s="3" t="s">
        <v>20784</v>
      </c>
      <c r="BA2048" s="3" t="s">
        <v>20784</v>
      </c>
      <c r="BB2048" s="3" t="s">
        <v>20785</v>
      </c>
      <c r="BC2048" s="3" t="s">
        <v>77</v>
      </c>
      <c r="BD2048" s="3" t="s">
        <v>78</v>
      </c>
      <c r="BE2048" s="3" t="s">
        <v>20786</v>
      </c>
      <c r="BF2048" s="3" t="s">
        <v>20785</v>
      </c>
      <c r="BG2048" s="3" t="s">
        <v>20787</v>
      </c>
      <c r="BH2048">
        <f t="shared" si="53"/>
        <v>0</v>
      </c>
    </row>
    <row r="2049" spans="1:60" ht="58" x14ac:dyDescent="0.35">
      <c r="A2049" s="2" t="s">
        <v>59</v>
      </c>
      <c r="B2049" s="2" t="s">
        <v>60</v>
      </c>
      <c r="C2049" s="2" t="s">
        <v>20788</v>
      </c>
      <c r="D2049" s="2" t="s">
        <v>20789</v>
      </c>
      <c r="E2049" s="2" t="s">
        <v>20790</v>
      </c>
      <c r="G2049" s="3" t="s">
        <v>64</v>
      </c>
      <c r="H2049" s="3" t="s">
        <v>183</v>
      </c>
      <c r="I2049" s="3" t="s">
        <v>64</v>
      </c>
      <c r="J2049" s="3" t="s">
        <v>64</v>
      </c>
      <c r="K2049" s="3" t="s">
        <v>65</v>
      </c>
      <c r="M2049" s="2" t="s">
        <v>20791</v>
      </c>
      <c r="N2049" s="3" t="s">
        <v>20792</v>
      </c>
      <c r="P2049" s="3" t="s">
        <v>102</v>
      </c>
      <c r="Q2049" s="2" t="s">
        <v>20793</v>
      </c>
      <c r="R2049" s="3" t="s">
        <v>70</v>
      </c>
      <c r="S2049" s="4">
        <v>0</v>
      </c>
      <c r="T2049" s="4">
        <v>0</v>
      </c>
      <c r="W2049" s="5" t="s">
        <v>20794</v>
      </c>
      <c r="X2049" s="5" t="s">
        <v>20794</v>
      </c>
      <c r="Y2049" s="4">
        <v>110</v>
      </c>
      <c r="Z2049" s="4">
        <v>2</v>
      </c>
      <c r="AA2049" s="4">
        <v>2</v>
      </c>
      <c r="AB2049" s="4">
        <v>1</v>
      </c>
      <c r="AC2049" s="4">
        <v>1</v>
      </c>
      <c r="AD2049" s="4">
        <v>26</v>
      </c>
      <c r="AE2049" s="4">
        <v>26</v>
      </c>
      <c r="AF2049" s="4">
        <v>0</v>
      </c>
      <c r="AG2049" s="4">
        <v>0</v>
      </c>
      <c r="AH2049" s="4">
        <v>25</v>
      </c>
      <c r="AI2049" s="4">
        <v>25</v>
      </c>
      <c r="AJ2049" s="4">
        <v>1</v>
      </c>
      <c r="AK2049" s="4">
        <v>1</v>
      </c>
      <c r="AL2049" s="4">
        <v>14</v>
      </c>
      <c r="AM2049" s="4">
        <v>14</v>
      </c>
      <c r="AN2049" s="4">
        <v>0</v>
      </c>
      <c r="AO2049" s="4">
        <v>0</v>
      </c>
      <c r="AP2049" s="4">
        <v>1</v>
      </c>
      <c r="AQ2049" s="4">
        <v>1</v>
      </c>
      <c r="AR2049" s="3" t="s">
        <v>64</v>
      </c>
      <c r="AS2049" s="3" t="s">
        <v>64</v>
      </c>
      <c r="AT2049" s="3" t="s">
        <v>64</v>
      </c>
      <c r="AV2049" s="6" t="str">
        <f>HYPERLINK("http://mcgill.on.worldcat.org/oclc/1126381858","Catalog Record")</f>
        <v>Catalog Record</v>
      </c>
      <c r="AW2049" s="6" t="str">
        <f>HYPERLINK("http://www.worldcat.org/oclc/1126381858","WorldCat Record")</f>
        <v>WorldCat Record</v>
      </c>
      <c r="AX2049" s="3" t="s">
        <v>20795</v>
      </c>
      <c r="AY2049" s="3" t="s">
        <v>20796</v>
      </c>
      <c r="AZ2049" s="3" t="s">
        <v>20797</v>
      </c>
      <c r="BA2049" s="3" t="s">
        <v>20797</v>
      </c>
      <c r="BB2049" s="3" t="s">
        <v>20798</v>
      </c>
      <c r="BC2049" s="3" t="s">
        <v>77</v>
      </c>
      <c r="BD2049" s="3" t="s">
        <v>1956</v>
      </c>
      <c r="BE2049" s="3" t="s">
        <v>20799</v>
      </c>
      <c r="BF2049" s="3" t="s">
        <v>20798</v>
      </c>
      <c r="BG2049" s="3" t="s">
        <v>20800</v>
      </c>
      <c r="BH2049">
        <f t="shared" si="53"/>
        <v>0</v>
      </c>
    </row>
    <row r="2050" spans="1:60" ht="58" x14ac:dyDescent="0.35">
      <c r="A2050" s="2" t="s">
        <v>59</v>
      </c>
      <c r="B2050" s="2" t="s">
        <v>60</v>
      </c>
      <c r="C2050" s="2" t="s">
        <v>20801</v>
      </c>
      <c r="D2050" s="2" t="s">
        <v>20802</v>
      </c>
      <c r="E2050" s="2" t="s">
        <v>20803</v>
      </c>
      <c r="G2050" s="3" t="s">
        <v>64</v>
      </c>
      <c r="I2050" s="3" t="s">
        <v>64</v>
      </c>
      <c r="J2050" s="3" t="s">
        <v>128</v>
      </c>
      <c r="K2050" s="3" t="s">
        <v>65</v>
      </c>
      <c r="L2050" s="2" t="s">
        <v>20804</v>
      </c>
      <c r="M2050" s="2" t="s">
        <v>14793</v>
      </c>
      <c r="N2050" s="3" t="s">
        <v>1075</v>
      </c>
      <c r="O2050" s="2" t="s">
        <v>14853</v>
      </c>
      <c r="P2050" s="3" t="s">
        <v>102</v>
      </c>
      <c r="R2050" s="3" t="s">
        <v>70</v>
      </c>
      <c r="S2050" s="4">
        <v>2</v>
      </c>
      <c r="T2050" s="4">
        <v>2</v>
      </c>
      <c r="U2050" s="5" t="s">
        <v>20805</v>
      </c>
      <c r="V2050" s="5" t="s">
        <v>20805</v>
      </c>
      <c r="W2050" s="5" t="s">
        <v>72</v>
      </c>
      <c r="X2050" s="5" t="s">
        <v>72</v>
      </c>
      <c r="Y2050" s="4">
        <v>252</v>
      </c>
      <c r="Z2050" s="4">
        <v>16</v>
      </c>
      <c r="AA2050" s="4">
        <v>112</v>
      </c>
      <c r="AB2050" s="4">
        <v>1</v>
      </c>
      <c r="AC2050" s="4">
        <v>17</v>
      </c>
      <c r="AD2050" s="4">
        <v>44</v>
      </c>
      <c r="AE2050" s="4">
        <v>137</v>
      </c>
      <c r="AF2050" s="4">
        <v>0</v>
      </c>
      <c r="AG2050" s="4">
        <v>8</v>
      </c>
      <c r="AH2050" s="4">
        <v>41</v>
      </c>
      <c r="AI2050" s="4">
        <v>100</v>
      </c>
      <c r="AJ2050" s="4">
        <v>7</v>
      </c>
      <c r="AK2050" s="4">
        <v>22</v>
      </c>
      <c r="AL2050" s="4">
        <v>17</v>
      </c>
      <c r="AM2050" s="4">
        <v>51</v>
      </c>
      <c r="AN2050" s="4">
        <v>0</v>
      </c>
      <c r="AO2050" s="4">
        <v>0</v>
      </c>
      <c r="AP2050" s="4">
        <v>9</v>
      </c>
      <c r="AQ2050" s="4">
        <v>45</v>
      </c>
      <c r="AR2050" s="3" t="s">
        <v>64</v>
      </c>
      <c r="AS2050" s="3" t="s">
        <v>64</v>
      </c>
      <c r="AT2050" s="3" t="s">
        <v>64</v>
      </c>
      <c r="AV2050" s="6" t="str">
        <f>HYPERLINK("http://mcgill.on.worldcat.org/oclc/841039499","Catalog Record")</f>
        <v>Catalog Record</v>
      </c>
      <c r="AW2050" s="6" t="str">
        <f>HYPERLINK("http://www.worldcat.org/oclc/841039499","WorldCat Record")</f>
        <v>WorldCat Record</v>
      </c>
      <c r="AX2050" s="3" t="s">
        <v>20806</v>
      </c>
      <c r="AY2050" s="3" t="s">
        <v>20807</v>
      </c>
      <c r="AZ2050" s="3" t="s">
        <v>20808</v>
      </c>
      <c r="BA2050" s="3" t="s">
        <v>20808</v>
      </c>
      <c r="BB2050" s="3" t="s">
        <v>20809</v>
      </c>
      <c r="BC2050" s="3" t="s">
        <v>77</v>
      </c>
      <c r="BD2050" s="3" t="s">
        <v>78</v>
      </c>
      <c r="BE2050" s="3" t="s">
        <v>20810</v>
      </c>
      <c r="BF2050" s="3" t="s">
        <v>20809</v>
      </c>
      <c r="BG2050" s="3" t="s">
        <v>20811</v>
      </c>
      <c r="BH2050">
        <f t="shared" ref="BH2050:BH2113" si="54">IF(COUNTIF($BF$1:$BF$5431,BF2050)=1,0,1)</f>
        <v>0</v>
      </c>
    </row>
    <row r="2051" spans="1:60" ht="58" x14ac:dyDescent="0.35">
      <c r="A2051" s="2" t="s">
        <v>59</v>
      </c>
      <c r="B2051" s="2" t="s">
        <v>60</v>
      </c>
      <c r="C2051" s="2" t="s">
        <v>20812</v>
      </c>
      <c r="D2051" s="2" t="s">
        <v>20813</v>
      </c>
      <c r="E2051" s="2" t="s">
        <v>20814</v>
      </c>
      <c r="G2051" s="3" t="s">
        <v>64</v>
      </c>
      <c r="I2051" s="3" t="s">
        <v>64</v>
      </c>
      <c r="J2051" s="3" t="s">
        <v>64</v>
      </c>
      <c r="K2051" s="3" t="s">
        <v>65</v>
      </c>
      <c r="L2051" s="2" t="s">
        <v>20815</v>
      </c>
      <c r="M2051" s="2" t="s">
        <v>19592</v>
      </c>
      <c r="N2051" s="3" t="s">
        <v>86</v>
      </c>
      <c r="P2051" s="3" t="s">
        <v>102</v>
      </c>
      <c r="Q2051" s="2" t="s">
        <v>8981</v>
      </c>
      <c r="R2051" s="3" t="s">
        <v>70</v>
      </c>
      <c r="S2051" s="4">
        <v>0</v>
      </c>
      <c r="T2051" s="4">
        <v>0</v>
      </c>
      <c r="W2051" s="5" t="s">
        <v>72</v>
      </c>
      <c r="X2051" s="5" t="s">
        <v>72</v>
      </c>
      <c r="Y2051" s="4">
        <v>93</v>
      </c>
      <c r="Z2051" s="4">
        <v>8</v>
      </c>
      <c r="AA2051" s="4">
        <v>81</v>
      </c>
      <c r="AB2051" s="4">
        <v>1</v>
      </c>
      <c r="AC2051" s="4">
        <v>15</v>
      </c>
      <c r="AD2051" s="4">
        <v>23</v>
      </c>
      <c r="AE2051" s="4">
        <v>107</v>
      </c>
      <c r="AF2051" s="4">
        <v>0</v>
      </c>
      <c r="AG2051" s="4">
        <v>8</v>
      </c>
      <c r="AH2051" s="4">
        <v>21</v>
      </c>
      <c r="AI2051" s="4">
        <v>73</v>
      </c>
      <c r="AJ2051" s="4">
        <v>5</v>
      </c>
      <c r="AK2051" s="4">
        <v>20</v>
      </c>
      <c r="AL2051" s="4">
        <v>15</v>
      </c>
      <c r="AM2051" s="4">
        <v>37</v>
      </c>
      <c r="AN2051" s="4">
        <v>0</v>
      </c>
      <c r="AO2051" s="4">
        <v>0</v>
      </c>
      <c r="AP2051" s="4">
        <v>6</v>
      </c>
      <c r="AQ2051" s="4">
        <v>41</v>
      </c>
      <c r="AR2051" s="3" t="s">
        <v>64</v>
      </c>
      <c r="AS2051" s="3" t="s">
        <v>64</v>
      </c>
      <c r="AT2051" s="3" t="s">
        <v>64</v>
      </c>
      <c r="AV2051" s="6" t="str">
        <f>HYPERLINK("http://mcgill.on.worldcat.org/oclc/772396454","Catalog Record")</f>
        <v>Catalog Record</v>
      </c>
      <c r="AW2051" s="6" t="str">
        <f>HYPERLINK("http://www.worldcat.org/oclc/772396454","WorldCat Record")</f>
        <v>WorldCat Record</v>
      </c>
      <c r="AX2051" s="3" t="s">
        <v>20816</v>
      </c>
      <c r="AY2051" s="3" t="s">
        <v>20817</v>
      </c>
      <c r="AZ2051" s="3" t="s">
        <v>20818</v>
      </c>
      <c r="BA2051" s="3" t="s">
        <v>20818</v>
      </c>
      <c r="BB2051" s="3" t="s">
        <v>20819</v>
      </c>
      <c r="BC2051" s="3" t="s">
        <v>77</v>
      </c>
      <c r="BD2051" s="3" t="s">
        <v>78</v>
      </c>
      <c r="BE2051" s="3" t="s">
        <v>20820</v>
      </c>
      <c r="BF2051" s="3" t="s">
        <v>20819</v>
      </c>
      <c r="BG2051" s="3" t="s">
        <v>20821</v>
      </c>
      <c r="BH2051">
        <f t="shared" si="54"/>
        <v>0</v>
      </c>
    </row>
    <row r="2052" spans="1:60" ht="58" x14ac:dyDescent="0.35">
      <c r="A2052" s="2" t="s">
        <v>59</v>
      </c>
      <c r="B2052" s="2" t="s">
        <v>60</v>
      </c>
      <c r="C2052" s="2" t="s">
        <v>20822</v>
      </c>
      <c r="D2052" s="2" t="s">
        <v>20823</v>
      </c>
      <c r="E2052" s="2" t="s">
        <v>20824</v>
      </c>
      <c r="G2052" s="3" t="s">
        <v>64</v>
      </c>
      <c r="I2052" s="3" t="s">
        <v>64</v>
      </c>
      <c r="J2052" s="3" t="s">
        <v>64</v>
      </c>
      <c r="K2052" s="3" t="s">
        <v>65</v>
      </c>
      <c r="M2052" s="2" t="s">
        <v>16814</v>
      </c>
      <c r="N2052" s="3" t="s">
        <v>326</v>
      </c>
      <c r="P2052" s="3" t="s">
        <v>102</v>
      </c>
      <c r="R2052" s="3" t="s">
        <v>70</v>
      </c>
      <c r="S2052" s="4">
        <v>0</v>
      </c>
      <c r="T2052" s="4">
        <v>0</v>
      </c>
      <c r="W2052" s="5" t="s">
        <v>72</v>
      </c>
      <c r="X2052" s="5" t="s">
        <v>72</v>
      </c>
      <c r="Y2052" s="4">
        <v>93</v>
      </c>
      <c r="Z2052" s="4">
        <v>15</v>
      </c>
      <c r="AA2052" s="4">
        <v>21</v>
      </c>
      <c r="AB2052" s="4">
        <v>2</v>
      </c>
      <c r="AC2052" s="4">
        <v>6</v>
      </c>
      <c r="AD2052" s="4">
        <v>30</v>
      </c>
      <c r="AE2052" s="4">
        <v>45</v>
      </c>
      <c r="AF2052" s="4">
        <v>0</v>
      </c>
      <c r="AG2052" s="4">
        <v>1</v>
      </c>
      <c r="AH2052" s="4">
        <v>25</v>
      </c>
      <c r="AI2052" s="4">
        <v>38</v>
      </c>
      <c r="AJ2052" s="4">
        <v>8</v>
      </c>
      <c r="AK2052" s="4">
        <v>10</v>
      </c>
      <c r="AL2052" s="4">
        <v>16</v>
      </c>
      <c r="AM2052" s="4">
        <v>19</v>
      </c>
      <c r="AN2052" s="4">
        <v>0</v>
      </c>
      <c r="AO2052" s="4">
        <v>0</v>
      </c>
      <c r="AP2052" s="4">
        <v>9</v>
      </c>
      <c r="AQ2052" s="4">
        <v>11</v>
      </c>
      <c r="AR2052" s="3" t="s">
        <v>64</v>
      </c>
      <c r="AS2052" s="3" t="s">
        <v>64</v>
      </c>
      <c r="AT2052" s="3" t="s">
        <v>64</v>
      </c>
      <c r="AV2052" s="6" t="str">
        <f>HYPERLINK("http://mcgill.on.worldcat.org/oclc/548555582","Catalog Record")</f>
        <v>Catalog Record</v>
      </c>
      <c r="AW2052" s="6" t="str">
        <f>HYPERLINK("http://www.worldcat.org/oclc/548555582","WorldCat Record")</f>
        <v>WorldCat Record</v>
      </c>
      <c r="AX2052" s="3" t="s">
        <v>20825</v>
      </c>
      <c r="AY2052" s="3" t="s">
        <v>20826</v>
      </c>
      <c r="AZ2052" s="3" t="s">
        <v>20827</v>
      </c>
      <c r="BA2052" s="3" t="s">
        <v>20827</v>
      </c>
      <c r="BB2052" s="3" t="s">
        <v>20828</v>
      </c>
      <c r="BC2052" s="3" t="s">
        <v>77</v>
      </c>
      <c r="BD2052" s="3" t="s">
        <v>78</v>
      </c>
      <c r="BE2052" s="3" t="s">
        <v>20829</v>
      </c>
      <c r="BF2052" s="3" t="s">
        <v>20828</v>
      </c>
      <c r="BG2052" s="3" t="s">
        <v>20830</v>
      </c>
      <c r="BH2052">
        <f t="shared" si="54"/>
        <v>0</v>
      </c>
    </row>
    <row r="2053" spans="1:60" ht="58" x14ac:dyDescent="0.35">
      <c r="A2053" s="2" t="s">
        <v>59</v>
      </c>
      <c r="B2053" s="2" t="s">
        <v>60</v>
      </c>
      <c r="C2053" s="2" t="s">
        <v>20831</v>
      </c>
      <c r="D2053" s="2" t="s">
        <v>20832</v>
      </c>
      <c r="E2053" s="2" t="s">
        <v>20833</v>
      </c>
      <c r="G2053" s="3" t="s">
        <v>64</v>
      </c>
      <c r="I2053" s="3" t="s">
        <v>64</v>
      </c>
      <c r="J2053" s="3" t="s">
        <v>64</v>
      </c>
      <c r="K2053" s="3" t="s">
        <v>65</v>
      </c>
      <c r="L2053" s="2" t="s">
        <v>20834</v>
      </c>
      <c r="M2053" s="2" t="s">
        <v>20835</v>
      </c>
      <c r="N2053" s="3" t="s">
        <v>511</v>
      </c>
      <c r="P2053" s="3" t="s">
        <v>102</v>
      </c>
      <c r="Q2053" s="2" t="s">
        <v>8981</v>
      </c>
      <c r="R2053" s="3" t="s">
        <v>70</v>
      </c>
      <c r="S2053" s="4">
        <v>2</v>
      </c>
      <c r="T2053" s="4">
        <v>2</v>
      </c>
      <c r="U2053" s="5" t="s">
        <v>20836</v>
      </c>
      <c r="V2053" s="5" t="s">
        <v>20836</v>
      </c>
      <c r="W2053" s="5" t="s">
        <v>72</v>
      </c>
      <c r="X2053" s="5" t="s">
        <v>72</v>
      </c>
      <c r="Y2053" s="4">
        <v>136</v>
      </c>
      <c r="Z2053" s="4">
        <v>10</v>
      </c>
      <c r="AA2053" s="4">
        <v>28</v>
      </c>
      <c r="AB2053" s="4">
        <v>2</v>
      </c>
      <c r="AC2053" s="4">
        <v>7</v>
      </c>
      <c r="AD2053" s="4">
        <v>28</v>
      </c>
      <c r="AE2053" s="4">
        <v>59</v>
      </c>
      <c r="AF2053" s="4">
        <v>0</v>
      </c>
      <c r="AG2053" s="4">
        <v>3</v>
      </c>
      <c r="AH2053" s="4">
        <v>26</v>
      </c>
      <c r="AI2053" s="4">
        <v>49</v>
      </c>
      <c r="AJ2053" s="4">
        <v>5</v>
      </c>
      <c r="AK2053" s="4">
        <v>12</v>
      </c>
      <c r="AL2053" s="4">
        <v>19</v>
      </c>
      <c r="AM2053" s="4">
        <v>28</v>
      </c>
      <c r="AN2053" s="4">
        <v>0</v>
      </c>
      <c r="AO2053" s="4">
        <v>0</v>
      </c>
      <c r="AP2053" s="4">
        <v>6</v>
      </c>
      <c r="AQ2053" s="4">
        <v>14</v>
      </c>
      <c r="AR2053" s="3" t="s">
        <v>64</v>
      </c>
      <c r="AS2053" s="3" t="s">
        <v>64</v>
      </c>
      <c r="AT2053" s="3" t="s">
        <v>64</v>
      </c>
      <c r="AV2053" s="6" t="str">
        <f>HYPERLINK("http://mcgill.on.worldcat.org/oclc/503046642","Catalog Record")</f>
        <v>Catalog Record</v>
      </c>
      <c r="AW2053" s="6" t="str">
        <f>HYPERLINK("http://www.worldcat.org/oclc/503046642","WorldCat Record")</f>
        <v>WorldCat Record</v>
      </c>
      <c r="AX2053" s="3" t="s">
        <v>20837</v>
      </c>
      <c r="AY2053" s="3" t="s">
        <v>20838</v>
      </c>
      <c r="AZ2053" s="3" t="s">
        <v>20839</v>
      </c>
      <c r="BA2053" s="3" t="s">
        <v>20839</v>
      </c>
      <c r="BB2053" s="3" t="s">
        <v>20840</v>
      </c>
      <c r="BC2053" s="3" t="s">
        <v>77</v>
      </c>
      <c r="BD2053" s="3" t="s">
        <v>78</v>
      </c>
      <c r="BE2053" s="3" t="s">
        <v>20841</v>
      </c>
      <c r="BF2053" s="3" t="s">
        <v>20840</v>
      </c>
      <c r="BG2053" s="3" t="s">
        <v>20842</v>
      </c>
      <c r="BH2053">
        <f t="shared" si="54"/>
        <v>0</v>
      </c>
    </row>
    <row r="2054" spans="1:60" ht="58" x14ac:dyDescent="0.35">
      <c r="A2054" s="2" t="s">
        <v>59</v>
      </c>
      <c r="B2054" s="2" t="s">
        <v>60</v>
      </c>
      <c r="C2054" s="2" t="s">
        <v>20843</v>
      </c>
      <c r="D2054" s="2" t="s">
        <v>20844</v>
      </c>
      <c r="E2054" s="2" t="s">
        <v>20845</v>
      </c>
      <c r="G2054" s="3" t="s">
        <v>64</v>
      </c>
      <c r="I2054" s="3" t="s">
        <v>64</v>
      </c>
      <c r="J2054" s="3" t="s">
        <v>64</v>
      </c>
      <c r="K2054" s="3" t="s">
        <v>65</v>
      </c>
      <c r="M2054" s="2" t="s">
        <v>20846</v>
      </c>
      <c r="N2054" s="3" t="s">
        <v>326</v>
      </c>
      <c r="P2054" s="3" t="s">
        <v>102</v>
      </c>
      <c r="Q2054" s="2" t="s">
        <v>20847</v>
      </c>
      <c r="R2054" s="3" t="s">
        <v>70</v>
      </c>
      <c r="S2054" s="4">
        <v>2</v>
      </c>
      <c r="T2054" s="4">
        <v>2</v>
      </c>
      <c r="U2054" s="5" t="s">
        <v>17003</v>
      </c>
      <c r="V2054" s="5" t="s">
        <v>17003</v>
      </c>
      <c r="W2054" s="5" t="s">
        <v>72</v>
      </c>
      <c r="X2054" s="5" t="s">
        <v>72</v>
      </c>
      <c r="Y2054" s="4">
        <v>67</v>
      </c>
      <c r="Z2054" s="4">
        <v>3</v>
      </c>
      <c r="AA2054" s="4">
        <v>20</v>
      </c>
      <c r="AB2054" s="4">
        <v>1</v>
      </c>
      <c r="AC2054" s="4">
        <v>6</v>
      </c>
      <c r="AD2054" s="4">
        <v>5</v>
      </c>
      <c r="AE2054" s="4">
        <v>37</v>
      </c>
      <c r="AF2054" s="4">
        <v>0</v>
      </c>
      <c r="AG2054" s="4">
        <v>3</v>
      </c>
      <c r="AH2054" s="4">
        <v>5</v>
      </c>
      <c r="AI2054" s="4">
        <v>29</v>
      </c>
      <c r="AJ2054" s="4">
        <v>2</v>
      </c>
      <c r="AK2054" s="4">
        <v>11</v>
      </c>
      <c r="AL2054" s="4">
        <v>3</v>
      </c>
      <c r="AM2054" s="4">
        <v>16</v>
      </c>
      <c r="AN2054" s="4">
        <v>0</v>
      </c>
      <c r="AO2054" s="4">
        <v>0</v>
      </c>
      <c r="AP2054" s="4">
        <v>2</v>
      </c>
      <c r="AQ2054" s="4">
        <v>11</v>
      </c>
      <c r="AR2054" s="3" t="s">
        <v>64</v>
      </c>
      <c r="AS2054" s="3" t="s">
        <v>64</v>
      </c>
      <c r="AT2054" s="3" t="s">
        <v>64</v>
      </c>
      <c r="AV2054" s="6" t="str">
        <f>HYPERLINK("http://mcgill.on.worldcat.org/oclc/743202725","Catalog Record")</f>
        <v>Catalog Record</v>
      </c>
      <c r="AW2054" s="6" t="str">
        <f>HYPERLINK("http://www.worldcat.org/oclc/743202725","WorldCat Record")</f>
        <v>WorldCat Record</v>
      </c>
      <c r="AX2054" s="3" t="s">
        <v>20848</v>
      </c>
      <c r="AY2054" s="3" t="s">
        <v>20849</v>
      </c>
      <c r="AZ2054" s="3" t="s">
        <v>20850</v>
      </c>
      <c r="BA2054" s="3" t="s">
        <v>20850</v>
      </c>
      <c r="BB2054" s="3" t="s">
        <v>20851</v>
      </c>
      <c r="BC2054" s="3" t="s">
        <v>77</v>
      </c>
      <c r="BD2054" s="3" t="s">
        <v>78</v>
      </c>
      <c r="BE2054" s="3" t="s">
        <v>20852</v>
      </c>
      <c r="BF2054" s="3" t="s">
        <v>20851</v>
      </c>
      <c r="BG2054" s="3" t="s">
        <v>20853</v>
      </c>
      <c r="BH2054">
        <f t="shared" si="54"/>
        <v>0</v>
      </c>
    </row>
    <row r="2055" spans="1:60" ht="58" x14ac:dyDescent="0.35">
      <c r="A2055" s="2" t="s">
        <v>59</v>
      </c>
      <c r="B2055" s="2" t="s">
        <v>60</v>
      </c>
      <c r="C2055" s="2" t="s">
        <v>20854</v>
      </c>
      <c r="D2055" s="2" t="s">
        <v>20855</v>
      </c>
      <c r="E2055" s="2" t="s">
        <v>20856</v>
      </c>
      <c r="G2055" s="3" t="s">
        <v>64</v>
      </c>
      <c r="I2055" s="3" t="s">
        <v>64</v>
      </c>
      <c r="J2055" s="3" t="s">
        <v>64</v>
      </c>
      <c r="K2055" s="3" t="s">
        <v>65</v>
      </c>
      <c r="L2055" s="2" t="s">
        <v>20857</v>
      </c>
      <c r="M2055" s="2" t="s">
        <v>20858</v>
      </c>
      <c r="N2055" s="3" t="s">
        <v>326</v>
      </c>
      <c r="P2055" s="3" t="s">
        <v>102</v>
      </c>
      <c r="R2055" s="3" t="s">
        <v>70</v>
      </c>
      <c r="S2055" s="4">
        <v>2</v>
      </c>
      <c r="T2055" s="4">
        <v>2</v>
      </c>
      <c r="U2055" s="5" t="s">
        <v>20859</v>
      </c>
      <c r="V2055" s="5" t="s">
        <v>20859</v>
      </c>
      <c r="W2055" s="5" t="s">
        <v>72</v>
      </c>
      <c r="X2055" s="5" t="s">
        <v>72</v>
      </c>
      <c r="Y2055" s="4">
        <v>221</v>
      </c>
      <c r="Z2055" s="4">
        <v>24</v>
      </c>
      <c r="AA2055" s="4">
        <v>104</v>
      </c>
      <c r="AB2055" s="4">
        <v>3</v>
      </c>
      <c r="AC2055" s="4">
        <v>18</v>
      </c>
      <c r="AD2055" s="4">
        <v>29</v>
      </c>
      <c r="AE2055" s="4">
        <v>107</v>
      </c>
      <c r="AF2055" s="4">
        <v>1</v>
      </c>
      <c r="AG2055" s="4">
        <v>8</v>
      </c>
      <c r="AH2055" s="4">
        <v>24</v>
      </c>
      <c r="AI2055" s="4">
        <v>70</v>
      </c>
      <c r="AJ2055" s="4">
        <v>5</v>
      </c>
      <c r="AK2055" s="4">
        <v>20</v>
      </c>
      <c r="AL2055" s="4">
        <v>15</v>
      </c>
      <c r="AM2055" s="4">
        <v>35</v>
      </c>
      <c r="AN2055" s="4">
        <v>0</v>
      </c>
      <c r="AO2055" s="4">
        <v>0</v>
      </c>
      <c r="AP2055" s="4">
        <v>7</v>
      </c>
      <c r="AQ2055" s="4">
        <v>42</v>
      </c>
      <c r="AR2055" s="3" t="s">
        <v>64</v>
      </c>
      <c r="AS2055" s="3" t="s">
        <v>64</v>
      </c>
      <c r="AT2055" s="3" t="s">
        <v>64</v>
      </c>
      <c r="AV2055" s="6" t="str">
        <f>HYPERLINK("http://mcgill.on.worldcat.org/oclc/681488306","Catalog Record")</f>
        <v>Catalog Record</v>
      </c>
      <c r="AW2055" s="6" t="str">
        <f>HYPERLINK("http://www.worldcat.org/oclc/681488306","WorldCat Record")</f>
        <v>WorldCat Record</v>
      </c>
      <c r="AX2055" s="3" t="s">
        <v>20860</v>
      </c>
      <c r="AY2055" s="3" t="s">
        <v>20861</v>
      </c>
      <c r="AZ2055" s="3" t="s">
        <v>20862</v>
      </c>
      <c r="BA2055" s="3" t="s">
        <v>20862</v>
      </c>
      <c r="BB2055" s="3" t="s">
        <v>20863</v>
      </c>
      <c r="BC2055" s="3" t="s">
        <v>77</v>
      </c>
      <c r="BD2055" s="3" t="s">
        <v>78</v>
      </c>
      <c r="BE2055" s="3" t="s">
        <v>20864</v>
      </c>
      <c r="BF2055" s="3" t="s">
        <v>20863</v>
      </c>
      <c r="BG2055" s="3" t="s">
        <v>20865</v>
      </c>
      <c r="BH2055">
        <f t="shared" si="54"/>
        <v>0</v>
      </c>
    </row>
    <row r="2056" spans="1:60" ht="58" x14ac:dyDescent="0.35">
      <c r="A2056" s="2" t="s">
        <v>59</v>
      </c>
      <c r="B2056" s="2" t="s">
        <v>60</v>
      </c>
      <c r="C2056" s="2" t="s">
        <v>20866</v>
      </c>
      <c r="D2056" s="2" t="s">
        <v>20867</v>
      </c>
      <c r="E2056" s="2" t="s">
        <v>20868</v>
      </c>
      <c r="G2056" s="3" t="s">
        <v>64</v>
      </c>
      <c r="I2056" s="3" t="s">
        <v>64</v>
      </c>
      <c r="J2056" s="3" t="s">
        <v>64</v>
      </c>
      <c r="K2056" s="3" t="s">
        <v>65</v>
      </c>
      <c r="L2056" s="2" t="s">
        <v>20869</v>
      </c>
      <c r="M2056" s="2" t="s">
        <v>16922</v>
      </c>
      <c r="N2056" s="3" t="s">
        <v>86</v>
      </c>
      <c r="P2056" s="3" t="s">
        <v>102</v>
      </c>
      <c r="Q2056" s="2" t="s">
        <v>20870</v>
      </c>
      <c r="R2056" s="3" t="s">
        <v>70</v>
      </c>
      <c r="S2056" s="4">
        <v>4</v>
      </c>
      <c r="T2056" s="4">
        <v>4</v>
      </c>
      <c r="U2056" s="5" t="s">
        <v>20871</v>
      </c>
      <c r="V2056" s="5" t="s">
        <v>20871</v>
      </c>
      <c r="W2056" s="5" t="s">
        <v>72</v>
      </c>
      <c r="X2056" s="5" t="s">
        <v>72</v>
      </c>
      <c r="Y2056" s="4">
        <v>199</v>
      </c>
      <c r="Z2056" s="4">
        <v>19</v>
      </c>
      <c r="AA2056" s="4">
        <v>126</v>
      </c>
      <c r="AB2056" s="4">
        <v>1</v>
      </c>
      <c r="AC2056" s="4">
        <v>17</v>
      </c>
      <c r="AD2056" s="4">
        <v>41</v>
      </c>
      <c r="AE2056" s="4">
        <v>123</v>
      </c>
      <c r="AF2056" s="4">
        <v>0</v>
      </c>
      <c r="AG2056" s="4">
        <v>8</v>
      </c>
      <c r="AH2056" s="4">
        <v>34</v>
      </c>
      <c r="AI2056" s="4">
        <v>79</v>
      </c>
      <c r="AJ2056" s="4">
        <v>7</v>
      </c>
      <c r="AK2056" s="4">
        <v>24</v>
      </c>
      <c r="AL2056" s="4">
        <v>21</v>
      </c>
      <c r="AM2056" s="4">
        <v>40</v>
      </c>
      <c r="AN2056" s="4">
        <v>0</v>
      </c>
      <c r="AO2056" s="4">
        <v>0</v>
      </c>
      <c r="AP2056" s="4">
        <v>10</v>
      </c>
      <c r="AQ2056" s="4">
        <v>50</v>
      </c>
      <c r="AR2056" s="3" t="s">
        <v>64</v>
      </c>
      <c r="AS2056" s="3" t="s">
        <v>64</v>
      </c>
      <c r="AT2056" s="3" t="s">
        <v>64</v>
      </c>
      <c r="AV2056" s="6" t="str">
        <f>HYPERLINK("http://mcgill.on.worldcat.org/oclc/781939361","Catalog Record")</f>
        <v>Catalog Record</v>
      </c>
      <c r="AW2056" s="6" t="str">
        <f>HYPERLINK("http://www.worldcat.org/oclc/781939361","WorldCat Record")</f>
        <v>WorldCat Record</v>
      </c>
      <c r="AX2056" s="3" t="s">
        <v>20872</v>
      </c>
      <c r="AY2056" s="3" t="s">
        <v>20873</v>
      </c>
      <c r="AZ2056" s="3" t="s">
        <v>20874</v>
      </c>
      <c r="BA2056" s="3" t="s">
        <v>20874</v>
      </c>
      <c r="BB2056" s="3" t="s">
        <v>20875</v>
      </c>
      <c r="BC2056" s="3" t="s">
        <v>77</v>
      </c>
      <c r="BD2056" s="3" t="s">
        <v>78</v>
      </c>
      <c r="BE2056" s="3" t="s">
        <v>20876</v>
      </c>
      <c r="BF2056" s="3" t="s">
        <v>20875</v>
      </c>
      <c r="BG2056" s="3" t="s">
        <v>20877</v>
      </c>
      <c r="BH2056">
        <f t="shared" si="54"/>
        <v>0</v>
      </c>
    </row>
    <row r="2057" spans="1:60" ht="58" x14ac:dyDescent="0.35">
      <c r="A2057" s="2" t="s">
        <v>59</v>
      </c>
      <c r="B2057" s="2" t="s">
        <v>60</v>
      </c>
      <c r="C2057" s="2" t="s">
        <v>20878</v>
      </c>
      <c r="D2057" s="2" t="s">
        <v>20879</v>
      </c>
      <c r="E2057" s="2" t="s">
        <v>20880</v>
      </c>
      <c r="G2057" s="3" t="s">
        <v>64</v>
      </c>
      <c r="I2057" s="3" t="s">
        <v>64</v>
      </c>
      <c r="J2057" s="3" t="s">
        <v>64</v>
      </c>
      <c r="K2057" s="3" t="s">
        <v>65</v>
      </c>
      <c r="M2057" s="2" t="s">
        <v>14552</v>
      </c>
      <c r="N2057" s="3" t="s">
        <v>537</v>
      </c>
      <c r="P2057" s="3" t="s">
        <v>102</v>
      </c>
      <c r="R2057" s="3" t="s">
        <v>70</v>
      </c>
      <c r="S2057" s="4">
        <v>4</v>
      </c>
      <c r="T2057" s="4">
        <v>4</v>
      </c>
      <c r="U2057" s="5" t="s">
        <v>12995</v>
      </c>
      <c r="V2057" s="5" t="s">
        <v>12995</v>
      </c>
      <c r="W2057" s="5" t="s">
        <v>72</v>
      </c>
      <c r="X2057" s="5" t="s">
        <v>72</v>
      </c>
      <c r="Y2057" s="4">
        <v>191</v>
      </c>
      <c r="Z2057" s="4">
        <v>9</v>
      </c>
      <c r="AA2057" s="4">
        <v>11</v>
      </c>
      <c r="AB2057" s="4">
        <v>1</v>
      </c>
      <c r="AC2057" s="4">
        <v>3</v>
      </c>
      <c r="AD2057" s="4">
        <v>39</v>
      </c>
      <c r="AE2057" s="4">
        <v>40</v>
      </c>
      <c r="AF2057" s="4">
        <v>0</v>
      </c>
      <c r="AG2057" s="4">
        <v>1</v>
      </c>
      <c r="AH2057" s="4">
        <v>37</v>
      </c>
      <c r="AI2057" s="4">
        <v>37</v>
      </c>
      <c r="AJ2057" s="4">
        <v>5</v>
      </c>
      <c r="AK2057" s="4">
        <v>6</v>
      </c>
      <c r="AL2057" s="4">
        <v>17</v>
      </c>
      <c r="AM2057" s="4">
        <v>17</v>
      </c>
      <c r="AN2057" s="4">
        <v>0</v>
      </c>
      <c r="AO2057" s="4">
        <v>0</v>
      </c>
      <c r="AP2057" s="4">
        <v>5</v>
      </c>
      <c r="AQ2057" s="4">
        <v>5</v>
      </c>
      <c r="AR2057" s="3" t="s">
        <v>64</v>
      </c>
      <c r="AS2057" s="3" t="s">
        <v>64</v>
      </c>
      <c r="AT2057" s="3" t="s">
        <v>64</v>
      </c>
      <c r="AV2057" s="6" t="str">
        <f>HYPERLINK("http://mcgill.on.worldcat.org/oclc/948748491","Catalog Record")</f>
        <v>Catalog Record</v>
      </c>
      <c r="AW2057" s="6" t="str">
        <f>HYPERLINK("http://www.worldcat.org/oclc/948748491","WorldCat Record")</f>
        <v>WorldCat Record</v>
      </c>
      <c r="AX2057" s="3" t="s">
        <v>20881</v>
      </c>
      <c r="AY2057" s="3" t="s">
        <v>20882</v>
      </c>
      <c r="AZ2057" s="3" t="s">
        <v>20883</v>
      </c>
      <c r="BA2057" s="3" t="s">
        <v>20883</v>
      </c>
      <c r="BB2057" s="3" t="s">
        <v>20884</v>
      </c>
      <c r="BC2057" s="3" t="s">
        <v>77</v>
      </c>
      <c r="BD2057" s="3" t="s">
        <v>78</v>
      </c>
      <c r="BE2057" s="3" t="s">
        <v>20885</v>
      </c>
      <c r="BF2057" s="3" t="s">
        <v>20884</v>
      </c>
      <c r="BG2057" s="3" t="s">
        <v>20886</v>
      </c>
      <c r="BH2057">
        <f t="shared" si="54"/>
        <v>0</v>
      </c>
    </row>
    <row r="2058" spans="1:60" ht="58" x14ac:dyDescent="0.35">
      <c r="A2058" s="2" t="s">
        <v>59</v>
      </c>
      <c r="B2058" s="2" t="s">
        <v>60</v>
      </c>
      <c r="C2058" s="2" t="s">
        <v>20887</v>
      </c>
      <c r="D2058" s="2" t="s">
        <v>20888</v>
      </c>
      <c r="E2058" s="2" t="s">
        <v>20889</v>
      </c>
      <c r="G2058" s="3" t="s">
        <v>64</v>
      </c>
      <c r="I2058" s="3" t="s">
        <v>64</v>
      </c>
      <c r="J2058" s="3" t="s">
        <v>64</v>
      </c>
      <c r="K2058" s="3" t="s">
        <v>65</v>
      </c>
      <c r="L2058" s="2" t="s">
        <v>17245</v>
      </c>
      <c r="M2058" s="2" t="s">
        <v>15858</v>
      </c>
      <c r="N2058" s="3" t="s">
        <v>1275</v>
      </c>
      <c r="P2058" s="3" t="s">
        <v>102</v>
      </c>
      <c r="R2058" s="3" t="s">
        <v>70</v>
      </c>
      <c r="S2058" s="4">
        <v>10</v>
      </c>
      <c r="T2058" s="4">
        <v>10</v>
      </c>
      <c r="U2058" s="5" t="s">
        <v>5442</v>
      </c>
      <c r="V2058" s="5" t="s">
        <v>5442</v>
      </c>
      <c r="W2058" s="5" t="s">
        <v>72</v>
      </c>
      <c r="X2058" s="5" t="s">
        <v>72</v>
      </c>
      <c r="Y2058" s="4">
        <v>448</v>
      </c>
      <c r="Z2058" s="4">
        <v>20</v>
      </c>
      <c r="AA2058" s="4">
        <v>47</v>
      </c>
      <c r="AB2058" s="4">
        <v>2</v>
      </c>
      <c r="AC2058" s="4">
        <v>8</v>
      </c>
      <c r="AD2058" s="4">
        <v>79</v>
      </c>
      <c r="AE2058" s="4">
        <v>83</v>
      </c>
      <c r="AF2058" s="4">
        <v>1</v>
      </c>
      <c r="AG2058" s="4">
        <v>2</v>
      </c>
      <c r="AH2058" s="4">
        <v>74</v>
      </c>
      <c r="AI2058" s="4">
        <v>75</v>
      </c>
      <c r="AJ2058" s="4">
        <v>10</v>
      </c>
      <c r="AK2058" s="4">
        <v>11</v>
      </c>
      <c r="AL2058" s="4">
        <v>40</v>
      </c>
      <c r="AM2058" s="4">
        <v>40</v>
      </c>
      <c r="AN2058" s="4">
        <v>0</v>
      </c>
      <c r="AO2058" s="4">
        <v>0</v>
      </c>
      <c r="AP2058" s="4">
        <v>12</v>
      </c>
      <c r="AQ2058" s="4">
        <v>14</v>
      </c>
      <c r="AR2058" s="3" t="s">
        <v>64</v>
      </c>
      <c r="AS2058" s="3" t="s">
        <v>64</v>
      </c>
      <c r="AT2058" s="3" t="s">
        <v>64</v>
      </c>
      <c r="AV2058" s="6" t="str">
        <f>HYPERLINK("http://mcgill.on.worldcat.org/oclc/55962194","Catalog Record")</f>
        <v>Catalog Record</v>
      </c>
      <c r="AW2058" s="6" t="str">
        <f>HYPERLINK("http://www.worldcat.org/oclc/55962194","WorldCat Record")</f>
        <v>WorldCat Record</v>
      </c>
      <c r="AX2058" s="3" t="s">
        <v>20890</v>
      </c>
      <c r="AY2058" s="3" t="s">
        <v>20891</v>
      </c>
      <c r="AZ2058" s="3" t="s">
        <v>20892</v>
      </c>
      <c r="BA2058" s="3" t="s">
        <v>20892</v>
      </c>
      <c r="BB2058" s="3" t="s">
        <v>20893</v>
      </c>
      <c r="BC2058" s="3" t="s">
        <v>77</v>
      </c>
      <c r="BD2058" s="3" t="s">
        <v>78</v>
      </c>
      <c r="BE2058" s="3" t="s">
        <v>20894</v>
      </c>
      <c r="BF2058" s="3" t="s">
        <v>20893</v>
      </c>
      <c r="BG2058" s="3" t="s">
        <v>20895</v>
      </c>
      <c r="BH2058">
        <f t="shared" si="54"/>
        <v>0</v>
      </c>
    </row>
    <row r="2059" spans="1:60" ht="58" x14ac:dyDescent="0.35">
      <c r="A2059" s="2" t="s">
        <v>59</v>
      </c>
      <c r="B2059" s="2" t="s">
        <v>60</v>
      </c>
      <c r="C2059" s="2" t="s">
        <v>20896</v>
      </c>
      <c r="D2059" s="2" t="s">
        <v>20897</v>
      </c>
      <c r="E2059" s="2" t="s">
        <v>20898</v>
      </c>
      <c r="G2059" s="3" t="s">
        <v>64</v>
      </c>
      <c r="I2059" s="3" t="s">
        <v>64</v>
      </c>
      <c r="J2059" s="3" t="s">
        <v>64</v>
      </c>
      <c r="K2059" s="3" t="s">
        <v>65</v>
      </c>
      <c r="M2059" s="2" t="s">
        <v>16093</v>
      </c>
      <c r="N2059" s="3" t="s">
        <v>511</v>
      </c>
      <c r="P2059" s="3" t="s">
        <v>102</v>
      </c>
      <c r="R2059" s="3" t="s">
        <v>70</v>
      </c>
      <c r="S2059" s="4">
        <v>27</v>
      </c>
      <c r="T2059" s="4">
        <v>27</v>
      </c>
      <c r="U2059" s="5" t="s">
        <v>19011</v>
      </c>
      <c r="V2059" s="5" t="s">
        <v>19011</v>
      </c>
      <c r="W2059" s="5" t="s">
        <v>72</v>
      </c>
      <c r="X2059" s="5" t="s">
        <v>72</v>
      </c>
      <c r="Y2059" s="4">
        <v>249</v>
      </c>
      <c r="Z2059" s="4">
        <v>17</v>
      </c>
      <c r="AA2059" s="4">
        <v>22</v>
      </c>
      <c r="AB2059" s="4">
        <v>1</v>
      </c>
      <c r="AC2059" s="4">
        <v>4</v>
      </c>
      <c r="AD2059" s="4">
        <v>36</v>
      </c>
      <c r="AE2059" s="4">
        <v>42</v>
      </c>
      <c r="AF2059" s="4">
        <v>0</v>
      </c>
      <c r="AG2059" s="4">
        <v>1</v>
      </c>
      <c r="AH2059" s="4">
        <v>33</v>
      </c>
      <c r="AI2059" s="4">
        <v>36</v>
      </c>
      <c r="AJ2059" s="4">
        <v>6</v>
      </c>
      <c r="AK2059" s="4">
        <v>9</v>
      </c>
      <c r="AL2059" s="4">
        <v>18</v>
      </c>
      <c r="AM2059" s="4">
        <v>20</v>
      </c>
      <c r="AN2059" s="4">
        <v>0</v>
      </c>
      <c r="AO2059" s="4">
        <v>0</v>
      </c>
      <c r="AP2059" s="4">
        <v>8</v>
      </c>
      <c r="AQ2059" s="4">
        <v>10</v>
      </c>
      <c r="AR2059" s="3" t="s">
        <v>64</v>
      </c>
      <c r="AS2059" s="3" t="s">
        <v>64</v>
      </c>
      <c r="AT2059" s="3" t="s">
        <v>64</v>
      </c>
      <c r="AV2059" s="6" t="str">
        <f>HYPERLINK("http://mcgill.on.worldcat.org/oclc/436030703","Catalog Record")</f>
        <v>Catalog Record</v>
      </c>
      <c r="AW2059" s="6" t="str">
        <f>HYPERLINK("http://www.worldcat.org/oclc/436030703","WorldCat Record")</f>
        <v>WorldCat Record</v>
      </c>
      <c r="AX2059" s="3" t="s">
        <v>20899</v>
      </c>
      <c r="AY2059" s="3" t="s">
        <v>20900</v>
      </c>
      <c r="AZ2059" s="3" t="s">
        <v>20901</v>
      </c>
      <c r="BA2059" s="3" t="s">
        <v>20901</v>
      </c>
      <c r="BB2059" s="3" t="s">
        <v>20902</v>
      </c>
      <c r="BC2059" s="3" t="s">
        <v>77</v>
      </c>
      <c r="BD2059" s="3" t="s">
        <v>78</v>
      </c>
      <c r="BE2059" s="3" t="s">
        <v>20903</v>
      </c>
      <c r="BF2059" s="3" t="s">
        <v>20902</v>
      </c>
      <c r="BG2059" s="3" t="s">
        <v>20904</v>
      </c>
      <c r="BH2059">
        <f t="shared" si="54"/>
        <v>0</v>
      </c>
    </row>
    <row r="2060" spans="1:60" ht="58" x14ac:dyDescent="0.35">
      <c r="A2060" s="2" t="s">
        <v>59</v>
      </c>
      <c r="B2060" s="2" t="s">
        <v>60</v>
      </c>
      <c r="C2060" s="2" t="s">
        <v>20905</v>
      </c>
      <c r="D2060" s="2" t="s">
        <v>20906</v>
      </c>
      <c r="E2060" s="2" t="s">
        <v>20907</v>
      </c>
      <c r="G2060" s="3" t="s">
        <v>64</v>
      </c>
      <c r="I2060" s="3" t="s">
        <v>64</v>
      </c>
      <c r="J2060" s="3" t="s">
        <v>64</v>
      </c>
      <c r="K2060" s="3" t="s">
        <v>65</v>
      </c>
      <c r="M2060" s="2" t="s">
        <v>20908</v>
      </c>
      <c r="N2060" s="3" t="s">
        <v>326</v>
      </c>
      <c r="P2060" s="3" t="s">
        <v>102</v>
      </c>
      <c r="R2060" s="3" t="s">
        <v>70</v>
      </c>
      <c r="S2060" s="4">
        <v>0</v>
      </c>
      <c r="T2060" s="4">
        <v>0</v>
      </c>
      <c r="W2060" s="5" t="s">
        <v>72</v>
      </c>
      <c r="X2060" s="5" t="s">
        <v>72</v>
      </c>
      <c r="Y2060" s="4">
        <v>37</v>
      </c>
      <c r="Z2060" s="4">
        <v>3</v>
      </c>
      <c r="AA2060" s="4">
        <v>4</v>
      </c>
      <c r="AB2060" s="4">
        <v>1</v>
      </c>
      <c r="AC2060" s="4">
        <v>2</v>
      </c>
      <c r="AD2060" s="4">
        <v>11</v>
      </c>
      <c r="AE2060" s="4">
        <v>11</v>
      </c>
      <c r="AF2060" s="4">
        <v>0</v>
      </c>
      <c r="AG2060" s="4">
        <v>0</v>
      </c>
      <c r="AH2060" s="4">
        <v>10</v>
      </c>
      <c r="AI2060" s="4">
        <v>10</v>
      </c>
      <c r="AJ2060" s="4">
        <v>2</v>
      </c>
      <c r="AK2060" s="4">
        <v>2</v>
      </c>
      <c r="AL2060" s="4">
        <v>5</v>
      </c>
      <c r="AM2060" s="4">
        <v>5</v>
      </c>
      <c r="AN2060" s="4">
        <v>0</v>
      </c>
      <c r="AO2060" s="4">
        <v>0</v>
      </c>
      <c r="AP2060" s="4">
        <v>2</v>
      </c>
      <c r="AQ2060" s="4">
        <v>2</v>
      </c>
      <c r="AR2060" s="3" t="s">
        <v>64</v>
      </c>
      <c r="AS2060" s="3" t="s">
        <v>64</v>
      </c>
      <c r="AT2060" s="3" t="s">
        <v>64</v>
      </c>
      <c r="AV2060" s="6" t="str">
        <f>HYPERLINK("http://mcgill.on.worldcat.org/oclc/729687213","Catalog Record")</f>
        <v>Catalog Record</v>
      </c>
      <c r="AW2060" s="6" t="str">
        <f>HYPERLINK("http://www.worldcat.org/oclc/729687213","WorldCat Record")</f>
        <v>WorldCat Record</v>
      </c>
      <c r="AX2060" s="3" t="s">
        <v>20909</v>
      </c>
      <c r="AY2060" s="3" t="s">
        <v>20910</v>
      </c>
      <c r="AZ2060" s="3" t="s">
        <v>20911</v>
      </c>
      <c r="BA2060" s="3" t="s">
        <v>20911</v>
      </c>
      <c r="BB2060" s="3" t="s">
        <v>20912</v>
      </c>
      <c r="BC2060" s="3" t="s">
        <v>77</v>
      </c>
      <c r="BD2060" s="3" t="s">
        <v>78</v>
      </c>
      <c r="BE2060" s="3" t="s">
        <v>20913</v>
      </c>
      <c r="BF2060" s="3" t="s">
        <v>20912</v>
      </c>
      <c r="BG2060" s="3" t="s">
        <v>20914</v>
      </c>
      <c r="BH2060">
        <f t="shared" si="54"/>
        <v>0</v>
      </c>
    </row>
    <row r="2061" spans="1:60" ht="58" x14ac:dyDescent="0.35">
      <c r="A2061" s="2" t="s">
        <v>59</v>
      </c>
      <c r="B2061" s="2" t="s">
        <v>60</v>
      </c>
      <c r="C2061" s="2" t="s">
        <v>20915</v>
      </c>
      <c r="D2061" s="2" t="s">
        <v>20916</v>
      </c>
      <c r="E2061" s="2" t="s">
        <v>20917</v>
      </c>
      <c r="G2061" s="3" t="s">
        <v>64</v>
      </c>
      <c r="H2061" s="3" t="s">
        <v>183</v>
      </c>
      <c r="I2061" s="3" t="s">
        <v>64</v>
      </c>
      <c r="J2061" s="3" t="s">
        <v>64</v>
      </c>
      <c r="K2061" s="3" t="s">
        <v>65</v>
      </c>
      <c r="L2061" s="2" t="s">
        <v>20918</v>
      </c>
      <c r="M2061" s="2" t="s">
        <v>14860</v>
      </c>
      <c r="N2061" s="3" t="s">
        <v>537</v>
      </c>
      <c r="P2061" s="3" t="s">
        <v>102</v>
      </c>
      <c r="R2061" s="3" t="s">
        <v>70</v>
      </c>
      <c r="S2061" s="4">
        <v>1</v>
      </c>
      <c r="T2061" s="4">
        <v>1</v>
      </c>
      <c r="W2061" s="5" t="s">
        <v>15836</v>
      </c>
      <c r="X2061" s="5" t="s">
        <v>15836</v>
      </c>
      <c r="Y2061" s="4">
        <v>249</v>
      </c>
      <c r="Z2061" s="4">
        <v>16</v>
      </c>
      <c r="AA2061" s="4">
        <v>80</v>
      </c>
      <c r="AB2061" s="4">
        <v>1</v>
      </c>
      <c r="AC2061" s="4">
        <v>15</v>
      </c>
      <c r="AD2061" s="4">
        <v>51</v>
      </c>
      <c r="AE2061" s="4">
        <v>114</v>
      </c>
      <c r="AF2061" s="4">
        <v>0</v>
      </c>
      <c r="AG2061" s="4">
        <v>8</v>
      </c>
      <c r="AH2061" s="4">
        <v>42</v>
      </c>
      <c r="AI2061" s="4">
        <v>79</v>
      </c>
      <c r="AJ2061" s="4">
        <v>8</v>
      </c>
      <c r="AK2061" s="4">
        <v>20</v>
      </c>
      <c r="AL2061" s="4">
        <v>27</v>
      </c>
      <c r="AM2061" s="4">
        <v>44</v>
      </c>
      <c r="AN2061" s="4">
        <v>0</v>
      </c>
      <c r="AO2061" s="4">
        <v>0</v>
      </c>
      <c r="AP2061" s="4">
        <v>11</v>
      </c>
      <c r="AQ2061" s="4">
        <v>41</v>
      </c>
      <c r="AR2061" s="3" t="s">
        <v>64</v>
      </c>
      <c r="AS2061" s="3" t="s">
        <v>64</v>
      </c>
      <c r="AT2061" s="3" t="s">
        <v>64</v>
      </c>
      <c r="AV2061" s="6" t="str">
        <f>HYPERLINK("http://mcgill.on.worldcat.org/oclc/903764586","Catalog Record")</f>
        <v>Catalog Record</v>
      </c>
      <c r="AW2061" s="6" t="str">
        <f>HYPERLINK("http://www.worldcat.org/oclc/903764586","WorldCat Record")</f>
        <v>WorldCat Record</v>
      </c>
      <c r="AX2061" s="3" t="s">
        <v>20919</v>
      </c>
      <c r="AY2061" s="3" t="s">
        <v>20920</v>
      </c>
      <c r="AZ2061" s="3" t="s">
        <v>20921</v>
      </c>
      <c r="BA2061" s="3" t="s">
        <v>20921</v>
      </c>
      <c r="BB2061" s="3" t="s">
        <v>20922</v>
      </c>
      <c r="BC2061" s="3" t="s">
        <v>77</v>
      </c>
      <c r="BD2061" s="3" t="s">
        <v>165</v>
      </c>
      <c r="BE2061" s="3" t="s">
        <v>20923</v>
      </c>
      <c r="BF2061" s="3" t="s">
        <v>20922</v>
      </c>
      <c r="BG2061" s="3" t="s">
        <v>20924</v>
      </c>
      <c r="BH2061">
        <f t="shared" si="54"/>
        <v>0</v>
      </c>
    </row>
    <row r="2062" spans="1:60" ht="58" x14ac:dyDescent="0.35">
      <c r="A2062" s="2" t="s">
        <v>59</v>
      </c>
      <c r="B2062" s="2" t="s">
        <v>60</v>
      </c>
      <c r="C2062" s="2" t="s">
        <v>20925</v>
      </c>
      <c r="D2062" s="2" t="s">
        <v>20926</v>
      </c>
      <c r="E2062" s="2" t="s">
        <v>20927</v>
      </c>
      <c r="G2062" s="3" t="s">
        <v>64</v>
      </c>
      <c r="I2062" s="3" t="s">
        <v>64</v>
      </c>
      <c r="J2062" s="3" t="s">
        <v>64</v>
      </c>
      <c r="K2062" s="3" t="s">
        <v>65</v>
      </c>
      <c r="M2062" s="2" t="s">
        <v>17681</v>
      </c>
      <c r="N2062" s="3" t="s">
        <v>1075</v>
      </c>
      <c r="P2062" s="3" t="s">
        <v>102</v>
      </c>
      <c r="R2062" s="3" t="s">
        <v>70</v>
      </c>
      <c r="S2062" s="4">
        <v>0</v>
      </c>
      <c r="T2062" s="4">
        <v>0</v>
      </c>
      <c r="W2062" s="5" t="s">
        <v>72</v>
      </c>
      <c r="X2062" s="5" t="s">
        <v>72</v>
      </c>
      <c r="Y2062" s="4">
        <v>30</v>
      </c>
      <c r="Z2062" s="4">
        <v>2</v>
      </c>
      <c r="AA2062" s="4">
        <v>3</v>
      </c>
      <c r="AB2062" s="4">
        <v>1</v>
      </c>
      <c r="AC2062" s="4">
        <v>2</v>
      </c>
      <c r="AD2062" s="4">
        <v>11</v>
      </c>
      <c r="AE2062" s="4">
        <v>11</v>
      </c>
      <c r="AF2062" s="4">
        <v>0</v>
      </c>
      <c r="AG2062" s="4">
        <v>0</v>
      </c>
      <c r="AH2062" s="4">
        <v>11</v>
      </c>
      <c r="AI2062" s="4">
        <v>11</v>
      </c>
      <c r="AJ2062" s="4">
        <v>1</v>
      </c>
      <c r="AK2062" s="4">
        <v>1</v>
      </c>
      <c r="AL2062" s="4">
        <v>5</v>
      </c>
      <c r="AM2062" s="4">
        <v>5</v>
      </c>
      <c r="AN2062" s="4">
        <v>0</v>
      </c>
      <c r="AO2062" s="4">
        <v>0</v>
      </c>
      <c r="AP2062" s="4">
        <v>1</v>
      </c>
      <c r="AQ2062" s="4">
        <v>1</v>
      </c>
      <c r="AR2062" s="3" t="s">
        <v>64</v>
      </c>
      <c r="AS2062" s="3" t="s">
        <v>64</v>
      </c>
      <c r="AT2062" s="3" t="s">
        <v>64</v>
      </c>
      <c r="AV2062" s="6" t="str">
        <f>HYPERLINK("http://mcgill.on.worldcat.org/oclc/840583151","Catalog Record")</f>
        <v>Catalog Record</v>
      </c>
      <c r="AW2062" s="6" t="str">
        <f>HYPERLINK("http://www.worldcat.org/oclc/840583151","WorldCat Record")</f>
        <v>WorldCat Record</v>
      </c>
      <c r="AX2062" s="3" t="s">
        <v>20928</v>
      </c>
      <c r="AY2062" s="3" t="s">
        <v>20929</v>
      </c>
      <c r="AZ2062" s="3" t="s">
        <v>20930</v>
      </c>
      <c r="BA2062" s="3" t="s">
        <v>20930</v>
      </c>
      <c r="BB2062" s="3" t="s">
        <v>20931</v>
      </c>
      <c r="BC2062" s="3" t="s">
        <v>77</v>
      </c>
      <c r="BD2062" s="3" t="s">
        <v>78</v>
      </c>
      <c r="BE2062" s="3" t="s">
        <v>20932</v>
      </c>
      <c r="BF2062" s="3" t="s">
        <v>20931</v>
      </c>
      <c r="BG2062" s="3" t="s">
        <v>20933</v>
      </c>
      <c r="BH2062">
        <f t="shared" si="54"/>
        <v>0</v>
      </c>
    </row>
    <row r="2063" spans="1:60" ht="58" x14ac:dyDescent="0.35">
      <c r="A2063" s="2" t="s">
        <v>59</v>
      </c>
      <c r="B2063" s="2" t="s">
        <v>60</v>
      </c>
      <c r="C2063" s="2" t="s">
        <v>20934</v>
      </c>
      <c r="D2063" s="2" t="s">
        <v>20935</v>
      </c>
      <c r="E2063" s="2" t="s">
        <v>20936</v>
      </c>
      <c r="G2063" s="3" t="s">
        <v>64</v>
      </c>
      <c r="I2063" s="3" t="s">
        <v>64</v>
      </c>
      <c r="J2063" s="3" t="s">
        <v>64</v>
      </c>
      <c r="K2063" s="3" t="s">
        <v>65</v>
      </c>
      <c r="M2063" s="2" t="s">
        <v>14442</v>
      </c>
      <c r="N2063" s="3" t="s">
        <v>578</v>
      </c>
      <c r="P2063" s="3" t="s">
        <v>102</v>
      </c>
      <c r="R2063" s="3" t="s">
        <v>70</v>
      </c>
      <c r="S2063" s="4">
        <v>3</v>
      </c>
      <c r="T2063" s="4">
        <v>3</v>
      </c>
      <c r="U2063" s="5" t="s">
        <v>20937</v>
      </c>
      <c r="V2063" s="5" t="s">
        <v>20937</v>
      </c>
      <c r="W2063" s="5" t="s">
        <v>72</v>
      </c>
      <c r="X2063" s="5" t="s">
        <v>72</v>
      </c>
      <c r="Y2063" s="4">
        <v>350</v>
      </c>
      <c r="Z2063" s="4">
        <v>25</v>
      </c>
      <c r="AA2063" s="4">
        <v>33</v>
      </c>
      <c r="AB2063" s="4">
        <v>6</v>
      </c>
      <c r="AC2063" s="4">
        <v>14</v>
      </c>
      <c r="AD2063" s="4">
        <v>71</v>
      </c>
      <c r="AE2063" s="4">
        <v>76</v>
      </c>
      <c r="AF2063" s="4">
        <v>1</v>
      </c>
      <c r="AG2063" s="4">
        <v>6</v>
      </c>
      <c r="AH2063" s="4">
        <v>63</v>
      </c>
      <c r="AI2063" s="4">
        <v>64</v>
      </c>
      <c r="AJ2063" s="4">
        <v>13</v>
      </c>
      <c r="AK2063" s="4">
        <v>16</v>
      </c>
      <c r="AL2063" s="4">
        <v>32</v>
      </c>
      <c r="AM2063" s="4">
        <v>32</v>
      </c>
      <c r="AN2063" s="4">
        <v>0</v>
      </c>
      <c r="AO2063" s="4">
        <v>0</v>
      </c>
      <c r="AP2063" s="4">
        <v>14</v>
      </c>
      <c r="AQ2063" s="4">
        <v>18</v>
      </c>
      <c r="AR2063" s="3" t="s">
        <v>64</v>
      </c>
      <c r="AS2063" s="3" t="s">
        <v>64</v>
      </c>
      <c r="AT2063" s="3" t="s">
        <v>64</v>
      </c>
      <c r="AV2063" s="6" t="str">
        <f>HYPERLINK("http://mcgill.on.worldcat.org/oclc/957134124","Catalog Record")</f>
        <v>Catalog Record</v>
      </c>
      <c r="AW2063" s="6" t="str">
        <f>HYPERLINK("http://www.worldcat.org/oclc/957134124","WorldCat Record")</f>
        <v>WorldCat Record</v>
      </c>
      <c r="AX2063" s="3" t="s">
        <v>20938</v>
      </c>
      <c r="AY2063" s="3" t="s">
        <v>20939</v>
      </c>
      <c r="AZ2063" s="3" t="s">
        <v>20940</v>
      </c>
      <c r="BA2063" s="3" t="s">
        <v>20940</v>
      </c>
      <c r="BB2063" s="3" t="s">
        <v>20941</v>
      </c>
      <c r="BC2063" s="3" t="s">
        <v>77</v>
      </c>
      <c r="BD2063" s="3" t="s">
        <v>78</v>
      </c>
      <c r="BE2063" s="3" t="s">
        <v>20942</v>
      </c>
      <c r="BF2063" s="3" t="s">
        <v>20941</v>
      </c>
      <c r="BG2063" s="3" t="s">
        <v>20943</v>
      </c>
      <c r="BH2063">
        <f t="shared" si="54"/>
        <v>0</v>
      </c>
    </row>
    <row r="2064" spans="1:60" ht="58" x14ac:dyDescent="0.35">
      <c r="A2064" s="2" t="s">
        <v>59</v>
      </c>
      <c r="B2064" s="2" t="s">
        <v>60</v>
      </c>
      <c r="C2064" s="2" t="s">
        <v>20944</v>
      </c>
      <c r="D2064" s="2" t="s">
        <v>20945</v>
      </c>
      <c r="E2064" s="2" t="s">
        <v>20946</v>
      </c>
      <c r="G2064" s="3" t="s">
        <v>64</v>
      </c>
      <c r="I2064" s="3" t="s">
        <v>64</v>
      </c>
      <c r="J2064" s="3" t="s">
        <v>64</v>
      </c>
      <c r="K2064" s="3" t="s">
        <v>65</v>
      </c>
      <c r="L2064" s="2" t="s">
        <v>20947</v>
      </c>
      <c r="M2064" s="2" t="s">
        <v>20948</v>
      </c>
      <c r="N2064" s="3" t="s">
        <v>326</v>
      </c>
      <c r="P2064" s="3" t="s">
        <v>102</v>
      </c>
      <c r="R2064" s="3" t="s">
        <v>70</v>
      </c>
      <c r="S2064" s="4">
        <v>6</v>
      </c>
      <c r="T2064" s="4">
        <v>6</v>
      </c>
      <c r="U2064" s="5" t="s">
        <v>20949</v>
      </c>
      <c r="V2064" s="5" t="s">
        <v>20949</v>
      </c>
      <c r="W2064" s="5" t="s">
        <v>72</v>
      </c>
      <c r="X2064" s="5" t="s">
        <v>72</v>
      </c>
      <c r="Y2064" s="4">
        <v>91</v>
      </c>
      <c r="Z2064" s="4">
        <v>10</v>
      </c>
      <c r="AA2064" s="4">
        <v>19</v>
      </c>
      <c r="AB2064" s="4">
        <v>1</v>
      </c>
      <c r="AC2064" s="4">
        <v>4</v>
      </c>
      <c r="AD2064" s="4">
        <v>37</v>
      </c>
      <c r="AE2064" s="4">
        <v>50</v>
      </c>
      <c r="AF2064" s="4">
        <v>0</v>
      </c>
      <c r="AG2064" s="4">
        <v>1</v>
      </c>
      <c r="AH2064" s="4">
        <v>34</v>
      </c>
      <c r="AI2064" s="4">
        <v>46</v>
      </c>
      <c r="AJ2064" s="4">
        <v>6</v>
      </c>
      <c r="AK2064" s="4">
        <v>7</v>
      </c>
      <c r="AL2064" s="4">
        <v>21</v>
      </c>
      <c r="AM2064" s="4">
        <v>25</v>
      </c>
      <c r="AN2064" s="4">
        <v>0</v>
      </c>
      <c r="AO2064" s="4">
        <v>0</v>
      </c>
      <c r="AP2064" s="4">
        <v>8</v>
      </c>
      <c r="AQ2064" s="4">
        <v>8</v>
      </c>
      <c r="AR2064" s="3" t="s">
        <v>64</v>
      </c>
      <c r="AS2064" s="3" t="s">
        <v>64</v>
      </c>
      <c r="AT2064" s="3" t="s">
        <v>64</v>
      </c>
      <c r="AV2064" s="6" t="str">
        <f>HYPERLINK("http://mcgill.on.worldcat.org/oclc/548555585","Catalog Record")</f>
        <v>Catalog Record</v>
      </c>
      <c r="AW2064" s="6" t="str">
        <f>HYPERLINK("http://www.worldcat.org/oclc/548555585","WorldCat Record")</f>
        <v>WorldCat Record</v>
      </c>
      <c r="AX2064" s="3" t="s">
        <v>20950</v>
      </c>
      <c r="AY2064" s="3" t="s">
        <v>20951</v>
      </c>
      <c r="AZ2064" s="3" t="s">
        <v>20952</v>
      </c>
      <c r="BA2064" s="3" t="s">
        <v>20952</v>
      </c>
      <c r="BB2064" s="3" t="s">
        <v>20953</v>
      </c>
      <c r="BC2064" s="3" t="s">
        <v>77</v>
      </c>
      <c r="BD2064" s="3" t="s">
        <v>78</v>
      </c>
      <c r="BE2064" s="3" t="s">
        <v>20954</v>
      </c>
      <c r="BF2064" s="3" t="s">
        <v>20953</v>
      </c>
      <c r="BG2064" s="3" t="s">
        <v>20955</v>
      </c>
      <c r="BH2064">
        <f t="shared" si="54"/>
        <v>0</v>
      </c>
    </row>
    <row r="2065" spans="1:60" ht="72.5" x14ac:dyDescent="0.35">
      <c r="A2065" s="2" t="s">
        <v>59</v>
      </c>
      <c r="B2065" s="2" t="s">
        <v>60</v>
      </c>
      <c r="C2065" s="2" t="s">
        <v>20956</v>
      </c>
      <c r="D2065" s="2" t="s">
        <v>20957</v>
      </c>
      <c r="E2065" s="2" t="s">
        <v>20958</v>
      </c>
      <c r="G2065" s="3" t="s">
        <v>64</v>
      </c>
      <c r="I2065" s="3" t="s">
        <v>64</v>
      </c>
      <c r="J2065" s="3" t="s">
        <v>64</v>
      </c>
      <c r="K2065" s="3" t="s">
        <v>65</v>
      </c>
      <c r="L2065" s="2" t="s">
        <v>20959</v>
      </c>
      <c r="M2065" s="2" t="s">
        <v>16093</v>
      </c>
      <c r="N2065" s="3" t="s">
        <v>511</v>
      </c>
      <c r="P2065" s="3" t="s">
        <v>102</v>
      </c>
      <c r="R2065" s="3" t="s">
        <v>70</v>
      </c>
      <c r="S2065" s="4">
        <v>10</v>
      </c>
      <c r="T2065" s="4">
        <v>10</v>
      </c>
      <c r="U2065" s="5" t="s">
        <v>1386</v>
      </c>
      <c r="V2065" s="5" t="s">
        <v>1386</v>
      </c>
      <c r="W2065" s="5" t="s">
        <v>72</v>
      </c>
      <c r="X2065" s="5" t="s">
        <v>72</v>
      </c>
      <c r="Y2065" s="4">
        <v>170</v>
      </c>
      <c r="Z2065" s="4">
        <v>9</v>
      </c>
      <c r="AA2065" s="4">
        <v>42</v>
      </c>
      <c r="AB2065" s="4">
        <v>1</v>
      </c>
      <c r="AC2065" s="4">
        <v>8</v>
      </c>
      <c r="AD2065" s="4">
        <v>24</v>
      </c>
      <c r="AE2065" s="4">
        <v>51</v>
      </c>
      <c r="AF2065" s="4">
        <v>0</v>
      </c>
      <c r="AG2065" s="4">
        <v>2</v>
      </c>
      <c r="AH2065" s="4">
        <v>24</v>
      </c>
      <c r="AI2065" s="4">
        <v>47</v>
      </c>
      <c r="AJ2065" s="4">
        <v>4</v>
      </c>
      <c r="AK2065" s="4">
        <v>6</v>
      </c>
      <c r="AL2065" s="4">
        <v>15</v>
      </c>
      <c r="AM2065" s="4">
        <v>25</v>
      </c>
      <c r="AN2065" s="4">
        <v>0</v>
      </c>
      <c r="AO2065" s="4">
        <v>0</v>
      </c>
      <c r="AP2065" s="4">
        <v>4</v>
      </c>
      <c r="AQ2065" s="4">
        <v>8</v>
      </c>
      <c r="AR2065" s="3" t="s">
        <v>64</v>
      </c>
      <c r="AS2065" s="3" t="s">
        <v>64</v>
      </c>
      <c r="AT2065" s="3" t="s">
        <v>64</v>
      </c>
      <c r="AV2065" s="6" t="str">
        <f>HYPERLINK("http://mcgill.on.worldcat.org/oclc/610018820","Catalog Record")</f>
        <v>Catalog Record</v>
      </c>
      <c r="AW2065" s="6" t="str">
        <f>HYPERLINK("http://www.worldcat.org/oclc/610018820","WorldCat Record")</f>
        <v>WorldCat Record</v>
      </c>
      <c r="AX2065" s="3" t="s">
        <v>20960</v>
      </c>
      <c r="AY2065" s="3" t="s">
        <v>20961</v>
      </c>
      <c r="AZ2065" s="3" t="s">
        <v>20962</v>
      </c>
      <c r="BA2065" s="3" t="s">
        <v>20962</v>
      </c>
      <c r="BB2065" s="3" t="s">
        <v>20963</v>
      </c>
      <c r="BC2065" s="3" t="s">
        <v>77</v>
      </c>
      <c r="BD2065" s="3" t="s">
        <v>78</v>
      </c>
      <c r="BE2065" s="3" t="s">
        <v>20964</v>
      </c>
      <c r="BF2065" s="3" t="s">
        <v>20963</v>
      </c>
      <c r="BG2065" s="3" t="s">
        <v>20965</v>
      </c>
      <c r="BH2065">
        <f t="shared" si="54"/>
        <v>0</v>
      </c>
    </row>
    <row r="2066" spans="1:60" ht="58" x14ac:dyDescent="0.35">
      <c r="A2066" s="2" t="s">
        <v>59</v>
      </c>
      <c r="B2066" s="2" t="s">
        <v>60</v>
      </c>
      <c r="C2066" s="2" t="s">
        <v>20966</v>
      </c>
      <c r="D2066" s="2" t="s">
        <v>20967</v>
      </c>
      <c r="E2066" s="2" t="s">
        <v>20968</v>
      </c>
      <c r="G2066" s="3" t="s">
        <v>64</v>
      </c>
      <c r="I2066" s="3" t="s">
        <v>64</v>
      </c>
      <c r="J2066" s="3" t="s">
        <v>64</v>
      </c>
      <c r="K2066" s="3" t="s">
        <v>65</v>
      </c>
      <c r="M2066" s="2" t="s">
        <v>19382</v>
      </c>
      <c r="N2066" s="3" t="s">
        <v>1075</v>
      </c>
      <c r="P2066" s="3" t="s">
        <v>102</v>
      </c>
      <c r="R2066" s="3" t="s">
        <v>70</v>
      </c>
      <c r="S2066" s="4">
        <v>0</v>
      </c>
      <c r="T2066" s="4">
        <v>0</v>
      </c>
      <c r="W2066" s="5" t="s">
        <v>72</v>
      </c>
      <c r="X2066" s="5" t="s">
        <v>72</v>
      </c>
      <c r="Y2066" s="4">
        <v>41</v>
      </c>
      <c r="Z2066" s="4">
        <v>7</v>
      </c>
      <c r="AA2066" s="4">
        <v>8</v>
      </c>
      <c r="AB2066" s="4">
        <v>1</v>
      </c>
      <c r="AC2066" s="4">
        <v>2</v>
      </c>
      <c r="AD2066" s="4">
        <v>16</v>
      </c>
      <c r="AE2066" s="4">
        <v>16</v>
      </c>
      <c r="AF2066" s="4">
        <v>0</v>
      </c>
      <c r="AG2066" s="4">
        <v>0</v>
      </c>
      <c r="AH2066" s="4">
        <v>13</v>
      </c>
      <c r="AI2066" s="4">
        <v>13</v>
      </c>
      <c r="AJ2066" s="4">
        <v>3</v>
      </c>
      <c r="AK2066" s="4">
        <v>3</v>
      </c>
      <c r="AL2066" s="4">
        <v>4</v>
      </c>
      <c r="AM2066" s="4">
        <v>4</v>
      </c>
      <c r="AN2066" s="4">
        <v>0</v>
      </c>
      <c r="AO2066" s="4">
        <v>0</v>
      </c>
      <c r="AP2066" s="4">
        <v>5</v>
      </c>
      <c r="AQ2066" s="4">
        <v>5</v>
      </c>
      <c r="AR2066" s="3" t="s">
        <v>64</v>
      </c>
      <c r="AS2066" s="3" t="s">
        <v>64</v>
      </c>
      <c r="AT2066" s="3" t="s">
        <v>64</v>
      </c>
      <c r="AV2066" s="6" t="str">
        <f>HYPERLINK("http://mcgill.on.worldcat.org/oclc/837947991","Catalog Record")</f>
        <v>Catalog Record</v>
      </c>
      <c r="AW2066" s="6" t="str">
        <f>HYPERLINK("http://www.worldcat.org/oclc/837947991","WorldCat Record")</f>
        <v>WorldCat Record</v>
      </c>
      <c r="AX2066" s="3" t="s">
        <v>20969</v>
      </c>
      <c r="AY2066" s="3" t="s">
        <v>20970</v>
      </c>
      <c r="AZ2066" s="3" t="s">
        <v>20971</v>
      </c>
      <c r="BA2066" s="3" t="s">
        <v>20971</v>
      </c>
      <c r="BB2066" s="3" t="s">
        <v>20972</v>
      </c>
      <c r="BC2066" s="3" t="s">
        <v>77</v>
      </c>
      <c r="BD2066" s="3" t="s">
        <v>78</v>
      </c>
      <c r="BE2066" s="3" t="s">
        <v>20973</v>
      </c>
      <c r="BF2066" s="3" t="s">
        <v>20972</v>
      </c>
      <c r="BG2066" s="3" t="s">
        <v>20974</v>
      </c>
      <c r="BH2066">
        <f t="shared" si="54"/>
        <v>0</v>
      </c>
    </row>
    <row r="2067" spans="1:60" ht="58" x14ac:dyDescent="0.35">
      <c r="A2067" s="2" t="s">
        <v>59</v>
      </c>
      <c r="B2067" s="2" t="s">
        <v>60</v>
      </c>
      <c r="C2067" s="2" t="s">
        <v>20975</v>
      </c>
      <c r="D2067" s="2" t="s">
        <v>20976</v>
      </c>
      <c r="E2067" s="2" t="s">
        <v>20977</v>
      </c>
      <c r="G2067" s="3" t="s">
        <v>64</v>
      </c>
      <c r="I2067" s="3" t="s">
        <v>64</v>
      </c>
      <c r="J2067" s="3" t="s">
        <v>64</v>
      </c>
      <c r="K2067" s="3" t="s">
        <v>65</v>
      </c>
      <c r="L2067" s="2" t="s">
        <v>20978</v>
      </c>
      <c r="M2067" s="2" t="s">
        <v>20979</v>
      </c>
      <c r="N2067" s="3" t="s">
        <v>511</v>
      </c>
      <c r="P2067" s="3" t="s">
        <v>102</v>
      </c>
      <c r="R2067" s="3" t="s">
        <v>70</v>
      </c>
      <c r="S2067" s="4">
        <v>4</v>
      </c>
      <c r="T2067" s="4">
        <v>4</v>
      </c>
      <c r="U2067" s="5" t="s">
        <v>20980</v>
      </c>
      <c r="V2067" s="5" t="s">
        <v>20980</v>
      </c>
      <c r="W2067" s="5" t="s">
        <v>72</v>
      </c>
      <c r="X2067" s="5" t="s">
        <v>72</v>
      </c>
      <c r="Y2067" s="4">
        <v>218</v>
      </c>
      <c r="Z2067" s="4">
        <v>21</v>
      </c>
      <c r="AA2067" s="4">
        <v>111</v>
      </c>
      <c r="AB2067" s="4">
        <v>2</v>
      </c>
      <c r="AC2067" s="4">
        <v>17</v>
      </c>
      <c r="AD2067" s="4">
        <v>41</v>
      </c>
      <c r="AE2067" s="4">
        <v>113</v>
      </c>
      <c r="AF2067" s="4">
        <v>1</v>
      </c>
      <c r="AG2067" s="4">
        <v>8</v>
      </c>
      <c r="AH2067" s="4">
        <v>36</v>
      </c>
      <c r="AI2067" s="4">
        <v>77</v>
      </c>
      <c r="AJ2067" s="4">
        <v>9</v>
      </c>
      <c r="AK2067" s="4">
        <v>23</v>
      </c>
      <c r="AL2067" s="4">
        <v>15</v>
      </c>
      <c r="AM2067" s="4">
        <v>35</v>
      </c>
      <c r="AN2067" s="4">
        <v>0</v>
      </c>
      <c r="AO2067" s="4">
        <v>0</v>
      </c>
      <c r="AP2067" s="4">
        <v>12</v>
      </c>
      <c r="AQ2067" s="4">
        <v>45</v>
      </c>
      <c r="AR2067" s="3" t="s">
        <v>64</v>
      </c>
      <c r="AS2067" s="3" t="s">
        <v>64</v>
      </c>
      <c r="AT2067" s="3" t="s">
        <v>64</v>
      </c>
      <c r="AV2067" s="6" t="str">
        <f>HYPERLINK("http://mcgill.on.worldcat.org/oclc/664519499","Catalog Record")</f>
        <v>Catalog Record</v>
      </c>
      <c r="AW2067" s="6" t="str">
        <f>HYPERLINK("http://www.worldcat.org/oclc/664519499","WorldCat Record")</f>
        <v>WorldCat Record</v>
      </c>
      <c r="AX2067" s="3" t="s">
        <v>20981</v>
      </c>
      <c r="AY2067" s="3" t="s">
        <v>20982</v>
      </c>
      <c r="AZ2067" s="3" t="s">
        <v>20983</v>
      </c>
      <c r="BA2067" s="3" t="s">
        <v>20983</v>
      </c>
      <c r="BB2067" s="3" t="s">
        <v>20984</v>
      </c>
      <c r="BC2067" s="3" t="s">
        <v>77</v>
      </c>
      <c r="BD2067" s="3" t="s">
        <v>78</v>
      </c>
      <c r="BE2067" s="3" t="s">
        <v>20985</v>
      </c>
      <c r="BF2067" s="3" t="s">
        <v>20984</v>
      </c>
      <c r="BG2067" s="3" t="s">
        <v>20986</v>
      </c>
      <c r="BH2067">
        <f t="shared" si="54"/>
        <v>0</v>
      </c>
    </row>
    <row r="2068" spans="1:60" ht="58" x14ac:dyDescent="0.35">
      <c r="A2068" s="2" t="s">
        <v>59</v>
      </c>
      <c r="B2068" s="2" t="s">
        <v>60</v>
      </c>
      <c r="C2068" s="2" t="s">
        <v>20987</v>
      </c>
      <c r="D2068" s="2" t="s">
        <v>20988</v>
      </c>
      <c r="E2068" s="2" t="s">
        <v>20989</v>
      </c>
      <c r="G2068" s="3" t="s">
        <v>64</v>
      </c>
      <c r="I2068" s="3" t="s">
        <v>64</v>
      </c>
      <c r="J2068" s="3" t="s">
        <v>64</v>
      </c>
      <c r="K2068" s="3" t="s">
        <v>65</v>
      </c>
      <c r="L2068" s="2" t="s">
        <v>20990</v>
      </c>
      <c r="M2068" s="2" t="s">
        <v>20991</v>
      </c>
      <c r="N2068" s="3" t="s">
        <v>326</v>
      </c>
      <c r="P2068" s="3" t="s">
        <v>68</v>
      </c>
      <c r="R2068" s="3" t="s">
        <v>70</v>
      </c>
      <c r="S2068" s="4">
        <v>1</v>
      </c>
      <c r="T2068" s="4">
        <v>1</v>
      </c>
      <c r="U2068" s="5" t="s">
        <v>20992</v>
      </c>
      <c r="V2068" s="5" t="s">
        <v>20992</v>
      </c>
      <c r="W2068" s="5" t="s">
        <v>72</v>
      </c>
      <c r="X2068" s="5" t="s">
        <v>72</v>
      </c>
      <c r="Y2068" s="4">
        <v>4</v>
      </c>
      <c r="Z2068" s="4">
        <v>2</v>
      </c>
      <c r="AA2068" s="4">
        <v>6</v>
      </c>
      <c r="AB2068" s="4">
        <v>1</v>
      </c>
      <c r="AC2068" s="4">
        <v>5</v>
      </c>
      <c r="AD2068" s="4">
        <v>2</v>
      </c>
      <c r="AE2068" s="4">
        <v>6</v>
      </c>
      <c r="AF2068" s="4">
        <v>0</v>
      </c>
      <c r="AG2068" s="4">
        <v>3</v>
      </c>
      <c r="AH2068" s="4">
        <v>1</v>
      </c>
      <c r="AI2068" s="4">
        <v>2</v>
      </c>
      <c r="AJ2068" s="4">
        <v>0</v>
      </c>
      <c r="AK2068" s="4">
        <v>2</v>
      </c>
      <c r="AL2068" s="4">
        <v>1</v>
      </c>
      <c r="AM2068" s="4">
        <v>1</v>
      </c>
      <c r="AN2068" s="4">
        <v>0</v>
      </c>
      <c r="AO2068" s="4">
        <v>0</v>
      </c>
      <c r="AP2068" s="4">
        <v>1</v>
      </c>
      <c r="AQ2068" s="4">
        <v>3</v>
      </c>
      <c r="AR2068" s="3" t="s">
        <v>128</v>
      </c>
      <c r="AS2068" s="3" t="s">
        <v>64</v>
      </c>
      <c r="AT2068" s="3" t="s">
        <v>64</v>
      </c>
      <c r="AV2068" s="6" t="str">
        <f>HYPERLINK("http://mcgill.on.worldcat.org/oclc/726556990","Catalog Record")</f>
        <v>Catalog Record</v>
      </c>
      <c r="AW2068" s="6" t="str">
        <f>HYPERLINK("http://www.worldcat.org/oclc/726556990","WorldCat Record")</f>
        <v>WorldCat Record</v>
      </c>
      <c r="AX2068" s="3" t="s">
        <v>20993</v>
      </c>
      <c r="AY2068" s="3" t="s">
        <v>20994</v>
      </c>
      <c r="AZ2068" s="3" t="s">
        <v>20995</v>
      </c>
      <c r="BA2068" s="3" t="s">
        <v>20995</v>
      </c>
      <c r="BB2068" s="3" t="s">
        <v>20996</v>
      </c>
      <c r="BC2068" s="3" t="s">
        <v>77</v>
      </c>
      <c r="BD2068" s="3" t="s">
        <v>78</v>
      </c>
      <c r="BE2068" s="3" t="s">
        <v>20997</v>
      </c>
      <c r="BF2068" s="3" t="s">
        <v>20996</v>
      </c>
      <c r="BG2068" s="3" t="s">
        <v>20998</v>
      </c>
      <c r="BH2068">
        <f t="shared" si="54"/>
        <v>0</v>
      </c>
    </row>
    <row r="2069" spans="1:60" ht="58" x14ac:dyDescent="0.35">
      <c r="A2069" s="2" t="s">
        <v>59</v>
      </c>
      <c r="B2069" s="2" t="s">
        <v>60</v>
      </c>
      <c r="C2069" s="2" t="s">
        <v>20999</v>
      </c>
      <c r="D2069" s="2" t="s">
        <v>21000</v>
      </c>
      <c r="E2069" s="2" t="s">
        <v>21001</v>
      </c>
      <c r="G2069" s="3" t="s">
        <v>64</v>
      </c>
      <c r="I2069" s="3" t="s">
        <v>64</v>
      </c>
      <c r="J2069" s="3" t="s">
        <v>64</v>
      </c>
      <c r="K2069" s="3" t="s">
        <v>65</v>
      </c>
      <c r="M2069" s="2" t="s">
        <v>18474</v>
      </c>
      <c r="N2069" s="3" t="s">
        <v>1075</v>
      </c>
      <c r="P2069" s="3" t="s">
        <v>102</v>
      </c>
      <c r="R2069" s="3" t="s">
        <v>70</v>
      </c>
      <c r="S2069" s="4">
        <v>0</v>
      </c>
      <c r="T2069" s="4">
        <v>0</v>
      </c>
      <c r="W2069" s="5" t="s">
        <v>72</v>
      </c>
      <c r="X2069" s="5" t="s">
        <v>72</v>
      </c>
      <c r="Y2069" s="4">
        <v>42</v>
      </c>
      <c r="Z2069" s="4">
        <v>6</v>
      </c>
      <c r="AA2069" s="4">
        <v>8</v>
      </c>
      <c r="AB2069" s="4">
        <v>1</v>
      </c>
      <c r="AC2069" s="4">
        <v>2</v>
      </c>
      <c r="AD2069" s="4">
        <v>20</v>
      </c>
      <c r="AE2069" s="4">
        <v>21</v>
      </c>
      <c r="AF2069" s="4">
        <v>0</v>
      </c>
      <c r="AG2069" s="4">
        <v>0</v>
      </c>
      <c r="AH2069" s="4">
        <v>19</v>
      </c>
      <c r="AI2069" s="4">
        <v>19</v>
      </c>
      <c r="AJ2069" s="4">
        <v>4</v>
      </c>
      <c r="AK2069" s="4">
        <v>5</v>
      </c>
      <c r="AL2069" s="4">
        <v>10</v>
      </c>
      <c r="AM2069" s="4">
        <v>10</v>
      </c>
      <c r="AN2069" s="4">
        <v>0</v>
      </c>
      <c r="AO2069" s="4">
        <v>0</v>
      </c>
      <c r="AP2069" s="4">
        <v>4</v>
      </c>
      <c r="AQ2069" s="4">
        <v>5</v>
      </c>
      <c r="AR2069" s="3" t="s">
        <v>64</v>
      </c>
      <c r="AS2069" s="3" t="s">
        <v>64</v>
      </c>
      <c r="AT2069" s="3" t="s">
        <v>64</v>
      </c>
      <c r="AV2069" s="6" t="str">
        <f>HYPERLINK("http://mcgill.on.worldcat.org/oclc/841897374","Catalog Record")</f>
        <v>Catalog Record</v>
      </c>
      <c r="AW2069" s="6" t="str">
        <f>HYPERLINK("http://www.worldcat.org/oclc/841897374","WorldCat Record")</f>
        <v>WorldCat Record</v>
      </c>
      <c r="AX2069" s="3" t="s">
        <v>21002</v>
      </c>
      <c r="AY2069" s="3" t="s">
        <v>21003</v>
      </c>
      <c r="AZ2069" s="3" t="s">
        <v>21004</v>
      </c>
      <c r="BA2069" s="3" t="s">
        <v>21004</v>
      </c>
      <c r="BB2069" s="3" t="s">
        <v>21005</v>
      </c>
      <c r="BC2069" s="3" t="s">
        <v>77</v>
      </c>
      <c r="BD2069" s="3" t="s">
        <v>78</v>
      </c>
      <c r="BE2069" s="3" t="s">
        <v>21006</v>
      </c>
      <c r="BF2069" s="3" t="s">
        <v>21005</v>
      </c>
      <c r="BG2069" s="3" t="s">
        <v>21007</v>
      </c>
      <c r="BH2069">
        <f t="shared" si="54"/>
        <v>0</v>
      </c>
    </row>
    <row r="2070" spans="1:60" ht="58" x14ac:dyDescent="0.35">
      <c r="A2070" s="2" t="s">
        <v>59</v>
      </c>
      <c r="B2070" s="2" t="s">
        <v>60</v>
      </c>
      <c r="C2070" s="2" t="s">
        <v>21008</v>
      </c>
      <c r="D2070" s="2" t="s">
        <v>21009</v>
      </c>
      <c r="E2070" s="2" t="s">
        <v>21010</v>
      </c>
      <c r="G2070" s="3" t="s">
        <v>64</v>
      </c>
      <c r="I2070" s="3" t="s">
        <v>64</v>
      </c>
      <c r="J2070" s="3" t="s">
        <v>64</v>
      </c>
      <c r="K2070" s="3" t="s">
        <v>65</v>
      </c>
      <c r="M2070" s="2" t="s">
        <v>20347</v>
      </c>
      <c r="N2070" s="3" t="s">
        <v>67</v>
      </c>
      <c r="P2070" s="3" t="s">
        <v>102</v>
      </c>
      <c r="R2070" s="3" t="s">
        <v>70</v>
      </c>
      <c r="S2070" s="4">
        <v>0</v>
      </c>
      <c r="T2070" s="4">
        <v>0</v>
      </c>
      <c r="W2070" s="5" t="s">
        <v>72</v>
      </c>
      <c r="X2070" s="5" t="s">
        <v>72</v>
      </c>
      <c r="Y2070" s="4">
        <v>53</v>
      </c>
      <c r="Z2070" s="4">
        <v>4</v>
      </c>
      <c r="AA2070" s="4">
        <v>5</v>
      </c>
      <c r="AB2070" s="4">
        <v>1</v>
      </c>
      <c r="AC2070" s="4">
        <v>2</v>
      </c>
      <c r="AD2070" s="4">
        <v>18</v>
      </c>
      <c r="AE2070" s="4">
        <v>21</v>
      </c>
      <c r="AF2070" s="4">
        <v>0</v>
      </c>
      <c r="AG2070" s="4">
        <v>0</v>
      </c>
      <c r="AH2070" s="4">
        <v>17</v>
      </c>
      <c r="AI2070" s="4">
        <v>20</v>
      </c>
      <c r="AJ2070" s="4">
        <v>1</v>
      </c>
      <c r="AK2070" s="4">
        <v>1</v>
      </c>
      <c r="AL2070" s="4">
        <v>8</v>
      </c>
      <c r="AM2070" s="4">
        <v>10</v>
      </c>
      <c r="AN2070" s="4">
        <v>0</v>
      </c>
      <c r="AO2070" s="4">
        <v>0</v>
      </c>
      <c r="AP2070" s="4">
        <v>2</v>
      </c>
      <c r="AQ2070" s="4">
        <v>2</v>
      </c>
      <c r="AR2070" s="3" t="s">
        <v>64</v>
      </c>
      <c r="AS2070" s="3" t="s">
        <v>64</v>
      </c>
      <c r="AT2070" s="3" t="s">
        <v>64</v>
      </c>
      <c r="AV2070" s="6" t="str">
        <f>HYPERLINK("http://mcgill.on.worldcat.org/oclc/872522311","Catalog Record")</f>
        <v>Catalog Record</v>
      </c>
      <c r="AW2070" s="6" t="str">
        <f>HYPERLINK("http://www.worldcat.org/oclc/872522311","WorldCat Record")</f>
        <v>WorldCat Record</v>
      </c>
      <c r="AX2070" s="3" t="s">
        <v>21011</v>
      </c>
      <c r="AY2070" s="3" t="s">
        <v>21012</v>
      </c>
      <c r="AZ2070" s="3" t="s">
        <v>21013</v>
      </c>
      <c r="BA2070" s="3" t="s">
        <v>21013</v>
      </c>
      <c r="BB2070" s="3" t="s">
        <v>21014</v>
      </c>
      <c r="BC2070" s="3" t="s">
        <v>77</v>
      </c>
      <c r="BD2070" s="3" t="s">
        <v>78</v>
      </c>
      <c r="BE2070" s="3" t="s">
        <v>21015</v>
      </c>
      <c r="BF2070" s="3" t="s">
        <v>21014</v>
      </c>
      <c r="BG2070" s="3" t="s">
        <v>21016</v>
      </c>
      <c r="BH2070">
        <f t="shared" si="54"/>
        <v>0</v>
      </c>
    </row>
    <row r="2071" spans="1:60" ht="58" x14ac:dyDescent="0.35">
      <c r="A2071" s="2" t="s">
        <v>59</v>
      </c>
      <c r="B2071" s="2" t="s">
        <v>60</v>
      </c>
      <c r="C2071" s="2" t="s">
        <v>21017</v>
      </c>
      <c r="D2071" s="2" t="s">
        <v>21018</v>
      </c>
      <c r="E2071" s="2" t="s">
        <v>21019</v>
      </c>
      <c r="G2071" s="3" t="s">
        <v>64</v>
      </c>
      <c r="I2071" s="3" t="s">
        <v>64</v>
      </c>
      <c r="J2071" s="3" t="s">
        <v>64</v>
      </c>
      <c r="K2071" s="3" t="s">
        <v>65</v>
      </c>
      <c r="M2071" s="2" t="s">
        <v>14706</v>
      </c>
      <c r="N2071" s="3" t="s">
        <v>86</v>
      </c>
      <c r="P2071" s="3" t="s">
        <v>102</v>
      </c>
      <c r="R2071" s="3" t="s">
        <v>70</v>
      </c>
      <c r="S2071" s="4">
        <v>0</v>
      </c>
      <c r="T2071" s="4">
        <v>0</v>
      </c>
      <c r="W2071" s="5" t="s">
        <v>72</v>
      </c>
      <c r="X2071" s="5" t="s">
        <v>72</v>
      </c>
      <c r="Y2071" s="4">
        <v>52</v>
      </c>
      <c r="Z2071" s="4">
        <v>7</v>
      </c>
      <c r="AA2071" s="4">
        <v>15</v>
      </c>
      <c r="AB2071" s="4">
        <v>1</v>
      </c>
      <c r="AC2071" s="4">
        <v>6</v>
      </c>
      <c r="AD2071" s="4">
        <v>14</v>
      </c>
      <c r="AE2071" s="4">
        <v>31</v>
      </c>
      <c r="AF2071" s="4">
        <v>0</v>
      </c>
      <c r="AG2071" s="4">
        <v>2</v>
      </c>
      <c r="AH2071" s="4">
        <v>13</v>
      </c>
      <c r="AI2071" s="4">
        <v>26</v>
      </c>
      <c r="AJ2071" s="4">
        <v>5</v>
      </c>
      <c r="AK2071" s="4">
        <v>8</v>
      </c>
      <c r="AL2071" s="4">
        <v>7</v>
      </c>
      <c r="AM2071" s="4">
        <v>12</v>
      </c>
      <c r="AN2071" s="4">
        <v>0</v>
      </c>
      <c r="AO2071" s="4">
        <v>0</v>
      </c>
      <c r="AP2071" s="4">
        <v>5</v>
      </c>
      <c r="AQ2071" s="4">
        <v>8</v>
      </c>
      <c r="AR2071" s="3" t="s">
        <v>64</v>
      </c>
      <c r="AS2071" s="3" t="s">
        <v>64</v>
      </c>
      <c r="AT2071" s="3" t="s">
        <v>64</v>
      </c>
      <c r="AV2071" s="6" t="str">
        <f>HYPERLINK("http://mcgill.on.worldcat.org/oclc/731191959","Catalog Record")</f>
        <v>Catalog Record</v>
      </c>
      <c r="AW2071" s="6" t="str">
        <f>HYPERLINK("http://www.worldcat.org/oclc/731191959","WorldCat Record")</f>
        <v>WorldCat Record</v>
      </c>
      <c r="AX2071" s="3" t="s">
        <v>21020</v>
      </c>
      <c r="AY2071" s="3" t="s">
        <v>21021</v>
      </c>
      <c r="AZ2071" s="3" t="s">
        <v>21022</v>
      </c>
      <c r="BA2071" s="3" t="s">
        <v>21022</v>
      </c>
      <c r="BB2071" s="3" t="s">
        <v>21023</v>
      </c>
      <c r="BC2071" s="3" t="s">
        <v>77</v>
      </c>
      <c r="BD2071" s="3" t="s">
        <v>78</v>
      </c>
      <c r="BE2071" s="3" t="s">
        <v>21024</v>
      </c>
      <c r="BF2071" s="3" t="s">
        <v>21023</v>
      </c>
      <c r="BG2071" s="3" t="s">
        <v>21025</v>
      </c>
      <c r="BH2071">
        <f t="shared" si="54"/>
        <v>0</v>
      </c>
    </row>
    <row r="2072" spans="1:60" ht="58" x14ac:dyDescent="0.35">
      <c r="A2072" s="2" t="s">
        <v>59</v>
      </c>
      <c r="B2072" s="2" t="s">
        <v>60</v>
      </c>
      <c r="C2072" s="2" t="s">
        <v>21026</v>
      </c>
      <c r="D2072" s="2" t="s">
        <v>21027</v>
      </c>
      <c r="E2072" s="2" t="s">
        <v>21028</v>
      </c>
      <c r="G2072" s="3" t="s">
        <v>64</v>
      </c>
      <c r="I2072" s="3" t="s">
        <v>64</v>
      </c>
      <c r="J2072" s="3" t="s">
        <v>64</v>
      </c>
      <c r="K2072" s="3" t="s">
        <v>65</v>
      </c>
      <c r="M2072" s="2" t="s">
        <v>21029</v>
      </c>
      <c r="N2072" s="3" t="s">
        <v>578</v>
      </c>
      <c r="P2072" s="3" t="s">
        <v>102</v>
      </c>
      <c r="Q2072" s="2" t="s">
        <v>21030</v>
      </c>
      <c r="R2072" s="3" t="s">
        <v>70</v>
      </c>
      <c r="S2072" s="4">
        <v>1</v>
      </c>
      <c r="T2072" s="4">
        <v>1</v>
      </c>
      <c r="U2072" s="5" t="s">
        <v>21031</v>
      </c>
      <c r="V2072" s="5" t="s">
        <v>21031</v>
      </c>
      <c r="W2072" s="5" t="s">
        <v>72</v>
      </c>
      <c r="X2072" s="5" t="s">
        <v>72</v>
      </c>
      <c r="Y2072" s="4">
        <v>155</v>
      </c>
      <c r="Z2072" s="4">
        <v>6</v>
      </c>
      <c r="AA2072" s="4">
        <v>13</v>
      </c>
      <c r="AB2072" s="4">
        <v>1</v>
      </c>
      <c r="AC2072" s="4">
        <v>4</v>
      </c>
      <c r="AD2072" s="4">
        <v>31</v>
      </c>
      <c r="AE2072" s="4">
        <v>40</v>
      </c>
      <c r="AF2072" s="4">
        <v>0</v>
      </c>
      <c r="AG2072" s="4">
        <v>1</v>
      </c>
      <c r="AH2072" s="4">
        <v>28</v>
      </c>
      <c r="AI2072" s="4">
        <v>35</v>
      </c>
      <c r="AJ2072" s="4">
        <v>2</v>
      </c>
      <c r="AK2072" s="4">
        <v>6</v>
      </c>
      <c r="AL2072" s="4">
        <v>21</v>
      </c>
      <c r="AM2072" s="4">
        <v>23</v>
      </c>
      <c r="AN2072" s="4">
        <v>0</v>
      </c>
      <c r="AO2072" s="4">
        <v>0</v>
      </c>
      <c r="AP2072" s="4">
        <v>3</v>
      </c>
      <c r="AQ2072" s="4">
        <v>6</v>
      </c>
      <c r="AR2072" s="3" t="s">
        <v>64</v>
      </c>
      <c r="AS2072" s="3" t="s">
        <v>64</v>
      </c>
      <c r="AT2072" s="3" t="s">
        <v>64</v>
      </c>
      <c r="AV2072" s="6" t="str">
        <f>HYPERLINK("http://mcgill.on.worldcat.org/oclc/965760890","Catalog Record")</f>
        <v>Catalog Record</v>
      </c>
      <c r="AW2072" s="6" t="str">
        <f>HYPERLINK("http://www.worldcat.org/oclc/965760890","WorldCat Record")</f>
        <v>WorldCat Record</v>
      </c>
      <c r="AX2072" s="3" t="s">
        <v>21032</v>
      </c>
      <c r="AY2072" s="3" t="s">
        <v>21033</v>
      </c>
      <c r="AZ2072" s="3" t="s">
        <v>21034</v>
      </c>
      <c r="BA2072" s="3" t="s">
        <v>21034</v>
      </c>
      <c r="BB2072" s="3" t="s">
        <v>21035</v>
      </c>
      <c r="BC2072" s="3" t="s">
        <v>77</v>
      </c>
      <c r="BD2072" s="3" t="s">
        <v>78</v>
      </c>
      <c r="BE2072" s="3" t="s">
        <v>21036</v>
      </c>
      <c r="BF2072" s="3" t="s">
        <v>21035</v>
      </c>
      <c r="BG2072" s="3" t="s">
        <v>21037</v>
      </c>
      <c r="BH2072">
        <f t="shared" si="54"/>
        <v>0</v>
      </c>
    </row>
    <row r="2073" spans="1:60" ht="58" x14ac:dyDescent="0.35">
      <c r="A2073" s="2" t="s">
        <v>59</v>
      </c>
      <c r="B2073" s="2" t="s">
        <v>60</v>
      </c>
      <c r="C2073" s="2" t="s">
        <v>21038</v>
      </c>
      <c r="D2073" s="2" t="s">
        <v>21039</v>
      </c>
      <c r="E2073" s="2" t="s">
        <v>21040</v>
      </c>
      <c r="G2073" s="3" t="s">
        <v>64</v>
      </c>
      <c r="H2073" s="3" t="s">
        <v>183</v>
      </c>
      <c r="I2073" s="3" t="s">
        <v>64</v>
      </c>
      <c r="J2073" s="3" t="s">
        <v>64</v>
      </c>
      <c r="K2073" s="3" t="s">
        <v>65</v>
      </c>
      <c r="M2073" s="2" t="s">
        <v>21041</v>
      </c>
      <c r="N2073" s="3" t="s">
        <v>1492</v>
      </c>
      <c r="P2073" s="3" t="s">
        <v>102</v>
      </c>
      <c r="R2073" s="3" t="s">
        <v>70</v>
      </c>
      <c r="S2073" s="4">
        <v>0</v>
      </c>
      <c r="T2073" s="4">
        <v>0</v>
      </c>
      <c r="W2073" s="5" t="s">
        <v>21042</v>
      </c>
      <c r="X2073" s="5" t="s">
        <v>21042</v>
      </c>
      <c r="Y2073" s="4">
        <v>216</v>
      </c>
      <c r="Z2073" s="4">
        <v>6</v>
      </c>
      <c r="AA2073" s="4">
        <v>9</v>
      </c>
      <c r="AB2073" s="4">
        <v>1</v>
      </c>
      <c r="AC2073" s="4">
        <v>4</v>
      </c>
      <c r="AD2073" s="4">
        <v>48</v>
      </c>
      <c r="AE2073" s="4">
        <v>52</v>
      </c>
      <c r="AF2073" s="4">
        <v>0</v>
      </c>
      <c r="AG2073" s="4">
        <v>1</v>
      </c>
      <c r="AH2073" s="4">
        <v>47</v>
      </c>
      <c r="AI2073" s="4">
        <v>50</v>
      </c>
      <c r="AJ2073" s="4">
        <v>3</v>
      </c>
      <c r="AK2073" s="4">
        <v>4</v>
      </c>
      <c r="AL2073" s="4">
        <v>25</v>
      </c>
      <c r="AM2073" s="4">
        <v>27</v>
      </c>
      <c r="AN2073" s="4">
        <v>0</v>
      </c>
      <c r="AO2073" s="4">
        <v>0</v>
      </c>
      <c r="AP2073" s="4">
        <v>4</v>
      </c>
      <c r="AQ2073" s="4">
        <v>5</v>
      </c>
      <c r="AR2073" s="3" t="s">
        <v>64</v>
      </c>
      <c r="AS2073" s="3" t="s">
        <v>64</v>
      </c>
      <c r="AT2073" s="3" t="s">
        <v>64</v>
      </c>
      <c r="AV2073" s="6" t="str">
        <f>HYPERLINK("http://mcgill.on.worldcat.org/oclc/1051070322","Catalog Record")</f>
        <v>Catalog Record</v>
      </c>
      <c r="AW2073" s="6" t="str">
        <f>HYPERLINK("http://www.worldcat.org/oclc/1051070322","WorldCat Record")</f>
        <v>WorldCat Record</v>
      </c>
      <c r="AX2073" s="3" t="s">
        <v>21043</v>
      </c>
      <c r="AY2073" s="3" t="s">
        <v>21044</v>
      </c>
      <c r="AZ2073" s="3" t="s">
        <v>21045</v>
      </c>
      <c r="BA2073" s="3" t="s">
        <v>21045</v>
      </c>
      <c r="BB2073" s="3" t="s">
        <v>21046</v>
      </c>
      <c r="BC2073" s="3" t="s">
        <v>77</v>
      </c>
      <c r="BD2073" s="3" t="s">
        <v>78</v>
      </c>
      <c r="BE2073" s="3" t="s">
        <v>21047</v>
      </c>
      <c r="BF2073" s="3" t="s">
        <v>21046</v>
      </c>
      <c r="BG2073" s="3" t="s">
        <v>21048</v>
      </c>
      <c r="BH2073">
        <f t="shared" si="54"/>
        <v>0</v>
      </c>
    </row>
    <row r="2074" spans="1:60" ht="58" x14ac:dyDescent="0.35">
      <c r="A2074" s="2" t="s">
        <v>59</v>
      </c>
      <c r="B2074" s="2" t="s">
        <v>60</v>
      </c>
      <c r="C2074" s="2" t="s">
        <v>21049</v>
      </c>
      <c r="D2074" s="2" t="s">
        <v>21050</v>
      </c>
      <c r="E2074" s="2" t="s">
        <v>21051</v>
      </c>
      <c r="G2074" s="3" t="s">
        <v>64</v>
      </c>
      <c r="I2074" s="3" t="s">
        <v>64</v>
      </c>
      <c r="J2074" s="3" t="s">
        <v>64</v>
      </c>
      <c r="K2074" s="3" t="s">
        <v>65</v>
      </c>
      <c r="L2074" s="2" t="s">
        <v>21052</v>
      </c>
      <c r="M2074" s="2" t="s">
        <v>17106</v>
      </c>
      <c r="N2074" s="3" t="s">
        <v>1075</v>
      </c>
      <c r="P2074" s="3" t="s">
        <v>102</v>
      </c>
      <c r="Q2074" s="2" t="s">
        <v>21053</v>
      </c>
      <c r="R2074" s="3" t="s">
        <v>70</v>
      </c>
      <c r="S2074" s="4">
        <v>0</v>
      </c>
      <c r="T2074" s="4">
        <v>0</v>
      </c>
      <c r="W2074" s="5" t="s">
        <v>72</v>
      </c>
      <c r="X2074" s="5" t="s">
        <v>72</v>
      </c>
      <c r="Y2074" s="4">
        <v>143</v>
      </c>
      <c r="Z2074" s="4">
        <v>13</v>
      </c>
      <c r="AA2074" s="4">
        <v>109</v>
      </c>
      <c r="AB2074" s="4">
        <v>3</v>
      </c>
      <c r="AC2074" s="4">
        <v>15</v>
      </c>
      <c r="AD2074" s="4">
        <v>24</v>
      </c>
      <c r="AE2074" s="4">
        <v>109</v>
      </c>
      <c r="AF2074" s="4">
        <v>1</v>
      </c>
      <c r="AG2074" s="4">
        <v>8</v>
      </c>
      <c r="AH2074" s="4">
        <v>21</v>
      </c>
      <c r="AI2074" s="4">
        <v>69</v>
      </c>
      <c r="AJ2074" s="4">
        <v>6</v>
      </c>
      <c r="AK2074" s="4">
        <v>20</v>
      </c>
      <c r="AL2074" s="4">
        <v>10</v>
      </c>
      <c r="AM2074" s="4">
        <v>33</v>
      </c>
      <c r="AN2074" s="4">
        <v>0</v>
      </c>
      <c r="AO2074" s="4">
        <v>0</v>
      </c>
      <c r="AP2074" s="4">
        <v>7</v>
      </c>
      <c r="AQ2074" s="4">
        <v>44</v>
      </c>
      <c r="AR2074" s="3" t="s">
        <v>64</v>
      </c>
      <c r="AS2074" s="3" t="s">
        <v>64</v>
      </c>
      <c r="AT2074" s="3" t="s">
        <v>64</v>
      </c>
      <c r="AV2074" s="6" t="str">
        <f>HYPERLINK("http://mcgill.on.worldcat.org/oclc/817721640","Catalog Record")</f>
        <v>Catalog Record</v>
      </c>
      <c r="AW2074" s="6" t="str">
        <f>HYPERLINK("http://www.worldcat.org/oclc/817721640","WorldCat Record")</f>
        <v>WorldCat Record</v>
      </c>
      <c r="AX2074" s="3" t="s">
        <v>21054</v>
      </c>
      <c r="AY2074" s="3" t="s">
        <v>21055</v>
      </c>
      <c r="AZ2074" s="3" t="s">
        <v>21056</v>
      </c>
      <c r="BA2074" s="3" t="s">
        <v>21056</v>
      </c>
      <c r="BB2074" s="3" t="s">
        <v>21057</v>
      </c>
      <c r="BC2074" s="3" t="s">
        <v>77</v>
      </c>
      <c r="BD2074" s="3" t="s">
        <v>78</v>
      </c>
      <c r="BE2074" s="3" t="s">
        <v>21058</v>
      </c>
      <c r="BF2074" s="3" t="s">
        <v>21057</v>
      </c>
      <c r="BG2074" s="3" t="s">
        <v>21059</v>
      </c>
      <c r="BH2074">
        <f t="shared" si="54"/>
        <v>0</v>
      </c>
    </row>
    <row r="2075" spans="1:60" ht="58" x14ac:dyDescent="0.35">
      <c r="A2075" s="2" t="s">
        <v>59</v>
      </c>
      <c r="B2075" s="2" t="s">
        <v>60</v>
      </c>
      <c r="C2075" s="2" t="s">
        <v>21060</v>
      </c>
      <c r="D2075" s="2" t="s">
        <v>21061</v>
      </c>
      <c r="E2075" s="2" t="s">
        <v>21062</v>
      </c>
      <c r="G2075" s="3" t="s">
        <v>64</v>
      </c>
      <c r="I2075" s="3" t="s">
        <v>64</v>
      </c>
      <c r="J2075" s="3" t="s">
        <v>64</v>
      </c>
      <c r="K2075" s="3" t="s">
        <v>65</v>
      </c>
      <c r="L2075" s="2" t="s">
        <v>15213</v>
      </c>
      <c r="M2075" s="2" t="s">
        <v>14097</v>
      </c>
      <c r="N2075" s="3" t="s">
        <v>1075</v>
      </c>
      <c r="P2075" s="3" t="s">
        <v>102</v>
      </c>
      <c r="Q2075" s="2" t="s">
        <v>15181</v>
      </c>
      <c r="R2075" s="3" t="s">
        <v>70</v>
      </c>
      <c r="S2075" s="4">
        <v>9</v>
      </c>
      <c r="T2075" s="4">
        <v>9</v>
      </c>
      <c r="U2075" s="5" t="s">
        <v>13521</v>
      </c>
      <c r="V2075" s="5" t="s">
        <v>13521</v>
      </c>
      <c r="W2075" s="5" t="s">
        <v>72</v>
      </c>
      <c r="X2075" s="5" t="s">
        <v>72</v>
      </c>
      <c r="Y2075" s="4">
        <v>178</v>
      </c>
      <c r="Z2075" s="4">
        <v>18</v>
      </c>
      <c r="AA2075" s="4">
        <v>54</v>
      </c>
      <c r="AB2075" s="4">
        <v>1</v>
      </c>
      <c r="AC2075" s="4">
        <v>3</v>
      </c>
      <c r="AD2075" s="4">
        <v>43</v>
      </c>
      <c r="AE2075" s="4">
        <v>58</v>
      </c>
      <c r="AF2075" s="4">
        <v>0</v>
      </c>
      <c r="AG2075" s="4">
        <v>0</v>
      </c>
      <c r="AH2075" s="4">
        <v>39</v>
      </c>
      <c r="AI2075" s="4">
        <v>48</v>
      </c>
      <c r="AJ2075" s="4">
        <v>10</v>
      </c>
      <c r="AK2075" s="4">
        <v>12</v>
      </c>
      <c r="AL2075" s="4">
        <v>19</v>
      </c>
      <c r="AM2075" s="4">
        <v>23</v>
      </c>
      <c r="AN2075" s="4">
        <v>0</v>
      </c>
      <c r="AO2075" s="4">
        <v>0</v>
      </c>
      <c r="AP2075" s="4">
        <v>10</v>
      </c>
      <c r="AQ2075" s="4">
        <v>15</v>
      </c>
      <c r="AR2075" s="3" t="s">
        <v>64</v>
      </c>
      <c r="AS2075" s="3" t="s">
        <v>64</v>
      </c>
      <c r="AT2075" s="3" t="s">
        <v>64</v>
      </c>
      <c r="AV2075" s="6" t="str">
        <f>HYPERLINK("http://mcgill.on.worldcat.org/oclc/816512986","Catalog Record")</f>
        <v>Catalog Record</v>
      </c>
      <c r="AW2075" s="6" t="str">
        <f>HYPERLINK("http://www.worldcat.org/oclc/816512986","WorldCat Record")</f>
        <v>WorldCat Record</v>
      </c>
      <c r="AX2075" s="3" t="s">
        <v>21063</v>
      </c>
      <c r="AY2075" s="3" t="s">
        <v>21064</v>
      </c>
      <c r="AZ2075" s="3" t="s">
        <v>21065</v>
      </c>
      <c r="BA2075" s="3" t="s">
        <v>21065</v>
      </c>
      <c r="BB2075" s="3" t="s">
        <v>21066</v>
      </c>
      <c r="BC2075" s="3" t="s">
        <v>77</v>
      </c>
      <c r="BD2075" s="3" t="s">
        <v>165</v>
      </c>
      <c r="BE2075" s="3" t="s">
        <v>21067</v>
      </c>
      <c r="BF2075" s="3" t="s">
        <v>21066</v>
      </c>
      <c r="BG2075" s="3" t="s">
        <v>21068</v>
      </c>
      <c r="BH2075">
        <f t="shared" si="54"/>
        <v>0</v>
      </c>
    </row>
    <row r="2076" spans="1:60" ht="58" x14ac:dyDescent="0.35">
      <c r="A2076" s="2" t="s">
        <v>59</v>
      </c>
      <c r="B2076" s="2" t="s">
        <v>60</v>
      </c>
      <c r="C2076" s="2" t="s">
        <v>21069</v>
      </c>
      <c r="D2076" s="2" t="s">
        <v>21070</v>
      </c>
      <c r="E2076" s="2" t="s">
        <v>21071</v>
      </c>
      <c r="G2076" s="3" t="s">
        <v>64</v>
      </c>
      <c r="I2076" s="3" t="s">
        <v>64</v>
      </c>
      <c r="J2076" s="3" t="s">
        <v>64</v>
      </c>
      <c r="K2076" s="3" t="s">
        <v>65</v>
      </c>
      <c r="L2076" s="2" t="s">
        <v>21072</v>
      </c>
      <c r="M2076" s="2" t="s">
        <v>16229</v>
      </c>
      <c r="N2076" s="3" t="s">
        <v>190</v>
      </c>
      <c r="P2076" s="3" t="s">
        <v>102</v>
      </c>
      <c r="Q2076" s="2" t="s">
        <v>14022</v>
      </c>
      <c r="R2076" s="3" t="s">
        <v>70</v>
      </c>
      <c r="S2076" s="4">
        <v>0</v>
      </c>
      <c r="T2076" s="4">
        <v>0</v>
      </c>
      <c r="W2076" s="5" t="s">
        <v>72</v>
      </c>
      <c r="X2076" s="5" t="s">
        <v>72</v>
      </c>
      <c r="Y2076" s="4">
        <v>223</v>
      </c>
      <c r="Z2076" s="4">
        <v>16</v>
      </c>
      <c r="AA2076" s="4">
        <v>18</v>
      </c>
      <c r="AB2076" s="4">
        <v>1</v>
      </c>
      <c r="AC2076" s="4">
        <v>3</v>
      </c>
      <c r="AD2076" s="4">
        <v>61</v>
      </c>
      <c r="AE2076" s="4">
        <v>64</v>
      </c>
      <c r="AF2076" s="4">
        <v>0</v>
      </c>
      <c r="AG2076" s="4">
        <v>2</v>
      </c>
      <c r="AH2076" s="4">
        <v>54</v>
      </c>
      <c r="AI2076" s="4">
        <v>55</v>
      </c>
      <c r="AJ2076" s="4">
        <v>8</v>
      </c>
      <c r="AK2076" s="4">
        <v>10</v>
      </c>
      <c r="AL2076" s="4">
        <v>28</v>
      </c>
      <c r="AM2076" s="4">
        <v>29</v>
      </c>
      <c r="AN2076" s="4">
        <v>0</v>
      </c>
      <c r="AO2076" s="4">
        <v>0</v>
      </c>
      <c r="AP2076" s="4">
        <v>11</v>
      </c>
      <c r="AQ2076" s="4">
        <v>12</v>
      </c>
      <c r="AR2076" s="3" t="s">
        <v>64</v>
      </c>
      <c r="AS2076" s="3" t="s">
        <v>64</v>
      </c>
      <c r="AT2076" s="3" t="s">
        <v>64</v>
      </c>
      <c r="AV2076" s="6" t="str">
        <f>HYPERLINK("http://mcgill.on.worldcat.org/oclc/1004555534","Catalog Record")</f>
        <v>Catalog Record</v>
      </c>
      <c r="AW2076" s="6" t="str">
        <f>HYPERLINK("http://www.worldcat.org/oclc/1004555534","WorldCat Record")</f>
        <v>WorldCat Record</v>
      </c>
      <c r="AX2076" s="3" t="s">
        <v>21073</v>
      </c>
      <c r="AY2076" s="3" t="s">
        <v>21074</v>
      </c>
      <c r="AZ2076" s="3" t="s">
        <v>21075</v>
      </c>
      <c r="BA2076" s="3" t="s">
        <v>21075</v>
      </c>
      <c r="BB2076" s="3" t="s">
        <v>21076</v>
      </c>
      <c r="BC2076" s="3" t="s">
        <v>77</v>
      </c>
      <c r="BD2076" s="3" t="s">
        <v>78</v>
      </c>
      <c r="BE2076" s="3" t="s">
        <v>21077</v>
      </c>
      <c r="BF2076" s="3" t="s">
        <v>21076</v>
      </c>
      <c r="BG2076" s="3" t="s">
        <v>21078</v>
      </c>
      <c r="BH2076">
        <f t="shared" si="54"/>
        <v>0</v>
      </c>
    </row>
    <row r="2077" spans="1:60" ht="58" x14ac:dyDescent="0.35">
      <c r="A2077" s="2" t="s">
        <v>59</v>
      </c>
      <c r="B2077" s="2" t="s">
        <v>60</v>
      </c>
      <c r="C2077" s="2" t="s">
        <v>21079</v>
      </c>
      <c r="D2077" s="2" t="s">
        <v>21080</v>
      </c>
      <c r="E2077" s="2" t="s">
        <v>21081</v>
      </c>
      <c r="G2077" s="3" t="s">
        <v>64</v>
      </c>
      <c r="I2077" s="3" t="s">
        <v>64</v>
      </c>
      <c r="J2077" s="3" t="s">
        <v>64</v>
      </c>
      <c r="K2077" s="3" t="s">
        <v>65</v>
      </c>
      <c r="L2077" s="2" t="s">
        <v>21082</v>
      </c>
      <c r="M2077" s="2" t="s">
        <v>21083</v>
      </c>
      <c r="N2077" s="3" t="s">
        <v>1275</v>
      </c>
      <c r="P2077" s="3" t="s">
        <v>102</v>
      </c>
      <c r="R2077" s="3" t="s">
        <v>70</v>
      </c>
      <c r="S2077" s="4">
        <v>67</v>
      </c>
      <c r="T2077" s="4">
        <v>67</v>
      </c>
      <c r="U2077" s="5" t="s">
        <v>6010</v>
      </c>
      <c r="V2077" s="5" t="s">
        <v>6010</v>
      </c>
      <c r="W2077" s="5" t="s">
        <v>72</v>
      </c>
      <c r="X2077" s="5" t="s">
        <v>72</v>
      </c>
      <c r="Y2077" s="4">
        <v>534</v>
      </c>
      <c r="Z2077" s="4">
        <v>30</v>
      </c>
      <c r="AA2077" s="4">
        <v>114</v>
      </c>
      <c r="AB2077" s="4">
        <v>4</v>
      </c>
      <c r="AC2077" s="4">
        <v>21</v>
      </c>
      <c r="AD2077" s="4">
        <v>95</v>
      </c>
      <c r="AE2077" s="4">
        <v>141</v>
      </c>
      <c r="AF2077" s="4">
        <v>2</v>
      </c>
      <c r="AG2077" s="4">
        <v>9</v>
      </c>
      <c r="AH2077" s="4">
        <v>81</v>
      </c>
      <c r="AI2077" s="4">
        <v>100</v>
      </c>
      <c r="AJ2077" s="4">
        <v>12</v>
      </c>
      <c r="AK2077" s="4">
        <v>24</v>
      </c>
      <c r="AL2077" s="4">
        <v>40</v>
      </c>
      <c r="AM2077" s="4">
        <v>50</v>
      </c>
      <c r="AN2077" s="4">
        <v>0</v>
      </c>
      <c r="AO2077" s="4">
        <v>0</v>
      </c>
      <c r="AP2077" s="4">
        <v>17</v>
      </c>
      <c r="AQ2077" s="4">
        <v>47</v>
      </c>
      <c r="AR2077" s="3" t="s">
        <v>64</v>
      </c>
      <c r="AS2077" s="3" t="s">
        <v>64</v>
      </c>
      <c r="AT2077" s="3" t="s">
        <v>64</v>
      </c>
      <c r="AV2077" s="6" t="str">
        <f>HYPERLINK("http://mcgill.on.worldcat.org/oclc/52542586","Catalog Record")</f>
        <v>Catalog Record</v>
      </c>
      <c r="AW2077" s="6" t="str">
        <f>HYPERLINK("http://www.worldcat.org/oclc/52542586","WorldCat Record")</f>
        <v>WorldCat Record</v>
      </c>
      <c r="AX2077" s="3" t="s">
        <v>21084</v>
      </c>
      <c r="AY2077" s="3" t="s">
        <v>21085</v>
      </c>
      <c r="AZ2077" s="3" t="s">
        <v>21086</v>
      </c>
      <c r="BA2077" s="3" t="s">
        <v>21086</v>
      </c>
      <c r="BB2077" s="3" t="s">
        <v>21087</v>
      </c>
      <c r="BC2077" s="3" t="s">
        <v>77</v>
      </c>
      <c r="BD2077" s="3" t="s">
        <v>78</v>
      </c>
      <c r="BE2077" s="3" t="s">
        <v>21088</v>
      </c>
      <c r="BF2077" s="3" t="s">
        <v>21087</v>
      </c>
      <c r="BG2077" s="3" t="s">
        <v>21089</v>
      </c>
      <c r="BH2077">
        <f t="shared" si="54"/>
        <v>0</v>
      </c>
    </row>
    <row r="2078" spans="1:60" ht="58" x14ac:dyDescent="0.35">
      <c r="A2078" s="2" t="s">
        <v>59</v>
      </c>
      <c r="B2078" s="2" t="s">
        <v>60</v>
      </c>
      <c r="C2078" s="2" t="s">
        <v>21090</v>
      </c>
      <c r="D2078" s="2" t="s">
        <v>21091</v>
      </c>
      <c r="E2078" s="2" t="s">
        <v>21092</v>
      </c>
      <c r="F2078" s="3" t="s">
        <v>7062</v>
      </c>
      <c r="G2078" s="3" t="s">
        <v>64</v>
      </c>
      <c r="I2078" s="3" t="s">
        <v>64</v>
      </c>
      <c r="J2078" s="3" t="s">
        <v>64</v>
      </c>
      <c r="K2078" s="3" t="s">
        <v>65</v>
      </c>
      <c r="L2078" s="2" t="s">
        <v>21093</v>
      </c>
      <c r="M2078" s="2" t="s">
        <v>19709</v>
      </c>
      <c r="N2078" s="3" t="s">
        <v>291</v>
      </c>
      <c r="P2078" s="3" t="s">
        <v>102</v>
      </c>
      <c r="Q2078" s="2" t="s">
        <v>21094</v>
      </c>
      <c r="R2078" s="3" t="s">
        <v>70</v>
      </c>
      <c r="S2078" s="4">
        <v>9</v>
      </c>
      <c r="T2078" s="4">
        <v>9</v>
      </c>
      <c r="U2078" s="5" t="s">
        <v>6010</v>
      </c>
      <c r="V2078" s="5" t="s">
        <v>6010</v>
      </c>
      <c r="W2078" s="5" t="s">
        <v>72</v>
      </c>
      <c r="X2078" s="5" t="s">
        <v>72</v>
      </c>
      <c r="Y2078" s="4">
        <v>226</v>
      </c>
      <c r="Z2078" s="4">
        <v>13</v>
      </c>
      <c r="AA2078" s="4">
        <v>16</v>
      </c>
      <c r="AB2078" s="4">
        <v>1</v>
      </c>
      <c r="AC2078" s="4">
        <v>4</v>
      </c>
      <c r="AD2078" s="4">
        <v>45</v>
      </c>
      <c r="AE2078" s="4">
        <v>48</v>
      </c>
      <c r="AF2078" s="4">
        <v>0</v>
      </c>
      <c r="AG2078" s="4">
        <v>3</v>
      </c>
      <c r="AH2078" s="4">
        <v>42</v>
      </c>
      <c r="AI2078" s="4">
        <v>42</v>
      </c>
      <c r="AJ2078" s="4">
        <v>6</v>
      </c>
      <c r="AK2078" s="4">
        <v>8</v>
      </c>
      <c r="AL2078" s="4">
        <v>19</v>
      </c>
      <c r="AM2078" s="4">
        <v>19</v>
      </c>
      <c r="AN2078" s="4">
        <v>0</v>
      </c>
      <c r="AO2078" s="4">
        <v>0</v>
      </c>
      <c r="AP2078" s="4">
        <v>8</v>
      </c>
      <c r="AQ2078" s="4">
        <v>10</v>
      </c>
      <c r="AR2078" s="3" t="s">
        <v>64</v>
      </c>
      <c r="AS2078" s="3" t="s">
        <v>64</v>
      </c>
      <c r="AT2078" s="3" t="s">
        <v>128</v>
      </c>
      <c r="AU2078" s="6" t="str">
        <f>HYPERLINK("http://catalog.hathitrust.org/Record/005664136","HathiTrust Record")</f>
        <v>HathiTrust Record</v>
      </c>
      <c r="AV2078" s="6" t="str">
        <f>HYPERLINK("http://mcgill.on.worldcat.org/oclc/85833283","Catalog Record")</f>
        <v>Catalog Record</v>
      </c>
      <c r="AW2078" s="6" t="str">
        <f>HYPERLINK("http://www.worldcat.org/oclc/85833283","WorldCat Record")</f>
        <v>WorldCat Record</v>
      </c>
      <c r="AX2078" s="3" t="s">
        <v>21095</v>
      </c>
      <c r="AY2078" s="3" t="s">
        <v>21096</v>
      </c>
      <c r="AZ2078" s="3" t="s">
        <v>21097</v>
      </c>
      <c r="BA2078" s="3" t="s">
        <v>21097</v>
      </c>
      <c r="BB2078" s="3" t="s">
        <v>21098</v>
      </c>
      <c r="BC2078" s="3" t="s">
        <v>77</v>
      </c>
      <c r="BD2078" s="3" t="s">
        <v>78</v>
      </c>
      <c r="BE2078" s="3" t="s">
        <v>21099</v>
      </c>
      <c r="BF2078" s="3" t="s">
        <v>21098</v>
      </c>
      <c r="BG2078" s="3" t="s">
        <v>21100</v>
      </c>
      <c r="BH2078">
        <f t="shared" si="54"/>
        <v>0</v>
      </c>
    </row>
    <row r="2079" spans="1:60" ht="72.5" x14ac:dyDescent="0.35">
      <c r="A2079" s="2" t="s">
        <v>59</v>
      </c>
      <c r="B2079" s="2" t="s">
        <v>60</v>
      </c>
      <c r="C2079" s="2" t="s">
        <v>21101</v>
      </c>
      <c r="D2079" s="2" t="s">
        <v>21102</v>
      </c>
      <c r="E2079" s="2" t="s">
        <v>21103</v>
      </c>
      <c r="G2079" s="3" t="s">
        <v>64</v>
      </c>
      <c r="I2079" s="3" t="s">
        <v>64</v>
      </c>
      <c r="J2079" s="3" t="s">
        <v>64</v>
      </c>
      <c r="K2079" s="3" t="s">
        <v>65</v>
      </c>
      <c r="M2079" s="2" t="s">
        <v>21104</v>
      </c>
      <c r="N2079" s="3" t="s">
        <v>511</v>
      </c>
      <c r="P2079" s="3" t="s">
        <v>102</v>
      </c>
      <c r="R2079" s="3" t="s">
        <v>70</v>
      </c>
      <c r="S2079" s="4">
        <v>10</v>
      </c>
      <c r="T2079" s="4">
        <v>10</v>
      </c>
      <c r="U2079" s="5" t="s">
        <v>17095</v>
      </c>
      <c r="V2079" s="5" t="s">
        <v>17095</v>
      </c>
      <c r="W2079" s="5" t="s">
        <v>72</v>
      </c>
      <c r="X2079" s="5" t="s">
        <v>72</v>
      </c>
      <c r="Y2079" s="4">
        <v>134</v>
      </c>
      <c r="Z2079" s="4">
        <v>15</v>
      </c>
      <c r="AA2079" s="4">
        <v>19</v>
      </c>
      <c r="AB2079" s="4">
        <v>2</v>
      </c>
      <c r="AC2079" s="4">
        <v>5</v>
      </c>
      <c r="AD2079" s="4">
        <v>47</v>
      </c>
      <c r="AE2079" s="4">
        <v>50</v>
      </c>
      <c r="AF2079" s="4">
        <v>0</v>
      </c>
      <c r="AG2079" s="4">
        <v>3</v>
      </c>
      <c r="AH2079" s="4">
        <v>44</v>
      </c>
      <c r="AI2079" s="4">
        <v>45</v>
      </c>
      <c r="AJ2079" s="4">
        <v>8</v>
      </c>
      <c r="AK2079" s="4">
        <v>11</v>
      </c>
      <c r="AL2079" s="4">
        <v>30</v>
      </c>
      <c r="AM2079" s="4">
        <v>30</v>
      </c>
      <c r="AN2079" s="4">
        <v>0</v>
      </c>
      <c r="AO2079" s="4">
        <v>0</v>
      </c>
      <c r="AP2079" s="4">
        <v>8</v>
      </c>
      <c r="AQ2079" s="4">
        <v>10</v>
      </c>
      <c r="AR2079" s="3" t="s">
        <v>64</v>
      </c>
      <c r="AS2079" s="3" t="s">
        <v>64</v>
      </c>
      <c r="AT2079" s="3" t="s">
        <v>64</v>
      </c>
      <c r="AV2079" s="6" t="str">
        <f>HYPERLINK("http://mcgill.on.worldcat.org/oclc/505749973","Catalog Record")</f>
        <v>Catalog Record</v>
      </c>
      <c r="AW2079" s="6" t="str">
        <f>HYPERLINK("http://www.worldcat.org/oclc/505749973","WorldCat Record")</f>
        <v>WorldCat Record</v>
      </c>
      <c r="AX2079" s="3" t="s">
        <v>21105</v>
      </c>
      <c r="AY2079" s="3" t="s">
        <v>21106</v>
      </c>
      <c r="AZ2079" s="3" t="s">
        <v>21107</v>
      </c>
      <c r="BA2079" s="3" t="s">
        <v>21107</v>
      </c>
      <c r="BB2079" s="3" t="s">
        <v>21108</v>
      </c>
      <c r="BC2079" s="3" t="s">
        <v>77</v>
      </c>
      <c r="BD2079" s="3" t="s">
        <v>78</v>
      </c>
      <c r="BE2079" s="3" t="s">
        <v>21109</v>
      </c>
      <c r="BF2079" s="3" t="s">
        <v>21108</v>
      </c>
      <c r="BG2079" s="3" t="s">
        <v>21110</v>
      </c>
      <c r="BH2079">
        <f t="shared" si="54"/>
        <v>0</v>
      </c>
    </row>
    <row r="2080" spans="1:60" ht="72.5" x14ac:dyDescent="0.35">
      <c r="A2080" s="2" t="s">
        <v>59</v>
      </c>
      <c r="B2080" s="2" t="s">
        <v>1025</v>
      </c>
      <c r="C2080" s="2" t="s">
        <v>21111</v>
      </c>
      <c r="D2080" s="2" t="s">
        <v>21112</v>
      </c>
      <c r="E2080" s="2" t="s">
        <v>21113</v>
      </c>
      <c r="G2080" s="3" t="s">
        <v>64</v>
      </c>
      <c r="I2080" s="3" t="s">
        <v>64</v>
      </c>
      <c r="J2080" s="3" t="s">
        <v>128</v>
      </c>
      <c r="K2080" s="3" t="s">
        <v>65</v>
      </c>
      <c r="L2080" s="2" t="s">
        <v>21114</v>
      </c>
      <c r="M2080" s="2" t="s">
        <v>21115</v>
      </c>
      <c r="N2080" s="3" t="s">
        <v>1017</v>
      </c>
      <c r="P2080" s="3" t="s">
        <v>102</v>
      </c>
      <c r="R2080" s="3" t="s">
        <v>70</v>
      </c>
      <c r="S2080" s="4">
        <v>19</v>
      </c>
      <c r="T2080" s="4">
        <v>19</v>
      </c>
      <c r="U2080" s="5" t="s">
        <v>21116</v>
      </c>
      <c r="V2080" s="5" t="s">
        <v>21116</v>
      </c>
      <c r="W2080" s="5" t="s">
        <v>72</v>
      </c>
      <c r="X2080" s="5" t="s">
        <v>72</v>
      </c>
      <c r="Y2080" s="4">
        <v>494</v>
      </c>
      <c r="Z2080" s="4">
        <v>31</v>
      </c>
      <c r="AA2080" s="4">
        <v>38</v>
      </c>
      <c r="AB2080" s="4">
        <v>5</v>
      </c>
      <c r="AC2080" s="4">
        <v>7</v>
      </c>
      <c r="AD2080" s="4">
        <v>104</v>
      </c>
      <c r="AE2080" s="4">
        <v>111</v>
      </c>
      <c r="AF2080" s="4">
        <v>1</v>
      </c>
      <c r="AG2080" s="4">
        <v>3</v>
      </c>
      <c r="AH2080" s="4">
        <v>90</v>
      </c>
      <c r="AI2080" s="4">
        <v>92</v>
      </c>
      <c r="AJ2080" s="4">
        <v>15</v>
      </c>
      <c r="AK2080" s="4">
        <v>19</v>
      </c>
      <c r="AL2080" s="4">
        <v>48</v>
      </c>
      <c r="AM2080" s="4">
        <v>49</v>
      </c>
      <c r="AN2080" s="4">
        <v>0</v>
      </c>
      <c r="AO2080" s="4">
        <v>0</v>
      </c>
      <c r="AP2080" s="4">
        <v>18</v>
      </c>
      <c r="AQ2080" s="4">
        <v>23</v>
      </c>
      <c r="AR2080" s="3" t="s">
        <v>64</v>
      </c>
      <c r="AS2080" s="3" t="s">
        <v>64</v>
      </c>
      <c r="AT2080" s="3" t="s">
        <v>128</v>
      </c>
      <c r="AU2080" s="6" t="str">
        <f>HYPERLINK("http://catalog.hathitrust.org/Record/000023465","HathiTrust Record")</f>
        <v>HathiTrust Record</v>
      </c>
      <c r="AV2080" s="6" t="str">
        <f>HYPERLINK("http://mcgill.on.worldcat.org/oclc/72755","Catalog Record")</f>
        <v>Catalog Record</v>
      </c>
      <c r="AW2080" s="6" t="str">
        <f>HYPERLINK("http://www.worldcat.org/oclc/72755","WorldCat Record")</f>
        <v>WorldCat Record</v>
      </c>
      <c r="AX2080" s="3" t="s">
        <v>21117</v>
      </c>
      <c r="AY2080" s="3" t="s">
        <v>21118</v>
      </c>
      <c r="AZ2080" s="3" t="s">
        <v>21119</v>
      </c>
      <c r="BA2080" s="3" t="s">
        <v>21119</v>
      </c>
      <c r="BB2080" s="3" t="s">
        <v>21120</v>
      </c>
      <c r="BC2080" s="3" t="s">
        <v>77</v>
      </c>
      <c r="BD2080" s="3" t="s">
        <v>78</v>
      </c>
      <c r="BF2080" s="3" t="s">
        <v>21120</v>
      </c>
      <c r="BG2080" s="3" t="s">
        <v>21121</v>
      </c>
      <c r="BH2080">
        <f t="shared" si="54"/>
        <v>0</v>
      </c>
    </row>
    <row r="2081" spans="1:60" ht="130.5" x14ac:dyDescent="0.35">
      <c r="A2081" s="2" t="s">
        <v>59</v>
      </c>
      <c r="B2081" s="2" t="s">
        <v>60</v>
      </c>
      <c r="C2081" s="2" t="s">
        <v>21122</v>
      </c>
      <c r="D2081" s="2" t="s">
        <v>21123</v>
      </c>
      <c r="E2081" s="2" t="s">
        <v>21124</v>
      </c>
      <c r="G2081" s="3" t="s">
        <v>64</v>
      </c>
      <c r="I2081" s="3" t="s">
        <v>128</v>
      </c>
      <c r="J2081" s="3" t="s">
        <v>64</v>
      </c>
      <c r="K2081" s="3" t="s">
        <v>65</v>
      </c>
      <c r="L2081" s="2" t="s">
        <v>21125</v>
      </c>
      <c r="M2081" s="2" t="s">
        <v>21126</v>
      </c>
      <c r="N2081" s="3" t="s">
        <v>7285</v>
      </c>
      <c r="P2081" s="3" t="s">
        <v>102</v>
      </c>
      <c r="R2081" s="3" t="s">
        <v>70</v>
      </c>
      <c r="S2081" s="4">
        <v>1</v>
      </c>
      <c r="T2081" s="4">
        <v>8</v>
      </c>
      <c r="U2081" s="5" t="s">
        <v>21127</v>
      </c>
      <c r="V2081" s="5" t="s">
        <v>21116</v>
      </c>
      <c r="W2081" s="5" t="s">
        <v>72</v>
      </c>
      <c r="X2081" s="5" t="s">
        <v>72</v>
      </c>
      <c r="Y2081" s="4">
        <v>152</v>
      </c>
      <c r="Z2081" s="4">
        <v>10</v>
      </c>
      <c r="AA2081" s="4">
        <v>10</v>
      </c>
      <c r="AB2081" s="4">
        <v>2</v>
      </c>
      <c r="AC2081" s="4">
        <v>2</v>
      </c>
      <c r="AD2081" s="4">
        <v>44</v>
      </c>
      <c r="AE2081" s="4">
        <v>44</v>
      </c>
      <c r="AF2081" s="4">
        <v>0</v>
      </c>
      <c r="AG2081" s="4">
        <v>0</v>
      </c>
      <c r="AH2081" s="4">
        <v>41</v>
      </c>
      <c r="AI2081" s="4">
        <v>41</v>
      </c>
      <c r="AJ2081" s="4">
        <v>5</v>
      </c>
      <c r="AK2081" s="4">
        <v>5</v>
      </c>
      <c r="AL2081" s="4">
        <v>28</v>
      </c>
      <c r="AM2081" s="4">
        <v>28</v>
      </c>
      <c r="AN2081" s="4">
        <v>0</v>
      </c>
      <c r="AO2081" s="4">
        <v>0</v>
      </c>
      <c r="AP2081" s="4">
        <v>4</v>
      </c>
      <c r="AQ2081" s="4">
        <v>4</v>
      </c>
      <c r="AR2081" s="3" t="s">
        <v>64</v>
      </c>
      <c r="AS2081" s="3" t="s">
        <v>64</v>
      </c>
      <c r="AT2081" s="3" t="s">
        <v>128</v>
      </c>
      <c r="AU2081" s="6" t="str">
        <f>HYPERLINK("http://catalog.hathitrust.org/Record/006184814","HathiTrust Record")</f>
        <v>HathiTrust Record</v>
      </c>
      <c r="AV2081" s="6" t="str">
        <f>HYPERLINK("http://mcgill.on.worldcat.org/oclc/213431","Catalog Record")</f>
        <v>Catalog Record</v>
      </c>
      <c r="AW2081" s="6" t="str">
        <f>HYPERLINK("http://www.worldcat.org/oclc/213431","WorldCat Record")</f>
        <v>WorldCat Record</v>
      </c>
      <c r="AX2081" s="3" t="s">
        <v>21128</v>
      </c>
      <c r="AY2081" s="3" t="s">
        <v>21129</v>
      </c>
      <c r="AZ2081" s="3" t="s">
        <v>21130</v>
      </c>
      <c r="BA2081" s="3" t="s">
        <v>21130</v>
      </c>
      <c r="BB2081" s="3" t="s">
        <v>21131</v>
      </c>
      <c r="BC2081" s="3" t="s">
        <v>77</v>
      </c>
      <c r="BD2081" s="3" t="s">
        <v>78</v>
      </c>
      <c r="BE2081" s="3" t="s">
        <v>21132</v>
      </c>
      <c r="BF2081" s="3" t="s">
        <v>21131</v>
      </c>
      <c r="BG2081" s="3" t="s">
        <v>21133</v>
      </c>
      <c r="BH2081">
        <f t="shared" si="54"/>
        <v>0</v>
      </c>
    </row>
    <row r="2082" spans="1:60" ht="130.5" x14ac:dyDescent="0.35">
      <c r="A2082" s="2" t="s">
        <v>59</v>
      </c>
      <c r="B2082" s="2" t="s">
        <v>1025</v>
      </c>
      <c r="C2082" s="2" t="s">
        <v>21122</v>
      </c>
      <c r="D2082" s="2" t="s">
        <v>21123</v>
      </c>
      <c r="E2082" s="2" t="s">
        <v>21124</v>
      </c>
      <c r="G2082" s="3" t="s">
        <v>64</v>
      </c>
      <c r="I2082" s="3" t="s">
        <v>128</v>
      </c>
      <c r="J2082" s="3" t="s">
        <v>64</v>
      </c>
      <c r="K2082" s="3" t="s">
        <v>65</v>
      </c>
      <c r="L2082" s="2" t="s">
        <v>21125</v>
      </c>
      <c r="M2082" s="2" t="s">
        <v>21126</v>
      </c>
      <c r="N2082" s="3" t="s">
        <v>7285</v>
      </c>
      <c r="P2082" s="3" t="s">
        <v>102</v>
      </c>
      <c r="R2082" s="3" t="s">
        <v>70</v>
      </c>
      <c r="S2082" s="4">
        <v>7</v>
      </c>
      <c r="T2082" s="4">
        <v>8</v>
      </c>
      <c r="U2082" s="5" t="s">
        <v>21116</v>
      </c>
      <c r="V2082" s="5" t="s">
        <v>21116</v>
      </c>
      <c r="W2082" s="5" t="s">
        <v>72</v>
      </c>
      <c r="X2082" s="5" t="s">
        <v>72</v>
      </c>
      <c r="Y2082" s="4">
        <v>152</v>
      </c>
      <c r="Z2082" s="4">
        <v>10</v>
      </c>
      <c r="AA2082" s="4">
        <v>10</v>
      </c>
      <c r="AB2082" s="4">
        <v>2</v>
      </c>
      <c r="AC2082" s="4">
        <v>2</v>
      </c>
      <c r="AD2082" s="4">
        <v>44</v>
      </c>
      <c r="AE2082" s="4">
        <v>44</v>
      </c>
      <c r="AF2082" s="4">
        <v>0</v>
      </c>
      <c r="AG2082" s="4">
        <v>0</v>
      </c>
      <c r="AH2082" s="4">
        <v>41</v>
      </c>
      <c r="AI2082" s="4">
        <v>41</v>
      </c>
      <c r="AJ2082" s="4">
        <v>5</v>
      </c>
      <c r="AK2082" s="4">
        <v>5</v>
      </c>
      <c r="AL2082" s="4">
        <v>28</v>
      </c>
      <c r="AM2082" s="4">
        <v>28</v>
      </c>
      <c r="AN2082" s="4">
        <v>0</v>
      </c>
      <c r="AO2082" s="4">
        <v>0</v>
      </c>
      <c r="AP2082" s="4">
        <v>4</v>
      </c>
      <c r="AQ2082" s="4">
        <v>4</v>
      </c>
      <c r="AR2082" s="3" t="s">
        <v>64</v>
      </c>
      <c r="AS2082" s="3" t="s">
        <v>64</v>
      </c>
      <c r="AT2082" s="3" t="s">
        <v>128</v>
      </c>
      <c r="AU2082" s="6" t="str">
        <f>HYPERLINK("http://catalog.hathitrust.org/Record/006184814","HathiTrust Record")</f>
        <v>HathiTrust Record</v>
      </c>
      <c r="AV2082" s="6" t="str">
        <f>HYPERLINK("http://mcgill.on.worldcat.org/oclc/213431","Catalog Record")</f>
        <v>Catalog Record</v>
      </c>
      <c r="AW2082" s="6" t="str">
        <f>HYPERLINK("http://www.worldcat.org/oclc/213431","WorldCat Record")</f>
        <v>WorldCat Record</v>
      </c>
      <c r="AX2082" s="3" t="s">
        <v>21128</v>
      </c>
      <c r="AY2082" s="3" t="s">
        <v>21129</v>
      </c>
      <c r="AZ2082" s="3" t="s">
        <v>21130</v>
      </c>
      <c r="BA2082" s="3" t="s">
        <v>21130</v>
      </c>
      <c r="BB2082" s="3" t="s">
        <v>21134</v>
      </c>
      <c r="BC2082" s="3" t="s">
        <v>77</v>
      </c>
      <c r="BD2082" s="3" t="s">
        <v>78</v>
      </c>
      <c r="BE2082" s="3" t="s">
        <v>21132</v>
      </c>
      <c r="BF2082" s="3" t="s">
        <v>21134</v>
      </c>
      <c r="BG2082" s="3" t="s">
        <v>21135</v>
      </c>
      <c r="BH2082">
        <f t="shared" si="54"/>
        <v>0</v>
      </c>
    </row>
    <row r="2083" spans="1:60" ht="58" x14ac:dyDescent="0.35">
      <c r="A2083" s="2" t="s">
        <v>59</v>
      </c>
      <c r="B2083" s="2" t="s">
        <v>60</v>
      </c>
      <c r="C2083" s="2" t="s">
        <v>21136</v>
      </c>
      <c r="D2083" s="2" t="s">
        <v>21137</v>
      </c>
      <c r="E2083" s="2" t="s">
        <v>21138</v>
      </c>
      <c r="G2083" s="3" t="s">
        <v>64</v>
      </c>
      <c r="I2083" s="3" t="s">
        <v>64</v>
      </c>
      <c r="J2083" s="3" t="s">
        <v>128</v>
      </c>
      <c r="K2083" s="3" t="s">
        <v>65</v>
      </c>
      <c r="L2083" s="2" t="s">
        <v>21139</v>
      </c>
      <c r="M2083" s="2" t="s">
        <v>21140</v>
      </c>
      <c r="N2083" s="3" t="s">
        <v>551</v>
      </c>
      <c r="O2083" s="2" t="s">
        <v>172</v>
      </c>
      <c r="P2083" s="3" t="s">
        <v>102</v>
      </c>
      <c r="R2083" s="3" t="s">
        <v>70</v>
      </c>
      <c r="S2083" s="4">
        <v>10</v>
      </c>
      <c r="T2083" s="4">
        <v>10</v>
      </c>
      <c r="U2083" s="5" t="s">
        <v>13876</v>
      </c>
      <c r="V2083" s="5" t="s">
        <v>13876</v>
      </c>
      <c r="W2083" s="5" t="s">
        <v>72</v>
      </c>
      <c r="X2083" s="5" t="s">
        <v>72</v>
      </c>
      <c r="Y2083" s="4">
        <v>144</v>
      </c>
      <c r="Z2083" s="4">
        <v>16</v>
      </c>
      <c r="AA2083" s="4">
        <v>35</v>
      </c>
      <c r="AB2083" s="4">
        <v>3</v>
      </c>
      <c r="AC2083" s="4">
        <v>10</v>
      </c>
      <c r="AD2083" s="4">
        <v>30</v>
      </c>
      <c r="AE2083" s="4">
        <v>76</v>
      </c>
      <c r="AF2083" s="4">
        <v>0</v>
      </c>
      <c r="AG2083" s="4">
        <v>4</v>
      </c>
      <c r="AH2083" s="4">
        <v>26</v>
      </c>
      <c r="AI2083" s="4">
        <v>62</v>
      </c>
      <c r="AJ2083" s="4">
        <v>6</v>
      </c>
      <c r="AK2083" s="4">
        <v>15</v>
      </c>
      <c r="AL2083" s="4">
        <v>16</v>
      </c>
      <c r="AM2083" s="4">
        <v>37</v>
      </c>
      <c r="AN2083" s="4">
        <v>0</v>
      </c>
      <c r="AO2083" s="4">
        <v>0</v>
      </c>
      <c r="AP2083" s="4">
        <v>7</v>
      </c>
      <c r="AQ2083" s="4">
        <v>19</v>
      </c>
      <c r="AR2083" s="3" t="s">
        <v>64</v>
      </c>
      <c r="AS2083" s="3" t="s">
        <v>64</v>
      </c>
      <c r="AT2083" s="3" t="s">
        <v>64</v>
      </c>
      <c r="AV2083" s="6" t="str">
        <f>HYPERLINK("http://mcgill.on.worldcat.org/oclc/280440092","Catalog Record")</f>
        <v>Catalog Record</v>
      </c>
      <c r="AW2083" s="6" t="str">
        <f>HYPERLINK("http://www.worldcat.org/oclc/280440092","WorldCat Record")</f>
        <v>WorldCat Record</v>
      </c>
      <c r="AX2083" s="3" t="s">
        <v>21141</v>
      </c>
      <c r="AY2083" s="3" t="s">
        <v>21142</v>
      </c>
      <c r="AZ2083" s="3" t="s">
        <v>21143</v>
      </c>
      <c r="BA2083" s="3" t="s">
        <v>21143</v>
      </c>
      <c r="BB2083" s="3" t="s">
        <v>21144</v>
      </c>
      <c r="BC2083" s="3" t="s">
        <v>77</v>
      </c>
      <c r="BD2083" s="3" t="s">
        <v>78</v>
      </c>
      <c r="BE2083" s="3" t="s">
        <v>21145</v>
      </c>
      <c r="BF2083" s="3" t="s">
        <v>21144</v>
      </c>
      <c r="BG2083" s="3" t="s">
        <v>21146</v>
      </c>
      <c r="BH2083">
        <f t="shared" si="54"/>
        <v>0</v>
      </c>
    </row>
    <row r="2084" spans="1:60" ht="58" x14ac:dyDescent="0.35">
      <c r="A2084" s="2" t="s">
        <v>59</v>
      </c>
      <c r="B2084" s="2" t="s">
        <v>60</v>
      </c>
      <c r="C2084" s="2" t="s">
        <v>21147</v>
      </c>
      <c r="D2084" s="2" t="s">
        <v>21148</v>
      </c>
      <c r="E2084" s="2" t="s">
        <v>21149</v>
      </c>
      <c r="G2084" s="3" t="s">
        <v>64</v>
      </c>
      <c r="I2084" s="3" t="s">
        <v>64</v>
      </c>
      <c r="J2084" s="3" t="s">
        <v>128</v>
      </c>
      <c r="K2084" s="3" t="s">
        <v>183</v>
      </c>
      <c r="L2084" s="2" t="s">
        <v>21150</v>
      </c>
      <c r="N2084" s="3" t="s">
        <v>3761</v>
      </c>
      <c r="P2084" s="3" t="s">
        <v>102</v>
      </c>
      <c r="R2084" s="3" t="s">
        <v>70</v>
      </c>
      <c r="S2084" s="4">
        <v>2</v>
      </c>
      <c r="T2084" s="4">
        <v>2</v>
      </c>
      <c r="U2084" s="5" t="s">
        <v>21151</v>
      </c>
      <c r="V2084" s="5" t="s">
        <v>21151</v>
      </c>
      <c r="W2084" s="5" t="s">
        <v>72</v>
      </c>
      <c r="X2084" s="5" t="s">
        <v>72</v>
      </c>
      <c r="Y2084" s="4">
        <v>260</v>
      </c>
      <c r="Z2084" s="4">
        <v>18</v>
      </c>
      <c r="AA2084" s="4">
        <v>29</v>
      </c>
      <c r="AB2084" s="4">
        <v>2</v>
      </c>
      <c r="AC2084" s="4">
        <v>5</v>
      </c>
      <c r="AD2084" s="4">
        <v>92</v>
      </c>
      <c r="AE2084" s="4">
        <v>115</v>
      </c>
      <c r="AF2084" s="4">
        <v>0</v>
      </c>
      <c r="AG2084" s="4">
        <v>2</v>
      </c>
      <c r="AH2084" s="4">
        <v>80</v>
      </c>
      <c r="AI2084" s="4">
        <v>95</v>
      </c>
      <c r="AJ2084" s="4">
        <v>11</v>
      </c>
      <c r="AK2084" s="4">
        <v>20</v>
      </c>
      <c r="AL2084" s="4">
        <v>50</v>
      </c>
      <c r="AM2084" s="4">
        <v>56</v>
      </c>
      <c r="AN2084" s="4">
        <v>0</v>
      </c>
      <c r="AO2084" s="4">
        <v>0</v>
      </c>
      <c r="AP2084" s="4">
        <v>13</v>
      </c>
      <c r="AQ2084" s="4">
        <v>21</v>
      </c>
      <c r="AR2084" s="3" t="s">
        <v>64</v>
      </c>
      <c r="AS2084" s="3" t="s">
        <v>128</v>
      </c>
      <c r="AT2084" s="3" t="s">
        <v>64</v>
      </c>
      <c r="AU2084" s="6" t="str">
        <f>HYPERLINK("http://catalog.hathitrust.org/Record/001175673","HathiTrust Record")</f>
        <v>HathiTrust Record</v>
      </c>
      <c r="AV2084" s="6" t="str">
        <f>HYPERLINK("http://mcgill.on.worldcat.org/oclc/1066716","Catalog Record")</f>
        <v>Catalog Record</v>
      </c>
      <c r="AW2084" s="6" t="str">
        <f>HYPERLINK("http://www.worldcat.org/oclc/1066716","WorldCat Record")</f>
        <v>WorldCat Record</v>
      </c>
      <c r="AX2084" s="3" t="s">
        <v>21152</v>
      </c>
      <c r="AY2084" s="3" t="s">
        <v>21153</v>
      </c>
      <c r="AZ2084" s="3" t="s">
        <v>21154</v>
      </c>
      <c r="BA2084" s="3" t="s">
        <v>21154</v>
      </c>
      <c r="BB2084" s="3" t="s">
        <v>21155</v>
      </c>
      <c r="BC2084" s="3" t="s">
        <v>77</v>
      </c>
      <c r="BD2084" s="3" t="s">
        <v>78</v>
      </c>
      <c r="BF2084" s="3" t="s">
        <v>21155</v>
      </c>
      <c r="BG2084" s="3" t="s">
        <v>21156</v>
      </c>
      <c r="BH2084">
        <f t="shared" si="54"/>
        <v>0</v>
      </c>
    </row>
    <row r="2085" spans="1:60" ht="58" x14ac:dyDescent="0.35">
      <c r="A2085" s="2" t="s">
        <v>59</v>
      </c>
      <c r="B2085" s="2" t="s">
        <v>60</v>
      </c>
      <c r="C2085" s="2" t="s">
        <v>21157</v>
      </c>
      <c r="D2085" s="2" t="s">
        <v>21158</v>
      </c>
      <c r="E2085" s="2" t="s">
        <v>21159</v>
      </c>
      <c r="G2085" s="3" t="s">
        <v>64</v>
      </c>
      <c r="I2085" s="3" t="s">
        <v>64</v>
      </c>
      <c r="J2085" s="3" t="s">
        <v>64</v>
      </c>
      <c r="K2085" s="3" t="s">
        <v>65</v>
      </c>
      <c r="L2085" s="2" t="s">
        <v>21160</v>
      </c>
      <c r="M2085" s="2" t="s">
        <v>21161</v>
      </c>
      <c r="N2085" s="3" t="s">
        <v>315</v>
      </c>
      <c r="P2085" s="3" t="s">
        <v>102</v>
      </c>
      <c r="Q2085" s="2" t="s">
        <v>21162</v>
      </c>
      <c r="R2085" s="3" t="s">
        <v>70</v>
      </c>
      <c r="S2085" s="4">
        <v>1</v>
      </c>
      <c r="T2085" s="4">
        <v>1</v>
      </c>
      <c r="U2085" s="5" t="s">
        <v>21151</v>
      </c>
      <c r="V2085" s="5" t="s">
        <v>21151</v>
      </c>
      <c r="W2085" s="5" t="s">
        <v>72</v>
      </c>
      <c r="X2085" s="5" t="s">
        <v>72</v>
      </c>
      <c r="Y2085" s="4">
        <v>3</v>
      </c>
      <c r="Z2085" s="4">
        <v>3</v>
      </c>
      <c r="AA2085" s="4">
        <v>3</v>
      </c>
      <c r="AB2085" s="4">
        <v>1</v>
      </c>
      <c r="AC2085" s="4">
        <v>1</v>
      </c>
      <c r="AD2085" s="4">
        <v>1</v>
      </c>
      <c r="AE2085" s="4">
        <v>8</v>
      </c>
      <c r="AF2085" s="4">
        <v>0</v>
      </c>
      <c r="AG2085" s="4">
        <v>0</v>
      </c>
      <c r="AH2085" s="4">
        <v>1</v>
      </c>
      <c r="AI2085" s="4">
        <v>8</v>
      </c>
      <c r="AJ2085" s="4">
        <v>1</v>
      </c>
      <c r="AK2085" s="4">
        <v>1</v>
      </c>
      <c r="AL2085" s="4">
        <v>1</v>
      </c>
      <c r="AM2085" s="4">
        <v>5</v>
      </c>
      <c r="AN2085" s="4">
        <v>0</v>
      </c>
      <c r="AO2085" s="4">
        <v>0</v>
      </c>
      <c r="AP2085" s="4">
        <v>1</v>
      </c>
      <c r="AQ2085" s="4">
        <v>1</v>
      </c>
      <c r="AR2085" s="3" t="s">
        <v>64</v>
      </c>
      <c r="AS2085" s="3" t="s">
        <v>64</v>
      </c>
      <c r="AT2085" s="3" t="s">
        <v>64</v>
      </c>
      <c r="AV2085" s="6" t="str">
        <f>HYPERLINK("http://mcgill.on.worldcat.org/oclc/61610868","Catalog Record")</f>
        <v>Catalog Record</v>
      </c>
      <c r="AW2085" s="6" t="str">
        <f>HYPERLINK("http://www.worldcat.org/oclc/61610868","WorldCat Record")</f>
        <v>WorldCat Record</v>
      </c>
      <c r="AX2085" s="3" t="s">
        <v>21163</v>
      </c>
      <c r="AY2085" s="3" t="s">
        <v>21164</v>
      </c>
      <c r="AZ2085" s="3" t="s">
        <v>21165</v>
      </c>
      <c r="BA2085" s="3" t="s">
        <v>21165</v>
      </c>
      <c r="BB2085" s="3" t="s">
        <v>21166</v>
      </c>
      <c r="BC2085" s="3" t="s">
        <v>77</v>
      </c>
      <c r="BD2085" s="3" t="s">
        <v>78</v>
      </c>
      <c r="BF2085" s="3" t="s">
        <v>21166</v>
      </c>
      <c r="BG2085" s="3" t="s">
        <v>21167</v>
      </c>
      <c r="BH2085">
        <f t="shared" si="54"/>
        <v>0</v>
      </c>
    </row>
    <row r="2086" spans="1:60" ht="130.5" x14ac:dyDescent="0.35">
      <c r="A2086" s="2" t="s">
        <v>59</v>
      </c>
      <c r="B2086" s="2" t="s">
        <v>60</v>
      </c>
      <c r="C2086" s="2" t="s">
        <v>21168</v>
      </c>
      <c r="D2086" s="2" t="s">
        <v>21169</v>
      </c>
      <c r="E2086" s="2" t="s">
        <v>21170</v>
      </c>
      <c r="G2086" s="3" t="s">
        <v>64</v>
      </c>
      <c r="I2086" s="3" t="s">
        <v>64</v>
      </c>
      <c r="J2086" s="3" t="s">
        <v>64</v>
      </c>
      <c r="K2086" s="3" t="s">
        <v>65</v>
      </c>
      <c r="L2086" s="2" t="s">
        <v>21171</v>
      </c>
      <c r="M2086" s="2" t="s">
        <v>21172</v>
      </c>
      <c r="N2086" s="3" t="s">
        <v>537</v>
      </c>
      <c r="P2086" s="3" t="s">
        <v>102</v>
      </c>
      <c r="Q2086" s="2" t="s">
        <v>21173</v>
      </c>
      <c r="R2086" s="3" t="s">
        <v>70</v>
      </c>
      <c r="S2086" s="4">
        <v>2</v>
      </c>
      <c r="T2086" s="4">
        <v>2</v>
      </c>
      <c r="U2086" s="5" t="s">
        <v>19011</v>
      </c>
      <c r="V2086" s="5" t="s">
        <v>19011</v>
      </c>
      <c r="W2086" s="5" t="s">
        <v>72</v>
      </c>
      <c r="X2086" s="5" t="s">
        <v>72</v>
      </c>
      <c r="Y2086" s="4">
        <v>65</v>
      </c>
      <c r="Z2086" s="4">
        <v>4</v>
      </c>
      <c r="AA2086" s="4">
        <v>74</v>
      </c>
      <c r="AB2086" s="4">
        <v>1</v>
      </c>
      <c r="AC2086" s="4">
        <v>14</v>
      </c>
      <c r="AD2086" s="4">
        <v>23</v>
      </c>
      <c r="AE2086" s="4">
        <v>99</v>
      </c>
      <c r="AF2086" s="4">
        <v>0</v>
      </c>
      <c r="AG2086" s="4">
        <v>8</v>
      </c>
      <c r="AH2086" s="4">
        <v>23</v>
      </c>
      <c r="AI2086" s="4">
        <v>67</v>
      </c>
      <c r="AJ2086" s="4">
        <v>2</v>
      </c>
      <c r="AK2086" s="4">
        <v>18</v>
      </c>
      <c r="AL2086" s="4">
        <v>17</v>
      </c>
      <c r="AM2086" s="4">
        <v>35</v>
      </c>
      <c r="AN2086" s="4">
        <v>0</v>
      </c>
      <c r="AO2086" s="4">
        <v>0</v>
      </c>
      <c r="AP2086" s="4">
        <v>2</v>
      </c>
      <c r="AQ2086" s="4">
        <v>37</v>
      </c>
      <c r="AR2086" s="3" t="s">
        <v>64</v>
      </c>
      <c r="AS2086" s="3" t="s">
        <v>64</v>
      </c>
      <c r="AT2086" s="3" t="s">
        <v>64</v>
      </c>
      <c r="AV2086" s="6" t="str">
        <f>HYPERLINK("http://mcgill.on.worldcat.org/oclc/944431300","Catalog Record")</f>
        <v>Catalog Record</v>
      </c>
      <c r="AW2086" s="6" t="str">
        <f>HYPERLINK("http://www.worldcat.org/oclc/944431300","WorldCat Record")</f>
        <v>WorldCat Record</v>
      </c>
      <c r="AX2086" s="3" t="s">
        <v>21174</v>
      </c>
      <c r="AY2086" s="3" t="s">
        <v>21175</v>
      </c>
      <c r="AZ2086" s="3" t="s">
        <v>21176</v>
      </c>
      <c r="BA2086" s="3" t="s">
        <v>21176</v>
      </c>
      <c r="BB2086" s="3" t="s">
        <v>21177</v>
      </c>
      <c r="BC2086" s="3" t="s">
        <v>77</v>
      </c>
      <c r="BD2086" s="3" t="s">
        <v>78</v>
      </c>
      <c r="BE2086" s="3" t="s">
        <v>21178</v>
      </c>
      <c r="BF2086" s="3" t="s">
        <v>21177</v>
      </c>
      <c r="BG2086" s="3" t="s">
        <v>21179</v>
      </c>
      <c r="BH2086">
        <f t="shared" si="54"/>
        <v>0</v>
      </c>
    </row>
    <row r="2087" spans="1:60" ht="101.5" x14ac:dyDescent="0.35">
      <c r="A2087" s="2" t="s">
        <v>59</v>
      </c>
      <c r="B2087" s="2" t="s">
        <v>21180</v>
      </c>
      <c r="C2087" s="2" t="s">
        <v>21181</v>
      </c>
      <c r="D2087" s="2" t="s">
        <v>21182</v>
      </c>
      <c r="E2087" s="2" t="s">
        <v>21183</v>
      </c>
      <c r="G2087" s="3" t="s">
        <v>64</v>
      </c>
      <c r="I2087" s="3" t="s">
        <v>64</v>
      </c>
      <c r="J2087" s="3" t="s">
        <v>64</v>
      </c>
      <c r="K2087" s="3" t="s">
        <v>65</v>
      </c>
      <c r="L2087" s="2" t="s">
        <v>21184</v>
      </c>
      <c r="M2087" s="2" t="s">
        <v>21185</v>
      </c>
      <c r="N2087" s="3" t="s">
        <v>86</v>
      </c>
      <c r="O2087" s="2" t="s">
        <v>2149</v>
      </c>
      <c r="P2087" s="3" t="s">
        <v>102</v>
      </c>
      <c r="R2087" s="3" t="s">
        <v>70</v>
      </c>
      <c r="S2087" s="4">
        <v>0</v>
      </c>
      <c r="T2087" s="4">
        <v>0</v>
      </c>
      <c r="W2087" s="5" t="s">
        <v>72</v>
      </c>
      <c r="X2087" s="5" t="s">
        <v>72</v>
      </c>
      <c r="Y2087" s="4">
        <v>7</v>
      </c>
      <c r="Z2087" s="4">
        <v>2</v>
      </c>
      <c r="AA2087" s="4">
        <v>5</v>
      </c>
      <c r="AB2087" s="4">
        <v>1</v>
      </c>
      <c r="AC2087" s="4">
        <v>4</v>
      </c>
      <c r="AD2087" s="4">
        <v>2</v>
      </c>
      <c r="AE2087" s="4">
        <v>4</v>
      </c>
      <c r="AF2087" s="4">
        <v>0</v>
      </c>
      <c r="AG2087" s="4">
        <v>2</v>
      </c>
      <c r="AH2087" s="4">
        <v>2</v>
      </c>
      <c r="AI2087" s="4">
        <v>3</v>
      </c>
      <c r="AJ2087" s="4">
        <v>1</v>
      </c>
      <c r="AK2087" s="4">
        <v>3</v>
      </c>
      <c r="AL2087" s="4">
        <v>1</v>
      </c>
      <c r="AM2087" s="4">
        <v>1</v>
      </c>
      <c r="AN2087" s="4">
        <v>0</v>
      </c>
      <c r="AO2087" s="4">
        <v>0</v>
      </c>
      <c r="AP2087" s="4">
        <v>1</v>
      </c>
      <c r="AQ2087" s="4">
        <v>2</v>
      </c>
      <c r="AR2087" s="3" t="s">
        <v>64</v>
      </c>
      <c r="AS2087" s="3" t="s">
        <v>64</v>
      </c>
      <c r="AT2087" s="3" t="s">
        <v>64</v>
      </c>
      <c r="AV2087" s="6" t="str">
        <f>HYPERLINK("http://mcgill.on.worldcat.org/oclc/852628885","Catalog Record")</f>
        <v>Catalog Record</v>
      </c>
      <c r="AW2087" s="6" t="str">
        <f>HYPERLINK("http://www.worldcat.org/oclc/852628885","WorldCat Record")</f>
        <v>WorldCat Record</v>
      </c>
      <c r="AX2087" s="3" t="s">
        <v>21186</v>
      </c>
      <c r="AY2087" s="3" t="s">
        <v>21187</v>
      </c>
      <c r="AZ2087" s="3" t="s">
        <v>21188</v>
      </c>
      <c r="BA2087" s="3" t="s">
        <v>21188</v>
      </c>
      <c r="BB2087" s="3" t="s">
        <v>21189</v>
      </c>
      <c r="BC2087" s="3" t="s">
        <v>77</v>
      </c>
      <c r="BD2087" s="3" t="s">
        <v>78</v>
      </c>
      <c r="BF2087" s="3" t="s">
        <v>21189</v>
      </c>
      <c r="BG2087" s="3" t="s">
        <v>21190</v>
      </c>
      <c r="BH2087">
        <f t="shared" si="54"/>
        <v>0</v>
      </c>
    </row>
    <row r="2088" spans="1:60" ht="58" x14ac:dyDescent="0.35">
      <c r="A2088" s="2" t="s">
        <v>59</v>
      </c>
      <c r="B2088" s="2" t="s">
        <v>60</v>
      </c>
      <c r="C2088" s="2" t="s">
        <v>21191</v>
      </c>
      <c r="D2088" s="2" t="s">
        <v>21192</v>
      </c>
      <c r="E2088" s="2" t="s">
        <v>21193</v>
      </c>
      <c r="G2088" s="3" t="s">
        <v>64</v>
      </c>
      <c r="I2088" s="3" t="s">
        <v>64</v>
      </c>
      <c r="J2088" s="3" t="s">
        <v>64</v>
      </c>
      <c r="K2088" s="3" t="s">
        <v>65</v>
      </c>
      <c r="L2088" s="2" t="s">
        <v>21194</v>
      </c>
      <c r="M2088" s="2" t="s">
        <v>21195</v>
      </c>
      <c r="N2088" s="3" t="s">
        <v>551</v>
      </c>
      <c r="O2088" s="2" t="s">
        <v>117</v>
      </c>
      <c r="P2088" s="3" t="s">
        <v>102</v>
      </c>
      <c r="R2088" s="3" t="s">
        <v>70</v>
      </c>
      <c r="S2088" s="4">
        <v>15</v>
      </c>
      <c r="T2088" s="4">
        <v>15</v>
      </c>
      <c r="U2088" s="5" t="s">
        <v>21196</v>
      </c>
      <c r="V2088" s="5" t="s">
        <v>21196</v>
      </c>
      <c r="W2088" s="5" t="s">
        <v>72</v>
      </c>
      <c r="X2088" s="5" t="s">
        <v>72</v>
      </c>
      <c r="Y2088" s="4">
        <v>285</v>
      </c>
      <c r="Z2088" s="4">
        <v>15</v>
      </c>
      <c r="AA2088" s="4">
        <v>82</v>
      </c>
      <c r="AB2088" s="4">
        <v>2</v>
      </c>
      <c r="AC2088" s="4">
        <v>15</v>
      </c>
      <c r="AD2088" s="4">
        <v>43</v>
      </c>
      <c r="AE2088" s="4">
        <v>95</v>
      </c>
      <c r="AF2088" s="4">
        <v>0</v>
      </c>
      <c r="AG2088" s="4">
        <v>8</v>
      </c>
      <c r="AH2088" s="4">
        <v>41</v>
      </c>
      <c r="AI2088" s="4">
        <v>63</v>
      </c>
      <c r="AJ2088" s="4">
        <v>6</v>
      </c>
      <c r="AK2088" s="4">
        <v>19</v>
      </c>
      <c r="AL2088" s="4">
        <v>22</v>
      </c>
      <c r="AM2088" s="4">
        <v>30</v>
      </c>
      <c r="AN2088" s="4">
        <v>0</v>
      </c>
      <c r="AO2088" s="4">
        <v>0</v>
      </c>
      <c r="AP2088" s="4">
        <v>6</v>
      </c>
      <c r="AQ2088" s="4">
        <v>39</v>
      </c>
      <c r="AR2088" s="3" t="s">
        <v>64</v>
      </c>
      <c r="AS2088" s="3" t="s">
        <v>64</v>
      </c>
      <c r="AT2088" s="3" t="s">
        <v>64</v>
      </c>
      <c r="AV2088" s="6" t="str">
        <f>HYPERLINK("http://mcgill.on.worldcat.org/oclc/221145313","Catalog Record")</f>
        <v>Catalog Record</v>
      </c>
      <c r="AW2088" s="6" t="str">
        <f>HYPERLINK("http://www.worldcat.org/oclc/221145313","WorldCat Record")</f>
        <v>WorldCat Record</v>
      </c>
      <c r="AX2088" s="3" t="s">
        <v>21197</v>
      </c>
      <c r="AY2088" s="3" t="s">
        <v>21198</v>
      </c>
      <c r="AZ2088" s="3" t="s">
        <v>21199</v>
      </c>
      <c r="BA2088" s="3" t="s">
        <v>21199</v>
      </c>
      <c r="BB2088" s="3" t="s">
        <v>21200</v>
      </c>
      <c r="BC2088" s="3" t="s">
        <v>77</v>
      </c>
      <c r="BD2088" s="3" t="s">
        <v>78</v>
      </c>
      <c r="BE2088" s="3" t="s">
        <v>21201</v>
      </c>
      <c r="BF2088" s="3" t="s">
        <v>21200</v>
      </c>
      <c r="BG2088" s="3" t="s">
        <v>21202</v>
      </c>
      <c r="BH2088">
        <f t="shared" si="54"/>
        <v>0</v>
      </c>
    </row>
    <row r="2089" spans="1:60" ht="72.5" x14ac:dyDescent="0.35">
      <c r="A2089" s="2" t="s">
        <v>59</v>
      </c>
      <c r="B2089" s="2" t="s">
        <v>1025</v>
      </c>
      <c r="C2089" s="2" t="s">
        <v>21203</v>
      </c>
      <c r="D2089" s="2" t="s">
        <v>21204</v>
      </c>
      <c r="E2089" s="2" t="s">
        <v>21205</v>
      </c>
      <c r="G2089" s="3" t="s">
        <v>64</v>
      </c>
      <c r="I2089" s="3" t="s">
        <v>64</v>
      </c>
      <c r="J2089" s="3" t="s">
        <v>64</v>
      </c>
      <c r="K2089" s="3" t="s">
        <v>65</v>
      </c>
      <c r="L2089" s="2" t="s">
        <v>21206</v>
      </c>
      <c r="M2089" s="2" t="s">
        <v>21207</v>
      </c>
      <c r="N2089" s="3" t="s">
        <v>378</v>
      </c>
      <c r="P2089" s="3" t="s">
        <v>102</v>
      </c>
      <c r="Q2089" s="2" t="s">
        <v>21208</v>
      </c>
      <c r="R2089" s="3" t="s">
        <v>70</v>
      </c>
      <c r="S2089" s="4">
        <v>21</v>
      </c>
      <c r="T2089" s="4">
        <v>21</v>
      </c>
      <c r="U2089" s="5" t="s">
        <v>15961</v>
      </c>
      <c r="V2089" s="5" t="s">
        <v>15961</v>
      </c>
      <c r="W2089" s="5" t="s">
        <v>72</v>
      </c>
      <c r="X2089" s="5" t="s">
        <v>72</v>
      </c>
      <c r="Y2089" s="4">
        <v>348</v>
      </c>
      <c r="Z2089" s="4">
        <v>16</v>
      </c>
      <c r="AA2089" s="4">
        <v>23</v>
      </c>
      <c r="AB2089" s="4">
        <v>3</v>
      </c>
      <c r="AC2089" s="4">
        <v>6</v>
      </c>
      <c r="AD2089" s="4">
        <v>73</v>
      </c>
      <c r="AE2089" s="4">
        <v>79</v>
      </c>
      <c r="AF2089" s="4">
        <v>1</v>
      </c>
      <c r="AG2089" s="4">
        <v>4</v>
      </c>
      <c r="AH2089" s="4">
        <v>68</v>
      </c>
      <c r="AI2089" s="4">
        <v>71</v>
      </c>
      <c r="AJ2089" s="4">
        <v>9</v>
      </c>
      <c r="AK2089" s="4">
        <v>15</v>
      </c>
      <c r="AL2089" s="4">
        <v>37</v>
      </c>
      <c r="AM2089" s="4">
        <v>37</v>
      </c>
      <c r="AN2089" s="4">
        <v>1</v>
      </c>
      <c r="AO2089" s="4">
        <v>1</v>
      </c>
      <c r="AP2089" s="4">
        <v>8</v>
      </c>
      <c r="AQ2089" s="4">
        <v>13</v>
      </c>
      <c r="AR2089" s="3" t="s">
        <v>64</v>
      </c>
      <c r="AS2089" s="3" t="s">
        <v>64</v>
      </c>
      <c r="AT2089" s="3" t="s">
        <v>128</v>
      </c>
      <c r="AU2089" s="6" t="str">
        <f>HYPERLINK("http://catalog.hathitrust.org/Record/000445648","HathiTrust Record")</f>
        <v>HathiTrust Record</v>
      </c>
      <c r="AV2089" s="6" t="str">
        <f>HYPERLINK("http://mcgill.on.worldcat.org/oclc/14222035","Catalog Record")</f>
        <v>Catalog Record</v>
      </c>
      <c r="AW2089" s="6" t="str">
        <f>HYPERLINK("http://www.worldcat.org/oclc/14222035","WorldCat Record")</f>
        <v>WorldCat Record</v>
      </c>
      <c r="AX2089" s="3" t="s">
        <v>21209</v>
      </c>
      <c r="AY2089" s="3" t="s">
        <v>21210</v>
      </c>
      <c r="AZ2089" s="3" t="s">
        <v>21211</v>
      </c>
      <c r="BA2089" s="3" t="s">
        <v>21211</v>
      </c>
      <c r="BB2089" s="3" t="s">
        <v>21212</v>
      </c>
      <c r="BC2089" s="3" t="s">
        <v>77</v>
      </c>
      <c r="BD2089" s="3" t="s">
        <v>78</v>
      </c>
      <c r="BE2089" s="3" t="s">
        <v>21213</v>
      </c>
      <c r="BF2089" s="3" t="s">
        <v>21212</v>
      </c>
      <c r="BG2089" s="3" t="s">
        <v>21214</v>
      </c>
      <c r="BH2089">
        <f t="shared" si="54"/>
        <v>0</v>
      </c>
    </row>
    <row r="2090" spans="1:60" ht="101.5" x14ac:dyDescent="0.35">
      <c r="A2090" s="2" t="s">
        <v>59</v>
      </c>
      <c r="B2090" s="2" t="s">
        <v>60</v>
      </c>
      <c r="C2090" s="2" t="s">
        <v>21215</v>
      </c>
      <c r="D2090" s="2" t="s">
        <v>21216</v>
      </c>
      <c r="E2090" s="2" t="s">
        <v>21217</v>
      </c>
      <c r="G2090" s="3" t="s">
        <v>64</v>
      </c>
      <c r="I2090" s="3" t="s">
        <v>64</v>
      </c>
      <c r="J2090" s="3" t="s">
        <v>64</v>
      </c>
      <c r="K2090" s="3" t="s">
        <v>65</v>
      </c>
      <c r="L2090" s="2" t="s">
        <v>21218</v>
      </c>
      <c r="M2090" s="2" t="s">
        <v>14638</v>
      </c>
      <c r="N2090" s="3" t="s">
        <v>1275</v>
      </c>
      <c r="P2090" s="3" t="s">
        <v>102</v>
      </c>
      <c r="Q2090" s="2" t="s">
        <v>21219</v>
      </c>
      <c r="R2090" s="3" t="s">
        <v>70</v>
      </c>
      <c r="S2090" s="4">
        <v>7</v>
      </c>
      <c r="T2090" s="4">
        <v>7</v>
      </c>
      <c r="U2090" s="5" t="s">
        <v>21220</v>
      </c>
      <c r="V2090" s="5" t="s">
        <v>21220</v>
      </c>
      <c r="W2090" s="5" t="s">
        <v>72</v>
      </c>
      <c r="X2090" s="5" t="s">
        <v>72</v>
      </c>
      <c r="Y2090" s="4">
        <v>219</v>
      </c>
      <c r="Z2090" s="4">
        <v>20</v>
      </c>
      <c r="AA2090" s="4">
        <v>88</v>
      </c>
      <c r="AB2090" s="4">
        <v>2</v>
      </c>
      <c r="AC2090" s="4">
        <v>16</v>
      </c>
      <c r="AD2090" s="4">
        <v>62</v>
      </c>
      <c r="AE2090" s="4">
        <v>122</v>
      </c>
      <c r="AF2090" s="4">
        <v>0</v>
      </c>
      <c r="AG2090" s="4">
        <v>8</v>
      </c>
      <c r="AH2090" s="4">
        <v>56</v>
      </c>
      <c r="AI2090" s="4">
        <v>85</v>
      </c>
      <c r="AJ2090" s="4">
        <v>10</v>
      </c>
      <c r="AK2090" s="4">
        <v>23</v>
      </c>
      <c r="AL2090" s="4">
        <v>34</v>
      </c>
      <c r="AM2090" s="4">
        <v>42</v>
      </c>
      <c r="AN2090" s="4">
        <v>0</v>
      </c>
      <c r="AO2090" s="4">
        <v>0</v>
      </c>
      <c r="AP2090" s="4">
        <v>9</v>
      </c>
      <c r="AQ2090" s="4">
        <v>42</v>
      </c>
      <c r="AR2090" s="3" t="s">
        <v>64</v>
      </c>
      <c r="AS2090" s="3" t="s">
        <v>64</v>
      </c>
      <c r="AT2090" s="3" t="s">
        <v>64</v>
      </c>
      <c r="AV2090" s="6" t="str">
        <f>HYPERLINK("http://mcgill.on.worldcat.org/oclc/56494501","Catalog Record")</f>
        <v>Catalog Record</v>
      </c>
      <c r="AW2090" s="6" t="str">
        <f>HYPERLINK("http://www.worldcat.org/oclc/56494501","WorldCat Record")</f>
        <v>WorldCat Record</v>
      </c>
      <c r="AX2090" s="3" t="s">
        <v>21221</v>
      </c>
      <c r="AY2090" s="3" t="s">
        <v>21222</v>
      </c>
      <c r="AZ2090" s="3" t="s">
        <v>21223</v>
      </c>
      <c r="BA2090" s="3" t="s">
        <v>21223</v>
      </c>
      <c r="BB2090" s="3" t="s">
        <v>21224</v>
      </c>
      <c r="BC2090" s="3" t="s">
        <v>77</v>
      </c>
      <c r="BD2090" s="3" t="s">
        <v>78</v>
      </c>
      <c r="BE2090" s="3" t="s">
        <v>21225</v>
      </c>
      <c r="BF2090" s="3" t="s">
        <v>21224</v>
      </c>
      <c r="BG2090" s="3" t="s">
        <v>21226</v>
      </c>
      <c r="BH2090">
        <f t="shared" si="54"/>
        <v>0</v>
      </c>
    </row>
    <row r="2091" spans="1:60" ht="145" x14ac:dyDescent="0.35">
      <c r="A2091" s="2" t="s">
        <v>59</v>
      </c>
      <c r="B2091" s="2" t="s">
        <v>1025</v>
      </c>
      <c r="C2091" s="2" t="s">
        <v>21227</v>
      </c>
      <c r="D2091" s="2" t="s">
        <v>21228</v>
      </c>
      <c r="E2091" s="2" t="s">
        <v>21229</v>
      </c>
      <c r="G2091" s="3" t="s">
        <v>64</v>
      </c>
      <c r="I2091" s="3" t="s">
        <v>128</v>
      </c>
      <c r="J2091" s="3" t="s">
        <v>64</v>
      </c>
      <c r="K2091" s="3" t="s">
        <v>65</v>
      </c>
      <c r="L2091" s="2" t="s">
        <v>21230</v>
      </c>
      <c r="M2091" s="2" t="s">
        <v>21231</v>
      </c>
      <c r="N2091" s="3" t="s">
        <v>405</v>
      </c>
      <c r="P2091" s="3" t="s">
        <v>102</v>
      </c>
      <c r="R2091" s="3" t="s">
        <v>70</v>
      </c>
      <c r="S2091" s="4">
        <v>7</v>
      </c>
      <c r="T2091" s="4">
        <v>7</v>
      </c>
      <c r="U2091" s="5" t="s">
        <v>15961</v>
      </c>
      <c r="V2091" s="5" t="s">
        <v>15961</v>
      </c>
      <c r="W2091" s="5" t="s">
        <v>72</v>
      </c>
      <c r="X2091" s="5" t="s">
        <v>72</v>
      </c>
      <c r="Y2091" s="4">
        <v>343</v>
      </c>
      <c r="Z2091" s="4">
        <v>18</v>
      </c>
      <c r="AA2091" s="4">
        <v>20</v>
      </c>
      <c r="AB2091" s="4">
        <v>1</v>
      </c>
      <c r="AC2091" s="4">
        <v>3</v>
      </c>
      <c r="AD2091" s="4">
        <v>93</v>
      </c>
      <c r="AE2091" s="4">
        <v>96</v>
      </c>
      <c r="AF2091" s="4">
        <v>0</v>
      </c>
      <c r="AG2091" s="4">
        <v>2</v>
      </c>
      <c r="AH2091" s="4">
        <v>84</v>
      </c>
      <c r="AI2091" s="4">
        <v>85</v>
      </c>
      <c r="AJ2091" s="4">
        <v>14</v>
      </c>
      <c r="AK2091" s="4">
        <v>16</v>
      </c>
      <c r="AL2091" s="4">
        <v>47</v>
      </c>
      <c r="AM2091" s="4">
        <v>47</v>
      </c>
      <c r="AN2091" s="4">
        <v>0</v>
      </c>
      <c r="AO2091" s="4">
        <v>0</v>
      </c>
      <c r="AP2091" s="4">
        <v>12</v>
      </c>
      <c r="AQ2091" s="4">
        <v>13</v>
      </c>
      <c r="AR2091" s="3" t="s">
        <v>64</v>
      </c>
      <c r="AS2091" s="3" t="s">
        <v>64</v>
      </c>
      <c r="AT2091" s="3" t="s">
        <v>128</v>
      </c>
      <c r="AU2091" s="6" t="str">
        <f>HYPERLINK("http://catalog.hathitrust.org/Record/000686196","HathiTrust Record")</f>
        <v>HathiTrust Record</v>
      </c>
      <c r="AV2091" s="6" t="str">
        <f>HYPERLINK("http://mcgill.on.worldcat.org/oclc/2159181","Catalog Record")</f>
        <v>Catalog Record</v>
      </c>
      <c r="AW2091" s="6" t="str">
        <f>HYPERLINK("http://www.worldcat.org/oclc/2159181","WorldCat Record")</f>
        <v>WorldCat Record</v>
      </c>
      <c r="AX2091" s="3" t="s">
        <v>21232</v>
      </c>
      <c r="AY2091" s="3" t="s">
        <v>21233</v>
      </c>
      <c r="AZ2091" s="3" t="s">
        <v>21234</v>
      </c>
      <c r="BA2091" s="3" t="s">
        <v>21234</v>
      </c>
      <c r="BB2091" s="3" t="s">
        <v>21235</v>
      </c>
      <c r="BC2091" s="3" t="s">
        <v>77</v>
      </c>
      <c r="BD2091" s="3" t="s">
        <v>78</v>
      </c>
      <c r="BE2091" s="3" t="s">
        <v>21236</v>
      </c>
      <c r="BF2091" s="3" t="s">
        <v>21235</v>
      </c>
      <c r="BG2091" s="3" t="s">
        <v>21237</v>
      </c>
      <c r="BH2091">
        <f t="shared" si="54"/>
        <v>0</v>
      </c>
    </row>
    <row r="2092" spans="1:60" ht="145" x14ac:dyDescent="0.35">
      <c r="A2092" s="2" t="s">
        <v>59</v>
      </c>
      <c r="B2092" s="2" t="s">
        <v>60</v>
      </c>
      <c r="C2092" s="2" t="s">
        <v>21227</v>
      </c>
      <c r="D2092" s="2" t="s">
        <v>21228</v>
      </c>
      <c r="E2092" s="2" t="s">
        <v>21229</v>
      </c>
      <c r="G2092" s="3" t="s">
        <v>64</v>
      </c>
      <c r="I2092" s="3" t="s">
        <v>128</v>
      </c>
      <c r="J2092" s="3" t="s">
        <v>64</v>
      </c>
      <c r="K2092" s="3" t="s">
        <v>65</v>
      </c>
      <c r="L2092" s="2" t="s">
        <v>21230</v>
      </c>
      <c r="M2092" s="2" t="s">
        <v>21231</v>
      </c>
      <c r="N2092" s="3" t="s">
        <v>405</v>
      </c>
      <c r="P2092" s="3" t="s">
        <v>102</v>
      </c>
      <c r="R2092" s="3" t="s">
        <v>70</v>
      </c>
      <c r="S2092" s="4">
        <v>0</v>
      </c>
      <c r="T2092" s="4">
        <v>7</v>
      </c>
      <c r="V2092" s="5" t="s">
        <v>15961</v>
      </c>
      <c r="W2092" s="5" t="s">
        <v>72</v>
      </c>
      <c r="X2092" s="5" t="s">
        <v>72</v>
      </c>
      <c r="Y2092" s="4">
        <v>343</v>
      </c>
      <c r="Z2092" s="4">
        <v>18</v>
      </c>
      <c r="AA2092" s="4">
        <v>20</v>
      </c>
      <c r="AB2092" s="4">
        <v>1</v>
      </c>
      <c r="AC2092" s="4">
        <v>3</v>
      </c>
      <c r="AD2092" s="4">
        <v>93</v>
      </c>
      <c r="AE2092" s="4">
        <v>96</v>
      </c>
      <c r="AF2092" s="4">
        <v>0</v>
      </c>
      <c r="AG2092" s="4">
        <v>2</v>
      </c>
      <c r="AH2092" s="4">
        <v>84</v>
      </c>
      <c r="AI2092" s="4">
        <v>85</v>
      </c>
      <c r="AJ2092" s="4">
        <v>14</v>
      </c>
      <c r="AK2092" s="4">
        <v>16</v>
      </c>
      <c r="AL2092" s="4">
        <v>47</v>
      </c>
      <c r="AM2092" s="4">
        <v>47</v>
      </c>
      <c r="AN2092" s="4">
        <v>0</v>
      </c>
      <c r="AO2092" s="4">
        <v>0</v>
      </c>
      <c r="AP2092" s="4">
        <v>12</v>
      </c>
      <c r="AQ2092" s="4">
        <v>13</v>
      </c>
      <c r="AR2092" s="3" t="s">
        <v>64</v>
      </c>
      <c r="AS2092" s="3" t="s">
        <v>64</v>
      </c>
      <c r="AT2092" s="3" t="s">
        <v>128</v>
      </c>
      <c r="AU2092" s="6" t="str">
        <f>HYPERLINK("http://catalog.hathitrust.org/Record/000686196","HathiTrust Record")</f>
        <v>HathiTrust Record</v>
      </c>
      <c r="AV2092" s="6" t="str">
        <f>HYPERLINK("http://mcgill.on.worldcat.org/oclc/2159181","Catalog Record")</f>
        <v>Catalog Record</v>
      </c>
      <c r="AW2092" s="6" t="str">
        <f>HYPERLINK("http://www.worldcat.org/oclc/2159181","WorldCat Record")</f>
        <v>WorldCat Record</v>
      </c>
      <c r="AX2092" s="3" t="s">
        <v>21232</v>
      </c>
      <c r="AY2092" s="3" t="s">
        <v>21233</v>
      </c>
      <c r="AZ2092" s="3" t="s">
        <v>21234</v>
      </c>
      <c r="BA2092" s="3" t="s">
        <v>21234</v>
      </c>
      <c r="BB2092" s="3" t="s">
        <v>21238</v>
      </c>
      <c r="BC2092" s="3" t="s">
        <v>77</v>
      </c>
      <c r="BD2092" s="3" t="s">
        <v>78</v>
      </c>
      <c r="BE2092" s="3" t="s">
        <v>21236</v>
      </c>
      <c r="BF2092" s="3" t="s">
        <v>21238</v>
      </c>
      <c r="BG2092" s="3" t="s">
        <v>21239</v>
      </c>
      <c r="BH2092">
        <f t="shared" si="54"/>
        <v>0</v>
      </c>
    </row>
    <row r="2093" spans="1:60" ht="58" x14ac:dyDescent="0.35">
      <c r="A2093" s="2" t="s">
        <v>59</v>
      </c>
      <c r="B2093" s="2" t="s">
        <v>60</v>
      </c>
      <c r="C2093" s="2" t="s">
        <v>21240</v>
      </c>
      <c r="D2093" s="2" t="s">
        <v>21241</v>
      </c>
      <c r="E2093" s="2" t="s">
        <v>21242</v>
      </c>
      <c r="G2093" s="3" t="s">
        <v>64</v>
      </c>
      <c r="I2093" s="3" t="s">
        <v>128</v>
      </c>
      <c r="J2093" s="3" t="s">
        <v>64</v>
      </c>
      <c r="K2093" s="3" t="s">
        <v>65</v>
      </c>
      <c r="M2093" s="2" t="s">
        <v>21243</v>
      </c>
      <c r="N2093" s="3" t="s">
        <v>291</v>
      </c>
      <c r="P2093" s="3" t="s">
        <v>102</v>
      </c>
      <c r="R2093" s="3" t="s">
        <v>70</v>
      </c>
      <c r="S2093" s="4">
        <v>16</v>
      </c>
      <c r="T2093" s="4">
        <v>33</v>
      </c>
      <c r="U2093" s="5" t="s">
        <v>10202</v>
      </c>
      <c r="V2093" s="5" t="s">
        <v>10202</v>
      </c>
      <c r="W2093" s="5" t="s">
        <v>72</v>
      </c>
      <c r="X2093" s="5" t="s">
        <v>72</v>
      </c>
      <c r="Y2093" s="4">
        <v>177</v>
      </c>
      <c r="Z2093" s="4">
        <v>7</v>
      </c>
      <c r="AA2093" s="4">
        <v>8</v>
      </c>
      <c r="AB2093" s="4">
        <v>1</v>
      </c>
      <c r="AC2093" s="4">
        <v>2</v>
      </c>
      <c r="AD2093" s="4">
        <v>42</v>
      </c>
      <c r="AE2093" s="4">
        <v>43</v>
      </c>
      <c r="AF2093" s="4">
        <v>0</v>
      </c>
      <c r="AG2093" s="4">
        <v>1</v>
      </c>
      <c r="AH2093" s="4">
        <v>41</v>
      </c>
      <c r="AI2093" s="4">
        <v>41</v>
      </c>
      <c r="AJ2093" s="4">
        <v>5</v>
      </c>
      <c r="AK2093" s="4">
        <v>6</v>
      </c>
      <c r="AL2093" s="4">
        <v>26</v>
      </c>
      <c r="AM2093" s="4">
        <v>26</v>
      </c>
      <c r="AN2093" s="4">
        <v>0</v>
      </c>
      <c r="AO2093" s="4">
        <v>0</v>
      </c>
      <c r="AP2093" s="4">
        <v>5</v>
      </c>
      <c r="AQ2093" s="4">
        <v>5</v>
      </c>
      <c r="AR2093" s="3" t="s">
        <v>64</v>
      </c>
      <c r="AS2093" s="3" t="s">
        <v>64</v>
      </c>
      <c r="AT2093" s="3" t="s">
        <v>64</v>
      </c>
      <c r="AV2093" s="6" t="str">
        <f>HYPERLINK("http://mcgill.on.worldcat.org/oclc/156814621","Catalog Record")</f>
        <v>Catalog Record</v>
      </c>
      <c r="AW2093" s="6" t="str">
        <f>HYPERLINK("http://www.worldcat.org/oclc/156814621","WorldCat Record")</f>
        <v>WorldCat Record</v>
      </c>
      <c r="AX2093" s="3" t="s">
        <v>21244</v>
      </c>
      <c r="AY2093" s="3" t="s">
        <v>21245</v>
      </c>
      <c r="AZ2093" s="3" t="s">
        <v>21246</v>
      </c>
      <c r="BA2093" s="3" t="s">
        <v>21246</v>
      </c>
      <c r="BB2093" s="3" t="s">
        <v>21247</v>
      </c>
      <c r="BC2093" s="3" t="s">
        <v>77</v>
      </c>
      <c r="BD2093" s="3" t="s">
        <v>78</v>
      </c>
      <c r="BE2093" s="3" t="s">
        <v>21248</v>
      </c>
      <c r="BF2093" s="3" t="s">
        <v>21247</v>
      </c>
      <c r="BG2093" s="3" t="s">
        <v>21249</v>
      </c>
      <c r="BH2093">
        <f t="shared" si="54"/>
        <v>0</v>
      </c>
    </row>
    <row r="2094" spans="1:60" ht="72.5" x14ac:dyDescent="0.35">
      <c r="A2094" s="2" t="s">
        <v>59</v>
      </c>
      <c r="B2094" s="2" t="s">
        <v>1025</v>
      </c>
      <c r="C2094" s="2" t="s">
        <v>21240</v>
      </c>
      <c r="D2094" s="2" t="s">
        <v>21241</v>
      </c>
      <c r="E2094" s="2" t="s">
        <v>21242</v>
      </c>
      <c r="G2094" s="3" t="s">
        <v>64</v>
      </c>
      <c r="I2094" s="3" t="s">
        <v>128</v>
      </c>
      <c r="J2094" s="3" t="s">
        <v>64</v>
      </c>
      <c r="K2094" s="3" t="s">
        <v>65</v>
      </c>
      <c r="M2094" s="2" t="s">
        <v>21243</v>
      </c>
      <c r="N2094" s="3" t="s">
        <v>291</v>
      </c>
      <c r="P2094" s="3" t="s">
        <v>102</v>
      </c>
      <c r="R2094" s="3" t="s">
        <v>70</v>
      </c>
      <c r="S2094" s="4">
        <v>17</v>
      </c>
      <c r="T2094" s="4">
        <v>33</v>
      </c>
      <c r="U2094" s="5" t="s">
        <v>21250</v>
      </c>
      <c r="V2094" s="5" t="s">
        <v>10202</v>
      </c>
      <c r="W2094" s="5" t="s">
        <v>72</v>
      </c>
      <c r="X2094" s="5" t="s">
        <v>72</v>
      </c>
      <c r="Y2094" s="4">
        <v>177</v>
      </c>
      <c r="Z2094" s="4">
        <v>7</v>
      </c>
      <c r="AA2094" s="4">
        <v>8</v>
      </c>
      <c r="AB2094" s="4">
        <v>1</v>
      </c>
      <c r="AC2094" s="4">
        <v>2</v>
      </c>
      <c r="AD2094" s="4">
        <v>42</v>
      </c>
      <c r="AE2094" s="4">
        <v>43</v>
      </c>
      <c r="AF2094" s="4">
        <v>0</v>
      </c>
      <c r="AG2094" s="4">
        <v>1</v>
      </c>
      <c r="AH2094" s="4">
        <v>41</v>
      </c>
      <c r="AI2094" s="4">
        <v>41</v>
      </c>
      <c r="AJ2094" s="4">
        <v>5</v>
      </c>
      <c r="AK2094" s="4">
        <v>6</v>
      </c>
      <c r="AL2094" s="4">
        <v>26</v>
      </c>
      <c r="AM2094" s="4">
        <v>26</v>
      </c>
      <c r="AN2094" s="4">
        <v>0</v>
      </c>
      <c r="AO2094" s="4">
        <v>0</v>
      </c>
      <c r="AP2094" s="4">
        <v>5</v>
      </c>
      <c r="AQ2094" s="4">
        <v>5</v>
      </c>
      <c r="AR2094" s="3" t="s">
        <v>64</v>
      </c>
      <c r="AS2094" s="3" t="s">
        <v>64</v>
      </c>
      <c r="AT2094" s="3" t="s">
        <v>64</v>
      </c>
      <c r="AV2094" s="6" t="str">
        <f>HYPERLINK("http://mcgill.on.worldcat.org/oclc/156814621","Catalog Record")</f>
        <v>Catalog Record</v>
      </c>
      <c r="AW2094" s="6" t="str">
        <f>HYPERLINK("http://www.worldcat.org/oclc/156814621","WorldCat Record")</f>
        <v>WorldCat Record</v>
      </c>
      <c r="AX2094" s="3" t="s">
        <v>21244</v>
      </c>
      <c r="AY2094" s="3" t="s">
        <v>21245</v>
      </c>
      <c r="AZ2094" s="3" t="s">
        <v>21246</v>
      </c>
      <c r="BA2094" s="3" t="s">
        <v>21246</v>
      </c>
      <c r="BB2094" s="3" t="s">
        <v>21251</v>
      </c>
      <c r="BC2094" s="3" t="s">
        <v>77</v>
      </c>
      <c r="BD2094" s="3" t="s">
        <v>78</v>
      </c>
      <c r="BE2094" s="3" t="s">
        <v>21248</v>
      </c>
      <c r="BF2094" s="3" t="s">
        <v>21251</v>
      </c>
      <c r="BG2094" s="3" t="s">
        <v>21252</v>
      </c>
      <c r="BH2094">
        <f t="shared" si="54"/>
        <v>0</v>
      </c>
    </row>
    <row r="2095" spans="1:60" ht="101.5" x14ac:dyDescent="0.35">
      <c r="A2095" s="2" t="s">
        <v>59</v>
      </c>
      <c r="B2095" s="2" t="s">
        <v>60</v>
      </c>
      <c r="C2095" s="2" t="s">
        <v>21253</v>
      </c>
      <c r="D2095" s="2" t="s">
        <v>21254</v>
      </c>
      <c r="E2095" s="2" t="s">
        <v>21255</v>
      </c>
      <c r="G2095" s="3" t="s">
        <v>64</v>
      </c>
      <c r="I2095" s="3" t="s">
        <v>64</v>
      </c>
      <c r="J2095" s="3" t="s">
        <v>64</v>
      </c>
      <c r="K2095" s="3" t="s">
        <v>65</v>
      </c>
      <c r="M2095" s="2" t="s">
        <v>21256</v>
      </c>
      <c r="N2095" s="3" t="s">
        <v>144</v>
      </c>
      <c r="P2095" s="3" t="s">
        <v>102</v>
      </c>
      <c r="R2095" s="3" t="s">
        <v>70</v>
      </c>
      <c r="S2095" s="4">
        <v>13</v>
      </c>
      <c r="T2095" s="4">
        <v>13</v>
      </c>
      <c r="U2095" s="5" t="s">
        <v>1453</v>
      </c>
      <c r="V2095" s="5" t="s">
        <v>1453</v>
      </c>
      <c r="W2095" s="5" t="s">
        <v>72</v>
      </c>
      <c r="X2095" s="5" t="s">
        <v>72</v>
      </c>
      <c r="Y2095" s="4">
        <v>159</v>
      </c>
      <c r="Z2095" s="4">
        <v>40</v>
      </c>
      <c r="AA2095" s="4">
        <v>43</v>
      </c>
      <c r="AB2095" s="4">
        <v>4</v>
      </c>
      <c r="AC2095" s="4">
        <v>7</v>
      </c>
      <c r="AD2095" s="4">
        <v>57</v>
      </c>
      <c r="AE2095" s="4">
        <v>60</v>
      </c>
      <c r="AF2095" s="4">
        <v>1</v>
      </c>
      <c r="AG2095" s="4">
        <v>4</v>
      </c>
      <c r="AH2095" s="4">
        <v>43</v>
      </c>
      <c r="AI2095" s="4">
        <v>44</v>
      </c>
      <c r="AJ2095" s="4">
        <v>16</v>
      </c>
      <c r="AK2095" s="4">
        <v>19</v>
      </c>
      <c r="AL2095" s="4">
        <v>25</v>
      </c>
      <c r="AM2095" s="4">
        <v>25</v>
      </c>
      <c r="AN2095" s="4">
        <v>0</v>
      </c>
      <c r="AO2095" s="4">
        <v>0</v>
      </c>
      <c r="AP2095" s="4">
        <v>18</v>
      </c>
      <c r="AQ2095" s="4">
        <v>20</v>
      </c>
      <c r="AR2095" s="3" t="s">
        <v>128</v>
      </c>
      <c r="AS2095" s="3" t="s">
        <v>64</v>
      </c>
      <c r="AT2095" s="3" t="s">
        <v>128</v>
      </c>
      <c r="AU2095" s="6" t="str">
        <f>HYPERLINK("http://catalog.hathitrust.org/Record/008704893","HathiTrust Record")</f>
        <v>HathiTrust Record</v>
      </c>
      <c r="AV2095" s="6" t="str">
        <f>HYPERLINK("http://mcgill.on.worldcat.org/oclc/185032183","Catalog Record")</f>
        <v>Catalog Record</v>
      </c>
      <c r="AW2095" s="6" t="str">
        <f>HYPERLINK("http://www.worldcat.org/oclc/185032183","WorldCat Record")</f>
        <v>WorldCat Record</v>
      </c>
      <c r="AX2095" s="3" t="s">
        <v>21257</v>
      </c>
      <c r="AY2095" s="3" t="s">
        <v>21258</v>
      </c>
      <c r="AZ2095" s="3" t="s">
        <v>21259</v>
      </c>
      <c r="BA2095" s="3" t="s">
        <v>21259</v>
      </c>
      <c r="BB2095" s="3" t="s">
        <v>21260</v>
      </c>
      <c r="BC2095" s="3" t="s">
        <v>77</v>
      </c>
      <c r="BD2095" s="3" t="s">
        <v>78</v>
      </c>
      <c r="BE2095" s="3" t="s">
        <v>21261</v>
      </c>
      <c r="BF2095" s="3" t="s">
        <v>21260</v>
      </c>
      <c r="BG2095" s="3" t="s">
        <v>21262</v>
      </c>
      <c r="BH2095">
        <f t="shared" si="54"/>
        <v>0</v>
      </c>
    </row>
    <row r="2096" spans="1:60" ht="58" x14ac:dyDescent="0.35">
      <c r="A2096" s="2" t="s">
        <v>59</v>
      </c>
      <c r="B2096" s="2" t="s">
        <v>60</v>
      </c>
      <c r="C2096" s="2" t="s">
        <v>21263</v>
      </c>
      <c r="D2096" s="2" t="s">
        <v>21264</v>
      </c>
      <c r="E2096" s="2" t="s">
        <v>21265</v>
      </c>
      <c r="G2096" s="3" t="s">
        <v>64</v>
      </c>
      <c r="I2096" s="3" t="s">
        <v>64</v>
      </c>
      <c r="J2096" s="3" t="s">
        <v>64</v>
      </c>
      <c r="K2096" s="3" t="s">
        <v>65</v>
      </c>
      <c r="L2096" s="2" t="s">
        <v>16955</v>
      </c>
      <c r="M2096" s="2" t="s">
        <v>21266</v>
      </c>
      <c r="N2096" s="3" t="s">
        <v>253</v>
      </c>
      <c r="P2096" s="3" t="s">
        <v>102</v>
      </c>
      <c r="R2096" s="3" t="s">
        <v>70</v>
      </c>
      <c r="S2096" s="4">
        <v>1</v>
      </c>
      <c r="T2096" s="4">
        <v>1</v>
      </c>
      <c r="U2096" s="5" t="s">
        <v>1976</v>
      </c>
      <c r="V2096" s="5" t="s">
        <v>1976</v>
      </c>
      <c r="W2096" s="5" t="s">
        <v>72</v>
      </c>
      <c r="X2096" s="5" t="s">
        <v>72</v>
      </c>
      <c r="Y2096" s="4">
        <v>27</v>
      </c>
      <c r="Z2096" s="4">
        <v>5</v>
      </c>
      <c r="AA2096" s="4">
        <v>70</v>
      </c>
      <c r="AB2096" s="4">
        <v>1</v>
      </c>
      <c r="AC2096" s="4">
        <v>15</v>
      </c>
      <c r="AD2096" s="4">
        <v>9</v>
      </c>
      <c r="AE2096" s="4">
        <v>80</v>
      </c>
      <c r="AF2096" s="4">
        <v>0</v>
      </c>
      <c r="AG2096" s="4">
        <v>8</v>
      </c>
      <c r="AH2096" s="4">
        <v>9</v>
      </c>
      <c r="AI2096" s="4">
        <v>50</v>
      </c>
      <c r="AJ2096" s="4">
        <v>2</v>
      </c>
      <c r="AK2096" s="4">
        <v>16</v>
      </c>
      <c r="AL2096" s="4">
        <v>5</v>
      </c>
      <c r="AM2096" s="4">
        <v>25</v>
      </c>
      <c r="AN2096" s="4">
        <v>0</v>
      </c>
      <c r="AO2096" s="4">
        <v>0</v>
      </c>
      <c r="AP2096" s="4">
        <v>2</v>
      </c>
      <c r="AQ2096" s="4">
        <v>35</v>
      </c>
      <c r="AR2096" s="3" t="s">
        <v>64</v>
      </c>
      <c r="AS2096" s="3" t="s">
        <v>64</v>
      </c>
      <c r="AT2096" s="3" t="s">
        <v>64</v>
      </c>
      <c r="AV2096" s="6" t="str">
        <f>HYPERLINK("http://mcgill.on.worldcat.org/oclc/909637131","Catalog Record")</f>
        <v>Catalog Record</v>
      </c>
      <c r="AW2096" s="6" t="str">
        <f>HYPERLINK("http://www.worldcat.org/oclc/909637131","WorldCat Record")</f>
        <v>WorldCat Record</v>
      </c>
      <c r="AX2096" s="3" t="s">
        <v>21267</v>
      </c>
      <c r="AY2096" s="3" t="s">
        <v>21268</v>
      </c>
      <c r="AZ2096" s="3" t="s">
        <v>21269</v>
      </c>
      <c r="BA2096" s="3" t="s">
        <v>21269</v>
      </c>
      <c r="BB2096" s="3" t="s">
        <v>21270</v>
      </c>
      <c r="BC2096" s="3" t="s">
        <v>77</v>
      </c>
      <c r="BD2096" s="3" t="s">
        <v>78</v>
      </c>
      <c r="BE2096" s="3" t="s">
        <v>21271</v>
      </c>
      <c r="BF2096" s="3" t="s">
        <v>21270</v>
      </c>
      <c r="BG2096" s="3" t="s">
        <v>21272</v>
      </c>
      <c r="BH2096">
        <f t="shared" si="54"/>
        <v>0</v>
      </c>
    </row>
    <row r="2097" spans="1:60" ht="72.5" x14ac:dyDescent="0.35">
      <c r="A2097" s="2" t="s">
        <v>59</v>
      </c>
      <c r="B2097" s="2" t="s">
        <v>1025</v>
      </c>
      <c r="C2097" s="2" t="s">
        <v>21273</v>
      </c>
      <c r="D2097" s="2" t="s">
        <v>21274</v>
      </c>
      <c r="E2097" s="2" t="s">
        <v>21275</v>
      </c>
      <c r="G2097" s="3" t="s">
        <v>64</v>
      </c>
      <c r="I2097" s="3" t="s">
        <v>128</v>
      </c>
      <c r="J2097" s="3" t="s">
        <v>64</v>
      </c>
      <c r="K2097" s="3" t="s">
        <v>65</v>
      </c>
      <c r="L2097" s="2" t="s">
        <v>21276</v>
      </c>
      <c r="M2097" s="2" t="s">
        <v>21277</v>
      </c>
      <c r="N2097" s="3" t="s">
        <v>326</v>
      </c>
      <c r="O2097" s="2" t="s">
        <v>2149</v>
      </c>
      <c r="P2097" s="3" t="s">
        <v>102</v>
      </c>
      <c r="Q2097" s="2" t="s">
        <v>21278</v>
      </c>
      <c r="R2097" s="3" t="s">
        <v>70</v>
      </c>
      <c r="S2097" s="4">
        <v>14</v>
      </c>
      <c r="T2097" s="4">
        <v>33</v>
      </c>
      <c r="U2097" s="5" t="s">
        <v>13876</v>
      </c>
      <c r="V2097" s="5" t="s">
        <v>10202</v>
      </c>
      <c r="W2097" s="5" t="s">
        <v>72</v>
      </c>
      <c r="X2097" s="5" t="s">
        <v>72</v>
      </c>
      <c r="Y2097" s="4">
        <v>252</v>
      </c>
      <c r="Z2097" s="4">
        <v>18</v>
      </c>
      <c r="AA2097" s="4">
        <v>22</v>
      </c>
      <c r="AB2097" s="4">
        <v>4</v>
      </c>
      <c r="AC2097" s="4">
        <v>7</v>
      </c>
      <c r="AD2097" s="4">
        <v>50</v>
      </c>
      <c r="AE2097" s="4">
        <v>56</v>
      </c>
      <c r="AF2097" s="4">
        <v>1</v>
      </c>
      <c r="AG2097" s="4">
        <v>3</v>
      </c>
      <c r="AH2097" s="4">
        <v>45</v>
      </c>
      <c r="AI2097" s="4">
        <v>50</v>
      </c>
      <c r="AJ2097" s="4">
        <v>8</v>
      </c>
      <c r="AK2097" s="4">
        <v>10</v>
      </c>
      <c r="AL2097" s="4">
        <v>31</v>
      </c>
      <c r="AM2097" s="4">
        <v>32</v>
      </c>
      <c r="AN2097" s="4">
        <v>0</v>
      </c>
      <c r="AO2097" s="4">
        <v>0</v>
      </c>
      <c r="AP2097" s="4">
        <v>9</v>
      </c>
      <c r="AQ2097" s="4">
        <v>10</v>
      </c>
      <c r="AR2097" s="3" t="s">
        <v>64</v>
      </c>
      <c r="AS2097" s="3" t="s">
        <v>64</v>
      </c>
      <c r="AT2097" s="3" t="s">
        <v>64</v>
      </c>
      <c r="AV2097" s="6" t="str">
        <f>HYPERLINK("http://mcgill.on.worldcat.org/oclc/587124501","Catalog Record")</f>
        <v>Catalog Record</v>
      </c>
      <c r="AW2097" s="6" t="str">
        <f>HYPERLINK("http://www.worldcat.org/oclc/587124501","WorldCat Record")</f>
        <v>WorldCat Record</v>
      </c>
      <c r="AX2097" s="3" t="s">
        <v>21279</v>
      </c>
      <c r="AY2097" s="3" t="s">
        <v>21280</v>
      </c>
      <c r="AZ2097" s="3" t="s">
        <v>21281</v>
      </c>
      <c r="BA2097" s="3" t="s">
        <v>21281</v>
      </c>
      <c r="BB2097" s="3" t="s">
        <v>21282</v>
      </c>
      <c r="BC2097" s="3" t="s">
        <v>77</v>
      </c>
      <c r="BD2097" s="3" t="s">
        <v>78</v>
      </c>
      <c r="BE2097" s="3" t="s">
        <v>21283</v>
      </c>
      <c r="BF2097" s="3" t="s">
        <v>21282</v>
      </c>
      <c r="BG2097" s="3" t="s">
        <v>21284</v>
      </c>
      <c r="BH2097">
        <f t="shared" si="54"/>
        <v>0</v>
      </c>
    </row>
    <row r="2098" spans="1:60" ht="58" x14ac:dyDescent="0.35">
      <c r="A2098" s="2" t="s">
        <v>59</v>
      </c>
      <c r="B2098" s="2" t="s">
        <v>60</v>
      </c>
      <c r="C2098" s="2" t="s">
        <v>21273</v>
      </c>
      <c r="D2098" s="2" t="s">
        <v>21274</v>
      </c>
      <c r="E2098" s="2" t="s">
        <v>21275</v>
      </c>
      <c r="G2098" s="3" t="s">
        <v>64</v>
      </c>
      <c r="I2098" s="3" t="s">
        <v>128</v>
      </c>
      <c r="J2098" s="3" t="s">
        <v>64</v>
      </c>
      <c r="K2098" s="3" t="s">
        <v>65</v>
      </c>
      <c r="L2098" s="2" t="s">
        <v>21276</v>
      </c>
      <c r="M2098" s="2" t="s">
        <v>21277</v>
      </c>
      <c r="N2098" s="3" t="s">
        <v>326</v>
      </c>
      <c r="O2098" s="2" t="s">
        <v>2149</v>
      </c>
      <c r="P2098" s="3" t="s">
        <v>102</v>
      </c>
      <c r="Q2098" s="2" t="s">
        <v>21278</v>
      </c>
      <c r="R2098" s="3" t="s">
        <v>70</v>
      </c>
      <c r="S2098" s="4">
        <v>19</v>
      </c>
      <c r="T2098" s="4">
        <v>33</v>
      </c>
      <c r="U2098" s="5" t="s">
        <v>10202</v>
      </c>
      <c r="V2098" s="5" t="s">
        <v>10202</v>
      </c>
      <c r="W2098" s="5" t="s">
        <v>72</v>
      </c>
      <c r="X2098" s="5" t="s">
        <v>72</v>
      </c>
      <c r="Y2098" s="4">
        <v>252</v>
      </c>
      <c r="Z2098" s="4">
        <v>18</v>
      </c>
      <c r="AA2098" s="4">
        <v>22</v>
      </c>
      <c r="AB2098" s="4">
        <v>4</v>
      </c>
      <c r="AC2098" s="4">
        <v>7</v>
      </c>
      <c r="AD2098" s="4">
        <v>50</v>
      </c>
      <c r="AE2098" s="4">
        <v>56</v>
      </c>
      <c r="AF2098" s="4">
        <v>1</v>
      </c>
      <c r="AG2098" s="4">
        <v>3</v>
      </c>
      <c r="AH2098" s="4">
        <v>45</v>
      </c>
      <c r="AI2098" s="4">
        <v>50</v>
      </c>
      <c r="AJ2098" s="4">
        <v>8</v>
      </c>
      <c r="AK2098" s="4">
        <v>10</v>
      </c>
      <c r="AL2098" s="4">
        <v>31</v>
      </c>
      <c r="AM2098" s="4">
        <v>32</v>
      </c>
      <c r="AN2098" s="4">
        <v>0</v>
      </c>
      <c r="AO2098" s="4">
        <v>0</v>
      </c>
      <c r="AP2098" s="4">
        <v>9</v>
      </c>
      <c r="AQ2098" s="4">
        <v>10</v>
      </c>
      <c r="AR2098" s="3" t="s">
        <v>64</v>
      </c>
      <c r="AS2098" s="3" t="s">
        <v>64</v>
      </c>
      <c r="AT2098" s="3" t="s">
        <v>64</v>
      </c>
      <c r="AV2098" s="6" t="str">
        <f>HYPERLINK("http://mcgill.on.worldcat.org/oclc/587124501","Catalog Record")</f>
        <v>Catalog Record</v>
      </c>
      <c r="AW2098" s="6" t="str">
        <f>HYPERLINK("http://www.worldcat.org/oclc/587124501","WorldCat Record")</f>
        <v>WorldCat Record</v>
      </c>
      <c r="AX2098" s="3" t="s">
        <v>21279</v>
      </c>
      <c r="AY2098" s="3" t="s">
        <v>21280</v>
      </c>
      <c r="AZ2098" s="3" t="s">
        <v>21281</v>
      </c>
      <c r="BA2098" s="3" t="s">
        <v>21281</v>
      </c>
      <c r="BB2098" s="3" t="s">
        <v>21285</v>
      </c>
      <c r="BC2098" s="3" t="s">
        <v>77</v>
      </c>
      <c r="BD2098" s="3" t="s">
        <v>78</v>
      </c>
      <c r="BE2098" s="3" t="s">
        <v>21283</v>
      </c>
      <c r="BF2098" s="3" t="s">
        <v>21285</v>
      </c>
      <c r="BG2098" s="3" t="s">
        <v>21286</v>
      </c>
      <c r="BH2098">
        <f t="shared" si="54"/>
        <v>0</v>
      </c>
    </row>
    <row r="2099" spans="1:60" ht="58" x14ac:dyDescent="0.35">
      <c r="A2099" s="2" t="s">
        <v>59</v>
      </c>
      <c r="B2099" s="2" t="s">
        <v>60</v>
      </c>
      <c r="C2099" s="2" t="s">
        <v>21287</v>
      </c>
      <c r="D2099" s="2" t="s">
        <v>21288</v>
      </c>
      <c r="E2099" s="2" t="s">
        <v>21289</v>
      </c>
      <c r="G2099" s="3" t="s">
        <v>64</v>
      </c>
      <c r="I2099" s="3" t="s">
        <v>64</v>
      </c>
      <c r="J2099" s="3" t="s">
        <v>64</v>
      </c>
      <c r="K2099" s="3" t="s">
        <v>65</v>
      </c>
      <c r="L2099" s="2" t="s">
        <v>21290</v>
      </c>
      <c r="M2099" s="2" t="s">
        <v>16229</v>
      </c>
      <c r="N2099" s="3" t="s">
        <v>190</v>
      </c>
      <c r="P2099" s="3" t="s">
        <v>102</v>
      </c>
      <c r="R2099" s="3" t="s">
        <v>70</v>
      </c>
      <c r="S2099" s="4">
        <v>6</v>
      </c>
      <c r="T2099" s="4">
        <v>6</v>
      </c>
      <c r="U2099" s="5" t="s">
        <v>13876</v>
      </c>
      <c r="V2099" s="5" t="s">
        <v>13876</v>
      </c>
      <c r="W2099" s="5" t="s">
        <v>72</v>
      </c>
      <c r="X2099" s="5" t="s">
        <v>72</v>
      </c>
      <c r="Y2099" s="4">
        <v>316</v>
      </c>
      <c r="Z2099" s="4">
        <v>11</v>
      </c>
      <c r="AA2099" s="4">
        <v>14</v>
      </c>
      <c r="AB2099" s="4">
        <v>1</v>
      </c>
      <c r="AC2099" s="4">
        <v>3</v>
      </c>
      <c r="AD2099" s="4">
        <v>58</v>
      </c>
      <c r="AE2099" s="4">
        <v>61</v>
      </c>
      <c r="AF2099" s="4">
        <v>0</v>
      </c>
      <c r="AG2099" s="4">
        <v>2</v>
      </c>
      <c r="AH2099" s="4">
        <v>54</v>
      </c>
      <c r="AI2099" s="4">
        <v>56</v>
      </c>
      <c r="AJ2099" s="4">
        <v>5</v>
      </c>
      <c r="AK2099" s="4">
        <v>7</v>
      </c>
      <c r="AL2099" s="4">
        <v>26</v>
      </c>
      <c r="AM2099" s="4">
        <v>26</v>
      </c>
      <c r="AN2099" s="4">
        <v>0</v>
      </c>
      <c r="AO2099" s="4">
        <v>0</v>
      </c>
      <c r="AP2099" s="4">
        <v>8</v>
      </c>
      <c r="AQ2099" s="4">
        <v>9</v>
      </c>
      <c r="AR2099" s="3" t="s">
        <v>64</v>
      </c>
      <c r="AS2099" s="3" t="s">
        <v>64</v>
      </c>
      <c r="AT2099" s="3" t="s">
        <v>64</v>
      </c>
      <c r="AV2099" s="6" t="str">
        <f>HYPERLINK("http://mcgill.on.worldcat.org/oclc/974470577","Catalog Record")</f>
        <v>Catalog Record</v>
      </c>
      <c r="AW2099" s="6" t="str">
        <f>HYPERLINK("http://www.worldcat.org/oclc/974470577","WorldCat Record")</f>
        <v>WorldCat Record</v>
      </c>
      <c r="AX2099" s="3" t="s">
        <v>21291</v>
      </c>
      <c r="AY2099" s="3" t="s">
        <v>21292</v>
      </c>
      <c r="AZ2099" s="3" t="s">
        <v>21293</v>
      </c>
      <c r="BA2099" s="3" t="s">
        <v>21293</v>
      </c>
      <c r="BB2099" s="3" t="s">
        <v>21294</v>
      </c>
      <c r="BC2099" s="3" t="s">
        <v>77</v>
      </c>
      <c r="BD2099" s="3" t="s">
        <v>165</v>
      </c>
      <c r="BE2099" s="3" t="s">
        <v>21295</v>
      </c>
      <c r="BF2099" s="3" t="s">
        <v>21294</v>
      </c>
      <c r="BG2099" s="3" t="s">
        <v>21296</v>
      </c>
      <c r="BH2099">
        <f t="shared" si="54"/>
        <v>0</v>
      </c>
    </row>
    <row r="2100" spans="1:60" ht="72.5" x14ac:dyDescent="0.35">
      <c r="A2100" s="2" t="s">
        <v>59</v>
      </c>
      <c r="B2100" s="2" t="s">
        <v>60</v>
      </c>
      <c r="C2100" s="2" t="s">
        <v>21297</v>
      </c>
      <c r="D2100" s="2" t="s">
        <v>21298</v>
      </c>
      <c r="E2100" s="2" t="s">
        <v>21299</v>
      </c>
      <c r="G2100" s="3" t="s">
        <v>64</v>
      </c>
      <c r="I2100" s="3" t="s">
        <v>64</v>
      </c>
      <c r="J2100" s="3" t="s">
        <v>64</v>
      </c>
      <c r="K2100" s="3" t="s">
        <v>65</v>
      </c>
      <c r="L2100" s="2" t="s">
        <v>21300</v>
      </c>
      <c r="M2100" s="2" t="s">
        <v>21301</v>
      </c>
      <c r="N2100" s="3" t="s">
        <v>578</v>
      </c>
      <c r="O2100" s="2" t="s">
        <v>21302</v>
      </c>
      <c r="P2100" s="3" t="s">
        <v>102</v>
      </c>
      <c r="R2100" s="3" t="s">
        <v>70</v>
      </c>
      <c r="S2100" s="4">
        <v>3</v>
      </c>
      <c r="T2100" s="4">
        <v>3</v>
      </c>
      <c r="W2100" s="5" t="s">
        <v>72</v>
      </c>
      <c r="X2100" s="5" t="s">
        <v>72</v>
      </c>
      <c r="Y2100" s="4">
        <v>122</v>
      </c>
      <c r="Z2100" s="4">
        <v>2</v>
      </c>
      <c r="AA2100" s="4">
        <v>3</v>
      </c>
      <c r="AB2100" s="4">
        <v>1</v>
      </c>
      <c r="AC2100" s="4">
        <v>2</v>
      </c>
      <c r="AD2100" s="4">
        <v>42</v>
      </c>
      <c r="AE2100" s="4">
        <v>43</v>
      </c>
      <c r="AF2100" s="4">
        <v>0</v>
      </c>
      <c r="AG2100" s="4">
        <v>1</v>
      </c>
      <c r="AH2100" s="4">
        <v>40</v>
      </c>
      <c r="AI2100" s="4">
        <v>40</v>
      </c>
      <c r="AJ2100" s="4">
        <v>1</v>
      </c>
      <c r="AK2100" s="4">
        <v>2</v>
      </c>
      <c r="AL2100" s="4">
        <v>30</v>
      </c>
      <c r="AM2100" s="4">
        <v>30</v>
      </c>
      <c r="AN2100" s="4">
        <v>0</v>
      </c>
      <c r="AO2100" s="4">
        <v>0</v>
      </c>
      <c r="AP2100" s="4">
        <v>1</v>
      </c>
      <c r="AQ2100" s="4">
        <v>1</v>
      </c>
      <c r="AR2100" s="3" t="s">
        <v>64</v>
      </c>
      <c r="AS2100" s="3" t="s">
        <v>64</v>
      </c>
      <c r="AT2100" s="3" t="s">
        <v>64</v>
      </c>
      <c r="AV2100" s="6" t="str">
        <f>HYPERLINK("http://mcgill.on.worldcat.org/oclc/985299469","Catalog Record")</f>
        <v>Catalog Record</v>
      </c>
      <c r="AW2100" s="6" t="str">
        <f>HYPERLINK("http://www.worldcat.org/oclc/985299469","WorldCat Record")</f>
        <v>WorldCat Record</v>
      </c>
      <c r="AX2100" s="3" t="s">
        <v>21303</v>
      </c>
      <c r="AY2100" s="3" t="s">
        <v>21304</v>
      </c>
      <c r="AZ2100" s="3" t="s">
        <v>21305</v>
      </c>
      <c r="BA2100" s="3" t="s">
        <v>21305</v>
      </c>
      <c r="BB2100" s="3" t="s">
        <v>21306</v>
      </c>
      <c r="BC2100" s="3" t="s">
        <v>77</v>
      </c>
      <c r="BD2100" s="3" t="s">
        <v>165</v>
      </c>
      <c r="BE2100" s="3" t="s">
        <v>21307</v>
      </c>
      <c r="BF2100" s="3" t="s">
        <v>21306</v>
      </c>
      <c r="BG2100" s="3" t="s">
        <v>21308</v>
      </c>
      <c r="BH2100">
        <f t="shared" si="54"/>
        <v>0</v>
      </c>
    </row>
    <row r="2101" spans="1:60" ht="58" x14ac:dyDescent="0.35">
      <c r="A2101" s="2" t="s">
        <v>59</v>
      </c>
      <c r="B2101" s="2" t="s">
        <v>60</v>
      </c>
      <c r="C2101" s="2" t="s">
        <v>21309</v>
      </c>
      <c r="D2101" s="2" t="s">
        <v>21310</v>
      </c>
      <c r="E2101" s="2" t="s">
        <v>21311</v>
      </c>
      <c r="G2101" s="3" t="s">
        <v>64</v>
      </c>
      <c r="I2101" s="3" t="s">
        <v>64</v>
      </c>
      <c r="J2101" s="3" t="s">
        <v>64</v>
      </c>
      <c r="K2101" s="3" t="s">
        <v>65</v>
      </c>
      <c r="L2101" s="2" t="s">
        <v>21312</v>
      </c>
      <c r="M2101" s="2" t="s">
        <v>21313</v>
      </c>
      <c r="N2101" s="3" t="s">
        <v>1087</v>
      </c>
      <c r="P2101" s="3" t="s">
        <v>102</v>
      </c>
      <c r="R2101" s="3" t="s">
        <v>70</v>
      </c>
      <c r="S2101" s="4">
        <v>5</v>
      </c>
      <c r="T2101" s="4">
        <v>5</v>
      </c>
      <c r="U2101" s="5" t="s">
        <v>1655</v>
      </c>
      <c r="V2101" s="5" t="s">
        <v>1655</v>
      </c>
      <c r="W2101" s="5" t="s">
        <v>72</v>
      </c>
      <c r="X2101" s="5" t="s">
        <v>72</v>
      </c>
      <c r="Y2101" s="4">
        <v>399</v>
      </c>
      <c r="Z2101" s="4">
        <v>27</v>
      </c>
      <c r="AA2101" s="4">
        <v>32</v>
      </c>
      <c r="AB2101" s="4">
        <v>4</v>
      </c>
      <c r="AC2101" s="4">
        <v>7</v>
      </c>
      <c r="AD2101" s="4">
        <v>106</v>
      </c>
      <c r="AE2101" s="4">
        <v>112</v>
      </c>
      <c r="AF2101" s="4">
        <v>2</v>
      </c>
      <c r="AG2101" s="4">
        <v>3</v>
      </c>
      <c r="AH2101" s="4">
        <v>89</v>
      </c>
      <c r="AI2101" s="4">
        <v>93</v>
      </c>
      <c r="AJ2101" s="4">
        <v>14</v>
      </c>
      <c r="AK2101" s="4">
        <v>16</v>
      </c>
      <c r="AL2101" s="4">
        <v>45</v>
      </c>
      <c r="AM2101" s="4">
        <v>47</v>
      </c>
      <c r="AN2101" s="4">
        <v>0</v>
      </c>
      <c r="AO2101" s="4">
        <v>0</v>
      </c>
      <c r="AP2101" s="4">
        <v>21</v>
      </c>
      <c r="AQ2101" s="4">
        <v>22</v>
      </c>
      <c r="AR2101" s="3" t="s">
        <v>64</v>
      </c>
      <c r="AS2101" s="3" t="s">
        <v>64</v>
      </c>
      <c r="AT2101" s="3" t="s">
        <v>128</v>
      </c>
      <c r="AU2101" s="6" t="str">
        <f>HYPERLINK("http://catalog.hathitrust.org/Record/002495323","HathiTrust Record")</f>
        <v>HathiTrust Record</v>
      </c>
      <c r="AV2101" s="6" t="str">
        <f>HYPERLINK("http://mcgill.on.worldcat.org/oclc/24108482","Catalog Record")</f>
        <v>Catalog Record</v>
      </c>
      <c r="AW2101" s="6" t="str">
        <f>HYPERLINK("http://www.worldcat.org/oclc/24108482","WorldCat Record")</f>
        <v>WorldCat Record</v>
      </c>
      <c r="AX2101" s="3" t="s">
        <v>21314</v>
      </c>
      <c r="AY2101" s="3" t="s">
        <v>21315</v>
      </c>
      <c r="AZ2101" s="3" t="s">
        <v>21316</v>
      </c>
      <c r="BA2101" s="3" t="s">
        <v>21316</v>
      </c>
      <c r="BB2101" s="3" t="s">
        <v>21317</v>
      </c>
      <c r="BC2101" s="3" t="s">
        <v>77</v>
      </c>
      <c r="BD2101" s="3" t="s">
        <v>78</v>
      </c>
      <c r="BE2101" s="3" t="s">
        <v>21318</v>
      </c>
      <c r="BF2101" s="3" t="s">
        <v>21317</v>
      </c>
      <c r="BG2101" s="3" t="s">
        <v>21319</v>
      </c>
      <c r="BH2101">
        <f t="shared" si="54"/>
        <v>0</v>
      </c>
    </row>
    <row r="2102" spans="1:60" ht="72.5" x14ac:dyDescent="0.35">
      <c r="A2102" s="2" t="s">
        <v>59</v>
      </c>
      <c r="B2102" s="2" t="s">
        <v>1025</v>
      </c>
      <c r="C2102" s="2" t="s">
        <v>21320</v>
      </c>
      <c r="D2102" s="2" t="s">
        <v>21321</v>
      </c>
      <c r="E2102" s="2" t="s">
        <v>21322</v>
      </c>
      <c r="G2102" s="3" t="s">
        <v>64</v>
      </c>
      <c r="I2102" s="3" t="s">
        <v>128</v>
      </c>
      <c r="J2102" s="3" t="s">
        <v>64</v>
      </c>
      <c r="K2102" s="3" t="s">
        <v>65</v>
      </c>
      <c r="L2102" s="2" t="s">
        <v>21323</v>
      </c>
      <c r="M2102" s="2" t="s">
        <v>21324</v>
      </c>
      <c r="N2102" s="3" t="s">
        <v>922</v>
      </c>
      <c r="P2102" s="3" t="s">
        <v>102</v>
      </c>
      <c r="Q2102" s="2" t="s">
        <v>21325</v>
      </c>
      <c r="R2102" s="3" t="s">
        <v>70</v>
      </c>
      <c r="S2102" s="4">
        <v>15</v>
      </c>
      <c r="T2102" s="4">
        <v>15</v>
      </c>
      <c r="U2102" s="5" t="s">
        <v>15961</v>
      </c>
      <c r="V2102" s="5" t="s">
        <v>15961</v>
      </c>
      <c r="W2102" s="5" t="s">
        <v>72</v>
      </c>
      <c r="X2102" s="5" t="s">
        <v>72</v>
      </c>
      <c r="Y2102" s="4">
        <v>252</v>
      </c>
      <c r="Z2102" s="4">
        <v>18</v>
      </c>
      <c r="AA2102" s="4">
        <v>18</v>
      </c>
      <c r="AB2102" s="4">
        <v>2</v>
      </c>
      <c r="AC2102" s="4">
        <v>2</v>
      </c>
      <c r="AD2102" s="4">
        <v>77</v>
      </c>
      <c r="AE2102" s="4">
        <v>78</v>
      </c>
      <c r="AF2102" s="4">
        <v>0</v>
      </c>
      <c r="AG2102" s="4">
        <v>0</v>
      </c>
      <c r="AH2102" s="4">
        <v>71</v>
      </c>
      <c r="AI2102" s="4">
        <v>72</v>
      </c>
      <c r="AJ2102" s="4">
        <v>10</v>
      </c>
      <c r="AK2102" s="4">
        <v>10</v>
      </c>
      <c r="AL2102" s="4">
        <v>37</v>
      </c>
      <c r="AM2102" s="4">
        <v>37</v>
      </c>
      <c r="AN2102" s="4">
        <v>0</v>
      </c>
      <c r="AO2102" s="4">
        <v>0</v>
      </c>
      <c r="AP2102" s="4">
        <v>11</v>
      </c>
      <c r="AQ2102" s="4">
        <v>11</v>
      </c>
      <c r="AR2102" s="3" t="s">
        <v>64</v>
      </c>
      <c r="AS2102" s="3" t="s">
        <v>64</v>
      </c>
      <c r="AT2102" s="3" t="s">
        <v>128</v>
      </c>
      <c r="AU2102" s="6" t="str">
        <f>HYPERLINK("http://catalog.hathitrust.org/Record/001162363","HathiTrust Record")</f>
        <v>HathiTrust Record</v>
      </c>
      <c r="AV2102" s="6" t="str">
        <f>HYPERLINK("http://mcgill.on.worldcat.org/oclc/363888","Catalog Record")</f>
        <v>Catalog Record</v>
      </c>
      <c r="AW2102" s="6" t="str">
        <f>HYPERLINK("http://www.worldcat.org/oclc/363888","WorldCat Record")</f>
        <v>WorldCat Record</v>
      </c>
      <c r="AX2102" s="3" t="s">
        <v>21326</v>
      </c>
      <c r="AY2102" s="3" t="s">
        <v>21327</v>
      </c>
      <c r="AZ2102" s="3" t="s">
        <v>21328</v>
      </c>
      <c r="BA2102" s="3" t="s">
        <v>21328</v>
      </c>
      <c r="BB2102" s="3" t="s">
        <v>21329</v>
      </c>
      <c r="BC2102" s="3" t="s">
        <v>77</v>
      </c>
      <c r="BD2102" s="3" t="s">
        <v>78</v>
      </c>
      <c r="BE2102" s="3" t="s">
        <v>21330</v>
      </c>
      <c r="BF2102" s="3" t="s">
        <v>21329</v>
      </c>
      <c r="BG2102" s="3" t="s">
        <v>21331</v>
      </c>
      <c r="BH2102">
        <f t="shared" si="54"/>
        <v>0</v>
      </c>
    </row>
    <row r="2103" spans="1:60" ht="58" x14ac:dyDescent="0.35">
      <c r="A2103" s="2" t="s">
        <v>59</v>
      </c>
      <c r="B2103" s="2" t="s">
        <v>60</v>
      </c>
      <c r="C2103" s="2" t="s">
        <v>21320</v>
      </c>
      <c r="D2103" s="2" t="s">
        <v>21321</v>
      </c>
      <c r="E2103" s="2" t="s">
        <v>21322</v>
      </c>
      <c r="G2103" s="3" t="s">
        <v>64</v>
      </c>
      <c r="I2103" s="3" t="s">
        <v>128</v>
      </c>
      <c r="J2103" s="3" t="s">
        <v>64</v>
      </c>
      <c r="K2103" s="3" t="s">
        <v>65</v>
      </c>
      <c r="L2103" s="2" t="s">
        <v>21323</v>
      </c>
      <c r="M2103" s="2" t="s">
        <v>21324</v>
      </c>
      <c r="N2103" s="3" t="s">
        <v>922</v>
      </c>
      <c r="P2103" s="3" t="s">
        <v>102</v>
      </c>
      <c r="Q2103" s="2" t="s">
        <v>21325</v>
      </c>
      <c r="R2103" s="3" t="s">
        <v>70</v>
      </c>
      <c r="S2103" s="4">
        <v>0</v>
      </c>
      <c r="T2103" s="4">
        <v>15</v>
      </c>
      <c r="V2103" s="5" t="s">
        <v>15961</v>
      </c>
      <c r="W2103" s="5" t="s">
        <v>72</v>
      </c>
      <c r="X2103" s="5" t="s">
        <v>72</v>
      </c>
      <c r="Y2103" s="4">
        <v>252</v>
      </c>
      <c r="Z2103" s="4">
        <v>18</v>
      </c>
      <c r="AA2103" s="4">
        <v>18</v>
      </c>
      <c r="AB2103" s="4">
        <v>2</v>
      </c>
      <c r="AC2103" s="4">
        <v>2</v>
      </c>
      <c r="AD2103" s="4">
        <v>77</v>
      </c>
      <c r="AE2103" s="4">
        <v>78</v>
      </c>
      <c r="AF2103" s="4">
        <v>0</v>
      </c>
      <c r="AG2103" s="4">
        <v>0</v>
      </c>
      <c r="AH2103" s="4">
        <v>71</v>
      </c>
      <c r="AI2103" s="4">
        <v>72</v>
      </c>
      <c r="AJ2103" s="4">
        <v>10</v>
      </c>
      <c r="AK2103" s="4">
        <v>10</v>
      </c>
      <c r="AL2103" s="4">
        <v>37</v>
      </c>
      <c r="AM2103" s="4">
        <v>37</v>
      </c>
      <c r="AN2103" s="4">
        <v>0</v>
      </c>
      <c r="AO2103" s="4">
        <v>0</v>
      </c>
      <c r="AP2103" s="4">
        <v>11</v>
      </c>
      <c r="AQ2103" s="4">
        <v>11</v>
      </c>
      <c r="AR2103" s="3" t="s">
        <v>64</v>
      </c>
      <c r="AS2103" s="3" t="s">
        <v>64</v>
      </c>
      <c r="AT2103" s="3" t="s">
        <v>128</v>
      </c>
      <c r="AU2103" s="6" t="str">
        <f>HYPERLINK("http://catalog.hathitrust.org/Record/001162363","HathiTrust Record")</f>
        <v>HathiTrust Record</v>
      </c>
      <c r="AV2103" s="6" t="str">
        <f>HYPERLINK("http://mcgill.on.worldcat.org/oclc/363888","Catalog Record")</f>
        <v>Catalog Record</v>
      </c>
      <c r="AW2103" s="6" t="str">
        <f>HYPERLINK("http://www.worldcat.org/oclc/363888","WorldCat Record")</f>
        <v>WorldCat Record</v>
      </c>
      <c r="AX2103" s="3" t="s">
        <v>21326</v>
      </c>
      <c r="AY2103" s="3" t="s">
        <v>21327</v>
      </c>
      <c r="AZ2103" s="3" t="s">
        <v>21328</v>
      </c>
      <c r="BA2103" s="3" t="s">
        <v>21328</v>
      </c>
      <c r="BB2103" s="3" t="s">
        <v>21332</v>
      </c>
      <c r="BC2103" s="3" t="s">
        <v>77</v>
      </c>
      <c r="BD2103" s="3" t="s">
        <v>78</v>
      </c>
      <c r="BE2103" s="3" t="s">
        <v>21330</v>
      </c>
      <c r="BF2103" s="3" t="s">
        <v>21332</v>
      </c>
      <c r="BG2103" s="3" t="s">
        <v>21333</v>
      </c>
      <c r="BH2103">
        <f t="shared" si="54"/>
        <v>0</v>
      </c>
    </row>
    <row r="2104" spans="1:60" ht="58" x14ac:dyDescent="0.35">
      <c r="A2104" s="2" t="s">
        <v>59</v>
      </c>
      <c r="B2104" s="2" t="s">
        <v>60</v>
      </c>
      <c r="C2104" s="2" t="s">
        <v>21334</v>
      </c>
      <c r="D2104" s="2" t="s">
        <v>21335</v>
      </c>
      <c r="E2104" s="2" t="s">
        <v>21336</v>
      </c>
      <c r="G2104" s="3" t="s">
        <v>64</v>
      </c>
      <c r="I2104" s="3" t="s">
        <v>64</v>
      </c>
      <c r="J2104" s="3" t="s">
        <v>64</v>
      </c>
      <c r="K2104" s="3" t="s">
        <v>65</v>
      </c>
      <c r="L2104" s="2" t="s">
        <v>21337</v>
      </c>
      <c r="M2104" s="2" t="s">
        <v>19040</v>
      </c>
      <c r="N2104" s="3" t="s">
        <v>1075</v>
      </c>
      <c r="P2104" s="3" t="s">
        <v>102</v>
      </c>
      <c r="R2104" s="3" t="s">
        <v>70</v>
      </c>
      <c r="S2104" s="4">
        <v>16</v>
      </c>
      <c r="T2104" s="4">
        <v>16</v>
      </c>
      <c r="U2104" s="5" t="s">
        <v>3608</v>
      </c>
      <c r="V2104" s="5" t="s">
        <v>3608</v>
      </c>
      <c r="W2104" s="5" t="s">
        <v>72</v>
      </c>
      <c r="X2104" s="5" t="s">
        <v>72</v>
      </c>
      <c r="Y2104" s="4">
        <v>203</v>
      </c>
      <c r="Z2104" s="4">
        <v>13</v>
      </c>
      <c r="AA2104" s="4">
        <v>75</v>
      </c>
      <c r="AB2104" s="4">
        <v>3</v>
      </c>
      <c r="AC2104" s="4">
        <v>16</v>
      </c>
      <c r="AD2104" s="4">
        <v>42</v>
      </c>
      <c r="AE2104" s="4">
        <v>106</v>
      </c>
      <c r="AF2104" s="4">
        <v>1</v>
      </c>
      <c r="AG2104" s="4">
        <v>8</v>
      </c>
      <c r="AH2104" s="4">
        <v>40</v>
      </c>
      <c r="AI2104" s="4">
        <v>75</v>
      </c>
      <c r="AJ2104" s="4">
        <v>6</v>
      </c>
      <c r="AK2104" s="4">
        <v>18</v>
      </c>
      <c r="AL2104" s="4">
        <v>23</v>
      </c>
      <c r="AM2104" s="4">
        <v>37</v>
      </c>
      <c r="AN2104" s="4">
        <v>0</v>
      </c>
      <c r="AO2104" s="4">
        <v>0</v>
      </c>
      <c r="AP2104" s="4">
        <v>7</v>
      </c>
      <c r="AQ2104" s="4">
        <v>37</v>
      </c>
      <c r="AR2104" s="3" t="s">
        <v>64</v>
      </c>
      <c r="AS2104" s="3" t="s">
        <v>64</v>
      </c>
      <c r="AT2104" s="3" t="s">
        <v>64</v>
      </c>
      <c r="AV2104" s="6" t="str">
        <f>HYPERLINK("http://mcgill.on.worldcat.org/oclc/852955994","Catalog Record")</f>
        <v>Catalog Record</v>
      </c>
      <c r="AW2104" s="6" t="str">
        <f>HYPERLINK("http://www.worldcat.org/oclc/852955994","WorldCat Record")</f>
        <v>WorldCat Record</v>
      </c>
      <c r="AX2104" s="3" t="s">
        <v>21338</v>
      </c>
      <c r="AY2104" s="3" t="s">
        <v>21339</v>
      </c>
      <c r="AZ2104" s="3" t="s">
        <v>21340</v>
      </c>
      <c r="BA2104" s="3" t="s">
        <v>21340</v>
      </c>
      <c r="BB2104" s="3" t="s">
        <v>21341</v>
      </c>
      <c r="BC2104" s="3" t="s">
        <v>77</v>
      </c>
      <c r="BD2104" s="3" t="s">
        <v>78</v>
      </c>
      <c r="BE2104" s="3" t="s">
        <v>21342</v>
      </c>
      <c r="BF2104" s="3" t="s">
        <v>21341</v>
      </c>
      <c r="BG2104" s="3" t="s">
        <v>21343</v>
      </c>
      <c r="BH2104">
        <f t="shared" si="54"/>
        <v>0</v>
      </c>
    </row>
    <row r="2105" spans="1:60" ht="87" x14ac:dyDescent="0.35">
      <c r="A2105" s="2" t="s">
        <v>59</v>
      </c>
      <c r="B2105" s="2" t="s">
        <v>60</v>
      </c>
      <c r="C2105" s="2" t="s">
        <v>21344</v>
      </c>
      <c r="D2105" s="2" t="s">
        <v>21345</v>
      </c>
      <c r="E2105" s="2" t="s">
        <v>21346</v>
      </c>
      <c r="G2105" s="3" t="s">
        <v>64</v>
      </c>
      <c r="I2105" s="3" t="s">
        <v>64</v>
      </c>
      <c r="J2105" s="3" t="s">
        <v>64</v>
      </c>
      <c r="K2105" s="3" t="s">
        <v>65</v>
      </c>
      <c r="L2105" s="2" t="s">
        <v>21347</v>
      </c>
      <c r="M2105" s="2" t="s">
        <v>21348</v>
      </c>
      <c r="N2105" s="3" t="s">
        <v>378</v>
      </c>
      <c r="P2105" s="3" t="s">
        <v>102</v>
      </c>
      <c r="R2105" s="3" t="s">
        <v>70</v>
      </c>
      <c r="S2105" s="4">
        <v>3</v>
      </c>
      <c r="T2105" s="4">
        <v>3</v>
      </c>
      <c r="U2105" s="5" t="s">
        <v>11310</v>
      </c>
      <c r="V2105" s="5" t="s">
        <v>11310</v>
      </c>
      <c r="W2105" s="5" t="s">
        <v>72</v>
      </c>
      <c r="X2105" s="5" t="s">
        <v>72</v>
      </c>
      <c r="Y2105" s="4">
        <v>68</v>
      </c>
      <c r="Z2105" s="4">
        <v>38</v>
      </c>
      <c r="AA2105" s="4">
        <v>39</v>
      </c>
      <c r="AB2105" s="4">
        <v>5</v>
      </c>
      <c r="AC2105" s="4">
        <v>5</v>
      </c>
      <c r="AD2105" s="4">
        <v>34</v>
      </c>
      <c r="AE2105" s="4">
        <v>35</v>
      </c>
      <c r="AF2105" s="4">
        <v>1</v>
      </c>
      <c r="AG2105" s="4">
        <v>1</v>
      </c>
      <c r="AH2105" s="4">
        <v>22</v>
      </c>
      <c r="AI2105" s="4">
        <v>22</v>
      </c>
      <c r="AJ2105" s="4">
        <v>14</v>
      </c>
      <c r="AK2105" s="4">
        <v>15</v>
      </c>
      <c r="AL2105" s="4">
        <v>13</v>
      </c>
      <c r="AM2105" s="4">
        <v>13</v>
      </c>
      <c r="AN2105" s="4">
        <v>0</v>
      </c>
      <c r="AO2105" s="4">
        <v>0</v>
      </c>
      <c r="AP2105" s="4">
        <v>17</v>
      </c>
      <c r="AQ2105" s="4">
        <v>18</v>
      </c>
      <c r="AR2105" s="3" t="s">
        <v>128</v>
      </c>
      <c r="AS2105" s="3" t="s">
        <v>64</v>
      </c>
      <c r="AT2105" s="3" t="s">
        <v>128</v>
      </c>
      <c r="AU2105" s="6" t="str">
        <f>HYPERLINK("http://catalog.hathitrust.org/Record/102328173","HathiTrust Record")</f>
        <v>HathiTrust Record</v>
      </c>
      <c r="AV2105" s="6" t="str">
        <f>HYPERLINK("http://mcgill.on.worldcat.org/oclc/15784435","Catalog Record")</f>
        <v>Catalog Record</v>
      </c>
      <c r="AW2105" s="6" t="str">
        <f>HYPERLINK("http://www.worldcat.org/oclc/15784435","WorldCat Record")</f>
        <v>WorldCat Record</v>
      </c>
      <c r="AX2105" s="3" t="s">
        <v>21349</v>
      </c>
      <c r="AY2105" s="3" t="s">
        <v>21350</v>
      </c>
      <c r="AZ2105" s="3" t="s">
        <v>21351</v>
      </c>
      <c r="BA2105" s="3" t="s">
        <v>21351</v>
      </c>
      <c r="BB2105" s="3" t="s">
        <v>21352</v>
      </c>
      <c r="BC2105" s="3" t="s">
        <v>77</v>
      </c>
      <c r="BD2105" s="3" t="s">
        <v>78</v>
      </c>
      <c r="BE2105" s="3" t="s">
        <v>21353</v>
      </c>
      <c r="BF2105" s="3" t="s">
        <v>21352</v>
      </c>
      <c r="BG2105" s="3" t="s">
        <v>21354</v>
      </c>
      <c r="BH2105">
        <f t="shared" si="54"/>
        <v>0</v>
      </c>
    </row>
    <row r="2106" spans="1:60" ht="72.5" x14ac:dyDescent="0.35">
      <c r="A2106" s="2" t="s">
        <v>59</v>
      </c>
      <c r="B2106" s="2" t="s">
        <v>1025</v>
      </c>
      <c r="C2106" s="2" t="s">
        <v>21355</v>
      </c>
      <c r="D2106" s="2" t="s">
        <v>21356</v>
      </c>
      <c r="E2106" s="2" t="s">
        <v>21357</v>
      </c>
      <c r="G2106" s="3" t="s">
        <v>64</v>
      </c>
      <c r="I2106" s="3" t="s">
        <v>64</v>
      </c>
      <c r="J2106" s="3" t="s">
        <v>64</v>
      </c>
      <c r="K2106" s="3" t="s">
        <v>65</v>
      </c>
      <c r="L2106" s="2" t="s">
        <v>21358</v>
      </c>
      <c r="M2106" s="2" t="s">
        <v>21359</v>
      </c>
      <c r="N2106" s="3" t="s">
        <v>3428</v>
      </c>
      <c r="P2106" s="3" t="s">
        <v>102</v>
      </c>
      <c r="R2106" s="3" t="s">
        <v>70</v>
      </c>
      <c r="S2106" s="4">
        <v>2</v>
      </c>
      <c r="T2106" s="4">
        <v>2</v>
      </c>
      <c r="U2106" s="5" t="s">
        <v>21360</v>
      </c>
      <c r="V2106" s="5" t="s">
        <v>21360</v>
      </c>
      <c r="W2106" s="5" t="s">
        <v>72</v>
      </c>
      <c r="X2106" s="5" t="s">
        <v>72</v>
      </c>
      <c r="Y2106" s="4">
        <v>4</v>
      </c>
      <c r="Z2106" s="4">
        <v>4</v>
      </c>
      <c r="AA2106" s="4">
        <v>5</v>
      </c>
      <c r="AB2106" s="4">
        <v>2</v>
      </c>
      <c r="AC2106" s="4">
        <v>3</v>
      </c>
      <c r="AD2106" s="4">
        <v>1</v>
      </c>
      <c r="AE2106" s="4">
        <v>1</v>
      </c>
      <c r="AF2106" s="4">
        <v>0</v>
      </c>
      <c r="AG2106" s="4">
        <v>0</v>
      </c>
      <c r="AH2106" s="4">
        <v>0</v>
      </c>
      <c r="AI2106" s="4">
        <v>0</v>
      </c>
      <c r="AJ2106" s="4">
        <v>1</v>
      </c>
      <c r="AK2106" s="4">
        <v>1</v>
      </c>
      <c r="AL2106" s="4">
        <v>0</v>
      </c>
      <c r="AM2106" s="4">
        <v>0</v>
      </c>
      <c r="AN2106" s="4">
        <v>0</v>
      </c>
      <c r="AO2106" s="4">
        <v>0</v>
      </c>
      <c r="AP2106" s="4">
        <v>0</v>
      </c>
      <c r="AQ2106" s="4">
        <v>0</v>
      </c>
      <c r="AR2106" s="3" t="s">
        <v>128</v>
      </c>
      <c r="AS2106" s="3" t="s">
        <v>64</v>
      </c>
      <c r="AT2106" s="3" t="s">
        <v>64</v>
      </c>
      <c r="AV2106" s="6" t="str">
        <f>HYPERLINK("http://mcgill.on.worldcat.org/oclc/35882491","Catalog Record")</f>
        <v>Catalog Record</v>
      </c>
      <c r="AW2106" s="6" t="str">
        <f>HYPERLINK("http://www.worldcat.org/oclc/35882491","WorldCat Record")</f>
        <v>WorldCat Record</v>
      </c>
      <c r="AX2106" s="3" t="s">
        <v>21361</v>
      </c>
      <c r="AY2106" s="3" t="s">
        <v>21362</v>
      </c>
      <c r="AZ2106" s="3" t="s">
        <v>21363</v>
      </c>
      <c r="BA2106" s="3" t="s">
        <v>21363</v>
      </c>
      <c r="BB2106" s="3" t="s">
        <v>21364</v>
      </c>
      <c r="BC2106" s="3" t="s">
        <v>77</v>
      </c>
      <c r="BD2106" s="3" t="s">
        <v>78</v>
      </c>
      <c r="BE2106" s="3" t="s">
        <v>21365</v>
      </c>
      <c r="BF2106" s="3" t="s">
        <v>21364</v>
      </c>
      <c r="BG2106" s="3" t="s">
        <v>21366</v>
      </c>
      <c r="BH2106">
        <f t="shared" si="54"/>
        <v>0</v>
      </c>
    </row>
    <row r="2107" spans="1:60" ht="72.5" x14ac:dyDescent="0.35">
      <c r="A2107" s="2" t="s">
        <v>59</v>
      </c>
      <c r="B2107" s="2" t="s">
        <v>1025</v>
      </c>
      <c r="C2107" s="2" t="s">
        <v>21367</v>
      </c>
      <c r="D2107" s="2" t="s">
        <v>21368</v>
      </c>
      <c r="E2107" s="2" t="s">
        <v>21369</v>
      </c>
      <c r="G2107" s="3" t="s">
        <v>64</v>
      </c>
      <c r="I2107" s="3" t="s">
        <v>64</v>
      </c>
      <c r="J2107" s="3" t="s">
        <v>64</v>
      </c>
      <c r="K2107" s="3" t="s">
        <v>65</v>
      </c>
      <c r="M2107" s="2" t="s">
        <v>21370</v>
      </c>
      <c r="N2107" s="3" t="s">
        <v>159</v>
      </c>
      <c r="P2107" s="3" t="s">
        <v>68</v>
      </c>
      <c r="Q2107" s="2" t="s">
        <v>21371</v>
      </c>
      <c r="R2107" s="3" t="s">
        <v>70</v>
      </c>
      <c r="S2107" s="4">
        <v>6</v>
      </c>
      <c r="T2107" s="4">
        <v>6</v>
      </c>
      <c r="U2107" s="5" t="s">
        <v>21372</v>
      </c>
      <c r="V2107" s="5" t="s">
        <v>21372</v>
      </c>
      <c r="W2107" s="5" t="s">
        <v>72</v>
      </c>
      <c r="X2107" s="5" t="s">
        <v>72</v>
      </c>
      <c r="Y2107" s="4">
        <v>73</v>
      </c>
      <c r="Z2107" s="4">
        <v>4</v>
      </c>
      <c r="AA2107" s="4">
        <v>9</v>
      </c>
      <c r="AB2107" s="4">
        <v>2</v>
      </c>
      <c r="AC2107" s="4">
        <v>6</v>
      </c>
      <c r="AD2107" s="4">
        <v>29</v>
      </c>
      <c r="AE2107" s="4">
        <v>33</v>
      </c>
      <c r="AF2107" s="4">
        <v>0</v>
      </c>
      <c r="AG2107" s="4">
        <v>3</v>
      </c>
      <c r="AH2107" s="4">
        <v>28</v>
      </c>
      <c r="AI2107" s="4">
        <v>30</v>
      </c>
      <c r="AJ2107" s="4">
        <v>1</v>
      </c>
      <c r="AK2107" s="4">
        <v>5</v>
      </c>
      <c r="AL2107" s="4">
        <v>22</v>
      </c>
      <c r="AM2107" s="4">
        <v>22</v>
      </c>
      <c r="AN2107" s="4">
        <v>0</v>
      </c>
      <c r="AO2107" s="4">
        <v>0</v>
      </c>
      <c r="AP2107" s="4">
        <v>1</v>
      </c>
      <c r="AQ2107" s="4">
        <v>4</v>
      </c>
      <c r="AR2107" s="3" t="s">
        <v>64</v>
      </c>
      <c r="AS2107" s="3" t="s">
        <v>64</v>
      </c>
      <c r="AT2107" s="3" t="s">
        <v>64</v>
      </c>
      <c r="AV2107" s="6" t="str">
        <f>HYPERLINK("http://mcgill.on.worldcat.org/oclc/50692464","Catalog Record")</f>
        <v>Catalog Record</v>
      </c>
      <c r="AW2107" s="6" t="str">
        <f>HYPERLINK("http://www.worldcat.org/oclc/50692464","WorldCat Record")</f>
        <v>WorldCat Record</v>
      </c>
      <c r="AX2107" s="3" t="s">
        <v>21373</v>
      </c>
      <c r="AY2107" s="3" t="s">
        <v>21374</v>
      </c>
      <c r="AZ2107" s="3" t="s">
        <v>21375</v>
      </c>
      <c r="BA2107" s="3" t="s">
        <v>21375</v>
      </c>
      <c r="BB2107" s="3" t="s">
        <v>21376</v>
      </c>
      <c r="BC2107" s="3" t="s">
        <v>77</v>
      </c>
      <c r="BD2107" s="3" t="s">
        <v>78</v>
      </c>
      <c r="BE2107" s="3" t="s">
        <v>21377</v>
      </c>
      <c r="BF2107" s="3" t="s">
        <v>21376</v>
      </c>
      <c r="BG2107" s="3" t="s">
        <v>21378</v>
      </c>
      <c r="BH2107">
        <f t="shared" si="54"/>
        <v>0</v>
      </c>
    </row>
    <row r="2108" spans="1:60" ht="72.5" x14ac:dyDescent="0.35">
      <c r="A2108" s="2" t="s">
        <v>59</v>
      </c>
      <c r="B2108" s="2" t="s">
        <v>1025</v>
      </c>
      <c r="C2108" s="2" t="s">
        <v>21379</v>
      </c>
      <c r="D2108" s="2" t="s">
        <v>21380</v>
      </c>
      <c r="E2108" s="2" t="s">
        <v>21381</v>
      </c>
      <c r="G2108" s="3" t="s">
        <v>64</v>
      </c>
      <c r="I2108" s="3" t="s">
        <v>64</v>
      </c>
      <c r="J2108" s="3" t="s">
        <v>64</v>
      </c>
      <c r="K2108" s="3" t="s">
        <v>65</v>
      </c>
      <c r="M2108" s="2" t="s">
        <v>21382</v>
      </c>
      <c r="N2108" s="3" t="s">
        <v>326</v>
      </c>
      <c r="P2108" s="3" t="s">
        <v>102</v>
      </c>
      <c r="R2108" s="3" t="s">
        <v>70</v>
      </c>
      <c r="S2108" s="4">
        <v>4</v>
      </c>
      <c r="T2108" s="4">
        <v>4</v>
      </c>
      <c r="U2108" s="5" t="s">
        <v>21383</v>
      </c>
      <c r="V2108" s="5" t="s">
        <v>21383</v>
      </c>
      <c r="W2108" s="5" t="s">
        <v>72</v>
      </c>
      <c r="X2108" s="5" t="s">
        <v>72</v>
      </c>
      <c r="Y2108" s="4">
        <v>28</v>
      </c>
      <c r="Z2108" s="4">
        <v>5</v>
      </c>
      <c r="AA2108" s="4">
        <v>12</v>
      </c>
      <c r="AB2108" s="4">
        <v>1</v>
      </c>
      <c r="AC2108" s="4">
        <v>3</v>
      </c>
      <c r="AD2108" s="4">
        <v>9</v>
      </c>
      <c r="AE2108" s="4">
        <v>33</v>
      </c>
      <c r="AF2108" s="4">
        <v>0</v>
      </c>
      <c r="AG2108" s="4">
        <v>1</v>
      </c>
      <c r="AH2108" s="4">
        <v>9</v>
      </c>
      <c r="AI2108" s="4">
        <v>32</v>
      </c>
      <c r="AJ2108" s="4">
        <v>2</v>
      </c>
      <c r="AK2108" s="4">
        <v>7</v>
      </c>
      <c r="AL2108" s="4">
        <v>4</v>
      </c>
      <c r="AM2108" s="4">
        <v>17</v>
      </c>
      <c r="AN2108" s="4">
        <v>0</v>
      </c>
      <c r="AO2108" s="4">
        <v>0</v>
      </c>
      <c r="AP2108" s="4">
        <v>2</v>
      </c>
      <c r="AQ2108" s="4">
        <v>6</v>
      </c>
      <c r="AR2108" s="3" t="s">
        <v>64</v>
      </c>
      <c r="AS2108" s="3" t="s">
        <v>64</v>
      </c>
      <c r="AT2108" s="3" t="s">
        <v>64</v>
      </c>
      <c r="AV2108" s="6" t="str">
        <f>HYPERLINK("http://mcgill.on.worldcat.org/oclc/783148803","Catalog Record")</f>
        <v>Catalog Record</v>
      </c>
      <c r="AW2108" s="6" t="str">
        <f>HYPERLINK("http://www.worldcat.org/oclc/783148803","WorldCat Record")</f>
        <v>WorldCat Record</v>
      </c>
      <c r="AX2108" s="3" t="s">
        <v>21384</v>
      </c>
      <c r="AY2108" s="3" t="s">
        <v>21385</v>
      </c>
      <c r="AZ2108" s="3" t="s">
        <v>21386</v>
      </c>
      <c r="BA2108" s="3" t="s">
        <v>21386</v>
      </c>
      <c r="BB2108" s="3" t="s">
        <v>21387</v>
      </c>
      <c r="BC2108" s="3" t="s">
        <v>77</v>
      </c>
      <c r="BD2108" s="3" t="s">
        <v>78</v>
      </c>
      <c r="BE2108" s="3" t="s">
        <v>21388</v>
      </c>
      <c r="BF2108" s="3" t="s">
        <v>21387</v>
      </c>
      <c r="BG2108" s="3" t="s">
        <v>21389</v>
      </c>
      <c r="BH2108">
        <f t="shared" si="54"/>
        <v>0</v>
      </c>
    </row>
    <row r="2109" spans="1:60" ht="87" x14ac:dyDescent="0.35">
      <c r="A2109" s="2" t="s">
        <v>59</v>
      </c>
      <c r="B2109" s="2" t="s">
        <v>60</v>
      </c>
      <c r="C2109" s="2" t="s">
        <v>21390</v>
      </c>
      <c r="D2109" s="2" t="s">
        <v>21391</v>
      </c>
      <c r="E2109" s="2" t="s">
        <v>21392</v>
      </c>
      <c r="G2109" s="3" t="s">
        <v>64</v>
      </c>
      <c r="I2109" s="3" t="s">
        <v>64</v>
      </c>
      <c r="J2109" s="3" t="s">
        <v>64</v>
      </c>
      <c r="K2109" s="3" t="s">
        <v>65</v>
      </c>
      <c r="M2109" s="2" t="s">
        <v>21393</v>
      </c>
      <c r="N2109" s="3" t="s">
        <v>326</v>
      </c>
      <c r="P2109" s="3" t="s">
        <v>944</v>
      </c>
      <c r="R2109" s="3" t="s">
        <v>70</v>
      </c>
      <c r="S2109" s="4">
        <v>0</v>
      </c>
      <c r="T2109" s="4">
        <v>0</v>
      </c>
      <c r="W2109" s="5" t="s">
        <v>72</v>
      </c>
      <c r="X2109" s="5" t="s">
        <v>72</v>
      </c>
      <c r="Y2109" s="4">
        <v>57</v>
      </c>
      <c r="Z2109" s="4">
        <v>2</v>
      </c>
      <c r="AA2109" s="4">
        <v>2</v>
      </c>
      <c r="AB2109" s="4">
        <v>1</v>
      </c>
      <c r="AC2109" s="4">
        <v>1</v>
      </c>
      <c r="AD2109" s="4">
        <v>13</v>
      </c>
      <c r="AE2109" s="4">
        <v>13</v>
      </c>
      <c r="AF2109" s="4">
        <v>0</v>
      </c>
      <c r="AG2109" s="4">
        <v>0</v>
      </c>
      <c r="AH2109" s="4">
        <v>13</v>
      </c>
      <c r="AI2109" s="4">
        <v>13</v>
      </c>
      <c r="AJ2109" s="4">
        <v>1</v>
      </c>
      <c r="AK2109" s="4">
        <v>1</v>
      </c>
      <c r="AL2109" s="4">
        <v>8</v>
      </c>
      <c r="AM2109" s="4">
        <v>8</v>
      </c>
      <c r="AN2109" s="4">
        <v>0</v>
      </c>
      <c r="AO2109" s="4">
        <v>0</v>
      </c>
      <c r="AP2109" s="4">
        <v>1</v>
      </c>
      <c r="AQ2109" s="4">
        <v>1</v>
      </c>
      <c r="AR2109" s="3" t="s">
        <v>64</v>
      </c>
      <c r="AS2109" s="3" t="s">
        <v>64</v>
      </c>
      <c r="AT2109" s="3" t="s">
        <v>64</v>
      </c>
      <c r="AV2109" s="6" t="str">
        <f>HYPERLINK("http://mcgill.on.worldcat.org/oclc/700356285","Catalog Record")</f>
        <v>Catalog Record</v>
      </c>
      <c r="AW2109" s="6" t="str">
        <f>HYPERLINK("http://www.worldcat.org/oclc/700356285","WorldCat Record")</f>
        <v>WorldCat Record</v>
      </c>
      <c r="AX2109" s="3" t="s">
        <v>21394</v>
      </c>
      <c r="AY2109" s="3" t="s">
        <v>21395</v>
      </c>
      <c r="AZ2109" s="3" t="s">
        <v>21396</v>
      </c>
      <c r="BA2109" s="3" t="s">
        <v>21396</v>
      </c>
      <c r="BB2109" s="3" t="s">
        <v>21397</v>
      </c>
      <c r="BC2109" s="3" t="s">
        <v>77</v>
      </c>
      <c r="BD2109" s="3" t="s">
        <v>78</v>
      </c>
      <c r="BE2109" s="3" t="s">
        <v>21398</v>
      </c>
      <c r="BF2109" s="3" t="s">
        <v>21397</v>
      </c>
      <c r="BG2109" s="3" t="s">
        <v>21399</v>
      </c>
      <c r="BH2109">
        <f t="shared" si="54"/>
        <v>0</v>
      </c>
    </row>
    <row r="2110" spans="1:60" ht="58" x14ac:dyDescent="0.35">
      <c r="A2110" s="2" t="s">
        <v>59</v>
      </c>
      <c r="B2110" s="2" t="s">
        <v>60</v>
      </c>
      <c r="C2110" s="2" t="s">
        <v>21400</v>
      </c>
      <c r="D2110" s="2" t="s">
        <v>21401</v>
      </c>
      <c r="E2110" s="2" t="s">
        <v>21402</v>
      </c>
      <c r="G2110" s="3" t="s">
        <v>64</v>
      </c>
      <c r="I2110" s="3" t="s">
        <v>64</v>
      </c>
      <c r="J2110" s="3" t="s">
        <v>64</v>
      </c>
      <c r="K2110" s="3" t="s">
        <v>65</v>
      </c>
      <c r="L2110" s="2" t="s">
        <v>21403</v>
      </c>
      <c r="M2110" s="2" t="s">
        <v>21404</v>
      </c>
      <c r="N2110" s="3" t="s">
        <v>551</v>
      </c>
      <c r="P2110" s="3" t="s">
        <v>102</v>
      </c>
      <c r="R2110" s="3" t="s">
        <v>70</v>
      </c>
      <c r="S2110" s="4">
        <v>4</v>
      </c>
      <c r="T2110" s="4">
        <v>4</v>
      </c>
      <c r="U2110" s="5" t="s">
        <v>6902</v>
      </c>
      <c r="V2110" s="5" t="s">
        <v>6902</v>
      </c>
      <c r="W2110" s="5" t="s">
        <v>72</v>
      </c>
      <c r="X2110" s="5" t="s">
        <v>72</v>
      </c>
      <c r="Y2110" s="4">
        <v>127</v>
      </c>
      <c r="Z2110" s="4">
        <v>12</v>
      </c>
      <c r="AA2110" s="4">
        <v>16</v>
      </c>
      <c r="AB2110" s="4">
        <v>2</v>
      </c>
      <c r="AC2110" s="4">
        <v>6</v>
      </c>
      <c r="AD2110" s="4">
        <v>48</v>
      </c>
      <c r="AE2110" s="4">
        <v>50</v>
      </c>
      <c r="AF2110" s="4">
        <v>0</v>
      </c>
      <c r="AG2110" s="4">
        <v>0</v>
      </c>
      <c r="AH2110" s="4">
        <v>46</v>
      </c>
      <c r="AI2110" s="4">
        <v>48</v>
      </c>
      <c r="AJ2110" s="4">
        <v>8</v>
      </c>
      <c r="AK2110" s="4">
        <v>8</v>
      </c>
      <c r="AL2110" s="4">
        <v>28</v>
      </c>
      <c r="AM2110" s="4">
        <v>29</v>
      </c>
      <c r="AN2110" s="4">
        <v>0</v>
      </c>
      <c r="AO2110" s="4">
        <v>0</v>
      </c>
      <c r="AP2110" s="4">
        <v>8</v>
      </c>
      <c r="AQ2110" s="4">
        <v>8</v>
      </c>
      <c r="AR2110" s="3" t="s">
        <v>64</v>
      </c>
      <c r="AS2110" s="3" t="s">
        <v>64</v>
      </c>
      <c r="AT2110" s="3" t="s">
        <v>64</v>
      </c>
      <c r="AV2110" s="6" t="str">
        <f>HYPERLINK("http://mcgill.on.worldcat.org/oclc/276514861","Catalog Record")</f>
        <v>Catalog Record</v>
      </c>
      <c r="AW2110" s="6" t="str">
        <f>HYPERLINK("http://www.worldcat.org/oclc/276514861","WorldCat Record")</f>
        <v>WorldCat Record</v>
      </c>
      <c r="AX2110" s="3" t="s">
        <v>21405</v>
      </c>
      <c r="AY2110" s="3" t="s">
        <v>21406</v>
      </c>
      <c r="AZ2110" s="3" t="s">
        <v>21407</v>
      </c>
      <c r="BA2110" s="3" t="s">
        <v>21407</v>
      </c>
      <c r="BB2110" s="3" t="s">
        <v>21408</v>
      </c>
      <c r="BC2110" s="3" t="s">
        <v>77</v>
      </c>
      <c r="BD2110" s="3" t="s">
        <v>78</v>
      </c>
      <c r="BE2110" s="3" t="s">
        <v>21409</v>
      </c>
      <c r="BF2110" s="3" t="s">
        <v>21408</v>
      </c>
      <c r="BG2110" s="3" t="s">
        <v>21410</v>
      </c>
      <c r="BH2110">
        <f t="shared" si="54"/>
        <v>0</v>
      </c>
    </row>
    <row r="2111" spans="1:60" ht="58" x14ac:dyDescent="0.35">
      <c r="A2111" s="2" t="s">
        <v>59</v>
      </c>
      <c r="B2111" s="2" t="s">
        <v>60</v>
      </c>
      <c r="C2111" s="2" t="s">
        <v>21411</v>
      </c>
      <c r="D2111" s="2" t="s">
        <v>21412</v>
      </c>
      <c r="E2111" s="2" t="s">
        <v>21413</v>
      </c>
      <c r="G2111" s="3" t="s">
        <v>64</v>
      </c>
      <c r="I2111" s="3" t="s">
        <v>64</v>
      </c>
      <c r="J2111" s="3" t="s">
        <v>64</v>
      </c>
      <c r="K2111" s="3" t="s">
        <v>65</v>
      </c>
      <c r="M2111" s="2" t="s">
        <v>21414</v>
      </c>
      <c r="N2111" s="3" t="s">
        <v>551</v>
      </c>
      <c r="P2111" s="3" t="s">
        <v>102</v>
      </c>
      <c r="R2111" s="3" t="s">
        <v>70</v>
      </c>
      <c r="S2111" s="4">
        <v>10</v>
      </c>
      <c r="T2111" s="4">
        <v>10</v>
      </c>
      <c r="U2111" s="5" t="s">
        <v>13876</v>
      </c>
      <c r="V2111" s="5" t="s">
        <v>13876</v>
      </c>
      <c r="W2111" s="5" t="s">
        <v>72</v>
      </c>
      <c r="X2111" s="5" t="s">
        <v>72</v>
      </c>
      <c r="Y2111" s="4">
        <v>192</v>
      </c>
      <c r="Z2111" s="4">
        <v>17</v>
      </c>
      <c r="AA2111" s="4">
        <v>61</v>
      </c>
      <c r="AB2111" s="4">
        <v>1</v>
      </c>
      <c r="AC2111" s="4">
        <v>8</v>
      </c>
      <c r="AD2111" s="4">
        <v>39</v>
      </c>
      <c r="AE2111" s="4">
        <v>58</v>
      </c>
      <c r="AF2111" s="4">
        <v>0</v>
      </c>
      <c r="AG2111" s="4">
        <v>1</v>
      </c>
      <c r="AH2111" s="4">
        <v>34</v>
      </c>
      <c r="AI2111" s="4">
        <v>44</v>
      </c>
      <c r="AJ2111" s="4">
        <v>7</v>
      </c>
      <c r="AK2111" s="4">
        <v>12</v>
      </c>
      <c r="AL2111" s="4">
        <v>19</v>
      </c>
      <c r="AM2111" s="4">
        <v>26</v>
      </c>
      <c r="AN2111" s="4">
        <v>0</v>
      </c>
      <c r="AO2111" s="4">
        <v>0</v>
      </c>
      <c r="AP2111" s="4">
        <v>9</v>
      </c>
      <c r="AQ2111" s="4">
        <v>19</v>
      </c>
      <c r="AR2111" s="3" t="s">
        <v>64</v>
      </c>
      <c r="AS2111" s="3" t="s">
        <v>64</v>
      </c>
      <c r="AT2111" s="3" t="s">
        <v>64</v>
      </c>
      <c r="AV2111" s="6" t="str">
        <f>HYPERLINK("http://mcgill.on.worldcat.org/oclc/227205754","Catalog Record")</f>
        <v>Catalog Record</v>
      </c>
      <c r="AW2111" s="6" t="str">
        <f>HYPERLINK("http://www.worldcat.org/oclc/227205754","WorldCat Record")</f>
        <v>WorldCat Record</v>
      </c>
      <c r="AX2111" s="3" t="s">
        <v>21415</v>
      </c>
      <c r="AY2111" s="3" t="s">
        <v>21416</v>
      </c>
      <c r="AZ2111" s="3" t="s">
        <v>21417</v>
      </c>
      <c r="BA2111" s="3" t="s">
        <v>21417</v>
      </c>
      <c r="BB2111" s="3" t="s">
        <v>21418</v>
      </c>
      <c r="BC2111" s="3" t="s">
        <v>77</v>
      </c>
      <c r="BD2111" s="3" t="s">
        <v>78</v>
      </c>
      <c r="BE2111" s="3" t="s">
        <v>21419</v>
      </c>
      <c r="BF2111" s="3" t="s">
        <v>21418</v>
      </c>
      <c r="BG2111" s="3" t="s">
        <v>21420</v>
      </c>
      <c r="BH2111">
        <f t="shared" si="54"/>
        <v>0</v>
      </c>
    </row>
    <row r="2112" spans="1:60" ht="72.5" x14ac:dyDescent="0.35">
      <c r="A2112" s="2" t="s">
        <v>59</v>
      </c>
      <c r="B2112" s="2" t="s">
        <v>1025</v>
      </c>
      <c r="C2112" s="2" t="s">
        <v>21421</v>
      </c>
      <c r="D2112" s="2" t="s">
        <v>21422</v>
      </c>
      <c r="E2112" s="2" t="s">
        <v>21423</v>
      </c>
      <c r="G2112" s="3" t="s">
        <v>64</v>
      </c>
      <c r="I2112" s="3" t="s">
        <v>64</v>
      </c>
      <c r="J2112" s="3" t="s">
        <v>64</v>
      </c>
      <c r="K2112" s="3" t="s">
        <v>65</v>
      </c>
      <c r="M2112" s="2" t="s">
        <v>21424</v>
      </c>
      <c r="N2112" s="3" t="s">
        <v>434</v>
      </c>
      <c r="P2112" s="3" t="s">
        <v>102</v>
      </c>
      <c r="R2112" s="3" t="s">
        <v>70</v>
      </c>
      <c r="S2112" s="4">
        <v>19</v>
      </c>
      <c r="T2112" s="4">
        <v>19</v>
      </c>
      <c r="U2112" s="5" t="s">
        <v>21425</v>
      </c>
      <c r="V2112" s="5" t="s">
        <v>21425</v>
      </c>
      <c r="W2112" s="5" t="s">
        <v>72</v>
      </c>
      <c r="X2112" s="5" t="s">
        <v>72</v>
      </c>
      <c r="Y2112" s="4">
        <v>122</v>
      </c>
      <c r="Z2112" s="4">
        <v>6</v>
      </c>
      <c r="AA2112" s="4">
        <v>7</v>
      </c>
      <c r="AB2112" s="4">
        <v>1</v>
      </c>
      <c r="AC2112" s="4">
        <v>2</v>
      </c>
      <c r="AD2112" s="4">
        <v>51</v>
      </c>
      <c r="AE2112" s="4">
        <v>52</v>
      </c>
      <c r="AF2112" s="4">
        <v>0</v>
      </c>
      <c r="AG2112" s="4">
        <v>1</v>
      </c>
      <c r="AH2112" s="4">
        <v>48</v>
      </c>
      <c r="AI2112" s="4">
        <v>48</v>
      </c>
      <c r="AJ2112" s="4">
        <v>2</v>
      </c>
      <c r="AK2112" s="4">
        <v>3</v>
      </c>
      <c r="AL2112" s="4">
        <v>31</v>
      </c>
      <c r="AM2112" s="4">
        <v>31</v>
      </c>
      <c r="AN2112" s="4">
        <v>0</v>
      </c>
      <c r="AO2112" s="4">
        <v>0</v>
      </c>
      <c r="AP2112" s="4">
        <v>3</v>
      </c>
      <c r="AQ2112" s="4">
        <v>3</v>
      </c>
      <c r="AR2112" s="3" t="s">
        <v>64</v>
      </c>
      <c r="AS2112" s="3" t="s">
        <v>64</v>
      </c>
      <c r="AT2112" s="3" t="s">
        <v>64</v>
      </c>
      <c r="AV2112" s="6" t="str">
        <f>HYPERLINK("http://mcgill.on.worldcat.org/oclc/62149275","Catalog Record")</f>
        <v>Catalog Record</v>
      </c>
      <c r="AW2112" s="6" t="str">
        <f>HYPERLINK("http://www.worldcat.org/oclc/62149275","WorldCat Record")</f>
        <v>WorldCat Record</v>
      </c>
      <c r="AX2112" s="3" t="s">
        <v>21426</v>
      </c>
      <c r="AY2112" s="3" t="s">
        <v>21427</v>
      </c>
      <c r="AZ2112" s="3" t="s">
        <v>21428</v>
      </c>
      <c r="BA2112" s="3" t="s">
        <v>21428</v>
      </c>
      <c r="BB2112" s="3" t="s">
        <v>21429</v>
      </c>
      <c r="BC2112" s="3" t="s">
        <v>77</v>
      </c>
      <c r="BD2112" s="3" t="s">
        <v>78</v>
      </c>
      <c r="BE2112" s="3" t="s">
        <v>21430</v>
      </c>
      <c r="BF2112" s="3" t="s">
        <v>21429</v>
      </c>
      <c r="BG2112" s="3" t="s">
        <v>21431</v>
      </c>
      <c r="BH2112">
        <f t="shared" si="54"/>
        <v>0</v>
      </c>
    </row>
    <row r="2113" spans="1:60" ht="72.5" x14ac:dyDescent="0.35">
      <c r="A2113" s="2" t="s">
        <v>59</v>
      </c>
      <c r="B2113" s="2" t="s">
        <v>1025</v>
      </c>
      <c r="C2113" s="2" t="s">
        <v>21432</v>
      </c>
      <c r="D2113" s="2" t="s">
        <v>21433</v>
      </c>
      <c r="E2113" s="2" t="s">
        <v>21434</v>
      </c>
      <c r="G2113" s="3" t="s">
        <v>64</v>
      </c>
      <c r="I2113" s="3" t="s">
        <v>64</v>
      </c>
      <c r="J2113" s="3" t="s">
        <v>64</v>
      </c>
      <c r="K2113" s="3" t="s">
        <v>65</v>
      </c>
      <c r="L2113" s="2" t="s">
        <v>21435</v>
      </c>
      <c r="M2113" s="2" t="s">
        <v>21436</v>
      </c>
      <c r="N2113" s="3" t="s">
        <v>1250</v>
      </c>
      <c r="P2113" s="3" t="s">
        <v>102</v>
      </c>
      <c r="Q2113" s="2" t="s">
        <v>21437</v>
      </c>
      <c r="R2113" s="3" t="s">
        <v>70</v>
      </c>
      <c r="S2113" s="4">
        <v>19</v>
      </c>
      <c r="T2113" s="4">
        <v>19</v>
      </c>
      <c r="U2113" s="5" t="s">
        <v>21438</v>
      </c>
      <c r="V2113" s="5" t="s">
        <v>21438</v>
      </c>
      <c r="W2113" s="5" t="s">
        <v>72</v>
      </c>
      <c r="X2113" s="5" t="s">
        <v>72</v>
      </c>
      <c r="Y2113" s="4">
        <v>198</v>
      </c>
      <c r="Z2113" s="4">
        <v>8</v>
      </c>
      <c r="AA2113" s="4">
        <v>11</v>
      </c>
      <c r="AB2113" s="4">
        <v>2</v>
      </c>
      <c r="AC2113" s="4">
        <v>5</v>
      </c>
      <c r="AD2113" s="4">
        <v>73</v>
      </c>
      <c r="AE2113" s="4">
        <v>76</v>
      </c>
      <c r="AF2113" s="4">
        <v>0</v>
      </c>
      <c r="AG2113" s="4">
        <v>3</v>
      </c>
      <c r="AH2113" s="4">
        <v>72</v>
      </c>
      <c r="AI2113" s="4">
        <v>73</v>
      </c>
      <c r="AJ2113" s="4">
        <v>4</v>
      </c>
      <c r="AK2113" s="4">
        <v>7</v>
      </c>
      <c r="AL2113" s="4">
        <v>42</v>
      </c>
      <c r="AM2113" s="4">
        <v>42</v>
      </c>
      <c r="AN2113" s="4">
        <v>0</v>
      </c>
      <c r="AO2113" s="4">
        <v>0</v>
      </c>
      <c r="AP2113" s="4">
        <v>4</v>
      </c>
      <c r="AQ2113" s="4">
        <v>6</v>
      </c>
      <c r="AR2113" s="3" t="s">
        <v>64</v>
      </c>
      <c r="AS2113" s="3" t="s">
        <v>64</v>
      </c>
      <c r="AT2113" s="3" t="s">
        <v>128</v>
      </c>
      <c r="AU2113" s="6" t="str">
        <f>HYPERLINK("http://catalog.hathitrust.org/Record/002985802","HathiTrust Record")</f>
        <v>HathiTrust Record</v>
      </c>
      <c r="AV2113" s="6" t="str">
        <f>HYPERLINK("http://mcgill.on.worldcat.org/oclc/32035721","Catalog Record")</f>
        <v>Catalog Record</v>
      </c>
      <c r="AW2113" s="6" t="str">
        <f>HYPERLINK("http://www.worldcat.org/oclc/32035721","WorldCat Record")</f>
        <v>WorldCat Record</v>
      </c>
      <c r="AX2113" s="3" t="s">
        <v>21439</v>
      </c>
      <c r="AY2113" s="3" t="s">
        <v>21440</v>
      </c>
      <c r="AZ2113" s="3" t="s">
        <v>21441</v>
      </c>
      <c r="BA2113" s="3" t="s">
        <v>21441</v>
      </c>
      <c r="BB2113" s="3" t="s">
        <v>21442</v>
      </c>
      <c r="BC2113" s="3" t="s">
        <v>77</v>
      </c>
      <c r="BD2113" s="3" t="s">
        <v>78</v>
      </c>
      <c r="BE2113" s="3" t="s">
        <v>21443</v>
      </c>
      <c r="BF2113" s="3" t="s">
        <v>21442</v>
      </c>
      <c r="BG2113" s="3" t="s">
        <v>21444</v>
      </c>
      <c r="BH2113">
        <f t="shared" si="54"/>
        <v>0</v>
      </c>
    </row>
    <row r="2114" spans="1:60" ht="72.5" x14ac:dyDescent="0.35">
      <c r="A2114" s="2" t="s">
        <v>59</v>
      </c>
      <c r="B2114" s="2" t="s">
        <v>1025</v>
      </c>
      <c r="C2114" s="2" t="s">
        <v>21445</v>
      </c>
      <c r="D2114" s="2" t="s">
        <v>21446</v>
      </c>
      <c r="E2114" s="2" t="s">
        <v>21447</v>
      </c>
      <c r="G2114" s="3" t="s">
        <v>64</v>
      </c>
      <c r="I2114" s="3" t="s">
        <v>64</v>
      </c>
      <c r="J2114" s="3" t="s">
        <v>64</v>
      </c>
      <c r="K2114" s="3" t="s">
        <v>65</v>
      </c>
      <c r="L2114" s="2" t="s">
        <v>21448</v>
      </c>
      <c r="M2114" s="2" t="s">
        <v>21449</v>
      </c>
      <c r="N2114" s="3" t="s">
        <v>421</v>
      </c>
      <c r="P2114" s="3" t="s">
        <v>102</v>
      </c>
      <c r="Q2114" s="2" t="s">
        <v>21450</v>
      </c>
      <c r="R2114" s="3" t="s">
        <v>70</v>
      </c>
      <c r="S2114" s="4">
        <v>8</v>
      </c>
      <c r="T2114" s="4">
        <v>8</v>
      </c>
      <c r="U2114" s="5" t="s">
        <v>21451</v>
      </c>
      <c r="V2114" s="5" t="s">
        <v>21451</v>
      </c>
      <c r="W2114" s="5" t="s">
        <v>72</v>
      </c>
      <c r="X2114" s="5" t="s">
        <v>72</v>
      </c>
      <c r="Y2114" s="4">
        <v>174</v>
      </c>
      <c r="Z2114" s="4">
        <v>8</v>
      </c>
      <c r="AA2114" s="4">
        <v>9</v>
      </c>
      <c r="AB2114" s="4">
        <v>2</v>
      </c>
      <c r="AC2114" s="4">
        <v>3</v>
      </c>
      <c r="AD2114" s="4">
        <v>55</v>
      </c>
      <c r="AE2114" s="4">
        <v>56</v>
      </c>
      <c r="AF2114" s="4">
        <v>0</v>
      </c>
      <c r="AG2114" s="4">
        <v>1</v>
      </c>
      <c r="AH2114" s="4">
        <v>50</v>
      </c>
      <c r="AI2114" s="4">
        <v>51</v>
      </c>
      <c r="AJ2114" s="4">
        <v>3</v>
      </c>
      <c r="AK2114" s="4">
        <v>4</v>
      </c>
      <c r="AL2114" s="4">
        <v>33</v>
      </c>
      <c r="AM2114" s="4">
        <v>33</v>
      </c>
      <c r="AN2114" s="4">
        <v>0</v>
      </c>
      <c r="AO2114" s="4">
        <v>0</v>
      </c>
      <c r="AP2114" s="4">
        <v>3</v>
      </c>
      <c r="AQ2114" s="4">
        <v>4</v>
      </c>
      <c r="AR2114" s="3" t="s">
        <v>64</v>
      </c>
      <c r="AS2114" s="3" t="s">
        <v>64</v>
      </c>
      <c r="AT2114" s="3" t="s">
        <v>128</v>
      </c>
      <c r="AU2114" s="6" t="str">
        <f>HYPERLINK("http://catalog.hathitrust.org/Record/003961528","HathiTrust Record")</f>
        <v>HathiTrust Record</v>
      </c>
      <c r="AV2114" s="6" t="str">
        <f>HYPERLINK("http://mcgill.on.worldcat.org/oclc/38059882","Catalog Record")</f>
        <v>Catalog Record</v>
      </c>
      <c r="AW2114" s="6" t="str">
        <f>HYPERLINK("http://www.worldcat.org/oclc/38059882","WorldCat Record")</f>
        <v>WorldCat Record</v>
      </c>
      <c r="AX2114" s="3" t="s">
        <v>21452</v>
      </c>
      <c r="AY2114" s="3" t="s">
        <v>21453</v>
      </c>
      <c r="AZ2114" s="3" t="s">
        <v>21454</v>
      </c>
      <c r="BA2114" s="3" t="s">
        <v>21454</v>
      </c>
      <c r="BB2114" s="3" t="s">
        <v>21455</v>
      </c>
      <c r="BC2114" s="3" t="s">
        <v>77</v>
      </c>
      <c r="BD2114" s="3" t="s">
        <v>78</v>
      </c>
      <c r="BE2114" s="3" t="s">
        <v>21456</v>
      </c>
      <c r="BF2114" s="3" t="s">
        <v>21455</v>
      </c>
      <c r="BG2114" s="3" t="s">
        <v>21457</v>
      </c>
      <c r="BH2114">
        <f t="shared" ref="BH2114:BH2177" si="55">IF(COUNTIF($BF$1:$BF$5431,BF2114)=1,0,1)</f>
        <v>0</v>
      </c>
    </row>
    <row r="2115" spans="1:60" ht="72.5" x14ac:dyDescent="0.35">
      <c r="A2115" s="2" t="s">
        <v>59</v>
      </c>
      <c r="B2115" s="2" t="s">
        <v>1025</v>
      </c>
      <c r="C2115" s="2" t="s">
        <v>21458</v>
      </c>
      <c r="D2115" s="2" t="s">
        <v>21459</v>
      </c>
      <c r="E2115" s="2" t="s">
        <v>21460</v>
      </c>
      <c r="G2115" s="3" t="s">
        <v>64</v>
      </c>
      <c r="I2115" s="3" t="s">
        <v>64</v>
      </c>
      <c r="J2115" s="3" t="s">
        <v>64</v>
      </c>
      <c r="K2115" s="3" t="s">
        <v>65</v>
      </c>
      <c r="M2115" s="2" t="s">
        <v>21461</v>
      </c>
      <c r="N2115" s="3" t="s">
        <v>67</v>
      </c>
      <c r="P2115" s="3" t="s">
        <v>102</v>
      </c>
      <c r="R2115" s="3" t="s">
        <v>70</v>
      </c>
      <c r="S2115" s="4">
        <v>0</v>
      </c>
      <c r="T2115" s="4">
        <v>0</v>
      </c>
      <c r="W2115" s="5" t="s">
        <v>17763</v>
      </c>
      <c r="X2115" s="5" t="s">
        <v>17763</v>
      </c>
      <c r="Y2115" s="4">
        <v>1</v>
      </c>
      <c r="Z2115" s="4">
        <v>1</v>
      </c>
      <c r="AA2115" s="4">
        <v>1</v>
      </c>
      <c r="AB2115" s="4">
        <v>1</v>
      </c>
      <c r="AC2115" s="4">
        <v>1</v>
      </c>
      <c r="AD2115" s="4">
        <v>0</v>
      </c>
      <c r="AE2115" s="4">
        <v>0</v>
      </c>
      <c r="AF2115" s="4">
        <v>0</v>
      </c>
      <c r="AG2115" s="4">
        <v>0</v>
      </c>
      <c r="AH2115" s="4">
        <v>0</v>
      </c>
      <c r="AI2115" s="4">
        <v>0</v>
      </c>
      <c r="AJ2115" s="4">
        <v>0</v>
      </c>
      <c r="AK2115" s="4">
        <v>0</v>
      </c>
      <c r="AL2115" s="4">
        <v>0</v>
      </c>
      <c r="AM2115" s="4">
        <v>0</v>
      </c>
      <c r="AN2115" s="4">
        <v>0</v>
      </c>
      <c r="AO2115" s="4">
        <v>0</v>
      </c>
      <c r="AP2115" s="4">
        <v>0</v>
      </c>
      <c r="AQ2115" s="4">
        <v>0</v>
      </c>
      <c r="AR2115" s="3" t="s">
        <v>64</v>
      </c>
      <c r="AS2115" s="3" t="s">
        <v>64</v>
      </c>
      <c r="AT2115" s="3" t="s">
        <v>64</v>
      </c>
      <c r="AV2115" s="6" t="str">
        <f>HYPERLINK("http://mcgill.on.worldcat.org/oclc/982129452","Catalog Record")</f>
        <v>Catalog Record</v>
      </c>
      <c r="AW2115" s="6" t="str">
        <f>HYPERLINK("http://www.worldcat.org/oclc/982129452","WorldCat Record")</f>
        <v>WorldCat Record</v>
      </c>
      <c r="AX2115" s="3" t="s">
        <v>21462</v>
      </c>
      <c r="AY2115" s="3" t="s">
        <v>21463</v>
      </c>
      <c r="AZ2115" s="3" t="s">
        <v>21464</v>
      </c>
      <c r="BA2115" s="3" t="s">
        <v>21464</v>
      </c>
      <c r="BB2115" s="3" t="s">
        <v>21465</v>
      </c>
      <c r="BC2115" s="3" t="s">
        <v>77</v>
      </c>
      <c r="BD2115" s="3" t="s">
        <v>78</v>
      </c>
      <c r="BE2115" s="3" t="s">
        <v>21466</v>
      </c>
      <c r="BF2115" s="3" t="s">
        <v>21465</v>
      </c>
      <c r="BG2115" s="3" t="s">
        <v>21467</v>
      </c>
      <c r="BH2115">
        <f t="shared" si="55"/>
        <v>0</v>
      </c>
    </row>
    <row r="2116" spans="1:60" ht="58" x14ac:dyDescent="0.35">
      <c r="A2116" s="2" t="s">
        <v>59</v>
      </c>
      <c r="B2116" s="2" t="s">
        <v>60</v>
      </c>
      <c r="C2116" s="2" t="s">
        <v>21468</v>
      </c>
      <c r="D2116" s="2" t="s">
        <v>21469</v>
      </c>
      <c r="E2116" s="2" t="s">
        <v>21470</v>
      </c>
      <c r="F2116" s="3" t="s">
        <v>7062</v>
      </c>
      <c r="G2116" s="3" t="s">
        <v>64</v>
      </c>
      <c r="I2116" s="3" t="s">
        <v>64</v>
      </c>
      <c r="J2116" s="3" t="s">
        <v>64</v>
      </c>
      <c r="K2116" s="3" t="s">
        <v>65</v>
      </c>
      <c r="L2116" s="2" t="s">
        <v>21471</v>
      </c>
      <c r="M2116" s="2" t="s">
        <v>21472</v>
      </c>
      <c r="N2116" s="3" t="s">
        <v>326</v>
      </c>
      <c r="P2116" s="3" t="s">
        <v>102</v>
      </c>
      <c r="R2116" s="3" t="s">
        <v>70</v>
      </c>
      <c r="S2116" s="4">
        <v>4</v>
      </c>
      <c r="T2116" s="4">
        <v>4</v>
      </c>
      <c r="U2116" s="5" t="s">
        <v>2282</v>
      </c>
      <c r="V2116" s="5" t="s">
        <v>2282</v>
      </c>
      <c r="W2116" s="5" t="s">
        <v>72</v>
      </c>
      <c r="X2116" s="5" t="s">
        <v>72</v>
      </c>
      <c r="Y2116" s="4">
        <v>279</v>
      </c>
      <c r="Z2116" s="4">
        <v>19</v>
      </c>
      <c r="AA2116" s="4">
        <v>23</v>
      </c>
      <c r="AB2116" s="4">
        <v>2</v>
      </c>
      <c r="AC2116" s="4">
        <v>6</v>
      </c>
      <c r="AD2116" s="4">
        <v>45</v>
      </c>
      <c r="AE2116" s="4">
        <v>48</v>
      </c>
      <c r="AF2116" s="4">
        <v>1</v>
      </c>
      <c r="AG2116" s="4">
        <v>4</v>
      </c>
      <c r="AH2116" s="4">
        <v>41</v>
      </c>
      <c r="AI2116" s="4">
        <v>42</v>
      </c>
      <c r="AJ2116" s="4">
        <v>8</v>
      </c>
      <c r="AK2116" s="4">
        <v>11</v>
      </c>
      <c r="AL2116" s="4">
        <v>22</v>
      </c>
      <c r="AM2116" s="4">
        <v>22</v>
      </c>
      <c r="AN2116" s="4">
        <v>0</v>
      </c>
      <c r="AO2116" s="4">
        <v>0</v>
      </c>
      <c r="AP2116" s="4">
        <v>9</v>
      </c>
      <c r="AQ2116" s="4">
        <v>11</v>
      </c>
      <c r="AR2116" s="3" t="s">
        <v>64</v>
      </c>
      <c r="AS2116" s="3" t="s">
        <v>64</v>
      </c>
      <c r="AT2116" s="3" t="s">
        <v>64</v>
      </c>
      <c r="AV2116" s="6" t="str">
        <f>HYPERLINK("http://mcgill.on.worldcat.org/oclc/697036784","Catalog Record")</f>
        <v>Catalog Record</v>
      </c>
      <c r="AW2116" s="6" t="str">
        <f>HYPERLINK("http://www.worldcat.org/oclc/697036784","WorldCat Record")</f>
        <v>WorldCat Record</v>
      </c>
      <c r="AX2116" s="3" t="s">
        <v>21473</v>
      </c>
      <c r="AY2116" s="3" t="s">
        <v>21474</v>
      </c>
      <c r="AZ2116" s="3" t="s">
        <v>21475</v>
      </c>
      <c r="BA2116" s="3" t="s">
        <v>21475</v>
      </c>
      <c r="BB2116" s="3" t="s">
        <v>21476</v>
      </c>
      <c r="BC2116" s="3" t="s">
        <v>77</v>
      </c>
      <c r="BD2116" s="3" t="s">
        <v>165</v>
      </c>
      <c r="BE2116" s="3" t="s">
        <v>21477</v>
      </c>
      <c r="BF2116" s="3" t="s">
        <v>21476</v>
      </c>
      <c r="BG2116" s="3" t="s">
        <v>21478</v>
      </c>
      <c r="BH2116">
        <f t="shared" si="55"/>
        <v>0</v>
      </c>
    </row>
    <row r="2117" spans="1:60" ht="58" x14ac:dyDescent="0.35">
      <c r="A2117" s="2" t="s">
        <v>59</v>
      </c>
      <c r="B2117" s="2" t="s">
        <v>60</v>
      </c>
      <c r="C2117" s="2" t="s">
        <v>21479</v>
      </c>
      <c r="D2117" s="2" t="s">
        <v>21480</v>
      </c>
      <c r="E2117" s="2" t="s">
        <v>21481</v>
      </c>
      <c r="G2117" s="3" t="s">
        <v>64</v>
      </c>
      <c r="I2117" s="3" t="s">
        <v>64</v>
      </c>
      <c r="J2117" s="3" t="s">
        <v>128</v>
      </c>
      <c r="K2117" s="3" t="s">
        <v>65</v>
      </c>
      <c r="L2117" s="2" t="s">
        <v>21482</v>
      </c>
      <c r="M2117" s="2" t="s">
        <v>20150</v>
      </c>
      <c r="N2117" s="3" t="s">
        <v>116</v>
      </c>
      <c r="O2117" s="2" t="s">
        <v>21483</v>
      </c>
      <c r="P2117" s="3" t="s">
        <v>102</v>
      </c>
      <c r="Q2117" s="2" t="s">
        <v>21484</v>
      </c>
      <c r="R2117" s="3" t="s">
        <v>70</v>
      </c>
      <c r="S2117" s="4">
        <v>12</v>
      </c>
      <c r="T2117" s="4">
        <v>12</v>
      </c>
      <c r="U2117" s="5" t="s">
        <v>21485</v>
      </c>
      <c r="V2117" s="5" t="s">
        <v>21485</v>
      </c>
      <c r="W2117" s="5" t="s">
        <v>72</v>
      </c>
      <c r="X2117" s="5" t="s">
        <v>72</v>
      </c>
      <c r="Y2117" s="4">
        <v>702</v>
      </c>
      <c r="Z2117" s="4">
        <v>44</v>
      </c>
      <c r="AA2117" s="4">
        <v>62</v>
      </c>
      <c r="AB2117" s="4">
        <v>3</v>
      </c>
      <c r="AC2117" s="4">
        <v>6</v>
      </c>
      <c r="AD2117" s="4">
        <v>116</v>
      </c>
      <c r="AE2117" s="4">
        <v>145</v>
      </c>
      <c r="AF2117" s="4">
        <v>1</v>
      </c>
      <c r="AG2117" s="4">
        <v>3</v>
      </c>
      <c r="AH2117" s="4">
        <v>98</v>
      </c>
      <c r="AI2117" s="4">
        <v>113</v>
      </c>
      <c r="AJ2117" s="4">
        <v>20</v>
      </c>
      <c r="AK2117" s="4">
        <v>25</v>
      </c>
      <c r="AL2117" s="4">
        <v>53</v>
      </c>
      <c r="AM2117" s="4">
        <v>61</v>
      </c>
      <c r="AN2117" s="4">
        <v>0</v>
      </c>
      <c r="AO2117" s="4">
        <v>0</v>
      </c>
      <c r="AP2117" s="4">
        <v>26</v>
      </c>
      <c r="AQ2117" s="4">
        <v>38</v>
      </c>
      <c r="AR2117" s="3" t="s">
        <v>64</v>
      </c>
      <c r="AS2117" s="3" t="s">
        <v>64</v>
      </c>
      <c r="AT2117" s="3" t="s">
        <v>128</v>
      </c>
      <c r="AU2117" s="6" t="str">
        <f>HYPERLINK("http://catalog.hathitrust.org/Record/004144348","HathiTrust Record")</f>
        <v>HathiTrust Record</v>
      </c>
      <c r="AV2117" s="6" t="str">
        <f>HYPERLINK("http://mcgill.on.worldcat.org/oclc/44669686","Catalog Record")</f>
        <v>Catalog Record</v>
      </c>
      <c r="AW2117" s="6" t="str">
        <f>HYPERLINK("http://www.worldcat.org/oclc/44669686","WorldCat Record")</f>
        <v>WorldCat Record</v>
      </c>
      <c r="AX2117" s="3" t="s">
        <v>21486</v>
      </c>
      <c r="AY2117" s="3" t="s">
        <v>21487</v>
      </c>
      <c r="AZ2117" s="3" t="s">
        <v>21488</v>
      </c>
      <c r="BA2117" s="3" t="s">
        <v>21488</v>
      </c>
      <c r="BB2117" s="3" t="s">
        <v>21489</v>
      </c>
      <c r="BC2117" s="3" t="s">
        <v>77</v>
      </c>
      <c r="BD2117" s="3" t="s">
        <v>78</v>
      </c>
      <c r="BE2117" s="3" t="s">
        <v>21490</v>
      </c>
      <c r="BF2117" s="3" t="s">
        <v>21489</v>
      </c>
      <c r="BG2117" s="3" t="s">
        <v>21491</v>
      </c>
      <c r="BH2117">
        <f t="shared" si="55"/>
        <v>0</v>
      </c>
    </row>
    <row r="2118" spans="1:60" ht="72.5" x14ac:dyDescent="0.35">
      <c r="A2118" s="2" t="s">
        <v>59</v>
      </c>
      <c r="B2118" s="2" t="s">
        <v>1025</v>
      </c>
      <c r="C2118" s="2" t="s">
        <v>21492</v>
      </c>
      <c r="D2118" s="2" t="s">
        <v>21493</v>
      </c>
      <c r="E2118" s="2" t="s">
        <v>21494</v>
      </c>
      <c r="G2118" s="3" t="s">
        <v>64</v>
      </c>
      <c r="I2118" s="3" t="s">
        <v>64</v>
      </c>
      <c r="J2118" s="3" t="s">
        <v>64</v>
      </c>
      <c r="K2118" s="3" t="s">
        <v>65</v>
      </c>
      <c r="L2118" s="2" t="s">
        <v>21495</v>
      </c>
      <c r="M2118" s="2" t="s">
        <v>21496</v>
      </c>
      <c r="N2118" s="3" t="s">
        <v>421</v>
      </c>
      <c r="P2118" s="3" t="s">
        <v>102</v>
      </c>
      <c r="R2118" s="3" t="s">
        <v>70</v>
      </c>
      <c r="S2118" s="4">
        <v>18</v>
      </c>
      <c r="T2118" s="4">
        <v>18</v>
      </c>
      <c r="U2118" s="5" t="s">
        <v>19222</v>
      </c>
      <c r="V2118" s="5" t="s">
        <v>19222</v>
      </c>
      <c r="W2118" s="5" t="s">
        <v>72</v>
      </c>
      <c r="X2118" s="5" t="s">
        <v>72</v>
      </c>
      <c r="Y2118" s="4">
        <v>456</v>
      </c>
      <c r="Z2118" s="4">
        <v>19</v>
      </c>
      <c r="AA2118" s="4">
        <v>21</v>
      </c>
      <c r="AB2118" s="4">
        <v>2</v>
      </c>
      <c r="AC2118" s="4">
        <v>4</v>
      </c>
      <c r="AD2118" s="4">
        <v>102</v>
      </c>
      <c r="AE2118" s="4">
        <v>104</v>
      </c>
      <c r="AF2118" s="4">
        <v>0</v>
      </c>
      <c r="AG2118" s="4">
        <v>2</v>
      </c>
      <c r="AH2118" s="4">
        <v>96</v>
      </c>
      <c r="AI2118" s="4">
        <v>97</v>
      </c>
      <c r="AJ2118" s="4">
        <v>10</v>
      </c>
      <c r="AK2118" s="4">
        <v>12</v>
      </c>
      <c r="AL2118" s="4">
        <v>55</v>
      </c>
      <c r="AM2118" s="4">
        <v>55</v>
      </c>
      <c r="AN2118" s="4">
        <v>0</v>
      </c>
      <c r="AO2118" s="4">
        <v>0</v>
      </c>
      <c r="AP2118" s="4">
        <v>12</v>
      </c>
      <c r="AQ2118" s="4">
        <v>13</v>
      </c>
      <c r="AR2118" s="3" t="s">
        <v>64</v>
      </c>
      <c r="AS2118" s="3" t="s">
        <v>64</v>
      </c>
      <c r="AT2118" s="3" t="s">
        <v>64</v>
      </c>
      <c r="AV2118" s="6" t="str">
        <f>HYPERLINK("http://mcgill.on.worldcat.org/oclc/35559247","Catalog Record")</f>
        <v>Catalog Record</v>
      </c>
      <c r="AW2118" s="6" t="str">
        <f>HYPERLINK("http://www.worldcat.org/oclc/35559247","WorldCat Record")</f>
        <v>WorldCat Record</v>
      </c>
      <c r="AX2118" s="3" t="s">
        <v>21497</v>
      </c>
      <c r="AY2118" s="3" t="s">
        <v>21498</v>
      </c>
      <c r="AZ2118" s="3" t="s">
        <v>21499</v>
      </c>
      <c r="BA2118" s="3" t="s">
        <v>21499</v>
      </c>
      <c r="BB2118" s="3" t="s">
        <v>21500</v>
      </c>
      <c r="BC2118" s="3" t="s">
        <v>77</v>
      </c>
      <c r="BD2118" s="3" t="s">
        <v>78</v>
      </c>
      <c r="BE2118" s="3" t="s">
        <v>21501</v>
      </c>
      <c r="BF2118" s="3" t="s">
        <v>21500</v>
      </c>
      <c r="BG2118" s="3" t="s">
        <v>21502</v>
      </c>
      <c r="BH2118">
        <f t="shared" si="55"/>
        <v>0</v>
      </c>
    </row>
    <row r="2119" spans="1:60" ht="58" x14ac:dyDescent="0.35">
      <c r="A2119" s="2" t="s">
        <v>59</v>
      </c>
      <c r="B2119" s="2" t="s">
        <v>60</v>
      </c>
      <c r="C2119" s="2" t="s">
        <v>21503</v>
      </c>
      <c r="D2119" s="2" t="s">
        <v>21504</v>
      </c>
      <c r="E2119" s="2" t="s">
        <v>21505</v>
      </c>
      <c r="G2119" s="3" t="s">
        <v>64</v>
      </c>
      <c r="I2119" s="3" t="s">
        <v>64</v>
      </c>
      <c r="J2119" s="3" t="s">
        <v>128</v>
      </c>
      <c r="K2119" s="3" t="s">
        <v>65</v>
      </c>
      <c r="L2119" s="2" t="s">
        <v>21506</v>
      </c>
      <c r="M2119" s="2" t="s">
        <v>21507</v>
      </c>
      <c r="N2119" s="3" t="s">
        <v>116</v>
      </c>
      <c r="O2119" s="2" t="s">
        <v>7660</v>
      </c>
      <c r="P2119" s="3" t="s">
        <v>102</v>
      </c>
      <c r="R2119" s="3" t="s">
        <v>70</v>
      </c>
      <c r="S2119" s="4">
        <v>17</v>
      </c>
      <c r="T2119" s="4">
        <v>17</v>
      </c>
      <c r="U2119" s="5" t="s">
        <v>2282</v>
      </c>
      <c r="V2119" s="5" t="s">
        <v>2282</v>
      </c>
      <c r="W2119" s="5" t="s">
        <v>72</v>
      </c>
      <c r="X2119" s="5" t="s">
        <v>72</v>
      </c>
      <c r="Y2119" s="4">
        <v>958</v>
      </c>
      <c r="Z2119" s="4">
        <v>51</v>
      </c>
      <c r="AA2119" s="4">
        <v>147</v>
      </c>
      <c r="AB2119" s="4">
        <v>2</v>
      </c>
      <c r="AC2119" s="4">
        <v>23</v>
      </c>
      <c r="AD2119" s="4">
        <v>112</v>
      </c>
      <c r="AE2119" s="4">
        <v>165</v>
      </c>
      <c r="AF2119" s="4">
        <v>0</v>
      </c>
      <c r="AG2119" s="4">
        <v>8</v>
      </c>
      <c r="AH2119" s="4">
        <v>95</v>
      </c>
      <c r="AI2119" s="4">
        <v>119</v>
      </c>
      <c r="AJ2119" s="4">
        <v>19</v>
      </c>
      <c r="AK2119" s="4">
        <v>27</v>
      </c>
      <c r="AL2119" s="4">
        <v>45</v>
      </c>
      <c r="AM2119" s="4">
        <v>62</v>
      </c>
      <c r="AN2119" s="4">
        <v>0</v>
      </c>
      <c r="AO2119" s="4">
        <v>0</v>
      </c>
      <c r="AP2119" s="4">
        <v>26</v>
      </c>
      <c r="AQ2119" s="4">
        <v>52</v>
      </c>
      <c r="AR2119" s="3" t="s">
        <v>64</v>
      </c>
      <c r="AS2119" s="3" t="s">
        <v>64</v>
      </c>
      <c r="AT2119" s="3" t="s">
        <v>128</v>
      </c>
      <c r="AU2119" s="6" t="str">
        <f>HYPERLINK("http://catalog.hathitrust.org/Record/004185854","HathiTrust Record")</f>
        <v>HathiTrust Record</v>
      </c>
      <c r="AV2119" s="6" t="str">
        <f>HYPERLINK("http://mcgill.on.worldcat.org/oclc/45276535","Catalog Record")</f>
        <v>Catalog Record</v>
      </c>
      <c r="AW2119" s="6" t="str">
        <f>HYPERLINK("http://www.worldcat.org/oclc/45276535","WorldCat Record")</f>
        <v>WorldCat Record</v>
      </c>
      <c r="AX2119" s="3" t="s">
        <v>21508</v>
      </c>
      <c r="AY2119" s="3" t="s">
        <v>21509</v>
      </c>
      <c r="AZ2119" s="3" t="s">
        <v>21510</v>
      </c>
      <c r="BA2119" s="3" t="s">
        <v>21510</v>
      </c>
      <c r="BB2119" s="3" t="s">
        <v>21511</v>
      </c>
      <c r="BC2119" s="3" t="s">
        <v>77</v>
      </c>
      <c r="BD2119" s="3" t="s">
        <v>165</v>
      </c>
      <c r="BE2119" s="3" t="s">
        <v>21512</v>
      </c>
      <c r="BF2119" s="3" t="s">
        <v>21511</v>
      </c>
      <c r="BG2119" s="3" t="s">
        <v>21513</v>
      </c>
      <c r="BH2119">
        <f t="shared" si="55"/>
        <v>0</v>
      </c>
    </row>
    <row r="2120" spans="1:60" ht="58" x14ac:dyDescent="0.35">
      <c r="A2120" s="2" t="s">
        <v>59</v>
      </c>
      <c r="B2120" s="2" t="s">
        <v>60</v>
      </c>
      <c r="C2120" s="2" t="s">
        <v>21514</v>
      </c>
      <c r="D2120" s="2" t="s">
        <v>21515</v>
      </c>
      <c r="E2120" s="2" t="s">
        <v>21516</v>
      </c>
      <c r="G2120" s="3" t="s">
        <v>64</v>
      </c>
      <c r="I2120" s="3" t="s">
        <v>64</v>
      </c>
      <c r="J2120" s="3" t="s">
        <v>64</v>
      </c>
      <c r="K2120" s="3" t="s">
        <v>65</v>
      </c>
      <c r="M2120" s="2" t="s">
        <v>17465</v>
      </c>
      <c r="N2120" s="3" t="s">
        <v>190</v>
      </c>
      <c r="P2120" s="3" t="s">
        <v>102</v>
      </c>
      <c r="R2120" s="3" t="s">
        <v>70</v>
      </c>
      <c r="S2120" s="4">
        <v>3</v>
      </c>
      <c r="T2120" s="4">
        <v>3</v>
      </c>
      <c r="U2120" s="5" t="s">
        <v>1019</v>
      </c>
      <c r="V2120" s="5" t="s">
        <v>1019</v>
      </c>
      <c r="W2120" s="5" t="s">
        <v>72</v>
      </c>
      <c r="X2120" s="5" t="s">
        <v>72</v>
      </c>
      <c r="Y2120" s="4">
        <v>198</v>
      </c>
      <c r="Z2120" s="4">
        <v>4</v>
      </c>
      <c r="AA2120" s="4">
        <v>6</v>
      </c>
      <c r="AB2120" s="4">
        <v>1</v>
      </c>
      <c r="AC2120" s="4">
        <v>3</v>
      </c>
      <c r="AD2120" s="4">
        <v>43</v>
      </c>
      <c r="AE2120" s="4">
        <v>45</v>
      </c>
      <c r="AF2120" s="4">
        <v>0</v>
      </c>
      <c r="AG2120" s="4">
        <v>2</v>
      </c>
      <c r="AH2120" s="4">
        <v>43</v>
      </c>
      <c r="AI2120" s="4">
        <v>44</v>
      </c>
      <c r="AJ2120" s="4">
        <v>2</v>
      </c>
      <c r="AK2120" s="4">
        <v>4</v>
      </c>
      <c r="AL2120" s="4">
        <v>24</v>
      </c>
      <c r="AM2120" s="4">
        <v>24</v>
      </c>
      <c r="AN2120" s="4">
        <v>0</v>
      </c>
      <c r="AO2120" s="4">
        <v>0</v>
      </c>
      <c r="AP2120" s="4">
        <v>2</v>
      </c>
      <c r="AQ2120" s="4">
        <v>3</v>
      </c>
      <c r="AR2120" s="3" t="s">
        <v>64</v>
      </c>
      <c r="AS2120" s="3" t="s">
        <v>64</v>
      </c>
      <c r="AT2120" s="3" t="s">
        <v>64</v>
      </c>
      <c r="AV2120" s="6" t="str">
        <f>HYPERLINK("http://mcgill.on.worldcat.org/oclc/1031339480","Catalog Record")</f>
        <v>Catalog Record</v>
      </c>
      <c r="AW2120" s="6" t="str">
        <f>HYPERLINK("http://www.worldcat.org/oclc/1031339480","WorldCat Record")</f>
        <v>WorldCat Record</v>
      </c>
      <c r="AX2120" s="3" t="s">
        <v>21517</v>
      </c>
      <c r="AY2120" s="3" t="s">
        <v>21518</v>
      </c>
      <c r="AZ2120" s="3" t="s">
        <v>21519</v>
      </c>
      <c r="BA2120" s="3" t="s">
        <v>21519</v>
      </c>
      <c r="BB2120" s="3" t="s">
        <v>21520</v>
      </c>
      <c r="BC2120" s="3" t="s">
        <v>77</v>
      </c>
      <c r="BD2120" s="3" t="s">
        <v>78</v>
      </c>
      <c r="BE2120" s="3" t="s">
        <v>21521</v>
      </c>
      <c r="BF2120" s="3" t="s">
        <v>21520</v>
      </c>
      <c r="BG2120" s="3" t="s">
        <v>21522</v>
      </c>
      <c r="BH2120">
        <f t="shared" si="55"/>
        <v>0</v>
      </c>
    </row>
    <row r="2121" spans="1:60" ht="58" x14ac:dyDescent="0.35">
      <c r="A2121" s="2" t="s">
        <v>59</v>
      </c>
      <c r="B2121" s="2" t="s">
        <v>60</v>
      </c>
      <c r="C2121" s="2" t="s">
        <v>21523</v>
      </c>
      <c r="D2121" s="2" t="s">
        <v>21524</v>
      </c>
      <c r="E2121" s="2" t="s">
        <v>21525</v>
      </c>
      <c r="G2121" s="3" t="s">
        <v>64</v>
      </c>
      <c r="I2121" s="3" t="s">
        <v>64</v>
      </c>
      <c r="J2121" s="3" t="s">
        <v>64</v>
      </c>
      <c r="K2121" s="3" t="s">
        <v>65</v>
      </c>
      <c r="M2121" s="2" t="s">
        <v>21526</v>
      </c>
      <c r="N2121" s="3" t="s">
        <v>578</v>
      </c>
      <c r="P2121" s="3" t="s">
        <v>102</v>
      </c>
      <c r="R2121" s="3" t="s">
        <v>70</v>
      </c>
      <c r="S2121" s="4">
        <v>4</v>
      </c>
      <c r="T2121" s="4">
        <v>4</v>
      </c>
      <c r="U2121" s="5" t="s">
        <v>13876</v>
      </c>
      <c r="V2121" s="5" t="s">
        <v>13876</v>
      </c>
      <c r="W2121" s="5" t="s">
        <v>72</v>
      </c>
      <c r="X2121" s="5" t="s">
        <v>72</v>
      </c>
      <c r="Y2121" s="4">
        <v>148</v>
      </c>
      <c r="Z2121" s="4">
        <v>5</v>
      </c>
      <c r="AA2121" s="4">
        <v>12</v>
      </c>
      <c r="AB2121" s="4">
        <v>1</v>
      </c>
      <c r="AC2121" s="4">
        <v>4</v>
      </c>
      <c r="AD2121" s="4">
        <v>23</v>
      </c>
      <c r="AE2121" s="4">
        <v>35</v>
      </c>
      <c r="AF2121" s="4">
        <v>0</v>
      </c>
      <c r="AG2121" s="4">
        <v>1</v>
      </c>
      <c r="AH2121" s="4">
        <v>20</v>
      </c>
      <c r="AI2121" s="4">
        <v>30</v>
      </c>
      <c r="AJ2121" s="4">
        <v>0</v>
      </c>
      <c r="AK2121" s="4">
        <v>4</v>
      </c>
      <c r="AL2121" s="4">
        <v>15</v>
      </c>
      <c r="AM2121" s="4">
        <v>20</v>
      </c>
      <c r="AN2121" s="4">
        <v>0</v>
      </c>
      <c r="AO2121" s="4">
        <v>0</v>
      </c>
      <c r="AP2121" s="4">
        <v>3</v>
      </c>
      <c r="AQ2121" s="4">
        <v>6</v>
      </c>
      <c r="AR2121" s="3" t="s">
        <v>64</v>
      </c>
      <c r="AS2121" s="3" t="s">
        <v>64</v>
      </c>
      <c r="AT2121" s="3" t="s">
        <v>64</v>
      </c>
      <c r="AV2121" s="6" t="str">
        <f>HYPERLINK("http://mcgill.on.worldcat.org/oclc/935193674","Catalog Record")</f>
        <v>Catalog Record</v>
      </c>
      <c r="AW2121" s="6" t="str">
        <f>HYPERLINK("http://www.worldcat.org/oclc/935193674","WorldCat Record")</f>
        <v>WorldCat Record</v>
      </c>
      <c r="AX2121" s="3" t="s">
        <v>21527</v>
      </c>
      <c r="AY2121" s="3" t="s">
        <v>21528</v>
      </c>
      <c r="AZ2121" s="3" t="s">
        <v>21529</v>
      </c>
      <c r="BA2121" s="3" t="s">
        <v>21529</v>
      </c>
      <c r="BB2121" s="3" t="s">
        <v>21530</v>
      </c>
      <c r="BC2121" s="3" t="s">
        <v>77</v>
      </c>
      <c r="BD2121" s="3" t="s">
        <v>78</v>
      </c>
      <c r="BE2121" s="3" t="s">
        <v>21531</v>
      </c>
      <c r="BF2121" s="3" t="s">
        <v>21530</v>
      </c>
      <c r="BG2121" s="3" t="s">
        <v>21532</v>
      </c>
      <c r="BH2121">
        <f t="shared" si="55"/>
        <v>0</v>
      </c>
    </row>
    <row r="2122" spans="1:60" ht="58" x14ac:dyDescent="0.35">
      <c r="A2122" s="2" t="s">
        <v>59</v>
      </c>
      <c r="B2122" s="2" t="s">
        <v>60</v>
      </c>
      <c r="C2122" s="2" t="s">
        <v>21533</v>
      </c>
      <c r="D2122" s="2" t="s">
        <v>21534</v>
      </c>
      <c r="E2122" s="2" t="s">
        <v>21535</v>
      </c>
      <c r="G2122" s="3" t="s">
        <v>64</v>
      </c>
      <c r="I2122" s="3" t="s">
        <v>64</v>
      </c>
      <c r="J2122" s="3" t="s">
        <v>64</v>
      </c>
      <c r="K2122" s="3" t="s">
        <v>65</v>
      </c>
      <c r="L2122" s="2" t="s">
        <v>21536</v>
      </c>
      <c r="M2122" s="2" t="s">
        <v>21537</v>
      </c>
      <c r="N2122" s="3" t="s">
        <v>291</v>
      </c>
      <c r="P2122" s="3" t="s">
        <v>102</v>
      </c>
      <c r="R2122" s="3" t="s">
        <v>70</v>
      </c>
      <c r="S2122" s="4">
        <v>15</v>
      </c>
      <c r="T2122" s="4">
        <v>15</v>
      </c>
      <c r="U2122" s="5" t="s">
        <v>4043</v>
      </c>
      <c r="V2122" s="5" t="s">
        <v>4043</v>
      </c>
      <c r="W2122" s="5" t="s">
        <v>72</v>
      </c>
      <c r="X2122" s="5" t="s">
        <v>72</v>
      </c>
      <c r="Y2122" s="4">
        <v>332</v>
      </c>
      <c r="Z2122" s="4">
        <v>25</v>
      </c>
      <c r="AA2122" s="4">
        <v>28</v>
      </c>
      <c r="AB2122" s="4">
        <v>2</v>
      </c>
      <c r="AC2122" s="4">
        <v>5</v>
      </c>
      <c r="AD2122" s="4">
        <v>84</v>
      </c>
      <c r="AE2122" s="4">
        <v>86</v>
      </c>
      <c r="AF2122" s="4">
        <v>0</v>
      </c>
      <c r="AG2122" s="4">
        <v>2</v>
      </c>
      <c r="AH2122" s="4">
        <v>80</v>
      </c>
      <c r="AI2122" s="4">
        <v>81</v>
      </c>
      <c r="AJ2122" s="4">
        <v>9</v>
      </c>
      <c r="AK2122" s="4">
        <v>11</v>
      </c>
      <c r="AL2122" s="4">
        <v>45</v>
      </c>
      <c r="AM2122" s="4">
        <v>45</v>
      </c>
      <c r="AN2122" s="4">
        <v>0</v>
      </c>
      <c r="AO2122" s="4">
        <v>0</v>
      </c>
      <c r="AP2122" s="4">
        <v>10</v>
      </c>
      <c r="AQ2122" s="4">
        <v>11</v>
      </c>
      <c r="AR2122" s="3" t="s">
        <v>64</v>
      </c>
      <c r="AS2122" s="3" t="s">
        <v>64</v>
      </c>
      <c r="AT2122" s="3" t="s">
        <v>64</v>
      </c>
      <c r="AV2122" s="6" t="str">
        <f>HYPERLINK("http://mcgill.on.worldcat.org/oclc/76150573","Catalog Record")</f>
        <v>Catalog Record</v>
      </c>
      <c r="AW2122" s="6" t="str">
        <f>HYPERLINK("http://www.worldcat.org/oclc/76150573","WorldCat Record")</f>
        <v>WorldCat Record</v>
      </c>
      <c r="AX2122" s="3" t="s">
        <v>21538</v>
      </c>
      <c r="AY2122" s="3" t="s">
        <v>21539</v>
      </c>
      <c r="AZ2122" s="3" t="s">
        <v>21540</v>
      </c>
      <c r="BA2122" s="3" t="s">
        <v>21540</v>
      </c>
      <c r="BB2122" s="3" t="s">
        <v>21541</v>
      </c>
      <c r="BC2122" s="3" t="s">
        <v>77</v>
      </c>
      <c r="BD2122" s="3" t="s">
        <v>78</v>
      </c>
      <c r="BE2122" s="3" t="s">
        <v>21542</v>
      </c>
      <c r="BF2122" s="3" t="s">
        <v>21541</v>
      </c>
      <c r="BG2122" s="3" t="s">
        <v>21543</v>
      </c>
      <c r="BH2122">
        <f t="shared" si="55"/>
        <v>0</v>
      </c>
    </row>
    <row r="2123" spans="1:60" ht="58" x14ac:dyDescent="0.35">
      <c r="A2123" s="2" t="s">
        <v>59</v>
      </c>
      <c r="B2123" s="2" t="s">
        <v>60</v>
      </c>
      <c r="C2123" s="2" t="s">
        <v>21544</v>
      </c>
      <c r="D2123" s="2" t="s">
        <v>21545</v>
      </c>
      <c r="E2123" s="2" t="s">
        <v>21546</v>
      </c>
      <c r="G2123" s="3" t="s">
        <v>64</v>
      </c>
      <c r="I2123" s="3" t="s">
        <v>64</v>
      </c>
      <c r="J2123" s="3" t="s">
        <v>64</v>
      </c>
      <c r="K2123" s="3" t="s">
        <v>65</v>
      </c>
      <c r="L2123" s="2" t="s">
        <v>21547</v>
      </c>
      <c r="M2123" s="2" t="s">
        <v>21548</v>
      </c>
      <c r="N2123" s="3" t="s">
        <v>1087</v>
      </c>
      <c r="P2123" s="3" t="s">
        <v>102</v>
      </c>
      <c r="Q2123" s="2" t="s">
        <v>21549</v>
      </c>
      <c r="R2123" s="3" t="s">
        <v>70</v>
      </c>
      <c r="S2123" s="4">
        <v>11</v>
      </c>
      <c r="T2123" s="4">
        <v>11</v>
      </c>
      <c r="U2123" s="5" t="s">
        <v>6902</v>
      </c>
      <c r="V2123" s="5" t="s">
        <v>6902</v>
      </c>
      <c r="W2123" s="5" t="s">
        <v>72</v>
      </c>
      <c r="X2123" s="5" t="s">
        <v>72</v>
      </c>
      <c r="Y2123" s="4">
        <v>251</v>
      </c>
      <c r="Z2123" s="4">
        <v>13</v>
      </c>
      <c r="AA2123" s="4">
        <v>14</v>
      </c>
      <c r="AB2123" s="4">
        <v>3</v>
      </c>
      <c r="AC2123" s="4">
        <v>4</v>
      </c>
      <c r="AD2123" s="4">
        <v>88</v>
      </c>
      <c r="AE2123" s="4">
        <v>89</v>
      </c>
      <c r="AF2123" s="4">
        <v>1</v>
      </c>
      <c r="AG2123" s="4">
        <v>2</v>
      </c>
      <c r="AH2123" s="4">
        <v>84</v>
      </c>
      <c r="AI2123" s="4">
        <v>84</v>
      </c>
      <c r="AJ2123" s="4">
        <v>9</v>
      </c>
      <c r="AK2123" s="4">
        <v>10</v>
      </c>
      <c r="AL2123" s="4">
        <v>47</v>
      </c>
      <c r="AM2123" s="4">
        <v>47</v>
      </c>
      <c r="AN2123" s="4">
        <v>0</v>
      </c>
      <c r="AO2123" s="4">
        <v>0</v>
      </c>
      <c r="AP2123" s="4">
        <v>8</v>
      </c>
      <c r="AQ2123" s="4">
        <v>8</v>
      </c>
      <c r="AR2123" s="3" t="s">
        <v>64</v>
      </c>
      <c r="AS2123" s="3" t="s">
        <v>64</v>
      </c>
      <c r="AT2123" s="3" t="s">
        <v>128</v>
      </c>
      <c r="AU2123" s="6" t="str">
        <f>HYPERLINK("http://catalog.hathitrust.org/Record/002549652","HathiTrust Record")</f>
        <v>HathiTrust Record</v>
      </c>
      <c r="AV2123" s="6" t="str">
        <f>HYPERLINK("http://mcgill.on.worldcat.org/oclc/23386603","Catalog Record")</f>
        <v>Catalog Record</v>
      </c>
      <c r="AW2123" s="6" t="str">
        <f>HYPERLINK("http://www.worldcat.org/oclc/23386603","WorldCat Record")</f>
        <v>WorldCat Record</v>
      </c>
      <c r="AX2123" s="3" t="s">
        <v>21550</v>
      </c>
      <c r="AY2123" s="3" t="s">
        <v>21551</v>
      </c>
      <c r="AZ2123" s="3" t="s">
        <v>21552</v>
      </c>
      <c r="BA2123" s="3" t="s">
        <v>21552</v>
      </c>
      <c r="BB2123" s="3" t="s">
        <v>21553</v>
      </c>
      <c r="BC2123" s="3" t="s">
        <v>77</v>
      </c>
      <c r="BD2123" s="3" t="s">
        <v>78</v>
      </c>
      <c r="BE2123" s="3" t="s">
        <v>21554</v>
      </c>
      <c r="BF2123" s="3" t="s">
        <v>21553</v>
      </c>
      <c r="BG2123" s="3" t="s">
        <v>21555</v>
      </c>
      <c r="BH2123">
        <f t="shared" si="55"/>
        <v>0</v>
      </c>
    </row>
    <row r="2124" spans="1:60" ht="58" x14ac:dyDescent="0.35">
      <c r="A2124" s="2" t="s">
        <v>59</v>
      </c>
      <c r="B2124" s="2" t="s">
        <v>60</v>
      </c>
      <c r="C2124" s="2" t="s">
        <v>21556</v>
      </c>
      <c r="D2124" s="2" t="s">
        <v>21557</v>
      </c>
      <c r="E2124" s="2" t="s">
        <v>21558</v>
      </c>
      <c r="G2124" s="3" t="s">
        <v>64</v>
      </c>
      <c r="I2124" s="3" t="s">
        <v>64</v>
      </c>
      <c r="J2124" s="3" t="s">
        <v>64</v>
      </c>
      <c r="K2124" s="3" t="s">
        <v>65</v>
      </c>
      <c r="M2124" s="2" t="s">
        <v>16944</v>
      </c>
      <c r="N2124" s="3" t="s">
        <v>1075</v>
      </c>
      <c r="P2124" s="3" t="s">
        <v>102</v>
      </c>
      <c r="R2124" s="3" t="s">
        <v>70</v>
      </c>
      <c r="S2124" s="4">
        <v>4</v>
      </c>
      <c r="T2124" s="4">
        <v>4</v>
      </c>
      <c r="U2124" s="5" t="s">
        <v>13876</v>
      </c>
      <c r="V2124" s="5" t="s">
        <v>13876</v>
      </c>
      <c r="W2124" s="5" t="s">
        <v>72</v>
      </c>
      <c r="X2124" s="5" t="s">
        <v>72</v>
      </c>
      <c r="Y2124" s="4">
        <v>55</v>
      </c>
      <c r="Z2124" s="4">
        <v>7</v>
      </c>
      <c r="AA2124" s="4">
        <v>11</v>
      </c>
      <c r="AB2124" s="4">
        <v>1</v>
      </c>
      <c r="AC2124" s="4">
        <v>4</v>
      </c>
      <c r="AD2124" s="4">
        <v>11</v>
      </c>
      <c r="AE2124" s="4">
        <v>13</v>
      </c>
      <c r="AF2124" s="4">
        <v>0</v>
      </c>
      <c r="AG2124" s="4">
        <v>1</v>
      </c>
      <c r="AH2124" s="4">
        <v>10</v>
      </c>
      <c r="AI2124" s="4">
        <v>11</v>
      </c>
      <c r="AJ2124" s="4">
        <v>2</v>
      </c>
      <c r="AK2124" s="4">
        <v>4</v>
      </c>
      <c r="AL2124" s="4">
        <v>5</v>
      </c>
      <c r="AM2124" s="4">
        <v>5</v>
      </c>
      <c r="AN2124" s="4">
        <v>0</v>
      </c>
      <c r="AO2124" s="4">
        <v>0</v>
      </c>
      <c r="AP2124" s="4">
        <v>2</v>
      </c>
      <c r="AQ2124" s="4">
        <v>3</v>
      </c>
      <c r="AR2124" s="3" t="s">
        <v>64</v>
      </c>
      <c r="AS2124" s="3" t="s">
        <v>64</v>
      </c>
      <c r="AT2124" s="3" t="s">
        <v>64</v>
      </c>
      <c r="AV2124" s="6" t="str">
        <f>HYPERLINK("http://mcgill.on.worldcat.org/oclc/829738216","Catalog Record")</f>
        <v>Catalog Record</v>
      </c>
      <c r="AW2124" s="6" t="str">
        <f>HYPERLINK("http://www.worldcat.org/oclc/829738216","WorldCat Record")</f>
        <v>WorldCat Record</v>
      </c>
      <c r="AX2124" s="3" t="s">
        <v>21559</v>
      </c>
      <c r="AY2124" s="3" t="s">
        <v>21560</v>
      </c>
      <c r="AZ2124" s="3" t="s">
        <v>21561</v>
      </c>
      <c r="BA2124" s="3" t="s">
        <v>21561</v>
      </c>
      <c r="BB2124" s="3" t="s">
        <v>21562</v>
      </c>
      <c r="BC2124" s="3" t="s">
        <v>77</v>
      </c>
      <c r="BD2124" s="3" t="s">
        <v>78</v>
      </c>
      <c r="BE2124" s="3" t="s">
        <v>21563</v>
      </c>
      <c r="BF2124" s="3" t="s">
        <v>21562</v>
      </c>
      <c r="BG2124" s="3" t="s">
        <v>21564</v>
      </c>
      <c r="BH2124">
        <f t="shared" si="55"/>
        <v>0</v>
      </c>
    </row>
    <row r="2125" spans="1:60" ht="58" x14ac:dyDescent="0.35">
      <c r="A2125" s="2" t="s">
        <v>59</v>
      </c>
      <c r="B2125" s="2" t="s">
        <v>60</v>
      </c>
      <c r="C2125" s="2" t="s">
        <v>21565</v>
      </c>
      <c r="D2125" s="2" t="s">
        <v>21566</v>
      </c>
      <c r="E2125" s="2" t="s">
        <v>21567</v>
      </c>
      <c r="G2125" s="3" t="s">
        <v>64</v>
      </c>
      <c r="I2125" s="3" t="s">
        <v>64</v>
      </c>
      <c r="J2125" s="3" t="s">
        <v>64</v>
      </c>
      <c r="K2125" s="3" t="s">
        <v>65</v>
      </c>
      <c r="M2125" s="2" t="s">
        <v>16944</v>
      </c>
      <c r="N2125" s="3" t="s">
        <v>1075</v>
      </c>
      <c r="O2125" s="2" t="s">
        <v>21568</v>
      </c>
      <c r="P2125" s="3" t="s">
        <v>102</v>
      </c>
      <c r="R2125" s="3" t="s">
        <v>70</v>
      </c>
      <c r="S2125" s="4">
        <v>2</v>
      </c>
      <c r="T2125" s="4">
        <v>2</v>
      </c>
      <c r="U2125" s="5" t="s">
        <v>21485</v>
      </c>
      <c r="V2125" s="5" t="s">
        <v>21485</v>
      </c>
      <c r="W2125" s="5" t="s">
        <v>72</v>
      </c>
      <c r="X2125" s="5" t="s">
        <v>72</v>
      </c>
      <c r="Y2125" s="4">
        <v>37</v>
      </c>
      <c r="Z2125" s="4">
        <v>6</v>
      </c>
      <c r="AA2125" s="4">
        <v>7</v>
      </c>
      <c r="AB2125" s="4">
        <v>1</v>
      </c>
      <c r="AC2125" s="4">
        <v>2</v>
      </c>
      <c r="AD2125" s="4">
        <v>12</v>
      </c>
      <c r="AE2125" s="4">
        <v>12</v>
      </c>
      <c r="AF2125" s="4">
        <v>0</v>
      </c>
      <c r="AG2125" s="4">
        <v>0</v>
      </c>
      <c r="AH2125" s="4">
        <v>9</v>
      </c>
      <c r="AI2125" s="4">
        <v>9</v>
      </c>
      <c r="AJ2125" s="4">
        <v>2</v>
      </c>
      <c r="AK2125" s="4">
        <v>2</v>
      </c>
      <c r="AL2125" s="4">
        <v>6</v>
      </c>
      <c r="AM2125" s="4">
        <v>6</v>
      </c>
      <c r="AN2125" s="4">
        <v>0</v>
      </c>
      <c r="AO2125" s="4">
        <v>0</v>
      </c>
      <c r="AP2125" s="4">
        <v>4</v>
      </c>
      <c r="AQ2125" s="4">
        <v>4</v>
      </c>
      <c r="AR2125" s="3" t="s">
        <v>64</v>
      </c>
      <c r="AS2125" s="3" t="s">
        <v>64</v>
      </c>
      <c r="AT2125" s="3" t="s">
        <v>64</v>
      </c>
      <c r="AV2125" s="6" t="str">
        <f>HYPERLINK("http://mcgill.on.worldcat.org/oclc/863789635","Catalog Record")</f>
        <v>Catalog Record</v>
      </c>
      <c r="AW2125" s="6" t="str">
        <f>HYPERLINK("http://www.worldcat.org/oclc/863789635","WorldCat Record")</f>
        <v>WorldCat Record</v>
      </c>
      <c r="AX2125" s="3" t="s">
        <v>21569</v>
      </c>
      <c r="AY2125" s="3" t="s">
        <v>21570</v>
      </c>
      <c r="AZ2125" s="3" t="s">
        <v>21571</v>
      </c>
      <c r="BA2125" s="3" t="s">
        <v>21571</v>
      </c>
      <c r="BB2125" s="3" t="s">
        <v>21572</v>
      </c>
      <c r="BC2125" s="3" t="s">
        <v>77</v>
      </c>
      <c r="BD2125" s="3" t="s">
        <v>78</v>
      </c>
      <c r="BE2125" s="3" t="s">
        <v>21573</v>
      </c>
      <c r="BF2125" s="3" t="s">
        <v>21572</v>
      </c>
      <c r="BG2125" s="3" t="s">
        <v>21574</v>
      </c>
      <c r="BH2125">
        <f t="shared" si="55"/>
        <v>0</v>
      </c>
    </row>
    <row r="2126" spans="1:60" ht="58" x14ac:dyDescent="0.35">
      <c r="A2126" s="2" t="s">
        <v>59</v>
      </c>
      <c r="B2126" s="2" t="s">
        <v>60</v>
      </c>
      <c r="C2126" s="2" t="s">
        <v>21575</v>
      </c>
      <c r="D2126" s="2" t="s">
        <v>21576</v>
      </c>
      <c r="E2126" s="2" t="s">
        <v>21577</v>
      </c>
      <c r="G2126" s="3" t="s">
        <v>64</v>
      </c>
      <c r="I2126" s="3" t="s">
        <v>64</v>
      </c>
      <c r="J2126" s="3" t="s">
        <v>64</v>
      </c>
      <c r="K2126" s="3" t="s">
        <v>65</v>
      </c>
      <c r="M2126" s="2" t="s">
        <v>21578</v>
      </c>
      <c r="N2126" s="3" t="s">
        <v>537</v>
      </c>
      <c r="O2126" s="2" t="s">
        <v>21579</v>
      </c>
      <c r="P2126" s="3" t="s">
        <v>102</v>
      </c>
      <c r="R2126" s="3" t="s">
        <v>70</v>
      </c>
      <c r="S2126" s="4">
        <v>1</v>
      </c>
      <c r="T2126" s="4">
        <v>1</v>
      </c>
      <c r="U2126" s="5" t="s">
        <v>14674</v>
      </c>
      <c r="V2126" s="5" t="s">
        <v>14674</v>
      </c>
      <c r="W2126" s="5" t="s">
        <v>72</v>
      </c>
      <c r="X2126" s="5" t="s">
        <v>72</v>
      </c>
      <c r="Y2126" s="4">
        <v>46</v>
      </c>
      <c r="Z2126" s="4">
        <v>3</v>
      </c>
      <c r="AA2126" s="4">
        <v>5</v>
      </c>
      <c r="AB2126" s="4">
        <v>1</v>
      </c>
      <c r="AC2126" s="4">
        <v>3</v>
      </c>
      <c r="AD2126" s="4">
        <v>6</v>
      </c>
      <c r="AE2126" s="4">
        <v>8</v>
      </c>
      <c r="AF2126" s="4">
        <v>0</v>
      </c>
      <c r="AG2126" s="4">
        <v>1</v>
      </c>
      <c r="AH2126" s="4">
        <v>6</v>
      </c>
      <c r="AI2126" s="4">
        <v>7</v>
      </c>
      <c r="AJ2126" s="4">
        <v>0</v>
      </c>
      <c r="AK2126" s="4">
        <v>1</v>
      </c>
      <c r="AL2126" s="4">
        <v>5</v>
      </c>
      <c r="AM2126" s="4">
        <v>5</v>
      </c>
      <c r="AN2126" s="4">
        <v>0</v>
      </c>
      <c r="AO2126" s="4">
        <v>0</v>
      </c>
      <c r="AP2126" s="4">
        <v>0</v>
      </c>
      <c r="AQ2126" s="4">
        <v>0</v>
      </c>
      <c r="AR2126" s="3" t="s">
        <v>64</v>
      </c>
      <c r="AS2126" s="3" t="s">
        <v>64</v>
      </c>
      <c r="AT2126" s="3" t="s">
        <v>64</v>
      </c>
      <c r="AV2126" s="6" t="str">
        <f>HYPERLINK("http://mcgill.on.worldcat.org/oclc/958796484","Catalog Record")</f>
        <v>Catalog Record</v>
      </c>
      <c r="AW2126" s="6" t="str">
        <f>HYPERLINK("http://www.worldcat.org/oclc/958796484","WorldCat Record")</f>
        <v>WorldCat Record</v>
      </c>
      <c r="AX2126" s="3" t="s">
        <v>21580</v>
      </c>
      <c r="AY2126" s="3" t="s">
        <v>21581</v>
      </c>
      <c r="AZ2126" s="3" t="s">
        <v>21582</v>
      </c>
      <c r="BA2126" s="3" t="s">
        <v>21582</v>
      </c>
      <c r="BB2126" s="3" t="s">
        <v>21583</v>
      </c>
      <c r="BC2126" s="3" t="s">
        <v>77</v>
      </c>
      <c r="BD2126" s="3" t="s">
        <v>78</v>
      </c>
      <c r="BE2126" s="3" t="s">
        <v>21584</v>
      </c>
      <c r="BF2126" s="3" t="s">
        <v>21583</v>
      </c>
      <c r="BG2126" s="3" t="s">
        <v>21585</v>
      </c>
      <c r="BH2126">
        <f t="shared" si="55"/>
        <v>0</v>
      </c>
    </row>
    <row r="2127" spans="1:60" ht="58" x14ac:dyDescent="0.35">
      <c r="A2127" s="2" t="s">
        <v>59</v>
      </c>
      <c r="B2127" s="2" t="s">
        <v>60</v>
      </c>
      <c r="C2127" s="2" t="s">
        <v>21586</v>
      </c>
      <c r="D2127" s="2" t="s">
        <v>21587</v>
      </c>
      <c r="E2127" s="2" t="s">
        <v>21505</v>
      </c>
      <c r="G2127" s="3" t="s">
        <v>64</v>
      </c>
      <c r="I2127" s="3" t="s">
        <v>64</v>
      </c>
      <c r="J2127" s="3" t="s">
        <v>128</v>
      </c>
      <c r="K2127" s="3" t="s">
        <v>65</v>
      </c>
      <c r="L2127" s="2" t="s">
        <v>21506</v>
      </c>
      <c r="M2127" s="2" t="s">
        <v>18943</v>
      </c>
      <c r="N2127" s="3" t="s">
        <v>551</v>
      </c>
      <c r="O2127" s="2" t="s">
        <v>3455</v>
      </c>
      <c r="P2127" s="3" t="s">
        <v>102</v>
      </c>
      <c r="R2127" s="3" t="s">
        <v>70</v>
      </c>
      <c r="S2127" s="4">
        <v>6</v>
      </c>
      <c r="T2127" s="4">
        <v>6</v>
      </c>
      <c r="U2127" s="5" t="s">
        <v>13876</v>
      </c>
      <c r="V2127" s="5" t="s">
        <v>13876</v>
      </c>
      <c r="W2127" s="5" t="s">
        <v>72</v>
      </c>
      <c r="X2127" s="5" t="s">
        <v>72</v>
      </c>
      <c r="Y2127" s="4">
        <v>609</v>
      </c>
      <c r="Z2127" s="4">
        <v>33</v>
      </c>
      <c r="AA2127" s="4">
        <v>147</v>
      </c>
      <c r="AB2127" s="4">
        <v>3</v>
      </c>
      <c r="AC2127" s="4">
        <v>23</v>
      </c>
      <c r="AD2127" s="4">
        <v>81</v>
      </c>
      <c r="AE2127" s="4">
        <v>165</v>
      </c>
      <c r="AF2127" s="4">
        <v>1</v>
      </c>
      <c r="AG2127" s="4">
        <v>8</v>
      </c>
      <c r="AH2127" s="4">
        <v>73</v>
      </c>
      <c r="AI2127" s="4">
        <v>119</v>
      </c>
      <c r="AJ2127" s="4">
        <v>9</v>
      </c>
      <c r="AK2127" s="4">
        <v>27</v>
      </c>
      <c r="AL2127" s="4">
        <v>38</v>
      </c>
      <c r="AM2127" s="4">
        <v>62</v>
      </c>
      <c r="AN2127" s="4">
        <v>0</v>
      </c>
      <c r="AO2127" s="4">
        <v>0</v>
      </c>
      <c r="AP2127" s="4">
        <v>12</v>
      </c>
      <c r="AQ2127" s="4">
        <v>52</v>
      </c>
      <c r="AR2127" s="3" t="s">
        <v>64</v>
      </c>
      <c r="AS2127" s="3" t="s">
        <v>64</v>
      </c>
      <c r="AT2127" s="3" t="s">
        <v>64</v>
      </c>
      <c r="AV2127" s="6" t="str">
        <f>HYPERLINK("http://mcgill.on.worldcat.org/oclc/234257164","Catalog Record")</f>
        <v>Catalog Record</v>
      </c>
      <c r="AW2127" s="6" t="str">
        <f>HYPERLINK("http://www.worldcat.org/oclc/234257164","WorldCat Record")</f>
        <v>WorldCat Record</v>
      </c>
      <c r="AX2127" s="3" t="s">
        <v>21508</v>
      </c>
      <c r="AY2127" s="3" t="s">
        <v>21588</v>
      </c>
      <c r="AZ2127" s="3" t="s">
        <v>21589</v>
      </c>
      <c r="BA2127" s="3" t="s">
        <v>21589</v>
      </c>
      <c r="BB2127" s="3" t="s">
        <v>21590</v>
      </c>
      <c r="BC2127" s="3" t="s">
        <v>77</v>
      </c>
      <c r="BD2127" s="3" t="s">
        <v>78</v>
      </c>
      <c r="BE2127" s="3" t="s">
        <v>21591</v>
      </c>
      <c r="BF2127" s="3" t="s">
        <v>21590</v>
      </c>
      <c r="BG2127" s="3" t="s">
        <v>21592</v>
      </c>
      <c r="BH2127">
        <f t="shared" si="55"/>
        <v>0</v>
      </c>
    </row>
    <row r="2128" spans="1:60" ht="58" x14ac:dyDescent="0.35">
      <c r="A2128" s="2" t="s">
        <v>59</v>
      </c>
      <c r="B2128" s="2" t="s">
        <v>60</v>
      </c>
      <c r="C2128" s="2" t="s">
        <v>21593</v>
      </c>
      <c r="D2128" s="2" t="s">
        <v>21594</v>
      </c>
      <c r="E2128" s="2" t="s">
        <v>21595</v>
      </c>
      <c r="G2128" s="3" t="s">
        <v>64</v>
      </c>
      <c r="I2128" s="3" t="s">
        <v>64</v>
      </c>
      <c r="J2128" s="3" t="s">
        <v>64</v>
      </c>
      <c r="K2128" s="3" t="s">
        <v>65</v>
      </c>
      <c r="L2128" s="2" t="s">
        <v>21596</v>
      </c>
      <c r="M2128" s="2" t="s">
        <v>21597</v>
      </c>
      <c r="N2128" s="3" t="s">
        <v>3428</v>
      </c>
      <c r="P2128" s="3" t="s">
        <v>102</v>
      </c>
      <c r="R2128" s="3" t="s">
        <v>70</v>
      </c>
      <c r="S2128" s="4">
        <v>8</v>
      </c>
      <c r="T2128" s="4">
        <v>8</v>
      </c>
      <c r="U2128" s="5" t="s">
        <v>3528</v>
      </c>
      <c r="V2128" s="5" t="s">
        <v>3528</v>
      </c>
      <c r="W2128" s="5" t="s">
        <v>72</v>
      </c>
      <c r="X2128" s="5" t="s">
        <v>72</v>
      </c>
      <c r="Y2128" s="4">
        <v>17</v>
      </c>
      <c r="Z2128" s="4">
        <v>2</v>
      </c>
      <c r="AA2128" s="4">
        <v>22</v>
      </c>
      <c r="AB2128" s="4">
        <v>1</v>
      </c>
      <c r="AC2128" s="4">
        <v>1</v>
      </c>
      <c r="AD2128" s="4">
        <v>2</v>
      </c>
      <c r="AE2128" s="4">
        <v>62</v>
      </c>
      <c r="AF2128" s="4">
        <v>0</v>
      </c>
      <c r="AG2128" s="4">
        <v>0</v>
      </c>
      <c r="AH2128" s="4">
        <v>2</v>
      </c>
      <c r="AI2128" s="4">
        <v>57</v>
      </c>
      <c r="AJ2128" s="4">
        <v>0</v>
      </c>
      <c r="AK2128" s="4">
        <v>8</v>
      </c>
      <c r="AL2128" s="4">
        <v>0</v>
      </c>
      <c r="AM2128" s="4">
        <v>31</v>
      </c>
      <c r="AN2128" s="4">
        <v>0</v>
      </c>
      <c r="AO2128" s="4">
        <v>0</v>
      </c>
      <c r="AP2128" s="4">
        <v>0</v>
      </c>
      <c r="AQ2128" s="4">
        <v>9</v>
      </c>
      <c r="AR2128" s="3" t="s">
        <v>64</v>
      </c>
      <c r="AS2128" s="3" t="s">
        <v>64</v>
      </c>
      <c r="AT2128" s="3" t="s">
        <v>64</v>
      </c>
      <c r="AV2128" s="6" t="str">
        <f>HYPERLINK("http://mcgill.on.worldcat.org/oclc/61719664","Catalog Record")</f>
        <v>Catalog Record</v>
      </c>
      <c r="AW2128" s="6" t="str">
        <f>HYPERLINK("http://www.worldcat.org/oclc/61719664","WorldCat Record")</f>
        <v>WorldCat Record</v>
      </c>
      <c r="AX2128" s="3" t="s">
        <v>21598</v>
      </c>
      <c r="AY2128" s="3" t="s">
        <v>21599</v>
      </c>
      <c r="AZ2128" s="3" t="s">
        <v>21600</v>
      </c>
      <c r="BA2128" s="3" t="s">
        <v>21600</v>
      </c>
      <c r="BB2128" s="3" t="s">
        <v>21601</v>
      </c>
      <c r="BC2128" s="3" t="s">
        <v>77</v>
      </c>
      <c r="BD2128" s="3" t="s">
        <v>78</v>
      </c>
      <c r="BE2128" s="3" t="s">
        <v>21602</v>
      </c>
      <c r="BF2128" s="3" t="s">
        <v>21601</v>
      </c>
      <c r="BG2128" s="3" t="s">
        <v>21603</v>
      </c>
      <c r="BH2128">
        <f t="shared" si="55"/>
        <v>0</v>
      </c>
    </row>
    <row r="2129" spans="1:60" ht="58" x14ac:dyDescent="0.35">
      <c r="A2129" s="2" t="s">
        <v>59</v>
      </c>
      <c r="B2129" s="2" t="s">
        <v>60</v>
      </c>
      <c r="C2129" s="2" t="s">
        <v>21604</v>
      </c>
      <c r="D2129" s="2" t="s">
        <v>21605</v>
      </c>
      <c r="E2129" s="2" t="s">
        <v>21606</v>
      </c>
      <c r="G2129" s="3" t="s">
        <v>64</v>
      </c>
      <c r="I2129" s="3" t="s">
        <v>64</v>
      </c>
      <c r="J2129" s="3" t="s">
        <v>64</v>
      </c>
      <c r="K2129" s="3" t="s">
        <v>65</v>
      </c>
      <c r="L2129" s="2" t="s">
        <v>21607</v>
      </c>
      <c r="M2129" s="2" t="s">
        <v>18522</v>
      </c>
      <c r="N2129" s="3" t="s">
        <v>511</v>
      </c>
      <c r="P2129" s="3" t="s">
        <v>102</v>
      </c>
      <c r="R2129" s="3" t="s">
        <v>70</v>
      </c>
      <c r="S2129" s="4">
        <v>7</v>
      </c>
      <c r="T2129" s="4">
        <v>7</v>
      </c>
      <c r="U2129" s="5" t="s">
        <v>1655</v>
      </c>
      <c r="V2129" s="5" t="s">
        <v>1655</v>
      </c>
      <c r="W2129" s="5" t="s">
        <v>72</v>
      </c>
      <c r="X2129" s="5" t="s">
        <v>72</v>
      </c>
      <c r="Y2129" s="4">
        <v>595</v>
      </c>
      <c r="Z2129" s="4">
        <v>38</v>
      </c>
      <c r="AA2129" s="4">
        <v>42</v>
      </c>
      <c r="AB2129" s="4">
        <v>4</v>
      </c>
      <c r="AC2129" s="4">
        <v>8</v>
      </c>
      <c r="AD2129" s="4">
        <v>103</v>
      </c>
      <c r="AE2129" s="4">
        <v>106</v>
      </c>
      <c r="AF2129" s="4">
        <v>1</v>
      </c>
      <c r="AG2129" s="4">
        <v>4</v>
      </c>
      <c r="AH2129" s="4">
        <v>87</v>
      </c>
      <c r="AI2129" s="4">
        <v>88</v>
      </c>
      <c r="AJ2129" s="4">
        <v>14</v>
      </c>
      <c r="AK2129" s="4">
        <v>16</v>
      </c>
      <c r="AL2129" s="4">
        <v>49</v>
      </c>
      <c r="AM2129" s="4">
        <v>49</v>
      </c>
      <c r="AN2129" s="4">
        <v>0</v>
      </c>
      <c r="AO2129" s="4">
        <v>0</v>
      </c>
      <c r="AP2129" s="4">
        <v>21</v>
      </c>
      <c r="AQ2129" s="4">
        <v>23</v>
      </c>
      <c r="AR2129" s="3" t="s">
        <v>64</v>
      </c>
      <c r="AS2129" s="3" t="s">
        <v>64</v>
      </c>
      <c r="AT2129" s="3" t="s">
        <v>64</v>
      </c>
      <c r="AV2129" s="6" t="str">
        <f>HYPERLINK("http://mcgill.on.worldcat.org/oclc/644018383","Catalog Record")</f>
        <v>Catalog Record</v>
      </c>
      <c r="AW2129" s="6" t="str">
        <f>HYPERLINK("http://www.worldcat.org/oclc/644018383","WorldCat Record")</f>
        <v>WorldCat Record</v>
      </c>
      <c r="AX2129" s="3" t="s">
        <v>21608</v>
      </c>
      <c r="AY2129" s="3" t="s">
        <v>21609</v>
      </c>
      <c r="AZ2129" s="3" t="s">
        <v>21610</v>
      </c>
      <c r="BA2129" s="3" t="s">
        <v>21610</v>
      </c>
      <c r="BB2129" s="3" t="s">
        <v>21611</v>
      </c>
      <c r="BC2129" s="3" t="s">
        <v>77</v>
      </c>
      <c r="BD2129" s="3" t="s">
        <v>78</v>
      </c>
      <c r="BE2129" s="3" t="s">
        <v>21612</v>
      </c>
      <c r="BF2129" s="3" t="s">
        <v>21611</v>
      </c>
      <c r="BG2129" s="3" t="s">
        <v>21613</v>
      </c>
      <c r="BH2129">
        <f t="shared" si="55"/>
        <v>0</v>
      </c>
    </row>
    <row r="2130" spans="1:60" ht="72.5" x14ac:dyDescent="0.35">
      <c r="A2130" s="2" t="s">
        <v>59</v>
      </c>
      <c r="B2130" s="2" t="s">
        <v>1025</v>
      </c>
      <c r="C2130" s="2" t="s">
        <v>21614</v>
      </c>
      <c r="D2130" s="2" t="s">
        <v>21615</v>
      </c>
      <c r="E2130" s="2" t="s">
        <v>21616</v>
      </c>
      <c r="G2130" s="3" t="s">
        <v>64</v>
      </c>
      <c r="I2130" s="3" t="s">
        <v>64</v>
      </c>
      <c r="J2130" s="3" t="s">
        <v>64</v>
      </c>
      <c r="K2130" s="3" t="s">
        <v>65</v>
      </c>
      <c r="L2130" s="2" t="s">
        <v>21617</v>
      </c>
      <c r="M2130" s="2" t="s">
        <v>21618</v>
      </c>
      <c r="N2130" s="3" t="s">
        <v>3428</v>
      </c>
      <c r="P2130" s="3" t="s">
        <v>102</v>
      </c>
      <c r="R2130" s="3" t="s">
        <v>70</v>
      </c>
      <c r="S2130" s="4">
        <v>48</v>
      </c>
      <c r="T2130" s="4">
        <v>48</v>
      </c>
      <c r="U2130" s="5" t="s">
        <v>5002</v>
      </c>
      <c r="V2130" s="5" t="s">
        <v>5002</v>
      </c>
      <c r="W2130" s="5" t="s">
        <v>72</v>
      </c>
      <c r="X2130" s="5" t="s">
        <v>72</v>
      </c>
      <c r="Y2130" s="4">
        <v>778</v>
      </c>
      <c r="Z2130" s="4">
        <v>35</v>
      </c>
      <c r="AA2130" s="4">
        <v>40</v>
      </c>
      <c r="AB2130" s="4">
        <v>3</v>
      </c>
      <c r="AC2130" s="4">
        <v>5</v>
      </c>
      <c r="AD2130" s="4">
        <v>121</v>
      </c>
      <c r="AE2130" s="4">
        <v>127</v>
      </c>
      <c r="AF2130" s="4">
        <v>1</v>
      </c>
      <c r="AG2130" s="4">
        <v>3</v>
      </c>
      <c r="AH2130" s="4">
        <v>105</v>
      </c>
      <c r="AI2130" s="4">
        <v>107</v>
      </c>
      <c r="AJ2130" s="4">
        <v>13</v>
      </c>
      <c r="AK2130" s="4">
        <v>16</v>
      </c>
      <c r="AL2130" s="4">
        <v>59</v>
      </c>
      <c r="AM2130" s="4">
        <v>60</v>
      </c>
      <c r="AN2130" s="4">
        <v>0</v>
      </c>
      <c r="AO2130" s="4">
        <v>0</v>
      </c>
      <c r="AP2130" s="4">
        <v>20</v>
      </c>
      <c r="AQ2130" s="4">
        <v>24</v>
      </c>
      <c r="AR2130" s="3" t="s">
        <v>64</v>
      </c>
      <c r="AS2130" s="3" t="s">
        <v>64</v>
      </c>
      <c r="AT2130" s="3" t="s">
        <v>64</v>
      </c>
      <c r="AV2130" s="6" t="str">
        <f>HYPERLINK("http://mcgill.on.worldcat.org/oclc/32051193","Catalog Record")</f>
        <v>Catalog Record</v>
      </c>
      <c r="AW2130" s="6" t="str">
        <f>HYPERLINK("http://www.worldcat.org/oclc/32051193","WorldCat Record")</f>
        <v>WorldCat Record</v>
      </c>
      <c r="AX2130" s="3" t="s">
        <v>21619</v>
      </c>
      <c r="AY2130" s="3" t="s">
        <v>21620</v>
      </c>
      <c r="AZ2130" s="3" t="s">
        <v>21621</v>
      </c>
      <c r="BA2130" s="3" t="s">
        <v>21621</v>
      </c>
      <c r="BB2130" s="3" t="s">
        <v>21622</v>
      </c>
      <c r="BC2130" s="3" t="s">
        <v>77</v>
      </c>
      <c r="BD2130" s="3" t="s">
        <v>78</v>
      </c>
      <c r="BE2130" s="3" t="s">
        <v>21623</v>
      </c>
      <c r="BF2130" s="3" t="s">
        <v>21622</v>
      </c>
      <c r="BG2130" s="3" t="s">
        <v>21624</v>
      </c>
      <c r="BH2130">
        <f t="shared" si="55"/>
        <v>0</v>
      </c>
    </row>
    <row r="2131" spans="1:60" ht="58" x14ac:dyDescent="0.35">
      <c r="A2131" s="2" t="s">
        <v>59</v>
      </c>
      <c r="B2131" s="2" t="s">
        <v>60</v>
      </c>
      <c r="C2131" s="2" t="s">
        <v>21625</v>
      </c>
      <c r="D2131" s="2" t="s">
        <v>21626</v>
      </c>
      <c r="E2131" s="2" t="s">
        <v>21627</v>
      </c>
      <c r="G2131" s="3" t="s">
        <v>64</v>
      </c>
      <c r="I2131" s="3" t="s">
        <v>64</v>
      </c>
      <c r="J2131" s="3" t="s">
        <v>64</v>
      </c>
      <c r="K2131" s="3" t="s">
        <v>65</v>
      </c>
      <c r="L2131" s="2" t="s">
        <v>21628</v>
      </c>
      <c r="M2131" s="2" t="s">
        <v>14235</v>
      </c>
      <c r="N2131" s="3" t="s">
        <v>511</v>
      </c>
      <c r="P2131" s="3" t="s">
        <v>102</v>
      </c>
      <c r="R2131" s="3" t="s">
        <v>70</v>
      </c>
      <c r="S2131" s="4">
        <v>4</v>
      </c>
      <c r="T2131" s="4">
        <v>4</v>
      </c>
      <c r="U2131" s="5" t="s">
        <v>1655</v>
      </c>
      <c r="V2131" s="5" t="s">
        <v>1655</v>
      </c>
      <c r="W2131" s="5" t="s">
        <v>72</v>
      </c>
      <c r="X2131" s="5" t="s">
        <v>72</v>
      </c>
      <c r="Y2131" s="4">
        <v>378</v>
      </c>
      <c r="Z2131" s="4">
        <v>17</v>
      </c>
      <c r="AA2131" s="4">
        <v>18</v>
      </c>
      <c r="AB2131" s="4">
        <v>3</v>
      </c>
      <c r="AC2131" s="4">
        <v>4</v>
      </c>
      <c r="AD2131" s="4">
        <v>66</v>
      </c>
      <c r="AE2131" s="4">
        <v>67</v>
      </c>
      <c r="AF2131" s="4">
        <v>1</v>
      </c>
      <c r="AG2131" s="4">
        <v>2</v>
      </c>
      <c r="AH2131" s="4">
        <v>63</v>
      </c>
      <c r="AI2131" s="4">
        <v>64</v>
      </c>
      <c r="AJ2131" s="4">
        <v>8</v>
      </c>
      <c r="AK2131" s="4">
        <v>9</v>
      </c>
      <c r="AL2131" s="4">
        <v>30</v>
      </c>
      <c r="AM2131" s="4">
        <v>30</v>
      </c>
      <c r="AN2131" s="4">
        <v>0</v>
      </c>
      <c r="AO2131" s="4">
        <v>0</v>
      </c>
      <c r="AP2131" s="4">
        <v>8</v>
      </c>
      <c r="AQ2131" s="4">
        <v>9</v>
      </c>
      <c r="AR2131" s="3" t="s">
        <v>64</v>
      </c>
      <c r="AS2131" s="3" t="s">
        <v>64</v>
      </c>
      <c r="AT2131" s="3" t="s">
        <v>64</v>
      </c>
      <c r="AV2131" s="6" t="str">
        <f>HYPERLINK("http://mcgill.on.worldcat.org/oclc/469916144","Catalog Record")</f>
        <v>Catalog Record</v>
      </c>
      <c r="AW2131" s="6" t="str">
        <f>HYPERLINK("http://www.worldcat.org/oclc/469916144","WorldCat Record")</f>
        <v>WorldCat Record</v>
      </c>
      <c r="AX2131" s="3" t="s">
        <v>21629</v>
      </c>
      <c r="AY2131" s="3" t="s">
        <v>21630</v>
      </c>
      <c r="AZ2131" s="3" t="s">
        <v>21631</v>
      </c>
      <c r="BA2131" s="3" t="s">
        <v>21631</v>
      </c>
      <c r="BB2131" s="3" t="s">
        <v>21632</v>
      </c>
      <c r="BC2131" s="3" t="s">
        <v>77</v>
      </c>
      <c r="BD2131" s="3" t="s">
        <v>78</v>
      </c>
      <c r="BE2131" s="3" t="s">
        <v>21633</v>
      </c>
      <c r="BF2131" s="3" t="s">
        <v>21632</v>
      </c>
      <c r="BG2131" s="3" t="s">
        <v>21634</v>
      </c>
      <c r="BH2131">
        <f t="shared" si="55"/>
        <v>0</v>
      </c>
    </row>
    <row r="2132" spans="1:60" ht="58" x14ac:dyDescent="0.35">
      <c r="A2132" s="2" t="s">
        <v>59</v>
      </c>
      <c r="B2132" s="2" t="s">
        <v>60</v>
      </c>
      <c r="C2132" s="2" t="s">
        <v>21635</v>
      </c>
      <c r="D2132" s="2" t="s">
        <v>21636</v>
      </c>
      <c r="E2132" s="2" t="s">
        <v>21637</v>
      </c>
      <c r="G2132" s="3" t="s">
        <v>64</v>
      </c>
      <c r="I2132" s="3" t="s">
        <v>64</v>
      </c>
      <c r="J2132" s="3" t="s">
        <v>128</v>
      </c>
      <c r="K2132" s="3" t="s">
        <v>65</v>
      </c>
      <c r="L2132" s="2" t="s">
        <v>21638</v>
      </c>
      <c r="M2132" s="2" t="s">
        <v>14235</v>
      </c>
      <c r="N2132" s="3" t="s">
        <v>511</v>
      </c>
      <c r="O2132" s="2" t="s">
        <v>172</v>
      </c>
      <c r="P2132" s="3" t="s">
        <v>102</v>
      </c>
      <c r="R2132" s="3" t="s">
        <v>70</v>
      </c>
      <c r="S2132" s="4">
        <v>3</v>
      </c>
      <c r="T2132" s="4">
        <v>3</v>
      </c>
      <c r="U2132" s="5" t="s">
        <v>19593</v>
      </c>
      <c r="V2132" s="5" t="s">
        <v>19593</v>
      </c>
      <c r="W2132" s="5" t="s">
        <v>72</v>
      </c>
      <c r="X2132" s="5" t="s">
        <v>72</v>
      </c>
      <c r="Y2132" s="4">
        <v>521</v>
      </c>
      <c r="Z2132" s="4">
        <v>23</v>
      </c>
      <c r="AA2132" s="4">
        <v>127</v>
      </c>
      <c r="AB2132" s="4">
        <v>4</v>
      </c>
      <c r="AC2132" s="4">
        <v>19</v>
      </c>
      <c r="AD2132" s="4">
        <v>67</v>
      </c>
      <c r="AE2132" s="4">
        <v>147</v>
      </c>
      <c r="AF2132" s="4">
        <v>1</v>
      </c>
      <c r="AG2132" s="4">
        <v>8</v>
      </c>
      <c r="AH2132" s="4">
        <v>62</v>
      </c>
      <c r="AI2132" s="4">
        <v>104</v>
      </c>
      <c r="AJ2132" s="4">
        <v>10</v>
      </c>
      <c r="AK2132" s="4">
        <v>25</v>
      </c>
      <c r="AL2132" s="4">
        <v>29</v>
      </c>
      <c r="AM2132" s="4">
        <v>52</v>
      </c>
      <c r="AN2132" s="4">
        <v>0</v>
      </c>
      <c r="AO2132" s="4">
        <v>0</v>
      </c>
      <c r="AP2132" s="4">
        <v>11</v>
      </c>
      <c r="AQ2132" s="4">
        <v>51</v>
      </c>
      <c r="AR2132" s="3" t="s">
        <v>64</v>
      </c>
      <c r="AS2132" s="3" t="s">
        <v>64</v>
      </c>
      <c r="AT2132" s="3" t="s">
        <v>64</v>
      </c>
      <c r="AV2132" s="6" t="str">
        <f>HYPERLINK("http://mcgill.on.worldcat.org/oclc/441167379","Catalog Record")</f>
        <v>Catalog Record</v>
      </c>
      <c r="AW2132" s="6" t="str">
        <f>HYPERLINK("http://www.worldcat.org/oclc/441167379","WorldCat Record")</f>
        <v>WorldCat Record</v>
      </c>
      <c r="AX2132" s="3" t="s">
        <v>21639</v>
      </c>
      <c r="AY2132" s="3" t="s">
        <v>21640</v>
      </c>
      <c r="AZ2132" s="3" t="s">
        <v>21641</v>
      </c>
      <c r="BA2132" s="3" t="s">
        <v>21641</v>
      </c>
      <c r="BB2132" s="3" t="s">
        <v>21642</v>
      </c>
      <c r="BC2132" s="3" t="s">
        <v>77</v>
      </c>
      <c r="BD2132" s="3" t="s">
        <v>78</v>
      </c>
      <c r="BE2132" s="3" t="s">
        <v>21643</v>
      </c>
      <c r="BF2132" s="3" t="s">
        <v>21642</v>
      </c>
      <c r="BG2132" s="3" t="s">
        <v>21644</v>
      </c>
      <c r="BH2132">
        <f t="shared" si="55"/>
        <v>0</v>
      </c>
    </row>
    <row r="2133" spans="1:60" ht="58" x14ac:dyDescent="0.35">
      <c r="A2133" s="2" t="s">
        <v>59</v>
      </c>
      <c r="B2133" s="2" t="s">
        <v>60</v>
      </c>
      <c r="C2133" s="2" t="s">
        <v>21645</v>
      </c>
      <c r="D2133" s="2" t="s">
        <v>21646</v>
      </c>
      <c r="E2133" s="2" t="s">
        <v>21647</v>
      </c>
      <c r="G2133" s="3" t="s">
        <v>64</v>
      </c>
      <c r="I2133" s="3" t="s">
        <v>64</v>
      </c>
      <c r="J2133" s="3" t="s">
        <v>64</v>
      </c>
      <c r="K2133" s="3" t="s">
        <v>65</v>
      </c>
      <c r="L2133" s="2" t="s">
        <v>21648</v>
      </c>
      <c r="M2133" s="2" t="s">
        <v>21649</v>
      </c>
      <c r="N2133" s="3" t="s">
        <v>1615</v>
      </c>
      <c r="P2133" s="3" t="s">
        <v>102</v>
      </c>
      <c r="R2133" s="3" t="s">
        <v>70</v>
      </c>
      <c r="S2133" s="4">
        <v>16</v>
      </c>
      <c r="T2133" s="4">
        <v>16</v>
      </c>
      <c r="U2133" s="5" t="s">
        <v>3560</v>
      </c>
      <c r="V2133" s="5" t="s">
        <v>3560</v>
      </c>
      <c r="W2133" s="5" t="s">
        <v>72</v>
      </c>
      <c r="X2133" s="5" t="s">
        <v>72</v>
      </c>
      <c r="Y2133" s="4">
        <v>422</v>
      </c>
      <c r="Z2133" s="4">
        <v>17</v>
      </c>
      <c r="AA2133" s="4">
        <v>18</v>
      </c>
      <c r="AB2133" s="4">
        <v>3</v>
      </c>
      <c r="AC2133" s="4">
        <v>4</v>
      </c>
      <c r="AD2133" s="4">
        <v>59</v>
      </c>
      <c r="AE2133" s="4">
        <v>61</v>
      </c>
      <c r="AF2133" s="4">
        <v>0</v>
      </c>
      <c r="AG2133" s="4">
        <v>1</v>
      </c>
      <c r="AH2133" s="4">
        <v>56</v>
      </c>
      <c r="AI2133" s="4">
        <v>57</v>
      </c>
      <c r="AJ2133" s="4">
        <v>6</v>
      </c>
      <c r="AK2133" s="4">
        <v>7</v>
      </c>
      <c r="AL2133" s="4">
        <v>26</v>
      </c>
      <c r="AM2133" s="4">
        <v>26</v>
      </c>
      <c r="AN2133" s="4">
        <v>0</v>
      </c>
      <c r="AO2133" s="4">
        <v>0</v>
      </c>
      <c r="AP2133" s="4">
        <v>6</v>
      </c>
      <c r="AQ2133" s="4">
        <v>6</v>
      </c>
      <c r="AR2133" s="3" t="s">
        <v>64</v>
      </c>
      <c r="AS2133" s="3" t="s">
        <v>64</v>
      </c>
      <c r="AT2133" s="3" t="s">
        <v>64</v>
      </c>
      <c r="AV2133" s="6" t="str">
        <f>HYPERLINK("http://mcgill.on.worldcat.org/oclc/33276694","Catalog Record")</f>
        <v>Catalog Record</v>
      </c>
      <c r="AW2133" s="6" t="str">
        <f>HYPERLINK("http://www.worldcat.org/oclc/33276694","WorldCat Record")</f>
        <v>WorldCat Record</v>
      </c>
      <c r="AX2133" s="3" t="s">
        <v>21650</v>
      </c>
      <c r="AY2133" s="3" t="s">
        <v>21651</v>
      </c>
      <c r="AZ2133" s="3" t="s">
        <v>21652</v>
      </c>
      <c r="BA2133" s="3" t="s">
        <v>21652</v>
      </c>
      <c r="BB2133" s="3" t="s">
        <v>21653</v>
      </c>
      <c r="BC2133" s="3" t="s">
        <v>77</v>
      </c>
      <c r="BD2133" s="3" t="s">
        <v>78</v>
      </c>
      <c r="BE2133" s="3" t="s">
        <v>21654</v>
      </c>
      <c r="BF2133" s="3" t="s">
        <v>21653</v>
      </c>
      <c r="BG2133" s="3" t="s">
        <v>21655</v>
      </c>
      <c r="BH2133">
        <f t="shared" si="55"/>
        <v>0</v>
      </c>
    </row>
    <row r="2134" spans="1:60" ht="58" x14ac:dyDescent="0.35">
      <c r="A2134" s="2" t="s">
        <v>59</v>
      </c>
      <c r="B2134" s="2" t="s">
        <v>60</v>
      </c>
      <c r="C2134" s="2" t="s">
        <v>21656</v>
      </c>
      <c r="D2134" s="2" t="s">
        <v>21657</v>
      </c>
      <c r="E2134" s="2" t="s">
        <v>21658</v>
      </c>
      <c r="G2134" s="3" t="s">
        <v>64</v>
      </c>
      <c r="I2134" s="3" t="s">
        <v>64</v>
      </c>
      <c r="J2134" s="3" t="s">
        <v>64</v>
      </c>
      <c r="K2134" s="3" t="s">
        <v>65</v>
      </c>
      <c r="L2134" s="2" t="s">
        <v>21659</v>
      </c>
      <c r="M2134" s="2" t="s">
        <v>10583</v>
      </c>
      <c r="N2134" s="3" t="s">
        <v>171</v>
      </c>
      <c r="P2134" s="3" t="s">
        <v>102</v>
      </c>
      <c r="R2134" s="3" t="s">
        <v>70</v>
      </c>
      <c r="S2134" s="4">
        <v>14</v>
      </c>
      <c r="T2134" s="4">
        <v>14</v>
      </c>
      <c r="U2134" s="5" t="s">
        <v>13876</v>
      </c>
      <c r="V2134" s="5" t="s">
        <v>13876</v>
      </c>
      <c r="W2134" s="5" t="s">
        <v>72</v>
      </c>
      <c r="X2134" s="5" t="s">
        <v>72</v>
      </c>
      <c r="Y2134" s="4">
        <v>248</v>
      </c>
      <c r="Z2134" s="4">
        <v>18</v>
      </c>
      <c r="AA2134" s="4">
        <v>59</v>
      </c>
      <c r="AB2134" s="4">
        <v>2</v>
      </c>
      <c r="AC2134" s="4">
        <v>9</v>
      </c>
      <c r="AD2134" s="4">
        <v>53</v>
      </c>
      <c r="AE2134" s="4">
        <v>65</v>
      </c>
      <c r="AF2134" s="4">
        <v>0</v>
      </c>
      <c r="AG2134" s="4">
        <v>1</v>
      </c>
      <c r="AH2134" s="4">
        <v>52</v>
      </c>
      <c r="AI2134" s="4">
        <v>55</v>
      </c>
      <c r="AJ2134" s="4">
        <v>9</v>
      </c>
      <c r="AK2134" s="4">
        <v>12</v>
      </c>
      <c r="AL2134" s="4">
        <v>29</v>
      </c>
      <c r="AM2134" s="4">
        <v>33</v>
      </c>
      <c r="AN2134" s="4">
        <v>0</v>
      </c>
      <c r="AO2134" s="4">
        <v>0</v>
      </c>
      <c r="AP2134" s="4">
        <v>9</v>
      </c>
      <c r="AQ2134" s="4">
        <v>16</v>
      </c>
      <c r="AR2134" s="3" t="s">
        <v>64</v>
      </c>
      <c r="AS2134" s="3" t="s">
        <v>64</v>
      </c>
      <c r="AT2134" s="3" t="s">
        <v>128</v>
      </c>
      <c r="AU2134" s="6" t="str">
        <f>HYPERLINK("http://catalog.hathitrust.org/Record/005234305","HathiTrust Record")</f>
        <v>HathiTrust Record</v>
      </c>
      <c r="AV2134" s="6" t="str">
        <f>HYPERLINK("http://mcgill.on.worldcat.org/oclc/60671797","Catalog Record")</f>
        <v>Catalog Record</v>
      </c>
      <c r="AW2134" s="6" t="str">
        <f>HYPERLINK("http://www.worldcat.org/oclc/60671797","WorldCat Record")</f>
        <v>WorldCat Record</v>
      </c>
      <c r="AX2134" s="3" t="s">
        <v>21660</v>
      </c>
      <c r="AY2134" s="3" t="s">
        <v>21661</v>
      </c>
      <c r="AZ2134" s="3" t="s">
        <v>21662</v>
      </c>
      <c r="BA2134" s="3" t="s">
        <v>21662</v>
      </c>
      <c r="BB2134" s="3" t="s">
        <v>21663</v>
      </c>
      <c r="BC2134" s="3" t="s">
        <v>77</v>
      </c>
      <c r="BD2134" s="3" t="s">
        <v>78</v>
      </c>
      <c r="BE2134" s="3" t="s">
        <v>21664</v>
      </c>
      <c r="BF2134" s="3" t="s">
        <v>21663</v>
      </c>
      <c r="BG2134" s="3" t="s">
        <v>21665</v>
      </c>
      <c r="BH2134">
        <f t="shared" si="55"/>
        <v>0</v>
      </c>
    </row>
    <row r="2135" spans="1:60" ht="58" x14ac:dyDescent="0.35">
      <c r="A2135" s="2" t="s">
        <v>59</v>
      </c>
      <c r="B2135" s="2" t="s">
        <v>60</v>
      </c>
      <c r="C2135" s="2" t="s">
        <v>21666</v>
      </c>
      <c r="D2135" s="2" t="s">
        <v>21667</v>
      </c>
      <c r="E2135" s="2" t="s">
        <v>21668</v>
      </c>
      <c r="G2135" s="3" t="s">
        <v>64</v>
      </c>
      <c r="I2135" s="3" t="s">
        <v>64</v>
      </c>
      <c r="J2135" s="3" t="s">
        <v>64</v>
      </c>
      <c r="K2135" s="3" t="s">
        <v>65</v>
      </c>
      <c r="L2135" s="2" t="s">
        <v>21669</v>
      </c>
      <c r="M2135" s="2" t="s">
        <v>14235</v>
      </c>
      <c r="N2135" s="3" t="s">
        <v>511</v>
      </c>
      <c r="P2135" s="3" t="s">
        <v>102</v>
      </c>
      <c r="R2135" s="3" t="s">
        <v>70</v>
      </c>
      <c r="S2135" s="4">
        <v>2</v>
      </c>
      <c r="T2135" s="4">
        <v>2</v>
      </c>
      <c r="U2135" s="5" t="s">
        <v>21670</v>
      </c>
      <c r="V2135" s="5" t="s">
        <v>21670</v>
      </c>
      <c r="W2135" s="5" t="s">
        <v>72</v>
      </c>
      <c r="X2135" s="5" t="s">
        <v>72</v>
      </c>
      <c r="Y2135" s="4">
        <v>308</v>
      </c>
      <c r="Z2135" s="4">
        <v>20</v>
      </c>
      <c r="AA2135" s="4">
        <v>111</v>
      </c>
      <c r="AB2135" s="4">
        <v>2</v>
      </c>
      <c r="AC2135" s="4">
        <v>18</v>
      </c>
      <c r="AD2135" s="4">
        <v>48</v>
      </c>
      <c r="AE2135" s="4">
        <v>117</v>
      </c>
      <c r="AF2135" s="4">
        <v>0</v>
      </c>
      <c r="AG2135" s="4">
        <v>8</v>
      </c>
      <c r="AH2135" s="4">
        <v>46</v>
      </c>
      <c r="AI2135" s="4">
        <v>81</v>
      </c>
      <c r="AJ2135" s="4">
        <v>7</v>
      </c>
      <c r="AK2135" s="4">
        <v>20</v>
      </c>
      <c r="AL2135" s="4">
        <v>20</v>
      </c>
      <c r="AM2135" s="4">
        <v>40</v>
      </c>
      <c r="AN2135" s="4">
        <v>0</v>
      </c>
      <c r="AO2135" s="4">
        <v>0</v>
      </c>
      <c r="AP2135" s="4">
        <v>7</v>
      </c>
      <c r="AQ2135" s="4">
        <v>41</v>
      </c>
      <c r="AR2135" s="3" t="s">
        <v>64</v>
      </c>
      <c r="AS2135" s="3" t="s">
        <v>64</v>
      </c>
      <c r="AT2135" s="3" t="s">
        <v>64</v>
      </c>
      <c r="AV2135" s="6" t="str">
        <f>HYPERLINK("http://mcgill.on.worldcat.org/oclc/456186300","Catalog Record")</f>
        <v>Catalog Record</v>
      </c>
      <c r="AW2135" s="6" t="str">
        <f>HYPERLINK("http://www.worldcat.org/oclc/456186300","WorldCat Record")</f>
        <v>WorldCat Record</v>
      </c>
      <c r="AX2135" s="3" t="s">
        <v>21671</v>
      </c>
      <c r="AY2135" s="3" t="s">
        <v>21672</v>
      </c>
      <c r="AZ2135" s="3" t="s">
        <v>21673</v>
      </c>
      <c r="BA2135" s="3" t="s">
        <v>21673</v>
      </c>
      <c r="BB2135" s="3" t="s">
        <v>21674</v>
      </c>
      <c r="BC2135" s="3" t="s">
        <v>77</v>
      </c>
      <c r="BD2135" s="3" t="s">
        <v>78</v>
      </c>
      <c r="BE2135" s="3" t="s">
        <v>21675</v>
      </c>
      <c r="BF2135" s="3" t="s">
        <v>21674</v>
      </c>
      <c r="BG2135" s="3" t="s">
        <v>21676</v>
      </c>
      <c r="BH2135">
        <f t="shared" si="55"/>
        <v>0</v>
      </c>
    </row>
    <row r="2136" spans="1:60" ht="58" x14ac:dyDescent="0.35">
      <c r="A2136" s="2" t="s">
        <v>59</v>
      </c>
      <c r="B2136" s="2" t="s">
        <v>60</v>
      </c>
      <c r="C2136" s="2" t="s">
        <v>21677</v>
      </c>
      <c r="D2136" s="2" t="s">
        <v>21678</v>
      </c>
      <c r="E2136" s="2" t="s">
        <v>21679</v>
      </c>
      <c r="G2136" s="3" t="s">
        <v>64</v>
      </c>
      <c r="I2136" s="3" t="s">
        <v>64</v>
      </c>
      <c r="J2136" s="3" t="s">
        <v>64</v>
      </c>
      <c r="K2136" s="3" t="s">
        <v>65</v>
      </c>
      <c r="L2136" s="2" t="s">
        <v>21680</v>
      </c>
      <c r="M2136" s="2" t="s">
        <v>21681</v>
      </c>
      <c r="N2136" s="3" t="s">
        <v>1938</v>
      </c>
      <c r="P2136" s="3" t="s">
        <v>102</v>
      </c>
      <c r="Q2136" s="2" t="s">
        <v>21682</v>
      </c>
      <c r="R2136" s="3" t="s">
        <v>70</v>
      </c>
      <c r="S2136" s="4">
        <v>5</v>
      </c>
      <c r="T2136" s="4">
        <v>5</v>
      </c>
      <c r="U2136" s="5" t="s">
        <v>7801</v>
      </c>
      <c r="V2136" s="5" t="s">
        <v>7801</v>
      </c>
      <c r="W2136" s="5" t="s">
        <v>72</v>
      </c>
      <c r="X2136" s="5" t="s">
        <v>72</v>
      </c>
      <c r="Y2136" s="4">
        <v>697</v>
      </c>
      <c r="Z2136" s="4">
        <v>42</v>
      </c>
      <c r="AA2136" s="4">
        <v>45</v>
      </c>
      <c r="AB2136" s="4">
        <v>4</v>
      </c>
      <c r="AC2136" s="4">
        <v>7</v>
      </c>
      <c r="AD2136" s="4">
        <v>89</v>
      </c>
      <c r="AE2136" s="4">
        <v>92</v>
      </c>
      <c r="AF2136" s="4">
        <v>1</v>
      </c>
      <c r="AG2136" s="4">
        <v>4</v>
      </c>
      <c r="AH2136" s="4">
        <v>77</v>
      </c>
      <c r="AI2136" s="4">
        <v>77</v>
      </c>
      <c r="AJ2136" s="4">
        <v>16</v>
      </c>
      <c r="AK2136" s="4">
        <v>18</v>
      </c>
      <c r="AL2136" s="4">
        <v>40</v>
      </c>
      <c r="AM2136" s="4">
        <v>40</v>
      </c>
      <c r="AN2136" s="4">
        <v>0</v>
      </c>
      <c r="AO2136" s="4">
        <v>0</v>
      </c>
      <c r="AP2136" s="4">
        <v>19</v>
      </c>
      <c r="AQ2136" s="4">
        <v>21</v>
      </c>
      <c r="AR2136" s="3" t="s">
        <v>64</v>
      </c>
      <c r="AS2136" s="3" t="s">
        <v>64</v>
      </c>
      <c r="AT2136" s="3" t="s">
        <v>128</v>
      </c>
      <c r="AU2136" s="6" t="str">
        <f>HYPERLINK("http://catalog.hathitrust.org/Record/002443249","HathiTrust Record")</f>
        <v>HathiTrust Record</v>
      </c>
      <c r="AV2136" s="6" t="str">
        <f>HYPERLINK("http://mcgill.on.worldcat.org/oclc/22005965","Catalog Record")</f>
        <v>Catalog Record</v>
      </c>
      <c r="AW2136" s="6" t="str">
        <f>HYPERLINK("http://www.worldcat.org/oclc/22005965","WorldCat Record")</f>
        <v>WorldCat Record</v>
      </c>
      <c r="AX2136" s="3" t="s">
        <v>21683</v>
      </c>
      <c r="AY2136" s="3" t="s">
        <v>21684</v>
      </c>
      <c r="AZ2136" s="3" t="s">
        <v>21685</v>
      </c>
      <c r="BA2136" s="3" t="s">
        <v>21685</v>
      </c>
      <c r="BB2136" s="3" t="s">
        <v>21686</v>
      </c>
      <c r="BC2136" s="3" t="s">
        <v>77</v>
      </c>
      <c r="BD2136" s="3" t="s">
        <v>78</v>
      </c>
      <c r="BE2136" s="3" t="s">
        <v>21687</v>
      </c>
      <c r="BF2136" s="3" t="s">
        <v>21686</v>
      </c>
      <c r="BG2136" s="3" t="s">
        <v>21688</v>
      </c>
      <c r="BH2136">
        <f t="shared" si="55"/>
        <v>0</v>
      </c>
    </row>
    <row r="2137" spans="1:60" ht="58" x14ac:dyDescent="0.35">
      <c r="A2137" s="2" t="s">
        <v>59</v>
      </c>
      <c r="B2137" s="2" t="s">
        <v>60</v>
      </c>
      <c r="C2137" s="2" t="s">
        <v>21689</v>
      </c>
      <c r="D2137" s="2" t="s">
        <v>21690</v>
      </c>
      <c r="E2137" s="2" t="s">
        <v>21691</v>
      </c>
      <c r="G2137" s="3" t="s">
        <v>64</v>
      </c>
      <c r="I2137" s="3" t="s">
        <v>128</v>
      </c>
      <c r="J2137" s="3" t="s">
        <v>128</v>
      </c>
      <c r="K2137" s="3" t="s">
        <v>65</v>
      </c>
      <c r="L2137" s="2" t="s">
        <v>21692</v>
      </c>
      <c r="M2137" s="2" t="s">
        <v>21693</v>
      </c>
      <c r="N2137" s="3" t="s">
        <v>392</v>
      </c>
      <c r="O2137" s="2" t="s">
        <v>2994</v>
      </c>
      <c r="P2137" s="3" t="s">
        <v>102</v>
      </c>
      <c r="R2137" s="3" t="s">
        <v>70</v>
      </c>
      <c r="S2137" s="4">
        <v>23</v>
      </c>
      <c r="T2137" s="4">
        <v>25</v>
      </c>
      <c r="U2137" s="5" t="s">
        <v>2282</v>
      </c>
      <c r="V2137" s="5" t="s">
        <v>2282</v>
      </c>
      <c r="W2137" s="5" t="s">
        <v>72</v>
      </c>
      <c r="X2137" s="5" t="s">
        <v>72</v>
      </c>
      <c r="Y2137" s="4">
        <v>874</v>
      </c>
      <c r="Z2137" s="4">
        <v>50</v>
      </c>
      <c r="AA2137" s="4">
        <v>117</v>
      </c>
      <c r="AB2137" s="4">
        <v>3</v>
      </c>
      <c r="AC2137" s="4">
        <v>14</v>
      </c>
      <c r="AD2137" s="4">
        <v>123</v>
      </c>
      <c r="AE2137" s="4">
        <v>170</v>
      </c>
      <c r="AF2137" s="4">
        <v>1</v>
      </c>
      <c r="AG2137" s="4">
        <v>6</v>
      </c>
      <c r="AH2137" s="4">
        <v>101</v>
      </c>
      <c r="AI2137" s="4">
        <v>122</v>
      </c>
      <c r="AJ2137" s="4">
        <v>16</v>
      </c>
      <c r="AK2137" s="4">
        <v>29</v>
      </c>
      <c r="AL2137" s="4">
        <v>56</v>
      </c>
      <c r="AM2137" s="4">
        <v>67</v>
      </c>
      <c r="AN2137" s="4">
        <v>0</v>
      </c>
      <c r="AO2137" s="4">
        <v>0</v>
      </c>
      <c r="AP2137" s="4">
        <v>23</v>
      </c>
      <c r="AQ2137" s="4">
        <v>49</v>
      </c>
      <c r="AR2137" s="3" t="s">
        <v>64</v>
      </c>
      <c r="AS2137" s="3" t="s">
        <v>64</v>
      </c>
      <c r="AT2137" s="3" t="s">
        <v>64</v>
      </c>
      <c r="AV2137" s="6" t="str">
        <f>HYPERLINK("http://mcgill.on.worldcat.org/oclc/40074115","Catalog Record")</f>
        <v>Catalog Record</v>
      </c>
      <c r="AW2137" s="6" t="str">
        <f>HYPERLINK("http://www.worldcat.org/oclc/40074115","WorldCat Record")</f>
        <v>WorldCat Record</v>
      </c>
      <c r="AX2137" s="3" t="s">
        <v>21694</v>
      </c>
      <c r="AY2137" s="3" t="s">
        <v>21695</v>
      </c>
      <c r="AZ2137" s="3" t="s">
        <v>21696</v>
      </c>
      <c r="BA2137" s="3" t="s">
        <v>21696</v>
      </c>
      <c r="BB2137" s="3" t="s">
        <v>21697</v>
      </c>
      <c r="BC2137" s="3" t="s">
        <v>77</v>
      </c>
      <c r="BD2137" s="3" t="s">
        <v>165</v>
      </c>
      <c r="BE2137" s="3" t="s">
        <v>21698</v>
      </c>
      <c r="BF2137" s="3" t="s">
        <v>21697</v>
      </c>
      <c r="BG2137" s="3" t="s">
        <v>21699</v>
      </c>
      <c r="BH2137">
        <f t="shared" si="55"/>
        <v>0</v>
      </c>
    </row>
    <row r="2138" spans="1:60" ht="58" x14ac:dyDescent="0.35">
      <c r="A2138" s="2" t="s">
        <v>59</v>
      </c>
      <c r="B2138" s="2" t="s">
        <v>60</v>
      </c>
      <c r="C2138" s="2" t="s">
        <v>21700</v>
      </c>
      <c r="D2138" s="2" t="s">
        <v>21701</v>
      </c>
      <c r="E2138" s="2" t="s">
        <v>21702</v>
      </c>
      <c r="G2138" s="3" t="s">
        <v>64</v>
      </c>
      <c r="I2138" s="3" t="s">
        <v>64</v>
      </c>
      <c r="J2138" s="3" t="s">
        <v>64</v>
      </c>
      <c r="K2138" s="3" t="s">
        <v>65</v>
      </c>
      <c r="M2138" s="2" t="s">
        <v>21703</v>
      </c>
      <c r="N2138" s="3" t="s">
        <v>1492</v>
      </c>
      <c r="P2138" s="3" t="s">
        <v>102</v>
      </c>
      <c r="Q2138" s="2" t="s">
        <v>21704</v>
      </c>
      <c r="R2138" s="3" t="s">
        <v>70</v>
      </c>
      <c r="S2138" s="4">
        <v>0</v>
      </c>
      <c r="T2138" s="4">
        <v>0</v>
      </c>
      <c r="W2138" s="5" t="s">
        <v>21705</v>
      </c>
      <c r="X2138" s="5" t="s">
        <v>21705</v>
      </c>
      <c r="Y2138" s="4">
        <v>69</v>
      </c>
      <c r="Z2138" s="4">
        <v>4</v>
      </c>
      <c r="AA2138" s="4">
        <v>9</v>
      </c>
      <c r="AB2138" s="4">
        <v>1</v>
      </c>
      <c r="AC2138" s="4">
        <v>6</v>
      </c>
      <c r="AD2138" s="4">
        <v>21</v>
      </c>
      <c r="AE2138" s="4">
        <v>22</v>
      </c>
      <c r="AF2138" s="4">
        <v>0</v>
      </c>
      <c r="AG2138" s="4">
        <v>1</v>
      </c>
      <c r="AH2138" s="4">
        <v>20</v>
      </c>
      <c r="AI2138" s="4">
        <v>20</v>
      </c>
      <c r="AJ2138" s="4">
        <v>1</v>
      </c>
      <c r="AK2138" s="4">
        <v>2</v>
      </c>
      <c r="AL2138" s="4">
        <v>16</v>
      </c>
      <c r="AM2138" s="4">
        <v>16</v>
      </c>
      <c r="AN2138" s="4">
        <v>0</v>
      </c>
      <c r="AO2138" s="4">
        <v>0</v>
      </c>
      <c r="AP2138" s="4">
        <v>0</v>
      </c>
      <c r="AQ2138" s="4">
        <v>0</v>
      </c>
      <c r="AR2138" s="3" t="s">
        <v>64</v>
      </c>
      <c r="AS2138" s="3" t="s">
        <v>64</v>
      </c>
      <c r="AT2138" s="3" t="s">
        <v>64</v>
      </c>
      <c r="AV2138" s="6" t="str">
        <f>HYPERLINK("http://mcgill.on.worldcat.org/oclc/1047626652","Catalog Record")</f>
        <v>Catalog Record</v>
      </c>
      <c r="AW2138" s="6" t="str">
        <f>HYPERLINK("http://www.worldcat.org/oclc/1047626652","WorldCat Record")</f>
        <v>WorldCat Record</v>
      </c>
      <c r="AX2138" s="3" t="s">
        <v>21706</v>
      </c>
      <c r="AY2138" s="3" t="s">
        <v>21707</v>
      </c>
      <c r="AZ2138" s="3" t="s">
        <v>21708</v>
      </c>
      <c r="BA2138" s="3" t="s">
        <v>21708</v>
      </c>
      <c r="BB2138" s="3" t="s">
        <v>21709</v>
      </c>
      <c r="BC2138" s="3" t="s">
        <v>77</v>
      </c>
      <c r="BD2138" s="3" t="s">
        <v>78</v>
      </c>
      <c r="BE2138" s="3" t="s">
        <v>21710</v>
      </c>
      <c r="BF2138" s="3" t="s">
        <v>21709</v>
      </c>
      <c r="BG2138" s="3" t="s">
        <v>21711</v>
      </c>
      <c r="BH2138">
        <f t="shared" si="55"/>
        <v>0</v>
      </c>
    </row>
    <row r="2139" spans="1:60" ht="72.5" x14ac:dyDescent="0.35">
      <c r="A2139" s="2" t="s">
        <v>59</v>
      </c>
      <c r="B2139" s="2" t="s">
        <v>1025</v>
      </c>
      <c r="C2139" s="2" t="s">
        <v>21712</v>
      </c>
      <c r="D2139" s="2" t="s">
        <v>21713</v>
      </c>
      <c r="E2139" s="2" t="s">
        <v>21714</v>
      </c>
      <c r="G2139" s="3" t="s">
        <v>64</v>
      </c>
      <c r="I2139" s="3" t="s">
        <v>64</v>
      </c>
      <c r="J2139" s="3" t="s">
        <v>64</v>
      </c>
      <c r="K2139" s="3" t="s">
        <v>65</v>
      </c>
      <c r="L2139" s="2" t="s">
        <v>21715</v>
      </c>
      <c r="M2139" s="2" t="s">
        <v>21716</v>
      </c>
      <c r="N2139" s="3" t="s">
        <v>159</v>
      </c>
      <c r="P2139" s="3" t="s">
        <v>102</v>
      </c>
      <c r="R2139" s="3" t="s">
        <v>70</v>
      </c>
      <c r="S2139" s="4">
        <v>15</v>
      </c>
      <c r="T2139" s="4">
        <v>15</v>
      </c>
      <c r="U2139" s="5" t="s">
        <v>21717</v>
      </c>
      <c r="V2139" s="5" t="s">
        <v>21717</v>
      </c>
      <c r="W2139" s="5" t="s">
        <v>72</v>
      </c>
      <c r="X2139" s="5" t="s">
        <v>72</v>
      </c>
      <c r="Y2139" s="4">
        <v>784</v>
      </c>
      <c r="Z2139" s="4">
        <v>33</v>
      </c>
      <c r="AA2139" s="4">
        <v>36</v>
      </c>
      <c r="AB2139" s="4">
        <v>2</v>
      </c>
      <c r="AC2139" s="4">
        <v>4</v>
      </c>
      <c r="AD2139" s="4">
        <v>94</v>
      </c>
      <c r="AE2139" s="4">
        <v>96</v>
      </c>
      <c r="AF2139" s="4">
        <v>0</v>
      </c>
      <c r="AG2139" s="4">
        <v>2</v>
      </c>
      <c r="AH2139" s="4">
        <v>86</v>
      </c>
      <c r="AI2139" s="4">
        <v>87</v>
      </c>
      <c r="AJ2139" s="4">
        <v>11</v>
      </c>
      <c r="AK2139" s="4">
        <v>13</v>
      </c>
      <c r="AL2139" s="4">
        <v>44</v>
      </c>
      <c r="AM2139" s="4">
        <v>44</v>
      </c>
      <c r="AN2139" s="4">
        <v>1</v>
      </c>
      <c r="AO2139" s="4">
        <v>1</v>
      </c>
      <c r="AP2139" s="4">
        <v>14</v>
      </c>
      <c r="AQ2139" s="4">
        <v>15</v>
      </c>
      <c r="AR2139" s="3" t="s">
        <v>64</v>
      </c>
      <c r="AS2139" s="3" t="s">
        <v>64</v>
      </c>
      <c r="AT2139" s="3" t="s">
        <v>128</v>
      </c>
      <c r="AU2139" s="6" t="str">
        <f>HYPERLINK("http://catalog.hathitrust.org/Record/004247697","HathiTrust Record")</f>
        <v>HathiTrust Record</v>
      </c>
      <c r="AV2139" s="6" t="str">
        <f>HYPERLINK("http://mcgill.on.worldcat.org/oclc/50118166","Catalog Record")</f>
        <v>Catalog Record</v>
      </c>
      <c r="AW2139" s="6" t="str">
        <f>HYPERLINK("http://www.worldcat.org/oclc/50118166","WorldCat Record")</f>
        <v>WorldCat Record</v>
      </c>
      <c r="AX2139" s="3" t="s">
        <v>21718</v>
      </c>
      <c r="AY2139" s="3" t="s">
        <v>21719</v>
      </c>
      <c r="AZ2139" s="3" t="s">
        <v>21720</v>
      </c>
      <c r="BA2139" s="3" t="s">
        <v>21720</v>
      </c>
      <c r="BB2139" s="3" t="s">
        <v>21721</v>
      </c>
      <c r="BC2139" s="3" t="s">
        <v>77</v>
      </c>
      <c r="BD2139" s="3" t="s">
        <v>78</v>
      </c>
      <c r="BE2139" s="3" t="s">
        <v>21722</v>
      </c>
      <c r="BF2139" s="3" t="s">
        <v>21721</v>
      </c>
      <c r="BG2139" s="3" t="s">
        <v>21723</v>
      </c>
      <c r="BH2139">
        <f t="shared" si="55"/>
        <v>0</v>
      </c>
    </row>
    <row r="2140" spans="1:60" ht="72.5" x14ac:dyDescent="0.35">
      <c r="A2140" s="2" t="s">
        <v>59</v>
      </c>
      <c r="B2140" s="2" t="s">
        <v>1025</v>
      </c>
      <c r="C2140" s="2" t="s">
        <v>21724</v>
      </c>
      <c r="D2140" s="2" t="s">
        <v>21725</v>
      </c>
      <c r="E2140" s="2" t="s">
        <v>21726</v>
      </c>
      <c r="G2140" s="3" t="s">
        <v>64</v>
      </c>
      <c r="I2140" s="3" t="s">
        <v>64</v>
      </c>
      <c r="J2140" s="3" t="s">
        <v>128</v>
      </c>
      <c r="K2140" s="3" t="s">
        <v>65</v>
      </c>
      <c r="L2140" s="2" t="s">
        <v>21715</v>
      </c>
      <c r="M2140" s="2" t="s">
        <v>21727</v>
      </c>
      <c r="N2140" s="3" t="s">
        <v>898</v>
      </c>
      <c r="P2140" s="3" t="s">
        <v>102</v>
      </c>
      <c r="R2140" s="3" t="s">
        <v>70</v>
      </c>
      <c r="S2140" s="4">
        <v>13</v>
      </c>
      <c r="T2140" s="4">
        <v>13</v>
      </c>
      <c r="U2140" s="5" t="s">
        <v>15961</v>
      </c>
      <c r="V2140" s="5" t="s">
        <v>15961</v>
      </c>
      <c r="W2140" s="5" t="s">
        <v>72</v>
      </c>
      <c r="X2140" s="5" t="s">
        <v>72</v>
      </c>
      <c r="Y2140" s="4">
        <v>67</v>
      </c>
      <c r="Z2140" s="4">
        <v>11</v>
      </c>
      <c r="AA2140" s="4">
        <v>33</v>
      </c>
      <c r="AB2140" s="4">
        <v>3</v>
      </c>
      <c r="AC2140" s="4">
        <v>6</v>
      </c>
      <c r="AD2140" s="4">
        <v>14</v>
      </c>
      <c r="AE2140" s="4">
        <v>100</v>
      </c>
      <c r="AF2140" s="4">
        <v>1</v>
      </c>
      <c r="AG2140" s="4">
        <v>3</v>
      </c>
      <c r="AH2140" s="4">
        <v>10</v>
      </c>
      <c r="AI2140" s="4">
        <v>90</v>
      </c>
      <c r="AJ2140" s="4">
        <v>5</v>
      </c>
      <c r="AK2140" s="4">
        <v>16</v>
      </c>
      <c r="AL2140" s="4">
        <v>3</v>
      </c>
      <c r="AM2140" s="4">
        <v>42</v>
      </c>
      <c r="AN2140" s="4">
        <v>0</v>
      </c>
      <c r="AO2140" s="4">
        <v>0</v>
      </c>
      <c r="AP2140" s="4">
        <v>5</v>
      </c>
      <c r="AQ2140" s="4">
        <v>16</v>
      </c>
      <c r="AR2140" s="3" t="s">
        <v>64</v>
      </c>
      <c r="AS2140" s="3" t="s">
        <v>64</v>
      </c>
      <c r="AT2140" s="3" t="s">
        <v>128</v>
      </c>
      <c r="AU2140" s="6" t="str">
        <f>HYPERLINK("http://catalog.hathitrust.org/Record/000740086","HathiTrust Record")</f>
        <v>HathiTrust Record</v>
      </c>
      <c r="AV2140" s="6" t="str">
        <f>HYPERLINK("http://mcgill.on.worldcat.org/oclc/219905455","Catalog Record")</f>
        <v>Catalog Record</v>
      </c>
      <c r="AW2140" s="6" t="str">
        <f>HYPERLINK("http://www.worldcat.org/oclc/219905455","WorldCat Record")</f>
        <v>WorldCat Record</v>
      </c>
      <c r="AX2140" s="3" t="s">
        <v>21728</v>
      </c>
      <c r="AY2140" s="3" t="s">
        <v>21729</v>
      </c>
      <c r="AZ2140" s="3" t="s">
        <v>21730</v>
      </c>
      <c r="BA2140" s="3" t="s">
        <v>21730</v>
      </c>
      <c r="BB2140" s="3" t="s">
        <v>21731</v>
      </c>
      <c r="BC2140" s="3" t="s">
        <v>77</v>
      </c>
      <c r="BD2140" s="3" t="s">
        <v>78</v>
      </c>
      <c r="BE2140" s="3" t="s">
        <v>21732</v>
      </c>
      <c r="BF2140" s="3" t="s">
        <v>21731</v>
      </c>
      <c r="BG2140" s="3" t="s">
        <v>21733</v>
      </c>
      <c r="BH2140">
        <f t="shared" si="55"/>
        <v>0</v>
      </c>
    </row>
    <row r="2141" spans="1:60" ht="58" x14ac:dyDescent="0.35">
      <c r="A2141" s="2" t="s">
        <v>59</v>
      </c>
      <c r="B2141" s="2" t="s">
        <v>60</v>
      </c>
      <c r="C2141" s="2" t="s">
        <v>21734</v>
      </c>
      <c r="D2141" s="2" t="s">
        <v>21735</v>
      </c>
      <c r="E2141" s="2" t="s">
        <v>21736</v>
      </c>
      <c r="G2141" s="3" t="s">
        <v>64</v>
      </c>
      <c r="I2141" s="3" t="s">
        <v>64</v>
      </c>
      <c r="J2141" s="3" t="s">
        <v>64</v>
      </c>
      <c r="K2141" s="3" t="s">
        <v>65</v>
      </c>
      <c r="L2141" s="2" t="s">
        <v>21737</v>
      </c>
      <c r="M2141" s="2" t="s">
        <v>21738</v>
      </c>
      <c r="N2141" s="3" t="s">
        <v>979</v>
      </c>
      <c r="P2141" s="3" t="s">
        <v>102</v>
      </c>
      <c r="Q2141" s="2" t="s">
        <v>18502</v>
      </c>
      <c r="R2141" s="3" t="s">
        <v>70</v>
      </c>
      <c r="S2141" s="4">
        <v>19</v>
      </c>
      <c r="T2141" s="4">
        <v>19</v>
      </c>
      <c r="U2141" s="5" t="s">
        <v>13876</v>
      </c>
      <c r="V2141" s="5" t="s">
        <v>13876</v>
      </c>
      <c r="W2141" s="5" t="s">
        <v>72</v>
      </c>
      <c r="X2141" s="5" t="s">
        <v>72</v>
      </c>
      <c r="Y2141" s="4">
        <v>322</v>
      </c>
      <c r="Z2141" s="4">
        <v>15</v>
      </c>
      <c r="AA2141" s="4">
        <v>104</v>
      </c>
      <c r="AB2141" s="4">
        <v>1</v>
      </c>
      <c r="AC2141" s="4">
        <v>18</v>
      </c>
      <c r="AD2141" s="4">
        <v>64</v>
      </c>
      <c r="AE2141" s="4">
        <v>117</v>
      </c>
      <c r="AF2141" s="4">
        <v>0</v>
      </c>
      <c r="AG2141" s="4">
        <v>8</v>
      </c>
      <c r="AH2141" s="4">
        <v>63</v>
      </c>
      <c r="AI2141" s="4">
        <v>85</v>
      </c>
      <c r="AJ2141" s="4">
        <v>5</v>
      </c>
      <c r="AK2141" s="4">
        <v>19</v>
      </c>
      <c r="AL2141" s="4">
        <v>29</v>
      </c>
      <c r="AM2141" s="4">
        <v>40</v>
      </c>
      <c r="AN2141" s="4">
        <v>0</v>
      </c>
      <c r="AO2141" s="4">
        <v>0</v>
      </c>
      <c r="AP2141" s="4">
        <v>5</v>
      </c>
      <c r="AQ2141" s="4">
        <v>40</v>
      </c>
      <c r="AR2141" s="3" t="s">
        <v>64</v>
      </c>
      <c r="AS2141" s="3" t="s">
        <v>64</v>
      </c>
      <c r="AT2141" s="3" t="s">
        <v>128</v>
      </c>
      <c r="AU2141" s="6" t="str">
        <f>HYPERLINK("http://catalog.hathitrust.org/Record/004076672","HathiTrust Record")</f>
        <v>HathiTrust Record</v>
      </c>
      <c r="AV2141" s="6" t="str">
        <f>HYPERLINK("http://mcgill.on.worldcat.org/oclc/41468538","Catalog Record")</f>
        <v>Catalog Record</v>
      </c>
      <c r="AW2141" s="6" t="str">
        <f>HYPERLINK("http://www.worldcat.org/oclc/41468538","WorldCat Record")</f>
        <v>WorldCat Record</v>
      </c>
      <c r="AX2141" s="3" t="s">
        <v>21739</v>
      </c>
      <c r="AY2141" s="3" t="s">
        <v>21740</v>
      </c>
      <c r="AZ2141" s="3" t="s">
        <v>21741</v>
      </c>
      <c r="BA2141" s="3" t="s">
        <v>21741</v>
      </c>
      <c r="BB2141" s="3" t="s">
        <v>21742</v>
      </c>
      <c r="BC2141" s="3" t="s">
        <v>77</v>
      </c>
      <c r="BD2141" s="3" t="s">
        <v>78</v>
      </c>
      <c r="BE2141" s="3" t="s">
        <v>21743</v>
      </c>
      <c r="BF2141" s="3" t="s">
        <v>21742</v>
      </c>
      <c r="BG2141" s="3" t="s">
        <v>21744</v>
      </c>
      <c r="BH2141">
        <f t="shared" si="55"/>
        <v>0</v>
      </c>
    </row>
    <row r="2142" spans="1:60" ht="58" x14ac:dyDescent="0.35">
      <c r="A2142" s="2" t="s">
        <v>59</v>
      </c>
      <c r="B2142" s="2" t="s">
        <v>60</v>
      </c>
      <c r="C2142" s="2" t="s">
        <v>21745</v>
      </c>
      <c r="D2142" s="2" t="s">
        <v>21746</v>
      </c>
      <c r="E2142" s="2" t="s">
        <v>21747</v>
      </c>
      <c r="G2142" s="3" t="s">
        <v>64</v>
      </c>
      <c r="I2142" s="3" t="s">
        <v>64</v>
      </c>
      <c r="J2142" s="3" t="s">
        <v>64</v>
      </c>
      <c r="K2142" s="3" t="s">
        <v>65</v>
      </c>
      <c r="L2142" s="2" t="s">
        <v>21748</v>
      </c>
      <c r="M2142" s="2" t="s">
        <v>21749</v>
      </c>
      <c r="N2142" s="3" t="s">
        <v>1061</v>
      </c>
      <c r="P2142" s="3" t="s">
        <v>102</v>
      </c>
      <c r="R2142" s="3" t="s">
        <v>70</v>
      </c>
      <c r="S2142" s="4">
        <v>3</v>
      </c>
      <c r="T2142" s="4">
        <v>3</v>
      </c>
      <c r="U2142" s="5" t="s">
        <v>21750</v>
      </c>
      <c r="V2142" s="5" t="s">
        <v>21750</v>
      </c>
      <c r="W2142" s="5" t="s">
        <v>72</v>
      </c>
      <c r="X2142" s="5" t="s">
        <v>72</v>
      </c>
      <c r="Y2142" s="4">
        <v>201</v>
      </c>
      <c r="Z2142" s="4">
        <v>12</v>
      </c>
      <c r="AA2142" s="4">
        <v>13</v>
      </c>
      <c r="AB2142" s="4">
        <v>1</v>
      </c>
      <c r="AC2142" s="4">
        <v>2</v>
      </c>
      <c r="AD2142" s="4">
        <v>61</v>
      </c>
      <c r="AE2142" s="4">
        <v>62</v>
      </c>
      <c r="AF2142" s="4">
        <v>0</v>
      </c>
      <c r="AG2142" s="4">
        <v>1</v>
      </c>
      <c r="AH2142" s="4">
        <v>55</v>
      </c>
      <c r="AI2142" s="4">
        <v>55</v>
      </c>
      <c r="AJ2142" s="4">
        <v>8</v>
      </c>
      <c r="AK2142" s="4">
        <v>9</v>
      </c>
      <c r="AL2142" s="4">
        <v>35</v>
      </c>
      <c r="AM2142" s="4">
        <v>35</v>
      </c>
      <c r="AN2142" s="4">
        <v>0</v>
      </c>
      <c r="AO2142" s="4">
        <v>0</v>
      </c>
      <c r="AP2142" s="4">
        <v>7</v>
      </c>
      <c r="AQ2142" s="4">
        <v>7</v>
      </c>
      <c r="AR2142" s="3" t="s">
        <v>64</v>
      </c>
      <c r="AS2142" s="3" t="s">
        <v>64</v>
      </c>
      <c r="AT2142" s="3" t="s">
        <v>128</v>
      </c>
      <c r="AU2142" s="6" t="str">
        <f>HYPERLINK("http://catalog.hathitrust.org/Record/006184815","HathiTrust Record")</f>
        <v>HathiTrust Record</v>
      </c>
      <c r="AV2142" s="6" t="str">
        <f>HYPERLINK("http://mcgill.on.worldcat.org/oclc/11994464","Catalog Record")</f>
        <v>Catalog Record</v>
      </c>
      <c r="AW2142" s="6" t="str">
        <f>HYPERLINK("http://www.worldcat.org/oclc/11994464","WorldCat Record")</f>
        <v>WorldCat Record</v>
      </c>
      <c r="AX2142" s="3" t="s">
        <v>21751</v>
      </c>
      <c r="AY2142" s="3" t="s">
        <v>21752</v>
      </c>
      <c r="AZ2142" s="3" t="s">
        <v>21753</v>
      </c>
      <c r="BA2142" s="3" t="s">
        <v>21753</v>
      </c>
      <c r="BB2142" s="3" t="s">
        <v>21754</v>
      </c>
      <c r="BC2142" s="3" t="s">
        <v>77</v>
      </c>
      <c r="BD2142" s="3" t="s">
        <v>78</v>
      </c>
      <c r="BE2142" s="3" t="s">
        <v>21755</v>
      </c>
      <c r="BF2142" s="3" t="s">
        <v>21754</v>
      </c>
      <c r="BG2142" s="3" t="s">
        <v>21756</v>
      </c>
      <c r="BH2142">
        <f t="shared" si="55"/>
        <v>0</v>
      </c>
    </row>
    <row r="2143" spans="1:60" ht="58" x14ac:dyDescent="0.35">
      <c r="A2143" s="2" t="s">
        <v>59</v>
      </c>
      <c r="B2143" s="2" t="s">
        <v>60</v>
      </c>
      <c r="C2143" s="2" t="s">
        <v>21757</v>
      </c>
      <c r="D2143" s="2" t="s">
        <v>21758</v>
      </c>
      <c r="E2143" s="2" t="s">
        <v>21759</v>
      </c>
      <c r="G2143" s="3" t="s">
        <v>64</v>
      </c>
      <c r="I2143" s="3" t="s">
        <v>64</v>
      </c>
      <c r="J2143" s="3" t="s">
        <v>64</v>
      </c>
      <c r="K2143" s="3" t="s">
        <v>65</v>
      </c>
      <c r="M2143" s="2" t="s">
        <v>21760</v>
      </c>
      <c r="N2143" s="3" t="s">
        <v>101</v>
      </c>
      <c r="P2143" s="3" t="s">
        <v>102</v>
      </c>
      <c r="Q2143" s="2" t="s">
        <v>21761</v>
      </c>
      <c r="R2143" s="3" t="s">
        <v>70</v>
      </c>
      <c r="S2143" s="4">
        <v>23</v>
      </c>
      <c r="T2143" s="4">
        <v>23</v>
      </c>
      <c r="U2143" s="5" t="s">
        <v>21762</v>
      </c>
      <c r="V2143" s="5" t="s">
        <v>21762</v>
      </c>
      <c r="W2143" s="5" t="s">
        <v>72</v>
      </c>
      <c r="X2143" s="5" t="s">
        <v>72</v>
      </c>
      <c r="Y2143" s="4">
        <v>418</v>
      </c>
      <c r="Z2143" s="4">
        <v>22</v>
      </c>
      <c r="AA2143" s="4">
        <v>48</v>
      </c>
      <c r="AB2143" s="4">
        <v>1</v>
      </c>
      <c r="AC2143" s="4">
        <v>8</v>
      </c>
      <c r="AD2143" s="4">
        <v>61</v>
      </c>
      <c r="AE2143" s="4">
        <v>70</v>
      </c>
      <c r="AF2143" s="4">
        <v>0</v>
      </c>
      <c r="AG2143" s="4">
        <v>2</v>
      </c>
      <c r="AH2143" s="4">
        <v>59</v>
      </c>
      <c r="AI2143" s="4">
        <v>65</v>
      </c>
      <c r="AJ2143" s="4">
        <v>8</v>
      </c>
      <c r="AK2143" s="4">
        <v>10</v>
      </c>
      <c r="AL2143" s="4">
        <v>28</v>
      </c>
      <c r="AM2143" s="4">
        <v>30</v>
      </c>
      <c r="AN2143" s="4">
        <v>0</v>
      </c>
      <c r="AO2143" s="4">
        <v>0</v>
      </c>
      <c r="AP2143" s="4">
        <v>7</v>
      </c>
      <c r="AQ2143" s="4">
        <v>10</v>
      </c>
      <c r="AR2143" s="3" t="s">
        <v>64</v>
      </c>
      <c r="AS2143" s="3" t="s">
        <v>64</v>
      </c>
      <c r="AT2143" s="3" t="s">
        <v>64</v>
      </c>
      <c r="AV2143" s="6" t="str">
        <f>HYPERLINK("http://mcgill.on.worldcat.org/oclc/52312132","Catalog Record")</f>
        <v>Catalog Record</v>
      </c>
      <c r="AW2143" s="6" t="str">
        <f>HYPERLINK("http://www.worldcat.org/oclc/52312132","WorldCat Record")</f>
        <v>WorldCat Record</v>
      </c>
      <c r="AX2143" s="3" t="s">
        <v>21763</v>
      </c>
      <c r="AY2143" s="3" t="s">
        <v>21764</v>
      </c>
      <c r="AZ2143" s="3" t="s">
        <v>21765</v>
      </c>
      <c r="BA2143" s="3" t="s">
        <v>21765</v>
      </c>
      <c r="BB2143" s="3" t="s">
        <v>21766</v>
      </c>
      <c r="BC2143" s="3" t="s">
        <v>77</v>
      </c>
      <c r="BD2143" s="3" t="s">
        <v>78</v>
      </c>
      <c r="BE2143" s="3" t="s">
        <v>21767</v>
      </c>
      <c r="BF2143" s="3" t="s">
        <v>21766</v>
      </c>
      <c r="BG2143" s="3" t="s">
        <v>21768</v>
      </c>
      <c r="BH2143">
        <f t="shared" si="55"/>
        <v>0</v>
      </c>
    </row>
    <row r="2144" spans="1:60" ht="58" x14ac:dyDescent="0.35">
      <c r="A2144" s="2" t="s">
        <v>59</v>
      </c>
      <c r="B2144" s="2" t="s">
        <v>60</v>
      </c>
      <c r="C2144" s="2" t="s">
        <v>21769</v>
      </c>
      <c r="D2144" s="2" t="s">
        <v>21770</v>
      </c>
      <c r="E2144" s="2" t="s">
        <v>21771</v>
      </c>
      <c r="G2144" s="3" t="s">
        <v>64</v>
      </c>
      <c r="I2144" s="3" t="s">
        <v>64</v>
      </c>
      <c r="J2144" s="3" t="s">
        <v>64</v>
      </c>
      <c r="K2144" s="3" t="s">
        <v>65</v>
      </c>
      <c r="M2144" s="2" t="s">
        <v>21772</v>
      </c>
      <c r="N2144" s="3" t="s">
        <v>326</v>
      </c>
      <c r="O2144" s="2" t="s">
        <v>21773</v>
      </c>
      <c r="P2144" s="3" t="s">
        <v>102</v>
      </c>
      <c r="R2144" s="3" t="s">
        <v>70</v>
      </c>
      <c r="S2144" s="4">
        <v>4</v>
      </c>
      <c r="T2144" s="4">
        <v>4</v>
      </c>
      <c r="U2144" s="5" t="s">
        <v>1655</v>
      </c>
      <c r="V2144" s="5" t="s">
        <v>1655</v>
      </c>
      <c r="W2144" s="5" t="s">
        <v>72</v>
      </c>
      <c r="X2144" s="5" t="s">
        <v>72</v>
      </c>
      <c r="Y2144" s="4">
        <v>100</v>
      </c>
      <c r="Z2144" s="4">
        <v>5</v>
      </c>
      <c r="AA2144" s="4">
        <v>7</v>
      </c>
      <c r="AB2144" s="4">
        <v>1</v>
      </c>
      <c r="AC2144" s="4">
        <v>2</v>
      </c>
      <c r="AD2144" s="4">
        <v>26</v>
      </c>
      <c r="AE2144" s="4">
        <v>28</v>
      </c>
      <c r="AF2144" s="4">
        <v>0</v>
      </c>
      <c r="AG2144" s="4">
        <v>0</v>
      </c>
      <c r="AH2144" s="4">
        <v>24</v>
      </c>
      <c r="AI2144" s="4">
        <v>26</v>
      </c>
      <c r="AJ2144" s="4">
        <v>2</v>
      </c>
      <c r="AK2144" s="4">
        <v>3</v>
      </c>
      <c r="AL2144" s="4">
        <v>15</v>
      </c>
      <c r="AM2144" s="4">
        <v>15</v>
      </c>
      <c r="AN2144" s="4">
        <v>0</v>
      </c>
      <c r="AO2144" s="4">
        <v>0</v>
      </c>
      <c r="AP2144" s="4">
        <v>2</v>
      </c>
      <c r="AQ2144" s="4">
        <v>3</v>
      </c>
      <c r="AR2144" s="3" t="s">
        <v>64</v>
      </c>
      <c r="AS2144" s="3" t="s">
        <v>64</v>
      </c>
      <c r="AT2144" s="3" t="s">
        <v>64</v>
      </c>
      <c r="AV2144" s="6" t="str">
        <f>HYPERLINK("http://mcgill.on.worldcat.org/oclc/711321239","Catalog Record")</f>
        <v>Catalog Record</v>
      </c>
      <c r="AW2144" s="6" t="str">
        <f>HYPERLINK("http://www.worldcat.org/oclc/711321239","WorldCat Record")</f>
        <v>WorldCat Record</v>
      </c>
      <c r="AX2144" s="3" t="s">
        <v>21774</v>
      </c>
      <c r="AY2144" s="3" t="s">
        <v>21775</v>
      </c>
      <c r="AZ2144" s="3" t="s">
        <v>21776</v>
      </c>
      <c r="BA2144" s="3" t="s">
        <v>21776</v>
      </c>
      <c r="BB2144" s="3" t="s">
        <v>21777</v>
      </c>
      <c r="BC2144" s="3" t="s">
        <v>77</v>
      </c>
      <c r="BD2144" s="3" t="s">
        <v>78</v>
      </c>
      <c r="BE2144" s="3" t="s">
        <v>21778</v>
      </c>
      <c r="BF2144" s="3" t="s">
        <v>21777</v>
      </c>
      <c r="BG2144" s="3" t="s">
        <v>21779</v>
      </c>
      <c r="BH2144">
        <f t="shared" si="55"/>
        <v>0</v>
      </c>
    </row>
    <row r="2145" spans="1:60" ht="58" x14ac:dyDescent="0.35">
      <c r="A2145" s="2" t="s">
        <v>59</v>
      </c>
      <c r="B2145" s="2" t="s">
        <v>60</v>
      </c>
      <c r="C2145" s="2" t="s">
        <v>21780</v>
      </c>
      <c r="D2145" s="2" t="s">
        <v>21781</v>
      </c>
      <c r="E2145" s="2" t="s">
        <v>21782</v>
      </c>
      <c r="G2145" s="3" t="s">
        <v>64</v>
      </c>
      <c r="I2145" s="3" t="s">
        <v>64</v>
      </c>
      <c r="J2145" s="3" t="s">
        <v>64</v>
      </c>
      <c r="K2145" s="3" t="s">
        <v>65</v>
      </c>
      <c r="L2145" s="2" t="s">
        <v>21783</v>
      </c>
      <c r="M2145" s="2" t="s">
        <v>21784</v>
      </c>
      <c r="N2145" s="3" t="s">
        <v>1763</v>
      </c>
      <c r="P2145" s="3" t="s">
        <v>102</v>
      </c>
      <c r="R2145" s="3" t="s">
        <v>70</v>
      </c>
      <c r="S2145" s="4">
        <v>13</v>
      </c>
      <c r="T2145" s="4">
        <v>13</v>
      </c>
      <c r="U2145" s="5" t="s">
        <v>12109</v>
      </c>
      <c r="V2145" s="5" t="s">
        <v>12109</v>
      </c>
      <c r="W2145" s="5" t="s">
        <v>72</v>
      </c>
      <c r="X2145" s="5" t="s">
        <v>72</v>
      </c>
      <c r="Y2145" s="4">
        <v>836</v>
      </c>
      <c r="Z2145" s="4">
        <v>43</v>
      </c>
      <c r="AA2145" s="4">
        <v>47</v>
      </c>
      <c r="AB2145" s="4">
        <v>3</v>
      </c>
      <c r="AC2145" s="4">
        <v>7</v>
      </c>
      <c r="AD2145" s="4">
        <v>114</v>
      </c>
      <c r="AE2145" s="4">
        <v>118</v>
      </c>
      <c r="AF2145" s="4">
        <v>1</v>
      </c>
      <c r="AG2145" s="4">
        <v>5</v>
      </c>
      <c r="AH2145" s="4">
        <v>95</v>
      </c>
      <c r="AI2145" s="4">
        <v>96</v>
      </c>
      <c r="AJ2145" s="4">
        <v>17</v>
      </c>
      <c r="AK2145" s="4">
        <v>21</v>
      </c>
      <c r="AL2145" s="4">
        <v>46</v>
      </c>
      <c r="AM2145" s="4">
        <v>46</v>
      </c>
      <c r="AN2145" s="4">
        <v>0</v>
      </c>
      <c r="AO2145" s="4">
        <v>0</v>
      </c>
      <c r="AP2145" s="4">
        <v>24</v>
      </c>
      <c r="AQ2145" s="4">
        <v>27</v>
      </c>
      <c r="AR2145" s="3" t="s">
        <v>64</v>
      </c>
      <c r="AS2145" s="3" t="s">
        <v>64</v>
      </c>
      <c r="AT2145" s="3" t="s">
        <v>128</v>
      </c>
      <c r="AU2145" s="6" t="str">
        <f>HYPERLINK("http://catalog.hathitrust.org/Record/000404272","HathiTrust Record")</f>
        <v>HathiTrust Record</v>
      </c>
      <c r="AV2145" s="6" t="str">
        <f>HYPERLINK("http://mcgill.on.worldcat.org/oclc/10711971","Catalog Record")</f>
        <v>Catalog Record</v>
      </c>
      <c r="AW2145" s="6" t="str">
        <f>HYPERLINK("http://www.worldcat.org/oclc/10711971","WorldCat Record")</f>
        <v>WorldCat Record</v>
      </c>
      <c r="AX2145" s="3" t="s">
        <v>21785</v>
      </c>
      <c r="AY2145" s="3" t="s">
        <v>21786</v>
      </c>
      <c r="AZ2145" s="3" t="s">
        <v>21787</v>
      </c>
      <c r="BA2145" s="3" t="s">
        <v>21787</v>
      </c>
      <c r="BB2145" s="3" t="s">
        <v>21788</v>
      </c>
      <c r="BC2145" s="3" t="s">
        <v>77</v>
      </c>
      <c r="BD2145" s="3" t="s">
        <v>78</v>
      </c>
      <c r="BE2145" s="3" t="s">
        <v>21789</v>
      </c>
      <c r="BF2145" s="3" t="s">
        <v>21788</v>
      </c>
      <c r="BG2145" s="3" t="s">
        <v>21790</v>
      </c>
      <c r="BH2145">
        <f t="shared" si="55"/>
        <v>0</v>
      </c>
    </row>
    <row r="2146" spans="1:60" ht="58" x14ac:dyDescent="0.35">
      <c r="A2146" s="2" t="s">
        <v>59</v>
      </c>
      <c r="B2146" s="2" t="s">
        <v>60</v>
      </c>
      <c r="C2146" s="2" t="s">
        <v>21791</v>
      </c>
      <c r="D2146" s="2" t="s">
        <v>21792</v>
      </c>
      <c r="E2146" s="2" t="s">
        <v>21793</v>
      </c>
      <c r="G2146" s="3" t="s">
        <v>64</v>
      </c>
      <c r="I2146" s="3" t="s">
        <v>64</v>
      </c>
      <c r="J2146" s="3" t="s">
        <v>64</v>
      </c>
      <c r="K2146" s="3" t="s">
        <v>65</v>
      </c>
      <c r="M2146" s="2" t="s">
        <v>21172</v>
      </c>
      <c r="N2146" s="3" t="s">
        <v>537</v>
      </c>
      <c r="P2146" s="3" t="s">
        <v>102</v>
      </c>
      <c r="Q2146" s="2" t="s">
        <v>21794</v>
      </c>
      <c r="R2146" s="3" t="s">
        <v>70</v>
      </c>
      <c r="S2146" s="4">
        <v>4</v>
      </c>
      <c r="T2146" s="4">
        <v>4</v>
      </c>
      <c r="U2146" s="5" t="s">
        <v>5612</v>
      </c>
      <c r="V2146" s="5" t="s">
        <v>5612</v>
      </c>
      <c r="W2146" s="5" t="s">
        <v>72</v>
      </c>
      <c r="X2146" s="5" t="s">
        <v>72</v>
      </c>
      <c r="Y2146" s="4">
        <v>54</v>
      </c>
      <c r="Z2146" s="4">
        <v>4</v>
      </c>
      <c r="AA2146" s="4">
        <v>75</v>
      </c>
      <c r="AB2146" s="4">
        <v>1</v>
      </c>
      <c r="AC2146" s="4">
        <v>14</v>
      </c>
      <c r="AD2146" s="4">
        <v>18</v>
      </c>
      <c r="AE2146" s="4">
        <v>99</v>
      </c>
      <c r="AF2146" s="4">
        <v>0</v>
      </c>
      <c r="AG2146" s="4">
        <v>8</v>
      </c>
      <c r="AH2146" s="4">
        <v>18</v>
      </c>
      <c r="AI2146" s="4">
        <v>68</v>
      </c>
      <c r="AJ2146" s="4">
        <v>1</v>
      </c>
      <c r="AK2146" s="4">
        <v>19</v>
      </c>
      <c r="AL2146" s="4">
        <v>13</v>
      </c>
      <c r="AM2146" s="4">
        <v>34</v>
      </c>
      <c r="AN2146" s="4">
        <v>0</v>
      </c>
      <c r="AO2146" s="4">
        <v>0</v>
      </c>
      <c r="AP2146" s="4">
        <v>1</v>
      </c>
      <c r="AQ2146" s="4">
        <v>37</v>
      </c>
      <c r="AR2146" s="3" t="s">
        <v>64</v>
      </c>
      <c r="AS2146" s="3" t="s">
        <v>64</v>
      </c>
      <c r="AT2146" s="3" t="s">
        <v>64</v>
      </c>
      <c r="AV2146" s="6" t="str">
        <f>HYPERLINK("http://mcgill.on.worldcat.org/oclc/933272500","Catalog Record")</f>
        <v>Catalog Record</v>
      </c>
      <c r="AW2146" s="6" t="str">
        <f>HYPERLINK("http://www.worldcat.org/oclc/933272500","WorldCat Record")</f>
        <v>WorldCat Record</v>
      </c>
      <c r="AX2146" s="3" t="s">
        <v>21795</v>
      </c>
      <c r="AY2146" s="3" t="s">
        <v>21796</v>
      </c>
      <c r="AZ2146" s="3" t="s">
        <v>21797</v>
      </c>
      <c r="BA2146" s="3" t="s">
        <v>21797</v>
      </c>
      <c r="BB2146" s="3" t="s">
        <v>21798</v>
      </c>
      <c r="BC2146" s="3" t="s">
        <v>77</v>
      </c>
      <c r="BD2146" s="3" t="s">
        <v>78</v>
      </c>
      <c r="BE2146" s="3" t="s">
        <v>21799</v>
      </c>
      <c r="BF2146" s="3" t="s">
        <v>21798</v>
      </c>
      <c r="BG2146" s="3" t="s">
        <v>21800</v>
      </c>
      <c r="BH2146">
        <f t="shared" si="55"/>
        <v>0</v>
      </c>
    </row>
    <row r="2147" spans="1:60" ht="58" x14ac:dyDescent="0.35">
      <c r="A2147" s="2" t="s">
        <v>59</v>
      </c>
      <c r="B2147" s="2" t="s">
        <v>60</v>
      </c>
      <c r="C2147" s="2" t="s">
        <v>21801</v>
      </c>
      <c r="D2147" s="2" t="s">
        <v>21802</v>
      </c>
      <c r="E2147" s="2" t="s">
        <v>21803</v>
      </c>
      <c r="G2147" s="3" t="s">
        <v>64</v>
      </c>
      <c r="I2147" s="3" t="s">
        <v>64</v>
      </c>
      <c r="J2147" s="3" t="s">
        <v>64</v>
      </c>
      <c r="K2147" s="3" t="s">
        <v>65</v>
      </c>
      <c r="M2147" s="2" t="s">
        <v>9037</v>
      </c>
      <c r="N2147" s="3" t="s">
        <v>1075</v>
      </c>
      <c r="P2147" s="3" t="s">
        <v>102</v>
      </c>
      <c r="R2147" s="3" t="s">
        <v>70</v>
      </c>
      <c r="S2147" s="4">
        <v>6</v>
      </c>
      <c r="T2147" s="4">
        <v>6</v>
      </c>
      <c r="U2147" s="5" t="s">
        <v>19583</v>
      </c>
      <c r="V2147" s="5" t="s">
        <v>19583</v>
      </c>
      <c r="W2147" s="5" t="s">
        <v>72</v>
      </c>
      <c r="X2147" s="5" t="s">
        <v>72</v>
      </c>
      <c r="Y2147" s="4">
        <v>327</v>
      </c>
      <c r="Z2147" s="4">
        <v>26</v>
      </c>
      <c r="AA2147" s="4">
        <v>91</v>
      </c>
      <c r="AB2147" s="4">
        <v>3</v>
      </c>
      <c r="AC2147" s="4">
        <v>19</v>
      </c>
      <c r="AD2147" s="4">
        <v>53</v>
      </c>
      <c r="AE2147" s="4">
        <v>110</v>
      </c>
      <c r="AF2147" s="4">
        <v>0</v>
      </c>
      <c r="AG2147" s="4">
        <v>9</v>
      </c>
      <c r="AH2147" s="4">
        <v>44</v>
      </c>
      <c r="AI2147" s="4">
        <v>73</v>
      </c>
      <c r="AJ2147" s="4">
        <v>14</v>
      </c>
      <c r="AK2147" s="4">
        <v>24</v>
      </c>
      <c r="AL2147" s="4">
        <v>27</v>
      </c>
      <c r="AM2147" s="4">
        <v>41</v>
      </c>
      <c r="AN2147" s="4">
        <v>0</v>
      </c>
      <c r="AO2147" s="4">
        <v>0</v>
      </c>
      <c r="AP2147" s="4">
        <v>14</v>
      </c>
      <c r="AQ2147" s="4">
        <v>44</v>
      </c>
      <c r="AR2147" s="3" t="s">
        <v>64</v>
      </c>
      <c r="AS2147" s="3" t="s">
        <v>64</v>
      </c>
      <c r="AT2147" s="3" t="s">
        <v>64</v>
      </c>
      <c r="AV2147" s="6" t="str">
        <f>HYPERLINK("http://mcgill.on.worldcat.org/oclc/844731168","Catalog Record")</f>
        <v>Catalog Record</v>
      </c>
      <c r="AW2147" s="6" t="str">
        <f>HYPERLINK("http://www.worldcat.org/oclc/844731168","WorldCat Record")</f>
        <v>WorldCat Record</v>
      </c>
      <c r="AX2147" s="3" t="s">
        <v>21804</v>
      </c>
      <c r="AY2147" s="3" t="s">
        <v>21805</v>
      </c>
      <c r="AZ2147" s="3" t="s">
        <v>21806</v>
      </c>
      <c r="BA2147" s="3" t="s">
        <v>21806</v>
      </c>
      <c r="BB2147" s="3" t="s">
        <v>21807</v>
      </c>
      <c r="BC2147" s="3" t="s">
        <v>77</v>
      </c>
      <c r="BD2147" s="3" t="s">
        <v>78</v>
      </c>
      <c r="BE2147" s="3" t="s">
        <v>21808</v>
      </c>
      <c r="BF2147" s="3" t="s">
        <v>21807</v>
      </c>
      <c r="BG2147" s="3" t="s">
        <v>21809</v>
      </c>
      <c r="BH2147">
        <f t="shared" si="55"/>
        <v>0</v>
      </c>
    </row>
    <row r="2148" spans="1:60" ht="58" x14ac:dyDescent="0.35">
      <c r="A2148" s="2" t="s">
        <v>59</v>
      </c>
      <c r="B2148" s="2" t="s">
        <v>60</v>
      </c>
      <c r="C2148" s="2" t="s">
        <v>21810</v>
      </c>
      <c r="D2148" s="2" t="s">
        <v>21811</v>
      </c>
      <c r="E2148" s="2" t="s">
        <v>21812</v>
      </c>
      <c r="G2148" s="3" t="s">
        <v>64</v>
      </c>
      <c r="I2148" s="3" t="s">
        <v>64</v>
      </c>
      <c r="J2148" s="3" t="s">
        <v>64</v>
      </c>
      <c r="K2148" s="3" t="s">
        <v>65</v>
      </c>
      <c r="M2148" s="2" t="s">
        <v>21813</v>
      </c>
      <c r="N2148" s="3" t="s">
        <v>326</v>
      </c>
      <c r="O2148" s="2" t="s">
        <v>2994</v>
      </c>
      <c r="P2148" s="3" t="s">
        <v>102</v>
      </c>
      <c r="R2148" s="3" t="s">
        <v>70</v>
      </c>
      <c r="S2148" s="4">
        <v>2</v>
      </c>
      <c r="T2148" s="4">
        <v>2</v>
      </c>
      <c r="U2148" s="5" t="s">
        <v>21196</v>
      </c>
      <c r="V2148" s="5" t="s">
        <v>21196</v>
      </c>
      <c r="W2148" s="5" t="s">
        <v>72</v>
      </c>
      <c r="X2148" s="5" t="s">
        <v>72</v>
      </c>
      <c r="Y2148" s="4">
        <v>297</v>
      </c>
      <c r="Z2148" s="4">
        <v>21</v>
      </c>
      <c r="AA2148" s="4">
        <v>42</v>
      </c>
      <c r="AB2148" s="4">
        <v>3</v>
      </c>
      <c r="AC2148" s="4">
        <v>10</v>
      </c>
      <c r="AD2148" s="4">
        <v>51</v>
      </c>
      <c r="AE2148" s="4">
        <v>85</v>
      </c>
      <c r="AF2148" s="4">
        <v>1</v>
      </c>
      <c r="AG2148" s="4">
        <v>4</v>
      </c>
      <c r="AH2148" s="4">
        <v>43</v>
      </c>
      <c r="AI2148" s="4">
        <v>70</v>
      </c>
      <c r="AJ2148" s="4">
        <v>11</v>
      </c>
      <c r="AK2148" s="4">
        <v>16</v>
      </c>
      <c r="AL2148" s="4">
        <v>23</v>
      </c>
      <c r="AM2148" s="4">
        <v>37</v>
      </c>
      <c r="AN2148" s="4">
        <v>0</v>
      </c>
      <c r="AO2148" s="4">
        <v>0</v>
      </c>
      <c r="AP2148" s="4">
        <v>13</v>
      </c>
      <c r="AQ2148" s="4">
        <v>21</v>
      </c>
      <c r="AR2148" s="3" t="s">
        <v>64</v>
      </c>
      <c r="AS2148" s="3" t="s">
        <v>64</v>
      </c>
      <c r="AT2148" s="3" t="s">
        <v>64</v>
      </c>
      <c r="AV2148" s="6" t="str">
        <f>HYPERLINK("http://mcgill.on.worldcat.org/oclc/733937603","Catalog Record")</f>
        <v>Catalog Record</v>
      </c>
      <c r="AW2148" s="6" t="str">
        <f>HYPERLINK("http://www.worldcat.org/oclc/733937603","WorldCat Record")</f>
        <v>WorldCat Record</v>
      </c>
      <c r="AX2148" s="3" t="s">
        <v>21814</v>
      </c>
      <c r="AY2148" s="3" t="s">
        <v>21815</v>
      </c>
      <c r="AZ2148" s="3" t="s">
        <v>21816</v>
      </c>
      <c r="BA2148" s="3" t="s">
        <v>21816</v>
      </c>
      <c r="BB2148" s="3" t="s">
        <v>21817</v>
      </c>
      <c r="BC2148" s="3" t="s">
        <v>77</v>
      </c>
      <c r="BD2148" s="3" t="s">
        <v>78</v>
      </c>
      <c r="BE2148" s="3" t="s">
        <v>21818</v>
      </c>
      <c r="BF2148" s="3" t="s">
        <v>21817</v>
      </c>
      <c r="BG2148" s="3" t="s">
        <v>21819</v>
      </c>
      <c r="BH2148">
        <f t="shared" si="55"/>
        <v>0</v>
      </c>
    </row>
    <row r="2149" spans="1:60" ht="58" x14ac:dyDescent="0.35">
      <c r="A2149" s="2" t="s">
        <v>59</v>
      </c>
      <c r="B2149" s="2" t="s">
        <v>60</v>
      </c>
      <c r="C2149" s="2" t="s">
        <v>21820</v>
      </c>
      <c r="D2149" s="2" t="s">
        <v>21821</v>
      </c>
      <c r="E2149" s="2" t="s">
        <v>21822</v>
      </c>
      <c r="G2149" s="3" t="s">
        <v>64</v>
      </c>
      <c r="I2149" s="3" t="s">
        <v>64</v>
      </c>
      <c r="J2149" s="3" t="s">
        <v>64</v>
      </c>
      <c r="K2149" s="3" t="s">
        <v>65</v>
      </c>
      <c r="M2149" s="2" t="s">
        <v>21823</v>
      </c>
      <c r="N2149" s="3" t="s">
        <v>86</v>
      </c>
      <c r="P2149" s="3" t="s">
        <v>102</v>
      </c>
      <c r="Q2149" s="2" t="s">
        <v>21824</v>
      </c>
      <c r="R2149" s="3" t="s">
        <v>70</v>
      </c>
      <c r="S2149" s="4">
        <v>6</v>
      </c>
      <c r="T2149" s="4">
        <v>6</v>
      </c>
      <c r="U2149" s="5" t="s">
        <v>21825</v>
      </c>
      <c r="V2149" s="5" t="s">
        <v>21825</v>
      </c>
      <c r="W2149" s="5" t="s">
        <v>72</v>
      </c>
      <c r="X2149" s="5" t="s">
        <v>72</v>
      </c>
      <c r="Y2149" s="4">
        <v>94</v>
      </c>
      <c r="Z2149" s="4">
        <v>7</v>
      </c>
      <c r="AA2149" s="4">
        <v>14</v>
      </c>
      <c r="AB2149" s="4">
        <v>1</v>
      </c>
      <c r="AC2149" s="4">
        <v>5</v>
      </c>
      <c r="AD2149" s="4">
        <v>27</v>
      </c>
      <c r="AE2149" s="4">
        <v>34</v>
      </c>
      <c r="AF2149" s="4">
        <v>0</v>
      </c>
      <c r="AG2149" s="4">
        <v>2</v>
      </c>
      <c r="AH2149" s="4">
        <v>27</v>
      </c>
      <c r="AI2149" s="4">
        <v>30</v>
      </c>
      <c r="AJ2149" s="4">
        <v>3</v>
      </c>
      <c r="AK2149" s="4">
        <v>8</v>
      </c>
      <c r="AL2149" s="4">
        <v>19</v>
      </c>
      <c r="AM2149" s="4">
        <v>21</v>
      </c>
      <c r="AN2149" s="4">
        <v>0</v>
      </c>
      <c r="AO2149" s="4">
        <v>0</v>
      </c>
      <c r="AP2149" s="4">
        <v>3</v>
      </c>
      <c r="AQ2149" s="4">
        <v>7</v>
      </c>
      <c r="AR2149" s="3" t="s">
        <v>64</v>
      </c>
      <c r="AS2149" s="3" t="s">
        <v>64</v>
      </c>
      <c r="AT2149" s="3" t="s">
        <v>64</v>
      </c>
      <c r="AV2149" s="6" t="str">
        <f>HYPERLINK("http://mcgill.on.worldcat.org/oclc/610832071","Catalog Record")</f>
        <v>Catalog Record</v>
      </c>
      <c r="AW2149" s="6" t="str">
        <f>HYPERLINK("http://www.worldcat.org/oclc/610832071","WorldCat Record")</f>
        <v>WorldCat Record</v>
      </c>
      <c r="AX2149" s="3" t="s">
        <v>21826</v>
      </c>
      <c r="AY2149" s="3" t="s">
        <v>21827</v>
      </c>
      <c r="AZ2149" s="3" t="s">
        <v>21828</v>
      </c>
      <c r="BA2149" s="3" t="s">
        <v>21828</v>
      </c>
      <c r="BB2149" s="3" t="s">
        <v>21829</v>
      </c>
      <c r="BC2149" s="3" t="s">
        <v>77</v>
      </c>
      <c r="BD2149" s="3" t="s">
        <v>78</v>
      </c>
      <c r="BE2149" s="3" t="s">
        <v>21830</v>
      </c>
      <c r="BF2149" s="3" t="s">
        <v>21829</v>
      </c>
      <c r="BG2149" s="3" t="s">
        <v>21831</v>
      </c>
      <c r="BH2149">
        <f t="shared" si="55"/>
        <v>0</v>
      </c>
    </row>
    <row r="2150" spans="1:60" ht="58" x14ac:dyDescent="0.35">
      <c r="A2150" s="2" t="s">
        <v>59</v>
      </c>
      <c r="B2150" s="2" t="s">
        <v>60</v>
      </c>
      <c r="C2150" s="2" t="s">
        <v>21832</v>
      </c>
      <c r="D2150" s="2" t="s">
        <v>21833</v>
      </c>
      <c r="E2150" s="2" t="s">
        <v>21834</v>
      </c>
      <c r="G2150" s="3" t="s">
        <v>64</v>
      </c>
      <c r="I2150" s="3" t="s">
        <v>64</v>
      </c>
      <c r="J2150" s="3" t="s">
        <v>64</v>
      </c>
      <c r="K2150" s="3" t="s">
        <v>65</v>
      </c>
      <c r="M2150" s="2" t="s">
        <v>21835</v>
      </c>
      <c r="N2150" s="3" t="s">
        <v>253</v>
      </c>
      <c r="P2150" s="3" t="s">
        <v>102</v>
      </c>
      <c r="Q2150" s="2" t="s">
        <v>21836</v>
      </c>
      <c r="R2150" s="3" t="s">
        <v>70</v>
      </c>
      <c r="S2150" s="4">
        <v>2</v>
      </c>
      <c r="T2150" s="4">
        <v>2</v>
      </c>
      <c r="U2150" s="5" t="s">
        <v>13876</v>
      </c>
      <c r="V2150" s="5" t="s">
        <v>13876</v>
      </c>
      <c r="W2150" s="5" t="s">
        <v>72</v>
      </c>
      <c r="X2150" s="5" t="s">
        <v>72</v>
      </c>
      <c r="Y2150" s="4">
        <v>36</v>
      </c>
      <c r="Z2150" s="4">
        <v>3</v>
      </c>
      <c r="AA2150" s="4">
        <v>68</v>
      </c>
      <c r="AB2150" s="4">
        <v>1</v>
      </c>
      <c r="AC2150" s="4">
        <v>14</v>
      </c>
      <c r="AD2150" s="4">
        <v>17</v>
      </c>
      <c r="AE2150" s="4">
        <v>99</v>
      </c>
      <c r="AF2150" s="4">
        <v>0</v>
      </c>
      <c r="AG2150" s="4">
        <v>8</v>
      </c>
      <c r="AH2150" s="4">
        <v>17</v>
      </c>
      <c r="AI2150" s="4">
        <v>69</v>
      </c>
      <c r="AJ2150" s="4">
        <v>2</v>
      </c>
      <c r="AK2150" s="4">
        <v>19</v>
      </c>
      <c r="AL2150" s="4">
        <v>10</v>
      </c>
      <c r="AM2150" s="4">
        <v>35</v>
      </c>
      <c r="AN2150" s="4">
        <v>0</v>
      </c>
      <c r="AO2150" s="4">
        <v>0</v>
      </c>
      <c r="AP2150" s="4">
        <v>2</v>
      </c>
      <c r="AQ2150" s="4">
        <v>36</v>
      </c>
      <c r="AR2150" s="3" t="s">
        <v>64</v>
      </c>
      <c r="AS2150" s="3" t="s">
        <v>64</v>
      </c>
      <c r="AT2150" s="3" t="s">
        <v>64</v>
      </c>
      <c r="AV2150" s="6" t="str">
        <f>HYPERLINK("http://mcgill.on.worldcat.org/oclc/921506810","Catalog Record")</f>
        <v>Catalog Record</v>
      </c>
      <c r="AW2150" s="6" t="str">
        <f>HYPERLINK("http://www.worldcat.org/oclc/921506810","WorldCat Record")</f>
        <v>WorldCat Record</v>
      </c>
      <c r="AX2150" s="3" t="s">
        <v>21837</v>
      </c>
      <c r="AY2150" s="3" t="s">
        <v>21838</v>
      </c>
      <c r="AZ2150" s="3" t="s">
        <v>21839</v>
      </c>
      <c r="BA2150" s="3" t="s">
        <v>21839</v>
      </c>
      <c r="BB2150" s="3" t="s">
        <v>21840</v>
      </c>
      <c r="BC2150" s="3" t="s">
        <v>77</v>
      </c>
      <c r="BD2150" s="3" t="s">
        <v>78</v>
      </c>
      <c r="BE2150" s="3" t="s">
        <v>21841</v>
      </c>
      <c r="BF2150" s="3" t="s">
        <v>21840</v>
      </c>
      <c r="BG2150" s="3" t="s">
        <v>21842</v>
      </c>
      <c r="BH2150">
        <f t="shared" si="55"/>
        <v>0</v>
      </c>
    </row>
    <row r="2151" spans="1:60" ht="58" x14ac:dyDescent="0.35">
      <c r="A2151" s="2" t="s">
        <v>59</v>
      </c>
      <c r="B2151" s="2" t="s">
        <v>60</v>
      </c>
      <c r="C2151" s="2" t="s">
        <v>21843</v>
      </c>
      <c r="D2151" s="2" t="s">
        <v>21844</v>
      </c>
      <c r="E2151" s="2" t="s">
        <v>21845</v>
      </c>
      <c r="G2151" s="3" t="s">
        <v>64</v>
      </c>
      <c r="I2151" s="3" t="s">
        <v>64</v>
      </c>
      <c r="J2151" s="3" t="s">
        <v>64</v>
      </c>
      <c r="K2151" s="3" t="s">
        <v>65</v>
      </c>
      <c r="L2151" s="2" t="s">
        <v>21846</v>
      </c>
      <c r="M2151" s="2" t="s">
        <v>21847</v>
      </c>
      <c r="N2151" s="3" t="s">
        <v>1087</v>
      </c>
      <c r="P2151" s="3" t="s">
        <v>102</v>
      </c>
      <c r="R2151" s="3" t="s">
        <v>70</v>
      </c>
      <c r="S2151" s="4">
        <v>19</v>
      </c>
      <c r="T2151" s="4">
        <v>19</v>
      </c>
      <c r="U2151" s="5" t="s">
        <v>1655</v>
      </c>
      <c r="V2151" s="5" t="s">
        <v>1655</v>
      </c>
      <c r="W2151" s="5" t="s">
        <v>72</v>
      </c>
      <c r="X2151" s="5" t="s">
        <v>72</v>
      </c>
      <c r="Y2151" s="4">
        <v>308</v>
      </c>
      <c r="Z2151" s="4">
        <v>19</v>
      </c>
      <c r="AA2151" s="4">
        <v>23</v>
      </c>
      <c r="AB2151" s="4">
        <v>2</v>
      </c>
      <c r="AC2151" s="4">
        <v>4</v>
      </c>
      <c r="AD2151" s="4">
        <v>61</v>
      </c>
      <c r="AE2151" s="4">
        <v>63</v>
      </c>
      <c r="AF2151" s="4">
        <v>0</v>
      </c>
      <c r="AG2151" s="4">
        <v>2</v>
      </c>
      <c r="AH2151" s="4">
        <v>54</v>
      </c>
      <c r="AI2151" s="4">
        <v>55</v>
      </c>
      <c r="AJ2151" s="4">
        <v>9</v>
      </c>
      <c r="AK2151" s="4">
        <v>11</v>
      </c>
      <c r="AL2151" s="4">
        <v>30</v>
      </c>
      <c r="AM2151" s="4">
        <v>30</v>
      </c>
      <c r="AN2151" s="4">
        <v>0</v>
      </c>
      <c r="AO2151" s="4">
        <v>0</v>
      </c>
      <c r="AP2151" s="4">
        <v>8</v>
      </c>
      <c r="AQ2151" s="4">
        <v>9</v>
      </c>
      <c r="AR2151" s="3" t="s">
        <v>64</v>
      </c>
      <c r="AS2151" s="3" t="s">
        <v>64</v>
      </c>
      <c r="AT2151" s="3" t="s">
        <v>128</v>
      </c>
      <c r="AU2151" s="6" t="str">
        <f>HYPERLINK("http://catalog.hathitrust.org/Record/002506905","HathiTrust Record")</f>
        <v>HathiTrust Record</v>
      </c>
      <c r="AV2151" s="6" t="str">
        <f>HYPERLINK("http://mcgill.on.worldcat.org/oclc/22733990","Catalog Record")</f>
        <v>Catalog Record</v>
      </c>
      <c r="AW2151" s="6" t="str">
        <f>HYPERLINK("http://www.worldcat.org/oclc/22733990","WorldCat Record")</f>
        <v>WorldCat Record</v>
      </c>
      <c r="AX2151" s="3" t="s">
        <v>21848</v>
      </c>
      <c r="AY2151" s="3" t="s">
        <v>21849</v>
      </c>
      <c r="AZ2151" s="3" t="s">
        <v>21850</v>
      </c>
      <c r="BA2151" s="3" t="s">
        <v>21850</v>
      </c>
      <c r="BB2151" s="3" t="s">
        <v>21851</v>
      </c>
      <c r="BC2151" s="3" t="s">
        <v>77</v>
      </c>
      <c r="BD2151" s="3" t="s">
        <v>78</v>
      </c>
      <c r="BE2151" s="3" t="s">
        <v>21852</v>
      </c>
      <c r="BF2151" s="3" t="s">
        <v>21851</v>
      </c>
      <c r="BG2151" s="3" t="s">
        <v>21853</v>
      </c>
      <c r="BH2151">
        <f t="shared" si="55"/>
        <v>0</v>
      </c>
    </row>
    <row r="2152" spans="1:60" ht="58" x14ac:dyDescent="0.35">
      <c r="A2152" s="2" t="s">
        <v>59</v>
      </c>
      <c r="B2152" s="2" t="s">
        <v>60</v>
      </c>
      <c r="C2152" s="2" t="s">
        <v>21854</v>
      </c>
      <c r="D2152" s="2" t="s">
        <v>21855</v>
      </c>
      <c r="E2152" s="2" t="s">
        <v>21856</v>
      </c>
      <c r="G2152" s="3" t="s">
        <v>64</v>
      </c>
      <c r="I2152" s="3" t="s">
        <v>64</v>
      </c>
      <c r="J2152" s="3" t="s">
        <v>64</v>
      </c>
      <c r="K2152" s="3" t="s">
        <v>65</v>
      </c>
      <c r="L2152" s="2" t="s">
        <v>21857</v>
      </c>
      <c r="M2152" s="2" t="s">
        <v>19592</v>
      </c>
      <c r="N2152" s="3" t="s">
        <v>86</v>
      </c>
      <c r="P2152" s="3" t="s">
        <v>102</v>
      </c>
      <c r="Q2152" s="2" t="s">
        <v>8981</v>
      </c>
      <c r="R2152" s="3" t="s">
        <v>70</v>
      </c>
      <c r="S2152" s="4">
        <v>5</v>
      </c>
      <c r="T2152" s="4">
        <v>5</v>
      </c>
      <c r="U2152" s="5" t="s">
        <v>3129</v>
      </c>
      <c r="V2152" s="5" t="s">
        <v>3129</v>
      </c>
      <c r="W2152" s="5" t="s">
        <v>72</v>
      </c>
      <c r="X2152" s="5" t="s">
        <v>72</v>
      </c>
      <c r="Y2152" s="4">
        <v>195</v>
      </c>
      <c r="Z2152" s="4">
        <v>17</v>
      </c>
      <c r="AA2152" s="4">
        <v>35</v>
      </c>
      <c r="AB2152" s="4">
        <v>1</v>
      </c>
      <c r="AC2152" s="4">
        <v>8</v>
      </c>
      <c r="AD2152" s="4">
        <v>38</v>
      </c>
      <c r="AE2152" s="4">
        <v>73</v>
      </c>
      <c r="AF2152" s="4">
        <v>0</v>
      </c>
      <c r="AG2152" s="4">
        <v>3</v>
      </c>
      <c r="AH2152" s="4">
        <v>32</v>
      </c>
      <c r="AI2152" s="4">
        <v>58</v>
      </c>
      <c r="AJ2152" s="4">
        <v>8</v>
      </c>
      <c r="AK2152" s="4">
        <v>16</v>
      </c>
      <c r="AL2152" s="4">
        <v>24</v>
      </c>
      <c r="AM2152" s="4">
        <v>36</v>
      </c>
      <c r="AN2152" s="4">
        <v>0</v>
      </c>
      <c r="AO2152" s="4">
        <v>0</v>
      </c>
      <c r="AP2152" s="4">
        <v>11</v>
      </c>
      <c r="AQ2152" s="4">
        <v>20</v>
      </c>
      <c r="AR2152" s="3" t="s">
        <v>64</v>
      </c>
      <c r="AS2152" s="3" t="s">
        <v>64</v>
      </c>
      <c r="AT2152" s="3" t="s">
        <v>64</v>
      </c>
      <c r="AV2152" s="6" t="str">
        <f>HYPERLINK("http://mcgill.on.worldcat.org/oclc/811704806","Catalog Record")</f>
        <v>Catalog Record</v>
      </c>
      <c r="AW2152" s="6" t="str">
        <f>HYPERLINK("http://www.worldcat.org/oclc/811704806","WorldCat Record")</f>
        <v>WorldCat Record</v>
      </c>
      <c r="AX2152" s="3" t="s">
        <v>21858</v>
      </c>
      <c r="AY2152" s="3" t="s">
        <v>21859</v>
      </c>
      <c r="AZ2152" s="3" t="s">
        <v>21860</v>
      </c>
      <c r="BA2152" s="3" t="s">
        <v>21860</v>
      </c>
      <c r="BB2152" s="3" t="s">
        <v>21861</v>
      </c>
      <c r="BC2152" s="3" t="s">
        <v>77</v>
      </c>
      <c r="BD2152" s="3" t="s">
        <v>78</v>
      </c>
      <c r="BE2152" s="3" t="s">
        <v>21862</v>
      </c>
      <c r="BF2152" s="3" t="s">
        <v>21861</v>
      </c>
      <c r="BG2152" s="3" t="s">
        <v>21863</v>
      </c>
      <c r="BH2152">
        <f t="shared" si="55"/>
        <v>0</v>
      </c>
    </row>
    <row r="2153" spans="1:60" ht="58" x14ac:dyDescent="0.35">
      <c r="A2153" s="2" t="s">
        <v>59</v>
      </c>
      <c r="B2153" s="2" t="s">
        <v>60</v>
      </c>
      <c r="C2153" s="2" t="s">
        <v>21864</v>
      </c>
      <c r="D2153" s="2" t="s">
        <v>21865</v>
      </c>
      <c r="E2153" s="2" t="s">
        <v>21866</v>
      </c>
      <c r="G2153" s="3" t="s">
        <v>64</v>
      </c>
      <c r="I2153" s="3" t="s">
        <v>64</v>
      </c>
      <c r="J2153" s="3" t="s">
        <v>64</v>
      </c>
      <c r="K2153" s="3" t="s">
        <v>65</v>
      </c>
      <c r="M2153" s="2" t="s">
        <v>21867</v>
      </c>
      <c r="N2153" s="3" t="s">
        <v>253</v>
      </c>
      <c r="P2153" s="3" t="s">
        <v>102</v>
      </c>
      <c r="R2153" s="3" t="s">
        <v>70</v>
      </c>
      <c r="S2153" s="4">
        <v>1</v>
      </c>
      <c r="T2153" s="4">
        <v>1</v>
      </c>
      <c r="U2153" s="5" t="s">
        <v>13876</v>
      </c>
      <c r="V2153" s="5" t="s">
        <v>13876</v>
      </c>
      <c r="W2153" s="5" t="s">
        <v>72</v>
      </c>
      <c r="X2153" s="5" t="s">
        <v>72</v>
      </c>
      <c r="Y2153" s="4">
        <v>18</v>
      </c>
      <c r="Z2153" s="4">
        <v>3</v>
      </c>
      <c r="AA2153" s="4">
        <v>4</v>
      </c>
      <c r="AB2153" s="4">
        <v>1</v>
      </c>
      <c r="AC2153" s="4">
        <v>2</v>
      </c>
      <c r="AD2153" s="4">
        <v>7</v>
      </c>
      <c r="AE2153" s="4">
        <v>8</v>
      </c>
      <c r="AF2153" s="4">
        <v>0</v>
      </c>
      <c r="AG2153" s="4">
        <v>0</v>
      </c>
      <c r="AH2153" s="4">
        <v>6</v>
      </c>
      <c r="AI2153" s="4">
        <v>7</v>
      </c>
      <c r="AJ2153" s="4">
        <v>2</v>
      </c>
      <c r="AK2153" s="4">
        <v>2</v>
      </c>
      <c r="AL2153" s="4">
        <v>3</v>
      </c>
      <c r="AM2153" s="4">
        <v>3</v>
      </c>
      <c r="AN2153" s="4">
        <v>0</v>
      </c>
      <c r="AO2153" s="4">
        <v>0</v>
      </c>
      <c r="AP2153" s="4">
        <v>2</v>
      </c>
      <c r="AQ2153" s="4">
        <v>2</v>
      </c>
      <c r="AR2153" s="3" t="s">
        <v>64</v>
      </c>
      <c r="AS2153" s="3" t="s">
        <v>64</v>
      </c>
      <c r="AT2153" s="3" t="s">
        <v>64</v>
      </c>
      <c r="AV2153" s="6" t="str">
        <f>HYPERLINK("http://mcgill.on.worldcat.org/oclc/907157854","Catalog Record")</f>
        <v>Catalog Record</v>
      </c>
      <c r="AW2153" s="6" t="str">
        <f>HYPERLINK("http://www.worldcat.org/oclc/907157854","WorldCat Record")</f>
        <v>WorldCat Record</v>
      </c>
      <c r="AX2153" s="3" t="s">
        <v>21868</v>
      </c>
      <c r="AY2153" s="3" t="s">
        <v>21869</v>
      </c>
      <c r="AZ2153" s="3" t="s">
        <v>21870</v>
      </c>
      <c r="BA2153" s="3" t="s">
        <v>21870</v>
      </c>
      <c r="BB2153" s="3" t="s">
        <v>21871</v>
      </c>
      <c r="BC2153" s="3" t="s">
        <v>77</v>
      </c>
      <c r="BD2153" s="3" t="s">
        <v>78</v>
      </c>
      <c r="BE2153" s="3" t="s">
        <v>21872</v>
      </c>
      <c r="BF2153" s="3" t="s">
        <v>21871</v>
      </c>
      <c r="BG2153" s="3" t="s">
        <v>21873</v>
      </c>
      <c r="BH2153">
        <f t="shared" si="55"/>
        <v>0</v>
      </c>
    </row>
    <row r="2154" spans="1:60" ht="58" x14ac:dyDescent="0.35">
      <c r="A2154" s="2" t="s">
        <v>59</v>
      </c>
      <c r="B2154" s="2" t="s">
        <v>60</v>
      </c>
      <c r="C2154" s="2" t="s">
        <v>21874</v>
      </c>
      <c r="D2154" s="2" t="s">
        <v>21875</v>
      </c>
      <c r="E2154" s="2" t="s">
        <v>21876</v>
      </c>
      <c r="G2154" s="3" t="s">
        <v>64</v>
      </c>
      <c r="I2154" s="3" t="s">
        <v>64</v>
      </c>
      <c r="J2154" s="3" t="s">
        <v>64</v>
      </c>
      <c r="K2154" s="3" t="s">
        <v>65</v>
      </c>
      <c r="M2154" s="2" t="s">
        <v>1213</v>
      </c>
      <c r="N2154" s="3" t="s">
        <v>1075</v>
      </c>
      <c r="P2154" s="3" t="s">
        <v>102</v>
      </c>
      <c r="R2154" s="3" t="s">
        <v>70</v>
      </c>
      <c r="S2154" s="4">
        <v>8</v>
      </c>
      <c r="T2154" s="4">
        <v>8</v>
      </c>
      <c r="U2154" s="5" t="s">
        <v>1655</v>
      </c>
      <c r="V2154" s="5" t="s">
        <v>1655</v>
      </c>
      <c r="W2154" s="5" t="s">
        <v>72</v>
      </c>
      <c r="X2154" s="5" t="s">
        <v>72</v>
      </c>
      <c r="Y2154" s="4">
        <v>163</v>
      </c>
      <c r="Z2154" s="4">
        <v>11</v>
      </c>
      <c r="AA2154" s="4">
        <v>36</v>
      </c>
      <c r="AB2154" s="4">
        <v>1</v>
      </c>
      <c r="AC2154" s="4">
        <v>6</v>
      </c>
      <c r="AD2154" s="4">
        <v>42</v>
      </c>
      <c r="AE2154" s="4">
        <v>73</v>
      </c>
      <c r="AF2154" s="4">
        <v>0</v>
      </c>
      <c r="AG2154" s="4">
        <v>1</v>
      </c>
      <c r="AH2154" s="4">
        <v>37</v>
      </c>
      <c r="AI2154" s="4">
        <v>59</v>
      </c>
      <c r="AJ2154" s="4">
        <v>8</v>
      </c>
      <c r="AK2154" s="4">
        <v>14</v>
      </c>
      <c r="AL2154" s="4">
        <v>21</v>
      </c>
      <c r="AM2154" s="4">
        <v>35</v>
      </c>
      <c r="AN2154" s="4">
        <v>0</v>
      </c>
      <c r="AO2154" s="4">
        <v>0</v>
      </c>
      <c r="AP2154" s="4">
        <v>10</v>
      </c>
      <c r="AQ2154" s="4">
        <v>19</v>
      </c>
      <c r="AR2154" s="3" t="s">
        <v>64</v>
      </c>
      <c r="AS2154" s="3" t="s">
        <v>64</v>
      </c>
      <c r="AT2154" s="3" t="s">
        <v>64</v>
      </c>
      <c r="AV2154" s="6" t="str">
        <f>HYPERLINK("http://mcgill.on.worldcat.org/oclc/802294771","Catalog Record")</f>
        <v>Catalog Record</v>
      </c>
      <c r="AW2154" s="6" t="str">
        <f>HYPERLINK("http://www.worldcat.org/oclc/802294771","WorldCat Record")</f>
        <v>WorldCat Record</v>
      </c>
      <c r="AX2154" s="3" t="s">
        <v>21877</v>
      </c>
      <c r="AY2154" s="3" t="s">
        <v>21878</v>
      </c>
      <c r="AZ2154" s="3" t="s">
        <v>21879</v>
      </c>
      <c r="BA2154" s="3" t="s">
        <v>21879</v>
      </c>
      <c r="BB2154" s="3" t="s">
        <v>21880</v>
      </c>
      <c r="BC2154" s="3" t="s">
        <v>77</v>
      </c>
      <c r="BD2154" s="3" t="s">
        <v>78</v>
      </c>
      <c r="BE2154" s="3" t="s">
        <v>21881</v>
      </c>
      <c r="BF2154" s="3" t="s">
        <v>21880</v>
      </c>
      <c r="BG2154" s="3" t="s">
        <v>21882</v>
      </c>
      <c r="BH2154">
        <f t="shared" si="55"/>
        <v>0</v>
      </c>
    </row>
    <row r="2155" spans="1:60" ht="58" x14ac:dyDescent="0.35">
      <c r="A2155" s="2" t="s">
        <v>59</v>
      </c>
      <c r="B2155" s="2" t="s">
        <v>60</v>
      </c>
      <c r="C2155" s="2" t="s">
        <v>21883</v>
      </c>
      <c r="D2155" s="2" t="s">
        <v>21884</v>
      </c>
      <c r="E2155" s="2" t="s">
        <v>21885</v>
      </c>
      <c r="G2155" s="3" t="s">
        <v>64</v>
      </c>
      <c r="I2155" s="3" t="s">
        <v>64</v>
      </c>
      <c r="J2155" s="3" t="s">
        <v>64</v>
      </c>
      <c r="K2155" s="3" t="s">
        <v>65</v>
      </c>
      <c r="L2155" s="2" t="s">
        <v>21886</v>
      </c>
      <c r="M2155" s="2" t="s">
        <v>15640</v>
      </c>
      <c r="N2155" s="3" t="s">
        <v>253</v>
      </c>
      <c r="P2155" s="3" t="s">
        <v>102</v>
      </c>
      <c r="R2155" s="3" t="s">
        <v>70</v>
      </c>
      <c r="S2155" s="4">
        <v>5</v>
      </c>
      <c r="T2155" s="4">
        <v>5</v>
      </c>
      <c r="U2155" s="5" t="s">
        <v>15687</v>
      </c>
      <c r="V2155" s="5" t="s">
        <v>15687</v>
      </c>
      <c r="W2155" s="5" t="s">
        <v>72</v>
      </c>
      <c r="X2155" s="5" t="s">
        <v>72</v>
      </c>
      <c r="Y2155" s="4">
        <v>614</v>
      </c>
      <c r="Z2155" s="4">
        <v>17</v>
      </c>
      <c r="AA2155" s="4">
        <v>88</v>
      </c>
      <c r="AB2155" s="4">
        <v>1</v>
      </c>
      <c r="AC2155" s="4">
        <v>15</v>
      </c>
      <c r="AD2155" s="4">
        <v>44</v>
      </c>
      <c r="AE2155" s="4">
        <v>111</v>
      </c>
      <c r="AF2155" s="4">
        <v>0</v>
      </c>
      <c r="AG2155" s="4">
        <v>8</v>
      </c>
      <c r="AH2155" s="4">
        <v>41</v>
      </c>
      <c r="AI2155" s="4">
        <v>76</v>
      </c>
      <c r="AJ2155" s="4">
        <v>4</v>
      </c>
      <c r="AK2155" s="4">
        <v>18</v>
      </c>
      <c r="AL2155" s="4">
        <v>20</v>
      </c>
      <c r="AM2155" s="4">
        <v>38</v>
      </c>
      <c r="AN2155" s="4">
        <v>0</v>
      </c>
      <c r="AO2155" s="4">
        <v>0</v>
      </c>
      <c r="AP2155" s="4">
        <v>6</v>
      </c>
      <c r="AQ2155" s="4">
        <v>40</v>
      </c>
      <c r="AR2155" s="3" t="s">
        <v>64</v>
      </c>
      <c r="AS2155" s="3" t="s">
        <v>64</v>
      </c>
      <c r="AT2155" s="3" t="s">
        <v>64</v>
      </c>
      <c r="AV2155" s="6" t="str">
        <f>HYPERLINK("http://mcgill.on.worldcat.org/oclc/903473921","Catalog Record")</f>
        <v>Catalog Record</v>
      </c>
      <c r="AW2155" s="6" t="str">
        <f>HYPERLINK("http://www.worldcat.org/oclc/903473921","WorldCat Record")</f>
        <v>WorldCat Record</v>
      </c>
      <c r="AX2155" s="3" t="s">
        <v>21887</v>
      </c>
      <c r="AY2155" s="3" t="s">
        <v>21888</v>
      </c>
      <c r="AZ2155" s="3" t="s">
        <v>21889</v>
      </c>
      <c r="BA2155" s="3" t="s">
        <v>21889</v>
      </c>
      <c r="BB2155" s="3" t="s">
        <v>21890</v>
      </c>
      <c r="BC2155" s="3" t="s">
        <v>77</v>
      </c>
      <c r="BD2155" s="3" t="s">
        <v>78</v>
      </c>
      <c r="BE2155" s="3" t="s">
        <v>21891</v>
      </c>
      <c r="BF2155" s="3" t="s">
        <v>21890</v>
      </c>
      <c r="BG2155" s="3" t="s">
        <v>21892</v>
      </c>
      <c r="BH2155">
        <f t="shared" si="55"/>
        <v>0</v>
      </c>
    </row>
    <row r="2156" spans="1:60" ht="58" x14ac:dyDescent="0.35">
      <c r="A2156" s="2" t="s">
        <v>59</v>
      </c>
      <c r="B2156" s="2" t="s">
        <v>60</v>
      </c>
      <c r="C2156" s="2" t="s">
        <v>21893</v>
      </c>
      <c r="D2156" s="2" t="s">
        <v>21894</v>
      </c>
      <c r="E2156" s="2" t="s">
        <v>21895</v>
      </c>
      <c r="G2156" s="3" t="s">
        <v>64</v>
      </c>
      <c r="I2156" s="3" t="s">
        <v>64</v>
      </c>
      <c r="J2156" s="3" t="s">
        <v>64</v>
      </c>
      <c r="K2156" s="3" t="s">
        <v>65</v>
      </c>
      <c r="L2156" s="2" t="s">
        <v>21896</v>
      </c>
      <c r="M2156" s="2" t="s">
        <v>21897</v>
      </c>
      <c r="N2156" s="3" t="s">
        <v>1275</v>
      </c>
      <c r="P2156" s="3" t="s">
        <v>102</v>
      </c>
      <c r="Q2156" s="2" t="s">
        <v>21898</v>
      </c>
      <c r="R2156" s="3" t="s">
        <v>70</v>
      </c>
      <c r="S2156" s="4">
        <v>5</v>
      </c>
      <c r="T2156" s="4">
        <v>5</v>
      </c>
      <c r="U2156" s="5" t="s">
        <v>3621</v>
      </c>
      <c r="V2156" s="5" t="s">
        <v>3621</v>
      </c>
      <c r="W2156" s="5" t="s">
        <v>72</v>
      </c>
      <c r="X2156" s="5" t="s">
        <v>72</v>
      </c>
      <c r="Y2156" s="4">
        <v>255</v>
      </c>
      <c r="Z2156" s="4">
        <v>16</v>
      </c>
      <c r="AA2156" s="4">
        <v>18</v>
      </c>
      <c r="AB2156" s="4">
        <v>1</v>
      </c>
      <c r="AC2156" s="4">
        <v>3</v>
      </c>
      <c r="AD2156" s="4">
        <v>97</v>
      </c>
      <c r="AE2156" s="4">
        <v>99</v>
      </c>
      <c r="AF2156" s="4">
        <v>0</v>
      </c>
      <c r="AG2156" s="4">
        <v>2</v>
      </c>
      <c r="AH2156" s="4">
        <v>87</v>
      </c>
      <c r="AI2156" s="4">
        <v>87</v>
      </c>
      <c r="AJ2156" s="4">
        <v>11</v>
      </c>
      <c r="AK2156" s="4">
        <v>12</v>
      </c>
      <c r="AL2156" s="4">
        <v>47</v>
      </c>
      <c r="AM2156" s="4">
        <v>47</v>
      </c>
      <c r="AN2156" s="4">
        <v>0</v>
      </c>
      <c r="AO2156" s="4">
        <v>0</v>
      </c>
      <c r="AP2156" s="4">
        <v>13</v>
      </c>
      <c r="AQ2156" s="4">
        <v>14</v>
      </c>
      <c r="AR2156" s="3" t="s">
        <v>64</v>
      </c>
      <c r="AS2156" s="3" t="s">
        <v>128</v>
      </c>
      <c r="AT2156" s="3" t="s">
        <v>64</v>
      </c>
      <c r="AU2156" s="6" t="str">
        <f>HYPERLINK("http://catalog.hathitrust.org/Record/004947095","HathiTrust Record")</f>
        <v>HathiTrust Record</v>
      </c>
      <c r="AV2156" s="6" t="str">
        <f>HYPERLINK("http://mcgill.on.worldcat.org/oclc/57186815","Catalog Record")</f>
        <v>Catalog Record</v>
      </c>
      <c r="AW2156" s="6" t="str">
        <f>HYPERLINK("http://www.worldcat.org/oclc/57186815","WorldCat Record")</f>
        <v>WorldCat Record</v>
      </c>
      <c r="AX2156" s="3" t="s">
        <v>21899</v>
      </c>
      <c r="AY2156" s="3" t="s">
        <v>21900</v>
      </c>
      <c r="AZ2156" s="3" t="s">
        <v>21901</v>
      </c>
      <c r="BA2156" s="3" t="s">
        <v>21901</v>
      </c>
      <c r="BB2156" s="3" t="s">
        <v>21902</v>
      </c>
      <c r="BC2156" s="3" t="s">
        <v>77</v>
      </c>
      <c r="BD2156" s="3" t="s">
        <v>78</v>
      </c>
      <c r="BE2156" s="3" t="s">
        <v>21903</v>
      </c>
      <c r="BF2156" s="3" t="s">
        <v>21902</v>
      </c>
      <c r="BG2156" s="3" t="s">
        <v>21904</v>
      </c>
      <c r="BH2156">
        <f t="shared" si="55"/>
        <v>0</v>
      </c>
    </row>
    <row r="2157" spans="1:60" ht="58" x14ac:dyDescent="0.35">
      <c r="A2157" s="2" t="s">
        <v>59</v>
      </c>
      <c r="B2157" s="2" t="s">
        <v>60</v>
      </c>
      <c r="C2157" s="2" t="s">
        <v>21905</v>
      </c>
      <c r="D2157" s="2" t="s">
        <v>21906</v>
      </c>
      <c r="E2157" s="2" t="s">
        <v>21907</v>
      </c>
      <c r="G2157" s="3" t="s">
        <v>64</v>
      </c>
      <c r="I2157" s="3" t="s">
        <v>64</v>
      </c>
      <c r="J2157" s="3" t="s">
        <v>64</v>
      </c>
      <c r="K2157" s="3" t="s">
        <v>65</v>
      </c>
      <c r="L2157" s="2" t="s">
        <v>21908</v>
      </c>
      <c r="M2157" s="2" t="s">
        <v>17565</v>
      </c>
      <c r="N2157" s="3" t="s">
        <v>86</v>
      </c>
      <c r="P2157" s="3" t="s">
        <v>102</v>
      </c>
      <c r="R2157" s="3" t="s">
        <v>70</v>
      </c>
      <c r="S2157" s="4">
        <v>5</v>
      </c>
      <c r="T2157" s="4">
        <v>5</v>
      </c>
      <c r="U2157" s="5" t="s">
        <v>11848</v>
      </c>
      <c r="V2157" s="5" t="s">
        <v>11848</v>
      </c>
      <c r="W2157" s="5" t="s">
        <v>72</v>
      </c>
      <c r="X2157" s="5" t="s">
        <v>72</v>
      </c>
      <c r="Y2157" s="4">
        <v>739</v>
      </c>
      <c r="Z2157" s="4">
        <v>27</v>
      </c>
      <c r="AA2157" s="4">
        <v>137</v>
      </c>
      <c r="AB2157" s="4">
        <v>4</v>
      </c>
      <c r="AC2157" s="4">
        <v>17</v>
      </c>
      <c r="AD2157" s="4">
        <v>48</v>
      </c>
      <c r="AE2157" s="4">
        <v>125</v>
      </c>
      <c r="AF2157" s="4">
        <v>2</v>
      </c>
      <c r="AG2157" s="4">
        <v>8</v>
      </c>
      <c r="AH2157" s="4">
        <v>43</v>
      </c>
      <c r="AI2157" s="4">
        <v>86</v>
      </c>
      <c r="AJ2157" s="4">
        <v>6</v>
      </c>
      <c r="AK2157" s="4">
        <v>22</v>
      </c>
      <c r="AL2157" s="4">
        <v>21</v>
      </c>
      <c r="AM2157" s="4">
        <v>42</v>
      </c>
      <c r="AN2157" s="4">
        <v>0</v>
      </c>
      <c r="AO2157" s="4">
        <v>0</v>
      </c>
      <c r="AP2157" s="4">
        <v>8</v>
      </c>
      <c r="AQ2157" s="4">
        <v>46</v>
      </c>
      <c r="AR2157" s="3" t="s">
        <v>64</v>
      </c>
      <c r="AS2157" s="3" t="s">
        <v>64</v>
      </c>
      <c r="AT2157" s="3" t="s">
        <v>64</v>
      </c>
      <c r="AV2157" s="6" t="str">
        <f>HYPERLINK("http://mcgill.on.worldcat.org/oclc/759695799","Catalog Record")</f>
        <v>Catalog Record</v>
      </c>
      <c r="AW2157" s="6" t="str">
        <f>HYPERLINK("http://www.worldcat.org/oclc/759695799","WorldCat Record")</f>
        <v>WorldCat Record</v>
      </c>
      <c r="AX2157" s="3" t="s">
        <v>21909</v>
      </c>
      <c r="AY2157" s="3" t="s">
        <v>21910</v>
      </c>
      <c r="AZ2157" s="3" t="s">
        <v>21911</v>
      </c>
      <c r="BA2157" s="3" t="s">
        <v>21911</v>
      </c>
      <c r="BB2157" s="3" t="s">
        <v>21912</v>
      </c>
      <c r="BC2157" s="3" t="s">
        <v>77</v>
      </c>
      <c r="BD2157" s="3" t="s">
        <v>78</v>
      </c>
      <c r="BE2157" s="3" t="s">
        <v>21913</v>
      </c>
      <c r="BF2157" s="3" t="s">
        <v>21912</v>
      </c>
      <c r="BG2157" s="3" t="s">
        <v>21914</v>
      </c>
      <c r="BH2157">
        <f t="shared" si="55"/>
        <v>0</v>
      </c>
    </row>
    <row r="2158" spans="1:60" ht="58" x14ac:dyDescent="0.35">
      <c r="A2158" s="2" t="s">
        <v>59</v>
      </c>
      <c r="B2158" s="2" t="s">
        <v>60</v>
      </c>
      <c r="C2158" s="2" t="s">
        <v>21915</v>
      </c>
      <c r="D2158" s="2" t="s">
        <v>21916</v>
      </c>
      <c r="E2158" s="2" t="s">
        <v>21917</v>
      </c>
      <c r="G2158" s="3" t="s">
        <v>64</v>
      </c>
      <c r="I2158" s="3" t="s">
        <v>64</v>
      </c>
      <c r="J2158" s="3" t="s">
        <v>64</v>
      </c>
      <c r="K2158" s="3" t="s">
        <v>65</v>
      </c>
      <c r="L2158" s="2" t="s">
        <v>21918</v>
      </c>
      <c r="M2158" s="2" t="s">
        <v>15158</v>
      </c>
      <c r="N2158" s="3" t="s">
        <v>144</v>
      </c>
      <c r="P2158" s="3" t="s">
        <v>102</v>
      </c>
      <c r="Q2158" s="2" t="s">
        <v>21919</v>
      </c>
      <c r="R2158" s="3" t="s">
        <v>70</v>
      </c>
      <c r="S2158" s="4">
        <v>3</v>
      </c>
      <c r="T2158" s="4">
        <v>3</v>
      </c>
      <c r="U2158" s="5" t="s">
        <v>19593</v>
      </c>
      <c r="V2158" s="5" t="s">
        <v>19593</v>
      </c>
      <c r="W2158" s="5" t="s">
        <v>72</v>
      </c>
      <c r="X2158" s="5" t="s">
        <v>72</v>
      </c>
      <c r="Y2158" s="4">
        <v>687</v>
      </c>
      <c r="Z2158" s="4">
        <v>30</v>
      </c>
      <c r="AA2158" s="4">
        <v>114</v>
      </c>
      <c r="AB2158" s="4">
        <v>2</v>
      </c>
      <c r="AC2158" s="4">
        <v>18</v>
      </c>
      <c r="AD2158" s="4">
        <v>90</v>
      </c>
      <c r="AE2158" s="4">
        <v>137</v>
      </c>
      <c r="AF2158" s="4">
        <v>0</v>
      </c>
      <c r="AG2158" s="4">
        <v>8</v>
      </c>
      <c r="AH2158" s="4">
        <v>82</v>
      </c>
      <c r="AI2158" s="4">
        <v>98</v>
      </c>
      <c r="AJ2158" s="4">
        <v>8</v>
      </c>
      <c r="AK2158" s="4">
        <v>21</v>
      </c>
      <c r="AL2158" s="4">
        <v>38</v>
      </c>
      <c r="AM2158" s="4">
        <v>49</v>
      </c>
      <c r="AN2158" s="4">
        <v>0</v>
      </c>
      <c r="AO2158" s="4">
        <v>0</v>
      </c>
      <c r="AP2158" s="4">
        <v>15</v>
      </c>
      <c r="AQ2158" s="4">
        <v>46</v>
      </c>
      <c r="AR2158" s="3" t="s">
        <v>64</v>
      </c>
      <c r="AS2158" s="3" t="s">
        <v>64</v>
      </c>
      <c r="AT2158" s="3" t="s">
        <v>128</v>
      </c>
      <c r="AU2158" s="6" t="str">
        <f>HYPERLINK("http://catalog.hathitrust.org/Record/005631386","HathiTrust Record")</f>
        <v>HathiTrust Record</v>
      </c>
      <c r="AV2158" s="6" t="str">
        <f>HYPERLINK("http://mcgill.on.worldcat.org/oclc/185026547","Catalog Record")</f>
        <v>Catalog Record</v>
      </c>
      <c r="AW2158" s="6" t="str">
        <f>HYPERLINK("http://www.worldcat.org/oclc/185026547","WorldCat Record")</f>
        <v>WorldCat Record</v>
      </c>
      <c r="AX2158" s="3" t="s">
        <v>21920</v>
      </c>
      <c r="AY2158" s="3" t="s">
        <v>21921</v>
      </c>
      <c r="AZ2158" s="3" t="s">
        <v>21922</v>
      </c>
      <c r="BA2158" s="3" t="s">
        <v>21922</v>
      </c>
      <c r="BB2158" s="3" t="s">
        <v>21923</v>
      </c>
      <c r="BC2158" s="3" t="s">
        <v>77</v>
      </c>
      <c r="BD2158" s="3" t="s">
        <v>78</v>
      </c>
      <c r="BE2158" s="3" t="s">
        <v>21924</v>
      </c>
      <c r="BF2158" s="3" t="s">
        <v>21923</v>
      </c>
      <c r="BG2158" s="3" t="s">
        <v>21925</v>
      </c>
      <c r="BH2158">
        <f t="shared" si="55"/>
        <v>0</v>
      </c>
    </row>
    <row r="2159" spans="1:60" ht="58" x14ac:dyDescent="0.35">
      <c r="A2159" s="2" t="s">
        <v>59</v>
      </c>
      <c r="B2159" s="2" t="s">
        <v>60</v>
      </c>
      <c r="C2159" s="2" t="s">
        <v>21926</v>
      </c>
      <c r="D2159" s="2" t="s">
        <v>21927</v>
      </c>
      <c r="E2159" s="2" t="s">
        <v>21928</v>
      </c>
      <c r="G2159" s="3" t="s">
        <v>64</v>
      </c>
      <c r="I2159" s="3" t="s">
        <v>64</v>
      </c>
      <c r="J2159" s="3" t="s">
        <v>64</v>
      </c>
      <c r="K2159" s="3" t="s">
        <v>65</v>
      </c>
      <c r="M2159" s="2" t="s">
        <v>21929</v>
      </c>
      <c r="N2159" s="3" t="s">
        <v>153</v>
      </c>
      <c r="P2159" s="3" t="s">
        <v>102</v>
      </c>
      <c r="R2159" s="3" t="s">
        <v>70</v>
      </c>
      <c r="S2159" s="4">
        <v>2</v>
      </c>
      <c r="T2159" s="4">
        <v>2</v>
      </c>
      <c r="U2159" s="5" t="s">
        <v>5612</v>
      </c>
      <c r="V2159" s="5" t="s">
        <v>5612</v>
      </c>
      <c r="W2159" s="5" t="s">
        <v>72</v>
      </c>
      <c r="X2159" s="5" t="s">
        <v>72</v>
      </c>
      <c r="Y2159" s="4">
        <v>185</v>
      </c>
      <c r="Z2159" s="4">
        <v>7</v>
      </c>
      <c r="AA2159" s="4">
        <v>12</v>
      </c>
      <c r="AB2159" s="4">
        <v>2</v>
      </c>
      <c r="AC2159" s="4">
        <v>5</v>
      </c>
      <c r="AD2159" s="4">
        <v>42</v>
      </c>
      <c r="AE2159" s="4">
        <v>46</v>
      </c>
      <c r="AF2159" s="4">
        <v>1</v>
      </c>
      <c r="AG2159" s="4">
        <v>1</v>
      </c>
      <c r="AH2159" s="4">
        <v>36</v>
      </c>
      <c r="AI2159" s="4">
        <v>40</v>
      </c>
      <c r="AJ2159" s="4">
        <v>5</v>
      </c>
      <c r="AK2159" s="4">
        <v>6</v>
      </c>
      <c r="AL2159" s="4">
        <v>20</v>
      </c>
      <c r="AM2159" s="4">
        <v>23</v>
      </c>
      <c r="AN2159" s="4">
        <v>0</v>
      </c>
      <c r="AO2159" s="4">
        <v>0</v>
      </c>
      <c r="AP2159" s="4">
        <v>5</v>
      </c>
      <c r="AQ2159" s="4">
        <v>6</v>
      </c>
      <c r="AR2159" s="3" t="s">
        <v>64</v>
      </c>
      <c r="AS2159" s="3" t="s">
        <v>64</v>
      </c>
      <c r="AT2159" s="3" t="s">
        <v>64</v>
      </c>
      <c r="AV2159" s="6" t="str">
        <f>HYPERLINK("http://mcgill.on.worldcat.org/oclc/38281648","Catalog Record")</f>
        <v>Catalog Record</v>
      </c>
      <c r="AW2159" s="6" t="str">
        <f>HYPERLINK("http://www.worldcat.org/oclc/38281648","WorldCat Record")</f>
        <v>WorldCat Record</v>
      </c>
      <c r="AX2159" s="3" t="s">
        <v>21930</v>
      </c>
      <c r="AY2159" s="3" t="s">
        <v>21931</v>
      </c>
      <c r="AZ2159" s="3" t="s">
        <v>21932</v>
      </c>
      <c r="BA2159" s="3" t="s">
        <v>21932</v>
      </c>
      <c r="BB2159" s="3" t="s">
        <v>21933</v>
      </c>
      <c r="BC2159" s="3" t="s">
        <v>77</v>
      </c>
      <c r="BD2159" s="3" t="s">
        <v>78</v>
      </c>
      <c r="BE2159" s="3" t="s">
        <v>21934</v>
      </c>
      <c r="BF2159" s="3" t="s">
        <v>21933</v>
      </c>
      <c r="BG2159" s="3" t="s">
        <v>21935</v>
      </c>
      <c r="BH2159">
        <f t="shared" si="55"/>
        <v>0</v>
      </c>
    </row>
    <row r="2160" spans="1:60" ht="58" x14ac:dyDescent="0.35">
      <c r="A2160" s="2" t="s">
        <v>59</v>
      </c>
      <c r="B2160" s="2" t="s">
        <v>60</v>
      </c>
      <c r="C2160" s="2" t="s">
        <v>21936</v>
      </c>
      <c r="D2160" s="2" t="s">
        <v>21937</v>
      </c>
      <c r="E2160" s="2" t="s">
        <v>21938</v>
      </c>
      <c r="G2160" s="3" t="s">
        <v>64</v>
      </c>
      <c r="I2160" s="3" t="s">
        <v>64</v>
      </c>
      <c r="J2160" s="3" t="s">
        <v>64</v>
      </c>
      <c r="K2160" s="3" t="s">
        <v>65</v>
      </c>
      <c r="M2160" s="2" t="s">
        <v>21939</v>
      </c>
      <c r="N2160" s="3" t="s">
        <v>392</v>
      </c>
      <c r="P2160" s="3" t="s">
        <v>102</v>
      </c>
      <c r="Q2160" s="2" t="s">
        <v>21940</v>
      </c>
      <c r="R2160" s="3" t="s">
        <v>70</v>
      </c>
      <c r="S2160" s="4">
        <v>2</v>
      </c>
      <c r="T2160" s="4">
        <v>2</v>
      </c>
      <c r="U2160" s="5" t="s">
        <v>5612</v>
      </c>
      <c r="V2160" s="5" t="s">
        <v>5612</v>
      </c>
      <c r="W2160" s="5" t="s">
        <v>72</v>
      </c>
      <c r="X2160" s="5" t="s">
        <v>72</v>
      </c>
      <c r="Y2160" s="4">
        <v>230</v>
      </c>
      <c r="Z2160" s="4">
        <v>13</v>
      </c>
      <c r="AA2160" s="4">
        <v>16</v>
      </c>
      <c r="AB2160" s="4">
        <v>2</v>
      </c>
      <c r="AC2160" s="4">
        <v>4</v>
      </c>
      <c r="AD2160" s="4">
        <v>78</v>
      </c>
      <c r="AE2160" s="4">
        <v>84</v>
      </c>
      <c r="AF2160" s="4">
        <v>0</v>
      </c>
      <c r="AG2160" s="4">
        <v>2</v>
      </c>
      <c r="AH2160" s="4">
        <v>69</v>
      </c>
      <c r="AI2160" s="4">
        <v>73</v>
      </c>
      <c r="AJ2160" s="4">
        <v>9</v>
      </c>
      <c r="AK2160" s="4">
        <v>11</v>
      </c>
      <c r="AL2160" s="4">
        <v>34</v>
      </c>
      <c r="AM2160" s="4">
        <v>35</v>
      </c>
      <c r="AN2160" s="4">
        <v>0</v>
      </c>
      <c r="AO2160" s="4">
        <v>0</v>
      </c>
      <c r="AP2160" s="4">
        <v>9</v>
      </c>
      <c r="AQ2160" s="4">
        <v>11</v>
      </c>
      <c r="AR2160" s="3" t="s">
        <v>64</v>
      </c>
      <c r="AS2160" s="3" t="s">
        <v>128</v>
      </c>
      <c r="AT2160" s="3" t="s">
        <v>64</v>
      </c>
      <c r="AU2160" s="6" t="str">
        <f>HYPERLINK("http://catalog.hathitrust.org/Record/003440113","HathiTrust Record")</f>
        <v>HathiTrust Record</v>
      </c>
      <c r="AV2160" s="6" t="str">
        <f>HYPERLINK("http://mcgill.on.worldcat.org/oclc/42618314","Catalog Record")</f>
        <v>Catalog Record</v>
      </c>
      <c r="AW2160" s="6" t="str">
        <f>HYPERLINK("http://www.worldcat.org/oclc/42618314","WorldCat Record")</f>
        <v>WorldCat Record</v>
      </c>
      <c r="AX2160" s="3" t="s">
        <v>21941</v>
      </c>
      <c r="AY2160" s="3" t="s">
        <v>21942</v>
      </c>
      <c r="AZ2160" s="3" t="s">
        <v>21943</v>
      </c>
      <c r="BA2160" s="3" t="s">
        <v>21943</v>
      </c>
      <c r="BB2160" s="3" t="s">
        <v>21944</v>
      </c>
      <c r="BC2160" s="3" t="s">
        <v>77</v>
      </c>
      <c r="BD2160" s="3" t="s">
        <v>78</v>
      </c>
      <c r="BF2160" s="3" t="s">
        <v>21944</v>
      </c>
      <c r="BG2160" s="3" t="s">
        <v>21945</v>
      </c>
      <c r="BH2160">
        <f t="shared" si="55"/>
        <v>0</v>
      </c>
    </row>
    <row r="2161" spans="1:60" ht="58" x14ac:dyDescent="0.35">
      <c r="A2161" s="2" t="s">
        <v>59</v>
      </c>
      <c r="B2161" s="2" t="s">
        <v>60</v>
      </c>
      <c r="C2161" s="2" t="s">
        <v>21946</v>
      </c>
      <c r="D2161" s="2" t="s">
        <v>21947</v>
      </c>
      <c r="E2161" s="2" t="s">
        <v>21948</v>
      </c>
      <c r="G2161" s="3" t="s">
        <v>64</v>
      </c>
      <c r="I2161" s="3" t="s">
        <v>64</v>
      </c>
      <c r="J2161" s="3" t="s">
        <v>64</v>
      </c>
      <c r="K2161" s="3" t="s">
        <v>65</v>
      </c>
      <c r="L2161" s="2" t="s">
        <v>21949</v>
      </c>
      <c r="M2161" s="2" t="s">
        <v>21950</v>
      </c>
      <c r="N2161" s="3" t="s">
        <v>551</v>
      </c>
      <c r="P2161" s="3" t="s">
        <v>102</v>
      </c>
      <c r="R2161" s="3" t="s">
        <v>70</v>
      </c>
      <c r="S2161" s="4">
        <v>5</v>
      </c>
      <c r="T2161" s="4">
        <v>5</v>
      </c>
      <c r="U2161" s="5" t="s">
        <v>20038</v>
      </c>
      <c r="V2161" s="5" t="s">
        <v>20038</v>
      </c>
      <c r="W2161" s="5" t="s">
        <v>72</v>
      </c>
      <c r="X2161" s="5" t="s">
        <v>72</v>
      </c>
      <c r="Y2161" s="4">
        <v>255</v>
      </c>
      <c r="Z2161" s="4">
        <v>12</v>
      </c>
      <c r="AA2161" s="4">
        <v>78</v>
      </c>
      <c r="AB2161" s="4">
        <v>3</v>
      </c>
      <c r="AC2161" s="4">
        <v>16</v>
      </c>
      <c r="AD2161" s="4">
        <v>23</v>
      </c>
      <c r="AE2161" s="4">
        <v>87</v>
      </c>
      <c r="AF2161" s="4">
        <v>0</v>
      </c>
      <c r="AG2161" s="4">
        <v>8</v>
      </c>
      <c r="AH2161" s="4">
        <v>23</v>
      </c>
      <c r="AI2161" s="4">
        <v>56</v>
      </c>
      <c r="AJ2161" s="4">
        <v>4</v>
      </c>
      <c r="AK2161" s="4">
        <v>18</v>
      </c>
      <c r="AL2161" s="4">
        <v>16</v>
      </c>
      <c r="AM2161" s="4">
        <v>28</v>
      </c>
      <c r="AN2161" s="4">
        <v>0</v>
      </c>
      <c r="AO2161" s="4">
        <v>0</v>
      </c>
      <c r="AP2161" s="4">
        <v>4</v>
      </c>
      <c r="AQ2161" s="4">
        <v>38</v>
      </c>
      <c r="AR2161" s="3" t="s">
        <v>64</v>
      </c>
      <c r="AS2161" s="3" t="s">
        <v>64</v>
      </c>
      <c r="AT2161" s="3" t="s">
        <v>64</v>
      </c>
      <c r="AV2161" s="6" t="str">
        <f>HYPERLINK("http://mcgill.on.worldcat.org/oclc/137313679","Catalog Record")</f>
        <v>Catalog Record</v>
      </c>
      <c r="AW2161" s="6" t="str">
        <f>HYPERLINK("http://www.worldcat.org/oclc/137313679","WorldCat Record")</f>
        <v>WorldCat Record</v>
      </c>
      <c r="AX2161" s="3" t="s">
        <v>21951</v>
      </c>
      <c r="AY2161" s="3" t="s">
        <v>21952</v>
      </c>
      <c r="AZ2161" s="3" t="s">
        <v>21953</v>
      </c>
      <c r="BA2161" s="3" t="s">
        <v>21953</v>
      </c>
      <c r="BB2161" s="3" t="s">
        <v>21954</v>
      </c>
      <c r="BC2161" s="3" t="s">
        <v>77</v>
      </c>
      <c r="BD2161" s="3" t="s">
        <v>78</v>
      </c>
      <c r="BE2161" s="3" t="s">
        <v>21955</v>
      </c>
      <c r="BF2161" s="3" t="s">
        <v>21954</v>
      </c>
      <c r="BG2161" s="3" t="s">
        <v>21956</v>
      </c>
      <c r="BH2161">
        <f t="shared" si="55"/>
        <v>0</v>
      </c>
    </row>
    <row r="2162" spans="1:60" ht="58" x14ac:dyDescent="0.35">
      <c r="A2162" s="2" t="s">
        <v>59</v>
      </c>
      <c r="B2162" s="2" t="s">
        <v>60</v>
      </c>
      <c r="C2162" s="2" t="s">
        <v>21957</v>
      </c>
      <c r="D2162" s="2" t="s">
        <v>21958</v>
      </c>
      <c r="E2162" s="2" t="s">
        <v>21959</v>
      </c>
      <c r="G2162" s="3" t="s">
        <v>64</v>
      </c>
      <c r="I2162" s="3" t="s">
        <v>64</v>
      </c>
      <c r="J2162" s="3" t="s">
        <v>64</v>
      </c>
      <c r="K2162" s="3" t="s">
        <v>65</v>
      </c>
      <c r="M2162" s="2" t="s">
        <v>21960</v>
      </c>
      <c r="N2162" s="3" t="s">
        <v>1031</v>
      </c>
      <c r="P2162" s="3" t="s">
        <v>102</v>
      </c>
      <c r="R2162" s="3" t="s">
        <v>70</v>
      </c>
      <c r="S2162" s="4">
        <v>4</v>
      </c>
      <c r="T2162" s="4">
        <v>4</v>
      </c>
      <c r="U2162" s="5" t="s">
        <v>5612</v>
      </c>
      <c r="V2162" s="5" t="s">
        <v>5612</v>
      </c>
      <c r="W2162" s="5" t="s">
        <v>72</v>
      </c>
      <c r="X2162" s="5" t="s">
        <v>72</v>
      </c>
      <c r="Y2162" s="4">
        <v>286</v>
      </c>
      <c r="Z2162" s="4">
        <v>15</v>
      </c>
      <c r="AA2162" s="4">
        <v>22</v>
      </c>
      <c r="AB2162" s="4">
        <v>1</v>
      </c>
      <c r="AC2162" s="4">
        <v>5</v>
      </c>
      <c r="AD2162" s="4">
        <v>67</v>
      </c>
      <c r="AE2162" s="4">
        <v>71</v>
      </c>
      <c r="AF2162" s="4">
        <v>0</v>
      </c>
      <c r="AG2162" s="4">
        <v>0</v>
      </c>
      <c r="AH2162" s="4">
        <v>61</v>
      </c>
      <c r="AI2162" s="4">
        <v>65</v>
      </c>
      <c r="AJ2162" s="4">
        <v>9</v>
      </c>
      <c r="AK2162" s="4">
        <v>11</v>
      </c>
      <c r="AL2162" s="4">
        <v>29</v>
      </c>
      <c r="AM2162" s="4">
        <v>31</v>
      </c>
      <c r="AN2162" s="4">
        <v>0</v>
      </c>
      <c r="AO2162" s="4">
        <v>0</v>
      </c>
      <c r="AP2162" s="4">
        <v>12</v>
      </c>
      <c r="AQ2162" s="4">
        <v>14</v>
      </c>
      <c r="AR2162" s="3" t="s">
        <v>64</v>
      </c>
      <c r="AS2162" s="3" t="s">
        <v>64</v>
      </c>
      <c r="AT2162" s="3" t="s">
        <v>128</v>
      </c>
      <c r="AU2162" s="6" t="str">
        <f>HYPERLINK("http://catalog.hathitrust.org/Record/002595598","HathiTrust Record")</f>
        <v>HathiTrust Record</v>
      </c>
      <c r="AV2162" s="6" t="str">
        <f>HYPERLINK("http://mcgill.on.worldcat.org/oclc/26303513","Catalog Record")</f>
        <v>Catalog Record</v>
      </c>
      <c r="AW2162" s="6" t="str">
        <f>HYPERLINK("http://www.worldcat.org/oclc/26303513","WorldCat Record")</f>
        <v>WorldCat Record</v>
      </c>
      <c r="AX2162" s="3" t="s">
        <v>21961</v>
      </c>
      <c r="AY2162" s="3" t="s">
        <v>21962</v>
      </c>
      <c r="AZ2162" s="3" t="s">
        <v>21963</v>
      </c>
      <c r="BA2162" s="3" t="s">
        <v>21963</v>
      </c>
      <c r="BB2162" s="3" t="s">
        <v>21964</v>
      </c>
      <c r="BC2162" s="3" t="s">
        <v>77</v>
      </c>
      <c r="BD2162" s="3" t="s">
        <v>78</v>
      </c>
      <c r="BE2162" s="3" t="s">
        <v>21965</v>
      </c>
      <c r="BF2162" s="3" t="s">
        <v>21964</v>
      </c>
      <c r="BG2162" s="3" t="s">
        <v>21966</v>
      </c>
      <c r="BH2162">
        <f t="shared" si="55"/>
        <v>0</v>
      </c>
    </row>
    <row r="2163" spans="1:60" ht="58" x14ac:dyDescent="0.35">
      <c r="A2163" s="2" t="s">
        <v>59</v>
      </c>
      <c r="B2163" s="2" t="s">
        <v>60</v>
      </c>
      <c r="C2163" s="2" t="s">
        <v>21967</v>
      </c>
      <c r="D2163" s="2" t="s">
        <v>21968</v>
      </c>
      <c r="E2163" s="2" t="s">
        <v>21969</v>
      </c>
      <c r="G2163" s="3" t="s">
        <v>64</v>
      </c>
      <c r="I2163" s="3" t="s">
        <v>64</v>
      </c>
      <c r="J2163" s="3" t="s">
        <v>64</v>
      </c>
      <c r="K2163" s="3" t="s">
        <v>65</v>
      </c>
      <c r="L2163" s="2" t="s">
        <v>21970</v>
      </c>
      <c r="M2163" s="2" t="s">
        <v>17246</v>
      </c>
      <c r="N2163" s="3" t="s">
        <v>159</v>
      </c>
      <c r="P2163" s="3" t="s">
        <v>102</v>
      </c>
      <c r="R2163" s="3" t="s">
        <v>70</v>
      </c>
      <c r="S2163" s="4">
        <v>2</v>
      </c>
      <c r="T2163" s="4">
        <v>2</v>
      </c>
      <c r="U2163" s="5" t="s">
        <v>1277</v>
      </c>
      <c r="V2163" s="5" t="s">
        <v>1277</v>
      </c>
      <c r="W2163" s="5" t="s">
        <v>72</v>
      </c>
      <c r="X2163" s="5" t="s">
        <v>72</v>
      </c>
      <c r="Y2163" s="4">
        <v>232</v>
      </c>
      <c r="Z2163" s="4">
        <v>18</v>
      </c>
      <c r="AA2163" s="4">
        <v>44</v>
      </c>
      <c r="AB2163" s="4">
        <v>2</v>
      </c>
      <c r="AC2163" s="4">
        <v>8</v>
      </c>
      <c r="AD2163" s="4">
        <v>63</v>
      </c>
      <c r="AE2163" s="4">
        <v>77</v>
      </c>
      <c r="AF2163" s="4">
        <v>1</v>
      </c>
      <c r="AG2163" s="4">
        <v>2</v>
      </c>
      <c r="AH2163" s="4">
        <v>57</v>
      </c>
      <c r="AI2163" s="4">
        <v>68</v>
      </c>
      <c r="AJ2163" s="4">
        <v>15</v>
      </c>
      <c r="AK2163" s="4">
        <v>16</v>
      </c>
      <c r="AL2163" s="4">
        <v>27</v>
      </c>
      <c r="AM2163" s="4">
        <v>30</v>
      </c>
      <c r="AN2163" s="4">
        <v>0</v>
      </c>
      <c r="AO2163" s="4">
        <v>0</v>
      </c>
      <c r="AP2163" s="4">
        <v>14</v>
      </c>
      <c r="AQ2163" s="4">
        <v>16</v>
      </c>
      <c r="AR2163" s="3" t="s">
        <v>64</v>
      </c>
      <c r="AS2163" s="3" t="s">
        <v>64</v>
      </c>
      <c r="AT2163" s="3" t="s">
        <v>64</v>
      </c>
      <c r="AV2163" s="6" t="str">
        <f>HYPERLINK("http://mcgill.on.worldcat.org/oclc/50251911","Catalog Record")</f>
        <v>Catalog Record</v>
      </c>
      <c r="AW2163" s="6" t="str">
        <f>HYPERLINK("http://www.worldcat.org/oclc/50251911","WorldCat Record")</f>
        <v>WorldCat Record</v>
      </c>
      <c r="AX2163" s="3" t="s">
        <v>21971</v>
      </c>
      <c r="AY2163" s="3" t="s">
        <v>21972</v>
      </c>
      <c r="AZ2163" s="3" t="s">
        <v>21973</v>
      </c>
      <c r="BA2163" s="3" t="s">
        <v>21973</v>
      </c>
      <c r="BB2163" s="3" t="s">
        <v>21974</v>
      </c>
      <c r="BC2163" s="3" t="s">
        <v>77</v>
      </c>
      <c r="BD2163" s="3" t="s">
        <v>78</v>
      </c>
      <c r="BE2163" s="3" t="s">
        <v>21975</v>
      </c>
      <c r="BF2163" s="3" t="s">
        <v>21974</v>
      </c>
      <c r="BG2163" s="3" t="s">
        <v>21976</v>
      </c>
      <c r="BH2163">
        <f t="shared" si="55"/>
        <v>0</v>
      </c>
    </row>
    <row r="2164" spans="1:60" ht="58" x14ac:dyDescent="0.35">
      <c r="A2164" s="2" t="s">
        <v>59</v>
      </c>
      <c r="B2164" s="2" t="s">
        <v>60</v>
      </c>
      <c r="C2164" s="2" t="s">
        <v>21977</v>
      </c>
      <c r="D2164" s="2" t="s">
        <v>21978</v>
      </c>
      <c r="E2164" s="2" t="s">
        <v>21979</v>
      </c>
      <c r="G2164" s="3" t="s">
        <v>64</v>
      </c>
      <c r="I2164" s="3" t="s">
        <v>64</v>
      </c>
      <c r="J2164" s="3" t="s">
        <v>64</v>
      </c>
      <c r="K2164" s="3" t="s">
        <v>65</v>
      </c>
      <c r="L2164" s="2" t="s">
        <v>21970</v>
      </c>
      <c r="M2164" s="2" t="s">
        <v>21980</v>
      </c>
      <c r="N2164" s="3" t="s">
        <v>392</v>
      </c>
      <c r="P2164" s="3" t="s">
        <v>102</v>
      </c>
      <c r="Q2164" s="2" t="s">
        <v>21484</v>
      </c>
      <c r="R2164" s="3" t="s">
        <v>70</v>
      </c>
      <c r="S2164" s="4">
        <v>9</v>
      </c>
      <c r="T2164" s="4">
        <v>9</v>
      </c>
      <c r="U2164" s="5" t="s">
        <v>5612</v>
      </c>
      <c r="V2164" s="5" t="s">
        <v>5612</v>
      </c>
      <c r="W2164" s="5" t="s">
        <v>72</v>
      </c>
      <c r="X2164" s="5" t="s">
        <v>72</v>
      </c>
      <c r="Y2164" s="4">
        <v>905</v>
      </c>
      <c r="Z2164" s="4">
        <v>45</v>
      </c>
      <c r="AA2164" s="4">
        <v>119</v>
      </c>
      <c r="AB2164" s="4">
        <v>3</v>
      </c>
      <c r="AC2164" s="4">
        <v>18</v>
      </c>
      <c r="AD2164" s="4">
        <v>112</v>
      </c>
      <c r="AE2164" s="4">
        <v>145</v>
      </c>
      <c r="AF2164" s="4">
        <v>1</v>
      </c>
      <c r="AG2164" s="4">
        <v>8</v>
      </c>
      <c r="AH2164" s="4">
        <v>97</v>
      </c>
      <c r="AI2164" s="4">
        <v>106</v>
      </c>
      <c r="AJ2164" s="4">
        <v>17</v>
      </c>
      <c r="AK2164" s="4">
        <v>23</v>
      </c>
      <c r="AL2164" s="4">
        <v>50</v>
      </c>
      <c r="AM2164" s="4">
        <v>54</v>
      </c>
      <c r="AN2164" s="4">
        <v>0</v>
      </c>
      <c r="AO2164" s="4">
        <v>0</v>
      </c>
      <c r="AP2164" s="4">
        <v>22</v>
      </c>
      <c r="AQ2164" s="4">
        <v>47</v>
      </c>
      <c r="AR2164" s="3" t="s">
        <v>64</v>
      </c>
      <c r="AS2164" s="3" t="s">
        <v>64</v>
      </c>
      <c r="AT2164" s="3" t="s">
        <v>64</v>
      </c>
      <c r="AV2164" s="6" t="str">
        <f>HYPERLINK("http://mcgill.on.worldcat.org/oclc/40830174","Catalog Record")</f>
        <v>Catalog Record</v>
      </c>
      <c r="AW2164" s="6" t="str">
        <f>HYPERLINK("http://www.worldcat.org/oclc/40830174","WorldCat Record")</f>
        <v>WorldCat Record</v>
      </c>
      <c r="AX2164" s="3" t="s">
        <v>21981</v>
      </c>
      <c r="AY2164" s="3" t="s">
        <v>21982</v>
      </c>
      <c r="AZ2164" s="3" t="s">
        <v>21983</v>
      </c>
      <c r="BA2164" s="3" t="s">
        <v>21983</v>
      </c>
      <c r="BB2164" s="3" t="s">
        <v>21984</v>
      </c>
      <c r="BC2164" s="3" t="s">
        <v>77</v>
      </c>
      <c r="BD2164" s="3" t="s">
        <v>78</v>
      </c>
      <c r="BE2164" s="3" t="s">
        <v>21985</v>
      </c>
      <c r="BF2164" s="3" t="s">
        <v>21984</v>
      </c>
      <c r="BG2164" s="3" t="s">
        <v>21986</v>
      </c>
      <c r="BH2164">
        <f t="shared" si="55"/>
        <v>0</v>
      </c>
    </row>
    <row r="2165" spans="1:60" ht="58" x14ac:dyDescent="0.35">
      <c r="A2165" s="2" t="s">
        <v>59</v>
      </c>
      <c r="B2165" s="2" t="s">
        <v>60</v>
      </c>
      <c r="C2165" s="2" t="s">
        <v>21987</v>
      </c>
      <c r="D2165" s="2" t="s">
        <v>21988</v>
      </c>
      <c r="E2165" s="2" t="s">
        <v>21989</v>
      </c>
      <c r="G2165" s="3" t="s">
        <v>64</v>
      </c>
      <c r="I2165" s="3" t="s">
        <v>64</v>
      </c>
      <c r="J2165" s="3" t="s">
        <v>64</v>
      </c>
      <c r="K2165" s="3" t="s">
        <v>65</v>
      </c>
      <c r="M2165" s="2" t="s">
        <v>21990</v>
      </c>
      <c r="N2165" s="3" t="s">
        <v>326</v>
      </c>
      <c r="P2165" s="3" t="s">
        <v>102</v>
      </c>
      <c r="R2165" s="3" t="s">
        <v>70</v>
      </c>
      <c r="S2165" s="4">
        <v>1</v>
      </c>
      <c r="T2165" s="4">
        <v>1</v>
      </c>
      <c r="U2165" s="5" t="s">
        <v>21991</v>
      </c>
      <c r="V2165" s="5" t="s">
        <v>21991</v>
      </c>
      <c r="W2165" s="5" t="s">
        <v>72</v>
      </c>
      <c r="X2165" s="5" t="s">
        <v>72</v>
      </c>
      <c r="Y2165" s="4">
        <v>77</v>
      </c>
      <c r="Z2165" s="4">
        <v>14</v>
      </c>
      <c r="AA2165" s="4">
        <v>16</v>
      </c>
      <c r="AB2165" s="4">
        <v>2</v>
      </c>
      <c r="AC2165" s="4">
        <v>4</v>
      </c>
      <c r="AD2165" s="4">
        <v>26</v>
      </c>
      <c r="AE2165" s="4">
        <v>27</v>
      </c>
      <c r="AF2165" s="4">
        <v>0</v>
      </c>
      <c r="AG2165" s="4">
        <v>1</v>
      </c>
      <c r="AH2165" s="4">
        <v>21</v>
      </c>
      <c r="AI2165" s="4">
        <v>21</v>
      </c>
      <c r="AJ2165" s="4">
        <v>8</v>
      </c>
      <c r="AK2165" s="4">
        <v>8</v>
      </c>
      <c r="AL2165" s="4">
        <v>8</v>
      </c>
      <c r="AM2165" s="4">
        <v>8</v>
      </c>
      <c r="AN2165" s="4">
        <v>0</v>
      </c>
      <c r="AO2165" s="4">
        <v>0</v>
      </c>
      <c r="AP2165" s="4">
        <v>9</v>
      </c>
      <c r="AQ2165" s="4">
        <v>10</v>
      </c>
      <c r="AR2165" s="3" t="s">
        <v>64</v>
      </c>
      <c r="AS2165" s="3" t="s">
        <v>64</v>
      </c>
      <c r="AT2165" s="3" t="s">
        <v>64</v>
      </c>
      <c r="AV2165" s="6" t="str">
        <f>HYPERLINK("http://mcgill.on.worldcat.org/oclc/757469586","Catalog Record")</f>
        <v>Catalog Record</v>
      </c>
      <c r="AW2165" s="6" t="str">
        <f>HYPERLINK("http://www.worldcat.org/oclc/757469586","WorldCat Record")</f>
        <v>WorldCat Record</v>
      </c>
      <c r="AX2165" s="3" t="s">
        <v>21992</v>
      </c>
      <c r="AY2165" s="3" t="s">
        <v>21993</v>
      </c>
      <c r="AZ2165" s="3" t="s">
        <v>21994</v>
      </c>
      <c r="BA2165" s="3" t="s">
        <v>21994</v>
      </c>
      <c r="BB2165" s="3" t="s">
        <v>21995</v>
      </c>
      <c r="BC2165" s="3" t="s">
        <v>77</v>
      </c>
      <c r="BD2165" s="3" t="s">
        <v>78</v>
      </c>
      <c r="BE2165" s="3" t="s">
        <v>21996</v>
      </c>
      <c r="BF2165" s="3" t="s">
        <v>21995</v>
      </c>
      <c r="BG2165" s="3" t="s">
        <v>21997</v>
      </c>
      <c r="BH2165">
        <f t="shared" si="55"/>
        <v>0</v>
      </c>
    </row>
    <row r="2166" spans="1:60" ht="58" x14ac:dyDescent="0.35">
      <c r="A2166" s="2" t="s">
        <v>59</v>
      </c>
      <c r="B2166" s="2" t="s">
        <v>60</v>
      </c>
      <c r="C2166" s="2" t="s">
        <v>21998</v>
      </c>
      <c r="D2166" s="2" t="s">
        <v>21999</v>
      </c>
      <c r="E2166" s="2" t="s">
        <v>22000</v>
      </c>
      <c r="G2166" s="3" t="s">
        <v>64</v>
      </c>
      <c r="I2166" s="3" t="s">
        <v>64</v>
      </c>
      <c r="J2166" s="3" t="s">
        <v>64</v>
      </c>
      <c r="K2166" s="3" t="s">
        <v>65</v>
      </c>
      <c r="L2166" s="2" t="s">
        <v>22001</v>
      </c>
      <c r="M2166" s="2" t="s">
        <v>22002</v>
      </c>
      <c r="N2166" s="3" t="s">
        <v>116</v>
      </c>
      <c r="P2166" s="3" t="s">
        <v>102</v>
      </c>
      <c r="Q2166" s="2" t="s">
        <v>22003</v>
      </c>
      <c r="R2166" s="3" t="s">
        <v>70</v>
      </c>
      <c r="S2166" s="4">
        <v>3</v>
      </c>
      <c r="T2166" s="4">
        <v>3</v>
      </c>
      <c r="U2166" s="5" t="s">
        <v>5612</v>
      </c>
      <c r="V2166" s="5" t="s">
        <v>5612</v>
      </c>
      <c r="W2166" s="5" t="s">
        <v>72</v>
      </c>
      <c r="X2166" s="5" t="s">
        <v>72</v>
      </c>
      <c r="Y2166" s="4">
        <v>503</v>
      </c>
      <c r="Z2166" s="4">
        <v>21</v>
      </c>
      <c r="AA2166" s="4">
        <v>22</v>
      </c>
      <c r="AB2166" s="4">
        <v>3</v>
      </c>
      <c r="AC2166" s="4">
        <v>4</v>
      </c>
      <c r="AD2166" s="4">
        <v>81</v>
      </c>
      <c r="AE2166" s="4">
        <v>82</v>
      </c>
      <c r="AF2166" s="4">
        <v>1</v>
      </c>
      <c r="AG2166" s="4">
        <v>2</v>
      </c>
      <c r="AH2166" s="4">
        <v>74</v>
      </c>
      <c r="AI2166" s="4">
        <v>74</v>
      </c>
      <c r="AJ2166" s="4">
        <v>12</v>
      </c>
      <c r="AK2166" s="4">
        <v>13</v>
      </c>
      <c r="AL2166" s="4">
        <v>39</v>
      </c>
      <c r="AM2166" s="4">
        <v>39</v>
      </c>
      <c r="AN2166" s="4">
        <v>0</v>
      </c>
      <c r="AO2166" s="4">
        <v>0</v>
      </c>
      <c r="AP2166" s="4">
        <v>13</v>
      </c>
      <c r="AQ2166" s="4">
        <v>13</v>
      </c>
      <c r="AR2166" s="3" t="s">
        <v>64</v>
      </c>
      <c r="AS2166" s="3" t="s">
        <v>64</v>
      </c>
      <c r="AT2166" s="3" t="s">
        <v>128</v>
      </c>
      <c r="AU2166" s="6" t="str">
        <f>HYPERLINK("http://catalog.hathitrust.org/Record/003565494","HathiTrust Record")</f>
        <v>HathiTrust Record</v>
      </c>
      <c r="AV2166" s="6" t="str">
        <f>HYPERLINK("http://mcgill.on.worldcat.org/oclc/45207883","Catalog Record")</f>
        <v>Catalog Record</v>
      </c>
      <c r="AW2166" s="6" t="str">
        <f>HYPERLINK("http://www.worldcat.org/oclc/45207883","WorldCat Record")</f>
        <v>WorldCat Record</v>
      </c>
      <c r="AX2166" s="3" t="s">
        <v>22004</v>
      </c>
      <c r="AY2166" s="3" t="s">
        <v>22005</v>
      </c>
      <c r="AZ2166" s="3" t="s">
        <v>22006</v>
      </c>
      <c r="BA2166" s="3" t="s">
        <v>22006</v>
      </c>
      <c r="BB2166" s="3" t="s">
        <v>22007</v>
      </c>
      <c r="BC2166" s="3" t="s">
        <v>77</v>
      </c>
      <c r="BD2166" s="3" t="s">
        <v>78</v>
      </c>
      <c r="BE2166" s="3" t="s">
        <v>22008</v>
      </c>
      <c r="BF2166" s="3" t="s">
        <v>22007</v>
      </c>
      <c r="BG2166" s="3" t="s">
        <v>22009</v>
      </c>
      <c r="BH2166">
        <f t="shared" si="55"/>
        <v>0</v>
      </c>
    </row>
    <row r="2167" spans="1:60" ht="58" x14ac:dyDescent="0.35">
      <c r="A2167" s="2" t="s">
        <v>59</v>
      </c>
      <c r="B2167" s="2" t="s">
        <v>60</v>
      </c>
      <c r="C2167" s="2" t="s">
        <v>22010</v>
      </c>
      <c r="D2167" s="2" t="s">
        <v>22011</v>
      </c>
      <c r="E2167" s="2" t="s">
        <v>22012</v>
      </c>
      <c r="G2167" s="3" t="s">
        <v>64</v>
      </c>
      <c r="I2167" s="3" t="s">
        <v>64</v>
      </c>
      <c r="J2167" s="3" t="s">
        <v>64</v>
      </c>
      <c r="K2167" s="3" t="s">
        <v>65</v>
      </c>
      <c r="L2167" s="2" t="s">
        <v>22013</v>
      </c>
      <c r="M2167" s="2" t="s">
        <v>22014</v>
      </c>
      <c r="N2167" s="3" t="s">
        <v>86</v>
      </c>
      <c r="P2167" s="3" t="s">
        <v>102</v>
      </c>
      <c r="R2167" s="3" t="s">
        <v>70</v>
      </c>
      <c r="S2167" s="4">
        <v>2</v>
      </c>
      <c r="T2167" s="4">
        <v>2</v>
      </c>
      <c r="U2167" s="5" t="s">
        <v>22015</v>
      </c>
      <c r="V2167" s="5" t="s">
        <v>22015</v>
      </c>
      <c r="W2167" s="5" t="s">
        <v>72</v>
      </c>
      <c r="X2167" s="5" t="s">
        <v>72</v>
      </c>
      <c r="Y2167" s="4">
        <v>118</v>
      </c>
      <c r="Z2167" s="4">
        <v>6</v>
      </c>
      <c r="AA2167" s="4">
        <v>81</v>
      </c>
      <c r="AB2167" s="4">
        <v>1</v>
      </c>
      <c r="AC2167" s="4">
        <v>15</v>
      </c>
      <c r="AD2167" s="4">
        <v>12</v>
      </c>
      <c r="AE2167" s="4">
        <v>103</v>
      </c>
      <c r="AF2167" s="4">
        <v>0</v>
      </c>
      <c r="AG2167" s="4">
        <v>8</v>
      </c>
      <c r="AH2167" s="4">
        <v>10</v>
      </c>
      <c r="AI2167" s="4">
        <v>70</v>
      </c>
      <c r="AJ2167" s="4">
        <v>5</v>
      </c>
      <c r="AK2167" s="4">
        <v>20</v>
      </c>
      <c r="AL2167" s="4">
        <v>6</v>
      </c>
      <c r="AM2167" s="4">
        <v>34</v>
      </c>
      <c r="AN2167" s="4">
        <v>0</v>
      </c>
      <c r="AO2167" s="4">
        <v>0</v>
      </c>
      <c r="AP2167" s="4">
        <v>5</v>
      </c>
      <c r="AQ2167" s="4">
        <v>40</v>
      </c>
      <c r="AR2167" s="3" t="s">
        <v>64</v>
      </c>
      <c r="AS2167" s="3" t="s">
        <v>64</v>
      </c>
      <c r="AT2167" s="3" t="s">
        <v>64</v>
      </c>
      <c r="AV2167" s="6" t="str">
        <f>HYPERLINK("http://mcgill.on.worldcat.org/oclc/778274958","Catalog Record")</f>
        <v>Catalog Record</v>
      </c>
      <c r="AW2167" s="6" t="str">
        <f>HYPERLINK("http://www.worldcat.org/oclc/778274958","WorldCat Record")</f>
        <v>WorldCat Record</v>
      </c>
      <c r="AX2167" s="3" t="s">
        <v>22016</v>
      </c>
      <c r="AY2167" s="3" t="s">
        <v>22017</v>
      </c>
      <c r="AZ2167" s="3" t="s">
        <v>22018</v>
      </c>
      <c r="BA2167" s="3" t="s">
        <v>22018</v>
      </c>
      <c r="BB2167" s="3" t="s">
        <v>22019</v>
      </c>
      <c r="BC2167" s="3" t="s">
        <v>77</v>
      </c>
      <c r="BD2167" s="3" t="s">
        <v>78</v>
      </c>
      <c r="BE2167" s="3" t="s">
        <v>22020</v>
      </c>
      <c r="BF2167" s="3" t="s">
        <v>22019</v>
      </c>
      <c r="BG2167" s="3" t="s">
        <v>22021</v>
      </c>
      <c r="BH2167">
        <f t="shared" si="55"/>
        <v>0</v>
      </c>
    </row>
    <row r="2168" spans="1:60" ht="58" x14ac:dyDescent="0.35">
      <c r="A2168" s="2" t="s">
        <v>59</v>
      </c>
      <c r="B2168" s="2" t="s">
        <v>60</v>
      </c>
      <c r="C2168" s="2" t="s">
        <v>22022</v>
      </c>
      <c r="D2168" s="2" t="s">
        <v>22023</v>
      </c>
      <c r="E2168" s="2" t="s">
        <v>22024</v>
      </c>
      <c r="G2168" s="3" t="s">
        <v>64</v>
      </c>
      <c r="I2168" s="3" t="s">
        <v>64</v>
      </c>
      <c r="J2168" s="3" t="s">
        <v>64</v>
      </c>
      <c r="K2168" s="3" t="s">
        <v>65</v>
      </c>
      <c r="L2168" s="2" t="s">
        <v>22025</v>
      </c>
      <c r="M2168" s="2" t="s">
        <v>22026</v>
      </c>
      <c r="N2168" s="3" t="s">
        <v>67</v>
      </c>
      <c r="O2168" s="2" t="s">
        <v>117</v>
      </c>
      <c r="P2168" s="3" t="s">
        <v>102</v>
      </c>
      <c r="Q2168" s="2" t="s">
        <v>18401</v>
      </c>
      <c r="R2168" s="3" t="s">
        <v>70</v>
      </c>
      <c r="S2168" s="4">
        <v>2</v>
      </c>
      <c r="T2168" s="4">
        <v>2</v>
      </c>
      <c r="U2168" s="5" t="s">
        <v>445</v>
      </c>
      <c r="V2168" s="5" t="s">
        <v>445</v>
      </c>
      <c r="W2168" s="5" t="s">
        <v>72</v>
      </c>
      <c r="X2168" s="5" t="s">
        <v>72</v>
      </c>
      <c r="Y2168" s="4">
        <v>339</v>
      </c>
      <c r="Z2168" s="4">
        <v>16</v>
      </c>
      <c r="AA2168" s="4">
        <v>87</v>
      </c>
      <c r="AB2168" s="4">
        <v>1</v>
      </c>
      <c r="AC2168" s="4">
        <v>15</v>
      </c>
      <c r="AD2168" s="4">
        <v>47</v>
      </c>
      <c r="AE2168" s="4">
        <v>115</v>
      </c>
      <c r="AF2168" s="4">
        <v>0</v>
      </c>
      <c r="AG2168" s="4">
        <v>8</v>
      </c>
      <c r="AH2168" s="4">
        <v>43</v>
      </c>
      <c r="AI2168" s="4">
        <v>78</v>
      </c>
      <c r="AJ2168" s="4">
        <v>4</v>
      </c>
      <c r="AK2168" s="4">
        <v>21</v>
      </c>
      <c r="AL2168" s="4">
        <v>21</v>
      </c>
      <c r="AM2168" s="4">
        <v>38</v>
      </c>
      <c r="AN2168" s="4">
        <v>0</v>
      </c>
      <c r="AO2168" s="4">
        <v>0</v>
      </c>
      <c r="AP2168" s="4">
        <v>7</v>
      </c>
      <c r="AQ2168" s="4">
        <v>43</v>
      </c>
      <c r="AR2168" s="3" t="s">
        <v>64</v>
      </c>
      <c r="AS2168" s="3" t="s">
        <v>64</v>
      </c>
      <c r="AT2168" s="3" t="s">
        <v>64</v>
      </c>
      <c r="AV2168" s="6" t="str">
        <f>HYPERLINK("http://mcgill.on.worldcat.org/oclc/878667319","Catalog Record")</f>
        <v>Catalog Record</v>
      </c>
      <c r="AW2168" s="6" t="str">
        <f>HYPERLINK("http://www.worldcat.org/oclc/878667319","WorldCat Record")</f>
        <v>WorldCat Record</v>
      </c>
      <c r="AX2168" s="3" t="s">
        <v>22027</v>
      </c>
      <c r="AY2168" s="3" t="s">
        <v>22028</v>
      </c>
      <c r="AZ2168" s="3" t="s">
        <v>22029</v>
      </c>
      <c r="BA2168" s="3" t="s">
        <v>22029</v>
      </c>
      <c r="BB2168" s="3" t="s">
        <v>22030</v>
      </c>
      <c r="BC2168" s="3" t="s">
        <v>77</v>
      </c>
      <c r="BD2168" s="3" t="s">
        <v>78</v>
      </c>
      <c r="BE2168" s="3" t="s">
        <v>22031</v>
      </c>
      <c r="BF2168" s="3" t="s">
        <v>22030</v>
      </c>
      <c r="BG2168" s="3" t="s">
        <v>22032</v>
      </c>
      <c r="BH2168">
        <f t="shared" si="55"/>
        <v>0</v>
      </c>
    </row>
    <row r="2169" spans="1:60" ht="58" x14ac:dyDescent="0.35">
      <c r="A2169" s="2" t="s">
        <v>59</v>
      </c>
      <c r="B2169" s="2" t="s">
        <v>60</v>
      </c>
      <c r="C2169" s="2" t="s">
        <v>22033</v>
      </c>
      <c r="D2169" s="2" t="s">
        <v>22034</v>
      </c>
      <c r="E2169" s="2" t="s">
        <v>22035</v>
      </c>
      <c r="G2169" s="3" t="s">
        <v>64</v>
      </c>
      <c r="I2169" s="3" t="s">
        <v>64</v>
      </c>
      <c r="J2169" s="3" t="s">
        <v>128</v>
      </c>
      <c r="K2169" s="3" t="s">
        <v>65</v>
      </c>
      <c r="L2169" s="2" t="s">
        <v>22036</v>
      </c>
      <c r="M2169" s="2" t="s">
        <v>22037</v>
      </c>
      <c r="N2169" s="3" t="s">
        <v>101</v>
      </c>
      <c r="O2169" s="2" t="s">
        <v>22038</v>
      </c>
      <c r="P2169" s="3" t="s">
        <v>102</v>
      </c>
      <c r="R2169" s="3" t="s">
        <v>70</v>
      </c>
      <c r="S2169" s="4">
        <v>8</v>
      </c>
      <c r="T2169" s="4">
        <v>8</v>
      </c>
      <c r="U2169" s="5" t="s">
        <v>17821</v>
      </c>
      <c r="V2169" s="5" t="s">
        <v>17821</v>
      </c>
      <c r="W2169" s="5" t="s">
        <v>72</v>
      </c>
      <c r="X2169" s="5" t="s">
        <v>72</v>
      </c>
      <c r="Y2169" s="4">
        <v>995</v>
      </c>
      <c r="Z2169" s="4">
        <v>33</v>
      </c>
      <c r="AA2169" s="4">
        <v>172</v>
      </c>
      <c r="AB2169" s="4">
        <v>1</v>
      </c>
      <c r="AC2169" s="4">
        <v>20</v>
      </c>
      <c r="AD2169" s="4">
        <v>109</v>
      </c>
      <c r="AE2169" s="4">
        <v>168</v>
      </c>
      <c r="AF2169" s="4">
        <v>0</v>
      </c>
      <c r="AG2169" s="4">
        <v>8</v>
      </c>
      <c r="AH2169" s="4">
        <v>95</v>
      </c>
      <c r="AI2169" s="4">
        <v>119</v>
      </c>
      <c r="AJ2169" s="4">
        <v>14</v>
      </c>
      <c r="AK2169" s="4">
        <v>28</v>
      </c>
      <c r="AL2169" s="4">
        <v>50</v>
      </c>
      <c r="AM2169" s="4">
        <v>60</v>
      </c>
      <c r="AN2169" s="4">
        <v>0</v>
      </c>
      <c r="AO2169" s="4">
        <v>0</v>
      </c>
      <c r="AP2169" s="4">
        <v>19</v>
      </c>
      <c r="AQ2169" s="4">
        <v>56</v>
      </c>
      <c r="AR2169" s="3" t="s">
        <v>64</v>
      </c>
      <c r="AS2169" s="3" t="s">
        <v>64</v>
      </c>
      <c r="AT2169" s="3" t="s">
        <v>64</v>
      </c>
      <c r="AV2169" s="6" t="str">
        <f>HYPERLINK("http://mcgill.on.worldcat.org/oclc/50022901","Catalog Record")</f>
        <v>Catalog Record</v>
      </c>
      <c r="AW2169" s="6" t="str">
        <f>HYPERLINK("http://www.worldcat.org/oclc/50022901","WorldCat Record")</f>
        <v>WorldCat Record</v>
      </c>
      <c r="AX2169" s="3" t="s">
        <v>22039</v>
      </c>
      <c r="AY2169" s="3" t="s">
        <v>22040</v>
      </c>
      <c r="AZ2169" s="3" t="s">
        <v>22041</v>
      </c>
      <c r="BA2169" s="3" t="s">
        <v>22041</v>
      </c>
      <c r="BB2169" s="3" t="s">
        <v>22042</v>
      </c>
      <c r="BC2169" s="3" t="s">
        <v>77</v>
      </c>
      <c r="BD2169" s="3" t="s">
        <v>78</v>
      </c>
      <c r="BE2169" s="3" t="s">
        <v>22043</v>
      </c>
      <c r="BF2169" s="3" t="s">
        <v>22042</v>
      </c>
      <c r="BG2169" s="3" t="s">
        <v>22044</v>
      </c>
      <c r="BH2169">
        <f t="shared" si="55"/>
        <v>0</v>
      </c>
    </row>
    <row r="2170" spans="1:60" ht="58" x14ac:dyDescent="0.35">
      <c r="A2170" s="2" t="s">
        <v>59</v>
      </c>
      <c r="B2170" s="2" t="s">
        <v>60</v>
      </c>
      <c r="C2170" s="2" t="s">
        <v>22045</v>
      </c>
      <c r="D2170" s="2" t="s">
        <v>22046</v>
      </c>
      <c r="E2170" s="2" t="s">
        <v>22035</v>
      </c>
      <c r="G2170" s="3" t="s">
        <v>64</v>
      </c>
      <c r="I2170" s="3" t="s">
        <v>64</v>
      </c>
      <c r="J2170" s="3" t="s">
        <v>128</v>
      </c>
      <c r="K2170" s="3" t="s">
        <v>65</v>
      </c>
      <c r="L2170" s="2" t="s">
        <v>22036</v>
      </c>
      <c r="M2170" s="2" t="s">
        <v>17565</v>
      </c>
      <c r="N2170" s="3" t="s">
        <v>86</v>
      </c>
      <c r="O2170" s="2" t="s">
        <v>15120</v>
      </c>
      <c r="P2170" s="3" t="s">
        <v>102</v>
      </c>
      <c r="Q2170" s="2" t="s">
        <v>17566</v>
      </c>
      <c r="R2170" s="3" t="s">
        <v>70</v>
      </c>
      <c r="S2170" s="4">
        <v>5</v>
      </c>
      <c r="T2170" s="4">
        <v>5</v>
      </c>
      <c r="U2170" s="5" t="s">
        <v>445</v>
      </c>
      <c r="V2170" s="5" t="s">
        <v>445</v>
      </c>
      <c r="W2170" s="5" t="s">
        <v>72</v>
      </c>
      <c r="X2170" s="5" t="s">
        <v>72</v>
      </c>
      <c r="Y2170" s="4">
        <v>494</v>
      </c>
      <c r="Z2170" s="4">
        <v>20</v>
      </c>
      <c r="AA2170" s="4">
        <v>172</v>
      </c>
      <c r="AB2170" s="4">
        <v>2</v>
      </c>
      <c r="AC2170" s="4">
        <v>20</v>
      </c>
      <c r="AD2170" s="4">
        <v>61</v>
      </c>
      <c r="AE2170" s="4">
        <v>168</v>
      </c>
      <c r="AF2170" s="4">
        <v>1</v>
      </c>
      <c r="AG2170" s="4">
        <v>8</v>
      </c>
      <c r="AH2170" s="4">
        <v>54</v>
      </c>
      <c r="AI2170" s="4">
        <v>119</v>
      </c>
      <c r="AJ2170" s="4">
        <v>6</v>
      </c>
      <c r="AK2170" s="4">
        <v>28</v>
      </c>
      <c r="AL2170" s="4">
        <v>28</v>
      </c>
      <c r="AM2170" s="4">
        <v>60</v>
      </c>
      <c r="AN2170" s="4">
        <v>0</v>
      </c>
      <c r="AO2170" s="4">
        <v>0</v>
      </c>
      <c r="AP2170" s="4">
        <v>9</v>
      </c>
      <c r="AQ2170" s="4">
        <v>56</v>
      </c>
      <c r="AR2170" s="3" t="s">
        <v>64</v>
      </c>
      <c r="AS2170" s="3" t="s">
        <v>64</v>
      </c>
      <c r="AT2170" s="3" t="s">
        <v>64</v>
      </c>
      <c r="AV2170" s="6" t="str">
        <f>HYPERLINK("http://mcgill.on.worldcat.org/oclc/761481973","Catalog Record")</f>
        <v>Catalog Record</v>
      </c>
      <c r="AW2170" s="6" t="str">
        <f>HYPERLINK("http://www.worldcat.org/oclc/761481973","WorldCat Record")</f>
        <v>WorldCat Record</v>
      </c>
      <c r="AX2170" s="3" t="s">
        <v>22039</v>
      </c>
      <c r="AY2170" s="3" t="s">
        <v>22047</v>
      </c>
      <c r="AZ2170" s="3" t="s">
        <v>22048</v>
      </c>
      <c r="BA2170" s="3" t="s">
        <v>22048</v>
      </c>
      <c r="BB2170" s="3" t="s">
        <v>22049</v>
      </c>
      <c r="BC2170" s="3" t="s">
        <v>77</v>
      </c>
      <c r="BD2170" s="3" t="s">
        <v>78</v>
      </c>
      <c r="BE2170" s="3" t="s">
        <v>22050</v>
      </c>
      <c r="BF2170" s="3" t="s">
        <v>22049</v>
      </c>
      <c r="BG2170" s="3" t="s">
        <v>22051</v>
      </c>
      <c r="BH2170">
        <f t="shared" si="55"/>
        <v>0</v>
      </c>
    </row>
    <row r="2171" spans="1:60" ht="58" x14ac:dyDescent="0.35">
      <c r="A2171" s="2" t="s">
        <v>59</v>
      </c>
      <c r="B2171" s="2" t="s">
        <v>60</v>
      </c>
      <c r="C2171" s="2" t="s">
        <v>22052</v>
      </c>
      <c r="D2171" s="2" t="s">
        <v>22053</v>
      </c>
      <c r="E2171" s="2" t="s">
        <v>22054</v>
      </c>
      <c r="G2171" s="3" t="s">
        <v>64</v>
      </c>
      <c r="I2171" s="3" t="s">
        <v>64</v>
      </c>
      <c r="J2171" s="3" t="s">
        <v>64</v>
      </c>
      <c r="K2171" s="3" t="s">
        <v>65</v>
      </c>
      <c r="L2171" s="2" t="s">
        <v>21918</v>
      </c>
      <c r="M2171" s="2" t="s">
        <v>21083</v>
      </c>
      <c r="N2171" s="3" t="s">
        <v>1275</v>
      </c>
      <c r="P2171" s="3" t="s">
        <v>102</v>
      </c>
      <c r="R2171" s="3" t="s">
        <v>70</v>
      </c>
      <c r="S2171" s="4">
        <v>7</v>
      </c>
      <c r="T2171" s="4">
        <v>7</v>
      </c>
      <c r="U2171" s="5" t="s">
        <v>17821</v>
      </c>
      <c r="V2171" s="5" t="s">
        <v>17821</v>
      </c>
      <c r="W2171" s="5" t="s">
        <v>72</v>
      </c>
      <c r="X2171" s="5" t="s">
        <v>72</v>
      </c>
      <c r="Y2171" s="4">
        <v>550</v>
      </c>
      <c r="Z2171" s="4">
        <v>34</v>
      </c>
      <c r="AA2171" s="4">
        <v>116</v>
      </c>
      <c r="AB2171" s="4">
        <v>3</v>
      </c>
      <c r="AC2171" s="4">
        <v>18</v>
      </c>
      <c r="AD2171" s="4">
        <v>103</v>
      </c>
      <c r="AE2171" s="4">
        <v>142</v>
      </c>
      <c r="AF2171" s="4">
        <v>1</v>
      </c>
      <c r="AG2171" s="4">
        <v>8</v>
      </c>
      <c r="AH2171" s="4">
        <v>88</v>
      </c>
      <c r="AI2171" s="4">
        <v>102</v>
      </c>
      <c r="AJ2171" s="4">
        <v>14</v>
      </c>
      <c r="AK2171" s="4">
        <v>22</v>
      </c>
      <c r="AL2171" s="4">
        <v>45</v>
      </c>
      <c r="AM2171" s="4">
        <v>51</v>
      </c>
      <c r="AN2171" s="4">
        <v>0</v>
      </c>
      <c r="AO2171" s="4">
        <v>0</v>
      </c>
      <c r="AP2171" s="4">
        <v>18</v>
      </c>
      <c r="AQ2171" s="4">
        <v>46</v>
      </c>
      <c r="AR2171" s="3" t="s">
        <v>64</v>
      </c>
      <c r="AS2171" s="3" t="s">
        <v>64</v>
      </c>
      <c r="AT2171" s="3" t="s">
        <v>64</v>
      </c>
      <c r="AV2171" s="6" t="str">
        <f>HYPERLINK("http://mcgill.on.worldcat.org/oclc/53932538","Catalog Record")</f>
        <v>Catalog Record</v>
      </c>
      <c r="AW2171" s="6" t="str">
        <f>HYPERLINK("http://www.worldcat.org/oclc/53932538","WorldCat Record")</f>
        <v>WorldCat Record</v>
      </c>
      <c r="AX2171" s="3" t="s">
        <v>22055</v>
      </c>
      <c r="AY2171" s="3" t="s">
        <v>22056</v>
      </c>
      <c r="AZ2171" s="3" t="s">
        <v>22057</v>
      </c>
      <c r="BA2171" s="3" t="s">
        <v>22057</v>
      </c>
      <c r="BB2171" s="3" t="s">
        <v>22058</v>
      </c>
      <c r="BC2171" s="3" t="s">
        <v>77</v>
      </c>
      <c r="BD2171" s="3" t="s">
        <v>78</v>
      </c>
      <c r="BE2171" s="3" t="s">
        <v>22059</v>
      </c>
      <c r="BF2171" s="3" t="s">
        <v>22058</v>
      </c>
      <c r="BG2171" s="3" t="s">
        <v>22060</v>
      </c>
      <c r="BH2171">
        <f t="shared" si="55"/>
        <v>0</v>
      </c>
    </row>
    <row r="2172" spans="1:60" ht="58" x14ac:dyDescent="0.35">
      <c r="A2172" s="2" t="s">
        <v>59</v>
      </c>
      <c r="B2172" s="2" t="s">
        <v>60</v>
      </c>
      <c r="C2172" s="2" t="s">
        <v>22061</v>
      </c>
      <c r="D2172" s="2" t="s">
        <v>22062</v>
      </c>
      <c r="E2172" s="2" t="s">
        <v>22063</v>
      </c>
      <c r="G2172" s="3" t="s">
        <v>64</v>
      </c>
      <c r="I2172" s="3" t="s">
        <v>64</v>
      </c>
      <c r="J2172" s="3" t="s">
        <v>64</v>
      </c>
      <c r="K2172" s="3" t="s">
        <v>65</v>
      </c>
      <c r="L2172" s="2" t="s">
        <v>22064</v>
      </c>
      <c r="M2172" s="2" t="s">
        <v>21414</v>
      </c>
      <c r="N2172" s="3" t="s">
        <v>551</v>
      </c>
      <c r="P2172" s="3" t="s">
        <v>102</v>
      </c>
      <c r="R2172" s="3" t="s">
        <v>70</v>
      </c>
      <c r="S2172" s="4">
        <v>17</v>
      </c>
      <c r="T2172" s="4">
        <v>17</v>
      </c>
      <c r="U2172" s="5" t="s">
        <v>445</v>
      </c>
      <c r="V2172" s="5" t="s">
        <v>445</v>
      </c>
      <c r="W2172" s="5" t="s">
        <v>72</v>
      </c>
      <c r="X2172" s="5" t="s">
        <v>72</v>
      </c>
      <c r="Y2172" s="4">
        <v>235</v>
      </c>
      <c r="Z2172" s="4">
        <v>22</v>
      </c>
      <c r="AA2172" s="4">
        <v>28</v>
      </c>
      <c r="AB2172" s="4">
        <v>4</v>
      </c>
      <c r="AC2172" s="4">
        <v>10</v>
      </c>
      <c r="AD2172" s="4">
        <v>52</v>
      </c>
      <c r="AE2172" s="4">
        <v>59</v>
      </c>
      <c r="AF2172" s="4">
        <v>1</v>
      </c>
      <c r="AG2172" s="4">
        <v>4</v>
      </c>
      <c r="AH2172" s="4">
        <v>46</v>
      </c>
      <c r="AI2172" s="4">
        <v>51</v>
      </c>
      <c r="AJ2172" s="4">
        <v>9</v>
      </c>
      <c r="AK2172" s="4">
        <v>12</v>
      </c>
      <c r="AL2172" s="4">
        <v>22</v>
      </c>
      <c r="AM2172" s="4">
        <v>25</v>
      </c>
      <c r="AN2172" s="4">
        <v>0</v>
      </c>
      <c r="AO2172" s="4">
        <v>0</v>
      </c>
      <c r="AP2172" s="4">
        <v>11</v>
      </c>
      <c r="AQ2172" s="4">
        <v>13</v>
      </c>
      <c r="AR2172" s="3" t="s">
        <v>64</v>
      </c>
      <c r="AS2172" s="3" t="s">
        <v>64</v>
      </c>
      <c r="AT2172" s="3" t="s">
        <v>64</v>
      </c>
      <c r="AV2172" s="6" t="str">
        <f>HYPERLINK("http://mcgill.on.worldcat.org/oclc/271103398","Catalog Record")</f>
        <v>Catalog Record</v>
      </c>
      <c r="AW2172" s="6" t="str">
        <f>HYPERLINK("http://www.worldcat.org/oclc/271103398","WorldCat Record")</f>
        <v>WorldCat Record</v>
      </c>
      <c r="AX2172" s="3" t="s">
        <v>22065</v>
      </c>
      <c r="AY2172" s="3" t="s">
        <v>22066</v>
      </c>
      <c r="AZ2172" s="3" t="s">
        <v>22067</v>
      </c>
      <c r="BA2172" s="3" t="s">
        <v>22067</v>
      </c>
      <c r="BB2172" s="3" t="s">
        <v>22068</v>
      </c>
      <c r="BC2172" s="3" t="s">
        <v>77</v>
      </c>
      <c r="BD2172" s="3" t="s">
        <v>78</v>
      </c>
      <c r="BE2172" s="3" t="s">
        <v>22069</v>
      </c>
      <c r="BF2172" s="3" t="s">
        <v>22068</v>
      </c>
      <c r="BG2172" s="3" t="s">
        <v>22070</v>
      </c>
      <c r="BH2172">
        <f t="shared" si="55"/>
        <v>0</v>
      </c>
    </row>
    <row r="2173" spans="1:60" ht="159.5" x14ac:dyDescent="0.35">
      <c r="A2173" s="2" t="s">
        <v>59</v>
      </c>
      <c r="B2173" s="2" t="s">
        <v>60</v>
      </c>
      <c r="C2173" s="2" t="s">
        <v>22071</v>
      </c>
      <c r="D2173" s="2" t="s">
        <v>22072</v>
      </c>
      <c r="E2173" s="2" t="s">
        <v>22073</v>
      </c>
      <c r="G2173" s="3" t="s">
        <v>64</v>
      </c>
      <c r="I2173" s="3" t="s">
        <v>64</v>
      </c>
      <c r="J2173" s="3" t="s">
        <v>64</v>
      </c>
      <c r="K2173" s="3" t="s">
        <v>65</v>
      </c>
      <c r="M2173" s="2" t="s">
        <v>22074</v>
      </c>
      <c r="N2173" s="3" t="s">
        <v>434</v>
      </c>
      <c r="P2173" s="3" t="s">
        <v>102</v>
      </c>
      <c r="Q2173" s="2" t="s">
        <v>22075</v>
      </c>
      <c r="R2173" s="3" t="s">
        <v>70</v>
      </c>
      <c r="S2173" s="4">
        <v>7</v>
      </c>
      <c r="T2173" s="4">
        <v>7</v>
      </c>
      <c r="U2173" s="5" t="s">
        <v>445</v>
      </c>
      <c r="V2173" s="5" t="s">
        <v>445</v>
      </c>
      <c r="W2173" s="5" t="s">
        <v>72</v>
      </c>
      <c r="X2173" s="5" t="s">
        <v>72</v>
      </c>
      <c r="Y2173" s="4">
        <v>198</v>
      </c>
      <c r="Z2173" s="4">
        <v>17</v>
      </c>
      <c r="AA2173" s="4">
        <v>84</v>
      </c>
      <c r="AB2173" s="4">
        <v>1</v>
      </c>
      <c r="AC2173" s="4">
        <v>14</v>
      </c>
      <c r="AD2173" s="4">
        <v>61</v>
      </c>
      <c r="AE2173" s="4">
        <v>122</v>
      </c>
      <c r="AF2173" s="4">
        <v>0</v>
      </c>
      <c r="AG2173" s="4">
        <v>8</v>
      </c>
      <c r="AH2173" s="4">
        <v>57</v>
      </c>
      <c r="AI2173" s="4">
        <v>87</v>
      </c>
      <c r="AJ2173" s="4">
        <v>10</v>
      </c>
      <c r="AK2173" s="4">
        <v>23</v>
      </c>
      <c r="AL2173" s="4">
        <v>31</v>
      </c>
      <c r="AM2173" s="4">
        <v>41</v>
      </c>
      <c r="AN2173" s="4">
        <v>0</v>
      </c>
      <c r="AO2173" s="4">
        <v>0</v>
      </c>
      <c r="AP2173" s="4">
        <v>8</v>
      </c>
      <c r="AQ2173" s="4">
        <v>41</v>
      </c>
      <c r="AR2173" s="3" t="s">
        <v>64</v>
      </c>
      <c r="AS2173" s="3" t="s">
        <v>64</v>
      </c>
      <c r="AT2173" s="3" t="s">
        <v>128</v>
      </c>
      <c r="AU2173" s="6" t="str">
        <f>HYPERLINK("http://catalog.hathitrust.org/Record/004941145","HathiTrust Record")</f>
        <v>HathiTrust Record</v>
      </c>
      <c r="AV2173" s="6" t="str">
        <f>HYPERLINK("http://mcgill.on.worldcat.org/oclc/57477051","Catalog Record")</f>
        <v>Catalog Record</v>
      </c>
      <c r="AW2173" s="6" t="str">
        <f>HYPERLINK("http://www.worldcat.org/oclc/57477051","WorldCat Record")</f>
        <v>WorldCat Record</v>
      </c>
      <c r="AX2173" s="3" t="s">
        <v>22076</v>
      </c>
      <c r="AY2173" s="3" t="s">
        <v>22077</v>
      </c>
      <c r="AZ2173" s="3" t="s">
        <v>22078</v>
      </c>
      <c r="BA2173" s="3" t="s">
        <v>22078</v>
      </c>
      <c r="BB2173" s="3" t="s">
        <v>22079</v>
      </c>
      <c r="BC2173" s="3" t="s">
        <v>77</v>
      </c>
      <c r="BD2173" s="3" t="s">
        <v>78</v>
      </c>
      <c r="BE2173" s="3" t="s">
        <v>22080</v>
      </c>
      <c r="BF2173" s="3" t="s">
        <v>22079</v>
      </c>
      <c r="BG2173" s="3" t="s">
        <v>22081</v>
      </c>
      <c r="BH2173">
        <f t="shared" si="55"/>
        <v>0</v>
      </c>
    </row>
    <row r="2174" spans="1:60" ht="58" x14ac:dyDescent="0.35">
      <c r="A2174" s="2" t="s">
        <v>59</v>
      </c>
      <c r="B2174" s="2" t="s">
        <v>60</v>
      </c>
      <c r="C2174" s="2" t="s">
        <v>22082</v>
      </c>
      <c r="D2174" s="2" t="s">
        <v>22083</v>
      </c>
      <c r="E2174" s="2" t="s">
        <v>22084</v>
      </c>
      <c r="G2174" s="3" t="s">
        <v>64</v>
      </c>
      <c r="I2174" s="3" t="s">
        <v>64</v>
      </c>
      <c r="J2174" s="3" t="s">
        <v>64</v>
      </c>
      <c r="K2174" s="3" t="s">
        <v>65</v>
      </c>
      <c r="M2174" s="2" t="s">
        <v>15674</v>
      </c>
      <c r="N2174" s="3" t="s">
        <v>253</v>
      </c>
      <c r="P2174" s="3" t="s">
        <v>102</v>
      </c>
      <c r="R2174" s="3" t="s">
        <v>70</v>
      </c>
      <c r="S2174" s="4">
        <v>0</v>
      </c>
      <c r="T2174" s="4">
        <v>0</v>
      </c>
      <c r="W2174" s="5" t="s">
        <v>72</v>
      </c>
      <c r="X2174" s="5" t="s">
        <v>72</v>
      </c>
      <c r="Y2174" s="4">
        <v>45</v>
      </c>
      <c r="Z2174" s="4">
        <v>3</v>
      </c>
      <c r="AA2174" s="4">
        <v>107</v>
      </c>
      <c r="AB2174" s="4">
        <v>1</v>
      </c>
      <c r="AC2174" s="4">
        <v>15</v>
      </c>
      <c r="AD2174" s="4">
        <v>3</v>
      </c>
      <c r="AE2174" s="4">
        <v>120</v>
      </c>
      <c r="AF2174" s="4">
        <v>0</v>
      </c>
      <c r="AG2174" s="4">
        <v>8</v>
      </c>
      <c r="AH2174" s="4">
        <v>2</v>
      </c>
      <c r="AI2174" s="4">
        <v>81</v>
      </c>
      <c r="AJ2174" s="4">
        <v>1</v>
      </c>
      <c r="AK2174" s="4">
        <v>20</v>
      </c>
      <c r="AL2174" s="4">
        <v>1</v>
      </c>
      <c r="AM2174" s="4">
        <v>39</v>
      </c>
      <c r="AN2174" s="4">
        <v>0</v>
      </c>
      <c r="AO2174" s="4">
        <v>0</v>
      </c>
      <c r="AP2174" s="4">
        <v>2</v>
      </c>
      <c r="AQ2174" s="4">
        <v>44</v>
      </c>
      <c r="AR2174" s="3" t="s">
        <v>64</v>
      </c>
      <c r="AS2174" s="3" t="s">
        <v>64</v>
      </c>
      <c r="AT2174" s="3" t="s">
        <v>64</v>
      </c>
      <c r="AV2174" s="6" t="str">
        <f>HYPERLINK("http://mcgill.on.worldcat.org/oclc/911980695","Catalog Record")</f>
        <v>Catalog Record</v>
      </c>
      <c r="AW2174" s="6" t="str">
        <f>HYPERLINK("http://www.worldcat.org/oclc/911980695","WorldCat Record")</f>
        <v>WorldCat Record</v>
      </c>
      <c r="AX2174" s="3" t="s">
        <v>22085</v>
      </c>
      <c r="AY2174" s="3" t="s">
        <v>22086</v>
      </c>
      <c r="AZ2174" s="3" t="s">
        <v>22087</v>
      </c>
      <c r="BA2174" s="3" t="s">
        <v>22087</v>
      </c>
      <c r="BB2174" s="3" t="s">
        <v>22088</v>
      </c>
      <c r="BC2174" s="3" t="s">
        <v>77</v>
      </c>
      <c r="BD2174" s="3" t="s">
        <v>78</v>
      </c>
      <c r="BE2174" s="3" t="s">
        <v>22089</v>
      </c>
      <c r="BF2174" s="3" t="s">
        <v>22088</v>
      </c>
      <c r="BG2174" s="3" t="s">
        <v>22090</v>
      </c>
      <c r="BH2174">
        <f t="shared" si="55"/>
        <v>0</v>
      </c>
    </row>
    <row r="2175" spans="1:60" ht="58" x14ac:dyDescent="0.35">
      <c r="A2175" s="2" t="s">
        <v>59</v>
      </c>
      <c r="B2175" s="2" t="s">
        <v>60</v>
      </c>
      <c r="C2175" s="2" t="s">
        <v>22091</v>
      </c>
      <c r="D2175" s="2" t="s">
        <v>22092</v>
      </c>
      <c r="E2175" s="2" t="s">
        <v>22093</v>
      </c>
      <c r="G2175" s="3" t="s">
        <v>64</v>
      </c>
      <c r="I2175" s="3" t="s">
        <v>64</v>
      </c>
      <c r="J2175" s="3" t="s">
        <v>64</v>
      </c>
      <c r="K2175" s="3" t="s">
        <v>65</v>
      </c>
      <c r="L2175" s="2" t="s">
        <v>22094</v>
      </c>
      <c r="M2175" s="2" t="s">
        <v>16855</v>
      </c>
      <c r="N2175" s="3" t="s">
        <v>67</v>
      </c>
      <c r="O2175" s="2" t="s">
        <v>117</v>
      </c>
      <c r="P2175" s="3" t="s">
        <v>102</v>
      </c>
      <c r="R2175" s="3" t="s">
        <v>70</v>
      </c>
      <c r="S2175" s="4">
        <v>1</v>
      </c>
      <c r="T2175" s="4">
        <v>1</v>
      </c>
      <c r="U2175" s="5" t="s">
        <v>1976</v>
      </c>
      <c r="V2175" s="5" t="s">
        <v>1976</v>
      </c>
      <c r="W2175" s="5" t="s">
        <v>72</v>
      </c>
      <c r="X2175" s="5" t="s">
        <v>72</v>
      </c>
      <c r="Y2175" s="4">
        <v>180</v>
      </c>
      <c r="Z2175" s="4">
        <v>11</v>
      </c>
      <c r="AA2175" s="4">
        <v>81</v>
      </c>
      <c r="AB2175" s="4">
        <v>1</v>
      </c>
      <c r="AC2175" s="4">
        <v>15</v>
      </c>
      <c r="AD2175" s="4">
        <v>48</v>
      </c>
      <c r="AE2175" s="4">
        <v>114</v>
      </c>
      <c r="AF2175" s="4">
        <v>0</v>
      </c>
      <c r="AG2175" s="4">
        <v>8</v>
      </c>
      <c r="AH2175" s="4">
        <v>45</v>
      </c>
      <c r="AI2175" s="4">
        <v>80</v>
      </c>
      <c r="AJ2175" s="4">
        <v>5</v>
      </c>
      <c r="AK2175" s="4">
        <v>21</v>
      </c>
      <c r="AL2175" s="4">
        <v>20</v>
      </c>
      <c r="AM2175" s="4">
        <v>40</v>
      </c>
      <c r="AN2175" s="4">
        <v>0</v>
      </c>
      <c r="AO2175" s="4">
        <v>0</v>
      </c>
      <c r="AP2175" s="4">
        <v>6</v>
      </c>
      <c r="AQ2175" s="4">
        <v>39</v>
      </c>
      <c r="AR2175" s="3" t="s">
        <v>64</v>
      </c>
      <c r="AS2175" s="3" t="s">
        <v>64</v>
      </c>
      <c r="AT2175" s="3" t="s">
        <v>64</v>
      </c>
      <c r="AV2175" s="6" t="str">
        <f>HYPERLINK("http://mcgill.on.worldcat.org/oclc/878812583","Catalog Record")</f>
        <v>Catalog Record</v>
      </c>
      <c r="AW2175" s="6" t="str">
        <f>HYPERLINK("http://www.worldcat.org/oclc/878812583","WorldCat Record")</f>
        <v>WorldCat Record</v>
      </c>
      <c r="AX2175" s="3" t="s">
        <v>22095</v>
      </c>
      <c r="AY2175" s="3" t="s">
        <v>22096</v>
      </c>
      <c r="AZ2175" s="3" t="s">
        <v>22097</v>
      </c>
      <c r="BA2175" s="3" t="s">
        <v>22097</v>
      </c>
      <c r="BB2175" s="3" t="s">
        <v>22098</v>
      </c>
      <c r="BC2175" s="3" t="s">
        <v>77</v>
      </c>
      <c r="BD2175" s="3" t="s">
        <v>78</v>
      </c>
      <c r="BE2175" s="3" t="s">
        <v>22099</v>
      </c>
      <c r="BF2175" s="3" t="s">
        <v>22098</v>
      </c>
      <c r="BG2175" s="3" t="s">
        <v>22100</v>
      </c>
      <c r="BH2175">
        <f t="shared" si="55"/>
        <v>0</v>
      </c>
    </row>
    <row r="2176" spans="1:60" ht="58" x14ac:dyDescent="0.35">
      <c r="A2176" s="2" t="s">
        <v>59</v>
      </c>
      <c r="B2176" s="2" t="s">
        <v>60</v>
      </c>
      <c r="C2176" s="2" t="s">
        <v>22101</v>
      </c>
      <c r="D2176" s="2" t="s">
        <v>22102</v>
      </c>
      <c r="E2176" s="2" t="s">
        <v>22103</v>
      </c>
      <c r="G2176" s="3" t="s">
        <v>64</v>
      </c>
      <c r="I2176" s="3" t="s">
        <v>64</v>
      </c>
      <c r="J2176" s="3" t="s">
        <v>64</v>
      </c>
      <c r="K2176" s="3" t="s">
        <v>65</v>
      </c>
      <c r="L2176" s="2" t="s">
        <v>22104</v>
      </c>
      <c r="M2176" s="2" t="s">
        <v>16093</v>
      </c>
      <c r="N2176" s="3" t="s">
        <v>511</v>
      </c>
      <c r="P2176" s="3" t="s">
        <v>102</v>
      </c>
      <c r="R2176" s="3" t="s">
        <v>70</v>
      </c>
      <c r="S2176" s="4">
        <v>3</v>
      </c>
      <c r="T2176" s="4">
        <v>3</v>
      </c>
      <c r="U2176" s="5" t="s">
        <v>21762</v>
      </c>
      <c r="V2176" s="5" t="s">
        <v>21762</v>
      </c>
      <c r="W2176" s="5" t="s">
        <v>72</v>
      </c>
      <c r="X2176" s="5" t="s">
        <v>72</v>
      </c>
      <c r="Y2176" s="4">
        <v>282</v>
      </c>
      <c r="Z2176" s="4">
        <v>18</v>
      </c>
      <c r="AA2176" s="4">
        <v>48</v>
      </c>
      <c r="AB2176" s="4">
        <v>3</v>
      </c>
      <c r="AC2176" s="4">
        <v>9</v>
      </c>
      <c r="AD2176" s="4">
        <v>54</v>
      </c>
      <c r="AE2176" s="4">
        <v>68</v>
      </c>
      <c r="AF2176" s="4">
        <v>1</v>
      </c>
      <c r="AG2176" s="4">
        <v>2</v>
      </c>
      <c r="AH2176" s="4">
        <v>51</v>
      </c>
      <c r="AI2176" s="4">
        <v>62</v>
      </c>
      <c r="AJ2176" s="4">
        <v>9</v>
      </c>
      <c r="AK2176" s="4">
        <v>10</v>
      </c>
      <c r="AL2176" s="4">
        <v>28</v>
      </c>
      <c r="AM2176" s="4">
        <v>33</v>
      </c>
      <c r="AN2176" s="4">
        <v>0</v>
      </c>
      <c r="AO2176" s="4">
        <v>0</v>
      </c>
      <c r="AP2176" s="4">
        <v>10</v>
      </c>
      <c r="AQ2176" s="4">
        <v>12</v>
      </c>
      <c r="AR2176" s="3" t="s">
        <v>64</v>
      </c>
      <c r="AS2176" s="3" t="s">
        <v>64</v>
      </c>
      <c r="AT2176" s="3" t="s">
        <v>64</v>
      </c>
      <c r="AV2176" s="6" t="str">
        <f>HYPERLINK("http://mcgill.on.worldcat.org/oclc/435420395","Catalog Record")</f>
        <v>Catalog Record</v>
      </c>
      <c r="AW2176" s="6" t="str">
        <f>HYPERLINK("http://www.worldcat.org/oclc/435420395","WorldCat Record")</f>
        <v>WorldCat Record</v>
      </c>
      <c r="AX2176" s="3" t="s">
        <v>22105</v>
      </c>
      <c r="AY2176" s="3" t="s">
        <v>22106</v>
      </c>
      <c r="AZ2176" s="3" t="s">
        <v>22107</v>
      </c>
      <c r="BA2176" s="3" t="s">
        <v>22107</v>
      </c>
      <c r="BB2176" s="3" t="s">
        <v>22108</v>
      </c>
      <c r="BC2176" s="3" t="s">
        <v>77</v>
      </c>
      <c r="BD2176" s="3" t="s">
        <v>78</v>
      </c>
      <c r="BE2176" s="3" t="s">
        <v>22109</v>
      </c>
      <c r="BF2176" s="3" t="s">
        <v>22108</v>
      </c>
      <c r="BG2176" s="3" t="s">
        <v>22110</v>
      </c>
      <c r="BH2176">
        <f t="shared" si="55"/>
        <v>0</v>
      </c>
    </row>
    <row r="2177" spans="1:60" ht="58" x14ac:dyDescent="0.35">
      <c r="A2177" s="2" t="s">
        <v>59</v>
      </c>
      <c r="B2177" s="2" t="s">
        <v>60</v>
      </c>
      <c r="C2177" s="2" t="s">
        <v>22111</v>
      </c>
      <c r="D2177" s="2" t="s">
        <v>22112</v>
      </c>
      <c r="E2177" s="2" t="s">
        <v>22113</v>
      </c>
      <c r="G2177" s="3" t="s">
        <v>64</v>
      </c>
      <c r="I2177" s="3" t="s">
        <v>64</v>
      </c>
      <c r="J2177" s="3" t="s">
        <v>64</v>
      </c>
      <c r="K2177" s="3" t="s">
        <v>65</v>
      </c>
      <c r="L2177" s="2" t="s">
        <v>22114</v>
      </c>
      <c r="M2177" s="2" t="s">
        <v>14235</v>
      </c>
      <c r="N2177" s="3" t="s">
        <v>511</v>
      </c>
      <c r="P2177" s="3" t="s">
        <v>102</v>
      </c>
      <c r="Q2177" s="2" t="s">
        <v>22115</v>
      </c>
      <c r="R2177" s="3" t="s">
        <v>70</v>
      </c>
      <c r="S2177" s="4">
        <v>1</v>
      </c>
      <c r="T2177" s="4">
        <v>1</v>
      </c>
      <c r="U2177" s="5" t="s">
        <v>22116</v>
      </c>
      <c r="V2177" s="5" t="s">
        <v>22116</v>
      </c>
      <c r="W2177" s="5" t="s">
        <v>72</v>
      </c>
      <c r="X2177" s="5" t="s">
        <v>72</v>
      </c>
      <c r="Y2177" s="4">
        <v>345</v>
      </c>
      <c r="Z2177" s="4">
        <v>13</v>
      </c>
      <c r="AA2177" s="4">
        <v>84</v>
      </c>
      <c r="AB2177" s="4">
        <v>2</v>
      </c>
      <c r="AC2177" s="4">
        <v>15</v>
      </c>
      <c r="AD2177" s="4">
        <v>46</v>
      </c>
      <c r="AE2177" s="4">
        <v>110</v>
      </c>
      <c r="AF2177" s="4">
        <v>0</v>
      </c>
      <c r="AG2177" s="4">
        <v>8</v>
      </c>
      <c r="AH2177" s="4">
        <v>44</v>
      </c>
      <c r="AI2177" s="4">
        <v>76</v>
      </c>
      <c r="AJ2177" s="4">
        <v>5</v>
      </c>
      <c r="AK2177" s="4">
        <v>19</v>
      </c>
      <c r="AL2177" s="4">
        <v>23</v>
      </c>
      <c r="AM2177" s="4">
        <v>40</v>
      </c>
      <c r="AN2177" s="4">
        <v>0</v>
      </c>
      <c r="AO2177" s="4">
        <v>0</v>
      </c>
      <c r="AP2177" s="4">
        <v>5</v>
      </c>
      <c r="AQ2177" s="4">
        <v>39</v>
      </c>
      <c r="AR2177" s="3" t="s">
        <v>64</v>
      </c>
      <c r="AS2177" s="3" t="s">
        <v>64</v>
      </c>
      <c r="AT2177" s="3" t="s">
        <v>64</v>
      </c>
      <c r="AV2177" s="6" t="str">
        <f>HYPERLINK("http://mcgill.on.worldcat.org/oclc/441167430","Catalog Record")</f>
        <v>Catalog Record</v>
      </c>
      <c r="AW2177" s="6" t="str">
        <f>HYPERLINK("http://www.worldcat.org/oclc/441167430","WorldCat Record")</f>
        <v>WorldCat Record</v>
      </c>
      <c r="AX2177" s="3" t="s">
        <v>22117</v>
      </c>
      <c r="AY2177" s="3" t="s">
        <v>22118</v>
      </c>
      <c r="AZ2177" s="3" t="s">
        <v>22119</v>
      </c>
      <c r="BA2177" s="3" t="s">
        <v>22119</v>
      </c>
      <c r="BB2177" s="3" t="s">
        <v>22120</v>
      </c>
      <c r="BC2177" s="3" t="s">
        <v>77</v>
      </c>
      <c r="BD2177" s="3" t="s">
        <v>78</v>
      </c>
      <c r="BE2177" s="3" t="s">
        <v>22121</v>
      </c>
      <c r="BF2177" s="3" t="s">
        <v>22120</v>
      </c>
      <c r="BG2177" s="3" t="s">
        <v>22122</v>
      </c>
      <c r="BH2177">
        <f t="shared" si="55"/>
        <v>0</v>
      </c>
    </row>
    <row r="2178" spans="1:60" ht="58" x14ac:dyDescent="0.35">
      <c r="A2178" s="2" t="s">
        <v>59</v>
      </c>
      <c r="B2178" s="2" t="s">
        <v>60</v>
      </c>
      <c r="C2178" s="2" t="s">
        <v>22123</v>
      </c>
      <c r="D2178" s="2" t="s">
        <v>22124</v>
      </c>
      <c r="E2178" s="2" t="s">
        <v>22125</v>
      </c>
      <c r="G2178" s="3" t="s">
        <v>64</v>
      </c>
      <c r="I2178" s="3" t="s">
        <v>64</v>
      </c>
      <c r="J2178" s="3" t="s">
        <v>64</v>
      </c>
      <c r="K2178" s="3" t="s">
        <v>65</v>
      </c>
      <c r="L2178" s="2" t="s">
        <v>22126</v>
      </c>
      <c r="M2178" s="2" t="s">
        <v>22127</v>
      </c>
      <c r="N2178" s="3" t="s">
        <v>86</v>
      </c>
      <c r="P2178" s="3" t="s">
        <v>102</v>
      </c>
      <c r="R2178" s="3" t="s">
        <v>70</v>
      </c>
      <c r="S2178" s="4">
        <v>7</v>
      </c>
      <c r="T2178" s="4">
        <v>7</v>
      </c>
      <c r="U2178" s="5" t="s">
        <v>6902</v>
      </c>
      <c r="V2178" s="5" t="s">
        <v>6902</v>
      </c>
      <c r="W2178" s="5" t="s">
        <v>72</v>
      </c>
      <c r="X2178" s="5" t="s">
        <v>72</v>
      </c>
      <c r="Y2178" s="4">
        <v>72</v>
      </c>
      <c r="Z2178" s="4">
        <v>7</v>
      </c>
      <c r="AA2178" s="4">
        <v>92</v>
      </c>
      <c r="AB2178" s="4">
        <v>1</v>
      </c>
      <c r="AC2178" s="4">
        <v>18</v>
      </c>
      <c r="AD2178" s="4">
        <v>27</v>
      </c>
      <c r="AE2178" s="4">
        <v>108</v>
      </c>
      <c r="AF2178" s="4">
        <v>0</v>
      </c>
      <c r="AG2178" s="4">
        <v>8</v>
      </c>
      <c r="AH2178" s="4">
        <v>27</v>
      </c>
      <c r="AI2178" s="4">
        <v>74</v>
      </c>
      <c r="AJ2178" s="4">
        <v>4</v>
      </c>
      <c r="AK2178" s="4">
        <v>18</v>
      </c>
      <c r="AL2178" s="4">
        <v>18</v>
      </c>
      <c r="AM2178" s="4">
        <v>40</v>
      </c>
      <c r="AN2178" s="4">
        <v>0</v>
      </c>
      <c r="AO2178" s="4">
        <v>0</v>
      </c>
      <c r="AP2178" s="4">
        <v>4</v>
      </c>
      <c r="AQ2178" s="4">
        <v>40</v>
      </c>
      <c r="AR2178" s="3" t="s">
        <v>64</v>
      </c>
      <c r="AS2178" s="3" t="s">
        <v>64</v>
      </c>
      <c r="AT2178" s="3" t="s">
        <v>64</v>
      </c>
      <c r="AV2178" s="6" t="str">
        <f>HYPERLINK("http://mcgill.on.worldcat.org/oclc/748674600","Catalog Record")</f>
        <v>Catalog Record</v>
      </c>
      <c r="AW2178" s="6" t="str">
        <f>HYPERLINK("http://www.worldcat.org/oclc/748674600","WorldCat Record")</f>
        <v>WorldCat Record</v>
      </c>
      <c r="AX2178" s="3" t="s">
        <v>22128</v>
      </c>
      <c r="AY2178" s="3" t="s">
        <v>22129</v>
      </c>
      <c r="AZ2178" s="3" t="s">
        <v>22130</v>
      </c>
      <c r="BA2178" s="3" t="s">
        <v>22130</v>
      </c>
      <c r="BB2178" s="3" t="s">
        <v>22131</v>
      </c>
      <c r="BC2178" s="3" t="s">
        <v>77</v>
      </c>
      <c r="BD2178" s="3" t="s">
        <v>78</v>
      </c>
      <c r="BE2178" s="3" t="s">
        <v>22132</v>
      </c>
      <c r="BF2178" s="3" t="s">
        <v>22131</v>
      </c>
      <c r="BG2178" s="3" t="s">
        <v>22133</v>
      </c>
      <c r="BH2178">
        <f t="shared" ref="BH2178:BH2241" si="56">IF(COUNTIF($BF$1:$BF$5431,BF2178)=1,0,1)</f>
        <v>0</v>
      </c>
    </row>
    <row r="2179" spans="1:60" ht="58" x14ac:dyDescent="0.35">
      <c r="A2179" s="2" t="s">
        <v>59</v>
      </c>
      <c r="B2179" s="2" t="s">
        <v>60</v>
      </c>
      <c r="C2179" s="2" t="s">
        <v>22134</v>
      </c>
      <c r="D2179" s="2" t="s">
        <v>22135</v>
      </c>
      <c r="E2179" s="2" t="s">
        <v>22136</v>
      </c>
      <c r="G2179" s="3" t="s">
        <v>64</v>
      </c>
      <c r="I2179" s="3" t="s">
        <v>64</v>
      </c>
      <c r="J2179" s="3" t="s">
        <v>64</v>
      </c>
      <c r="K2179" s="3" t="s">
        <v>65</v>
      </c>
      <c r="L2179" s="2" t="s">
        <v>22137</v>
      </c>
      <c r="M2179" s="2" t="s">
        <v>16922</v>
      </c>
      <c r="N2179" s="3" t="s">
        <v>86</v>
      </c>
      <c r="P2179" s="3" t="s">
        <v>102</v>
      </c>
      <c r="Q2179" s="2" t="s">
        <v>22138</v>
      </c>
      <c r="R2179" s="3" t="s">
        <v>70</v>
      </c>
      <c r="S2179" s="4">
        <v>1</v>
      </c>
      <c r="T2179" s="4">
        <v>1</v>
      </c>
      <c r="U2179" s="5" t="s">
        <v>15766</v>
      </c>
      <c r="V2179" s="5" t="s">
        <v>15766</v>
      </c>
      <c r="W2179" s="5" t="s">
        <v>72</v>
      </c>
      <c r="X2179" s="5" t="s">
        <v>72</v>
      </c>
      <c r="Y2179" s="4">
        <v>196</v>
      </c>
      <c r="Z2179" s="4">
        <v>21</v>
      </c>
      <c r="AA2179" s="4">
        <v>116</v>
      </c>
      <c r="AB2179" s="4">
        <v>2</v>
      </c>
      <c r="AC2179" s="4">
        <v>16</v>
      </c>
      <c r="AD2179" s="4">
        <v>37</v>
      </c>
      <c r="AE2179" s="4">
        <v>119</v>
      </c>
      <c r="AF2179" s="4">
        <v>1</v>
      </c>
      <c r="AG2179" s="4">
        <v>8</v>
      </c>
      <c r="AH2179" s="4">
        <v>29</v>
      </c>
      <c r="AI2179" s="4">
        <v>77</v>
      </c>
      <c r="AJ2179" s="4">
        <v>7</v>
      </c>
      <c r="AK2179" s="4">
        <v>23</v>
      </c>
      <c r="AL2179" s="4">
        <v>20</v>
      </c>
      <c r="AM2179" s="4">
        <v>40</v>
      </c>
      <c r="AN2179" s="4">
        <v>0</v>
      </c>
      <c r="AO2179" s="4">
        <v>0</v>
      </c>
      <c r="AP2179" s="4">
        <v>10</v>
      </c>
      <c r="AQ2179" s="4">
        <v>47</v>
      </c>
      <c r="AR2179" s="3" t="s">
        <v>64</v>
      </c>
      <c r="AS2179" s="3" t="s">
        <v>64</v>
      </c>
      <c r="AT2179" s="3" t="s">
        <v>64</v>
      </c>
      <c r="AV2179" s="6" t="str">
        <f>HYPERLINK("http://mcgill.on.worldcat.org/oclc/781432076","Catalog Record")</f>
        <v>Catalog Record</v>
      </c>
      <c r="AW2179" s="6" t="str">
        <f>HYPERLINK("http://www.worldcat.org/oclc/781432076","WorldCat Record")</f>
        <v>WorldCat Record</v>
      </c>
      <c r="AX2179" s="3" t="s">
        <v>22139</v>
      </c>
      <c r="AY2179" s="3" t="s">
        <v>22140</v>
      </c>
      <c r="AZ2179" s="3" t="s">
        <v>22141</v>
      </c>
      <c r="BA2179" s="3" t="s">
        <v>22141</v>
      </c>
      <c r="BB2179" s="3" t="s">
        <v>22142</v>
      </c>
      <c r="BC2179" s="3" t="s">
        <v>77</v>
      </c>
      <c r="BD2179" s="3" t="s">
        <v>78</v>
      </c>
      <c r="BE2179" s="3" t="s">
        <v>22143</v>
      </c>
      <c r="BF2179" s="3" t="s">
        <v>22142</v>
      </c>
      <c r="BG2179" s="3" t="s">
        <v>22144</v>
      </c>
      <c r="BH2179">
        <f t="shared" si="56"/>
        <v>0</v>
      </c>
    </row>
    <row r="2180" spans="1:60" ht="58" x14ac:dyDescent="0.35">
      <c r="A2180" s="2" t="s">
        <v>59</v>
      </c>
      <c r="B2180" s="2" t="s">
        <v>60</v>
      </c>
      <c r="C2180" s="2" t="s">
        <v>22145</v>
      </c>
      <c r="D2180" s="2" t="s">
        <v>22146</v>
      </c>
      <c r="E2180" s="2" t="s">
        <v>22147</v>
      </c>
      <c r="G2180" s="3" t="s">
        <v>64</v>
      </c>
      <c r="I2180" s="3" t="s">
        <v>64</v>
      </c>
      <c r="J2180" s="3" t="s">
        <v>64</v>
      </c>
      <c r="K2180" s="3" t="s">
        <v>65</v>
      </c>
      <c r="L2180" s="2" t="s">
        <v>22148</v>
      </c>
      <c r="M2180" s="2" t="s">
        <v>16336</v>
      </c>
      <c r="N2180" s="3" t="s">
        <v>511</v>
      </c>
      <c r="P2180" s="3" t="s">
        <v>102</v>
      </c>
      <c r="R2180" s="3" t="s">
        <v>70</v>
      </c>
      <c r="S2180" s="4">
        <v>3</v>
      </c>
      <c r="T2180" s="4">
        <v>3</v>
      </c>
      <c r="U2180" s="5" t="s">
        <v>20949</v>
      </c>
      <c r="V2180" s="5" t="s">
        <v>20949</v>
      </c>
      <c r="W2180" s="5" t="s">
        <v>72</v>
      </c>
      <c r="X2180" s="5" t="s">
        <v>72</v>
      </c>
      <c r="Y2180" s="4">
        <v>405</v>
      </c>
      <c r="Z2180" s="4">
        <v>22</v>
      </c>
      <c r="AA2180" s="4">
        <v>25</v>
      </c>
      <c r="AB2180" s="4">
        <v>3</v>
      </c>
      <c r="AC2180" s="4">
        <v>6</v>
      </c>
      <c r="AD2180" s="4">
        <v>74</v>
      </c>
      <c r="AE2180" s="4">
        <v>75</v>
      </c>
      <c r="AF2180" s="4">
        <v>1</v>
      </c>
      <c r="AG2180" s="4">
        <v>2</v>
      </c>
      <c r="AH2180" s="4">
        <v>66</v>
      </c>
      <c r="AI2180" s="4">
        <v>66</v>
      </c>
      <c r="AJ2180" s="4">
        <v>11</v>
      </c>
      <c r="AK2180" s="4">
        <v>12</v>
      </c>
      <c r="AL2180" s="4">
        <v>34</v>
      </c>
      <c r="AM2180" s="4">
        <v>34</v>
      </c>
      <c r="AN2180" s="4">
        <v>0</v>
      </c>
      <c r="AO2180" s="4">
        <v>0</v>
      </c>
      <c r="AP2180" s="4">
        <v>14</v>
      </c>
      <c r="AQ2180" s="4">
        <v>14</v>
      </c>
      <c r="AR2180" s="3" t="s">
        <v>64</v>
      </c>
      <c r="AS2180" s="3" t="s">
        <v>64</v>
      </c>
      <c r="AT2180" s="3" t="s">
        <v>128</v>
      </c>
      <c r="AU2180" s="6" t="str">
        <f>HYPERLINK("http://catalog.hathitrust.org/Record/007934289","HathiTrust Record")</f>
        <v>HathiTrust Record</v>
      </c>
      <c r="AV2180" s="6" t="str">
        <f>HYPERLINK("http://mcgill.on.worldcat.org/oclc/569480842","Catalog Record")</f>
        <v>Catalog Record</v>
      </c>
      <c r="AW2180" s="6" t="str">
        <f>HYPERLINK("http://www.worldcat.org/oclc/569480842","WorldCat Record")</f>
        <v>WorldCat Record</v>
      </c>
      <c r="AX2180" s="3" t="s">
        <v>22149</v>
      </c>
      <c r="AY2180" s="3" t="s">
        <v>22150</v>
      </c>
      <c r="AZ2180" s="3" t="s">
        <v>22151</v>
      </c>
      <c r="BA2180" s="3" t="s">
        <v>22151</v>
      </c>
      <c r="BB2180" s="3" t="s">
        <v>22152</v>
      </c>
      <c r="BC2180" s="3" t="s">
        <v>77</v>
      </c>
      <c r="BD2180" s="3" t="s">
        <v>78</v>
      </c>
      <c r="BE2180" s="3" t="s">
        <v>22153</v>
      </c>
      <c r="BF2180" s="3" t="s">
        <v>22152</v>
      </c>
      <c r="BG2180" s="3" t="s">
        <v>22154</v>
      </c>
      <c r="BH2180">
        <f t="shared" si="56"/>
        <v>0</v>
      </c>
    </row>
    <row r="2181" spans="1:60" ht="58" x14ac:dyDescent="0.35">
      <c r="A2181" s="2" t="s">
        <v>59</v>
      </c>
      <c r="B2181" s="2" t="s">
        <v>60</v>
      </c>
      <c r="C2181" s="2" t="s">
        <v>22155</v>
      </c>
      <c r="D2181" s="2" t="s">
        <v>22156</v>
      </c>
      <c r="E2181" s="2" t="s">
        <v>22157</v>
      </c>
      <c r="G2181" s="3" t="s">
        <v>64</v>
      </c>
      <c r="I2181" s="3" t="s">
        <v>64</v>
      </c>
      <c r="J2181" s="3" t="s">
        <v>64</v>
      </c>
      <c r="K2181" s="3" t="s">
        <v>65</v>
      </c>
      <c r="M2181" s="2" t="s">
        <v>14097</v>
      </c>
      <c r="N2181" s="3" t="s">
        <v>1075</v>
      </c>
      <c r="P2181" s="3" t="s">
        <v>102</v>
      </c>
      <c r="R2181" s="3" t="s">
        <v>70</v>
      </c>
      <c r="S2181" s="4">
        <v>1</v>
      </c>
      <c r="T2181" s="4">
        <v>1</v>
      </c>
      <c r="U2181" s="5" t="s">
        <v>22158</v>
      </c>
      <c r="V2181" s="5" t="s">
        <v>22158</v>
      </c>
      <c r="W2181" s="5" t="s">
        <v>72</v>
      </c>
      <c r="X2181" s="5" t="s">
        <v>72</v>
      </c>
      <c r="Y2181" s="4">
        <v>329</v>
      </c>
      <c r="Z2181" s="4">
        <v>24</v>
      </c>
      <c r="AA2181" s="4">
        <v>61</v>
      </c>
      <c r="AB2181" s="4">
        <v>2</v>
      </c>
      <c r="AC2181" s="4">
        <v>8</v>
      </c>
      <c r="AD2181" s="4">
        <v>48</v>
      </c>
      <c r="AE2181" s="4">
        <v>72</v>
      </c>
      <c r="AF2181" s="4">
        <v>1</v>
      </c>
      <c r="AG2181" s="4">
        <v>3</v>
      </c>
      <c r="AH2181" s="4">
        <v>40</v>
      </c>
      <c r="AI2181" s="4">
        <v>56</v>
      </c>
      <c r="AJ2181" s="4">
        <v>7</v>
      </c>
      <c r="AK2181" s="4">
        <v>12</v>
      </c>
      <c r="AL2181" s="4">
        <v>22</v>
      </c>
      <c r="AM2181" s="4">
        <v>30</v>
      </c>
      <c r="AN2181" s="4">
        <v>0</v>
      </c>
      <c r="AO2181" s="4">
        <v>0</v>
      </c>
      <c r="AP2181" s="4">
        <v>12</v>
      </c>
      <c r="AQ2181" s="4">
        <v>19</v>
      </c>
      <c r="AR2181" s="3" t="s">
        <v>64</v>
      </c>
      <c r="AS2181" s="3" t="s">
        <v>64</v>
      </c>
      <c r="AT2181" s="3" t="s">
        <v>64</v>
      </c>
      <c r="AV2181" s="6" t="str">
        <f>HYPERLINK("http://mcgill.on.worldcat.org/oclc/798617196","Catalog Record")</f>
        <v>Catalog Record</v>
      </c>
      <c r="AW2181" s="6" t="str">
        <f>HYPERLINK("http://www.worldcat.org/oclc/798617196","WorldCat Record")</f>
        <v>WorldCat Record</v>
      </c>
      <c r="AX2181" s="3" t="s">
        <v>22159</v>
      </c>
      <c r="AY2181" s="3" t="s">
        <v>22160</v>
      </c>
      <c r="AZ2181" s="3" t="s">
        <v>22161</v>
      </c>
      <c r="BA2181" s="3" t="s">
        <v>22161</v>
      </c>
      <c r="BB2181" s="3" t="s">
        <v>22162</v>
      </c>
      <c r="BC2181" s="3" t="s">
        <v>77</v>
      </c>
      <c r="BD2181" s="3" t="s">
        <v>78</v>
      </c>
      <c r="BE2181" s="3" t="s">
        <v>22163</v>
      </c>
      <c r="BF2181" s="3" t="s">
        <v>22162</v>
      </c>
      <c r="BG2181" s="3" t="s">
        <v>22164</v>
      </c>
      <c r="BH2181">
        <f t="shared" si="56"/>
        <v>0</v>
      </c>
    </row>
    <row r="2182" spans="1:60" ht="58" x14ac:dyDescent="0.35">
      <c r="A2182" s="2" t="s">
        <v>59</v>
      </c>
      <c r="B2182" s="2" t="s">
        <v>60</v>
      </c>
      <c r="C2182" s="2" t="s">
        <v>22165</v>
      </c>
      <c r="D2182" s="2" t="s">
        <v>22166</v>
      </c>
      <c r="E2182" s="2" t="s">
        <v>22167</v>
      </c>
      <c r="G2182" s="3" t="s">
        <v>64</v>
      </c>
      <c r="I2182" s="3" t="s">
        <v>64</v>
      </c>
      <c r="J2182" s="3" t="s">
        <v>64</v>
      </c>
      <c r="K2182" s="3" t="s">
        <v>65</v>
      </c>
      <c r="L2182" s="2" t="s">
        <v>22168</v>
      </c>
      <c r="M2182" s="2" t="s">
        <v>17565</v>
      </c>
      <c r="N2182" s="3" t="s">
        <v>86</v>
      </c>
      <c r="P2182" s="3" t="s">
        <v>102</v>
      </c>
      <c r="Q2182" s="2" t="s">
        <v>22169</v>
      </c>
      <c r="R2182" s="3" t="s">
        <v>70</v>
      </c>
      <c r="S2182" s="4">
        <v>2</v>
      </c>
      <c r="T2182" s="4">
        <v>2</v>
      </c>
      <c r="U2182" s="5" t="s">
        <v>15766</v>
      </c>
      <c r="V2182" s="5" t="s">
        <v>15766</v>
      </c>
      <c r="W2182" s="5" t="s">
        <v>72</v>
      </c>
      <c r="X2182" s="5" t="s">
        <v>72</v>
      </c>
      <c r="Y2182" s="4">
        <v>384</v>
      </c>
      <c r="Z2182" s="4">
        <v>20</v>
      </c>
      <c r="AA2182" s="4">
        <v>112</v>
      </c>
      <c r="AB2182" s="4">
        <v>3</v>
      </c>
      <c r="AC2182" s="4">
        <v>15</v>
      </c>
      <c r="AD2182" s="4">
        <v>58</v>
      </c>
      <c r="AE2182" s="4">
        <v>119</v>
      </c>
      <c r="AF2182" s="4">
        <v>1</v>
      </c>
      <c r="AG2182" s="4">
        <v>8</v>
      </c>
      <c r="AH2182" s="4">
        <v>53</v>
      </c>
      <c r="AI2182" s="4">
        <v>82</v>
      </c>
      <c r="AJ2182" s="4">
        <v>6</v>
      </c>
      <c r="AK2182" s="4">
        <v>21</v>
      </c>
      <c r="AL2182" s="4">
        <v>23</v>
      </c>
      <c r="AM2182" s="4">
        <v>40</v>
      </c>
      <c r="AN2182" s="4">
        <v>0</v>
      </c>
      <c r="AO2182" s="4">
        <v>0</v>
      </c>
      <c r="AP2182" s="4">
        <v>8</v>
      </c>
      <c r="AQ2182" s="4">
        <v>43</v>
      </c>
      <c r="AR2182" s="3" t="s">
        <v>64</v>
      </c>
      <c r="AS2182" s="3" t="s">
        <v>64</v>
      </c>
      <c r="AT2182" s="3" t="s">
        <v>64</v>
      </c>
      <c r="AV2182" s="6" t="str">
        <f>HYPERLINK("http://mcgill.on.worldcat.org/oclc/740281688","Catalog Record")</f>
        <v>Catalog Record</v>
      </c>
      <c r="AW2182" s="6" t="str">
        <f>HYPERLINK("http://www.worldcat.org/oclc/740281688","WorldCat Record")</f>
        <v>WorldCat Record</v>
      </c>
      <c r="AX2182" s="3" t="s">
        <v>22170</v>
      </c>
      <c r="AY2182" s="3" t="s">
        <v>22171</v>
      </c>
      <c r="AZ2182" s="3" t="s">
        <v>22172</v>
      </c>
      <c r="BA2182" s="3" t="s">
        <v>22172</v>
      </c>
      <c r="BB2182" s="3" t="s">
        <v>22173</v>
      </c>
      <c r="BC2182" s="3" t="s">
        <v>77</v>
      </c>
      <c r="BD2182" s="3" t="s">
        <v>78</v>
      </c>
      <c r="BE2182" s="3" t="s">
        <v>22174</v>
      </c>
      <c r="BF2182" s="3" t="s">
        <v>22173</v>
      </c>
      <c r="BG2182" s="3" t="s">
        <v>22175</v>
      </c>
      <c r="BH2182">
        <f t="shared" si="56"/>
        <v>0</v>
      </c>
    </row>
    <row r="2183" spans="1:60" ht="58" x14ac:dyDescent="0.35">
      <c r="A2183" s="2" t="s">
        <v>59</v>
      </c>
      <c r="B2183" s="2" t="s">
        <v>60</v>
      </c>
      <c r="C2183" s="2" t="s">
        <v>22176</v>
      </c>
      <c r="D2183" s="2" t="s">
        <v>22177</v>
      </c>
      <c r="E2183" s="2" t="s">
        <v>22178</v>
      </c>
      <c r="G2183" s="3" t="s">
        <v>64</v>
      </c>
      <c r="I2183" s="3" t="s">
        <v>64</v>
      </c>
      <c r="J2183" s="3" t="s">
        <v>64</v>
      </c>
      <c r="K2183" s="3" t="s">
        <v>65</v>
      </c>
      <c r="M2183" s="2" t="s">
        <v>22179</v>
      </c>
      <c r="N2183" s="3" t="s">
        <v>578</v>
      </c>
      <c r="P2183" s="3" t="s">
        <v>102</v>
      </c>
      <c r="R2183" s="3" t="s">
        <v>70</v>
      </c>
      <c r="S2183" s="4">
        <v>5</v>
      </c>
      <c r="T2183" s="4">
        <v>5</v>
      </c>
      <c r="U2183" s="5" t="s">
        <v>2411</v>
      </c>
      <c r="V2183" s="5" t="s">
        <v>2411</v>
      </c>
      <c r="W2183" s="5" t="s">
        <v>72</v>
      </c>
      <c r="X2183" s="5" t="s">
        <v>72</v>
      </c>
      <c r="Y2183" s="4">
        <v>205</v>
      </c>
      <c r="Z2183" s="4">
        <v>9</v>
      </c>
      <c r="AA2183" s="4">
        <v>29</v>
      </c>
      <c r="AB2183" s="4">
        <v>1</v>
      </c>
      <c r="AC2183" s="4">
        <v>5</v>
      </c>
      <c r="AD2183" s="4">
        <v>48</v>
      </c>
      <c r="AE2183" s="4">
        <v>83</v>
      </c>
      <c r="AF2183" s="4">
        <v>0</v>
      </c>
      <c r="AG2183" s="4">
        <v>2</v>
      </c>
      <c r="AH2183" s="4">
        <v>42</v>
      </c>
      <c r="AI2183" s="4">
        <v>65</v>
      </c>
      <c r="AJ2183" s="4">
        <v>2</v>
      </c>
      <c r="AK2183" s="4">
        <v>10</v>
      </c>
      <c r="AL2183" s="4">
        <v>21</v>
      </c>
      <c r="AM2183" s="4">
        <v>36</v>
      </c>
      <c r="AN2183" s="4">
        <v>0</v>
      </c>
      <c r="AO2183" s="4">
        <v>0</v>
      </c>
      <c r="AP2183" s="4">
        <v>7</v>
      </c>
      <c r="AQ2183" s="4">
        <v>20</v>
      </c>
      <c r="AR2183" s="3" t="s">
        <v>64</v>
      </c>
      <c r="AS2183" s="3" t="s">
        <v>64</v>
      </c>
      <c r="AT2183" s="3" t="s">
        <v>64</v>
      </c>
      <c r="AV2183" s="6" t="str">
        <f>HYPERLINK("http://mcgill.on.worldcat.org/oclc/988018628","Catalog Record")</f>
        <v>Catalog Record</v>
      </c>
      <c r="AW2183" s="6" t="str">
        <f>HYPERLINK("http://www.worldcat.org/oclc/988018628","WorldCat Record")</f>
        <v>WorldCat Record</v>
      </c>
      <c r="AX2183" s="3" t="s">
        <v>22180</v>
      </c>
      <c r="AY2183" s="3" t="s">
        <v>22181</v>
      </c>
      <c r="AZ2183" s="3" t="s">
        <v>22182</v>
      </c>
      <c r="BA2183" s="3" t="s">
        <v>22182</v>
      </c>
      <c r="BB2183" s="3" t="s">
        <v>22183</v>
      </c>
      <c r="BC2183" s="3" t="s">
        <v>77</v>
      </c>
      <c r="BD2183" s="3" t="s">
        <v>165</v>
      </c>
      <c r="BE2183" s="3" t="s">
        <v>22184</v>
      </c>
      <c r="BF2183" s="3" t="s">
        <v>22183</v>
      </c>
      <c r="BG2183" s="3" t="s">
        <v>22185</v>
      </c>
      <c r="BH2183">
        <f t="shared" si="56"/>
        <v>0</v>
      </c>
    </row>
    <row r="2184" spans="1:60" ht="58" x14ac:dyDescent="0.35">
      <c r="A2184" s="2" t="s">
        <v>59</v>
      </c>
      <c r="B2184" s="2" t="s">
        <v>60</v>
      </c>
      <c r="C2184" s="2" t="s">
        <v>22186</v>
      </c>
      <c r="D2184" s="2" t="s">
        <v>22187</v>
      </c>
      <c r="E2184" s="2" t="s">
        <v>22188</v>
      </c>
      <c r="G2184" s="3" t="s">
        <v>64</v>
      </c>
      <c r="I2184" s="3" t="s">
        <v>64</v>
      </c>
      <c r="J2184" s="3" t="s">
        <v>64</v>
      </c>
      <c r="K2184" s="3" t="s">
        <v>65</v>
      </c>
      <c r="L2184" s="2" t="s">
        <v>22189</v>
      </c>
      <c r="M2184" s="2" t="s">
        <v>22190</v>
      </c>
      <c r="N2184" s="3" t="s">
        <v>253</v>
      </c>
      <c r="P2184" s="3" t="s">
        <v>102</v>
      </c>
      <c r="Q2184" s="2" t="s">
        <v>18967</v>
      </c>
      <c r="R2184" s="3" t="s">
        <v>70</v>
      </c>
      <c r="S2184" s="4">
        <v>1</v>
      </c>
      <c r="T2184" s="4">
        <v>1</v>
      </c>
      <c r="U2184" s="5" t="s">
        <v>22191</v>
      </c>
      <c r="V2184" s="5" t="s">
        <v>22191</v>
      </c>
      <c r="W2184" s="5" t="s">
        <v>72</v>
      </c>
      <c r="X2184" s="5" t="s">
        <v>72</v>
      </c>
      <c r="Y2184" s="4">
        <v>198</v>
      </c>
      <c r="Z2184" s="4">
        <v>11</v>
      </c>
      <c r="AA2184" s="4">
        <v>13</v>
      </c>
      <c r="AB2184" s="4">
        <v>2</v>
      </c>
      <c r="AC2184" s="4">
        <v>4</v>
      </c>
      <c r="AD2184" s="4">
        <v>49</v>
      </c>
      <c r="AE2184" s="4">
        <v>50</v>
      </c>
      <c r="AF2184" s="4">
        <v>1</v>
      </c>
      <c r="AG2184" s="4">
        <v>2</v>
      </c>
      <c r="AH2184" s="4">
        <v>46</v>
      </c>
      <c r="AI2184" s="4">
        <v>46</v>
      </c>
      <c r="AJ2184" s="4">
        <v>8</v>
      </c>
      <c r="AK2184" s="4">
        <v>9</v>
      </c>
      <c r="AL2184" s="4">
        <v>20</v>
      </c>
      <c r="AM2184" s="4">
        <v>20</v>
      </c>
      <c r="AN2184" s="4">
        <v>0</v>
      </c>
      <c r="AO2184" s="4">
        <v>0</v>
      </c>
      <c r="AP2184" s="4">
        <v>8</v>
      </c>
      <c r="AQ2184" s="4">
        <v>8</v>
      </c>
      <c r="AR2184" s="3" t="s">
        <v>64</v>
      </c>
      <c r="AS2184" s="3" t="s">
        <v>64</v>
      </c>
      <c r="AT2184" s="3" t="s">
        <v>64</v>
      </c>
      <c r="AV2184" s="6" t="str">
        <f>HYPERLINK("http://mcgill.on.worldcat.org/oclc/899738173","Catalog Record")</f>
        <v>Catalog Record</v>
      </c>
      <c r="AW2184" s="6" t="str">
        <f>HYPERLINK("http://www.worldcat.org/oclc/899738173","WorldCat Record")</f>
        <v>WorldCat Record</v>
      </c>
      <c r="AX2184" s="3" t="s">
        <v>22192</v>
      </c>
      <c r="AY2184" s="3" t="s">
        <v>22193</v>
      </c>
      <c r="AZ2184" s="3" t="s">
        <v>22194</v>
      </c>
      <c r="BA2184" s="3" t="s">
        <v>22194</v>
      </c>
      <c r="BB2184" s="3" t="s">
        <v>22195</v>
      </c>
      <c r="BC2184" s="3" t="s">
        <v>77</v>
      </c>
      <c r="BD2184" s="3" t="s">
        <v>78</v>
      </c>
      <c r="BE2184" s="3" t="s">
        <v>22196</v>
      </c>
      <c r="BF2184" s="3" t="s">
        <v>22195</v>
      </c>
      <c r="BG2184" s="3" t="s">
        <v>22197</v>
      </c>
      <c r="BH2184">
        <f t="shared" si="56"/>
        <v>0</v>
      </c>
    </row>
    <row r="2185" spans="1:60" ht="58" x14ac:dyDescent="0.35">
      <c r="A2185" s="2" t="s">
        <v>59</v>
      </c>
      <c r="B2185" s="2" t="s">
        <v>60</v>
      </c>
      <c r="C2185" s="2" t="s">
        <v>22198</v>
      </c>
      <c r="D2185" s="2" t="s">
        <v>22199</v>
      </c>
      <c r="E2185" s="2" t="s">
        <v>22200</v>
      </c>
      <c r="G2185" s="3" t="s">
        <v>64</v>
      </c>
      <c r="I2185" s="3" t="s">
        <v>64</v>
      </c>
      <c r="J2185" s="3" t="s">
        <v>64</v>
      </c>
      <c r="K2185" s="3" t="s">
        <v>65</v>
      </c>
      <c r="L2185" s="2" t="s">
        <v>22201</v>
      </c>
      <c r="M2185" s="2" t="s">
        <v>22202</v>
      </c>
      <c r="N2185" s="3" t="s">
        <v>86</v>
      </c>
      <c r="P2185" s="3" t="s">
        <v>102</v>
      </c>
      <c r="R2185" s="3" t="s">
        <v>70</v>
      </c>
      <c r="S2185" s="4">
        <v>2</v>
      </c>
      <c r="T2185" s="4">
        <v>2</v>
      </c>
      <c r="U2185" s="5" t="s">
        <v>22191</v>
      </c>
      <c r="V2185" s="5" t="s">
        <v>22191</v>
      </c>
      <c r="W2185" s="5" t="s">
        <v>72</v>
      </c>
      <c r="X2185" s="5" t="s">
        <v>72</v>
      </c>
      <c r="Y2185" s="4">
        <v>256</v>
      </c>
      <c r="Z2185" s="4">
        <v>14</v>
      </c>
      <c r="AA2185" s="4">
        <v>85</v>
      </c>
      <c r="AB2185" s="4">
        <v>2</v>
      </c>
      <c r="AC2185" s="4">
        <v>15</v>
      </c>
      <c r="AD2185" s="4">
        <v>44</v>
      </c>
      <c r="AE2185" s="4">
        <v>101</v>
      </c>
      <c r="AF2185" s="4">
        <v>1</v>
      </c>
      <c r="AG2185" s="4">
        <v>8</v>
      </c>
      <c r="AH2185" s="4">
        <v>38</v>
      </c>
      <c r="AI2185" s="4">
        <v>68</v>
      </c>
      <c r="AJ2185" s="4">
        <v>5</v>
      </c>
      <c r="AK2185" s="4">
        <v>18</v>
      </c>
      <c r="AL2185" s="4">
        <v>24</v>
      </c>
      <c r="AM2185" s="4">
        <v>35</v>
      </c>
      <c r="AN2185" s="4">
        <v>0</v>
      </c>
      <c r="AO2185" s="4">
        <v>0</v>
      </c>
      <c r="AP2185" s="4">
        <v>8</v>
      </c>
      <c r="AQ2185" s="4">
        <v>40</v>
      </c>
      <c r="AR2185" s="3" t="s">
        <v>64</v>
      </c>
      <c r="AS2185" s="3" t="s">
        <v>64</v>
      </c>
      <c r="AT2185" s="3" t="s">
        <v>64</v>
      </c>
      <c r="AV2185" s="6" t="str">
        <f>HYPERLINK("http://mcgill.on.worldcat.org/oclc/810119077","Catalog Record")</f>
        <v>Catalog Record</v>
      </c>
      <c r="AW2185" s="6" t="str">
        <f>HYPERLINK("http://www.worldcat.org/oclc/810119077","WorldCat Record")</f>
        <v>WorldCat Record</v>
      </c>
      <c r="AX2185" s="3" t="s">
        <v>22203</v>
      </c>
      <c r="AY2185" s="3" t="s">
        <v>22204</v>
      </c>
      <c r="AZ2185" s="3" t="s">
        <v>22205</v>
      </c>
      <c r="BA2185" s="3" t="s">
        <v>22205</v>
      </c>
      <c r="BB2185" s="3" t="s">
        <v>22206</v>
      </c>
      <c r="BC2185" s="3" t="s">
        <v>77</v>
      </c>
      <c r="BD2185" s="3" t="s">
        <v>78</v>
      </c>
      <c r="BE2185" s="3" t="s">
        <v>22207</v>
      </c>
      <c r="BF2185" s="3" t="s">
        <v>22206</v>
      </c>
      <c r="BG2185" s="3" t="s">
        <v>22208</v>
      </c>
      <c r="BH2185">
        <f t="shared" si="56"/>
        <v>0</v>
      </c>
    </row>
    <row r="2186" spans="1:60" ht="58" x14ac:dyDescent="0.35">
      <c r="A2186" s="2" t="s">
        <v>59</v>
      </c>
      <c r="B2186" s="2" t="s">
        <v>60</v>
      </c>
      <c r="C2186" s="2" t="s">
        <v>22209</v>
      </c>
      <c r="D2186" s="2" t="s">
        <v>22210</v>
      </c>
      <c r="E2186" s="2" t="s">
        <v>22211</v>
      </c>
      <c r="G2186" s="3" t="s">
        <v>64</v>
      </c>
      <c r="I2186" s="3" t="s">
        <v>64</v>
      </c>
      <c r="J2186" s="3" t="s">
        <v>64</v>
      </c>
      <c r="K2186" s="3" t="s">
        <v>65</v>
      </c>
      <c r="L2186" s="2" t="s">
        <v>22212</v>
      </c>
      <c r="M2186" s="2" t="s">
        <v>22213</v>
      </c>
      <c r="N2186" s="3" t="s">
        <v>86</v>
      </c>
      <c r="P2186" s="3" t="s">
        <v>102</v>
      </c>
      <c r="Q2186" s="2" t="s">
        <v>22214</v>
      </c>
      <c r="R2186" s="3" t="s">
        <v>70</v>
      </c>
      <c r="S2186" s="4">
        <v>0</v>
      </c>
      <c r="T2186" s="4">
        <v>0</v>
      </c>
      <c r="W2186" s="5" t="s">
        <v>72</v>
      </c>
      <c r="X2186" s="5" t="s">
        <v>72</v>
      </c>
      <c r="Y2186" s="4">
        <v>57</v>
      </c>
      <c r="Z2186" s="4">
        <v>8</v>
      </c>
      <c r="AA2186" s="4">
        <v>76</v>
      </c>
      <c r="AB2186" s="4">
        <v>2</v>
      </c>
      <c r="AC2186" s="4">
        <v>15</v>
      </c>
      <c r="AD2186" s="4">
        <v>6</v>
      </c>
      <c r="AE2186" s="4">
        <v>79</v>
      </c>
      <c r="AF2186" s="4">
        <v>0</v>
      </c>
      <c r="AG2186" s="4">
        <v>8</v>
      </c>
      <c r="AH2186" s="4">
        <v>4</v>
      </c>
      <c r="AI2186" s="4">
        <v>46</v>
      </c>
      <c r="AJ2186" s="4">
        <v>1</v>
      </c>
      <c r="AK2186" s="4">
        <v>16</v>
      </c>
      <c r="AL2186" s="4">
        <v>3</v>
      </c>
      <c r="AM2186" s="4">
        <v>22</v>
      </c>
      <c r="AN2186" s="4">
        <v>0</v>
      </c>
      <c r="AO2186" s="4">
        <v>0</v>
      </c>
      <c r="AP2186" s="4">
        <v>3</v>
      </c>
      <c r="AQ2186" s="4">
        <v>37</v>
      </c>
      <c r="AR2186" s="3" t="s">
        <v>64</v>
      </c>
      <c r="AS2186" s="3" t="s">
        <v>64</v>
      </c>
      <c r="AT2186" s="3" t="s">
        <v>64</v>
      </c>
      <c r="AV2186" s="6" t="str">
        <f>HYPERLINK("http://mcgill.on.worldcat.org/oclc/773759772","Catalog Record")</f>
        <v>Catalog Record</v>
      </c>
      <c r="AW2186" s="6" t="str">
        <f>HYPERLINK("http://www.worldcat.org/oclc/773759772","WorldCat Record")</f>
        <v>WorldCat Record</v>
      </c>
      <c r="AX2186" s="3" t="s">
        <v>22215</v>
      </c>
      <c r="AY2186" s="3" t="s">
        <v>22216</v>
      </c>
      <c r="AZ2186" s="3" t="s">
        <v>22217</v>
      </c>
      <c r="BA2186" s="3" t="s">
        <v>22217</v>
      </c>
      <c r="BB2186" s="3" t="s">
        <v>22218</v>
      </c>
      <c r="BC2186" s="3" t="s">
        <v>77</v>
      </c>
      <c r="BD2186" s="3" t="s">
        <v>78</v>
      </c>
      <c r="BE2186" s="3" t="s">
        <v>22219</v>
      </c>
      <c r="BF2186" s="3" t="s">
        <v>22218</v>
      </c>
      <c r="BG2186" s="3" t="s">
        <v>22220</v>
      </c>
      <c r="BH2186">
        <f t="shared" si="56"/>
        <v>0</v>
      </c>
    </row>
    <row r="2187" spans="1:60" ht="58" x14ac:dyDescent="0.35">
      <c r="A2187" s="2" t="s">
        <v>59</v>
      </c>
      <c r="B2187" s="2" t="s">
        <v>60</v>
      </c>
      <c r="C2187" s="2" t="s">
        <v>22221</v>
      </c>
      <c r="D2187" s="2" t="s">
        <v>22222</v>
      </c>
      <c r="E2187" s="2" t="s">
        <v>22223</v>
      </c>
      <c r="G2187" s="3" t="s">
        <v>64</v>
      </c>
      <c r="I2187" s="3" t="s">
        <v>128</v>
      </c>
      <c r="J2187" s="3" t="s">
        <v>64</v>
      </c>
      <c r="K2187" s="3" t="s">
        <v>65</v>
      </c>
      <c r="L2187" s="2" t="s">
        <v>22224</v>
      </c>
      <c r="M2187" s="2" t="s">
        <v>22225</v>
      </c>
      <c r="N2187" s="3" t="s">
        <v>1275</v>
      </c>
      <c r="P2187" s="3" t="s">
        <v>102</v>
      </c>
      <c r="Q2187" s="2" t="s">
        <v>8981</v>
      </c>
      <c r="R2187" s="3" t="s">
        <v>70</v>
      </c>
      <c r="S2187" s="4">
        <v>9</v>
      </c>
      <c r="T2187" s="4">
        <v>18</v>
      </c>
      <c r="U2187" s="5" t="s">
        <v>18836</v>
      </c>
      <c r="V2187" s="5" t="s">
        <v>18836</v>
      </c>
      <c r="W2187" s="5" t="s">
        <v>72</v>
      </c>
      <c r="X2187" s="5" t="s">
        <v>72</v>
      </c>
      <c r="Y2187" s="4">
        <v>176</v>
      </c>
      <c r="Z2187" s="4">
        <v>13</v>
      </c>
      <c r="AA2187" s="4">
        <v>20</v>
      </c>
      <c r="AB2187" s="4">
        <v>3</v>
      </c>
      <c r="AC2187" s="4">
        <v>7</v>
      </c>
      <c r="AD2187" s="4">
        <v>26</v>
      </c>
      <c r="AE2187" s="4">
        <v>39</v>
      </c>
      <c r="AF2187" s="4">
        <v>1</v>
      </c>
      <c r="AG2187" s="4">
        <v>3</v>
      </c>
      <c r="AH2187" s="4">
        <v>21</v>
      </c>
      <c r="AI2187" s="4">
        <v>32</v>
      </c>
      <c r="AJ2187" s="4">
        <v>7</v>
      </c>
      <c r="AK2187" s="4">
        <v>10</v>
      </c>
      <c r="AL2187" s="4">
        <v>10</v>
      </c>
      <c r="AM2187" s="4">
        <v>16</v>
      </c>
      <c r="AN2187" s="4">
        <v>0</v>
      </c>
      <c r="AO2187" s="4">
        <v>0</v>
      </c>
      <c r="AP2187" s="4">
        <v>9</v>
      </c>
      <c r="AQ2187" s="4">
        <v>12</v>
      </c>
      <c r="AR2187" s="3" t="s">
        <v>64</v>
      </c>
      <c r="AS2187" s="3" t="s">
        <v>64</v>
      </c>
      <c r="AT2187" s="3" t="s">
        <v>128</v>
      </c>
      <c r="AU2187" s="6" t="str">
        <f>HYPERLINK("http://catalog.hathitrust.org/Record/005137298","HathiTrust Record")</f>
        <v>HathiTrust Record</v>
      </c>
      <c r="AV2187" s="6" t="str">
        <f>HYPERLINK("http://mcgill.on.worldcat.org/oclc/55855855","Catalog Record")</f>
        <v>Catalog Record</v>
      </c>
      <c r="AW2187" s="6" t="str">
        <f>HYPERLINK("http://www.worldcat.org/oclc/55855855","WorldCat Record")</f>
        <v>WorldCat Record</v>
      </c>
      <c r="AX2187" s="3" t="s">
        <v>22226</v>
      </c>
      <c r="AY2187" s="3" t="s">
        <v>22227</v>
      </c>
      <c r="AZ2187" s="3" t="s">
        <v>22228</v>
      </c>
      <c r="BA2187" s="3" t="s">
        <v>22228</v>
      </c>
      <c r="BB2187" s="3" t="s">
        <v>22229</v>
      </c>
      <c r="BC2187" s="3" t="s">
        <v>77</v>
      </c>
      <c r="BD2187" s="3" t="s">
        <v>78</v>
      </c>
      <c r="BE2187" s="3" t="s">
        <v>22230</v>
      </c>
      <c r="BF2187" s="3" t="s">
        <v>22229</v>
      </c>
      <c r="BG2187" s="3" t="s">
        <v>22231</v>
      </c>
      <c r="BH2187">
        <f t="shared" si="56"/>
        <v>0</v>
      </c>
    </row>
    <row r="2188" spans="1:60" ht="58" x14ac:dyDescent="0.35">
      <c r="A2188" s="2" t="s">
        <v>59</v>
      </c>
      <c r="B2188" s="2" t="s">
        <v>60</v>
      </c>
      <c r="C2188" s="2" t="s">
        <v>22221</v>
      </c>
      <c r="D2188" s="2" t="s">
        <v>22222</v>
      </c>
      <c r="E2188" s="2" t="s">
        <v>22223</v>
      </c>
      <c r="G2188" s="3" t="s">
        <v>64</v>
      </c>
      <c r="I2188" s="3" t="s">
        <v>128</v>
      </c>
      <c r="J2188" s="3" t="s">
        <v>64</v>
      </c>
      <c r="K2188" s="3" t="s">
        <v>65</v>
      </c>
      <c r="L2188" s="2" t="s">
        <v>22224</v>
      </c>
      <c r="M2188" s="2" t="s">
        <v>22225</v>
      </c>
      <c r="N2188" s="3" t="s">
        <v>1275</v>
      </c>
      <c r="P2188" s="3" t="s">
        <v>102</v>
      </c>
      <c r="Q2188" s="2" t="s">
        <v>8981</v>
      </c>
      <c r="R2188" s="3" t="s">
        <v>70</v>
      </c>
      <c r="S2188" s="4">
        <v>9</v>
      </c>
      <c r="T2188" s="4">
        <v>18</v>
      </c>
      <c r="U2188" s="5" t="s">
        <v>22232</v>
      </c>
      <c r="V2188" s="5" t="s">
        <v>18836</v>
      </c>
      <c r="W2188" s="5" t="s">
        <v>72</v>
      </c>
      <c r="X2188" s="5" t="s">
        <v>72</v>
      </c>
      <c r="Y2188" s="4">
        <v>176</v>
      </c>
      <c r="Z2188" s="4">
        <v>13</v>
      </c>
      <c r="AA2188" s="4">
        <v>20</v>
      </c>
      <c r="AB2188" s="4">
        <v>3</v>
      </c>
      <c r="AC2188" s="4">
        <v>7</v>
      </c>
      <c r="AD2188" s="4">
        <v>26</v>
      </c>
      <c r="AE2188" s="4">
        <v>39</v>
      </c>
      <c r="AF2188" s="4">
        <v>1</v>
      </c>
      <c r="AG2188" s="4">
        <v>3</v>
      </c>
      <c r="AH2188" s="4">
        <v>21</v>
      </c>
      <c r="AI2188" s="4">
        <v>32</v>
      </c>
      <c r="AJ2188" s="4">
        <v>7</v>
      </c>
      <c r="AK2188" s="4">
        <v>10</v>
      </c>
      <c r="AL2188" s="4">
        <v>10</v>
      </c>
      <c r="AM2188" s="4">
        <v>16</v>
      </c>
      <c r="AN2188" s="4">
        <v>0</v>
      </c>
      <c r="AO2188" s="4">
        <v>0</v>
      </c>
      <c r="AP2188" s="4">
        <v>9</v>
      </c>
      <c r="AQ2188" s="4">
        <v>12</v>
      </c>
      <c r="AR2188" s="3" t="s">
        <v>64</v>
      </c>
      <c r="AS2188" s="3" t="s">
        <v>64</v>
      </c>
      <c r="AT2188" s="3" t="s">
        <v>128</v>
      </c>
      <c r="AU2188" s="6" t="str">
        <f>HYPERLINK("http://catalog.hathitrust.org/Record/005137298","HathiTrust Record")</f>
        <v>HathiTrust Record</v>
      </c>
      <c r="AV2188" s="6" t="str">
        <f>HYPERLINK("http://mcgill.on.worldcat.org/oclc/55855855","Catalog Record")</f>
        <v>Catalog Record</v>
      </c>
      <c r="AW2188" s="6" t="str">
        <f>HYPERLINK("http://www.worldcat.org/oclc/55855855","WorldCat Record")</f>
        <v>WorldCat Record</v>
      </c>
      <c r="AX2188" s="3" t="s">
        <v>22226</v>
      </c>
      <c r="AY2188" s="3" t="s">
        <v>22227</v>
      </c>
      <c r="AZ2188" s="3" t="s">
        <v>22228</v>
      </c>
      <c r="BA2188" s="3" t="s">
        <v>22228</v>
      </c>
      <c r="BB2188" s="3" t="s">
        <v>22233</v>
      </c>
      <c r="BC2188" s="3" t="s">
        <v>77</v>
      </c>
      <c r="BD2188" s="3" t="s">
        <v>78</v>
      </c>
      <c r="BE2188" s="3" t="s">
        <v>22230</v>
      </c>
      <c r="BF2188" s="3" t="s">
        <v>22233</v>
      </c>
      <c r="BG2188" s="3" t="s">
        <v>22234</v>
      </c>
      <c r="BH2188">
        <f t="shared" si="56"/>
        <v>0</v>
      </c>
    </row>
    <row r="2189" spans="1:60" ht="58" x14ac:dyDescent="0.35">
      <c r="A2189" s="2" t="s">
        <v>59</v>
      </c>
      <c r="B2189" s="2" t="s">
        <v>60</v>
      </c>
      <c r="C2189" s="2" t="s">
        <v>22235</v>
      </c>
      <c r="D2189" s="2" t="s">
        <v>22236</v>
      </c>
      <c r="E2189" s="2" t="s">
        <v>22237</v>
      </c>
      <c r="G2189" s="3" t="s">
        <v>64</v>
      </c>
      <c r="I2189" s="3" t="s">
        <v>64</v>
      </c>
      <c r="J2189" s="3" t="s">
        <v>64</v>
      </c>
      <c r="K2189" s="3" t="s">
        <v>65</v>
      </c>
      <c r="M2189" s="2" t="s">
        <v>22238</v>
      </c>
      <c r="N2189" s="3" t="s">
        <v>253</v>
      </c>
      <c r="P2189" s="3" t="s">
        <v>102</v>
      </c>
      <c r="Q2189" s="2" t="s">
        <v>22239</v>
      </c>
      <c r="R2189" s="3" t="s">
        <v>70</v>
      </c>
      <c r="S2189" s="4">
        <v>3</v>
      </c>
      <c r="T2189" s="4">
        <v>3</v>
      </c>
      <c r="W2189" s="5" t="s">
        <v>72</v>
      </c>
      <c r="X2189" s="5" t="s">
        <v>72</v>
      </c>
      <c r="Y2189" s="4">
        <v>79</v>
      </c>
      <c r="Z2189" s="4">
        <v>5</v>
      </c>
      <c r="AA2189" s="4">
        <v>80</v>
      </c>
      <c r="AB2189" s="4">
        <v>1</v>
      </c>
      <c r="AC2189" s="4">
        <v>16</v>
      </c>
      <c r="AD2189" s="4">
        <v>10</v>
      </c>
      <c r="AE2189" s="4">
        <v>107</v>
      </c>
      <c r="AF2189" s="4">
        <v>0</v>
      </c>
      <c r="AG2189" s="4">
        <v>8</v>
      </c>
      <c r="AH2189" s="4">
        <v>9</v>
      </c>
      <c r="AI2189" s="4">
        <v>74</v>
      </c>
      <c r="AJ2189" s="4">
        <v>3</v>
      </c>
      <c r="AK2189" s="4">
        <v>20</v>
      </c>
      <c r="AL2189" s="4">
        <v>4</v>
      </c>
      <c r="AM2189" s="4">
        <v>38</v>
      </c>
      <c r="AN2189" s="4">
        <v>0</v>
      </c>
      <c r="AO2189" s="4">
        <v>0</v>
      </c>
      <c r="AP2189" s="4">
        <v>4</v>
      </c>
      <c r="AQ2189" s="4">
        <v>39</v>
      </c>
      <c r="AR2189" s="3" t="s">
        <v>64</v>
      </c>
      <c r="AS2189" s="3" t="s">
        <v>64</v>
      </c>
      <c r="AT2189" s="3" t="s">
        <v>64</v>
      </c>
      <c r="AV2189" s="6" t="str">
        <f>HYPERLINK("http://mcgill.on.worldcat.org/oclc/907013620","Catalog Record")</f>
        <v>Catalog Record</v>
      </c>
      <c r="AW2189" s="6" t="str">
        <f>HYPERLINK("http://www.worldcat.org/oclc/907013620","WorldCat Record")</f>
        <v>WorldCat Record</v>
      </c>
      <c r="AX2189" s="3" t="s">
        <v>22240</v>
      </c>
      <c r="AY2189" s="3" t="s">
        <v>22241</v>
      </c>
      <c r="AZ2189" s="3" t="s">
        <v>22242</v>
      </c>
      <c r="BA2189" s="3" t="s">
        <v>22242</v>
      </c>
      <c r="BB2189" s="3" t="s">
        <v>22243</v>
      </c>
      <c r="BC2189" s="3" t="s">
        <v>77</v>
      </c>
      <c r="BD2189" s="3" t="s">
        <v>165</v>
      </c>
      <c r="BE2189" s="3" t="s">
        <v>22244</v>
      </c>
      <c r="BF2189" s="3" t="s">
        <v>22243</v>
      </c>
      <c r="BG2189" s="3" t="s">
        <v>22245</v>
      </c>
      <c r="BH2189">
        <f t="shared" si="56"/>
        <v>0</v>
      </c>
    </row>
    <row r="2190" spans="1:60" ht="58" x14ac:dyDescent="0.35">
      <c r="A2190" s="2" t="s">
        <v>59</v>
      </c>
      <c r="B2190" s="2" t="s">
        <v>60</v>
      </c>
      <c r="C2190" s="2" t="s">
        <v>22246</v>
      </c>
      <c r="D2190" s="2" t="s">
        <v>22247</v>
      </c>
      <c r="E2190" s="2" t="s">
        <v>22248</v>
      </c>
      <c r="G2190" s="3" t="s">
        <v>64</v>
      </c>
      <c r="I2190" s="3" t="s">
        <v>64</v>
      </c>
      <c r="J2190" s="3" t="s">
        <v>64</v>
      </c>
      <c r="K2190" s="3" t="s">
        <v>65</v>
      </c>
      <c r="L2190" s="2" t="s">
        <v>22249</v>
      </c>
      <c r="M2190" s="2" t="s">
        <v>22250</v>
      </c>
      <c r="N2190" s="3" t="s">
        <v>291</v>
      </c>
      <c r="P2190" s="3" t="s">
        <v>102</v>
      </c>
      <c r="R2190" s="3" t="s">
        <v>70</v>
      </c>
      <c r="S2190" s="4">
        <v>14</v>
      </c>
      <c r="T2190" s="4">
        <v>14</v>
      </c>
      <c r="U2190" s="5" t="s">
        <v>12009</v>
      </c>
      <c r="V2190" s="5" t="s">
        <v>12009</v>
      </c>
      <c r="W2190" s="5" t="s">
        <v>72</v>
      </c>
      <c r="X2190" s="5" t="s">
        <v>72</v>
      </c>
      <c r="Y2190" s="4">
        <v>183</v>
      </c>
      <c r="Z2190" s="4">
        <v>12</v>
      </c>
      <c r="AA2190" s="4">
        <v>50</v>
      </c>
      <c r="AB2190" s="4">
        <v>2</v>
      </c>
      <c r="AC2190" s="4">
        <v>14</v>
      </c>
      <c r="AD2190" s="4">
        <v>55</v>
      </c>
      <c r="AE2190" s="4">
        <v>117</v>
      </c>
      <c r="AF2190" s="4">
        <v>0</v>
      </c>
      <c r="AG2190" s="4">
        <v>7</v>
      </c>
      <c r="AH2190" s="4">
        <v>49</v>
      </c>
      <c r="AI2190" s="4">
        <v>86</v>
      </c>
      <c r="AJ2190" s="4">
        <v>7</v>
      </c>
      <c r="AK2190" s="4">
        <v>21</v>
      </c>
      <c r="AL2190" s="4">
        <v>30</v>
      </c>
      <c r="AM2190" s="4">
        <v>44</v>
      </c>
      <c r="AN2190" s="4">
        <v>0</v>
      </c>
      <c r="AO2190" s="4">
        <v>0</v>
      </c>
      <c r="AP2190" s="4">
        <v>8</v>
      </c>
      <c r="AQ2190" s="4">
        <v>39</v>
      </c>
      <c r="AR2190" s="3" t="s">
        <v>64</v>
      </c>
      <c r="AS2190" s="3" t="s">
        <v>64</v>
      </c>
      <c r="AT2190" s="3" t="s">
        <v>64</v>
      </c>
      <c r="AV2190" s="6" t="str">
        <f>HYPERLINK("http://mcgill.on.worldcat.org/oclc/85782386","Catalog Record")</f>
        <v>Catalog Record</v>
      </c>
      <c r="AW2190" s="6" t="str">
        <f>HYPERLINK("http://www.worldcat.org/oclc/85782386","WorldCat Record")</f>
        <v>WorldCat Record</v>
      </c>
      <c r="AX2190" s="3" t="s">
        <v>22251</v>
      </c>
      <c r="AY2190" s="3" t="s">
        <v>22252</v>
      </c>
      <c r="AZ2190" s="3" t="s">
        <v>22253</v>
      </c>
      <c r="BA2190" s="3" t="s">
        <v>22253</v>
      </c>
      <c r="BB2190" s="3" t="s">
        <v>22254</v>
      </c>
      <c r="BC2190" s="3" t="s">
        <v>77</v>
      </c>
      <c r="BD2190" s="3" t="s">
        <v>78</v>
      </c>
      <c r="BE2190" s="3" t="s">
        <v>22255</v>
      </c>
      <c r="BF2190" s="3" t="s">
        <v>22254</v>
      </c>
      <c r="BG2190" s="3" t="s">
        <v>22256</v>
      </c>
      <c r="BH2190">
        <f t="shared" si="56"/>
        <v>0</v>
      </c>
    </row>
    <row r="2191" spans="1:60" ht="58" x14ac:dyDescent="0.35">
      <c r="A2191" s="2" t="s">
        <v>59</v>
      </c>
      <c r="B2191" s="2" t="s">
        <v>60</v>
      </c>
      <c r="C2191" s="2" t="s">
        <v>22257</v>
      </c>
      <c r="D2191" s="2" t="s">
        <v>22258</v>
      </c>
      <c r="E2191" s="2" t="s">
        <v>22259</v>
      </c>
      <c r="G2191" s="3" t="s">
        <v>64</v>
      </c>
      <c r="I2191" s="3" t="s">
        <v>128</v>
      </c>
      <c r="J2191" s="3" t="s">
        <v>64</v>
      </c>
      <c r="K2191" s="3" t="s">
        <v>65</v>
      </c>
      <c r="L2191" s="2" t="s">
        <v>22260</v>
      </c>
      <c r="M2191" s="2" t="s">
        <v>14056</v>
      </c>
      <c r="N2191" s="3" t="s">
        <v>1275</v>
      </c>
      <c r="P2191" s="3" t="s">
        <v>102</v>
      </c>
      <c r="Q2191" s="2" t="s">
        <v>22261</v>
      </c>
      <c r="R2191" s="3" t="s">
        <v>70</v>
      </c>
      <c r="S2191" s="4">
        <v>29</v>
      </c>
      <c r="T2191" s="4">
        <v>55</v>
      </c>
      <c r="U2191" s="5" t="s">
        <v>5685</v>
      </c>
      <c r="V2191" s="5" t="s">
        <v>5685</v>
      </c>
      <c r="W2191" s="5" t="s">
        <v>72</v>
      </c>
      <c r="X2191" s="5" t="s">
        <v>72</v>
      </c>
      <c r="Y2191" s="4">
        <v>532</v>
      </c>
      <c r="Z2191" s="4">
        <v>18</v>
      </c>
      <c r="AA2191" s="4">
        <v>20</v>
      </c>
      <c r="AB2191" s="4">
        <v>1</v>
      </c>
      <c r="AC2191" s="4">
        <v>3</v>
      </c>
      <c r="AD2191" s="4">
        <v>88</v>
      </c>
      <c r="AE2191" s="4">
        <v>91</v>
      </c>
      <c r="AF2191" s="4">
        <v>0</v>
      </c>
      <c r="AG2191" s="4">
        <v>2</v>
      </c>
      <c r="AH2191" s="4">
        <v>78</v>
      </c>
      <c r="AI2191" s="4">
        <v>80</v>
      </c>
      <c r="AJ2191" s="4">
        <v>12</v>
      </c>
      <c r="AK2191" s="4">
        <v>14</v>
      </c>
      <c r="AL2191" s="4">
        <v>40</v>
      </c>
      <c r="AM2191" s="4">
        <v>41</v>
      </c>
      <c r="AN2191" s="4">
        <v>0</v>
      </c>
      <c r="AO2191" s="4">
        <v>0</v>
      </c>
      <c r="AP2191" s="4">
        <v>15</v>
      </c>
      <c r="AQ2191" s="4">
        <v>16</v>
      </c>
      <c r="AR2191" s="3" t="s">
        <v>64</v>
      </c>
      <c r="AS2191" s="3" t="s">
        <v>64</v>
      </c>
      <c r="AT2191" s="3" t="s">
        <v>128</v>
      </c>
      <c r="AU2191" s="6" t="str">
        <f>HYPERLINK("http://catalog.hathitrust.org/Record/004363014","HathiTrust Record")</f>
        <v>HathiTrust Record</v>
      </c>
      <c r="AV2191" s="6" t="str">
        <f>HYPERLINK("http://mcgill.on.worldcat.org/oclc/54057282","Catalog Record")</f>
        <v>Catalog Record</v>
      </c>
      <c r="AW2191" s="6" t="str">
        <f>HYPERLINK("http://www.worldcat.org/oclc/54057282","WorldCat Record")</f>
        <v>WorldCat Record</v>
      </c>
      <c r="AX2191" s="3" t="s">
        <v>22262</v>
      </c>
      <c r="AY2191" s="3" t="s">
        <v>22263</v>
      </c>
      <c r="AZ2191" s="3" t="s">
        <v>22264</v>
      </c>
      <c r="BA2191" s="3" t="s">
        <v>22264</v>
      </c>
      <c r="BB2191" s="3" t="s">
        <v>22265</v>
      </c>
      <c r="BC2191" s="3" t="s">
        <v>77</v>
      </c>
      <c r="BD2191" s="3" t="s">
        <v>78</v>
      </c>
      <c r="BE2191" s="3" t="s">
        <v>22266</v>
      </c>
      <c r="BF2191" s="3" t="s">
        <v>22265</v>
      </c>
      <c r="BG2191" s="3" t="s">
        <v>22267</v>
      </c>
      <c r="BH2191">
        <f t="shared" si="56"/>
        <v>0</v>
      </c>
    </row>
    <row r="2192" spans="1:60" ht="58" x14ac:dyDescent="0.35">
      <c r="A2192" s="2" t="s">
        <v>59</v>
      </c>
      <c r="B2192" s="2" t="s">
        <v>60</v>
      </c>
      <c r="C2192" s="2" t="s">
        <v>22257</v>
      </c>
      <c r="D2192" s="2" t="s">
        <v>22258</v>
      </c>
      <c r="E2192" s="2" t="s">
        <v>22259</v>
      </c>
      <c r="G2192" s="3" t="s">
        <v>64</v>
      </c>
      <c r="I2192" s="3" t="s">
        <v>128</v>
      </c>
      <c r="J2192" s="3" t="s">
        <v>64</v>
      </c>
      <c r="K2192" s="3" t="s">
        <v>65</v>
      </c>
      <c r="L2192" s="2" t="s">
        <v>22260</v>
      </c>
      <c r="M2192" s="2" t="s">
        <v>14056</v>
      </c>
      <c r="N2192" s="3" t="s">
        <v>1275</v>
      </c>
      <c r="P2192" s="3" t="s">
        <v>102</v>
      </c>
      <c r="Q2192" s="2" t="s">
        <v>22261</v>
      </c>
      <c r="R2192" s="3" t="s">
        <v>70</v>
      </c>
      <c r="S2192" s="4">
        <v>26</v>
      </c>
      <c r="T2192" s="4">
        <v>55</v>
      </c>
      <c r="U2192" s="5" t="s">
        <v>22268</v>
      </c>
      <c r="V2192" s="5" t="s">
        <v>5685</v>
      </c>
      <c r="W2192" s="5" t="s">
        <v>72</v>
      </c>
      <c r="X2192" s="5" t="s">
        <v>72</v>
      </c>
      <c r="Y2192" s="4">
        <v>532</v>
      </c>
      <c r="Z2192" s="4">
        <v>18</v>
      </c>
      <c r="AA2192" s="4">
        <v>20</v>
      </c>
      <c r="AB2192" s="4">
        <v>1</v>
      </c>
      <c r="AC2192" s="4">
        <v>3</v>
      </c>
      <c r="AD2192" s="4">
        <v>88</v>
      </c>
      <c r="AE2192" s="4">
        <v>91</v>
      </c>
      <c r="AF2192" s="4">
        <v>0</v>
      </c>
      <c r="AG2192" s="4">
        <v>2</v>
      </c>
      <c r="AH2192" s="4">
        <v>78</v>
      </c>
      <c r="AI2192" s="4">
        <v>80</v>
      </c>
      <c r="AJ2192" s="4">
        <v>12</v>
      </c>
      <c r="AK2192" s="4">
        <v>14</v>
      </c>
      <c r="AL2192" s="4">
        <v>40</v>
      </c>
      <c r="AM2192" s="4">
        <v>41</v>
      </c>
      <c r="AN2192" s="4">
        <v>0</v>
      </c>
      <c r="AO2192" s="4">
        <v>0</v>
      </c>
      <c r="AP2192" s="4">
        <v>15</v>
      </c>
      <c r="AQ2192" s="4">
        <v>16</v>
      </c>
      <c r="AR2192" s="3" t="s">
        <v>64</v>
      </c>
      <c r="AS2192" s="3" t="s">
        <v>64</v>
      </c>
      <c r="AT2192" s="3" t="s">
        <v>128</v>
      </c>
      <c r="AU2192" s="6" t="str">
        <f>HYPERLINK("http://catalog.hathitrust.org/Record/004363014","HathiTrust Record")</f>
        <v>HathiTrust Record</v>
      </c>
      <c r="AV2192" s="6" t="str">
        <f>HYPERLINK("http://mcgill.on.worldcat.org/oclc/54057282","Catalog Record")</f>
        <v>Catalog Record</v>
      </c>
      <c r="AW2192" s="6" t="str">
        <f>HYPERLINK("http://www.worldcat.org/oclc/54057282","WorldCat Record")</f>
        <v>WorldCat Record</v>
      </c>
      <c r="AX2192" s="3" t="s">
        <v>22262</v>
      </c>
      <c r="AY2192" s="3" t="s">
        <v>22263</v>
      </c>
      <c r="AZ2192" s="3" t="s">
        <v>22264</v>
      </c>
      <c r="BA2192" s="3" t="s">
        <v>22264</v>
      </c>
      <c r="BB2192" s="3" t="s">
        <v>22269</v>
      </c>
      <c r="BC2192" s="3" t="s">
        <v>77</v>
      </c>
      <c r="BD2192" s="3" t="s">
        <v>78</v>
      </c>
      <c r="BE2192" s="3" t="s">
        <v>22266</v>
      </c>
      <c r="BF2192" s="3" t="s">
        <v>22269</v>
      </c>
      <c r="BG2192" s="3" t="s">
        <v>22270</v>
      </c>
      <c r="BH2192">
        <f t="shared" si="56"/>
        <v>0</v>
      </c>
    </row>
    <row r="2193" spans="1:60" ht="58" x14ac:dyDescent="0.35">
      <c r="A2193" s="2" t="s">
        <v>59</v>
      </c>
      <c r="B2193" s="2" t="s">
        <v>60</v>
      </c>
      <c r="C2193" s="2" t="s">
        <v>22271</v>
      </c>
      <c r="D2193" s="2" t="s">
        <v>22272</v>
      </c>
      <c r="E2193" s="2" t="s">
        <v>22273</v>
      </c>
      <c r="G2193" s="3" t="s">
        <v>64</v>
      </c>
      <c r="I2193" s="3" t="s">
        <v>64</v>
      </c>
      <c r="J2193" s="3" t="s">
        <v>64</v>
      </c>
      <c r="K2193" s="3" t="s">
        <v>65</v>
      </c>
      <c r="L2193" s="2" t="s">
        <v>22274</v>
      </c>
      <c r="M2193" s="2" t="s">
        <v>22275</v>
      </c>
      <c r="N2193" s="3" t="s">
        <v>171</v>
      </c>
      <c r="P2193" s="3" t="s">
        <v>102</v>
      </c>
      <c r="R2193" s="3" t="s">
        <v>70</v>
      </c>
      <c r="S2193" s="4">
        <v>20</v>
      </c>
      <c r="T2193" s="4">
        <v>20</v>
      </c>
      <c r="U2193" s="5" t="s">
        <v>3430</v>
      </c>
      <c r="V2193" s="5" t="s">
        <v>3430</v>
      </c>
      <c r="W2193" s="5" t="s">
        <v>72</v>
      </c>
      <c r="X2193" s="5" t="s">
        <v>72</v>
      </c>
      <c r="Y2193" s="4">
        <v>139</v>
      </c>
      <c r="Z2193" s="4">
        <v>11</v>
      </c>
      <c r="AA2193" s="4">
        <v>56</v>
      </c>
      <c r="AB2193" s="4">
        <v>4</v>
      </c>
      <c r="AC2193" s="4">
        <v>17</v>
      </c>
      <c r="AD2193" s="4">
        <v>49</v>
      </c>
      <c r="AE2193" s="4">
        <v>119</v>
      </c>
      <c r="AF2193" s="4">
        <v>0</v>
      </c>
      <c r="AG2193" s="4">
        <v>8</v>
      </c>
      <c r="AH2193" s="4">
        <v>46</v>
      </c>
      <c r="AI2193" s="4">
        <v>86</v>
      </c>
      <c r="AJ2193" s="4">
        <v>6</v>
      </c>
      <c r="AK2193" s="4">
        <v>23</v>
      </c>
      <c r="AL2193" s="4">
        <v>25</v>
      </c>
      <c r="AM2193" s="4">
        <v>44</v>
      </c>
      <c r="AN2193" s="4">
        <v>0</v>
      </c>
      <c r="AO2193" s="4">
        <v>0</v>
      </c>
      <c r="AP2193" s="4">
        <v>6</v>
      </c>
      <c r="AQ2193" s="4">
        <v>41</v>
      </c>
      <c r="AR2193" s="3" t="s">
        <v>64</v>
      </c>
      <c r="AS2193" s="3" t="s">
        <v>64</v>
      </c>
      <c r="AT2193" s="3" t="s">
        <v>64</v>
      </c>
      <c r="AV2193" s="6" t="str">
        <f>HYPERLINK("http://mcgill.on.worldcat.org/oclc/70677445","Catalog Record")</f>
        <v>Catalog Record</v>
      </c>
      <c r="AW2193" s="6" t="str">
        <f>HYPERLINK("http://www.worldcat.org/oclc/70677445","WorldCat Record")</f>
        <v>WorldCat Record</v>
      </c>
      <c r="AX2193" s="3" t="s">
        <v>22276</v>
      </c>
      <c r="AY2193" s="3" t="s">
        <v>22277</v>
      </c>
      <c r="AZ2193" s="3" t="s">
        <v>22278</v>
      </c>
      <c r="BA2193" s="3" t="s">
        <v>22278</v>
      </c>
      <c r="BB2193" s="3" t="s">
        <v>22279</v>
      </c>
      <c r="BC2193" s="3" t="s">
        <v>77</v>
      </c>
      <c r="BD2193" s="3" t="s">
        <v>78</v>
      </c>
      <c r="BE2193" s="3" t="s">
        <v>22280</v>
      </c>
      <c r="BF2193" s="3" t="s">
        <v>22279</v>
      </c>
      <c r="BG2193" s="3" t="s">
        <v>22281</v>
      </c>
      <c r="BH2193">
        <f t="shared" si="56"/>
        <v>0</v>
      </c>
    </row>
    <row r="2194" spans="1:60" ht="58" x14ac:dyDescent="0.35">
      <c r="A2194" s="2" t="s">
        <v>59</v>
      </c>
      <c r="B2194" s="2" t="s">
        <v>60</v>
      </c>
      <c r="C2194" s="2" t="s">
        <v>22282</v>
      </c>
      <c r="D2194" s="2" t="s">
        <v>22283</v>
      </c>
      <c r="E2194" s="2" t="s">
        <v>22284</v>
      </c>
      <c r="G2194" s="3" t="s">
        <v>64</v>
      </c>
      <c r="I2194" s="3" t="s">
        <v>64</v>
      </c>
      <c r="J2194" s="3" t="s">
        <v>64</v>
      </c>
      <c r="K2194" s="3" t="s">
        <v>65</v>
      </c>
      <c r="L2194" s="2" t="s">
        <v>22285</v>
      </c>
      <c r="M2194" s="2" t="s">
        <v>22286</v>
      </c>
      <c r="N2194" s="3" t="s">
        <v>979</v>
      </c>
      <c r="P2194" s="3" t="s">
        <v>102</v>
      </c>
      <c r="Q2194" s="2" t="s">
        <v>22287</v>
      </c>
      <c r="R2194" s="3" t="s">
        <v>70</v>
      </c>
      <c r="S2194" s="4">
        <v>8</v>
      </c>
      <c r="T2194" s="4">
        <v>8</v>
      </c>
      <c r="U2194" s="5" t="s">
        <v>911</v>
      </c>
      <c r="V2194" s="5" t="s">
        <v>911</v>
      </c>
      <c r="W2194" s="5" t="s">
        <v>17763</v>
      </c>
      <c r="X2194" s="5" t="s">
        <v>17763</v>
      </c>
      <c r="Y2194" s="4">
        <v>145</v>
      </c>
      <c r="Z2194" s="4">
        <v>9</v>
      </c>
      <c r="AA2194" s="4">
        <v>11</v>
      </c>
      <c r="AB2194" s="4">
        <v>1</v>
      </c>
      <c r="AC2194" s="4">
        <v>2</v>
      </c>
      <c r="AD2194" s="4">
        <v>49</v>
      </c>
      <c r="AE2194" s="4">
        <v>54</v>
      </c>
      <c r="AF2194" s="4">
        <v>0</v>
      </c>
      <c r="AG2194" s="4">
        <v>1</v>
      </c>
      <c r="AH2194" s="4">
        <v>46</v>
      </c>
      <c r="AI2194" s="4">
        <v>51</v>
      </c>
      <c r="AJ2194" s="4">
        <v>6</v>
      </c>
      <c r="AK2194" s="4">
        <v>8</v>
      </c>
      <c r="AL2194" s="4">
        <v>28</v>
      </c>
      <c r="AM2194" s="4">
        <v>31</v>
      </c>
      <c r="AN2194" s="4">
        <v>0</v>
      </c>
      <c r="AO2194" s="4">
        <v>0</v>
      </c>
      <c r="AP2194" s="4">
        <v>6</v>
      </c>
      <c r="AQ2194" s="4">
        <v>8</v>
      </c>
      <c r="AR2194" s="3" t="s">
        <v>64</v>
      </c>
      <c r="AS2194" s="3" t="s">
        <v>64</v>
      </c>
      <c r="AT2194" s="3" t="s">
        <v>128</v>
      </c>
      <c r="AU2194" s="6" t="str">
        <f>HYPERLINK("http://catalog.hathitrust.org/Record/006954271","HathiTrust Record")</f>
        <v>HathiTrust Record</v>
      </c>
      <c r="AV2194" s="6" t="str">
        <f>HYPERLINK("http://mcgill.on.worldcat.org/oclc/46999114","Catalog Record")</f>
        <v>Catalog Record</v>
      </c>
      <c r="AW2194" s="6" t="str">
        <f>HYPERLINK("http://www.worldcat.org/oclc/46999114","WorldCat Record")</f>
        <v>WorldCat Record</v>
      </c>
      <c r="AX2194" s="3" t="s">
        <v>22288</v>
      </c>
      <c r="AY2194" s="3" t="s">
        <v>22289</v>
      </c>
      <c r="AZ2194" s="3" t="s">
        <v>22290</v>
      </c>
      <c r="BA2194" s="3" t="s">
        <v>22290</v>
      </c>
      <c r="BB2194" s="3" t="s">
        <v>22291</v>
      </c>
      <c r="BC2194" s="3" t="s">
        <v>77</v>
      </c>
      <c r="BD2194" s="3" t="s">
        <v>78</v>
      </c>
      <c r="BE2194" s="3" t="s">
        <v>22292</v>
      </c>
      <c r="BF2194" s="3" t="s">
        <v>22291</v>
      </c>
      <c r="BG2194" s="3" t="s">
        <v>22293</v>
      </c>
      <c r="BH2194">
        <f t="shared" si="56"/>
        <v>0</v>
      </c>
    </row>
    <row r="2195" spans="1:60" ht="58" x14ac:dyDescent="0.35">
      <c r="A2195" s="2" t="s">
        <v>59</v>
      </c>
      <c r="B2195" s="2" t="s">
        <v>60</v>
      </c>
      <c r="C2195" s="2" t="s">
        <v>22294</v>
      </c>
      <c r="D2195" s="2" t="s">
        <v>22295</v>
      </c>
      <c r="E2195" s="2" t="s">
        <v>22296</v>
      </c>
      <c r="G2195" s="3" t="s">
        <v>64</v>
      </c>
      <c r="I2195" s="3" t="s">
        <v>64</v>
      </c>
      <c r="J2195" s="3" t="s">
        <v>64</v>
      </c>
      <c r="K2195" s="3" t="s">
        <v>65</v>
      </c>
      <c r="L2195" s="2" t="s">
        <v>22297</v>
      </c>
      <c r="M2195" s="2" t="s">
        <v>22298</v>
      </c>
      <c r="N2195" s="3" t="s">
        <v>511</v>
      </c>
      <c r="O2195" s="2" t="s">
        <v>172</v>
      </c>
      <c r="P2195" s="3" t="s">
        <v>102</v>
      </c>
      <c r="R2195" s="3" t="s">
        <v>70</v>
      </c>
      <c r="S2195" s="4">
        <v>2</v>
      </c>
      <c r="T2195" s="4">
        <v>2</v>
      </c>
      <c r="U2195" s="5" t="s">
        <v>22299</v>
      </c>
      <c r="V2195" s="5" t="s">
        <v>22299</v>
      </c>
      <c r="W2195" s="5" t="s">
        <v>72</v>
      </c>
      <c r="X2195" s="5" t="s">
        <v>72</v>
      </c>
      <c r="Y2195" s="4">
        <v>281</v>
      </c>
      <c r="Z2195" s="4">
        <v>12</v>
      </c>
      <c r="AA2195" s="4">
        <v>107</v>
      </c>
      <c r="AB2195" s="4">
        <v>2</v>
      </c>
      <c r="AC2195" s="4">
        <v>19</v>
      </c>
      <c r="AD2195" s="4">
        <v>39</v>
      </c>
      <c r="AE2195" s="4">
        <v>116</v>
      </c>
      <c r="AF2195" s="4">
        <v>0</v>
      </c>
      <c r="AG2195" s="4">
        <v>8</v>
      </c>
      <c r="AH2195" s="4">
        <v>39</v>
      </c>
      <c r="AI2195" s="4">
        <v>80</v>
      </c>
      <c r="AJ2195" s="4">
        <v>3</v>
      </c>
      <c r="AK2195" s="4">
        <v>18</v>
      </c>
      <c r="AL2195" s="4">
        <v>17</v>
      </c>
      <c r="AM2195" s="4">
        <v>41</v>
      </c>
      <c r="AN2195" s="4">
        <v>0</v>
      </c>
      <c r="AO2195" s="4">
        <v>0</v>
      </c>
      <c r="AP2195" s="4">
        <v>3</v>
      </c>
      <c r="AQ2195" s="4">
        <v>40</v>
      </c>
      <c r="AR2195" s="3" t="s">
        <v>64</v>
      </c>
      <c r="AS2195" s="3" t="s">
        <v>64</v>
      </c>
      <c r="AT2195" s="3" t="s">
        <v>64</v>
      </c>
      <c r="AV2195" s="6" t="str">
        <f>HYPERLINK("http://mcgill.on.worldcat.org/oclc/349180023","Catalog Record")</f>
        <v>Catalog Record</v>
      </c>
      <c r="AW2195" s="6" t="str">
        <f>HYPERLINK("http://www.worldcat.org/oclc/349180023","WorldCat Record")</f>
        <v>WorldCat Record</v>
      </c>
      <c r="AX2195" s="3" t="s">
        <v>22300</v>
      </c>
      <c r="AY2195" s="3" t="s">
        <v>22301</v>
      </c>
      <c r="AZ2195" s="3" t="s">
        <v>22302</v>
      </c>
      <c r="BA2195" s="3" t="s">
        <v>22302</v>
      </c>
      <c r="BB2195" s="3" t="s">
        <v>22303</v>
      </c>
      <c r="BC2195" s="3" t="s">
        <v>77</v>
      </c>
      <c r="BD2195" s="3" t="s">
        <v>78</v>
      </c>
      <c r="BE2195" s="3" t="s">
        <v>22304</v>
      </c>
      <c r="BF2195" s="3" t="s">
        <v>22303</v>
      </c>
      <c r="BG2195" s="3" t="s">
        <v>22305</v>
      </c>
      <c r="BH2195">
        <f t="shared" si="56"/>
        <v>0</v>
      </c>
    </row>
    <row r="2196" spans="1:60" ht="58" x14ac:dyDescent="0.35">
      <c r="A2196" s="2" t="s">
        <v>59</v>
      </c>
      <c r="B2196" s="2" t="s">
        <v>60</v>
      </c>
      <c r="C2196" s="2" t="s">
        <v>22306</v>
      </c>
      <c r="D2196" s="2" t="s">
        <v>22307</v>
      </c>
      <c r="E2196" s="2" t="s">
        <v>22308</v>
      </c>
      <c r="G2196" s="3" t="s">
        <v>64</v>
      </c>
      <c r="I2196" s="3" t="s">
        <v>64</v>
      </c>
      <c r="J2196" s="3" t="s">
        <v>64</v>
      </c>
      <c r="K2196" s="3" t="s">
        <v>65</v>
      </c>
      <c r="L2196" s="2" t="s">
        <v>22309</v>
      </c>
      <c r="M2196" s="2" t="s">
        <v>14826</v>
      </c>
      <c r="N2196" s="3" t="s">
        <v>1275</v>
      </c>
      <c r="P2196" s="3" t="s">
        <v>102</v>
      </c>
      <c r="R2196" s="3" t="s">
        <v>70</v>
      </c>
      <c r="S2196" s="4">
        <v>5</v>
      </c>
      <c r="T2196" s="4">
        <v>5</v>
      </c>
      <c r="U2196" s="5" t="s">
        <v>19981</v>
      </c>
      <c r="V2196" s="5" t="s">
        <v>19981</v>
      </c>
      <c r="W2196" s="5" t="s">
        <v>72</v>
      </c>
      <c r="X2196" s="5" t="s">
        <v>72</v>
      </c>
      <c r="Y2196" s="4">
        <v>408</v>
      </c>
      <c r="Z2196" s="4">
        <v>22</v>
      </c>
      <c r="AA2196" s="4">
        <v>25</v>
      </c>
      <c r="AB2196" s="4">
        <v>1</v>
      </c>
      <c r="AC2196" s="4">
        <v>2</v>
      </c>
      <c r="AD2196" s="4">
        <v>42</v>
      </c>
      <c r="AE2196" s="4">
        <v>44</v>
      </c>
      <c r="AF2196" s="4">
        <v>0</v>
      </c>
      <c r="AG2196" s="4">
        <v>1</v>
      </c>
      <c r="AH2196" s="4">
        <v>40</v>
      </c>
      <c r="AI2196" s="4">
        <v>41</v>
      </c>
      <c r="AJ2196" s="4">
        <v>4</v>
      </c>
      <c r="AK2196" s="4">
        <v>6</v>
      </c>
      <c r="AL2196" s="4">
        <v>17</v>
      </c>
      <c r="AM2196" s="4">
        <v>17</v>
      </c>
      <c r="AN2196" s="4">
        <v>0</v>
      </c>
      <c r="AO2196" s="4">
        <v>0</v>
      </c>
      <c r="AP2196" s="4">
        <v>4</v>
      </c>
      <c r="AQ2196" s="4">
        <v>5</v>
      </c>
      <c r="AR2196" s="3" t="s">
        <v>64</v>
      </c>
      <c r="AS2196" s="3" t="s">
        <v>64</v>
      </c>
      <c r="AT2196" s="3" t="s">
        <v>128</v>
      </c>
      <c r="AU2196" s="6" t="str">
        <f>HYPERLINK("http://catalog.hathitrust.org/Record/004733785","HathiTrust Record")</f>
        <v>HathiTrust Record</v>
      </c>
      <c r="AV2196" s="6" t="str">
        <f>HYPERLINK("http://mcgill.on.worldcat.org/oclc/54350183","Catalog Record")</f>
        <v>Catalog Record</v>
      </c>
      <c r="AW2196" s="6" t="str">
        <f>HYPERLINK("http://www.worldcat.org/oclc/54350183","WorldCat Record")</f>
        <v>WorldCat Record</v>
      </c>
      <c r="AX2196" s="3" t="s">
        <v>22310</v>
      </c>
      <c r="AY2196" s="3" t="s">
        <v>22311</v>
      </c>
      <c r="AZ2196" s="3" t="s">
        <v>22312</v>
      </c>
      <c r="BA2196" s="3" t="s">
        <v>22312</v>
      </c>
      <c r="BB2196" s="3" t="s">
        <v>22313</v>
      </c>
      <c r="BC2196" s="3" t="s">
        <v>77</v>
      </c>
      <c r="BD2196" s="3" t="s">
        <v>78</v>
      </c>
      <c r="BE2196" s="3" t="s">
        <v>22314</v>
      </c>
      <c r="BF2196" s="3" t="s">
        <v>22313</v>
      </c>
      <c r="BG2196" s="3" t="s">
        <v>22315</v>
      </c>
      <c r="BH2196">
        <f t="shared" si="56"/>
        <v>0</v>
      </c>
    </row>
    <row r="2197" spans="1:60" ht="58" x14ac:dyDescent="0.35">
      <c r="A2197" s="2" t="s">
        <v>59</v>
      </c>
      <c r="B2197" s="2" t="s">
        <v>60</v>
      </c>
      <c r="C2197" s="2" t="s">
        <v>22316</v>
      </c>
      <c r="D2197" s="2" t="s">
        <v>22317</v>
      </c>
      <c r="E2197" s="2" t="s">
        <v>22318</v>
      </c>
      <c r="G2197" s="3" t="s">
        <v>64</v>
      </c>
      <c r="I2197" s="3" t="s">
        <v>64</v>
      </c>
      <c r="J2197" s="3" t="s">
        <v>64</v>
      </c>
      <c r="K2197" s="3" t="s">
        <v>65</v>
      </c>
      <c r="L2197" s="2" t="s">
        <v>22309</v>
      </c>
      <c r="M2197" s="2" t="s">
        <v>14840</v>
      </c>
      <c r="N2197" s="3" t="s">
        <v>511</v>
      </c>
      <c r="P2197" s="3" t="s">
        <v>102</v>
      </c>
      <c r="R2197" s="3" t="s">
        <v>70</v>
      </c>
      <c r="S2197" s="4">
        <v>0</v>
      </c>
      <c r="T2197" s="4">
        <v>0</v>
      </c>
      <c r="W2197" s="5" t="s">
        <v>72</v>
      </c>
      <c r="X2197" s="5" t="s">
        <v>72</v>
      </c>
      <c r="Y2197" s="4">
        <v>257</v>
      </c>
      <c r="Z2197" s="4">
        <v>12</v>
      </c>
      <c r="AA2197" s="4">
        <v>13</v>
      </c>
      <c r="AB2197" s="4">
        <v>1</v>
      </c>
      <c r="AC2197" s="4">
        <v>2</v>
      </c>
      <c r="AD2197" s="4">
        <v>26</v>
      </c>
      <c r="AE2197" s="4">
        <v>27</v>
      </c>
      <c r="AF2197" s="4">
        <v>0</v>
      </c>
      <c r="AG2197" s="4">
        <v>1</v>
      </c>
      <c r="AH2197" s="4">
        <v>26</v>
      </c>
      <c r="AI2197" s="4">
        <v>26</v>
      </c>
      <c r="AJ2197" s="4">
        <v>4</v>
      </c>
      <c r="AK2197" s="4">
        <v>5</v>
      </c>
      <c r="AL2197" s="4">
        <v>14</v>
      </c>
      <c r="AM2197" s="4">
        <v>14</v>
      </c>
      <c r="AN2197" s="4">
        <v>0</v>
      </c>
      <c r="AO2197" s="4">
        <v>0</v>
      </c>
      <c r="AP2197" s="4">
        <v>4</v>
      </c>
      <c r="AQ2197" s="4">
        <v>4</v>
      </c>
      <c r="AR2197" s="3" t="s">
        <v>64</v>
      </c>
      <c r="AS2197" s="3" t="s">
        <v>64</v>
      </c>
      <c r="AT2197" s="3" t="s">
        <v>64</v>
      </c>
      <c r="AV2197" s="6" t="str">
        <f>HYPERLINK("http://mcgill.on.worldcat.org/oclc/501320675","Catalog Record")</f>
        <v>Catalog Record</v>
      </c>
      <c r="AW2197" s="6" t="str">
        <f>HYPERLINK("http://www.worldcat.org/oclc/501320675","WorldCat Record")</f>
        <v>WorldCat Record</v>
      </c>
      <c r="AX2197" s="3" t="s">
        <v>22319</v>
      </c>
      <c r="AY2197" s="3" t="s">
        <v>22320</v>
      </c>
      <c r="AZ2197" s="3" t="s">
        <v>22321</v>
      </c>
      <c r="BA2197" s="3" t="s">
        <v>22321</v>
      </c>
      <c r="BB2197" s="3" t="s">
        <v>22322</v>
      </c>
      <c r="BC2197" s="3" t="s">
        <v>77</v>
      </c>
      <c r="BD2197" s="3" t="s">
        <v>78</v>
      </c>
      <c r="BE2197" s="3" t="s">
        <v>22323</v>
      </c>
      <c r="BF2197" s="3" t="s">
        <v>22322</v>
      </c>
      <c r="BG2197" s="3" t="s">
        <v>22324</v>
      </c>
      <c r="BH2197">
        <f t="shared" si="56"/>
        <v>0</v>
      </c>
    </row>
    <row r="2198" spans="1:60" ht="58" x14ac:dyDescent="0.35">
      <c r="A2198" s="2" t="s">
        <v>59</v>
      </c>
      <c r="B2198" s="2" t="s">
        <v>60</v>
      </c>
      <c r="C2198" s="2" t="s">
        <v>22325</v>
      </c>
      <c r="D2198" s="2" t="s">
        <v>22326</v>
      </c>
      <c r="E2198" s="2" t="s">
        <v>22327</v>
      </c>
      <c r="G2198" s="3" t="s">
        <v>64</v>
      </c>
      <c r="I2198" s="3" t="s">
        <v>64</v>
      </c>
      <c r="J2198" s="3" t="s">
        <v>64</v>
      </c>
      <c r="K2198" s="3" t="s">
        <v>65</v>
      </c>
      <c r="L2198" s="2" t="s">
        <v>22328</v>
      </c>
      <c r="M2198" s="2" t="s">
        <v>22329</v>
      </c>
      <c r="N2198" s="3" t="s">
        <v>86</v>
      </c>
      <c r="P2198" s="3" t="s">
        <v>68</v>
      </c>
      <c r="Q2198" s="2" t="s">
        <v>22330</v>
      </c>
      <c r="R2198" s="3" t="s">
        <v>70</v>
      </c>
      <c r="S2198" s="4">
        <v>1</v>
      </c>
      <c r="T2198" s="4">
        <v>1</v>
      </c>
      <c r="U2198" s="5" t="s">
        <v>22331</v>
      </c>
      <c r="V2198" s="5" t="s">
        <v>22331</v>
      </c>
      <c r="W2198" s="5" t="s">
        <v>72</v>
      </c>
      <c r="X2198" s="5" t="s">
        <v>72</v>
      </c>
      <c r="Y2198" s="4">
        <v>71</v>
      </c>
      <c r="Z2198" s="4">
        <v>21</v>
      </c>
      <c r="AA2198" s="4">
        <v>55</v>
      </c>
      <c r="AB2198" s="4">
        <v>13</v>
      </c>
      <c r="AC2198" s="4">
        <v>19</v>
      </c>
      <c r="AD2198" s="4">
        <v>10</v>
      </c>
      <c r="AE2198" s="4">
        <v>42</v>
      </c>
      <c r="AF2198" s="4">
        <v>5</v>
      </c>
      <c r="AG2198" s="4">
        <v>7</v>
      </c>
      <c r="AH2198" s="4">
        <v>3</v>
      </c>
      <c r="AI2198" s="4">
        <v>16</v>
      </c>
      <c r="AJ2198" s="4">
        <v>8</v>
      </c>
      <c r="AK2198" s="4">
        <v>18</v>
      </c>
      <c r="AL2198" s="4">
        <v>0</v>
      </c>
      <c r="AM2198" s="4">
        <v>7</v>
      </c>
      <c r="AN2198" s="4">
        <v>0</v>
      </c>
      <c r="AO2198" s="4">
        <v>0</v>
      </c>
      <c r="AP2198" s="4">
        <v>7</v>
      </c>
      <c r="AQ2198" s="4">
        <v>29</v>
      </c>
      <c r="AR2198" s="3" t="s">
        <v>128</v>
      </c>
      <c r="AS2198" s="3" t="s">
        <v>64</v>
      </c>
      <c r="AT2198" s="3" t="s">
        <v>64</v>
      </c>
      <c r="AV2198" s="6" t="str">
        <f>HYPERLINK("http://mcgill.on.worldcat.org/oclc/799130859","Catalog Record")</f>
        <v>Catalog Record</v>
      </c>
      <c r="AW2198" s="6" t="str">
        <f>HYPERLINK("http://www.worldcat.org/oclc/799130859","WorldCat Record")</f>
        <v>WorldCat Record</v>
      </c>
      <c r="AX2198" s="3" t="s">
        <v>22332</v>
      </c>
      <c r="AY2198" s="3" t="s">
        <v>22333</v>
      </c>
      <c r="AZ2198" s="3" t="s">
        <v>22334</v>
      </c>
      <c r="BA2198" s="3" t="s">
        <v>22334</v>
      </c>
      <c r="BB2198" s="3" t="s">
        <v>22335</v>
      </c>
      <c r="BC2198" s="3" t="s">
        <v>77</v>
      </c>
      <c r="BD2198" s="3" t="s">
        <v>78</v>
      </c>
      <c r="BE2198" s="3" t="s">
        <v>22336</v>
      </c>
      <c r="BF2198" s="3" t="s">
        <v>22335</v>
      </c>
      <c r="BG2198" s="3" t="s">
        <v>22337</v>
      </c>
      <c r="BH2198">
        <f t="shared" si="56"/>
        <v>0</v>
      </c>
    </row>
    <row r="2199" spans="1:60" ht="58" x14ac:dyDescent="0.35">
      <c r="A2199" s="2" t="s">
        <v>59</v>
      </c>
      <c r="B2199" s="2" t="s">
        <v>60</v>
      </c>
      <c r="C2199" s="2" t="s">
        <v>22338</v>
      </c>
      <c r="D2199" s="2" t="s">
        <v>22339</v>
      </c>
      <c r="E2199" s="2" t="s">
        <v>22340</v>
      </c>
      <c r="G2199" s="3" t="s">
        <v>64</v>
      </c>
      <c r="I2199" s="3" t="s">
        <v>64</v>
      </c>
      <c r="J2199" s="3" t="s">
        <v>64</v>
      </c>
      <c r="K2199" s="3" t="s">
        <v>65</v>
      </c>
      <c r="L2199" s="2" t="s">
        <v>22341</v>
      </c>
      <c r="M2199" s="2" t="s">
        <v>22342</v>
      </c>
      <c r="N2199" s="3" t="s">
        <v>1075</v>
      </c>
      <c r="P2199" s="3" t="s">
        <v>102</v>
      </c>
      <c r="Q2199" s="2" t="s">
        <v>14045</v>
      </c>
      <c r="R2199" s="3" t="s">
        <v>70</v>
      </c>
      <c r="S2199" s="4">
        <v>3</v>
      </c>
      <c r="T2199" s="4">
        <v>3</v>
      </c>
      <c r="U2199" s="5" t="s">
        <v>18733</v>
      </c>
      <c r="V2199" s="5" t="s">
        <v>18733</v>
      </c>
      <c r="W2199" s="5" t="s">
        <v>72</v>
      </c>
      <c r="X2199" s="5" t="s">
        <v>72</v>
      </c>
      <c r="Y2199" s="4">
        <v>465</v>
      </c>
      <c r="Z2199" s="4">
        <v>19</v>
      </c>
      <c r="AA2199" s="4">
        <v>115</v>
      </c>
      <c r="AB2199" s="4">
        <v>1</v>
      </c>
      <c r="AC2199" s="4">
        <v>16</v>
      </c>
      <c r="AD2199" s="4">
        <v>61</v>
      </c>
      <c r="AE2199" s="4">
        <v>125</v>
      </c>
      <c r="AF2199" s="4">
        <v>0</v>
      </c>
      <c r="AG2199" s="4">
        <v>8</v>
      </c>
      <c r="AH2199" s="4">
        <v>57</v>
      </c>
      <c r="AI2199" s="4">
        <v>84</v>
      </c>
      <c r="AJ2199" s="4">
        <v>5</v>
      </c>
      <c r="AK2199" s="4">
        <v>20</v>
      </c>
      <c r="AL2199" s="4">
        <v>24</v>
      </c>
      <c r="AM2199" s="4">
        <v>40</v>
      </c>
      <c r="AN2199" s="4">
        <v>0</v>
      </c>
      <c r="AO2199" s="4">
        <v>0</v>
      </c>
      <c r="AP2199" s="4">
        <v>7</v>
      </c>
      <c r="AQ2199" s="4">
        <v>45</v>
      </c>
      <c r="AR2199" s="3" t="s">
        <v>64</v>
      </c>
      <c r="AS2199" s="3" t="s">
        <v>64</v>
      </c>
      <c r="AT2199" s="3" t="s">
        <v>64</v>
      </c>
      <c r="AV2199" s="6" t="str">
        <f>HYPERLINK("http://mcgill.on.worldcat.org/oclc/794711877","Catalog Record")</f>
        <v>Catalog Record</v>
      </c>
      <c r="AW2199" s="6" t="str">
        <f>HYPERLINK("http://www.worldcat.org/oclc/794711877","WorldCat Record")</f>
        <v>WorldCat Record</v>
      </c>
      <c r="AX2199" s="3" t="s">
        <v>22343</v>
      </c>
      <c r="AY2199" s="3" t="s">
        <v>22344</v>
      </c>
      <c r="AZ2199" s="3" t="s">
        <v>22345</v>
      </c>
      <c r="BA2199" s="3" t="s">
        <v>22345</v>
      </c>
      <c r="BB2199" s="3" t="s">
        <v>22346</v>
      </c>
      <c r="BC2199" s="3" t="s">
        <v>77</v>
      </c>
      <c r="BD2199" s="3" t="s">
        <v>78</v>
      </c>
      <c r="BE2199" s="3" t="s">
        <v>22347</v>
      </c>
      <c r="BF2199" s="3" t="s">
        <v>22346</v>
      </c>
      <c r="BG2199" s="3" t="s">
        <v>22348</v>
      </c>
      <c r="BH2199">
        <f t="shared" si="56"/>
        <v>0</v>
      </c>
    </row>
    <row r="2200" spans="1:60" ht="58" x14ac:dyDescent="0.35">
      <c r="A2200" s="2" t="s">
        <v>59</v>
      </c>
      <c r="B2200" s="2" t="s">
        <v>60</v>
      </c>
      <c r="C2200" s="2" t="s">
        <v>22349</v>
      </c>
      <c r="D2200" s="2" t="s">
        <v>22350</v>
      </c>
      <c r="E2200" s="2" t="s">
        <v>22351</v>
      </c>
      <c r="G2200" s="3" t="s">
        <v>64</v>
      </c>
      <c r="I2200" s="3" t="s">
        <v>64</v>
      </c>
      <c r="J2200" s="3" t="s">
        <v>64</v>
      </c>
      <c r="K2200" s="3" t="s">
        <v>65</v>
      </c>
      <c r="L2200" s="2" t="s">
        <v>22352</v>
      </c>
      <c r="M2200" s="2" t="s">
        <v>17465</v>
      </c>
      <c r="N2200" s="3" t="s">
        <v>190</v>
      </c>
      <c r="P2200" s="3" t="s">
        <v>102</v>
      </c>
      <c r="R2200" s="3" t="s">
        <v>70</v>
      </c>
      <c r="S2200" s="4">
        <v>1</v>
      </c>
      <c r="T2200" s="4">
        <v>1</v>
      </c>
      <c r="U2200" s="5" t="s">
        <v>22353</v>
      </c>
      <c r="V2200" s="5" t="s">
        <v>22353</v>
      </c>
      <c r="W2200" s="5" t="s">
        <v>72</v>
      </c>
      <c r="X2200" s="5" t="s">
        <v>72</v>
      </c>
      <c r="Y2200" s="4">
        <v>427</v>
      </c>
      <c r="Z2200" s="4">
        <v>13</v>
      </c>
      <c r="AA2200" s="4">
        <v>76</v>
      </c>
      <c r="AB2200" s="4">
        <v>1</v>
      </c>
      <c r="AC2200" s="4">
        <v>14</v>
      </c>
      <c r="AD2200" s="4">
        <v>64</v>
      </c>
      <c r="AE2200" s="4">
        <v>113</v>
      </c>
      <c r="AF2200" s="4">
        <v>0</v>
      </c>
      <c r="AG2200" s="4">
        <v>8</v>
      </c>
      <c r="AH2200" s="4">
        <v>58</v>
      </c>
      <c r="AI2200" s="4">
        <v>78</v>
      </c>
      <c r="AJ2200" s="4">
        <v>6</v>
      </c>
      <c r="AK2200" s="4">
        <v>19</v>
      </c>
      <c r="AL2200" s="4">
        <v>29</v>
      </c>
      <c r="AM2200" s="4">
        <v>40</v>
      </c>
      <c r="AN2200" s="4">
        <v>0</v>
      </c>
      <c r="AO2200" s="4">
        <v>0</v>
      </c>
      <c r="AP2200" s="4">
        <v>8</v>
      </c>
      <c r="AQ2200" s="4">
        <v>39</v>
      </c>
      <c r="AR2200" s="3" t="s">
        <v>64</v>
      </c>
      <c r="AS2200" s="3" t="s">
        <v>64</v>
      </c>
      <c r="AT2200" s="3" t="s">
        <v>64</v>
      </c>
      <c r="AV2200" s="6" t="str">
        <f>HYPERLINK("http://mcgill.on.worldcat.org/oclc/1007497324","Catalog Record")</f>
        <v>Catalog Record</v>
      </c>
      <c r="AW2200" s="6" t="str">
        <f>HYPERLINK("http://www.worldcat.org/oclc/1007497324","WorldCat Record")</f>
        <v>WorldCat Record</v>
      </c>
      <c r="AX2200" s="3" t="s">
        <v>22354</v>
      </c>
      <c r="AY2200" s="3" t="s">
        <v>22355</v>
      </c>
      <c r="AZ2200" s="3" t="s">
        <v>22356</v>
      </c>
      <c r="BA2200" s="3" t="s">
        <v>22356</v>
      </c>
      <c r="BB2200" s="3" t="s">
        <v>22357</v>
      </c>
      <c r="BC2200" s="3" t="s">
        <v>77</v>
      </c>
      <c r="BD2200" s="3" t="s">
        <v>78</v>
      </c>
      <c r="BE2200" s="3" t="s">
        <v>22358</v>
      </c>
      <c r="BF2200" s="3" t="s">
        <v>22357</v>
      </c>
      <c r="BG2200" s="3" t="s">
        <v>22359</v>
      </c>
      <c r="BH2200">
        <f t="shared" si="56"/>
        <v>0</v>
      </c>
    </row>
    <row r="2201" spans="1:60" ht="58" x14ac:dyDescent="0.35">
      <c r="A2201" s="2" t="s">
        <v>59</v>
      </c>
      <c r="B2201" s="2" t="s">
        <v>60</v>
      </c>
      <c r="C2201" s="2" t="s">
        <v>22360</v>
      </c>
      <c r="D2201" s="2" t="s">
        <v>22361</v>
      </c>
      <c r="E2201" s="2" t="s">
        <v>22362</v>
      </c>
      <c r="G2201" s="3" t="s">
        <v>64</v>
      </c>
      <c r="I2201" s="3" t="s">
        <v>64</v>
      </c>
      <c r="J2201" s="3" t="s">
        <v>64</v>
      </c>
      <c r="K2201" s="3" t="s">
        <v>65</v>
      </c>
      <c r="L2201" s="2" t="s">
        <v>22363</v>
      </c>
      <c r="M2201" s="2" t="s">
        <v>22364</v>
      </c>
      <c r="N2201" s="3" t="s">
        <v>511</v>
      </c>
      <c r="O2201" s="2" t="s">
        <v>2149</v>
      </c>
      <c r="P2201" s="3" t="s">
        <v>102</v>
      </c>
      <c r="R2201" s="3" t="s">
        <v>70</v>
      </c>
      <c r="S2201" s="4">
        <v>12</v>
      </c>
      <c r="T2201" s="4">
        <v>12</v>
      </c>
      <c r="U2201" s="5" t="s">
        <v>22365</v>
      </c>
      <c r="V2201" s="5" t="s">
        <v>22365</v>
      </c>
      <c r="W2201" s="5" t="s">
        <v>72</v>
      </c>
      <c r="X2201" s="5" t="s">
        <v>72</v>
      </c>
      <c r="Y2201" s="4">
        <v>2533</v>
      </c>
      <c r="Z2201" s="4">
        <v>82</v>
      </c>
      <c r="AA2201" s="4">
        <v>102</v>
      </c>
      <c r="AB2201" s="4">
        <v>6</v>
      </c>
      <c r="AC2201" s="4">
        <v>10</v>
      </c>
      <c r="AD2201" s="4">
        <v>124</v>
      </c>
      <c r="AE2201" s="4">
        <v>130</v>
      </c>
      <c r="AF2201" s="4">
        <v>2</v>
      </c>
      <c r="AG2201" s="4">
        <v>3</v>
      </c>
      <c r="AH2201" s="4">
        <v>105</v>
      </c>
      <c r="AI2201" s="4">
        <v>105</v>
      </c>
      <c r="AJ2201" s="4">
        <v>14</v>
      </c>
      <c r="AK2201" s="4">
        <v>18</v>
      </c>
      <c r="AL2201" s="4">
        <v>59</v>
      </c>
      <c r="AM2201" s="4">
        <v>59</v>
      </c>
      <c r="AN2201" s="4">
        <v>0</v>
      </c>
      <c r="AO2201" s="4">
        <v>0</v>
      </c>
      <c r="AP2201" s="4">
        <v>22</v>
      </c>
      <c r="AQ2201" s="4">
        <v>27</v>
      </c>
      <c r="AR2201" s="3" t="s">
        <v>64</v>
      </c>
      <c r="AS2201" s="3" t="s">
        <v>64</v>
      </c>
      <c r="AT2201" s="3" t="s">
        <v>64</v>
      </c>
      <c r="AV2201" s="6" t="str">
        <f>HYPERLINK("http://mcgill.on.worldcat.org/oclc/310399335","Catalog Record")</f>
        <v>Catalog Record</v>
      </c>
      <c r="AW2201" s="6" t="str">
        <f>HYPERLINK("http://www.worldcat.org/oclc/310399335","WorldCat Record")</f>
        <v>WorldCat Record</v>
      </c>
      <c r="AX2201" s="3" t="s">
        <v>22366</v>
      </c>
      <c r="AY2201" s="3" t="s">
        <v>22367</v>
      </c>
      <c r="AZ2201" s="3" t="s">
        <v>22368</v>
      </c>
      <c r="BA2201" s="3" t="s">
        <v>22368</v>
      </c>
      <c r="BB2201" s="3" t="s">
        <v>22369</v>
      </c>
      <c r="BC2201" s="3" t="s">
        <v>77</v>
      </c>
      <c r="BD2201" s="3" t="s">
        <v>78</v>
      </c>
      <c r="BE2201" s="3" t="s">
        <v>22370</v>
      </c>
      <c r="BF2201" s="3" t="s">
        <v>22369</v>
      </c>
      <c r="BG2201" s="3" t="s">
        <v>22371</v>
      </c>
      <c r="BH2201">
        <f t="shared" si="56"/>
        <v>0</v>
      </c>
    </row>
    <row r="2202" spans="1:60" ht="58" x14ac:dyDescent="0.35">
      <c r="A2202" s="2" t="s">
        <v>59</v>
      </c>
      <c r="B2202" s="2" t="s">
        <v>60</v>
      </c>
      <c r="C2202" s="2" t="s">
        <v>22372</v>
      </c>
      <c r="D2202" s="2" t="s">
        <v>22373</v>
      </c>
      <c r="E2202" s="2" t="s">
        <v>22374</v>
      </c>
      <c r="G2202" s="3" t="s">
        <v>64</v>
      </c>
      <c r="I2202" s="3" t="s">
        <v>64</v>
      </c>
      <c r="J2202" s="3" t="s">
        <v>64</v>
      </c>
      <c r="K2202" s="3" t="s">
        <v>65</v>
      </c>
      <c r="L2202" s="2" t="s">
        <v>22375</v>
      </c>
      <c r="M2202" s="2" t="s">
        <v>22376</v>
      </c>
      <c r="N2202" s="3" t="s">
        <v>551</v>
      </c>
      <c r="P2202" s="3" t="s">
        <v>102</v>
      </c>
      <c r="R2202" s="3" t="s">
        <v>70</v>
      </c>
      <c r="S2202" s="4">
        <v>7</v>
      </c>
      <c r="T2202" s="4">
        <v>7</v>
      </c>
      <c r="U2202" s="5" t="s">
        <v>14905</v>
      </c>
      <c r="V2202" s="5" t="s">
        <v>14905</v>
      </c>
      <c r="W2202" s="5" t="s">
        <v>72</v>
      </c>
      <c r="X2202" s="5" t="s">
        <v>72</v>
      </c>
      <c r="Y2202" s="4">
        <v>311</v>
      </c>
      <c r="Z2202" s="4">
        <v>35</v>
      </c>
      <c r="AA2202" s="4">
        <v>119</v>
      </c>
      <c r="AB2202" s="4">
        <v>5</v>
      </c>
      <c r="AC2202" s="4">
        <v>20</v>
      </c>
      <c r="AD2202" s="4">
        <v>34</v>
      </c>
      <c r="AE2202" s="4">
        <v>94</v>
      </c>
      <c r="AF2202" s="4">
        <v>1</v>
      </c>
      <c r="AG2202" s="4">
        <v>8</v>
      </c>
      <c r="AH2202" s="4">
        <v>28</v>
      </c>
      <c r="AI2202" s="4">
        <v>60</v>
      </c>
      <c r="AJ2202" s="4">
        <v>8</v>
      </c>
      <c r="AK2202" s="4">
        <v>18</v>
      </c>
      <c r="AL2202" s="4">
        <v>16</v>
      </c>
      <c r="AM2202" s="4">
        <v>28</v>
      </c>
      <c r="AN2202" s="4">
        <v>0</v>
      </c>
      <c r="AO2202" s="4">
        <v>0</v>
      </c>
      <c r="AP2202" s="4">
        <v>10</v>
      </c>
      <c r="AQ2202" s="4">
        <v>41</v>
      </c>
      <c r="AR2202" s="3" t="s">
        <v>64</v>
      </c>
      <c r="AS2202" s="3" t="s">
        <v>64</v>
      </c>
      <c r="AT2202" s="3" t="s">
        <v>128</v>
      </c>
      <c r="AU2202" s="6" t="str">
        <f>HYPERLINK("http://catalog.hathitrust.org/Record/006082912","HathiTrust Record")</f>
        <v>HathiTrust Record</v>
      </c>
      <c r="AV2202" s="6" t="str">
        <f>HYPERLINK("http://mcgill.on.worldcat.org/oclc/299381222","Catalog Record")</f>
        <v>Catalog Record</v>
      </c>
      <c r="AW2202" s="6" t="str">
        <f>HYPERLINK("http://www.worldcat.org/oclc/299381222","WorldCat Record")</f>
        <v>WorldCat Record</v>
      </c>
      <c r="AX2202" s="3" t="s">
        <v>22377</v>
      </c>
      <c r="AY2202" s="3" t="s">
        <v>22378</v>
      </c>
      <c r="AZ2202" s="3" t="s">
        <v>22379</v>
      </c>
      <c r="BA2202" s="3" t="s">
        <v>22379</v>
      </c>
      <c r="BB2202" s="3" t="s">
        <v>22380</v>
      </c>
      <c r="BC2202" s="3" t="s">
        <v>77</v>
      </c>
      <c r="BD2202" s="3" t="s">
        <v>78</v>
      </c>
      <c r="BE2202" s="3" t="s">
        <v>22381</v>
      </c>
      <c r="BF2202" s="3" t="s">
        <v>22380</v>
      </c>
      <c r="BG2202" s="3" t="s">
        <v>22382</v>
      </c>
      <c r="BH2202">
        <f t="shared" si="56"/>
        <v>0</v>
      </c>
    </row>
    <row r="2203" spans="1:60" ht="58" x14ac:dyDescent="0.35">
      <c r="A2203" s="2" t="s">
        <v>59</v>
      </c>
      <c r="B2203" s="2" t="s">
        <v>60</v>
      </c>
      <c r="C2203" s="2" t="s">
        <v>22383</v>
      </c>
      <c r="D2203" s="2" t="s">
        <v>22384</v>
      </c>
      <c r="E2203" s="2" t="s">
        <v>22385</v>
      </c>
      <c r="G2203" s="3" t="s">
        <v>64</v>
      </c>
      <c r="I2203" s="3" t="s">
        <v>64</v>
      </c>
      <c r="J2203" s="3" t="s">
        <v>64</v>
      </c>
      <c r="K2203" s="3" t="s">
        <v>65</v>
      </c>
      <c r="M2203" s="2" t="s">
        <v>22386</v>
      </c>
      <c r="N2203" s="3" t="s">
        <v>67</v>
      </c>
      <c r="P2203" s="3" t="s">
        <v>102</v>
      </c>
      <c r="R2203" s="3" t="s">
        <v>70</v>
      </c>
      <c r="S2203" s="4">
        <v>4</v>
      </c>
      <c r="T2203" s="4">
        <v>4</v>
      </c>
      <c r="U2203" s="5" t="s">
        <v>687</v>
      </c>
      <c r="V2203" s="5" t="s">
        <v>687</v>
      </c>
      <c r="W2203" s="5" t="s">
        <v>72</v>
      </c>
      <c r="X2203" s="5" t="s">
        <v>72</v>
      </c>
      <c r="Y2203" s="4">
        <v>302</v>
      </c>
      <c r="Z2203" s="4">
        <v>17</v>
      </c>
      <c r="AA2203" s="4">
        <v>23</v>
      </c>
      <c r="AB2203" s="4">
        <v>1</v>
      </c>
      <c r="AC2203" s="4">
        <v>7</v>
      </c>
      <c r="AD2203" s="4">
        <v>72</v>
      </c>
      <c r="AE2203" s="4">
        <v>76</v>
      </c>
      <c r="AF2203" s="4">
        <v>0</v>
      </c>
      <c r="AG2203" s="4">
        <v>2</v>
      </c>
      <c r="AH2203" s="4">
        <v>66</v>
      </c>
      <c r="AI2203" s="4">
        <v>68</v>
      </c>
      <c r="AJ2203" s="4">
        <v>10</v>
      </c>
      <c r="AK2203" s="4">
        <v>12</v>
      </c>
      <c r="AL2203" s="4">
        <v>37</v>
      </c>
      <c r="AM2203" s="4">
        <v>38</v>
      </c>
      <c r="AN2203" s="4">
        <v>0</v>
      </c>
      <c r="AO2203" s="4">
        <v>0</v>
      </c>
      <c r="AP2203" s="4">
        <v>10</v>
      </c>
      <c r="AQ2203" s="4">
        <v>11</v>
      </c>
      <c r="AR2203" s="3" t="s">
        <v>64</v>
      </c>
      <c r="AS2203" s="3" t="s">
        <v>64</v>
      </c>
      <c r="AT2203" s="3" t="s">
        <v>64</v>
      </c>
      <c r="AV2203" s="6" t="str">
        <f>HYPERLINK("http://mcgill.on.worldcat.org/oclc/878224740","Catalog Record")</f>
        <v>Catalog Record</v>
      </c>
      <c r="AW2203" s="6" t="str">
        <f>HYPERLINK("http://www.worldcat.org/oclc/878224740","WorldCat Record")</f>
        <v>WorldCat Record</v>
      </c>
      <c r="AX2203" s="3" t="s">
        <v>22387</v>
      </c>
      <c r="AY2203" s="3" t="s">
        <v>22388</v>
      </c>
      <c r="AZ2203" s="3" t="s">
        <v>22389</v>
      </c>
      <c r="BA2203" s="3" t="s">
        <v>22389</v>
      </c>
      <c r="BB2203" s="3" t="s">
        <v>22390</v>
      </c>
      <c r="BC2203" s="3" t="s">
        <v>77</v>
      </c>
      <c r="BD2203" s="3" t="s">
        <v>78</v>
      </c>
      <c r="BE2203" s="3" t="s">
        <v>22391</v>
      </c>
      <c r="BF2203" s="3" t="s">
        <v>22390</v>
      </c>
      <c r="BG2203" s="3" t="s">
        <v>22392</v>
      </c>
      <c r="BH2203">
        <f t="shared" si="56"/>
        <v>0</v>
      </c>
    </row>
    <row r="2204" spans="1:60" ht="58" x14ac:dyDescent="0.35">
      <c r="A2204" s="2" t="s">
        <v>59</v>
      </c>
      <c r="B2204" s="2" t="s">
        <v>60</v>
      </c>
      <c r="C2204" s="2" t="s">
        <v>22393</v>
      </c>
      <c r="D2204" s="2" t="s">
        <v>22394</v>
      </c>
      <c r="E2204" s="2" t="s">
        <v>22395</v>
      </c>
      <c r="G2204" s="3" t="s">
        <v>64</v>
      </c>
      <c r="I2204" s="3" t="s">
        <v>64</v>
      </c>
      <c r="J2204" s="3" t="s">
        <v>64</v>
      </c>
      <c r="K2204" s="3" t="s">
        <v>65</v>
      </c>
      <c r="L2204" s="2" t="s">
        <v>22396</v>
      </c>
      <c r="M2204" s="2" t="s">
        <v>22397</v>
      </c>
      <c r="N2204" s="3" t="s">
        <v>511</v>
      </c>
      <c r="P2204" s="3" t="s">
        <v>102</v>
      </c>
      <c r="Q2204" s="2" t="s">
        <v>8981</v>
      </c>
      <c r="R2204" s="3" t="s">
        <v>70</v>
      </c>
      <c r="S2204" s="4">
        <v>1</v>
      </c>
      <c r="T2204" s="4">
        <v>1</v>
      </c>
      <c r="U2204" s="5" t="s">
        <v>22398</v>
      </c>
      <c r="V2204" s="5" t="s">
        <v>22398</v>
      </c>
      <c r="W2204" s="5" t="s">
        <v>72</v>
      </c>
      <c r="X2204" s="5" t="s">
        <v>72</v>
      </c>
      <c r="Y2204" s="4">
        <v>185</v>
      </c>
      <c r="Z2204" s="4">
        <v>16</v>
      </c>
      <c r="AA2204" s="4">
        <v>32</v>
      </c>
      <c r="AB2204" s="4">
        <v>1</v>
      </c>
      <c r="AC2204" s="4">
        <v>6</v>
      </c>
      <c r="AD2204" s="4">
        <v>39</v>
      </c>
      <c r="AE2204" s="4">
        <v>63</v>
      </c>
      <c r="AF2204" s="4">
        <v>0</v>
      </c>
      <c r="AG2204" s="4">
        <v>2</v>
      </c>
      <c r="AH2204" s="4">
        <v>35</v>
      </c>
      <c r="AI2204" s="4">
        <v>52</v>
      </c>
      <c r="AJ2204" s="4">
        <v>9</v>
      </c>
      <c r="AK2204" s="4">
        <v>14</v>
      </c>
      <c r="AL2204" s="4">
        <v>19</v>
      </c>
      <c r="AM2204" s="4">
        <v>26</v>
      </c>
      <c r="AN2204" s="4">
        <v>0</v>
      </c>
      <c r="AO2204" s="4">
        <v>0</v>
      </c>
      <c r="AP2204" s="4">
        <v>10</v>
      </c>
      <c r="AQ2204" s="4">
        <v>17</v>
      </c>
      <c r="AR2204" s="3" t="s">
        <v>64</v>
      </c>
      <c r="AS2204" s="3" t="s">
        <v>64</v>
      </c>
      <c r="AT2204" s="3" t="s">
        <v>64</v>
      </c>
      <c r="AV2204" s="6" t="str">
        <f>HYPERLINK("http://mcgill.on.worldcat.org/oclc/232713012","Catalog Record")</f>
        <v>Catalog Record</v>
      </c>
      <c r="AW2204" s="6" t="str">
        <f>HYPERLINK("http://www.worldcat.org/oclc/232713012","WorldCat Record")</f>
        <v>WorldCat Record</v>
      </c>
      <c r="AX2204" s="3" t="s">
        <v>22399</v>
      </c>
      <c r="AY2204" s="3" t="s">
        <v>22400</v>
      </c>
      <c r="AZ2204" s="3" t="s">
        <v>22401</v>
      </c>
      <c r="BA2204" s="3" t="s">
        <v>22401</v>
      </c>
      <c r="BB2204" s="3" t="s">
        <v>22402</v>
      </c>
      <c r="BC2204" s="3" t="s">
        <v>77</v>
      </c>
      <c r="BD2204" s="3" t="s">
        <v>78</v>
      </c>
      <c r="BE2204" s="3" t="s">
        <v>22403</v>
      </c>
      <c r="BF2204" s="3" t="s">
        <v>22402</v>
      </c>
      <c r="BG2204" s="3" t="s">
        <v>22404</v>
      </c>
      <c r="BH2204">
        <f t="shared" si="56"/>
        <v>0</v>
      </c>
    </row>
    <row r="2205" spans="1:60" ht="58" x14ac:dyDescent="0.35">
      <c r="A2205" s="2" t="s">
        <v>59</v>
      </c>
      <c r="B2205" s="2" t="s">
        <v>60</v>
      </c>
      <c r="C2205" s="2" t="s">
        <v>22405</v>
      </c>
      <c r="D2205" s="2" t="s">
        <v>22406</v>
      </c>
      <c r="E2205" s="2" t="s">
        <v>22407</v>
      </c>
      <c r="G2205" s="3" t="s">
        <v>64</v>
      </c>
      <c r="I2205" s="3" t="s">
        <v>64</v>
      </c>
      <c r="J2205" s="3" t="s">
        <v>64</v>
      </c>
      <c r="K2205" s="3" t="s">
        <v>65</v>
      </c>
      <c r="L2205" s="2" t="s">
        <v>20216</v>
      </c>
      <c r="M2205" s="2" t="s">
        <v>22408</v>
      </c>
      <c r="N2205" s="3" t="s">
        <v>291</v>
      </c>
      <c r="P2205" s="3" t="s">
        <v>102</v>
      </c>
      <c r="R2205" s="3" t="s">
        <v>70</v>
      </c>
      <c r="S2205" s="4">
        <v>3</v>
      </c>
      <c r="T2205" s="4">
        <v>3</v>
      </c>
      <c r="U2205" s="5" t="s">
        <v>19060</v>
      </c>
      <c r="V2205" s="5" t="s">
        <v>19060</v>
      </c>
      <c r="W2205" s="5" t="s">
        <v>72</v>
      </c>
      <c r="X2205" s="5" t="s">
        <v>72</v>
      </c>
      <c r="Y2205" s="4">
        <v>379</v>
      </c>
      <c r="Z2205" s="4">
        <v>19</v>
      </c>
      <c r="AA2205" s="4">
        <v>83</v>
      </c>
      <c r="AB2205" s="4">
        <v>1</v>
      </c>
      <c r="AC2205" s="4">
        <v>15</v>
      </c>
      <c r="AD2205" s="4">
        <v>51</v>
      </c>
      <c r="AE2205" s="4">
        <v>99</v>
      </c>
      <c r="AF2205" s="4">
        <v>0</v>
      </c>
      <c r="AG2205" s="4">
        <v>8</v>
      </c>
      <c r="AH2205" s="4">
        <v>45</v>
      </c>
      <c r="AI2205" s="4">
        <v>67</v>
      </c>
      <c r="AJ2205" s="4">
        <v>11</v>
      </c>
      <c r="AK2205" s="4">
        <v>19</v>
      </c>
      <c r="AL2205" s="4">
        <v>26</v>
      </c>
      <c r="AM2205" s="4">
        <v>37</v>
      </c>
      <c r="AN2205" s="4">
        <v>0</v>
      </c>
      <c r="AO2205" s="4">
        <v>0</v>
      </c>
      <c r="AP2205" s="4">
        <v>12</v>
      </c>
      <c r="AQ2205" s="4">
        <v>39</v>
      </c>
      <c r="AR2205" s="3" t="s">
        <v>64</v>
      </c>
      <c r="AS2205" s="3" t="s">
        <v>64</v>
      </c>
      <c r="AT2205" s="3" t="s">
        <v>128</v>
      </c>
      <c r="AU2205" s="6" t="str">
        <f>HYPERLINK("http://catalog.hathitrust.org/Record/005575629","HathiTrust Record")</f>
        <v>HathiTrust Record</v>
      </c>
      <c r="AV2205" s="6" t="str">
        <f>HYPERLINK("http://mcgill.on.worldcat.org/oclc/156780628","Catalog Record")</f>
        <v>Catalog Record</v>
      </c>
      <c r="AW2205" s="6" t="str">
        <f>HYPERLINK("http://www.worldcat.org/oclc/156780628","WorldCat Record")</f>
        <v>WorldCat Record</v>
      </c>
      <c r="AX2205" s="3" t="s">
        <v>22409</v>
      </c>
      <c r="AY2205" s="3" t="s">
        <v>22410</v>
      </c>
      <c r="AZ2205" s="3" t="s">
        <v>22411</v>
      </c>
      <c r="BA2205" s="3" t="s">
        <v>22411</v>
      </c>
      <c r="BB2205" s="3" t="s">
        <v>22412</v>
      </c>
      <c r="BC2205" s="3" t="s">
        <v>77</v>
      </c>
      <c r="BD2205" s="3" t="s">
        <v>78</v>
      </c>
      <c r="BE2205" s="3" t="s">
        <v>22413</v>
      </c>
      <c r="BF2205" s="3" t="s">
        <v>22412</v>
      </c>
      <c r="BG2205" s="3" t="s">
        <v>22414</v>
      </c>
      <c r="BH2205">
        <f t="shared" si="56"/>
        <v>0</v>
      </c>
    </row>
    <row r="2206" spans="1:60" ht="58" x14ac:dyDescent="0.35">
      <c r="A2206" s="2" t="s">
        <v>59</v>
      </c>
      <c r="B2206" s="2" t="s">
        <v>60</v>
      </c>
      <c r="C2206" s="2" t="s">
        <v>22415</v>
      </c>
      <c r="D2206" s="2" t="s">
        <v>22416</v>
      </c>
      <c r="E2206" s="2" t="s">
        <v>22417</v>
      </c>
      <c r="G2206" s="3" t="s">
        <v>64</v>
      </c>
      <c r="I2206" s="3" t="s">
        <v>64</v>
      </c>
      <c r="J2206" s="3" t="s">
        <v>64</v>
      </c>
      <c r="K2206" s="3" t="s">
        <v>65</v>
      </c>
      <c r="L2206" s="2" t="s">
        <v>22418</v>
      </c>
      <c r="M2206" s="2" t="s">
        <v>16229</v>
      </c>
      <c r="N2206" s="3" t="s">
        <v>190</v>
      </c>
      <c r="P2206" s="3" t="s">
        <v>102</v>
      </c>
      <c r="R2206" s="3" t="s">
        <v>70</v>
      </c>
      <c r="S2206" s="4">
        <v>0</v>
      </c>
      <c r="T2206" s="4">
        <v>0</v>
      </c>
      <c r="W2206" s="5" t="s">
        <v>72</v>
      </c>
      <c r="X2206" s="5" t="s">
        <v>72</v>
      </c>
      <c r="Y2206" s="4">
        <v>219</v>
      </c>
      <c r="Z2206" s="4">
        <v>6</v>
      </c>
      <c r="AA2206" s="4">
        <v>8</v>
      </c>
      <c r="AB2206" s="4">
        <v>1</v>
      </c>
      <c r="AC2206" s="4">
        <v>3</v>
      </c>
      <c r="AD2206" s="4">
        <v>30</v>
      </c>
      <c r="AE2206" s="4">
        <v>32</v>
      </c>
      <c r="AF2206" s="4">
        <v>0</v>
      </c>
      <c r="AG2206" s="4">
        <v>2</v>
      </c>
      <c r="AH2206" s="4">
        <v>30</v>
      </c>
      <c r="AI2206" s="4">
        <v>30</v>
      </c>
      <c r="AJ2206" s="4">
        <v>2</v>
      </c>
      <c r="AK2206" s="4">
        <v>4</v>
      </c>
      <c r="AL2206" s="4">
        <v>15</v>
      </c>
      <c r="AM2206" s="4">
        <v>15</v>
      </c>
      <c r="AN2206" s="4">
        <v>0</v>
      </c>
      <c r="AO2206" s="4">
        <v>0</v>
      </c>
      <c r="AP2206" s="4">
        <v>2</v>
      </c>
      <c r="AQ2206" s="4">
        <v>3</v>
      </c>
      <c r="AR2206" s="3" t="s">
        <v>64</v>
      </c>
      <c r="AS2206" s="3" t="s">
        <v>64</v>
      </c>
      <c r="AT2206" s="3" t="s">
        <v>64</v>
      </c>
      <c r="AV2206" s="6" t="str">
        <f>HYPERLINK("http://mcgill.on.worldcat.org/oclc/1004539723","Catalog Record")</f>
        <v>Catalog Record</v>
      </c>
      <c r="AW2206" s="6" t="str">
        <f>HYPERLINK("http://www.worldcat.org/oclc/1004539723","WorldCat Record")</f>
        <v>WorldCat Record</v>
      </c>
      <c r="AX2206" s="3" t="s">
        <v>22419</v>
      </c>
      <c r="AY2206" s="3" t="s">
        <v>22420</v>
      </c>
      <c r="AZ2206" s="3" t="s">
        <v>22421</v>
      </c>
      <c r="BA2206" s="3" t="s">
        <v>22421</v>
      </c>
      <c r="BB2206" s="3" t="s">
        <v>22422</v>
      </c>
      <c r="BC2206" s="3" t="s">
        <v>77</v>
      </c>
      <c r="BD2206" s="3" t="s">
        <v>78</v>
      </c>
      <c r="BE2206" s="3" t="s">
        <v>22423</v>
      </c>
      <c r="BF2206" s="3" t="s">
        <v>22422</v>
      </c>
      <c r="BG2206" s="3" t="s">
        <v>22424</v>
      </c>
      <c r="BH2206">
        <f t="shared" si="56"/>
        <v>0</v>
      </c>
    </row>
    <row r="2207" spans="1:60" ht="58" x14ac:dyDescent="0.35">
      <c r="A2207" s="2" t="s">
        <v>59</v>
      </c>
      <c r="B2207" s="2" t="s">
        <v>60</v>
      </c>
      <c r="C2207" s="2" t="s">
        <v>22425</v>
      </c>
      <c r="D2207" s="2" t="s">
        <v>22426</v>
      </c>
      <c r="E2207" s="2" t="s">
        <v>22427</v>
      </c>
      <c r="G2207" s="3" t="s">
        <v>64</v>
      </c>
      <c r="I2207" s="3" t="s">
        <v>64</v>
      </c>
      <c r="J2207" s="3" t="s">
        <v>64</v>
      </c>
      <c r="K2207" s="3" t="s">
        <v>65</v>
      </c>
      <c r="L2207" s="2" t="s">
        <v>20335</v>
      </c>
      <c r="M2207" s="2" t="s">
        <v>22428</v>
      </c>
      <c r="N2207" s="3" t="s">
        <v>511</v>
      </c>
      <c r="P2207" s="3" t="s">
        <v>102</v>
      </c>
      <c r="Q2207" s="2" t="s">
        <v>22429</v>
      </c>
      <c r="R2207" s="3" t="s">
        <v>70</v>
      </c>
      <c r="S2207" s="4">
        <v>8</v>
      </c>
      <c r="T2207" s="4">
        <v>8</v>
      </c>
      <c r="U2207" s="5" t="s">
        <v>22430</v>
      </c>
      <c r="V2207" s="5" t="s">
        <v>22430</v>
      </c>
      <c r="W2207" s="5" t="s">
        <v>72</v>
      </c>
      <c r="X2207" s="5" t="s">
        <v>72</v>
      </c>
      <c r="Y2207" s="4">
        <v>339</v>
      </c>
      <c r="Z2207" s="4">
        <v>16</v>
      </c>
      <c r="AA2207" s="4">
        <v>17</v>
      </c>
      <c r="AB2207" s="4">
        <v>2</v>
      </c>
      <c r="AC2207" s="4">
        <v>3</v>
      </c>
      <c r="AD2207" s="4">
        <v>61</v>
      </c>
      <c r="AE2207" s="4">
        <v>62</v>
      </c>
      <c r="AF2207" s="4">
        <v>0</v>
      </c>
      <c r="AG2207" s="4">
        <v>1</v>
      </c>
      <c r="AH2207" s="4">
        <v>59</v>
      </c>
      <c r="AI2207" s="4">
        <v>60</v>
      </c>
      <c r="AJ2207" s="4">
        <v>7</v>
      </c>
      <c r="AK2207" s="4">
        <v>8</v>
      </c>
      <c r="AL2207" s="4">
        <v>31</v>
      </c>
      <c r="AM2207" s="4">
        <v>31</v>
      </c>
      <c r="AN2207" s="4">
        <v>0</v>
      </c>
      <c r="AO2207" s="4">
        <v>0</v>
      </c>
      <c r="AP2207" s="4">
        <v>7</v>
      </c>
      <c r="AQ2207" s="4">
        <v>8</v>
      </c>
      <c r="AR2207" s="3" t="s">
        <v>64</v>
      </c>
      <c r="AS2207" s="3" t="s">
        <v>64</v>
      </c>
      <c r="AT2207" s="3" t="s">
        <v>64</v>
      </c>
      <c r="AV2207" s="6" t="str">
        <f>HYPERLINK("http://mcgill.on.worldcat.org/oclc/607321629","Catalog Record")</f>
        <v>Catalog Record</v>
      </c>
      <c r="AW2207" s="6" t="str">
        <f>HYPERLINK("http://www.worldcat.org/oclc/607321629","WorldCat Record")</f>
        <v>WorldCat Record</v>
      </c>
      <c r="AX2207" s="3" t="s">
        <v>22431</v>
      </c>
      <c r="AY2207" s="3" t="s">
        <v>22432</v>
      </c>
      <c r="AZ2207" s="3" t="s">
        <v>22433</v>
      </c>
      <c r="BA2207" s="3" t="s">
        <v>22433</v>
      </c>
      <c r="BB2207" s="3" t="s">
        <v>22434</v>
      </c>
      <c r="BC2207" s="3" t="s">
        <v>77</v>
      </c>
      <c r="BD2207" s="3" t="s">
        <v>78</v>
      </c>
      <c r="BE2207" s="3" t="s">
        <v>22435</v>
      </c>
      <c r="BF2207" s="3" t="s">
        <v>22434</v>
      </c>
      <c r="BG2207" s="3" t="s">
        <v>22436</v>
      </c>
      <c r="BH2207">
        <f t="shared" si="56"/>
        <v>0</v>
      </c>
    </row>
    <row r="2208" spans="1:60" ht="58" x14ac:dyDescent="0.35">
      <c r="A2208" s="2" t="s">
        <v>59</v>
      </c>
      <c r="B2208" s="2" t="s">
        <v>60</v>
      </c>
      <c r="C2208" s="2" t="s">
        <v>22437</v>
      </c>
      <c r="D2208" s="2" t="s">
        <v>22438</v>
      </c>
      <c r="E2208" s="2" t="s">
        <v>22439</v>
      </c>
      <c r="G2208" s="3" t="s">
        <v>64</v>
      </c>
      <c r="I2208" s="3" t="s">
        <v>64</v>
      </c>
      <c r="J2208" s="3" t="s">
        <v>64</v>
      </c>
      <c r="K2208" s="3" t="s">
        <v>65</v>
      </c>
      <c r="M2208" s="2" t="s">
        <v>14487</v>
      </c>
      <c r="N2208" s="3" t="s">
        <v>67</v>
      </c>
      <c r="P2208" s="3" t="s">
        <v>102</v>
      </c>
      <c r="R2208" s="3" t="s">
        <v>70</v>
      </c>
      <c r="S2208" s="4">
        <v>1</v>
      </c>
      <c r="T2208" s="4">
        <v>1</v>
      </c>
      <c r="U2208" s="5" t="s">
        <v>15435</v>
      </c>
      <c r="V2208" s="5" t="s">
        <v>15435</v>
      </c>
      <c r="W2208" s="5" t="s">
        <v>72</v>
      </c>
      <c r="X2208" s="5" t="s">
        <v>72</v>
      </c>
      <c r="Y2208" s="4">
        <v>66</v>
      </c>
      <c r="Z2208" s="4">
        <v>32</v>
      </c>
      <c r="AA2208" s="4">
        <v>40</v>
      </c>
      <c r="AB2208" s="4">
        <v>2</v>
      </c>
      <c r="AC2208" s="4">
        <v>7</v>
      </c>
      <c r="AD2208" s="4">
        <v>43</v>
      </c>
      <c r="AE2208" s="4">
        <v>51</v>
      </c>
      <c r="AF2208" s="4">
        <v>1</v>
      </c>
      <c r="AG2208" s="4">
        <v>3</v>
      </c>
      <c r="AH2208" s="4">
        <v>27</v>
      </c>
      <c r="AI2208" s="4">
        <v>33</v>
      </c>
      <c r="AJ2208" s="4">
        <v>17</v>
      </c>
      <c r="AK2208" s="4">
        <v>20</v>
      </c>
      <c r="AL2208" s="4">
        <v>13</v>
      </c>
      <c r="AM2208" s="4">
        <v>15</v>
      </c>
      <c r="AN2208" s="4">
        <v>0</v>
      </c>
      <c r="AO2208" s="4">
        <v>0</v>
      </c>
      <c r="AP2208" s="4">
        <v>25</v>
      </c>
      <c r="AQ2208" s="4">
        <v>28</v>
      </c>
      <c r="AR2208" s="3" t="s">
        <v>64</v>
      </c>
      <c r="AS2208" s="3" t="s">
        <v>64</v>
      </c>
      <c r="AT2208" s="3" t="s">
        <v>64</v>
      </c>
      <c r="AV2208" s="6" t="str">
        <f>HYPERLINK("http://mcgill.on.worldcat.org/oclc/879329831","Catalog Record")</f>
        <v>Catalog Record</v>
      </c>
      <c r="AW2208" s="6" t="str">
        <f>HYPERLINK("http://www.worldcat.org/oclc/879329831","WorldCat Record")</f>
        <v>WorldCat Record</v>
      </c>
      <c r="AX2208" s="3" t="s">
        <v>22440</v>
      </c>
      <c r="AY2208" s="3" t="s">
        <v>22441</v>
      </c>
      <c r="AZ2208" s="3" t="s">
        <v>22442</v>
      </c>
      <c r="BA2208" s="3" t="s">
        <v>22442</v>
      </c>
      <c r="BB2208" s="3" t="s">
        <v>22443</v>
      </c>
      <c r="BC2208" s="3" t="s">
        <v>77</v>
      </c>
      <c r="BD2208" s="3" t="s">
        <v>78</v>
      </c>
      <c r="BE2208" s="3" t="s">
        <v>22444</v>
      </c>
      <c r="BF2208" s="3" t="s">
        <v>22443</v>
      </c>
      <c r="BG2208" s="3" t="s">
        <v>22445</v>
      </c>
      <c r="BH2208">
        <f t="shared" si="56"/>
        <v>0</v>
      </c>
    </row>
    <row r="2209" spans="1:60" ht="72.5" x14ac:dyDescent="0.35">
      <c r="A2209" s="2" t="s">
        <v>59</v>
      </c>
      <c r="B2209" s="2" t="s">
        <v>60</v>
      </c>
      <c r="C2209" s="2" t="s">
        <v>22446</v>
      </c>
      <c r="D2209" s="2" t="s">
        <v>22447</v>
      </c>
      <c r="E2209" s="2" t="s">
        <v>22448</v>
      </c>
      <c r="G2209" s="3" t="s">
        <v>64</v>
      </c>
      <c r="I2209" s="3" t="s">
        <v>64</v>
      </c>
      <c r="J2209" s="3" t="s">
        <v>64</v>
      </c>
      <c r="K2209" s="3" t="s">
        <v>65</v>
      </c>
      <c r="M2209" s="2" t="s">
        <v>22449</v>
      </c>
      <c r="N2209" s="3" t="s">
        <v>326</v>
      </c>
      <c r="P2209" s="3" t="s">
        <v>102</v>
      </c>
      <c r="R2209" s="3" t="s">
        <v>70</v>
      </c>
      <c r="S2209" s="4">
        <v>4</v>
      </c>
      <c r="T2209" s="4">
        <v>4</v>
      </c>
      <c r="U2209" s="5" t="s">
        <v>18028</v>
      </c>
      <c r="V2209" s="5" t="s">
        <v>18028</v>
      </c>
      <c r="W2209" s="5" t="s">
        <v>72</v>
      </c>
      <c r="X2209" s="5" t="s">
        <v>72</v>
      </c>
      <c r="Y2209" s="4">
        <v>158</v>
      </c>
      <c r="Z2209" s="4">
        <v>13</v>
      </c>
      <c r="AA2209" s="4">
        <v>22</v>
      </c>
      <c r="AB2209" s="4">
        <v>2</v>
      </c>
      <c r="AC2209" s="4">
        <v>7</v>
      </c>
      <c r="AD2209" s="4">
        <v>44</v>
      </c>
      <c r="AE2209" s="4">
        <v>58</v>
      </c>
      <c r="AF2209" s="4">
        <v>0</v>
      </c>
      <c r="AG2209" s="4">
        <v>2</v>
      </c>
      <c r="AH2209" s="4">
        <v>41</v>
      </c>
      <c r="AI2209" s="4">
        <v>52</v>
      </c>
      <c r="AJ2209" s="4">
        <v>7</v>
      </c>
      <c r="AK2209" s="4">
        <v>13</v>
      </c>
      <c r="AL2209" s="4">
        <v>23</v>
      </c>
      <c r="AM2209" s="4">
        <v>29</v>
      </c>
      <c r="AN2209" s="4">
        <v>0</v>
      </c>
      <c r="AO2209" s="4">
        <v>0</v>
      </c>
      <c r="AP2209" s="4">
        <v>6</v>
      </c>
      <c r="AQ2209" s="4">
        <v>11</v>
      </c>
      <c r="AR2209" s="3" t="s">
        <v>64</v>
      </c>
      <c r="AS2209" s="3" t="s">
        <v>64</v>
      </c>
      <c r="AT2209" s="3" t="s">
        <v>64</v>
      </c>
      <c r="AV2209" s="6" t="str">
        <f>HYPERLINK("http://mcgill.on.worldcat.org/oclc/689522294","Catalog Record")</f>
        <v>Catalog Record</v>
      </c>
      <c r="AW2209" s="6" t="str">
        <f>HYPERLINK("http://www.worldcat.org/oclc/689522294","WorldCat Record")</f>
        <v>WorldCat Record</v>
      </c>
      <c r="AX2209" s="3" t="s">
        <v>22450</v>
      </c>
      <c r="AY2209" s="3" t="s">
        <v>22451</v>
      </c>
      <c r="AZ2209" s="3" t="s">
        <v>22452</v>
      </c>
      <c r="BA2209" s="3" t="s">
        <v>22452</v>
      </c>
      <c r="BB2209" s="3" t="s">
        <v>22453</v>
      </c>
      <c r="BC2209" s="3" t="s">
        <v>77</v>
      </c>
      <c r="BD2209" s="3" t="s">
        <v>78</v>
      </c>
      <c r="BE2209" s="3" t="s">
        <v>22454</v>
      </c>
      <c r="BF2209" s="3" t="s">
        <v>22453</v>
      </c>
      <c r="BG2209" s="3" t="s">
        <v>22455</v>
      </c>
      <c r="BH2209">
        <f t="shared" si="56"/>
        <v>0</v>
      </c>
    </row>
    <row r="2210" spans="1:60" ht="58" x14ac:dyDescent="0.35">
      <c r="A2210" s="2" t="s">
        <v>59</v>
      </c>
      <c r="B2210" s="2" t="s">
        <v>60</v>
      </c>
      <c r="C2210" s="2" t="s">
        <v>22456</v>
      </c>
      <c r="D2210" s="2" t="s">
        <v>22457</v>
      </c>
      <c r="E2210" s="2" t="s">
        <v>22458</v>
      </c>
      <c r="G2210" s="3" t="s">
        <v>64</v>
      </c>
      <c r="I2210" s="3" t="s">
        <v>64</v>
      </c>
      <c r="J2210" s="3" t="s">
        <v>128</v>
      </c>
      <c r="K2210" s="3" t="s">
        <v>65</v>
      </c>
      <c r="L2210" s="2" t="s">
        <v>22459</v>
      </c>
      <c r="M2210" s="2" t="s">
        <v>14235</v>
      </c>
      <c r="N2210" s="3" t="s">
        <v>511</v>
      </c>
      <c r="O2210" s="2" t="s">
        <v>172</v>
      </c>
      <c r="P2210" s="3" t="s">
        <v>102</v>
      </c>
      <c r="Q2210" s="2" t="s">
        <v>18390</v>
      </c>
      <c r="R2210" s="3" t="s">
        <v>70</v>
      </c>
      <c r="S2210" s="4">
        <v>2</v>
      </c>
      <c r="T2210" s="4">
        <v>2</v>
      </c>
      <c r="U2210" s="5" t="s">
        <v>22460</v>
      </c>
      <c r="V2210" s="5" t="s">
        <v>22460</v>
      </c>
      <c r="W2210" s="5" t="s">
        <v>72</v>
      </c>
      <c r="X2210" s="5" t="s">
        <v>72</v>
      </c>
      <c r="Y2210" s="4">
        <v>736</v>
      </c>
      <c r="Z2210" s="4">
        <v>37</v>
      </c>
      <c r="AA2210" s="4">
        <v>143</v>
      </c>
      <c r="AB2210" s="4">
        <v>4</v>
      </c>
      <c r="AC2210" s="4">
        <v>19</v>
      </c>
      <c r="AD2210" s="4">
        <v>78</v>
      </c>
      <c r="AE2210" s="4">
        <v>144</v>
      </c>
      <c r="AF2210" s="4">
        <v>1</v>
      </c>
      <c r="AG2210" s="4">
        <v>8</v>
      </c>
      <c r="AH2210" s="4">
        <v>69</v>
      </c>
      <c r="AI2210" s="4">
        <v>103</v>
      </c>
      <c r="AJ2210" s="4">
        <v>9</v>
      </c>
      <c r="AK2210" s="4">
        <v>23</v>
      </c>
      <c r="AL2210" s="4">
        <v>32</v>
      </c>
      <c r="AM2210" s="4">
        <v>52</v>
      </c>
      <c r="AN2210" s="4">
        <v>0</v>
      </c>
      <c r="AO2210" s="4">
        <v>0</v>
      </c>
      <c r="AP2210" s="4">
        <v>14</v>
      </c>
      <c r="AQ2210" s="4">
        <v>49</v>
      </c>
      <c r="AR2210" s="3" t="s">
        <v>64</v>
      </c>
      <c r="AS2210" s="3" t="s">
        <v>64</v>
      </c>
      <c r="AT2210" s="3" t="s">
        <v>64</v>
      </c>
      <c r="AV2210" s="6" t="str">
        <f>HYPERLINK("http://mcgill.on.worldcat.org/oclc/426390876","Catalog Record")</f>
        <v>Catalog Record</v>
      </c>
      <c r="AW2210" s="6" t="str">
        <f>HYPERLINK("http://www.worldcat.org/oclc/426390876","WorldCat Record")</f>
        <v>WorldCat Record</v>
      </c>
      <c r="AX2210" s="3" t="s">
        <v>22461</v>
      </c>
      <c r="AY2210" s="3" t="s">
        <v>22462</v>
      </c>
      <c r="AZ2210" s="3" t="s">
        <v>22463</v>
      </c>
      <c r="BA2210" s="3" t="s">
        <v>22463</v>
      </c>
      <c r="BB2210" s="3" t="s">
        <v>22464</v>
      </c>
      <c r="BC2210" s="3" t="s">
        <v>77</v>
      </c>
      <c r="BD2210" s="3" t="s">
        <v>78</v>
      </c>
      <c r="BE2210" s="3" t="s">
        <v>22465</v>
      </c>
      <c r="BF2210" s="3" t="s">
        <v>22464</v>
      </c>
      <c r="BG2210" s="3" t="s">
        <v>22466</v>
      </c>
      <c r="BH2210">
        <f t="shared" si="56"/>
        <v>0</v>
      </c>
    </row>
    <row r="2211" spans="1:60" ht="58" x14ac:dyDescent="0.35">
      <c r="A2211" s="2" t="s">
        <v>59</v>
      </c>
      <c r="B2211" s="2" t="s">
        <v>60</v>
      </c>
      <c r="C2211" s="2" t="s">
        <v>22467</v>
      </c>
      <c r="D2211" s="2" t="s">
        <v>22468</v>
      </c>
      <c r="E2211" s="2" t="s">
        <v>22469</v>
      </c>
      <c r="G2211" s="3" t="s">
        <v>64</v>
      </c>
      <c r="I2211" s="3" t="s">
        <v>64</v>
      </c>
      <c r="J2211" s="3" t="s">
        <v>128</v>
      </c>
      <c r="K2211" s="3" t="s">
        <v>65</v>
      </c>
      <c r="L2211" s="2" t="s">
        <v>22470</v>
      </c>
      <c r="M2211" s="2" t="s">
        <v>14044</v>
      </c>
      <c r="N2211" s="3" t="s">
        <v>326</v>
      </c>
      <c r="O2211" s="2" t="s">
        <v>172</v>
      </c>
      <c r="P2211" s="3" t="s">
        <v>102</v>
      </c>
      <c r="R2211" s="3" t="s">
        <v>70</v>
      </c>
      <c r="S2211" s="4">
        <v>0</v>
      </c>
      <c r="T2211" s="4">
        <v>0</v>
      </c>
      <c r="W2211" s="5" t="s">
        <v>72</v>
      </c>
      <c r="X2211" s="5" t="s">
        <v>72</v>
      </c>
      <c r="Y2211" s="4">
        <v>430</v>
      </c>
      <c r="Z2211" s="4">
        <v>27</v>
      </c>
      <c r="AA2211" s="4">
        <v>131</v>
      </c>
      <c r="AB2211" s="4">
        <v>2</v>
      </c>
      <c r="AC2211" s="4">
        <v>21</v>
      </c>
      <c r="AD2211" s="4">
        <v>72</v>
      </c>
      <c r="AE2211" s="4">
        <v>151</v>
      </c>
      <c r="AF2211" s="4">
        <v>1</v>
      </c>
      <c r="AG2211" s="4">
        <v>9</v>
      </c>
      <c r="AH2211" s="4">
        <v>64</v>
      </c>
      <c r="AI2211" s="4">
        <v>107</v>
      </c>
      <c r="AJ2211" s="4">
        <v>10</v>
      </c>
      <c r="AK2211" s="4">
        <v>26</v>
      </c>
      <c r="AL2211" s="4">
        <v>33</v>
      </c>
      <c r="AM2211" s="4">
        <v>57</v>
      </c>
      <c r="AN2211" s="4">
        <v>0</v>
      </c>
      <c r="AO2211" s="4">
        <v>0</v>
      </c>
      <c r="AP2211" s="4">
        <v>13</v>
      </c>
      <c r="AQ2211" s="4">
        <v>52</v>
      </c>
      <c r="AR2211" s="3" t="s">
        <v>64</v>
      </c>
      <c r="AS2211" s="3" t="s">
        <v>64</v>
      </c>
      <c r="AT2211" s="3" t="s">
        <v>64</v>
      </c>
      <c r="AV2211" s="6" t="str">
        <f>HYPERLINK("http://mcgill.on.worldcat.org/oclc/441167490","Catalog Record")</f>
        <v>Catalog Record</v>
      </c>
      <c r="AW2211" s="6" t="str">
        <f>HYPERLINK("http://www.worldcat.org/oclc/441167490","WorldCat Record")</f>
        <v>WorldCat Record</v>
      </c>
      <c r="AX2211" s="3" t="s">
        <v>22471</v>
      </c>
      <c r="AY2211" s="3" t="s">
        <v>22472</v>
      </c>
      <c r="AZ2211" s="3" t="s">
        <v>22473</v>
      </c>
      <c r="BA2211" s="3" t="s">
        <v>22473</v>
      </c>
      <c r="BB2211" s="3" t="s">
        <v>22474</v>
      </c>
      <c r="BC2211" s="3" t="s">
        <v>77</v>
      </c>
      <c r="BD2211" s="3" t="s">
        <v>78</v>
      </c>
      <c r="BE2211" s="3" t="s">
        <v>22475</v>
      </c>
      <c r="BF2211" s="3" t="s">
        <v>22474</v>
      </c>
      <c r="BG2211" s="3" t="s">
        <v>22476</v>
      </c>
      <c r="BH2211">
        <f t="shared" si="56"/>
        <v>0</v>
      </c>
    </row>
    <row r="2212" spans="1:60" ht="72.5" x14ac:dyDescent="0.35">
      <c r="A2212" s="2" t="s">
        <v>59</v>
      </c>
      <c r="B2212" s="2" t="s">
        <v>60</v>
      </c>
      <c r="C2212" s="2" t="s">
        <v>22477</v>
      </c>
      <c r="D2212" s="2" t="s">
        <v>22478</v>
      </c>
      <c r="E2212" s="2" t="s">
        <v>22479</v>
      </c>
      <c r="G2212" s="3" t="s">
        <v>64</v>
      </c>
      <c r="I2212" s="3" t="s">
        <v>64</v>
      </c>
      <c r="J2212" s="3" t="s">
        <v>64</v>
      </c>
      <c r="K2212" s="3" t="s">
        <v>65</v>
      </c>
      <c r="M2212" s="2" t="s">
        <v>22480</v>
      </c>
      <c r="N2212" s="3" t="s">
        <v>3721</v>
      </c>
      <c r="P2212" s="3" t="s">
        <v>102</v>
      </c>
      <c r="Q2212" s="2" t="s">
        <v>16559</v>
      </c>
      <c r="R2212" s="3" t="s">
        <v>70</v>
      </c>
      <c r="S2212" s="4">
        <v>9</v>
      </c>
      <c r="T2212" s="4">
        <v>9</v>
      </c>
      <c r="U2212" s="5" t="s">
        <v>13101</v>
      </c>
      <c r="V2212" s="5" t="s">
        <v>13101</v>
      </c>
      <c r="W2212" s="5" t="s">
        <v>72</v>
      </c>
      <c r="X2212" s="5" t="s">
        <v>72</v>
      </c>
      <c r="Y2212" s="4">
        <v>674</v>
      </c>
      <c r="Z2212" s="4">
        <v>36</v>
      </c>
      <c r="AA2212" s="4">
        <v>39</v>
      </c>
      <c r="AB2212" s="4">
        <v>2</v>
      </c>
      <c r="AC2212" s="4">
        <v>5</v>
      </c>
      <c r="AD2212" s="4">
        <v>117</v>
      </c>
      <c r="AE2212" s="4">
        <v>119</v>
      </c>
      <c r="AF2212" s="4">
        <v>1</v>
      </c>
      <c r="AG2212" s="4">
        <v>3</v>
      </c>
      <c r="AH2212" s="4">
        <v>104</v>
      </c>
      <c r="AI2212" s="4">
        <v>105</v>
      </c>
      <c r="AJ2212" s="4">
        <v>19</v>
      </c>
      <c r="AK2212" s="4">
        <v>21</v>
      </c>
      <c r="AL2212" s="4">
        <v>53</v>
      </c>
      <c r="AM2212" s="4">
        <v>53</v>
      </c>
      <c r="AN2212" s="4">
        <v>0</v>
      </c>
      <c r="AO2212" s="4">
        <v>0</v>
      </c>
      <c r="AP2212" s="4">
        <v>20</v>
      </c>
      <c r="AQ2212" s="4">
        <v>21</v>
      </c>
      <c r="AR2212" s="3" t="s">
        <v>64</v>
      </c>
      <c r="AS2212" s="3" t="s">
        <v>64</v>
      </c>
      <c r="AT2212" s="3" t="s">
        <v>128</v>
      </c>
      <c r="AU2212" s="6" t="str">
        <f>HYPERLINK("http://catalog.hathitrust.org/Record/000257549","HathiTrust Record")</f>
        <v>HathiTrust Record</v>
      </c>
      <c r="AV2212" s="6" t="str">
        <f>HYPERLINK("http://mcgill.on.worldcat.org/oclc/4515489","Catalog Record")</f>
        <v>Catalog Record</v>
      </c>
      <c r="AW2212" s="6" t="str">
        <f>HYPERLINK("http://www.worldcat.org/oclc/4515489","WorldCat Record")</f>
        <v>WorldCat Record</v>
      </c>
      <c r="AX2212" s="3" t="s">
        <v>22481</v>
      </c>
      <c r="AY2212" s="3" t="s">
        <v>22482</v>
      </c>
      <c r="AZ2212" s="3" t="s">
        <v>22483</v>
      </c>
      <c r="BA2212" s="3" t="s">
        <v>22483</v>
      </c>
      <c r="BB2212" s="3" t="s">
        <v>22484</v>
      </c>
      <c r="BC2212" s="3" t="s">
        <v>77</v>
      </c>
      <c r="BD2212" s="3" t="s">
        <v>78</v>
      </c>
      <c r="BE2212" s="3" t="s">
        <v>22485</v>
      </c>
      <c r="BF2212" s="3" t="s">
        <v>22484</v>
      </c>
      <c r="BG2212" s="3" t="s">
        <v>22486</v>
      </c>
      <c r="BH2212">
        <f t="shared" si="56"/>
        <v>0</v>
      </c>
    </row>
    <row r="2213" spans="1:60" ht="58" x14ac:dyDescent="0.35">
      <c r="A2213" s="2" t="s">
        <v>59</v>
      </c>
      <c r="B2213" s="2" t="s">
        <v>60</v>
      </c>
      <c r="C2213" s="2" t="s">
        <v>22487</v>
      </c>
      <c r="D2213" s="2" t="s">
        <v>22488</v>
      </c>
      <c r="E2213" s="2" t="s">
        <v>22489</v>
      </c>
      <c r="G2213" s="3" t="s">
        <v>64</v>
      </c>
      <c r="I2213" s="3" t="s">
        <v>64</v>
      </c>
      <c r="J2213" s="3" t="s">
        <v>64</v>
      </c>
      <c r="K2213" s="3" t="s">
        <v>65</v>
      </c>
      <c r="L2213" s="2" t="s">
        <v>14804</v>
      </c>
      <c r="M2213" s="2" t="s">
        <v>22490</v>
      </c>
      <c r="N2213" s="3" t="s">
        <v>1263</v>
      </c>
      <c r="P2213" s="3" t="s">
        <v>102</v>
      </c>
      <c r="Q2213" s="2" t="s">
        <v>22491</v>
      </c>
      <c r="R2213" s="3" t="s">
        <v>70</v>
      </c>
      <c r="S2213" s="4">
        <v>15</v>
      </c>
      <c r="T2213" s="4">
        <v>15</v>
      </c>
      <c r="U2213" s="5" t="s">
        <v>1102</v>
      </c>
      <c r="V2213" s="5" t="s">
        <v>1102</v>
      </c>
      <c r="W2213" s="5" t="s">
        <v>72</v>
      </c>
      <c r="X2213" s="5" t="s">
        <v>72</v>
      </c>
      <c r="Y2213" s="4">
        <v>475</v>
      </c>
      <c r="Z2213" s="4">
        <v>17</v>
      </c>
      <c r="AA2213" s="4">
        <v>17</v>
      </c>
      <c r="AB2213" s="4">
        <v>1</v>
      </c>
      <c r="AC2213" s="4">
        <v>1</v>
      </c>
      <c r="AD2213" s="4">
        <v>78</v>
      </c>
      <c r="AE2213" s="4">
        <v>78</v>
      </c>
      <c r="AF2213" s="4">
        <v>0</v>
      </c>
      <c r="AG2213" s="4">
        <v>0</v>
      </c>
      <c r="AH2213" s="4">
        <v>72</v>
      </c>
      <c r="AI2213" s="4">
        <v>72</v>
      </c>
      <c r="AJ2213" s="4">
        <v>8</v>
      </c>
      <c r="AK2213" s="4">
        <v>8</v>
      </c>
      <c r="AL2213" s="4">
        <v>37</v>
      </c>
      <c r="AM2213" s="4">
        <v>37</v>
      </c>
      <c r="AN2213" s="4">
        <v>0</v>
      </c>
      <c r="AO2213" s="4">
        <v>0</v>
      </c>
      <c r="AP2213" s="4">
        <v>11</v>
      </c>
      <c r="AQ2213" s="4">
        <v>11</v>
      </c>
      <c r="AR2213" s="3" t="s">
        <v>64</v>
      </c>
      <c r="AS2213" s="3" t="s">
        <v>64</v>
      </c>
      <c r="AT2213" s="3" t="s">
        <v>128</v>
      </c>
      <c r="AU2213" s="6" t="str">
        <f>HYPERLINK("http://catalog.hathitrust.org/Record/002806432","HathiTrust Record")</f>
        <v>HathiTrust Record</v>
      </c>
      <c r="AV2213" s="6" t="str">
        <f>HYPERLINK("http://mcgill.on.worldcat.org/oclc/28847972","Catalog Record")</f>
        <v>Catalog Record</v>
      </c>
      <c r="AW2213" s="6" t="str">
        <f>HYPERLINK("http://www.worldcat.org/oclc/28847972","WorldCat Record")</f>
        <v>WorldCat Record</v>
      </c>
      <c r="AX2213" s="3" t="s">
        <v>22492</v>
      </c>
      <c r="AY2213" s="3" t="s">
        <v>22493</v>
      </c>
      <c r="AZ2213" s="3" t="s">
        <v>22494</v>
      </c>
      <c r="BA2213" s="3" t="s">
        <v>22494</v>
      </c>
      <c r="BB2213" s="3" t="s">
        <v>22495</v>
      </c>
      <c r="BC2213" s="3" t="s">
        <v>77</v>
      </c>
      <c r="BD2213" s="3" t="s">
        <v>78</v>
      </c>
      <c r="BE2213" s="3" t="s">
        <v>22496</v>
      </c>
      <c r="BF2213" s="3" t="s">
        <v>22495</v>
      </c>
      <c r="BG2213" s="3" t="s">
        <v>22497</v>
      </c>
      <c r="BH2213">
        <f t="shared" si="56"/>
        <v>0</v>
      </c>
    </row>
    <row r="2214" spans="1:60" ht="58" x14ac:dyDescent="0.35">
      <c r="A2214" s="2" t="s">
        <v>59</v>
      </c>
      <c r="B2214" s="2" t="s">
        <v>60</v>
      </c>
      <c r="C2214" s="2" t="s">
        <v>22498</v>
      </c>
      <c r="D2214" s="2" t="s">
        <v>22499</v>
      </c>
      <c r="E2214" s="2" t="s">
        <v>22500</v>
      </c>
      <c r="G2214" s="3" t="s">
        <v>64</v>
      </c>
      <c r="I2214" s="3" t="s">
        <v>64</v>
      </c>
      <c r="J2214" s="3" t="s">
        <v>64</v>
      </c>
      <c r="K2214" s="3" t="s">
        <v>65</v>
      </c>
      <c r="L2214" s="2" t="s">
        <v>22501</v>
      </c>
      <c r="M2214" s="2" t="s">
        <v>22502</v>
      </c>
      <c r="N2214" s="3" t="s">
        <v>421</v>
      </c>
      <c r="P2214" s="3" t="s">
        <v>102</v>
      </c>
      <c r="R2214" s="3" t="s">
        <v>70</v>
      </c>
      <c r="S2214" s="4">
        <v>12</v>
      </c>
      <c r="T2214" s="4">
        <v>12</v>
      </c>
      <c r="U2214" s="5" t="s">
        <v>19587</v>
      </c>
      <c r="V2214" s="5" t="s">
        <v>19587</v>
      </c>
      <c r="W2214" s="5" t="s">
        <v>72</v>
      </c>
      <c r="X2214" s="5" t="s">
        <v>72</v>
      </c>
      <c r="Y2214" s="4">
        <v>920</v>
      </c>
      <c r="Z2214" s="4">
        <v>34</v>
      </c>
      <c r="AA2214" s="4">
        <v>35</v>
      </c>
      <c r="AB2214" s="4">
        <v>4</v>
      </c>
      <c r="AC2214" s="4">
        <v>5</v>
      </c>
      <c r="AD2214" s="4">
        <v>103</v>
      </c>
      <c r="AE2214" s="4">
        <v>105</v>
      </c>
      <c r="AF2214" s="4">
        <v>1</v>
      </c>
      <c r="AG2214" s="4">
        <v>2</v>
      </c>
      <c r="AH2214" s="4">
        <v>91</v>
      </c>
      <c r="AI2214" s="4">
        <v>92</v>
      </c>
      <c r="AJ2214" s="4">
        <v>14</v>
      </c>
      <c r="AK2214" s="4">
        <v>15</v>
      </c>
      <c r="AL2214" s="4">
        <v>47</v>
      </c>
      <c r="AM2214" s="4">
        <v>47</v>
      </c>
      <c r="AN2214" s="4">
        <v>0</v>
      </c>
      <c r="AO2214" s="4">
        <v>0</v>
      </c>
      <c r="AP2214" s="4">
        <v>20</v>
      </c>
      <c r="AQ2214" s="4">
        <v>20</v>
      </c>
      <c r="AR2214" s="3" t="s">
        <v>64</v>
      </c>
      <c r="AS2214" s="3" t="s">
        <v>64</v>
      </c>
      <c r="AT2214" s="3" t="s">
        <v>128</v>
      </c>
      <c r="AU2214" s="6" t="str">
        <f>HYPERLINK("http://catalog.hathitrust.org/Record/003969999","HathiTrust Record")</f>
        <v>HathiTrust Record</v>
      </c>
      <c r="AV2214" s="6" t="str">
        <f>HYPERLINK("http://mcgill.on.worldcat.org/oclc/36543493","Catalog Record")</f>
        <v>Catalog Record</v>
      </c>
      <c r="AW2214" s="6" t="str">
        <f>HYPERLINK("http://www.worldcat.org/oclc/36543493","WorldCat Record")</f>
        <v>WorldCat Record</v>
      </c>
      <c r="AX2214" s="3" t="s">
        <v>22503</v>
      </c>
      <c r="AY2214" s="3" t="s">
        <v>22504</v>
      </c>
      <c r="AZ2214" s="3" t="s">
        <v>22505</v>
      </c>
      <c r="BA2214" s="3" t="s">
        <v>22505</v>
      </c>
      <c r="BB2214" s="3" t="s">
        <v>22506</v>
      </c>
      <c r="BC2214" s="3" t="s">
        <v>77</v>
      </c>
      <c r="BD2214" s="3" t="s">
        <v>78</v>
      </c>
      <c r="BE2214" s="3" t="s">
        <v>22507</v>
      </c>
      <c r="BF2214" s="3" t="s">
        <v>22506</v>
      </c>
      <c r="BG2214" s="3" t="s">
        <v>22508</v>
      </c>
      <c r="BH2214">
        <f t="shared" si="56"/>
        <v>0</v>
      </c>
    </row>
    <row r="2215" spans="1:60" ht="58" x14ac:dyDescent="0.35">
      <c r="A2215" s="2" t="s">
        <v>59</v>
      </c>
      <c r="B2215" s="2" t="s">
        <v>60</v>
      </c>
      <c r="C2215" s="2" t="s">
        <v>22509</v>
      </c>
      <c r="D2215" s="2" t="s">
        <v>22510</v>
      </c>
      <c r="E2215" s="2" t="s">
        <v>22511</v>
      </c>
      <c r="G2215" s="3" t="s">
        <v>64</v>
      </c>
      <c r="I2215" s="3" t="s">
        <v>64</v>
      </c>
      <c r="J2215" s="3" t="s">
        <v>64</v>
      </c>
      <c r="K2215" s="3" t="s">
        <v>65</v>
      </c>
      <c r="L2215" s="2" t="s">
        <v>22512</v>
      </c>
      <c r="M2215" s="2" t="s">
        <v>22513</v>
      </c>
      <c r="N2215" s="3" t="s">
        <v>511</v>
      </c>
      <c r="P2215" s="3" t="s">
        <v>102</v>
      </c>
      <c r="Q2215" s="2" t="s">
        <v>22514</v>
      </c>
      <c r="R2215" s="3" t="s">
        <v>70</v>
      </c>
      <c r="S2215" s="4">
        <v>0</v>
      </c>
      <c r="T2215" s="4">
        <v>0</v>
      </c>
      <c r="W2215" s="5" t="s">
        <v>72</v>
      </c>
      <c r="X2215" s="5" t="s">
        <v>72</v>
      </c>
      <c r="Y2215" s="4">
        <v>214</v>
      </c>
      <c r="Z2215" s="4">
        <v>15</v>
      </c>
      <c r="AA2215" s="4">
        <v>19</v>
      </c>
      <c r="AB2215" s="4">
        <v>1</v>
      </c>
      <c r="AC2215" s="4">
        <v>3</v>
      </c>
      <c r="AD2215" s="4">
        <v>82</v>
      </c>
      <c r="AE2215" s="4">
        <v>92</v>
      </c>
      <c r="AF2215" s="4">
        <v>0</v>
      </c>
      <c r="AG2215" s="4">
        <v>2</v>
      </c>
      <c r="AH2215" s="4">
        <v>78</v>
      </c>
      <c r="AI2215" s="4">
        <v>85</v>
      </c>
      <c r="AJ2215" s="4">
        <v>11</v>
      </c>
      <c r="AK2215" s="4">
        <v>14</v>
      </c>
      <c r="AL2215" s="4">
        <v>36</v>
      </c>
      <c r="AM2215" s="4">
        <v>41</v>
      </c>
      <c r="AN2215" s="4">
        <v>0</v>
      </c>
      <c r="AO2215" s="4">
        <v>0</v>
      </c>
      <c r="AP2215" s="4">
        <v>13</v>
      </c>
      <c r="AQ2215" s="4">
        <v>16</v>
      </c>
      <c r="AR2215" s="3" t="s">
        <v>64</v>
      </c>
      <c r="AS2215" s="3" t="s">
        <v>64</v>
      </c>
      <c r="AT2215" s="3" t="s">
        <v>64</v>
      </c>
      <c r="AV2215" s="6" t="str">
        <f>HYPERLINK("http://mcgill.on.worldcat.org/oclc/688617663","Catalog Record")</f>
        <v>Catalog Record</v>
      </c>
      <c r="AW2215" s="6" t="str">
        <f>HYPERLINK("http://www.worldcat.org/oclc/688617663","WorldCat Record")</f>
        <v>WorldCat Record</v>
      </c>
      <c r="AX2215" s="3" t="s">
        <v>22515</v>
      </c>
      <c r="AY2215" s="3" t="s">
        <v>22516</v>
      </c>
      <c r="AZ2215" s="3" t="s">
        <v>22517</v>
      </c>
      <c r="BA2215" s="3" t="s">
        <v>22517</v>
      </c>
      <c r="BB2215" s="3" t="s">
        <v>22518</v>
      </c>
      <c r="BC2215" s="3" t="s">
        <v>77</v>
      </c>
      <c r="BD2215" s="3" t="s">
        <v>78</v>
      </c>
      <c r="BE2215" s="3" t="s">
        <v>22519</v>
      </c>
      <c r="BF2215" s="3" t="s">
        <v>22518</v>
      </c>
      <c r="BG2215" s="3" t="s">
        <v>22520</v>
      </c>
      <c r="BH2215">
        <f t="shared" si="56"/>
        <v>0</v>
      </c>
    </row>
    <row r="2216" spans="1:60" ht="58" x14ac:dyDescent="0.35">
      <c r="A2216" s="2" t="s">
        <v>59</v>
      </c>
      <c r="B2216" s="2" t="s">
        <v>60</v>
      </c>
      <c r="C2216" s="2" t="s">
        <v>22521</v>
      </c>
      <c r="D2216" s="2" t="s">
        <v>22522</v>
      </c>
      <c r="E2216" s="2" t="s">
        <v>22523</v>
      </c>
      <c r="G2216" s="3" t="s">
        <v>64</v>
      </c>
      <c r="I2216" s="3" t="s">
        <v>64</v>
      </c>
      <c r="J2216" s="3" t="s">
        <v>64</v>
      </c>
      <c r="K2216" s="3" t="s">
        <v>65</v>
      </c>
      <c r="L2216" s="2" t="s">
        <v>22524</v>
      </c>
      <c r="M2216" s="2" t="s">
        <v>18533</v>
      </c>
      <c r="N2216" s="3" t="s">
        <v>578</v>
      </c>
      <c r="P2216" s="3" t="s">
        <v>102</v>
      </c>
      <c r="R2216" s="3" t="s">
        <v>70</v>
      </c>
      <c r="S2216" s="4">
        <v>1</v>
      </c>
      <c r="T2216" s="4">
        <v>1</v>
      </c>
      <c r="U2216" s="5" t="s">
        <v>16120</v>
      </c>
      <c r="V2216" s="5" t="s">
        <v>16120</v>
      </c>
      <c r="W2216" s="5" t="s">
        <v>72</v>
      </c>
      <c r="X2216" s="5" t="s">
        <v>72</v>
      </c>
      <c r="Y2216" s="4">
        <v>458</v>
      </c>
      <c r="Z2216" s="4">
        <v>10</v>
      </c>
      <c r="AA2216" s="4">
        <v>76</v>
      </c>
      <c r="AB2216" s="4">
        <v>1</v>
      </c>
      <c r="AC2216" s="4">
        <v>14</v>
      </c>
      <c r="AD2216" s="4">
        <v>49</v>
      </c>
      <c r="AE2216" s="4">
        <v>103</v>
      </c>
      <c r="AF2216" s="4">
        <v>0</v>
      </c>
      <c r="AG2216" s="4">
        <v>8</v>
      </c>
      <c r="AH2216" s="4">
        <v>47</v>
      </c>
      <c r="AI2216" s="4">
        <v>71</v>
      </c>
      <c r="AJ2216" s="4">
        <v>3</v>
      </c>
      <c r="AK2216" s="4">
        <v>17</v>
      </c>
      <c r="AL2216" s="4">
        <v>25</v>
      </c>
      <c r="AM2216" s="4">
        <v>35</v>
      </c>
      <c r="AN2216" s="4">
        <v>0</v>
      </c>
      <c r="AO2216" s="4">
        <v>0</v>
      </c>
      <c r="AP2216" s="4">
        <v>4</v>
      </c>
      <c r="AQ2216" s="4">
        <v>38</v>
      </c>
      <c r="AR2216" s="3" t="s">
        <v>64</v>
      </c>
      <c r="AS2216" s="3" t="s">
        <v>64</v>
      </c>
      <c r="AT2216" s="3" t="s">
        <v>64</v>
      </c>
      <c r="AV2216" s="6" t="str">
        <f>HYPERLINK("http://mcgill.on.worldcat.org/oclc/962068547","Catalog Record")</f>
        <v>Catalog Record</v>
      </c>
      <c r="AW2216" s="6" t="str">
        <f>HYPERLINK("http://www.worldcat.org/oclc/962068547","WorldCat Record")</f>
        <v>WorldCat Record</v>
      </c>
      <c r="AX2216" s="3" t="s">
        <v>22525</v>
      </c>
      <c r="AY2216" s="3" t="s">
        <v>22526</v>
      </c>
      <c r="AZ2216" s="3" t="s">
        <v>22527</v>
      </c>
      <c r="BA2216" s="3" t="s">
        <v>22527</v>
      </c>
      <c r="BB2216" s="3" t="s">
        <v>22528</v>
      </c>
      <c r="BC2216" s="3" t="s">
        <v>77</v>
      </c>
      <c r="BD2216" s="3" t="s">
        <v>78</v>
      </c>
      <c r="BE2216" s="3" t="s">
        <v>22529</v>
      </c>
      <c r="BF2216" s="3" t="s">
        <v>22528</v>
      </c>
      <c r="BG2216" s="3" t="s">
        <v>22530</v>
      </c>
      <c r="BH2216">
        <f t="shared" si="56"/>
        <v>0</v>
      </c>
    </row>
    <row r="2217" spans="1:60" ht="58" x14ac:dyDescent="0.35">
      <c r="A2217" s="2" t="s">
        <v>59</v>
      </c>
      <c r="B2217" s="2" t="s">
        <v>60</v>
      </c>
      <c r="C2217" s="2" t="s">
        <v>22531</v>
      </c>
      <c r="D2217" s="2" t="s">
        <v>22532</v>
      </c>
      <c r="E2217" s="2" t="s">
        <v>22533</v>
      </c>
      <c r="G2217" s="3" t="s">
        <v>64</v>
      </c>
      <c r="I2217" s="3" t="s">
        <v>64</v>
      </c>
      <c r="J2217" s="3" t="s">
        <v>64</v>
      </c>
      <c r="K2217" s="3" t="s">
        <v>65</v>
      </c>
      <c r="M2217" s="2" t="s">
        <v>22534</v>
      </c>
      <c r="N2217" s="3" t="s">
        <v>326</v>
      </c>
      <c r="P2217" s="3" t="s">
        <v>102</v>
      </c>
      <c r="Q2217" s="2" t="s">
        <v>22535</v>
      </c>
      <c r="R2217" s="3" t="s">
        <v>70</v>
      </c>
      <c r="S2217" s="4">
        <v>0</v>
      </c>
      <c r="T2217" s="4">
        <v>0</v>
      </c>
      <c r="W2217" s="5" t="s">
        <v>72</v>
      </c>
      <c r="X2217" s="5" t="s">
        <v>72</v>
      </c>
      <c r="Y2217" s="4">
        <v>217</v>
      </c>
      <c r="Z2217" s="4">
        <v>17</v>
      </c>
      <c r="AA2217" s="4">
        <v>20</v>
      </c>
      <c r="AB2217" s="4">
        <v>1</v>
      </c>
      <c r="AC2217" s="4">
        <v>3</v>
      </c>
      <c r="AD2217" s="4">
        <v>88</v>
      </c>
      <c r="AE2217" s="4">
        <v>95</v>
      </c>
      <c r="AF2217" s="4">
        <v>0</v>
      </c>
      <c r="AG2217" s="4">
        <v>1</v>
      </c>
      <c r="AH2217" s="4">
        <v>83</v>
      </c>
      <c r="AI2217" s="4">
        <v>88</v>
      </c>
      <c r="AJ2217" s="4">
        <v>12</v>
      </c>
      <c r="AK2217" s="4">
        <v>14</v>
      </c>
      <c r="AL2217" s="4">
        <v>40</v>
      </c>
      <c r="AM2217" s="4">
        <v>44</v>
      </c>
      <c r="AN2217" s="4">
        <v>0</v>
      </c>
      <c r="AO2217" s="4">
        <v>0</v>
      </c>
      <c r="AP2217" s="4">
        <v>15</v>
      </c>
      <c r="AQ2217" s="4">
        <v>16</v>
      </c>
      <c r="AR2217" s="3" t="s">
        <v>64</v>
      </c>
      <c r="AS2217" s="3" t="s">
        <v>64</v>
      </c>
      <c r="AT2217" s="3" t="s">
        <v>64</v>
      </c>
      <c r="AV2217" s="6" t="str">
        <f>HYPERLINK("http://mcgill.on.worldcat.org/oclc/747267029","Catalog Record")</f>
        <v>Catalog Record</v>
      </c>
      <c r="AW2217" s="6" t="str">
        <f>HYPERLINK("http://www.worldcat.org/oclc/747267029","WorldCat Record")</f>
        <v>WorldCat Record</v>
      </c>
      <c r="AX2217" s="3" t="s">
        <v>22536</v>
      </c>
      <c r="AY2217" s="3" t="s">
        <v>22537</v>
      </c>
      <c r="AZ2217" s="3" t="s">
        <v>22538</v>
      </c>
      <c r="BA2217" s="3" t="s">
        <v>22538</v>
      </c>
      <c r="BB2217" s="3" t="s">
        <v>22539</v>
      </c>
      <c r="BC2217" s="3" t="s">
        <v>77</v>
      </c>
      <c r="BD2217" s="3" t="s">
        <v>78</v>
      </c>
      <c r="BE2217" s="3" t="s">
        <v>22540</v>
      </c>
      <c r="BF2217" s="3" t="s">
        <v>22539</v>
      </c>
      <c r="BG2217" s="3" t="s">
        <v>22541</v>
      </c>
      <c r="BH2217">
        <f t="shared" si="56"/>
        <v>0</v>
      </c>
    </row>
    <row r="2218" spans="1:60" ht="58" x14ac:dyDescent="0.35">
      <c r="A2218" s="2" t="s">
        <v>59</v>
      </c>
      <c r="B2218" s="2" t="s">
        <v>60</v>
      </c>
      <c r="C2218" s="2" t="s">
        <v>22542</v>
      </c>
      <c r="D2218" s="2" t="s">
        <v>22543</v>
      </c>
      <c r="E2218" s="2" t="s">
        <v>22544</v>
      </c>
      <c r="G2218" s="3" t="s">
        <v>64</v>
      </c>
      <c r="I2218" s="3" t="s">
        <v>64</v>
      </c>
      <c r="J2218" s="3" t="s">
        <v>64</v>
      </c>
      <c r="K2218" s="3" t="s">
        <v>65</v>
      </c>
      <c r="M2218" s="2" t="s">
        <v>14033</v>
      </c>
      <c r="N2218" s="3" t="s">
        <v>434</v>
      </c>
      <c r="P2218" s="3" t="s">
        <v>102</v>
      </c>
      <c r="R2218" s="3" t="s">
        <v>70</v>
      </c>
      <c r="S2218" s="4">
        <v>9</v>
      </c>
      <c r="T2218" s="4">
        <v>9</v>
      </c>
      <c r="U2218" s="5" t="s">
        <v>1751</v>
      </c>
      <c r="V2218" s="5" t="s">
        <v>1751</v>
      </c>
      <c r="W2218" s="5" t="s">
        <v>72</v>
      </c>
      <c r="X2218" s="5" t="s">
        <v>72</v>
      </c>
      <c r="Y2218" s="4">
        <v>253</v>
      </c>
      <c r="Z2218" s="4">
        <v>36</v>
      </c>
      <c r="AA2218" s="4">
        <v>39</v>
      </c>
      <c r="AB2218" s="4">
        <v>1</v>
      </c>
      <c r="AC2218" s="4">
        <v>3</v>
      </c>
      <c r="AD2218" s="4">
        <v>74</v>
      </c>
      <c r="AE2218" s="4">
        <v>77</v>
      </c>
      <c r="AF2218" s="4">
        <v>0</v>
      </c>
      <c r="AG2218" s="4">
        <v>2</v>
      </c>
      <c r="AH2218" s="4">
        <v>63</v>
      </c>
      <c r="AI2218" s="4">
        <v>64</v>
      </c>
      <c r="AJ2218" s="4">
        <v>11</v>
      </c>
      <c r="AK2218" s="4">
        <v>13</v>
      </c>
      <c r="AL2218" s="4">
        <v>40</v>
      </c>
      <c r="AM2218" s="4">
        <v>40</v>
      </c>
      <c r="AN2218" s="4">
        <v>0</v>
      </c>
      <c r="AO2218" s="4">
        <v>0</v>
      </c>
      <c r="AP2218" s="4">
        <v>15</v>
      </c>
      <c r="AQ2218" s="4">
        <v>17</v>
      </c>
      <c r="AR2218" s="3" t="s">
        <v>64</v>
      </c>
      <c r="AS2218" s="3" t="s">
        <v>64</v>
      </c>
      <c r="AT2218" s="3" t="s">
        <v>64</v>
      </c>
      <c r="AV2218" s="6" t="str">
        <f>HYPERLINK("http://mcgill.on.worldcat.org/oclc/56632297","Catalog Record")</f>
        <v>Catalog Record</v>
      </c>
      <c r="AW2218" s="6" t="str">
        <f>HYPERLINK("http://www.worldcat.org/oclc/56632297","WorldCat Record")</f>
        <v>WorldCat Record</v>
      </c>
      <c r="AX2218" s="3" t="s">
        <v>22545</v>
      </c>
      <c r="AY2218" s="3" t="s">
        <v>22546</v>
      </c>
      <c r="AZ2218" s="3" t="s">
        <v>22547</v>
      </c>
      <c r="BA2218" s="3" t="s">
        <v>22547</v>
      </c>
      <c r="BB2218" s="3" t="s">
        <v>22548</v>
      </c>
      <c r="BC2218" s="3" t="s">
        <v>77</v>
      </c>
      <c r="BD2218" s="3" t="s">
        <v>78</v>
      </c>
      <c r="BE2218" s="3" t="s">
        <v>22549</v>
      </c>
      <c r="BF2218" s="3" t="s">
        <v>22548</v>
      </c>
      <c r="BG2218" s="3" t="s">
        <v>22550</v>
      </c>
      <c r="BH2218">
        <f t="shared" si="56"/>
        <v>0</v>
      </c>
    </row>
    <row r="2219" spans="1:60" ht="58" x14ac:dyDescent="0.35">
      <c r="A2219" s="2" t="s">
        <v>59</v>
      </c>
      <c r="B2219" s="2" t="s">
        <v>60</v>
      </c>
      <c r="C2219" s="2" t="s">
        <v>22551</v>
      </c>
      <c r="D2219" s="2" t="s">
        <v>22552</v>
      </c>
      <c r="E2219" s="2" t="s">
        <v>22553</v>
      </c>
      <c r="G2219" s="3" t="s">
        <v>64</v>
      </c>
      <c r="I2219" s="3" t="s">
        <v>64</v>
      </c>
      <c r="J2219" s="3" t="s">
        <v>64</v>
      </c>
      <c r="K2219" s="3" t="s">
        <v>65</v>
      </c>
      <c r="L2219" s="2" t="s">
        <v>22554</v>
      </c>
      <c r="M2219" s="2" t="s">
        <v>22555</v>
      </c>
      <c r="N2219" s="3" t="s">
        <v>551</v>
      </c>
      <c r="P2219" s="3" t="s">
        <v>102</v>
      </c>
      <c r="R2219" s="3" t="s">
        <v>70</v>
      </c>
      <c r="S2219" s="4">
        <v>21</v>
      </c>
      <c r="T2219" s="4">
        <v>21</v>
      </c>
      <c r="U2219" s="5" t="s">
        <v>17811</v>
      </c>
      <c r="V2219" s="5" t="s">
        <v>17811</v>
      </c>
      <c r="W2219" s="5" t="s">
        <v>72</v>
      </c>
      <c r="X2219" s="5" t="s">
        <v>72</v>
      </c>
      <c r="Y2219" s="4">
        <v>216</v>
      </c>
      <c r="Z2219" s="4">
        <v>20</v>
      </c>
      <c r="AA2219" s="4">
        <v>21</v>
      </c>
      <c r="AB2219" s="4">
        <v>3</v>
      </c>
      <c r="AC2219" s="4">
        <v>4</v>
      </c>
      <c r="AD2219" s="4">
        <v>58</v>
      </c>
      <c r="AE2219" s="4">
        <v>58</v>
      </c>
      <c r="AF2219" s="4">
        <v>1</v>
      </c>
      <c r="AG2219" s="4">
        <v>1</v>
      </c>
      <c r="AH2219" s="4">
        <v>50</v>
      </c>
      <c r="AI2219" s="4">
        <v>50</v>
      </c>
      <c r="AJ2219" s="4">
        <v>11</v>
      </c>
      <c r="AK2219" s="4">
        <v>11</v>
      </c>
      <c r="AL2219" s="4">
        <v>25</v>
      </c>
      <c r="AM2219" s="4">
        <v>25</v>
      </c>
      <c r="AN2219" s="4">
        <v>0</v>
      </c>
      <c r="AO2219" s="4">
        <v>0</v>
      </c>
      <c r="AP2219" s="4">
        <v>15</v>
      </c>
      <c r="AQ2219" s="4">
        <v>15</v>
      </c>
      <c r="AR2219" s="3" t="s">
        <v>64</v>
      </c>
      <c r="AS2219" s="3" t="s">
        <v>64</v>
      </c>
      <c r="AT2219" s="3" t="s">
        <v>64</v>
      </c>
      <c r="AV2219" s="6" t="str">
        <f>HYPERLINK("http://mcgill.on.worldcat.org/oclc/212327695","Catalog Record")</f>
        <v>Catalog Record</v>
      </c>
      <c r="AW2219" s="6" t="str">
        <f>HYPERLINK("http://www.worldcat.org/oclc/212327695","WorldCat Record")</f>
        <v>WorldCat Record</v>
      </c>
      <c r="AX2219" s="3" t="s">
        <v>22556</v>
      </c>
      <c r="AY2219" s="3" t="s">
        <v>22557</v>
      </c>
      <c r="AZ2219" s="3" t="s">
        <v>22558</v>
      </c>
      <c r="BA2219" s="3" t="s">
        <v>22558</v>
      </c>
      <c r="BB2219" s="3" t="s">
        <v>22559</v>
      </c>
      <c r="BC2219" s="3" t="s">
        <v>77</v>
      </c>
      <c r="BD2219" s="3" t="s">
        <v>165</v>
      </c>
      <c r="BE2219" s="3" t="s">
        <v>22560</v>
      </c>
      <c r="BF2219" s="3" t="s">
        <v>22559</v>
      </c>
      <c r="BG2219" s="3" t="s">
        <v>22561</v>
      </c>
      <c r="BH2219">
        <f t="shared" si="56"/>
        <v>0</v>
      </c>
    </row>
    <row r="2220" spans="1:60" ht="58" x14ac:dyDescent="0.35">
      <c r="A2220" s="2" t="s">
        <v>59</v>
      </c>
      <c r="B2220" s="2" t="s">
        <v>60</v>
      </c>
      <c r="C2220" s="2" t="s">
        <v>22562</v>
      </c>
      <c r="D2220" s="2" t="s">
        <v>22563</v>
      </c>
      <c r="E2220" s="2" t="s">
        <v>22564</v>
      </c>
      <c r="G2220" s="3" t="s">
        <v>64</v>
      </c>
      <c r="I2220" s="3" t="s">
        <v>64</v>
      </c>
      <c r="J2220" s="3" t="s">
        <v>64</v>
      </c>
      <c r="K2220" s="3" t="s">
        <v>65</v>
      </c>
      <c r="M2220" s="2" t="s">
        <v>22565</v>
      </c>
      <c r="N2220" s="3" t="s">
        <v>551</v>
      </c>
      <c r="P2220" s="3" t="s">
        <v>102</v>
      </c>
      <c r="R2220" s="3" t="s">
        <v>70</v>
      </c>
      <c r="S2220" s="4">
        <v>3</v>
      </c>
      <c r="T2220" s="4">
        <v>3</v>
      </c>
      <c r="U2220" s="5" t="s">
        <v>14377</v>
      </c>
      <c r="V2220" s="5" t="s">
        <v>14377</v>
      </c>
      <c r="W2220" s="5" t="s">
        <v>72</v>
      </c>
      <c r="X2220" s="5" t="s">
        <v>72</v>
      </c>
      <c r="Y2220" s="4">
        <v>99</v>
      </c>
      <c r="Z2220" s="4">
        <v>10</v>
      </c>
      <c r="AA2220" s="4">
        <v>11</v>
      </c>
      <c r="AB2220" s="4">
        <v>3</v>
      </c>
      <c r="AC2220" s="4">
        <v>4</v>
      </c>
      <c r="AD2220" s="4">
        <v>23</v>
      </c>
      <c r="AE2220" s="4">
        <v>23</v>
      </c>
      <c r="AF2220" s="4">
        <v>1</v>
      </c>
      <c r="AG2220" s="4">
        <v>1</v>
      </c>
      <c r="AH2220" s="4">
        <v>21</v>
      </c>
      <c r="AI2220" s="4">
        <v>21</v>
      </c>
      <c r="AJ2220" s="4">
        <v>6</v>
      </c>
      <c r="AK2220" s="4">
        <v>6</v>
      </c>
      <c r="AL2220" s="4">
        <v>13</v>
      </c>
      <c r="AM2220" s="4">
        <v>13</v>
      </c>
      <c r="AN2220" s="4">
        <v>0</v>
      </c>
      <c r="AO2220" s="4">
        <v>0</v>
      </c>
      <c r="AP2220" s="4">
        <v>6</v>
      </c>
      <c r="AQ2220" s="4">
        <v>6</v>
      </c>
      <c r="AR2220" s="3" t="s">
        <v>64</v>
      </c>
      <c r="AS2220" s="3" t="s">
        <v>64</v>
      </c>
      <c r="AT2220" s="3" t="s">
        <v>128</v>
      </c>
      <c r="AU2220" s="6" t="str">
        <f>HYPERLINK("http://catalog.hathitrust.org/Record/006308809","HathiTrust Record")</f>
        <v>HathiTrust Record</v>
      </c>
      <c r="AV2220" s="6" t="str">
        <f>HYPERLINK("http://mcgill.on.worldcat.org/oclc/233142634","Catalog Record")</f>
        <v>Catalog Record</v>
      </c>
      <c r="AW2220" s="6" t="str">
        <f>HYPERLINK("http://www.worldcat.org/oclc/233142634","WorldCat Record")</f>
        <v>WorldCat Record</v>
      </c>
      <c r="AX2220" s="3" t="s">
        <v>22566</v>
      </c>
      <c r="AY2220" s="3" t="s">
        <v>22567</v>
      </c>
      <c r="AZ2220" s="3" t="s">
        <v>22568</v>
      </c>
      <c r="BA2220" s="3" t="s">
        <v>22568</v>
      </c>
      <c r="BB2220" s="3" t="s">
        <v>22569</v>
      </c>
      <c r="BC2220" s="3" t="s">
        <v>77</v>
      </c>
      <c r="BD2220" s="3" t="s">
        <v>78</v>
      </c>
      <c r="BE2220" s="3" t="s">
        <v>22570</v>
      </c>
      <c r="BF2220" s="3" t="s">
        <v>22569</v>
      </c>
      <c r="BG2220" s="3" t="s">
        <v>22571</v>
      </c>
      <c r="BH2220">
        <f t="shared" si="56"/>
        <v>0</v>
      </c>
    </row>
    <row r="2221" spans="1:60" ht="58" x14ac:dyDescent="0.35">
      <c r="A2221" s="2" t="s">
        <v>59</v>
      </c>
      <c r="B2221" s="2" t="s">
        <v>60</v>
      </c>
      <c r="C2221" s="2" t="s">
        <v>22572</v>
      </c>
      <c r="D2221" s="2" t="s">
        <v>22573</v>
      </c>
      <c r="E2221" s="2" t="s">
        <v>22574</v>
      </c>
      <c r="G2221" s="3" t="s">
        <v>64</v>
      </c>
      <c r="I2221" s="3" t="s">
        <v>64</v>
      </c>
      <c r="J2221" s="3" t="s">
        <v>64</v>
      </c>
      <c r="K2221" s="3" t="s">
        <v>65</v>
      </c>
      <c r="L2221" s="2" t="s">
        <v>22575</v>
      </c>
      <c r="M2221" s="2" t="s">
        <v>22576</v>
      </c>
      <c r="N2221" s="3" t="s">
        <v>3330</v>
      </c>
      <c r="P2221" s="3" t="s">
        <v>102</v>
      </c>
      <c r="R2221" s="3" t="s">
        <v>70</v>
      </c>
      <c r="S2221" s="4">
        <v>18</v>
      </c>
      <c r="T2221" s="4">
        <v>18</v>
      </c>
      <c r="U2221" s="5" t="s">
        <v>1088</v>
      </c>
      <c r="V2221" s="5" t="s">
        <v>1088</v>
      </c>
      <c r="W2221" s="5" t="s">
        <v>72</v>
      </c>
      <c r="X2221" s="5" t="s">
        <v>72</v>
      </c>
      <c r="Y2221" s="4">
        <v>581</v>
      </c>
      <c r="Z2221" s="4">
        <v>34</v>
      </c>
      <c r="AA2221" s="4">
        <v>36</v>
      </c>
      <c r="AB2221" s="4">
        <v>3</v>
      </c>
      <c r="AC2221" s="4">
        <v>5</v>
      </c>
      <c r="AD2221" s="4">
        <v>105</v>
      </c>
      <c r="AE2221" s="4">
        <v>106</v>
      </c>
      <c r="AF2221" s="4">
        <v>1</v>
      </c>
      <c r="AG2221" s="4">
        <v>2</v>
      </c>
      <c r="AH2221" s="4">
        <v>93</v>
      </c>
      <c r="AI2221" s="4">
        <v>93</v>
      </c>
      <c r="AJ2221" s="4">
        <v>15</v>
      </c>
      <c r="AK2221" s="4">
        <v>16</v>
      </c>
      <c r="AL2221" s="4">
        <v>49</v>
      </c>
      <c r="AM2221" s="4">
        <v>49</v>
      </c>
      <c r="AN2221" s="4">
        <v>0</v>
      </c>
      <c r="AO2221" s="4">
        <v>0</v>
      </c>
      <c r="AP2221" s="4">
        <v>15</v>
      </c>
      <c r="AQ2221" s="4">
        <v>15</v>
      </c>
      <c r="AR2221" s="3" t="s">
        <v>64</v>
      </c>
      <c r="AS2221" s="3" t="s">
        <v>64</v>
      </c>
      <c r="AT2221" s="3" t="s">
        <v>128</v>
      </c>
      <c r="AU2221" s="6" t="str">
        <f>HYPERLINK("http://catalog.hathitrust.org/Record/000921430","HathiTrust Record")</f>
        <v>HathiTrust Record</v>
      </c>
      <c r="AV2221" s="6" t="str">
        <f>HYPERLINK("http://mcgill.on.worldcat.org/oclc/17506532","Catalog Record")</f>
        <v>Catalog Record</v>
      </c>
      <c r="AW2221" s="6" t="str">
        <f>HYPERLINK("http://www.worldcat.org/oclc/17506532","WorldCat Record")</f>
        <v>WorldCat Record</v>
      </c>
      <c r="AX2221" s="3" t="s">
        <v>22577</v>
      </c>
      <c r="AY2221" s="3" t="s">
        <v>22578</v>
      </c>
      <c r="AZ2221" s="3" t="s">
        <v>22579</v>
      </c>
      <c r="BA2221" s="3" t="s">
        <v>22579</v>
      </c>
      <c r="BB2221" s="3" t="s">
        <v>22580</v>
      </c>
      <c r="BC2221" s="3" t="s">
        <v>77</v>
      </c>
      <c r="BD2221" s="3" t="s">
        <v>78</v>
      </c>
      <c r="BE2221" s="3" t="s">
        <v>22581</v>
      </c>
      <c r="BF2221" s="3" t="s">
        <v>22580</v>
      </c>
      <c r="BG2221" s="3" t="s">
        <v>22582</v>
      </c>
      <c r="BH2221">
        <f t="shared" si="56"/>
        <v>0</v>
      </c>
    </row>
    <row r="2222" spans="1:60" ht="58" x14ac:dyDescent="0.35">
      <c r="A2222" s="2" t="s">
        <v>59</v>
      </c>
      <c r="B2222" s="2" t="s">
        <v>60</v>
      </c>
      <c r="C2222" s="2" t="s">
        <v>22583</v>
      </c>
      <c r="D2222" s="2" t="s">
        <v>22584</v>
      </c>
      <c r="E2222" s="2" t="s">
        <v>22585</v>
      </c>
      <c r="G2222" s="3" t="s">
        <v>64</v>
      </c>
      <c r="I2222" s="3" t="s">
        <v>64</v>
      </c>
      <c r="J2222" s="3" t="s">
        <v>64</v>
      </c>
      <c r="K2222" s="3" t="s">
        <v>65</v>
      </c>
      <c r="L2222" s="2" t="s">
        <v>22575</v>
      </c>
      <c r="M2222" s="2" t="s">
        <v>22586</v>
      </c>
      <c r="N2222" s="3" t="s">
        <v>159</v>
      </c>
      <c r="P2222" s="3" t="s">
        <v>102</v>
      </c>
      <c r="R2222" s="3" t="s">
        <v>70</v>
      </c>
      <c r="S2222" s="4">
        <v>20</v>
      </c>
      <c r="T2222" s="4">
        <v>20</v>
      </c>
      <c r="U2222" s="5" t="s">
        <v>14377</v>
      </c>
      <c r="V2222" s="5" t="s">
        <v>14377</v>
      </c>
      <c r="W2222" s="5" t="s">
        <v>72</v>
      </c>
      <c r="X2222" s="5" t="s">
        <v>72</v>
      </c>
      <c r="Y2222" s="4">
        <v>422</v>
      </c>
      <c r="Z2222" s="4">
        <v>26</v>
      </c>
      <c r="AA2222" s="4">
        <v>27</v>
      </c>
      <c r="AB2222" s="4">
        <v>4</v>
      </c>
      <c r="AC2222" s="4">
        <v>5</v>
      </c>
      <c r="AD2222" s="4">
        <v>91</v>
      </c>
      <c r="AE2222" s="4">
        <v>92</v>
      </c>
      <c r="AF2222" s="4">
        <v>1</v>
      </c>
      <c r="AG2222" s="4">
        <v>2</v>
      </c>
      <c r="AH2222" s="4">
        <v>85</v>
      </c>
      <c r="AI2222" s="4">
        <v>85</v>
      </c>
      <c r="AJ2222" s="4">
        <v>11</v>
      </c>
      <c r="AK2222" s="4">
        <v>12</v>
      </c>
      <c r="AL2222" s="4">
        <v>43</v>
      </c>
      <c r="AM2222" s="4">
        <v>43</v>
      </c>
      <c r="AN2222" s="4">
        <v>0</v>
      </c>
      <c r="AO2222" s="4">
        <v>0</v>
      </c>
      <c r="AP2222" s="4">
        <v>14</v>
      </c>
      <c r="AQ2222" s="4">
        <v>15</v>
      </c>
      <c r="AR2222" s="3" t="s">
        <v>64</v>
      </c>
      <c r="AS2222" s="3" t="s">
        <v>64</v>
      </c>
      <c r="AT2222" s="3" t="s">
        <v>64</v>
      </c>
      <c r="AV2222" s="6" t="str">
        <f>HYPERLINK("http://mcgill.on.worldcat.org/oclc/48796238","Catalog Record")</f>
        <v>Catalog Record</v>
      </c>
      <c r="AW2222" s="6" t="str">
        <f>HYPERLINK("http://www.worldcat.org/oclc/48796238","WorldCat Record")</f>
        <v>WorldCat Record</v>
      </c>
      <c r="AX2222" s="3" t="s">
        <v>22587</v>
      </c>
      <c r="AY2222" s="3" t="s">
        <v>22588</v>
      </c>
      <c r="AZ2222" s="3" t="s">
        <v>22589</v>
      </c>
      <c r="BA2222" s="3" t="s">
        <v>22589</v>
      </c>
      <c r="BB2222" s="3" t="s">
        <v>22590</v>
      </c>
      <c r="BC2222" s="3" t="s">
        <v>77</v>
      </c>
      <c r="BD2222" s="3" t="s">
        <v>78</v>
      </c>
      <c r="BE2222" s="3" t="s">
        <v>22591</v>
      </c>
      <c r="BF2222" s="3" t="s">
        <v>22590</v>
      </c>
      <c r="BG2222" s="3" t="s">
        <v>22592</v>
      </c>
      <c r="BH2222">
        <f t="shared" si="56"/>
        <v>0</v>
      </c>
    </row>
    <row r="2223" spans="1:60" ht="58" x14ac:dyDescent="0.35">
      <c r="A2223" s="2" t="s">
        <v>59</v>
      </c>
      <c r="B2223" s="2" t="s">
        <v>60</v>
      </c>
      <c r="C2223" s="2" t="s">
        <v>22593</v>
      </c>
      <c r="D2223" s="2" t="s">
        <v>22594</v>
      </c>
      <c r="E2223" s="2" t="s">
        <v>22595</v>
      </c>
      <c r="G2223" s="3" t="s">
        <v>64</v>
      </c>
      <c r="I2223" s="3" t="s">
        <v>64</v>
      </c>
      <c r="J2223" s="3" t="s">
        <v>64</v>
      </c>
      <c r="K2223" s="3" t="s">
        <v>65</v>
      </c>
      <c r="L2223" s="2" t="s">
        <v>22596</v>
      </c>
      <c r="M2223" s="2" t="s">
        <v>13931</v>
      </c>
      <c r="N2223" s="3" t="s">
        <v>144</v>
      </c>
      <c r="P2223" s="3" t="s">
        <v>102</v>
      </c>
      <c r="R2223" s="3" t="s">
        <v>70</v>
      </c>
      <c r="S2223" s="4">
        <v>7</v>
      </c>
      <c r="T2223" s="4">
        <v>7</v>
      </c>
      <c r="U2223" s="5" t="s">
        <v>22597</v>
      </c>
      <c r="V2223" s="5" t="s">
        <v>22597</v>
      </c>
      <c r="W2223" s="5" t="s">
        <v>72</v>
      </c>
      <c r="X2223" s="5" t="s">
        <v>72</v>
      </c>
      <c r="Y2223" s="4">
        <v>372</v>
      </c>
      <c r="Z2223" s="4">
        <v>22</v>
      </c>
      <c r="AA2223" s="4">
        <v>25</v>
      </c>
      <c r="AB2223" s="4">
        <v>2</v>
      </c>
      <c r="AC2223" s="4">
        <v>5</v>
      </c>
      <c r="AD2223" s="4">
        <v>60</v>
      </c>
      <c r="AE2223" s="4">
        <v>63</v>
      </c>
      <c r="AF2223" s="4">
        <v>0</v>
      </c>
      <c r="AG2223" s="4">
        <v>2</v>
      </c>
      <c r="AH2223" s="4">
        <v>52</v>
      </c>
      <c r="AI2223" s="4">
        <v>53</v>
      </c>
      <c r="AJ2223" s="4">
        <v>9</v>
      </c>
      <c r="AK2223" s="4">
        <v>10</v>
      </c>
      <c r="AL2223" s="4">
        <v>33</v>
      </c>
      <c r="AM2223" s="4">
        <v>34</v>
      </c>
      <c r="AN2223" s="4">
        <v>0</v>
      </c>
      <c r="AO2223" s="4">
        <v>0</v>
      </c>
      <c r="AP2223" s="4">
        <v>11</v>
      </c>
      <c r="AQ2223" s="4">
        <v>12</v>
      </c>
      <c r="AR2223" s="3" t="s">
        <v>64</v>
      </c>
      <c r="AS2223" s="3" t="s">
        <v>64</v>
      </c>
      <c r="AT2223" s="3" t="s">
        <v>128</v>
      </c>
      <c r="AU2223" s="6" t="str">
        <f>HYPERLINK("http://catalog.hathitrust.org/Record/005898781","HathiTrust Record")</f>
        <v>HathiTrust Record</v>
      </c>
      <c r="AV2223" s="6" t="str">
        <f>HYPERLINK("http://mcgill.on.worldcat.org/oclc/228063675","Catalog Record")</f>
        <v>Catalog Record</v>
      </c>
      <c r="AW2223" s="6" t="str">
        <f>HYPERLINK("http://www.worldcat.org/oclc/228063675","WorldCat Record")</f>
        <v>WorldCat Record</v>
      </c>
      <c r="AX2223" s="3" t="s">
        <v>22598</v>
      </c>
      <c r="AY2223" s="3" t="s">
        <v>22599</v>
      </c>
      <c r="AZ2223" s="3" t="s">
        <v>22600</v>
      </c>
      <c r="BA2223" s="3" t="s">
        <v>22600</v>
      </c>
      <c r="BB2223" s="3" t="s">
        <v>22601</v>
      </c>
      <c r="BC2223" s="3" t="s">
        <v>77</v>
      </c>
      <c r="BD2223" s="3" t="s">
        <v>78</v>
      </c>
      <c r="BE2223" s="3" t="s">
        <v>22602</v>
      </c>
      <c r="BF2223" s="3" t="s">
        <v>22601</v>
      </c>
      <c r="BG2223" s="3" t="s">
        <v>22603</v>
      </c>
      <c r="BH2223">
        <f t="shared" si="56"/>
        <v>0</v>
      </c>
    </row>
    <row r="2224" spans="1:60" ht="58" x14ac:dyDescent="0.35">
      <c r="A2224" s="2" t="s">
        <v>59</v>
      </c>
      <c r="B2224" s="2" t="s">
        <v>60</v>
      </c>
      <c r="C2224" s="2" t="s">
        <v>22604</v>
      </c>
      <c r="D2224" s="2" t="s">
        <v>22605</v>
      </c>
      <c r="E2224" s="2" t="s">
        <v>22606</v>
      </c>
      <c r="G2224" s="3" t="s">
        <v>64</v>
      </c>
      <c r="I2224" s="3" t="s">
        <v>64</v>
      </c>
      <c r="J2224" s="3" t="s">
        <v>64</v>
      </c>
      <c r="K2224" s="3" t="s">
        <v>65</v>
      </c>
      <c r="L2224" s="2" t="s">
        <v>22607</v>
      </c>
      <c r="M2224" s="2" t="s">
        <v>22608</v>
      </c>
      <c r="N2224" s="3" t="s">
        <v>1615</v>
      </c>
      <c r="P2224" s="3" t="s">
        <v>102</v>
      </c>
      <c r="R2224" s="3" t="s">
        <v>70</v>
      </c>
      <c r="S2224" s="4">
        <v>23</v>
      </c>
      <c r="T2224" s="4">
        <v>23</v>
      </c>
      <c r="U2224" s="5" t="s">
        <v>1088</v>
      </c>
      <c r="V2224" s="5" t="s">
        <v>1088</v>
      </c>
      <c r="W2224" s="5" t="s">
        <v>72</v>
      </c>
      <c r="X2224" s="5" t="s">
        <v>72</v>
      </c>
      <c r="Y2224" s="4">
        <v>272</v>
      </c>
      <c r="Z2224" s="4">
        <v>11</v>
      </c>
      <c r="AA2224" s="4">
        <v>11</v>
      </c>
      <c r="AB2224" s="4">
        <v>2</v>
      </c>
      <c r="AC2224" s="4">
        <v>2</v>
      </c>
      <c r="AD2224" s="4">
        <v>74</v>
      </c>
      <c r="AE2224" s="4">
        <v>74</v>
      </c>
      <c r="AF2224" s="4">
        <v>1</v>
      </c>
      <c r="AG2224" s="4">
        <v>1</v>
      </c>
      <c r="AH2224" s="4">
        <v>69</v>
      </c>
      <c r="AI2224" s="4">
        <v>69</v>
      </c>
      <c r="AJ2224" s="4">
        <v>7</v>
      </c>
      <c r="AK2224" s="4">
        <v>7</v>
      </c>
      <c r="AL2224" s="4">
        <v>35</v>
      </c>
      <c r="AM2224" s="4">
        <v>35</v>
      </c>
      <c r="AN2224" s="4">
        <v>0</v>
      </c>
      <c r="AO2224" s="4">
        <v>0</v>
      </c>
      <c r="AP2224" s="4">
        <v>8</v>
      </c>
      <c r="AQ2224" s="4">
        <v>8</v>
      </c>
      <c r="AR2224" s="3" t="s">
        <v>64</v>
      </c>
      <c r="AS2224" s="3" t="s">
        <v>64</v>
      </c>
      <c r="AT2224" s="3" t="s">
        <v>128</v>
      </c>
      <c r="AU2224" s="6" t="str">
        <f>HYPERLINK("http://catalog.hathitrust.org/Record/003065710","HathiTrust Record")</f>
        <v>HathiTrust Record</v>
      </c>
      <c r="AV2224" s="6" t="str">
        <f>HYPERLINK("http://mcgill.on.worldcat.org/oclc/34321210","Catalog Record")</f>
        <v>Catalog Record</v>
      </c>
      <c r="AW2224" s="6" t="str">
        <f>HYPERLINK("http://www.worldcat.org/oclc/34321210","WorldCat Record")</f>
        <v>WorldCat Record</v>
      </c>
      <c r="AX2224" s="3" t="s">
        <v>22609</v>
      </c>
      <c r="AY2224" s="3" t="s">
        <v>22610</v>
      </c>
      <c r="AZ2224" s="3" t="s">
        <v>22611</v>
      </c>
      <c r="BA2224" s="3" t="s">
        <v>22611</v>
      </c>
      <c r="BB2224" s="3" t="s">
        <v>22612</v>
      </c>
      <c r="BC2224" s="3" t="s">
        <v>77</v>
      </c>
      <c r="BD2224" s="3" t="s">
        <v>78</v>
      </c>
      <c r="BE2224" s="3" t="s">
        <v>22613</v>
      </c>
      <c r="BF2224" s="3" t="s">
        <v>22612</v>
      </c>
      <c r="BG2224" s="3" t="s">
        <v>22614</v>
      </c>
      <c r="BH2224">
        <f t="shared" si="56"/>
        <v>0</v>
      </c>
    </row>
    <row r="2225" spans="1:60" ht="101.5" x14ac:dyDescent="0.35">
      <c r="A2225" s="2" t="s">
        <v>59</v>
      </c>
      <c r="B2225" s="2" t="s">
        <v>60</v>
      </c>
      <c r="C2225" s="2" t="s">
        <v>22615</v>
      </c>
      <c r="D2225" s="2" t="s">
        <v>22616</v>
      </c>
      <c r="E2225" s="2" t="s">
        <v>22617</v>
      </c>
      <c r="G2225" s="3" t="s">
        <v>64</v>
      </c>
      <c r="I2225" s="3" t="s">
        <v>64</v>
      </c>
      <c r="J2225" s="3" t="s">
        <v>64</v>
      </c>
      <c r="K2225" s="3" t="s">
        <v>65</v>
      </c>
      <c r="L2225" s="2" t="s">
        <v>22618</v>
      </c>
      <c r="M2225" s="2" t="s">
        <v>19070</v>
      </c>
      <c r="N2225" s="3" t="s">
        <v>159</v>
      </c>
      <c r="P2225" s="3" t="s">
        <v>102</v>
      </c>
      <c r="R2225" s="3" t="s">
        <v>70</v>
      </c>
      <c r="S2225" s="4">
        <v>3</v>
      </c>
      <c r="T2225" s="4">
        <v>3</v>
      </c>
      <c r="U2225" s="5" t="s">
        <v>12109</v>
      </c>
      <c r="V2225" s="5" t="s">
        <v>12109</v>
      </c>
      <c r="W2225" s="5" t="s">
        <v>72</v>
      </c>
      <c r="X2225" s="5" t="s">
        <v>72</v>
      </c>
      <c r="Y2225" s="4">
        <v>331</v>
      </c>
      <c r="Z2225" s="4">
        <v>21</v>
      </c>
      <c r="AA2225" s="4">
        <v>24</v>
      </c>
      <c r="AB2225" s="4">
        <v>2</v>
      </c>
      <c r="AC2225" s="4">
        <v>4</v>
      </c>
      <c r="AD2225" s="4">
        <v>91</v>
      </c>
      <c r="AE2225" s="4">
        <v>96</v>
      </c>
      <c r="AF2225" s="4">
        <v>1</v>
      </c>
      <c r="AG2225" s="4">
        <v>3</v>
      </c>
      <c r="AH2225" s="4">
        <v>82</v>
      </c>
      <c r="AI2225" s="4">
        <v>84</v>
      </c>
      <c r="AJ2225" s="4">
        <v>16</v>
      </c>
      <c r="AK2225" s="4">
        <v>19</v>
      </c>
      <c r="AL2225" s="4">
        <v>44</v>
      </c>
      <c r="AM2225" s="4">
        <v>45</v>
      </c>
      <c r="AN2225" s="4">
        <v>0</v>
      </c>
      <c r="AO2225" s="4">
        <v>0</v>
      </c>
      <c r="AP2225" s="4">
        <v>18</v>
      </c>
      <c r="AQ2225" s="4">
        <v>20</v>
      </c>
      <c r="AR2225" s="3" t="s">
        <v>64</v>
      </c>
      <c r="AS2225" s="3" t="s">
        <v>64</v>
      </c>
      <c r="AT2225" s="3" t="s">
        <v>64</v>
      </c>
      <c r="AV2225" s="6" t="str">
        <f>HYPERLINK("http://mcgill.on.worldcat.org/oclc/50234961","Catalog Record")</f>
        <v>Catalog Record</v>
      </c>
      <c r="AW2225" s="6" t="str">
        <f>HYPERLINK("http://www.worldcat.org/oclc/50234961","WorldCat Record")</f>
        <v>WorldCat Record</v>
      </c>
      <c r="AX2225" s="3" t="s">
        <v>22619</v>
      </c>
      <c r="AY2225" s="3" t="s">
        <v>22620</v>
      </c>
      <c r="AZ2225" s="3" t="s">
        <v>22621</v>
      </c>
      <c r="BA2225" s="3" t="s">
        <v>22621</v>
      </c>
      <c r="BB2225" s="3" t="s">
        <v>22622</v>
      </c>
      <c r="BC2225" s="3" t="s">
        <v>77</v>
      </c>
      <c r="BD2225" s="3" t="s">
        <v>78</v>
      </c>
      <c r="BE2225" s="3" t="s">
        <v>22623</v>
      </c>
      <c r="BF2225" s="3" t="s">
        <v>22622</v>
      </c>
      <c r="BG2225" s="3" t="s">
        <v>22624</v>
      </c>
      <c r="BH2225">
        <f t="shared" si="56"/>
        <v>0</v>
      </c>
    </row>
    <row r="2226" spans="1:60" ht="58" x14ac:dyDescent="0.35">
      <c r="A2226" s="2" t="s">
        <v>59</v>
      </c>
      <c r="B2226" s="2" t="s">
        <v>60</v>
      </c>
      <c r="C2226" s="2" t="s">
        <v>22625</v>
      </c>
      <c r="D2226" s="2" t="s">
        <v>22626</v>
      </c>
      <c r="E2226" s="2" t="s">
        <v>22627</v>
      </c>
      <c r="G2226" s="3" t="s">
        <v>64</v>
      </c>
      <c r="I2226" s="3" t="s">
        <v>64</v>
      </c>
      <c r="J2226" s="3" t="s">
        <v>64</v>
      </c>
      <c r="K2226" s="3" t="s">
        <v>65</v>
      </c>
      <c r="M2226" s="2" t="s">
        <v>15169</v>
      </c>
      <c r="N2226" s="3" t="s">
        <v>551</v>
      </c>
      <c r="P2226" s="3" t="s">
        <v>102</v>
      </c>
      <c r="Q2226" s="2" t="s">
        <v>22628</v>
      </c>
      <c r="R2226" s="3" t="s">
        <v>70</v>
      </c>
      <c r="S2226" s="4">
        <v>3</v>
      </c>
      <c r="T2226" s="4">
        <v>3</v>
      </c>
      <c r="U2226" s="5" t="s">
        <v>15435</v>
      </c>
      <c r="V2226" s="5" t="s">
        <v>15435</v>
      </c>
      <c r="W2226" s="5" t="s">
        <v>72</v>
      </c>
      <c r="X2226" s="5" t="s">
        <v>72</v>
      </c>
      <c r="Y2226" s="4">
        <v>445</v>
      </c>
      <c r="Z2226" s="4">
        <v>30</v>
      </c>
      <c r="AA2226" s="4">
        <v>32</v>
      </c>
      <c r="AB2226" s="4">
        <v>3</v>
      </c>
      <c r="AC2226" s="4">
        <v>5</v>
      </c>
      <c r="AD2226" s="4">
        <v>74</v>
      </c>
      <c r="AE2226" s="4">
        <v>76</v>
      </c>
      <c r="AF2226" s="4">
        <v>0</v>
      </c>
      <c r="AG2226" s="4">
        <v>2</v>
      </c>
      <c r="AH2226" s="4">
        <v>68</v>
      </c>
      <c r="AI2226" s="4">
        <v>68</v>
      </c>
      <c r="AJ2226" s="4">
        <v>10</v>
      </c>
      <c r="AK2226" s="4">
        <v>12</v>
      </c>
      <c r="AL2226" s="4">
        <v>36</v>
      </c>
      <c r="AM2226" s="4">
        <v>36</v>
      </c>
      <c r="AN2226" s="4">
        <v>0</v>
      </c>
      <c r="AO2226" s="4">
        <v>0</v>
      </c>
      <c r="AP2226" s="4">
        <v>14</v>
      </c>
      <c r="AQ2226" s="4">
        <v>15</v>
      </c>
      <c r="AR2226" s="3" t="s">
        <v>64</v>
      </c>
      <c r="AS2226" s="3" t="s">
        <v>64</v>
      </c>
      <c r="AT2226" s="3" t="s">
        <v>128</v>
      </c>
      <c r="AU2226" s="6" t="str">
        <f>HYPERLINK("http://catalog.hathitrust.org/Record/005926804","HathiTrust Record")</f>
        <v>HathiTrust Record</v>
      </c>
      <c r="AV2226" s="6" t="str">
        <f>HYPERLINK("http://mcgill.on.worldcat.org/oclc/271811382","Catalog Record")</f>
        <v>Catalog Record</v>
      </c>
      <c r="AW2226" s="6" t="str">
        <f>HYPERLINK("http://www.worldcat.org/oclc/271811382","WorldCat Record")</f>
        <v>WorldCat Record</v>
      </c>
      <c r="AX2226" s="3" t="s">
        <v>22629</v>
      </c>
      <c r="AY2226" s="3" t="s">
        <v>22630</v>
      </c>
      <c r="AZ2226" s="3" t="s">
        <v>22631</v>
      </c>
      <c r="BA2226" s="3" t="s">
        <v>22631</v>
      </c>
      <c r="BB2226" s="3" t="s">
        <v>22632</v>
      </c>
      <c r="BC2226" s="3" t="s">
        <v>77</v>
      </c>
      <c r="BD2226" s="3" t="s">
        <v>78</v>
      </c>
      <c r="BE2226" s="3" t="s">
        <v>22633</v>
      </c>
      <c r="BF2226" s="3" t="s">
        <v>22632</v>
      </c>
      <c r="BG2226" s="3" t="s">
        <v>22634</v>
      </c>
      <c r="BH2226">
        <f t="shared" si="56"/>
        <v>0</v>
      </c>
    </row>
    <row r="2227" spans="1:60" ht="58" x14ac:dyDescent="0.35">
      <c r="A2227" s="2" t="s">
        <v>59</v>
      </c>
      <c r="B2227" s="2" t="s">
        <v>60</v>
      </c>
      <c r="C2227" s="2" t="s">
        <v>22635</v>
      </c>
      <c r="D2227" s="2" t="s">
        <v>22636</v>
      </c>
      <c r="E2227" s="2" t="s">
        <v>22637</v>
      </c>
      <c r="G2227" s="3" t="s">
        <v>64</v>
      </c>
      <c r="I2227" s="3" t="s">
        <v>64</v>
      </c>
      <c r="J2227" s="3" t="s">
        <v>64</v>
      </c>
      <c r="K2227" s="3" t="s">
        <v>65</v>
      </c>
      <c r="M2227" s="2" t="s">
        <v>14893</v>
      </c>
      <c r="N2227" s="3" t="s">
        <v>67</v>
      </c>
      <c r="P2227" s="3" t="s">
        <v>102</v>
      </c>
      <c r="Q2227" s="2" t="s">
        <v>21053</v>
      </c>
      <c r="R2227" s="3" t="s">
        <v>70</v>
      </c>
      <c r="S2227" s="4">
        <v>9</v>
      </c>
      <c r="T2227" s="4">
        <v>9</v>
      </c>
      <c r="U2227" s="5" t="s">
        <v>4189</v>
      </c>
      <c r="V2227" s="5" t="s">
        <v>4189</v>
      </c>
      <c r="W2227" s="5" t="s">
        <v>72</v>
      </c>
      <c r="X2227" s="5" t="s">
        <v>72</v>
      </c>
      <c r="Y2227" s="4">
        <v>391</v>
      </c>
      <c r="Z2227" s="4">
        <v>19</v>
      </c>
      <c r="AA2227" s="4">
        <v>97</v>
      </c>
      <c r="AB2227" s="4">
        <v>2</v>
      </c>
      <c r="AC2227" s="4">
        <v>18</v>
      </c>
      <c r="AD2227" s="4">
        <v>60</v>
      </c>
      <c r="AE2227" s="4">
        <v>128</v>
      </c>
      <c r="AF2227" s="4">
        <v>1</v>
      </c>
      <c r="AG2227" s="4">
        <v>9</v>
      </c>
      <c r="AH2227" s="4">
        <v>54</v>
      </c>
      <c r="AI2227" s="4">
        <v>88</v>
      </c>
      <c r="AJ2227" s="4">
        <v>7</v>
      </c>
      <c r="AK2227" s="4">
        <v>21</v>
      </c>
      <c r="AL2227" s="4">
        <v>26</v>
      </c>
      <c r="AM2227" s="4">
        <v>46</v>
      </c>
      <c r="AN2227" s="4">
        <v>0</v>
      </c>
      <c r="AO2227" s="4">
        <v>0</v>
      </c>
      <c r="AP2227" s="4">
        <v>11</v>
      </c>
      <c r="AQ2227" s="4">
        <v>46</v>
      </c>
      <c r="AR2227" s="3" t="s">
        <v>64</v>
      </c>
      <c r="AS2227" s="3" t="s">
        <v>64</v>
      </c>
      <c r="AT2227" s="3" t="s">
        <v>64</v>
      </c>
      <c r="AV2227" s="6" t="str">
        <f>HYPERLINK("http://mcgill.on.worldcat.org/oclc/878050709","Catalog Record")</f>
        <v>Catalog Record</v>
      </c>
      <c r="AW2227" s="6" t="str">
        <f>HYPERLINK("http://www.worldcat.org/oclc/878050709","WorldCat Record")</f>
        <v>WorldCat Record</v>
      </c>
      <c r="AX2227" s="3" t="s">
        <v>22638</v>
      </c>
      <c r="AY2227" s="3" t="s">
        <v>22639</v>
      </c>
      <c r="AZ2227" s="3" t="s">
        <v>22640</v>
      </c>
      <c r="BA2227" s="3" t="s">
        <v>22640</v>
      </c>
      <c r="BB2227" s="3" t="s">
        <v>22641</v>
      </c>
      <c r="BC2227" s="3" t="s">
        <v>77</v>
      </c>
      <c r="BD2227" s="3" t="s">
        <v>165</v>
      </c>
      <c r="BE2227" s="3" t="s">
        <v>22642</v>
      </c>
      <c r="BF2227" s="3" t="s">
        <v>22641</v>
      </c>
      <c r="BG2227" s="3" t="s">
        <v>22643</v>
      </c>
      <c r="BH2227">
        <f t="shared" si="56"/>
        <v>0</v>
      </c>
    </row>
    <row r="2228" spans="1:60" ht="58" x14ac:dyDescent="0.35">
      <c r="A2228" s="2" t="s">
        <v>59</v>
      </c>
      <c r="B2228" s="2" t="s">
        <v>60</v>
      </c>
      <c r="C2228" s="2" t="s">
        <v>22644</v>
      </c>
      <c r="D2228" s="2" t="s">
        <v>22645</v>
      </c>
      <c r="E2228" s="2" t="s">
        <v>22646</v>
      </c>
      <c r="G2228" s="3" t="s">
        <v>64</v>
      </c>
      <c r="I2228" s="3" t="s">
        <v>64</v>
      </c>
      <c r="J2228" s="3" t="s">
        <v>64</v>
      </c>
      <c r="K2228" s="3" t="s">
        <v>65</v>
      </c>
      <c r="L2228" s="2" t="s">
        <v>22647</v>
      </c>
      <c r="M2228" s="2" t="s">
        <v>9226</v>
      </c>
      <c r="N2228" s="3" t="s">
        <v>511</v>
      </c>
      <c r="P2228" s="3" t="s">
        <v>102</v>
      </c>
      <c r="Q2228" s="2" t="s">
        <v>8981</v>
      </c>
      <c r="R2228" s="3" t="s">
        <v>70</v>
      </c>
      <c r="S2228" s="4">
        <v>6</v>
      </c>
      <c r="T2228" s="4">
        <v>6</v>
      </c>
      <c r="U2228" s="5" t="s">
        <v>14431</v>
      </c>
      <c r="V2228" s="5" t="s">
        <v>14431</v>
      </c>
      <c r="W2228" s="5" t="s">
        <v>72</v>
      </c>
      <c r="X2228" s="5" t="s">
        <v>72</v>
      </c>
      <c r="Y2228" s="4">
        <v>190</v>
      </c>
      <c r="Z2228" s="4">
        <v>15</v>
      </c>
      <c r="AA2228" s="4">
        <v>84</v>
      </c>
      <c r="AB2228" s="4">
        <v>2</v>
      </c>
      <c r="AC2228" s="4">
        <v>14</v>
      </c>
      <c r="AD2228" s="4">
        <v>35</v>
      </c>
      <c r="AE2228" s="4">
        <v>102</v>
      </c>
      <c r="AF2228" s="4">
        <v>1</v>
      </c>
      <c r="AG2228" s="4">
        <v>8</v>
      </c>
      <c r="AH2228" s="4">
        <v>30</v>
      </c>
      <c r="AI2228" s="4">
        <v>69</v>
      </c>
      <c r="AJ2228" s="4">
        <v>10</v>
      </c>
      <c r="AK2228" s="4">
        <v>21</v>
      </c>
      <c r="AL2228" s="4">
        <v>18</v>
      </c>
      <c r="AM2228" s="4">
        <v>32</v>
      </c>
      <c r="AN2228" s="4">
        <v>0</v>
      </c>
      <c r="AO2228" s="4">
        <v>0</v>
      </c>
      <c r="AP2228" s="4">
        <v>11</v>
      </c>
      <c r="AQ2228" s="4">
        <v>42</v>
      </c>
      <c r="AR2228" s="3" t="s">
        <v>64</v>
      </c>
      <c r="AS2228" s="3" t="s">
        <v>64</v>
      </c>
      <c r="AT2228" s="3" t="s">
        <v>64</v>
      </c>
      <c r="AV2228" s="6" t="str">
        <f>HYPERLINK("http://mcgill.on.worldcat.org/oclc/503046681","Catalog Record")</f>
        <v>Catalog Record</v>
      </c>
      <c r="AW2228" s="6" t="str">
        <f>HYPERLINK("http://www.worldcat.org/oclc/503046681","WorldCat Record")</f>
        <v>WorldCat Record</v>
      </c>
      <c r="AX2228" s="3" t="s">
        <v>22648</v>
      </c>
      <c r="AY2228" s="3" t="s">
        <v>22649</v>
      </c>
      <c r="AZ2228" s="3" t="s">
        <v>22650</v>
      </c>
      <c r="BA2228" s="3" t="s">
        <v>22650</v>
      </c>
      <c r="BB2228" s="3" t="s">
        <v>22651</v>
      </c>
      <c r="BC2228" s="3" t="s">
        <v>77</v>
      </c>
      <c r="BD2228" s="3" t="s">
        <v>78</v>
      </c>
      <c r="BE2228" s="3" t="s">
        <v>22652</v>
      </c>
      <c r="BF2228" s="3" t="s">
        <v>22651</v>
      </c>
      <c r="BG2228" s="3" t="s">
        <v>22653</v>
      </c>
      <c r="BH2228">
        <f t="shared" si="56"/>
        <v>0</v>
      </c>
    </row>
    <row r="2229" spans="1:60" ht="58" x14ac:dyDescent="0.35">
      <c r="A2229" s="2" t="s">
        <v>59</v>
      </c>
      <c r="B2229" s="2" t="s">
        <v>60</v>
      </c>
      <c r="C2229" s="2" t="s">
        <v>22654</v>
      </c>
      <c r="D2229" s="2" t="s">
        <v>22655</v>
      </c>
      <c r="E2229" s="2" t="s">
        <v>22656</v>
      </c>
      <c r="G2229" s="3" t="s">
        <v>64</v>
      </c>
      <c r="I2229" s="3" t="s">
        <v>64</v>
      </c>
      <c r="J2229" s="3" t="s">
        <v>64</v>
      </c>
      <c r="K2229" s="3" t="s">
        <v>65</v>
      </c>
      <c r="L2229" s="2" t="s">
        <v>22657</v>
      </c>
      <c r="M2229" s="2" t="s">
        <v>22658</v>
      </c>
      <c r="N2229" s="3" t="s">
        <v>190</v>
      </c>
      <c r="P2229" s="3" t="s">
        <v>102</v>
      </c>
      <c r="Q2229" s="2" t="s">
        <v>22659</v>
      </c>
      <c r="R2229" s="3" t="s">
        <v>70</v>
      </c>
      <c r="S2229" s="4">
        <v>0</v>
      </c>
      <c r="T2229" s="4">
        <v>0</v>
      </c>
      <c r="W2229" s="5" t="s">
        <v>72</v>
      </c>
      <c r="X2229" s="5" t="s">
        <v>72</v>
      </c>
      <c r="Y2229" s="4">
        <v>110</v>
      </c>
      <c r="Z2229" s="4">
        <v>1</v>
      </c>
      <c r="AA2229" s="4">
        <v>7</v>
      </c>
      <c r="AB2229" s="4">
        <v>1</v>
      </c>
      <c r="AC2229" s="4">
        <v>5</v>
      </c>
      <c r="AD2229" s="4">
        <v>10</v>
      </c>
      <c r="AE2229" s="4">
        <v>27</v>
      </c>
      <c r="AF2229" s="4">
        <v>0</v>
      </c>
      <c r="AG2229" s="4">
        <v>2</v>
      </c>
      <c r="AH2229" s="4">
        <v>10</v>
      </c>
      <c r="AI2229" s="4">
        <v>24</v>
      </c>
      <c r="AJ2229" s="4">
        <v>0</v>
      </c>
      <c r="AK2229" s="4">
        <v>3</v>
      </c>
      <c r="AL2229" s="4">
        <v>8</v>
      </c>
      <c r="AM2229" s="4">
        <v>17</v>
      </c>
      <c r="AN2229" s="4">
        <v>0</v>
      </c>
      <c r="AO2229" s="4">
        <v>0</v>
      </c>
      <c r="AP2229" s="4">
        <v>0</v>
      </c>
      <c r="AQ2229" s="4">
        <v>3</v>
      </c>
      <c r="AR2229" s="3" t="s">
        <v>64</v>
      </c>
      <c r="AS2229" s="3" t="s">
        <v>64</v>
      </c>
      <c r="AT2229" s="3" t="s">
        <v>64</v>
      </c>
      <c r="AV2229" s="6" t="str">
        <f>HYPERLINK("http://mcgill.on.worldcat.org/oclc/959260544","Catalog Record")</f>
        <v>Catalog Record</v>
      </c>
      <c r="AW2229" s="6" t="str">
        <f>HYPERLINK("http://www.worldcat.org/oclc/959260544","WorldCat Record")</f>
        <v>WorldCat Record</v>
      </c>
      <c r="AX2229" s="3" t="s">
        <v>22660</v>
      </c>
      <c r="AY2229" s="3" t="s">
        <v>22661</v>
      </c>
      <c r="AZ2229" s="3" t="s">
        <v>22662</v>
      </c>
      <c r="BA2229" s="3" t="s">
        <v>22662</v>
      </c>
      <c r="BB2229" s="3" t="s">
        <v>22663</v>
      </c>
      <c r="BC2229" s="3" t="s">
        <v>77</v>
      </c>
      <c r="BD2229" s="3" t="s">
        <v>78</v>
      </c>
      <c r="BE2229" s="3" t="s">
        <v>22664</v>
      </c>
      <c r="BF2229" s="3" t="s">
        <v>22663</v>
      </c>
      <c r="BG2229" s="3" t="s">
        <v>22665</v>
      </c>
      <c r="BH2229">
        <f t="shared" si="56"/>
        <v>0</v>
      </c>
    </row>
    <row r="2230" spans="1:60" ht="58" x14ac:dyDescent="0.35">
      <c r="A2230" s="2" t="s">
        <v>59</v>
      </c>
      <c r="B2230" s="2" t="s">
        <v>60</v>
      </c>
      <c r="C2230" s="2" t="s">
        <v>22666</v>
      </c>
      <c r="D2230" s="2" t="s">
        <v>22667</v>
      </c>
      <c r="E2230" s="2" t="s">
        <v>22668</v>
      </c>
      <c r="G2230" s="3" t="s">
        <v>64</v>
      </c>
      <c r="I2230" s="3" t="s">
        <v>64</v>
      </c>
      <c r="J2230" s="3" t="s">
        <v>64</v>
      </c>
      <c r="K2230" s="3" t="s">
        <v>65</v>
      </c>
      <c r="L2230" s="2" t="s">
        <v>22669</v>
      </c>
      <c r="M2230" s="2" t="s">
        <v>22670</v>
      </c>
      <c r="N2230" s="3" t="s">
        <v>551</v>
      </c>
      <c r="P2230" s="3" t="s">
        <v>102</v>
      </c>
      <c r="Q2230" s="2" t="s">
        <v>8981</v>
      </c>
      <c r="R2230" s="3" t="s">
        <v>70</v>
      </c>
      <c r="S2230" s="4">
        <v>8</v>
      </c>
      <c r="T2230" s="4">
        <v>8</v>
      </c>
      <c r="U2230" s="5" t="s">
        <v>22671</v>
      </c>
      <c r="V2230" s="5" t="s">
        <v>22671</v>
      </c>
      <c r="W2230" s="5" t="s">
        <v>72</v>
      </c>
      <c r="X2230" s="5" t="s">
        <v>72</v>
      </c>
      <c r="Y2230" s="4">
        <v>152</v>
      </c>
      <c r="Z2230" s="4">
        <v>14</v>
      </c>
      <c r="AA2230" s="4">
        <v>20</v>
      </c>
      <c r="AB2230" s="4">
        <v>2</v>
      </c>
      <c r="AC2230" s="4">
        <v>5</v>
      </c>
      <c r="AD2230" s="4">
        <v>47</v>
      </c>
      <c r="AE2230" s="4">
        <v>59</v>
      </c>
      <c r="AF2230" s="4">
        <v>0</v>
      </c>
      <c r="AG2230" s="4">
        <v>1</v>
      </c>
      <c r="AH2230" s="4">
        <v>42</v>
      </c>
      <c r="AI2230" s="4">
        <v>52</v>
      </c>
      <c r="AJ2230" s="4">
        <v>9</v>
      </c>
      <c r="AK2230" s="4">
        <v>11</v>
      </c>
      <c r="AL2230" s="4">
        <v>25</v>
      </c>
      <c r="AM2230" s="4">
        <v>29</v>
      </c>
      <c r="AN2230" s="4">
        <v>0</v>
      </c>
      <c r="AO2230" s="4">
        <v>0</v>
      </c>
      <c r="AP2230" s="4">
        <v>10</v>
      </c>
      <c r="AQ2230" s="4">
        <v>12</v>
      </c>
      <c r="AR2230" s="3" t="s">
        <v>64</v>
      </c>
      <c r="AS2230" s="3" t="s">
        <v>64</v>
      </c>
      <c r="AT2230" s="3" t="s">
        <v>64</v>
      </c>
      <c r="AV2230" s="6" t="str">
        <f>HYPERLINK("http://mcgill.on.worldcat.org/oclc/236120333","Catalog Record")</f>
        <v>Catalog Record</v>
      </c>
      <c r="AW2230" s="6" t="str">
        <f>HYPERLINK("http://www.worldcat.org/oclc/236120333","WorldCat Record")</f>
        <v>WorldCat Record</v>
      </c>
      <c r="AX2230" s="3" t="s">
        <v>22672</v>
      </c>
      <c r="AY2230" s="3" t="s">
        <v>22673</v>
      </c>
      <c r="AZ2230" s="3" t="s">
        <v>22674</v>
      </c>
      <c r="BA2230" s="3" t="s">
        <v>22674</v>
      </c>
      <c r="BB2230" s="3" t="s">
        <v>22675</v>
      </c>
      <c r="BC2230" s="3" t="s">
        <v>77</v>
      </c>
      <c r="BD2230" s="3" t="s">
        <v>78</v>
      </c>
      <c r="BE2230" s="3" t="s">
        <v>22676</v>
      </c>
      <c r="BF2230" s="3" t="s">
        <v>22675</v>
      </c>
      <c r="BG2230" s="3" t="s">
        <v>22677</v>
      </c>
      <c r="BH2230">
        <f t="shared" si="56"/>
        <v>0</v>
      </c>
    </row>
    <row r="2231" spans="1:60" ht="58" x14ac:dyDescent="0.35">
      <c r="A2231" s="2" t="s">
        <v>59</v>
      </c>
      <c r="B2231" s="2" t="s">
        <v>60</v>
      </c>
      <c r="C2231" s="2" t="s">
        <v>22678</v>
      </c>
      <c r="D2231" s="2" t="s">
        <v>22679</v>
      </c>
      <c r="E2231" s="2" t="s">
        <v>22680</v>
      </c>
      <c r="G2231" s="3" t="s">
        <v>64</v>
      </c>
      <c r="I2231" s="3" t="s">
        <v>64</v>
      </c>
      <c r="J2231" s="3" t="s">
        <v>64</v>
      </c>
      <c r="K2231" s="3" t="s">
        <v>65</v>
      </c>
      <c r="L2231" s="2" t="s">
        <v>22681</v>
      </c>
      <c r="M2231" s="2" t="s">
        <v>18555</v>
      </c>
      <c r="N2231" s="3" t="s">
        <v>326</v>
      </c>
      <c r="P2231" s="3" t="s">
        <v>102</v>
      </c>
      <c r="Q2231" s="2" t="s">
        <v>8981</v>
      </c>
      <c r="R2231" s="3" t="s">
        <v>70</v>
      </c>
      <c r="S2231" s="4">
        <v>9</v>
      </c>
      <c r="T2231" s="4">
        <v>9</v>
      </c>
      <c r="U2231" s="5" t="s">
        <v>20369</v>
      </c>
      <c r="V2231" s="5" t="s">
        <v>20369</v>
      </c>
      <c r="W2231" s="5" t="s">
        <v>72</v>
      </c>
      <c r="X2231" s="5" t="s">
        <v>72</v>
      </c>
      <c r="Y2231" s="4">
        <v>85</v>
      </c>
      <c r="Z2231" s="4">
        <v>7</v>
      </c>
      <c r="AA2231" s="4">
        <v>23</v>
      </c>
      <c r="AB2231" s="4">
        <v>1</v>
      </c>
      <c r="AC2231" s="4">
        <v>7</v>
      </c>
      <c r="AD2231" s="4">
        <v>28</v>
      </c>
      <c r="AE2231" s="4">
        <v>58</v>
      </c>
      <c r="AF2231" s="4">
        <v>0</v>
      </c>
      <c r="AG2231" s="4">
        <v>3</v>
      </c>
      <c r="AH2231" s="4">
        <v>28</v>
      </c>
      <c r="AI2231" s="4">
        <v>50</v>
      </c>
      <c r="AJ2231" s="4">
        <v>4</v>
      </c>
      <c r="AK2231" s="4">
        <v>11</v>
      </c>
      <c r="AL2231" s="4">
        <v>19</v>
      </c>
      <c r="AM2231" s="4">
        <v>28</v>
      </c>
      <c r="AN2231" s="4">
        <v>0</v>
      </c>
      <c r="AO2231" s="4">
        <v>0</v>
      </c>
      <c r="AP2231" s="4">
        <v>4</v>
      </c>
      <c r="AQ2231" s="4">
        <v>11</v>
      </c>
      <c r="AR2231" s="3" t="s">
        <v>64</v>
      </c>
      <c r="AS2231" s="3" t="s">
        <v>64</v>
      </c>
      <c r="AT2231" s="3" t="s">
        <v>64</v>
      </c>
      <c r="AV2231" s="6" t="str">
        <f>HYPERLINK("http://mcgill.on.worldcat.org/oclc/708570867","Catalog Record")</f>
        <v>Catalog Record</v>
      </c>
      <c r="AW2231" s="6" t="str">
        <f>HYPERLINK("http://www.worldcat.org/oclc/708570867","WorldCat Record")</f>
        <v>WorldCat Record</v>
      </c>
      <c r="AX2231" s="3" t="s">
        <v>22682</v>
      </c>
      <c r="AY2231" s="3" t="s">
        <v>22683</v>
      </c>
      <c r="AZ2231" s="3" t="s">
        <v>22684</v>
      </c>
      <c r="BA2231" s="3" t="s">
        <v>22684</v>
      </c>
      <c r="BB2231" s="3" t="s">
        <v>22685</v>
      </c>
      <c r="BC2231" s="3" t="s">
        <v>77</v>
      </c>
      <c r="BD2231" s="3" t="s">
        <v>78</v>
      </c>
      <c r="BE2231" s="3" t="s">
        <v>22686</v>
      </c>
      <c r="BF2231" s="3" t="s">
        <v>22685</v>
      </c>
      <c r="BG2231" s="3" t="s">
        <v>22687</v>
      </c>
      <c r="BH2231">
        <f t="shared" si="56"/>
        <v>0</v>
      </c>
    </row>
    <row r="2232" spans="1:60" ht="58" x14ac:dyDescent="0.35">
      <c r="A2232" s="2" t="s">
        <v>59</v>
      </c>
      <c r="B2232" s="2" t="s">
        <v>60</v>
      </c>
      <c r="C2232" s="2" t="s">
        <v>22688</v>
      </c>
      <c r="D2232" s="2" t="s">
        <v>22689</v>
      </c>
      <c r="E2232" s="2" t="s">
        <v>22690</v>
      </c>
      <c r="G2232" s="3" t="s">
        <v>64</v>
      </c>
      <c r="I2232" s="3" t="s">
        <v>64</v>
      </c>
      <c r="J2232" s="3" t="s">
        <v>64</v>
      </c>
      <c r="K2232" s="3" t="s">
        <v>65</v>
      </c>
      <c r="M2232" s="2" t="s">
        <v>15272</v>
      </c>
      <c r="N2232" s="3" t="s">
        <v>291</v>
      </c>
      <c r="P2232" s="3" t="s">
        <v>102</v>
      </c>
      <c r="R2232" s="3" t="s">
        <v>70</v>
      </c>
      <c r="S2232" s="4">
        <v>17</v>
      </c>
      <c r="T2232" s="4">
        <v>17</v>
      </c>
      <c r="U2232" s="5" t="s">
        <v>22691</v>
      </c>
      <c r="V2232" s="5" t="s">
        <v>22691</v>
      </c>
      <c r="W2232" s="5" t="s">
        <v>72</v>
      </c>
      <c r="X2232" s="5" t="s">
        <v>72</v>
      </c>
      <c r="Y2232" s="4">
        <v>404</v>
      </c>
      <c r="Z2232" s="4">
        <v>29</v>
      </c>
      <c r="AA2232" s="4">
        <v>59</v>
      </c>
      <c r="AB2232" s="4">
        <v>3</v>
      </c>
      <c r="AC2232" s="4">
        <v>9</v>
      </c>
      <c r="AD2232" s="4">
        <v>57</v>
      </c>
      <c r="AE2232" s="4">
        <v>66</v>
      </c>
      <c r="AF2232" s="4">
        <v>0</v>
      </c>
      <c r="AG2232" s="4">
        <v>2</v>
      </c>
      <c r="AH2232" s="4">
        <v>53</v>
      </c>
      <c r="AI2232" s="4">
        <v>59</v>
      </c>
      <c r="AJ2232" s="4">
        <v>9</v>
      </c>
      <c r="AK2232" s="4">
        <v>11</v>
      </c>
      <c r="AL2232" s="4">
        <v>28</v>
      </c>
      <c r="AM2232" s="4">
        <v>29</v>
      </c>
      <c r="AN2232" s="4">
        <v>0</v>
      </c>
      <c r="AO2232" s="4">
        <v>0</v>
      </c>
      <c r="AP2232" s="4">
        <v>11</v>
      </c>
      <c r="AQ2232" s="4">
        <v>14</v>
      </c>
      <c r="AR2232" s="3" t="s">
        <v>64</v>
      </c>
      <c r="AS2232" s="3" t="s">
        <v>64</v>
      </c>
      <c r="AT2232" s="3" t="s">
        <v>64</v>
      </c>
      <c r="AV2232" s="6" t="str">
        <f>HYPERLINK("http://mcgill.on.worldcat.org/oclc/86115485","Catalog Record")</f>
        <v>Catalog Record</v>
      </c>
      <c r="AW2232" s="6" t="str">
        <f>HYPERLINK("http://www.worldcat.org/oclc/86115485","WorldCat Record")</f>
        <v>WorldCat Record</v>
      </c>
      <c r="AX2232" s="3" t="s">
        <v>22692</v>
      </c>
      <c r="AY2232" s="3" t="s">
        <v>22693</v>
      </c>
      <c r="AZ2232" s="3" t="s">
        <v>22694</v>
      </c>
      <c r="BA2232" s="3" t="s">
        <v>22694</v>
      </c>
      <c r="BB2232" s="3" t="s">
        <v>22695</v>
      </c>
      <c r="BC2232" s="3" t="s">
        <v>77</v>
      </c>
      <c r="BD2232" s="3" t="s">
        <v>165</v>
      </c>
      <c r="BE2232" s="3" t="s">
        <v>22696</v>
      </c>
      <c r="BF2232" s="3" t="s">
        <v>22695</v>
      </c>
      <c r="BG2232" s="3" t="s">
        <v>22697</v>
      </c>
      <c r="BH2232">
        <f t="shared" si="56"/>
        <v>0</v>
      </c>
    </row>
    <row r="2233" spans="1:60" ht="58" x14ac:dyDescent="0.35">
      <c r="A2233" s="2" t="s">
        <v>59</v>
      </c>
      <c r="B2233" s="2" t="s">
        <v>60</v>
      </c>
      <c r="C2233" s="2" t="s">
        <v>22698</v>
      </c>
      <c r="D2233" s="2" t="s">
        <v>22699</v>
      </c>
      <c r="E2233" s="2" t="s">
        <v>22700</v>
      </c>
      <c r="G2233" s="3" t="s">
        <v>64</v>
      </c>
      <c r="I2233" s="3" t="s">
        <v>64</v>
      </c>
      <c r="J2233" s="3" t="s">
        <v>64</v>
      </c>
      <c r="K2233" s="3" t="s">
        <v>65</v>
      </c>
      <c r="L2233" s="2" t="s">
        <v>22701</v>
      </c>
      <c r="M2233" s="2" t="s">
        <v>17291</v>
      </c>
      <c r="N2233" s="3" t="s">
        <v>326</v>
      </c>
      <c r="P2233" s="3" t="s">
        <v>102</v>
      </c>
      <c r="Q2233" s="2" t="s">
        <v>8981</v>
      </c>
      <c r="R2233" s="3" t="s">
        <v>70</v>
      </c>
      <c r="S2233" s="4">
        <v>10</v>
      </c>
      <c r="T2233" s="4">
        <v>10</v>
      </c>
      <c r="U2233" s="5" t="s">
        <v>18333</v>
      </c>
      <c r="V2233" s="5" t="s">
        <v>18333</v>
      </c>
      <c r="W2233" s="5" t="s">
        <v>72</v>
      </c>
      <c r="X2233" s="5" t="s">
        <v>72</v>
      </c>
      <c r="Y2233" s="4">
        <v>103</v>
      </c>
      <c r="Z2233" s="4">
        <v>13</v>
      </c>
      <c r="AA2233" s="4">
        <v>33</v>
      </c>
      <c r="AB2233" s="4">
        <v>1</v>
      </c>
      <c r="AC2233" s="4">
        <v>9</v>
      </c>
      <c r="AD2233" s="4">
        <v>25</v>
      </c>
      <c r="AE2233" s="4">
        <v>66</v>
      </c>
      <c r="AF2233" s="4">
        <v>0</v>
      </c>
      <c r="AG2233" s="4">
        <v>6</v>
      </c>
      <c r="AH2233" s="4">
        <v>23</v>
      </c>
      <c r="AI2233" s="4">
        <v>52</v>
      </c>
      <c r="AJ2233" s="4">
        <v>6</v>
      </c>
      <c r="AK2233" s="4">
        <v>13</v>
      </c>
      <c r="AL2233" s="4">
        <v>12</v>
      </c>
      <c r="AM2233" s="4">
        <v>26</v>
      </c>
      <c r="AN2233" s="4">
        <v>0</v>
      </c>
      <c r="AO2233" s="4">
        <v>0</v>
      </c>
      <c r="AP2233" s="4">
        <v>6</v>
      </c>
      <c r="AQ2233" s="4">
        <v>17</v>
      </c>
      <c r="AR2233" s="3" t="s">
        <v>64</v>
      </c>
      <c r="AS2233" s="3" t="s">
        <v>64</v>
      </c>
      <c r="AT2233" s="3" t="s">
        <v>64</v>
      </c>
      <c r="AV2233" s="6" t="str">
        <f>HYPERLINK("http://mcgill.on.worldcat.org/oclc/702327483","Catalog Record")</f>
        <v>Catalog Record</v>
      </c>
      <c r="AW2233" s="6" t="str">
        <f>HYPERLINK("http://www.worldcat.org/oclc/702327483","WorldCat Record")</f>
        <v>WorldCat Record</v>
      </c>
      <c r="AX2233" s="3" t="s">
        <v>22702</v>
      </c>
      <c r="AY2233" s="3" t="s">
        <v>22703</v>
      </c>
      <c r="AZ2233" s="3" t="s">
        <v>22704</v>
      </c>
      <c r="BA2233" s="3" t="s">
        <v>22704</v>
      </c>
      <c r="BB2233" s="3" t="s">
        <v>22705</v>
      </c>
      <c r="BC2233" s="3" t="s">
        <v>77</v>
      </c>
      <c r="BD2233" s="3" t="s">
        <v>78</v>
      </c>
      <c r="BE2233" s="3" t="s">
        <v>22706</v>
      </c>
      <c r="BF2233" s="3" t="s">
        <v>22705</v>
      </c>
      <c r="BG2233" s="3" t="s">
        <v>22707</v>
      </c>
      <c r="BH2233">
        <f t="shared" si="56"/>
        <v>0</v>
      </c>
    </row>
    <row r="2234" spans="1:60" ht="58" x14ac:dyDescent="0.35">
      <c r="A2234" s="2" t="s">
        <v>59</v>
      </c>
      <c r="B2234" s="2" t="s">
        <v>60</v>
      </c>
      <c r="C2234" s="2" t="s">
        <v>22708</v>
      </c>
      <c r="D2234" s="2" t="s">
        <v>22709</v>
      </c>
      <c r="E2234" s="2" t="s">
        <v>22710</v>
      </c>
      <c r="G2234" s="3" t="s">
        <v>64</v>
      </c>
      <c r="I2234" s="3" t="s">
        <v>64</v>
      </c>
      <c r="J2234" s="3" t="s">
        <v>64</v>
      </c>
      <c r="K2234" s="3" t="s">
        <v>65</v>
      </c>
      <c r="L2234" s="2" t="s">
        <v>22711</v>
      </c>
      <c r="M2234" s="2" t="s">
        <v>15259</v>
      </c>
      <c r="N2234" s="3" t="s">
        <v>171</v>
      </c>
      <c r="P2234" s="3" t="s">
        <v>102</v>
      </c>
      <c r="R2234" s="3" t="s">
        <v>70</v>
      </c>
      <c r="S2234" s="4">
        <v>15</v>
      </c>
      <c r="T2234" s="4">
        <v>15</v>
      </c>
      <c r="U2234" s="5" t="s">
        <v>19060</v>
      </c>
      <c r="V2234" s="5" t="s">
        <v>19060</v>
      </c>
      <c r="W2234" s="5" t="s">
        <v>72</v>
      </c>
      <c r="X2234" s="5" t="s">
        <v>72</v>
      </c>
      <c r="Y2234" s="4">
        <v>535</v>
      </c>
      <c r="Z2234" s="4">
        <v>29</v>
      </c>
      <c r="AA2234" s="4">
        <v>90</v>
      </c>
      <c r="AB2234" s="4">
        <v>2</v>
      </c>
      <c r="AC2234" s="4">
        <v>13</v>
      </c>
      <c r="AD2234" s="4">
        <v>69</v>
      </c>
      <c r="AE2234" s="4">
        <v>97</v>
      </c>
      <c r="AF2234" s="4">
        <v>0</v>
      </c>
      <c r="AG2234" s="4">
        <v>4</v>
      </c>
      <c r="AH2234" s="4">
        <v>63</v>
      </c>
      <c r="AI2234" s="4">
        <v>76</v>
      </c>
      <c r="AJ2234" s="4">
        <v>9</v>
      </c>
      <c r="AK2234" s="4">
        <v>15</v>
      </c>
      <c r="AL2234" s="4">
        <v>34</v>
      </c>
      <c r="AM2234" s="4">
        <v>40</v>
      </c>
      <c r="AN2234" s="4">
        <v>0</v>
      </c>
      <c r="AO2234" s="4">
        <v>0</v>
      </c>
      <c r="AP2234" s="4">
        <v>11</v>
      </c>
      <c r="AQ2234" s="4">
        <v>24</v>
      </c>
      <c r="AR2234" s="3" t="s">
        <v>64</v>
      </c>
      <c r="AS2234" s="3" t="s">
        <v>64</v>
      </c>
      <c r="AT2234" s="3" t="s">
        <v>64</v>
      </c>
      <c r="AV2234" s="6" t="str">
        <f>HYPERLINK("http://mcgill.on.worldcat.org/oclc/70707790","Catalog Record")</f>
        <v>Catalog Record</v>
      </c>
      <c r="AW2234" s="6" t="str">
        <f>HYPERLINK("http://www.worldcat.org/oclc/70707790","WorldCat Record")</f>
        <v>WorldCat Record</v>
      </c>
      <c r="AX2234" s="3" t="s">
        <v>22712</v>
      </c>
      <c r="AY2234" s="3" t="s">
        <v>22713</v>
      </c>
      <c r="AZ2234" s="3" t="s">
        <v>22714</v>
      </c>
      <c r="BA2234" s="3" t="s">
        <v>22714</v>
      </c>
      <c r="BB2234" s="3" t="s">
        <v>22715</v>
      </c>
      <c r="BC2234" s="3" t="s">
        <v>77</v>
      </c>
      <c r="BD2234" s="3" t="s">
        <v>78</v>
      </c>
      <c r="BE2234" s="3" t="s">
        <v>22716</v>
      </c>
      <c r="BF2234" s="3" t="s">
        <v>22715</v>
      </c>
      <c r="BG2234" s="3" t="s">
        <v>22717</v>
      </c>
      <c r="BH2234">
        <f t="shared" si="56"/>
        <v>0</v>
      </c>
    </row>
    <row r="2235" spans="1:60" ht="58" x14ac:dyDescent="0.35">
      <c r="A2235" s="2" t="s">
        <v>59</v>
      </c>
      <c r="B2235" s="2" t="s">
        <v>60</v>
      </c>
      <c r="C2235" s="2" t="s">
        <v>22718</v>
      </c>
      <c r="D2235" s="2" t="s">
        <v>22719</v>
      </c>
      <c r="E2235" s="2" t="s">
        <v>22720</v>
      </c>
      <c r="G2235" s="3" t="s">
        <v>64</v>
      </c>
      <c r="I2235" s="3" t="s">
        <v>64</v>
      </c>
      <c r="J2235" s="3" t="s">
        <v>64</v>
      </c>
      <c r="K2235" s="3" t="s">
        <v>65</v>
      </c>
      <c r="L2235" s="2" t="s">
        <v>15776</v>
      </c>
      <c r="M2235" s="2" t="s">
        <v>22721</v>
      </c>
      <c r="N2235" s="3" t="s">
        <v>144</v>
      </c>
      <c r="P2235" s="3" t="s">
        <v>102</v>
      </c>
      <c r="R2235" s="3" t="s">
        <v>70</v>
      </c>
      <c r="S2235" s="4">
        <v>19</v>
      </c>
      <c r="T2235" s="4">
        <v>19</v>
      </c>
      <c r="U2235" s="5" t="s">
        <v>15069</v>
      </c>
      <c r="V2235" s="5" t="s">
        <v>15069</v>
      </c>
      <c r="W2235" s="5" t="s">
        <v>72</v>
      </c>
      <c r="X2235" s="5" t="s">
        <v>72</v>
      </c>
      <c r="Y2235" s="4">
        <v>334</v>
      </c>
      <c r="Z2235" s="4">
        <v>19</v>
      </c>
      <c r="AA2235" s="4">
        <v>109</v>
      </c>
      <c r="AB2235" s="4">
        <v>2</v>
      </c>
      <c r="AC2235" s="4">
        <v>19</v>
      </c>
      <c r="AD2235" s="4">
        <v>46</v>
      </c>
      <c r="AE2235" s="4">
        <v>111</v>
      </c>
      <c r="AF2235" s="4">
        <v>0</v>
      </c>
      <c r="AG2235" s="4">
        <v>8</v>
      </c>
      <c r="AH2235" s="4">
        <v>43</v>
      </c>
      <c r="AI2235" s="4">
        <v>77</v>
      </c>
      <c r="AJ2235" s="4">
        <v>5</v>
      </c>
      <c r="AK2235" s="4">
        <v>19</v>
      </c>
      <c r="AL2235" s="4">
        <v>26</v>
      </c>
      <c r="AM2235" s="4">
        <v>39</v>
      </c>
      <c r="AN2235" s="4">
        <v>0</v>
      </c>
      <c r="AO2235" s="4">
        <v>0</v>
      </c>
      <c r="AP2235" s="4">
        <v>6</v>
      </c>
      <c r="AQ2235" s="4">
        <v>40</v>
      </c>
      <c r="AR2235" s="3" t="s">
        <v>64</v>
      </c>
      <c r="AS2235" s="3" t="s">
        <v>64</v>
      </c>
      <c r="AT2235" s="3" t="s">
        <v>64</v>
      </c>
      <c r="AV2235" s="6" t="str">
        <f>HYPERLINK("http://mcgill.on.worldcat.org/oclc/192050068","Catalog Record")</f>
        <v>Catalog Record</v>
      </c>
      <c r="AW2235" s="6" t="str">
        <f>HYPERLINK("http://www.worldcat.org/oclc/192050068","WorldCat Record")</f>
        <v>WorldCat Record</v>
      </c>
      <c r="AX2235" s="3" t="s">
        <v>22722</v>
      </c>
      <c r="AY2235" s="3" t="s">
        <v>22723</v>
      </c>
      <c r="AZ2235" s="3" t="s">
        <v>22724</v>
      </c>
      <c r="BA2235" s="3" t="s">
        <v>22724</v>
      </c>
      <c r="BB2235" s="3" t="s">
        <v>22725</v>
      </c>
      <c r="BC2235" s="3" t="s">
        <v>77</v>
      </c>
      <c r="BD2235" s="3" t="s">
        <v>78</v>
      </c>
      <c r="BE2235" s="3" t="s">
        <v>22726</v>
      </c>
      <c r="BF2235" s="3" t="s">
        <v>22725</v>
      </c>
      <c r="BG2235" s="3" t="s">
        <v>22727</v>
      </c>
      <c r="BH2235">
        <f t="shared" si="56"/>
        <v>0</v>
      </c>
    </row>
    <row r="2236" spans="1:60" ht="58" x14ac:dyDescent="0.35">
      <c r="A2236" s="2" t="s">
        <v>59</v>
      </c>
      <c r="B2236" s="2" t="s">
        <v>60</v>
      </c>
      <c r="C2236" s="2" t="s">
        <v>22728</v>
      </c>
      <c r="D2236" s="2" t="s">
        <v>22729</v>
      </c>
      <c r="E2236" s="2" t="s">
        <v>22730</v>
      </c>
      <c r="G2236" s="3" t="s">
        <v>64</v>
      </c>
      <c r="I2236" s="3" t="s">
        <v>64</v>
      </c>
      <c r="J2236" s="3" t="s">
        <v>64</v>
      </c>
      <c r="K2236" s="3" t="s">
        <v>65</v>
      </c>
      <c r="L2236" s="2" t="s">
        <v>22731</v>
      </c>
      <c r="M2236" s="2" t="s">
        <v>19592</v>
      </c>
      <c r="N2236" s="3" t="s">
        <v>86</v>
      </c>
      <c r="P2236" s="3" t="s">
        <v>102</v>
      </c>
      <c r="Q2236" s="2" t="s">
        <v>8981</v>
      </c>
      <c r="R2236" s="3" t="s">
        <v>70</v>
      </c>
      <c r="S2236" s="4">
        <v>6</v>
      </c>
      <c r="T2236" s="4">
        <v>6</v>
      </c>
      <c r="U2236" s="5" t="s">
        <v>22732</v>
      </c>
      <c r="V2236" s="5" t="s">
        <v>22732</v>
      </c>
      <c r="W2236" s="5" t="s">
        <v>72</v>
      </c>
      <c r="X2236" s="5" t="s">
        <v>72</v>
      </c>
      <c r="Y2236" s="4">
        <v>80</v>
      </c>
      <c r="Z2236" s="4">
        <v>7</v>
      </c>
      <c r="AA2236" s="4">
        <v>82</v>
      </c>
      <c r="AB2236" s="4">
        <v>1</v>
      </c>
      <c r="AC2236" s="4">
        <v>14</v>
      </c>
      <c r="AD2236" s="4">
        <v>12</v>
      </c>
      <c r="AE2236" s="4">
        <v>101</v>
      </c>
      <c r="AF2236" s="4">
        <v>0</v>
      </c>
      <c r="AG2236" s="4">
        <v>8</v>
      </c>
      <c r="AH2236" s="4">
        <v>11</v>
      </c>
      <c r="AI2236" s="4">
        <v>67</v>
      </c>
      <c r="AJ2236" s="4">
        <v>4</v>
      </c>
      <c r="AK2236" s="4">
        <v>20</v>
      </c>
      <c r="AL2236" s="4">
        <v>8</v>
      </c>
      <c r="AM2236" s="4">
        <v>33</v>
      </c>
      <c r="AN2236" s="4">
        <v>0</v>
      </c>
      <c r="AO2236" s="4">
        <v>0</v>
      </c>
      <c r="AP2236" s="4">
        <v>5</v>
      </c>
      <c r="AQ2236" s="4">
        <v>41</v>
      </c>
      <c r="AR2236" s="3" t="s">
        <v>64</v>
      </c>
      <c r="AS2236" s="3" t="s">
        <v>64</v>
      </c>
      <c r="AT2236" s="3" t="s">
        <v>64</v>
      </c>
      <c r="AV2236" s="6" t="str">
        <f>HYPERLINK("http://mcgill.on.worldcat.org/oclc/701309362","Catalog Record")</f>
        <v>Catalog Record</v>
      </c>
      <c r="AW2236" s="6" t="str">
        <f>HYPERLINK("http://www.worldcat.org/oclc/701309362","WorldCat Record")</f>
        <v>WorldCat Record</v>
      </c>
      <c r="AX2236" s="3" t="s">
        <v>22733</v>
      </c>
      <c r="AY2236" s="3" t="s">
        <v>22734</v>
      </c>
      <c r="AZ2236" s="3" t="s">
        <v>22735</v>
      </c>
      <c r="BA2236" s="3" t="s">
        <v>22735</v>
      </c>
      <c r="BB2236" s="3" t="s">
        <v>22736</v>
      </c>
      <c r="BC2236" s="3" t="s">
        <v>77</v>
      </c>
      <c r="BD2236" s="3" t="s">
        <v>78</v>
      </c>
      <c r="BE2236" s="3" t="s">
        <v>22737</v>
      </c>
      <c r="BF2236" s="3" t="s">
        <v>22736</v>
      </c>
      <c r="BG2236" s="3" t="s">
        <v>22738</v>
      </c>
      <c r="BH2236">
        <f t="shared" si="56"/>
        <v>0</v>
      </c>
    </row>
    <row r="2237" spans="1:60" ht="58" x14ac:dyDescent="0.35">
      <c r="A2237" s="2" t="s">
        <v>59</v>
      </c>
      <c r="B2237" s="2" t="s">
        <v>60</v>
      </c>
      <c r="C2237" s="2" t="s">
        <v>22739</v>
      </c>
      <c r="D2237" s="2" t="s">
        <v>22740</v>
      </c>
      <c r="E2237" s="2" t="s">
        <v>22741</v>
      </c>
      <c r="G2237" s="3" t="s">
        <v>64</v>
      </c>
      <c r="I2237" s="3" t="s">
        <v>64</v>
      </c>
      <c r="J2237" s="3" t="s">
        <v>64</v>
      </c>
      <c r="K2237" s="3" t="s">
        <v>65</v>
      </c>
      <c r="M2237" s="2" t="s">
        <v>14793</v>
      </c>
      <c r="N2237" s="3" t="s">
        <v>1075</v>
      </c>
      <c r="P2237" s="3" t="s">
        <v>102</v>
      </c>
      <c r="Q2237" s="2" t="s">
        <v>17049</v>
      </c>
      <c r="R2237" s="3" t="s">
        <v>70</v>
      </c>
      <c r="S2237" s="4">
        <v>2</v>
      </c>
      <c r="T2237" s="4">
        <v>2</v>
      </c>
      <c r="U2237" s="5" t="s">
        <v>19011</v>
      </c>
      <c r="V2237" s="5" t="s">
        <v>19011</v>
      </c>
      <c r="W2237" s="5" t="s">
        <v>72</v>
      </c>
      <c r="X2237" s="5" t="s">
        <v>72</v>
      </c>
      <c r="Y2237" s="4">
        <v>175</v>
      </c>
      <c r="Z2237" s="4">
        <v>14</v>
      </c>
      <c r="AA2237" s="4">
        <v>91</v>
      </c>
      <c r="AB2237" s="4">
        <v>1</v>
      </c>
      <c r="AC2237" s="4">
        <v>17</v>
      </c>
      <c r="AD2237" s="4">
        <v>44</v>
      </c>
      <c r="AE2237" s="4">
        <v>117</v>
      </c>
      <c r="AF2237" s="4">
        <v>0</v>
      </c>
      <c r="AG2237" s="4">
        <v>8</v>
      </c>
      <c r="AH2237" s="4">
        <v>42</v>
      </c>
      <c r="AI2237" s="4">
        <v>81</v>
      </c>
      <c r="AJ2237" s="4">
        <v>7</v>
      </c>
      <c r="AK2237" s="4">
        <v>21</v>
      </c>
      <c r="AL2237" s="4">
        <v>24</v>
      </c>
      <c r="AM2237" s="4">
        <v>41</v>
      </c>
      <c r="AN2237" s="4">
        <v>0</v>
      </c>
      <c r="AO2237" s="4">
        <v>0</v>
      </c>
      <c r="AP2237" s="4">
        <v>6</v>
      </c>
      <c r="AQ2237" s="4">
        <v>41</v>
      </c>
      <c r="AR2237" s="3" t="s">
        <v>64</v>
      </c>
      <c r="AS2237" s="3" t="s">
        <v>64</v>
      </c>
      <c r="AT2237" s="3" t="s">
        <v>64</v>
      </c>
      <c r="AV2237" s="6" t="str">
        <f>HYPERLINK("http://mcgill.on.worldcat.org/oclc/812531012","Catalog Record")</f>
        <v>Catalog Record</v>
      </c>
      <c r="AW2237" s="6" t="str">
        <f>HYPERLINK("http://www.worldcat.org/oclc/812531012","WorldCat Record")</f>
        <v>WorldCat Record</v>
      </c>
      <c r="AX2237" s="3" t="s">
        <v>22742</v>
      </c>
      <c r="AY2237" s="3" t="s">
        <v>22743</v>
      </c>
      <c r="AZ2237" s="3" t="s">
        <v>22744</v>
      </c>
      <c r="BA2237" s="3" t="s">
        <v>22744</v>
      </c>
      <c r="BB2237" s="3" t="s">
        <v>22745</v>
      </c>
      <c r="BC2237" s="3" t="s">
        <v>77</v>
      </c>
      <c r="BD2237" s="3" t="s">
        <v>78</v>
      </c>
      <c r="BE2237" s="3" t="s">
        <v>22746</v>
      </c>
      <c r="BF2237" s="3" t="s">
        <v>22745</v>
      </c>
      <c r="BG2237" s="3" t="s">
        <v>22747</v>
      </c>
      <c r="BH2237">
        <f t="shared" si="56"/>
        <v>0</v>
      </c>
    </row>
    <row r="2238" spans="1:60" ht="58" x14ac:dyDescent="0.35">
      <c r="A2238" s="2" t="s">
        <v>59</v>
      </c>
      <c r="B2238" s="2" t="s">
        <v>60</v>
      </c>
      <c r="C2238" s="2" t="s">
        <v>22748</v>
      </c>
      <c r="D2238" s="2" t="s">
        <v>22749</v>
      </c>
      <c r="E2238" s="2" t="s">
        <v>22750</v>
      </c>
      <c r="G2238" s="3" t="s">
        <v>64</v>
      </c>
      <c r="I2238" s="3" t="s">
        <v>64</v>
      </c>
      <c r="J2238" s="3" t="s">
        <v>64</v>
      </c>
      <c r="K2238" s="3" t="s">
        <v>65</v>
      </c>
      <c r="L2238" s="2" t="s">
        <v>22751</v>
      </c>
      <c r="M2238" s="2" t="s">
        <v>14044</v>
      </c>
      <c r="N2238" s="3" t="s">
        <v>326</v>
      </c>
      <c r="P2238" s="3" t="s">
        <v>102</v>
      </c>
      <c r="R2238" s="3" t="s">
        <v>70</v>
      </c>
      <c r="S2238" s="4">
        <v>8</v>
      </c>
      <c r="T2238" s="4">
        <v>8</v>
      </c>
      <c r="U2238" s="5" t="s">
        <v>22752</v>
      </c>
      <c r="V2238" s="5" t="s">
        <v>22752</v>
      </c>
      <c r="W2238" s="5" t="s">
        <v>72</v>
      </c>
      <c r="X2238" s="5" t="s">
        <v>72</v>
      </c>
      <c r="Y2238" s="4">
        <v>495</v>
      </c>
      <c r="Z2238" s="4">
        <v>30</v>
      </c>
      <c r="AA2238" s="4">
        <v>108</v>
      </c>
      <c r="AB2238" s="4">
        <v>4</v>
      </c>
      <c r="AC2238" s="4">
        <v>19</v>
      </c>
      <c r="AD2238" s="4">
        <v>84</v>
      </c>
      <c r="AE2238" s="4">
        <v>135</v>
      </c>
      <c r="AF2238" s="4">
        <v>1</v>
      </c>
      <c r="AG2238" s="4">
        <v>8</v>
      </c>
      <c r="AH2238" s="4">
        <v>76</v>
      </c>
      <c r="AI2238" s="4">
        <v>99</v>
      </c>
      <c r="AJ2238" s="4">
        <v>10</v>
      </c>
      <c r="AK2238" s="4">
        <v>20</v>
      </c>
      <c r="AL2238" s="4">
        <v>35</v>
      </c>
      <c r="AM2238" s="4">
        <v>50</v>
      </c>
      <c r="AN2238" s="4">
        <v>0</v>
      </c>
      <c r="AO2238" s="4">
        <v>0</v>
      </c>
      <c r="AP2238" s="4">
        <v>14</v>
      </c>
      <c r="AQ2238" s="4">
        <v>42</v>
      </c>
      <c r="AR2238" s="3" t="s">
        <v>64</v>
      </c>
      <c r="AS2238" s="3" t="s">
        <v>64</v>
      </c>
      <c r="AT2238" s="3" t="s">
        <v>64</v>
      </c>
      <c r="AV2238" s="6" t="str">
        <f>HYPERLINK("http://mcgill.on.worldcat.org/oclc/704391696","Catalog Record")</f>
        <v>Catalog Record</v>
      </c>
      <c r="AW2238" s="6" t="str">
        <f>HYPERLINK("http://www.worldcat.org/oclc/704391696","WorldCat Record")</f>
        <v>WorldCat Record</v>
      </c>
      <c r="AX2238" s="3" t="s">
        <v>22753</v>
      </c>
      <c r="AY2238" s="3" t="s">
        <v>22754</v>
      </c>
      <c r="AZ2238" s="3" t="s">
        <v>22755</v>
      </c>
      <c r="BA2238" s="3" t="s">
        <v>22755</v>
      </c>
      <c r="BB2238" s="3" t="s">
        <v>22756</v>
      </c>
      <c r="BC2238" s="3" t="s">
        <v>77</v>
      </c>
      <c r="BD2238" s="3" t="s">
        <v>165</v>
      </c>
      <c r="BE2238" s="3" t="s">
        <v>22757</v>
      </c>
      <c r="BF2238" s="3" t="s">
        <v>22756</v>
      </c>
      <c r="BG2238" s="3" t="s">
        <v>22758</v>
      </c>
      <c r="BH2238">
        <f t="shared" si="56"/>
        <v>0</v>
      </c>
    </row>
    <row r="2239" spans="1:60" ht="58" x14ac:dyDescent="0.35">
      <c r="A2239" s="2" t="s">
        <v>59</v>
      </c>
      <c r="B2239" s="2" t="s">
        <v>60</v>
      </c>
      <c r="C2239" s="2" t="s">
        <v>22759</v>
      </c>
      <c r="D2239" s="2" t="s">
        <v>22760</v>
      </c>
      <c r="E2239" s="2" t="s">
        <v>22761</v>
      </c>
      <c r="G2239" s="3" t="s">
        <v>64</v>
      </c>
      <c r="I2239" s="3" t="s">
        <v>64</v>
      </c>
      <c r="J2239" s="3" t="s">
        <v>64</v>
      </c>
      <c r="K2239" s="3" t="s">
        <v>65</v>
      </c>
      <c r="M2239" s="2" t="s">
        <v>22762</v>
      </c>
      <c r="N2239" s="3" t="s">
        <v>67</v>
      </c>
      <c r="P2239" s="3" t="s">
        <v>102</v>
      </c>
      <c r="R2239" s="3" t="s">
        <v>70</v>
      </c>
      <c r="S2239" s="4">
        <v>2</v>
      </c>
      <c r="T2239" s="4">
        <v>2</v>
      </c>
      <c r="U2239" s="5" t="s">
        <v>11493</v>
      </c>
      <c r="V2239" s="5" t="s">
        <v>11493</v>
      </c>
      <c r="W2239" s="5" t="s">
        <v>72</v>
      </c>
      <c r="X2239" s="5" t="s">
        <v>72</v>
      </c>
      <c r="Y2239" s="4">
        <v>306</v>
      </c>
      <c r="Z2239" s="4">
        <v>9</v>
      </c>
      <c r="AA2239" s="4">
        <v>106</v>
      </c>
      <c r="AB2239" s="4">
        <v>1</v>
      </c>
      <c r="AC2239" s="4">
        <v>15</v>
      </c>
      <c r="AD2239" s="4">
        <v>57</v>
      </c>
      <c r="AE2239" s="4">
        <v>125</v>
      </c>
      <c r="AF2239" s="4">
        <v>0</v>
      </c>
      <c r="AG2239" s="4">
        <v>8</v>
      </c>
      <c r="AH2239" s="4">
        <v>56</v>
      </c>
      <c r="AI2239" s="4">
        <v>86</v>
      </c>
      <c r="AJ2239" s="4">
        <v>4</v>
      </c>
      <c r="AK2239" s="4">
        <v>20</v>
      </c>
      <c r="AL2239" s="4">
        <v>26</v>
      </c>
      <c r="AM2239" s="4">
        <v>44</v>
      </c>
      <c r="AN2239" s="4">
        <v>0</v>
      </c>
      <c r="AO2239" s="4">
        <v>0</v>
      </c>
      <c r="AP2239" s="4">
        <v>5</v>
      </c>
      <c r="AQ2239" s="4">
        <v>43</v>
      </c>
      <c r="AR2239" s="3" t="s">
        <v>64</v>
      </c>
      <c r="AS2239" s="3" t="s">
        <v>64</v>
      </c>
      <c r="AT2239" s="3" t="s">
        <v>64</v>
      </c>
      <c r="AV2239" s="6" t="str">
        <f>HYPERLINK("http://mcgill.on.worldcat.org/oclc/857141233","Catalog Record")</f>
        <v>Catalog Record</v>
      </c>
      <c r="AW2239" s="6" t="str">
        <f>HYPERLINK("http://www.worldcat.org/oclc/857141233","WorldCat Record")</f>
        <v>WorldCat Record</v>
      </c>
      <c r="AX2239" s="3" t="s">
        <v>22763</v>
      </c>
      <c r="AY2239" s="3" t="s">
        <v>22764</v>
      </c>
      <c r="AZ2239" s="3" t="s">
        <v>22765</v>
      </c>
      <c r="BA2239" s="3" t="s">
        <v>22765</v>
      </c>
      <c r="BB2239" s="3" t="s">
        <v>22766</v>
      </c>
      <c r="BC2239" s="3" t="s">
        <v>77</v>
      </c>
      <c r="BD2239" s="3" t="s">
        <v>78</v>
      </c>
      <c r="BE2239" s="3" t="s">
        <v>22767</v>
      </c>
      <c r="BF2239" s="3" t="s">
        <v>22766</v>
      </c>
      <c r="BG2239" s="3" t="s">
        <v>22768</v>
      </c>
      <c r="BH2239">
        <f t="shared" si="56"/>
        <v>0</v>
      </c>
    </row>
    <row r="2240" spans="1:60" ht="58" x14ac:dyDescent="0.35">
      <c r="A2240" s="2" t="s">
        <v>59</v>
      </c>
      <c r="B2240" s="2" t="s">
        <v>60</v>
      </c>
      <c r="C2240" s="2" t="s">
        <v>22769</v>
      </c>
      <c r="D2240" s="2" t="s">
        <v>22770</v>
      </c>
      <c r="E2240" s="2" t="s">
        <v>22771</v>
      </c>
      <c r="G2240" s="3" t="s">
        <v>64</v>
      </c>
      <c r="I2240" s="3" t="s">
        <v>64</v>
      </c>
      <c r="J2240" s="3" t="s">
        <v>64</v>
      </c>
      <c r="K2240" s="3" t="s">
        <v>65</v>
      </c>
      <c r="L2240" s="2" t="s">
        <v>22772</v>
      </c>
      <c r="M2240" s="2" t="s">
        <v>16093</v>
      </c>
      <c r="N2240" s="3" t="s">
        <v>511</v>
      </c>
      <c r="P2240" s="3" t="s">
        <v>102</v>
      </c>
      <c r="R2240" s="3" t="s">
        <v>70</v>
      </c>
      <c r="S2240" s="4">
        <v>3</v>
      </c>
      <c r="T2240" s="4">
        <v>3</v>
      </c>
      <c r="U2240" s="5" t="s">
        <v>16318</v>
      </c>
      <c r="V2240" s="5" t="s">
        <v>16318</v>
      </c>
      <c r="W2240" s="5" t="s">
        <v>72</v>
      </c>
      <c r="X2240" s="5" t="s">
        <v>72</v>
      </c>
      <c r="Y2240" s="4">
        <v>234</v>
      </c>
      <c r="Z2240" s="4">
        <v>19</v>
      </c>
      <c r="AA2240" s="4">
        <v>52</v>
      </c>
      <c r="AB2240" s="4">
        <v>1</v>
      </c>
      <c r="AC2240" s="4">
        <v>8</v>
      </c>
      <c r="AD2240" s="4">
        <v>49</v>
      </c>
      <c r="AE2240" s="4">
        <v>63</v>
      </c>
      <c r="AF2240" s="4">
        <v>0</v>
      </c>
      <c r="AG2240" s="4">
        <v>1</v>
      </c>
      <c r="AH2240" s="4">
        <v>45</v>
      </c>
      <c r="AI2240" s="4">
        <v>56</v>
      </c>
      <c r="AJ2240" s="4">
        <v>8</v>
      </c>
      <c r="AK2240" s="4">
        <v>9</v>
      </c>
      <c r="AL2240" s="4">
        <v>22</v>
      </c>
      <c r="AM2240" s="4">
        <v>27</v>
      </c>
      <c r="AN2240" s="4">
        <v>0</v>
      </c>
      <c r="AO2240" s="4">
        <v>0</v>
      </c>
      <c r="AP2240" s="4">
        <v>10</v>
      </c>
      <c r="AQ2240" s="4">
        <v>12</v>
      </c>
      <c r="AR2240" s="3" t="s">
        <v>64</v>
      </c>
      <c r="AS2240" s="3" t="s">
        <v>64</v>
      </c>
      <c r="AT2240" s="3" t="s">
        <v>64</v>
      </c>
      <c r="AV2240" s="6" t="str">
        <f>HYPERLINK("http://mcgill.on.worldcat.org/oclc/430839892","Catalog Record")</f>
        <v>Catalog Record</v>
      </c>
      <c r="AW2240" s="6" t="str">
        <f>HYPERLINK("http://www.worldcat.org/oclc/430839892","WorldCat Record")</f>
        <v>WorldCat Record</v>
      </c>
      <c r="AX2240" s="3" t="s">
        <v>22773</v>
      </c>
      <c r="AY2240" s="3" t="s">
        <v>22774</v>
      </c>
      <c r="AZ2240" s="3" t="s">
        <v>22775</v>
      </c>
      <c r="BA2240" s="3" t="s">
        <v>22775</v>
      </c>
      <c r="BB2240" s="3" t="s">
        <v>22776</v>
      </c>
      <c r="BC2240" s="3" t="s">
        <v>77</v>
      </c>
      <c r="BD2240" s="3" t="s">
        <v>78</v>
      </c>
      <c r="BE2240" s="3" t="s">
        <v>22777</v>
      </c>
      <c r="BF2240" s="3" t="s">
        <v>22776</v>
      </c>
      <c r="BG2240" s="3" t="s">
        <v>22778</v>
      </c>
      <c r="BH2240">
        <f t="shared" si="56"/>
        <v>0</v>
      </c>
    </row>
    <row r="2241" spans="1:60" ht="58" x14ac:dyDescent="0.35">
      <c r="A2241" s="2" t="s">
        <v>59</v>
      </c>
      <c r="B2241" s="2" t="s">
        <v>60</v>
      </c>
      <c r="C2241" s="2" t="s">
        <v>22779</v>
      </c>
      <c r="D2241" s="2" t="s">
        <v>22780</v>
      </c>
      <c r="E2241" s="2" t="s">
        <v>22781</v>
      </c>
      <c r="G2241" s="3" t="s">
        <v>64</v>
      </c>
      <c r="I2241" s="3" t="s">
        <v>64</v>
      </c>
      <c r="J2241" s="3" t="s">
        <v>64</v>
      </c>
      <c r="K2241" s="3" t="s">
        <v>65</v>
      </c>
      <c r="M2241" s="2" t="s">
        <v>18555</v>
      </c>
      <c r="N2241" s="3" t="s">
        <v>326</v>
      </c>
      <c r="P2241" s="3" t="s">
        <v>102</v>
      </c>
      <c r="Q2241" s="2" t="s">
        <v>8981</v>
      </c>
      <c r="R2241" s="3" t="s">
        <v>70</v>
      </c>
      <c r="S2241" s="4">
        <v>3</v>
      </c>
      <c r="T2241" s="4">
        <v>3</v>
      </c>
      <c r="U2241" s="5" t="s">
        <v>22782</v>
      </c>
      <c r="V2241" s="5" t="s">
        <v>22782</v>
      </c>
      <c r="W2241" s="5" t="s">
        <v>72</v>
      </c>
      <c r="X2241" s="5" t="s">
        <v>72</v>
      </c>
      <c r="Y2241" s="4">
        <v>133</v>
      </c>
      <c r="Z2241" s="4">
        <v>12</v>
      </c>
      <c r="AA2241" s="4">
        <v>26</v>
      </c>
      <c r="AB2241" s="4">
        <v>1</v>
      </c>
      <c r="AC2241" s="4">
        <v>6</v>
      </c>
      <c r="AD2241" s="4">
        <v>30</v>
      </c>
      <c r="AE2241" s="4">
        <v>57</v>
      </c>
      <c r="AF2241" s="4">
        <v>0</v>
      </c>
      <c r="AG2241" s="4">
        <v>3</v>
      </c>
      <c r="AH2241" s="4">
        <v>25</v>
      </c>
      <c r="AI2241" s="4">
        <v>46</v>
      </c>
      <c r="AJ2241" s="4">
        <v>6</v>
      </c>
      <c r="AK2241" s="4">
        <v>11</v>
      </c>
      <c r="AL2241" s="4">
        <v>16</v>
      </c>
      <c r="AM2241" s="4">
        <v>24</v>
      </c>
      <c r="AN2241" s="4">
        <v>0</v>
      </c>
      <c r="AO2241" s="4">
        <v>0</v>
      </c>
      <c r="AP2241" s="4">
        <v>8</v>
      </c>
      <c r="AQ2241" s="4">
        <v>14</v>
      </c>
      <c r="AR2241" s="3" t="s">
        <v>64</v>
      </c>
      <c r="AS2241" s="3" t="s">
        <v>64</v>
      </c>
      <c r="AT2241" s="3" t="s">
        <v>64</v>
      </c>
      <c r="AV2241" s="6" t="str">
        <f>HYPERLINK("http://mcgill.on.worldcat.org/oclc/700145905","Catalog Record")</f>
        <v>Catalog Record</v>
      </c>
      <c r="AW2241" s="6" t="str">
        <f>HYPERLINK("http://www.worldcat.org/oclc/700145905","WorldCat Record")</f>
        <v>WorldCat Record</v>
      </c>
      <c r="AX2241" s="3" t="s">
        <v>22783</v>
      </c>
      <c r="AY2241" s="3" t="s">
        <v>22784</v>
      </c>
      <c r="AZ2241" s="3" t="s">
        <v>22785</v>
      </c>
      <c r="BA2241" s="3" t="s">
        <v>22785</v>
      </c>
      <c r="BB2241" s="3" t="s">
        <v>22786</v>
      </c>
      <c r="BC2241" s="3" t="s">
        <v>77</v>
      </c>
      <c r="BD2241" s="3" t="s">
        <v>78</v>
      </c>
      <c r="BE2241" s="3" t="s">
        <v>22787</v>
      </c>
      <c r="BF2241" s="3" t="s">
        <v>22786</v>
      </c>
      <c r="BG2241" s="3" t="s">
        <v>22788</v>
      </c>
      <c r="BH2241">
        <f t="shared" si="56"/>
        <v>0</v>
      </c>
    </row>
    <row r="2242" spans="1:60" ht="58" x14ac:dyDescent="0.35">
      <c r="A2242" s="2" t="s">
        <v>59</v>
      </c>
      <c r="B2242" s="2" t="s">
        <v>60</v>
      </c>
      <c r="C2242" s="2" t="s">
        <v>22789</v>
      </c>
      <c r="D2242" s="2" t="s">
        <v>22790</v>
      </c>
      <c r="E2242" s="2" t="s">
        <v>22791</v>
      </c>
      <c r="G2242" s="3" t="s">
        <v>64</v>
      </c>
      <c r="I2242" s="3" t="s">
        <v>64</v>
      </c>
      <c r="J2242" s="3" t="s">
        <v>64</v>
      </c>
      <c r="K2242" s="3" t="s">
        <v>65</v>
      </c>
      <c r="L2242" s="2" t="s">
        <v>22792</v>
      </c>
      <c r="M2242" s="2" t="s">
        <v>22793</v>
      </c>
      <c r="N2242" s="3" t="s">
        <v>171</v>
      </c>
      <c r="P2242" s="3" t="s">
        <v>102</v>
      </c>
      <c r="Q2242" s="2" t="s">
        <v>22794</v>
      </c>
      <c r="R2242" s="3" t="s">
        <v>70</v>
      </c>
      <c r="S2242" s="4">
        <v>27</v>
      </c>
      <c r="T2242" s="4">
        <v>27</v>
      </c>
      <c r="U2242" s="5" t="s">
        <v>1326</v>
      </c>
      <c r="V2242" s="5" t="s">
        <v>1326</v>
      </c>
      <c r="W2242" s="5" t="s">
        <v>72</v>
      </c>
      <c r="X2242" s="5" t="s">
        <v>72</v>
      </c>
      <c r="Y2242" s="4">
        <v>339</v>
      </c>
      <c r="Z2242" s="4">
        <v>27</v>
      </c>
      <c r="AA2242" s="4">
        <v>27</v>
      </c>
      <c r="AB2242" s="4">
        <v>1</v>
      </c>
      <c r="AC2242" s="4">
        <v>1</v>
      </c>
      <c r="AD2242" s="4">
        <v>53</v>
      </c>
      <c r="AE2242" s="4">
        <v>53</v>
      </c>
      <c r="AF2242" s="4">
        <v>0</v>
      </c>
      <c r="AG2242" s="4">
        <v>0</v>
      </c>
      <c r="AH2242" s="4">
        <v>49</v>
      </c>
      <c r="AI2242" s="4">
        <v>49</v>
      </c>
      <c r="AJ2242" s="4">
        <v>10</v>
      </c>
      <c r="AK2242" s="4">
        <v>10</v>
      </c>
      <c r="AL2242" s="4">
        <v>19</v>
      </c>
      <c r="AM2242" s="4">
        <v>19</v>
      </c>
      <c r="AN2242" s="4">
        <v>0</v>
      </c>
      <c r="AO2242" s="4">
        <v>0</v>
      </c>
      <c r="AP2242" s="4">
        <v>11</v>
      </c>
      <c r="AQ2242" s="4">
        <v>11</v>
      </c>
      <c r="AR2242" s="3" t="s">
        <v>64</v>
      </c>
      <c r="AS2242" s="3" t="s">
        <v>64</v>
      </c>
      <c r="AT2242" s="3" t="s">
        <v>128</v>
      </c>
      <c r="AU2242" s="6" t="str">
        <f>HYPERLINK("http://catalog.hathitrust.org/Record/005344905","HathiTrust Record")</f>
        <v>HathiTrust Record</v>
      </c>
      <c r="AV2242" s="6" t="str">
        <f>HYPERLINK("http://mcgill.on.worldcat.org/oclc/64591912","Catalog Record")</f>
        <v>Catalog Record</v>
      </c>
      <c r="AW2242" s="6" t="str">
        <f>HYPERLINK("http://www.worldcat.org/oclc/64591912","WorldCat Record")</f>
        <v>WorldCat Record</v>
      </c>
      <c r="AX2242" s="3" t="s">
        <v>22795</v>
      </c>
      <c r="AY2242" s="3" t="s">
        <v>22796</v>
      </c>
      <c r="AZ2242" s="3" t="s">
        <v>22797</v>
      </c>
      <c r="BA2242" s="3" t="s">
        <v>22797</v>
      </c>
      <c r="BB2242" s="3" t="s">
        <v>22798</v>
      </c>
      <c r="BC2242" s="3" t="s">
        <v>77</v>
      </c>
      <c r="BD2242" s="3" t="s">
        <v>78</v>
      </c>
      <c r="BE2242" s="3" t="s">
        <v>22799</v>
      </c>
      <c r="BF2242" s="3" t="s">
        <v>22798</v>
      </c>
      <c r="BG2242" s="3" t="s">
        <v>22800</v>
      </c>
      <c r="BH2242">
        <f t="shared" ref="BH2242:BH2305" si="57">IF(COUNTIF($BF$1:$BF$5431,BF2242)=1,0,1)</f>
        <v>0</v>
      </c>
    </row>
    <row r="2243" spans="1:60" ht="58" x14ac:dyDescent="0.35">
      <c r="A2243" s="2" t="s">
        <v>59</v>
      </c>
      <c r="B2243" s="2" t="s">
        <v>60</v>
      </c>
      <c r="C2243" s="2" t="s">
        <v>22801</v>
      </c>
      <c r="D2243" s="2" t="s">
        <v>22802</v>
      </c>
      <c r="E2243" s="2" t="s">
        <v>22803</v>
      </c>
      <c r="G2243" s="3" t="s">
        <v>64</v>
      </c>
      <c r="I2243" s="3" t="s">
        <v>64</v>
      </c>
      <c r="J2243" s="3" t="s">
        <v>64</v>
      </c>
      <c r="K2243" s="3" t="s">
        <v>65</v>
      </c>
      <c r="L2243" s="2" t="s">
        <v>16717</v>
      </c>
      <c r="M2243" s="2" t="s">
        <v>22804</v>
      </c>
      <c r="N2243" s="3" t="s">
        <v>551</v>
      </c>
      <c r="P2243" s="3" t="s">
        <v>102</v>
      </c>
      <c r="R2243" s="3" t="s">
        <v>70</v>
      </c>
      <c r="S2243" s="4">
        <v>12</v>
      </c>
      <c r="T2243" s="4">
        <v>12</v>
      </c>
      <c r="U2243" s="5" t="s">
        <v>18652</v>
      </c>
      <c r="V2243" s="5" t="s">
        <v>18652</v>
      </c>
      <c r="W2243" s="5" t="s">
        <v>72</v>
      </c>
      <c r="X2243" s="5" t="s">
        <v>72</v>
      </c>
      <c r="Y2243" s="4">
        <v>177</v>
      </c>
      <c r="Z2243" s="4">
        <v>11</v>
      </c>
      <c r="AA2243" s="4">
        <v>94</v>
      </c>
      <c r="AB2243" s="4">
        <v>2</v>
      </c>
      <c r="AC2243" s="4">
        <v>18</v>
      </c>
      <c r="AD2243" s="4">
        <v>38</v>
      </c>
      <c r="AE2243" s="4">
        <v>102</v>
      </c>
      <c r="AF2243" s="4">
        <v>0</v>
      </c>
      <c r="AG2243" s="4">
        <v>8</v>
      </c>
      <c r="AH2243" s="4">
        <v>37</v>
      </c>
      <c r="AI2243" s="4">
        <v>69</v>
      </c>
      <c r="AJ2243" s="4">
        <v>6</v>
      </c>
      <c r="AK2243" s="4">
        <v>18</v>
      </c>
      <c r="AL2243" s="4">
        <v>22</v>
      </c>
      <c r="AM2243" s="4">
        <v>37</v>
      </c>
      <c r="AN2243" s="4">
        <v>0</v>
      </c>
      <c r="AO2243" s="4">
        <v>0</v>
      </c>
      <c r="AP2243" s="4">
        <v>6</v>
      </c>
      <c r="AQ2243" s="4">
        <v>39</v>
      </c>
      <c r="AR2243" s="3" t="s">
        <v>64</v>
      </c>
      <c r="AS2243" s="3" t="s">
        <v>64</v>
      </c>
      <c r="AT2243" s="3" t="s">
        <v>64</v>
      </c>
      <c r="AV2243" s="6" t="str">
        <f>HYPERLINK("http://mcgill.on.worldcat.org/oclc/316513258","Catalog Record")</f>
        <v>Catalog Record</v>
      </c>
      <c r="AW2243" s="6" t="str">
        <f>HYPERLINK("http://www.worldcat.org/oclc/316513258","WorldCat Record")</f>
        <v>WorldCat Record</v>
      </c>
      <c r="AX2243" s="3" t="s">
        <v>22805</v>
      </c>
      <c r="AY2243" s="3" t="s">
        <v>22806</v>
      </c>
      <c r="AZ2243" s="3" t="s">
        <v>22807</v>
      </c>
      <c r="BA2243" s="3" t="s">
        <v>22807</v>
      </c>
      <c r="BB2243" s="3" t="s">
        <v>22808</v>
      </c>
      <c r="BC2243" s="3" t="s">
        <v>77</v>
      </c>
      <c r="BD2243" s="3" t="s">
        <v>78</v>
      </c>
      <c r="BE2243" s="3" t="s">
        <v>22809</v>
      </c>
      <c r="BF2243" s="3" t="s">
        <v>22808</v>
      </c>
      <c r="BG2243" s="3" t="s">
        <v>22810</v>
      </c>
      <c r="BH2243">
        <f t="shared" si="57"/>
        <v>0</v>
      </c>
    </row>
    <row r="2244" spans="1:60" ht="58" x14ac:dyDescent="0.35">
      <c r="A2244" s="2" t="s">
        <v>59</v>
      </c>
      <c r="B2244" s="2" t="s">
        <v>60</v>
      </c>
      <c r="C2244" s="2" t="s">
        <v>22811</v>
      </c>
      <c r="D2244" s="2" t="s">
        <v>22812</v>
      </c>
      <c r="E2244" s="2" t="s">
        <v>22813</v>
      </c>
      <c r="G2244" s="3" t="s">
        <v>64</v>
      </c>
      <c r="I2244" s="3" t="s">
        <v>64</v>
      </c>
      <c r="J2244" s="3" t="s">
        <v>64</v>
      </c>
      <c r="K2244" s="3" t="s">
        <v>65</v>
      </c>
      <c r="M2244" s="2" t="s">
        <v>17610</v>
      </c>
      <c r="N2244" s="3" t="s">
        <v>434</v>
      </c>
      <c r="P2244" s="3" t="s">
        <v>102</v>
      </c>
      <c r="R2244" s="3" t="s">
        <v>70</v>
      </c>
      <c r="S2244" s="4">
        <v>7</v>
      </c>
      <c r="T2244" s="4">
        <v>7</v>
      </c>
      <c r="U2244" s="5" t="s">
        <v>13192</v>
      </c>
      <c r="V2244" s="5" t="s">
        <v>13192</v>
      </c>
      <c r="W2244" s="5" t="s">
        <v>72</v>
      </c>
      <c r="X2244" s="5" t="s">
        <v>72</v>
      </c>
      <c r="Y2244" s="4">
        <v>141</v>
      </c>
      <c r="Z2244" s="4">
        <v>8</v>
      </c>
      <c r="AA2244" s="4">
        <v>10</v>
      </c>
      <c r="AB2244" s="4">
        <v>2</v>
      </c>
      <c r="AC2244" s="4">
        <v>4</v>
      </c>
      <c r="AD2244" s="4">
        <v>28</v>
      </c>
      <c r="AE2244" s="4">
        <v>29</v>
      </c>
      <c r="AF2244" s="4">
        <v>0</v>
      </c>
      <c r="AG2244" s="4">
        <v>0</v>
      </c>
      <c r="AH2244" s="4">
        <v>28</v>
      </c>
      <c r="AI2244" s="4">
        <v>29</v>
      </c>
      <c r="AJ2244" s="4">
        <v>4</v>
      </c>
      <c r="AK2244" s="4">
        <v>4</v>
      </c>
      <c r="AL2244" s="4">
        <v>12</v>
      </c>
      <c r="AM2244" s="4">
        <v>13</v>
      </c>
      <c r="AN2244" s="4">
        <v>0</v>
      </c>
      <c r="AO2244" s="4">
        <v>0</v>
      </c>
      <c r="AP2244" s="4">
        <v>4</v>
      </c>
      <c r="AQ2244" s="4">
        <v>4</v>
      </c>
      <c r="AR2244" s="3" t="s">
        <v>64</v>
      </c>
      <c r="AS2244" s="3" t="s">
        <v>64</v>
      </c>
      <c r="AT2244" s="3" t="s">
        <v>64</v>
      </c>
      <c r="AV2244" s="6" t="str">
        <f>HYPERLINK("http://mcgill.on.worldcat.org/oclc/54373154","Catalog Record")</f>
        <v>Catalog Record</v>
      </c>
      <c r="AW2244" s="6" t="str">
        <f>HYPERLINK("http://www.worldcat.org/oclc/54373154","WorldCat Record")</f>
        <v>WorldCat Record</v>
      </c>
      <c r="AX2244" s="3" t="s">
        <v>22814</v>
      </c>
      <c r="AY2244" s="3" t="s">
        <v>22815</v>
      </c>
      <c r="AZ2244" s="3" t="s">
        <v>22816</v>
      </c>
      <c r="BA2244" s="3" t="s">
        <v>22816</v>
      </c>
      <c r="BB2244" s="3" t="s">
        <v>22817</v>
      </c>
      <c r="BC2244" s="3" t="s">
        <v>77</v>
      </c>
      <c r="BD2244" s="3" t="s">
        <v>78</v>
      </c>
      <c r="BE2244" s="3" t="s">
        <v>22818</v>
      </c>
      <c r="BF2244" s="3" t="s">
        <v>22817</v>
      </c>
      <c r="BG2244" s="3" t="s">
        <v>22819</v>
      </c>
      <c r="BH2244">
        <f t="shared" si="57"/>
        <v>0</v>
      </c>
    </row>
    <row r="2245" spans="1:60" ht="58" x14ac:dyDescent="0.35">
      <c r="A2245" s="2" t="s">
        <v>59</v>
      </c>
      <c r="B2245" s="2" t="s">
        <v>60</v>
      </c>
      <c r="C2245" s="2" t="s">
        <v>22820</v>
      </c>
      <c r="D2245" s="2" t="s">
        <v>22821</v>
      </c>
      <c r="E2245" s="2" t="s">
        <v>22822</v>
      </c>
      <c r="G2245" s="3" t="s">
        <v>64</v>
      </c>
      <c r="I2245" s="3" t="s">
        <v>64</v>
      </c>
      <c r="J2245" s="3" t="s">
        <v>64</v>
      </c>
      <c r="K2245" s="3" t="s">
        <v>65</v>
      </c>
      <c r="L2245" s="2" t="s">
        <v>22823</v>
      </c>
      <c r="M2245" s="2" t="s">
        <v>22824</v>
      </c>
      <c r="N2245" s="3" t="s">
        <v>551</v>
      </c>
      <c r="P2245" s="3" t="s">
        <v>102</v>
      </c>
      <c r="R2245" s="3" t="s">
        <v>70</v>
      </c>
      <c r="S2245" s="4">
        <v>14</v>
      </c>
      <c r="T2245" s="4">
        <v>14</v>
      </c>
      <c r="U2245" s="5" t="s">
        <v>22691</v>
      </c>
      <c r="V2245" s="5" t="s">
        <v>22691</v>
      </c>
      <c r="W2245" s="5" t="s">
        <v>72</v>
      </c>
      <c r="X2245" s="5" t="s">
        <v>72</v>
      </c>
      <c r="Y2245" s="4">
        <v>245</v>
      </c>
      <c r="Z2245" s="4">
        <v>4</v>
      </c>
      <c r="AA2245" s="4">
        <v>13</v>
      </c>
      <c r="AB2245" s="4">
        <v>2</v>
      </c>
      <c r="AC2245" s="4">
        <v>5</v>
      </c>
      <c r="AD2245" s="4">
        <v>18</v>
      </c>
      <c r="AE2245" s="4">
        <v>26</v>
      </c>
      <c r="AF2245" s="4">
        <v>0</v>
      </c>
      <c r="AG2245" s="4">
        <v>0</v>
      </c>
      <c r="AH2245" s="4">
        <v>18</v>
      </c>
      <c r="AI2245" s="4">
        <v>26</v>
      </c>
      <c r="AJ2245" s="4">
        <v>1</v>
      </c>
      <c r="AK2245" s="4">
        <v>2</v>
      </c>
      <c r="AL2245" s="4">
        <v>10</v>
      </c>
      <c r="AM2245" s="4">
        <v>14</v>
      </c>
      <c r="AN2245" s="4">
        <v>0</v>
      </c>
      <c r="AO2245" s="4">
        <v>0</v>
      </c>
      <c r="AP2245" s="4">
        <v>1</v>
      </c>
      <c r="AQ2245" s="4">
        <v>2</v>
      </c>
      <c r="AR2245" s="3" t="s">
        <v>64</v>
      </c>
      <c r="AS2245" s="3" t="s">
        <v>64</v>
      </c>
      <c r="AT2245" s="3" t="s">
        <v>64</v>
      </c>
      <c r="AV2245" s="6" t="str">
        <f>HYPERLINK("http://mcgill.on.worldcat.org/oclc/257554246","Catalog Record")</f>
        <v>Catalog Record</v>
      </c>
      <c r="AW2245" s="6" t="str">
        <f>HYPERLINK("http://www.worldcat.org/oclc/257554246","WorldCat Record")</f>
        <v>WorldCat Record</v>
      </c>
      <c r="AX2245" s="3" t="s">
        <v>22825</v>
      </c>
      <c r="AY2245" s="3" t="s">
        <v>22826</v>
      </c>
      <c r="AZ2245" s="3" t="s">
        <v>22827</v>
      </c>
      <c r="BA2245" s="3" t="s">
        <v>22827</v>
      </c>
      <c r="BB2245" s="3" t="s">
        <v>22828</v>
      </c>
      <c r="BC2245" s="3" t="s">
        <v>77</v>
      </c>
      <c r="BD2245" s="3" t="s">
        <v>78</v>
      </c>
      <c r="BE2245" s="3" t="s">
        <v>22829</v>
      </c>
      <c r="BF2245" s="3" t="s">
        <v>22828</v>
      </c>
      <c r="BG2245" s="3" t="s">
        <v>22830</v>
      </c>
      <c r="BH2245">
        <f t="shared" si="57"/>
        <v>0</v>
      </c>
    </row>
    <row r="2246" spans="1:60" ht="72.5" x14ac:dyDescent="0.35">
      <c r="A2246" s="2" t="s">
        <v>59</v>
      </c>
      <c r="B2246" s="2" t="s">
        <v>60</v>
      </c>
      <c r="C2246" s="2" t="s">
        <v>22831</v>
      </c>
      <c r="D2246" s="2" t="s">
        <v>22832</v>
      </c>
      <c r="E2246" s="2" t="s">
        <v>22833</v>
      </c>
      <c r="G2246" s="3" t="s">
        <v>64</v>
      </c>
      <c r="I2246" s="3" t="s">
        <v>64</v>
      </c>
      <c r="J2246" s="3" t="s">
        <v>64</v>
      </c>
      <c r="K2246" s="3" t="s">
        <v>65</v>
      </c>
      <c r="M2246" s="2" t="s">
        <v>22834</v>
      </c>
      <c r="N2246" s="3" t="s">
        <v>421</v>
      </c>
      <c r="P2246" s="3" t="s">
        <v>102</v>
      </c>
      <c r="R2246" s="3" t="s">
        <v>70</v>
      </c>
      <c r="S2246" s="4">
        <v>26</v>
      </c>
      <c r="T2246" s="4">
        <v>26</v>
      </c>
      <c r="U2246" s="5" t="s">
        <v>22835</v>
      </c>
      <c r="V2246" s="5" t="s">
        <v>22835</v>
      </c>
      <c r="W2246" s="5" t="s">
        <v>72</v>
      </c>
      <c r="X2246" s="5" t="s">
        <v>72</v>
      </c>
      <c r="Y2246" s="4">
        <v>385</v>
      </c>
      <c r="Z2246" s="4">
        <v>20</v>
      </c>
      <c r="AA2246" s="4">
        <v>21</v>
      </c>
      <c r="AB2246" s="4">
        <v>2</v>
      </c>
      <c r="AC2246" s="4">
        <v>3</v>
      </c>
      <c r="AD2246" s="4">
        <v>78</v>
      </c>
      <c r="AE2246" s="4">
        <v>79</v>
      </c>
      <c r="AF2246" s="4">
        <v>1</v>
      </c>
      <c r="AG2246" s="4">
        <v>2</v>
      </c>
      <c r="AH2246" s="4">
        <v>71</v>
      </c>
      <c r="AI2246" s="4">
        <v>71</v>
      </c>
      <c r="AJ2246" s="4">
        <v>9</v>
      </c>
      <c r="AK2246" s="4">
        <v>10</v>
      </c>
      <c r="AL2246" s="4">
        <v>37</v>
      </c>
      <c r="AM2246" s="4">
        <v>37</v>
      </c>
      <c r="AN2246" s="4">
        <v>0</v>
      </c>
      <c r="AO2246" s="4">
        <v>0</v>
      </c>
      <c r="AP2246" s="4">
        <v>11</v>
      </c>
      <c r="AQ2246" s="4">
        <v>11</v>
      </c>
      <c r="AR2246" s="3" t="s">
        <v>64</v>
      </c>
      <c r="AS2246" s="3" t="s">
        <v>64</v>
      </c>
      <c r="AT2246" s="3" t="s">
        <v>128</v>
      </c>
      <c r="AU2246" s="6" t="str">
        <f>HYPERLINK("http://catalog.hathitrust.org/Record/003968665","HathiTrust Record")</f>
        <v>HathiTrust Record</v>
      </c>
      <c r="AV2246" s="6" t="str">
        <f>HYPERLINK("http://mcgill.on.worldcat.org/oclc/36824812","Catalog Record")</f>
        <v>Catalog Record</v>
      </c>
      <c r="AW2246" s="6" t="str">
        <f>HYPERLINK("http://www.worldcat.org/oclc/36824812","WorldCat Record")</f>
        <v>WorldCat Record</v>
      </c>
      <c r="AX2246" s="3" t="s">
        <v>22836</v>
      </c>
      <c r="AY2246" s="3" t="s">
        <v>22837</v>
      </c>
      <c r="AZ2246" s="3" t="s">
        <v>22838</v>
      </c>
      <c r="BA2246" s="3" t="s">
        <v>22838</v>
      </c>
      <c r="BB2246" s="3" t="s">
        <v>22839</v>
      </c>
      <c r="BC2246" s="3" t="s">
        <v>77</v>
      </c>
      <c r="BD2246" s="3" t="s">
        <v>78</v>
      </c>
      <c r="BE2246" s="3" t="s">
        <v>22840</v>
      </c>
      <c r="BF2246" s="3" t="s">
        <v>22839</v>
      </c>
      <c r="BG2246" s="3" t="s">
        <v>22841</v>
      </c>
      <c r="BH2246">
        <f t="shared" si="57"/>
        <v>0</v>
      </c>
    </row>
    <row r="2247" spans="1:60" ht="72.5" x14ac:dyDescent="0.35">
      <c r="A2247" s="2" t="s">
        <v>59</v>
      </c>
      <c r="B2247" s="2" t="s">
        <v>60</v>
      </c>
      <c r="C2247" s="2" t="s">
        <v>22842</v>
      </c>
      <c r="D2247" s="2" t="s">
        <v>22843</v>
      </c>
      <c r="E2247" s="2" t="s">
        <v>22844</v>
      </c>
      <c r="G2247" s="3" t="s">
        <v>64</v>
      </c>
      <c r="I2247" s="3" t="s">
        <v>64</v>
      </c>
      <c r="J2247" s="3" t="s">
        <v>64</v>
      </c>
      <c r="K2247" s="3" t="s">
        <v>65</v>
      </c>
      <c r="L2247" s="2" t="s">
        <v>21638</v>
      </c>
      <c r="M2247" s="2" t="s">
        <v>14044</v>
      </c>
      <c r="N2247" s="3" t="s">
        <v>326</v>
      </c>
      <c r="P2247" s="3" t="s">
        <v>102</v>
      </c>
      <c r="Q2247" s="2" t="s">
        <v>22169</v>
      </c>
      <c r="R2247" s="3" t="s">
        <v>70</v>
      </c>
      <c r="S2247" s="4">
        <v>9</v>
      </c>
      <c r="T2247" s="4">
        <v>9</v>
      </c>
      <c r="U2247" s="5" t="s">
        <v>15069</v>
      </c>
      <c r="V2247" s="5" t="s">
        <v>15069</v>
      </c>
      <c r="W2247" s="5" t="s">
        <v>72</v>
      </c>
      <c r="X2247" s="5" t="s">
        <v>72</v>
      </c>
      <c r="Y2247" s="4">
        <v>240</v>
      </c>
      <c r="Z2247" s="4">
        <v>8</v>
      </c>
      <c r="AA2247" s="4">
        <v>82</v>
      </c>
      <c r="AB2247" s="4">
        <v>1</v>
      </c>
      <c r="AC2247" s="4">
        <v>14</v>
      </c>
      <c r="AD2247" s="4">
        <v>53</v>
      </c>
      <c r="AE2247" s="4">
        <v>116</v>
      </c>
      <c r="AF2247" s="4">
        <v>0</v>
      </c>
      <c r="AG2247" s="4">
        <v>8</v>
      </c>
      <c r="AH2247" s="4">
        <v>52</v>
      </c>
      <c r="AI2247" s="4">
        <v>82</v>
      </c>
      <c r="AJ2247" s="4">
        <v>5</v>
      </c>
      <c r="AK2247" s="4">
        <v>19</v>
      </c>
      <c r="AL2247" s="4">
        <v>22</v>
      </c>
      <c r="AM2247" s="4">
        <v>41</v>
      </c>
      <c r="AN2247" s="4">
        <v>0</v>
      </c>
      <c r="AO2247" s="4">
        <v>0</v>
      </c>
      <c r="AP2247" s="4">
        <v>5</v>
      </c>
      <c r="AQ2247" s="4">
        <v>39</v>
      </c>
      <c r="AR2247" s="3" t="s">
        <v>64</v>
      </c>
      <c r="AS2247" s="3" t="s">
        <v>64</v>
      </c>
      <c r="AT2247" s="3" t="s">
        <v>64</v>
      </c>
      <c r="AV2247" s="6" t="str">
        <f>HYPERLINK("http://mcgill.on.worldcat.org/oclc/709407942","Catalog Record")</f>
        <v>Catalog Record</v>
      </c>
      <c r="AW2247" s="6" t="str">
        <f>HYPERLINK("http://www.worldcat.org/oclc/709407942","WorldCat Record")</f>
        <v>WorldCat Record</v>
      </c>
      <c r="AX2247" s="3" t="s">
        <v>22845</v>
      </c>
      <c r="AY2247" s="3" t="s">
        <v>22846</v>
      </c>
      <c r="AZ2247" s="3" t="s">
        <v>22847</v>
      </c>
      <c r="BA2247" s="3" t="s">
        <v>22847</v>
      </c>
      <c r="BB2247" s="3" t="s">
        <v>22848</v>
      </c>
      <c r="BC2247" s="3" t="s">
        <v>77</v>
      </c>
      <c r="BD2247" s="3" t="s">
        <v>78</v>
      </c>
      <c r="BE2247" s="3" t="s">
        <v>22849</v>
      </c>
      <c r="BF2247" s="3" t="s">
        <v>22848</v>
      </c>
      <c r="BG2247" s="3" t="s">
        <v>22850</v>
      </c>
      <c r="BH2247">
        <f t="shared" si="57"/>
        <v>0</v>
      </c>
    </row>
    <row r="2248" spans="1:60" ht="58" x14ac:dyDescent="0.35">
      <c r="A2248" s="2" t="s">
        <v>59</v>
      </c>
      <c r="B2248" s="2" t="s">
        <v>60</v>
      </c>
      <c r="C2248" s="2" t="s">
        <v>22851</v>
      </c>
      <c r="D2248" s="2" t="s">
        <v>22852</v>
      </c>
      <c r="E2248" s="2" t="s">
        <v>22853</v>
      </c>
      <c r="G2248" s="3" t="s">
        <v>64</v>
      </c>
      <c r="I2248" s="3" t="s">
        <v>64</v>
      </c>
      <c r="J2248" s="3" t="s">
        <v>64</v>
      </c>
      <c r="K2248" s="3" t="s">
        <v>65</v>
      </c>
      <c r="M2248" s="2" t="s">
        <v>22854</v>
      </c>
      <c r="N2248" s="3" t="s">
        <v>86</v>
      </c>
      <c r="P2248" s="3" t="s">
        <v>102</v>
      </c>
      <c r="R2248" s="3" t="s">
        <v>70</v>
      </c>
      <c r="S2248" s="4">
        <v>7</v>
      </c>
      <c r="T2248" s="4">
        <v>7</v>
      </c>
      <c r="U2248" s="5" t="s">
        <v>22855</v>
      </c>
      <c r="V2248" s="5" t="s">
        <v>22855</v>
      </c>
      <c r="W2248" s="5" t="s">
        <v>72</v>
      </c>
      <c r="X2248" s="5" t="s">
        <v>72</v>
      </c>
      <c r="Y2248" s="4">
        <v>103</v>
      </c>
      <c r="Z2248" s="4">
        <v>9</v>
      </c>
      <c r="AA2248" s="4">
        <v>12</v>
      </c>
      <c r="AB2248" s="4">
        <v>1</v>
      </c>
      <c r="AC2248" s="4">
        <v>3</v>
      </c>
      <c r="AD2248" s="4">
        <v>37</v>
      </c>
      <c r="AE2248" s="4">
        <v>40</v>
      </c>
      <c r="AF2248" s="4">
        <v>0</v>
      </c>
      <c r="AG2248" s="4">
        <v>0</v>
      </c>
      <c r="AH2248" s="4">
        <v>32</v>
      </c>
      <c r="AI2248" s="4">
        <v>35</v>
      </c>
      <c r="AJ2248" s="4">
        <v>6</v>
      </c>
      <c r="AK2248" s="4">
        <v>7</v>
      </c>
      <c r="AL2248" s="4">
        <v>20</v>
      </c>
      <c r="AM2248" s="4">
        <v>21</v>
      </c>
      <c r="AN2248" s="4">
        <v>0</v>
      </c>
      <c r="AO2248" s="4">
        <v>0</v>
      </c>
      <c r="AP2248" s="4">
        <v>7</v>
      </c>
      <c r="AQ2248" s="4">
        <v>8</v>
      </c>
      <c r="AR2248" s="3" t="s">
        <v>64</v>
      </c>
      <c r="AS2248" s="3" t="s">
        <v>64</v>
      </c>
      <c r="AT2248" s="3" t="s">
        <v>64</v>
      </c>
      <c r="AV2248" s="6" t="str">
        <f>HYPERLINK("http://mcgill.on.worldcat.org/oclc/774500486","Catalog Record")</f>
        <v>Catalog Record</v>
      </c>
      <c r="AW2248" s="6" t="str">
        <f>HYPERLINK("http://www.worldcat.org/oclc/774500486","WorldCat Record")</f>
        <v>WorldCat Record</v>
      </c>
      <c r="AX2248" s="3" t="s">
        <v>22856</v>
      </c>
      <c r="AY2248" s="3" t="s">
        <v>22857</v>
      </c>
      <c r="AZ2248" s="3" t="s">
        <v>22858</v>
      </c>
      <c r="BA2248" s="3" t="s">
        <v>22858</v>
      </c>
      <c r="BB2248" s="3" t="s">
        <v>22859</v>
      </c>
      <c r="BC2248" s="3" t="s">
        <v>77</v>
      </c>
      <c r="BD2248" s="3" t="s">
        <v>78</v>
      </c>
      <c r="BE2248" s="3" t="s">
        <v>22860</v>
      </c>
      <c r="BF2248" s="3" t="s">
        <v>22859</v>
      </c>
      <c r="BG2248" s="3" t="s">
        <v>22861</v>
      </c>
      <c r="BH2248">
        <f t="shared" si="57"/>
        <v>0</v>
      </c>
    </row>
    <row r="2249" spans="1:60" ht="58" x14ac:dyDescent="0.35">
      <c r="A2249" s="2" t="s">
        <v>59</v>
      </c>
      <c r="B2249" s="2" t="s">
        <v>60</v>
      </c>
      <c r="C2249" s="2" t="s">
        <v>22862</v>
      </c>
      <c r="D2249" s="2" t="s">
        <v>22863</v>
      </c>
      <c r="E2249" s="2" t="s">
        <v>22864</v>
      </c>
      <c r="G2249" s="3" t="s">
        <v>64</v>
      </c>
      <c r="I2249" s="3" t="s">
        <v>64</v>
      </c>
      <c r="J2249" s="3" t="s">
        <v>64</v>
      </c>
      <c r="K2249" s="3" t="s">
        <v>65</v>
      </c>
      <c r="L2249" s="2" t="s">
        <v>22865</v>
      </c>
      <c r="M2249" s="2" t="s">
        <v>22866</v>
      </c>
      <c r="N2249" s="3" t="s">
        <v>291</v>
      </c>
      <c r="O2249" s="2" t="s">
        <v>2149</v>
      </c>
      <c r="P2249" s="3" t="s">
        <v>102</v>
      </c>
      <c r="Q2249" s="2" t="s">
        <v>22867</v>
      </c>
      <c r="R2249" s="3" t="s">
        <v>70</v>
      </c>
      <c r="S2249" s="4">
        <v>9</v>
      </c>
      <c r="T2249" s="4">
        <v>9</v>
      </c>
      <c r="U2249" s="5" t="s">
        <v>22671</v>
      </c>
      <c r="V2249" s="5" t="s">
        <v>22671</v>
      </c>
      <c r="W2249" s="5" t="s">
        <v>72</v>
      </c>
      <c r="X2249" s="5" t="s">
        <v>72</v>
      </c>
      <c r="Y2249" s="4">
        <v>203</v>
      </c>
      <c r="Z2249" s="4">
        <v>16</v>
      </c>
      <c r="AA2249" s="4">
        <v>94</v>
      </c>
      <c r="AB2249" s="4">
        <v>2</v>
      </c>
      <c r="AC2249" s="4">
        <v>18</v>
      </c>
      <c r="AD2249" s="4">
        <v>57</v>
      </c>
      <c r="AE2249" s="4">
        <v>128</v>
      </c>
      <c r="AF2249" s="4">
        <v>0</v>
      </c>
      <c r="AG2249" s="4">
        <v>8</v>
      </c>
      <c r="AH2249" s="4">
        <v>52</v>
      </c>
      <c r="AI2249" s="4">
        <v>91</v>
      </c>
      <c r="AJ2249" s="4">
        <v>9</v>
      </c>
      <c r="AK2249" s="4">
        <v>23</v>
      </c>
      <c r="AL2249" s="4">
        <v>31</v>
      </c>
      <c r="AM2249" s="4">
        <v>47</v>
      </c>
      <c r="AN2249" s="4">
        <v>0</v>
      </c>
      <c r="AO2249" s="4">
        <v>0</v>
      </c>
      <c r="AP2249" s="4">
        <v>8</v>
      </c>
      <c r="AQ2249" s="4">
        <v>42</v>
      </c>
      <c r="AR2249" s="3" t="s">
        <v>64</v>
      </c>
      <c r="AS2249" s="3" t="s">
        <v>64</v>
      </c>
      <c r="AT2249" s="3" t="s">
        <v>64</v>
      </c>
      <c r="AV2249" s="6" t="str">
        <f>HYPERLINK("http://mcgill.on.worldcat.org/oclc/166383276","Catalog Record")</f>
        <v>Catalog Record</v>
      </c>
      <c r="AW2249" s="6" t="str">
        <f>HYPERLINK("http://www.worldcat.org/oclc/166383276","WorldCat Record")</f>
        <v>WorldCat Record</v>
      </c>
      <c r="AX2249" s="3" t="s">
        <v>22868</v>
      </c>
      <c r="AY2249" s="3" t="s">
        <v>22869</v>
      </c>
      <c r="AZ2249" s="3" t="s">
        <v>22870</v>
      </c>
      <c r="BA2249" s="3" t="s">
        <v>22870</v>
      </c>
      <c r="BB2249" s="3" t="s">
        <v>22871</v>
      </c>
      <c r="BC2249" s="3" t="s">
        <v>77</v>
      </c>
      <c r="BD2249" s="3" t="s">
        <v>78</v>
      </c>
      <c r="BE2249" s="3" t="s">
        <v>22872</v>
      </c>
      <c r="BF2249" s="3" t="s">
        <v>22871</v>
      </c>
      <c r="BG2249" s="3" t="s">
        <v>22873</v>
      </c>
      <c r="BH2249">
        <f t="shared" si="57"/>
        <v>0</v>
      </c>
    </row>
    <row r="2250" spans="1:60" ht="58" x14ac:dyDescent="0.35">
      <c r="A2250" s="2" t="s">
        <v>59</v>
      </c>
      <c r="B2250" s="2" t="s">
        <v>60</v>
      </c>
      <c r="C2250" s="2" t="s">
        <v>22874</v>
      </c>
      <c r="D2250" s="2" t="s">
        <v>22875</v>
      </c>
      <c r="E2250" s="2" t="s">
        <v>22876</v>
      </c>
      <c r="G2250" s="3" t="s">
        <v>64</v>
      </c>
      <c r="I2250" s="3" t="s">
        <v>64</v>
      </c>
      <c r="J2250" s="3" t="s">
        <v>64</v>
      </c>
      <c r="K2250" s="3" t="s">
        <v>65</v>
      </c>
      <c r="L2250" s="2" t="s">
        <v>18879</v>
      </c>
      <c r="M2250" s="2" t="s">
        <v>22877</v>
      </c>
      <c r="N2250" s="3" t="s">
        <v>101</v>
      </c>
      <c r="P2250" s="3" t="s">
        <v>102</v>
      </c>
      <c r="R2250" s="3" t="s">
        <v>70</v>
      </c>
      <c r="S2250" s="4">
        <v>12</v>
      </c>
      <c r="T2250" s="4">
        <v>12</v>
      </c>
      <c r="U2250" s="5" t="s">
        <v>22855</v>
      </c>
      <c r="V2250" s="5" t="s">
        <v>22855</v>
      </c>
      <c r="W2250" s="5" t="s">
        <v>72</v>
      </c>
      <c r="X2250" s="5" t="s">
        <v>72</v>
      </c>
      <c r="Y2250" s="4">
        <v>494</v>
      </c>
      <c r="Z2250" s="4">
        <v>27</v>
      </c>
      <c r="AA2250" s="4">
        <v>29</v>
      </c>
      <c r="AB2250" s="4">
        <v>2</v>
      </c>
      <c r="AC2250" s="4">
        <v>4</v>
      </c>
      <c r="AD2250" s="4">
        <v>90</v>
      </c>
      <c r="AE2250" s="4">
        <v>92</v>
      </c>
      <c r="AF2250" s="4">
        <v>0</v>
      </c>
      <c r="AG2250" s="4">
        <v>2</v>
      </c>
      <c r="AH2250" s="4">
        <v>81</v>
      </c>
      <c r="AI2250" s="4">
        <v>82</v>
      </c>
      <c r="AJ2250" s="4">
        <v>15</v>
      </c>
      <c r="AK2250" s="4">
        <v>17</v>
      </c>
      <c r="AL2250" s="4">
        <v>41</v>
      </c>
      <c r="AM2250" s="4">
        <v>41</v>
      </c>
      <c r="AN2250" s="4">
        <v>0</v>
      </c>
      <c r="AO2250" s="4">
        <v>0</v>
      </c>
      <c r="AP2250" s="4">
        <v>17</v>
      </c>
      <c r="AQ2250" s="4">
        <v>18</v>
      </c>
      <c r="AR2250" s="3" t="s">
        <v>64</v>
      </c>
      <c r="AS2250" s="3" t="s">
        <v>64</v>
      </c>
      <c r="AT2250" s="3" t="s">
        <v>128</v>
      </c>
      <c r="AU2250" s="6" t="str">
        <f>HYPERLINK("http://catalog.hathitrust.org/Record/004351587","HathiTrust Record")</f>
        <v>HathiTrust Record</v>
      </c>
      <c r="AV2250" s="6" t="str">
        <f>HYPERLINK("http://mcgill.on.worldcat.org/oclc/52386442","Catalog Record")</f>
        <v>Catalog Record</v>
      </c>
      <c r="AW2250" s="6" t="str">
        <f>HYPERLINK("http://www.worldcat.org/oclc/52386442","WorldCat Record")</f>
        <v>WorldCat Record</v>
      </c>
      <c r="AX2250" s="3" t="s">
        <v>22878</v>
      </c>
      <c r="AY2250" s="3" t="s">
        <v>22879</v>
      </c>
      <c r="AZ2250" s="3" t="s">
        <v>22880</v>
      </c>
      <c r="BA2250" s="3" t="s">
        <v>22880</v>
      </c>
      <c r="BB2250" s="3" t="s">
        <v>22881</v>
      </c>
      <c r="BC2250" s="3" t="s">
        <v>77</v>
      </c>
      <c r="BD2250" s="3" t="s">
        <v>78</v>
      </c>
      <c r="BE2250" s="3" t="s">
        <v>22882</v>
      </c>
      <c r="BF2250" s="3" t="s">
        <v>22881</v>
      </c>
      <c r="BG2250" s="3" t="s">
        <v>22883</v>
      </c>
      <c r="BH2250">
        <f t="shared" si="57"/>
        <v>0</v>
      </c>
    </row>
    <row r="2251" spans="1:60" ht="58" x14ac:dyDescent="0.35">
      <c r="A2251" s="2" t="s">
        <v>59</v>
      </c>
      <c r="B2251" s="2" t="s">
        <v>60</v>
      </c>
      <c r="C2251" s="2" t="s">
        <v>22884</v>
      </c>
      <c r="D2251" s="2" t="s">
        <v>22885</v>
      </c>
      <c r="E2251" s="2" t="s">
        <v>22886</v>
      </c>
      <c r="G2251" s="3" t="s">
        <v>64</v>
      </c>
      <c r="I2251" s="3" t="s">
        <v>64</v>
      </c>
      <c r="J2251" s="3" t="s">
        <v>64</v>
      </c>
      <c r="K2251" s="3" t="s">
        <v>65</v>
      </c>
      <c r="M2251" s="2" t="s">
        <v>16911</v>
      </c>
      <c r="N2251" s="3" t="s">
        <v>1075</v>
      </c>
      <c r="P2251" s="3" t="s">
        <v>102</v>
      </c>
      <c r="Q2251" s="2" t="s">
        <v>14045</v>
      </c>
      <c r="R2251" s="3" t="s">
        <v>70</v>
      </c>
      <c r="S2251" s="4">
        <v>4</v>
      </c>
      <c r="T2251" s="4">
        <v>4</v>
      </c>
      <c r="U2251" s="5" t="s">
        <v>22430</v>
      </c>
      <c r="V2251" s="5" t="s">
        <v>22430</v>
      </c>
      <c r="W2251" s="5" t="s">
        <v>72</v>
      </c>
      <c r="X2251" s="5" t="s">
        <v>72</v>
      </c>
      <c r="Y2251" s="4">
        <v>428</v>
      </c>
      <c r="Z2251" s="4">
        <v>17</v>
      </c>
      <c r="AA2251" s="4">
        <v>116</v>
      </c>
      <c r="AB2251" s="4">
        <v>1</v>
      </c>
      <c r="AC2251" s="4">
        <v>16</v>
      </c>
      <c r="AD2251" s="4">
        <v>67</v>
      </c>
      <c r="AE2251" s="4">
        <v>133</v>
      </c>
      <c r="AF2251" s="4">
        <v>0</v>
      </c>
      <c r="AG2251" s="4">
        <v>8</v>
      </c>
      <c r="AH2251" s="4">
        <v>64</v>
      </c>
      <c r="AI2251" s="4">
        <v>94</v>
      </c>
      <c r="AJ2251" s="4">
        <v>6</v>
      </c>
      <c r="AK2251" s="4">
        <v>22</v>
      </c>
      <c r="AL2251" s="4">
        <v>29</v>
      </c>
      <c r="AM2251" s="4">
        <v>48</v>
      </c>
      <c r="AN2251" s="4">
        <v>0</v>
      </c>
      <c r="AO2251" s="4">
        <v>0</v>
      </c>
      <c r="AP2251" s="4">
        <v>5</v>
      </c>
      <c r="AQ2251" s="4">
        <v>43</v>
      </c>
      <c r="AR2251" s="3" t="s">
        <v>64</v>
      </c>
      <c r="AS2251" s="3" t="s">
        <v>64</v>
      </c>
      <c r="AT2251" s="3" t="s">
        <v>64</v>
      </c>
      <c r="AV2251" s="6" t="str">
        <f>HYPERLINK("http://mcgill.on.worldcat.org/oclc/805701637","Catalog Record")</f>
        <v>Catalog Record</v>
      </c>
      <c r="AW2251" s="6" t="str">
        <f>HYPERLINK("http://www.worldcat.org/oclc/805701637","WorldCat Record")</f>
        <v>WorldCat Record</v>
      </c>
      <c r="AX2251" s="3" t="s">
        <v>22887</v>
      </c>
      <c r="AY2251" s="3" t="s">
        <v>22888</v>
      </c>
      <c r="AZ2251" s="3" t="s">
        <v>22889</v>
      </c>
      <c r="BA2251" s="3" t="s">
        <v>22889</v>
      </c>
      <c r="BB2251" s="3" t="s">
        <v>22890</v>
      </c>
      <c r="BC2251" s="3" t="s">
        <v>77</v>
      </c>
      <c r="BD2251" s="3" t="s">
        <v>78</v>
      </c>
      <c r="BE2251" s="3" t="s">
        <v>22891</v>
      </c>
      <c r="BF2251" s="3" t="s">
        <v>22890</v>
      </c>
      <c r="BG2251" s="3" t="s">
        <v>22892</v>
      </c>
      <c r="BH2251">
        <f t="shared" si="57"/>
        <v>0</v>
      </c>
    </row>
    <row r="2252" spans="1:60" ht="58" x14ac:dyDescent="0.35">
      <c r="A2252" s="2" t="s">
        <v>59</v>
      </c>
      <c r="B2252" s="2" t="s">
        <v>60</v>
      </c>
      <c r="C2252" s="2" t="s">
        <v>22893</v>
      </c>
      <c r="D2252" s="2" t="s">
        <v>22894</v>
      </c>
      <c r="E2252" s="2" t="s">
        <v>22895</v>
      </c>
      <c r="G2252" s="3" t="s">
        <v>64</v>
      </c>
      <c r="I2252" s="3" t="s">
        <v>64</v>
      </c>
      <c r="J2252" s="3" t="s">
        <v>64</v>
      </c>
      <c r="K2252" s="3" t="s">
        <v>65</v>
      </c>
      <c r="M2252" s="2" t="s">
        <v>16814</v>
      </c>
      <c r="N2252" s="3" t="s">
        <v>326</v>
      </c>
      <c r="P2252" s="3" t="s">
        <v>102</v>
      </c>
      <c r="R2252" s="3" t="s">
        <v>70</v>
      </c>
      <c r="S2252" s="4">
        <v>6</v>
      </c>
      <c r="T2252" s="4">
        <v>6</v>
      </c>
      <c r="U2252" s="5" t="s">
        <v>22671</v>
      </c>
      <c r="V2252" s="5" t="s">
        <v>22671</v>
      </c>
      <c r="W2252" s="5" t="s">
        <v>72</v>
      </c>
      <c r="X2252" s="5" t="s">
        <v>72</v>
      </c>
      <c r="Y2252" s="4">
        <v>157</v>
      </c>
      <c r="Z2252" s="4">
        <v>11</v>
      </c>
      <c r="AA2252" s="4">
        <v>27</v>
      </c>
      <c r="AB2252" s="4">
        <v>2</v>
      </c>
      <c r="AC2252" s="4">
        <v>4</v>
      </c>
      <c r="AD2252" s="4">
        <v>54</v>
      </c>
      <c r="AE2252" s="4">
        <v>61</v>
      </c>
      <c r="AF2252" s="4">
        <v>0</v>
      </c>
      <c r="AG2252" s="4">
        <v>0</v>
      </c>
      <c r="AH2252" s="4">
        <v>52</v>
      </c>
      <c r="AI2252" s="4">
        <v>56</v>
      </c>
      <c r="AJ2252" s="4">
        <v>7</v>
      </c>
      <c r="AK2252" s="4">
        <v>9</v>
      </c>
      <c r="AL2252" s="4">
        <v>30</v>
      </c>
      <c r="AM2252" s="4">
        <v>32</v>
      </c>
      <c r="AN2252" s="4">
        <v>0</v>
      </c>
      <c r="AO2252" s="4">
        <v>0</v>
      </c>
      <c r="AP2252" s="4">
        <v>8</v>
      </c>
      <c r="AQ2252" s="4">
        <v>12</v>
      </c>
      <c r="AR2252" s="3" t="s">
        <v>64</v>
      </c>
      <c r="AS2252" s="3" t="s">
        <v>64</v>
      </c>
      <c r="AT2252" s="3" t="s">
        <v>64</v>
      </c>
      <c r="AV2252" s="6" t="str">
        <f>HYPERLINK("http://mcgill.on.worldcat.org/oclc/690088614","Catalog Record")</f>
        <v>Catalog Record</v>
      </c>
      <c r="AW2252" s="6" t="str">
        <f>HYPERLINK("http://www.worldcat.org/oclc/690088614","WorldCat Record")</f>
        <v>WorldCat Record</v>
      </c>
      <c r="AX2252" s="3" t="s">
        <v>22896</v>
      </c>
      <c r="AY2252" s="3" t="s">
        <v>22897</v>
      </c>
      <c r="AZ2252" s="3" t="s">
        <v>22898</v>
      </c>
      <c r="BA2252" s="3" t="s">
        <v>22898</v>
      </c>
      <c r="BB2252" s="3" t="s">
        <v>22899</v>
      </c>
      <c r="BC2252" s="3" t="s">
        <v>77</v>
      </c>
      <c r="BD2252" s="3" t="s">
        <v>78</v>
      </c>
      <c r="BE2252" s="3" t="s">
        <v>22900</v>
      </c>
      <c r="BF2252" s="3" t="s">
        <v>22899</v>
      </c>
      <c r="BG2252" s="3" t="s">
        <v>22901</v>
      </c>
      <c r="BH2252">
        <f t="shared" si="57"/>
        <v>0</v>
      </c>
    </row>
    <row r="2253" spans="1:60" ht="58" x14ac:dyDescent="0.35">
      <c r="A2253" s="2" t="s">
        <v>59</v>
      </c>
      <c r="B2253" s="2" t="s">
        <v>60</v>
      </c>
      <c r="C2253" s="2" t="s">
        <v>22902</v>
      </c>
      <c r="D2253" s="2" t="s">
        <v>22903</v>
      </c>
      <c r="E2253" s="2" t="s">
        <v>22904</v>
      </c>
      <c r="G2253" s="3" t="s">
        <v>64</v>
      </c>
      <c r="I2253" s="3" t="s">
        <v>128</v>
      </c>
      <c r="J2253" s="3" t="s">
        <v>64</v>
      </c>
      <c r="K2253" s="3" t="s">
        <v>65</v>
      </c>
      <c r="L2253" s="2" t="s">
        <v>22905</v>
      </c>
      <c r="M2253" s="2" t="s">
        <v>16093</v>
      </c>
      <c r="N2253" s="3" t="s">
        <v>511</v>
      </c>
      <c r="P2253" s="3" t="s">
        <v>102</v>
      </c>
      <c r="R2253" s="3" t="s">
        <v>70</v>
      </c>
      <c r="S2253" s="4">
        <v>1</v>
      </c>
      <c r="T2253" s="4">
        <v>1</v>
      </c>
      <c r="U2253" s="5" t="s">
        <v>22855</v>
      </c>
      <c r="V2253" s="5" t="s">
        <v>22855</v>
      </c>
      <c r="W2253" s="5" t="s">
        <v>72</v>
      </c>
      <c r="X2253" s="5" t="s">
        <v>72</v>
      </c>
      <c r="Y2253" s="4">
        <v>215</v>
      </c>
      <c r="Z2253" s="4">
        <v>17</v>
      </c>
      <c r="AA2253" s="4">
        <v>17</v>
      </c>
      <c r="AB2253" s="4">
        <v>1</v>
      </c>
      <c r="AC2253" s="4">
        <v>1</v>
      </c>
      <c r="AD2253" s="4">
        <v>37</v>
      </c>
      <c r="AE2253" s="4">
        <v>37</v>
      </c>
      <c r="AF2253" s="4">
        <v>0</v>
      </c>
      <c r="AG2253" s="4">
        <v>0</v>
      </c>
      <c r="AH2253" s="4">
        <v>34</v>
      </c>
      <c r="AI2253" s="4">
        <v>34</v>
      </c>
      <c r="AJ2253" s="4">
        <v>7</v>
      </c>
      <c r="AK2253" s="4">
        <v>7</v>
      </c>
      <c r="AL2253" s="4">
        <v>20</v>
      </c>
      <c r="AM2253" s="4">
        <v>20</v>
      </c>
      <c r="AN2253" s="4">
        <v>0</v>
      </c>
      <c r="AO2253" s="4">
        <v>0</v>
      </c>
      <c r="AP2253" s="4">
        <v>8</v>
      </c>
      <c r="AQ2253" s="4">
        <v>8</v>
      </c>
      <c r="AR2253" s="3" t="s">
        <v>64</v>
      </c>
      <c r="AS2253" s="3" t="s">
        <v>64</v>
      </c>
      <c r="AT2253" s="3" t="s">
        <v>64</v>
      </c>
      <c r="AV2253" s="6" t="str">
        <f>HYPERLINK("http://mcgill.on.worldcat.org/oclc/548555619","Catalog Record")</f>
        <v>Catalog Record</v>
      </c>
      <c r="AW2253" s="6" t="str">
        <f>HYPERLINK("http://www.worldcat.org/oclc/548555619","WorldCat Record")</f>
        <v>WorldCat Record</v>
      </c>
      <c r="AX2253" s="3" t="s">
        <v>22906</v>
      </c>
      <c r="AY2253" s="3" t="s">
        <v>22907</v>
      </c>
      <c r="AZ2253" s="3" t="s">
        <v>22908</v>
      </c>
      <c r="BA2253" s="3" t="s">
        <v>22908</v>
      </c>
      <c r="BB2253" s="3" t="s">
        <v>22909</v>
      </c>
      <c r="BC2253" s="3" t="s">
        <v>77</v>
      </c>
      <c r="BD2253" s="3" t="s">
        <v>78</v>
      </c>
      <c r="BE2253" s="3" t="s">
        <v>22910</v>
      </c>
      <c r="BF2253" s="3" t="s">
        <v>22909</v>
      </c>
      <c r="BG2253" s="3" t="s">
        <v>22911</v>
      </c>
      <c r="BH2253">
        <f t="shared" si="57"/>
        <v>0</v>
      </c>
    </row>
    <row r="2254" spans="1:60" ht="58" x14ac:dyDescent="0.35">
      <c r="A2254" s="2" t="s">
        <v>59</v>
      </c>
      <c r="B2254" s="2" t="s">
        <v>60</v>
      </c>
      <c r="C2254" s="2" t="s">
        <v>22902</v>
      </c>
      <c r="D2254" s="2" t="s">
        <v>22903</v>
      </c>
      <c r="E2254" s="2" t="s">
        <v>22904</v>
      </c>
      <c r="G2254" s="3" t="s">
        <v>64</v>
      </c>
      <c r="I2254" s="3" t="s">
        <v>128</v>
      </c>
      <c r="J2254" s="3" t="s">
        <v>64</v>
      </c>
      <c r="K2254" s="3" t="s">
        <v>65</v>
      </c>
      <c r="L2254" s="2" t="s">
        <v>22905</v>
      </c>
      <c r="M2254" s="2" t="s">
        <v>16093</v>
      </c>
      <c r="N2254" s="3" t="s">
        <v>511</v>
      </c>
      <c r="P2254" s="3" t="s">
        <v>102</v>
      </c>
      <c r="R2254" s="3" t="s">
        <v>70</v>
      </c>
      <c r="S2254" s="4">
        <v>0</v>
      </c>
      <c r="T2254" s="4">
        <v>1</v>
      </c>
      <c r="V2254" s="5" t="s">
        <v>22855</v>
      </c>
      <c r="W2254" s="5" t="s">
        <v>72</v>
      </c>
      <c r="X2254" s="5" t="s">
        <v>72</v>
      </c>
      <c r="Y2254" s="4">
        <v>215</v>
      </c>
      <c r="Z2254" s="4">
        <v>17</v>
      </c>
      <c r="AA2254" s="4">
        <v>17</v>
      </c>
      <c r="AB2254" s="4">
        <v>1</v>
      </c>
      <c r="AC2254" s="4">
        <v>1</v>
      </c>
      <c r="AD2254" s="4">
        <v>37</v>
      </c>
      <c r="AE2254" s="4">
        <v>37</v>
      </c>
      <c r="AF2254" s="4">
        <v>0</v>
      </c>
      <c r="AG2254" s="4">
        <v>0</v>
      </c>
      <c r="AH2254" s="4">
        <v>34</v>
      </c>
      <c r="AI2254" s="4">
        <v>34</v>
      </c>
      <c r="AJ2254" s="4">
        <v>7</v>
      </c>
      <c r="AK2254" s="4">
        <v>7</v>
      </c>
      <c r="AL2254" s="4">
        <v>20</v>
      </c>
      <c r="AM2254" s="4">
        <v>20</v>
      </c>
      <c r="AN2254" s="4">
        <v>0</v>
      </c>
      <c r="AO2254" s="4">
        <v>0</v>
      </c>
      <c r="AP2254" s="4">
        <v>8</v>
      </c>
      <c r="AQ2254" s="4">
        <v>8</v>
      </c>
      <c r="AR2254" s="3" t="s">
        <v>64</v>
      </c>
      <c r="AS2254" s="3" t="s">
        <v>64</v>
      </c>
      <c r="AT2254" s="3" t="s">
        <v>64</v>
      </c>
      <c r="AV2254" s="6" t="str">
        <f>HYPERLINK("http://mcgill.on.worldcat.org/oclc/548555619","Catalog Record")</f>
        <v>Catalog Record</v>
      </c>
      <c r="AW2254" s="6" t="str">
        <f>HYPERLINK("http://www.worldcat.org/oclc/548555619","WorldCat Record")</f>
        <v>WorldCat Record</v>
      </c>
      <c r="AX2254" s="3" t="s">
        <v>22906</v>
      </c>
      <c r="AY2254" s="3" t="s">
        <v>22907</v>
      </c>
      <c r="AZ2254" s="3" t="s">
        <v>22908</v>
      </c>
      <c r="BA2254" s="3" t="s">
        <v>22908</v>
      </c>
      <c r="BB2254" s="3" t="s">
        <v>22912</v>
      </c>
      <c r="BC2254" s="3" t="s">
        <v>77</v>
      </c>
      <c r="BD2254" s="3" t="s">
        <v>78</v>
      </c>
      <c r="BE2254" s="3" t="s">
        <v>22910</v>
      </c>
      <c r="BF2254" s="3" t="s">
        <v>22912</v>
      </c>
      <c r="BG2254" s="3" t="s">
        <v>22913</v>
      </c>
      <c r="BH2254">
        <f t="shared" si="57"/>
        <v>0</v>
      </c>
    </row>
    <row r="2255" spans="1:60" ht="58" x14ac:dyDescent="0.35">
      <c r="A2255" s="2" t="s">
        <v>59</v>
      </c>
      <c r="B2255" s="2" t="s">
        <v>60</v>
      </c>
      <c r="C2255" s="2" t="s">
        <v>22914</v>
      </c>
      <c r="D2255" s="2" t="s">
        <v>22915</v>
      </c>
      <c r="E2255" s="2" t="s">
        <v>22916</v>
      </c>
      <c r="G2255" s="3" t="s">
        <v>64</v>
      </c>
      <c r="I2255" s="3" t="s">
        <v>64</v>
      </c>
      <c r="J2255" s="3" t="s">
        <v>64</v>
      </c>
      <c r="K2255" s="3" t="s">
        <v>65</v>
      </c>
      <c r="L2255" s="2" t="s">
        <v>22917</v>
      </c>
      <c r="M2255" s="2" t="s">
        <v>14772</v>
      </c>
      <c r="N2255" s="3" t="s">
        <v>1087</v>
      </c>
      <c r="P2255" s="3" t="s">
        <v>102</v>
      </c>
      <c r="R2255" s="3" t="s">
        <v>70</v>
      </c>
      <c r="S2255" s="4">
        <v>4</v>
      </c>
      <c r="T2255" s="4">
        <v>4</v>
      </c>
      <c r="U2255" s="5" t="s">
        <v>22671</v>
      </c>
      <c r="V2255" s="5" t="s">
        <v>22671</v>
      </c>
      <c r="W2255" s="5" t="s">
        <v>72</v>
      </c>
      <c r="X2255" s="5" t="s">
        <v>72</v>
      </c>
      <c r="Y2255" s="4">
        <v>638</v>
      </c>
      <c r="Z2255" s="4">
        <v>28</v>
      </c>
      <c r="AA2255" s="4">
        <v>30</v>
      </c>
      <c r="AB2255" s="4">
        <v>2</v>
      </c>
      <c r="AC2255" s="4">
        <v>4</v>
      </c>
      <c r="AD2255" s="4">
        <v>107</v>
      </c>
      <c r="AE2255" s="4">
        <v>108</v>
      </c>
      <c r="AF2255" s="4">
        <v>1</v>
      </c>
      <c r="AG2255" s="4">
        <v>2</v>
      </c>
      <c r="AH2255" s="4">
        <v>93</v>
      </c>
      <c r="AI2255" s="4">
        <v>93</v>
      </c>
      <c r="AJ2255" s="4">
        <v>14</v>
      </c>
      <c r="AK2255" s="4">
        <v>15</v>
      </c>
      <c r="AL2255" s="4">
        <v>49</v>
      </c>
      <c r="AM2255" s="4">
        <v>49</v>
      </c>
      <c r="AN2255" s="4">
        <v>0</v>
      </c>
      <c r="AO2255" s="4">
        <v>0</v>
      </c>
      <c r="AP2255" s="4">
        <v>17</v>
      </c>
      <c r="AQ2255" s="4">
        <v>17</v>
      </c>
      <c r="AR2255" s="3" t="s">
        <v>64</v>
      </c>
      <c r="AS2255" s="3" t="s">
        <v>64</v>
      </c>
      <c r="AT2255" s="3" t="s">
        <v>128</v>
      </c>
      <c r="AU2255" s="6" t="str">
        <f>HYPERLINK("http://catalog.hathitrust.org/Record/002469730","HathiTrust Record")</f>
        <v>HathiTrust Record</v>
      </c>
      <c r="AV2255" s="6" t="str">
        <f>HYPERLINK("http://mcgill.on.worldcat.org/oclc/23139662","Catalog Record")</f>
        <v>Catalog Record</v>
      </c>
      <c r="AW2255" s="6" t="str">
        <f>HYPERLINK("http://www.worldcat.org/oclc/23139662","WorldCat Record")</f>
        <v>WorldCat Record</v>
      </c>
      <c r="AX2255" s="3" t="s">
        <v>22918</v>
      </c>
      <c r="AY2255" s="3" t="s">
        <v>22919</v>
      </c>
      <c r="AZ2255" s="3" t="s">
        <v>22920</v>
      </c>
      <c r="BA2255" s="3" t="s">
        <v>22920</v>
      </c>
      <c r="BB2255" s="3" t="s">
        <v>22921</v>
      </c>
      <c r="BC2255" s="3" t="s">
        <v>77</v>
      </c>
      <c r="BD2255" s="3" t="s">
        <v>78</v>
      </c>
      <c r="BE2255" s="3" t="s">
        <v>22922</v>
      </c>
      <c r="BF2255" s="3" t="s">
        <v>22921</v>
      </c>
      <c r="BG2255" s="3" t="s">
        <v>22923</v>
      </c>
      <c r="BH2255">
        <f t="shared" si="57"/>
        <v>0</v>
      </c>
    </row>
    <row r="2256" spans="1:60" ht="58" x14ac:dyDescent="0.35">
      <c r="A2256" s="2" t="s">
        <v>59</v>
      </c>
      <c r="B2256" s="2" t="s">
        <v>60</v>
      </c>
      <c r="C2256" s="2" t="s">
        <v>22924</v>
      </c>
      <c r="D2256" s="2" t="s">
        <v>22925</v>
      </c>
      <c r="E2256" s="2" t="s">
        <v>22926</v>
      </c>
      <c r="G2256" s="3" t="s">
        <v>64</v>
      </c>
      <c r="I2256" s="3" t="s">
        <v>64</v>
      </c>
      <c r="J2256" s="3" t="s">
        <v>64</v>
      </c>
      <c r="K2256" s="3" t="s">
        <v>65</v>
      </c>
      <c r="M2256" s="2" t="s">
        <v>18533</v>
      </c>
      <c r="N2256" s="3" t="s">
        <v>578</v>
      </c>
      <c r="P2256" s="3" t="s">
        <v>102</v>
      </c>
      <c r="R2256" s="3" t="s">
        <v>70</v>
      </c>
      <c r="S2256" s="4">
        <v>2</v>
      </c>
      <c r="T2256" s="4">
        <v>2</v>
      </c>
      <c r="W2256" s="5" t="s">
        <v>72</v>
      </c>
      <c r="X2256" s="5" t="s">
        <v>72</v>
      </c>
      <c r="Y2256" s="4">
        <v>169</v>
      </c>
      <c r="Z2256" s="4">
        <v>5</v>
      </c>
      <c r="AA2256" s="4">
        <v>6</v>
      </c>
      <c r="AB2256" s="4">
        <v>1</v>
      </c>
      <c r="AC2256" s="4">
        <v>2</v>
      </c>
      <c r="AD2256" s="4">
        <v>44</v>
      </c>
      <c r="AE2256" s="4">
        <v>45</v>
      </c>
      <c r="AF2256" s="4">
        <v>0</v>
      </c>
      <c r="AG2256" s="4">
        <v>1</v>
      </c>
      <c r="AH2256" s="4">
        <v>42</v>
      </c>
      <c r="AI2256" s="4">
        <v>42</v>
      </c>
      <c r="AJ2256" s="4">
        <v>3</v>
      </c>
      <c r="AK2256" s="4">
        <v>4</v>
      </c>
      <c r="AL2256" s="4">
        <v>23</v>
      </c>
      <c r="AM2256" s="4">
        <v>23</v>
      </c>
      <c r="AN2256" s="4">
        <v>0</v>
      </c>
      <c r="AO2256" s="4">
        <v>0</v>
      </c>
      <c r="AP2256" s="4">
        <v>4</v>
      </c>
      <c r="AQ2256" s="4">
        <v>4</v>
      </c>
      <c r="AR2256" s="3" t="s">
        <v>64</v>
      </c>
      <c r="AS2256" s="3" t="s">
        <v>64</v>
      </c>
      <c r="AT2256" s="3" t="s">
        <v>64</v>
      </c>
      <c r="AV2256" s="6" t="str">
        <f>HYPERLINK("http://mcgill.on.worldcat.org/oclc/987591553","Catalog Record")</f>
        <v>Catalog Record</v>
      </c>
      <c r="AW2256" s="6" t="str">
        <f>HYPERLINK("http://www.worldcat.org/oclc/987591553","WorldCat Record")</f>
        <v>WorldCat Record</v>
      </c>
      <c r="AX2256" s="3" t="s">
        <v>22927</v>
      </c>
      <c r="AY2256" s="3" t="s">
        <v>22928</v>
      </c>
      <c r="AZ2256" s="3" t="s">
        <v>22929</v>
      </c>
      <c r="BA2256" s="3" t="s">
        <v>22929</v>
      </c>
      <c r="BB2256" s="3" t="s">
        <v>22930</v>
      </c>
      <c r="BC2256" s="3" t="s">
        <v>77</v>
      </c>
      <c r="BD2256" s="3" t="s">
        <v>165</v>
      </c>
      <c r="BE2256" s="3" t="s">
        <v>22931</v>
      </c>
      <c r="BF2256" s="3" t="s">
        <v>22930</v>
      </c>
      <c r="BG2256" s="3" t="s">
        <v>22932</v>
      </c>
      <c r="BH2256">
        <f t="shared" si="57"/>
        <v>0</v>
      </c>
    </row>
    <row r="2257" spans="1:60" ht="58" x14ac:dyDescent="0.35">
      <c r="A2257" s="2" t="s">
        <v>59</v>
      </c>
      <c r="B2257" s="2" t="s">
        <v>60</v>
      </c>
      <c r="C2257" s="2" t="s">
        <v>22933</v>
      </c>
      <c r="D2257" s="2" t="s">
        <v>22934</v>
      </c>
      <c r="E2257" s="2" t="s">
        <v>22935</v>
      </c>
      <c r="G2257" s="3" t="s">
        <v>64</v>
      </c>
      <c r="I2257" s="3" t="s">
        <v>64</v>
      </c>
      <c r="J2257" s="3" t="s">
        <v>64</v>
      </c>
      <c r="K2257" s="3" t="s">
        <v>65</v>
      </c>
      <c r="M2257" s="2" t="s">
        <v>22936</v>
      </c>
      <c r="N2257" s="3" t="s">
        <v>86</v>
      </c>
      <c r="P2257" s="3" t="s">
        <v>102</v>
      </c>
      <c r="R2257" s="3" t="s">
        <v>70</v>
      </c>
      <c r="S2257" s="4">
        <v>2</v>
      </c>
      <c r="T2257" s="4">
        <v>2</v>
      </c>
      <c r="U2257" s="5" t="s">
        <v>22671</v>
      </c>
      <c r="V2257" s="5" t="s">
        <v>22671</v>
      </c>
      <c r="W2257" s="5" t="s">
        <v>72</v>
      </c>
      <c r="X2257" s="5" t="s">
        <v>72</v>
      </c>
      <c r="Y2257" s="4">
        <v>219</v>
      </c>
      <c r="Z2257" s="4">
        <v>8</v>
      </c>
      <c r="AA2257" s="4">
        <v>11</v>
      </c>
      <c r="AB2257" s="4">
        <v>1</v>
      </c>
      <c r="AC2257" s="4">
        <v>3</v>
      </c>
      <c r="AD2257" s="4">
        <v>54</v>
      </c>
      <c r="AE2257" s="4">
        <v>62</v>
      </c>
      <c r="AF2257" s="4">
        <v>0</v>
      </c>
      <c r="AG2257" s="4">
        <v>0</v>
      </c>
      <c r="AH2257" s="4">
        <v>53</v>
      </c>
      <c r="AI2257" s="4">
        <v>61</v>
      </c>
      <c r="AJ2257" s="4">
        <v>6</v>
      </c>
      <c r="AK2257" s="4">
        <v>7</v>
      </c>
      <c r="AL2257" s="4">
        <v>29</v>
      </c>
      <c r="AM2257" s="4">
        <v>33</v>
      </c>
      <c r="AN2257" s="4">
        <v>0</v>
      </c>
      <c r="AO2257" s="4">
        <v>0</v>
      </c>
      <c r="AP2257" s="4">
        <v>6</v>
      </c>
      <c r="AQ2257" s="4">
        <v>7</v>
      </c>
      <c r="AR2257" s="3" t="s">
        <v>64</v>
      </c>
      <c r="AS2257" s="3" t="s">
        <v>64</v>
      </c>
      <c r="AT2257" s="3" t="s">
        <v>64</v>
      </c>
      <c r="AV2257" s="6" t="str">
        <f>HYPERLINK("http://mcgill.on.worldcat.org/oclc/759175629","Catalog Record")</f>
        <v>Catalog Record</v>
      </c>
      <c r="AW2257" s="6" t="str">
        <f>HYPERLINK("http://www.worldcat.org/oclc/759175629","WorldCat Record")</f>
        <v>WorldCat Record</v>
      </c>
      <c r="AX2257" s="3" t="s">
        <v>22937</v>
      </c>
      <c r="AY2257" s="3" t="s">
        <v>22938</v>
      </c>
      <c r="AZ2257" s="3" t="s">
        <v>22939</v>
      </c>
      <c r="BA2257" s="3" t="s">
        <v>22939</v>
      </c>
      <c r="BB2257" s="3" t="s">
        <v>22940</v>
      </c>
      <c r="BC2257" s="3" t="s">
        <v>77</v>
      </c>
      <c r="BD2257" s="3" t="s">
        <v>78</v>
      </c>
      <c r="BE2257" s="3" t="s">
        <v>22941</v>
      </c>
      <c r="BF2257" s="3" t="s">
        <v>22940</v>
      </c>
      <c r="BG2257" s="3" t="s">
        <v>22942</v>
      </c>
      <c r="BH2257">
        <f t="shared" si="57"/>
        <v>0</v>
      </c>
    </row>
    <row r="2258" spans="1:60" ht="58" x14ac:dyDescent="0.35">
      <c r="A2258" s="2" t="s">
        <v>59</v>
      </c>
      <c r="B2258" s="2" t="s">
        <v>60</v>
      </c>
      <c r="C2258" s="2" t="s">
        <v>22943</v>
      </c>
      <c r="D2258" s="2" t="s">
        <v>22944</v>
      </c>
      <c r="E2258" s="2" t="s">
        <v>22945</v>
      </c>
      <c r="G2258" s="3" t="s">
        <v>64</v>
      </c>
      <c r="I2258" s="3" t="s">
        <v>64</v>
      </c>
      <c r="J2258" s="3" t="s">
        <v>64</v>
      </c>
      <c r="K2258" s="3" t="s">
        <v>65</v>
      </c>
      <c r="M2258" s="2" t="s">
        <v>15272</v>
      </c>
      <c r="N2258" s="3" t="s">
        <v>291</v>
      </c>
      <c r="P2258" s="3" t="s">
        <v>102</v>
      </c>
      <c r="R2258" s="3" t="s">
        <v>70</v>
      </c>
      <c r="S2258" s="4">
        <v>12</v>
      </c>
      <c r="T2258" s="4">
        <v>12</v>
      </c>
      <c r="U2258" s="5" t="s">
        <v>22946</v>
      </c>
      <c r="V2258" s="5" t="s">
        <v>22946</v>
      </c>
      <c r="W2258" s="5" t="s">
        <v>72</v>
      </c>
      <c r="X2258" s="5" t="s">
        <v>72</v>
      </c>
      <c r="Y2258" s="4">
        <v>264</v>
      </c>
      <c r="Z2258" s="4">
        <v>16</v>
      </c>
      <c r="AA2258" s="4">
        <v>26</v>
      </c>
      <c r="AB2258" s="4">
        <v>1</v>
      </c>
      <c r="AC2258" s="4">
        <v>4</v>
      </c>
      <c r="AD2258" s="4">
        <v>74</v>
      </c>
      <c r="AE2258" s="4">
        <v>82</v>
      </c>
      <c r="AF2258" s="4">
        <v>0</v>
      </c>
      <c r="AG2258" s="4">
        <v>2</v>
      </c>
      <c r="AH2258" s="4">
        <v>68</v>
      </c>
      <c r="AI2258" s="4">
        <v>72</v>
      </c>
      <c r="AJ2258" s="4">
        <v>10</v>
      </c>
      <c r="AK2258" s="4">
        <v>14</v>
      </c>
      <c r="AL2258" s="4">
        <v>35</v>
      </c>
      <c r="AM2258" s="4">
        <v>37</v>
      </c>
      <c r="AN2258" s="4">
        <v>0</v>
      </c>
      <c r="AO2258" s="4">
        <v>0</v>
      </c>
      <c r="AP2258" s="4">
        <v>12</v>
      </c>
      <c r="AQ2258" s="4">
        <v>18</v>
      </c>
      <c r="AR2258" s="3" t="s">
        <v>64</v>
      </c>
      <c r="AS2258" s="3" t="s">
        <v>64</v>
      </c>
      <c r="AT2258" s="3" t="s">
        <v>128</v>
      </c>
      <c r="AU2258" s="6" t="str">
        <f>HYPERLINK("http://catalog.hathitrust.org/Record/005627351","HathiTrust Record")</f>
        <v>HathiTrust Record</v>
      </c>
      <c r="AV2258" s="6" t="str">
        <f>HYPERLINK("http://mcgill.on.worldcat.org/oclc/157023136","Catalog Record")</f>
        <v>Catalog Record</v>
      </c>
      <c r="AW2258" s="6" t="str">
        <f>HYPERLINK("http://www.worldcat.org/oclc/157023136","WorldCat Record")</f>
        <v>WorldCat Record</v>
      </c>
      <c r="AX2258" s="3" t="s">
        <v>22947</v>
      </c>
      <c r="AY2258" s="3" t="s">
        <v>22948</v>
      </c>
      <c r="AZ2258" s="3" t="s">
        <v>22949</v>
      </c>
      <c r="BA2258" s="3" t="s">
        <v>22949</v>
      </c>
      <c r="BB2258" s="3" t="s">
        <v>22950</v>
      </c>
      <c r="BC2258" s="3" t="s">
        <v>77</v>
      </c>
      <c r="BD2258" s="3" t="s">
        <v>78</v>
      </c>
      <c r="BE2258" s="3" t="s">
        <v>22951</v>
      </c>
      <c r="BF2258" s="3" t="s">
        <v>22950</v>
      </c>
      <c r="BG2258" s="3" t="s">
        <v>22952</v>
      </c>
      <c r="BH2258">
        <f t="shared" si="57"/>
        <v>0</v>
      </c>
    </row>
    <row r="2259" spans="1:60" ht="58" x14ac:dyDescent="0.35">
      <c r="A2259" s="2" t="s">
        <v>59</v>
      </c>
      <c r="B2259" s="2" t="s">
        <v>60</v>
      </c>
      <c r="C2259" s="2" t="s">
        <v>22953</v>
      </c>
      <c r="D2259" s="2" t="s">
        <v>22954</v>
      </c>
      <c r="E2259" s="2" t="s">
        <v>22955</v>
      </c>
      <c r="G2259" s="3" t="s">
        <v>64</v>
      </c>
      <c r="I2259" s="3" t="s">
        <v>64</v>
      </c>
      <c r="J2259" s="3" t="s">
        <v>64</v>
      </c>
      <c r="K2259" s="3" t="s">
        <v>65</v>
      </c>
      <c r="L2259" s="2" t="s">
        <v>22956</v>
      </c>
      <c r="M2259" s="2" t="s">
        <v>18859</v>
      </c>
      <c r="N2259" s="3" t="s">
        <v>291</v>
      </c>
      <c r="P2259" s="3" t="s">
        <v>102</v>
      </c>
      <c r="R2259" s="3" t="s">
        <v>70</v>
      </c>
      <c r="S2259" s="4">
        <v>15</v>
      </c>
      <c r="T2259" s="4">
        <v>15</v>
      </c>
      <c r="U2259" s="5" t="s">
        <v>22855</v>
      </c>
      <c r="V2259" s="5" t="s">
        <v>22855</v>
      </c>
      <c r="W2259" s="5" t="s">
        <v>72</v>
      </c>
      <c r="X2259" s="5" t="s">
        <v>72</v>
      </c>
      <c r="Y2259" s="4">
        <v>1091</v>
      </c>
      <c r="Z2259" s="4">
        <v>55</v>
      </c>
      <c r="AA2259" s="4">
        <v>116</v>
      </c>
      <c r="AB2259" s="4">
        <v>2</v>
      </c>
      <c r="AC2259" s="4">
        <v>18</v>
      </c>
      <c r="AD2259" s="4">
        <v>131</v>
      </c>
      <c r="AE2259" s="4">
        <v>155</v>
      </c>
      <c r="AF2259" s="4">
        <v>0</v>
      </c>
      <c r="AG2259" s="4">
        <v>8</v>
      </c>
      <c r="AH2259" s="4">
        <v>106</v>
      </c>
      <c r="AI2259" s="4">
        <v>111</v>
      </c>
      <c r="AJ2259" s="4">
        <v>21</v>
      </c>
      <c r="AK2259" s="4">
        <v>27</v>
      </c>
      <c r="AL2259" s="4">
        <v>55</v>
      </c>
      <c r="AM2259" s="4">
        <v>55</v>
      </c>
      <c r="AN2259" s="4">
        <v>0</v>
      </c>
      <c r="AO2259" s="4">
        <v>0</v>
      </c>
      <c r="AP2259" s="4">
        <v>36</v>
      </c>
      <c r="AQ2259" s="4">
        <v>55</v>
      </c>
      <c r="AR2259" s="3" t="s">
        <v>64</v>
      </c>
      <c r="AS2259" s="3" t="s">
        <v>64</v>
      </c>
      <c r="AT2259" s="3" t="s">
        <v>64</v>
      </c>
      <c r="AV2259" s="6" t="str">
        <f>HYPERLINK("http://mcgill.on.worldcat.org/oclc/80460240","Catalog Record")</f>
        <v>Catalog Record</v>
      </c>
      <c r="AW2259" s="6" t="str">
        <f>HYPERLINK("http://www.worldcat.org/oclc/80460240","WorldCat Record")</f>
        <v>WorldCat Record</v>
      </c>
      <c r="AX2259" s="3" t="s">
        <v>22957</v>
      </c>
      <c r="AY2259" s="3" t="s">
        <v>22958</v>
      </c>
      <c r="AZ2259" s="3" t="s">
        <v>22959</v>
      </c>
      <c r="BA2259" s="3" t="s">
        <v>22959</v>
      </c>
      <c r="BB2259" s="3" t="s">
        <v>22960</v>
      </c>
      <c r="BC2259" s="3" t="s">
        <v>77</v>
      </c>
      <c r="BD2259" s="3" t="s">
        <v>165</v>
      </c>
      <c r="BE2259" s="3" t="s">
        <v>22961</v>
      </c>
      <c r="BF2259" s="3" t="s">
        <v>22960</v>
      </c>
      <c r="BG2259" s="3" t="s">
        <v>22962</v>
      </c>
      <c r="BH2259">
        <f t="shared" si="57"/>
        <v>0</v>
      </c>
    </row>
    <row r="2260" spans="1:60" ht="58" x14ac:dyDescent="0.35">
      <c r="A2260" s="2" t="s">
        <v>59</v>
      </c>
      <c r="B2260" s="2" t="s">
        <v>60</v>
      </c>
      <c r="C2260" s="2" t="s">
        <v>22963</v>
      </c>
      <c r="D2260" s="2" t="s">
        <v>22964</v>
      </c>
      <c r="E2260" s="2" t="s">
        <v>22965</v>
      </c>
      <c r="G2260" s="3" t="s">
        <v>64</v>
      </c>
      <c r="I2260" s="3" t="s">
        <v>64</v>
      </c>
      <c r="J2260" s="3" t="s">
        <v>64</v>
      </c>
      <c r="K2260" s="3" t="s">
        <v>65</v>
      </c>
      <c r="L2260" s="2" t="s">
        <v>22966</v>
      </c>
      <c r="M2260" s="2" t="s">
        <v>18533</v>
      </c>
      <c r="N2260" s="3" t="s">
        <v>578</v>
      </c>
      <c r="P2260" s="3" t="s">
        <v>102</v>
      </c>
      <c r="R2260" s="3" t="s">
        <v>70</v>
      </c>
      <c r="S2260" s="4">
        <v>4</v>
      </c>
      <c r="T2260" s="4">
        <v>4</v>
      </c>
      <c r="U2260" s="5" t="s">
        <v>22967</v>
      </c>
      <c r="V2260" s="5" t="s">
        <v>22967</v>
      </c>
      <c r="W2260" s="5" t="s">
        <v>72</v>
      </c>
      <c r="X2260" s="5" t="s">
        <v>72</v>
      </c>
      <c r="Y2260" s="4">
        <v>513</v>
      </c>
      <c r="Z2260" s="4">
        <v>16</v>
      </c>
      <c r="AA2260" s="4">
        <v>82</v>
      </c>
      <c r="AB2260" s="4">
        <v>1</v>
      </c>
      <c r="AC2260" s="4">
        <v>15</v>
      </c>
      <c r="AD2260" s="4">
        <v>68</v>
      </c>
      <c r="AE2260" s="4">
        <v>112</v>
      </c>
      <c r="AF2260" s="4">
        <v>0</v>
      </c>
      <c r="AG2260" s="4">
        <v>8</v>
      </c>
      <c r="AH2260" s="4">
        <v>63</v>
      </c>
      <c r="AI2260" s="4">
        <v>81</v>
      </c>
      <c r="AJ2260" s="4">
        <v>5</v>
      </c>
      <c r="AK2260" s="4">
        <v>17</v>
      </c>
      <c r="AL2260" s="4">
        <v>31</v>
      </c>
      <c r="AM2260" s="4">
        <v>40</v>
      </c>
      <c r="AN2260" s="4">
        <v>0</v>
      </c>
      <c r="AO2260" s="4">
        <v>0</v>
      </c>
      <c r="AP2260" s="4">
        <v>9</v>
      </c>
      <c r="AQ2260" s="4">
        <v>38</v>
      </c>
      <c r="AR2260" s="3" t="s">
        <v>64</v>
      </c>
      <c r="AS2260" s="3" t="s">
        <v>64</v>
      </c>
      <c r="AT2260" s="3" t="s">
        <v>64</v>
      </c>
      <c r="AV2260" s="6" t="str">
        <f>HYPERLINK("http://mcgill.on.worldcat.org/oclc/945582442","Catalog Record")</f>
        <v>Catalog Record</v>
      </c>
      <c r="AW2260" s="6" t="str">
        <f>HYPERLINK("http://www.worldcat.org/oclc/945582442","WorldCat Record")</f>
        <v>WorldCat Record</v>
      </c>
      <c r="AX2260" s="3" t="s">
        <v>22968</v>
      </c>
      <c r="AY2260" s="3" t="s">
        <v>22969</v>
      </c>
      <c r="AZ2260" s="3" t="s">
        <v>22970</v>
      </c>
      <c r="BA2260" s="3" t="s">
        <v>22970</v>
      </c>
      <c r="BB2260" s="3" t="s">
        <v>22971</v>
      </c>
      <c r="BC2260" s="3" t="s">
        <v>77</v>
      </c>
      <c r="BD2260" s="3" t="s">
        <v>78</v>
      </c>
      <c r="BE2260" s="3" t="s">
        <v>22972</v>
      </c>
      <c r="BF2260" s="3" t="s">
        <v>22971</v>
      </c>
      <c r="BG2260" s="3" t="s">
        <v>22973</v>
      </c>
      <c r="BH2260">
        <f t="shared" si="57"/>
        <v>0</v>
      </c>
    </row>
    <row r="2261" spans="1:60" ht="58" x14ac:dyDescent="0.35">
      <c r="A2261" s="2" t="s">
        <v>59</v>
      </c>
      <c r="B2261" s="2" t="s">
        <v>60</v>
      </c>
      <c r="C2261" s="2" t="s">
        <v>22974</v>
      </c>
      <c r="D2261" s="2" t="s">
        <v>22975</v>
      </c>
      <c r="E2261" s="2" t="s">
        <v>22976</v>
      </c>
      <c r="G2261" s="3" t="s">
        <v>64</v>
      </c>
      <c r="I2261" s="3" t="s">
        <v>64</v>
      </c>
      <c r="J2261" s="3" t="s">
        <v>64</v>
      </c>
      <c r="K2261" s="3" t="s">
        <v>65</v>
      </c>
      <c r="M2261" s="2" t="s">
        <v>18651</v>
      </c>
      <c r="N2261" s="3" t="s">
        <v>434</v>
      </c>
      <c r="P2261" s="3" t="s">
        <v>102</v>
      </c>
      <c r="R2261" s="3" t="s">
        <v>70</v>
      </c>
      <c r="S2261" s="4">
        <v>9</v>
      </c>
      <c r="T2261" s="4">
        <v>9</v>
      </c>
      <c r="U2261" s="5" t="s">
        <v>7734</v>
      </c>
      <c r="V2261" s="5" t="s">
        <v>7734</v>
      </c>
      <c r="W2261" s="5" t="s">
        <v>72</v>
      </c>
      <c r="X2261" s="5" t="s">
        <v>72</v>
      </c>
      <c r="Y2261" s="4">
        <v>348</v>
      </c>
      <c r="Z2261" s="4">
        <v>21</v>
      </c>
      <c r="AA2261" s="4">
        <v>84</v>
      </c>
      <c r="AB2261" s="4">
        <v>2</v>
      </c>
      <c r="AC2261" s="4">
        <v>14</v>
      </c>
      <c r="AD2261" s="4">
        <v>66</v>
      </c>
      <c r="AE2261" s="4">
        <v>110</v>
      </c>
      <c r="AF2261" s="4">
        <v>1</v>
      </c>
      <c r="AG2261" s="4">
        <v>8</v>
      </c>
      <c r="AH2261" s="4">
        <v>57</v>
      </c>
      <c r="AI2261" s="4">
        <v>75</v>
      </c>
      <c r="AJ2261" s="4">
        <v>14</v>
      </c>
      <c r="AK2261" s="4">
        <v>23</v>
      </c>
      <c r="AL2261" s="4">
        <v>31</v>
      </c>
      <c r="AM2261" s="4">
        <v>38</v>
      </c>
      <c r="AN2261" s="4">
        <v>0</v>
      </c>
      <c r="AO2261" s="4">
        <v>0</v>
      </c>
      <c r="AP2261" s="4">
        <v>16</v>
      </c>
      <c r="AQ2261" s="4">
        <v>44</v>
      </c>
      <c r="AR2261" s="3" t="s">
        <v>64</v>
      </c>
      <c r="AS2261" s="3" t="s">
        <v>64</v>
      </c>
      <c r="AT2261" s="3" t="s">
        <v>128</v>
      </c>
      <c r="AU2261" s="6" t="str">
        <f>HYPERLINK("http://catalog.hathitrust.org/Record/005088625","HathiTrust Record")</f>
        <v>HathiTrust Record</v>
      </c>
      <c r="AV2261" s="6" t="str">
        <f>HYPERLINK("http://mcgill.on.worldcat.org/oclc/59356298","Catalog Record")</f>
        <v>Catalog Record</v>
      </c>
      <c r="AW2261" s="6" t="str">
        <f>HYPERLINK("http://www.worldcat.org/oclc/59356298","WorldCat Record")</f>
        <v>WorldCat Record</v>
      </c>
      <c r="AX2261" s="3" t="s">
        <v>22977</v>
      </c>
      <c r="AY2261" s="3" t="s">
        <v>22978</v>
      </c>
      <c r="AZ2261" s="3" t="s">
        <v>22979</v>
      </c>
      <c r="BA2261" s="3" t="s">
        <v>22979</v>
      </c>
      <c r="BB2261" s="3" t="s">
        <v>22980</v>
      </c>
      <c r="BC2261" s="3" t="s">
        <v>77</v>
      </c>
      <c r="BD2261" s="3" t="s">
        <v>78</v>
      </c>
      <c r="BE2261" s="3" t="s">
        <v>22981</v>
      </c>
      <c r="BF2261" s="3" t="s">
        <v>22980</v>
      </c>
      <c r="BG2261" s="3" t="s">
        <v>22982</v>
      </c>
      <c r="BH2261">
        <f t="shared" si="57"/>
        <v>0</v>
      </c>
    </row>
    <row r="2262" spans="1:60" ht="58" x14ac:dyDescent="0.35">
      <c r="A2262" s="2" t="s">
        <v>59</v>
      </c>
      <c r="B2262" s="2" t="s">
        <v>60</v>
      </c>
      <c r="C2262" s="2" t="s">
        <v>22983</v>
      </c>
      <c r="D2262" s="2" t="s">
        <v>22984</v>
      </c>
      <c r="E2262" s="2" t="s">
        <v>22985</v>
      </c>
      <c r="G2262" s="3" t="s">
        <v>64</v>
      </c>
      <c r="I2262" s="3" t="s">
        <v>64</v>
      </c>
      <c r="J2262" s="3" t="s">
        <v>64</v>
      </c>
      <c r="K2262" s="3" t="s">
        <v>65</v>
      </c>
      <c r="M2262" s="2" t="s">
        <v>15555</v>
      </c>
      <c r="N2262" s="3" t="s">
        <v>1075</v>
      </c>
      <c r="P2262" s="3" t="s">
        <v>102</v>
      </c>
      <c r="R2262" s="3" t="s">
        <v>70</v>
      </c>
      <c r="S2262" s="4">
        <v>0</v>
      </c>
      <c r="T2262" s="4">
        <v>0</v>
      </c>
      <c r="W2262" s="5" t="s">
        <v>72</v>
      </c>
      <c r="X2262" s="5" t="s">
        <v>72</v>
      </c>
      <c r="Y2262" s="4">
        <v>183</v>
      </c>
      <c r="Z2262" s="4">
        <v>13</v>
      </c>
      <c r="AA2262" s="4">
        <v>16</v>
      </c>
      <c r="AB2262" s="4">
        <v>1</v>
      </c>
      <c r="AC2262" s="4">
        <v>3</v>
      </c>
      <c r="AD2262" s="4">
        <v>55</v>
      </c>
      <c r="AE2262" s="4">
        <v>58</v>
      </c>
      <c r="AF2262" s="4">
        <v>0</v>
      </c>
      <c r="AG2262" s="4">
        <v>0</v>
      </c>
      <c r="AH2262" s="4">
        <v>47</v>
      </c>
      <c r="AI2262" s="4">
        <v>50</v>
      </c>
      <c r="AJ2262" s="4">
        <v>10</v>
      </c>
      <c r="AK2262" s="4">
        <v>11</v>
      </c>
      <c r="AL2262" s="4">
        <v>24</v>
      </c>
      <c r="AM2262" s="4">
        <v>25</v>
      </c>
      <c r="AN2262" s="4">
        <v>0</v>
      </c>
      <c r="AO2262" s="4">
        <v>0</v>
      </c>
      <c r="AP2262" s="4">
        <v>11</v>
      </c>
      <c r="AQ2262" s="4">
        <v>12</v>
      </c>
      <c r="AR2262" s="3" t="s">
        <v>64</v>
      </c>
      <c r="AS2262" s="3" t="s">
        <v>64</v>
      </c>
      <c r="AT2262" s="3" t="s">
        <v>64</v>
      </c>
      <c r="AV2262" s="6" t="str">
        <f>HYPERLINK("http://mcgill.on.worldcat.org/oclc/847529232","Catalog Record")</f>
        <v>Catalog Record</v>
      </c>
      <c r="AW2262" s="6" t="str">
        <f>HYPERLINK("http://www.worldcat.org/oclc/847529232","WorldCat Record")</f>
        <v>WorldCat Record</v>
      </c>
      <c r="AX2262" s="3" t="s">
        <v>22986</v>
      </c>
      <c r="AY2262" s="3" t="s">
        <v>22987</v>
      </c>
      <c r="AZ2262" s="3" t="s">
        <v>22988</v>
      </c>
      <c r="BA2262" s="3" t="s">
        <v>22988</v>
      </c>
      <c r="BB2262" s="3" t="s">
        <v>22989</v>
      </c>
      <c r="BC2262" s="3" t="s">
        <v>77</v>
      </c>
      <c r="BD2262" s="3" t="s">
        <v>78</v>
      </c>
      <c r="BE2262" s="3" t="s">
        <v>22990</v>
      </c>
      <c r="BF2262" s="3" t="s">
        <v>22989</v>
      </c>
      <c r="BG2262" s="3" t="s">
        <v>22991</v>
      </c>
      <c r="BH2262">
        <f t="shared" si="57"/>
        <v>0</v>
      </c>
    </row>
    <row r="2263" spans="1:60" ht="58" x14ac:dyDescent="0.35">
      <c r="A2263" s="2" t="s">
        <v>59</v>
      </c>
      <c r="B2263" s="2" t="s">
        <v>60</v>
      </c>
      <c r="C2263" s="2" t="s">
        <v>22992</v>
      </c>
      <c r="D2263" s="2" t="s">
        <v>22993</v>
      </c>
      <c r="E2263" s="2" t="s">
        <v>22994</v>
      </c>
      <c r="G2263" s="3" t="s">
        <v>64</v>
      </c>
      <c r="I2263" s="3" t="s">
        <v>64</v>
      </c>
      <c r="J2263" s="3" t="s">
        <v>64</v>
      </c>
      <c r="K2263" s="3" t="s">
        <v>65</v>
      </c>
      <c r="M2263" s="2" t="s">
        <v>22995</v>
      </c>
      <c r="N2263" s="3" t="s">
        <v>326</v>
      </c>
      <c r="P2263" s="3" t="s">
        <v>102</v>
      </c>
      <c r="R2263" s="3" t="s">
        <v>70</v>
      </c>
      <c r="S2263" s="4">
        <v>4</v>
      </c>
      <c r="T2263" s="4">
        <v>4</v>
      </c>
      <c r="U2263" s="5" t="s">
        <v>22996</v>
      </c>
      <c r="V2263" s="5" t="s">
        <v>22996</v>
      </c>
      <c r="W2263" s="5" t="s">
        <v>72</v>
      </c>
      <c r="X2263" s="5" t="s">
        <v>72</v>
      </c>
      <c r="Y2263" s="4">
        <v>230</v>
      </c>
      <c r="Z2263" s="4">
        <v>7</v>
      </c>
      <c r="AA2263" s="4">
        <v>83</v>
      </c>
      <c r="AB2263" s="4">
        <v>1</v>
      </c>
      <c r="AC2263" s="4">
        <v>14</v>
      </c>
      <c r="AD2263" s="4">
        <v>58</v>
      </c>
      <c r="AE2263" s="4">
        <v>122</v>
      </c>
      <c r="AF2263" s="4">
        <v>0</v>
      </c>
      <c r="AG2263" s="4">
        <v>8</v>
      </c>
      <c r="AH2263" s="4">
        <v>56</v>
      </c>
      <c r="AI2263" s="4">
        <v>88</v>
      </c>
      <c r="AJ2263" s="4">
        <v>3</v>
      </c>
      <c r="AK2263" s="4">
        <v>18</v>
      </c>
      <c r="AL2263" s="4">
        <v>28</v>
      </c>
      <c r="AM2263" s="4">
        <v>43</v>
      </c>
      <c r="AN2263" s="4">
        <v>0</v>
      </c>
      <c r="AO2263" s="4">
        <v>0</v>
      </c>
      <c r="AP2263" s="4">
        <v>3</v>
      </c>
      <c r="AQ2263" s="4">
        <v>38</v>
      </c>
      <c r="AR2263" s="3" t="s">
        <v>64</v>
      </c>
      <c r="AS2263" s="3" t="s">
        <v>64</v>
      </c>
      <c r="AT2263" s="3" t="s">
        <v>64</v>
      </c>
      <c r="AV2263" s="6" t="str">
        <f>HYPERLINK("http://mcgill.on.worldcat.org/oclc/666224054","Catalog Record")</f>
        <v>Catalog Record</v>
      </c>
      <c r="AW2263" s="6" t="str">
        <f>HYPERLINK("http://www.worldcat.org/oclc/666224054","WorldCat Record")</f>
        <v>WorldCat Record</v>
      </c>
      <c r="AX2263" s="3" t="s">
        <v>22997</v>
      </c>
      <c r="AY2263" s="3" t="s">
        <v>22998</v>
      </c>
      <c r="AZ2263" s="3" t="s">
        <v>22999</v>
      </c>
      <c r="BA2263" s="3" t="s">
        <v>22999</v>
      </c>
      <c r="BB2263" s="3" t="s">
        <v>23000</v>
      </c>
      <c r="BC2263" s="3" t="s">
        <v>77</v>
      </c>
      <c r="BD2263" s="3" t="s">
        <v>78</v>
      </c>
      <c r="BE2263" s="3" t="s">
        <v>23001</v>
      </c>
      <c r="BF2263" s="3" t="s">
        <v>23000</v>
      </c>
      <c r="BG2263" s="3" t="s">
        <v>23002</v>
      </c>
      <c r="BH2263">
        <f t="shared" si="57"/>
        <v>0</v>
      </c>
    </row>
    <row r="2264" spans="1:60" ht="58" x14ac:dyDescent="0.35">
      <c r="A2264" s="2" t="s">
        <v>59</v>
      </c>
      <c r="B2264" s="2" t="s">
        <v>60</v>
      </c>
      <c r="C2264" s="2" t="s">
        <v>23003</v>
      </c>
      <c r="D2264" s="2" t="s">
        <v>23004</v>
      </c>
      <c r="E2264" s="2" t="s">
        <v>23005</v>
      </c>
      <c r="G2264" s="3" t="s">
        <v>64</v>
      </c>
      <c r="I2264" s="3" t="s">
        <v>64</v>
      </c>
      <c r="J2264" s="3" t="s">
        <v>64</v>
      </c>
      <c r="K2264" s="3" t="s">
        <v>65</v>
      </c>
      <c r="M2264" s="2" t="s">
        <v>23006</v>
      </c>
      <c r="N2264" s="3" t="s">
        <v>551</v>
      </c>
      <c r="P2264" s="3" t="s">
        <v>102</v>
      </c>
      <c r="R2264" s="3" t="s">
        <v>70</v>
      </c>
      <c r="S2264" s="4">
        <v>15</v>
      </c>
      <c r="T2264" s="4">
        <v>15</v>
      </c>
      <c r="U2264" s="5" t="s">
        <v>23007</v>
      </c>
      <c r="V2264" s="5" t="s">
        <v>23007</v>
      </c>
      <c r="W2264" s="5" t="s">
        <v>72</v>
      </c>
      <c r="X2264" s="5" t="s">
        <v>72</v>
      </c>
      <c r="Y2264" s="4">
        <v>195</v>
      </c>
      <c r="Z2264" s="4">
        <v>22</v>
      </c>
      <c r="AA2264" s="4">
        <v>30</v>
      </c>
      <c r="AB2264" s="4">
        <v>2</v>
      </c>
      <c r="AC2264" s="4">
        <v>6</v>
      </c>
      <c r="AD2264" s="4">
        <v>59</v>
      </c>
      <c r="AE2264" s="4">
        <v>66</v>
      </c>
      <c r="AF2264" s="4">
        <v>0</v>
      </c>
      <c r="AG2264" s="4">
        <v>1</v>
      </c>
      <c r="AH2264" s="4">
        <v>50</v>
      </c>
      <c r="AI2264" s="4">
        <v>53</v>
      </c>
      <c r="AJ2264" s="4">
        <v>11</v>
      </c>
      <c r="AK2264" s="4">
        <v>13</v>
      </c>
      <c r="AL2264" s="4">
        <v>27</v>
      </c>
      <c r="AM2264" s="4">
        <v>29</v>
      </c>
      <c r="AN2264" s="4">
        <v>0</v>
      </c>
      <c r="AO2264" s="4">
        <v>0</v>
      </c>
      <c r="AP2264" s="4">
        <v>17</v>
      </c>
      <c r="AQ2264" s="4">
        <v>20</v>
      </c>
      <c r="AR2264" s="3" t="s">
        <v>64</v>
      </c>
      <c r="AS2264" s="3" t="s">
        <v>64</v>
      </c>
      <c r="AT2264" s="3" t="s">
        <v>64</v>
      </c>
      <c r="AV2264" s="6" t="str">
        <f>HYPERLINK("http://mcgill.on.worldcat.org/oclc/236082862","Catalog Record")</f>
        <v>Catalog Record</v>
      </c>
      <c r="AW2264" s="6" t="str">
        <f>HYPERLINK("http://www.worldcat.org/oclc/236082862","WorldCat Record")</f>
        <v>WorldCat Record</v>
      </c>
      <c r="AX2264" s="3" t="s">
        <v>23008</v>
      </c>
      <c r="AY2264" s="3" t="s">
        <v>23009</v>
      </c>
      <c r="AZ2264" s="3" t="s">
        <v>23010</v>
      </c>
      <c r="BA2264" s="3" t="s">
        <v>23010</v>
      </c>
      <c r="BB2264" s="3" t="s">
        <v>23011</v>
      </c>
      <c r="BC2264" s="3" t="s">
        <v>77</v>
      </c>
      <c r="BD2264" s="3" t="s">
        <v>78</v>
      </c>
      <c r="BE2264" s="3" t="s">
        <v>23012</v>
      </c>
      <c r="BF2264" s="3" t="s">
        <v>23011</v>
      </c>
      <c r="BG2264" s="3" t="s">
        <v>23013</v>
      </c>
      <c r="BH2264">
        <f t="shared" si="57"/>
        <v>0</v>
      </c>
    </row>
    <row r="2265" spans="1:60" ht="58" x14ac:dyDescent="0.35">
      <c r="A2265" s="2" t="s">
        <v>59</v>
      </c>
      <c r="B2265" s="2" t="s">
        <v>60</v>
      </c>
      <c r="C2265" s="2" t="s">
        <v>23014</v>
      </c>
      <c r="D2265" s="2" t="s">
        <v>23015</v>
      </c>
      <c r="E2265" s="2" t="s">
        <v>23016</v>
      </c>
      <c r="G2265" s="3" t="s">
        <v>64</v>
      </c>
      <c r="I2265" s="3" t="s">
        <v>64</v>
      </c>
      <c r="J2265" s="3" t="s">
        <v>64</v>
      </c>
      <c r="K2265" s="3" t="s">
        <v>65</v>
      </c>
      <c r="L2265" s="2" t="s">
        <v>23017</v>
      </c>
      <c r="M2265" s="2" t="s">
        <v>23018</v>
      </c>
      <c r="N2265" s="3" t="s">
        <v>378</v>
      </c>
      <c r="P2265" s="3" t="s">
        <v>102</v>
      </c>
      <c r="Q2265" s="2" t="s">
        <v>23019</v>
      </c>
      <c r="R2265" s="3" t="s">
        <v>70</v>
      </c>
      <c r="S2265" s="4">
        <v>2</v>
      </c>
      <c r="T2265" s="4">
        <v>2</v>
      </c>
      <c r="U2265" s="5" t="s">
        <v>19981</v>
      </c>
      <c r="V2265" s="5" t="s">
        <v>19981</v>
      </c>
      <c r="W2265" s="5" t="s">
        <v>72</v>
      </c>
      <c r="X2265" s="5" t="s">
        <v>72</v>
      </c>
      <c r="Y2265" s="4">
        <v>224</v>
      </c>
      <c r="Z2265" s="4">
        <v>18</v>
      </c>
      <c r="AA2265" s="4">
        <v>19</v>
      </c>
      <c r="AB2265" s="4">
        <v>3</v>
      </c>
      <c r="AC2265" s="4">
        <v>4</v>
      </c>
      <c r="AD2265" s="4">
        <v>89</v>
      </c>
      <c r="AE2265" s="4">
        <v>90</v>
      </c>
      <c r="AF2265" s="4">
        <v>1</v>
      </c>
      <c r="AG2265" s="4">
        <v>2</v>
      </c>
      <c r="AH2265" s="4">
        <v>81</v>
      </c>
      <c r="AI2265" s="4">
        <v>81</v>
      </c>
      <c r="AJ2265" s="4">
        <v>13</v>
      </c>
      <c r="AK2265" s="4">
        <v>14</v>
      </c>
      <c r="AL2265" s="4">
        <v>45</v>
      </c>
      <c r="AM2265" s="4">
        <v>45</v>
      </c>
      <c r="AN2265" s="4">
        <v>0</v>
      </c>
      <c r="AO2265" s="4">
        <v>0</v>
      </c>
      <c r="AP2265" s="4">
        <v>12</v>
      </c>
      <c r="AQ2265" s="4">
        <v>12</v>
      </c>
      <c r="AR2265" s="3" t="s">
        <v>64</v>
      </c>
      <c r="AS2265" s="3" t="s">
        <v>64</v>
      </c>
      <c r="AT2265" s="3" t="s">
        <v>128</v>
      </c>
      <c r="AU2265" s="6" t="str">
        <f>HYPERLINK("http://catalog.hathitrust.org/Record/000447689","HathiTrust Record")</f>
        <v>HathiTrust Record</v>
      </c>
      <c r="AV2265" s="6" t="str">
        <f>HYPERLINK("http://mcgill.on.worldcat.org/oclc/13455213","Catalog Record")</f>
        <v>Catalog Record</v>
      </c>
      <c r="AW2265" s="6" t="str">
        <f>HYPERLINK("http://www.worldcat.org/oclc/13455213","WorldCat Record")</f>
        <v>WorldCat Record</v>
      </c>
      <c r="AX2265" s="3" t="s">
        <v>23020</v>
      </c>
      <c r="AY2265" s="3" t="s">
        <v>23021</v>
      </c>
      <c r="AZ2265" s="3" t="s">
        <v>23022</v>
      </c>
      <c r="BA2265" s="3" t="s">
        <v>23022</v>
      </c>
      <c r="BB2265" s="3" t="s">
        <v>23023</v>
      </c>
      <c r="BC2265" s="3" t="s">
        <v>77</v>
      </c>
      <c r="BD2265" s="3" t="s">
        <v>78</v>
      </c>
      <c r="BE2265" s="3" t="s">
        <v>23024</v>
      </c>
      <c r="BF2265" s="3" t="s">
        <v>23023</v>
      </c>
      <c r="BG2265" s="3" t="s">
        <v>23025</v>
      </c>
      <c r="BH2265">
        <f t="shared" si="57"/>
        <v>0</v>
      </c>
    </row>
    <row r="2266" spans="1:60" ht="58" x14ac:dyDescent="0.35">
      <c r="A2266" s="2" t="s">
        <v>59</v>
      </c>
      <c r="B2266" s="2" t="s">
        <v>60</v>
      </c>
      <c r="C2266" s="2" t="s">
        <v>23026</v>
      </c>
      <c r="D2266" s="2" t="s">
        <v>23027</v>
      </c>
      <c r="E2266" s="2" t="s">
        <v>23028</v>
      </c>
      <c r="G2266" s="3" t="s">
        <v>64</v>
      </c>
      <c r="I2266" s="3" t="s">
        <v>64</v>
      </c>
      <c r="J2266" s="3" t="s">
        <v>64</v>
      </c>
      <c r="K2266" s="3" t="s">
        <v>65</v>
      </c>
      <c r="M2266" s="2" t="s">
        <v>23029</v>
      </c>
      <c r="N2266" s="3" t="s">
        <v>153</v>
      </c>
      <c r="P2266" s="3" t="s">
        <v>102</v>
      </c>
      <c r="Q2266" s="2" t="s">
        <v>23030</v>
      </c>
      <c r="R2266" s="3" t="s">
        <v>70</v>
      </c>
      <c r="S2266" s="4">
        <v>9</v>
      </c>
      <c r="T2266" s="4">
        <v>9</v>
      </c>
      <c r="U2266" s="5" t="s">
        <v>1466</v>
      </c>
      <c r="V2266" s="5" t="s">
        <v>1466</v>
      </c>
      <c r="W2266" s="5" t="s">
        <v>72</v>
      </c>
      <c r="X2266" s="5" t="s">
        <v>72</v>
      </c>
      <c r="Y2266" s="4">
        <v>284</v>
      </c>
      <c r="Z2266" s="4">
        <v>15</v>
      </c>
      <c r="AA2266" s="4">
        <v>15</v>
      </c>
      <c r="AB2266" s="4">
        <v>2</v>
      </c>
      <c r="AC2266" s="4">
        <v>2</v>
      </c>
      <c r="AD2266" s="4">
        <v>92</v>
      </c>
      <c r="AE2266" s="4">
        <v>92</v>
      </c>
      <c r="AF2266" s="4">
        <v>1</v>
      </c>
      <c r="AG2266" s="4">
        <v>1</v>
      </c>
      <c r="AH2266" s="4">
        <v>85</v>
      </c>
      <c r="AI2266" s="4">
        <v>85</v>
      </c>
      <c r="AJ2266" s="4">
        <v>11</v>
      </c>
      <c r="AK2266" s="4">
        <v>11</v>
      </c>
      <c r="AL2266" s="4">
        <v>49</v>
      </c>
      <c r="AM2266" s="4">
        <v>49</v>
      </c>
      <c r="AN2266" s="4">
        <v>0</v>
      </c>
      <c r="AO2266" s="4">
        <v>0</v>
      </c>
      <c r="AP2266" s="4">
        <v>11</v>
      </c>
      <c r="AQ2266" s="4">
        <v>11</v>
      </c>
      <c r="AR2266" s="3" t="s">
        <v>64</v>
      </c>
      <c r="AS2266" s="3" t="s">
        <v>64</v>
      </c>
      <c r="AT2266" s="3" t="s">
        <v>64</v>
      </c>
      <c r="AV2266" s="6" t="str">
        <f>HYPERLINK("http://mcgill.on.worldcat.org/oclc/38168334","Catalog Record")</f>
        <v>Catalog Record</v>
      </c>
      <c r="AW2266" s="6" t="str">
        <f>HYPERLINK("http://www.worldcat.org/oclc/38168334","WorldCat Record")</f>
        <v>WorldCat Record</v>
      </c>
      <c r="AX2266" s="3" t="s">
        <v>23031</v>
      </c>
      <c r="AY2266" s="3" t="s">
        <v>23032</v>
      </c>
      <c r="AZ2266" s="3" t="s">
        <v>23033</v>
      </c>
      <c r="BA2266" s="3" t="s">
        <v>23033</v>
      </c>
      <c r="BB2266" s="3" t="s">
        <v>23034</v>
      </c>
      <c r="BC2266" s="3" t="s">
        <v>77</v>
      </c>
      <c r="BD2266" s="3" t="s">
        <v>78</v>
      </c>
      <c r="BE2266" s="3" t="s">
        <v>23035</v>
      </c>
      <c r="BF2266" s="3" t="s">
        <v>23034</v>
      </c>
      <c r="BG2266" s="3" t="s">
        <v>23036</v>
      </c>
      <c r="BH2266">
        <f t="shared" si="57"/>
        <v>0</v>
      </c>
    </row>
    <row r="2267" spans="1:60" ht="58" x14ac:dyDescent="0.35">
      <c r="A2267" s="2" t="s">
        <v>59</v>
      </c>
      <c r="B2267" s="2" t="s">
        <v>60</v>
      </c>
      <c r="C2267" s="2" t="s">
        <v>23037</v>
      </c>
      <c r="D2267" s="2" t="s">
        <v>23038</v>
      </c>
      <c r="E2267" s="2" t="s">
        <v>23039</v>
      </c>
      <c r="G2267" s="3" t="s">
        <v>64</v>
      </c>
      <c r="I2267" s="3" t="s">
        <v>64</v>
      </c>
      <c r="J2267" s="3" t="s">
        <v>64</v>
      </c>
      <c r="K2267" s="3" t="s">
        <v>65</v>
      </c>
      <c r="L2267" s="2" t="s">
        <v>23040</v>
      </c>
      <c r="M2267" s="2" t="s">
        <v>16980</v>
      </c>
      <c r="N2267" s="3" t="s">
        <v>326</v>
      </c>
      <c r="P2267" s="3" t="s">
        <v>102</v>
      </c>
      <c r="Q2267" s="2" t="s">
        <v>8981</v>
      </c>
      <c r="R2267" s="3" t="s">
        <v>70</v>
      </c>
      <c r="S2267" s="4">
        <v>8</v>
      </c>
      <c r="T2267" s="4">
        <v>8</v>
      </c>
      <c r="U2267" s="5" t="s">
        <v>2534</v>
      </c>
      <c r="V2267" s="5" t="s">
        <v>2534</v>
      </c>
      <c r="W2267" s="5" t="s">
        <v>72</v>
      </c>
      <c r="X2267" s="5" t="s">
        <v>72</v>
      </c>
      <c r="Y2267" s="4">
        <v>260</v>
      </c>
      <c r="Z2267" s="4">
        <v>19</v>
      </c>
      <c r="AA2267" s="4">
        <v>34</v>
      </c>
      <c r="AB2267" s="4">
        <v>2</v>
      </c>
      <c r="AC2267" s="4">
        <v>6</v>
      </c>
      <c r="AD2267" s="4">
        <v>52</v>
      </c>
      <c r="AE2267" s="4">
        <v>78</v>
      </c>
      <c r="AF2267" s="4">
        <v>1</v>
      </c>
      <c r="AG2267" s="4">
        <v>3</v>
      </c>
      <c r="AH2267" s="4">
        <v>44</v>
      </c>
      <c r="AI2267" s="4">
        <v>62</v>
      </c>
      <c r="AJ2267" s="4">
        <v>13</v>
      </c>
      <c r="AK2267" s="4">
        <v>18</v>
      </c>
      <c r="AL2267" s="4">
        <v>23</v>
      </c>
      <c r="AM2267" s="4">
        <v>33</v>
      </c>
      <c r="AN2267" s="4">
        <v>0</v>
      </c>
      <c r="AO2267" s="4">
        <v>0</v>
      </c>
      <c r="AP2267" s="4">
        <v>16</v>
      </c>
      <c r="AQ2267" s="4">
        <v>24</v>
      </c>
      <c r="AR2267" s="3" t="s">
        <v>64</v>
      </c>
      <c r="AS2267" s="3" t="s">
        <v>64</v>
      </c>
      <c r="AT2267" s="3" t="s">
        <v>64</v>
      </c>
      <c r="AV2267" s="6" t="str">
        <f>HYPERLINK("http://mcgill.on.worldcat.org/oclc/747033604","Catalog Record")</f>
        <v>Catalog Record</v>
      </c>
      <c r="AW2267" s="6" t="str">
        <f>HYPERLINK("http://www.worldcat.org/oclc/747033604","WorldCat Record")</f>
        <v>WorldCat Record</v>
      </c>
      <c r="AX2267" s="3" t="s">
        <v>23041</v>
      </c>
      <c r="AY2267" s="3" t="s">
        <v>23042</v>
      </c>
      <c r="AZ2267" s="3" t="s">
        <v>23043</v>
      </c>
      <c r="BA2267" s="3" t="s">
        <v>23043</v>
      </c>
      <c r="BB2267" s="3" t="s">
        <v>23044</v>
      </c>
      <c r="BC2267" s="3" t="s">
        <v>77</v>
      </c>
      <c r="BD2267" s="3" t="s">
        <v>165</v>
      </c>
      <c r="BE2267" s="3" t="s">
        <v>23045</v>
      </c>
      <c r="BF2267" s="3" t="s">
        <v>23044</v>
      </c>
      <c r="BG2267" s="3" t="s">
        <v>23046</v>
      </c>
      <c r="BH2267">
        <f t="shared" si="57"/>
        <v>0</v>
      </c>
    </row>
    <row r="2268" spans="1:60" ht="58" x14ac:dyDescent="0.35">
      <c r="A2268" s="2" t="s">
        <v>59</v>
      </c>
      <c r="B2268" s="2" t="s">
        <v>60</v>
      </c>
      <c r="C2268" s="2" t="s">
        <v>23047</v>
      </c>
      <c r="D2268" s="2" t="s">
        <v>23048</v>
      </c>
      <c r="E2268" s="2" t="s">
        <v>23049</v>
      </c>
      <c r="G2268" s="3" t="s">
        <v>64</v>
      </c>
      <c r="I2268" s="3" t="s">
        <v>64</v>
      </c>
      <c r="J2268" s="3" t="s">
        <v>64</v>
      </c>
      <c r="K2268" s="3" t="s">
        <v>65</v>
      </c>
      <c r="M2268" s="2" t="s">
        <v>18156</v>
      </c>
      <c r="N2268" s="3" t="s">
        <v>326</v>
      </c>
      <c r="P2268" s="3" t="s">
        <v>102</v>
      </c>
      <c r="R2268" s="3" t="s">
        <v>70</v>
      </c>
      <c r="S2268" s="4">
        <v>0</v>
      </c>
      <c r="T2268" s="4">
        <v>0</v>
      </c>
      <c r="W2268" s="5" t="s">
        <v>72</v>
      </c>
      <c r="X2268" s="5" t="s">
        <v>72</v>
      </c>
      <c r="Y2268" s="4">
        <v>135</v>
      </c>
      <c r="Z2268" s="4">
        <v>10</v>
      </c>
      <c r="AA2268" s="4">
        <v>12</v>
      </c>
      <c r="AB2268" s="4">
        <v>1</v>
      </c>
      <c r="AC2268" s="4">
        <v>2</v>
      </c>
      <c r="AD2268" s="4">
        <v>60</v>
      </c>
      <c r="AE2268" s="4">
        <v>62</v>
      </c>
      <c r="AF2268" s="4">
        <v>0</v>
      </c>
      <c r="AG2268" s="4">
        <v>1</v>
      </c>
      <c r="AH2268" s="4">
        <v>58</v>
      </c>
      <c r="AI2268" s="4">
        <v>58</v>
      </c>
      <c r="AJ2268" s="4">
        <v>5</v>
      </c>
      <c r="AK2268" s="4">
        <v>7</v>
      </c>
      <c r="AL2268" s="4">
        <v>31</v>
      </c>
      <c r="AM2268" s="4">
        <v>31</v>
      </c>
      <c r="AN2268" s="4">
        <v>0</v>
      </c>
      <c r="AO2268" s="4">
        <v>0</v>
      </c>
      <c r="AP2268" s="4">
        <v>6</v>
      </c>
      <c r="AQ2268" s="4">
        <v>7</v>
      </c>
      <c r="AR2268" s="3" t="s">
        <v>64</v>
      </c>
      <c r="AS2268" s="3" t="s">
        <v>64</v>
      </c>
      <c r="AT2268" s="3" t="s">
        <v>64</v>
      </c>
      <c r="AV2268" s="6" t="str">
        <f>HYPERLINK("http://mcgill.on.worldcat.org/oclc/682902728","Catalog Record")</f>
        <v>Catalog Record</v>
      </c>
      <c r="AW2268" s="6" t="str">
        <f>HYPERLINK("http://www.worldcat.org/oclc/682902728","WorldCat Record")</f>
        <v>WorldCat Record</v>
      </c>
      <c r="AX2268" s="3" t="s">
        <v>23050</v>
      </c>
      <c r="AY2268" s="3" t="s">
        <v>23051</v>
      </c>
      <c r="AZ2268" s="3" t="s">
        <v>23052</v>
      </c>
      <c r="BA2268" s="3" t="s">
        <v>23052</v>
      </c>
      <c r="BB2268" s="3" t="s">
        <v>23053</v>
      </c>
      <c r="BC2268" s="3" t="s">
        <v>77</v>
      </c>
      <c r="BD2268" s="3" t="s">
        <v>78</v>
      </c>
      <c r="BE2268" s="3" t="s">
        <v>23054</v>
      </c>
      <c r="BF2268" s="3" t="s">
        <v>23053</v>
      </c>
      <c r="BG2268" s="3" t="s">
        <v>23055</v>
      </c>
      <c r="BH2268">
        <f t="shared" si="57"/>
        <v>0</v>
      </c>
    </row>
    <row r="2269" spans="1:60" ht="58" x14ac:dyDescent="0.35">
      <c r="A2269" s="2" t="s">
        <v>59</v>
      </c>
      <c r="B2269" s="2" t="s">
        <v>60</v>
      </c>
      <c r="C2269" s="2" t="s">
        <v>23056</v>
      </c>
      <c r="D2269" s="2" t="s">
        <v>23057</v>
      </c>
      <c r="E2269" s="2" t="s">
        <v>23058</v>
      </c>
      <c r="G2269" s="3" t="s">
        <v>64</v>
      </c>
      <c r="I2269" s="3" t="s">
        <v>64</v>
      </c>
      <c r="J2269" s="3" t="s">
        <v>64</v>
      </c>
      <c r="K2269" s="3" t="s">
        <v>65</v>
      </c>
      <c r="L2269" s="2" t="s">
        <v>23059</v>
      </c>
      <c r="M2269" s="2" t="s">
        <v>16229</v>
      </c>
      <c r="N2269" s="3" t="s">
        <v>190</v>
      </c>
      <c r="P2269" s="3" t="s">
        <v>102</v>
      </c>
      <c r="R2269" s="3" t="s">
        <v>70</v>
      </c>
      <c r="S2269" s="4">
        <v>2</v>
      </c>
      <c r="T2269" s="4">
        <v>2</v>
      </c>
      <c r="U2269" s="5" t="s">
        <v>23060</v>
      </c>
      <c r="V2269" s="5" t="s">
        <v>23060</v>
      </c>
      <c r="W2269" s="5" t="s">
        <v>72</v>
      </c>
      <c r="X2269" s="5" t="s">
        <v>72</v>
      </c>
      <c r="Y2269" s="4">
        <v>384</v>
      </c>
      <c r="Z2269" s="4">
        <v>13</v>
      </c>
      <c r="AA2269" s="4">
        <v>71</v>
      </c>
      <c r="AB2269" s="4">
        <v>1</v>
      </c>
      <c r="AC2269" s="4">
        <v>14</v>
      </c>
      <c r="AD2269" s="4">
        <v>58</v>
      </c>
      <c r="AE2269" s="4">
        <v>103</v>
      </c>
      <c r="AF2269" s="4">
        <v>0</v>
      </c>
      <c r="AG2269" s="4">
        <v>8</v>
      </c>
      <c r="AH2269" s="4">
        <v>51</v>
      </c>
      <c r="AI2269" s="4">
        <v>73</v>
      </c>
      <c r="AJ2269" s="4">
        <v>6</v>
      </c>
      <c r="AK2269" s="4">
        <v>19</v>
      </c>
      <c r="AL2269" s="4">
        <v>29</v>
      </c>
      <c r="AM2269" s="4">
        <v>39</v>
      </c>
      <c r="AN2269" s="4">
        <v>0</v>
      </c>
      <c r="AO2269" s="4">
        <v>0</v>
      </c>
      <c r="AP2269" s="4">
        <v>10</v>
      </c>
      <c r="AQ2269" s="4">
        <v>38</v>
      </c>
      <c r="AR2269" s="3" t="s">
        <v>64</v>
      </c>
      <c r="AS2269" s="3" t="s">
        <v>64</v>
      </c>
      <c r="AT2269" s="3" t="s">
        <v>64</v>
      </c>
      <c r="AV2269" s="6" t="str">
        <f>HYPERLINK("http://mcgill.on.worldcat.org/oclc/1030961485","Catalog Record")</f>
        <v>Catalog Record</v>
      </c>
      <c r="AW2269" s="6" t="str">
        <f>HYPERLINK("http://www.worldcat.org/oclc/1030961485","WorldCat Record")</f>
        <v>WorldCat Record</v>
      </c>
      <c r="AX2269" s="3" t="s">
        <v>23061</v>
      </c>
      <c r="AY2269" s="3" t="s">
        <v>23062</v>
      </c>
      <c r="AZ2269" s="3" t="s">
        <v>23063</v>
      </c>
      <c r="BA2269" s="3" t="s">
        <v>23063</v>
      </c>
      <c r="BB2269" s="3" t="s">
        <v>23064</v>
      </c>
      <c r="BC2269" s="3" t="s">
        <v>77</v>
      </c>
      <c r="BD2269" s="3" t="s">
        <v>165</v>
      </c>
      <c r="BE2269" s="3" t="s">
        <v>23065</v>
      </c>
      <c r="BF2269" s="3" t="s">
        <v>23064</v>
      </c>
      <c r="BG2269" s="3" t="s">
        <v>23066</v>
      </c>
      <c r="BH2269">
        <f t="shared" si="57"/>
        <v>0</v>
      </c>
    </row>
    <row r="2270" spans="1:60" ht="58" x14ac:dyDescent="0.35">
      <c r="A2270" s="2" t="s">
        <v>59</v>
      </c>
      <c r="B2270" s="2" t="s">
        <v>60</v>
      </c>
      <c r="C2270" s="2" t="s">
        <v>23067</v>
      </c>
      <c r="D2270" s="2" t="s">
        <v>23068</v>
      </c>
      <c r="E2270" s="2" t="s">
        <v>23069</v>
      </c>
      <c r="G2270" s="3" t="s">
        <v>64</v>
      </c>
      <c r="I2270" s="3" t="s">
        <v>64</v>
      </c>
      <c r="J2270" s="3" t="s">
        <v>64</v>
      </c>
      <c r="K2270" s="3" t="s">
        <v>65</v>
      </c>
      <c r="M2270" s="2" t="s">
        <v>23070</v>
      </c>
      <c r="N2270" s="3" t="s">
        <v>86</v>
      </c>
      <c r="P2270" s="3" t="s">
        <v>102</v>
      </c>
      <c r="R2270" s="3" t="s">
        <v>70</v>
      </c>
      <c r="S2270" s="4">
        <v>0</v>
      </c>
      <c r="T2270" s="4">
        <v>0</v>
      </c>
      <c r="W2270" s="5" t="s">
        <v>72</v>
      </c>
      <c r="X2270" s="5" t="s">
        <v>72</v>
      </c>
      <c r="Y2270" s="4">
        <v>35</v>
      </c>
      <c r="Z2270" s="4">
        <v>7</v>
      </c>
      <c r="AA2270" s="4">
        <v>7</v>
      </c>
      <c r="AB2270" s="4">
        <v>1</v>
      </c>
      <c r="AC2270" s="4">
        <v>1</v>
      </c>
      <c r="AD2270" s="4">
        <v>16</v>
      </c>
      <c r="AE2270" s="4">
        <v>16</v>
      </c>
      <c r="AF2270" s="4">
        <v>0</v>
      </c>
      <c r="AG2270" s="4">
        <v>0</v>
      </c>
      <c r="AH2270" s="4">
        <v>14</v>
      </c>
      <c r="AI2270" s="4">
        <v>14</v>
      </c>
      <c r="AJ2270" s="4">
        <v>5</v>
      </c>
      <c r="AK2270" s="4">
        <v>5</v>
      </c>
      <c r="AL2270" s="4">
        <v>9</v>
      </c>
      <c r="AM2270" s="4">
        <v>9</v>
      </c>
      <c r="AN2270" s="4">
        <v>0</v>
      </c>
      <c r="AO2270" s="4">
        <v>0</v>
      </c>
      <c r="AP2270" s="4">
        <v>5</v>
      </c>
      <c r="AQ2270" s="4">
        <v>5</v>
      </c>
      <c r="AR2270" s="3" t="s">
        <v>64</v>
      </c>
      <c r="AS2270" s="3" t="s">
        <v>64</v>
      </c>
      <c r="AT2270" s="3" t="s">
        <v>64</v>
      </c>
      <c r="AV2270" s="6" t="str">
        <f>HYPERLINK("http://mcgill.on.worldcat.org/oclc/793725951","Catalog Record")</f>
        <v>Catalog Record</v>
      </c>
      <c r="AW2270" s="6" t="str">
        <f>HYPERLINK("http://www.worldcat.org/oclc/793725951","WorldCat Record")</f>
        <v>WorldCat Record</v>
      </c>
      <c r="AX2270" s="3" t="s">
        <v>23071</v>
      </c>
      <c r="AY2270" s="3" t="s">
        <v>23072</v>
      </c>
      <c r="AZ2270" s="3" t="s">
        <v>23073</v>
      </c>
      <c r="BA2270" s="3" t="s">
        <v>23073</v>
      </c>
      <c r="BB2270" s="3" t="s">
        <v>23074</v>
      </c>
      <c r="BC2270" s="3" t="s">
        <v>77</v>
      </c>
      <c r="BD2270" s="3" t="s">
        <v>78</v>
      </c>
      <c r="BE2270" s="3" t="s">
        <v>23075</v>
      </c>
      <c r="BF2270" s="3" t="s">
        <v>23074</v>
      </c>
      <c r="BG2270" s="3" t="s">
        <v>23076</v>
      </c>
      <c r="BH2270">
        <f t="shared" si="57"/>
        <v>0</v>
      </c>
    </row>
    <row r="2271" spans="1:60" ht="58" x14ac:dyDescent="0.35">
      <c r="A2271" s="2" t="s">
        <v>59</v>
      </c>
      <c r="B2271" s="2" t="s">
        <v>60</v>
      </c>
      <c r="C2271" s="2" t="s">
        <v>23077</v>
      </c>
      <c r="D2271" s="2" t="s">
        <v>23078</v>
      </c>
      <c r="E2271" s="2" t="s">
        <v>23079</v>
      </c>
      <c r="G2271" s="3" t="s">
        <v>64</v>
      </c>
      <c r="I2271" s="3" t="s">
        <v>64</v>
      </c>
      <c r="J2271" s="3" t="s">
        <v>64</v>
      </c>
      <c r="K2271" s="3" t="s">
        <v>65</v>
      </c>
      <c r="M2271" s="2" t="s">
        <v>23080</v>
      </c>
      <c r="N2271" s="3" t="s">
        <v>511</v>
      </c>
      <c r="P2271" s="3" t="s">
        <v>102</v>
      </c>
      <c r="R2271" s="3" t="s">
        <v>70</v>
      </c>
      <c r="S2271" s="4">
        <v>0</v>
      </c>
      <c r="T2271" s="4">
        <v>0</v>
      </c>
      <c r="W2271" s="5" t="s">
        <v>72</v>
      </c>
      <c r="X2271" s="5" t="s">
        <v>72</v>
      </c>
      <c r="Y2271" s="4">
        <v>44</v>
      </c>
      <c r="Z2271" s="4">
        <v>7</v>
      </c>
      <c r="AA2271" s="4">
        <v>7</v>
      </c>
      <c r="AB2271" s="4">
        <v>1</v>
      </c>
      <c r="AC2271" s="4">
        <v>1</v>
      </c>
      <c r="AD2271" s="4">
        <v>18</v>
      </c>
      <c r="AE2271" s="4">
        <v>18</v>
      </c>
      <c r="AF2271" s="4">
        <v>0</v>
      </c>
      <c r="AG2271" s="4">
        <v>0</v>
      </c>
      <c r="AH2271" s="4">
        <v>16</v>
      </c>
      <c r="AI2271" s="4">
        <v>16</v>
      </c>
      <c r="AJ2271" s="4">
        <v>5</v>
      </c>
      <c r="AK2271" s="4">
        <v>5</v>
      </c>
      <c r="AL2271" s="4">
        <v>10</v>
      </c>
      <c r="AM2271" s="4">
        <v>10</v>
      </c>
      <c r="AN2271" s="4">
        <v>0</v>
      </c>
      <c r="AO2271" s="4">
        <v>0</v>
      </c>
      <c r="AP2271" s="4">
        <v>5</v>
      </c>
      <c r="AQ2271" s="4">
        <v>5</v>
      </c>
      <c r="AR2271" s="3" t="s">
        <v>64</v>
      </c>
      <c r="AS2271" s="3" t="s">
        <v>64</v>
      </c>
      <c r="AT2271" s="3" t="s">
        <v>64</v>
      </c>
      <c r="AV2271" s="6" t="str">
        <f>HYPERLINK("http://mcgill.on.worldcat.org/oclc/649322724","Catalog Record")</f>
        <v>Catalog Record</v>
      </c>
      <c r="AW2271" s="6" t="str">
        <f>HYPERLINK("http://www.worldcat.org/oclc/649322724","WorldCat Record")</f>
        <v>WorldCat Record</v>
      </c>
      <c r="AX2271" s="3" t="s">
        <v>23081</v>
      </c>
      <c r="AY2271" s="3" t="s">
        <v>23082</v>
      </c>
      <c r="AZ2271" s="3" t="s">
        <v>23083</v>
      </c>
      <c r="BA2271" s="3" t="s">
        <v>23083</v>
      </c>
      <c r="BB2271" s="3" t="s">
        <v>23084</v>
      </c>
      <c r="BC2271" s="3" t="s">
        <v>77</v>
      </c>
      <c r="BD2271" s="3" t="s">
        <v>78</v>
      </c>
      <c r="BE2271" s="3" t="s">
        <v>23085</v>
      </c>
      <c r="BF2271" s="3" t="s">
        <v>23084</v>
      </c>
      <c r="BG2271" s="3" t="s">
        <v>23086</v>
      </c>
      <c r="BH2271">
        <f t="shared" si="57"/>
        <v>0</v>
      </c>
    </row>
    <row r="2272" spans="1:60" ht="58" x14ac:dyDescent="0.35">
      <c r="A2272" s="2" t="s">
        <v>59</v>
      </c>
      <c r="B2272" s="2" t="s">
        <v>60</v>
      </c>
      <c r="C2272" s="2" t="s">
        <v>23087</v>
      </c>
      <c r="D2272" s="2" t="s">
        <v>23088</v>
      </c>
      <c r="E2272" s="2" t="s">
        <v>23089</v>
      </c>
      <c r="G2272" s="3" t="s">
        <v>64</v>
      </c>
      <c r="I2272" s="3" t="s">
        <v>64</v>
      </c>
      <c r="J2272" s="3" t="s">
        <v>64</v>
      </c>
      <c r="K2272" s="3" t="s">
        <v>65</v>
      </c>
      <c r="M2272" s="2" t="s">
        <v>19433</v>
      </c>
      <c r="N2272" s="3" t="s">
        <v>326</v>
      </c>
      <c r="P2272" s="3" t="s">
        <v>102</v>
      </c>
      <c r="R2272" s="3" t="s">
        <v>70</v>
      </c>
      <c r="S2272" s="4">
        <v>0</v>
      </c>
      <c r="T2272" s="4">
        <v>0</v>
      </c>
      <c r="W2272" s="5" t="s">
        <v>72</v>
      </c>
      <c r="X2272" s="5" t="s">
        <v>72</v>
      </c>
      <c r="Y2272" s="4">
        <v>35</v>
      </c>
      <c r="Z2272" s="4">
        <v>4</v>
      </c>
      <c r="AA2272" s="4">
        <v>4</v>
      </c>
      <c r="AB2272" s="4">
        <v>1</v>
      </c>
      <c r="AC2272" s="4">
        <v>1</v>
      </c>
      <c r="AD2272" s="4">
        <v>14</v>
      </c>
      <c r="AE2272" s="4">
        <v>14</v>
      </c>
      <c r="AF2272" s="4">
        <v>0</v>
      </c>
      <c r="AG2272" s="4">
        <v>0</v>
      </c>
      <c r="AH2272" s="4">
        <v>14</v>
      </c>
      <c r="AI2272" s="4">
        <v>14</v>
      </c>
      <c r="AJ2272" s="4">
        <v>3</v>
      </c>
      <c r="AK2272" s="4">
        <v>3</v>
      </c>
      <c r="AL2272" s="4">
        <v>6</v>
      </c>
      <c r="AM2272" s="4">
        <v>6</v>
      </c>
      <c r="AN2272" s="4">
        <v>0</v>
      </c>
      <c r="AO2272" s="4">
        <v>0</v>
      </c>
      <c r="AP2272" s="4">
        <v>3</v>
      </c>
      <c r="AQ2272" s="4">
        <v>3</v>
      </c>
      <c r="AR2272" s="3" t="s">
        <v>64</v>
      </c>
      <c r="AS2272" s="3" t="s">
        <v>64</v>
      </c>
      <c r="AT2272" s="3" t="s">
        <v>64</v>
      </c>
      <c r="AV2272" s="6" t="str">
        <f>HYPERLINK("http://mcgill.on.worldcat.org/oclc/768170834","Catalog Record")</f>
        <v>Catalog Record</v>
      </c>
      <c r="AW2272" s="6" t="str">
        <f>HYPERLINK("http://www.worldcat.org/oclc/768170834","WorldCat Record")</f>
        <v>WorldCat Record</v>
      </c>
      <c r="AX2272" s="3" t="s">
        <v>23090</v>
      </c>
      <c r="AY2272" s="3" t="s">
        <v>23091</v>
      </c>
      <c r="AZ2272" s="3" t="s">
        <v>23092</v>
      </c>
      <c r="BA2272" s="3" t="s">
        <v>23092</v>
      </c>
      <c r="BB2272" s="3" t="s">
        <v>23093</v>
      </c>
      <c r="BC2272" s="3" t="s">
        <v>77</v>
      </c>
      <c r="BD2272" s="3" t="s">
        <v>78</v>
      </c>
      <c r="BE2272" s="3" t="s">
        <v>23094</v>
      </c>
      <c r="BF2272" s="3" t="s">
        <v>23093</v>
      </c>
      <c r="BG2272" s="3" t="s">
        <v>23095</v>
      </c>
      <c r="BH2272">
        <f t="shared" si="57"/>
        <v>0</v>
      </c>
    </row>
    <row r="2273" spans="1:60" ht="58" x14ac:dyDescent="0.35">
      <c r="A2273" s="2" t="s">
        <v>59</v>
      </c>
      <c r="B2273" s="2" t="s">
        <v>60</v>
      </c>
      <c r="C2273" s="2" t="s">
        <v>23096</v>
      </c>
      <c r="D2273" s="2" t="s">
        <v>23097</v>
      </c>
      <c r="E2273" s="2" t="s">
        <v>23098</v>
      </c>
      <c r="G2273" s="3" t="s">
        <v>64</v>
      </c>
      <c r="I2273" s="3" t="s">
        <v>64</v>
      </c>
      <c r="J2273" s="3" t="s">
        <v>64</v>
      </c>
      <c r="K2273" s="3" t="s">
        <v>65</v>
      </c>
      <c r="M2273" s="2" t="s">
        <v>20835</v>
      </c>
      <c r="N2273" s="3" t="s">
        <v>511</v>
      </c>
      <c r="P2273" s="3" t="s">
        <v>102</v>
      </c>
      <c r="Q2273" s="2" t="s">
        <v>23099</v>
      </c>
      <c r="R2273" s="3" t="s">
        <v>70</v>
      </c>
      <c r="S2273" s="4">
        <v>1</v>
      </c>
      <c r="T2273" s="4">
        <v>1</v>
      </c>
      <c r="U2273" s="5" t="s">
        <v>23100</v>
      </c>
      <c r="V2273" s="5" t="s">
        <v>23100</v>
      </c>
      <c r="W2273" s="5" t="s">
        <v>72</v>
      </c>
      <c r="X2273" s="5" t="s">
        <v>72</v>
      </c>
      <c r="Y2273" s="4">
        <v>146</v>
      </c>
      <c r="Z2273" s="4">
        <v>14</v>
      </c>
      <c r="AA2273" s="4">
        <v>27</v>
      </c>
      <c r="AB2273" s="4">
        <v>2</v>
      </c>
      <c r="AC2273" s="4">
        <v>5</v>
      </c>
      <c r="AD2273" s="4">
        <v>41</v>
      </c>
      <c r="AE2273" s="4">
        <v>65</v>
      </c>
      <c r="AF2273" s="4">
        <v>1</v>
      </c>
      <c r="AG2273" s="4">
        <v>2</v>
      </c>
      <c r="AH2273" s="4">
        <v>35</v>
      </c>
      <c r="AI2273" s="4">
        <v>55</v>
      </c>
      <c r="AJ2273" s="4">
        <v>9</v>
      </c>
      <c r="AK2273" s="4">
        <v>13</v>
      </c>
      <c r="AL2273" s="4">
        <v>20</v>
      </c>
      <c r="AM2273" s="4">
        <v>28</v>
      </c>
      <c r="AN2273" s="4">
        <v>0</v>
      </c>
      <c r="AO2273" s="4">
        <v>0</v>
      </c>
      <c r="AP2273" s="4">
        <v>11</v>
      </c>
      <c r="AQ2273" s="4">
        <v>16</v>
      </c>
      <c r="AR2273" s="3" t="s">
        <v>64</v>
      </c>
      <c r="AS2273" s="3" t="s">
        <v>64</v>
      </c>
      <c r="AT2273" s="3" t="s">
        <v>64</v>
      </c>
      <c r="AV2273" s="6" t="str">
        <f>HYPERLINK("http://mcgill.on.worldcat.org/oclc/668182853","Catalog Record")</f>
        <v>Catalog Record</v>
      </c>
      <c r="AW2273" s="6" t="str">
        <f>HYPERLINK("http://www.worldcat.org/oclc/668182853","WorldCat Record")</f>
        <v>WorldCat Record</v>
      </c>
      <c r="AX2273" s="3" t="s">
        <v>23101</v>
      </c>
      <c r="AY2273" s="3" t="s">
        <v>23102</v>
      </c>
      <c r="AZ2273" s="3" t="s">
        <v>23103</v>
      </c>
      <c r="BA2273" s="3" t="s">
        <v>23103</v>
      </c>
      <c r="BB2273" s="3" t="s">
        <v>23104</v>
      </c>
      <c r="BC2273" s="3" t="s">
        <v>77</v>
      </c>
      <c r="BD2273" s="3" t="s">
        <v>78</v>
      </c>
      <c r="BE2273" s="3" t="s">
        <v>23105</v>
      </c>
      <c r="BF2273" s="3" t="s">
        <v>23104</v>
      </c>
      <c r="BG2273" s="3" t="s">
        <v>23106</v>
      </c>
      <c r="BH2273">
        <f t="shared" si="57"/>
        <v>0</v>
      </c>
    </row>
    <row r="2274" spans="1:60" ht="58" x14ac:dyDescent="0.35">
      <c r="A2274" s="2" t="s">
        <v>59</v>
      </c>
      <c r="B2274" s="2" t="s">
        <v>60</v>
      </c>
      <c r="C2274" s="2" t="s">
        <v>23107</v>
      </c>
      <c r="D2274" s="2" t="s">
        <v>23108</v>
      </c>
      <c r="E2274" s="2" t="s">
        <v>23109</v>
      </c>
      <c r="G2274" s="3" t="s">
        <v>64</v>
      </c>
      <c r="I2274" s="3" t="s">
        <v>64</v>
      </c>
      <c r="J2274" s="3" t="s">
        <v>64</v>
      </c>
      <c r="K2274" s="3" t="s">
        <v>65</v>
      </c>
      <c r="M2274" s="2" t="s">
        <v>23029</v>
      </c>
      <c r="N2274" s="3" t="s">
        <v>153</v>
      </c>
      <c r="P2274" s="3" t="s">
        <v>102</v>
      </c>
      <c r="Q2274" s="2" t="s">
        <v>23110</v>
      </c>
      <c r="R2274" s="3" t="s">
        <v>70</v>
      </c>
      <c r="S2274" s="4">
        <v>20</v>
      </c>
      <c r="T2274" s="4">
        <v>20</v>
      </c>
      <c r="U2274" s="5" t="s">
        <v>5637</v>
      </c>
      <c r="V2274" s="5" t="s">
        <v>5637</v>
      </c>
      <c r="W2274" s="5" t="s">
        <v>72</v>
      </c>
      <c r="X2274" s="5" t="s">
        <v>72</v>
      </c>
      <c r="Y2274" s="4">
        <v>209</v>
      </c>
      <c r="Z2274" s="4">
        <v>9</v>
      </c>
      <c r="AA2274" s="4">
        <v>9</v>
      </c>
      <c r="AB2274" s="4">
        <v>3</v>
      </c>
      <c r="AC2274" s="4">
        <v>3</v>
      </c>
      <c r="AD2274" s="4">
        <v>85</v>
      </c>
      <c r="AE2274" s="4">
        <v>85</v>
      </c>
      <c r="AF2274" s="4">
        <v>1</v>
      </c>
      <c r="AG2274" s="4">
        <v>1</v>
      </c>
      <c r="AH2274" s="4">
        <v>82</v>
      </c>
      <c r="AI2274" s="4">
        <v>82</v>
      </c>
      <c r="AJ2274" s="4">
        <v>4</v>
      </c>
      <c r="AK2274" s="4">
        <v>4</v>
      </c>
      <c r="AL2274" s="4">
        <v>48</v>
      </c>
      <c r="AM2274" s="4">
        <v>48</v>
      </c>
      <c r="AN2274" s="4">
        <v>0</v>
      </c>
      <c r="AO2274" s="4">
        <v>0</v>
      </c>
      <c r="AP2274" s="4">
        <v>5</v>
      </c>
      <c r="AQ2274" s="4">
        <v>5</v>
      </c>
      <c r="AR2274" s="3" t="s">
        <v>64</v>
      </c>
      <c r="AS2274" s="3" t="s">
        <v>64</v>
      </c>
      <c r="AT2274" s="3" t="s">
        <v>64</v>
      </c>
      <c r="AV2274" s="6" t="str">
        <f>HYPERLINK("http://mcgill.on.worldcat.org/oclc/38024165","Catalog Record")</f>
        <v>Catalog Record</v>
      </c>
      <c r="AW2274" s="6" t="str">
        <f>HYPERLINK("http://www.worldcat.org/oclc/38024165","WorldCat Record")</f>
        <v>WorldCat Record</v>
      </c>
      <c r="AX2274" s="3" t="s">
        <v>23111</v>
      </c>
      <c r="AY2274" s="3" t="s">
        <v>23112</v>
      </c>
      <c r="AZ2274" s="3" t="s">
        <v>23113</v>
      </c>
      <c r="BA2274" s="3" t="s">
        <v>23113</v>
      </c>
      <c r="BB2274" s="3" t="s">
        <v>23114</v>
      </c>
      <c r="BC2274" s="3" t="s">
        <v>77</v>
      </c>
      <c r="BD2274" s="3" t="s">
        <v>78</v>
      </c>
      <c r="BE2274" s="3" t="s">
        <v>23115</v>
      </c>
      <c r="BF2274" s="3" t="s">
        <v>23114</v>
      </c>
      <c r="BG2274" s="3" t="s">
        <v>23116</v>
      </c>
      <c r="BH2274">
        <f t="shared" si="57"/>
        <v>0</v>
      </c>
    </row>
    <row r="2275" spans="1:60" ht="58" x14ac:dyDescent="0.35">
      <c r="A2275" s="2" t="s">
        <v>59</v>
      </c>
      <c r="B2275" s="2" t="s">
        <v>60</v>
      </c>
      <c r="C2275" s="2" t="s">
        <v>23117</v>
      </c>
      <c r="D2275" s="2" t="s">
        <v>23118</v>
      </c>
      <c r="E2275" s="2" t="s">
        <v>23119</v>
      </c>
      <c r="G2275" s="3" t="s">
        <v>64</v>
      </c>
      <c r="I2275" s="3" t="s">
        <v>64</v>
      </c>
      <c r="J2275" s="3" t="s">
        <v>64</v>
      </c>
      <c r="K2275" s="3" t="s">
        <v>65</v>
      </c>
      <c r="M2275" s="2" t="s">
        <v>23120</v>
      </c>
      <c r="N2275" s="3" t="s">
        <v>171</v>
      </c>
      <c r="P2275" s="3" t="s">
        <v>102</v>
      </c>
      <c r="R2275" s="3" t="s">
        <v>70</v>
      </c>
      <c r="S2275" s="4">
        <v>7</v>
      </c>
      <c r="T2275" s="4">
        <v>7</v>
      </c>
      <c r="U2275" s="5" t="s">
        <v>23121</v>
      </c>
      <c r="V2275" s="5" t="s">
        <v>23121</v>
      </c>
      <c r="W2275" s="5" t="s">
        <v>72</v>
      </c>
      <c r="X2275" s="5" t="s">
        <v>72</v>
      </c>
      <c r="Y2275" s="4">
        <v>133</v>
      </c>
      <c r="Z2275" s="4">
        <v>11</v>
      </c>
      <c r="AA2275" s="4">
        <v>11</v>
      </c>
      <c r="AB2275" s="4">
        <v>2</v>
      </c>
      <c r="AC2275" s="4">
        <v>2</v>
      </c>
      <c r="AD2275" s="4">
        <v>36</v>
      </c>
      <c r="AE2275" s="4">
        <v>36</v>
      </c>
      <c r="AF2275" s="4">
        <v>0</v>
      </c>
      <c r="AG2275" s="4">
        <v>0</v>
      </c>
      <c r="AH2275" s="4">
        <v>35</v>
      </c>
      <c r="AI2275" s="4">
        <v>35</v>
      </c>
      <c r="AJ2275" s="4">
        <v>6</v>
      </c>
      <c r="AK2275" s="4">
        <v>6</v>
      </c>
      <c r="AL2275" s="4">
        <v>16</v>
      </c>
      <c r="AM2275" s="4">
        <v>16</v>
      </c>
      <c r="AN2275" s="4">
        <v>0</v>
      </c>
      <c r="AO2275" s="4">
        <v>0</v>
      </c>
      <c r="AP2275" s="4">
        <v>6</v>
      </c>
      <c r="AQ2275" s="4">
        <v>6</v>
      </c>
      <c r="AR2275" s="3" t="s">
        <v>64</v>
      </c>
      <c r="AS2275" s="3" t="s">
        <v>64</v>
      </c>
      <c r="AT2275" s="3" t="s">
        <v>64</v>
      </c>
      <c r="AV2275" s="6" t="str">
        <f>HYPERLINK("http://mcgill.on.worldcat.org/oclc/64427402","Catalog Record")</f>
        <v>Catalog Record</v>
      </c>
      <c r="AW2275" s="6" t="str">
        <f>HYPERLINK("http://www.worldcat.org/oclc/64427402","WorldCat Record")</f>
        <v>WorldCat Record</v>
      </c>
      <c r="AX2275" s="3" t="s">
        <v>23122</v>
      </c>
      <c r="AY2275" s="3" t="s">
        <v>23123</v>
      </c>
      <c r="AZ2275" s="3" t="s">
        <v>23124</v>
      </c>
      <c r="BA2275" s="3" t="s">
        <v>23124</v>
      </c>
      <c r="BB2275" s="3" t="s">
        <v>23125</v>
      </c>
      <c r="BC2275" s="3" t="s">
        <v>77</v>
      </c>
      <c r="BD2275" s="3" t="s">
        <v>78</v>
      </c>
      <c r="BE2275" s="3" t="s">
        <v>23126</v>
      </c>
      <c r="BF2275" s="3" t="s">
        <v>23125</v>
      </c>
      <c r="BG2275" s="3" t="s">
        <v>23127</v>
      </c>
      <c r="BH2275">
        <f t="shared" si="57"/>
        <v>0</v>
      </c>
    </row>
    <row r="2276" spans="1:60" ht="58" x14ac:dyDescent="0.35">
      <c r="A2276" s="2" t="s">
        <v>59</v>
      </c>
      <c r="B2276" s="2" t="s">
        <v>60</v>
      </c>
      <c r="C2276" s="2" t="s">
        <v>23128</v>
      </c>
      <c r="D2276" s="2" t="s">
        <v>23129</v>
      </c>
      <c r="E2276" s="2" t="s">
        <v>23130</v>
      </c>
      <c r="G2276" s="3" t="s">
        <v>64</v>
      </c>
      <c r="I2276" s="3" t="s">
        <v>64</v>
      </c>
      <c r="J2276" s="3" t="s">
        <v>64</v>
      </c>
      <c r="K2276" s="3" t="s">
        <v>65</v>
      </c>
      <c r="L2276" s="2" t="s">
        <v>23131</v>
      </c>
      <c r="M2276" s="2" t="s">
        <v>22298</v>
      </c>
      <c r="N2276" s="3" t="s">
        <v>511</v>
      </c>
      <c r="P2276" s="3" t="s">
        <v>102</v>
      </c>
      <c r="Q2276" s="2" t="s">
        <v>14045</v>
      </c>
      <c r="R2276" s="3" t="s">
        <v>70</v>
      </c>
      <c r="S2276" s="4">
        <v>3</v>
      </c>
      <c r="T2276" s="4">
        <v>3</v>
      </c>
      <c r="U2276" s="5" t="s">
        <v>23132</v>
      </c>
      <c r="V2276" s="5" t="s">
        <v>23132</v>
      </c>
      <c r="W2276" s="5" t="s">
        <v>72</v>
      </c>
      <c r="X2276" s="5" t="s">
        <v>72</v>
      </c>
      <c r="Y2276" s="4">
        <v>778</v>
      </c>
      <c r="Z2276" s="4">
        <v>36</v>
      </c>
      <c r="AA2276" s="4">
        <v>123</v>
      </c>
      <c r="AB2276" s="4">
        <v>3</v>
      </c>
      <c r="AC2276" s="4">
        <v>19</v>
      </c>
      <c r="AD2276" s="4">
        <v>68</v>
      </c>
      <c r="AE2276" s="4">
        <v>123</v>
      </c>
      <c r="AF2276" s="4">
        <v>0</v>
      </c>
      <c r="AG2276" s="4">
        <v>8</v>
      </c>
      <c r="AH2276" s="4">
        <v>64</v>
      </c>
      <c r="AI2276" s="4">
        <v>88</v>
      </c>
      <c r="AJ2276" s="4">
        <v>7</v>
      </c>
      <c r="AK2276" s="4">
        <v>20</v>
      </c>
      <c r="AL2276" s="4">
        <v>30</v>
      </c>
      <c r="AM2276" s="4">
        <v>44</v>
      </c>
      <c r="AN2276" s="4">
        <v>0</v>
      </c>
      <c r="AO2276" s="4">
        <v>0</v>
      </c>
      <c r="AP2276" s="4">
        <v>10</v>
      </c>
      <c r="AQ2276" s="4">
        <v>42</v>
      </c>
      <c r="AR2276" s="3" t="s">
        <v>64</v>
      </c>
      <c r="AS2276" s="3" t="s">
        <v>64</v>
      </c>
      <c r="AT2276" s="3" t="s">
        <v>64</v>
      </c>
      <c r="AV2276" s="6" t="str">
        <f>HYPERLINK("http://mcgill.on.worldcat.org/oclc/320696547","Catalog Record")</f>
        <v>Catalog Record</v>
      </c>
      <c r="AW2276" s="6" t="str">
        <f>HYPERLINK("http://www.worldcat.org/oclc/320696547","WorldCat Record")</f>
        <v>WorldCat Record</v>
      </c>
      <c r="AX2276" s="3" t="s">
        <v>23133</v>
      </c>
      <c r="AY2276" s="3" t="s">
        <v>23134</v>
      </c>
      <c r="AZ2276" s="3" t="s">
        <v>23135</v>
      </c>
      <c r="BA2276" s="3" t="s">
        <v>23135</v>
      </c>
      <c r="BB2276" s="3" t="s">
        <v>23136</v>
      </c>
      <c r="BC2276" s="3" t="s">
        <v>77</v>
      </c>
      <c r="BD2276" s="3" t="s">
        <v>78</v>
      </c>
      <c r="BE2276" s="3" t="s">
        <v>23137</v>
      </c>
      <c r="BF2276" s="3" t="s">
        <v>23136</v>
      </c>
      <c r="BG2276" s="3" t="s">
        <v>23138</v>
      </c>
      <c r="BH2276">
        <f t="shared" si="57"/>
        <v>0</v>
      </c>
    </row>
    <row r="2277" spans="1:60" ht="58" x14ac:dyDescent="0.35">
      <c r="A2277" s="2" t="s">
        <v>59</v>
      </c>
      <c r="B2277" s="2" t="s">
        <v>60</v>
      </c>
      <c r="C2277" s="2" t="s">
        <v>23139</v>
      </c>
      <c r="D2277" s="2" t="s">
        <v>23140</v>
      </c>
      <c r="E2277" s="2" t="s">
        <v>23141</v>
      </c>
      <c r="G2277" s="3" t="s">
        <v>64</v>
      </c>
      <c r="H2277" s="3" t="s">
        <v>183</v>
      </c>
      <c r="I2277" s="3" t="s">
        <v>64</v>
      </c>
      <c r="J2277" s="3" t="s">
        <v>64</v>
      </c>
      <c r="K2277" s="3" t="s">
        <v>65</v>
      </c>
      <c r="M2277" s="2" t="s">
        <v>23142</v>
      </c>
      <c r="N2277" s="3" t="s">
        <v>1492</v>
      </c>
      <c r="P2277" s="3" t="s">
        <v>102</v>
      </c>
      <c r="Q2277" s="2" t="s">
        <v>23143</v>
      </c>
      <c r="R2277" s="3" t="s">
        <v>70</v>
      </c>
      <c r="S2277" s="4">
        <v>0</v>
      </c>
      <c r="T2277" s="4">
        <v>0</v>
      </c>
      <c r="W2277" s="5" t="s">
        <v>826</v>
      </c>
      <c r="X2277" s="5" t="s">
        <v>826</v>
      </c>
      <c r="Y2277" s="4">
        <v>167</v>
      </c>
      <c r="Z2277" s="4">
        <v>4</v>
      </c>
      <c r="AA2277" s="4">
        <v>11</v>
      </c>
      <c r="AB2277" s="4">
        <v>1</v>
      </c>
      <c r="AC2277" s="4">
        <v>5</v>
      </c>
      <c r="AD2277" s="4">
        <v>47</v>
      </c>
      <c r="AE2277" s="4">
        <v>62</v>
      </c>
      <c r="AF2277" s="4">
        <v>0</v>
      </c>
      <c r="AG2277" s="4">
        <v>1</v>
      </c>
      <c r="AH2277" s="4">
        <v>44</v>
      </c>
      <c r="AI2277" s="4">
        <v>58</v>
      </c>
      <c r="AJ2277" s="4">
        <v>2</v>
      </c>
      <c r="AK2277" s="4">
        <v>6</v>
      </c>
      <c r="AL2277" s="4">
        <v>30</v>
      </c>
      <c r="AM2277" s="4">
        <v>35</v>
      </c>
      <c r="AN2277" s="4">
        <v>0</v>
      </c>
      <c r="AO2277" s="4">
        <v>0</v>
      </c>
      <c r="AP2277" s="4">
        <v>2</v>
      </c>
      <c r="AQ2277" s="4">
        <v>5</v>
      </c>
      <c r="AR2277" s="3" t="s">
        <v>64</v>
      </c>
      <c r="AS2277" s="3" t="s">
        <v>64</v>
      </c>
      <c r="AT2277" s="3" t="s">
        <v>64</v>
      </c>
      <c r="AV2277" s="6" t="str">
        <f>HYPERLINK("http://mcgill.on.worldcat.org/oclc/1090283845","Catalog Record")</f>
        <v>Catalog Record</v>
      </c>
      <c r="AW2277" s="6" t="str">
        <f>HYPERLINK("http://www.worldcat.org/oclc/1090283845","WorldCat Record")</f>
        <v>WorldCat Record</v>
      </c>
      <c r="AX2277" s="3" t="s">
        <v>23144</v>
      </c>
      <c r="AY2277" s="3" t="s">
        <v>23145</v>
      </c>
      <c r="AZ2277" s="3" t="s">
        <v>23146</v>
      </c>
      <c r="BA2277" s="3" t="s">
        <v>23146</v>
      </c>
      <c r="BB2277" s="3" t="s">
        <v>23147</v>
      </c>
      <c r="BC2277" s="3" t="s">
        <v>77</v>
      </c>
      <c r="BD2277" s="3" t="s">
        <v>78</v>
      </c>
      <c r="BE2277" s="3" t="s">
        <v>23148</v>
      </c>
      <c r="BF2277" s="3" t="s">
        <v>23147</v>
      </c>
      <c r="BG2277" s="3" t="s">
        <v>23149</v>
      </c>
      <c r="BH2277">
        <f t="shared" si="57"/>
        <v>0</v>
      </c>
    </row>
    <row r="2278" spans="1:60" ht="58" x14ac:dyDescent="0.35">
      <c r="A2278" s="2" t="s">
        <v>59</v>
      </c>
      <c r="B2278" s="2" t="s">
        <v>60</v>
      </c>
      <c r="C2278" s="2" t="s">
        <v>23150</v>
      </c>
      <c r="D2278" s="2" t="s">
        <v>23151</v>
      </c>
      <c r="E2278" s="2" t="s">
        <v>23152</v>
      </c>
      <c r="G2278" s="3" t="s">
        <v>64</v>
      </c>
      <c r="I2278" s="3" t="s">
        <v>64</v>
      </c>
      <c r="J2278" s="3" t="s">
        <v>64</v>
      </c>
      <c r="K2278" s="3" t="s">
        <v>65</v>
      </c>
      <c r="M2278" s="2" t="s">
        <v>23153</v>
      </c>
      <c r="N2278" s="3" t="s">
        <v>116</v>
      </c>
      <c r="P2278" s="3" t="s">
        <v>102</v>
      </c>
      <c r="Q2278" s="2" t="s">
        <v>23154</v>
      </c>
      <c r="R2278" s="3" t="s">
        <v>70</v>
      </c>
      <c r="S2278" s="4">
        <v>3</v>
      </c>
      <c r="T2278" s="4">
        <v>3</v>
      </c>
      <c r="U2278" s="5" t="s">
        <v>11403</v>
      </c>
      <c r="V2278" s="5" t="s">
        <v>11403</v>
      </c>
      <c r="W2278" s="5" t="s">
        <v>72</v>
      </c>
      <c r="X2278" s="5" t="s">
        <v>72</v>
      </c>
      <c r="Y2278" s="4">
        <v>225</v>
      </c>
      <c r="Z2278" s="4">
        <v>12</v>
      </c>
      <c r="AA2278" s="4">
        <v>40</v>
      </c>
      <c r="AB2278" s="4">
        <v>2</v>
      </c>
      <c r="AC2278" s="4">
        <v>8</v>
      </c>
      <c r="AD2278" s="4">
        <v>93</v>
      </c>
      <c r="AE2278" s="4">
        <v>98</v>
      </c>
      <c r="AF2278" s="4">
        <v>0</v>
      </c>
      <c r="AG2278" s="4">
        <v>1</v>
      </c>
      <c r="AH2278" s="4">
        <v>89</v>
      </c>
      <c r="AI2278" s="4">
        <v>91</v>
      </c>
      <c r="AJ2278" s="4">
        <v>9</v>
      </c>
      <c r="AK2278" s="4">
        <v>11</v>
      </c>
      <c r="AL2278" s="4">
        <v>46</v>
      </c>
      <c r="AM2278" s="4">
        <v>46</v>
      </c>
      <c r="AN2278" s="4">
        <v>0</v>
      </c>
      <c r="AO2278" s="4">
        <v>0</v>
      </c>
      <c r="AP2278" s="4">
        <v>9</v>
      </c>
      <c r="AQ2278" s="4">
        <v>12</v>
      </c>
      <c r="AR2278" s="3" t="s">
        <v>64</v>
      </c>
      <c r="AS2278" s="3" t="s">
        <v>64</v>
      </c>
      <c r="AT2278" s="3" t="s">
        <v>64</v>
      </c>
      <c r="AV2278" s="6" t="str">
        <f>HYPERLINK("http://mcgill.on.worldcat.org/oclc/45637066","Catalog Record")</f>
        <v>Catalog Record</v>
      </c>
      <c r="AW2278" s="6" t="str">
        <f>HYPERLINK("http://www.worldcat.org/oclc/45637066","WorldCat Record")</f>
        <v>WorldCat Record</v>
      </c>
      <c r="AX2278" s="3" t="s">
        <v>23155</v>
      </c>
      <c r="AY2278" s="3" t="s">
        <v>23156</v>
      </c>
      <c r="AZ2278" s="3" t="s">
        <v>23157</v>
      </c>
      <c r="BA2278" s="3" t="s">
        <v>23157</v>
      </c>
      <c r="BB2278" s="3" t="s">
        <v>23158</v>
      </c>
      <c r="BC2278" s="3" t="s">
        <v>77</v>
      </c>
      <c r="BD2278" s="3" t="s">
        <v>78</v>
      </c>
      <c r="BE2278" s="3" t="s">
        <v>23159</v>
      </c>
      <c r="BF2278" s="3" t="s">
        <v>23158</v>
      </c>
      <c r="BG2278" s="3" t="s">
        <v>23160</v>
      </c>
      <c r="BH2278">
        <f t="shared" si="57"/>
        <v>0</v>
      </c>
    </row>
    <row r="2279" spans="1:60" ht="58" x14ac:dyDescent="0.35">
      <c r="A2279" s="2" t="s">
        <v>59</v>
      </c>
      <c r="B2279" s="2" t="s">
        <v>60</v>
      </c>
      <c r="C2279" s="2" t="s">
        <v>23161</v>
      </c>
      <c r="D2279" s="2" t="s">
        <v>23162</v>
      </c>
      <c r="E2279" s="2" t="s">
        <v>23163</v>
      </c>
      <c r="G2279" s="3" t="s">
        <v>64</v>
      </c>
      <c r="I2279" s="3" t="s">
        <v>64</v>
      </c>
      <c r="J2279" s="3" t="s">
        <v>64</v>
      </c>
      <c r="K2279" s="3" t="s">
        <v>65</v>
      </c>
      <c r="L2279" s="2" t="s">
        <v>23164</v>
      </c>
      <c r="M2279" s="2" t="s">
        <v>18955</v>
      </c>
      <c r="N2279" s="3" t="s">
        <v>511</v>
      </c>
      <c r="P2279" s="3" t="s">
        <v>102</v>
      </c>
      <c r="Q2279" s="2" t="s">
        <v>23165</v>
      </c>
      <c r="R2279" s="3" t="s">
        <v>70</v>
      </c>
      <c r="S2279" s="4">
        <v>2</v>
      </c>
      <c r="T2279" s="4">
        <v>2</v>
      </c>
      <c r="U2279" s="5" t="s">
        <v>1102</v>
      </c>
      <c r="V2279" s="5" t="s">
        <v>1102</v>
      </c>
      <c r="W2279" s="5" t="s">
        <v>72</v>
      </c>
      <c r="X2279" s="5" t="s">
        <v>72</v>
      </c>
      <c r="Y2279" s="4">
        <v>214</v>
      </c>
      <c r="Z2279" s="4">
        <v>15</v>
      </c>
      <c r="AA2279" s="4">
        <v>19</v>
      </c>
      <c r="AB2279" s="4">
        <v>1</v>
      </c>
      <c r="AC2279" s="4">
        <v>3</v>
      </c>
      <c r="AD2279" s="4">
        <v>84</v>
      </c>
      <c r="AE2279" s="4">
        <v>94</v>
      </c>
      <c r="AF2279" s="4">
        <v>0</v>
      </c>
      <c r="AG2279" s="4">
        <v>2</v>
      </c>
      <c r="AH2279" s="4">
        <v>79</v>
      </c>
      <c r="AI2279" s="4">
        <v>86</v>
      </c>
      <c r="AJ2279" s="4">
        <v>10</v>
      </c>
      <c r="AK2279" s="4">
        <v>13</v>
      </c>
      <c r="AL2279" s="4">
        <v>37</v>
      </c>
      <c r="AM2279" s="4">
        <v>42</v>
      </c>
      <c r="AN2279" s="4">
        <v>0</v>
      </c>
      <c r="AO2279" s="4">
        <v>0</v>
      </c>
      <c r="AP2279" s="4">
        <v>13</v>
      </c>
      <c r="AQ2279" s="4">
        <v>16</v>
      </c>
      <c r="AR2279" s="3" t="s">
        <v>64</v>
      </c>
      <c r="AS2279" s="3" t="s">
        <v>64</v>
      </c>
      <c r="AT2279" s="3" t="s">
        <v>64</v>
      </c>
      <c r="AV2279" s="6" t="str">
        <f>HYPERLINK("http://mcgill.on.worldcat.org/oclc/668239656","Catalog Record")</f>
        <v>Catalog Record</v>
      </c>
      <c r="AW2279" s="6" t="str">
        <f>HYPERLINK("http://www.worldcat.org/oclc/668239656","WorldCat Record")</f>
        <v>WorldCat Record</v>
      </c>
      <c r="AX2279" s="3" t="s">
        <v>23166</v>
      </c>
      <c r="AY2279" s="3" t="s">
        <v>23167</v>
      </c>
      <c r="AZ2279" s="3" t="s">
        <v>23168</v>
      </c>
      <c r="BA2279" s="3" t="s">
        <v>23168</v>
      </c>
      <c r="BB2279" s="3" t="s">
        <v>23169</v>
      </c>
      <c r="BC2279" s="3" t="s">
        <v>77</v>
      </c>
      <c r="BD2279" s="3" t="s">
        <v>78</v>
      </c>
      <c r="BE2279" s="3" t="s">
        <v>23170</v>
      </c>
      <c r="BF2279" s="3" t="s">
        <v>23169</v>
      </c>
      <c r="BG2279" s="3" t="s">
        <v>23171</v>
      </c>
      <c r="BH2279">
        <f t="shared" si="57"/>
        <v>0</v>
      </c>
    </row>
    <row r="2280" spans="1:60" ht="58" x14ac:dyDescent="0.35">
      <c r="A2280" s="2" t="s">
        <v>59</v>
      </c>
      <c r="B2280" s="2" t="s">
        <v>60</v>
      </c>
      <c r="C2280" s="2" t="s">
        <v>23172</v>
      </c>
      <c r="D2280" s="2" t="s">
        <v>23173</v>
      </c>
      <c r="E2280" s="2" t="s">
        <v>23174</v>
      </c>
      <c r="G2280" s="3" t="s">
        <v>64</v>
      </c>
      <c r="I2280" s="3" t="s">
        <v>64</v>
      </c>
      <c r="J2280" s="3" t="s">
        <v>64</v>
      </c>
      <c r="K2280" s="3" t="s">
        <v>65</v>
      </c>
      <c r="L2280" s="2" t="s">
        <v>23175</v>
      </c>
      <c r="M2280" s="2" t="s">
        <v>21980</v>
      </c>
      <c r="N2280" s="3" t="s">
        <v>392</v>
      </c>
      <c r="P2280" s="3" t="s">
        <v>102</v>
      </c>
      <c r="R2280" s="3" t="s">
        <v>70</v>
      </c>
      <c r="S2280" s="4">
        <v>1</v>
      </c>
      <c r="T2280" s="4">
        <v>1</v>
      </c>
      <c r="U2280" s="5" t="s">
        <v>11403</v>
      </c>
      <c r="V2280" s="5" t="s">
        <v>11403</v>
      </c>
      <c r="W2280" s="5" t="s">
        <v>72</v>
      </c>
      <c r="X2280" s="5" t="s">
        <v>72</v>
      </c>
      <c r="Y2280" s="4">
        <v>324</v>
      </c>
      <c r="Z2280" s="4">
        <v>10</v>
      </c>
      <c r="AA2280" s="4">
        <v>91</v>
      </c>
      <c r="AB2280" s="4">
        <v>1</v>
      </c>
      <c r="AC2280" s="4">
        <v>17</v>
      </c>
      <c r="AD2280" s="4">
        <v>86</v>
      </c>
      <c r="AE2280" s="4">
        <v>128</v>
      </c>
      <c r="AF2280" s="4">
        <v>0</v>
      </c>
      <c r="AG2280" s="4">
        <v>8</v>
      </c>
      <c r="AH2280" s="4">
        <v>80</v>
      </c>
      <c r="AI2280" s="4">
        <v>94</v>
      </c>
      <c r="AJ2280" s="4">
        <v>7</v>
      </c>
      <c r="AK2280" s="4">
        <v>18</v>
      </c>
      <c r="AL2280" s="4">
        <v>42</v>
      </c>
      <c r="AM2280" s="4">
        <v>48</v>
      </c>
      <c r="AN2280" s="4">
        <v>0</v>
      </c>
      <c r="AO2280" s="4">
        <v>0</v>
      </c>
      <c r="AP2280" s="4">
        <v>8</v>
      </c>
      <c r="AQ2280" s="4">
        <v>40</v>
      </c>
      <c r="AR2280" s="3" t="s">
        <v>64</v>
      </c>
      <c r="AS2280" s="3" t="s">
        <v>64</v>
      </c>
      <c r="AT2280" s="3" t="s">
        <v>64</v>
      </c>
      <c r="AV2280" s="6" t="str">
        <f>HYPERLINK("http://mcgill.on.worldcat.org/oclc/40776882","Catalog Record")</f>
        <v>Catalog Record</v>
      </c>
      <c r="AW2280" s="6" t="str">
        <f>HYPERLINK("http://www.worldcat.org/oclc/40776882","WorldCat Record")</f>
        <v>WorldCat Record</v>
      </c>
      <c r="AX2280" s="3" t="s">
        <v>23176</v>
      </c>
      <c r="AY2280" s="3" t="s">
        <v>23177</v>
      </c>
      <c r="AZ2280" s="3" t="s">
        <v>23178</v>
      </c>
      <c r="BA2280" s="3" t="s">
        <v>23178</v>
      </c>
      <c r="BB2280" s="3" t="s">
        <v>23179</v>
      </c>
      <c r="BC2280" s="3" t="s">
        <v>77</v>
      </c>
      <c r="BD2280" s="3" t="s">
        <v>78</v>
      </c>
      <c r="BE2280" s="3" t="s">
        <v>23180</v>
      </c>
      <c r="BF2280" s="3" t="s">
        <v>23179</v>
      </c>
      <c r="BG2280" s="3" t="s">
        <v>23181</v>
      </c>
      <c r="BH2280">
        <f t="shared" si="57"/>
        <v>0</v>
      </c>
    </row>
    <row r="2281" spans="1:60" ht="72.5" x14ac:dyDescent="0.35">
      <c r="A2281" s="2" t="s">
        <v>59</v>
      </c>
      <c r="B2281" s="2" t="s">
        <v>60</v>
      </c>
      <c r="C2281" s="2" t="s">
        <v>23182</v>
      </c>
      <c r="D2281" s="2" t="s">
        <v>23183</v>
      </c>
      <c r="E2281" s="2" t="s">
        <v>23184</v>
      </c>
      <c r="G2281" s="3" t="s">
        <v>64</v>
      </c>
      <c r="I2281" s="3" t="s">
        <v>64</v>
      </c>
      <c r="J2281" s="3" t="s">
        <v>64</v>
      </c>
      <c r="K2281" s="3" t="s">
        <v>65</v>
      </c>
      <c r="M2281" s="2" t="s">
        <v>23185</v>
      </c>
      <c r="N2281" s="3" t="s">
        <v>253</v>
      </c>
      <c r="P2281" s="3" t="s">
        <v>102</v>
      </c>
      <c r="R2281" s="3" t="s">
        <v>70</v>
      </c>
      <c r="S2281" s="4">
        <v>4</v>
      </c>
      <c r="T2281" s="4">
        <v>4</v>
      </c>
      <c r="U2281" s="5" t="s">
        <v>11403</v>
      </c>
      <c r="V2281" s="5" t="s">
        <v>11403</v>
      </c>
      <c r="W2281" s="5" t="s">
        <v>72</v>
      </c>
      <c r="X2281" s="5" t="s">
        <v>72</v>
      </c>
      <c r="Y2281" s="4">
        <v>259</v>
      </c>
      <c r="Z2281" s="4">
        <v>16</v>
      </c>
      <c r="AA2281" s="4">
        <v>20</v>
      </c>
      <c r="AB2281" s="4">
        <v>2</v>
      </c>
      <c r="AC2281" s="4">
        <v>5</v>
      </c>
      <c r="AD2281" s="4">
        <v>77</v>
      </c>
      <c r="AE2281" s="4">
        <v>80</v>
      </c>
      <c r="AF2281" s="4">
        <v>1</v>
      </c>
      <c r="AG2281" s="4">
        <v>1</v>
      </c>
      <c r="AH2281" s="4">
        <v>69</v>
      </c>
      <c r="AI2281" s="4">
        <v>72</v>
      </c>
      <c r="AJ2281" s="4">
        <v>11</v>
      </c>
      <c r="AK2281" s="4">
        <v>12</v>
      </c>
      <c r="AL2281" s="4">
        <v>42</v>
      </c>
      <c r="AM2281" s="4">
        <v>43</v>
      </c>
      <c r="AN2281" s="4">
        <v>0</v>
      </c>
      <c r="AO2281" s="4">
        <v>0</v>
      </c>
      <c r="AP2281" s="4">
        <v>13</v>
      </c>
      <c r="AQ2281" s="4">
        <v>14</v>
      </c>
      <c r="AR2281" s="3" t="s">
        <v>64</v>
      </c>
      <c r="AS2281" s="3" t="s">
        <v>64</v>
      </c>
      <c r="AT2281" s="3" t="s">
        <v>64</v>
      </c>
      <c r="AV2281" s="6" t="str">
        <f>HYPERLINK("http://mcgill.on.worldcat.org/oclc/922220265","Catalog Record")</f>
        <v>Catalog Record</v>
      </c>
      <c r="AW2281" s="6" t="str">
        <f>HYPERLINK("http://www.worldcat.org/oclc/922220265","WorldCat Record")</f>
        <v>WorldCat Record</v>
      </c>
      <c r="AX2281" s="3" t="s">
        <v>23186</v>
      </c>
      <c r="AY2281" s="3" t="s">
        <v>23187</v>
      </c>
      <c r="AZ2281" s="3" t="s">
        <v>23188</v>
      </c>
      <c r="BA2281" s="3" t="s">
        <v>23188</v>
      </c>
      <c r="BB2281" s="3" t="s">
        <v>23189</v>
      </c>
      <c r="BC2281" s="3" t="s">
        <v>77</v>
      </c>
      <c r="BD2281" s="3" t="s">
        <v>78</v>
      </c>
      <c r="BE2281" s="3" t="s">
        <v>23190</v>
      </c>
      <c r="BF2281" s="3" t="s">
        <v>23189</v>
      </c>
      <c r="BG2281" s="3" t="s">
        <v>23191</v>
      </c>
      <c r="BH2281">
        <f t="shared" si="57"/>
        <v>0</v>
      </c>
    </row>
    <row r="2282" spans="1:60" ht="58" x14ac:dyDescent="0.35">
      <c r="A2282" s="2" t="s">
        <v>59</v>
      </c>
      <c r="B2282" s="2" t="s">
        <v>60</v>
      </c>
      <c r="C2282" s="2" t="s">
        <v>23192</v>
      </c>
      <c r="D2282" s="2" t="s">
        <v>23193</v>
      </c>
      <c r="E2282" s="2" t="s">
        <v>23194</v>
      </c>
      <c r="G2282" s="3" t="s">
        <v>64</v>
      </c>
      <c r="I2282" s="3" t="s">
        <v>64</v>
      </c>
      <c r="J2282" s="3" t="s">
        <v>64</v>
      </c>
      <c r="K2282" s="3" t="s">
        <v>65</v>
      </c>
      <c r="L2282" s="2" t="s">
        <v>23195</v>
      </c>
      <c r="M2282" s="2" t="s">
        <v>16093</v>
      </c>
      <c r="N2282" s="3" t="s">
        <v>511</v>
      </c>
      <c r="P2282" s="3" t="s">
        <v>102</v>
      </c>
      <c r="R2282" s="3" t="s">
        <v>70</v>
      </c>
      <c r="S2282" s="4">
        <v>6</v>
      </c>
      <c r="T2282" s="4">
        <v>6</v>
      </c>
      <c r="U2282" s="5" t="s">
        <v>23196</v>
      </c>
      <c r="V2282" s="5" t="s">
        <v>23196</v>
      </c>
      <c r="W2282" s="5" t="s">
        <v>72</v>
      </c>
      <c r="X2282" s="5" t="s">
        <v>72</v>
      </c>
      <c r="Y2282" s="4">
        <v>104</v>
      </c>
      <c r="Z2282" s="4">
        <v>8</v>
      </c>
      <c r="AA2282" s="4">
        <v>38</v>
      </c>
      <c r="AB2282" s="4">
        <v>1</v>
      </c>
      <c r="AC2282" s="4">
        <v>6</v>
      </c>
      <c r="AD2282" s="4">
        <v>29</v>
      </c>
      <c r="AE2282" s="4">
        <v>40</v>
      </c>
      <c r="AF2282" s="4">
        <v>0</v>
      </c>
      <c r="AG2282" s="4">
        <v>0</v>
      </c>
      <c r="AH2282" s="4">
        <v>29</v>
      </c>
      <c r="AI2282" s="4">
        <v>38</v>
      </c>
      <c r="AJ2282" s="4">
        <v>5</v>
      </c>
      <c r="AK2282" s="4">
        <v>5</v>
      </c>
      <c r="AL2282" s="4">
        <v>13</v>
      </c>
      <c r="AM2282" s="4">
        <v>18</v>
      </c>
      <c r="AN2282" s="4">
        <v>0</v>
      </c>
      <c r="AO2282" s="4">
        <v>0</v>
      </c>
      <c r="AP2282" s="4">
        <v>6</v>
      </c>
      <c r="AQ2282" s="4">
        <v>8</v>
      </c>
      <c r="AR2282" s="3" t="s">
        <v>64</v>
      </c>
      <c r="AS2282" s="3" t="s">
        <v>64</v>
      </c>
      <c r="AT2282" s="3" t="s">
        <v>64</v>
      </c>
      <c r="AV2282" s="6" t="str">
        <f>HYPERLINK("http://mcgill.on.worldcat.org/oclc/422757094","Catalog Record")</f>
        <v>Catalog Record</v>
      </c>
      <c r="AW2282" s="6" t="str">
        <f>HYPERLINK("http://www.worldcat.org/oclc/422757094","WorldCat Record")</f>
        <v>WorldCat Record</v>
      </c>
      <c r="AX2282" s="3" t="s">
        <v>23197</v>
      </c>
      <c r="AY2282" s="3" t="s">
        <v>23198</v>
      </c>
      <c r="AZ2282" s="3" t="s">
        <v>23199</v>
      </c>
      <c r="BA2282" s="3" t="s">
        <v>23199</v>
      </c>
      <c r="BB2282" s="3" t="s">
        <v>23200</v>
      </c>
      <c r="BC2282" s="3" t="s">
        <v>77</v>
      </c>
      <c r="BD2282" s="3" t="s">
        <v>78</v>
      </c>
      <c r="BE2282" s="3" t="s">
        <v>23201</v>
      </c>
      <c r="BF2282" s="3" t="s">
        <v>23200</v>
      </c>
      <c r="BG2282" s="3" t="s">
        <v>23202</v>
      </c>
      <c r="BH2282">
        <f t="shared" si="57"/>
        <v>0</v>
      </c>
    </row>
    <row r="2283" spans="1:60" ht="58" x14ac:dyDescent="0.35">
      <c r="A2283" s="2" t="s">
        <v>59</v>
      </c>
      <c r="B2283" s="2" t="s">
        <v>60</v>
      </c>
      <c r="C2283" s="2" t="s">
        <v>23203</v>
      </c>
      <c r="D2283" s="2" t="s">
        <v>23204</v>
      </c>
      <c r="E2283" s="2" t="s">
        <v>23205</v>
      </c>
      <c r="G2283" s="3" t="s">
        <v>64</v>
      </c>
      <c r="I2283" s="3" t="s">
        <v>64</v>
      </c>
      <c r="J2283" s="3" t="s">
        <v>64</v>
      </c>
      <c r="K2283" s="3" t="s">
        <v>65</v>
      </c>
      <c r="L2283" s="2" t="s">
        <v>23206</v>
      </c>
      <c r="M2283" s="2" t="s">
        <v>23207</v>
      </c>
      <c r="N2283" s="3" t="s">
        <v>1075</v>
      </c>
      <c r="P2283" s="3" t="s">
        <v>102</v>
      </c>
      <c r="R2283" s="3" t="s">
        <v>70</v>
      </c>
      <c r="S2283" s="4">
        <v>0</v>
      </c>
      <c r="T2283" s="4">
        <v>0</v>
      </c>
      <c r="W2283" s="5" t="s">
        <v>72</v>
      </c>
      <c r="X2283" s="5" t="s">
        <v>72</v>
      </c>
      <c r="Y2283" s="4">
        <v>55</v>
      </c>
      <c r="Z2283" s="4">
        <v>7</v>
      </c>
      <c r="AA2283" s="4">
        <v>80</v>
      </c>
      <c r="AB2283" s="4">
        <v>1</v>
      </c>
      <c r="AC2283" s="4">
        <v>14</v>
      </c>
      <c r="AD2283" s="4">
        <v>15</v>
      </c>
      <c r="AE2283" s="4">
        <v>101</v>
      </c>
      <c r="AF2283" s="4">
        <v>0</v>
      </c>
      <c r="AG2283" s="4">
        <v>8</v>
      </c>
      <c r="AH2283" s="4">
        <v>14</v>
      </c>
      <c r="AI2283" s="4">
        <v>67</v>
      </c>
      <c r="AJ2283" s="4">
        <v>5</v>
      </c>
      <c r="AK2283" s="4">
        <v>20</v>
      </c>
      <c r="AL2283" s="4">
        <v>6</v>
      </c>
      <c r="AM2283" s="4">
        <v>33</v>
      </c>
      <c r="AN2283" s="4">
        <v>0</v>
      </c>
      <c r="AO2283" s="4">
        <v>0</v>
      </c>
      <c r="AP2283" s="4">
        <v>5</v>
      </c>
      <c r="AQ2283" s="4">
        <v>40</v>
      </c>
      <c r="AR2283" s="3" t="s">
        <v>64</v>
      </c>
      <c r="AS2283" s="3" t="s">
        <v>64</v>
      </c>
      <c r="AT2283" s="3" t="s">
        <v>64</v>
      </c>
      <c r="AV2283" s="6" t="str">
        <f>HYPERLINK("http://mcgill.on.worldcat.org/oclc/856547893","Catalog Record")</f>
        <v>Catalog Record</v>
      </c>
      <c r="AW2283" s="6" t="str">
        <f>HYPERLINK("http://www.worldcat.org/oclc/856547893","WorldCat Record")</f>
        <v>WorldCat Record</v>
      </c>
      <c r="AX2283" s="3" t="s">
        <v>23208</v>
      </c>
      <c r="AY2283" s="3" t="s">
        <v>23209</v>
      </c>
      <c r="AZ2283" s="3" t="s">
        <v>23210</v>
      </c>
      <c r="BA2283" s="3" t="s">
        <v>23210</v>
      </c>
      <c r="BB2283" s="3" t="s">
        <v>23211</v>
      </c>
      <c r="BC2283" s="3" t="s">
        <v>77</v>
      </c>
      <c r="BD2283" s="3" t="s">
        <v>78</v>
      </c>
      <c r="BE2283" s="3" t="s">
        <v>23212</v>
      </c>
      <c r="BF2283" s="3" t="s">
        <v>23211</v>
      </c>
      <c r="BG2283" s="3" t="s">
        <v>23213</v>
      </c>
      <c r="BH2283">
        <f t="shared" si="57"/>
        <v>0</v>
      </c>
    </row>
    <row r="2284" spans="1:60" ht="58" x14ac:dyDescent="0.35">
      <c r="A2284" s="2" t="s">
        <v>59</v>
      </c>
      <c r="B2284" s="2" t="s">
        <v>60</v>
      </c>
      <c r="C2284" s="2" t="s">
        <v>23214</v>
      </c>
      <c r="D2284" s="2" t="s">
        <v>23215</v>
      </c>
      <c r="E2284" s="2" t="s">
        <v>23216</v>
      </c>
      <c r="G2284" s="3" t="s">
        <v>64</v>
      </c>
      <c r="I2284" s="3" t="s">
        <v>64</v>
      </c>
      <c r="J2284" s="3" t="s">
        <v>64</v>
      </c>
      <c r="K2284" s="3" t="s">
        <v>65</v>
      </c>
      <c r="L2284" s="2" t="s">
        <v>18343</v>
      </c>
      <c r="M2284" s="2" t="s">
        <v>18859</v>
      </c>
      <c r="N2284" s="3" t="s">
        <v>291</v>
      </c>
      <c r="P2284" s="3" t="s">
        <v>102</v>
      </c>
      <c r="R2284" s="3" t="s">
        <v>70</v>
      </c>
      <c r="S2284" s="4">
        <v>3</v>
      </c>
      <c r="T2284" s="4">
        <v>3</v>
      </c>
      <c r="U2284" s="5" t="s">
        <v>20323</v>
      </c>
      <c r="V2284" s="5" t="s">
        <v>20323</v>
      </c>
      <c r="W2284" s="5" t="s">
        <v>72</v>
      </c>
      <c r="X2284" s="5" t="s">
        <v>72</v>
      </c>
      <c r="Y2284" s="4">
        <v>261</v>
      </c>
      <c r="Z2284" s="4">
        <v>16</v>
      </c>
      <c r="AA2284" s="4">
        <v>130</v>
      </c>
      <c r="AB2284" s="4">
        <v>2</v>
      </c>
      <c r="AC2284" s="4">
        <v>19</v>
      </c>
      <c r="AD2284" s="4">
        <v>52</v>
      </c>
      <c r="AE2284" s="4">
        <v>123</v>
      </c>
      <c r="AF2284" s="4">
        <v>0</v>
      </c>
      <c r="AG2284" s="4">
        <v>8</v>
      </c>
      <c r="AH2284" s="4">
        <v>48</v>
      </c>
      <c r="AI2284" s="4">
        <v>82</v>
      </c>
      <c r="AJ2284" s="4">
        <v>7</v>
      </c>
      <c r="AK2284" s="4">
        <v>21</v>
      </c>
      <c r="AL2284" s="4">
        <v>20</v>
      </c>
      <c r="AM2284" s="4">
        <v>40</v>
      </c>
      <c r="AN2284" s="4">
        <v>0</v>
      </c>
      <c r="AO2284" s="4">
        <v>0</v>
      </c>
      <c r="AP2284" s="4">
        <v>10</v>
      </c>
      <c r="AQ2284" s="4">
        <v>46</v>
      </c>
      <c r="AR2284" s="3" t="s">
        <v>64</v>
      </c>
      <c r="AS2284" s="3" t="s">
        <v>64</v>
      </c>
      <c r="AT2284" s="3" t="s">
        <v>64</v>
      </c>
      <c r="AV2284" s="6" t="str">
        <f>HYPERLINK("http://mcgill.on.worldcat.org/oclc/70334909","Catalog Record")</f>
        <v>Catalog Record</v>
      </c>
      <c r="AW2284" s="6" t="str">
        <f>HYPERLINK("http://www.worldcat.org/oclc/70334909","WorldCat Record")</f>
        <v>WorldCat Record</v>
      </c>
      <c r="AX2284" s="3" t="s">
        <v>23217</v>
      </c>
      <c r="AY2284" s="3" t="s">
        <v>23218</v>
      </c>
      <c r="AZ2284" s="3" t="s">
        <v>23219</v>
      </c>
      <c r="BA2284" s="3" t="s">
        <v>23219</v>
      </c>
      <c r="BB2284" s="3" t="s">
        <v>23220</v>
      </c>
      <c r="BC2284" s="3" t="s">
        <v>77</v>
      </c>
      <c r="BD2284" s="3" t="s">
        <v>78</v>
      </c>
      <c r="BE2284" s="3" t="s">
        <v>23221</v>
      </c>
      <c r="BF2284" s="3" t="s">
        <v>23220</v>
      </c>
      <c r="BG2284" s="3" t="s">
        <v>23222</v>
      </c>
      <c r="BH2284">
        <f t="shared" si="57"/>
        <v>0</v>
      </c>
    </row>
    <row r="2285" spans="1:60" ht="72.5" x14ac:dyDescent="0.35">
      <c r="A2285" s="2" t="s">
        <v>59</v>
      </c>
      <c r="B2285" s="2" t="s">
        <v>60</v>
      </c>
      <c r="C2285" s="2" t="s">
        <v>23223</v>
      </c>
      <c r="D2285" s="2" t="s">
        <v>23224</v>
      </c>
      <c r="E2285" s="2" t="s">
        <v>23225</v>
      </c>
      <c r="G2285" s="3" t="s">
        <v>64</v>
      </c>
      <c r="I2285" s="3" t="s">
        <v>64</v>
      </c>
      <c r="J2285" s="3" t="s">
        <v>64</v>
      </c>
      <c r="K2285" s="3" t="s">
        <v>65</v>
      </c>
      <c r="L2285" s="2" t="s">
        <v>23226</v>
      </c>
      <c r="M2285" s="2" t="s">
        <v>23227</v>
      </c>
      <c r="N2285" s="3" t="s">
        <v>1075</v>
      </c>
      <c r="P2285" s="3" t="s">
        <v>102</v>
      </c>
      <c r="R2285" s="3" t="s">
        <v>70</v>
      </c>
      <c r="S2285" s="4">
        <v>0</v>
      </c>
      <c r="T2285" s="4">
        <v>0</v>
      </c>
      <c r="W2285" s="5" t="s">
        <v>72</v>
      </c>
      <c r="X2285" s="5" t="s">
        <v>72</v>
      </c>
      <c r="Y2285" s="4">
        <v>125</v>
      </c>
      <c r="Z2285" s="4">
        <v>6</v>
      </c>
      <c r="AA2285" s="4">
        <v>98</v>
      </c>
      <c r="AB2285" s="4">
        <v>1</v>
      </c>
      <c r="AC2285" s="4">
        <v>15</v>
      </c>
      <c r="AD2285" s="4">
        <v>37</v>
      </c>
      <c r="AE2285" s="4">
        <v>98</v>
      </c>
      <c r="AF2285" s="4">
        <v>0</v>
      </c>
      <c r="AG2285" s="4">
        <v>8</v>
      </c>
      <c r="AH2285" s="4">
        <v>37</v>
      </c>
      <c r="AI2285" s="4">
        <v>64</v>
      </c>
      <c r="AJ2285" s="4">
        <v>4</v>
      </c>
      <c r="AK2285" s="4">
        <v>18</v>
      </c>
      <c r="AL2285" s="4">
        <v>14</v>
      </c>
      <c r="AM2285" s="4">
        <v>29</v>
      </c>
      <c r="AN2285" s="4">
        <v>0</v>
      </c>
      <c r="AO2285" s="4">
        <v>0</v>
      </c>
      <c r="AP2285" s="4">
        <v>4</v>
      </c>
      <c r="AQ2285" s="4">
        <v>40</v>
      </c>
      <c r="AR2285" s="3" t="s">
        <v>64</v>
      </c>
      <c r="AS2285" s="3" t="s">
        <v>64</v>
      </c>
      <c r="AT2285" s="3" t="s">
        <v>64</v>
      </c>
      <c r="AV2285" s="6" t="str">
        <f>HYPERLINK("http://mcgill.on.worldcat.org/oclc/817721638","Catalog Record")</f>
        <v>Catalog Record</v>
      </c>
      <c r="AW2285" s="6" t="str">
        <f>HYPERLINK("http://www.worldcat.org/oclc/817721638","WorldCat Record")</f>
        <v>WorldCat Record</v>
      </c>
      <c r="AX2285" s="3" t="s">
        <v>23228</v>
      </c>
      <c r="AY2285" s="3" t="s">
        <v>23229</v>
      </c>
      <c r="AZ2285" s="3" t="s">
        <v>23230</v>
      </c>
      <c r="BA2285" s="3" t="s">
        <v>23230</v>
      </c>
      <c r="BB2285" s="3" t="s">
        <v>23231</v>
      </c>
      <c r="BC2285" s="3" t="s">
        <v>77</v>
      </c>
      <c r="BD2285" s="3" t="s">
        <v>78</v>
      </c>
      <c r="BE2285" s="3" t="s">
        <v>23232</v>
      </c>
      <c r="BF2285" s="3" t="s">
        <v>23231</v>
      </c>
      <c r="BG2285" s="3" t="s">
        <v>23233</v>
      </c>
      <c r="BH2285">
        <f t="shared" si="57"/>
        <v>0</v>
      </c>
    </row>
    <row r="2286" spans="1:60" ht="58" x14ac:dyDescent="0.35">
      <c r="A2286" s="2" t="s">
        <v>59</v>
      </c>
      <c r="B2286" s="2" t="s">
        <v>60</v>
      </c>
      <c r="C2286" s="2" t="s">
        <v>23234</v>
      </c>
      <c r="D2286" s="2" t="s">
        <v>23235</v>
      </c>
      <c r="E2286" s="2" t="s">
        <v>23236</v>
      </c>
      <c r="G2286" s="3" t="s">
        <v>64</v>
      </c>
      <c r="I2286" s="3" t="s">
        <v>64</v>
      </c>
      <c r="J2286" s="3" t="s">
        <v>64</v>
      </c>
      <c r="K2286" s="3" t="s">
        <v>65</v>
      </c>
      <c r="M2286" s="2" t="s">
        <v>18629</v>
      </c>
      <c r="N2286" s="3" t="s">
        <v>551</v>
      </c>
      <c r="P2286" s="3" t="s">
        <v>102</v>
      </c>
      <c r="R2286" s="3" t="s">
        <v>70</v>
      </c>
      <c r="S2286" s="4">
        <v>4</v>
      </c>
      <c r="T2286" s="4">
        <v>4</v>
      </c>
      <c r="U2286" s="5" t="s">
        <v>21451</v>
      </c>
      <c r="V2286" s="5" t="s">
        <v>21451</v>
      </c>
      <c r="W2286" s="5" t="s">
        <v>72</v>
      </c>
      <c r="X2286" s="5" t="s">
        <v>72</v>
      </c>
      <c r="Y2286" s="4">
        <v>84</v>
      </c>
      <c r="Z2286" s="4">
        <v>6</v>
      </c>
      <c r="AA2286" s="4">
        <v>8</v>
      </c>
      <c r="AB2286" s="4">
        <v>1</v>
      </c>
      <c r="AC2286" s="4">
        <v>2</v>
      </c>
      <c r="AD2286" s="4">
        <v>21</v>
      </c>
      <c r="AE2286" s="4">
        <v>23</v>
      </c>
      <c r="AF2286" s="4">
        <v>0</v>
      </c>
      <c r="AG2286" s="4">
        <v>1</v>
      </c>
      <c r="AH2286" s="4">
        <v>19</v>
      </c>
      <c r="AI2286" s="4">
        <v>20</v>
      </c>
      <c r="AJ2286" s="4">
        <v>5</v>
      </c>
      <c r="AK2286" s="4">
        <v>7</v>
      </c>
      <c r="AL2286" s="4">
        <v>11</v>
      </c>
      <c r="AM2286" s="4">
        <v>11</v>
      </c>
      <c r="AN2286" s="4">
        <v>0</v>
      </c>
      <c r="AO2286" s="4">
        <v>0</v>
      </c>
      <c r="AP2286" s="4">
        <v>5</v>
      </c>
      <c r="AQ2286" s="4">
        <v>7</v>
      </c>
      <c r="AR2286" s="3" t="s">
        <v>64</v>
      </c>
      <c r="AS2286" s="3" t="s">
        <v>64</v>
      </c>
      <c r="AT2286" s="3" t="s">
        <v>64</v>
      </c>
      <c r="AV2286" s="6" t="str">
        <f>HYPERLINK("http://mcgill.on.worldcat.org/oclc/181910123","Catalog Record")</f>
        <v>Catalog Record</v>
      </c>
      <c r="AW2286" s="6" t="str">
        <f>HYPERLINK("http://www.worldcat.org/oclc/181910123","WorldCat Record")</f>
        <v>WorldCat Record</v>
      </c>
      <c r="AX2286" s="3" t="s">
        <v>23237</v>
      </c>
      <c r="AY2286" s="3" t="s">
        <v>23238</v>
      </c>
      <c r="AZ2286" s="3" t="s">
        <v>23239</v>
      </c>
      <c r="BA2286" s="3" t="s">
        <v>23239</v>
      </c>
      <c r="BB2286" s="3" t="s">
        <v>23240</v>
      </c>
      <c r="BC2286" s="3" t="s">
        <v>77</v>
      </c>
      <c r="BD2286" s="3" t="s">
        <v>78</v>
      </c>
      <c r="BE2286" s="3" t="s">
        <v>23241</v>
      </c>
      <c r="BF2286" s="3" t="s">
        <v>23240</v>
      </c>
      <c r="BG2286" s="3" t="s">
        <v>23242</v>
      </c>
      <c r="BH2286">
        <f t="shared" si="57"/>
        <v>0</v>
      </c>
    </row>
    <row r="2287" spans="1:60" ht="58" x14ac:dyDescent="0.35">
      <c r="A2287" s="2" t="s">
        <v>59</v>
      </c>
      <c r="B2287" s="2" t="s">
        <v>60</v>
      </c>
      <c r="C2287" s="2" t="s">
        <v>23243</v>
      </c>
      <c r="D2287" s="2" t="s">
        <v>23244</v>
      </c>
      <c r="E2287" s="2" t="s">
        <v>23245</v>
      </c>
      <c r="G2287" s="3" t="s">
        <v>64</v>
      </c>
      <c r="I2287" s="3" t="s">
        <v>64</v>
      </c>
      <c r="J2287" s="3" t="s">
        <v>64</v>
      </c>
      <c r="K2287" s="3" t="s">
        <v>65</v>
      </c>
      <c r="L2287" s="2" t="s">
        <v>23059</v>
      </c>
      <c r="M2287" s="2" t="s">
        <v>16911</v>
      </c>
      <c r="N2287" s="3" t="s">
        <v>1075</v>
      </c>
      <c r="P2287" s="3" t="s">
        <v>102</v>
      </c>
      <c r="R2287" s="3" t="s">
        <v>70</v>
      </c>
      <c r="S2287" s="4">
        <v>2</v>
      </c>
      <c r="T2287" s="4">
        <v>2</v>
      </c>
      <c r="U2287" s="5" t="s">
        <v>1386</v>
      </c>
      <c r="V2287" s="5" t="s">
        <v>1386</v>
      </c>
      <c r="W2287" s="5" t="s">
        <v>72</v>
      </c>
      <c r="X2287" s="5" t="s">
        <v>72</v>
      </c>
      <c r="Y2287" s="4">
        <v>430</v>
      </c>
      <c r="Z2287" s="4">
        <v>18</v>
      </c>
      <c r="AA2287" s="4">
        <v>82</v>
      </c>
      <c r="AB2287" s="4">
        <v>1</v>
      </c>
      <c r="AC2287" s="4">
        <v>15</v>
      </c>
      <c r="AD2287" s="4">
        <v>74</v>
      </c>
      <c r="AE2287" s="4">
        <v>124</v>
      </c>
      <c r="AF2287" s="4">
        <v>0</v>
      </c>
      <c r="AG2287" s="4">
        <v>8</v>
      </c>
      <c r="AH2287" s="4">
        <v>67</v>
      </c>
      <c r="AI2287" s="4">
        <v>89</v>
      </c>
      <c r="AJ2287" s="4">
        <v>9</v>
      </c>
      <c r="AK2287" s="4">
        <v>22</v>
      </c>
      <c r="AL2287" s="4">
        <v>28</v>
      </c>
      <c r="AM2287" s="4">
        <v>41</v>
      </c>
      <c r="AN2287" s="4">
        <v>0</v>
      </c>
      <c r="AO2287" s="4">
        <v>0</v>
      </c>
      <c r="AP2287" s="4">
        <v>12</v>
      </c>
      <c r="AQ2287" s="4">
        <v>43</v>
      </c>
      <c r="AR2287" s="3" t="s">
        <v>64</v>
      </c>
      <c r="AS2287" s="3" t="s">
        <v>64</v>
      </c>
      <c r="AT2287" s="3" t="s">
        <v>64</v>
      </c>
      <c r="AV2287" s="6" t="str">
        <f>HYPERLINK("http://mcgill.on.worldcat.org/oclc/778965989","Catalog Record")</f>
        <v>Catalog Record</v>
      </c>
      <c r="AW2287" s="6" t="str">
        <f>HYPERLINK("http://www.worldcat.org/oclc/778965989","WorldCat Record")</f>
        <v>WorldCat Record</v>
      </c>
      <c r="AX2287" s="3" t="s">
        <v>23246</v>
      </c>
      <c r="AY2287" s="3" t="s">
        <v>23247</v>
      </c>
      <c r="AZ2287" s="3" t="s">
        <v>23248</v>
      </c>
      <c r="BA2287" s="3" t="s">
        <v>23248</v>
      </c>
      <c r="BB2287" s="3" t="s">
        <v>23249</v>
      </c>
      <c r="BC2287" s="3" t="s">
        <v>77</v>
      </c>
      <c r="BD2287" s="3" t="s">
        <v>78</v>
      </c>
      <c r="BE2287" s="3" t="s">
        <v>23250</v>
      </c>
      <c r="BF2287" s="3" t="s">
        <v>23249</v>
      </c>
      <c r="BG2287" s="3" t="s">
        <v>23251</v>
      </c>
      <c r="BH2287">
        <f t="shared" si="57"/>
        <v>0</v>
      </c>
    </row>
    <row r="2288" spans="1:60" ht="58" x14ac:dyDescent="0.35">
      <c r="A2288" s="2" t="s">
        <v>59</v>
      </c>
      <c r="B2288" s="2" t="s">
        <v>60</v>
      </c>
      <c r="C2288" s="2" t="s">
        <v>23252</v>
      </c>
      <c r="D2288" s="2" t="s">
        <v>23253</v>
      </c>
      <c r="E2288" s="2" t="s">
        <v>23254</v>
      </c>
      <c r="G2288" s="3" t="s">
        <v>64</v>
      </c>
      <c r="I2288" s="3" t="s">
        <v>64</v>
      </c>
      <c r="J2288" s="3" t="s">
        <v>128</v>
      </c>
      <c r="K2288" s="3" t="s">
        <v>65</v>
      </c>
      <c r="L2288" s="2" t="s">
        <v>23255</v>
      </c>
      <c r="M2288" s="2" t="s">
        <v>14044</v>
      </c>
      <c r="N2288" s="3" t="s">
        <v>326</v>
      </c>
      <c r="O2288" s="2" t="s">
        <v>172</v>
      </c>
      <c r="P2288" s="3" t="s">
        <v>102</v>
      </c>
      <c r="Q2288" s="2" t="s">
        <v>14045</v>
      </c>
      <c r="R2288" s="3" t="s">
        <v>70</v>
      </c>
      <c r="S2288" s="4">
        <v>1</v>
      </c>
      <c r="T2288" s="4">
        <v>1</v>
      </c>
      <c r="U2288" s="5" t="s">
        <v>23256</v>
      </c>
      <c r="V2288" s="5" t="s">
        <v>23256</v>
      </c>
      <c r="W2288" s="5" t="s">
        <v>72</v>
      </c>
      <c r="X2288" s="5" t="s">
        <v>72</v>
      </c>
      <c r="Y2288" s="4">
        <v>389</v>
      </c>
      <c r="Z2288" s="4">
        <v>12</v>
      </c>
      <c r="AA2288" s="4">
        <v>108</v>
      </c>
      <c r="AB2288" s="4">
        <v>1</v>
      </c>
      <c r="AC2288" s="4">
        <v>20</v>
      </c>
      <c r="AD2288" s="4">
        <v>41</v>
      </c>
      <c r="AE2288" s="4">
        <v>128</v>
      </c>
      <c r="AF2288" s="4">
        <v>0</v>
      </c>
      <c r="AG2288" s="4">
        <v>8</v>
      </c>
      <c r="AH2288" s="4">
        <v>40</v>
      </c>
      <c r="AI2288" s="4">
        <v>93</v>
      </c>
      <c r="AJ2288" s="4">
        <v>4</v>
      </c>
      <c r="AK2288" s="4">
        <v>18</v>
      </c>
      <c r="AL2288" s="4">
        <v>21</v>
      </c>
      <c r="AM2288" s="4">
        <v>48</v>
      </c>
      <c r="AN2288" s="4">
        <v>0</v>
      </c>
      <c r="AO2288" s="4">
        <v>0</v>
      </c>
      <c r="AP2288" s="4">
        <v>4</v>
      </c>
      <c r="AQ2288" s="4">
        <v>40</v>
      </c>
      <c r="AR2288" s="3" t="s">
        <v>64</v>
      </c>
      <c r="AS2288" s="3" t="s">
        <v>64</v>
      </c>
      <c r="AT2288" s="3" t="s">
        <v>64</v>
      </c>
      <c r="AV2288" s="6" t="str">
        <f>HYPERLINK("http://mcgill.on.worldcat.org/oclc/607318986","Catalog Record")</f>
        <v>Catalog Record</v>
      </c>
      <c r="AW2288" s="6" t="str">
        <f>HYPERLINK("http://www.worldcat.org/oclc/607318986","WorldCat Record")</f>
        <v>WorldCat Record</v>
      </c>
      <c r="AX2288" s="3" t="s">
        <v>23257</v>
      </c>
      <c r="AY2288" s="3" t="s">
        <v>23258</v>
      </c>
      <c r="AZ2288" s="3" t="s">
        <v>23259</v>
      </c>
      <c r="BA2288" s="3" t="s">
        <v>23259</v>
      </c>
      <c r="BB2288" s="3" t="s">
        <v>23260</v>
      </c>
      <c r="BC2288" s="3" t="s">
        <v>77</v>
      </c>
      <c r="BD2288" s="3" t="s">
        <v>78</v>
      </c>
      <c r="BE2288" s="3" t="s">
        <v>23261</v>
      </c>
      <c r="BF2288" s="3" t="s">
        <v>23260</v>
      </c>
      <c r="BG2288" s="3" t="s">
        <v>23262</v>
      </c>
      <c r="BH2288">
        <f t="shared" si="57"/>
        <v>0</v>
      </c>
    </row>
    <row r="2289" spans="1:60" ht="58" x14ac:dyDescent="0.35">
      <c r="A2289" s="2" t="s">
        <v>59</v>
      </c>
      <c r="B2289" s="2" t="s">
        <v>60</v>
      </c>
      <c r="C2289" s="2" t="s">
        <v>23263</v>
      </c>
      <c r="D2289" s="2" t="s">
        <v>23264</v>
      </c>
      <c r="E2289" s="2" t="s">
        <v>23265</v>
      </c>
      <c r="G2289" s="3" t="s">
        <v>64</v>
      </c>
      <c r="I2289" s="3" t="s">
        <v>64</v>
      </c>
      <c r="J2289" s="3" t="s">
        <v>64</v>
      </c>
      <c r="K2289" s="3" t="s">
        <v>65</v>
      </c>
      <c r="L2289" s="2" t="s">
        <v>23266</v>
      </c>
      <c r="M2289" s="2" t="s">
        <v>23267</v>
      </c>
      <c r="N2289" s="3" t="s">
        <v>1031</v>
      </c>
      <c r="P2289" s="3" t="s">
        <v>102</v>
      </c>
      <c r="R2289" s="3" t="s">
        <v>70</v>
      </c>
      <c r="S2289" s="4">
        <v>14</v>
      </c>
      <c r="T2289" s="4">
        <v>14</v>
      </c>
      <c r="U2289" s="5" t="s">
        <v>5637</v>
      </c>
      <c r="V2289" s="5" t="s">
        <v>5637</v>
      </c>
      <c r="W2289" s="5" t="s">
        <v>72</v>
      </c>
      <c r="X2289" s="5" t="s">
        <v>72</v>
      </c>
      <c r="Y2289" s="4">
        <v>226</v>
      </c>
      <c r="Z2289" s="4">
        <v>14</v>
      </c>
      <c r="AA2289" s="4">
        <v>15</v>
      </c>
      <c r="AB2289" s="4">
        <v>2</v>
      </c>
      <c r="AC2289" s="4">
        <v>3</v>
      </c>
      <c r="AD2289" s="4">
        <v>86</v>
      </c>
      <c r="AE2289" s="4">
        <v>88</v>
      </c>
      <c r="AF2289" s="4">
        <v>1</v>
      </c>
      <c r="AG2289" s="4">
        <v>2</v>
      </c>
      <c r="AH2289" s="4">
        <v>79</v>
      </c>
      <c r="AI2289" s="4">
        <v>80</v>
      </c>
      <c r="AJ2289" s="4">
        <v>10</v>
      </c>
      <c r="AK2289" s="4">
        <v>11</v>
      </c>
      <c r="AL2289" s="4">
        <v>43</v>
      </c>
      <c r="AM2289" s="4">
        <v>43</v>
      </c>
      <c r="AN2289" s="4">
        <v>0</v>
      </c>
      <c r="AO2289" s="4">
        <v>0</v>
      </c>
      <c r="AP2289" s="4">
        <v>11</v>
      </c>
      <c r="AQ2289" s="4">
        <v>11</v>
      </c>
      <c r="AR2289" s="3" t="s">
        <v>64</v>
      </c>
      <c r="AS2289" s="3" t="s">
        <v>64</v>
      </c>
      <c r="AT2289" s="3" t="s">
        <v>128</v>
      </c>
      <c r="AU2289" s="6" t="str">
        <f>HYPERLINK("http://catalog.hathitrust.org/Record/002557724","HathiTrust Record")</f>
        <v>HathiTrust Record</v>
      </c>
      <c r="AV2289" s="6" t="str">
        <f>HYPERLINK("http://mcgill.on.worldcat.org/oclc/25548113","Catalog Record")</f>
        <v>Catalog Record</v>
      </c>
      <c r="AW2289" s="6" t="str">
        <f>HYPERLINK("http://www.worldcat.org/oclc/25548113","WorldCat Record")</f>
        <v>WorldCat Record</v>
      </c>
      <c r="AX2289" s="3" t="s">
        <v>23268</v>
      </c>
      <c r="AY2289" s="3" t="s">
        <v>23269</v>
      </c>
      <c r="AZ2289" s="3" t="s">
        <v>23270</v>
      </c>
      <c r="BA2289" s="3" t="s">
        <v>23270</v>
      </c>
      <c r="BB2289" s="3" t="s">
        <v>23271</v>
      </c>
      <c r="BC2289" s="3" t="s">
        <v>77</v>
      </c>
      <c r="BD2289" s="3" t="s">
        <v>78</v>
      </c>
      <c r="BE2289" s="3" t="s">
        <v>23272</v>
      </c>
      <c r="BF2289" s="3" t="s">
        <v>23271</v>
      </c>
      <c r="BG2289" s="3" t="s">
        <v>23273</v>
      </c>
      <c r="BH2289">
        <f t="shared" si="57"/>
        <v>0</v>
      </c>
    </row>
    <row r="2290" spans="1:60" ht="58" x14ac:dyDescent="0.35">
      <c r="A2290" s="2" t="s">
        <v>59</v>
      </c>
      <c r="B2290" s="2" t="s">
        <v>60</v>
      </c>
      <c r="C2290" s="2" t="s">
        <v>23274</v>
      </c>
      <c r="D2290" s="2" t="s">
        <v>23275</v>
      </c>
      <c r="E2290" s="2" t="s">
        <v>23276</v>
      </c>
      <c r="G2290" s="3" t="s">
        <v>64</v>
      </c>
      <c r="I2290" s="3" t="s">
        <v>64</v>
      </c>
      <c r="J2290" s="3" t="s">
        <v>64</v>
      </c>
      <c r="K2290" s="3" t="s">
        <v>65</v>
      </c>
      <c r="L2290" s="2" t="s">
        <v>23277</v>
      </c>
      <c r="M2290" s="2" t="s">
        <v>23278</v>
      </c>
      <c r="N2290" s="3" t="s">
        <v>1031</v>
      </c>
      <c r="P2290" s="3" t="s">
        <v>102</v>
      </c>
      <c r="Q2290" s="2" t="s">
        <v>13989</v>
      </c>
      <c r="R2290" s="3" t="s">
        <v>70</v>
      </c>
      <c r="S2290" s="4">
        <v>20</v>
      </c>
      <c r="T2290" s="4">
        <v>20</v>
      </c>
      <c r="U2290" s="5" t="s">
        <v>5637</v>
      </c>
      <c r="V2290" s="5" t="s">
        <v>5637</v>
      </c>
      <c r="W2290" s="5" t="s">
        <v>72</v>
      </c>
      <c r="X2290" s="5" t="s">
        <v>72</v>
      </c>
      <c r="Y2290" s="4">
        <v>405</v>
      </c>
      <c r="Z2290" s="4">
        <v>41</v>
      </c>
      <c r="AA2290" s="4">
        <v>42</v>
      </c>
      <c r="AB2290" s="4">
        <v>3</v>
      </c>
      <c r="AC2290" s="4">
        <v>4</v>
      </c>
      <c r="AD2290" s="4">
        <v>112</v>
      </c>
      <c r="AE2290" s="4">
        <v>113</v>
      </c>
      <c r="AF2290" s="4">
        <v>2</v>
      </c>
      <c r="AG2290" s="4">
        <v>3</v>
      </c>
      <c r="AH2290" s="4">
        <v>93</v>
      </c>
      <c r="AI2290" s="4">
        <v>93</v>
      </c>
      <c r="AJ2290" s="4">
        <v>21</v>
      </c>
      <c r="AK2290" s="4">
        <v>22</v>
      </c>
      <c r="AL2290" s="4">
        <v>45</v>
      </c>
      <c r="AM2290" s="4">
        <v>45</v>
      </c>
      <c r="AN2290" s="4">
        <v>0</v>
      </c>
      <c r="AO2290" s="4">
        <v>0</v>
      </c>
      <c r="AP2290" s="4">
        <v>28</v>
      </c>
      <c r="AQ2290" s="4">
        <v>28</v>
      </c>
      <c r="AR2290" s="3" t="s">
        <v>64</v>
      </c>
      <c r="AS2290" s="3" t="s">
        <v>64</v>
      </c>
      <c r="AT2290" s="3" t="s">
        <v>64</v>
      </c>
      <c r="AU2290" s="6" t="str">
        <f>HYPERLINK("http://catalog.hathitrust.org/Record/002598895","HathiTrust Record")</f>
        <v>HathiTrust Record</v>
      </c>
      <c r="AV2290" s="6" t="str">
        <f>HYPERLINK("http://mcgill.on.worldcat.org/oclc/25832854","Catalog Record")</f>
        <v>Catalog Record</v>
      </c>
      <c r="AW2290" s="6" t="str">
        <f>HYPERLINK("http://www.worldcat.org/oclc/25832854","WorldCat Record")</f>
        <v>WorldCat Record</v>
      </c>
      <c r="AX2290" s="3" t="s">
        <v>23279</v>
      </c>
      <c r="AY2290" s="3" t="s">
        <v>23280</v>
      </c>
      <c r="AZ2290" s="3" t="s">
        <v>23281</v>
      </c>
      <c r="BA2290" s="3" t="s">
        <v>23281</v>
      </c>
      <c r="BB2290" s="3" t="s">
        <v>23282</v>
      </c>
      <c r="BC2290" s="3" t="s">
        <v>77</v>
      </c>
      <c r="BD2290" s="3" t="s">
        <v>78</v>
      </c>
      <c r="BE2290" s="3" t="s">
        <v>23283</v>
      </c>
      <c r="BF2290" s="3" t="s">
        <v>23282</v>
      </c>
      <c r="BG2290" s="3" t="s">
        <v>23284</v>
      </c>
      <c r="BH2290">
        <f t="shared" si="57"/>
        <v>0</v>
      </c>
    </row>
    <row r="2291" spans="1:60" ht="58" x14ac:dyDescent="0.35">
      <c r="A2291" s="2" t="s">
        <v>59</v>
      </c>
      <c r="B2291" s="2" t="s">
        <v>60</v>
      </c>
      <c r="C2291" s="2" t="s">
        <v>23285</v>
      </c>
      <c r="D2291" s="2" t="s">
        <v>23286</v>
      </c>
      <c r="E2291" s="2" t="s">
        <v>23287</v>
      </c>
      <c r="G2291" s="3" t="s">
        <v>64</v>
      </c>
      <c r="I2291" s="3" t="s">
        <v>64</v>
      </c>
      <c r="J2291" s="3" t="s">
        <v>64</v>
      </c>
      <c r="K2291" s="3" t="s">
        <v>65</v>
      </c>
      <c r="M2291" s="2" t="s">
        <v>13988</v>
      </c>
      <c r="N2291" s="3" t="s">
        <v>1615</v>
      </c>
      <c r="P2291" s="3" t="s">
        <v>102</v>
      </c>
      <c r="Q2291" s="2" t="s">
        <v>13989</v>
      </c>
      <c r="R2291" s="3" t="s">
        <v>70</v>
      </c>
      <c r="S2291" s="4">
        <v>10</v>
      </c>
      <c r="T2291" s="4">
        <v>10</v>
      </c>
      <c r="U2291" s="5" t="s">
        <v>5637</v>
      </c>
      <c r="V2291" s="5" t="s">
        <v>5637</v>
      </c>
      <c r="W2291" s="5" t="s">
        <v>72</v>
      </c>
      <c r="X2291" s="5" t="s">
        <v>72</v>
      </c>
      <c r="Y2291" s="4">
        <v>283</v>
      </c>
      <c r="Z2291" s="4">
        <v>14</v>
      </c>
      <c r="AA2291" s="4">
        <v>14</v>
      </c>
      <c r="AB2291" s="4">
        <v>2</v>
      </c>
      <c r="AC2291" s="4">
        <v>2</v>
      </c>
      <c r="AD2291" s="4">
        <v>88</v>
      </c>
      <c r="AE2291" s="4">
        <v>88</v>
      </c>
      <c r="AF2291" s="4">
        <v>1</v>
      </c>
      <c r="AG2291" s="4">
        <v>1</v>
      </c>
      <c r="AH2291" s="4">
        <v>81</v>
      </c>
      <c r="AI2291" s="4">
        <v>81</v>
      </c>
      <c r="AJ2291" s="4">
        <v>10</v>
      </c>
      <c r="AK2291" s="4">
        <v>10</v>
      </c>
      <c r="AL2291" s="4">
        <v>45</v>
      </c>
      <c r="AM2291" s="4">
        <v>45</v>
      </c>
      <c r="AN2291" s="4">
        <v>0</v>
      </c>
      <c r="AO2291" s="4">
        <v>0</v>
      </c>
      <c r="AP2291" s="4">
        <v>11</v>
      </c>
      <c r="AQ2291" s="4">
        <v>11</v>
      </c>
      <c r="AR2291" s="3" t="s">
        <v>64</v>
      </c>
      <c r="AS2291" s="3" t="s">
        <v>64</v>
      </c>
      <c r="AT2291" s="3" t="s">
        <v>64</v>
      </c>
      <c r="AV2291" s="6" t="str">
        <f>HYPERLINK("http://mcgill.on.worldcat.org/oclc/33333323","Catalog Record")</f>
        <v>Catalog Record</v>
      </c>
      <c r="AW2291" s="6" t="str">
        <f>HYPERLINK("http://www.worldcat.org/oclc/33333323","WorldCat Record")</f>
        <v>WorldCat Record</v>
      </c>
      <c r="AX2291" s="3" t="s">
        <v>23288</v>
      </c>
      <c r="AY2291" s="3" t="s">
        <v>23289</v>
      </c>
      <c r="AZ2291" s="3" t="s">
        <v>23290</v>
      </c>
      <c r="BA2291" s="3" t="s">
        <v>23290</v>
      </c>
      <c r="BB2291" s="3" t="s">
        <v>23291</v>
      </c>
      <c r="BC2291" s="3" t="s">
        <v>77</v>
      </c>
      <c r="BD2291" s="3" t="s">
        <v>78</v>
      </c>
      <c r="BE2291" s="3" t="s">
        <v>23292</v>
      </c>
      <c r="BF2291" s="3" t="s">
        <v>23291</v>
      </c>
      <c r="BG2291" s="3" t="s">
        <v>23293</v>
      </c>
      <c r="BH2291">
        <f t="shared" si="57"/>
        <v>0</v>
      </c>
    </row>
    <row r="2292" spans="1:60" ht="58" x14ac:dyDescent="0.35">
      <c r="A2292" s="2" t="s">
        <v>59</v>
      </c>
      <c r="B2292" s="2" t="s">
        <v>60</v>
      </c>
      <c r="C2292" s="2" t="s">
        <v>23294</v>
      </c>
      <c r="D2292" s="2" t="s">
        <v>23295</v>
      </c>
      <c r="E2292" s="2" t="s">
        <v>23296</v>
      </c>
      <c r="G2292" s="3" t="s">
        <v>64</v>
      </c>
      <c r="I2292" s="3" t="s">
        <v>64</v>
      </c>
      <c r="J2292" s="3" t="s">
        <v>64</v>
      </c>
      <c r="K2292" s="3" t="s">
        <v>65</v>
      </c>
      <c r="L2292" s="2" t="s">
        <v>23297</v>
      </c>
      <c r="M2292" s="2" t="s">
        <v>14044</v>
      </c>
      <c r="N2292" s="3" t="s">
        <v>326</v>
      </c>
      <c r="P2292" s="3" t="s">
        <v>102</v>
      </c>
      <c r="R2292" s="3" t="s">
        <v>70</v>
      </c>
      <c r="S2292" s="4">
        <v>4</v>
      </c>
      <c r="T2292" s="4">
        <v>4</v>
      </c>
      <c r="U2292" s="5" t="s">
        <v>23298</v>
      </c>
      <c r="V2292" s="5" t="s">
        <v>23298</v>
      </c>
      <c r="W2292" s="5" t="s">
        <v>72</v>
      </c>
      <c r="X2292" s="5" t="s">
        <v>72</v>
      </c>
      <c r="Y2292" s="4">
        <v>282</v>
      </c>
      <c r="Z2292" s="4">
        <v>13</v>
      </c>
      <c r="AA2292" s="4">
        <v>88</v>
      </c>
      <c r="AB2292" s="4">
        <v>2</v>
      </c>
      <c r="AC2292" s="4">
        <v>15</v>
      </c>
      <c r="AD2292" s="4">
        <v>45</v>
      </c>
      <c r="AE2292" s="4">
        <v>112</v>
      </c>
      <c r="AF2292" s="4">
        <v>0</v>
      </c>
      <c r="AG2292" s="4">
        <v>8</v>
      </c>
      <c r="AH2292" s="4">
        <v>43</v>
      </c>
      <c r="AI2292" s="4">
        <v>78</v>
      </c>
      <c r="AJ2292" s="4">
        <v>5</v>
      </c>
      <c r="AK2292" s="4">
        <v>19</v>
      </c>
      <c r="AL2292" s="4">
        <v>22</v>
      </c>
      <c r="AM2292" s="4">
        <v>39</v>
      </c>
      <c r="AN2292" s="4">
        <v>0</v>
      </c>
      <c r="AO2292" s="4">
        <v>0</v>
      </c>
      <c r="AP2292" s="4">
        <v>5</v>
      </c>
      <c r="AQ2292" s="4">
        <v>39</v>
      </c>
      <c r="AR2292" s="3" t="s">
        <v>64</v>
      </c>
      <c r="AS2292" s="3" t="s">
        <v>64</v>
      </c>
      <c r="AT2292" s="3" t="s">
        <v>64</v>
      </c>
      <c r="AV2292" s="6" t="str">
        <f>HYPERLINK("http://mcgill.on.worldcat.org/oclc/601086525","Catalog Record")</f>
        <v>Catalog Record</v>
      </c>
      <c r="AW2292" s="6" t="str">
        <f>HYPERLINK("http://www.worldcat.org/oclc/601086525","WorldCat Record")</f>
        <v>WorldCat Record</v>
      </c>
      <c r="AX2292" s="3" t="s">
        <v>23299</v>
      </c>
      <c r="AY2292" s="3" t="s">
        <v>23300</v>
      </c>
      <c r="AZ2292" s="3" t="s">
        <v>23301</v>
      </c>
      <c r="BA2292" s="3" t="s">
        <v>23301</v>
      </c>
      <c r="BB2292" s="3" t="s">
        <v>23302</v>
      </c>
      <c r="BC2292" s="3" t="s">
        <v>77</v>
      </c>
      <c r="BD2292" s="3" t="s">
        <v>78</v>
      </c>
      <c r="BE2292" s="3" t="s">
        <v>23303</v>
      </c>
      <c r="BF2292" s="3" t="s">
        <v>23302</v>
      </c>
      <c r="BG2292" s="3" t="s">
        <v>23304</v>
      </c>
      <c r="BH2292">
        <f t="shared" si="57"/>
        <v>0</v>
      </c>
    </row>
    <row r="2293" spans="1:60" ht="58" x14ac:dyDescent="0.35">
      <c r="A2293" s="2" t="s">
        <v>59</v>
      </c>
      <c r="B2293" s="2" t="s">
        <v>60</v>
      </c>
      <c r="C2293" s="2" t="s">
        <v>23305</v>
      </c>
      <c r="D2293" s="2" t="s">
        <v>23306</v>
      </c>
      <c r="E2293" s="2" t="s">
        <v>23307</v>
      </c>
      <c r="G2293" s="3" t="s">
        <v>64</v>
      </c>
      <c r="I2293" s="3" t="s">
        <v>64</v>
      </c>
      <c r="J2293" s="3" t="s">
        <v>64</v>
      </c>
      <c r="K2293" s="3" t="s">
        <v>65</v>
      </c>
      <c r="L2293" s="2" t="s">
        <v>23308</v>
      </c>
      <c r="M2293" s="2" t="s">
        <v>19689</v>
      </c>
      <c r="N2293" s="3" t="s">
        <v>86</v>
      </c>
      <c r="P2293" s="3" t="s">
        <v>102</v>
      </c>
      <c r="R2293" s="3" t="s">
        <v>70</v>
      </c>
      <c r="S2293" s="4">
        <v>4</v>
      </c>
      <c r="T2293" s="4">
        <v>4</v>
      </c>
      <c r="U2293" s="5" t="s">
        <v>10182</v>
      </c>
      <c r="V2293" s="5" t="s">
        <v>10182</v>
      </c>
      <c r="W2293" s="5" t="s">
        <v>72</v>
      </c>
      <c r="X2293" s="5" t="s">
        <v>72</v>
      </c>
      <c r="Y2293" s="4">
        <v>165</v>
      </c>
      <c r="Z2293" s="4">
        <v>7</v>
      </c>
      <c r="AA2293" s="4">
        <v>11</v>
      </c>
      <c r="AB2293" s="4">
        <v>1</v>
      </c>
      <c r="AC2293" s="4">
        <v>3</v>
      </c>
      <c r="AD2293" s="4">
        <v>33</v>
      </c>
      <c r="AE2293" s="4">
        <v>39</v>
      </c>
      <c r="AF2293" s="4">
        <v>0</v>
      </c>
      <c r="AG2293" s="4">
        <v>0</v>
      </c>
      <c r="AH2293" s="4">
        <v>33</v>
      </c>
      <c r="AI2293" s="4">
        <v>39</v>
      </c>
      <c r="AJ2293" s="4">
        <v>3</v>
      </c>
      <c r="AK2293" s="4">
        <v>4</v>
      </c>
      <c r="AL2293" s="4">
        <v>20</v>
      </c>
      <c r="AM2293" s="4">
        <v>22</v>
      </c>
      <c r="AN2293" s="4">
        <v>0</v>
      </c>
      <c r="AO2293" s="4">
        <v>0</v>
      </c>
      <c r="AP2293" s="4">
        <v>3</v>
      </c>
      <c r="AQ2293" s="4">
        <v>4</v>
      </c>
      <c r="AR2293" s="3" t="s">
        <v>64</v>
      </c>
      <c r="AS2293" s="3" t="s">
        <v>64</v>
      </c>
      <c r="AT2293" s="3" t="s">
        <v>64</v>
      </c>
      <c r="AV2293" s="6" t="str">
        <f>HYPERLINK("http://mcgill.on.worldcat.org/oclc/761369349","Catalog Record")</f>
        <v>Catalog Record</v>
      </c>
      <c r="AW2293" s="6" t="str">
        <f>HYPERLINK("http://www.worldcat.org/oclc/761369349","WorldCat Record")</f>
        <v>WorldCat Record</v>
      </c>
      <c r="AX2293" s="3" t="s">
        <v>23309</v>
      </c>
      <c r="AY2293" s="3" t="s">
        <v>23310</v>
      </c>
      <c r="AZ2293" s="3" t="s">
        <v>23311</v>
      </c>
      <c r="BA2293" s="3" t="s">
        <v>23311</v>
      </c>
      <c r="BB2293" s="3" t="s">
        <v>23312</v>
      </c>
      <c r="BC2293" s="3" t="s">
        <v>77</v>
      </c>
      <c r="BD2293" s="3" t="s">
        <v>78</v>
      </c>
      <c r="BE2293" s="3" t="s">
        <v>23313</v>
      </c>
      <c r="BF2293" s="3" t="s">
        <v>23312</v>
      </c>
      <c r="BG2293" s="3" t="s">
        <v>23314</v>
      </c>
      <c r="BH2293">
        <f t="shared" si="57"/>
        <v>0</v>
      </c>
    </row>
    <row r="2294" spans="1:60" ht="58" x14ac:dyDescent="0.35">
      <c r="A2294" s="2" t="s">
        <v>59</v>
      </c>
      <c r="B2294" s="2" t="s">
        <v>60</v>
      </c>
      <c r="C2294" s="2" t="s">
        <v>23315</v>
      </c>
      <c r="D2294" s="2" t="s">
        <v>23316</v>
      </c>
      <c r="E2294" s="2" t="s">
        <v>23317</v>
      </c>
      <c r="G2294" s="3" t="s">
        <v>64</v>
      </c>
      <c r="I2294" s="3" t="s">
        <v>64</v>
      </c>
      <c r="J2294" s="3" t="s">
        <v>64</v>
      </c>
      <c r="K2294" s="3" t="s">
        <v>65</v>
      </c>
      <c r="L2294" s="2" t="s">
        <v>23318</v>
      </c>
      <c r="M2294" s="2" t="s">
        <v>23319</v>
      </c>
      <c r="N2294" s="3" t="s">
        <v>3721</v>
      </c>
      <c r="P2294" s="3" t="s">
        <v>102</v>
      </c>
      <c r="R2294" s="3" t="s">
        <v>70</v>
      </c>
      <c r="S2294" s="4">
        <v>6</v>
      </c>
      <c r="T2294" s="4">
        <v>6</v>
      </c>
      <c r="U2294" s="5" t="s">
        <v>23320</v>
      </c>
      <c r="V2294" s="5" t="s">
        <v>23320</v>
      </c>
      <c r="W2294" s="5" t="s">
        <v>72</v>
      </c>
      <c r="X2294" s="5" t="s">
        <v>72</v>
      </c>
      <c r="Y2294" s="4">
        <v>271</v>
      </c>
      <c r="Z2294" s="4">
        <v>7</v>
      </c>
      <c r="AA2294" s="4">
        <v>7</v>
      </c>
      <c r="AB2294" s="4">
        <v>1</v>
      </c>
      <c r="AC2294" s="4">
        <v>1</v>
      </c>
      <c r="AD2294" s="4">
        <v>42</v>
      </c>
      <c r="AE2294" s="4">
        <v>42</v>
      </c>
      <c r="AF2294" s="4">
        <v>0</v>
      </c>
      <c r="AG2294" s="4">
        <v>0</v>
      </c>
      <c r="AH2294" s="4">
        <v>40</v>
      </c>
      <c r="AI2294" s="4">
        <v>40</v>
      </c>
      <c r="AJ2294" s="4">
        <v>3</v>
      </c>
      <c r="AK2294" s="4">
        <v>3</v>
      </c>
      <c r="AL2294" s="4">
        <v>21</v>
      </c>
      <c r="AM2294" s="4">
        <v>21</v>
      </c>
      <c r="AN2294" s="4">
        <v>0</v>
      </c>
      <c r="AO2294" s="4">
        <v>0</v>
      </c>
      <c r="AP2294" s="4">
        <v>3</v>
      </c>
      <c r="AQ2294" s="4">
        <v>3</v>
      </c>
      <c r="AR2294" s="3" t="s">
        <v>64</v>
      </c>
      <c r="AS2294" s="3" t="s">
        <v>64</v>
      </c>
      <c r="AT2294" s="3" t="s">
        <v>128</v>
      </c>
      <c r="AU2294" s="6" t="str">
        <f>HYPERLINK("http://catalog.hathitrust.org/Record/000694930","HathiTrust Record")</f>
        <v>HathiTrust Record</v>
      </c>
      <c r="AV2294" s="6" t="str">
        <f>HYPERLINK("http://mcgill.on.worldcat.org/oclc/5761364","Catalog Record")</f>
        <v>Catalog Record</v>
      </c>
      <c r="AW2294" s="6" t="str">
        <f>HYPERLINK("http://www.worldcat.org/oclc/5761364","WorldCat Record")</f>
        <v>WorldCat Record</v>
      </c>
      <c r="AX2294" s="3" t="s">
        <v>23321</v>
      </c>
      <c r="AY2294" s="3" t="s">
        <v>23322</v>
      </c>
      <c r="AZ2294" s="3" t="s">
        <v>23323</v>
      </c>
      <c r="BA2294" s="3" t="s">
        <v>23323</v>
      </c>
      <c r="BB2294" s="3" t="s">
        <v>23324</v>
      </c>
      <c r="BC2294" s="3" t="s">
        <v>77</v>
      </c>
      <c r="BD2294" s="3" t="s">
        <v>78</v>
      </c>
      <c r="BE2294" s="3" t="s">
        <v>23325</v>
      </c>
      <c r="BF2294" s="3" t="s">
        <v>23324</v>
      </c>
      <c r="BG2294" s="3" t="s">
        <v>23326</v>
      </c>
      <c r="BH2294">
        <f t="shared" si="57"/>
        <v>0</v>
      </c>
    </row>
    <row r="2295" spans="1:60" ht="58" x14ac:dyDescent="0.35">
      <c r="A2295" s="2" t="s">
        <v>59</v>
      </c>
      <c r="B2295" s="2" t="s">
        <v>60</v>
      </c>
      <c r="C2295" s="2" t="s">
        <v>23327</v>
      </c>
      <c r="D2295" s="2" t="s">
        <v>23328</v>
      </c>
      <c r="E2295" s="2" t="s">
        <v>23329</v>
      </c>
      <c r="G2295" s="3" t="s">
        <v>64</v>
      </c>
      <c r="I2295" s="3" t="s">
        <v>64</v>
      </c>
      <c r="J2295" s="3" t="s">
        <v>64</v>
      </c>
      <c r="K2295" s="3" t="s">
        <v>65</v>
      </c>
      <c r="L2295" s="2" t="s">
        <v>23330</v>
      </c>
      <c r="M2295" s="2" t="s">
        <v>23331</v>
      </c>
      <c r="N2295" s="3" t="s">
        <v>1004</v>
      </c>
      <c r="P2295" s="3" t="s">
        <v>102</v>
      </c>
      <c r="Q2295" s="2" t="s">
        <v>23332</v>
      </c>
      <c r="R2295" s="3" t="s">
        <v>70</v>
      </c>
      <c r="S2295" s="4">
        <v>4</v>
      </c>
      <c r="T2295" s="4">
        <v>4</v>
      </c>
      <c r="U2295" s="5" t="s">
        <v>19981</v>
      </c>
      <c r="V2295" s="5" t="s">
        <v>19981</v>
      </c>
      <c r="W2295" s="5" t="s">
        <v>72</v>
      </c>
      <c r="X2295" s="5" t="s">
        <v>72</v>
      </c>
      <c r="Y2295" s="4">
        <v>84</v>
      </c>
      <c r="Z2295" s="4">
        <v>6</v>
      </c>
      <c r="AA2295" s="4">
        <v>6</v>
      </c>
      <c r="AB2295" s="4">
        <v>1</v>
      </c>
      <c r="AC2295" s="4">
        <v>1</v>
      </c>
      <c r="AD2295" s="4">
        <v>25</v>
      </c>
      <c r="AE2295" s="4">
        <v>25</v>
      </c>
      <c r="AF2295" s="4">
        <v>0</v>
      </c>
      <c r="AG2295" s="4">
        <v>0</v>
      </c>
      <c r="AH2295" s="4">
        <v>23</v>
      </c>
      <c r="AI2295" s="4">
        <v>23</v>
      </c>
      <c r="AJ2295" s="4">
        <v>4</v>
      </c>
      <c r="AK2295" s="4">
        <v>4</v>
      </c>
      <c r="AL2295" s="4">
        <v>13</v>
      </c>
      <c r="AM2295" s="4">
        <v>13</v>
      </c>
      <c r="AN2295" s="4">
        <v>0</v>
      </c>
      <c r="AO2295" s="4">
        <v>0</v>
      </c>
      <c r="AP2295" s="4">
        <v>3</v>
      </c>
      <c r="AQ2295" s="4">
        <v>3</v>
      </c>
      <c r="AR2295" s="3" t="s">
        <v>64</v>
      </c>
      <c r="AS2295" s="3" t="s">
        <v>64</v>
      </c>
      <c r="AT2295" s="3" t="s">
        <v>64</v>
      </c>
      <c r="AV2295" s="6" t="str">
        <f>HYPERLINK("http://mcgill.on.worldcat.org/oclc/9620039","Catalog Record")</f>
        <v>Catalog Record</v>
      </c>
      <c r="AW2295" s="6" t="str">
        <f>HYPERLINK("http://www.worldcat.org/oclc/9620039","WorldCat Record")</f>
        <v>WorldCat Record</v>
      </c>
      <c r="AX2295" s="3" t="s">
        <v>23333</v>
      </c>
      <c r="AY2295" s="3" t="s">
        <v>23334</v>
      </c>
      <c r="AZ2295" s="3" t="s">
        <v>23335</v>
      </c>
      <c r="BA2295" s="3" t="s">
        <v>23335</v>
      </c>
      <c r="BB2295" s="3" t="s">
        <v>23336</v>
      </c>
      <c r="BC2295" s="3" t="s">
        <v>77</v>
      </c>
      <c r="BD2295" s="3" t="s">
        <v>78</v>
      </c>
      <c r="BE2295" s="3" t="s">
        <v>23337</v>
      </c>
      <c r="BF2295" s="3" t="s">
        <v>23336</v>
      </c>
      <c r="BG2295" s="3" t="s">
        <v>23338</v>
      </c>
      <c r="BH2295">
        <f t="shared" si="57"/>
        <v>0</v>
      </c>
    </row>
    <row r="2296" spans="1:60" ht="58" x14ac:dyDescent="0.35">
      <c r="A2296" s="2" t="s">
        <v>59</v>
      </c>
      <c r="B2296" s="2" t="s">
        <v>60</v>
      </c>
      <c r="C2296" s="2" t="s">
        <v>23339</v>
      </c>
      <c r="D2296" s="2" t="s">
        <v>23340</v>
      </c>
      <c r="E2296" s="2" t="s">
        <v>23341</v>
      </c>
      <c r="G2296" s="3" t="s">
        <v>64</v>
      </c>
      <c r="I2296" s="3" t="s">
        <v>64</v>
      </c>
      <c r="J2296" s="3" t="s">
        <v>64</v>
      </c>
      <c r="K2296" s="3" t="s">
        <v>65</v>
      </c>
      <c r="M2296" s="2" t="s">
        <v>23342</v>
      </c>
      <c r="N2296" s="3" t="s">
        <v>1938</v>
      </c>
      <c r="P2296" s="3" t="s">
        <v>102</v>
      </c>
      <c r="R2296" s="3" t="s">
        <v>70</v>
      </c>
      <c r="S2296" s="4">
        <v>5</v>
      </c>
      <c r="T2296" s="4">
        <v>5</v>
      </c>
      <c r="U2296" s="5" t="s">
        <v>14365</v>
      </c>
      <c r="V2296" s="5" t="s">
        <v>14365</v>
      </c>
      <c r="W2296" s="5" t="s">
        <v>72</v>
      </c>
      <c r="X2296" s="5" t="s">
        <v>72</v>
      </c>
      <c r="Y2296" s="4">
        <v>286</v>
      </c>
      <c r="Z2296" s="4">
        <v>18</v>
      </c>
      <c r="AA2296" s="4">
        <v>19</v>
      </c>
      <c r="AB2296" s="4">
        <v>3</v>
      </c>
      <c r="AC2296" s="4">
        <v>4</v>
      </c>
      <c r="AD2296" s="4">
        <v>65</v>
      </c>
      <c r="AE2296" s="4">
        <v>66</v>
      </c>
      <c r="AF2296" s="4">
        <v>0</v>
      </c>
      <c r="AG2296" s="4">
        <v>1</v>
      </c>
      <c r="AH2296" s="4">
        <v>62</v>
      </c>
      <c r="AI2296" s="4">
        <v>62</v>
      </c>
      <c r="AJ2296" s="4">
        <v>7</v>
      </c>
      <c r="AK2296" s="4">
        <v>8</v>
      </c>
      <c r="AL2296" s="4">
        <v>27</v>
      </c>
      <c r="AM2296" s="4">
        <v>27</v>
      </c>
      <c r="AN2296" s="4">
        <v>0</v>
      </c>
      <c r="AO2296" s="4">
        <v>0</v>
      </c>
      <c r="AP2296" s="4">
        <v>8</v>
      </c>
      <c r="AQ2296" s="4">
        <v>8</v>
      </c>
      <c r="AR2296" s="3" t="s">
        <v>64</v>
      </c>
      <c r="AS2296" s="3" t="s">
        <v>64</v>
      </c>
      <c r="AT2296" s="3" t="s">
        <v>128</v>
      </c>
      <c r="AU2296" s="6" t="str">
        <f>HYPERLINK("http://catalog.hathitrust.org/Record/002224905","HathiTrust Record")</f>
        <v>HathiTrust Record</v>
      </c>
      <c r="AV2296" s="6" t="str">
        <f>HYPERLINK("http://mcgill.on.worldcat.org/oclc/21228380","Catalog Record")</f>
        <v>Catalog Record</v>
      </c>
      <c r="AW2296" s="6" t="str">
        <f>HYPERLINK("http://www.worldcat.org/oclc/21228380","WorldCat Record")</f>
        <v>WorldCat Record</v>
      </c>
      <c r="AX2296" s="3" t="s">
        <v>23343</v>
      </c>
      <c r="AY2296" s="3" t="s">
        <v>23344</v>
      </c>
      <c r="AZ2296" s="3" t="s">
        <v>23345</v>
      </c>
      <c r="BA2296" s="3" t="s">
        <v>23345</v>
      </c>
      <c r="BB2296" s="3" t="s">
        <v>23346</v>
      </c>
      <c r="BC2296" s="3" t="s">
        <v>77</v>
      </c>
      <c r="BD2296" s="3" t="s">
        <v>78</v>
      </c>
      <c r="BE2296" s="3" t="s">
        <v>23347</v>
      </c>
      <c r="BF2296" s="3" t="s">
        <v>23346</v>
      </c>
      <c r="BG2296" s="3" t="s">
        <v>23348</v>
      </c>
      <c r="BH2296">
        <f t="shared" si="57"/>
        <v>0</v>
      </c>
    </row>
    <row r="2297" spans="1:60" ht="58" x14ac:dyDescent="0.35">
      <c r="A2297" s="2" t="s">
        <v>59</v>
      </c>
      <c r="B2297" s="2" t="s">
        <v>60</v>
      </c>
      <c r="C2297" s="2" t="s">
        <v>23349</v>
      </c>
      <c r="D2297" s="2" t="s">
        <v>23350</v>
      </c>
      <c r="E2297" s="2" t="s">
        <v>23351</v>
      </c>
      <c r="G2297" s="3" t="s">
        <v>64</v>
      </c>
      <c r="I2297" s="3" t="s">
        <v>64</v>
      </c>
      <c r="J2297" s="3" t="s">
        <v>64</v>
      </c>
      <c r="K2297" s="3" t="s">
        <v>65</v>
      </c>
      <c r="L2297" s="2" t="s">
        <v>23352</v>
      </c>
      <c r="M2297" s="2" t="s">
        <v>23353</v>
      </c>
      <c r="N2297" s="3" t="s">
        <v>2067</v>
      </c>
      <c r="P2297" s="3" t="s">
        <v>102</v>
      </c>
      <c r="R2297" s="3" t="s">
        <v>70</v>
      </c>
      <c r="S2297" s="4">
        <v>13</v>
      </c>
      <c r="T2297" s="4">
        <v>13</v>
      </c>
      <c r="U2297" s="5" t="s">
        <v>17072</v>
      </c>
      <c r="V2297" s="5" t="s">
        <v>17072</v>
      </c>
      <c r="W2297" s="5" t="s">
        <v>72</v>
      </c>
      <c r="X2297" s="5" t="s">
        <v>72</v>
      </c>
      <c r="Y2297" s="4">
        <v>299</v>
      </c>
      <c r="Z2297" s="4">
        <v>13</v>
      </c>
      <c r="AA2297" s="4">
        <v>17</v>
      </c>
      <c r="AB2297" s="4">
        <v>2</v>
      </c>
      <c r="AC2297" s="4">
        <v>4</v>
      </c>
      <c r="AD2297" s="4">
        <v>78</v>
      </c>
      <c r="AE2297" s="4">
        <v>82</v>
      </c>
      <c r="AF2297" s="4">
        <v>1</v>
      </c>
      <c r="AG2297" s="4">
        <v>2</v>
      </c>
      <c r="AH2297" s="4">
        <v>72</v>
      </c>
      <c r="AI2297" s="4">
        <v>73</v>
      </c>
      <c r="AJ2297" s="4">
        <v>9</v>
      </c>
      <c r="AK2297" s="4">
        <v>11</v>
      </c>
      <c r="AL2297" s="4">
        <v>35</v>
      </c>
      <c r="AM2297" s="4">
        <v>36</v>
      </c>
      <c r="AN2297" s="4">
        <v>0</v>
      </c>
      <c r="AO2297" s="4">
        <v>0</v>
      </c>
      <c r="AP2297" s="4">
        <v>9</v>
      </c>
      <c r="AQ2297" s="4">
        <v>11</v>
      </c>
      <c r="AR2297" s="3" t="s">
        <v>64</v>
      </c>
      <c r="AS2297" s="3" t="s">
        <v>64</v>
      </c>
      <c r="AT2297" s="3" t="s">
        <v>128</v>
      </c>
      <c r="AU2297" s="6" t="str">
        <f>HYPERLINK("http://catalog.hathitrust.org/Record/001531131","HathiTrust Record")</f>
        <v>HathiTrust Record</v>
      </c>
      <c r="AV2297" s="6" t="str">
        <f>HYPERLINK("http://mcgill.on.worldcat.org/oclc/19064626","Catalog Record")</f>
        <v>Catalog Record</v>
      </c>
      <c r="AW2297" s="6" t="str">
        <f>HYPERLINK("http://www.worldcat.org/oclc/19064626","WorldCat Record")</f>
        <v>WorldCat Record</v>
      </c>
      <c r="AX2297" s="3" t="s">
        <v>23354</v>
      </c>
      <c r="AY2297" s="3" t="s">
        <v>23355</v>
      </c>
      <c r="AZ2297" s="3" t="s">
        <v>23356</v>
      </c>
      <c r="BA2297" s="3" t="s">
        <v>23356</v>
      </c>
      <c r="BB2297" s="3" t="s">
        <v>23357</v>
      </c>
      <c r="BC2297" s="3" t="s">
        <v>77</v>
      </c>
      <c r="BD2297" s="3" t="s">
        <v>78</v>
      </c>
      <c r="BE2297" s="3" t="s">
        <v>23358</v>
      </c>
      <c r="BF2297" s="3" t="s">
        <v>23357</v>
      </c>
      <c r="BG2297" s="3" t="s">
        <v>23359</v>
      </c>
      <c r="BH2297">
        <f t="shared" si="57"/>
        <v>0</v>
      </c>
    </row>
    <row r="2298" spans="1:60" ht="58" x14ac:dyDescent="0.35">
      <c r="A2298" s="2" t="s">
        <v>59</v>
      </c>
      <c r="B2298" s="2" t="s">
        <v>60</v>
      </c>
      <c r="C2298" s="2" t="s">
        <v>23360</v>
      </c>
      <c r="D2298" s="2" t="s">
        <v>23361</v>
      </c>
      <c r="E2298" s="2" t="s">
        <v>23362</v>
      </c>
      <c r="G2298" s="3" t="s">
        <v>64</v>
      </c>
      <c r="I2298" s="3" t="s">
        <v>64</v>
      </c>
      <c r="J2298" s="3" t="s">
        <v>64</v>
      </c>
      <c r="K2298" s="3" t="s">
        <v>65</v>
      </c>
      <c r="L2298" s="2" t="s">
        <v>23363</v>
      </c>
      <c r="M2298" s="2" t="s">
        <v>20336</v>
      </c>
      <c r="N2298" s="3" t="s">
        <v>1075</v>
      </c>
      <c r="P2298" s="3" t="s">
        <v>102</v>
      </c>
      <c r="R2298" s="3" t="s">
        <v>70</v>
      </c>
      <c r="S2298" s="4">
        <v>0</v>
      </c>
      <c r="T2298" s="4">
        <v>0</v>
      </c>
      <c r="W2298" s="5" t="s">
        <v>72</v>
      </c>
      <c r="X2298" s="5" t="s">
        <v>72</v>
      </c>
      <c r="Y2298" s="4">
        <v>143</v>
      </c>
      <c r="Z2298" s="4">
        <v>13</v>
      </c>
      <c r="AA2298" s="4">
        <v>67</v>
      </c>
      <c r="AB2298" s="4">
        <v>1</v>
      </c>
      <c r="AC2298" s="4">
        <v>5</v>
      </c>
      <c r="AD2298" s="4">
        <v>26</v>
      </c>
      <c r="AE2298" s="4">
        <v>58</v>
      </c>
      <c r="AF2298" s="4">
        <v>0</v>
      </c>
      <c r="AG2298" s="4">
        <v>1</v>
      </c>
      <c r="AH2298" s="4">
        <v>23</v>
      </c>
      <c r="AI2298" s="4">
        <v>40</v>
      </c>
      <c r="AJ2298" s="4">
        <v>5</v>
      </c>
      <c r="AK2298" s="4">
        <v>12</v>
      </c>
      <c r="AL2298" s="4">
        <v>12</v>
      </c>
      <c r="AM2298" s="4">
        <v>19</v>
      </c>
      <c r="AN2298" s="4">
        <v>0</v>
      </c>
      <c r="AO2298" s="4">
        <v>0</v>
      </c>
      <c r="AP2298" s="4">
        <v>7</v>
      </c>
      <c r="AQ2298" s="4">
        <v>21</v>
      </c>
      <c r="AR2298" s="3" t="s">
        <v>64</v>
      </c>
      <c r="AS2298" s="3" t="s">
        <v>64</v>
      </c>
      <c r="AT2298" s="3" t="s">
        <v>64</v>
      </c>
      <c r="AV2298" s="6" t="str">
        <f>HYPERLINK("http://mcgill.on.worldcat.org/oclc/759915977","Catalog Record")</f>
        <v>Catalog Record</v>
      </c>
      <c r="AW2298" s="6" t="str">
        <f>HYPERLINK("http://www.worldcat.org/oclc/759915977","WorldCat Record")</f>
        <v>WorldCat Record</v>
      </c>
      <c r="AX2298" s="3" t="s">
        <v>23364</v>
      </c>
      <c r="AY2298" s="3" t="s">
        <v>23365</v>
      </c>
      <c r="AZ2298" s="3" t="s">
        <v>23366</v>
      </c>
      <c r="BA2298" s="3" t="s">
        <v>23366</v>
      </c>
      <c r="BB2298" s="3" t="s">
        <v>23367</v>
      </c>
      <c r="BC2298" s="3" t="s">
        <v>77</v>
      </c>
      <c r="BD2298" s="3" t="s">
        <v>78</v>
      </c>
      <c r="BE2298" s="3" t="s">
        <v>23368</v>
      </c>
      <c r="BF2298" s="3" t="s">
        <v>23367</v>
      </c>
      <c r="BG2298" s="3" t="s">
        <v>23369</v>
      </c>
      <c r="BH2298">
        <f t="shared" si="57"/>
        <v>0</v>
      </c>
    </row>
    <row r="2299" spans="1:60" ht="58" x14ac:dyDescent="0.35">
      <c r="A2299" s="2" t="s">
        <v>59</v>
      </c>
      <c r="B2299" s="2" t="s">
        <v>60</v>
      </c>
      <c r="C2299" s="2" t="s">
        <v>23370</v>
      </c>
      <c r="D2299" s="2" t="s">
        <v>23371</v>
      </c>
      <c r="E2299" s="2" t="s">
        <v>23372</v>
      </c>
      <c r="G2299" s="3" t="s">
        <v>64</v>
      </c>
      <c r="I2299" s="3" t="s">
        <v>64</v>
      </c>
      <c r="J2299" s="3" t="s">
        <v>64</v>
      </c>
      <c r="K2299" s="3" t="s">
        <v>65</v>
      </c>
      <c r="M2299" s="2" t="s">
        <v>23373</v>
      </c>
      <c r="N2299" s="3" t="s">
        <v>1938</v>
      </c>
      <c r="P2299" s="3" t="s">
        <v>102</v>
      </c>
      <c r="Q2299" s="2" t="s">
        <v>23374</v>
      </c>
      <c r="R2299" s="3" t="s">
        <v>70</v>
      </c>
      <c r="S2299" s="4">
        <v>7</v>
      </c>
      <c r="T2299" s="4">
        <v>7</v>
      </c>
      <c r="U2299" s="5" t="s">
        <v>23320</v>
      </c>
      <c r="V2299" s="5" t="s">
        <v>23320</v>
      </c>
      <c r="W2299" s="5" t="s">
        <v>72</v>
      </c>
      <c r="X2299" s="5" t="s">
        <v>72</v>
      </c>
      <c r="Y2299" s="4">
        <v>158</v>
      </c>
      <c r="Z2299" s="4">
        <v>7</v>
      </c>
      <c r="AA2299" s="4">
        <v>7</v>
      </c>
      <c r="AB2299" s="4">
        <v>2</v>
      </c>
      <c r="AC2299" s="4">
        <v>2</v>
      </c>
      <c r="AD2299" s="4">
        <v>29</v>
      </c>
      <c r="AE2299" s="4">
        <v>29</v>
      </c>
      <c r="AF2299" s="4">
        <v>1</v>
      </c>
      <c r="AG2299" s="4">
        <v>1</v>
      </c>
      <c r="AH2299" s="4">
        <v>26</v>
      </c>
      <c r="AI2299" s="4">
        <v>26</v>
      </c>
      <c r="AJ2299" s="4">
        <v>4</v>
      </c>
      <c r="AK2299" s="4">
        <v>4</v>
      </c>
      <c r="AL2299" s="4">
        <v>12</v>
      </c>
      <c r="AM2299" s="4">
        <v>12</v>
      </c>
      <c r="AN2299" s="4">
        <v>0</v>
      </c>
      <c r="AO2299" s="4">
        <v>0</v>
      </c>
      <c r="AP2299" s="4">
        <v>6</v>
      </c>
      <c r="AQ2299" s="4">
        <v>6</v>
      </c>
      <c r="AR2299" s="3" t="s">
        <v>64</v>
      </c>
      <c r="AS2299" s="3" t="s">
        <v>64</v>
      </c>
      <c r="AT2299" s="3" t="s">
        <v>64</v>
      </c>
      <c r="AV2299" s="6" t="str">
        <f>HYPERLINK("http://mcgill.on.worldcat.org/oclc/21328694","Catalog Record")</f>
        <v>Catalog Record</v>
      </c>
      <c r="AW2299" s="6" t="str">
        <f>HYPERLINK("http://www.worldcat.org/oclc/21328694","WorldCat Record")</f>
        <v>WorldCat Record</v>
      </c>
      <c r="AX2299" s="3" t="s">
        <v>23375</v>
      </c>
      <c r="AY2299" s="3" t="s">
        <v>23376</v>
      </c>
      <c r="AZ2299" s="3" t="s">
        <v>23377</v>
      </c>
      <c r="BA2299" s="3" t="s">
        <v>23377</v>
      </c>
      <c r="BB2299" s="3" t="s">
        <v>23378</v>
      </c>
      <c r="BC2299" s="3" t="s">
        <v>77</v>
      </c>
      <c r="BD2299" s="3" t="s">
        <v>78</v>
      </c>
      <c r="BE2299" s="3" t="s">
        <v>23379</v>
      </c>
      <c r="BF2299" s="3" t="s">
        <v>23378</v>
      </c>
      <c r="BG2299" s="3" t="s">
        <v>23380</v>
      </c>
      <c r="BH2299">
        <f t="shared" si="57"/>
        <v>0</v>
      </c>
    </row>
    <row r="2300" spans="1:60" ht="58" x14ac:dyDescent="0.35">
      <c r="A2300" s="2" t="s">
        <v>59</v>
      </c>
      <c r="B2300" s="2" t="s">
        <v>60</v>
      </c>
      <c r="C2300" s="2" t="s">
        <v>23381</v>
      </c>
      <c r="D2300" s="2" t="s">
        <v>23382</v>
      </c>
      <c r="E2300" s="2" t="s">
        <v>23383</v>
      </c>
      <c r="G2300" s="3" t="s">
        <v>64</v>
      </c>
      <c r="I2300" s="3" t="s">
        <v>64</v>
      </c>
      <c r="J2300" s="3" t="s">
        <v>64</v>
      </c>
      <c r="K2300" s="3" t="s">
        <v>65</v>
      </c>
      <c r="M2300" s="2" t="s">
        <v>23384</v>
      </c>
      <c r="N2300" s="3" t="s">
        <v>1263</v>
      </c>
      <c r="P2300" s="3" t="s">
        <v>102</v>
      </c>
      <c r="Q2300" s="2" t="s">
        <v>23385</v>
      </c>
      <c r="R2300" s="3" t="s">
        <v>70</v>
      </c>
      <c r="S2300" s="4">
        <v>12</v>
      </c>
      <c r="T2300" s="4">
        <v>12</v>
      </c>
      <c r="U2300" s="5" t="s">
        <v>15069</v>
      </c>
      <c r="V2300" s="5" t="s">
        <v>15069</v>
      </c>
      <c r="W2300" s="5" t="s">
        <v>72</v>
      </c>
      <c r="X2300" s="5" t="s">
        <v>72</v>
      </c>
      <c r="Y2300" s="4">
        <v>209</v>
      </c>
      <c r="Z2300" s="4">
        <v>14</v>
      </c>
      <c r="AA2300" s="4">
        <v>14</v>
      </c>
      <c r="AB2300" s="4">
        <v>1</v>
      </c>
      <c r="AC2300" s="4">
        <v>1</v>
      </c>
      <c r="AD2300" s="4">
        <v>78</v>
      </c>
      <c r="AE2300" s="4">
        <v>79</v>
      </c>
      <c r="AF2300" s="4">
        <v>0</v>
      </c>
      <c r="AG2300" s="4">
        <v>0</v>
      </c>
      <c r="AH2300" s="4">
        <v>68</v>
      </c>
      <c r="AI2300" s="4">
        <v>69</v>
      </c>
      <c r="AJ2300" s="4">
        <v>10</v>
      </c>
      <c r="AK2300" s="4">
        <v>10</v>
      </c>
      <c r="AL2300" s="4">
        <v>35</v>
      </c>
      <c r="AM2300" s="4">
        <v>35</v>
      </c>
      <c r="AN2300" s="4">
        <v>0</v>
      </c>
      <c r="AO2300" s="4">
        <v>0</v>
      </c>
      <c r="AP2300" s="4">
        <v>10</v>
      </c>
      <c r="AQ2300" s="4">
        <v>10</v>
      </c>
      <c r="AR2300" s="3" t="s">
        <v>64</v>
      </c>
      <c r="AS2300" s="3" t="s">
        <v>128</v>
      </c>
      <c r="AT2300" s="3" t="s">
        <v>64</v>
      </c>
      <c r="AU2300" s="6" t="str">
        <f>HYPERLINK("http://catalog.hathitrust.org/Record/002710952","HathiTrust Record")</f>
        <v>HathiTrust Record</v>
      </c>
      <c r="AV2300" s="6" t="str">
        <f>HYPERLINK("http://mcgill.on.worldcat.org/oclc/28705743","Catalog Record")</f>
        <v>Catalog Record</v>
      </c>
      <c r="AW2300" s="6" t="str">
        <f>HYPERLINK("http://www.worldcat.org/oclc/28705743","WorldCat Record")</f>
        <v>WorldCat Record</v>
      </c>
      <c r="AX2300" s="3" t="s">
        <v>23386</v>
      </c>
      <c r="AY2300" s="3" t="s">
        <v>23387</v>
      </c>
      <c r="AZ2300" s="3" t="s">
        <v>23388</v>
      </c>
      <c r="BA2300" s="3" t="s">
        <v>23388</v>
      </c>
      <c r="BB2300" s="3" t="s">
        <v>23389</v>
      </c>
      <c r="BC2300" s="3" t="s">
        <v>77</v>
      </c>
      <c r="BD2300" s="3" t="s">
        <v>78</v>
      </c>
      <c r="BF2300" s="3" t="s">
        <v>23389</v>
      </c>
      <c r="BG2300" s="3" t="s">
        <v>23390</v>
      </c>
      <c r="BH2300">
        <f t="shared" si="57"/>
        <v>0</v>
      </c>
    </row>
    <row r="2301" spans="1:60" ht="58" x14ac:dyDescent="0.35">
      <c r="A2301" s="2" t="s">
        <v>59</v>
      </c>
      <c r="B2301" s="2" t="s">
        <v>60</v>
      </c>
      <c r="C2301" s="2" t="s">
        <v>23391</v>
      </c>
      <c r="D2301" s="2" t="s">
        <v>23392</v>
      </c>
      <c r="E2301" s="2" t="s">
        <v>23393</v>
      </c>
      <c r="G2301" s="3" t="s">
        <v>64</v>
      </c>
      <c r="I2301" s="3" t="s">
        <v>64</v>
      </c>
      <c r="J2301" s="3" t="s">
        <v>64</v>
      </c>
      <c r="K2301" s="3" t="s">
        <v>65</v>
      </c>
      <c r="M2301" s="2" t="s">
        <v>23394</v>
      </c>
      <c r="N2301" s="3" t="s">
        <v>1087</v>
      </c>
      <c r="P2301" s="3" t="s">
        <v>102</v>
      </c>
      <c r="Q2301" s="2" t="s">
        <v>23395</v>
      </c>
      <c r="R2301" s="3" t="s">
        <v>70</v>
      </c>
      <c r="S2301" s="4">
        <v>11</v>
      </c>
      <c r="T2301" s="4">
        <v>11</v>
      </c>
      <c r="U2301" s="5" t="s">
        <v>19981</v>
      </c>
      <c r="V2301" s="5" t="s">
        <v>19981</v>
      </c>
      <c r="W2301" s="5" t="s">
        <v>72</v>
      </c>
      <c r="X2301" s="5" t="s">
        <v>72</v>
      </c>
      <c r="Y2301" s="4">
        <v>580</v>
      </c>
      <c r="Z2301" s="4">
        <v>33</v>
      </c>
      <c r="AA2301" s="4">
        <v>34</v>
      </c>
      <c r="AB2301" s="4">
        <v>3</v>
      </c>
      <c r="AC2301" s="4">
        <v>4</v>
      </c>
      <c r="AD2301" s="4">
        <v>109</v>
      </c>
      <c r="AE2301" s="4">
        <v>110</v>
      </c>
      <c r="AF2301" s="4">
        <v>1</v>
      </c>
      <c r="AG2301" s="4">
        <v>2</v>
      </c>
      <c r="AH2301" s="4">
        <v>92</v>
      </c>
      <c r="AI2301" s="4">
        <v>92</v>
      </c>
      <c r="AJ2301" s="4">
        <v>17</v>
      </c>
      <c r="AK2301" s="4">
        <v>18</v>
      </c>
      <c r="AL2301" s="4">
        <v>45</v>
      </c>
      <c r="AM2301" s="4">
        <v>45</v>
      </c>
      <c r="AN2301" s="4">
        <v>0</v>
      </c>
      <c r="AO2301" s="4">
        <v>0</v>
      </c>
      <c r="AP2301" s="4">
        <v>20</v>
      </c>
      <c r="AQ2301" s="4">
        <v>20</v>
      </c>
      <c r="AR2301" s="3" t="s">
        <v>64</v>
      </c>
      <c r="AS2301" s="3" t="s">
        <v>64</v>
      </c>
      <c r="AT2301" s="3" t="s">
        <v>128</v>
      </c>
      <c r="AU2301" s="6" t="str">
        <f>HYPERLINK("http://catalog.hathitrust.org/Record/002518701","HathiTrust Record")</f>
        <v>HathiTrust Record</v>
      </c>
      <c r="AV2301" s="6" t="str">
        <f>HYPERLINK("http://mcgill.on.worldcat.org/oclc/24699339","Catalog Record")</f>
        <v>Catalog Record</v>
      </c>
      <c r="AW2301" s="6" t="str">
        <f>HYPERLINK("http://www.worldcat.org/oclc/24699339","WorldCat Record")</f>
        <v>WorldCat Record</v>
      </c>
      <c r="AX2301" s="3" t="s">
        <v>23396</v>
      </c>
      <c r="AY2301" s="3" t="s">
        <v>23397</v>
      </c>
      <c r="AZ2301" s="3" t="s">
        <v>23398</v>
      </c>
      <c r="BA2301" s="3" t="s">
        <v>23398</v>
      </c>
      <c r="BB2301" s="3" t="s">
        <v>23399</v>
      </c>
      <c r="BC2301" s="3" t="s">
        <v>77</v>
      </c>
      <c r="BD2301" s="3" t="s">
        <v>78</v>
      </c>
      <c r="BE2301" s="3" t="s">
        <v>23400</v>
      </c>
      <c r="BF2301" s="3" t="s">
        <v>23399</v>
      </c>
      <c r="BG2301" s="3" t="s">
        <v>23401</v>
      </c>
      <c r="BH2301">
        <f t="shared" si="57"/>
        <v>0</v>
      </c>
    </row>
    <row r="2302" spans="1:60" ht="58" x14ac:dyDescent="0.35">
      <c r="A2302" s="2" t="s">
        <v>59</v>
      </c>
      <c r="B2302" s="2" t="s">
        <v>60</v>
      </c>
      <c r="C2302" s="2" t="s">
        <v>23402</v>
      </c>
      <c r="D2302" s="2" t="s">
        <v>23403</v>
      </c>
      <c r="E2302" s="2" t="s">
        <v>23404</v>
      </c>
      <c r="G2302" s="3" t="s">
        <v>64</v>
      </c>
      <c r="I2302" s="3" t="s">
        <v>64</v>
      </c>
      <c r="J2302" s="3" t="s">
        <v>128</v>
      </c>
      <c r="K2302" s="3" t="s">
        <v>65</v>
      </c>
      <c r="L2302" s="2" t="s">
        <v>23405</v>
      </c>
      <c r="M2302" s="2" t="s">
        <v>18880</v>
      </c>
      <c r="N2302" s="3" t="s">
        <v>159</v>
      </c>
      <c r="O2302" s="2" t="s">
        <v>172</v>
      </c>
      <c r="P2302" s="3" t="s">
        <v>102</v>
      </c>
      <c r="Q2302" s="2" t="s">
        <v>21484</v>
      </c>
      <c r="R2302" s="3" t="s">
        <v>70</v>
      </c>
      <c r="S2302" s="4">
        <v>4</v>
      </c>
      <c r="T2302" s="4">
        <v>4</v>
      </c>
      <c r="U2302" s="5" t="s">
        <v>21116</v>
      </c>
      <c r="V2302" s="5" t="s">
        <v>21116</v>
      </c>
      <c r="W2302" s="5" t="s">
        <v>72</v>
      </c>
      <c r="X2302" s="5" t="s">
        <v>72</v>
      </c>
      <c r="Y2302" s="4">
        <v>468</v>
      </c>
      <c r="Z2302" s="4">
        <v>20</v>
      </c>
      <c r="AA2302" s="4">
        <v>30</v>
      </c>
      <c r="AB2302" s="4">
        <v>3</v>
      </c>
      <c r="AC2302" s="4">
        <v>4</v>
      </c>
      <c r="AD2302" s="4">
        <v>84</v>
      </c>
      <c r="AE2302" s="4">
        <v>112</v>
      </c>
      <c r="AF2302" s="4">
        <v>1</v>
      </c>
      <c r="AG2302" s="4">
        <v>2</v>
      </c>
      <c r="AH2302" s="4">
        <v>79</v>
      </c>
      <c r="AI2302" s="4">
        <v>99</v>
      </c>
      <c r="AJ2302" s="4">
        <v>9</v>
      </c>
      <c r="AK2302" s="4">
        <v>17</v>
      </c>
      <c r="AL2302" s="4">
        <v>40</v>
      </c>
      <c r="AM2302" s="4">
        <v>51</v>
      </c>
      <c r="AN2302" s="4">
        <v>0</v>
      </c>
      <c r="AO2302" s="4">
        <v>0</v>
      </c>
      <c r="AP2302" s="4">
        <v>12</v>
      </c>
      <c r="AQ2302" s="4">
        <v>19</v>
      </c>
      <c r="AR2302" s="3" t="s">
        <v>64</v>
      </c>
      <c r="AS2302" s="3" t="s">
        <v>64</v>
      </c>
      <c r="AT2302" s="3" t="s">
        <v>64</v>
      </c>
      <c r="AV2302" s="6" t="str">
        <f>HYPERLINK("http://mcgill.on.worldcat.org/oclc/48475106","Catalog Record")</f>
        <v>Catalog Record</v>
      </c>
      <c r="AW2302" s="6" t="str">
        <f>HYPERLINK("http://www.worldcat.org/oclc/48475106","WorldCat Record")</f>
        <v>WorldCat Record</v>
      </c>
      <c r="AX2302" s="3" t="s">
        <v>23406</v>
      </c>
      <c r="AY2302" s="3" t="s">
        <v>23407</v>
      </c>
      <c r="AZ2302" s="3" t="s">
        <v>23408</v>
      </c>
      <c r="BA2302" s="3" t="s">
        <v>23408</v>
      </c>
      <c r="BB2302" s="3" t="s">
        <v>23409</v>
      </c>
      <c r="BC2302" s="3" t="s">
        <v>77</v>
      </c>
      <c r="BD2302" s="3" t="s">
        <v>78</v>
      </c>
      <c r="BE2302" s="3" t="s">
        <v>23410</v>
      </c>
      <c r="BF2302" s="3" t="s">
        <v>23409</v>
      </c>
      <c r="BG2302" s="3" t="s">
        <v>23411</v>
      </c>
      <c r="BH2302">
        <f t="shared" si="57"/>
        <v>0</v>
      </c>
    </row>
    <row r="2303" spans="1:60" ht="58" x14ac:dyDescent="0.35">
      <c r="A2303" s="2" t="s">
        <v>59</v>
      </c>
      <c r="B2303" s="2" t="s">
        <v>60</v>
      </c>
      <c r="C2303" s="2" t="s">
        <v>23412</v>
      </c>
      <c r="D2303" s="2" t="s">
        <v>23413</v>
      </c>
      <c r="E2303" s="2" t="s">
        <v>23414</v>
      </c>
      <c r="G2303" s="3" t="s">
        <v>64</v>
      </c>
      <c r="I2303" s="3" t="s">
        <v>128</v>
      </c>
      <c r="J2303" s="3" t="s">
        <v>128</v>
      </c>
      <c r="K2303" s="3" t="s">
        <v>65</v>
      </c>
      <c r="L2303" s="2" t="s">
        <v>23415</v>
      </c>
      <c r="M2303" s="2" t="s">
        <v>23416</v>
      </c>
      <c r="N2303" s="3" t="s">
        <v>1031</v>
      </c>
      <c r="P2303" s="3" t="s">
        <v>102</v>
      </c>
      <c r="R2303" s="3" t="s">
        <v>70</v>
      </c>
      <c r="S2303" s="4">
        <v>10</v>
      </c>
      <c r="T2303" s="4">
        <v>29</v>
      </c>
      <c r="U2303" s="5" t="s">
        <v>23320</v>
      </c>
      <c r="V2303" s="5" t="s">
        <v>23320</v>
      </c>
      <c r="W2303" s="5" t="s">
        <v>72</v>
      </c>
      <c r="X2303" s="5" t="s">
        <v>72</v>
      </c>
      <c r="Y2303" s="4">
        <v>705</v>
      </c>
      <c r="Z2303" s="4">
        <v>34</v>
      </c>
      <c r="AA2303" s="4">
        <v>123</v>
      </c>
      <c r="AB2303" s="4">
        <v>2</v>
      </c>
      <c r="AC2303" s="4">
        <v>18</v>
      </c>
      <c r="AD2303" s="4">
        <v>111</v>
      </c>
      <c r="AE2303" s="4">
        <v>156</v>
      </c>
      <c r="AF2303" s="4">
        <v>1</v>
      </c>
      <c r="AG2303" s="4">
        <v>8</v>
      </c>
      <c r="AH2303" s="4">
        <v>95</v>
      </c>
      <c r="AI2303" s="4">
        <v>113</v>
      </c>
      <c r="AJ2303" s="4">
        <v>17</v>
      </c>
      <c r="AK2303" s="4">
        <v>25</v>
      </c>
      <c r="AL2303" s="4">
        <v>49</v>
      </c>
      <c r="AM2303" s="4">
        <v>58</v>
      </c>
      <c r="AN2303" s="4">
        <v>0</v>
      </c>
      <c r="AO2303" s="4">
        <v>0</v>
      </c>
      <c r="AP2303" s="4">
        <v>22</v>
      </c>
      <c r="AQ2303" s="4">
        <v>51</v>
      </c>
      <c r="AR2303" s="3" t="s">
        <v>64</v>
      </c>
      <c r="AS2303" s="3" t="s">
        <v>64</v>
      </c>
      <c r="AT2303" s="3" t="s">
        <v>128</v>
      </c>
      <c r="AU2303" s="6" t="str">
        <f>HYPERLINK("http://catalog.hathitrust.org/Record/002543876","HathiTrust Record")</f>
        <v>HathiTrust Record</v>
      </c>
      <c r="AV2303" s="6" t="str">
        <f>HYPERLINK("http://mcgill.on.worldcat.org/oclc/25630857","Catalog Record")</f>
        <v>Catalog Record</v>
      </c>
      <c r="AW2303" s="6" t="str">
        <f>HYPERLINK("http://www.worldcat.org/oclc/25630857","WorldCat Record")</f>
        <v>WorldCat Record</v>
      </c>
      <c r="AX2303" s="3" t="s">
        <v>23417</v>
      </c>
      <c r="AY2303" s="3" t="s">
        <v>23418</v>
      </c>
      <c r="AZ2303" s="3" t="s">
        <v>23419</v>
      </c>
      <c r="BA2303" s="3" t="s">
        <v>23419</v>
      </c>
      <c r="BB2303" s="3" t="s">
        <v>23420</v>
      </c>
      <c r="BC2303" s="3" t="s">
        <v>77</v>
      </c>
      <c r="BD2303" s="3" t="s">
        <v>78</v>
      </c>
      <c r="BE2303" s="3" t="s">
        <v>23421</v>
      </c>
      <c r="BF2303" s="3" t="s">
        <v>23420</v>
      </c>
      <c r="BG2303" s="3" t="s">
        <v>23422</v>
      </c>
      <c r="BH2303">
        <f t="shared" si="57"/>
        <v>0</v>
      </c>
    </row>
    <row r="2304" spans="1:60" ht="58" x14ac:dyDescent="0.35">
      <c r="A2304" s="2" t="s">
        <v>59</v>
      </c>
      <c r="B2304" s="2" t="s">
        <v>60</v>
      </c>
      <c r="C2304" s="2" t="s">
        <v>23412</v>
      </c>
      <c r="D2304" s="2" t="s">
        <v>23413</v>
      </c>
      <c r="E2304" s="2" t="s">
        <v>23414</v>
      </c>
      <c r="G2304" s="3" t="s">
        <v>64</v>
      </c>
      <c r="I2304" s="3" t="s">
        <v>128</v>
      </c>
      <c r="J2304" s="3" t="s">
        <v>128</v>
      </c>
      <c r="K2304" s="3" t="s">
        <v>65</v>
      </c>
      <c r="L2304" s="2" t="s">
        <v>23415</v>
      </c>
      <c r="M2304" s="2" t="s">
        <v>23416</v>
      </c>
      <c r="N2304" s="3" t="s">
        <v>1031</v>
      </c>
      <c r="P2304" s="3" t="s">
        <v>102</v>
      </c>
      <c r="R2304" s="3" t="s">
        <v>70</v>
      </c>
      <c r="S2304" s="4">
        <v>19</v>
      </c>
      <c r="T2304" s="4">
        <v>29</v>
      </c>
      <c r="U2304" s="5" t="s">
        <v>19981</v>
      </c>
      <c r="V2304" s="5" t="s">
        <v>23320</v>
      </c>
      <c r="W2304" s="5" t="s">
        <v>72</v>
      </c>
      <c r="X2304" s="5" t="s">
        <v>72</v>
      </c>
      <c r="Y2304" s="4">
        <v>705</v>
      </c>
      <c r="Z2304" s="4">
        <v>34</v>
      </c>
      <c r="AA2304" s="4">
        <v>123</v>
      </c>
      <c r="AB2304" s="4">
        <v>2</v>
      </c>
      <c r="AC2304" s="4">
        <v>18</v>
      </c>
      <c r="AD2304" s="4">
        <v>111</v>
      </c>
      <c r="AE2304" s="4">
        <v>156</v>
      </c>
      <c r="AF2304" s="4">
        <v>1</v>
      </c>
      <c r="AG2304" s="4">
        <v>8</v>
      </c>
      <c r="AH2304" s="4">
        <v>95</v>
      </c>
      <c r="AI2304" s="4">
        <v>113</v>
      </c>
      <c r="AJ2304" s="4">
        <v>17</v>
      </c>
      <c r="AK2304" s="4">
        <v>25</v>
      </c>
      <c r="AL2304" s="4">
        <v>49</v>
      </c>
      <c r="AM2304" s="4">
        <v>58</v>
      </c>
      <c r="AN2304" s="4">
        <v>0</v>
      </c>
      <c r="AO2304" s="4">
        <v>0</v>
      </c>
      <c r="AP2304" s="4">
        <v>22</v>
      </c>
      <c r="AQ2304" s="4">
        <v>51</v>
      </c>
      <c r="AR2304" s="3" t="s">
        <v>64</v>
      </c>
      <c r="AS2304" s="3" t="s">
        <v>64</v>
      </c>
      <c r="AT2304" s="3" t="s">
        <v>128</v>
      </c>
      <c r="AU2304" s="6" t="str">
        <f>HYPERLINK("http://catalog.hathitrust.org/Record/002543876","HathiTrust Record")</f>
        <v>HathiTrust Record</v>
      </c>
      <c r="AV2304" s="6" t="str">
        <f>HYPERLINK("http://mcgill.on.worldcat.org/oclc/25630857","Catalog Record")</f>
        <v>Catalog Record</v>
      </c>
      <c r="AW2304" s="6" t="str">
        <f>HYPERLINK("http://www.worldcat.org/oclc/25630857","WorldCat Record")</f>
        <v>WorldCat Record</v>
      </c>
      <c r="AX2304" s="3" t="s">
        <v>23417</v>
      </c>
      <c r="AY2304" s="3" t="s">
        <v>23418</v>
      </c>
      <c r="AZ2304" s="3" t="s">
        <v>23419</v>
      </c>
      <c r="BA2304" s="3" t="s">
        <v>23419</v>
      </c>
      <c r="BB2304" s="3" t="s">
        <v>23423</v>
      </c>
      <c r="BC2304" s="3" t="s">
        <v>77</v>
      </c>
      <c r="BD2304" s="3" t="s">
        <v>78</v>
      </c>
      <c r="BE2304" s="3" t="s">
        <v>23421</v>
      </c>
      <c r="BF2304" s="3" t="s">
        <v>23423</v>
      </c>
      <c r="BG2304" s="3" t="s">
        <v>23424</v>
      </c>
      <c r="BH2304">
        <f t="shared" si="57"/>
        <v>0</v>
      </c>
    </row>
    <row r="2305" spans="1:60" ht="58" x14ac:dyDescent="0.35">
      <c r="A2305" s="2" t="s">
        <v>59</v>
      </c>
      <c r="B2305" s="2" t="s">
        <v>60</v>
      </c>
      <c r="C2305" s="2" t="s">
        <v>23425</v>
      </c>
      <c r="D2305" s="2" t="s">
        <v>23426</v>
      </c>
      <c r="E2305" s="2" t="s">
        <v>23427</v>
      </c>
      <c r="G2305" s="3" t="s">
        <v>64</v>
      </c>
      <c r="I2305" s="3" t="s">
        <v>64</v>
      </c>
      <c r="J2305" s="3" t="s">
        <v>64</v>
      </c>
      <c r="K2305" s="3" t="s">
        <v>65</v>
      </c>
      <c r="L2305" s="2" t="s">
        <v>23428</v>
      </c>
      <c r="M2305" s="2" t="s">
        <v>21681</v>
      </c>
      <c r="N2305" s="3" t="s">
        <v>1938</v>
      </c>
      <c r="P2305" s="3" t="s">
        <v>102</v>
      </c>
      <c r="Q2305" s="2" t="s">
        <v>23429</v>
      </c>
      <c r="R2305" s="3" t="s">
        <v>70</v>
      </c>
      <c r="S2305" s="4">
        <v>22</v>
      </c>
      <c r="T2305" s="4">
        <v>22</v>
      </c>
      <c r="U2305" s="5" t="s">
        <v>15069</v>
      </c>
      <c r="V2305" s="5" t="s">
        <v>15069</v>
      </c>
      <c r="W2305" s="5" t="s">
        <v>72</v>
      </c>
      <c r="X2305" s="5" t="s">
        <v>72</v>
      </c>
      <c r="Y2305" s="4">
        <v>401</v>
      </c>
      <c r="Z2305" s="4">
        <v>21</v>
      </c>
      <c r="AA2305" s="4">
        <v>22</v>
      </c>
      <c r="AB2305" s="4">
        <v>1</v>
      </c>
      <c r="AC2305" s="4">
        <v>2</v>
      </c>
      <c r="AD2305" s="4">
        <v>46</v>
      </c>
      <c r="AE2305" s="4">
        <v>47</v>
      </c>
      <c r="AF2305" s="4">
        <v>0</v>
      </c>
      <c r="AG2305" s="4">
        <v>1</v>
      </c>
      <c r="AH2305" s="4">
        <v>43</v>
      </c>
      <c r="AI2305" s="4">
        <v>43</v>
      </c>
      <c r="AJ2305" s="4">
        <v>4</v>
      </c>
      <c r="AK2305" s="4">
        <v>5</v>
      </c>
      <c r="AL2305" s="4">
        <v>21</v>
      </c>
      <c r="AM2305" s="4">
        <v>21</v>
      </c>
      <c r="AN2305" s="4">
        <v>0</v>
      </c>
      <c r="AO2305" s="4">
        <v>0</v>
      </c>
      <c r="AP2305" s="4">
        <v>5</v>
      </c>
      <c r="AQ2305" s="4">
        <v>5</v>
      </c>
      <c r="AR2305" s="3" t="s">
        <v>64</v>
      </c>
      <c r="AS2305" s="3" t="s">
        <v>64</v>
      </c>
      <c r="AT2305" s="3" t="s">
        <v>128</v>
      </c>
      <c r="AU2305" s="6" t="str">
        <f>HYPERLINK("http://catalog.hathitrust.org/Record/002428158","HathiTrust Record")</f>
        <v>HathiTrust Record</v>
      </c>
      <c r="AV2305" s="6" t="str">
        <f>HYPERLINK("http://mcgill.on.worldcat.org/oclc/21670482","Catalog Record")</f>
        <v>Catalog Record</v>
      </c>
      <c r="AW2305" s="6" t="str">
        <f>HYPERLINK("http://www.worldcat.org/oclc/21670482","WorldCat Record")</f>
        <v>WorldCat Record</v>
      </c>
      <c r="AX2305" s="3" t="s">
        <v>23430</v>
      </c>
      <c r="AY2305" s="3" t="s">
        <v>23431</v>
      </c>
      <c r="AZ2305" s="3" t="s">
        <v>23432</v>
      </c>
      <c r="BA2305" s="3" t="s">
        <v>23432</v>
      </c>
      <c r="BB2305" s="3" t="s">
        <v>23433</v>
      </c>
      <c r="BC2305" s="3" t="s">
        <v>77</v>
      </c>
      <c r="BD2305" s="3" t="s">
        <v>78</v>
      </c>
      <c r="BE2305" s="3" t="s">
        <v>23434</v>
      </c>
      <c r="BF2305" s="3" t="s">
        <v>23433</v>
      </c>
      <c r="BG2305" s="3" t="s">
        <v>23435</v>
      </c>
      <c r="BH2305">
        <f t="shared" si="57"/>
        <v>0</v>
      </c>
    </row>
    <row r="2306" spans="1:60" ht="58" x14ac:dyDescent="0.35">
      <c r="A2306" s="2" t="s">
        <v>59</v>
      </c>
      <c r="B2306" s="2" t="s">
        <v>60</v>
      </c>
      <c r="C2306" s="2" t="s">
        <v>23436</v>
      </c>
      <c r="D2306" s="2" t="s">
        <v>23437</v>
      </c>
      <c r="E2306" s="2" t="s">
        <v>23438</v>
      </c>
      <c r="G2306" s="3" t="s">
        <v>64</v>
      </c>
      <c r="I2306" s="3" t="s">
        <v>64</v>
      </c>
      <c r="J2306" s="3" t="s">
        <v>64</v>
      </c>
      <c r="K2306" s="3" t="s">
        <v>65</v>
      </c>
      <c r="L2306" s="2" t="s">
        <v>23439</v>
      </c>
      <c r="M2306" s="2" t="s">
        <v>9095</v>
      </c>
      <c r="N2306" s="3" t="s">
        <v>551</v>
      </c>
      <c r="P2306" s="3" t="s">
        <v>102</v>
      </c>
      <c r="Q2306" s="2" t="s">
        <v>8981</v>
      </c>
      <c r="R2306" s="3" t="s">
        <v>70</v>
      </c>
      <c r="S2306" s="4">
        <v>3</v>
      </c>
      <c r="T2306" s="4">
        <v>3</v>
      </c>
      <c r="U2306" s="5" t="s">
        <v>19981</v>
      </c>
      <c r="V2306" s="5" t="s">
        <v>19981</v>
      </c>
      <c r="W2306" s="5" t="s">
        <v>72</v>
      </c>
      <c r="X2306" s="5" t="s">
        <v>72</v>
      </c>
      <c r="Y2306" s="4">
        <v>147</v>
      </c>
      <c r="Z2306" s="4">
        <v>11</v>
      </c>
      <c r="AA2306" s="4">
        <v>15</v>
      </c>
      <c r="AB2306" s="4">
        <v>2</v>
      </c>
      <c r="AC2306" s="4">
        <v>4</v>
      </c>
      <c r="AD2306" s="4">
        <v>37</v>
      </c>
      <c r="AE2306" s="4">
        <v>44</v>
      </c>
      <c r="AF2306" s="4">
        <v>0</v>
      </c>
      <c r="AG2306" s="4">
        <v>0</v>
      </c>
      <c r="AH2306" s="4">
        <v>35</v>
      </c>
      <c r="AI2306" s="4">
        <v>41</v>
      </c>
      <c r="AJ2306" s="4">
        <v>8</v>
      </c>
      <c r="AK2306" s="4">
        <v>8</v>
      </c>
      <c r="AL2306" s="4">
        <v>18</v>
      </c>
      <c r="AM2306" s="4">
        <v>21</v>
      </c>
      <c r="AN2306" s="4">
        <v>0</v>
      </c>
      <c r="AO2306" s="4">
        <v>0</v>
      </c>
      <c r="AP2306" s="4">
        <v>8</v>
      </c>
      <c r="AQ2306" s="4">
        <v>9</v>
      </c>
      <c r="AR2306" s="3" t="s">
        <v>64</v>
      </c>
      <c r="AS2306" s="3" t="s">
        <v>64</v>
      </c>
      <c r="AT2306" s="3" t="s">
        <v>64</v>
      </c>
      <c r="AV2306" s="6" t="str">
        <f>HYPERLINK("http://mcgill.on.worldcat.org/oclc/262719811","Catalog Record")</f>
        <v>Catalog Record</v>
      </c>
      <c r="AW2306" s="6" t="str">
        <f>HYPERLINK("http://www.worldcat.org/oclc/262719811","WorldCat Record")</f>
        <v>WorldCat Record</v>
      </c>
      <c r="AX2306" s="3" t="s">
        <v>23440</v>
      </c>
      <c r="AY2306" s="3" t="s">
        <v>23441</v>
      </c>
      <c r="AZ2306" s="3" t="s">
        <v>23442</v>
      </c>
      <c r="BA2306" s="3" t="s">
        <v>23442</v>
      </c>
      <c r="BB2306" s="3" t="s">
        <v>23443</v>
      </c>
      <c r="BC2306" s="3" t="s">
        <v>77</v>
      </c>
      <c r="BD2306" s="3" t="s">
        <v>78</v>
      </c>
      <c r="BE2306" s="3" t="s">
        <v>23444</v>
      </c>
      <c r="BF2306" s="3" t="s">
        <v>23443</v>
      </c>
      <c r="BG2306" s="3" t="s">
        <v>23445</v>
      </c>
      <c r="BH2306">
        <f t="shared" ref="BH2306:BH2369" si="58">IF(COUNTIF($BF$1:$BF$5431,BF2306)=1,0,1)</f>
        <v>0</v>
      </c>
    </row>
    <row r="2307" spans="1:60" ht="58" x14ac:dyDescent="0.35">
      <c r="A2307" s="2" t="s">
        <v>59</v>
      </c>
      <c r="B2307" s="2" t="s">
        <v>60</v>
      </c>
      <c r="C2307" s="2" t="s">
        <v>23446</v>
      </c>
      <c r="D2307" s="2" t="s">
        <v>23447</v>
      </c>
      <c r="E2307" s="2" t="s">
        <v>23448</v>
      </c>
      <c r="G2307" s="3" t="s">
        <v>64</v>
      </c>
      <c r="I2307" s="3" t="s">
        <v>64</v>
      </c>
      <c r="J2307" s="3" t="s">
        <v>64</v>
      </c>
      <c r="K2307" s="3" t="s">
        <v>65</v>
      </c>
      <c r="L2307" s="2" t="s">
        <v>23449</v>
      </c>
      <c r="M2307" s="2" t="s">
        <v>23450</v>
      </c>
      <c r="N2307" s="3" t="s">
        <v>1031</v>
      </c>
      <c r="P2307" s="3" t="s">
        <v>102</v>
      </c>
      <c r="Q2307" s="2" t="s">
        <v>23451</v>
      </c>
      <c r="R2307" s="3" t="s">
        <v>70</v>
      </c>
      <c r="S2307" s="4">
        <v>10</v>
      </c>
      <c r="T2307" s="4">
        <v>10</v>
      </c>
      <c r="U2307" s="5" t="s">
        <v>5612</v>
      </c>
      <c r="V2307" s="5" t="s">
        <v>5612</v>
      </c>
      <c r="W2307" s="5" t="s">
        <v>72</v>
      </c>
      <c r="X2307" s="5" t="s">
        <v>72</v>
      </c>
      <c r="Y2307" s="4">
        <v>524</v>
      </c>
      <c r="Z2307" s="4">
        <v>31</v>
      </c>
      <c r="AA2307" s="4">
        <v>32</v>
      </c>
      <c r="AB2307" s="4">
        <v>2</v>
      </c>
      <c r="AC2307" s="4">
        <v>3</v>
      </c>
      <c r="AD2307" s="4">
        <v>72</v>
      </c>
      <c r="AE2307" s="4">
        <v>73</v>
      </c>
      <c r="AF2307" s="4">
        <v>0</v>
      </c>
      <c r="AG2307" s="4">
        <v>1</v>
      </c>
      <c r="AH2307" s="4">
        <v>62</v>
      </c>
      <c r="AI2307" s="4">
        <v>62</v>
      </c>
      <c r="AJ2307" s="4">
        <v>11</v>
      </c>
      <c r="AK2307" s="4">
        <v>12</v>
      </c>
      <c r="AL2307" s="4">
        <v>26</v>
      </c>
      <c r="AM2307" s="4">
        <v>26</v>
      </c>
      <c r="AN2307" s="4">
        <v>0</v>
      </c>
      <c r="AO2307" s="4">
        <v>0</v>
      </c>
      <c r="AP2307" s="4">
        <v>15</v>
      </c>
      <c r="AQ2307" s="4">
        <v>15</v>
      </c>
      <c r="AR2307" s="3" t="s">
        <v>64</v>
      </c>
      <c r="AS2307" s="3" t="s">
        <v>64</v>
      </c>
      <c r="AT2307" s="3" t="s">
        <v>128</v>
      </c>
      <c r="AU2307" s="6" t="str">
        <f>HYPERLINK("http://catalog.hathitrust.org/Record/002554765","HathiTrust Record")</f>
        <v>HathiTrust Record</v>
      </c>
      <c r="AV2307" s="6" t="str">
        <f>HYPERLINK("http://mcgill.on.worldcat.org/oclc/25508293","Catalog Record")</f>
        <v>Catalog Record</v>
      </c>
      <c r="AW2307" s="6" t="str">
        <f>HYPERLINK("http://www.worldcat.org/oclc/25508293","WorldCat Record")</f>
        <v>WorldCat Record</v>
      </c>
      <c r="AX2307" s="3" t="s">
        <v>23452</v>
      </c>
      <c r="AY2307" s="3" t="s">
        <v>23453</v>
      </c>
      <c r="AZ2307" s="3" t="s">
        <v>23454</v>
      </c>
      <c r="BA2307" s="3" t="s">
        <v>23454</v>
      </c>
      <c r="BB2307" s="3" t="s">
        <v>23455</v>
      </c>
      <c r="BC2307" s="3" t="s">
        <v>77</v>
      </c>
      <c r="BD2307" s="3" t="s">
        <v>78</v>
      </c>
      <c r="BE2307" s="3" t="s">
        <v>23456</v>
      </c>
      <c r="BF2307" s="3" t="s">
        <v>23455</v>
      </c>
      <c r="BG2307" s="3" t="s">
        <v>23457</v>
      </c>
      <c r="BH2307">
        <f t="shared" si="58"/>
        <v>0</v>
      </c>
    </row>
    <row r="2308" spans="1:60" ht="58" x14ac:dyDescent="0.35">
      <c r="A2308" s="2" t="s">
        <v>59</v>
      </c>
      <c r="B2308" s="2" t="s">
        <v>60</v>
      </c>
      <c r="C2308" s="2" t="s">
        <v>23458</v>
      </c>
      <c r="D2308" s="2" t="s">
        <v>23459</v>
      </c>
      <c r="E2308" s="2" t="s">
        <v>23460</v>
      </c>
      <c r="G2308" s="3" t="s">
        <v>64</v>
      </c>
      <c r="I2308" s="3" t="s">
        <v>64</v>
      </c>
      <c r="J2308" s="3" t="s">
        <v>64</v>
      </c>
      <c r="K2308" s="3" t="s">
        <v>65</v>
      </c>
      <c r="L2308" s="2" t="s">
        <v>23461</v>
      </c>
      <c r="M2308" s="2" t="s">
        <v>23462</v>
      </c>
      <c r="N2308" s="3" t="s">
        <v>2067</v>
      </c>
      <c r="P2308" s="3" t="s">
        <v>102</v>
      </c>
      <c r="R2308" s="3" t="s">
        <v>70</v>
      </c>
      <c r="S2308" s="4">
        <v>11</v>
      </c>
      <c r="T2308" s="4">
        <v>11</v>
      </c>
      <c r="U2308" s="5" t="s">
        <v>17072</v>
      </c>
      <c r="V2308" s="5" t="s">
        <v>17072</v>
      </c>
      <c r="W2308" s="5" t="s">
        <v>72</v>
      </c>
      <c r="X2308" s="5" t="s">
        <v>72</v>
      </c>
      <c r="Y2308" s="4">
        <v>404</v>
      </c>
      <c r="Z2308" s="4">
        <v>25</v>
      </c>
      <c r="AA2308" s="4">
        <v>27</v>
      </c>
      <c r="AB2308" s="4">
        <v>1</v>
      </c>
      <c r="AC2308" s="4">
        <v>2</v>
      </c>
      <c r="AD2308" s="4">
        <v>83</v>
      </c>
      <c r="AE2308" s="4">
        <v>84</v>
      </c>
      <c r="AF2308" s="4">
        <v>0</v>
      </c>
      <c r="AG2308" s="4">
        <v>1</v>
      </c>
      <c r="AH2308" s="4">
        <v>78</v>
      </c>
      <c r="AI2308" s="4">
        <v>78</v>
      </c>
      <c r="AJ2308" s="4">
        <v>11</v>
      </c>
      <c r="AK2308" s="4">
        <v>12</v>
      </c>
      <c r="AL2308" s="4">
        <v>36</v>
      </c>
      <c r="AM2308" s="4">
        <v>36</v>
      </c>
      <c r="AN2308" s="4">
        <v>0</v>
      </c>
      <c r="AO2308" s="4">
        <v>0</v>
      </c>
      <c r="AP2308" s="4">
        <v>10</v>
      </c>
      <c r="AQ2308" s="4">
        <v>10</v>
      </c>
      <c r="AR2308" s="3" t="s">
        <v>64</v>
      </c>
      <c r="AS2308" s="3" t="s">
        <v>64</v>
      </c>
      <c r="AT2308" s="3" t="s">
        <v>128</v>
      </c>
      <c r="AU2308" s="6" t="str">
        <f>HYPERLINK("http://catalog.hathitrust.org/Record/001843687","HathiTrust Record")</f>
        <v>HathiTrust Record</v>
      </c>
      <c r="AV2308" s="6" t="str">
        <f>HYPERLINK("http://mcgill.on.worldcat.org/oclc/19920917","Catalog Record")</f>
        <v>Catalog Record</v>
      </c>
      <c r="AW2308" s="6" t="str">
        <f>HYPERLINK("http://www.worldcat.org/oclc/19920917","WorldCat Record")</f>
        <v>WorldCat Record</v>
      </c>
      <c r="AX2308" s="3" t="s">
        <v>23463</v>
      </c>
      <c r="AY2308" s="3" t="s">
        <v>23464</v>
      </c>
      <c r="AZ2308" s="3" t="s">
        <v>23465</v>
      </c>
      <c r="BA2308" s="3" t="s">
        <v>23465</v>
      </c>
      <c r="BB2308" s="3" t="s">
        <v>23466</v>
      </c>
      <c r="BC2308" s="3" t="s">
        <v>77</v>
      </c>
      <c r="BD2308" s="3" t="s">
        <v>78</v>
      </c>
      <c r="BE2308" s="3" t="s">
        <v>23467</v>
      </c>
      <c r="BF2308" s="3" t="s">
        <v>23466</v>
      </c>
      <c r="BG2308" s="3" t="s">
        <v>23468</v>
      </c>
      <c r="BH2308">
        <f t="shared" si="58"/>
        <v>0</v>
      </c>
    </row>
    <row r="2309" spans="1:60" ht="116" x14ac:dyDescent="0.35">
      <c r="A2309" s="2" t="s">
        <v>59</v>
      </c>
      <c r="B2309" s="2" t="s">
        <v>60</v>
      </c>
      <c r="C2309" s="2" t="s">
        <v>23469</v>
      </c>
      <c r="D2309" s="2" t="s">
        <v>23470</v>
      </c>
      <c r="E2309" s="2" t="s">
        <v>23471</v>
      </c>
      <c r="G2309" s="3" t="s">
        <v>64</v>
      </c>
      <c r="I2309" s="3" t="s">
        <v>64</v>
      </c>
      <c r="J2309" s="3" t="s">
        <v>64</v>
      </c>
      <c r="K2309" s="3" t="s">
        <v>65</v>
      </c>
      <c r="M2309" s="2" t="s">
        <v>23472</v>
      </c>
      <c r="N2309" s="3" t="s">
        <v>67</v>
      </c>
      <c r="P2309" s="3" t="s">
        <v>102</v>
      </c>
      <c r="R2309" s="3" t="s">
        <v>70</v>
      </c>
      <c r="S2309" s="4">
        <v>3</v>
      </c>
      <c r="T2309" s="4">
        <v>3</v>
      </c>
      <c r="U2309" s="5" t="s">
        <v>12192</v>
      </c>
      <c r="V2309" s="5" t="s">
        <v>12192</v>
      </c>
      <c r="W2309" s="5" t="s">
        <v>72</v>
      </c>
      <c r="X2309" s="5" t="s">
        <v>72</v>
      </c>
      <c r="Y2309" s="4">
        <v>311</v>
      </c>
      <c r="Z2309" s="4">
        <v>16</v>
      </c>
      <c r="AA2309" s="4">
        <v>85</v>
      </c>
      <c r="AB2309" s="4">
        <v>1</v>
      </c>
      <c r="AC2309" s="4">
        <v>14</v>
      </c>
      <c r="AD2309" s="4">
        <v>36</v>
      </c>
      <c r="AE2309" s="4">
        <v>110</v>
      </c>
      <c r="AF2309" s="4">
        <v>0</v>
      </c>
      <c r="AG2309" s="4">
        <v>8</v>
      </c>
      <c r="AH2309" s="4">
        <v>35</v>
      </c>
      <c r="AI2309" s="4">
        <v>75</v>
      </c>
      <c r="AJ2309" s="4">
        <v>4</v>
      </c>
      <c r="AK2309" s="4">
        <v>19</v>
      </c>
      <c r="AL2309" s="4">
        <v>14</v>
      </c>
      <c r="AM2309" s="4">
        <v>36</v>
      </c>
      <c r="AN2309" s="4">
        <v>0</v>
      </c>
      <c r="AO2309" s="4">
        <v>0</v>
      </c>
      <c r="AP2309" s="4">
        <v>5</v>
      </c>
      <c r="AQ2309" s="4">
        <v>40</v>
      </c>
      <c r="AR2309" s="3" t="s">
        <v>64</v>
      </c>
      <c r="AS2309" s="3" t="s">
        <v>64</v>
      </c>
      <c r="AT2309" s="3" t="s">
        <v>64</v>
      </c>
      <c r="AV2309" s="6" t="str">
        <f>HYPERLINK("http://mcgill.on.worldcat.org/oclc/845349598","Catalog Record")</f>
        <v>Catalog Record</v>
      </c>
      <c r="AW2309" s="6" t="str">
        <f>HYPERLINK("http://www.worldcat.org/oclc/845349598","WorldCat Record")</f>
        <v>WorldCat Record</v>
      </c>
      <c r="AX2309" s="3" t="s">
        <v>23473</v>
      </c>
      <c r="AY2309" s="3" t="s">
        <v>23474</v>
      </c>
      <c r="AZ2309" s="3" t="s">
        <v>23475</v>
      </c>
      <c r="BA2309" s="3" t="s">
        <v>23475</v>
      </c>
      <c r="BB2309" s="3" t="s">
        <v>23476</v>
      </c>
      <c r="BC2309" s="3" t="s">
        <v>77</v>
      </c>
      <c r="BD2309" s="3" t="s">
        <v>78</v>
      </c>
      <c r="BE2309" s="3" t="s">
        <v>23477</v>
      </c>
      <c r="BF2309" s="3" t="s">
        <v>23476</v>
      </c>
      <c r="BG2309" s="3" t="s">
        <v>23478</v>
      </c>
      <c r="BH2309">
        <f t="shared" si="58"/>
        <v>0</v>
      </c>
    </row>
    <row r="2310" spans="1:60" ht="58" x14ac:dyDescent="0.35">
      <c r="A2310" s="2" t="s">
        <v>59</v>
      </c>
      <c r="B2310" s="2" t="s">
        <v>60</v>
      </c>
      <c r="C2310" s="2" t="s">
        <v>23479</v>
      </c>
      <c r="D2310" s="2" t="s">
        <v>23480</v>
      </c>
      <c r="E2310" s="2" t="s">
        <v>23481</v>
      </c>
      <c r="F2310" s="3" t="s">
        <v>7062</v>
      </c>
      <c r="G2310" s="3" t="s">
        <v>64</v>
      </c>
      <c r="I2310" s="3" t="s">
        <v>64</v>
      </c>
      <c r="J2310" s="3" t="s">
        <v>64</v>
      </c>
      <c r="K2310" s="3" t="s">
        <v>65</v>
      </c>
      <c r="L2310" s="2" t="s">
        <v>23482</v>
      </c>
      <c r="M2310" s="2" t="s">
        <v>16038</v>
      </c>
      <c r="N2310" s="3" t="s">
        <v>153</v>
      </c>
      <c r="P2310" s="3" t="s">
        <v>102</v>
      </c>
      <c r="R2310" s="3" t="s">
        <v>70</v>
      </c>
      <c r="S2310" s="4">
        <v>7</v>
      </c>
      <c r="T2310" s="4">
        <v>7</v>
      </c>
      <c r="U2310" s="5" t="s">
        <v>23483</v>
      </c>
      <c r="V2310" s="5" t="s">
        <v>23483</v>
      </c>
      <c r="W2310" s="5" t="s">
        <v>72</v>
      </c>
      <c r="X2310" s="5" t="s">
        <v>72</v>
      </c>
      <c r="Y2310" s="4">
        <v>411</v>
      </c>
      <c r="Z2310" s="4">
        <v>16</v>
      </c>
      <c r="AA2310" s="4">
        <v>97</v>
      </c>
      <c r="AB2310" s="4">
        <v>1</v>
      </c>
      <c r="AC2310" s="4">
        <v>17</v>
      </c>
      <c r="AD2310" s="4">
        <v>95</v>
      </c>
      <c r="AE2310" s="4">
        <v>139</v>
      </c>
      <c r="AF2310" s="4">
        <v>0</v>
      </c>
      <c r="AG2310" s="4">
        <v>8</v>
      </c>
      <c r="AH2310" s="4">
        <v>91</v>
      </c>
      <c r="AI2310" s="4">
        <v>106</v>
      </c>
      <c r="AJ2310" s="4">
        <v>11</v>
      </c>
      <c r="AK2310" s="4">
        <v>21</v>
      </c>
      <c r="AL2310" s="4">
        <v>43</v>
      </c>
      <c r="AM2310" s="4">
        <v>53</v>
      </c>
      <c r="AN2310" s="4">
        <v>0</v>
      </c>
      <c r="AO2310" s="4">
        <v>0</v>
      </c>
      <c r="AP2310" s="4">
        <v>11</v>
      </c>
      <c r="AQ2310" s="4">
        <v>42</v>
      </c>
      <c r="AR2310" s="3" t="s">
        <v>64</v>
      </c>
      <c r="AS2310" s="3" t="s">
        <v>64</v>
      </c>
      <c r="AT2310" s="3" t="s">
        <v>64</v>
      </c>
      <c r="AV2310" s="6" t="str">
        <f>HYPERLINK("http://mcgill.on.worldcat.org/oclc/38147836","Catalog Record")</f>
        <v>Catalog Record</v>
      </c>
      <c r="AW2310" s="6" t="str">
        <f>HYPERLINK("http://www.worldcat.org/oclc/38147836","WorldCat Record")</f>
        <v>WorldCat Record</v>
      </c>
      <c r="AX2310" s="3" t="s">
        <v>23484</v>
      </c>
      <c r="AY2310" s="3" t="s">
        <v>23485</v>
      </c>
      <c r="AZ2310" s="3" t="s">
        <v>23486</v>
      </c>
      <c r="BA2310" s="3" t="s">
        <v>23486</v>
      </c>
      <c r="BB2310" s="3" t="s">
        <v>23487</v>
      </c>
      <c r="BC2310" s="3" t="s">
        <v>77</v>
      </c>
      <c r="BD2310" s="3" t="s">
        <v>78</v>
      </c>
      <c r="BE2310" s="3" t="s">
        <v>23488</v>
      </c>
      <c r="BF2310" s="3" t="s">
        <v>23487</v>
      </c>
      <c r="BG2310" s="3" t="s">
        <v>23489</v>
      </c>
      <c r="BH2310">
        <f t="shared" si="58"/>
        <v>0</v>
      </c>
    </row>
    <row r="2311" spans="1:60" ht="58" x14ac:dyDescent="0.35">
      <c r="A2311" s="2" t="s">
        <v>59</v>
      </c>
      <c r="B2311" s="2" t="s">
        <v>60</v>
      </c>
      <c r="C2311" s="2" t="s">
        <v>23490</v>
      </c>
      <c r="D2311" s="2" t="s">
        <v>23491</v>
      </c>
      <c r="E2311" s="2" t="s">
        <v>23492</v>
      </c>
      <c r="G2311" s="3" t="s">
        <v>64</v>
      </c>
      <c r="I2311" s="3" t="s">
        <v>64</v>
      </c>
      <c r="J2311" s="3" t="s">
        <v>64</v>
      </c>
      <c r="K2311" s="3" t="s">
        <v>65</v>
      </c>
      <c r="L2311" s="2" t="s">
        <v>23493</v>
      </c>
      <c r="M2311" s="2" t="s">
        <v>23494</v>
      </c>
      <c r="N2311" s="3" t="s">
        <v>392</v>
      </c>
      <c r="P2311" s="3" t="s">
        <v>102</v>
      </c>
      <c r="R2311" s="3" t="s">
        <v>70</v>
      </c>
      <c r="S2311" s="4">
        <v>5</v>
      </c>
      <c r="T2311" s="4">
        <v>5</v>
      </c>
      <c r="U2311" s="5" t="s">
        <v>19981</v>
      </c>
      <c r="V2311" s="5" t="s">
        <v>19981</v>
      </c>
      <c r="W2311" s="5" t="s">
        <v>72</v>
      </c>
      <c r="X2311" s="5" t="s">
        <v>72</v>
      </c>
      <c r="Y2311" s="4">
        <v>170</v>
      </c>
      <c r="Z2311" s="4">
        <v>8</v>
      </c>
      <c r="AA2311" s="4">
        <v>8</v>
      </c>
      <c r="AB2311" s="4">
        <v>1</v>
      </c>
      <c r="AC2311" s="4">
        <v>1</v>
      </c>
      <c r="AD2311" s="4">
        <v>43</v>
      </c>
      <c r="AE2311" s="4">
        <v>43</v>
      </c>
      <c r="AF2311" s="4">
        <v>0</v>
      </c>
      <c r="AG2311" s="4">
        <v>0</v>
      </c>
      <c r="AH2311" s="4">
        <v>42</v>
      </c>
      <c r="AI2311" s="4">
        <v>42</v>
      </c>
      <c r="AJ2311" s="4">
        <v>5</v>
      </c>
      <c r="AK2311" s="4">
        <v>5</v>
      </c>
      <c r="AL2311" s="4">
        <v>21</v>
      </c>
      <c r="AM2311" s="4">
        <v>21</v>
      </c>
      <c r="AN2311" s="4">
        <v>0</v>
      </c>
      <c r="AO2311" s="4">
        <v>0</v>
      </c>
      <c r="AP2311" s="4">
        <v>5</v>
      </c>
      <c r="AQ2311" s="4">
        <v>5</v>
      </c>
      <c r="AR2311" s="3" t="s">
        <v>64</v>
      </c>
      <c r="AS2311" s="3" t="s">
        <v>64</v>
      </c>
      <c r="AT2311" s="3" t="s">
        <v>64</v>
      </c>
      <c r="AV2311" s="6" t="str">
        <f>HYPERLINK("http://mcgill.on.worldcat.org/oclc/40940154","Catalog Record")</f>
        <v>Catalog Record</v>
      </c>
      <c r="AW2311" s="6" t="str">
        <f>HYPERLINK("http://www.worldcat.org/oclc/40940154","WorldCat Record")</f>
        <v>WorldCat Record</v>
      </c>
      <c r="AX2311" s="3" t="s">
        <v>23495</v>
      </c>
      <c r="AY2311" s="3" t="s">
        <v>23496</v>
      </c>
      <c r="AZ2311" s="3" t="s">
        <v>23497</v>
      </c>
      <c r="BA2311" s="3" t="s">
        <v>23497</v>
      </c>
      <c r="BB2311" s="3" t="s">
        <v>23498</v>
      </c>
      <c r="BC2311" s="3" t="s">
        <v>77</v>
      </c>
      <c r="BD2311" s="3" t="s">
        <v>78</v>
      </c>
      <c r="BE2311" s="3" t="s">
        <v>23499</v>
      </c>
      <c r="BF2311" s="3" t="s">
        <v>23498</v>
      </c>
      <c r="BG2311" s="3" t="s">
        <v>23500</v>
      </c>
      <c r="BH2311">
        <f t="shared" si="58"/>
        <v>0</v>
      </c>
    </row>
    <row r="2312" spans="1:60" ht="58" x14ac:dyDescent="0.35">
      <c r="A2312" s="2" t="s">
        <v>59</v>
      </c>
      <c r="B2312" s="2" t="s">
        <v>60</v>
      </c>
      <c r="C2312" s="2" t="s">
        <v>23501</v>
      </c>
      <c r="D2312" s="2" t="s">
        <v>23502</v>
      </c>
      <c r="E2312" s="2" t="s">
        <v>23503</v>
      </c>
      <c r="G2312" s="3" t="s">
        <v>64</v>
      </c>
      <c r="I2312" s="3" t="s">
        <v>64</v>
      </c>
      <c r="J2312" s="3" t="s">
        <v>64</v>
      </c>
      <c r="K2312" s="3" t="s">
        <v>65</v>
      </c>
      <c r="L2312" s="2" t="s">
        <v>23504</v>
      </c>
      <c r="M2312" s="2" t="s">
        <v>16372</v>
      </c>
      <c r="N2312" s="3" t="s">
        <v>1263</v>
      </c>
      <c r="P2312" s="3" t="s">
        <v>102</v>
      </c>
      <c r="R2312" s="3" t="s">
        <v>70</v>
      </c>
      <c r="S2312" s="4">
        <v>65</v>
      </c>
      <c r="T2312" s="4">
        <v>65</v>
      </c>
      <c r="U2312" s="5" t="s">
        <v>19981</v>
      </c>
      <c r="V2312" s="5" t="s">
        <v>19981</v>
      </c>
      <c r="W2312" s="5" t="s">
        <v>72</v>
      </c>
      <c r="X2312" s="5" t="s">
        <v>72</v>
      </c>
      <c r="Y2312" s="4">
        <v>370</v>
      </c>
      <c r="Z2312" s="4">
        <v>14</v>
      </c>
      <c r="AA2312" s="4">
        <v>15</v>
      </c>
      <c r="AB2312" s="4">
        <v>1</v>
      </c>
      <c r="AC2312" s="4">
        <v>2</v>
      </c>
      <c r="AD2312" s="4">
        <v>79</v>
      </c>
      <c r="AE2312" s="4">
        <v>80</v>
      </c>
      <c r="AF2312" s="4">
        <v>0</v>
      </c>
      <c r="AG2312" s="4">
        <v>1</v>
      </c>
      <c r="AH2312" s="4">
        <v>74</v>
      </c>
      <c r="AI2312" s="4">
        <v>74</v>
      </c>
      <c r="AJ2312" s="4">
        <v>9</v>
      </c>
      <c r="AK2312" s="4">
        <v>10</v>
      </c>
      <c r="AL2312" s="4">
        <v>33</v>
      </c>
      <c r="AM2312" s="4">
        <v>33</v>
      </c>
      <c r="AN2312" s="4">
        <v>0</v>
      </c>
      <c r="AO2312" s="4">
        <v>0</v>
      </c>
      <c r="AP2312" s="4">
        <v>10</v>
      </c>
      <c r="AQ2312" s="4">
        <v>10</v>
      </c>
      <c r="AR2312" s="3" t="s">
        <v>64</v>
      </c>
      <c r="AS2312" s="3" t="s">
        <v>64</v>
      </c>
      <c r="AT2312" s="3" t="s">
        <v>128</v>
      </c>
      <c r="AU2312" s="6" t="str">
        <f>HYPERLINK("http://catalog.hathitrust.org/Record/002700952","HathiTrust Record")</f>
        <v>HathiTrust Record</v>
      </c>
      <c r="AV2312" s="6" t="str">
        <f>HYPERLINK("http://mcgill.on.worldcat.org/oclc/27813446","Catalog Record")</f>
        <v>Catalog Record</v>
      </c>
      <c r="AW2312" s="6" t="str">
        <f>HYPERLINK("http://www.worldcat.org/oclc/27813446","WorldCat Record")</f>
        <v>WorldCat Record</v>
      </c>
      <c r="AX2312" s="3" t="s">
        <v>23505</v>
      </c>
      <c r="AY2312" s="3" t="s">
        <v>23506</v>
      </c>
      <c r="AZ2312" s="3" t="s">
        <v>23507</v>
      </c>
      <c r="BA2312" s="3" t="s">
        <v>23507</v>
      </c>
      <c r="BB2312" s="3" t="s">
        <v>23508</v>
      </c>
      <c r="BC2312" s="3" t="s">
        <v>77</v>
      </c>
      <c r="BD2312" s="3" t="s">
        <v>78</v>
      </c>
      <c r="BE2312" s="3" t="s">
        <v>23509</v>
      </c>
      <c r="BF2312" s="3" t="s">
        <v>23508</v>
      </c>
      <c r="BG2312" s="3" t="s">
        <v>23510</v>
      </c>
      <c r="BH2312">
        <f t="shared" si="58"/>
        <v>0</v>
      </c>
    </row>
    <row r="2313" spans="1:60" ht="58" x14ac:dyDescent="0.35">
      <c r="A2313" s="2" t="s">
        <v>59</v>
      </c>
      <c r="B2313" s="2" t="s">
        <v>60</v>
      </c>
      <c r="C2313" s="2" t="s">
        <v>23511</v>
      </c>
      <c r="D2313" s="2" t="s">
        <v>23512</v>
      </c>
      <c r="E2313" s="2" t="s">
        <v>23513</v>
      </c>
      <c r="G2313" s="3" t="s">
        <v>64</v>
      </c>
      <c r="I2313" s="3" t="s">
        <v>64</v>
      </c>
      <c r="J2313" s="3" t="s">
        <v>64</v>
      </c>
      <c r="K2313" s="3" t="s">
        <v>65</v>
      </c>
      <c r="L2313" s="2" t="s">
        <v>23514</v>
      </c>
      <c r="M2313" s="2" t="s">
        <v>14376</v>
      </c>
      <c r="N2313" s="3" t="s">
        <v>551</v>
      </c>
      <c r="P2313" s="3" t="s">
        <v>102</v>
      </c>
      <c r="R2313" s="3" t="s">
        <v>70</v>
      </c>
      <c r="S2313" s="4">
        <v>7</v>
      </c>
      <c r="T2313" s="4">
        <v>7</v>
      </c>
      <c r="U2313" s="5" t="s">
        <v>23483</v>
      </c>
      <c r="V2313" s="5" t="s">
        <v>23483</v>
      </c>
      <c r="W2313" s="5" t="s">
        <v>72</v>
      </c>
      <c r="X2313" s="5" t="s">
        <v>72</v>
      </c>
      <c r="Y2313" s="4">
        <v>171</v>
      </c>
      <c r="Z2313" s="4">
        <v>6</v>
      </c>
      <c r="AA2313" s="4">
        <v>9</v>
      </c>
      <c r="AB2313" s="4">
        <v>2</v>
      </c>
      <c r="AC2313" s="4">
        <v>2</v>
      </c>
      <c r="AD2313" s="4">
        <v>30</v>
      </c>
      <c r="AE2313" s="4">
        <v>31</v>
      </c>
      <c r="AF2313" s="4">
        <v>0</v>
      </c>
      <c r="AG2313" s="4">
        <v>0</v>
      </c>
      <c r="AH2313" s="4">
        <v>30</v>
      </c>
      <c r="AI2313" s="4">
        <v>31</v>
      </c>
      <c r="AJ2313" s="4">
        <v>2</v>
      </c>
      <c r="AK2313" s="4">
        <v>3</v>
      </c>
      <c r="AL2313" s="4">
        <v>14</v>
      </c>
      <c r="AM2313" s="4">
        <v>15</v>
      </c>
      <c r="AN2313" s="4">
        <v>0</v>
      </c>
      <c r="AO2313" s="4">
        <v>0</v>
      </c>
      <c r="AP2313" s="4">
        <v>2</v>
      </c>
      <c r="AQ2313" s="4">
        <v>3</v>
      </c>
      <c r="AR2313" s="3" t="s">
        <v>64</v>
      </c>
      <c r="AS2313" s="3" t="s">
        <v>64</v>
      </c>
      <c r="AT2313" s="3" t="s">
        <v>64</v>
      </c>
      <c r="AV2313" s="6" t="str">
        <f>HYPERLINK("http://mcgill.on.worldcat.org/oclc/229446333","Catalog Record")</f>
        <v>Catalog Record</v>
      </c>
      <c r="AW2313" s="6" t="str">
        <f>HYPERLINK("http://www.worldcat.org/oclc/229446333","WorldCat Record")</f>
        <v>WorldCat Record</v>
      </c>
      <c r="AX2313" s="3" t="s">
        <v>23515</v>
      </c>
      <c r="AY2313" s="3" t="s">
        <v>23516</v>
      </c>
      <c r="AZ2313" s="3" t="s">
        <v>23517</v>
      </c>
      <c r="BA2313" s="3" t="s">
        <v>23517</v>
      </c>
      <c r="BB2313" s="3" t="s">
        <v>23518</v>
      </c>
      <c r="BC2313" s="3" t="s">
        <v>77</v>
      </c>
      <c r="BD2313" s="3" t="s">
        <v>78</v>
      </c>
      <c r="BE2313" s="3" t="s">
        <v>23519</v>
      </c>
      <c r="BF2313" s="3" t="s">
        <v>23518</v>
      </c>
      <c r="BG2313" s="3" t="s">
        <v>23520</v>
      </c>
      <c r="BH2313">
        <f t="shared" si="58"/>
        <v>0</v>
      </c>
    </row>
    <row r="2314" spans="1:60" ht="58" x14ac:dyDescent="0.35">
      <c r="A2314" s="2" t="s">
        <v>59</v>
      </c>
      <c r="B2314" s="2" t="s">
        <v>60</v>
      </c>
      <c r="C2314" s="2" t="s">
        <v>23521</v>
      </c>
      <c r="D2314" s="2" t="s">
        <v>23522</v>
      </c>
      <c r="E2314" s="2" t="s">
        <v>23523</v>
      </c>
      <c r="G2314" s="3" t="s">
        <v>64</v>
      </c>
      <c r="I2314" s="3" t="s">
        <v>64</v>
      </c>
      <c r="J2314" s="3" t="s">
        <v>64</v>
      </c>
      <c r="K2314" s="3" t="s">
        <v>65</v>
      </c>
      <c r="L2314" s="2" t="s">
        <v>23524</v>
      </c>
      <c r="M2314" s="2" t="s">
        <v>23525</v>
      </c>
      <c r="N2314" s="3" t="s">
        <v>1263</v>
      </c>
      <c r="P2314" s="3" t="s">
        <v>102</v>
      </c>
      <c r="R2314" s="3" t="s">
        <v>70</v>
      </c>
      <c r="S2314" s="4">
        <v>16</v>
      </c>
      <c r="T2314" s="4">
        <v>16</v>
      </c>
      <c r="U2314" s="5" t="s">
        <v>19981</v>
      </c>
      <c r="V2314" s="5" t="s">
        <v>19981</v>
      </c>
      <c r="W2314" s="5" t="s">
        <v>72</v>
      </c>
      <c r="X2314" s="5" t="s">
        <v>72</v>
      </c>
      <c r="Y2314" s="4">
        <v>241</v>
      </c>
      <c r="Z2314" s="4">
        <v>17</v>
      </c>
      <c r="AA2314" s="4">
        <v>42</v>
      </c>
      <c r="AB2314" s="4">
        <v>1</v>
      </c>
      <c r="AC2314" s="4">
        <v>6</v>
      </c>
      <c r="AD2314" s="4">
        <v>58</v>
      </c>
      <c r="AE2314" s="4">
        <v>76</v>
      </c>
      <c r="AF2314" s="4">
        <v>0</v>
      </c>
      <c r="AG2314" s="4">
        <v>1</v>
      </c>
      <c r="AH2314" s="4">
        <v>51</v>
      </c>
      <c r="AI2314" s="4">
        <v>66</v>
      </c>
      <c r="AJ2314" s="4">
        <v>9</v>
      </c>
      <c r="AK2314" s="4">
        <v>10</v>
      </c>
      <c r="AL2314" s="4">
        <v>22</v>
      </c>
      <c r="AM2314" s="4">
        <v>31</v>
      </c>
      <c r="AN2314" s="4">
        <v>0</v>
      </c>
      <c r="AO2314" s="4">
        <v>0</v>
      </c>
      <c r="AP2314" s="4">
        <v>10</v>
      </c>
      <c r="AQ2314" s="4">
        <v>12</v>
      </c>
      <c r="AR2314" s="3" t="s">
        <v>64</v>
      </c>
      <c r="AS2314" s="3" t="s">
        <v>64</v>
      </c>
      <c r="AT2314" s="3" t="s">
        <v>64</v>
      </c>
      <c r="AV2314" s="6" t="str">
        <f>HYPERLINK("http://mcgill.on.worldcat.org/oclc/27726947","Catalog Record")</f>
        <v>Catalog Record</v>
      </c>
      <c r="AW2314" s="6" t="str">
        <f>HYPERLINK("http://www.worldcat.org/oclc/27726947","WorldCat Record")</f>
        <v>WorldCat Record</v>
      </c>
      <c r="AX2314" s="3" t="s">
        <v>23526</v>
      </c>
      <c r="AY2314" s="3" t="s">
        <v>23527</v>
      </c>
      <c r="AZ2314" s="3" t="s">
        <v>23528</v>
      </c>
      <c r="BA2314" s="3" t="s">
        <v>23528</v>
      </c>
      <c r="BB2314" s="3" t="s">
        <v>23529</v>
      </c>
      <c r="BC2314" s="3" t="s">
        <v>77</v>
      </c>
      <c r="BD2314" s="3" t="s">
        <v>78</v>
      </c>
      <c r="BE2314" s="3" t="s">
        <v>23530</v>
      </c>
      <c r="BF2314" s="3" t="s">
        <v>23529</v>
      </c>
      <c r="BG2314" s="3" t="s">
        <v>23531</v>
      </c>
      <c r="BH2314">
        <f t="shared" si="58"/>
        <v>0</v>
      </c>
    </row>
    <row r="2315" spans="1:60" ht="58" x14ac:dyDescent="0.35">
      <c r="A2315" s="2" t="s">
        <v>59</v>
      </c>
      <c r="B2315" s="2" t="s">
        <v>60</v>
      </c>
      <c r="C2315" s="2" t="s">
        <v>23532</v>
      </c>
      <c r="D2315" s="2" t="s">
        <v>23533</v>
      </c>
      <c r="E2315" s="2" t="s">
        <v>23534</v>
      </c>
      <c r="G2315" s="3" t="s">
        <v>64</v>
      </c>
      <c r="I2315" s="3" t="s">
        <v>64</v>
      </c>
      <c r="J2315" s="3" t="s">
        <v>64</v>
      </c>
      <c r="K2315" s="3" t="s">
        <v>65</v>
      </c>
      <c r="M2315" s="2" t="s">
        <v>14044</v>
      </c>
      <c r="N2315" s="3" t="s">
        <v>326</v>
      </c>
      <c r="P2315" s="3" t="s">
        <v>102</v>
      </c>
      <c r="R2315" s="3" t="s">
        <v>70</v>
      </c>
      <c r="S2315" s="4">
        <v>6</v>
      </c>
      <c r="T2315" s="4">
        <v>6</v>
      </c>
      <c r="U2315" s="5" t="s">
        <v>19981</v>
      </c>
      <c r="V2315" s="5" t="s">
        <v>19981</v>
      </c>
      <c r="W2315" s="5" t="s">
        <v>72</v>
      </c>
      <c r="X2315" s="5" t="s">
        <v>72</v>
      </c>
      <c r="Y2315" s="4">
        <v>454</v>
      </c>
      <c r="Z2315" s="4">
        <v>22</v>
      </c>
      <c r="AA2315" s="4">
        <v>108</v>
      </c>
      <c r="AB2315" s="4">
        <v>2</v>
      </c>
      <c r="AC2315" s="4">
        <v>18</v>
      </c>
      <c r="AD2315" s="4">
        <v>71</v>
      </c>
      <c r="AE2315" s="4">
        <v>134</v>
      </c>
      <c r="AF2315" s="4">
        <v>0</v>
      </c>
      <c r="AG2315" s="4">
        <v>8</v>
      </c>
      <c r="AH2315" s="4">
        <v>66</v>
      </c>
      <c r="AI2315" s="4">
        <v>94</v>
      </c>
      <c r="AJ2315" s="4">
        <v>7</v>
      </c>
      <c r="AK2315" s="4">
        <v>21</v>
      </c>
      <c r="AL2315" s="4">
        <v>33</v>
      </c>
      <c r="AM2315" s="4">
        <v>51</v>
      </c>
      <c r="AN2315" s="4">
        <v>0</v>
      </c>
      <c r="AO2315" s="4">
        <v>0</v>
      </c>
      <c r="AP2315" s="4">
        <v>10</v>
      </c>
      <c r="AQ2315" s="4">
        <v>45</v>
      </c>
      <c r="AR2315" s="3" t="s">
        <v>64</v>
      </c>
      <c r="AS2315" s="3" t="s">
        <v>64</v>
      </c>
      <c r="AT2315" s="3" t="s">
        <v>64</v>
      </c>
      <c r="AV2315" s="6" t="str">
        <f>HYPERLINK("http://mcgill.on.worldcat.org/oclc/663822323","Catalog Record")</f>
        <v>Catalog Record</v>
      </c>
      <c r="AW2315" s="6" t="str">
        <f>HYPERLINK("http://www.worldcat.org/oclc/663822323","WorldCat Record")</f>
        <v>WorldCat Record</v>
      </c>
      <c r="AX2315" s="3" t="s">
        <v>23535</v>
      </c>
      <c r="AY2315" s="3" t="s">
        <v>23536</v>
      </c>
      <c r="AZ2315" s="3" t="s">
        <v>23537</v>
      </c>
      <c r="BA2315" s="3" t="s">
        <v>23537</v>
      </c>
      <c r="BB2315" s="3" t="s">
        <v>23538</v>
      </c>
      <c r="BC2315" s="3" t="s">
        <v>77</v>
      </c>
      <c r="BD2315" s="3" t="s">
        <v>78</v>
      </c>
      <c r="BE2315" s="3" t="s">
        <v>23539</v>
      </c>
      <c r="BF2315" s="3" t="s">
        <v>23538</v>
      </c>
      <c r="BG2315" s="3" t="s">
        <v>23540</v>
      </c>
      <c r="BH2315">
        <f t="shared" si="58"/>
        <v>0</v>
      </c>
    </row>
    <row r="2316" spans="1:60" ht="58" x14ac:dyDescent="0.35">
      <c r="A2316" s="2" t="s">
        <v>59</v>
      </c>
      <c r="B2316" s="2" t="s">
        <v>60</v>
      </c>
      <c r="C2316" s="2" t="s">
        <v>23541</v>
      </c>
      <c r="D2316" s="2" t="s">
        <v>23542</v>
      </c>
      <c r="E2316" s="2" t="s">
        <v>23543</v>
      </c>
      <c r="G2316" s="3" t="s">
        <v>64</v>
      </c>
      <c r="I2316" s="3" t="s">
        <v>64</v>
      </c>
      <c r="J2316" s="3" t="s">
        <v>64</v>
      </c>
      <c r="K2316" s="3" t="s">
        <v>65</v>
      </c>
      <c r="L2316" s="2" t="s">
        <v>23544</v>
      </c>
      <c r="M2316" s="2" t="s">
        <v>23545</v>
      </c>
      <c r="N2316" s="3" t="s">
        <v>434</v>
      </c>
      <c r="P2316" s="3" t="s">
        <v>102</v>
      </c>
      <c r="Q2316" s="2" t="s">
        <v>23546</v>
      </c>
      <c r="R2316" s="3" t="s">
        <v>70</v>
      </c>
      <c r="S2316" s="4">
        <v>6</v>
      </c>
      <c r="T2316" s="4">
        <v>6</v>
      </c>
      <c r="U2316" s="5" t="s">
        <v>19981</v>
      </c>
      <c r="V2316" s="5" t="s">
        <v>19981</v>
      </c>
      <c r="W2316" s="5" t="s">
        <v>72</v>
      </c>
      <c r="X2316" s="5" t="s">
        <v>72</v>
      </c>
      <c r="Y2316" s="4">
        <v>402</v>
      </c>
      <c r="Z2316" s="4">
        <v>13</v>
      </c>
      <c r="AA2316" s="4">
        <v>22</v>
      </c>
      <c r="AB2316" s="4">
        <v>1</v>
      </c>
      <c r="AC2316" s="4">
        <v>2</v>
      </c>
      <c r="AD2316" s="4">
        <v>57</v>
      </c>
      <c r="AE2316" s="4">
        <v>62</v>
      </c>
      <c r="AF2316" s="4">
        <v>0</v>
      </c>
      <c r="AG2316" s="4">
        <v>1</v>
      </c>
      <c r="AH2316" s="4">
        <v>52</v>
      </c>
      <c r="AI2316" s="4">
        <v>57</v>
      </c>
      <c r="AJ2316" s="4">
        <v>3</v>
      </c>
      <c r="AK2316" s="4">
        <v>8</v>
      </c>
      <c r="AL2316" s="4">
        <v>26</v>
      </c>
      <c r="AM2316" s="4">
        <v>27</v>
      </c>
      <c r="AN2316" s="4">
        <v>0</v>
      </c>
      <c r="AO2316" s="4">
        <v>0</v>
      </c>
      <c r="AP2316" s="4">
        <v>5</v>
      </c>
      <c r="AQ2316" s="4">
        <v>10</v>
      </c>
      <c r="AR2316" s="3" t="s">
        <v>64</v>
      </c>
      <c r="AS2316" s="3" t="s">
        <v>64</v>
      </c>
      <c r="AT2316" s="3" t="s">
        <v>64</v>
      </c>
      <c r="AV2316" s="6" t="str">
        <f>HYPERLINK("http://mcgill.on.worldcat.org/oclc/56903991","Catalog Record")</f>
        <v>Catalog Record</v>
      </c>
      <c r="AW2316" s="6" t="str">
        <f>HYPERLINK("http://www.worldcat.org/oclc/56903991","WorldCat Record")</f>
        <v>WorldCat Record</v>
      </c>
      <c r="AX2316" s="3" t="s">
        <v>23547</v>
      </c>
      <c r="AY2316" s="3" t="s">
        <v>23548</v>
      </c>
      <c r="AZ2316" s="3" t="s">
        <v>23549</v>
      </c>
      <c r="BA2316" s="3" t="s">
        <v>23549</v>
      </c>
      <c r="BB2316" s="3" t="s">
        <v>23550</v>
      </c>
      <c r="BC2316" s="3" t="s">
        <v>77</v>
      </c>
      <c r="BD2316" s="3" t="s">
        <v>78</v>
      </c>
      <c r="BE2316" s="3" t="s">
        <v>23551</v>
      </c>
      <c r="BF2316" s="3" t="s">
        <v>23550</v>
      </c>
      <c r="BG2316" s="3" t="s">
        <v>23552</v>
      </c>
      <c r="BH2316">
        <f t="shared" si="58"/>
        <v>0</v>
      </c>
    </row>
    <row r="2317" spans="1:60" ht="58" x14ac:dyDescent="0.35">
      <c r="A2317" s="2" t="s">
        <v>59</v>
      </c>
      <c r="B2317" s="2" t="s">
        <v>60</v>
      </c>
      <c r="C2317" s="2" t="s">
        <v>23553</v>
      </c>
      <c r="D2317" s="2" t="s">
        <v>23554</v>
      </c>
      <c r="E2317" s="2" t="s">
        <v>23555</v>
      </c>
      <c r="G2317" s="3" t="s">
        <v>64</v>
      </c>
      <c r="I2317" s="3" t="s">
        <v>64</v>
      </c>
      <c r="J2317" s="3" t="s">
        <v>64</v>
      </c>
      <c r="K2317" s="3" t="s">
        <v>65</v>
      </c>
      <c r="L2317" s="2" t="s">
        <v>23556</v>
      </c>
      <c r="M2317" s="2" t="s">
        <v>23557</v>
      </c>
      <c r="N2317" s="3" t="s">
        <v>1275</v>
      </c>
      <c r="P2317" s="3" t="s">
        <v>102</v>
      </c>
      <c r="Q2317" s="2" t="s">
        <v>23558</v>
      </c>
      <c r="R2317" s="3" t="s">
        <v>70</v>
      </c>
      <c r="S2317" s="4">
        <v>3</v>
      </c>
      <c r="T2317" s="4">
        <v>3</v>
      </c>
      <c r="U2317" s="5" t="s">
        <v>23483</v>
      </c>
      <c r="V2317" s="5" t="s">
        <v>23483</v>
      </c>
      <c r="W2317" s="5" t="s">
        <v>72</v>
      </c>
      <c r="X2317" s="5" t="s">
        <v>72</v>
      </c>
      <c r="Y2317" s="4">
        <v>408</v>
      </c>
      <c r="Z2317" s="4">
        <v>11</v>
      </c>
      <c r="AA2317" s="4">
        <v>15</v>
      </c>
      <c r="AB2317" s="4">
        <v>1</v>
      </c>
      <c r="AC2317" s="4">
        <v>2</v>
      </c>
      <c r="AD2317" s="4">
        <v>54</v>
      </c>
      <c r="AE2317" s="4">
        <v>56</v>
      </c>
      <c r="AF2317" s="4">
        <v>0</v>
      </c>
      <c r="AG2317" s="4">
        <v>1</v>
      </c>
      <c r="AH2317" s="4">
        <v>53</v>
      </c>
      <c r="AI2317" s="4">
        <v>54</v>
      </c>
      <c r="AJ2317" s="4">
        <v>2</v>
      </c>
      <c r="AK2317" s="4">
        <v>4</v>
      </c>
      <c r="AL2317" s="4">
        <v>27</v>
      </c>
      <c r="AM2317" s="4">
        <v>28</v>
      </c>
      <c r="AN2317" s="4">
        <v>0</v>
      </c>
      <c r="AO2317" s="4">
        <v>0</v>
      </c>
      <c r="AP2317" s="4">
        <v>3</v>
      </c>
      <c r="AQ2317" s="4">
        <v>4</v>
      </c>
      <c r="AR2317" s="3" t="s">
        <v>64</v>
      </c>
      <c r="AS2317" s="3" t="s">
        <v>64</v>
      </c>
      <c r="AT2317" s="3" t="s">
        <v>128</v>
      </c>
      <c r="AU2317" s="6" t="str">
        <f>HYPERLINK("http://catalog.hathitrust.org/Record/004743224","HathiTrust Record")</f>
        <v>HathiTrust Record</v>
      </c>
      <c r="AV2317" s="6" t="str">
        <f>HYPERLINK("http://mcgill.on.worldcat.org/oclc/52947207","Catalog Record")</f>
        <v>Catalog Record</v>
      </c>
      <c r="AW2317" s="6" t="str">
        <f>HYPERLINK("http://www.worldcat.org/oclc/52947207","WorldCat Record")</f>
        <v>WorldCat Record</v>
      </c>
      <c r="AX2317" s="3" t="s">
        <v>23559</v>
      </c>
      <c r="AY2317" s="3" t="s">
        <v>23560</v>
      </c>
      <c r="AZ2317" s="3" t="s">
        <v>23561</v>
      </c>
      <c r="BA2317" s="3" t="s">
        <v>23561</v>
      </c>
      <c r="BB2317" s="3" t="s">
        <v>23562</v>
      </c>
      <c r="BC2317" s="3" t="s">
        <v>77</v>
      </c>
      <c r="BD2317" s="3" t="s">
        <v>78</v>
      </c>
      <c r="BE2317" s="3" t="s">
        <v>23563</v>
      </c>
      <c r="BF2317" s="3" t="s">
        <v>23562</v>
      </c>
      <c r="BG2317" s="3" t="s">
        <v>23564</v>
      </c>
      <c r="BH2317">
        <f t="shared" si="58"/>
        <v>0</v>
      </c>
    </row>
    <row r="2318" spans="1:60" ht="58" x14ac:dyDescent="0.35">
      <c r="A2318" s="2" t="s">
        <v>59</v>
      </c>
      <c r="B2318" s="2" t="s">
        <v>60</v>
      </c>
      <c r="C2318" s="2" t="s">
        <v>23565</v>
      </c>
      <c r="D2318" s="2" t="s">
        <v>23566</v>
      </c>
      <c r="E2318" s="2" t="s">
        <v>23567</v>
      </c>
      <c r="G2318" s="3" t="s">
        <v>64</v>
      </c>
      <c r="I2318" s="3" t="s">
        <v>64</v>
      </c>
      <c r="J2318" s="3" t="s">
        <v>64</v>
      </c>
      <c r="K2318" s="3" t="s">
        <v>65</v>
      </c>
      <c r="L2318" s="2" t="s">
        <v>23568</v>
      </c>
      <c r="M2318" s="2" t="s">
        <v>14235</v>
      </c>
      <c r="N2318" s="3" t="s">
        <v>511</v>
      </c>
      <c r="P2318" s="3" t="s">
        <v>102</v>
      </c>
      <c r="Q2318" s="2" t="s">
        <v>17566</v>
      </c>
      <c r="R2318" s="3" t="s">
        <v>70</v>
      </c>
      <c r="S2318" s="4">
        <v>2</v>
      </c>
      <c r="T2318" s="4">
        <v>2</v>
      </c>
      <c r="U2318" s="5" t="s">
        <v>23569</v>
      </c>
      <c r="V2318" s="5" t="s">
        <v>23569</v>
      </c>
      <c r="W2318" s="5" t="s">
        <v>72</v>
      </c>
      <c r="X2318" s="5" t="s">
        <v>72</v>
      </c>
      <c r="Y2318" s="4">
        <v>402</v>
      </c>
      <c r="Z2318" s="4">
        <v>8</v>
      </c>
      <c r="AA2318" s="4">
        <v>94</v>
      </c>
      <c r="AB2318" s="4">
        <v>1</v>
      </c>
      <c r="AC2318" s="4">
        <v>17</v>
      </c>
      <c r="AD2318" s="4">
        <v>52</v>
      </c>
      <c r="AE2318" s="4">
        <v>120</v>
      </c>
      <c r="AF2318" s="4">
        <v>0</v>
      </c>
      <c r="AG2318" s="4">
        <v>8</v>
      </c>
      <c r="AH2318" s="4">
        <v>51</v>
      </c>
      <c r="AI2318" s="4">
        <v>85</v>
      </c>
      <c r="AJ2318" s="4">
        <v>4</v>
      </c>
      <c r="AK2318" s="4">
        <v>20</v>
      </c>
      <c r="AL2318" s="4">
        <v>25</v>
      </c>
      <c r="AM2318" s="4">
        <v>41</v>
      </c>
      <c r="AN2318" s="4">
        <v>0</v>
      </c>
      <c r="AO2318" s="4">
        <v>0</v>
      </c>
      <c r="AP2318" s="4">
        <v>4</v>
      </c>
      <c r="AQ2318" s="4">
        <v>41</v>
      </c>
      <c r="AR2318" s="3" t="s">
        <v>64</v>
      </c>
      <c r="AS2318" s="3" t="s">
        <v>64</v>
      </c>
      <c r="AT2318" s="3" t="s">
        <v>64</v>
      </c>
      <c r="AV2318" s="6" t="str">
        <f>HYPERLINK("http://mcgill.on.worldcat.org/oclc/601086428","Catalog Record")</f>
        <v>Catalog Record</v>
      </c>
      <c r="AW2318" s="6" t="str">
        <f>HYPERLINK("http://www.worldcat.org/oclc/601086428","WorldCat Record")</f>
        <v>WorldCat Record</v>
      </c>
      <c r="AX2318" s="3" t="s">
        <v>23570</v>
      </c>
      <c r="AY2318" s="3" t="s">
        <v>23571</v>
      </c>
      <c r="AZ2318" s="3" t="s">
        <v>23572</v>
      </c>
      <c r="BA2318" s="3" t="s">
        <v>23572</v>
      </c>
      <c r="BB2318" s="3" t="s">
        <v>23573</v>
      </c>
      <c r="BC2318" s="3" t="s">
        <v>77</v>
      </c>
      <c r="BD2318" s="3" t="s">
        <v>78</v>
      </c>
      <c r="BE2318" s="3" t="s">
        <v>23574</v>
      </c>
      <c r="BF2318" s="3" t="s">
        <v>23573</v>
      </c>
      <c r="BG2318" s="3" t="s">
        <v>23575</v>
      </c>
      <c r="BH2318">
        <f t="shared" si="58"/>
        <v>0</v>
      </c>
    </row>
    <row r="2319" spans="1:60" ht="58" x14ac:dyDescent="0.35">
      <c r="A2319" s="2" t="s">
        <v>59</v>
      </c>
      <c r="B2319" s="2" t="s">
        <v>60</v>
      </c>
      <c r="C2319" s="2" t="s">
        <v>23576</v>
      </c>
      <c r="D2319" s="2" t="s">
        <v>23577</v>
      </c>
      <c r="E2319" s="2" t="s">
        <v>23578</v>
      </c>
      <c r="G2319" s="3" t="s">
        <v>64</v>
      </c>
      <c r="I2319" s="3" t="s">
        <v>64</v>
      </c>
      <c r="J2319" s="3" t="s">
        <v>64</v>
      </c>
      <c r="K2319" s="3" t="s">
        <v>65</v>
      </c>
      <c r="M2319" s="2" t="s">
        <v>23579</v>
      </c>
      <c r="N2319" s="3" t="s">
        <v>171</v>
      </c>
      <c r="P2319" s="3" t="s">
        <v>102</v>
      </c>
      <c r="Q2319" s="2" t="s">
        <v>23580</v>
      </c>
      <c r="R2319" s="3" t="s">
        <v>70</v>
      </c>
      <c r="S2319" s="4">
        <v>3</v>
      </c>
      <c r="T2319" s="4">
        <v>3</v>
      </c>
      <c r="U2319" s="5" t="s">
        <v>21116</v>
      </c>
      <c r="V2319" s="5" t="s">
        <v>21116</v>
      </c>
      <c r="W2319" s="5" t="s">
        <v>72</v>
      </c>
      <c r="X2319" s="5" t="s">
        <v>72</v>
      </c>
      <c r="Y2319" s="4">
        <v>260</v>
      </c>
      <c r="Z2319" s="4">
        <v>18</v>
      </c>
      <c r="AA2319" s="4">
        <v>21</v>
      </c>
      <c r="AB2319" s="4">
        <v>1</v>
      </c>
      <c r="AC2319" s="4">
        <v>1</v>
      </c>
      <c r="AD2319" s="4">
        <v>88</v>
      </c>
      <c r="AE2319" s="4">
        <v>96</v>
      </c>
      <c r="AF2319" s="4">
        <v>0</v>
      </c>
      <c r="AG2319" s="4">
        <v>0</v>
      </c>
      <c r="AH2319" s="4">
        <v>79</v>
      </c>
      <c r="AI2319" s="4">
        <v>86</v>
      </c>
      <c r="AJ2319" s="4">
        <v>13</v>
      </c>
      <c r="AK2319" s="4">
        <v>16</v>
      </c>
      <c r="AL2319" s="4">
        <v>38</v>
      </c>
      <c r="AM2319" s="4">
        <v>42</v>
      </c>
      <c r="AN2319" s="4">
        <v>0</v>
      </c>
      <c r="AO2319" s="4">
        <v>0</v>
      </c>
      <c r="AP2319" s="4">
        <v>15</v>
      </c>
      <c r="AQ2319" s="4">
        <v>18</v>
      </c>
      <c r="AR2319" s="3" t="s">
        <v>64</v>
      </c>
      <c r="AS2319" s="3" t="s">
        <v>64</v>
      </c>
      <c r="AT2319" s="3" t="s">
        <v>64</v>
      </c>
      <c r="AV2319" s="6" t="str">
        <f>HYPERLINK("http://mcgill.on.worldcat.org/oclc/77497220","Catalog Record")</f>
        <v>Catalog Record</v>
      </c>
      <c r="AW2319" s="6" t="str">
        <f>HYPERLINK("http://www.worldcat.org/oclc/77497220","WorldCat Record")</f>
        <v>WorldCat Record</v>
      </c>
      <c r="AX2319" s="3" t="s">
        <v>23581</v>
      </c>
      <c r="AY2319" s="3" t="s">
        <v>23582</v>
      </c>
      <c r="AZ2319" s="3" t="s">
        <v>23583</v>
      </c>
      <c r="BA2319" s="3" t="s">
        <v>23583</v>
      </c>
      <c r="BB2319" s="3" t="s">
        <v>23584</v>
      </c>
      <c r="BC2319" s="3" t="s">
        <v>77</v>
      </c>
      <c r="BD2319" s="3" t="s">
        <v>78</v>
      </c>
      <c r="BE2319" s="3" t="s">
        <v>23585</v>
      </c>
      <c r="BF2319" s="3" t="s">
        <v>23584</v>
      </c>
      <c r="BG2319" s="3" t="s">
        <v>23586</v>
      </c>
      <c r="BH2319">
        <f t="shared" si="58"/>
        <v>0</v>
      </c>
    </row>
    <row r="2320" spans="1:60" ht="58" x14ac:dyDescent="0.35">
      <c r="A2320" s="2" t="s">
        <v>59</v>
      </c>
      <c r="B2320" s="2" t="s">
        <v>60</v>
      </c>
      <c r="C2320" s="2" t="s">
        <v>23587</v>
      </c>
      <c r="D2320" s="2" t="s">
        <v>23588</v>
      </c>
      <c r="E2320" s="2" t="s">
        <v>23589</v>
      </c>
      <c r="G2320" s="3" t="s">
        <v>64</v>
      </c>
      <c r="I2320" s="3" t="s">
        <v>64</v>
      </c>
      <c r="J2320" s="3" t="s">
        <v>64</v>
      </c>
      <c r="K2320" s="3" t="s">
        <v>65</v>
      </c>
      <c r="M2320" s="2" t="s">
        <v>23590</v>
      </c>
      <c r="N2320" s="3" t="s">
        <v>3428</v>
      </c>
      <c r="P2320" s="3" t="s">
        <v>102</v>
      </c>
      <c r="R2320" s="3" t="s">
        <v>70</v>
      </c>
      <c r="S2320" s="4">
        <v>13</v>
      </c>
      <c r="T2320" s="4">
        <v>13</v>
      </c>
      <c r="U2320" s="5" t="s">
        <v>3831</v>
      </c>
      <c r="V2320" s="5" t="s">
        <v>3831</v>
      </c>
      <c r="W2320" s="5" t="s">
        <v>72</v>
      </c>
      <c r="X2320" s="5" t="s">
        <v>72</v>
      </c>
      <c r="Y2320" s="4">
        <v>609</v>
      </c>
      <c r="Z2320" s="4">
        <v>37</v>
      </c>
      <c r="AA2320" s="4">
        <v>112</v>
      </c>
      <c r="AB2320" s="4">
        <v>2</v>
      </c>
      <c r="AC2320" s="4">
        <v>18</v>
      </c>
      <c r="AD2320" s="4">
        <v>97</v>
      </c>
      <c r="AE2320" s="4">
        <v>136</v>
      </c>
      <c r="AF2320" s="4">
        <v>0</v>
      </c>
      <c r="AG2320" s="4">
        <v>8</v>
      </c>
      <c r="AH2320" s="4">
        <v>87</v>
      </c>
      <c r="AI2320" s="4">
        <v>102</v>
      </c>
      <c r="AJ2320" s="4">
        <v>15</v>
      </c>
      <c r="AK2320" s="4">
        <v>22</v>
      </c>
      <c r="AL2320" s="4">
        <v>41</v>
      </c>
      <c r="AM2320" s="4">
        <v>48</v>
      </c>
      <c r="AN2320" s="4">
        <v>0</v>
      </c>
      <c r="AO2320" s="4">
        <v>0</v>
      </c>
      <c r="AP2320" s="4">
        <v>18</v>
      </c>
      <c r="AQ2320" s="4">
        <v>44</v>
      </c>
      <c r="AR2320" s="3" t="s">
        <v>64</v>
      </c>
      <c r="AS2320" s="3" t="s">
        <v>64</v>
      </c>
      <c r="AT2320" s="3" t="s">
        <v>128</v>
      </c>
      <c r="AU2320" s="6" t="str">
        <f>HYPERLINK("http://catalog.hathitrust.org/Record/003012163","HathiTrust Record")</f>
        <v>HathiTrust Record</v>
      </c>
      <c r="AV2320" s="6" t="str">
        <f>HYPERLINK("http://mcgill.on.worldcat.org/oclc/32779150","Catalog Record")</f>
        <v>Catalog Record</v>
      </c>
      <c r="AW2320" s="6" t="str">
        <f>HYPERLINK("http://www.worldcat.org/oclc/32779150","WorldCat Record")</f>
        <v>WorldCat Record</v>
      </c>
      <c r="AX2320" s="3" t="s">
        <v>23591</v>
      </c>
      <c r="AY2320" s="3" t="s">
        <v>23592</v>
      </c>
      <c r="AZ2320" s="3" t="s">
        <v>23593</v>
      </c>
      <c r="BA2320" s="3" t="s">
        <v>23593</v>
      </c>
      <c r="BB2320" s="3" t="s">
        <v>23594</v>
      </c>
      <c r="BC2320" s="3" t="s">
        <v>77</v>
      </c>
      <c r="BD2320" s="3" t="s">
        <v>78</v>
      </c>
      <c r="BE2320" s="3" t="s">
        <v>23595</v>
      </c>
      <c r="BF2320" s="3" t="s">
        <v>23594</v>
      </c>
      <c r="BG2320" s="3" t="s">
        <v>23596</v>
      </c>
      <c r="BH2320">
        <f t="shared" si="58"/>
        <v>0</v>
      </c>
    </row>
    <row r="2321" spans="1:60" ht="58" x14ac:dyDescent="0.35">
      <c r="A2321" s="2" t="s">
        <v>59</v>
      </c>
      <c r="B2321" s="2" t="s">
        <v>60</v>
      </c>
      <c r="C2321" s="2" t="s">
        <v>23597</v>
      </c>
      <c r="D2321" s="2" t="s">
        <v>23598</v>
      </c>
      <c r="E2321" s="2" t="s">
        <v>23599</v>
      </c>
      <c r="G2321" s="3" t="s">
        <v>64</v>
      </c>
      <c r="I2321" s="3" t="s">
        <v>64</v>
      </c>
      <c r="J2321" s="3" t="s">
        <v>128</v>
      </c>
      <c r="K2321" s="3" t="s">
        <v>65</v>
      </c>
      <c r="L2321" s="2" t="s">
        <v>20719</v>
      </c>
      <c r="M2321" s="2" t="s">
        <v>14840</v>
      </c>
      <c r="N2321" s="3" t="s">
        <v>511</v>
      </c>
      <c r="P2321" s="3" t="s">
        <v>102</v>
      </c>
      <c r="Q2321" s="2" t="s">
        <v>23600</v>
      </c>
      <c r="R2321" s="3" t="s">
        <v>70</v>
      </c>
      <c r="S2321" s="4">
        <v>2</v>
      </c>
      <c r="T2321" s="4">
        <v>2</v>
      </c>
      <c r="U2321" s="5" t="s">
        <v>23601</v>
      </c>
      <c r="V2321" s="5" t="s">
        <v>23601</v>
      </c>
      <c r="W2321" s="5" t="s">
        <v>17763</v>
      </c>
      <c r="X2321" s="5" t="s">
        <v>17763</v>
      </c>
      <c r="Y2321" s="4">
        <v>333</v>
      </c>
      <c r="Z2321" s="4">
        <v>11</v>
      </c>
      <c r="AA2321" s="4">
        <v>17</v>
      </c>
      <c r="AB2321" s="4">
        <v>1</v>
      </c>
      <c r="AC2321" s="4">
        <v>2</v>
      </c>
      <c r="AD2321" s="4">
        <v>39</v>
      </c>
      <c r="AE2321" s="4">
        <v>67</v>
      </c>
      <c r="AF2321" s="4">
        <v>0</v>
      </c>
      <c r="AG2321" s="4">
        <v>1</v>
      </c>
      <c r="AH2321" s="4">
        <v>37</v>
      </c>
      <c r="AI2321" s="4">
        <v>61</v>
      </c>
      <c r="AJ2321" s="4">
        <v>5</v>
      </c>
      <c r="AK2321" s="4">
        <v>11</v>
      </c>
      <c r="AL2321" s="4">
        <v>16</v>
      </c>
      <c r="AM2321" s="4">
        <v>29</v>
      </c>
      <c r="AN2321" s="4">
        <v>0</v>
      </c>
      <c r="AO2321" s="4">
        <v>0</v>
      </c>
      <c r="AP2321" s="4">
        <v>5</v>
      </c>
      <c r="AQ2321" s="4">
        <v>10</v>
      </c>
      <c r="AR2321" s="3" t="s">
        <v>64</v>
      </c>
      <c r="AS2321" s="3" t="s">
        <v>64</v>
      </c>
      <c r="AT2321" s="3" t="s">
        <v>64</v>
      </c>
      <c r="AV2321" s="6" t="str">
        <f>HYPERLINK("http://mcgill.on.worldcat.org/oclc/611553033","Catalog Record")</f>
        <v>Catalog Record</v>
      </c>
      <c r="AW2321" s="6" t="str">
        <f>HYPERLINK("http://www.worldcat.org/oclc/611553033","WorldCat Record")</f>
        <v>WorldCat Record</v>
      </c>
      <c r="AX2321" s="3" t="s">
        <v>23602</v>
      </c>
      <c r="AY2321" s="3" t="s">
        <v>23603</v>
      </c>
      <c r="AZ2321" s="3" t="s">
        <v>23604</v>
      </c>
      <c r="BA2321" s="3" t="s">
        <v>23604</v>
      </c>
      <c r="BB2321" s="3" t="s">
        <v>23605</v>
      </c>
      <c r="BC2321" s="3" t="s">
        <v>77</v>
      </c>
      <c r="BD2321" s="3" t="s">
        <v>78</v>
      </c>
      <c r="BE2321" s="3" t="s">
        <v>23606</v>
      </c>
      <c r="BF2321" s="3" t="s">
        <v>23605</v>
      </c>
      <c r="BG2321" s="3" t="s">
        <v>23607</v>
      </c>
      <c r="BH2321">
        <f t="shared" si="58"/>
        <v>0</v>
      </c>
    </row>
    <row r="2322" spans="1:60" ht="58" x14ac:dyDescent="0.35">
      <c r="A2322" s="2" t="s">
        <v>59</v>
      </c>
      <c r="B2322" s="2" t="s">
        <v>60</v>
      </c>
      <c r="C2322" s="2" t="s">
        <v>23608</v>
      </c>
      <c r="D2322" s="2" t="s">
        <v>23609</v>
      </c>
      <c r="E2322" s="2" t="s">
        <v>23610</v>
      </c>
      <c r="G2322" s="3" t="s">
        <v>64</v>
      </c>
      <c r="I2322" s="3" t="s">
        <v>64</v>
      </c>
      <c r="J2322" s="3" t="s">
        <v>128</v>
      </c>
      <c r="K2322" s="3" t="s">
        <v>65</v>
      </c>
      <c r="L2322" s="2" t="s">
        <v>23611</v>
      </c>
      <c r="M2322" s="2" t="s">
        <v>23612</v>
      </c>
      <c r="N2322" s="3" t="s">
        <v>578</v>
      </c>
      <c r="O2322" s="2" t="s">
        <v>3787</v>
      </c>
      <c r="P2322" s="3" t="s">
        <v>102</v>
      </c>
      <c r="R2322" s="3" t="s">
        <v>70</v>
      </c>
      <c r="S2322" s="4">
        <v>0</v>
      </c>
      <c r="T2322" s="4">
        <v>0</v>
      </c>
      <c r="W2322" s="5" t="s">
        <v>72</v>
      </c>
      <c r="X2322" s="5" t="s">
        <v>72</v>
      </c>
      <c r="Y2322" s="4">
        <v>307</v>
      </c>
      <c r="Z2322" s="4">
        <v>6</v>
      </c>
      <c r="AA2322" s="4">
        <v>17</v>
      </c>
      <c r="AB2322" s="4">
        <v>1</v>
      </c>
      <c r="AC2322" s="4">
        <v>2</v>
      </c>
      <c r="AD2322" s="4">
        <v>44</v>
      </c>
      <c r="AE2322" s="4">
        <v>67</v>
      </c>
      <c r="AF2322" s="4">
        <v>0</v>
      </c>
      <c r="AG2322" s="4">
        <v>1</v>
      </c>
      <c r="AH2322" s="4">
        <v>42</v>
      </c>
      <c r="AI2322" s="4">
        <v>61</v>
      </c>
      <c r="AJ2322" s="4">
        <v>5</v>
      </c>
      <c r="AK2322" s="4">
        <v>11</v>
      </c>
      <c r="AL2322" s="4">
        <v>19</v>
      </c>
      <c r="AM2322" s="4">
        <v>29</v>
      </c>
      <c r="AN2322" s="4">
        <v>0</v>
      </c>
      <c r="AO2322" s="4">
        <v>0</v>
      </c>
      <c r="AP2322" s="4">
        <v>5</v>
      </c>
      <c r="AQ2322" s="4">
        <v>10</v>
      </c>
      <c r="AR2322" s="3" t="s">
        <v>64</v>
      </c>
      <c r="AS2322" s="3" t="s">
        <v>64</v>
      </c>
      <c r="AT2322" s="3" t="s">
        <v>64</v>
      </c>
      <c r="AV2322" s="6" t="str">
        <f>HYPERLINK("http://mcgill.on.worldcat.org/oclc/959698247","Catalog Record")</f>
        <v>Catalog Record</v>
      </c>
      <c r="AW2322" s="6" t="str">
        <f>HYPERLINK("http://www.worldcat.org/oclc/959698247","WorldCat Record")</f>
        <v>WorldCat Record</v>
      </c>
      <c r="AX2322" s="3" t="s">
        <v>23602</v>
      </c>
      <c r="AY2322" s="3" t="s">
        <v>23613</v>
      </c>
      <c r="AZ2322" s="3" t="s">
        <v>23614</v>
      </c>
      <c r="BA2322" s="3" t="s">
        <v>23614</v>
      </c>
      <c r="BB2322" s="3" t="s">
        <v>23615</v>
      </c>
      <c r="BC2322" s="3" t="s">
        <v>77</v>
      </c>
      <c r="BD2322" s="3" t="s">
        <v>78</v>
      </c>
      <c r="BE2322" s="3" t="s">
        <v>23616</v>
      </c>
      <c r="BF2322" s="3" t="s">
        <v>23615</v>
      </c>
      <c r="BG2322" s="3" t="s">
        <v>23617</v>
      </c>
      <c r="BH2322">
        <f t="shared" si="58"/>
        <v>0</v>
      </c>
    </row>
    <row r="2323" spans="1:60" ht="58" x14ac:dyDescent="0.35">
      <c r="A2323" s="2" t="s">
        <v>59</v>
      </c>
      <c r="B2323" s="2" t="s">
        <v>60</v>
      </c>
      <c r="C2323" s="2" t="s">
        <v>23618</v>
      </c>
      <c r="D2323" s="2" t="s">
        <v>23619</v>
      </c>
      <c r="E2323" s="2" t="s">
        <v>23620</v>
      </c>
      <c r="G2323" s="3" t="s">
        <v>64</v>
      </c>
      <c r="I2323" s="3" t="s">
        <v>64</v>
      </c>
      <c r="J2323" s="3" t="s">
        <v>64</v>
      </c>
      <c r="K2323" s="3" t="s">
        <v>65</v>
      </c>
      <c r="L2323" s="2" t="s">
        <v>23621</v>
      </c>
      <c r="M2323" s="2" t="s">
        <v>17565</v>
      </c>
      <c r="N2323" s="3" t="s">
        <v>86</v>
      </c>
      <c r="P2323" s="3" t="s">
        <v>102</v>
      </c>
      <c r="Q2323" s="2" t="s">
        <v>22169</v>
      </c>
      <c r="R2323" s="3" t="s">
        <v>70</v>
      </c>
      <c r="S2323" s="4">
        <v>0</v>
      </c>
      <c r="T2323" s="4">
        <v>0</v>
      </c>
      <c r="W2323" s="5" t="s">
        <v>72</v>
      </c>
      <c r="X2323" s="5" t="s">
        <v>72</v>
      </c>
      <c r="Y2323" s="4">
        <v>277</v>
      </c>
      <c r="Z2323" s="4">
        <v>9</v>
      </c>
      <c r="AA2323" s="4">
        <v>113</v>
      </c>
      <c r="AB2323" s="4">
        <v>1</v>
      </c>
      <c r="AC2323" s="4">
        <v>17</v>
      </c>
      <c r="AD2323" s="4">
        <v>60</v>
      </c>
      <c r="AE2323" s="4">
        <v>125</v>
      </c>
      <c r="AF2323" s="4">
        <v>0</v>
      </c>
      <c r="AG2323" s="4">
        <v>8</v>
      </c>
      <c r="AH2323" s="4">
        <v>58</v>
      </c>
      <c r="AI2323" s="4">
        <v>85</v>
      </c>
      <c r="AJ2323" s="4">
        <v>5</v>
      </c>
      <c r="AK2323" s="4">
        <v>20</v>
      </c>
      <c r="AL2323" s="4">
        <v>25</v>
      </c>
      <c r="AM2323" s="4">
        <v>40</v>
      </c>
      <c r="AN2323" s="4">
        <v>0</v>
      </c>
      <c r="AO2323" s="4">
        <v>0</v>
      </c>
      <c r="AP2323" s="4">
        <v>5</v>
      </c>
      <c r="AQ2323" s="4">
        <v>44</v>
      </c>
      <c r="AR2323" s="3" t="s">
        <v>64</v>
      </c>
      <c r="AS2323" s="3" t="s">
        <v>64</v>
      </c>
      <c r="AT2323" s="3" t="s">
        <v>64</v>
      </c>
      <c r="AV2323" s="6" t="str">
        <f>HYPERLINK("http://mcgill.on.worldcat.org/oclc/781077611","Catalog Record")</f>
        <v>Catalog Record</v>
      </c>
      <c r="AW2323" s="6" t="str">
        <f>HYPERLINK("http://www.worldcat.org/oclc/781077611","WorldCat Record")</f>
        <v>WorldCat Record</v>
      </c>
      <c r="AX2323" s="3" t="s">
        <v>23622</v>
      </c>
      <c r="AY2323" s="3" t="s">
        <v>23623</v>
      </c>
      <c r="AZ2323" s="3" t="s">
        <v>23624</v>
      </c>
      <c r="BA2323" s="3" t="s">
        <v>23624</v>
      </c>
      <c r="BB2323" s="3" t="s">
        <v>23625</v>
      </c>
      <c r="BC2323" s="3" t="s">
        <v>77</v>
      </c>
      <c r="BD2323" s="3" t="s">
        <v>78</v>
      </c>
      <c r="BE2323" s="3" t="s">
        <v>23626</v>
      </c>
      <c r="BF2323" s="3" t="s">
        <v>23625</v>
      </c>
      <c r="BG2323" s="3" t="s">
        <v>23627</v>
      </c>
      <c r="BH2323">
        <f t="shared" si="58"/>
        <v>0</v>
      </c>
    </row>
    <row r="2324" spans="1:60" ht="58" x14ac:dyDescent="0.35">
      <c r="A2324" s="2" t="s">
        <v>59</v>
      </c>
      <c r="B2324" s="2" t="s">
        <v>60</v>
      </c>
      <c r="C2324" s="2" t="s">
        <v>23628</v>
      </c>
      <c r="D2324" s="2" t="s">
        <v>23629</v>
      </c>
      <c r="E2324" s="2" t="s">
        <v>23630</v>
      </c>
      <c r="G2324" s="3" t="s">
        <v>64</v>
      </c>
      <c r="I2324" s="3" t="s">
        <v>64</v>
      </c>
      <c r="J2324" s="3" t="s">
        <v>64</v>
      </c>
      <c r="K2324" s="3" t="s">
        <v>65</v>
      </c>
      <c r="L2324" s="2" t="s">
        <v>23631</v>
      </c>
      <c r="M2324" s="2" t="s">
        <v>14552</v>
      </c>
      <c r="N2324" s="3" t="s">
        <v>537</v>
      </c>
      <c r="P2324" s="3" t="s">
        <v>102</v>
      </c>
      <c r="R2324" s="3" t="s">
        <v>70</v>
      </c>
      <c r="S2324" s="4">
        <v>0</v>
      </c>
      <c r="T2324" s="4">
        <v>0</v>
      </c>
      <c r="W2324" s="5" t="s">
        <v>72</v>
      </c>
      <c r="X2324" s="5" t="s">
        <v>72</v>
      </c>
      <c r="Y2324" s="4">
        <v>248</v>
      </c>
      <c r="Z2324" s="4">
        <v>7</v>
      </c>
      <c r="AA2324" s="4">
        <v>7</v>
      </c>
      <c r="AB2324" s="4">
        <v>1</v>
      </c>
      <c r="AC2324" s="4">
        <v>1</v>
      </c>
      <c r="AD2324" s="4">
        <v>33</v>
      </c>
      <c r="AE2324" s="4">
        <v>33</v>
      </c>
      <c r="AF2324" s="4">
        <v>0</v>
      </c>
      <c r="AG2324" s="4">
        <v>0</v>
      </c>
      <c r="AH2324" s="4">
        <v>33</v>
      </c>
      <c r="AI2324" s="4">
        <v>33</v>
      </c>
      <c r="AJ2324" s="4">
        <v>4</v>
      </c>
      <c r="AK2324" s="4">
        <v>4</v>
      </c>
      <c r="AL2324" s="4">
        <v>15</v>
      </c>
      <c r="AM2324" s="4">
        <v>15</v>
      </c>
      <c r="AN2324" s="4">
        <v>0</v>
      </c>
      <c r="AO2324" s="4">
        <v>0</v>
      </c>
      <c r="AP2324" s="4">
        <v>4</v>
      </c>
      <c r="AQ2324" s="4">
        <v>4</v>
      </c>
      <c r="AR2324" s="3" t="s">
        <v>64</v>
      </c>
      <c r="AS2324" s="3" t="s">
        <v>64</v>
      </c>
      <c r="AT2324" s="3" t="s">
        <v>64</v>
      </c>
      <c r="AV2324" s="6" t="str">
        <f>HYPERLINK("http://mcgill.on.worldcat.org/oclc/945582438","Catalog Record")</f>
        <v>Catalog Record</v>
      </c>
      <c r="AW2324" s="6" t="str">
        <f>HYPERLINK("http://www.worldcat.org/oclc/945582438","WorldCat Record")</f>
        <v>WorldCat Record</v>
      </c>
      <c r="AX2324" s="3" t="s">
        <v>23632</v>
      </c>
      <c r="AY2324" s="3" t="s">
        <v>23633</v>
      </c>
      <c r="AZ2324" s="3" t="s">
        <v>23634</v>
      </c>
      <c r="BA2324" s="3" t="s">
        <v>23634</v>
      </c>
      <c r="BB2324" s="3" t="s">
        <v>23635</v>
      </c>
      <c r="BC2324" s="3" t="s">
        <v>77</v>
      </c>
      <c r="BD2324" s="3" t="s">
        <v>78</v>
      </c>
      <c r="BE2324" s="3" t="s">
        <v>23636</v>
      </c>
      <c r="BF2324" s="3" t="s">
        <v>23635</v>
      </c>
      <c r="BG2324" s="3" t="s">
        <v>23637</v>
      </c>
      <c r="BH2324">
        <f t="shared" si="58"/>
        <v>0</v>
      </c>
    </row>
    <row r="2325" spans="1:60" ht="58" x14ac:dyDescent="0.35">
      <c r="A2325" s="2" t="s">
        <v>59</v>
      </c>
      <c r="B2325" s="2" t="s">
        <v>60</v>
      </c>
      <c r="C2325" s="2" t="s">
        <v>23638</v>
      </c>
      <c r="D2325" s="2" t="s">
        <v>23639</v>
      </c>
      <c r="E2325" s="2" t="s">
        <v>23640</v>
      </c>
      <c r="G2325" s="3" t="s">
        <v>64</v>
      </c>
      <c r="I2325" s="3" t="s">
        <v>64</v>
      </c>
      <c r="J2325" s="3" t="s">
        <v>64</v>
      </c>
      <c r="K2325" s="3" t="s">
        <v>65</v>
      </c>
      <c r="L2325" s="2" t="s">
        <v>23641</v>
      </c>
      <c r="M2325" s="2" t="s">
        <v>23642</v>
      </c>
      <c r="N2325" s="3" t="s">
        <v>190</v>
      </c>
      <c r="P2325" s="3" t="s">
        <v>102</v>
      </c>
      <c r="R2325" s="3" t="s">
        <v>70</v>
      </c>
      <c r="S2325" s="4">
        <v>0</v>
      </c>
      <c r="T2325" s="4">
        <v>0</v>
      </c>
      <c r="W2325" s="5" t="s">
        <v>72</v>
      </c>
      <c r="X2325" s="5" t="s">
        <v>72</v>
      </c>
      <c r="Y2325" s="4">
        <v>220</v>
      </c>
      <c r="Z2325" s="4">
        <v>7</v>
      </c>
      <c r="AA2325" s="4">
        <v>72</v>
      </c>
      <c r="AB2325" s="4">
        <v>1</v>
      </c>
      <c r="AC2325" s="4">
        <v>14</v>
      </c>
      <c r="AD2325" s="4">
        <v>29</v>
      </c>
      <c r="AE2325" s="4">
        <v>90</v>
      </c>
      <c r="AF2325" s="4">
        <v>0</v>
      </c>
      <c r="AG2325" s="4">
        <v>8</v>
      </c>
      <c r="AH2325" s="4">
        <v>29</v>
      </c>
      <c r="AI2325" s="4">
        <v>61</v>
      </c>
      <c r="AJ2325" s="4">
        <v>1</v>
      </c>
      <c r="AK2325" s="4">
        <v>15</v>
      </c>
      <c r="AL2325" s="4">
        <v>13</v>
      </c>
      <c r="AM2325" s="4">
        <v>29</v>
      </c>
      <c r="AN2325" s="4">
        <v>0</v>
      </c>
      <c r="AO2325" s="4">
        <v>0</v>
      </c>
      <c r="AP2325" s="4">
        <v>1</v>
      </c>
      <c r="AQ2325" s="4">
        <v>34</v>
      </c>
      <c r="AR2325" s="3" t="s">
        <v>64</v>
      </c>
      <c r="AS2325" s="3" t="s">
        <v>64</v>
      </c>
      <c r="AT2325" s="3" t="s">
        <v>64</v>
      </c>
      <c r="AV2325" s="6" t="str">
        <f>HYPERLINK("http://mcgill.on.worldcat.org/oclc/975138872","Catalog Record")</f>
        <v>Catalog Record</v>
      </c>
      <c r="AW2325" s="6" t="str">
        <f>HYPERLINK("http://www.worldcat.org/oclc/975138872","WorldCat Record")</f>
        <v>WorldCat Record</v>
      </c>
      <c r="AX2325" s="3" t="s">
        <v>23643</v>
      </c>
      <c r="AY2325" s="3" t="s">
        <v>23644</v>
      </c>
      <c r="AZ2325" s="3" t="s">
        <v>23645</v>
      </c>
      <c r="BA2325" s="3" t="s">
        <v>23645</v>
      </c>
      <c r="BB2325" s="3" t="s">
        <v>23646</v>
      </c>
      <c r="BC2325" s="3" t="s">
        <v>77</v>
      </c>
      <c r="BD2325" s="3" t="s">
        <v>78</v>
      </c>
      <c r="BE2325" s="3" t="s">
        <v>23647</v>
      </c>
      <c r="BF2325" s="3" t="s">
        <v>23646</v>
      </c>
      <c r="BG2325" s="3" t="s">
        <v>23648</v>
      </c>
      <c r="BH2325">
        <f t="shared" si="58"/>
        <v>0</v>
      </c>
    </row>
    <row r="2326" spans="1:60" ht="58" x14ac:dyDescent="0.35">
      <c r="A2326" s="2" t="s">
        <v>59</v>
      </c>
      <c r="B2326" s="2" t="s">
        <v>60</v>
      </c>
      <c r="C2326" s="2" t="s">
        <v>23649</v>
      </c>
      <c r="D2326" s="2" t="s">
        <v>23650</v>
      </c>
      <c r="E2326" s="2" t="s">
        <v>23651</v>
      </c>
      <c r="G2326" s="3" t="s">
        <v>64</v>
      </c>
      <c r="I2326" s="3" t="s">
        <v>64</v>
      </c>
      <c r="J2326" s="3" t="s">
        <v>64</v>
      </c>
      <c r="K2326" s="3" t="s">
        <v>65</v>
      </c>
      <c r="L2326" s="2" t="s">
        <v>23405</v>
      </c>
      <c r="M2326" s="2" t="s">
        <v>14044</v>
      </c>
      <c r="N2326" s="3" t="s">
        <v>326</v>
      </c>
      <c r="P2326" s="3" t="s">
        <v>102</v>
      </c>
      <c r="R2326" s="3" t="s">
        <v>70</v>
      </c>
      <c r="S2326" s="4">
        <v>0</v>
      </c>
      <c r="T2326" s="4">
        <v>0</v>
      </c>
      <c r="W2326" s="5" t="s">
        <v>72</v>
      </c>
      <c r="X2326" s="5" t="s">
        <v>72</v>
      </c>
      <c r="Y2326" s="4">
        <v>224</v>
      </c>
      <c r="Z2326" s="4">
        <v>9</v>
      </c>
      <c r="AA2326" s="4">
        <v>10</v>
      </c>
      <c r="AB2326" s="4">
        <v>1</v>
      </c>
      <c r="AC2326" s="4">
        <v>2</v>
      </c>
      <c r="AD2326" s="4">
        <v>45</v>
      </c>
      <c r="AE2326" s="4">
        <v>46</v>
      </c>
      <c r="AF2326" s="4">
        <v>0</v>
      </c>
      <c r="AG2326" s="4">
        <v>1</v>
      </c>
      <c r="AH2326" s="4">
        <v>44</v>
      </c>
      <c r="AI2326" s="4">
        <v>44</v>
      </c>
      <c r="AJ2326" s="4">
        <v>5</v>
      </c>
      <c r="AK2326" s="4">
        <v>6</v>
      </c>
      <c r="AL2326" s="4">
        <v>20</v>
      </c>
      <c r="AM2326" s="4">
        <v>20</v>
      </c>
      <c r="AN2326" s="4">
        <v>0</v>
      </c>
      <c r="AO2326" s="4">
        <v>0</v>
      </c>
      <c r="AP2326" s="4">
        <v>5</v>
      </c>
      <c r="AQ2326" s="4">
        <v>5</v>
      </c>
      <c r="AR2326" s="3" t="s">
        <v>64</v>
      </c>
      <c r="AS2326" s="3" t="s">
        <v>64</v>
      </c>
      <c r="AT2326" s="3" t="s">
        <v>64</v>
      </c>
      <c r="AV2326" s="6" t="str">
        <f>HYPERLINK("http://mcgill.on.worldcat.org/oclc/666224057","Catalog Record")</f>
        <v>Catalog Record</v>
      </c>
      <c r="AW2326" s="6" t="str">
        <f>HYPERLINK("http://www.worldcat.org/oclc/666224057","WorldCat Record")</f>
        <v>WorldCat Record</v>
      </c>
      <c r="AX2326" s="3" t="s">
        <v>23652</v>
      </c>
      <c r="AY2326" s="3" t="s">
        <v>23653</v>
      </c>
      <c r="AZ2326" s="3" t="s">
        <v>23654</v>
      </c>
      <c r="BA2326" s="3" t="s">
        <v>23654</v>
      </c>
      <c r="BB2326" s="3" t="s">
        <v>23655</v>
      </c>
      <c r="BC2326" s="3" t="s">
        <v>77</v>
      </c>
      <c r="BD2326" s="3" t="s">
        <v>78</v>
      </c>
      <c r="BE2326" s="3" t="s">
        <v>23656</v>
      </c>
      <c r="BF2326" s="3" t="s">
        <v>23655</v>
      </c>
      <c r="BG2326" s="3" t="s">
        <v>23657</v>
      </c>
      <c r="BH2326">
        <f t="shared" si="58"/>
        <v>0</v>
      </c>
    </row>
    <row r="2327" spans="1:60" ht="58" x14ac:dyDescent="0.35">
      <c r="A2327" s="2" t="s">
        <v>59</v>
      </c>
      <c r="B2327" s="2" t="s">
        <v>60</v>
      </c>
      <c r="C2327" s="2" t="s">
        <v>23658</v>
      </c>
      <c r="D2327" s="2" t="s">
        <v>23659</v>
      </c>
      <c r="E2327" s="2" t="s">
        <v>23660</v>
      </c>
      <c r="G2327" s="3" t="s">
        <v>64</v>
      </c>
      <c r="I2327" s="3" t="s">
        <v>64</v>
      </c>
      <c r="J2327" s="3" t="s">
        <v>128</v>
      </c>
      <c r="K2327" s="3" t="s">
        <v>65</v>
      </c>
      <c r="L2327" s="2" t="s">
        <v>23415</v>
      </c>
      <c r="M2327" s="2" t="s">
        <v>14782</v>
      </c>
      <c r="N2327" s="3" t="s">
        <v>979</v>
      </c>
      <c r="O2327" s="2" t="s">
        <v>172</v>
      </c>
      <c r="P2327" s="3" t="s">
        <v>102</v>
      </c>
      <c r="R2327" s="3" t="s">
        <v>70</v>
      </c>
      <c r="S2327" s="4">
        <v>9</v>
      </c>
      <c r="T2327" s="4">
        <v>9</v>
      </c>
      <c r="U2327" s="5" t="s">
        <v>3560</v>
      </c>
      <c r="V2327" s="5" t="s">
        <v>3560</v>
      </c>
      <c r="W2327" s="5" t="s">
        <v>72</v>
      </c>
      <c r="X2327" s="5" t="s">
        <v>72</v>
      </c>
      <c r="Y2327" s="4">
        <v>613</v>
      </c>
      <c r="Z2327" s="4">
        <v>32</v>
      </c>
      <c r="AA2327" s="4">
        <v>123</v>
      </c>
      <c r="AB2327" s="4">
        <v>3</v>
      </c>
      <c r="AC2327" s="4">
        <v>18</v>
      </c>
      <c r="AD2327" s="4">
        <v>91</v>
      </c>
      <c r="AE2327" s="4">
        <v>156</v>
      </c>
      <c r="AF2327" s="4">
        <v>1</v>
      </c>
      <c r="AG2327" s="4">
        <v>8</v>
      </c>
      <c r="AH2327" s="4">
        <v>79</v>
      </c>
      <c r="AI2327" s="4">
        <v>113</v>
      </c>
      <c r="AJ2327" s="4">
        <v>12</v>
      </c>
      <c r="AK2327" s="4">
        <v>25</v>
      </c>
      <c r="AL2327" s="4">
        <v>39</v>
      </c>
      <c r="AM2327" s="4">
        <v>58</v>
      </c>
      <c r="AN2327" s="4">
        <v>0</v>
      </c>
      <c r="AO2327" s="4">
        <v>0</v>
      </c>
      <c r="AP2327" s="4">
        <v>16</v>
      </c>
      <c r="AQ2327" s="4">
        <v>51</v>
      </c>
      <c r="AR2327" s="3" t="s">
        <v>64</v>
      </c>
      <c r="AS2327" s="3" t="s">
        <v>64</v>
      </c>
      <c r="AT2327" s="3" t="s">
        <v>64</v>
      </c>
      <c r="AV2327" s="6" t="str">
        <f>HYPERLINK("http://mcgill.on.worldcat.org/oclc/43569145","Catalog Record")</f>
        <v>Catalog Record</v>
      </c>
      <c r="AW2327" s="6" t="str">
        <f>HYPERLINK("http://www.worldcat.org/oclc/43569145","WorldCat Record")</f>
        <v>WorldCat Record</v>
      </c>
      <c r="AX2327" s="3" t="s">
        <v>23417</v>
      </c>
      <c r="AY2327" s="3" t="s">
        <v>23661</v>
      </c>
      <c r="AZ2327" s="3" t="s">
        <v>23662</v>
      </c>
      <c r="BA2327" s="3" t="s">
        <v>23662</v>
      </c>
      <c r="BB2327" s="3" t="s">
        <v>23663</v>
      </c>
      <c r="BC2327" s="3" t="s">
        <v>77</v>
      </c>
      <c r="BD2327" s="3" t="s">
        <v>78</v>
      </c>
      <c r="BE2327" s="3" t="s">
        <v>23664</v>
      </c>
      <c r="BF2327" s="3" t="s">
        <v>23663</v>
      </c>
      <c r="BG2327" s="3" t="s">
        <v>23665</v>
      </c>
      <c r="BH2327">
        <f t="shared" si="58"/>
        <v>0</v>
      </c>
    </row>
    <row r="2328" spans="1:60" ht="58" x14ac:dyDescent="0.35">
      <c r="A2328" s="2" t="s">
        <v>59</v>
      </c>
      <c r="B2328" s="2" t="s">
        <v>60</v>
      </c>
      <c r="C2328" s="2" t="s">
        <v>23666</v>
      </c>
      <c r="D2328" s="2" t="s">
        <v>23667</v>
      </c>
      <c r="E2328" s="2" t="s">
        <v>23668</v>
      </c>
      <c r="G2328" s="3" t="s">
        <v>64</v>
      </c>
      <c r="I2328" s="3" t="s">
        <v>64</v>
      </c>
      <c r="J2328" s="3" t="s">
        <v>64</v>
      </c>
      <c r="K2328" s="3" t="s">
        <v>65</v>
      </c>
      <c r="M2328" s="2" t="s">
        <v>17671</v>
      </c>
      <c r="N2328" s="3" t="s">
        <v>67</v>
      </c>
      <c r="P2328" s="3" t="s">
        <v>102</v>
      </c>
      <c r="R2328" s="3" t="s">
        <v>70</v>
      </c>
      <c r="S2328" s="4">
        <v>0</v>
      </c>
      <c r="T2328" s="4">
        <v>0</v>
      </c>
      <c r="W2328" s="5" t="s">
        <v>72</v>
      </c>
      <c r="X2328" s="5" t="s">
        <v>72</v>
      </c>
      <c r="Y2328" s="4">
        <v>20</v>
      </c>
      <c r="Z2328" s="4">
        <v>2</v>
      </c>
      <c r="AA2328" s="4">
        <v>3</v>
      </c>
      <c r="AB2328" s="4">
        <v>1</v>
      </c>
      <c r="AC2328" s="4">
        <v>2</v>
      </c>
      <c r="AD2328" s="4">
        <v>7</v>
      </c>
      <c r="AE2328" s="4">
        <v>7</v>
      </c>
      <c r="AF2328" s="4">
        <v>0</v>
      </c>
      <c r="AG2328" s="4">
        <v>0</v>
      </c>
      <c r="AH2328" s="4">
        <v>7</v>
      </c>
      <c r="AI2328" s="4">
        <v>7</v>
      </c>
      <c r="AJ2328" s="4">
        <v>1</v>
      </c>
      <c r="AK2328" s="4">
        <v>1</v>
      </c>
      <c r="AL2328" s="4">
        <v>4</v>
      </c>
      <c r="AM2328" s="4">
        <v>4</v>
      </c>
      <c r="AN2328" s="4">
        <v>0</v>
      </c>
      <c r="AO2328" s="4">
        <v>0</v>
      </c>
      <c r="AP2328" s="4">
        <v>1</v>
      </c>
      <c r="AQ2328" s="4">
        <v>1</v>
      </c>
      <c r="AR2328" s="3" t="s">
        <v>64</v>
      </c>
      <c r="AS2328" s="3" t="s">
        <v>64</v>
      </c>
      <c r="AT2328" s="3" t="s">
        <v>64</v>
      </c>
      <c r="AV2328" s="6" t="str">
        <f>HYPERLINK("http://mcgill.on.worldcat.org/oclc/870290981","Catalog Record")</f>
        <v>Catalog Record</v>
      </c>
      <c r="AW2328" s="6" t="str">
        <f>HYPERLINK("http://www.worldcat.org/oclc/870290981","WorldCat Record")</f>
        <v>WorldCat Record</v>
      </c>
      <c r="AX2328" s="3" t="s">
        <v>23669</v>
      </c>
      <c r="AY2328" s="3" t="s">
        <v>23670</v>
      </c>
      <c r="AZ2328" s="3" t="s">
        <v>23671</v>
      </c>
      <c r="BA2328" s="3" t="s">
        <v>23671</v>
      </c>
      <c r="BB2328" s="3" t="s">
        <v>23672</v>
      </c>
      <c r="BC2328" s="3" t="s">
        <v>77</v>
      </c>
      <c r="BD2328" s="3" t="s">
        <v>78</v>
      </c>
      <c r="BE2328" s="3" t="s">
        <v>23673</v>
      </c>
      <c r="BF2328" s="3" t="s">
        <v>23672</v>
      </c>
      <c r="BG2328" s="3" t="s">
        <v>23674</v>
      </c>
      <c r="BH2328">
        <f t="shared" si="58"/>
        <v>0</v>
      </c>
    </row>
    <row r="2329" spans="1:60" ht="58" x14ac:dyDescent="0.35">
      <c r="A2329" s="2" t="s">
        <v>59</v>
      </c>
      <c r="B2329" s="2" t="s">
        <v>60</v>
      </c>
      <c r="C2329" s="2" t="s">
        <v>23675</v>
      </c>
      <c r="D2329" s="2" t="s">
        <v>23676</v>
      </c>
      <c r="E2329" s="2" t="s">
        <v>23677</v>
      </c>
      <c r="G2329" s="3" t="s">
        <v>64</v>
      </c>
      <c r="I2329" s="3" t="s">
        <v>64</v>
      </c>
      <c r="J2329" s="3" t="s">
        <v>64</v>
      </c>
      <c r="K2329" s="3" t="s">
        <v>65</v>
      </c>
      <c r="M2329" s="2" t="s">
        <v>16130</v>
      </c>
      <c r="N2329" s="3" t="s">
        <v>511</v>
      </c>
      <c r="P2329" s="3" t="s">
        <v>102</v>
      </c>
      <c r="R2329" s="3" t="s">
        <v>70</v>
      </c>
      <c r="S2329" s="4">
        <v>3</v>
      </c>
      <c r="T2329" s="4">
        <v>3</v>
      </c>
      <c r="U2329" s="5" t="s">
        <v>23678</v>
      </c>
      <c r="V2329" s="5" t="s">
        <v>23678</v>
      </c>
      <c r="W2329" s="5" t="s">
        <v>72</v>
      </c>
      <c r="X2329" s="5" t="s">
        <v>72</v>
      </c>
      <c r="Y2329" s="4">
        <v>40</v>
      </c>
      <c r="Z2329" s="4">
        <v>5</v>
      </c>
      <c r="AA2329" s="4">
        <v>5</v>
      </c>
      <c r="AB2329" s="4">
        <v>1</v>
      </c>
      <c r="AC2329" s="4">
        <v>1</v>
      </c>
      <c r="AD2329" s="4">
        <v>14</v>
      </c>
      <c r="AE2329" s="4">
        <v>14</v>
      </c>
      <c r="AF2329" s="4">
        <v>0</v>
      </c>
      <c r="AG2329" s="4">
        <v>0</v>
      </c>
      <c r="AH2329" s="4">
        <v>13</v>
      </c>
      <c r="AI2329" s="4">
        <v>13</v>
      </c>
      <c r="AJ2329" s="4">
        <v>3</v>
      </c>
      <c r="AK2329" s="4">
        <v>3</v>
      </c>
      <c r="AL2329" s="4">
        <v>9</v>
      </c>
      <c r="AM2329" s="4">
        <v>9</v>
      </c>
      <c r="AN2329" s="4">
        <v>0</v>
      </c>
      <c r="AO2329" s="4">
        <v>0</v>
      </c>
      <c r="AP2329" s="4">
        <v>3</v>
      </c>
      <c r="AQ2329" s="4">
        <v>3</v>
      </c>
      <c r="AR2329" s="3" t="s">
        <v>64</v>
      </c>
      <c r="AS2329" s="3" t="s">
        <v>64</v>
      </c>
      <c r="AT2329" s="3" t="s">
        <v>64</v>
      </c>
      <c r="AV2329" s="6" t="str">
        <f>HYPERLINK("http://mcgill.on.worldcat.org/oclc/646099127","Catalog Record")</f>
        <v>Catalog Record</v>
      </c>
      <c r="AW2329" s="6" t="str">
        <f>HYPERLINK("http://www.worldcat.org/oclc/646099127","WorldCat Record")</f>
        <v>WorldCat Record</v>
      </c>
      <c r="AX2329" s="3" t="s">
        <v>23679</v>
      </c>
      <c r="AY2329" s="3" t="s">
        <v>23680</v>
      </c>
      <c r="AZ2329" s="3" t="s">
        <v>23681</v>
      </c>
      <c r="BA2329" s="3" t="s">
        <v>23681</v>
      </c>
      <c r="BB2329" s="3" t="s">
        <v>23682</v>
      </c>
      <c r="BC2329" s="3" t="s">
        <v>77</v>
      </c>
      <c r="BD2329" s="3" t="s">
        <v>78</v>
      </c>
      <c r="BE2329" s="3" t="s">
        <v>23683</v>
      </c>
      <c r="BF2329" s="3" t="s">
        <v>23682</v>
      </c>
      <c r="BG2329" s="3" t="s">
        <v>23684</v>
      </c>
      <c r="BH2329">
        <f t="shared" si="58"/>
        <v>0</v>
      </c>
    </row>
    <row r="2330" spans="1:60" ht="58" x14ac:dyDescent="0.35">
      <c r="A2330" s="2" t="s">
        <v>59</v>
      </c>
      <c r="B2330" s="2" t="s">
        <v>60</v>
      </c>
      <c r="C2330" s="2" t="s">
        <v>23685</v>
      </c>
      <c r="D2330" s="2" t="s">
        <v>23686</v>
      </c>
      <c r="E2330" s="2" t="s">
        <v>23687</v>
      </c>
      <c r="G2330" s="3" t="s">
        <v>64</v>
      </c>
      <c r="I2330" s="3" t="s">
        <v>64</v>
      </c>
      <c r="J2330" s="3" t="s">
        <v>64</v>
      </c>
      <c r="K2330" s="3" t="s">
        <v>65</v>
      </c>
      <c r="L2330" s="2" t="s">
        <v>23688</v>
      </c>
      <c r="M2330" s="2" t="s">
        <v>23689</v>
      </c>
      <c r="N2330" s="3" t="s">
        <v>159</v>
      </c>
      <c r="P2330" s="3" t="s">
        <v>102</v>
      </c>
      <c r="R2330" s="3" t="s">
        <v>70</v>
      </c>
      <c r="S2330" s="4">
        <v>12</v>
      </c>
      <c r="T2330" s="4">
        <v>12</v>
      </c>
      <c r="U2330" s="5" t="s">
        <v>3831</v>
      </c>
      <c r="V2330" s="5" t="s">
        <v>3831</v>
      </c>
      <c r="W2330" s="5" t="s">
        <v>72</v>
      </c>
      <c r="X2330" s="5" t="s">
        <v>72</v>
      </c>
      <c r="Y2330" s="4">
        <v>526</v>
      </c>
      <c r="Z2330" s="4">
        <v>16</v>
      </c>
      <c r="AA2330" s="4">
        <v>17</v>
      </c>
      <c r="AB2330" s="4">
        <v>1</v>
      </c>
      <c r="AC2330" s="4">
        <v>2</v>
      </c>
      <c r="AD2330" s="4">
        <v>60</v>
      </c>
      <c r="AE2330" s="4">
        <v>61</v>
      </c>
      <c r="AF2330" s="4">
        <v>0</v>
      </c>
      <c r="AG2330" s="4">
        <v>1</v>
      </c>
      <c r="AH2330" s="4">
        <v>58</v>
      </c>
      <c r="AI2330" s="4">
        <v>58</v>
      </c>
      <c r="AJ2330" s="4">
        <v>5</v>
      </c>
      <c r="AK2330" s="4">
        <v>6</v>
      </c>
      <c r="AL2330" s="4">
        <v>27</v>
      </c>
      <c r="AM2330" s="4">
        <v>27</v>
      </c>
      <c r="AN2330" s="4">
        <v>0</v>
      </c>
      <c r="AO2330" s="4">
        <v>0</v>
      </c>
      <c r="AP2330" s="4">
        <v>5</v>
      </c>
      <c r="AQ2330" s="4">
        <v>5</v>
      </c>
      <c r="AR2330" s="3" t="s">
        <v>64</v>
      </c>
      <c r="AS2330" s="3" t="s">
        <v>64</v>
      </c>
      <c r="AT2330" s="3" t="s">
        <v>128</v>
      </c>
      <c r="AU2330" s="6" t="str">
        <f>HYPERLINK("http://catalog.hathitrust.org/Record/004314437","HathiTrust Record")</f>
        <v>HathiTrust Record</v>
      </c>
      <c r="AV2330" s="6" t="str">
        <f>HYPERLINK("http://mcgill.on.worldcat.org/oclc/49551783","Catalog Record")</f>
        <v>Catalog Record</v>
      </c>
      <c r="AW2330" s="6" t="str">
        <f>HYPERLINK("http://www.worldcat.org/oclc/49551783","WorldCat Record")</f>
        <v>WorldCat Record</v>
      </c>
      <c r="AX2330" s="3" t="s">
        <v>23690</v>
      </c>
      <c r="AY2330" s="3" t="s">
        <v>23691</v>
      </c>
      <c r="AZ2330" s="3" t="s">
        <v>23692</v>
      </c>
      <c r="BA2330" s="3" t="s">
        <v>23692</v>
      </c>
      <c r="BB2330" s="3" t="s">
        <v>23693</v>
      </c>
      <c r="BC2330" s="3" t="s">
        <v>77</v>
      </c>
      <c r="BD2330" s="3" t="s">
        <v>78</v>
      </c>
      <c r="BE2330" s="3" t="s">
        <v>23694</v>
      </c>
      <c r="BF2330" s="3" t="s">
        <v>23693</v>
      </c>
      <c r="BG2330" s="3" t="s">
        <v>23695</v>
      </c>
      <c r="BH2330">
        <f t="shared" si="58"/>
        <v>0</v>
      </c>
    </row>
    <row r="2331" spans="1:60" ht="58" x14ac:dyDescent="0.35">
      <c r="A2331" s="2" t="s">
        <v>59</v>
      </c>
      <c r="B2331" s="2" t="s">
        <v>60</v>
      </c>
      <c r="C2331" s="2" t="s">
        <v>23696</v>
      </c>
      <c r="D2331" s="2" t="s">
        <v>23697</v>
      </c>
      <c r="E2331" s="2" t="s">
        <v>23698</v>
      </c>
      <c r="G2331" s="3" t="s">
        <v>64</v>
      </c>
      <c r="I2331" s="3" t="s">
        <v>64</v>
      </c>
      <c r="J2331" s="3" t="s">
        <v>64</v>
      </c>
      <c r="K2331" s="3" t="s">
        <v>65</v>
      </c>
      <c r="L2331" s="2" t="s">
        <v>23699</v>
      </c>
      <c r="M2331" s="2" t="s">
        <v>14270</v>
      </c>
      <c r="N2331" s="3" t="s">
        <v>291</v>
      </c>
      <c r="P2331" s="3" t="s">
        <v>102</v>
      </c>
      <c r="R2331" s="3" t="s">
        <v>70</v>
      </c>
      <c r="S2331" s="4">
        <v>1</v>
      </c>
      <c r="T2331" s="4">
        <v>1</v>
      </c>
      <c r="U2331" s="5" t="s">
        <v>19981</v>
      </c>
      <c r="V2331" s="5" t="s">
        <v>19981</v>
      </c>
      <c r="W2331" s="5" t="s">
        <v>72</v>
      </c>
      <c r="X2331" s="5" t="s">
        <v>72</v>
      </c>
      <c r="Y2331" s="4">
        <v>162</v>
      </c>
      <c r="Z2331" s="4">
        <v>11</v>
      </c>
      <c r="AA2331" s="4">
        <v>11</v>
      </c>
      <c r="AB2331" s="4">
        <v>2</v>
      </c>
      <c r="AC2331" s="4">
        <v>2</v>
      </c>
      <c r="AD2331" s="4">
        <v>34</v>
      </c>
      <c r="AE2331" s="4">
        <v>34</v>
      </c>
      <c r="AF2331" s="4">
        <v>0</v>
      </c>
      <c r="AG2331" s="4">
        <v>0</v>
      </c>
      <c r="AH2331" s="4">
        <v>34</v>
      </c>
      <c r="AI2331" s="4">
        <v>34</v>
      </c>
      <c r="AJ2331" s="4">
        <v>6</v>
      </c>
      <c r="AK2331" s="4">
        <v>6</v>
      </c>
      <c r="AL2331" s="4">
        <v>17</v>
      </c>
      <c r="AM2331" s="4">
        <v>17</v>
      </c>
      <c r="AN2331" s="4">
        <v>0</v>
      </c>
      <c r="AO2331" s="4">
        <v>0</v>
      </c>
      <c r="AP2331" s="4">
        <v>6</v>
      </c>
      <c r="AQ2331" s="4">
        <v>6</v>
      </c>
      <c r="AR2331" s="3" t="s">
        <v>64</v>
      </c>
      <c r="AS2331" s="3" t="s">
        <v>64</v>
      </c>
      <c r="AT2331" s="3" t="s">
        <v>128</v>
      </c>
      <c r="AU2331" s="6" t="str">
        <f>HYPERLINK("http://catalog.hathitrust.org/Record/005583740","HathiTrust Record")</f>
        <v>HathiTrust Record</v>
      </c>
      <c r="AV2331" s="6" t="str">
        <f>HYPERLINK("http://mcgill.on.worldcat.org/oclc/144328430","Catalog Record")</f>
        <v>Catalog Record</v>
      </c>
      <c r="AW2331" s="6" t="str">
        <f>HYPERLINK("http://www.worldcat.org/oclc/144328430","WorldCat Record")</f>
        <v>WorldCat Record</v>
      </c>
      <c r="AX2331" s="3" t="s">
        <v>23700</v>
      </c>
      <c r="AY2331" s="3" t="s">
        <v>23701</v>
      </c>
      <c r="AZ2331" s="3" t="s">
        <v>23702</v>
      </c>
      <c r="BA2331" s="3" t="s">
        <v>23702</v>
      </c>
      <c r="BB2331" s="3" t="s">
        <v>23703</v>
      </c>
      <c r="BC2331" s="3" t="s">
        <v>77</v>
      </c>
      <c r="BD2331" s="3" t="s">
        <v>78</v>
      </c>
      <c r="BE2331" s="3" t="s">
        <v>23704</v>
      </c>
      <c r="BF2331" s="3" t="s">
        <v>23703</v>
      </c>
      <c r="BG2331" s="3" t="s">
        <v>23705</v>
      </c>
      <c r="BH2331">
        <f t="shared" si="58"/>
        <v>0</v>
      </c>
    </row>
    <row r="2332" spans="1:60" ht="58" x14ac:dyDescent="0.35">
      <c r="A2332" s="2" t="s">
        <v>59</v>
      </c>
      <c r="B2332" s="2" t="s">
        <v>60</v>
      </c>
      <c r="C2332" s="2" t="s">
        <v>23706</v>
      </c>
      <c r="D2332" s="2" t="s">
        <v>23707</v>
      </c>
      <c r="E2332" s="2" t="s">
        <v>23708</v>
      </c>
      <c r="G2332" s="3" t="s">
        <v>64</v>
      </c>
      <c r="I2332" s="3" t="s">
        <v>64</v>
      </c>
      <c r="J2332" s="3" t="s">
        <v>64</v>
      </c>
      <c r="K2332" s="3" t="s">
        <v>65</v>
      </c>
      <c r="L2332" s="2" t="s">
        <v>23461</v>
      </c>
      <c r="M2332" s="2" t="s">
        <v>23709</v>
      </c>
      <c r="N2332" s="3" t="s">
        <v>153</v>
      </c>
      <c r="P2332" s="3" t="s">
        <v>102</v>
      </c>
      <c r="Q2332" s="2" t="s">
        <v>23710</v>
      </c>
      <c r="R2332" s="3" t="s">
        <v>70</v>
      </c>
      <c r="S2332" s="4">
        <v>22</v>
      </c>
      <c r="T2332" s="4">
        <v>22</v>
      </c>
      <c r="U2332" s="5" t="s">
        <v>5612</v>
      </c>
      <c r="V2332" s="5" t="s">
        <v>5612</v>
      </c>
      <c r="W2332" s="5" t="s">
        <v>72</v>
      </c>
      <c r="X2332" s="5" t="s">
        <v>72</v>
      </c>
      <c r="Y2332" s="4">
        <v>478</v>
      </c>
      <c r="Z2332" s="4">
        <v>16</v>
      </c>
      <c r="AA2332" s="4">
        <v>18</v>
      </c>
      <c r="AB2332" s="4">
        <v>1</v>
      </c>
      <c r="AC2332" s="4">
        <v>1</v>
      </c>
      <c r="AD2332" s="4">
        <v>71</v>
      </c>
      <c r="AE2332" s="4">
        <v>72</v>
      </c>
      <c r="AF2332" s="4">
        <v>0</v>
      </c>
      <c r="AG2332" s="4">
        <v>0</v>
      </c>
      <c r="AH2332" s="4">
        <v>64</v>
      </c>
      <c r="AI2332" s="4">
        <v>65</v>
      </c>
      <c r="AJ2332" s="4">
        <v>7</v>
      </c>
      <c r="AK2332" s="4">
        <v>8</v>
      </c>
      <c r="AL2332" s="4">
        <v>30</v>
      </c>
      <c r="AM2332" s="4">
        <v>31</v>
      </c>
      <c r="AN2332" s="4">
        <v>0</v>
      </c>
      <c r="AO2332" s="4">
        <v>0</v>
      </c>
      <c r="AP2332" s="4">
        <v>12</v>
      </c>
      <c r="AQ2332" s="4">
        <v>13</v>
      </c>
      <c r="AR2332" s="3" t="s">
        <v>64</v>
      </c>
      <c r="AS2332" s="3" t="s">
        <v>64</v>
      </c>
      <c r="AT2332" s="3" t="s">
        <v>64</v>
      </c>
      <c r="AV2332" s="6" t="str">
        <f>HYPERLINK("http://mcgill.on.worldcat.org/oclc/37451910","Catalog Record")</f>
        <v>Catalog Record</v>
      </c>
      <c r="AW2332" s="6" t="str">
        <f>HYPERLINK("http://www.worldcat.org/oclc/37451910","WorldCat Record")</f>
        <v>WorldCat Record</v>
      </c>
      <c r="AX2332" s="3" t="s">
        <v>23711</v>
      </c>
      <c r="AY2332" s="3" t="s">
        <v>23712</v>
      </c>
      <c r="AZ2332" s="3" t="s">
        <v>23713</v>
      </c>
      <c r="BA2332" s="3" t="s">
        <v>23713</v>
      </c>
      <c r="BB2332" s="3" t="s">
        <v>23714</v>
      </c>
      <c r="BC2332" s="3" t="s">
        <v>77</v>
      </c>
      <c r="BD2332" s="3" t="s">
        <v>78</v>
      </c>
      <c r="BE2332" s="3" t="s">
        <v>23715</v>
      </c>
      <c r="BF2332" s="3" t="s">
        <v>23714</v>
      </c>
      <c r="BG2332" s="3" t="s">
        <v>23716</v>
      </c>
      <c r="BH2332">
        <f t="shared" si="58"/>
        <v>0</v>
      </c>
    </row>
    <row r="2333" spans="1:60" ht="58" x14ac:dyDescent="0.35">
      <c r="A2333" s="2" t="s">
        <v>59</v>
      </c>
      <c r="B2333" s="2" t="s">
        <v>60</v>
      </c>
      <c r="C2333" s="2" t="s">
        <v>23717</v>
      </c>
      <c r="D2333" s="2" t="s">
        <v>23718</v>
      </c>
      <c r="E2333" s="2" t="s">
        <v>23719</v>
      </c>
      <c r="G2333" s="3" t="s">
        <v>64</v>
      </c>
      <c r="I2333" s="3" t="s">
        <v>64</v>
      </c>
      <c r="J2333" s="3" t="s">
        <v>64</v>
      </c>
      <c r="K2333" s="3" t="s">
        <v>65</v>
      </c>
      <c r="L2333" s="2" t="s">
        <v>23720</v>
      </c>
      <c r="M2333" s="2" t="s">
        <v>23721</v>
      </c>
      <c r="N2333" s="3" t="s">
        <v>67</v>
      </c>
      <c r="O2333" s="2" t="s">
        <v>117</v>
      </c>
      <c r="P2333" s="3" t="s">
        <v>102</v>
      </c>
      <c r="R2333" s="3" t="s">
        <v>70</v>
      </c>
      <c r="S2333" s="4">
        <v>1</v>
      </c>
      <c r="T2333" s="4">
        <v>1</v>
      </c>
      <c r="U2333" s="5" t="s">
        <v>23722</v>
      </c>
      <c r="V2333" s="5" t="s">
        <v>23722</v>
      </c>
      <c r="W2333" s="5" t="s">
        <v>72</v>
      </c>
      <c r="X2333" s="5" t="s">
        <v>72</v>
      </c>
      <c r="Y2333" s="4">
        <v>207</v>
      </c>
      <c r="Z2333" s="4">
        <v>6</v>
      </c>
      <c r="AA2333" s="4">
        <v>7</v>
      </c>
      <c r="AB2333" s="4">
        <v>1</v>
      </c>
      <c r="AC2333" s="4">
        <v>1</v>
      </c>
      <c r="AD2333" s="4">
        <v>44</v>
      </c>
      <c r="AE2333" s="4">
        <v>45</v>
      </c>
      <c r="AF2333" s="4">
        <v>0</v>
      </c>
      <c r="AG2333" s="4">
        <v>0</v>
      </c>
      <c r="AH2333" s="4">
        <v>43</v>
      </c>
      <c r="AI2333" s="4">
        <v>44</v>
      </c>
      <c r="AJ2333" s="4">
        <v>2</v>
      </c>
      <c r="AK2333" s="4">
        <v>3</v>
      </c>
      <c r="AL2333" s="4">
        <v>20</v>
      </c>
      <c r="AM2333" s="4">
        <v>20</v>
      </c>
      <c r="AN2333" s="4">
        <v>0</v>
      </c>
      <c r="AO2333" s="4">
        <v>0</v>
      </c>
      <c r="AP2333" s="4">
        <v>3</v>
      </c>
      <c r="AQ2333" s="4">
        <v>4</v>
      </c>
      <c r="AR2333" s="3" t="s">
        <v>64</v>
      </c>
      <c r="AS2333" s="3" t="s">
        <v>64</v>
      </c>
      <c r="AT2333" s="3" t="s">
        <v>64</v>
      </c>
      <c r="AV2333" s="6" t="str">
        <f>HYPERLINK("http://mcgill.on.worldcat.org/oclc/878953295","Catalog Record")</f>
        <v>Catalog Record</v>
      </c>
      <c r="AW2333" s="6" t="str">
        <f>HYPERLINK("http://www.worldcat.org/oclc/878953295","WorldCat Record")</f>
        <v>WorldCat Record</v>
      </c>
      <c r="AX2333" s="3" t="s">
        <v>23723</v>
      </c>
      <c r="AY2333" s="3" t="s">
        <v>23724</v>
      </c>
      <c r="AZ2333" s="3" t="s">
        <v>23725</v>
      </c>
      <c r="BA2333" s="3" t="s">
        <v>23725</v>
      </c>
      <c r="BB2333" s="3" t="s">
        <v>23726</v>
      </c>
      <c r="BC2333" s="3" t="s">
        <v>77</v>
      </c>
      <c r="BD2333" s="3" t="s">
        <v>78</v>
      </c>
      <c r="BE2333" s="3" t="s">
        <v>23727</v>
      </c>
      <c r="BF2333" s="3" t="s">
        <v>23726</v>
      </c>
      <c r="BG2333" s="3" t="s">
        <v>23728</v>
      </c>
      <c r="BH2333">
        <f t="shared" si="58"/>
        <v>0</v>
      </c>
    </row>
    <row r="2334" spans="1:60" ht="58" x14ac:dyDescent="0.35">
      <c r="A2334" s="2" t="s">
        <v>59</v>
      </c>
      <c r="B2334" s="2" t="s">
        <v>60</v>
      </c>
      <c r="C2334" s="2" t="s">
        <v>23729</v>
      </c>
      <c r="D2334" s="2" t="s">
        <v>23730</v>
      </c>
      <c r="E2334" s="2" t="s">
        <v>23731</v>
      </c>
      <c r="G2334" s="3" t="s">
        <v>64</v>
      </c>
      <c r="I2334" s="3" t="s">
        <v>64</v>
      </c>
      <c r="J2334" s="3" t="s">
        <v>64</v>
      </c>
      <c r="K2334" s="3" t="s">
        <v>65</v>
      </c>
      <c r="L2334" s="2" t="s">
        <v>23732</v>
      </c>
      <c r="M2334" s="2" t="s">
        <v>9772</v>
      </c>
      <c r="N2334" s="3" t="s">
        <v>1263</v>
      </c>
      <c r="P2334" s="3" t="s">
        <v>102</v>
      </c>
      <c r="Q2334" s="2" t="s">
        <v>23733</v>
      </c>
      <c r="R2334" s="3" t="s">
        <v>70</v>
      </c>
      <c r="S2334" s="4">
        <v>7</v>
      </c>
      <c r="T2334" s="4">
        <v>7</v>
      </c>
      <c r="U2334" s="5" t="s">
        <v>23734</v>
      </c>
      <c r="V2334" s="5" t="s">
        <v>23734</v>
      </c>
      <c r="W2334" s="5" t="s">
        <v>72</v>
      </c>
      <c r="X2334" s="5" t="s">
        <v>72</v>
      </c>
      <c r="Y2334" s="4">
        <v>215</v>
      </c>
      <c r="Z2334" s="4">
        <v>13</v>
      </c>
      <c r="AA2334" s="4">
        <v>14</v>
      </c>
      <c r="AB2334" s="4">
        <v>2</v>
      </c>
      <c r="AC2334" s="4">
        <v>3</v>
      </c>
      <c r="AD2334" s="4">
        <v>80</v>
      </c>
      <c r="AE2334" s="4">
        <v>81</v>
      </c>
      <c r="AF2334" s="4">
        <v>0</v>
      </c>
      <c r="AG2334" s="4">
        <v>1</v>
      </c>
      <c r="AH2334" s="4">
        <v>72</v>
      </c>
      <c r="AI2334" s="4">
        <v>72</v>
      </c>
      <c r="AJ2334" s="4">
        <v>7</v>
      </c>
      <c r="AK2334" s="4">
        <v>8</v>
      </c>
      <c r="AL2334" s="4">
        <v>40</v>
      </c>
      <c r="AM2334" s="4">
        <v>40</v>
      </c>
      <c r="AN2334" s="4">
        <v>0</v>
      </c>
      <c r="AO2334" s="4">
        <v>0</v>
      </c>
      <c r="AP2334" s="4">
        <v>7</v>
      </c>
      <c r="AQ2334" s="4">
        <v>7</v>
      </c>
      <c r="AR2334" s="3" t="s">
        <v>64</v>
      </c>
      <c r="AS2334" s="3" t="s">
        <v>64</v>
      </c>
      <c r="AT2334" s="3" t="s">
        <v>128</v>
      </c>
      <c r="AU2334" s="6" t="str">
        <f>HYPERLINK("http://catalog.hathitrust.org/Record/002712669","HathiTrust Record")</f>
        <v>HathiTrust Record</v>
      </c>
      <c r="AV2334" s="6" t="str">
        <f>HYPERLINK("http://mcgill.on.worldcat.org/oclc/27431013","Catalog Record")</f>
        <v>Catalog Record</v>
      </c>
      <c r="AW2334" s="6" t="str">
        <f>HYPERLINK("http://www.worldcat.org/oclc/27431013","WorldCat Record")</f>
        <v>WorldCat Record</v>
      </c>
      <c r="AX2334" s="3" t="s">
        <v>23735</v>
      </c>
      <c r="AY2334" s="3" t="s">
        <v>23736</v>
      </c>
      <c r="AZ2334" s="3" t="s">
        <v>23737</v>
      </c>
      <c r="BA2334" s="3" t="s">
        <v>23737</v>
      </c>
      <c r="BB2334" s="3" t="s">
        <v>23738</v>
      </c>
      <c r="BC2334" s="3" t="s">
        <v>77</v>
      </c>
      <c r="BD2334" s="3" t="s">
        <v>78</v>
      </c>
      <c r="BE2334" s="3" t="s">
        <v>23739</v>
      </c>
      <c r="BF2334" s="3" t="s">
        <v>23738</v>
      </c>
      <c r="BG2334" s="3" t="s">
        <v>23740</v>
      </c>
      <c r="BH2334">
        <f t="shared" si="58"/>
        <v>0</v>
      </c>
    </row>
    <row r="2335" spans="1:60" ht="58" x14ac:dyDescent="0.35">
      <c r="A2335" s="2" t="s">
        <v>59</v>
      </c>
      <c r="B2335" s="2" t="s">
        <v>60</v>
      </c>
      <c r="C2335" s="2" t="s">
        <v>23741</v>
      </c>
      <c r="D2335" s="2" t="s">
        <v>23742</v>
      </c>
      <c r="E2335" s="2" t="s">
        <v>23743</v>
      </c>
      <c r="G2335" s="3" t="s">
        <v>64</v>
      </c>
      <c r="I2335" s="3" t="s">
        <v>64</v>
      </c>
      <c r="J2335" s="3" t="s">
        <v>64</v>
      </c>
      <c r="K2335" s="3" t="s">
        <v>65</v>
      </c>
      <c r="M2335" s="2" t="s">
        <v>15629</v>
      </c>
      <c r="N2335" s="3" t="s">
        <v>86</v>
      </c>
      <c r="P2335" s="3" t="s">
        <v>102</v>
      </c>
      <c r="R2335" s="3" t="s">
        <v>70</v>
      </c>
      <c r="S2335" s="4">
        <v>1</v>
      </c>
      <c r="T2335" s="4">
        <v>1</v>
      </c>
      <c r="U2335" s="5" t="s">
        <v>1976</v>
      </c>
      <c r="V2335" s="5" t="s">
        <v>1976</v>
      </c>
      <c r="W2335" s="5" t="s">
        <v>72</v>
      </c>
      <c r="X2335" s="5" t="s">
        <v>72</v>
      </c>
      <c r="Y2335" s="4">
        <v>19</v>
      </c>
      <c r="Z2335" s="4">
        <v>4</v>
      </c>
      <c r="AA2335" s="4">
        <v>5</v>
      </c>
      <c r="AB2335" s="4">
        <v>1</v>
      </c>
      <c r="AC2335" s="4">
        <v>2</v>
      </c>
      <c r="AD2335" s="4">
        <v>7</v>
      </c>
      <c r="AE2335" s="4">
        <v>7</v>
      </c>
      <c r="AF2335" s="4">
        <v>0</v>
      </c>
      <c r="AG2335" s="4">
        <v>0</v>
      </c>
      <c r="AH2335" s="4">
        <v>7</v>
      </c>
      <c r="AI2335" s="4">
        <v>7</v>
      </c>
      <c r="AJ2335" s="4">
        <v>2</v>
      </c>
      <c r="AK2335" s="4">
        <v>2</v>
      </c>
      <c r="AL2335" s="4">
        <v>3</v>
      </c>
      <c r="AM2335" s="4">
        <v>3</v>
      </c>
      <c r="AN2335" s="4">
        <v>0</v>
      </c>
      <c r="AO2335" s="4">
        <v>0</v>
      </c>
      <c r="AP2335" s="4">
        <v>2</v>
      </c>
      <c r="AQ2335" s="4">
        <v>2</v>
      </c>
      <c r="AR2335" s="3" t="s">
        <v>64</v>
      </c>
      <c r="AS2335" s="3" t="s">
        <v>64</v>
      </c>
      <c r="AT2335" s="3" t="s">
        <v>64</v>
      </c>
      <c r="AV2335" s="6" t="str">
        <f>HYPERLINK("http://mcgill.on.worldcat.org/oclc/847885056","Catalog Record")</f>
        <v>Catalog Record</v>
      </c>
      <c r="AW2335" s="6" t="str">
        <f>HYPERLINK("http://www.worldcat.org/oclc/847885056","WorldCat Record")</f>
        <v>WorldCat Record</v>
      </c>
      <c r="AX2335" s="3" t="s">
        <v>23744</v>
      </c>
      <c r="AY2335" s="3" t="s">
        <v>23745</v>
      </c>
      <c r="AZ2335" s="3" t="s">
        <v>23746</v>
      </c>
      <c r="BA2335" s="3" t="s">
        <v>23746</v>
      </c>
      <c r="BB2335" s="3" t="s">
        <v>23747</v>
      </c>
      <c r="BC2335" s="3" t="s">
        <v>77</v>
      </c>
      <c r="BD2335" s="3" t="s">
        <v>78</v>
      </c>
      <c r="BE2335" s="3" t="s">
        <v>23748</v>
      </c>
      <c r="BF2335" s="3" t="s">
        <v>23747</v>
      </c>
      <c r="BG2335" s="3" t="s">
        <v>23749</v>
      </c>
      <c r="BH2335">
        <f t="shared" si="58"/>
        <v>0</v>
      </c>
    </row>
    <row r="2336" spans="1:60" ht="58" x14ac:dyDescent="0.35">
      <c r="A2336" s="2" t="s">
        <v>59</v>
      </c>
      <c r="B2336" s="2" t="s">
        <v>60</v>
      </c>
      <c r="C2336" s="2" t="s">
        <v>23750</v>
      </c>
      <c r="D2336" s="2" t="s">
        <v>23751</v>
      </c>
      <c r="E2336" s="2" t="s">
        <v>23752</v>
      </c>
      <c r="G2336" s="3" t="s">
        <v>64</v>
      </c>
      <c r="I2336" s="3" t="s">
        <v>64</v>
      </c>
      <c r="J2336" s="3" t="s">
        <v>64</v>
      </c>
      <c r="K2336" s="3" t="s">
        <v>65</v>
      </c>
      <c r="L2336" s="2" t="s">
        <v>23753</v>
      </c>
      <c r="M2336" s="2" t="s">
        <v>23754</v>
      </c>
      <c r="N2336" s="3" t="s">
        <v>874</v>
      </c>
      <c r="P2336" s="3" t="s">
        <v>102</v>
      </c>
      <c r="Q2336" s="2" t="s">
        <v>23755</v>
      </c>
      <c r="R2336" s="3" t="s">
        <v>70</v>
      </c>
      <c r="S2336" s="4">
        <v>2</v>
      </c>
      <c r="T2336" s="4">
        <v>2</v>
      </c>
      <c r="U2336" s="5" t="s">
        <v>23756</v>
      </c>
      <c r="V2336" s="5" t="s">
        <v>23756</v>
      </c>
      <c r="W2336" s="5" t="s">
        <v>72</v>
      </c>
      <c r="X2336" s="5" t="s">
        <v>72</v>
      </c>
      <c r="Y2336" s="4">
        <v>191</v>
      </c>
      <c r="Z2336" s="4">
        <v>12</v>
      </c>
      <c r="AA2336" s="4">
        <v>13</v>
      </c>
      <c r="AB2336" s="4">
        <v>2</v>
      </c>
      <c r="AC2336" s="4">
        <v>3</v>
      </c>
      <c r="AD2336" s="4">
        <v>69</v>
      </c>
      <c r="AE2336" s="4">
        <v>70</v>
      </c>
      <c r="AF2336" s="4">
        <v>0</v>
      </c>
      <c r="AG2336" s="4">
        <v>1</v>
      </c>
      <c r="AH2336" s="4">
        <v>62</v>
      </c>
      <c r="AI2336" s="4">
        <v>63</v>
      </c>
      <c r="AJ2336" s="4">
        <v>7</v>
      </c>
      <c r="AK2336" s="4">
        <v>8</v>
      </c>
      <c r="AL2336" s="4">
        <v>36</v>
      </c>
      <c r="AM2336" s="4">
        <v>36</v>
      </c>
      <c r="AN2336" s="4">
        <v>5</v>
      </c>
      <c r="AO2336" s="4">
        <v>5</v>
      </c>
      <c r="AP2336" s="4">
        <v>7</v>
      </c>
      <c r="AQ2336" s="4">
        <v>8</v>
      </c>
      <c r="AR2336" s="3" t="s">
        <v>64</v>
      </c>
      <c r="AS2336" s="3" t="s">
        <v>64</v>
      </c>
      <c r="AT2336" s="3" t="s">
        <v>128</v>
      </c>
      <c r="AU2336" s="6" t="str">
        <f>HYPERLINK("http://catalog.hathitrust.org/Record/000183950","HathiTrust Record")</f>
        <v>HathiTrust Record</v>
      </c>
      <c r="AV2336" s="6" t="str">
        <f>HYPERLINK("http://mcgill.on.worldcat.org/oclc/8555026","Catalog Record")</f>
        <v>Catalog Record</v>
      </c>
      <c r="AW2336" s="6" t="str">
        <f>HYPERLINK("http://www.worldcat.org/oclc/8555026","WorldCat Record")</f>
        <v>WorldCat Record</v>
      </c>
      <c r="AX2336" s="3" t="s">
        <v>23757</v>
      </c>
      <c r="AY2336" s="3" t="s">
        <v>23758</v>
      </c>
      <c r="AZ2336" s="3" t="s">
        <v>23759</v>
      </c>
      <c r="BA2336" s="3" t="s">
        <v>23759</v>
      </c>
      <c r="BB2336" s="3" t="s">
        <v>23760</v>
      </c>
      <c r="BC2336" s="3" t="s">
        <v>77</v>
      </c>
      <c r="BD2336" s="3" t="s">
        <v>78</v>
      </c>
      <c r="BE2336" s="3" t="s">
        <v>23761</v>
      </c>
      <c r="BF2336" s="3" t="s">
        <v>23760</v>
      </c>
      <c r="BG2336" s="3" t="s">
        <v>23762</v>
      </c>
      <c r="BH2336">
        <f t="shared" si="58"/>
        <v>0</v>
      </c>
    </row>
    <row r="2337" spans="1:60" ht="58" x14ac:dyDescent="0.35">
      <c r="A2337" s="2" t="s">
        <v>59</v>
      </c>
      <c r="B2337" s="2" t="s">
        <v>60</v>
      </c>
      <c r="C2337" s="2" t="s">
        <v>23763</v>
      </c>
      <c r="D2337" s="2" t="s">
        <v>23764</v>
      </c>
      <c r="E2337" s="2" t="s">
        <v>23765</v>
      </c>
      <c r="G2337" s="3" t="s">
        <v>64</v>
      </c>
      <c r="I2337" s="3" t="s">
        <v>64</v>
      </c>
      <c r="J2337" s="3" t="s">
        <v>64</v>
      </c>
      <c r="K2337" s="3" t="s">
        <v>65</v>
      </c>
      <c r="L2337" s="2" t="s">
        <v>23766</v>
      </c>
      <c r="M2337" s="2" t="s">
        <v>23767</v>
      </c>
      <c r="N2337" s="3" t="s">
        <v>392</v>
      </c>
      <c r="O2337" s="2" t="s">
        <v>2149</v>
      </c>
      <c r="P2337" s="3" t="s">
        <v>102</v>
      </c>
      <c r="R2337" s="3" t="s">
        <v>70</v>
      </c>
      <c r="S2337" s="4">
        <v>15</v>
      </c>
      <c r="T2337" s="4">
        <v>15</v>
      </c>
      <c r="U2337" s="5" t="s">
        <v>15435</v>
      </c>
      <c r="V2337" s="5" t="s">
        <v>15435</v>
      </c>
      <c r="W2337" s="5" t="s">
        <v>72</v>
      </c>
      <c r="X2337" s="5" t="s">
        <v>72</v>
      </c>
      <c r="Y2337" s="4">
        <v>1254</v>
      </c>
      <c r="Z2337" s="4">
        <v>49</v>
      </c>
      <c r="AA2337" s="4">
        <v>65</v>
      </c>
      <c r="AB2337" s="4">
        <v>3</v>
      </c>
      <c r="AC2337" s="4">
        <v>8</v>
      </c>
      <c r="AD2337" s="4">
        <v>120</v>
      </c>
      <c r="AE2337" s="4">
        <v>130</v>
      </c>
      <c r="AF2337" s="4">
        <v>0</v>
      </c>
      <c r="AG2337" s="4">
        <v>3</v>
      </c>
      <c r="AH2337" s="4">
        <v>105</v>
      </c>
      <c r="AI2337" s="4">
        <v>108</v>
      </c>
      <c r="AJ2337" s="4">
        <v>12</v>
      </c>
      <c r="AK2337" s="4">
        <v>18</v>
      </c>
      <c r="AL2337" s="4">
        <v>56</v>
      </c>
      <c r="AM2337" s="4">
        <v>57</v>
      </c>
      <c r="AN2337" s="4">
        <v>0</v>
      </c>
      <c r="AO2337" s="4">
        <v>0</v>
      </c>
      <c r="AP2337" s="4">
        <v>20</v>
      </c>
      <c r="AQ2337" s="4">
        <v>28</v>
      </c>
      <c r="AR2337" s="3" t="s">
        <v>64</v>
      </c>
      <c r="AS2337" s="3" t="s">
        <v>64</v>
      </c>
      <c r="AT2337" s="3" t="s">
        <v>64</v>
      </c>
      <c r="AV2337" s="6" t="str">
        <f>HYPERLINK("http://mcgill.on.worldcat.org/oclc/40856918","Catalog Record")</f>
        <v>Catalog Record</v>
      </c>
      <c r="AW2337" s="6" t="str">
        <f>HYPERLINK("http://www.worldcat.org/oclc/40856918","WorldCat Record")</f>
        <v>WorldCat Record</v>
      </c>
      <c r="AX2337" s="3" t="s">
        <v>23768</v>
      </c>
      <c r="AY2337" s="3" t="s">
        <v>23769</v>
      </c>
      <c r="AZ2337" s="3" t="s">
        <v>23770</v>
      </c>
      <c r="BA2337" s="3" t="s">
        <v>23770</v>
      </c>
      <c r="BB2337" s="3" t="s">
        <v>23771</v>
      </c>
      <c r="BC2337" s="3" t="s">
        <v>77</v>
      </c>
      <c r="BD2337" s="3" t="s">
        <v>78</v>
      </c>
      <c r="BE2337" s="3" t="s">
        <v>23772</v>
      </c>
      <c r="BF2337" s="3" t="s">
        <v>23771</v>
      </c>
      <c r="BG2337" s="3" t="s">
        <v>23773</v>
      </c>
      <c r="BH2337">
        <f t="shared" si="58"/>
        <v>0</v>
      </c>
    </row>
    <row r="2338" spans="1:60" ht="58" x14ac:dyDescent="0.35">
      <c r="A2338" s="2" t="s">
        <v>59</v>
      </c>
      <c r="B2338" s="2" t="s">
        <v>60</v>
      </c>
      <c r="C2338" s="2" t="s">
        <v>23774</v>
      </c>
      <c r="D2338" s="2" t="s">
        <v>23775</v>
      </c>
      <c r="E2338" s="2" t="s">
        <v>23776</v>
      </c>
      <c r="G2338" s="3" t="s">
        <v>64</v>
      </c>
      <c r="I2338" s="3" t="s">
        <v>64</v>
      </c>
      <c r="J2338" s="3" t="s">
        <v>64</v>
      </c>
      <c r="K2338" s="3" t="s">
        <v>65</v>
      </c>
      <c r="L2338" s="2" t="s">
        <v>23777</v>
      </c>
      <c r="M2338" s="2" t="s">
        <v>23778</v>
      </c>
      <c r="N2338" s="3" t="s">
        <v>537</v>
      </c>
      <c r="P2338" s="3" t="s">
        <v>102</v>
      </c>
      <c r="Q2338" s="2" t="s">
        <v>23779</v>
      </c>
      <c r="R2338" s="3" t="s">
        <v>70</v>
      </c>
      <c r="S2338" s="4">
        <v>3</v>
      </c>
      <c r="T2338" s="4">
        <v>3</v>
      </c>
      <c r="U2338" s="5" t="s">
        <v>22752</v>
      </c>
      <c r="V2338" s="5" t="s">
        <v>22752</v>
      </c>
      <c r="W2338" s="5" t="s">
        <v>72</v>
      </c>
      <c r="X2338" s="5" t="s">
        <v>72</v>
      </c>
      <c r="Y2338" s="4">
        <v>151</v>
      </c>
      <c r="Z2338" s="4">
        <v>10</v>
      </c>
      <c r="AA2338" s="4">
        <v>74</v>
      </c>
      <c r="AB2338" s="4">
        <v>1</v>
      </c>
      <c r="AC2338" s="4">
        <v>15</v>
      </c>
      <c r="AD2338" s="4">
        <v>47</v>
      </c>
      <c r="AE2338" s="4">
        <v>105</v>
      </c>
      <c r="AF2338" s="4">
        <v>0</v>
      </c>
      <c r="AG2338" s="4">
        <v>8</v>
      </c>
      <c r="AH2338" s="4">
        <v>43</v>
      </c>
      <c r="AI2338" s="4">
        <v>74</v>
      </c>
      <c r="AJ2338" s="4">
        <v>4</v>
      </c>
      <c r="AK2338" s="4">
        <v>17</v>
      </c>
      <c r="AL2338" s="4">
        <v>29</v>
      </c>
      <c r="AM2338" s="4">
        <v>43</v>
      </c>
      <c r="AN2338" s="4">
        <v>0</v>
      </c>
      <c r="AO2338" s="4">
        <v>0</v>
      </c>
      <c r="AP2338" s="4">
        <v>4</v>
      </c>
      <c r="AQ2338" s="4">
        <v>36</v>
      </c>
      <c r="AR2338" s="3" t="s">
        <v>64</v>
      </c>
      <c r="AS2338" s="3" t="s">
        <v>64</v>
      </c>
      <c r="AT2338" s="3" t="s">
        <v>64</v>
      </c>
      <c r="AV2338" s="6" t="str">
        <f>HYPERLINK("http://mcgill.on.worldcat.org/oclc/922219917","Catalog Record")</f>
        <v>Catalog Record</v>
      </c>
      <c r="AW2338" s="6" t="str">
        <f>HYPERLINK("http://www.worldcat.org/oclc/922219917","WorldCat Record")</f>
        <v>WorldCat Record</v>
      </c>
      <c r="AX2338" s="3" t="s">
        <v>23780</v>
      </c>
      <c r="AY2338" s="3" t="s">
        <v>23781</v>
      </c>
      <c r="AZ2338" s="3" t="s">
        <v>23782</v>
      </c>
      <c r="BA2338" s="3" t="s">
        <v>23782</v>
      </c>
      <c r="BB2338" s="3" t="s">
        <v>23783</v>
      </c>
      <c r="BC2338" s="3" t="s">
        <v>77</v>
      </c>
      <c r="BD2338" s="3" t="s">
        <v>78</v>
      </c>
      <c r="BE2338" s="3" t="s">
        <v>23784</v>
      </c>
      <c r="BF2338" s="3" t="s">
        <v>23783</v>
      </c>
      <c r="BG2338" s="3" t="s">
        <v>23785</v>
      </c>
      <c r="BH2338">
        <f t="shared" si="58"/>
        <v>0</v>
      </c>
    </row>
    <row r="2339" spans="1:60" ht="58" x14ac:dyDescent="0.35">
      <c r="A2339" s="2" t="s">
        <v>59</v>
      </c>
      <c r="B2339" s="2" t="s">
        <v>60</v>
      </c>
      <c r="C2339" s="2" t="s">
        <v>23786</v>
      </c>
      <c r="D2339" s="2" t="s">
        <v>23787</v>
      </c>
      <c r="E2339" s="2" t="s">
        <v>23788</v>
      </c>
      <c r="G2339" s="3" t="s">
        <v>64</v>
      </c>
      <c r="I2339" s="3" t="s">
        <v>64</v>
      </c>
      <c r="J2339" s="3" t="s">
        <v>64</v>
      </c>
      <c r="K2339" s="3" t="s">
        <v>65</v>
      </c>
      <c r="L2339" s="2" t="s">
        <v>23789</v>
      </c>
      <c r="M2339" s="2" t="s">
        <v>23790</v>
      </c>
      <c r="N2339" s="3" t="s">
        <v>793</v>
      </c>
      <c r="O2339" s="2" t="s">
        <v>12191</v>
      </c>
      <c r="P2339" s="3" t="s">
        <v>102</v>
      </c>
      <c r="Q2339" s="2" t="s">
        <v>23791</v>
      </c>
      <c r="R2339" s="3" t="s">
        <v>70</v>
      </c>
      <c r="S2339" s="4">
        <v>2</v>
      </c>
      <c r="T2339" s="4">
        <v>2</v>
      </c>
      <c r="U2339" s="5" t="s">
        <v>23792</v>
      </c>
      <c r="V2339" s="5" t="s">
        <v>23792</v>
      </c>
      <c r="W2339" s="5" t="s">
        <v>72</v>
      </c>
      <c r="X2339" s="5" t="s">
        <v>72</v>
      </c>
      <c r="Y2339" s="4">
        <v>50</v>
      </c>
      <c r="Z2339" s="4">
        <v>5</v>
      </c>
      <c r="AA2339" s="4">
        <v>6</v>
      </c>
      <c r="AB2339" s="4">
        <v>1</v>
      </c>
      <c r="AC2339" s="4">
        <v>1</v>
      </c>
      <c r="AD2339" s="4">
        <v>29</v>
      </c>
      <c r="AE2339" s="4">
        <v>36</v>
      </c>
      <c r="AF2339" s="4">
        <v>0</v>
      </c>
      <c r="AG2339" s="4">
        <v>0</v>
      </c>
      <c r="AH2339" s="4">
        <v>29</v>
      </c>
      <c r="AI2339" s="4">
        <v>36</v>
      </c>
      <c r="AJ2339" s="4">
        <v>2</v>
      </c>
      <c r="AK2339" s="4">
        <v>3</v>
      </c>
      <c r="AL2339" s="4">
        <v>19</v>
      </c>
      <c r="AM2339" s="4">
        <v>23</v>
      </c>
      <c r="AN2339" s="4">
        <v>0</v>
      </c>
      <c r="AO2339" s="4">
        <v>0</v>
      </c>
      <c r="AP2339" s="4">
        <v>2</v>
      </c>
      <c r="AQ2339" s="4">
        <v>3</v>
      </c>
      <c r="AR2339" s="3" t="s">
        <v>64</v>
      </c>
      <c r="AS2339" s="3" t="s">
        <v>128</v>
      </c>
      <c r="AT2339" s="3" t="s">
        <v>64</v>
      </c>
      <c r="AU2339" s="6" t="str">
        <f>HYPERLINK("http://catalog.hathitrust.org/Record/001162532","HathiTrust Record")</f>
        <v>HathiTrust Record</v>
      </c>
      <c r="AV2339" s="6" t="str">
        <f>HYPERLINK("http://mcgill.on.worldcat.org/oclc/3613636","Catalog Record")</f>
        <v>Catalog Record</v>
      </c>
      <c r="AW2339" s="6" t="str">
        <f>HYPERLINK("http://www.worldcat.org/oclc/3613636","WorldCat Record")</f>
        <v>WorldCat Record</v>
      </c>
      <c r="AX2339" s="3" t="s">
        <v>23793</v>
      </c>
      <c r="AY2339" s="3" t="s">
        <v>23794</v>
      </c>
      <c r="AZ2339" s="3" t="s">
        <v>23795</v>
      </c>
      <c r="BA2339" s="3" t="s">
        <v>23795</v>
      </c>
      <c r="BB2339" s="3" t="s">
        <v>23796</v>
      </c>
      <c r="BC2339" s="3" t="s">
        <v>77</v>
      </c>
      <c r="BD2339" s="3" t="s">
        <v>165</v>
      </c>
      <c r="BF2339" s="3" t="s">
        <v>23796</v>
      </c>
      <c r="BG2339" s="3" t="s">
        <v>23797</v>
      </c>
      <c r="BH2339">
        <f t="shared" si="58"/>
        <v>0</v>
      </c>
    </row>
    <row r="2340" spans="1:60" ht="58" x14ac:dyDescent="0.35">
      <c r="A2340" s="2" t="s">
        <v>59</v>
      </c>
      <c r="B2340" s="2" t="s">
        <v>60</v>
      </c>
      <c r="C2340" s="2" t="s">
        <v>23798</v>
      </c>
      <c r="D2340" s="2" t="s">
        <v>23799</v>
      </c>
      <c r="E2340" s="2" t="s">
        <v>23800</v>
      </c>
      <c r="G2340" s="3" t="s">
        <v>64</v>
      </c>
      <c r="I2340" s="3" t="s">
        <v>64</v>
      </c>
      <c r="J2340" s="3" t="s">
        <v>64</v>
      </c>
      <c r="K2340" s="3" t="s">
        <v>65</v>
      </c>
      <c r="M2340" s="2" t="s">
        <v>23801</v>
      </c>
      <c r="N2340" s="3" t="s">
        <v>511</v>
      </c>
      <c r="O2340" s="2" t="s">
        <v>8077</v>
      </c>
      <c r="P2340" s="3" t="s">
        <v>102</v>
      </c>
      <c r="Q2340" s="2" t="s">
        <v>23802</v>
      </c>
      <c r="R2340" s="3" t="s">
        <v>70</v>
      </c>
      <c r="S2340" s="4">
        <v>3</v>
      </c>
      <c r="T2340" s="4">
        <v>3</v>
      </c>
      <c r="U2340" s="5" t="s">
        <v>23803</v>
      </c>
      <c r="V2340" s="5" t="s">
        <v>23803</v>
      </c>
      <c r="W2340" s="5" t="s">
        <v>72</v>
      </c>
      <c r="X2340" s="5" t="s">
        <v>72</v>
      </c>
      <c r="Y2340" s="4">
        <v>11</v>
      </c>
      <c r="Z2340" s="4">
        <v>3</v>
      </c>
      <c r="AA2340" s="4">
        <v>4</v>
      </c>
      <c r="AB2340" s="4">
        <v>2</v>
      </c>
      <c r="AC2340" s="4">
        <v>2</v>
      </c>
      <c r="AD2340" s="4">
        <v>2</v>
      </c>
      <c r="AE2340" s="4">
        <v>3</v>
      </c>
      <c r="AF2340" s="4">
        <v>1</v>
      </c>
      <c r="AG2340" s="4">
        <v>1</v>
      </c>
      <c r="AH2340" s="4">
        <v>1</v>
      </c>
      <c r="AI2340" s="4">
        <v>1</v>
      </c>
      <c r="AJ2340" s="4">
        <v>1</v>
      </c>
      <c r="AK2340" s="4">
        <v>2</v>
      </c>
      <c r="AL2340" s="4">
        <v>1</v>
      </c>
      <c r="AM2340" s="4">
        <v>1</v>
      </c>
      <c r="AN2340" s="4">
        <v>0</v>
      </c>
      <c r="AO2340" s="4">
        <v>0</v>
      </c>
      <c r="AP2340" s="4">
        <v>1</v>
      </c>
      <c r="AQ2340" s="4">
        <v>1</v>
      </c>
      <c r="AR2340" s="3" t="s">
        <v>64</v>
      </c>
      <c r="AS2340" s="3" t="s">
        <v>64</v>
      </c>
      <c r="AT2340" s="3" t="s">
        <v>64</v>
      </c>
      <c r="AV2340" s="6" t="str">
        <f>HYPERLINK("http://mcgill.on.worldcat.org/oclc/688334735","Catalog Record")</f>
        <v>Catalog Record</v>
      </c>
      <c r="AW2340" s="6" t="str">
        <f>HYPERLINK("http://www.worldcat.org/oclc/688334735","WorldCat Record")</f>
        <v>WorldCat Record</v>
      </c>
      <c r="AX2340" s="3" t="s">
        <v>23804</v>
      </c>
      <c r="AY2340" s="3" t="s">
        <v>23805</v>
      </c>
      <c r="AZ2340" s="3" t="s">
        <v>23806</v>
      </c>
      <c r="BA2340" s="3" t="s">
        <v>23806</v>
      </c>
      <c r="BB2340" s="3" t="s">
        <v>23807</v>
      </c>
      <c r="BC2340" s="3" t="s">
        <v>77</v>
      </c>
      <c r="BD2340" s="3" t="s">
        <v>78</v>
      </c>
      <c r="BE2340" s="3" t="s">
        <v>23808</v>
      </c>
      <c r="BF2340" s="3" t="s">
        <v>23807</v>
      </c>
      <c r="BG2340" s="3" t="s">
        <v>23809</v>
      </c>
      <c r="BH2340">
        <f t="shared" si="58"/>
        <v>0</v>
      </c>
    </row>
    <row r="2341" spans="1:60" ht="58" x14ac:dyDescent="0.35">
      <c r="A2341" s="2" t="s">
        <v>59</v>
      </c>
      <c r="B2341" s="2" t="s">
        <v>60</v>
      </c>
      <c r="C2341" s="2" t="s">
        <v>23810</v>
      </c>
      <c r="D2341" s="2" t="s">
        <v>23811</v>
      </c>
      <c r="E2341" s="2" t="s">
        <v>23812</v>
      </c>
      <c r="G2341" s="3" t="s">
        <v>64</v>
      </c>
      <c r="I2341" s="3" t="s">
        <v>64</v>
      </c>
      <c r="J2341" s="3" t="s">
        <v>64</v>
      </c>
      <c r="K2341" s="3" t="s">
        <v>65</v>
      </c>
      <c r="M2341" s="2" t="s">
        <v>16093</v>
      </c>
      <c r="N2341" s="3" t="s">
        <v>511</v>
      </c>
      <c r="P2341" s="3" t="s">
        <v>102</v>
      </c>
      <c r="R2341" s="3" t="s">
        <v>70</v>
      </c>
      <c r="S2341" s="4">
        <v>1</v>
      </c>
      <c r="T2341" s="4">
        <v>1</v>
      </c>
      <c r="U2341" s="5" t="s">
        <v>23813</v>
      </c>
      <c r="V2341" s="5" t="s">
        <v>23813</v>
      </c>
      <c r="W2341" s="5" t="s">
        <v>72</v>
      </c>
      <c r="X2341" s="5" t="s">
        <v>72</v>
      </c>
      <c r="Y2341" s="4">
        <v>184</v>
      </c>
      <c r="Z2341" s="4">
        <v>15</v>
      </c>
      <c r="AA2341" s="4">
        <v>15</v>
      </c>
      <c r="AB2341" s="4">
        <v>3</v>
      </c>
      <c r="AC2341" s="4">
        <v>3</v>
      </c>
      <c r="AD2341" s="4">
        <v>25</v>
      </c>
      <c r="AE2341" s="4">
        <v>25</v>
      </c>
      <c r="AF2341" s="4">
        <v>1</v>
      </c>
      <c r="AG2341" s="4">
        <v>1</v>
      </c>
      <c r="AH2341" s="4">
        <v>23</v>
      </c>
      <c r="AI2341" s="4">
        <v>23</v>
      </c>
      <c r="AJ2341" s="4">
        <v>7</v>
      </c>
      <c r="AK2341" s="4">
        <v>7</v>
      </c>
      <c r="AL2341" s="4">
        <v>13</v>
      </c>
      <c r="AM2341" s="4">
        <v>13</v>
      </c>
      <c r="AN2341" s="4">
        <v>0</v>
      </c>
      <c r="AO2341" s="4">
        <v>0</v>
      </c>
      <c r="AP2341" s="4">
        <v>7</v>
      </c>
      <c r="AQ2341" s="4">
        <v>7</v>
      </c>
      <c r="AR2341" s="3" t="s">
        <v>64</v>
      </c>
      <c r="AS2341" s="3" t="s">
        <v>64</v>
      </c>
      <c r="AT2341" s="3" t="s">
        <v>64</v>
      </c>
      <c r="AV2341" s="6" t="str">
        <f>HYPERLINK("http://mcgill.on.worldcat.org/oclc/422757075","Catalog Record")</f>
        <v>Catalog Record</v>
      </c>
      <c r="AW2341" s="6" t="str">
        <f>HYPERLINK("http://www.worldcat.org/oclc/422757075","WorldCat Record")</f>
        <v>WorldCat Record</v>
      </c>
      <c r="AX2341" s="3" t="s">
        <v>23814</v>
      </c>
      <c r="AY2341" s="3" t="s">
        <v>23815</v>
      </c>
      <c r="AZ2341" s="3" t="s">
        <v>23816</v>
      </c>
      <c r="BA2341" s="3" t="s">
        <v>23816</v>
      </c>
      <c r="BB2341" s="3" t="s">
        <v>23817</v>
      </c>
      <c r="BC2341" s="3" t="s">
        <v>77</v>
      </c>
      <c r="BD2341" s="3" t="s">
        <v>78</v>
      </c>
      <c r="BE2341" s="3" t="s">
        <v>23818</v>
      </c>
      <c r="BF2341" s="3" t="s">
        <v>23817</v>
      </c>
      <c r="BG2341" s="3" t="s">
        <v>23819</v>
      </c>
      <c r="BH2341">
        <f t="shared" si="58"/>
        <v>0</v>
      </c>
    </row>
    <row r="2342" spans="1:60" ht="58" x14ac:dyDescent="0.35">
      <c r="A2342" s="2" t="s">
        <v>59</v>
      </c>
      <c r="B2342" s="2" t="s">
        <v>60</v>
      </c>
      <c r="C2342" s="2" t="s">
        <v>23820</v>
      </c>
      <c r="D2342" s="2" t="s">
        <v>23821</v>
      </c>
      <c r="E2342" s="2" t="s">
        <v>23822</v>
      </c>
      <c r="G2342" s="3" t="s">
        <v>64</v>
      </c>
      <c r="I2342" s="3" t="s">
        <v>64</v>
      </c>
      <c r="J2342" s="3" t="s">
        <v>64</v>
      </c>
      <c r="K2342" s="3" t="s">
        <v>65</v>
      </c>
      <c r="L2342" s="2" t="s">
        <v>23823</v>
      </c>
      <c r="M2342" s="2" t="s">
        <v>23824</v>
      </c>
      <c r="N2342" s="3" t="s">
        <v>144</v>
      </c>
      <c r="P2342" s="3" t="s">
        <v>68</v>
      </c>
      <c r="Q2342" s="2" t="s">
        <v>23825</v>
      </c>
      <c r="R2342" s="3" t="s">
        <v>70</v>
      </c>
      <c r="S2342" s="4">
        <v>3</v>
      </c>
      <c r="T2342" s="4">
        <v>3</v>
      </c>
      <c r="U2342" s="5" t="s">
        <v>15687</v>
      </c>
      <c r="V2342" s="5" t="s">
        <v>15687</v>
      </c>
      <c r="W2342" s="5" t="s">
        <v>72</v>
      </c>
      <c r="X2342" s="5" t="s">
        <v>72</v>
      </c>
      <c r="Y2342" s="4">
        <v>22</v>
      </c>
      <c r="Z2342" s="4">
        <v>6</v>
      </c>
      <c r="AA2342" s="4">
        <v>14</v>
      </c>
      <c r="AB2342" s="4">
        <v>3</v>
      </c>
      <c r="AC2342" s="4">
        <v>9</v>
      </c>
      <c r="AD2342" s="4">
        <v>7</v>
      </c>
      <c r="AE2342" s="4">
        <v>13</v>
      </c>
      <c r="AF2342" s="4">
        <v>0</v>
      </c>
      <c r="AG2342" s="4">
        <v>4</v>
      </c>
      <c r="AH2342" s="4">
        <v>6</v>
      </c>
      <c r="AI2342" s="4">
        <v>8</v>
      </c>
      <c r="AJ2342" s="4">
        <v>1</v>
      </c>
      <c r="AK2342" s="4">
        <v>5</v>
      </c>
      <c r="AL2342" s="4">
        <v>7</v>
      </c>
      <c r="AM2342" s="4">
        <v>7</v>
      </c>
      <c r="AN2342" s="4">
        <v>0</v>
      </c>
      <c r="AO2342" s="4">
        <v>0</v>
      </c>
      <c r="AP2342" s="4">
        <v>1</v>
      </c>
      <c r="AQ2342" s="4">
        <v>6</v>
      </c>
      <c r="AR2342" s="3" t="s">
        <v>64</v>
      </c>
      <c r="AS2342" s="3" t="s">
        <v>64</v>
      </c>
      <c r="AT2342" s="3" t="s">
        <v>128</v>
      </c>
      <c r="AU2342" s="6" t="str">
        <f>HYPERLINK("http://catalog.hathitrust.org/Record/005835159","HathiTrust Record")</f>
        <v>HathiTrust Record</v>
      </c>
      <c r="AV2342" s="6" t="str">
        <f>HYPERLINK("http://mcgill.on.worldcat.org/oclc/233792253","Catalog Record")</f>
        <v>Catalog Record</v>
      </c>
      <c r="AW2342" s="6" t="str">
        <f>HYPERLINK("http://www.worldcat.org/oclc/233792253","WorldCat Record")</f>
        <v>WorldCat Record</v>
      </c>
      <c r="AX2342" s="3" t="s">
        <v>23826</v>
      </c>
      <c r="AY2342" s="3" t="s">
        <v>23827</v>
      </c>
      <c r="AZ2342" s="3" t="s">
        <v>23828</v>
      </c>
      <c r="BA2342" s="3" t="s">
        <v>23828</v>
      </c>
      <c r="BB2342" s="3" t="s">
        <v>23829</v>
      </c>
      <c r="BC2342" s="3" t="s">
        <v>77</v>
      </c>
      <c r="BD2342" s="3" t="s">
        <v>78</v>
      </c>
      <c r="BE2342" s="3" t="s">
        <v>23830</v>
      </c>
      <c r="BF2342" s="3" t="s">
        <v>23829</v>
      </c>
      <c r="BG2342" s="3" t="s">
        <v>23831</v>
      </c>
      <c r="BH2342">
        <f t="shared" si="58"/>
        <v>0</v>
      </c>
    </row>
    <row r="2343" spans="1:60" ht="58" x14ac:dyDescent="0.35">
      <c r="A2343" s="2" t="s">
        <v>59</v>
      </c>
      <c r="B2343" s="2" t="s">
        <v>60</v>
      </c>
      <c r="C2343" s="2" t="s">
        <v>23832</v>
      </c>
      <c r="D2343" s="2" t="s">
        <v>23833</v>
      </c>
      <c r="E2343" s="2" t="s">
        <v>23834</v>
      </c>
      <c r="G2343" s="3" t="s">
        <v>64</v>
      </c>
      <c r="I2343" s="3" t="s">
        <v>64</v>
      </c>
      <c r="J2343" s="3" t="s">
        <v>64</v>
      </c>
      <c r="K2343" s="3" t="s">
        <v>65</v>
      </c>
      <c r="L2343" s="2" t="s">
        <v>23835</v>
      </c>
      <c r="M2343" s="2" t="s">
        <v>23836</v>
      </c>
      <c r="N2343" s="3" t="s">
        <v>511</v>
      </c>
      <c r="P2343" s="3" t="s">
        <v>68</v>
      </c>
      <c r="Q2343" s="2" t="s">
        <v>23837</v>
      </c>
      <c r="R2343" s="3" t="s">
        <v>70</v>
      </c>
      <c r="S2343" s="4">
        <v>2</v>
      </c>
      <c r="T2343" s="4">
        <v>2</v>
      </c>
      <c r="U2343" s="5" t="s">
        <v>15687</v>
      </c>
      <c r="V2343" s="5" t="s">
        <v>15687</v>
      </c>
      <c r="W2343" s="5" t="s">
        <v>72</v>
      </c>
      <c r="X2343" s="5" t="s">
        <v>72</v>
      </c>
      <c r="Y2343" s="4">
        <v>12</v>
      </c>
      <c r="Z2343" s="4">
        <v>5</v>
      </c>
      <c r="AA2343" s="4">
        <v>10</v>
      </c>
      <c r="AB2343" s="4">
        <v>1</v>
      </c>
      <c r="AC2343" s="4">
        <v>6</v>
      </c>
      <c r="AD2343" s="4">
        <v>5</v>
      </c>
      <c r="AE2343" s="4">
        <v>9</v>
      </c>
      <c r="AF2343" s="4">
        <v>0</v>
      </c>
      <c r="AG2343" s="4">
        <v>4</v>
      </c>
      <c r="AH2343" s="4">
        <v>5</v>
      </c>
      <c r="AI2343" s="4">
        <v>6</v>
      </c>
      <c r="AJ2343" s="4">
        <v>3</v>
      </c>
      <c r="AK2343" s="4">
        <v>6</v>
      </c>
      <c r="AL2343" s="4">
        <v>2</v>
      </c>
      <c r="AM2343" s="4">
        <v>2</v>
      </c>
      <c r="AN2343" s="4">
        <v>0</v>
      </c>
      <c r="AO2343" s="4">
        <v>0</v>
      </c>
      <c r="AP2343" s="4">
        <v>3</v>
      </c>
      <c r="AQ2343" s="4">
        <v>6</v>
      </c>
      <c r="AR2343" s="3" t="s">
        <v>64</v>
      </c>
      <c r="AS2343" s="3" t="s">
        <v>64</v>
      </c>
      <c r="AT2343" s="3" t="s">
        <v>64</v>
      </c>
      <c r="AV2343" s="6" t="str">
        <f>HYPERLINK("http://mcgill.on.worldcat.org/oclc/669123789","Catalog Record")</f>
        <v>Catalog Record</v>
      </c>
      <c r="AW2343" s="6" t="str">
        <f>HYPERLINK("http://www.worldcat.org/oclc/669123789","WorldCat Record")</f>
        <v>WorldCat Record</v>
      </c>
      <c r="AX2343" s="3" t="s">
        <v>23838</v>
      </c>
      <c r="AY2343" s="3" t="s">
        <v>23839</v>
      </c>
      <c r="AZ2343" s="3" t="s">
        <v>23840</v>
      </c>
      <c r="BA2343" s="3" t="s">
        <v>23840</v>
      </c>
      <c r="BB2343" s="3" t="s">
        <v>23841</v>
      </c>
      <c r="BC2343" s="3" t="s">
        <v>77</v>
      </c>
      <c r="BD2343" s="3" t="s">
        <v>78</v>
      </c>
      <c r="BE2343" s="3" t="s">
        <v>23842</v>
      </c>
      <c r="BF2343" s="3" t="s">
        <v>23841</v>
      </c>
      <c r="BG2343" s="3" t="s">
        <v>23843</v>
      </c>
      <c r="BH2343">
        <f t="shared" si="58"/>
        <v>0</v>
      </c>
    </row>
    <row r="2344" spans="1:60" ht="58" x14ac:dyDescent="0.35">
      <c r="A2344" s="2" t="s">
        <v>59</v>
      </c>
      <c r="B2344" s="2" t="s">
        <v>60</v>
      </c>
      <c r="C2344" s="2" t="s">
        <v>23844</v>
      </c>
      <c r="D2344" s="2" t="s">
        <v>23845</v>
      </c>
      <c r="E2344" s="2" t="s">
        <v>23846</v>
      </c>
      <c r="G2344" s="3" t="s">
        <v>64</v>
      </c>
      <c r="I2344" s="3" t="s">
        <v>64</v>
      </c>
      <c r="J2344" s="3" t="s">
        <v>128</v>
      </c>
      <c r="K2344" s="3" t="s">
        <v>65</v>
      </c>
      <c r="L2344" s="2" t="s">
        <v>18693</v>
      </c>
      <c r="M2344" s="2" t="s">
        <v>23847</v>
      </c>
      <c r="N2344" s="3" t="s">
        <v>116</v>
      </c>
      <c r="P2344" s="3" t="s">
        <v>102</v>
      </c>
      <c r="R2344" s="3" t="s">
        <v>70</v>
      </c>
      <c r="S2344" s="4">
        <v>18</v>
      </c>
      <c r="T2344" s="4">
        <v>18</v>
      </c>
      <c r="U2344" s="5" t="s">
        <v>23792</v>
      </c>
      <c r="V2344" s="5" t="s">
        <v>23792</v>
      </c>
      <c r="W2344" s="5" t="s">
        <v>72</v>
      </c>
      <c r="X2344" s="5" t="s">
        <v>72</v>
      </c>
      <c r="Y2344" s="4">
        <v>238</v>
      </c>
      <c r="Z2344" s="4">
        <v>19</v>
      </c>
      <c r="AA2344" s="4">
        <v>27</v>
      </c>
      <c r="AB2344" s="4">
        <v>3</v>
      </c>
      <c r="AC2344" s="4">
        <v>8</v>
      </c>
      <c r="AD2344" s="4">
        <v>51</v>
      </c>
      <c r="AE2344" s="4">
        <v>57</v>
      </c>
      <c r="AF2344" s="4">
        <v>1</v>
      </c>
      <c r="AG2344" s="4">
        <v>4</v>
      </c>
      <c r="AH2344" s="4">
        <v>43</v>
      </c>
      <c r="AI2344" s="4">
        <v>46</v>
      </c>
      <c r="AJ2344" s="4">
        <v>9</v>
      </c>
      <c r="AK2344" s="4">
        <v>13</v>
      </c>
      <c r="AL2344" s="4">
        <v>20</v>
      </c>
      <c r="AM2344" s="4">
        <v>21</v>
      </c>
      <c r="AN2344" s="4">
        <v>0</v>
      </c>
      <c r="AO2344" s="4">
        <v>0</v>
      </c>
      <c r="AP2344" s="4">
        <v>10</v>
      </c>
      <c r="AQ2344" s="4">
        <v>14</v>
      </c>
      <c r="AR2344" s="3" t="s">
        <v>64</v>
      </c>
      <c r="AS2344" s="3" t="s">
        <v>64</v>
      </c>
      <c r="AT2344" s="3" t="s">
        <v>128</v>
      </c>
      <c r="AU2344" s="6" t="str">
        <f>HYPERLINK("http://catalog.hathitrust.org/Record/004357610","HathiTrust Record")</f>
        <v>HathiTrust Record</v>
      </c>
      <c r="AV2344" s="6" t="str">
        <f>HYPERLINK("http://mcgill.on.worldcat.org/oclc/48362874","Catalog Record")</f>
        <v>Catalog Record</v>
      </c>
      <c r="AW2344" s="6" t="str">
        <f>HYPERLINK("http://www.worldcat.org/oclc/48362874","WorldCat Record")</f>
        <v>WorldCat Record</v>
      </c>
      <c r="AX2344" s="3" t="s">
        <v>23848</v>
      </c>
      <c r="AY2344" s="3" t="s">
        <v>23849</v>
      </c>
      <c r="AZ2344" s="3" t="s">
        <v>23850</v>
      </c>
      <c r="BA2344" s="3" t="s">
        <v>23850</v>
      </c>
      <c r="BB2344" s="3" t="s">
        <v>23851</v>
      </c>
      <c r="BC2344" s="3" t="s">
        <v>77</v>
      </c>
      <c r="BD2344" s="3" t="s">
        <v>78</v>
      </c>
      <c r="BE2344" s="3" t="s">
        <v>23852</v>
      </c>
      <c r="BF2344" s="3" t="s">
        <v>23851</v>
      </c>
      <c r="BG2344" s="3" t="s">
        <v>23853</v>
      </c>
      <c r="BH2344">
        <f t="shared" si="58"/>
        <v>0</v>
      </c>
    </row>
    <row r="2345" spans="1:60" ht="58" x14ac:dyDescent="0.35">
      <c r="A2345" s="2" t="s">
        <v>59</v>
      </c>
      <c r="B2345" s="2" t="s">
        <v>60</v>
      </c>
      <c r="C2345" s="2" t="s">
        <v>23854</v>
      </c>
      <c r="D2345" s="2" t="s">
        <v>23855</v>
      </c>
      <c r="E2345" s="2" t="s">
        <v>23846</v>
      </c>
      <c r="G2345" s="3" t="s">
        <v>64</v>
      </c>
      <c r="I2345" s="3" t="s">
        <v>64</v>
      </c>
      <c r="J2345" s="3" t="s">
        <v>128</v>
      </c>
      <c r="K2345" s="3" t="s">
        <v>65</v>
      </c>
      <c r="L2345" s="2" t="s">
        <v>18693</v>
      </c>
      <c r="M2345" s="2" t="s">
        <v>23856</v>
      </c>
      <c r="N2345" s="3" t="s">
        <v>171</v>
      </c>
      <c r="P2345" s="3" t="s">
        <v>102</v>
      </c>
      <c r="R2345" s="3" t="s">
        <v>70</v>
      </c>
      <c r="S2345" s="4">
        <v>8</v>
      </c>
      <c r="T2345" s="4">
        <v>8</v>
      </c>
      <c r="U2345" s="5" t="s">
        <v>23857</v>
      </c>
      <c r="V2345" s="5" t="s">
        <v>23857</v>
      </c>
      <c r="W2345" s="5" t="s">
        <v>72</v>
      </c>
      <c r="X2345" s="5" t="s">
        <v>72</v>
      </c>
      <c r="Y2345" s="4">
        <v>22</v>
      </c>
      <c r="Z2345" s="4">
        <v>2</v>
      </c>
      <c r="AA2345" s="4">
        <v>27</v>
      </c>
      <c r="AB2345" s="4">
        <v>1</v>
      </c>
      <c r="AC2345" s="4">
        <v>8</v>
      </c>
      <c r="AD2345" s="4">
        <v>1</v>
      </c>
      <c r="AE2345" s="4">
        <v>57</v>
      </c>
      <c r="AF2345" s="4">
        <v>0</v>
      </c>
      <c r="AG2345" s="4">
        <v>4</v>
      </c>
      <c r="AH2345" s="4">
        <v>1</v>
      </c>
      <c r="AI2345" s="4">
        <v>46</v>
      </c>
      <c r="AJ2345" s="4">
        <v>1</v>
      </c>
      <c r="AK2345" s="4">
        <v>13</v>
      </c>
      <c r="AL2345" s="4">
        <v>0</v>
      </c>
      <c r="AM2345" s="4">
        <v>21</v>
      </c>
      <c r="AN2345" s="4">
        <v>0</v>
      </c>
      <c r="AO2345" s="4">
        <v>0</v>
      </c>
      <c r="AP2345" s="4">
        <v>1</v>
      </c>
      <c r="AQ2345" s="4">
        <v>14</v>
      </c>
      <c r="AR2345" s="3" t="s">
        <v>64</v>
      </c>
      <c r="AS2345" s="3" t="s">
        <v>64</v>
      </c>
      <c r="AT2345" s="3" t="s">
        <v>64</v>
      </c>
      <c r="AV2345" s="6" t="str">
        <f>HYPERLINK("http://mcgill.on.worldcat.org/oclc/85689281","Catalog Record")</f>
        <v>Catalog Record</v>
      </c>
      <c r="AW2345" s="6" t="str">
        <f>HYPERLINK("http://www.worldcat.org/oclc/85689281","WorldCat Record")</f>
        <v>WorldCat Record</v>
      </c>
      <c r="AX2345" s="3" t="s">
        <v>23848</v>
      </c>
      <c r="AY2345" s="3" t="s">
        <v>23858</v>
      </c>
      <c r="AZ2345" s="3" t="s">
        <v>23859</v>
      </c>
      <c r="BA2345" s="3" t="s">
        <v>23859</v>
      </c>
      <c r="BB2345" s="3" t="s">
        <v>23860</v>
      </c>
      <c r="BC2345" s="3" t="s">
        <v>77</v>
      </c>
      <c r="BD2345" s="3" t="s">
        <v>78</v>
      </c>
      <c r="BE2345" s="3" t="s">
        <v>23861</v>
      </c>
      <c r="BF2345" s="3" t="s">
        <v>23860</v>
      </c>
      <c r="BG2345" s="3" t="s">
        <v>23862</v>
      </c>
      <c r="BH2345">
        <f t="shared" si="58"/>
        <v>0</v>
      </c>
    </row>
    <row r="2346" spans="1:60" ht="58" x14ac:dyDescent="0.35">
      <c r="A2346" s="2" t="s">
        <v>59</v>
      </c>
      <c r="B2346" s="2" t="s">
        <v>60</v>
      </c>
      <c r="C2346" s="2" t="s">
        <v>23863</v>
      </c>
      <c r="D2346" s="2" t="s">
        <v>23864</v>
      </c>
      <c r="E2346" s="2" t="s">
        <v>23865</v>
      </c>
      <c r="G2346" s="3" t="s">
        <v>64</v>
      </c>
      <c r="I2346" s="3" t="s">
        <v>64</v>
      </c>
      <c r="J2346" s="3" t="s">
        <v>64</v>
      </c>
      <c r="K2346" s="3" t="s">
        <v>65</v>
      </c>
      <c r="M2346" s="2" t="s">
        <v>19139</v>
      </c>
      <c r="N2346" s="3" t="s">
        <v>86</v>
      </c>
      <c r="P2346" s="3" t="s">
        <v>102</v>
      </c>
      <c r="R2346" s="3" t="s">
        <v>70</v>
      </c>
      <c r="S2346" s="4">
        <v>9</v>
      </c>
      <c r="T2346" s="4">
        <v>9</v>
      </c>
      <c r="U2346" s="5" t="s">
        <v>23792</v>
      </c>
      <c r="V2346" s="5" t="s">
        <v>23792</v>
      </c>
      <c r="W2346" s="5" t="s">
        <v>72</v>
      </c>
      <c r="X2346" s="5" t="s">
        <v>72</v>
      </c>
      <c r="Y2346" s="4">
        <v>319</v>
      </c>
      <c r="Z2346" s="4">
        <v>24</v>
      </c>
      <c r="AA2346" s="4">
        <v>85</v>
      </c>
      <c r="AB2346" s="4">
        <v>1</v>
      </c>
      <c r="AC2346" s="4">
        <v>14</v>
      </c>
      <c r="AD2346" s="4">
        <v>57</v>
      </c>
      <c r="AE2346" s="4">
        <v>109</v>
      </c>
      <c r="AF2346" s="4">
        <v>0</v>
      </c>
      <c r="AG2346" s="4">
        <v>8</v>
      </c>
      <c r="AH2346" s="4">
        <v>51</v>
      </c>
      <c r="AI2346" s="4">
        <v>76</v>
      </c>
      <c r="AJ2346" s="4">
        <v>10</v>
      </c>
      <c r="AK2346" s="4">
        <v>20</v>
      </c>
      <c r="AL2346" s="4">
        <v>30</v>
      </c>
      <c r="AM2346" s="4">
        <v>40</v>
      </c>
      <c r="AN2346" s="4">
        <v>0</v>
      </c>
      <c r="AO2346" s="4">
        <v>0</v>
      </c>
      <c r="AP2346" s="4">
        <v>11</v>
      </c>
      <c r="AQ2346" s="4">
        <v>40</v>
      </c>
      <c r="AR2346" s="3" t="s">
        <v>64</v>
      </c>
      <c r="AS2346" s="3" t="s">
        <v>64</v>
      </c>
      <c r="AT2346" s="3" t="s">
        <v>64</v>
      </c>
      <c r="AV2346" s="6" t="str">
        <f>HYPERLINK("http://mcgill.on.worldcat.org/oclc/702615613","Catalog Record")</f>
        <v>Catalog Record</v>
      </c>
      <c r="AW2346" s="6" t="str">
        <f>HYPERLINK("http://www.worldcat.org/oclc/702615613","WorldCat Record")</f>
        <v>WorldCat Record</v>
      </c>
      <c r="AX2346" s="3" t="s">
        <v>23866</v>
      </c>
      <c r="AY2346" s="3" t="s">
        <v>23867</v>
      </c>
      <c r="AZ2346" s="3" t="s">
        <v>23868</v>
      </c>
      <c r="BA2346" s="3" t="s">
        <v>23868</v>
      </c>
      <c r="BB2346" s="3" t="s">
        <v>23869</v>
      </c>
      <c r="BC2346" s="3" t="s">
        <v>77</v>
      </c>
      <c r="BD2346" s="3" t="s">
        <v>78</v>
      </c>
      <c r="BE2346" s="3" t="s">
        <v>23870</v>
      </c>
      <c r="BF2346" s="3" t="s">
        <v>23869</v>
      </c>
      <c r="BG2346" s="3" t="s">
        <v>23871</v>
      </c>
      <c r="BH2346">
        <f t="shared" si="58"/>
        <v>0</v>
      </c>
    </row>
    <row r="2347" spans="1:60" ht="58" x14ac:dyDescent="0.35">
      <c r="A2347" s="2" t="s">
        <v>59</v>
      </c>
      <c r="B2347" s="2" t="s">
        <v>60</v>
      </c>
      <c r="C2347" s="2" t="s">
        <v>23872</v>
      </c>
      <c r="D2347" s="2" t="s">
        <v>23873</v>
      </c>
      <c r="E2347" s="2" t="s">
        <v>23874</v>
      </c>
      <c r="G2347" s="3" t="s">
        <v>64</v>
      </c>
      <c r="I2347" s="3" t="s">
        <v>64</v>
      </c>
      <c r="J2347" s="3" t="s">
        <v>64</v>
      </c>
      <c r="K2347" s="3" t="s">
        <v>65</v>
      </c>
      <c r="M2347" s="2" t="s">
        <v>23875</v>
      </c>
      <c r="N2347" s="3" t="s">
        <v>421</v>
      </c>
      <c r="P2347" s="3" t="s">
        <v>102</v>
      </c>
      <c r="Q2347" s="2" t="s">
        <v>18502</v>
      </c>
      <c r="R2347" s="3" t="s">
        <v>70</v>
      </c>
      <c r="S2347" s="4">
        <v>23</v>
      </c>
      <c r="T2347" s="4">
        <v>23</v>
      </c>
      <c r="U2347" s="5" t="s">
        <v>4369</v>
      </c>
      <c r="V2347" s="5" t="s">
        <v>4369</v>
      </c>
      <c r="W2347" s="5" t="s">
        <v>72</v>
      </c>
      <c r="X2347" s="5" t="s">
        <v>72</v>
      </c>
      <c r="Y2347" s="4">
        <v>643</v>
      </c>
      <c r="Z2347" s="4">
        <v>36</v>
      </c>
      <c r="AA2347" s="4">
        <v>43</v>
      </c>
      <c r="AB2347" s="4">
        <v>3</v>
      </c>
      <c r="AC2347" s="4">
        <v>8</v>
      </c>
      <c r="AD2347" s="4">
        <v>108</v>
      </c>
      <c r="AE2347" s="4">
        <v>117</v>
      </c>
      <c r="AF2347" s="4">
        <v>1</v>
      </c>
      <c r="AG2347" s="4">
        <v>5</v>
      </c>
      <c r="AH2347" s="4">
        <v>92</v>
      </c>
      <c r="AI2347" s="4">
        <v>97</v>
      </c>
      <c r="AJ2347" s="4">
        <v>17</v>
      </c>
      <c r="AK2347" s="4">
        <v>21</v>
      </c>
      <c r="AL2347" s="4">
        <v>44</v>
      </c>
      <c r="AM2347" s="4">
        <v>45</v>
      </c>
      <c r="AN2347" s="4">
        <v>0</v>
      </c>
      <c r="AO2347" s="4">
        <v>0</v>
      </c>
      <c r="AP2347" s="4">
        <v>24</v>
      </c>
      <c r="AQ2347" s="4">
        <v>29</v>
      </c>
      <c r="AR2347" s="3" t="s">
        <v>64</v>
      </c>
      <c r="AS2347" s="3" t="s">
        <v>64</v>
      </c>
      <c r="AT2347" s="3" t="s">
        <v>64</v>
      </c>
      <c r="AV2347" s="6" t="str">
        <f>HYPERLINK("http://mcgill.on.worldcat.org/oclc/34691453","Catalog Record")</f>
        <v>Catalog Record</v>
      </c>
      <c r="AW2347" s="6" t="str">
        <f>HYPERLINK("http://www.worldcat.org/oclc/34691453","WorldCat Record")</f>
        <v>WorldCat Record</v>
      </c>
      <c r="AX2347" s="3" t="s">
        <v>23876</v>
      </c>
      <c r="AY2347" s="3" t="s">
        <v>23877</v>
      </c>
      <c r="AZ2347" s="3" t="s">
        <v>23878</v>
      </c>
      <c r="BA2347" s="3" t="s">
        <v>23878</v>
      </c>
      <c r="BB2347" s="3" t="s">
        <v>23879</v>
      </c>
      <c r="BC2347" s="3" t="s">
        <v>77</v>
      </c>
      <c r="BD2347" s="3" t="s">
        <v>78</v>
      </c>
      <c r="BE2347" s="3" t="s">
        <v>23880</v>
      </c>
      <c r="BF2347" s="3" t="s">
        <v>23879</v>
      </c>
      <c r="BG2347" s="3" t="s">
        <v>23881</v>
      </c>
      <c r="BH2347">
        <f t="shared" si="58"/>
        <v>0</v>
      </c>
    </row>
    <row r="2348" spans="1:60" ht="58" x14ac:dyDescent="0.35">
      <c r="A2348" s="2" t="s">
        <v>59</v>
      </c>
      <c r="B2348" s="2" t="s">
        <v>60</v>
      </c>
      <c r="C2348" s="2" t="s">
        <v>23882</v>
      </c>
      <c r="D2348" s="2" t="s">
        <v>23883</v>
      </c>
      <c r="E2348" s="2" t="s">
        <v>23884</v>
      </c>
      <c r="F2348" s="3" t="s">
        <v>7062</v>
      </c>
      <c r="G2348" s="3" t="s">
        <v>64</v>
      </c>
      <c r="I2348" s="3" t="s">
        <v>128</v>
      </c>
      <c r="J2348" s="3" t="s">
        <v>128</v>
      </c>
      <c r="K2348" s="3" t="s">
        <v>65</v>
      </c>
      <c r="L2348" s="2" t="s">
        <v>19699</v>
      </c>
      <c r="M2348" s="2" t="s">
        <v>23885</v>
      </c>
      <c r="N2348" s="3" t="s">
        <v>434</v>
      </c>
      <c r="O2348" s="2" t="s">
        <v>15875</v>
      </c>
      <c r="P2348" s="3" t="s">
        <v>102</v>
      </c>
      <c r="Q2348" s="2" t="s">
        <v>15094</v>
      </c>
      <c r="R2348" s="3" t="s">
        <v>70</v>
      </c>
      <c r="S2348" s="4">
        <v>87</v>
      </c>
      <c r="T2348" s="4">
        <v>172</v>
      </c>
      <c r="U2348" s="5" t="s">
        <v>12623</v>
      </c>
      <c r="V2348" s="5" t="s">
        <v>23792</v>
      </c>
      <c r="W2348" s="5" t="s">
        <v>72</v>
      </c>
      <c r="X2348" s="5" t="s">
        <v>72</v>
      </c>
      <c r="Y2348" s="4">
        <v>547</v>
      </c>
      <c r="Z2348" s="4">
        <v>16</v>
      </c>
      <c r="AA2348" s="4">
        <v>58</v>
      </c>
      <c r="AB2348" s="4">
        <v>1</v>
      </c>
      <c r="AC2348" s="4">
        <v>10</v>
      </c>
      <c r="AD2348" s="4">
        <v>69</v>
      </c>
      <c r="AE2348" s="4">
        <v>134</v>
      </c>
      <c r="AF2348" s="4">
        <v>0</v>
      </c>
      <c r="AG2348" s="4">
        <v>4</v>
      </c>
      <c r="AH2348" s="4">
        <v>64</v>
      </c>
      <c r="AI2348" s="4">
        <v>110</v>
      </c>
      <c r="AJ2348" s="4">
        <v>7</v>
      </c>
      <c r="AK2348" s="4">
        <v>21</v>
      </c>
      <c r="AL2348" s="4">
        <v>35</v>
      </c>
      <c r="AM2348" s="4">
        <v>57</v>
      </c>
      <c r="AN2348" s="4">
        <v>0</v>
      </c>
      <c r="AO2348" s="4">
        <v>0</v>
      </c>
      <c r="AP2348" s="4">
        <v>7</v>
      </c>
      <c r="AQ2348" s="4">
        <v>27</v>
      </c>
      <c r="AR2348" s="3" t="s">
        <v>64</v>
      </c>
      <c r="AS2348" s="3" t="s">
        <v>64</v>
      </c>
      <c r="AT2348" s="3" t="s">
        <v>64</v>
      </c>
      <c r="AV2348" s="6" t="str">
        <f>HYPERLINK("http://mcgill.on.worldcat.org/oclc/60589131","Catalog Record")</f>
        <v>Catalog Record</v>
      </c>
      <c r="AW2348" s="6" t="str">
        <f>HYPERLINK("http://www.worldcat.org/oclc/60589131","WorldCat Record")</f>
        <v>WorldCat Record</v>
      </c>
      <c r="AX2348" s="3" t="s">
        <v>23886</v>
      </c>
      <c r="AY2348" s="3" t="s">
        <v>23887</v>
      </c>
      <c r="AZ2348" s="3" t="s">
        <v>23888</v>
      </c>
      <c r="BA2348" s="3" t="s">
        <v>23888</v>
      </c>
      <c r="BB2348" s="3" t="s">
        <v>23889</v>
      </c>
      <c r="BC2348" s="3" t="s">
        <v>77</v>
      </c>
      <c r="BD2348" s="3" t="s">
        <v>78</v>
      </c>
      <c r="BE2348" s="3" t="s">
        <v>23890</v>
      </c>
      <c r="BF2348" s="3" t="s">
        <v>23889</v>
      </c>
      <c r="BG2348" s="3" t="s">
        <v>23891</v>
      </c>
      <c r="BH2348">
        <f t="shared" si="58"/>
        <v>0</v>
      </c>
    </row>
    <row r="2349" spans="1:60" ht="58" x14ac:dyDescent="0.35">
      <c r="A2349" s="2" t="s">
        <v>59</v>
      </c>
      <c r="B2349" s="2" t="s">
        <v>60</v>
      </c>
      <c r="C2349" s="2" t="s">
        <v>23882</v>
      </c>
      <c r="D2349" s="2" t="s">
        <v>23883</v>
      </c>
      <c r="E2349" s="2" t="s">
        <v>23884</v>
      </c>
      <c r="F2349" s="3" t="s">
        <v>7062</v>
      </c>
      <c r="G2349" s="3" t="s">
        <v>64</v>
      </c>
      <c r="I2349" s="3" t="s">
        <v>128</v>
      </c>
      <c r="J2349" s="3" t="s">
        <v>128</v>
      </c>
      <c r="K2349" s="3" t="s">
        <v>65</v>
      </c>
      <c r="L2349" s="2" t="s">
        <v>19699</v>
      </c>
      <c r="M2349" s="2" t="s">
        <v>23885</v>
      </c>
      <c r="N2349" s="3" t="s">
        <v>434</v>
      </c>
      <c r="O2349" s="2" t="s">
        <v>15875</v>
      </c>
      <c r="P2349" s="3" t="s">
        <v>102</v>
      </c>
      <c r="Q2349" s="2" t="s">
        <v>15094</v>
      </c>
      <c r="R2349" s="3" t="s">
        <v>70</v>
      </c>
      <c r="S2349" s="4">
        <v>85</v>
      </c>
      <c r="T2349" s="4">
        <v>172</v>
      </c>
      <c r="U2349" s="5" t="s">
        <v>23792</v>
      </c>
      <c r="V2349" s="5" t="s">
        <v>23792</v>
      </c>
      <c r="W2349" s="5" t="s">
        <v>72</v>
      </c>
      <c r="X2349" s="5" t="s">
        <v>72</v>
      </c>
      <c r="Y2349" s="4">
        <v>547</v>
      </c>
      <c r="Z2349" s="4">
        <v>16</v>
      </c>
      <c r="AA2349" s="4">
        <v>58</v>
      </c>
      <c r="AB2349" s="4">
        <v>1</v>
      </c>
      <c r="AC2349" s="4">
        <v>10</v>
      </c>
      <c r="AD2349" s="4">
        <v>69</v>
      </c>
      <c r="AE2349" s="4">
        <v>134</v>
      </c>
      <c r="AF2349" s="4">
        <v>0</v>
      </c>
      <c r="AG2349" s="4">
        <v>4</v>
      </c>
      <c r="AH2349" s="4">
        <v>64</v>
      </c>
      <c r="AI2349" s="4">
        <v>110</v>
      </c>
      <c r="AJ2349" s="4">
        <v>7</v>
      </c>
      <c r="AK2349" s="4">
        <v>21</v>
      </c>
      <c r="AL2349" s="4">
        <v>35</v>
      </c>
      <c r="AM2349" s="4">
        <v>57</v>
      </c>
      <c r="AN2349" s="4">
        <v>0</v>
      </c>
      <c r="AO2349" s="4">
        <v>0</v>
      </c>
      <c r="AP2349" s="4">
        <v>7</v>
      </c>
      <c r="AQ2349" s="4">
        <v>27</v>
      </c>
      <c r="AR2349" s="3" t="s">
        <v>64</v>
      </c>
      <c r="AS2349" s="3" t="s">
        <v>64</v>
      </c>
      <c r="AT2349" s="3" t="s">
        <v>64</v>
      </c>
      <c r="AV2349" s="6" t="str">
        <f>HYPERLINK("http://mcgill.on.worldcat.org/oclc/60589131","Catalog Record")</f>
        <v>Catalog Record</v>
      </c>
      <c r="AW2349" s="6" t="str">
        <f>HYPERLINK("http://www.worldcat.org/oclc/60589131","WorldCat Record")</f>
        <v>WorldCat Record</v>
      </c>
      <c r="AX2349" s="3" t="s">
        <v>23886</v>
      </c>
      <c r="AY2349" s="3" t="s">
        <v>23887</v>
      </c>
      <c r="AZ2349" s="3" t="s">
        <v>23888</v>
      </c>
      <c r="BA2349" s="3" t="s">
        <v>23888</v>
      </c>
      <c r="BB2349" s="3" t="s">
        <v>23892</v>
      </c>
      <c r="BC2349" s="3" t="s">
        <v>77</v>
      </c>
      <c r="BD2349" s="3" t="s">
        <v>78</v>
      </c>
      <c r="BE2349" s="3" t="s">
        <v>23890</v>
      </c>
      <c r="BF2349" s="3" t="s">
        <v>23892</v>
      </c>
      <c r="BG2349" s="3" t="s">
        <v>23893</v>
      </c>
      <c r="BH2349">
        <f t="shared" si="58"/>
        <v>0</v>
      </c>
    </row>
    <row r="2350" spans="1:60" ht="58" x14ac:dyDescent="0.35">
      <c r="A2350" s="2" t="s">
        <v>59</v>
      </c>
      <c r="B2350" s="2" t="s">
        <v>60</v>
      </c>
      <c r="C2350" s="2" t="s">
        <v>23894</v>
      </c>
      <c r="D2350" s="2" t="s">
        <v>23895</v>
      </c>
      <c r="E2350" s="2" t="s">
        <v>23896</v>
      </c>
      <c r="G2350" s="3" t="s">
        <v>64</v>
      </c>
      <c r="H2350" s="3" t="s">
        <v>183</v>
      </c>
      <c r="I2350" s="3" t="s">
        <v>128</v>
      </c>
      <c r="J2350" s="3" t="s">
        <v>64</v>
      </c>
      <c r="K2350" s="3" t="s">
        <v>65</v>
      </c>
      <c r="L2350" s="2" t="s">
        <v>19699</v>
      </c>
      <c r="M2350" s="2" t="s">
        <v>16779</v>
      </c>
      <c r="N2350" s="3" t="s">
        <v>86</v>
      </c>
      <c r="O2350" s="2" t="s">
        <v>23897</v>
      </c>
      <c r="P2350" s="3" t="s">
        <v>102</v>
      </c>
      <c r="Q2350" s="2" t="s">
        <v>15094</v>
      </c>
      <c r="R2350" s="3" t="s">
        <v>70</v>
      </c>
      <c r="S2350" s="4">
        <v>0</v>
      </c>
      <c r="T2350" s="4">
        <v>25</v>
      </c>
      <c r="V2350" s="5" t="s">
        <v>20478</v>
      </c>
      <c r="W2350" s="5" t="s">
        <v>1088</v>
      </c>
      <c r="X2350" s="5" t="s">
        <v>1088</v>
      </c>
      <c r="Y2350" s="4">
        <v>287</v>
      </c>
      <c r="Z2350" s="4">
        <v>20</v>
      </c>
      <c r="AA2350" s="4">
        <v>35</v>
      </c>
      <c r="AB2350" s="4">
        <v>1</v>
      </c>
      <c r="AC2350" s="4">
        <v>6</v>
      </c>
      <c r="AD2350" s="4">
        <v>42</v>
      </c>
      <c r="AE2350" s="4">
        <v>59</v>
      </c>
      <c r="AF2350" s="4">
        <v>0</v>
      </c>
      <c r="AG2350" s="4">
        <v>1</v>
      </c>
      <c r="AH2350" s="4">
        <v>37</v>
      </c>
      <c r="AI2350" s="4">
        <v>52</v>
      </c>
      <c r="AJ2350" s="4">
        <v>8</v>
      </c>
      <c r="AK2350" s="4">
        <v>11</v>
      </c>
      <c r="AL2350" s="4">
        <v>21</v>
      </c>
      <c r="AM2350" s="4">
        <v>27</v>
      </c>
      <c r="AN2350" s="4">
        <v>0</v>
      </c>
      <c r="AO2350" s="4">
        <v>0</v>
      </c>
      <c r="AP2350" s="4">
        <v>10</v>
      </c>
      <c r="AQ2350" s="4">
        <v>12</v>
      </c>
      <c r="AR2350" s="3" t="s">
        <v>64</v>
      </c>
      <c r="AS2350" s="3" t="s">
        <v>64</v>
      </c>
      <c r="AT2350" s="3" t="s">
        <v>64</v>
      </c>
      <c r="AV2350" s="6" t="str">
        <f>HYPERLINK("http://mcgill.on.worldcat.org/oclc/759915961","Catalog Record")</f>
        <v>Catalog Record</v>
      </c>
      <c r="AW2350" s="6" t="str">
        <f>HYPERLINK("http://www.worldcat.org/oclc/759915961","WorldCat Record")</f>
        <v>WorldCat Record</v>
      </c>
      <c r="AX2350" s="3" t="s">
        <v>23898</v>
      </c>
      <c r="AY2350" s="3" t="s">
        <v>23899</v>
      </c>
      <c r="AZ2350" s="3" t="s">
        <v>23900</v>
      </c>
      <c r="BA2350" s="3" t="s">
        <v>23900</v>
      </c>
      <c r="BB2350" s="3" t="s">
        <v>23901</v>
      </c>
      <c r="BC2350" s="3" t="s">
        <v>77</v>
      </c>
      <c r="BD2350" s="3" t="s">
        <v>78</v>
      </c>
      <c r="BE2350" s="3" t="s">
        <v>23902</v>
      </c>
      <c r="BF2350" s="3" t="s">
        <v>23901</v>
      </c>
      <c r="BG2350" s="3" t="s">
        <v>23903</v>
      </c>
      <c r="BH2350">
        <f t="shared" si="58"/>
        <v>0</v>
      </c>
    </row>
    <row r="2351" spans="1:60" ht="58" x14ac:dyDescent="0.35">
      <c r="A2351" s="2" t="s">
        <v>59</v>
      </c>
      <c r="B2351" s="2" t="s">
        <v>60</v>
      </c>
      <c r="C2351" s="2" t="s">
        <v>23894</v>
      </c>
      <c r="D2351" s="2" t="s">
        <v>23895</v>
      </c>
      <c r="E2351" s="2" t="s">
        <v>23896</v>
      </c>
      <c r="G2351" s="3" t="s">
        <v>64</v>
      </c>
      <c r="I2351" s="3" t="s">
        <v>128</v>
      </c>
      <c r="J2351" s="3" t="s">
        <v>64</v>
      </c>
      <c r="K2351" s="3" t="s">
        <v>65</v>
      </c>
      <c r="L2351" s="2" t="s">
        <v>19699</v>
      </c>
      <c r="M2351" s="2" t="s">
        <v>16779</v>
      </c>
      <c r="N2351" s="3" t="s">
        <v>86</v>
      </c>
      <c r="O2351" s="2" t="s">
        <v>23897</v>
      </c>
      <c r="P2351" s="3" t="s">
        <v>102</v>
      </c>
      <c r="Q2351" s="2" t="s">
        <v>15094</v>
      </c>
      <c r="R2351" s="3" t="s">
        <v>70</v>
      </c>
      <c r="S2351" s="4">
        <v>25</v>
      </c>
      <c r="T2351" s="4">
        <v>25</v>
      </c>
      <c r="U2351" s="5" t="s">
        <v>20478</v>
      </c>
      <c r="V2351" s="5" t="s">
        <v>20478</v>
      </c>
      <c r="W2351" s="5" t="s">
        <v>72</v>
      </c>
      <c r="X2351" s="5" t="s">
        <v>1088</v>
      </c>
      <c r="Y2351" s="4">
        <v>287</v>
      </c>
      <c r="Z2351" s="4">
        <v>20</v>
      </c>
      <c r="AA2351" s="4">
        <v>35</v>
      </c>
      <c r="AB2351" s="4">
        <v>1</v>
      </c>
      <c r="AC2351" s="4">
        <v>6</v>
      </c>
      <c r="AD2351" s="4">
        <v>42</v>
      </c>
      <c r="AE2351" s="4">
        <v>59</v>
      </c>
      <c r="AF2351" s="4">
        <v>0</v>
      </c>
      <c r="AG2351" s="4">
        <v>1</v>
      </c>
      <c r="AH2351" s="4">
        <v>37</v>
      </c>
      <c r="AI2351" s="4">
        <v>52</v>
      </c>
      <c r="AJ2351" s="4">
        <v>8</v>
      </c>
      <c r="AK2351" s="4">
        <v>11</v>
      </c>
      <c r="AL2351" s="4">
        <v>21</v>
      </c>
      <c r="AM2351" s="4">
        <v>27</v>
      </c>
      <c r="AN2351" s="4">
        <v>0</v>
      </c>
      <c r="AO2351" s="4">
        <v>0</v>
      </c>
      <c r="AP2351" s="4">
        <v>10</v>
      </c>
      <c r="AQ2351" s="4">
        <v>12</v>
      </c>
      <c r="AR2351" s="3" t="s">
        <v>64</v>
      </c>
      <c r="AS2351" s="3" t="s">
        <v>64</v>
      </c>
      <c r="AT2351" s="3" t="s">
        <v>64</v>
      </c>
      <c r="AV2351" s="6" t="str">
        <f>HYPERLINK("http://mcgill.on.worldcat.org/oclc/759915961","Catalog Record")</f>
        <v>Catalog Record</v>
      </c>
      <c r="AW2351" s="6" t="str">
        <f>HYPERLINK("http://www.worldcat.org/oclc/759915961","WorldCat Record")</f>
        <v>WorldCat Record</v>
      </c>
      <c r="AX2351" s="3" t="s">
        <v>23898</v>
      </c>
      <c r="AY2351" s="3" t="s">
        <v>23899</v>
      </c>
      <c r="AZ2351" s="3" t="s">
        <v>23900</v>
      </c>
      <c r="BA2351" s="3" t="s">
        <v>23900</v>
      </c>
      <c r="BB2351" s="3" t="s">
        <v>23904</v>
      </c>
      <c r="BC2351" s="3" t="s">
        <v>77</v>
      </c>
      <c r="BD2351" s="3" t="s">
        <v>23905</v>
      </c>
      <c r="BE2351" s="3" t="s">
        <v>23902</v>
      </c>
      <c r="BF2351" s="3" t="s">
        <v>23904</v>
      </c>
      <c r="BG2351" s="3" t="s">
        <v>23906</v>
      </c>
      <c r="BH2351">
        <f t="shared" si="58"/>
        <v>0</v>
      </c>
    </row>
    <row r="2352" spans="1:60" ht="58" x14ac:dyDescent="0.35">
      <c r="A2352" s="2" t="s">
        <v>59</v>
      </c>
      <c r="B2352" s="2" t="s">
        <v>60</v>
      </c>
      <c r="C2352" s="2" t="s">
        <v>23907</v>
      </c>
      <c r="D2352" s="2" t="s">
        <v>23908</v>
      </c>
      <c r="E2352" s="2" t="s">
        <v>23909</v>
      </c>
      <c r="G2352" s="3" t="s">
        <v>64</v>
      </c>
      <c r="I2352" s="3" t="s">
        <v>64</v>
      </c>
      <c r="J2352" s="3" t="s">
        <v>64</v>
      </c>
      <c r="K2352" s="3" t="s">
        <v>65</v>
      </c>
      <c r="L2352" s="2" t="s">
        <v>23910</v>
      </c>
      <c r="M2352" s="2" t="s">
        <v>17762</v>
      </c>
      <c r="N2352" s="3" t="s">
        <v>326</v>
      </c>
      <c r="P2352" s="3" t="s">
        <v>102</v>
      </c>
      <c r="R2352" s="3" t="s">
        <v>70</v>
      </c>
      <c r="S2352" s="4">
        <v>13</v>
      </c>
      <c r="T2352" s="4">
        <v>13</v>
      </c>
      <c r="U2352" s="5" t="s">
        <v>3129</v>
      </c>
      <c r="V2352" s="5" t="s">
        <v>3129</v>
      </c>
      <c r="W2352" s="5" t="s">
        <v>17763</v>
      </c>
      <c r="X2352" s="5" t="s">
        <v>17763</v>
      </c>
      <c r="Y2352" s="4">
        <v>497</v>
      </c>
      <c r="Z2352" s="4">
        <v>27</v>
      </c>
      <c r="AA2352" s="4">
        <v>37</v>
      </c>
      <c r="AB2352" s="4">
        <v>3</v>
      </c>
      <c r="AC2352" s="4">
        <v>8</v>
      </c>
      <c r="AD2352" s="4">
        <v>60</v>
      </c>
      <c r="AE2352" s="4">
        <v>83</v>
      </c>
      <c r="AF2352" s="4">
        <v>1</v>
      </c>
      <c r="AG2352" s="4">
        <v>3</v>
      </c>
      <c r="AH2352" s="4">
        <v>55</v>
      </c>
      <c r="AI2352" s="4">
        <v>72</v>
      </c>
      <c r="AJ2352" s="4">
        <v>10</v>
      </c>
      <c r="AK2352" s="4">
        <v>15</v>
      </c>
      <c r="AL2352" s="4">
        <v>30</v>
      </c>
      <c r="AM2352" s="4">
        <v>37</v>
      </c>
      <c r="AN2352" s="4">
        <v>0</v>
      </c>
      <c r="AO2352" s="4">
        <v>0</v>
      </c>
      <c r="AP2352" s="4">
        <v>11</v>
      </c>
      <c r="AQ2352" s="4">
        <v>16</v>
      </c>
      <c r="AR2352" s="3" t="s">
        <v>64</v>
      </c>
      <c r="AS2352" s="3" t="s">
        <v>64</v>
      </c>
      <c r="AT2352" s="3" t="s">
        <v>64</v>
      </c>
      <c r="AV2352" s="6" t="str">
        <f>HYPERLINK("http://mcgill.on.worldcat.org/oclc/690539860","Catalog Record")</f>
        <v>Catalog Record</v>
      </c>
      <c r="AW2352" s="6" t="str">
        <f>HYPERLINK("http://www.worldcat.org/oclc/690539860","WorldCat Record")</f>
        <v>WorldCat Record</v>
      </c>
      <c r="AX2352" s="3" t="s">
        <v>23911</v>
      </c>
      <c r="AY2352" s="3" t="s">
        <v>23912</v>
      </c>
      <c r="AZ2352" s="3" t="s">
        <v>23913</v>
      </c>
      <c r="BA2352" s="3" t="s">
        <v>23913</v>
      </c>
      <c r="BB2352" s="3" t="s">
        <v>23914</v>
      </c>
      <c r="BC2352" s="3" t="s">
        <v>77</v>
      </c>
      <c r="BD2352" s="3" t="s">
        <v>78</v>
      </c>
      <c r="BE2352" s="3" t="s">
        <v>23915</v>
      </c>
      <c r="BF2352" s="3" t="s">
        <v>23914</v>
      </c>
      <c r="BG2352" s="3" t="s">
        <v>23916</v>
      </c>
      <c r="BH2352">
        <f t="shared" si="58"/>
        <v>0</v>
      </c>
    </row>
    <row r="2353" spans="1:60" ht="58" x14ac:dyDescent="0.35">
      <c r="A2353" s="2" t="s">
        <v>59</v>
      </c>
      <c r="B2353" s="2" t="s">
        <v>60</v>
      </c>
      <c r="C2353" s="2" t="s">
        <v>23917</v>
      </c>
      <c r="D2353" s="2" t="s">
        <v>23918</v>
      </c>
      <c r="E2353" s="2" t="s">
        <v>23919</v>
      </c>
      <c r="G2353" s="3" t="s">
        <v>64</v>
      </c>
      <c r="I2353" s="3" t="s">
        <v>64</v>
      </c>
      <c r="J2353" s="3" t="s">
        <v>64</v>
      </c>
      <c r="K2353" s="3" t="s">
        <v>65</v>
      </c>
      <c r="M2353" s="2" t="s">
        <v>15068</v>
      </c>
      <c r="N2353" s="3" t="s">
        <v>116</v>
      </c>
      <c r="P2353" s="3" t="s">
        <v>102</v>
      </c>
      <c r="Q2353" s="2" t="s">
        <v>23920</v>
      </c>
      <c r="R2353" s="3" t="s">
        <v>70</v>
      </c>
      <c r="S2353" s="4">
        <v>12</v>
      </c>
      <c r="T2353" s="4">
        <v>12</v>
      </c>
      <c r="U2353" s="5" t="s">
        <v>12109</v>
      </c>
      <c r="V2353" s="5" t="s">
        <v>12109</v>
      </c>
      <c r="W2353" s="5" t="s">
        <v>72</v>
      </c>
      <c r="X2353" s="5" t="s">
        <v>72</v>
      </c>
      <c r="Y2353" s="4">
        <v>351</v>
      </c>
      <c r="Z2353" s="4">
        <v>22</v>
      </c>
      <c r="AA2353" s="4">
        <v>26</v>
      </c>
      <c r="AB2353" s="4">
        <v>2</v>
      </c>
      <c r="AC2353" s="4">
        <v>4</v>
      </c>
      <c r="AD2353" s="4">
        <v>82</v>
      </c>
      <c r="AE2353" s="4">
        <v>84</v>
      </c>
      <c r="AF2353" s="4">
        <v>0</v>
      </c>
      <c r="AG2353" s="4">
        <v>0</v>
      </c>
      <c r="AH2353" s="4">
        <v>72</v>
      </c>
      <c r="AI2353" s="4">
        <v>73</v>
      </c>
      <c r="AJ2353" s="4">
        <v>11</v>
      </c>
      <c r="AK2353" s="4">
        <v>11</v>
      </c>
      <c r="AL2353" s="4">
        <v>42</v>
      </c>
      <c r="AM2353" s="4">
        <v>42</v>
      </c>
      <c r="AN2353" s="4">
        <v>0</v>
      </c>
      <c r="AO2353" s="4">
        <v>0</v>
      </c>
      <c r="AP2353" s="4">
        <v>13</v>
      </c>
      <c r="AQ2353" s="4">
        <v>14</v>
      </c>
      <c r="AR2353" s="3" t="s">
        <v>64</v>
      </c>
      <c r="AS2353" s="3" t="s">
        <v>64</v>
      </c>
      <c r="AT2353" s="3" t="s">
        <v>64</v>
      </c>
      <c r="AV2353" s="6" t="str">
        <f>HYPERLINK("http://mcgill.on.worldcat.org/oclc/46835399","Catalog Record")</f>
        <v>Catalog Record</v>
      </c>
      <c r="AW2353" s="6" t="str">
        <f>HYPERLINK("http://www.worldcat.org/oclc/46835399","WorldCat Record")</f>
        <v>WorldCat Record</v>
      </c>
      <c r="AX2353" s="3" t="s">
        <v>23921</v>
      </c>
      <c r="AY2353" s="3" t="s">
        <v>23922</v>
      </c>
      <c r="AZ2353" s="3" t="s">
        <v>23923</v>
      </c>
      <c r="BA2353" s="3" t="s">
        <v>23923</v>
      </c>
      <c r="BB2353" s="3" t="s">
        <v>23924</v>
      </c>
      <c r="BC2353" s="3" t="s">
        <v>77</v>
      </c>
      <c r="BD2353" s="3" t="s">
        <v>78</v>
      </c>
      <c r="BE2353" s="3" t="s">
        <v>23925</v>
      </c>
      <c r="BF2353" s="3" t="s">
        <v>23924</v>
      </c>
      <c r="BG2353" s="3" t="s">
        <v>23926</v>
      </c>
      <c r="BH2353">
        <f t="shared" si="58"/>
        <v>0</v>
      </c>
    </row>
    <row r="2354" spans="1:60" ht="58" x14ac:dyDescent="0.35">
      <c r="A2354" s="2" t="s">
        <v>59</v>
      </c>
      <c r="B2354" s="2" t="s">
        <v>60</v>
      </c>
      <c r="C2354" s="2" t="s">
        <v>23927</v>
      </c>
      <c r="D2354" s="2" t="s">
        <v>23928</v>
      </c>
      <c r="E2354" s="2" t="s">
        <v>23929</v>
      </c>
      <c r="G2354" s="3" t="s">
        <v>64</v>
      </c>
      <c r="I2354" s="3" t="s">
        <v>64</v>
      </c>
      <c r="J2354" s="3" t="s">
        <v>64</v>
      </c>
      <c r="K2354" s="3" t="s">
        <v>65</v>
      </c>
      <c r="L2354" s="2" t="s">
        <v>23930</v>
      </c>
      <c r="M2354" s="2" t="s">
        <v>23931</v>
      </c>
      <c r="N2354" s="3" t="s">
        <v>1061</v>
      </c>
      <c r="P2354" s="3" t="s">
        <v>102</v>
      </c>
      <c r="R2354" s="3" t="s">
        <v>70</v>
      </c>
      <c r="S2354" s="4">
        <v>31</v>
      </c>
      <c r="T2354" s="4">
        <v>31</v>
      </c>
      <c r="U2354" s="5" t="s">
        <v>2763</v>
      </c>
      <c r="V2354" s="5" t="s">
        <v>2763</v>
      </c>
      <c r="W2354" s="5" t="s">
        <v>72</v>
      </c>
      <c r="X2354" s="5" t="s">
        <v>72</v>
      </c>
      <c r="Y2354" s="4">
        <v>847</v>
      </c>
      <c r="Z2354" s="4">
        <v>53</v>
      </c>
      <c r="AA2354" s="4">
        <v>59</v>
      </c>
      <c r="AB2354" s="4">
        <v>3</v>
      </c>
      <c r="AC2354" s="4">
        <v>9</v>
      </c>
      <c r="AD2354" s="4">
        <v>130</v>
      </c>
      <c r="AE2354" s="4">
        <v>134</v>
      </c>
      <c r="AF2354" s="4">
        <v>1</v>
      </c>
      <c r="AG2354" s="4">
        <v>5</v>
      </c>
      <c r="AH2354" s="4">
        <v>104</v>
      </c>
      <c r="AI2354" s="4">
        <v>105</v>
      </c>
      <c r="AJ2354" s="4">
        <v>17</v>
      </c>
      <c r="AK2354" s="4">
        <v>20</v>
      </c>
      <c r="AL2354" s="4">
        <v>55</v>
      </c>
      <c r="AM2354" s="4">
        <v>55</v>
      </c>
      <c r="AN2354" s="4">
        <v>0</v>
      </c>
      <c r="AO2354" s="4">
        <v>0</v>
      </c>
      <c r="AP2354" s="4">
        <v>31</v>
      </c>
      <c r="AQ2354" s="4">
        <v>34</v>
      </c>
      <c r="AR2354" s="3" t="s">
        <v>64</v>
      </c>
      <c r="AS2354" s="3" t="s">
        <v>64</v>
      </c>
      <c r="AT2354" s="3" t="s">
        <v>128</v>
      </c>
      <c r="AU2354" s="6" t="str">
        <f>HYPERLINK("http://catalog.hathitrust.org/Record/000428149","HathiTrust Record")</f>
        <v>HathiTrust Record</v>
      </c>
      <c r="AV2354" s="6" t="str">
        <f>HYPERLINK("http://mcgill.on.worldcat.org/oclc/12188527","Catalog Record")</f>
        <v>Catalog Record</v>
      </c>
      <c r="AW2354" s="6" t="str">
        <f>HYPERLINK("http://www.worldcat.org/oclc/12188527","WorldCat Record")</f>
        <v>WorldCat Record</v>
      </c>
      <c r="AX2354" s="3" t="s">
        <v>23932</v>
      </c>
      <c r="AY2354" s="3" t="s">
        <v>23933</v>
      </c>
      <c r="AZ2354" s="3" t="s">
        <v>23934</v>
      </c>
      <c r="BA2354" s="3" t="s">
        <v>23934</v>
      </c>
      <c r="BB2354" s="3" t="s">
        <v>23935</v>
      </c>
      <c r="BC2354" s="3" t="s">
        <v>77</v>
      </c>
      <c r="BD2354" s="3" t="s">
        <v>78</v>
      </c>
      <c r="BE2354" s="3" t="s">
        <v>23936</v>
      </c>
      <c r="BF2354" s="3" t="s">
        <v>23935</v>
      </c>
      <c r="BG2354" s="3" t="s">
        <v>23937</v>
      </c>
      <c r="BH2354">
        <f t="shared" si="58"/>
        <v>0</v>
      </c>
    </row>
    <row r="2355" spans="1:60" ht="58" x14ac:dyDescent="0.35">
      <c r="A2355" s="2" t="s">
        <v>59</v>
      </c>
      <c r="B2355" s="2" t="s">
        <v>60</v>
      </c>
      <c r="C2355" s="2" t="s">
        <v>23938</v>
      </c>
      <c r="D2355" s="2" t="s">
        <v>23939</v>
      </c>
      <c r="E2355" s="2" t="s">
        <v>23940</v>
      </c>
      <c r="G2355" s="3" t="s">
        <v>64</v>
      </c>
      <c r="I2355" s="3" t="s">
        <v>64</v>
      </c>
      <c r="J2355" s="3" t="s">
        <v>64</v>
      </c>
      <c r="K2355" s="3" t="s">
        <v>65</v>
      </c>
      <c r="L2355" s="2" t="s">
        <v>23941</v>
      </c>
      <c r="M2355" s="2" t="s">
        <v>8980</v>
      </c>
      <c r="N2355" s="3" t="s">
        <v>511</v>
      </c>
      <c r="P2355" s="3" t="s">
        <v>102</v>
      </c>
      <c r="Q2355" s="2" t="s">
        <v>8981</v>
      </c>
      <c r="R2355" s="3" t="s">
        <v>70</v>
      </c>
      <c r="S2355" s="4">
        <v>6</v>
      </c>
      <c r="T2355" s="4">
        <v>6</v>
      </c>
      <c r="U2355" s="5" t="s">
        <v>23942</v>
      </c>
      <c r="V2355" s="5" t="s">
        <v>23942</v>
      </c>
      <c r="W2355" s="5" t="s">
        <v>72</v>
      </c>
      <c r="X2355" s="5" t="s">
        <v>72</v>
      </c>
      <c r="Y2355" s="4">
        <v>290</v>
      </c>
      <c r="Z2355" s="4">
        <v>28</v>
      </c>
      <c r="AA2355" s="4">
        <v>50</v>
      </c>
      <c r="AB2355" s="4">
        <v>2</v>
      </c>
      <c r="AC2355" s="4">
        <v>8</v>
      </c>
      <c r="AD2355" s="4">
        <v>54</v>
      </c>
      <c r="AE2355" s="4">
        <v>90</v>
      </c>
      <c r="AF2355" s="4">
        <v>1</v>
      </c>
      <c r="AG2355" s="4">
        <v>4</v>
      </c>
      <c r="AH2355" s="4">
        <v>46</v>
      </c>
      <c r="AI2355" s="4">
        <v>74</v>
      </c>
      <c r="AJ2355" s="4">
        <v>12</v>
      </c>
      <c r="AK2355" s="4">
        <v>18</v>
      </c>
      <c r="AL2355" s="4">
        <v>26</v>
      </c>
      <c r="AM2355" s="4">
        <v>36</v>
      </c>
      <c r="AN2355" s="4">
        <v>0</v>
      </c>
      <c r="AO2355" s="4">
        <v>0</v>
      </c>
      <c r="AP2355" s="4">
        <v>15</v>
      </c>
      <c r="AQ2355" s="4">
        <v>22</v>
      </c>
      <c r="AR2355" s="3" t="s">
        <v>64</v>
      </c>
      <c r="AS2355" s="3" t="s">
        <v>64</v>
      </c>
      <c r="AT2355" s="3" t="s">
        <v>64</v>
      </c>
      <c r="AV2355" s="6" t="str">
        <f>HYPERLINK("http://mcgill.on.worldcat.org/oclc/670063057","Catalog Record")</f>
        <v>Catalog Record</v>
      </c>
      <c r="AW2355" s="6" t="str">
        <f>HYPERLINK("http://www.worldcat.org/oclc/670063057","WorldCat Record")</f>
        <v>WorldCat Record</v>
      </c>
      <c r="AX2355" s="3" t="s">
        <v>23943</v>
      </c>
      <c r="AY2355" s="3" t="s">
        <v>23944</v>
      </c>
      <c r="AZ2355" s="3" t="s">
        <v>23945</v>
      </c>
      <c r="BA2355" s="3" t="s">
        <v>23945</v>
      </c>
      <c r="BB2355" s="3" t="s">
        <v>23946</v>
      </c>
      <c r="BC2355" s="3" t="s">
        <v>77</v>
      </c>
      <c r="BD2355" s="3" t="s">
        <v>78</v>
      </c>
      <c r="BE2355" s="3" t="s">
        <v>23947</v>
      </c>
      <c r="BF2355" s="3" t="s">
        <v>23946</v>
      </c>
      <c r="BG2355" s="3" t="s">
        <v>23948</v>
      </c>
      <c r="BH2355">
        <f t="shared" si="58"/>
        <v>0</v>
      </c>
    </row>
    <row r="2356" spans="1:60" ht="58" x14ac:dyDescent="0.35">
      <c r="A2356" s="2" t="s">
        <v>59</v>
      </c>
      <c r="B2356" s="2" t="s">
        <v>60</v>
      </c>
      <c r="C2356" s="2" t="s">
        <v>23949</v>
      </c>
      <c r="D2356" s="2" t="s">
        <v>23950</v>
      </c>
      <c r="E2356" s="2" t="s">
        <v>23951</v>
      </c>
      <c r="G2356" s="3" t="s">
        <v>64</v>
      </c>
      <c r="I2356" s="3" t="s">
        <v>128</v>
      </c>
      <c r="J2356" s="3" t="s">
        <v>128</v>
      </c>
      <c r="K2356" s="3" t="s">
        <v>65</v>
      </c>
      <c r="L2356" s="2" t="s">
        <v>23952</v>
      </c>
      <c r="M2356" s="2" t="s">
        <v>21083</v>
      </c>
      <c r="N2356" s="3" t="s">
        <v>1275</v>
      </c>
      <c r="P2356" s="3" t="s">
        <v>102</v>
      </c>
      <c r="R2356" s="3" t="s">
        <v>70</v>
      </c>
      <c r="S2356" s="4">
        <v>13</v>
      </c>
      <c r="T2356" s="4">
        <v>66</v>
      </c>
      <c r="U2356" s="5" t="s">
        <v>23953</v>
      </c>
      <c r="V2356" s="5" t="s">
        <v>23954</v>
      </c>
      <c r="W2356" s="5" t="s">
        <v>72</v>
      </c>
      <c r="X2356" s="5" t="s">
        <v>72</v>
      </c>
      <c r="Y2356" s="4">
        <v>910</v>
      </c>
      <c r="Z2356" s="4">
        <v>50</v>
      </c>
      <c r="AA2356" s="4">
        <v>162</v>
      </c>
      <c r="AB2356" s="4">
        <v>2</v>
      </c>
      <c r="AC2356" s="4">
        <v>21</v>
      </c>
      <c r="AD2356" s="4">
        <v>112</v>
      </c>
      <c r="AE2356" s="4">
        <v>166</v>
      </c>
      <c r="AF2356" s="4">
        <v>0</v>
      </c>
      <c r="AG2356" s="4">
        <v>9</v>
      </c>
      <c r="AH2356" s="4">
        <v>96</v>
      </c>
      <c r="AI2356" s="4">
        <v>116</v>
      </c>
      <c r="AJ2356" s="4">
        <v>13</v>
      </c>
      <c r="AK2356" s="4">
        <v>27</v>
      </c>
      <c r="AL2356" s="4">
        <v>51</v>
      </c>
      <c r="AM2356" s="4">
        <v>62</v>
      </c>
      <c r="AN2356" s="4">
        <v>0</v>
      </c>
      <c r="AO2356" s="4">
        <v>0</v>
      </c>
      <c r="AP2356" s="4">
        <v>21</v>
      </c>
      <c r="AQ2356" s="4">
        <v>55</v>
      </c>
      <c r="AR2356" s="3" t="s">
        <v>64</v>
      </c>
      <c r="AS2356" s="3" t="s">
        <v>64</v>
      </c>
      <c r="AT2356" s="3" t="s">
        <v>64</v>
      </c>
      <c r="AV2356" s="6" t="str">
        <f>HYPERLINK("http://mcgill.on.worldcat.org/oclc/52757524","Catalog Record")</f>
        <v>Catalog Record</v>
      </c>
      <c r="AW2356" s="6" t="str">
        <f>HYPERLINK("http://www.worldcat.org/oclc/52757524","WorldCat Record")</f>
        <v>WorldCat Record</v>
      </c>
      <c r="AX2356" s="3" t="s">
        <v>23955</v>
      </c>
      <c r="AY2356" s="3" t="s">
        <v>23956</v>
      </c>
      <c r="AZ2356" s="3" t="s">
        <v>23957</v>
      </c>
      <c r="BA2356" s="3" t="s">
        <v>23957</v>
      </c>
      <c r="BB2356" s="3" t="s">
        <v>23958</v>
      </c>
      <c r="BC2356" s="3" t="s">
        <v>77</v>
      </c>
      <c r="BD2356" s="3" t="s">
        <v>78</v>
      </c>
      <c r="BE2356" s="3" t="s">
        <v>23959</v>
      </c>
      <c r="BF2356" s="3" t="s">
        <v>23958</v>
      </c>
      <c r="BG2356" s="3" t="s">
        <v>23960</v>
      </c>
      <c r="BH2356">
        <f t="shared" si="58"/>
        <v>0</v>
      </c>
    </row>
    <row r="2357" spans="1:60" ht="58" x14ac:dyDescent="0.35">
      <c r="A2357" s="2" t="s">
        <v>59</v>
      </c>
      <c r="B2357" s="2" t="s">
        <v>60</v>
      </c>
      <c r="C2357" s="2" t="s">
        <v>23949</v>
      </c>
      <c r="D2357" s="2" t="s">
        <v>23950</v>
      </c>
      <c r="E2357" s="2" t="s">
        <v>23951</v>
      </c>
      <c r="G2357" s="3" t="s">
        <v>64</v>
      </c>
      <c r="I2357" s="3" t="s">
        <v>128</v>
      </c>
      <c r="J2357" s="3" t="s">
        <v>128</v>
      </c>
      <c r="K2357" s="3" t="s">
        <v>65</v>
      </c>
      <c r="L2357" s="2" t="s">
        <v>23952</v>
      </c>
      <c r="M2357" s="2" t="s">
        <v>21083</v>
      </c>
      <c r="N2357" s="3" t="s">
        <v>1275</v>
      </c>
      <c r="P2357" s="3" t="s">
        <v>102</v>
      </c>
      <c r="R2357" s="3" t="s">
        <v>70</v>
      </c>
      <c r="S2357" s="4">
        <v>53</v>
      </c>
      <c r="T2357" s="4">
        <v>66</v>
      </c>
      <c r="U2357" s="5" t="s">
        <v>23954</v>
      </c>
      <c r="V2357" s="5" t="s">
        <v>23954</v>
      </c>
      <c r="W2357" s="5" t="s">
        <v>72</v>
      </c>
      <c r="X2357" s="5" t="s">
        <v>72</v>
      </c>
      <c r="Y2357" s="4">
        <v>910</v>
      </c>
      <c r="Z2357" s="4">
        <v>50</v>
      </c>
      <c r="AA2357" s="4">
        <v>162</v>
      </c>
      <c r="AB2357" s="4">
        <v>2</v>
      </c>
      <c r="AC2357" s="4">
        <v>21</v>
      </c>
      <c r="AD2357" s="4">
        <v>112</v>
      </c>
      <c r="AE2357" s="4">
        <v>166</v>
      </c>
      <c r="AF2357" s="4">
        <v>0</v>
      </c>
      <c r="AG2357" s="4">
        <v>9</v>
      </c>
      <c r="AH2357" s="4">
        <v>96</v>
      </c>
      <c r="AI2357" s="4">
        <v>116</v>
      </c>
      <c r="AJ2357" s="4">
        <v>13</v>
      </c>
      <c r="AK2357" s="4">
        <v>27</v>
      </c>
      <c r="AL2357" s="4">
        <v>51</v>
      </c>
      <c r="AM2357" s="4">
        <v>62</v>
      </c>
      <c r="AN2357" s="4">
        <v>0</v>
      </c>
      <c r="AO2357" s="4">
        <v>0</v>
      </c>
      <c r="AP2357" s="4">
        <v>21</v>
      </c>
      <c r="AQ2357" s="4">
        <v>55</v>
      </c>
      <c r="AR2357" s="3" t="s">
        <v>64</v>
      </c>
      <c r="AS2357" s="3" t="s">
        <v>64</v>
      </c>
      <c r="AT2357" s="3" t="s">
        <v>64</v>
      </c>
      <c r="AV2357" s="6" t="str">
        <f>HYPERLINK("http://mcgill.on.worldcat.org/oclc/52757524","Catalog Record")</f>
        <v>Catalog Record</v>
      </c>
      <c r="AW2357" s="6" t="str">
        <f>HYPERLINK("http://www.worldcat.org/oclc/52757524","WorldCat Record")</f>
        <v>WorldCat Record</v>
      </c>
      <c r="AX2357" s="3" t="s">
        <v>23955</v>
      </c>
      <c r="AY2357" s="3" t="s">
        <v>23956</v>
      </c>
      <c r="AZ2357" s="3" t="s">
        <v>23957</v>
      </c>
      <c r="BA2357" s="3" t="s">
        <v>23957</v>
      </c>
      <c r="BB2357" s="3" t="s">
        <v>23961</v>
      </c>
      <c r="BC2357" s="3" t="s">
        <v>77</v>
      </c>
      <c r="BD2357" s="3" t="s">
        <v>78</v>
      </c>
      <c r="BE2357" s="3" t="s">
        <v>23959</v>
      </c>
      <c r="BF2357" s="3" t="s">
        <v>23961</v>
      </c>
      <c r="BG2357" s="3" t="s">
        <v>23962</v>
      </c>
      <c r="BH2357">
        <f t="shared" si="58"/>
        <v>0</v>
      </c>
    </row>
    <row r="2358" spans="1:60" ht="58" x14ac:dyDescent="0.35">
      <c r="A2358" s="2" t="s">
        <v>59</v>
      </c>
      <c r="B2358" s="2" t="s">
        <v>60</v>
      </c>
      <c r="C2358" s="2" t="s">
        <v>23963</v>
      </c>
      <c r="D2358" s="2" t="s">
        <v>23964</v>
      </c>
      <c r="E2358" s="2" t="s">
        <v>23965</v>
      </c>
      <c r="G2358" s="3" t="s">
        <v>64</v>
      </c>
      <c r="I2358" s="3" t="s">
        <v>64</v>
      </c>
      <c r="J2358" s="3" t="s">
        <v>128</v>
      </c>
      <c r="K2358" s="3" t="s">
        <v>65</v>
      </c>
      <c r="L2358" s="2" t="s">
        <v>23952</v>
      </c>
      <c r="M2358" s="2" t="s">
        <v>18943</v>
      </c>
      <c r="N2358" s="3" t="s">
        <v>551</v>
      </c>
      <c r="O2358" s="2" t="s">
        <v>172</v>
      </c>
      <c r="P2358" s="3" t="s">
        <v>102</v>
      </c>
      <c r="R2358" s="3" t="s">
        <v>70</v>
      </c>
      <c r="S2358" s="4">
        <v>15</v>
      </c>
      <c r="T2358" s="4">
        <v>15</v>
      </c>
      <c r="U2358" s="5" t="s">
        <v>8446</v>
      </c>
      <c r="V2358" s="5" t="s">
        <v>8446</v>
      </c>
      <c r="W2358" s="5" t="s">
        <v>72</v>
      </c>
      <c r="X2358" s="5" t="s">
        <v>72</v>
      </c>
      <c r="Y2358" s="4">
        <v>944</v>
      </c>
      <c r="Z2358" s="4">
        <v>48</v>
      </c>
      <c r="AA2358" s="4">
        <v>162</v>
      </c>
      <c r="AB2358" s="4">
        <v>3</v>
      </c>
      <c r="AC2358" s="4">
        <v>21</v>
      </c>
      <c r="AD2358" s="4">
        <v>102</v>
      </c>
      <c r="AE2358" s="4">
        <v>166</v>
      </c>
      <c r="AF2358" s="4">
        <v>1</v>
      </c>
      <c r="AG2358" s="4">
        <v>9</v>
      </c>
      <c r="AH2358" s="4">
        <v>87</v>
      </c>
      <c r="AI2358" s="4">
        <v>116</v>
      </c>
      <c r="AJ2358" s="4">
        <v>16</v>
      </c>
      <c r="AK2358" s="4">
        <v>27</v>
      </c>
      <c r="AL2358" s="4">
        <v>41</v>
      </c>
      <c r="AM2358" s="4">
        <v>62</v>
      </c>
      <c r="AN2358" s="4">
        <v>0</v>
      </c>
      <c r="AO2358" s="4">
        <v>0</v>
      </c>
      <c r="AP2358" s="4">
        <v>23</v>
      </c>
      <c r="AQ2358" s="4">
        <v>55</v>
      </c>
      <c r="AR2358" s="3" t="s">
        <v>64</v>
      </c>
      <c r="AS2358" s="3" t="s">
        <v>64</v>
      </c>
      <c r="AT2358" s="3" t="s">
        <v>64</v>
      </c>
      <c r="AV2358" s="6" t="str">
        <f>HYPERLINK("http://mcgill.on.worldcat.org/oclc/226984801","Catalog Record")</f>
        <v>Catalog Record</v>
      </c>
      <c r="AW2358" s="6" t="str">
        <f>HYPERLINK("http://www.worldcat.org/oclc/226984801","WorldCat Record")</f>
        <v>WorldCat Record</v>
      </c>
      <c r="AX2358" s="3" t="s">
        <v>23955</v>
      </c>
      <c r="AY2358" s="3" t="s">
        <v>23966</v>
      </c>
      <c r="AZ2358" s="3" t="s">
        <v>23967</v>
      </c>
      <c r="BA2358" s="3" t="s">
        <v>23967</v>
      </c>
      <c r="BB2358" s="3" t="s">
        <v>23968</v>
      </c>
      <c r="BC2358" s="3" t="s">
        <v>77</v>
      </c>
      <c r="BD2358" s="3" t="s">
        <v>78</v>
      </c>
      <c r="BE2358" s="3" t="s">
        <v>23969</v>
      </c>
      <c r="BF2358" s="3" t="s">
        <v>23968</v>
      </c>
      <c r="BG2358" s="3" t="s">
        <v>23970</v>
      </c>
      <c r="BH2358">
        <f t="shared" si="58"/>
        <v>0</v>
      </c>
    </row>
    <row r="2359" spans="1:60" ht="58" x14ac:dyDescent="0.35">
      <c r="A2359" s="2" t="s">
        <v>59</v>
      </c>
      <c r="B2359" s="2" t="s">
        <v>60</v>
      </c>
      <c r="C2359" s="2" t="s">
        <v>23971</v>
      </c>
      <c r="D2359" s="2" t="s">
        <v>23972</v>
      </c>
      <c r="E2359" s="2" t="s">
        <v>23965</v>
      </c>
      <c r="G2359" s="3" t="s">
        <v>64</v>
      </c>
      <c r="I2359" s="3" t="s">
        <v>64</v>
      </c>
      <c r="J2359" s="3" t="s">
        <v>128</v>
      </c>
      <c r="K2359" s="3" t="s">
        <v>65</v>
      </c>
      <c r="L2359" s="2" t="s">
        <v>23952</v>
      </c>
      <c r="M2359" s="2" t="s">
        <v>23973</v>
      </c>
      <c r="N2359" s="3" t="s">
        <v>67</v>
      </c>
      <c r="O2359" s="2" t="s">
        <v>15120</v>
      </c>
      <c r="P2359" s="3" t="s">
        <v>102</v>
      </c>
      <c r="R2359" s="3" t="s">
        <v>70</v>
      </c>
      <c r="S2359" s="4">
        <v>8</v>
      </c>
      <c r="T2359" s="4">
        <v>8</v>
      </c>
      <c r="U2359" s="5" t="s">
        <v>8446</v>
      </c>
      <c r="V2359" s="5" t="s">
        <v>8446</v>
      </c>
      <c r="W2359" s="5" t="s">
        <v>72</v>
      </c>
      <c r="X2359" s="5" t="s">
        <v>72</v>
      </c>
      <c r="Y2359" s="4">
        <v>88</v>
      </c>
      <c r="Z2359" s="4">
        <v>4</v>
      </c>
      <c r="AA2359" s="4">
        <v>162</v>
      </c>
      <c r="AB2359" s="4">
        <v>1</v>
      </c>
      <c r="AC2359" s="4">
        <v>21</v>
      </c>
      <c r="AD2359" s="4">
        <v>7</v>
      </c>
      <c r="AE2359" s="4">
        <v>166</v>
      </c>
      <c r="AF2359" s="4">
        <v>0</v>
      </c>
      <c r="AG2359" s="4">
        <v>9</v>
      </c>
      <c r="AH2359" s="4">
        <v>6</v>
      </c>
      <c r="AI2359" s="4">
        <v>116</v>
      </c>
      <c r="AJ2359" s="4">
        <v>1</v>
      </c>
      <c r="AK2359" s="4">
        <v>27</v>
      </c>
      <c r="AL2359" s="4">
        <v>5</v>
      </c>
      <c r="AM2359" s="4">
        <v>62</v>
      </c>
      <c r="AN2359" s="4">
        <v>0</v>
      </c>
      <c r="AO2359" s="4">
        <v>0</v>
      </c>
      <c r="AP2359" s="4">
        <v>2</v>
      </c>
      <c r="AQ2359" s="4">
        <v>55</v>
      </c>
      <c r="AR2359" s="3" t="s">
        <v>64</v>
      </c>
      <c r="AS2359" s="3" t="s">
        <v>64</v>
      </c>
      <c r="AT2359" s="3" t="s">
        <v>64</v>
      </c>
      <c r="AV2359" s="6" t="str">
        <f>HYPERLINK("http://mcgill.on.worldcat.org/oclc/828418559","Catalog Record")</f>
        <v>Catalog Record</v>
      </c>
      <c r="AW2359" s="6" t="str">
        <f>HYPERLINK("http://www.worldcat.org/oclc/828418559","WorldCat Record")</f>
        <v>WorldCat Record</v>
      </c>
      <c r="AX2359" s="3" t="s">
        <v>23955</v>
      </c>
      <c r="AY2359" s="3" t="s">
        <v>23974</v>
      </c>
      <c r="AZ2359" s="3" t="s">
        <v>23975</v>
      </c>
      <c r="BA2359" s="3" t="s">
        <v>23975</v>
      </c>
      <c r="BB2359" s="3" t="s">
        <v>23976</v>
      </c>
      <c r="BC2359" s="3" t="s">
        <v>77</v>
      </c>
      <c r="BD2359" s="3" t="s">
        <v>78</v>
      </c>
      <c r="BE2359" s="3" t="s">
        <v>23977</v>
      </c>
      <c r="BF2359" s="3" t="s">
        <v>23976</v>
      </c>
      <c r="BG2359" s="3" t="s">
        <v>23978</v>
      </c>
      <c r="BH2359">
        <f t="shared" si="58"/>
        <v>0</v>
      </c>
    </row>
    <row r="2360" spans="1:60" ht="58" x14ac:dyDescent="0.35">
      <c r="A2360" s="2" t="s">
        <v>59</v>
      </c>
      <c r="B2360" s="2" t="s">
        <v>60</v>
      </c>
      <c r="C2360" s="2" t="s">
        <v>23979</v>
      </c>
      <c r="D2360" s="2" t="s">
        <v>23980</v>
      </c>
      <c r="E2360" s="2" t="s">
        <v>23981</v>
      </c>
      <c r="G2360" s="3" t="s">
        <v>64</v>
      </c>
      <c r="I2360" s="3" t="s">
        <v>64</v>
      </c>
      <c r="J2360" s="3" t="s">
        <v>64</v>
      </c>
      <c r="K2360" s="3" t="s">
        <v>65</v>
      </c>
      <c r="L2360" s="2" t="s">
        <v>23982</v>
      </c>
      <c r="M2360" s="2" t="s">
        <v>22877</v>
      </c>
      <c r="N2360" s="3" t="s">
        <v>101</v>
      </c>
      <c r="P2360" s="3" t="s">
        <v>102</v>
      </c>
      <c r="R2360" s="3" t="s">
        <v>70</v>
      </c>
      <c r="S2360" s="4">
        <v>26</v>
      </c>
      <c r="T2360" s="4">
        <v>26</v>
      </c>
      <c r="U2360" s="5" t="s">
        <v>5872</v>
      </c>
      <c r="V2360" s="5" t="s">
        <v>5872</v>
      </c>
      <c r="W2360" s="5" t="s">
        <v>72</v>
      </c>
      <c r="X2360" s="5" t="s">
        <v>72</v>
      </c>
      <c r="Y2360" s="4">
        <v>375</v>
      </c>
      <c r="Z2360" s="4">
        <v>23</v>
      </c>
      <c r="AA2360" s="4">
        <v>25</v>
      </c>
      <c r="AB2360" s="4">
        <v>2</v>
      </c>
      <c r="AC2360" s="4">
        <v>4</v>
      </c>
      <c r="AD2360" s="4">
        <v>85</v>
      </c>
      <c r="AE2360" s="4">
        <v>87</v>
      </c>
      <c r="AF2360" s="4">
        <v>1</v>
      </c>
      <c r="AG2360" s="4">
        <v>3</v>
      </c>
      <c r="AH2360" s="4">
        <v>77</v>
      </c>
      <c r="AI2360" s="4">
        <v>78</v>
      </c>
      <c r="AJ2360" s="4">
        <v>14</v>
      </c>
      <c r="AK2360" s="4">
        <v>16</v>
      </c>
      <c r="AL2360" s="4">
        <v>40</v>
      </c>
      <c r="AM2360" s="4">
        <v>40</v>
      </c>
      <c r="AN2360" s="4">
        <v>0</v>
      </c>
      <c r="AO2360" s="4">
        <v>0</v>
      </c>
      <c r="AP2360" s="4">
        <v>14</v>
      </c>
      <c r="AQ2360" s="4">
        <v>15</v>
      </c>
      <c r="AR2360" s="3" t="s">
        <v>64</v>
      </c>
      <c r="AS2360" s="3" t="s">
        <v>64</v>
      </c>
      <c r="AT2360" s="3" t="s">
        <v>64</v>
      </c>
      <c r="AV2360" s="6" t="str">
        <f>HYPERLINK("http://mcgill.on.worldcat.org/oclc/52312638","Catalog Record")</f>
        <v>Catalog Record</v>
      </c>
      <c r="AW2360" s="6" t="str">
        <f>HYPERLINK("http://www.worldcat.org/oclc/52312638","WorldCat Record")</f>
        <v>WorldCat Record</v>
      </c>
      <c r="AX2360" s="3" t="s">
        <v>23983</v>
      </c>
      <c r="AY2360" s="3" t="s">
        <v>23984</v>
      </c>
      <c r="AZ2360" s="3" t="s">
        <v>23985</v>
      </c>
      <c r="BA2360" s="3" t="s">
        <v>23985</v>
      </c>
      <c r="BB2360" s="3" t="s">
        <v>23986</v>
      </c>
      <c r="BC2360" s="3" t="s">
        <v>77</v>
      </c>
      <c r="BD2360" s="3" t="s">
        <v>78</v>
      </c>
      <c r="BE2360" s="3" t="s">
        <v>23987</v>
      </c>
      <c r="BF2360" s="3" t="s">
        <v>23986</v>
      </c>
      <c r="BG2360" s="3" t="s">
        <v>23988</v>
      </c>
      <c r="BH2360">
        <f t="shared" si="58"/>
        <v>0</v>
      </c>
    </row>
    <row r="2361" spans="1:60" ht="58" x14ac:dyDescent="0.35">
      <c r="A2361" s="2" t="s">
        <v>59</v>
      </c>
      <c r="B2361" s="2" t="s">
        <v>60</v>
      </c>
      <c r="C2361" s="2" t="s">
        <v>23989</v>
      </c>
      <c r="D2361" s="2" t="s">
        <v>23990</v>
      </c>
      <c r="E2361" s="2" t="s">
        <v>23991</v>
      </c>
      <c r="G2361" s="3" t="s">
        <v>64</v>
      </c>
      <c r="I2361" s="3" t="s">
        <v>64</v>
      </c>
      <c r="J2361" s="3" t="s">
        <v>64</v>
      </c>
      <c r="K2361" s="3" t="s">
        <v>65</v>
      </c>
      <c r="M2361" s="2" t="s">
        <v>23992</v>
      </c>
      <c r="N2361" s="3" t="s">
        <v>1031</v>
      </c>
      <c r="P2361" s="3" t="s">
        <v>102</v>
      </c>
      <c r="R2361" s="3" t="s">
        <v>70</v>
      </c>
      <c r="S2361" s="4">
        <v>10</v>
      </c>
      <c r="T2361" s="4">
        <v>10</v>
      </c>
      <c r="U2361" s="5" t="s">
        <v>23792</v>
      </c>
      <c r="V2361" s="5" t="s">
        <v>23792</v>
      </c>
      <c r="W2361" s="5" t="s">
        <v>72</v>
      </c>
      <c r="X2361" s="5" t="s">
        <v>72</v>
      </c>
      <c r="Y2361" s="4">
        <v>257</v>
      </c>
      <c r="Z2361" s="4">
        <v>23</v>
      </c>
      <c r="AA2361" s="4">
        <v>27</v>
      </c>
      <c r="AB2361" s="4">
        <v>3</v>
      </c>
      <c r="AC2361" s="4">
        <v>6</v>
      </c>
      <c r="AD2361" s="4">
        <v>60</v>
      </c>
      <c r="AE2361" s="4">
        <v>64</v>
      </c>
      <c r="AF2361" s="4">
        <v>1</v>
      </c>
      <c r="AG2361" s="4">
        <v>1</v>
      </c>
      <c r="AH2361" s="4">
        <v>51</v>
      </c>
      <c r="AI2361" s="4">
        <v>55</v>
      </c>
      <c r="AJ2361" s="4">
        <v>12</v>
      </c>
      <c r="AK2361" s="4">
        <v>13</v>
      </c>
      <c r="AL2361" s="4">
        <v>28</v>
      </c>
      <c r="AM2361" s="4">
        <v>29</v>
      </c>
      <c r="AN2361" s="4">
        <v>0</v>
      </c>
      <c r="AO2361" s="4">
        <v>0</v>
      </c>
      <c r="AP2361" s="4">
        <v>13</v>
      </c>
      <c r="AQ2361" s="4">
        <v>14</v>
      </c>
      <c r="AR2361" s="3" t="s">
        <v>64</v>
      </c>
      <c r="AS2361" s="3" t="s">
        <v>64</v>
      </c>
      <c r="AT2361" s="3" t="s">
        <v>128</v>
      </c>
      <c r="AU2361" s="6" t="str">
        <f>HYPERLINK("http://catalog.hathitrust.org/Record/002618167","HathiTrust Record")</f>
        <v>HathiTrust Record</v>
      </c>
      <c r="AV2361" s="6" t="str">
        <f>HYPERLINK("http://mcgill.on.worldcat.org/oclc/26985857","Catalog Record")</f>
        <v>Catalog Record</v>
      </c>
      <c r="AW2361" s="6" t="str">
        <f>HYPERLINK("http://www.worldcat.org/oclc/26985857","WorldCat Record")</f>
        <v>WorldCat Record</v>
      </c>
      <c r="AX2361" s="3" t="s">
        <v>23993</v>
      </c>
      <c r="AY2361" s="3" t="s">
        <v>23994</v>
      </c>
      <c r="AZ2361" s="3" t="s">
        <v>23995</v>
      </c>
      <c r="BA2361" s="3" t="s">
        <v>23995</v>
      </c>
      <c r="BB2361" s="3" t="s">
        <v>23996</v>
      </c>
      <c r="BC2361" s="3" t="s">
        <v>77</v>
      </c>
      <c r="BD2361" s="3" t="s">
        <v>78</v>
      </c>
      <c r="BE2361" s="3" t="s">
        <v>23997</v>
      </c>
      <c r="BF2361" s="3" t="s">
        <v>23996</v>
      </c>
      <c r="BG2361" s="3" t="s">
        <v>23998</v>
      </c>
      <c r="BH2361">
        <f t="shared" si="58"/>
        <v>0</v>
      </c>
    </row>
    <row r="2362" spans="1:60" ht="58" x14ac:dyDescent="0.35">
      <c r="A2362" s="2" t="s">
        <v>59</v>
      </c>
      <c r="B2362" s="2" t="s">
        <v>60</v>
      </c>
      <c r="C2362" s="2" t="s">
        <v>23999</v>
      </c>
      <c r="D2362" s="2" t="s">
        <v>24000</v>
      </c>
      <c r="E2362" s="2" t="s">
        <v>24001</v>
      </c>
      <c r="G2362" s="3" t="s">
        <v>64</v>
      </c>
      <c r="I2362" s="3" t="s">
        <v>64</v>
      </c>
      <c r="J2362" s="3" t="s">
        <v>64</v>
      </c>
      <c r="K2362" s="3" t="s">
        <v>65</v>
      </c>
      <c r="M2362" s="2" t="s">
        <v>24002</v>
      </c>
      <c r="N2362" s="3" t="s">
        <v>326</v>
      </c>
      <c r="P2362" s="3" t="s">
        <v>102</v>
      </c>
      <c r="R2362" s="3" t="s">
        <v>70</v>
      </c>
      <c r="S2362" s="4">
        <v>6</v>
      </c>
      <c r="T2362" s="4">
        <v>6</v>
      </c>
      <c r="U2362" s="5" t="s">
        <v>24003</v>
      </c>
      <c r="V2362" s="5" t="s">
        <v>24003</v>
      </c>
      <c r="W2362" s="5" t="s">
        <v>72</v>
      </c>
      <c r="X2362" s="5" t="s">
        <v>72</v>
      </c>
      <c r="Y2362" s="4">
        <v>159</v>
      </c>
      <c r="Z2362" s="4">
        <v>9</v>
      </c>
      <c r="AA2362" s="4">
        <v>14</v>
      </c>
      <c r="AB2362" s="4">
        <v>2</v>
      </c>
      <c r="AC2362" s="4">
        <v>6</v>
      </c>
      <c r="AD2362" s="4">
        <v>36</v>
      </c>
      <c r="AE2362" s="4">
        <v>39</v>
      </c>
      <c r="AF2362" s="4">
        <v>1</v>
      </c>
      <c r="AG2362" s="4">
        <v>3</v>
      </c>
      <c r="AH2362" s="4">
        <v>31</v>
      </c>
      <c r="AI2362" s="4">
        <v>32</v>
      </c>
      <c r="AJ2362" s="4">
        <v>4</v>
      </c>
      <c r="AK2362" s="4">
        <v>6</v>
      </c>
      <c r="AL2362" s="4">
        <v>20</v>
      </c>
      <c r="AM2362" s="4">
        <v>20</v>
      </c>
      <c r="AN2362" s="4">
        <v>0</v>
      </c>
      <c r="AO2362" s="4">
        <v>0</v>
      </c>
      <c r="AP2362" s="4">
        <v>6</v>
      </c>
      <c r="AQ2362" s="4">
        <v>8</v>
      </c>
      <c r="AR2362" s="3" t="s">
        <v>64</v>
      </c>
      <c r="AS2362" s="3" t="s">
        <v>64</v>
      </c>
      <c r="AT2362" s="3" t="s">
        <v>64</v>
      </c>
      <c r="AV2362" s="6" t="str">
        <f>HYPERLINK("http://mcgill.on.worldcat.org/oclc/705898158","Catalog Record")</f>
        <v>Catalog Record</v>
      </c>
      <c r="AW2362" s="6" t="str">
        <f>HYPERLINK("http://www.worldcat.org/oclc/705898158","WorldCat Record")</f>
        <v>WorldCat Record</v>
      </c>
      <c r="AX2362" s="3" t="s">
        <v>24004</v>
      </c>
      <c r="AY2362" s="3" t="s">
        <v>24005</v>
      </c>
      <c r="AZ2362" s="3" t="s">
        <v>24006</v>
      </c>
      <c r="BA2362" s="3" t="s">
        <v>24006</v>
      </c>
      <c r="BB2362" s="3" t="s">
        <v>24007</v>
      </c>
      <c r="BC2362" s="3" t="s">
        <v>77</v>
      </c>
      <c r="BD2362" s="3" t="s">
        <v>78</v>
      </c>
      <c r="BE2362" s="3" t="s">
        <v>24008</v>
      </c>
      <c r="BF2362" s="3" t="s">
        <v>24007</v>
      </c>
      <c r="BG2362" s="3" t="s">
        <v>24009</v>
      </c>
      <c r="BH2362">
        <f t="shared" si="58"/>
        <v>0</v>
      </c>
    </row>
    <row r="2363" spans="1:60" ht="58" x14ac:dyDescent="0.35">
      <c r="A2363" s="2" t="s">
        <v>59</v>
      </c>
      <c r="B2363" s="2" t="s">
        <v>60</v>
      </c>
      <c r="C2363" s="2" t="s">
        <v>24010</v>
      </c>
      <c r="D2363" s="2" t="s">
        <v>24011</v>
      </c>
      <c r="E2363" s="2" t="s">
        <v>24012</v>
      </c>
      <c r="G2363" s="3" t="s">
        <v>64</v>
      </c>
      <c r="I2363" s="3" t="s">
        <v>64</v>
      </c>
      <c r="J2363" s="3" t="s">
        <v>64</v>
      </c>
      <c r="K2363" s="3" t="s">
        <v>65</v>
      </c>
      <c r="M2363" s="2" t="s">
        <v>18367</v>
      </c>
      <c r="N2363" s="3" t="s">
        <v>67</v>
      </c>
      <c r="P2363" s="3" t="s">
        <v>102</v>
      </c>
      <c r="R2363" s="3" t="s">
        <v>70</v>
      </c>
      <c r="S2363" s="4">
        <v>7</v>
      </c>
      <c r="T2363" s="4">
        <v>7</v>
      </c>
      <c r="U2363" s="5" t="s">
        <v>2763</v>
      </c>
      <c r="V2363" s="5" t="s">
        <v>2763</v>
      </c>
      <c r="W2363" s="5" t="s">
        <v>72</v>
      </c>
      <c r="X2363" s="5" t="s">
        <v>72</v>
      </c>
      <c r="Y2363" s="4">
        <v>362</v>
      </c>
      <c r="Z2363" s="4">
        <v>19</v>
      </c>
      <c r="AA2363" s="4">
        <v>56</v>
      </c>
      <c r="AB2363" s="4">
        <v>2</v>
      </c>
      <c r="AC2363" s="4">
        <v>6</v>
      </c>
      <c r="AD2363" s="4">
        <v>66</v>
      </c>
      <c r="AE2363" s="4">
        <v>88</v>
      </c>
      <c r="AF2363" s="4">
        <v>1</v>
      </c>
      <c r="AG2363" s="4">
        <v>2</v>
      </c>
      <c r="AH2363" s="4">
        <v>60</v>
      </c>
      <c r="AI2363" s="4">
        <v>72</v>
      </c>
      <c r="AJ2363" s="4">
        <v>9</v>
      </c>
      <c r="AK2363" s="4">
        <v>12</v>
      </c>
      <c r="AL2363" s="4">
        <v>31</v>
      </c>
      <c r="AM2363" s="4">
        <v>39</v>
      </c>
      <c r="AN2363" s="4">
        <v>0</v>
      </c>
      <c r="AO2363" s="4">
        <v>0</v>
      </c>
      <c r="AP2363" s="4">
        <v>12</v>
      </c>
      <c r="AQ2363" s="4">
        <v>20</v>
      </c>
      <c r="AR2363" s="3" t="s">
        <v>64</v>
      </c>
      <c r="AS2363" s="3" t="s">
        <v>64</v>
      </c>
      <c r="AT2363" s="3" t="s">
        <v>64</v>
      </c>
      <c r="AV2363" s="6" t="str">
        <f>HYPERLINK("http://mcgill.on.worldcat.org/oclc/852220670","Catalog Record")</f>
        <v>Catalog Record</v>
      </c>
      <c r="AW2363" s="6" t="str">
        <f>HYPERLINK("http://www.worldcat.org/oclc/852220670","WorldCat Record")</f>
        <v>WorldCat Record</v>
      </c>
      <c r="AX2363" s="3" t="s">
        <v>24013</v>
      </c>
      <c r="AY2363" s="3" t="s">
        <v>24014</v>
      </c>
      <c r="AZ2363" s="3" t="s">
        <v>24015</v>
      </c>
      <c r="BA2363" s="3" t="s">
        <v>24015</v>
      </c>
      <c r="BB2363" s="3" t="s">
        <v>24016</v>
      </c>
      <c r="BC2363" s="3" t="s">
        <v>77</v>
      </c>
      <c r="BD2363" s="3" t="s">
        <v>78</v>
      </c>
      <c r="BE2363" s="3" t="s">
        <v>24017</v>
      </c>
      <c r="BF2363" s="3" t="s">
        <v>24016</v>
      </c>
      <c r="BG2363" s="3" t="s">
        <v>24018</v>
      </c>
      <c r="BH2363">
        <f t="shared" si="58"/>
        <v>0</v>
      </c>
    </row>
    <row r="2364" spans="1:60" ht="116" x14ac:dyDescent="0.35">
      <c r="A2364" s="2" t="s">
        <v>59</v>
      </c>
      <c r="B2364" s="2" t="s">
        <v>1183</v>
      </c>
      <c r="C2364" s="2" t="s">
        <v>24019</v>
      </c>
      <c r="D2364" s="2" t="s">
        <v>24020</v>
      </c>
      <c r="E2364" s="2" t="s">
        <v>24021</v>
      </c>
      <c r="G2364" s="3" t="s">
        <v>64</v>
      </c>
      <c r="I2364" s="3" t="s">
        <v>64</v>
      </c>
      <c r="J2364" s="3" t="s">
        <v>64</v>
      </c>
      <c r="K2364" s="3" t="s">
        <v>65</v>
      </c>
      <c r="M2364" s="2" t="s">
        <v>24022</v>
      </c>
      <c r="N2364" s="3" t="s">
        <v>67</v>
      </c>
      <c r="O2364" s="2" t="s">
        <v>1189</v>
      </c>
      <c r="P2364" s="3" t="s">
        <v>1190</v>
      </c>
      <c r="R2364" s="3" t="s">
        <v>70</v>
      </c>
      <c r="S2364" s="4">
        <v>0</v>
      </c>
      <c r="T2364" s="4">
        <v>0</v>
      </c>
      <c r="W2364" s="5" t="s">
        <v>72</v>
      </c>
      <c r="X2364" s="5" t="s">
        <v>72</v>
      </c>
      <c r="Y2364" s="4">
        <v>24</v>
      </c>
      <c r="Z2364" s="4">
        <v>3</v>
      </c>
      <c r="AA2364" s="4">
        <v>3</v>
      </c>
      <c r="AB2364" s="4">
        <v>1</v>
      </c>
      <c r="AC2364" s="4">
        <v>1</v>
      </c>
      <c r="AD2364" s="4">
        <v>14</v>
      </c>
      <c r="AE2364" s="4">
        <v>14</v>
      </c>
      <c r="AF2364" s="4">
        <v>0</v>
      </c>
      <c r="AG2364" s="4">
        <v>0</v>
      </c>
      <c r="AH2364" s="4">
        <v>14</v>
      </c>
      <c r="AI2364" s="4">
        <v>14</v>
      </c>
      <c r="AJ2364" s="4">
        <v>1</v>
      </c>
      <c r="AK2364" s="4">
        <v>1</v>
      </c>
      <c r="AL2364" s="4">
        <v>13</v>
      </c>
      <c r="AM2364" s="4">
        <v>13</v>
      </c>
      <c r="AN2364" s="4">
        <v>0</v>
      </c>
      <c r="AO2364" s="4">
        <v>0</v>
      </c>
      <c r="AP2364" s="4">
        <v>1</v>
      </c>
      <c r="AQ2364" s="4">
        <v>1</v>
      </c>
      <c r="AR2364" s="3" t="s">
        <v>64</v>
      </c>
      <c r="AS2364" s="3" t="s">
        <v>64</v>
      </c>
      <c r="AT2364" s="3" t="s">
        <v>64</v>
      </c>
      <c r="AV2364" s="6" t="str">
        <f>HYPERLINK("http://mcgill.on.worldcat.org/oclc/882072994","Catalog Record")</f>
        <v>Catalog Record</v>
      </c>
      <c r="AW2364" s="6" t="str">
        <f>HYPERLINK("http://www.worldcat.org/oclc/882072994","WorldCat Record")</f>
        <v>WorldCat Record</v>
      </c>
      <c r="AX2364" s="3" t="s">
        <v>24023</v>
      </c>
      <c r="AY2364" s="3" t="s">
        <v>24024</v>
      </c>
      <c r="AZ2364" s="3" t="s">
        <v>24025</v>
      </c>
      <c r="BA2364" s="3" t="s">
        <v>24025</v>
      </c>
      <c r="BB2364" s="3" t="s">
        <v>24026</v>
      </c>
      <c r="BC2364" s="3" t="s">
        <v>77</v>
      </c>
      <c r="BD2364" s="3" t="s">
        <v>78</v>
      </c>
      <c r="BE2364" s="3" t="s">
        <v>24027</v>
      </c>
      <c r="BF2364" s="3" t="s">
        <v>24026</v>
      </c>
      <c r="BG2364" s="3" t="s">
        <v>24028</v>
      </c>
      <c r="BH2364">
        <f t="shared" si="58"/>
        <v>0</v>
      </c>
    </row>
    <row r="2365" spans="1:60" ht="58" x14ac:dyDescent="0.35">
      <c r="A2365" s="2" t="s">
        <v>59</v>
      </c>
      <c r="B2365" s="2" t="s">
        <v>60</v>
      </c>
      <c r="C2365" s="2" t="s">
        <v>24029</v>
      </c>
      <c r="D2365" s="2" t="s">
        <v>24030</v>
      </c>
      <c r="E2365" s="2" t="s">
        <v>24031</v>
      </c>
      <c r="G2365" s="3" t="s">
        <v>64</v>
      </c>
      <c r="I2365" s="3" t="s">
        <v>64</v>
      </c>
      <c r="J2365" s="3" t="s">
        <v>64</v>
      </c>
      <c r="K2365" s="3" t="s">
        <v>65</v>
      </c>
      <c r="M2365" s="2" t="s">
        <v>24032</v>
      </c>
      <c r="N2365" s="3" t="s">
        <v>537</v>
      </c>
      <c r="P2365" s="3" t="s">
        <v>102</v>
      </c>
      <c r="Q2365" s="2" t="s">
        <v>14022</v>
      </c>
      <c r="R2365" s="3" t="s">
        <v>70</v>
      </c>
      <c r="S2365" s="4">
        <v>0</v>
      </c>
      <c r="T2365" s="4">
        <v>0</v>
      </c>
      <c r="W2365" s="5" t="s">
        <v>72</v>
      </c>
      <c r="X2365" s="5" t="s">
        <v>72</v>
      </c>
      <c r="Y2365" s="4">
        <v>204</v>
      </c>
      <c r="Z2365" s="4">
        <v>11</v>
      </c>
      <c r="AA2365" s="4">
        <v>78</v>
      </c>
      <c r="AB2365" s="4">
        <v>1</v>
      </c>
      <c r="AC2365" s="4">
        <v>16</v>
      </c>
      <c r="AD2365" s="4">
        <v>58</v>
      </c>
      <c r="AE2365" s="4">
        <v>108</v>
      </c>
      <c r="AF2365" s="4">
        <v>0</v>
      </c>
      <c r="AG2365" s="4">
        <v>8</v>
      </c>
      <c r="AH2365" s="4">
        <v>55</v>
      </c>
      <c r="AI2365" s="4">
        <v>78</v>
      </c>
      <c r="AJ2365" s="4">
        <v>7</v>
      </c>
      <c r="AK2365" s="4">
        <v>18</v>
      </c>
      <c r="AL2365" s="4">
        <v>29</v>
      </c>
      <c r="AM2365" s="4">
        <v>41</v>
      </c>
      <c r="AN2365" s="4">
        <v>0</v>
      </c>
      <c r="AO2365" s="4">
        <v>0</v>
      </c>
      <c r="AP2365" s="4">
        <v>8</v>
      </c>
      <c r="AQ2365" s="4">
        <v>37</v>
      </c>
      <c r="AR2365" s="3" t="s">
        <v>64</v>
      </c>
      <c r="AS2365" s="3" t="s">
        <v>64</v>
      </c>
      <c r="AT2365" s="3" t="s">
        <v>64</v>
      </c>
      <c r="AV2365" s="6" t="str">
        <f>HYPERLINK("http://mcgill.on.worldcat.org/oclc/932003520","Catalog Record")</f>
        <v>Catalog Record</v>
      </c>
      <c r="AW2365" s="6" t="str">
        <f>HYPERLINK("http://www.worldcat.org/oclc/932003520","WorldCat Record")</f>
        <v>WorldCat Record</v>
      </c>
      <c r="AX2365" s="3" t="s">
        <v>24033</v>
      </c>
      <c r="AY2365" s="3" t="s">
        <v>24034</v>
      </c>
      <c r="AZ2365" s="3" t="s">
        <v>24035</v>
      </c>
      <c r="BA2365" s="3" t="s">
        <v>24035</v>
      </c>
      <c r="BB2365" s="3" t="s">
        <v>24036</v>
      </c>
      <c r="BC2365" s="3" t="s">
        <v>77</v>
      </c>
      <c r="BD2365" s="3" t="s">
        <v>78</v>
      </c>
      <c r="BE2365" s="3" t="s">
        <v>24037</v>
      </c>
      <c r="BF2365" s="3" t="s">
        <v>24036</v>
      </c>
      <c r="BG2365" s="3" t="s">
        <v>24038</v>
      </c>
      <c r="BH2365">
        <f t="shared" si="58"/>
        <v>0</v>
      </c>
    </row>
    <row r="2366" spans="1:60" ht="58" x14ac:dyDescent="0.35">
      <c r="A2366" s="2" t="s">
        <v>59</v>
      </c>
      <c r="B2366" s="2" t="s">
        <v>60</v>
      </c>
      <c r="C2366" s="2" t="s">
        <v>24039</v>
      </c>
      <c r="D2366" s="2" t="s">
        <v>24040</v>
      </c>
      <c r="E2366" s="2" t="s">
        <v>24041</v>
      </c>
      <c r="G2366" s="3" t="s">
        <v>64</v>
      </c>
      <c r="I2366" s="3" t="s">
        <v>64</v>
      </c>
      <c r="J2366" s="3" t="s">
        <v>128</v>
      </c>
      <c r="K2366" s="3" t="s">
        <v>65</v>
      </c>
      <c r="L2366" s="2" t="s">
        <v>24042</v>
      </c>
      <c r="M2366" s="2" t="s">
        <v>18880</v>
      </c>
      <c r="N2366" s="3" t="s">
        <v>159</v>
      </c>
      <c r="P2366" s="3" t="s">
        <v>102</v>
      </c>
      <c r="Q2366" s="2" t="s">
        <v>21484</v>
      </c>
      <c r="R2366" s="3" t="s">
        <v>70</v>
      </c>
      <c r="S2366" s="4">
        <v>22</v>
      </c>
      <c r="T2366" s="4">
        <v>22</v>
      </c>
      <c r="U2366" s="5" t="s">
        <v>23954</v>
      </c>
      <c r="V2366" s="5" t="s">
        <v>23954</v>
      </c>
      <c r="W2366" s="5" t="s">
        <v>72</v>
      </c>
      <c r="X2366" s="5" t="s">
        <v>72</v>
      </c>
      <c r="Y2366" s="4">
        <v>610</v>
      </c>
      <c r="Z2366" s="4">
        <v>27</v>
      </c>
      <c r="AA2366" s="4">
        <v>127</v>
      </c>
      <c r="AB2366" s="4">
        <v>3</v>
      </c>
      <c r="AC2366" s="4">
        <v>21</v>
      </c>
      <c r="AD2366" s="4">
        <v>75</v>
      </c>
      <c r="AE2366" s="4">
        <v>140</v>
      </c>
      <c r="AF2366" s="4">
        <v>0</v>
      </c>
      <c r="AG2366" s="4">
        <v>8</v>
      </c>
      <c r="AH2366" s="4">
        <v>71</v>
      </c>
      <c r="AI2366" s="4">
        <v>103</v>
      </c>
      <c r="AJ2366" s="4">
        <v>8</v>
      </c>
      <c r="AK2366" s="4">
        <v>21</v>
      </c>
      <c r="AL2366" s="4">
        <v>35</v>
      </c>
      <c r="AM2366" s="4">
        <v>51</v>
      </c>
      <c r="AN2366" s="4">
        <v>0</v>
      </c>
      <c r="AO2366" s="4">
        <v>0</v>
      </c>
      <c r="AP2366" s="4">
        <v>9</v>
      </c>
      <c r="AQ2366" s="4">
        <v>41</v>
      </c>
      <c r="AR2366" s="3" t="s">
        <v>64</v>
      </c>
      <c r="AS2366" s="3" t="s">
        <v>64</v>
      </c>
      <c r="AT2366" s="3" t="s">
        <v>64</v>
      </c>
      <c r="AV2366" s="6" t="str">
        <f>HYPERLINK("http://mcgill.on.worldcat.org/oclc/48122960","Catalog Record")</f>
        <v>Catalog Record</v>
      </c>
      <c r="AW2366" s="6" t="str">
        <f>HYPERLINK("http://www.worldcat.org/oclc/48122960","WorldCat Record")</f>
        <v>WorldCat Record</v>
      </c>
      <c r="AX2366" s="3" t="s">
        <v>24043</v>
      </c>
      <c r="AY2366" s="3" t="s">
        <v>24044</v>
      </c>
      <c r="AZ2366" s="3" t="s">
        <v>24045</v>
      </c>
      <c r="BA2366" s="3" t="s">
        <v>24045</v>
      </c>
      <c r="BB2366" s="3" t="s">
        <v>24046</v>
      </c>
      <c r="BC2366" s="3" t="s">
        <v>77</v>
      </c>
      <c r="BD2366" s="3" t="s">
        <v>78</v>
      </c>
      <c r="BE2366" s="3" t="s">
        <v>24047</v>
      </c>
      <c r="BF2366" s="3" t="s">
        <v>24046</v>
      </c>
      <c r="BG2366" s="3" t="s">
        <v>24048</v>
      </c>
      <c r="BH2366">
        <f t="shared" si="58"/>
        <v>0</v>
      </c>
    </row>
    <row r="2367" spans="1:60" ht="58" x14ac:dyDescent="0.35">
      <c r="A2367" s="2" t="s">
        <v>59</v>
      </c>
      <c r="B2367" s="2" t="s">
        <v>60</v>
      </c>
      <c r="C2367" s="2" t="s">
        <v>24049</v>
      </c>
      <c r="D2367" s="2" t="s">
        <v>24050</v>
      </c>
      <c r="E2367" s="2" t="s">
        <v>24041</v>
      </c>
      <c r="G2367" s="3" t="s">
        <v>64</v>
      </c>
      <c r="I2367" s="3" t="s">
        <v>64</v>
      </c>
      <c r="J2367" s="3" t="s">
        <v>128</v>
      </c>
      <c r="K2367" s="3" t="s">
        <v>65</v>
      </c>
      <c r="L2367" s="2" t="s">
        <v>24051</v>
      </c>
      <c r="M2367" s="2" t="s">
        <v>14235</v>
      </c>
      <c r="N2367" s="3" t="s">
        <v>511</v>
      </c>
      <c r="O2367" s="2" t="s">
        <v>172</v>
      </c>
      <c r="P2367" s="3" t="s">
        <v>102</v>
      </c>
      <c r="R2367" s="3" t="s">
        <v>70</v>
      </c>
      <c r="S2367" s="4">
        <v>7</v>
      </c>
      <c r="T2367" s="4">
        <v>7</v>
      </c>
      <c r="U2367" s="5" t="s">
        <v>5872</v>
      </c>
      <c r="V2367" s="5" t="s">
        <v>5872</v>
      </c>
      <c r="W2367" s="5" t="s">
        <v>72</v>
      </c>
      <c r="X2367" s="5" t="s">
        <v>72</v>
      </c>
      <c r="Y2367" s="4">
        <v>654</v>
      </c>
      <c r="Z2367" s="4">
        <v>23</v>
      </c>
      <c r="AA2367" s="4">
        <v>127</v>
      </c>
      <c r="AB2367" s="4">
        <v>2</v>
      </c>
      <c r="AC2367" s="4">
        <v>21</v>
      </c>
      <c r="AD2367" s="4">
        <v>67</v>
      </c>
      <c r="AE2367" s="4">
        <v>140</v>
      </c>
      <c r="AF2367" s="4">
        <v>0</v>
      </c>
      <c r="AG2367" s="4">
        <v>8</v>
      </c>
      <c r="AH2367" s="4">
        <v>64</v>
      </c>
      <c r="AI2367" s="4">
        <v>103</v>
      </c>
      <c r="AJ2367" s="4">
        <v>9</v>
      </c>
      <c r="AK2367" s="4">
        <v>21</v>
      </c>
      <c r="AL2367" s="4">
        <v>27</v>
      </c>
      <c r="AM2367" s="4">
        <v>51</v>
      </c>
      <c r="AN2367" s="4">
        <v>0</v>
      </c>
      <c r="AO2367" s="4">
        <v>0</v>
      </c>
      <c r="AP2367" s="4">
        <v>8</v>
      </c>
      <c r="AQ2367" s="4">
        <v>41</v>
      </c>
      <c r="AR2367" s="3" t="s">
        <v>64</v>
      </c>
      <c r="AS2367" s="3" t="s">
        <v>64</v>
      </c>
      <c r="AT2367" s="3" t="s">
        <v>64</v>
      </c>
      <c r="AV2367" s="6" t="str">
        <f>HYPERLINK("http://mcgill.on.worldcat.org/oclc/452290626","Catalog Record")</f>
        <v>Catalog Record</v>
      </c>
      <c r="AW2367" s="6" t="str">
        <f>HYPERLINK("http://www.worldcat.org/oclc/452290626","WorldCat Record")</f>
        <v>WorldCat Record</v>
      </c>
      <c r="AX2367" s="3" t="s">
        <v>24043</v>
      </c>
      <c r="AY2367" s="3" t="s">
        <v>24052</v>
      </c>
      <c r="AZ2367" s="3" t="s">
        <v>24053</v>
      </c>
      <c r="BA2367" s="3" t="s">
        <v>24053</v>
      </c>
      <c r="BB2367" s="3" t="s">
        <v>24054</v>
      </c>
      <c r="BC2367" s="3" t="s">
        <v>77</v>
      </c>
      <c r="BD2367" s="3" t="s">
        <v>78</v>
      </c>
      <c r="BE2367" s="3" t="s">
        <v>24055</v>
      </c>
      <c r="BF2367" s="3" t="s">
        <v>24054</v>
      </c>
      <c r="BG2367" s="3" t="s">
        <v>24056</v>
      </c>
      <c r="BH2367">
        <f t="shared" si="58"/>
        <v>0</v>
      </c>
    </row>
    <row r="2368" spans="1:60" ht="58" x14ac:dyDescent="0.35">
      <c r="A2368" s="2" t="s">
        <v>59</v>
      </c>
      <c r="B2368" s="2" t="s">
        <v>60</v>
      </c>
      <c r="C2368" s="2" t="s">
        <v>24057</v>
      </c>
      <c r="D2368" s="2" t="s">
        <v>24058</v>
      </c>
      <c r="E2368" s="2" t="s">
        <v>24059</v>
      </c>
      <c r="G2368" s="3" t="s">
        <v>64</v>
      </c>
      <c r="I2368" s="3" t="s">
        <v>64</v>
      </c>
      <c r="J2368" s="3" t="s">
        <v>64</v>
      </c>
      <c r="K2368" s="3" t="s">
        <v>65</v>
      </c>
      <c r="L2368" s="2" t="s">
        <v>24060</v>
      </c>
      <c r="M2368" s="2" t="s">
        <v>15272</v>
      </c>
      <c r="N2368" s="3" t="s">
        <v>291</v>
      </c>
      <c r="P2368" s="3" t="s">
        <v>102</v>
      </c>
      <c r="Q2368" s="2" t="s">
        <v>24061</v>
      </c>
      <c r="R2368" s="3" t="s">
        <v>70</v>
      </c>
      <c r="S2368" s="4">
        <v>12</v>
      </c>
      <c r="T2368" s="4">
        <v>12</v>
      </c>
      <c r="U2368" s="5" t="s">
        <v>24062</v>
      </c>
      <c r="V2368" s="5" t="s">
        <v>24062</v>
      </c>
      <c r="W2368" s="5" t="s">
        <v>72</v>
      </c>
      <c r="X2368" s="5" t="s">
        <v>72</v>
      </c>
      <c r="Y2368" s="4">
        <v>407</v>
      </c>
      <c r="Z2368" s="4">
        <v>27</v>
      </c>
      <c r="AA2368" s="4">
        <v>40</v>
      </c>
      <c r="AB2368" s="4">
        <v>2</v>
      </c>
      <c r="AC2368" s="4">
        <v>5</v>
      </c>
      <c r="AD2368" s="4">
        <v>46</v>
      </c>
      <c r="AE2368" s="4">
        <v>62</v>
      </c>
      <c r="AF2368" s="4">
        <v>0</v>
      </c>
      <c r="AG2368" s="4">
        <v>1</v>
      </c>
      <c r="AH2368" s="4">
        <v>41</v>
      </c>
      <c r="AI2368" s="4">
        <v>54</v>
      </c>
      <c r="AJ2368" s="4">
        <v>7</v>
      </c>
      <c r="AK2368" s="4">
        <v>9</v>
      </c>
      <c r="AL2368" s="4">
        <v>19</v>
      </c>
      <c r="AM2368" s="4">
        <v>28</v>
      </c>
      <c r="AN2368" s="4">
        <v>0</v>
      </c>
      <c r="AO2368" s="4">
        <v>0</v>
      </c>
      <c r="AP2368" s="4">
        <v>10</v>
      </c>
      <c r="AQ2368" s="4">
        <v>11</v>
      </c>
      <c r="AR2368" s="3" t="s">
        <v>64</v>
      </c>
      <c r="AS2368" s="3" t="s">
        <v>64</v>
      </c>
      <c r="AT2368" s="3" t="s">
        <v>128</v>
      </c>
      <c r="AU2368" s="6" t="str">
        <f>HYPERLINK("http://catalog.hathitrust.org/Record/005615951","HathiTrust Record")</f>
        <v>HathiTrust Record</v>
      </c>
      <c r="AV2368" s="6" t="str">
        <f>HYPERLINK("http://mcgill.on.worldcat.org/oclc/123119569","Catalog Record")</f>
        <v>Catalog Record</v>
      </c>
      <c r="AW2368" s="6" t="str">
        <f>HYPERLINK("http://www.worldcat.org/oclc/123119569","WorldCat Record")</f>
        <v>WorldCat Record</v>
      </c>
      <c r="AX2368" s="3" t="s">
        <v>24063</v>
      </c>
      <c r="AY2368" s="3" t="s">
        <v>24064</v>
      </c>
      <c r="AZ2368" s="3" t="s">
        <v>24065</v>
      </c>
      <c r="BA2368" s="3" t="s">
        <v>24065</v>
      </c>
      <c r="BB2368" s="3" t="s">
        <v>24066</v>
      </c>
      <c r="BC2368" s="3" t="s">
        <v>77</v>
      </c>
      <c r="BD2368" s="3" t="s">
        <v>78</v>
      </c>
      <c r="BE2368" s="3" t="s">
        <v>24067</v>
      </c>
      <c r="BF2368" s="3" t="s">
        <v>24066</v>
      </c>
      <c r="BG2368" s="3" t="s">
        <v>24068</v>
      </c>
      <c r="BH2368">
        <f t="shared" si="58"/>
        <v>0</v>
      </c>
    </row>
    <row r="2369" spans="1:60" ht="58" x14ac:dyDescent="0.35">
      <c r="A2369" s="2" t="s">
        <v>59</v>
      </c>
      <c r="B2369" s="2" t="s">
        <v>60</v>
      </c>
      <c r="C2369" s="2" t="s">
        <v>24069</v>
      </c>
      <c r="D2369" s="2" t="s">
        <v>24070</v>
      </c>
      <c r="E2369" s="2" t="s">
        <v>24071</v>
      </c>
      <c r="G2369" s="3" t="s">
        <v>64</v>
      </c>
      <c r="I2369" s="3" t="s">
        <v>64</v>
      </c>
      <c r="J2369" s="3" t="s">
        <v>64</v>
      </c>
      <c r="K2369" s="3" t="s">
        <v>65</v>
      </c>
      <c r="L2369" s="2" t="s">
        <v>18027</v>
      </c>
      <c r="M2369" s="2" t="s">
        <v>18880</v>
      </c>
      <c r="N2369" s="3" t="s">
        <v>159</v>
      </c>
      <c r="P2369" s="3" t="s">
        <v>102</v>
      </c>
      <c r="Q2369" s="2" t="s">
        <v>21484</v>
      </c>
      <c r="R2369" s="3" t="s">
        <v>70</v>
      </c>
      <c r="S2369" s="4">
        <v>22</v>
      </c>
      <c r="T2369" s="4">
        <v>22</v>
      </c>
      <c r="U2369" s="5" t="s">
        <v>15334</v>
      </c>
      <c r="V2369" s="5" t="s">
        <v>15334</v>
      </c>
      <c r="W2369" s="5" t="s">
        <v>72</v>
      </c>
      <c r="X2369" s="5" t="s">
        <v>72</v>
      </c>
      <c r="Y2369" s="4">
        <v>576</v>
      </c>
      <c r="Z2369" s="4">
        <v>27</v>
      </c>
      <c r="AA2369" s="4">
        <v>122</v>
      </c>
      <c r="AB2369" s="4">
        <v>3</v>
      </c>
      <c r="AC2369" s="4">
        <v>19</v>
      </c>
      <c r="AD2369" s="4">
        <v>63</v>
      </c>
      <c r="AE2369" s="4">
        <v>128</v>
      </c>
      <c r="AF2369" s="4">
        <v>0</v>
      </c>
      <c r="AG2369" s="4">
        <v>8</v>
      </c>
      <c r="AH2369" s="4">
        <v>56</v>
      </c>
      <c r="AI2369" s="4">
        <v>87</v>
      </c>
      <c r="AJ2369" s="4">
        <v>9</v>
      </c>
      <c r="AK2369" s="4">
        <v>22</v>
      </c>
      <c r="AL2369" s="4">
        <v>25</v>
      </c>
      <c r="AM2369" s="4">
        <v>42</v>
      </c>
      <c r="AN2369" s="4">
        <v>0</v>
      </c>
      <c r="AO2369" s="4">
        <v>0</v>
      </c>
      <c r="AP2369" s="4">
        <v>10</v>
      </c>
      <c r="AQ2369" s="4">
        <v>47</v>
      </c>
      <c r="AR2369" s="3" t="s">
        <v>64</v>
      </c>
      <c r="AS2369" s="3" t="s">
        <v>64</v>
      </c>
      <c r="AT2369" s="3" t="s">
        <v>64</v>
      </c>
      <c r="AV2369" s="6" t="str">
        <f>HYPERLINK("http://mcgill.on.worldcat.org/oclc/48144453","Catalog Record")</f>
        <v>Catalog Record</v>
      </c>
      <c r="AW2369" s="6" t="str">
        <f>HYPERLINK("http://www.worldcat.org/oclc/48144453","WorldCat Record")</f>
        <v>WorldCat Record</v>
      </c>
      <c r="AX2369" s="3" t="s">
        <v>24072</v>
      </c>
      <c r="AY2369" s="3" t="s">
        <v>24073</v>
      </c>
      <c r="AZ2369" s="3" t="s">
        <v>24074</v>
      </c>
      <c r="BA2369" s="3" t="s">
        <v>24074</v>
      </c>
      <c r="BB2369" s="3" t="s">
        <v>24075</v>
      </c>
      <c r="BC2369" s="3" t="s">
        <v>77</v>
      </c>
      <c r="BD2369" s="3" t="s">
        <v>78</v>
      </c>
      <c r="BE2369" s="3" t="s">
        <v>24076</v>
      </c>
      <c r="BF2369" s="3" t="s">
        <v>24075</v>
      </c>
      <c r="BG2369" s="3" t="s">
        <v>24077</v>
      </c>
      <c r="BH2369">
        <f t="shared" si="58"/>
        <v>0</v>
      </c>
    </row>
    <row r="2370" spans="1:60" ht="174" x14ac:dyDescent="0.35">
      <c r="A2370" s="2" t="s">
        <v>59</v>
      </c>
      <c r="B2370" s="2" t="s">
        <v>60</v>
      </c>
      <c r="C2370" s="2" t="s">
        <v>24078</v>
      </c>
      <c r="D2370" s="2" t="s">
        <v>24079</v>
      </c>
      <c r="E2370" s="2" t="s">
        <v>24080</v>
      </c>
      <c r="G2370" s="3" t="s">
        <v>64</v>
      </c>
      <c r="I2370" s="3" t="s">
        <v>64</v>
      </c>
      <c r="J2370" s="3" t="s">
        <v>64</v>
      </c>
      <c r="K2370" s="3" t="s">
        <v>65</v>
      </c>
      <c r="L2370" s="2" t="s">
        <v>24081</v>
      </c>
      <c r="M2370" s="2" t="s">
        <v>21649</v>
      </c>
      <c r="N2370" s="3" t="s">
        <v>1615</v>
      </c>
      <c r="P2370" s="3" t="s">
        <v>102</v>
      </c>
      <c r="Q2370" s="2" t="s">
        <v>24082</v>
      </c>
      <c r="R2370" s="3" t="s">
        <v>70</v>
      </c>
      <c r="S2370" s="4">
        <v>23</v>
      </c>
      <c r="T2370" s="4">
        <v>23</v>
      </c>
      <c r="U2370" s="5" t="s">
        <v>5872</v>
      </c>
      <c r="V2370" s="5" t="s">
        <v>5872</v>
      </c>
      <c r="W2370" s="5" t="s">
        <v>72</v>
      </c>
      <c r="X2370" s="5" t="s">
        <v>72</v>
      </c>
      <c r="Y2370" s="4">
        <v>724</v>
      </c>
      <c r="Z2370" s="4">
        <v>33</v>
      </c>
      <c r="AA2370" s="4">
        <v>41</v>
      </c>
      <c r="AB2370" s="4">
        <v>1</v>
      </c>
      <c r="AC2370" s="4">
        <v>5</v>
      </c>
      <c r="AD2370" s="4">
        <v>112</v>
      </c>
      <c r="AE2370" s="4">
        <v>116</v>
      </c>
      <c r="AF2370" s="4">
        <v>0</v>
      </c>
      <c r="AG2370" s="4">
        <v>3</v>
      </c>
      <c r="AH2370" s="4">
        <v>95</v>
      </c>
      <c r="AI2370" s="4">
        <v>95</v>
      </c>
      <c r="AJ2370" s="4">
        <v>15</v>
      </c>
      <c r="AK2370" s="4">
        <v>17</v>
      </c>
      <c r="AL2370" s="4">
        <v>50</v>
      </c>
      <c r="AM2370" s="4">
        <v>50</v>
      </c>
      <c r="AN2370" s="4">
        <v>0</v>
      </c>
      <c r="AO2370" s="4">
        <v>0</v>
      </c>
      <c r="AP2370" s="4">
        <v>22</v>
      </c>
      <c r="AQ2370" s="4">
        <v>25</v>
      </c>
      <c r="AR2370" s="3" t="s">
        <v>64</v>
      </c>
      <c r="AS2370" s="3" t="s">
        <v>64</v>
      </c>
      <c r="AT2370" s="3" t="s">
        <v>64</v>
      </c>
      <c r="AV2370" s="6" t="str">
        <f>HYPERLINK("http://mcgill.on.worldcat.org/oclc/34876088","Catalog Record")</f>
        <v>Catalog Record</v>
      </c>
      <c r="AW2370" s="6" t="str">
        <f>HYPERLINK("http://www.worldcat.org/oclc/34876088","WorldCat Record")</f>
        <v>WorldCat Record</v>
      </c>
      <c r="AX2370" s="3" t="s">
        <v>24083</v>
      </c>
      <c r="AY2370" s="3" t="s">
        <v>24084</v>
      </c>
      <c r="AZ2370" s="3" t="s">
        <v>24085</v>
      </c>
      <c r="BA2370" s="3" t="s">
        <v>24085</v>
      </c>
      <c r="BB2370" s="3" t="s">
        <v>24086</v>
      </c>
      <c r="BC2370" s="3" t="s">
        <v>77</v>
      </c>
      <c r="BD2370" s="3" t="s">
        <v>78</v>
      </c>
      <c r="BE2370" s="3" t="s">
        <v>24087</v>
      </c>
      <c r="BF2370" s="3" t="s">
        <v>24086</v>
      </c>
      <c r="BG2370" s="3" t="s">
        <v>24088</v>
      </c>
      <c r="BH2370">
        <f t="shared" ref="BH2370:BH2433" si="59">IF(COUNTIF($BF$1:$BF$5431,BF2370)=1,0,1)</f>
        <v>0</v>
      </c>
    </row>
    <row r="2371" spans="1:60" ht="58" x14ac:dyDescent="0.35">
      <c r="A2371" s="2" t="s">
        <v>59</v>
      </c>
      <c r="B2371" s="2" t="s">
        <v>60</v>
      </c>
      <c r="C2371" s="2" t="s">
        <v>24089</v>
      </c>
      <c r="D2371" s="2" t="s">
        <v>24090</v>
      </c>
      <c r="E2371" s="2" t="s">
        <v>24091</v>
      </c>
      <c r="G2371" s="3" t="s">
        <v>64</v>
      </c>
      <c r="I2371" s="3" t="s">
        <v>64</v>
      </c>
      <c r="J2371" s="3" t="s">
        <v>64</v>
      </c>
      <c r="K2371" s="3" t="s">
        <v>65</v>
      </c>
      <c r="L2371" s="2" t="s">
        <v>24092</v>
      </c>
      <c r="M2371" s="2" t="s">
        <v>14033</v>
      </c>
      <c r="N2371" s="3" t="s">
        <v>434</v>
      </c>
      <c r="P2371" s="3" t="s">
        <v>102</v>
      </c>
      <c r="Q2371" s="2" t="s">
        <v>24093</v>
      </c>
      <c r="R2371" s="3" t="s">
        <v>70</v>
      </c>
      <c r="S2371" s="4">
        <v>28</v>
      </c>
      <c r="T2371" s="4">
        <v>28</v>
      </c>
      <c r="U2371" s="5" t="s">
        <v>23792</v>
      </c>
      <c r="V2371" s="5" t="s">
        <v>23792</v>
      </c>
      <c r="W2371" s="5" t="s">
        <v>72</v>
      </c>
      <c r="X2371" s="5" t="s">
        <v>72</v>
      </c>
      <c r="Y2371" s="4">
        <v>548</v>
      </c>
      <c r="Z2371" s="4">
        <v>28</v>
      </c>
      <c r="AA2371" s="4">
        <v>32</v>
      </c>
      <c r="AB2371" s="4">
        <v>1</v>
      </c>
      <c r="AC2371" s="4">
        <v>4</v>
      </c>
      <c r="AD2371" s="4">
        <v>83</v>
      </c>
      <c r="AE2371" s="4">
        <v>86</v>
      </c>
      <c r="AF2371" s="4">
        <v>0</v>
      </c>
      <c r="AG2371" s="4">
        <v>2</v>
      </c>
      <c r="AH2371" s="4">
        <v>73</v>
      </c>
      <c r="AI2371" s="4">
        <v>73</v>
      </c>
      <c r="AJ2371" s="4">
        <v>10</v>
      </c>
      <c r="AK2371" s="4">
        <v>11</v>
      </c>
      <c r="AL2371" s="4">
        <v>41</v>
      </c>
      <c r="AM2371" s="4">
        <v>41</v>
      </c>
      <c r="AN2371" s="4">
        <v>0</v>
      </c>
      <c r="AO2371" s="4">
        <v>0</v>
      </c>
      <c r="AP2371" s="4">
        <v>16</v>
      </c>
      <c r="AQ2371" s="4">
        <v>18</v>
      </c>
      <c r="AR2371" s="3" t="s">
        <v>64</v>
      </c>
      <c r="AS2371" s="3" t="s">
        <v>64</v>
      </c>
      <c r="AT2371" s="3" t="s">
        <v>64</v>
      </c>
      <c r="AV2371" s="6" t="str">
        <f>HYPERLINK("http://mcgill.on.worldcat.org/oclc/58423181","Catalog Record")</f>
        <v>Catalog Record</v>
      </c>
      <c r="AW2371" s="6" t="str">
        <f>HYPERLINK("http://www.worldcat.org/oclc/58423181","WorldCat Record")</f>
        <v>WorldCat Record</v>
      </c>
      <c r="AX2371" s="3" t="s">
        <v>24094</v>
      </c>
      <c r="AY2371" s="3" t="s">
        <v>24095</v>
      </c>
      <c r="AZ2371" s="3" t="s">
        <v>24096</v>
      </c>
      <c r="BA2371" s="3" t="s">
        <v>24096</v>
      </c>
      <c r="BB2371" s="3" t="s">
        <v>24097</v>
      </c>
      <c r="BC2371" s="3" t="s">
        <v>77</v>
      </c>
      <c r="BD2371" s="3" t="s">
        <v>78</v>
      </c>
      <c r="BE2371" s="3" t="s">
        <v>24098</v>
      </c>
      <c r="BF2371" s="3" t="s">
        <v>24097</v>
      </c>
      <c r="BG2371" s="3" t="s">
        <v>24099</v>
      </c>
      <c r="BH2371">
        <f t="shared" si="59"/>
        <v>0</v>
      </c>
    </row>
    <row r="2372" spans="1:60" ht="58" x14ac:dyDescent="0.35">
      <c r="A2372" s="2" t="s">
        <v>59</v>
      </c>
      <c r="B2372" s="2" t="s">
        <v>60</v>
      </c>
      <c r="C2372" s="2" t="s">
        <v>24100</v>
      </c>
      <c r="D2372" s="2" t="s">
        <v>24101</v>
      </c>
      <c r="E2372" s="2" t="s">
        <v>24102</v>
      </c>
      <c r="G2372" s="3" t="s">
        <v>64</v>
      </c>
      <c r="I2372" s="3" t="s">
        <v>64</v>
      </c>
      <c r="J2372" s="3" t="s">
        <v>64</v>
      </c>
      <c r="K2372" s="3" t="s">
        <v>65</v>
      </c>
      <c r="L2372" s="2" t="s">
        <v>24092</v>
      </c>
      <c r="M2372" s="2" t="s">
        <v>14751</v>
      </c>
      <c r="N2372" s="3" t="s">
        <v>291</v>
      </c>
      <c r="P2372" s="3" t="s">
        <v>102</v>
      </c>
      <c r="Q2372" s="2" t="s">
        <v>24103</v>
      </c>
      <c r="R2372" s="3" t="s">
        <v>70</v>
      </c>
      <c r="S2372" s="4">
        <v>17</v>
      </c>
      <c r="T2372" s="4">
        <v>17</v>
      </c>
      <c r="U2372" s="5" t="s">
        <v>24104</v>
      </c>
      <c r="V2372" s="5" t="s">
        <v>24104</v>
      </c>
      <c r="W2372" s="5" t="s">
        <v>72</v>
      </c>
      <c r="X2372" s="5" t="s">
        <v>72</v>
      </c>
      <c r="Y2372" s="4">
        <v>214</v>
      </c>
      <c r="Z2372" s="4">
        <v>18</v>
      </c>
      <c r="AA2372" s="4">
        <v>18</v>
      </c>
      <c r="AB2372" s="4">
        <v>3</v>
      </c>
      <c r="AC2372" s="4">
        <v>3</v>
      </c>
      <c r="AD2372" s="4">
        <v>45</v>
      </c>
      <c r="AE2372" s="4">
        <v>45</v>
      </c>
      <c r="AF2372" s="4">
        <v>1</v>
      </c>
      <c r="AG2372" s="4">
        <v>1</v>
      </c>
      <c r="AH2372" s="4">
        <v>41</v>
      </c>
      <c r="AI2372" s="4">
        <v>41</v>
      </c>
      <c r="AJ2372" s="4">
        <v>7</v>
      </c>
      <c r="AK2372" s="4">
        <v>7</v>
      </c>
      <c r="AL2372" s="4">
        <v>24</v>
      </c>
      <c r="AM2372" s="4">
        <v>24</v>
      </c>
      <c r="AN2372" s="4">
        <v>0</v>
      </c>
      <c r="AO2372" s="4">
        <v>0</v>
      </c>
      <c r="AP2372" s="4">
        <v>8</v>
      </c>
      <c r="AQ2372" s="4">
        <v>8</v>
      </c>
      <c r="AR2372" s="3" t="s">
        <v>64</v>
      </c>
      <c r="AS2372" s="3" t="s">
        <v>64</v>
      </c>
      <c r="AT2372" s="3" t="s">
        <v>64</v>
      </c>
      <c r="AV2372" s="6" t="str">
        <f>HYPERLINK("http://mcgill.on.worldcat.org/oclc/80181180","Catalog Record")</f>
        <v>Catalog Record</v>
      </c>
      <c r="AW2372" s="6" t="str">
        <f>HYPERLINK("http://www.worldcat.org/oclc/80181180","WorldCat Record")</f>
        <v>WorldCat Record</v>
      </c>
      <c r="AX2372" s="3" t="s">
        <v>24105</v>
      </c>
      <c r="AY2372" s="3" t="s">
        <v>24106</v>
      </c>
      <c r="AZ2372" s="3" t="s">
        <v>24107</v>
      </c>
      <c r="BA2372" s="3" t="s">
        <v>24107</v>
      </c>
      <c r="BB2372" s="3" t="s">
        <v>24108</v>
      </c>
      <c r="BC2372" s="3" t="s">
        <v>77</v>
      </c>
      <c r="BD2372" s="3" t="s">
        <v>78</v>
      </c>
      <c r="BE2372" s="3" t="s">
        <v>24109</v>
      </c>
      <c r="BF2372" s="3" t="s">
        <v>24108</v>
      </c>
      <c r="BG2372" s="3" t="s">
        <v>24110</v>
      </c>
      <c r="BH2372">
        <f t="shared" si="59"/>
        <v>0</v>
      </c>
    </row>
    <row r="2373" spans="1:60" ht="58" x14ac:dyDescent="0.35">
      <c r="A2373" s="2" t="s">
        <v>59</v>
      </c>
      <c r="B2373" s="2" t="s">
        <v>60</v>
      </c>
      <c r="C2373" s="2" t="s">
        <v>24111</v>
      </c>
      <c r="D2373" s="2" t="s">
        <v>24112</v>
      </c>
      <c r="E2373" s="2" t="s">
        <v>24113</v>
      </c>
      <c r="G2373" s="3" t="s">
        <v>64</v>
      </c>
      <c r="I2373" s="3" t="s">
        <v>64</v>
      </c>
      <c r="J2373" s="3" t="s">
        <v>64</v>
      </c>
      <c r="K2373" s="3" t="s">
        <v>65</v>
      </c>
      <c r="M2373" s="2" t="s">
        <v>24114</v>
      </c>
      <c r="N2373" s="3" t="s">
        <v>253</v>
      </c>
      <c r="P2373" s="3" t="s">
        <v>102</v>
      </c>
      <c r="R2373" s="3" t="s">
        <v>70</v>
      </c>
      <c r="S2373" s="4">
        <v>1</v>
      </c>
      <c r="T2373" s="4">
        <v>1</v>
      </c>
      <c r="U2373" s="5" t="s">
        <v>24104</v>
      </c>
      <c r="V2373" s="5" t="s">
        <v>24104</v>
      </c>
      <c r="W2373" s="5" t="s">
        <v>72</v>
      </c>
      <c r="X2373" s="5" t="s">
        <v>72</v>
      </c>
      <c r="Y2373" s="4">
        <v>38</v>
      </c>
      <c r="Z2373" s="4">
        <v>4</v>
      </c>
      <c r="AA2373" s="4">
        <v>5</v>
      </c>
      <c r="AB2373" s="4">
        <v>1</v>
      </c>
      <c r="AC2373" s="4">
        <v>2</v>
      </c>
      <c r="AD2373" s="4">
        <v>8</v>
      </c>
      <c r="AE2373" s="4">
        <v>9</v>
      </c>
      <c r="AF2373" s="4">
        <v>0</v>
      </c>
      <c r="AG2373" s="4">
        <v>0</v>
      </c>
      <c r="AH2373" s="4">
        <v>8</v>
      </c>
      <c r="AI2373" s="4">
        <v>9</v>
      </c>
      <c r="AJ2373" s="4">
        <v>2</v>
      </c>
      <c r="AK2373" s="4">
        <v>2</v>
      </c>
      <c r="AL2373" s="4">
        <v>4</v>
      </c>
      <c r="AM2373" s="4">
        <v>4</v>
      </c>
      <c r="AN2373" s="4">
        <v>0</v>
      </c>
      <c r="AO2373" s="4">
        <v>0</v>
      </c>
      <c r="AP2373" s="4">
        <v>2</v>
      </c>
      <c r="AQ2373" s="4">
        <v>2</v>
      </c>
      <c r="AR2373" s="3" t="s">
        <v>64</v>
      </c>
      <c r="AS2373" s="3" t="s">
        <v>64</v>
      </c>
      <c r="AT2373" s="3" t="s">
        <v>64</v>
      </c>
      <c r="AV2373" s="6" t="str">
        <f>HYPERLINK("http://mcgill.on.worldcat.org/oclc/921868450","Catalog Record")</f>
        <v>Catalog Record</v>
      </c>
      <c r="AW2373" s="6" t="str">
        <f>HYPERLINK("http://www.worldcat.org/oclc/921868450","WorldCat Record")</f>
        <v>WorldCat Record</v>
      </c>
      <c r="AX2373" s="3" t="s">
        <v>24115</v>
      </c>
      <c r="AY2373" s="3" t="s">
        <v>24116</v>
      </c>
      <c r="AZ2373" s="3" t="s">
        <v>24117</v>
      </c>
      <c r="BA2373" s="3" t="s">
        <v>24117</v>
      </c>
      <c r="BB2373" s="3" t="s">
        <v>24118</v>
      </c>
      <c r="BC2373" s="3" t="s">
        <v>77</v>
      </c>
      <c r="BD2373" s="3" t="s">
        <v>78</v>
      </c>
      <c r="BE2373" s="3" t="s">
        <v>24119</v>
      </c>
      <c r="BF2373" s="3" t="s">
        <v>24118</v>
      </c>
      <c r="BG2373" s="3" t="s">
        <v>24120</v>
      </c>
      <c r="BH2373">
        <f t="shared" si="59"/>
        <v>0</v>
      </c>
    </row>
    <row r="2374" spans="1:60" ht="58" x14ac:dyDescent="0.35">
      <c r="A2374" s="2" t="s">
        <v>59</v>
      </c>
      <c r="B2374" s="2" t="s">
        <v>60</v>
      </c>
      <c r="C2374" s="2" t="s">
        <v>24121</v>
      </c>
      <c r="D2374" s="2" t="s">
        <v>24122</v>
      </c>
      <c r="E2374" s="2" t="s">
        <v>24123</v>
      </c>
      <c r="G2374" s="3" t="s">
        <v>64</v>
      </c>
      <c r="I2374" s="3" t="s">
        <v>64</v>
      </c>
      <c r="J2374" s="3" t="s">
        <v>64</v>
      </c>
      <c r="K2374" s="3" t="s">
        <v>65</v>
      </c>
      <c r="L2374" s="2" t="s">
        <v>24124</v>
      </c>
      <c r="M2374" s="2" t="s">
        <v>24125</v>
      </c>
      <c r="N2374" s="3" t="s">
        <v>153</v>
      </c>
      <c r="P2374" s="3" t="s">
        <v>102</v>
      </c>
      <c r="Q2374" s="2" t="s">
        <v>24126</v>
      </c>
      <c r="R2374" s="3" t="s">
        <v>70</v>
      </c>
      <c r="S2374" s="4">
        <v>4</v>
      </c>
      <c r="T2374" s="4">
        <v>4</v>
      </c>
      <c r="U2374" s="5" t="s">
        <v>24104</v>
      </c>
      <c r="V2374" s="5" t="s">
        <v>24104</v>
      </c>
      <c r="W2374" s="5" t="s">
        <v>72</v>
      </c>
      <c r="X2374" s="5" t="s">
        <v>72</v>
      </c>
      <c r="Y2374" s="4">
        <v>240</v>
      </c>
      <c r="Z2374" s="4">
        <v>15</v>
      </c>
      <c r="AA2374" s="4">
        <v>15</v>
      </c>
      <c r="AB2374" s="4">
        <v>1</v>
      </c>
      <c r="AC2374" s="4">
        <v>1</v>
      </c>
      <c r="AD2374" s="4">
        <v>85</v>
      </c>
      <c r="AE2374" s="4">
        <v>88</v>
      </c>
      <c r="AF2374" s="4">
        <v>0</v>
      </c>
      <c r="AG2374" s="4">
        <v>0</v>
      </c>
      <c r="AH2374" s="4">
        <v>75</v>
      </c>
      <c r="AI2374" s="4">
        <v>78</v>
      </c>
      <c r="AJ2374" s="4">
        <v>13</v>
      </c>
      <c r="AK2374" s="4">
        <v>13</v>
      </c>
      <c r="AL2374" s="4">
        <v>40</v>
      </c>
      <c r="AM2374" s="4">
        <v>40</v>
      </c>
      <c r="AN2374" s="4">
        <v>0</v>
      </c>
      <c r="AO2374" s="4">
        <v>0</v>
      </c>
      <c r="AP2374" s="4">
        <v>12</v>
      </c>
      <c r="AQ2374" s="4">
        <v>12</v>
      </c>
      <c r="AR2374" s="3" t="s">
        <v>64</v>
      </c>
      <c r="AS2374" s="3" t="s">
        <v>128</v>
      </c>
      <c r="AT2374" s="3" t="s">
        <v>64</v>
      </c>
      <c r="AU2374" s="6" t="str">
        <f>HYPERLINK("http://catalog.hathitrust.org/Record/003330702","HathiTrust Record")</f>
        <v>HathiTrust Record</v>
      </c>
      <c r="AV2374" s="6" t="str">
        <f>HYPERLINK("http://mcgill.on.worldcat.org/oclc/40263273","Catalog Record")</f>
        <v>Catalog Record</v>
      </c>
      <c r="AW2374" s="6" t="str">
        <f>HYPERLINK("http://www.worldcat.org/oclc/40263273","WorldCat Record")</f>
        <v>WorldCat Record</v>
      </c>
      <c r="AX2374" s="3" t="s">
        <v>24127</v>
      </c>
      <c r="AY2374" s="3" t="s">
        <v>24128</v>
      </c>
      <c r="AZ2374" s="3" t="s">
        <v>24129</v>
      </c>
      <c r="BA2374" s="3" t="s">
        <v>24129</v>
      </c>
      <c r="BB2374" s="3" t="s">
        <v>24130</v>
      </c>
      <c r="BC2374" s="3" t="s">
        <v>77</v>
      </c>
      <c r="BD2374" s="3" t="s">
        <v>78</v>
      </c>
      <c r="BF2374" s="3" t="s">
        <v>24130</v>
      </c>
      <c r="BG2374" s="3" t="s">
        <v>24131</v>
      </c>
      <c r="BH2374">
        <f t="shared" si="59"/>
        <v>0</v>
      </c>
    </row>
    <row r="2375" spans="1:60" ht="58" x14ac:dyDescent="0.35">
      <c r="A2375" s="2" t="s">
        <v>59</v>
      </c>
      <c r="B2375" s="2" t="s">
        <v>60</v>
      </c>
      <c r="C2375" s="2" t="s">
        <v>24132</v>
      </c>
      <c r="D2375" s="2" t="s">
        <v>24133</v>
      </c>
      <c r="E2375" s="2" t="s">
        <v>24134</v>
      </c>
      <c r="G2375" s="3" t="s">
        <v>64</v>
      </c>
      <c r="I2375" s="3" t="s">
        <v>64</v>
      </c>
      <c r="J2375" s="3" t="s">
        <v>64</v>
      </c>
      <c r="K2375" s="3" t="s">
        <v>65</v>
      </c>
      <c r="M2375" s="2" t="s">
        <v>21266</v>
      </c>
      <c r="N2375" s="3" t="s">
        <v>253</v>
      </c>
      <c r="P2375" s="3" t="s">
        <v>102</v>
      </c>
      <c r="R2375" s="3" t="s">
        <v>70</v>
      </c>
      <c r="S2375" s="4">
        <v>1</v>
      </c>
      <c r="T2375" s="4">
        <v>1</v>
      </c>
      <c r="U2375" s="5" t="s">
        <v>24104</v>
      </c>
      <c r="V2375" s="5" t="s">
        <v>24104</v>
      </c>
      <c r="W2375" s="5" t="s">
        <v>72</v>
      </c>
      <c r="X2375" s="5" t="s">
        <v>72</v>
      </c>
      <c r="Y2375" s="4">
        <v>50</v>
      </c>
      <c r="Z2375" s="4">
        <v>4</v>
      </c>
      <c r="AA2375" s="4">
        <v>68</v>
      </c>
      <c r="AB2375" s="4">
        <v>1</v>
      </c>
      <c r="AC2375" s="4">
        <v>14</v>
      </c>
      <c r="AD2375" s="4">
        <v>16</v>
      </c>
      <c r="AE2375" s="4">
        <v>80</v>
      </c>
      <c r="AF2375" s="4">
        <v>0</v>
      </c>
      <c r="AG2375" s="4">
        <v>8</v>
      </c>
      <c r="AH2375" s="4">
        <v>16</v>
      </c>
      <c r="AI2375" s="4">
        <v>51</v>
      </c>
      <c r="AJ2375" s="4">
        <v>2</v>
      </c>
      <c r="AK2375" s="4">
        <v>16</v>
      </c>
      <c r="AL2375" s="4">
        <v>10</v>
      </c>
      <c r="AM2375" s="4">
        <v>25</v>
      </c>
      <c r="AN2375" s="4">
        <v>0</v>
      </c>
      <c r="AO2375" s="4">
        <v>0</v>
      </c>
      <c r="AP2375" s="4">
        <v>2</v>
      </c>
      <c r="AQ2375" s="4">
        <v>35</v>
      </c>
      <c r="AR2375" s="3" t="s">
        <v>64</v>
      </c>
      <c r="AS2375" s="3" t="s">
        <v>64</v>
      </c>
      <c r="AT2375" s="3" t="s">
        <v>64</v>
      </c>
      <c r="AV2375" s="6" t="str">
        <f>HYPERLINK("http://mcgill.on.worldcat.org/oclc/917359926","Catalog Record")</f>
        <v>Catalog Record</v>
      </c>
      <c r="AW2375" s="6" t="str">
        <f>HYPERLINK("http://www.worldcat.org/oclc/917359926","WorldCat Record")</f>
        <v>WorldCat Record</v>
      </c>
      <c r="AX2375" s="3" t="s">
        <v>24135</v>
      </c>
      <c r="AY2375" s="3" t="s">
        <v>24136</v>
      </c>
      <c r="AZ2375" s="3" t="s">
        <v>24137</v>
      </c>
      <c r="BA2375" s="3" t="s">
        <v>24137</v>
      </c>
      <c r="BB2375" s="3" t="s">
        <v>24138</v>
      </c>
      <c r="BC2375" s="3" t="s">
        <v>77</v>
      </c>
      <c r="BD2375" s="3" t="s">
        <v>78</v>
      </c>
      <c r="BE2375" s="3" t="s">
        <v>24139</v>
      </c>
      <c r="BF2375" s="3" t="s">
        <v>24138</v>
      </c>
      <c r="BG2375" s="3" t="s">
        <v>24140</v>
      </c>
      <c r="BH2375">
        <f t="shared" si="59"/>
        <v>0</v>
      </c>
    </row>
    <row r="2376" spans="1:60" ht="58" x14ac:dyDescent="0.35">
      <c r="A2376" s="2" t="s">
        <v>59</v>
      </c>
      <c r="B2376" s="2" t="s">
        <v>60</v>
      </c>
      <c r="C2376" s="2" t="s">
        <v>24141</v>
      </c>
      <c r="D2376" s="2" t="s">
        <v>24142</v>
      </c>
      <c r="E2376" s="2" t="s">
        <v>24143</v>
      </c>
      <c r="G2376" s="3" t="s">
        <v>64</v>
      </c>
      <c r="I2376" s="3" t="s">
        <v>64</v>
      </c>
      <c r="J2376" s="3" t="s">
        <v>64</v>
      </c>
      <c r="K2376" s="3" t="s">
        <v>65</v>
      </c>
      <c r="L2376" s="2" t="s">
        <v>24144</v>
      </c>
      <c r="M2376" s="2" t="s">
        <v>24145</v>
      </c>
      <c r="N2376" s="3" t="s">
        <v>326</v>
      </c>
      <c r="P2376" s="3" t="s">
        <v>102</v>
      </c>
      <c r="Q2376" s="2" t="s">
        <v>24146</v>
      </c>
      <c r="R2376" s="3" t="s">
        <v>70</v>
      </c>
      <c r="S2376" s="4">
        <v>2</v>
      </c>
      <c r="T2376" s="4">
        <v>2</v>
      </c>
      <c r="U2376" s="5" t="s">
        <v>24104</v>
      </c>
      <c r="V2376" s="5" t="s">
        <v>24104</v>
      </c>
      <c r="W2376" s="5" t="s">
        <v>72</v>
      </c>
      <c r="X2376" s="5" t="s">
        <v>72</v>
      </c>
      <c r="Y2376" s="4">
        <v>218</v>
      </c>
      <c r="Z2376" s="4">
        <v>17</v>
      </c>
      <c r="AA2376" s="4">
        <v>20</v>
      </c>
      <c r="AB2376" s="4">
        <v>1</v>
      </c>
      <c r="AC2376" s="4">
        <v>3</v>
      </c>
      <c r="AD2376" s="4">
        <v>88</v>
      </c>
      <c r="AE2376" s="4">
        <v>96</v>
      </c>
      <c r="AF2376" s="4">
        <v>0</v>
      </c>
      <c r="AG2376" s="4">
        <v>1</v>
      </c>
      <c r="AH2376" s="4">
        <v>81</v>
      </c>
      <c r="AI2376" s="4">
        <v>87</v>
      </c>
      <c r="AJ2376" s="4">
        <v>11</v>
      </c>
      <c r="AK2376" s="4">
        <v>13</v>
      </c>
      <c r="AL2376" s="4">
        <v>40</v>
      </c>
      <c r="AM2376" s="4">
        <v>45</v>
      </c>
      <c r="AN2376" s="4">
        <v>0</v>
      </c>
      <c r="AO2376" s="4">
        <v>0</v>
      </c>
      <c r="AP2376" s="4">
        <v>15</v>
      </c>
      <c r="AQ2376" s="4">
        <v>16</v>
      </c>
      <c r="AR2376" s="3" t="s">
        <v>64</v>
      </c>
      <c r="AS2376" s="3" t="s">
        <v>64</v>
      </c>
      <c r="AT2376" s="3" t="s">
        <v>64</v>
      </c>
      <c r="AV2376" s="6" t="str">
        <f>HYPERLINK("http://mcgill.on.worldcat.org/oclc/753990470","Catalog Record")</f>
        <v>Catalog Record</v>
      </c>
      <c r="AW2376" s="6" t="str">
        <f>HYPERLINK("http://www.worldcat.org/oclc/753990470","WorldCat Record")</f>
        <v>WorldCat Record</v>
      </c>
      <c r="AX2376" s="3" t="s">
        <v>24147</v>
      </c>
      <c r="AY2376" s="3" t="s">
        <v>24148</v>
      </c>
      <c r="AZ2376" s="3" t="s">
        <v>24149</v>
      </c>
      <c r="BA2376" s="3" t="s">
        <v>24149</v>
      </c>
      <c r="BB2376" s="3" t="s">
        <v>24150</v>
      </c>
      <c r="BC2376" s="3" t="s">
        <v>77</v>
      </c>
      <c r="BD2376" s="3" t="s">
        <v>78</v>
      </c>
      <c r="BE2376" s="3" t="s">
        <v>24151</v>
      </c>
      <c r="BF2376" s="3" t="s">
        <v>24150</v>
      </c>
      <c r="BG2376" s="3" t="s">
        <v>24152</v>
      </c>
      <c r="BH2376">
        <f t="shared" si="59"/>
        <v>0</v>
      </c>
    </row>
    <row r="2377" spans="1:60" ht="58" x14ac:dyDescent="0.35">
      <c r="A2377" s="2" t="s">
        <v>59</v>
      </c>
      <c r="B2377" s="2" t="s">
        <v>60</v>
      </c>
      <c r="C2377" s="2" t="s">
        <v>24153</v>
      </c>
      <c r="D2377" s="2" t="s">
        <v>24154</v>
      </c>
      <c r="E2377" s="2" t="s">
        <v>24155</v>
      </c>
      <c r="G2377" s="3" t="s">
        <v>64</v>
      </c>
      <c r="I2377" s="3" t="s">
        <v>64</v>
      </c>
      <c r="J2377" s="3" t="s">
        <v>64</v>
      </c>
      <c r="K2377" s="3" t="s">
        <v>65</v>
      </c>
      <c r="L2377" s="2" t="s">
        <v>24156</v>
      </c>
      <c r="M2377" s="2" t="s">
        <v>20846</v>
      </c>
      <c r="N2377" s="3" t="s">
        <v>326</v>
      </c>
      <c r="P2377" s="3" t="s">
        <v>102</v>
      </c>
      <c r="R2377" s="3" t="s">
        <v>70</v>
      </c>
      <c r="S2377" s="4">
        <v>5</v>
      </c>
      <c r="T2377" s="4">
        <v>5</v>
      </c>
      <c r="U2377" s="5" t="s">
        <v>7614</v>
      </c>
      <c r="V2377" s="5" t="s">
        <v>7614</v>
      </c>
      <c r="W2377" s="5" t="s">
        <v>72</v>
      </c>
      <c r="X2377" s="5" t="s">
        <v>72</v>
      </c>
      <c r="Y2377" s="4">
        <v>220</v>
      </c>
      <c r="Z2377" s="4">
        <v>9</v>
      </c>
      <c r="AA2377" s="4">
        <v>79</v>
      </c>
      <c r="AB2377" s="4">
        <v>1</v>
      </c>
      <c r="AC2377" s="4">
        <v>14</v>
      </c>
      <c r="AD2377" s="4">
        <v>43</v>
      </c>
      <c r="AE2377" s="4">
        <v>104</v>
      </c>
      <c r="AF2377" s="4">
        <v>0</v>
      </c>
      <c r="AG2377" s="4">
        <v>8</v>
      </c>
      <c r="AH2377" s="4">
        <v>39</v>
      </c>
      <c r="AI2377" s="4">
        <v>73</v>
      </c>
      <c r="AJ2377" s="4">
        <v>6</v>
      </c>
      <c r="AK2377" s="4">
        <v>21</v>
      </c>
      <c r="AL2377" s="4">
        <v>26</v>
      </c>
      <c r="AM2377" s="4">
        <v>39</v>
      </c>
      <c r="AN2377" s="4">
        <v>0</v>
      </c>
      <c r="AO2377" s="4">
        <v>0</v>
      </c>
      <c r="AP2377" s="4">
        <v>6</v>
      </c>
      <c r="AQ2377" s="4">
        <v>37</v>
      </c>
      <c r="AR2377" s="3" t="s">
        <v>64</v>
      </c>
      <c r="AS2377" s="3" t="s">
        <v>64</v>
      </c>
      <c r="AT2377" s="3" t="s">
        <v>64</v>
      </c>
      <c r="AV2377" s="6" t="str">
        <f>HYPERLINK("http://mcgill.on.worldcat.org/oclc/707962693","Catalog Record")</f>
        <v>Catalog Record</v>
      </c>
      <c r="AW2377" s="6" t="str">
        <f>HYPERLINK("http://www.worldcat.org/oclc/707962693","WorldCat Record")</f>
        <v>WorldCat Record</v>
      </c>
      <c r="AX2377" s="3" t="s">
        <v>24157</v>
      </c>
      <c r="AY2377" s="3" t="s">
        <v>24158</v>
      </c>
      <c r="AZ2377" s="3" t="s">
        <v>24159</v>
      </c>
      <c r="BA2377" s="3" t="s">
        <v>24159</v>
      </c>
      <c r="BB2377" s="3" t="s">
        <v>24160</v>
      </c>
      <c r="BC2377" s="3" t="s">
        <v>77</v>
      </c>
      <c r="BD2377" s="3" t="s">
        <v>78</v>
      </c>
      <c r="BE2377" s="3" t="s">
        <v>24161</v>
      </c>
      <c r="BF2377" s="3" t="s">
        <v>24160</v>
      </c>
      <c r="BG2377" s="3" t="s">
        <v>24162</v>
      </c>
      <c r="BH2377">
        <f t="shared" si="59"/>
        <v>0</v>
      </c>
    </row>
    <row r="2378" spans="1:60" ht="58" x14ac:dyDescent="0.35">
      <c r="A2378" s="2" t="s">
        <v>59</v>
      </c>
      <c r="B2378" s="2" t="s">
        <v>60</v>
      </c>
      <c r="C2378" s="2" t="s">
        <v>24163</v>
      </c>
      <c r="D2378" s="2" t="s">
        <v>24164</v>
      </c>
      <c r="E2378" s="2" t="s">
        <v>24165</v>
      </c>
      <c r="G2378" s="3" t="s">
        <v>64</v>
      </c>
      <c r="I2378" s="3" t="s">
        <v>64</v>
      </c>
      <c r="J2378" s="3" t="s">
        <v>64</v>
      </c>
      <c r="K2378" s="3" t="s">
        <v>65</v>
      </c>
      <c r="L2378" s="2" t="s">
        <v>7746</v>
      </c>
      <c r="M2378" s="2" t="s">
        <v>24166</v>
      </c>
      <c r="N2378" s="3" t="s">
        <v>979</v>
      </c>
      <c r="P2378" s="3" t="s">
        <v>102</v>
      </c>
      <c r="Q2378" s="2" t="s">
        <v>24167</v>
      </c>
      <c r="R2378" s="3" t="s">
        <v>70</v>
      </c>
      <c r="S2378" s="4">
        <v>7</v>
      </c>
      <c r="T2378" s="4">
        <v>7</v>
      </c>
      <c r="U2378" s="5" t="s">
        <v>24168</v>
      </c>
      <c r="V2378" s="5" t="s">
        <v>24168</v>
      </c>
      <c r="W2378" s="5" t="s">
        <v>72</v>
      </c>
      <c r="X2378" s="5" t="s">
        <v>72</v>
      </c>
      <c r="Y2378" s="4">
        <v>265</v>
      </c>
      <c r="Z2378" s="4">
        <v>18</v>
      </c>
      <c r="AA2378" s="4">
        <v>24</v>
      </c>
      <c r="AB2378" s="4">
        <v>4</v>
      </c>
      <c r="AC2378" s="4">
        <v>6</v>
      </c>
      <c r="AD2378" s="4">
        <v>85</v>
      </c>
      <c r="AE2378" s="4">
        <v>90</v>
      </c>
      <c r="AF2378" s="4">
        <v>1</v>
      </c>
      <c r="AG2378" s="4">
        <v>3</v>
      </c>
      <c r="AH2378" s="4">
        <v>77</v>
      </c>
      <c r="AI2378" s="4">
        <v>80</v>
      </c>
      <c r="AJ2378" s="4">
        <v>10</v>
      </c>
      <c r="AK2378" s="4">
        <v>14</v>
      </c>
      <c r="AL2378" s="4">
        <v>44</v>
      </c>
      <c r="AM2378" s="4">
        <v>44</v>
      </c>
      <c r="AN2378" s="4">
        <v>0</v>
      </c>
      <c r="AO2378" s="4">
        <v>0</v>
      </c>
      <c r="AP2378" s="4">
        <v>12</v>
      </c>
      <c r="AQ2378" s="4">
        <v>16</v>
      </c>
      <c r="AR2378" s="3" t="s">
        <v>64</v>
      </c>
      <c r="AS2378" s="3" t="s">
        <v>64</v>
      </c>
      <c r="AT2378" s="3" t="s">
        <v>64</v>
      </c>
      <c r="AV2378" s="6" t="str">
        <f>HYPERLINK("http://mcgill.on.worldcat.org/oclc/48219070","Catalog Record")</f>
        <v>Catalog Record</v>
      </c>
      <c r="AW2378" s="6" t="str">
        <f>HYPERLINK("http://www.worldcat.org/oclc/48219070","WorldCat Record")</f>
        <v>WorldCat Record</v>
      </c>
      <c r="AX2378" s="3" t="s">
        <v>24169</v>
      </c>
      <c r="AY2378" s="3" t="s">
        <v>24170</v>
      </c>
      <c r="AZ2378" s="3" t="s">
        <v>24171</v>
      </c>
      <c r="BA2378" s="3" t="s">
        <v>24171</v>
      </c>
      <c r="BB2378" s="3" t="s">
        <v>24172</v>
      </c>
      <c r="BC2378" s="3" t="s">
        <v>77</v>
      </c>
      <c r="BD2378" s="3" t="s">
        <v>78</v>
      </c>
      <c r="BF2378" s="3" t="s">
        <v>24172</v>
      </c>
      <c r="BG2378" s="3" t="s">
        <v>24173</v>
      </c>
      <c r="BH2378">
        <f t="shared" si="59"/>
        <v>0</v>
      </c>
    </row>
    <row r="2379" spans="1:60" ht="58" x14ac:dyDescent="0.35">
      <c r="A2379" s="2" t="s">
        <v>59</v>
      </c>
      <c r="B2379" s="2" t="s">
        <v>60</v>
      </c>
      <c r="C2379" s="2" t="s">
        <v>24174</v>
      </c>
      <c r="D2379" s="2" t="s">
        <v>24175</v>
      </c>
      <c r="E2379" s="2" t="s">
        <v>24176</v>
      </c>
      <c r="G2379" s="3" t="s">
        <v>64</v>
      </c>
      <c r="I2379" s="3" t="s">
        <v>64</v>
      </c>
      <c r="J2379" s="3" t="s">
        <v>64</v>
      </c>
      <c r="K2379" s="3" t="s">
        <v>65</v>
      </c>
      <c r="M2379" s="2" t="s">
        <v>19423</v>
      </c>
      <c r="N2379" s="3" t="s">
        <v>1075</v>
      </c>
      <c r="P2379" s="3" t="s">
        <v>102</v>
      </c>
      <c r="R2379" s="3" t="s">
        <v>70</v>
      </c>
      <c r="S2379" s="4">
        <v>0</v>
      </c>
      <c r="T2379" s="4">
        <v>0</v>
      </c>
      <c r="W2379" s="5" t="s">
        <v>72</v>
      </c>
      <c r="X2379" s="5" t="s">
        <v>72</v>
      </c>
      <c r="Y2379" s="4">
        <v>40</v>
      </c>
      <c r="Z2379" s="4">
        <v>4</v>
      </c>
      <c r="AA2379" s="4">
        <v>5</v>
      </c>
      <c r="AB2379" s="4">
        <v>1</v>
      </c>
      <c r="AC2379" s="4">
        <v>2</v>
      </c>
      <c r="AD2379" s="4">
        <v>13</v>
      </c>
      <c r="AE2379" s="4">
        <v>13</v>
      </c>
      <c r="AF2379" s="4">
        <v>0</v>
      </c>
      <c r="AG2379" s="4">
        <v>0</v>
      </c>
      <c r="AH2379" s="4">
        <v>12</v>
      </c>
      <c r="AI2379" s="4">
        <v>12</v>
      </c>
      <c r="AJ2379" s="4">
        <v>3</v>
      </c>
      <c r="AK2379" s="4">
        <v>3</v>
      </c>
      <c r="AL2379" s="4">
        <v>3</v>
      </c>
      <c r="AM2379" s="4">
        <v>3</v>
      </c>
      <c r="AN2379" s="4">
        <v>0</v>
      </c>
      <c r="AO2379" s="4">
        <v>0</v>
      </c>
      <c r="AP2379" s="4">
        <v>3</v>
      </c>
      <c r="AQ2379" s="4">
        <v>3</v>
      </c>
      <c r="AR2379" s="3" t="s">
        <v>64</v>
      </c>
      <c r="AS2379" s="3" t="s">
        <v>64</v>
      </c>
      <c r="AT2379" s="3" t="s">
        <v>64</v>
      </c>
      <c r="AV2379" s="6" t="str">
        <f>HYPERLINK("http://mcgill.on.worldcat.org/oclc/843332375","Catalog Record")</f>
        <v>Catalog Record</v>
      </c>
      <c r="AW2379" s="6" t="str">
        <f>HYPERLINK("http://www.worldcat.org/oclc/843332375","WorldCat Record")</f>
        <v>WorldCat Record</v>
      </c>
      <c r="AX2379" s="3" t="s">
        <v>24177</v>
      </c>
      <c r="AY2379" s="3" t="s">
        <v>24178</v>
      </c>
      <c r="AZ2379" s="3" t="s">
        <v>24179</v>
      </c>
      <c r="BA2379" s="3" t="s">
        <v>24179</v>
      </c>
      <c r="BB2379" s="3" t="s">
        <v>24180</v>
      </c>
      <c r="BC2379" s="3" t="s">
        <v>77</v>
      </c>
      <c r="BD2379" s="3" t="s">
        <v>78</v>
      </c>
      <c r="BE2379" s="3" t="s">
        <v>24181</v>
      </c>
      <c r="BF2379" s="3" t="s">
        <v>24180</v>
      </c>
      <c r="BG2379" s="3" t="s">
        <v>24182</v>
      </c>
      <c r="BH2379">
        <f t="shared" si="59"/>
        <v>0</v>
      </c>
    </row>
    <row r="2380" spans="1:60" ht="101.5" x14ac:dyDescent="0.35">
      <c r="A2380" s="2" t="s">
        <v>59</v>
      </c>
      <c r="B2380" s="2" t="s">
        <v>60</v>
      </c>
      <c r="C2380" s="2" t="s">
        <v>24183</v>
      </c>
      <c r="D2380" s="2" t="s">
        <v>24184</v>
      </c>
      <c r="E2380" s="2" t="s">
        <v>24185</v>
      </c>
      <c r="G2380" s="3" t="s">
        <v>64</v>
      </c>
      <c r="I2380" s="3" t="s">
        <v>64</v>
      </c>
      <c r="J2380" s="3" t="s">
        <v>64</v>
      </c>
      <c r="K2380" s="3" t="s">
        <v>65</v>
      </c>
      <c r="M2380" s="2" t="s">
        <v>24186</v>
      </c>
      <c r="N2380" s="3" t="s">
        <v>144</v>
      </c>
      <c r="P2380" s="3" t="s">
        <v>944</v>
      </c>
      <c r="Q2380" s="2" t="s">
        <v>24187</v>
      </c>
      <c r="R2380" s="3" t="s">
        <v>70</v>
      </c>
      <c r="S2380" s="4">
        <v>7</v>
      </c>
      <c r="T2380" s="4">
        <v>7</v>
      </c>
      <c r="U2380" s="5" t="s">
        <v>24188</v>
      </c>
      <c r="V2380" s="5" t="s">
        <v>24188</v>
      </c>
      <c r="W2380" s="5" t="s">
        <v>72</v>
      </c>
      <c r="X2380" s="5" t="s">
        <v>72</v>
      </c>
      <c r="Y2380" s="4">
        <v>68</v>
      </c>
      <c r="Z2380" s="4">
        <v>5</v>
      </c>
      <c r="AA2380" s="4">
        <v>5</v>
      </c>
      <c r="AB2380" s="4">
        <v>1</v>
      </c>
      <c r="AC2380" s="4">
        <v>1</v>
      </c>
      <c r="AD2380" s="4">
        <v>23</v>
      </c>
      <c r="AE2380" s="4">
        <v>24</v>
      </c>
      <c r="AF2380" s="4">
        <v>0</v>
      </c>
      <c r="AG2380" s="4">
        <v>0</v>
      </c>
      <c r="AH2380" s="4">
        <v>22</v>
      </c>
      <c r="AI2380" s="4">
        <v>23</v>
      </c>
      <c r="AJ2380" s="4">
        <v>2</v>
      </c>
      <c r="AK2380" s="4">
        <v>2</v>
      </c>
      <c r="AL2380" s="4">
        <v>21</v>
      </c>
      <c r="AM2380" s="4">
        <v>22</v>
      </c>
      <c r="AN2380" s="4">
        <v>0</v>
      </c>
      <c r="AO2380" s="4">
        <v>0</v>
      </c>
      <c r="AP2380" s="4">
        <v>2</v>
      </c>
      <c r="AQ2380" s="4">
        <v>2</v>
      </c>
      <c r="AR2380" s="3" t="s">
        <v>64</v>
      </c>
      <c r="AS2380" s="3" t="s">
        <v>64</v>
      </c>
      <c r="AT2380" s="3" t="s">
        <v>128</v>
      </c>
      <c r="AU2380" s="6" t="str">
        <f>HYPERLINK("http://catalog.hathitrust.org/Record/005909639","HathiTrust Record")</f>
        <v>HathiTrust Record</v>
      </c>
      <c r="AV2380" s="6" t="str">
        <f>HYPERLINK("http://mcgill.on.worldcat.org/oclc/243545919","Catalog Record")</f>
        <v>Catalog Record</v>
      </c>
      <c r="AW2380" s="6" t="str">
        <f>HYPERLINK("http://www.worldcat.org/oclc/243545919","WorldCat Record")</f>
        <v>WorldCat Record</v>
      </c>
      <c r="AX2380" s="3" t="s">
        <v>24189</v>
      </c>
      <c r="AY2380" s="3" t="s">
        <v>24190</v>
      </c>
      <c r="AZ2380" s="3" t="s">
        <v>24191</v>
      </c>
      <c r="BA2380" s="3" t="s">
        <v>24191</v>
      </c>
      <c r="BB2380" s="3" t="s">
        <v>24192</v>
      </c>
      <c r="BC2380" s="3" t="s">
        <v>77</v>
      </c>
      <c r="BD2380" s="3" t="s">
        <v>78</v>
      </c>
      <c r="BE2380" s="3" t="s">
        <v>24193</v>
      </c>
      <c r="BF2380" s="3" t="s">
        <v>24192</v>
      </c>
      <c r="BG2380" s="3" t="s">
        <v>24194</v>
      </c>
      <c r="BH2380">
        <f t="shared" si="59"/>
        <v>0</v>
      </c>
    </row>
    <row r="2381" spans="1:60" ht="58" x14ac:dyDescent="0.35">
      <c r="A2381" s="2" t="s">
        <v>59</v>
      </c>
      <c r="B2381" s="2" t="s">
        <v>60</v>
      </c>
      <c r="C2381" s="2" t="s">
        <v>24195</v>
      </c>
      <c r="D2381" s="2" t="s">
        <v>24196</v>
      </c>
      <c r="E2381" s="2" t="s">
        <v>24197</v>
      </c>
      <c r="G2381" s="3" t="s">
        <v>64</v>
      </c>
      <c r="I2381" s="3" t="s">
        <v>64</v>
      </c>
      <c r="J2381" s="3" t="s">
        <v>64</v>
      </c>
      <c r="K2381" s="3" t="s">
        <v>65</v>
      </c>
      <c r="M2381" s="2" t="s">
        <v>22513</v>
      </c>
      <c r="N2381" s="3" t="s">
        <v>511</v>
      </c>
      <c r="P2381" s="3" t="s">
        <v>102</v>
      </c>
      <c r="Q2381" s="2" t="s">
        <v>24198</v>
      </c>
      <c r="R2381" s="3" t="s">
        <v>70</v>
      </c>
      <c r="S2381" s="4">
        <v>4</v>
      </c>
      <c r="T2381" s="4">
        <v>4</v>
      </c>
      <c r="U2381" s="5" t="s">
        <v>24199</v>
      </c>
      <c r="V2381" s="5" t="s">
        <v>24199</v>
      </c>
      <c r="W2381" s="5" t="s">
        <v>72</v>
      </c>
      <c r="X2381" s="5" t="s">
        <v>72</v>
      </c>
      <c r="Y2381" s="4">
        <v>250</v>
      </c>
      <c r="Z2381" s="4">
        <v>16</v>
      </c>
      <c r="AA2381" s="4">
        <v>20</v>
      </c>
      <c r="AB2381" s="4">
        <v>1</v>
      </c>
      <c r="AC2381" s="4">
        <v>3</v>
      </c>
      <c r="AD2381" s="4">
        <v>86</v>
      </c>
      <c r="AE2381" s="4">
        <v>96</v>
      </c>
      <c r="AF2381" s="4">
        <v>0</v>
      </c>
      <c r="AG2381" s="4">
        <v>2</v>
      </c>
      <c r="AH2381" s="4">
        <v>80</v>
      </c>
      <c r="AI2381" s="4">
        <v>88</v>
      </c>
      <c r="AJ2381" s="4">
        <v>11</v>
      </c>
      <c r="AK2381" s="4">
        <v>14</v>
      </c>
      <c r="AL2381" s="4">
        <v>39</v>
      </c>
      <c r="AM2381" s="4">
        <v>43</v>
      </c>
      <c r="AN2381" s="4">
        <v>5</v>
      </c>
      <c r="AO2381" s="4">
        <v>5</v>
      </c>
      <c r="AP2381" s="4">
        <v>14</v>
      </c>
      <c r="AQ2381" s="4">
        <v>17</v>
      </c>
      <c r="AR2381" s="3" t="s">
        <v>64</v>
      </c>
      <c r="AS2381" s="3" t="s">
        <v>64</v>
      </c>
      <c r="AT2381" s="3" t="s">
        <v>128</v>
      </c>
      <c r="AU2381" s="6" t="str">
        <f>HYPERLINK("http://catalog.hathitrust.org/Record/008464432","HathiTrust Record")</f>
        <v>HathiTrust Record</v>
      </c>
      <c r="AV2381" s="6" t="str">
        <f>HYPERLINK("http://mcgill.on.worldcat.org/oclc/651642809","Catalog Record")</f>
        <v>Catalog Record</v>
      </c>
      <c r="AW2381" s="6" t="str">
        <f>HYPERLINK("http://www.worldcat.org/oclc/651642809","WorldCat Record")</f>
        <v>WorldCat Record</v>
      </c>
      <c r="AX2381" s="3" t="s">
        <v>24200</v>
      </c>
      <c r="AY2381" s="3" t="s">
        <v>24201</v>
      </c>
      <c r="AZ2381" s="3" t="s">
        <v>24202</v>
      </c>
      <c r="BA2381" s="3" t="s">
        <v>24202</v>
      </c>
      <c r="BB2381" s="3" t="s">
        <v>24203</v>
      </c>
      <c r="BC2381" s="3" t="s">
        <v>77</v>
      </c>
      <c r="BD2381" s="3" t="s">
        <v>78</v>
      </c>
      <c r="BE2381" s="3" t="s">
        <v>24204</v>
      </c>
      <c r="BF2381" s="3" t="s">
        <v>24203</v>
      </c>
      <c r="BG2381" s="3" t="s">
        <v>24205</v>
      </c>
      <c r="BH2381">
        <f t="shared" si="59"/>
        <v>0</v>
      </c>
    </row>
    <row r="2382" spans="1:60" ht="58" x14ac:dyDescent="0.35">
      <c r="A2382" s="2" t="s">
        <v>59</v>
      </c>
      <c r="B2382" s="2" t="s">
        <v>60</v>
      </c>
      <c r="C2382" s="2" t="s">
        <v>24206</v>
      </c>
      <c r="D2382" s="2" t="s">
        <v>24207</v>
      </c>
      <c r="E2382" s="2" t="s">
        <v>24208</v>
      </c>
      <c r="G2382" s="3" t="s">
        <v>64</v>
      </c>
      <c r="I2382" s="3" t="s">
        <v>64</v>
      </c>
      <c r="J2382" s="3" t="s">
        <v>64</v>
      </c>
      <c r="K2382" s="3" t="s">
        <v>65</v>
      </c>
      <c r="L2382" s="2" t="s">
        <v>24209</v>
      </c>
      <c r="M2382" s="2" t="s">
        <v>24210</v>
      </c>
      <c r="N2382" s="3" t="s">
        <v>171</v>
      </c>
      <c r="P2382" s="3" t="s">
        <v>102</v>
      </c>
      <c r="Q2382" s="2" t="s">
        <v>24211</v>
      </c>
      <c r="R2382" s="3" t="s">
        <v>70</v>
      </c>
      <c r="S2382" s="4">
        <v>7</v>
      </c>
      <c r="T2382" s="4">
        <v>7</v>
      </c>
      <c r="U2382" s="5" t="s">
        <v>3621</v>
      </c>
      <c r="V2382" s="5" t="s">
        <v>3621</v>
      </c>
      <c r="W2382" s="5" t="s">
        <v>72</v>
      </c>
      <c r="X2382" s="5" t="s">
        <v>72</v>
      </c>
      <c r="Y2382" s="4">
        <v>259</v>
      </c>
      <c r="Z2382" s="4">
        <v>18</v>
      </c>
      <c r="AA2382" s="4">
        <v>22</v>
      </c>
      <c r="AB2382" s="4">
        <v>1</v>
      </c>
      <c r="AC2382" s="4">
        <v>3</v>
      </c>
      <c r="AD2382" s="4">
        <v>90</v>
      </c>
      <c r="AE2382" s="4">
        <v>100</v>
      </c>
      <c r="AF2382" s="4">
        <v>0</v>
      </c>
      <c r="AG2382" s="4">
        <v>2</v>
      </c>
      <c r="AH2382" s="4">
        <v>82</v>
      </c>
      <c r="AI2382" s="4">
        <v>89</v>
      </c>
      <c r="AJ2382" s="4">
        <v>13</v>
      </c>
      <c r="AK2382" s="4">
        <v>16</v>
      </c>
      <c r="AL2382" s="4">
        <v>39</v>
      </c>
      <c r="AM2382" s="4">
        <v>44</v>
      </c>
      <c r="AN2382" s="4">
        <v>0</v>
      </c>
      <c r="AO2382" s="4">
        <v>0</v>
      </c>
      <c r="AP2382" s="4">
        <v>15</v>
      </c>
      <c r="AQ2382" s="4">
        <v>18</v>
      </c>
      <c r="AR2382" s="3" t="s">
        <v>64</v>
      </c>
      <c r="AS2382" s="3" t="s">
        <v>64</v>
      </c>
      <c r="AT2382" s="3" t="s">
        <v>64</v>
      </c>
      <c r="AV2382" s="6" t="str">
        <f>HYPERLINK("http://mcgill.on.worldcat.org/oclc/77528973","Catalog Record")</f>
        <v>Catalog Record</v>
      </c>
      <c r="AW2382" s="6" t="str">
        <f>HYPERLINK("http://www.worldcat.org/oclc/77528973","WorldCat Record")</f>
        <v>WorldCat Record</v>
      </c>
      <c r="AX2382" s="3" t="s">
        <v>24212</v>
      </c>
      <c r="AY2382" s="3" t="s">
        <v>24213</v>
      </c>
      <c r="AZ2382" s="3" t="s">
        <v>24214</v>
      </c>
      <c r="BA2382" s="3" t="s">
        <v>24214</v>
      </c>
      <c r="BB2382" s="3" t="s">
        <v>24215</v>
      </c>
      <c r="BC2382" s="3" t="s">
        <v>77</v>
      </c>
      <c r="BD2382" s="3" t="s">
        <v>78</v>
      </c>
      <c r="BE2382" s="3" t="s">
        <v>24216</v>
      </c>
      <c r="BF2382" s="3" t="s">
        <v>24215</v>
      </c>
      <c r="BG2382" s="3" t="s">
        <v>24217</v>
      </c>
      <c r="BH2382">
        <f t="shared" si="59"/>
        <v>0</v>
      </c>
    </row>
    <row r="2383" spans="1:60" ht="58" x14ac:dyDescent="0.35">
      <c r="A2383" s="2" t="s">
        <v>59</v>
      </c>
      <c r="B2383" s="2" t="s">
        <v>60</v>
      </c>
      <c r="C2383" s="2" t="s">
        <v>24218</v>
      </c>
      <c r="D2383" s="2" t="s">
        <v>24219</v>
      </c>
      <c r="E2383" s="2" t="s">
        <v>24220</v>
      </c>
      <c r="G2383" s="3" t="s">
        <v>64</v>
      </c>
      <c r="I2383" s="3" t="s">
        <v>64</v>
      </c>
      <c r="J2383" s="3" t="s">
        <v>64</v>
      </c>
      <c r="K2383" s="3" t="s">
        <v>65</v>
      </c>
      <c r="L2383" s="2" t="s">
        <v>24221</v>
      </c>
      <c r="M2383" s="2" t="s">
        <v>24222</v>
      </c>
      <c r="N2383" s="3" t="s">
        <v>551</v>
      </c>
      <c r="P2383" s="3" t="s">
        <v>102</v>
      </c>
      <c r="R2383" s="3" t="s">
        <v>70</v>
      </c>
      <c r="S2383" s="4">
        <v>16</v>
      </c>
      <c r="T2383" s="4">
        <v>16</v>
      </c>
      <c r="U2383" s="5" t="s">
        <v>24223</v>
      </c>
      <c r="V2383" s="5" t="s">
        <v>24223</v>
      </c>
      <c r="W2383" s="5" t="s">
        <v>72</v>
      </c>
      <c r="X2383" s="5" t="s">
        <v>72</v>
      </c>
      <c r="Y2383" s="4">
        <v>367</v>
      </c>
      <c r="Z2383" s="4">
        <v>25</v>
      </c>
      <c r="AA2383" s="4">
        <v>27</v>
      </c>
      <c r="AB2383" s="4">
        <v>2</v>
      </c>
      <c r="AC2383" s="4">
        <v>3</v>
      </c>
      <c r="AD2383" s="4">
        <v>80</v>
      </c>
      <c r="AE2383" s="4">
        <v>81</v>
      </c>
      <c r="AF2383" s="4">
        <v>0</v>
      </c>
      <c r="AG2383" s="4">
        <v>1</v>
      </c>
      <c r="AH2383" s="4">
        <v>71</v>
      </c>
      <c r="AI2383" s="4">
        <v>71</v>
      </c>
      <c r="AJ2383" s="4">
        <v>14</v>
      </c>
      <c r="AK2383" s="4">
        <v>15</v>
      </c>
      <c r="AL2383" s="4">
        <v>39</v>
      </c>
      <c r="AM2383" s="4">
        <v>39</v>
      </c>
      <c r="AN2383" s="4">
        <v>0</v>
      </c>
      <c r="AO2383" s="4">
        <v>0</v>
      </c>
      <c r="AP2383" s="4">
        <v>17</v>
      </c>
      <c r="AQ2383" s="4">
        <v>17</v>
      </c>
      <c r="AR2383" s="3" t="s">
        <v>64</v>
      </c>
      <c r="AS2383" s="3" t="s">
        <v>64</v>
      </c>
      <c r="AT2383" s="3" t="s">
        <v>128</v>
      </c>
      <c r="AU2383" s="6" t="str">
        <f>HYPERLINK("http://catalog.hathitrust.org/Record/006862352","HathiTrust Record")</f>
        <v>HathiTrust Record</v>
      </c>
      <c r="AV2383" s="6" t="str">
        <f>HYPERLINK("http://mcgill.on.worldcat.org/oclc/318420838","Catalog Record")</f>
        <v>Catalog Record</v>
      </c>
      <c r="AW2383" s="6" t="str">
        <f>HYPERLINK("http://www.worldcat.org/oclc/318420838","WorldCat Record")</f>
        <v>WorldCat Record</v>
      </c>
      <c r="AX2383" s="3" t="s">
        <v>24224</v>
      </c>
      <c r="AY2383" s="3" t="s">
        <v>24225</v>
      </c>
      <c r="AZ2383" s="3" t="s">
        <v>24226</v>
      </c>
      <c r="BA2383" s="3" t="s">
        <v>24226</v>
      </c>
      <c r="BB2383" s="3" t="s">
        <v>24227</v>
      </c>
      <c r="BC2383" s="3" t="s">
        <v>77</v>
      </c>
      <c r="BD2383" s="3" t="s">
        <v>78</v>
      </c>
      <c r="BE2383" s="3" t="s">
        <v>24228</v>
      </c>
      <c r="BF2383" s="3" t="s">
        <v>24227</v>
      </c>
      <c r="BG2383" s="3" t="s">
        <v>24229</v>
      </c>
      <c r="BH2383">
        <f t="shared" si="59"/>
        <v>0</v>
      </c>
    </row>
    <row r="2384" spans="1:60" ht="58" x14ac:dyDescent="0.35">
      <c r="A2384" s="2" t="s">
        <v>59</v>
      </c>
      <c r="B2384" s="2" t="s">
        <v>60</v>
      </c>
      <c r="C2384" s="2" t="s">
        <v>24230</v>
      </c>
      <c r="D2384" s="2" t="s">
        <v>24231</v>
      </c>
      <c r="E2384" s="2" t="s">
        <v>24232</v>
      </c>
      <c r="G2384" s="3" t="s">
        <v>64</v>
      </c>
      <c r="I2384" s="3" t="s">
        <v>64</v>
      </c>
      <c r="J2384" s="3" t="s">
        <v>64</v>
      </c>
      <c r="K2384" s="3" t="s">
        <v>65</v>
      </c>
      <c r="M2384" s="2" t="s">
        <v>15732</v>
      </c>
      <c r="N2384" s="3" t="s">
        <v>537</v>
      </c>
      <c r="P2384" s="3" t="s">
        <v>102</v>
      </c>
      <c r="R2384" s="3" t="s">
        <v>70</v>
      </c>
      <c r="S2384" s="4">
        <v>6</v>
      </c>
      <c r="T2384" s="4">
        <v>6</v>
      </c>
      <c r="U2384" s="5" t="s">
        <v>23792</v>
      </c>
      <c r="V2384" s="5" t="s">
        <v>23792</v>
      </c>
      <c r="W2384" s="5" t="s">
        <v>72</v>
      </c>
      <c r="X2384" s="5" t="s">
        <v>72</v>
      </c>
      <c r="Y2384" s="4">
        <v>208</v>
      </c>
      <c r="Z2384" s="4">
        <v>8</v>
      </c>
      <c r="AA2384" s="4">
        <v>74</v>
      </c>
      <c r="AB2384" s="4">
        <v>1</v>
      </c>
      <c r="AC2384" s="4">
        <v>14</v>
      </c>
      <c r="AD2384" s="4">
        <v>51</v>
      </c>
      <c r="AE2384" s="4">
        <v>107</v>
      </c>
      <c r="AF2384" s="4">
        <v>0</v>
      </c>
      <c r="AG2384" s="4">
        <v>8</v>
      </c>
      <c r="AH2384" s="4">
        <v>51</v>
      </c>
      <c r="AI2384" s="4">
        <v>77</v>
      </c>
      <c r="AJ2384" s="4">
        <v>4</v>
      </c>
      <c r="AK2384" s="4">
        <v>17</v>
      </c>
      <c r="AL2384" s="4">
        <v>26</v>
      </c>
      <c r="AM2384" s="4">
        <v>38</v>
      </c>
      <c r="AN2384" s="4">
        <v>0</v>
      </c>
      <c r="AO2384" s="4">
        <v>0</v>
      </c>
      <c r="AP2384" s="4">
        <v>4</v>
      </c>
      <c r="AQ2384" s="4">
        <v>36</v>
      </c>
      <c r="AR2384" s="3" t="s">
        <v>64</v>
      </c>
      <c r="AS2384" s="3" t="s">
        <v>64</v>
      </c>
      <c r="AT2384" s="3" t="s">
        <v>64</v>
      </c>
      <c r="AV2384" s="6" t="str">
        <f>HYPERLINK("http://mcgill.on.worldcat.org/oclc/933446508","Catalog Record")</f>
        <v>Catalog Record</v>
      </c>
      <c r="AW2384" s="6" t="str">
        <f>HYPERLINK("http://www.worldcat.org/oclc/933446508","WorldCat Record")</f>
        <v>WorldCat Record</v>
      </c>
      <c r="AX2384" s="3" t="s">
        <v>24233</v>
      </c>
      <c r="AY2384" s="3" t="s">
        <v>24234</v>
      </c>
      <c r="AZ2384" s="3" t="s">
        <v>24235</v>
      </c>
      <c r="BA2384" s="3" t="s">
        <v>24235</v>
      </c>
      <c r="BB2384" s="3" t="s">
        <v>24236</v>
      </c>
      <c r="BC2384" s="3" t="s">
        <v>77</v>
      </c>
      <c r="BD2384" s="3" t="s">
        <v>78</v>
      </c>
      <c r="BE2384" s="3" t="s">
        <v>24237</v>
      </c>
      <c r="BF2384" s="3" t="s">
        <v>24236</v>
      </c>
      <c r="BG2384" s="3" t="s">
        <v>24238</v>
      </c>
      <c r="BH2384">
        <f t="shared" si="59"/>
        <v>0</v>
      </c>
    </row>
    <row r="2385" spans="1:60" ht="58" x14ac:dyDescent="0.35">
      <c r="A2385" s="2" t="s">
        <v>59</v>
      </c>
      <c r="B2385" s="2" t="s">
        <v>60</v>
      </c>
      <c r="C2385" s="2" t="s">
        <v>24239</v>
      </c>
      <c r="D2385" s="2" t="s">
        <v>24240</v>
      </c>
      <c r="E2385" s="2" t="s">
        <v>24241</v>
      </c>
      <c r="G2385" s="3" t="s">
        <v>64</v>
      </c>
      <c r="I2385" s="3" t="s">
        <v>64</v>
      </c>
      <c r="J2385" s="3" t="s">
        <v>64</v>
      </c>
      <c r="K2385" s="3" t="s">
        <v>65</v>
      </c>
      <c r="L2385" s="2" t="s">
        <v>24242</v>
      </c>
      <c r="M2385" s="2" t="s">
        <v>24243</v>
      </c>
      <c r="N2385" s="3" t="s">
        <v>1938</v>
      </c>
      <c r="P2385" s="3" t="s">
        <v>102</v>
      </c>
      <c r="R2385" s="3" t="s">
        <v>70</v>
      </c>
      <c r="S2385" s="4">
        <v>1</v>
      </c>
      <c r="T2385" s="4">
        <v>1</v>
      </c>
      <c r="U2385" s="5" t="s">
        <v>24104</v>
      </c>
      <c r="V2385" s="5" t="s">
        <v>24104</v>
      </c>
      <c r="W2385" s="5" t="s">
        <v>72</v>
      </c>
      <c r="X2385" s="5" t="s">
        <v>72</v>
      </c>
      <c r="Y2385" s="4">
        <v>287</v>
      </c>
      <c r="Z2385" s="4">
        <v>18</v>
      </c>
      <c r="AA2385" s="4">
        <v>19</v>
      </c>
      <c r="AB2385" s="4">
        <v>2</v>
      </c>
      <c r="AC2385" s="4">
        <v>3</v>
      </c>
      <c r="AD2385" s="4">
        <v>75</v>
      </c>
      <c r="AE2385" s="4">
        <v>76</v>
      </c>
      <c r="AF2385" s="4">
        <v>0</v>
      </c>
      <c r="AG2385" s="4">
        <v>1</v>
      </c>
      <c r="AH2385" s="4">
        <v>68</v>
      </c>
      <c r="AI2385" s="4">
        <v>69</v>
      </c>
      <c r="AJ2385" s="4">
        <v>12</v>
      </c>
      <c r="AK2385" s="4">
        <v>13</v>
      </c>
      <c r="AL2385" s="4">
        <v>35</v>
      </c>
      <c r="AM2385" s="4">
        <v>35</v>
      </c>
      <c r="AN2385" s="4">
        <v>0</v>
      </c>
      <c r="AO2385" s="4">
        <v>0</v>
      </c>
      <c r="AP2385" s="4">
        <v>12</v>
      </c>
      <c r="AQ2385" s="4">
        <v>13</v>
      </c>
      <c r="AR2385" s="3" t="s">
        <v>64</v>
      </c>
      <c r="AS2385" s="3" t="s">
        <v>64</v>
      </c>
      <c r="AT2385" s="3" t="s">
        <v>128</v>
      </c>
      <c r="AU2385" s="6" t="str">
        <f>HYPERLINK("http://catalog.hathitrust.org/Record/002232052","HathiTrust Record")</f>
        <v>HathiTrust Record</v>
      </c>
      <c r="AV2385" s="6" t="str">
        <f>HYPERLINK("http://mcgill.on.worldcat.org/oclc/22118490","Catalog Record")</f>
        <v>Catalog Record</v>
      </c>
      <c r="AW2385" s="6" t="str">
        <f>HYPERLINK("http://www.worldcat.org/oclc/22118490","WorldCat Record")</f>
        <v>WorldCat Record</v>
      </c>
      <c r="AX2385" s="3" t="s">
        <v>24244</v>
      </c>
      <c r="AY2385" s="3" t="s">
        <v>24245</v>
      </c>
      <c r="AZ2385" s="3" t="s">
        <v>24246</v>
      </c>
      <c r="BA2385" s="3" t="s">
        <v>24246</v>
      </c>
      <c r="BB2385" s="3" t="s">
        <v>24247</v>
      </c>
      <c r="BC2385" s="3" t="s">
        <v>77</v>
      </c>
      <c r="BD2385" s="3" t="s">
        <v>78</v>
      </c>
      <c r="BE2385" s="3" t="s">
        <v>24248</v>
      </c>
      <c r="BF2385" s="3" t="s">
        <v>24247</v>
      </c>
      <c r="BG2385" s="3" t="s">
        <v>24249</v>
      </c>
      <c r="BH2385">
        <f t="shared" si="59"/>
        <v>0</v>
      </c>
    </row>
    <row r="2386" spans="1:60" ht="58" x14ac:dyDescent="0.35">
      <c r="A2386" s="2" t="s">
        <v>59</v>
      </c>
      <c r="B2386" s="2" t="s">
        <v>60</v>
      </c>
      <c r="C2386" s="2" t="s">
        <v>24250</v>
      </c>
      <c r="D2386" s="2" t="s">
        <v>24251</v>
      </c>
      <c r="E2386" s="2" t="s">
        <v>24252</v>
      </c>
      <c r="G2386" s="3" t="s">
        <v>64</v>
      </c>
      <c r="I2386" s="3" t="s">
        <v>64</v>
      </c>
      <c r="J2386" s="3" t="s">
        <v>64</v>
      </c>
      <c r="K2386" s="3" t="s">
        <v>65</v>
      </c>
      <c r="L2386" s="2" t="s">
        <v>24253</v>
      </c>
      <c r="M2386" s="2" t="s">
        <v>16911</v>
      </c>
      <c r="N2386" s="3" t="s">
        <v>1075</v>
      </c>
      <c r="P2386" s="3" t="s">
        <v>102</v>
      </c>
      <c r="R2386" s="3" t="s">
        <v>70</v>
      </c>
      <c r="S2386" s="4">
        <v>0</v>
      </c>
      <c r="T2386" s="4">
        <v>0</v>
      </c>
      <c r="W2386" s="5" t="s">
        <v>72</v>
      </c>
      <c r="X2386" s="5" t="s">
        <v>72</v>
      </c>
      <c r="Y2386" s="4">
        <v>174</v>
      </c>
      <c r="Z2386" s="4">
        <v>10</v>
      </c>
      <c r="AA2386" s="4">
        <v>105</v>
      </c>
      <c r="AB2386" s="4">
        <v>1</v>
      </c>
      <c r="AC2386" s="4">
        <v>15</v>
      </c>
      <c r="AD2386" s="4">
        <v>38</v>
      </c>
      <c r="AE2386" s="4">
        <v>114</v>
      </c>
      <c r="AF2386" s="4">
        <v>0</v>
      </c>
      <c r="AG2386" s="4">
        <v>8</v>
      </c>
      <c r="AH2386" s="4">
        <v>37</v>
      </c>
      <c r="AI2386" s="4">
        <v>76</v>
      </c>
      <c r="AJ2386" s="4">
        <v>6</v>
      </c>
      <c r="AK2386" s="4">
        <v>21</v>
      </c>
      <c r="AL2386" s="4">
        <v>14</v>
      </c>
      <c r="AM2386" s="4">
        <v>36</v>
      </c>
      <c r="AN2386" s="4">
        <v>0</v>
      </c>
      <c r="AO2386" s="4">
        <v>0</v>
      </c>
      <c r="AP2386" s="4">
        <v>6</v>
      </c>
      <c r="AQ2386" s="4">
        <v>43</v>
      </c>
      <c r="AR2386" s="3" t="s">
        <v>64</v>
      </c>
      <c r="AS2386" s="3" t="s">
        <v>64</v>
      </c>
      <c r="AT2386" s="3" t="s">
        <v>64</v>
      </c>
      <c r="AV2386" s="6" t="str">
        <f>HYPERLINK("http://mcgill.on.worldcat.org/oclc/794711892","Catalog Record")</f>
        <v>Catalog Record</v>
      </c>
      <c r="AW2386" s="6" t="str">
        <f>HYPERLINK("http://www.worldcat.org/oclc/794711892","WorldCat Record")</f>
        <v>WorldCat Record</v>
      </c>
      <c r="AX2386" s="3" t="s">
        <v>24254</v>
      </c>
      <c r="AY2386" s="3" t="s">
        <v>24255</v>
      </c>
      <c r="AZ2386" s="3" t="s">
        <v>24256</v>
      </c>
      <c r="BA2386" s="3" t="s">
        <v>24256</v>
      </c>
      <c r="BB2386" s="3" t="s">
        <v>24257</v>
      </c>
      <c r="BC2386" s="3" t="s">
        <v>77</v>
      </c>
      <c r="BD2386" s="3" t="s">
        <v>78</v>
      </c>
      <c r="BE2386" s="3" t="s">
        <v>24258</v>
      </c>
      <c r="BF2386" s="3" t="s">
        <v>24257</v>
      </c>
      <c r="BG2386" s="3" t="s">
        <v>24259</v>
      </c>
      <c r="BH2386">
        <f t="shared" si="59"/>
        <v>0</v>
      </c>
    </row>
    <row r="2387" spans="1:60" ht="58" x14ac:dyDescent="0.35">
      <c r="A2387" s="2" t="s">
        <v>59</v>
      </c>
      <c r="B2387" s="2" t="s">
        <v>60</v>
      </c>
      <c r="C2387" s="2" t="s">
        <v>24260</v>
      </c>
      <c r="D2387" s="2" t="s">
        <v>24261</v>
      </c>
      <c r="E2387" s="2" t="s">
        <v>24262</v>
      </c>
      <c r="G2387" s="3" t="s">
        <v>64</v>
      </c>
      <c r="I2387" s="3" t="s">
        <v>64</v>
      </c>
      <c r="J2387" s="3" t="s">
        <v>64</v>
      </c>
      <c r="K2387" s="3" t="s">
        <v>65</v>
      </c>
      <c r="L2387" s="2" t="s">
        <v>24263</v>
      </c>
      <c r="M2387" s="2" t="s">
        <v>24264</v>
      </c>
      <c r="N2387" s="3" t="s">
        <v>326</v>
      </c>
      <c r="P2387" s="3" t="s">
        <v>102</v>
      </c>
      <c r="R2387" s="3" t="s">
        <v>70</v>
      </c>
      <c r="S2387" s="4">
        <v>1</v>
      </c>
      <c r="T2387" s="4">
        <v>1</v>
      </c>
      <c r="U2387" s="5" t="s">
        <v>24265</v>
      </c>
      <c r="V2387" s="5" t="s">
        <v>24265</v>
      </c>
      <c r="W2387" s="5" t="s">
        <v>72</v>
      </c>
      <c r="X2387" s="5" t="s">
        <v>72</v>
      </c>
      <c r="Y2387" s="4">
        <v>117</v>
      </c>
      <c r="Z2387" s="4">
        <v>13</v>
      </c>
      <c r="AA2387" s="4">
        <v>21</v>
      </c>
      <c r="AB2387" s="4">
        <v>2</v>
      </c>
      <c r="AC2387" s="4">
        <v>4</v>
      </c>
      <c r="AD2387" s="4">
        <v>32</v>
      </c>
      <c r="AE2387" s="4">
        <v>39</v>
      </c>
      <c r="AF2387" s="4">
        <v>1</v>
      </c>
      <c r="AG2387" s="4">
        <v>1</v>
      </c>
      <c r="AH2387" s="4">
        <v>30</v>
      </c>
      <c r="AI2387" s="4">
        <v>35</v>
      </c>
      <c r="AJ2387" s="4">
        <v>5</v>
      </c>
      <c r="AK2387" s="4">
        <v>7</v>
      </c>
      <c r="AL2387" s="4">
        <v>17</v>
      </c>
      <c r="AM2387" s="4">
        <v>19</v>
      </c>
      <c r="AN2387" s="4">
        <v>0</v>
      </c>
      <c r="AO2387" s="4">
        <v>0</v>
      </c>
      <c r="AP2387" s="4">
        <v>6</v>
      </c>
      <c r="AQ2387" s="4">
        <v>9</v>
      </c>
      <c r="AR2387" s="3" t="s">
        <v>64</v>
      </c>
      <c r="AS2387" s="3" t="s">
        <v>64</v>
      </c>
      <c r="AT2387" s="3" t="s">
        <v>64</v>
      </c>
      <c r="AV2387" s="6" t="str">
        <f>HYPERLINK("http://mcgill.on.worldcat.org/oclc/606787460","Catalog Record")</f>
        <v>Catalog Record</v>
      </c>
      <c r="AW2387" s="6" t="str">
        <f>HYPERLINK("http://www.worldcat.org/oclc/606787460","WorldCat Record")</f>
        <v>WorldCat Record</v>
      </c>
      <c r="AX2387" s="3" t="s">
        <v>24266</v>
      </c>
      <c r="AY2387" s="3" t="s">
        <v>24267</v>
      </c>
      <c r="AZ2387" s="3" t="s">
        <v>24268</v>
      </c>
      <c r="BA2387" s="3" t="s">
        <v>24268</v>
      </c>
      <c r="BB2387" s="3" t="s">
        <v>24269</v>
      </c>
      <c r="BC2387" s="3" t="s">
        <v>77</v>
      </c>
      <c r="BD2387" s="3" t="s">
        <v>78</v>
      </c>
      <c r="BE2387" s="3" t="s">
        <v>24270</v>
      </c>
      <c r="BF2387" s="3" t="s">
        <v>24269</v>
      </c>
      <c r="BG2387" s="3" t="s">
        <v>24271</v>
      </c>
      <c r="BH2387">
        <f t="shared" si="59"/>
        <v>0</v>
      </c>
    </row>
    <row r="2388" spans="1:60" ht="58" x14ac:dyDescent="0.35">
      <c r="A2388" s="2" t="s">
        <v>59</v>
      </c>
      <c r="B2388" s="2" t="s">
        <v>60</v>
      </c>
      <c r="C2388" s="2" t="s">
        <v>24272</v>
      </c>
      <c r="D2388" s="2" t="s">
        <v>24273</v>
      </c>
      <c r="E2388" s="2" t="s">
        <v>24274</v>
      </c>
      <c r="G2388" s="3" t="s">
        <v>64</v>
      </c>
      <c r="I2388" s="3" t="s">
        <v>64</v>
      </c>
      <c r="J2388" s="3" t="s">
        <v>64</v>
      </c>
      <c r="K2388" s="3" t="s">
        <v>65</v>
      </c>
      <c r="L2388" s="2" t="s">
        <v>24275</v>
      </c>
      <c r="M2388" s="2" t="s">
        <v>24276</v>
      </c>
      <c r="N2388" s="3" t="s">
        <v>1938</v>
      </c>
      <c r="P2388" s="3" t="s">
        <v>102</v>
      </c>
      <c r="R2388" s="3" t="s">
        <v>70</v>
      </c>
      <c r="S2388" s="4">
        <v>13</v>
      </c>
      <c r="T2388" s="4">
        <v>13</v>
      </c>
      <c r="U2388" s="5" t="s">
        <v>24265</v>
      </c>
      <c r="V2388" s="5" t="s">
        <v>24265</v>
      </c>
      <c r="W2388" s="5" t="s">
        <v>72</v>
      </c>
      <c r="X2388" s="5" t="s">
        <v>72</v>
      </c>
      <c r="Y2388" s="4">
        <v>162</v>
      </c>
      <c r="Z2388" s="4">
        <v>7</v>
      </c>
      <c r="AA2388" s="4">
        <v>8</v>
      </c>
      <c r="AB2388" s="4">
        <v>1</v>
      </c>
      <c r="AC2388" s="4">
        <v>2</v>
      </c>
      <c r="AD2388" s="4">
        <v>51</v>
      </c>
      <c r="AE2388" s="4">
        <v>52</v>
      </c>
      <c r="AF2388" s="4">
        <v>0</v>
      </c>
      <c r="AG2388" s="4">
        <v>1</v>
      </c>
      <c r="AH2388" s="4">
        <v>50</v>
      </c>
      <c r="AI2388" s="4">
        <v>50</v>
      </c>
      <c r="AJ2388" s="4">
        <v>4</v>
      </c>
      <c r="AK2388" s="4">
        <v>5</v>
      </c>
      <c r="AL2388" s="4">
        <v>28</v>
      </c>
      <c r="AM2388" s="4">
        <v>28</v>
      </c>
      <c r="AN2388" s="4">
        <v>0</v>
      </c>
      <c r="AO2388" s="4">
        <v>0</v>
      </c>
      <c r="AP2388" s="4">
        <v>3</v>
      </c>
      <c r="AQ2388" s="4">
        <v>3</v>
      </c>
      <c r="AR2388" s="3" t="s">
        <v>64</v>
      </c>
      <c r="AS2388" s="3" t="s">
        <v>64</v>
      </c>
      <c r="AT2388" s="3" t="s">
        <v>128</v>
      </c>
      <c r="AU2388" s="6" t="str">
        <f>HYPERLINK("http://catalog.hathitrust.org/Record/002430439","HathiTrust Record")</f>
        <v>HathiTrust Record</v>
      </c>
      <c r="AV2388" s="6" t="str">
        <f>HYPERLINK("http://mcgill.on.worldcat.org/oclc/22381990","Catalog Record")</f>
        <v>Catalog Record</v>
      </c>
      <c r="AW2388" s="6" t="str">
        <f>HYPERLINK("http://www.worldcat.org/oclc/22381990","WorldCat Record")</f>
        <v>WorldCat Record</v>
      </c>
      <c r="AX2388" s="3" t="s">
        <v>24277</v>
      </c>
      <c r="AY2388" s="3" t="s">
        <v>24278</v>
      </c>
      <c r="AZ2388" s="3" t="s">
        <v>24279</v>
      </c>
      <c r="BA2388" s="3" t="s">
        <v>24279</v>
      </c>
      <c r="BB2388" s="3" t="s">
        <v>24280</v>
      </c>
      <c r="BC2388" s="3" t="s">
        <v>77</v>
      </c>
      <c r="BD2388" s="3" t="s">
        <v>78</v>
      </c>
      <c r="BE2388" s="3" t="s">
        <v>24281</v>
      </c>
      <c r="BF2388" s="3" t="s">
        <v>24280</v>
      </c>
      <c r="BG2388" s="3" t="s">
        <v>24282</v>
      </c>
      <c r="BH2388">
        <f t="shared" si="59"/>
        <v>0</v>
      </c>
    </row>
    <row r="2389" spans="1:60" ht="58" x14ac:dyDescent="0.35">
      <c r="A2389" s="2" t="s">
        <v>59</v>
      </c>
      <c r="B2389" s="2" t="s">
        <v>60</v>
      </c>
      <c r="C2389" s="2" t="s">
        <v>24284</v>
      </c>
      <c r="D2389" s="2" t="s">
        <v>24285</v>
      </c>
      <c r="E2389" s="2" t="s">
        <v>24286</v>
      </c>
      <c r="G2389" s="3" t="s">
        <v>64</v>
      </c>
      <c r="I2389" s="3" t="s">
        <v>64</v>
      </c>
      <c r="J2389" s="3" t="s">
        <v>64</v>
      </c>
      <c r="K2389" s="3" t="s">
        <v>65</v>
      </c>
      <c r="L2389" s="2" t="s">
        <v>17701</v>
      </c>
      <c r="M2389" s="2" t="s">
        <v>19623</v>
      </c>
      <c r="N2389" s="3" t="s">
        <v>291</v>
      </c>
      <c r="P2389" s="3" t="s">
        <v>102</v>
      </c>
      <c r="R2389" s="3" t="s">
        <v>70</v>
      </c>
      <c r="S2389" s="4">
        <v>9</v>
      </c>
      <c r="T2389" s="4">
        <v>9</v>
      </c>
      <c r="U2389" s="5" t="s">
        <v>9731</v>
      </c>
      <c r="V2389" s="5" t="s">
        <v>9731</v>
      </c>
      <c r="W2389" s="5" t="s">
        <v>72</v>
      </c>
      <c r="X2389" s="5" t="s">
        <v>72</v>
      </c>
      <c r="Y2389" s="4">
        <v>309</v>
      </c>
      <c r="Z2389" s="4">
        <v>19</v>
      </c>
      <c r="AA2389" s="4">
        <v>106</v>
      </c>
      <c r="AB2389" s="4">
        <v>1</v>
      </c>
      <c r="AC2389" s="4">
        <v>18</v>
      </c>
      <c r="AD2389" s="4">
        <v>71</v>
      </c>
      <c r="AE2389" s="4">
        <v>128</v>
      </c>
      <c r="AF2389" s="4">
        <v>0</v>
      </c>
      <c r="AG2389" s="4">
        <v>8</v>
      </c>
      <c r="AH2389" s="4">
        <v>69</v>
      </c>
      <c r="AI2389" s="4">
        <v>93</v>
      </c>
      <c r="AJ2389" s="4">
        <v>11</v>
      </c>
      <c r="AK2389" s="4">
        <v>24</v>
      </c>
      <c r="AL2389" s="4">
        <v>35</v>
      </c>
      <c r="AM2389" s="4">
        <v>46</v>
      </c>
      <c r="AN2389" s="4">
        <v>0</v>
      </c>
      <c r="AO2389" s="4">
        <v>0</v>
      </c>
      <c r="AP2389" s="4">
        <v>12</v>
      </c>
      <c r="AQ2389" s="4">
        <v>45</v>
      </c>
      <c r="AR2389" s="3" t="s">
        <v>64</v>
      </c>
      <c r="AS2389" s="3" t="s">
        <v>64</v>
      </c>
      <c r="AT2389" s="3" t="s">
        <v>64</v>
      </c>
      <c r="AV2389" s="6" t="str">
        <f>HYPERLINK("http://mcgill.on.worldcat.org/oclc/123539656","Catalog Record")</f>
        <v>Catalog Record</v>
      </c>
      <c r="AW2389" s="6" t="str">
        <f>HYPERLINK("http://www.worldcat.org/oclc/123539656","WorldCat Record")</f>
        <v>WorldCat Record</v>
      </c>
      <c r="AX2389" s="3" t="s">
        <v>24287</v>
      </c>
      <c r="AY2389" s="3" t="s">
        <v>24288</v>
      </c>
      <c r="AZ2389" s="3" t="s">
        <v>24289</v>
      </c>
      <c r="BA2389" s="3" t="s">
        <v>24289</v>
      </c>
      <c r="BB2389" s="3" t="s">
        <v>24290</v>
      </c>
      <c r="BC2389" s="3" t="s">
        <v>77</v>
      </c>
      <c r="BD2389" s="3" t="s">
        <v>78</v>
      </c>
      <c r="BE2389" s="3" t="s">
        <v>24291</v>
      </c>
      <c r="BF2389" s="3" t="s">
        <v>24290</v>
      </c>
      <c r="BG2389" s="3" t="s">
        <v>24292</v>
      </c>
      <c r="BH2389">
        <f t="shared" si="59"/>
        <v>0</v>
      </c>
    </row>
    <row r="2390" spans="1:60" ht="58" x14ac:dyDescent="0.35">
      <c r="A2390" s="2" t="s">
        <v>59</v>
      </c>
      <c r="B2390" s="2" t="s">
        <v>60</v>
      </c>
      <c r="C2390" s="2" t="s">
        <v>24293</v>
      </c>
      <c r="D2390" s="2" t="s">
        <v>24294</v>
      </c>
      <c r="E2390" s="2" t="s">
        <v>24295</v>
      </c>
      <c r="G2390" s="3" t="s">
        <v>64</v>
      </c>
      <c r="I2390" s="3" t="s">
        <v>128</v>
      </c>
      <c r="J2390" s="3" t="s">
        <v>64</v>
      </c>
      <c r="K2390" s="3" t="s">
        <v>65</v>
      </c>
      <c r="M2390" s="2" t="s">
        <v>24296</v>
      </c>
      <c r="N2390" s="3" t="s">
        <v>326</v>
      </c>
      <c r="P2390" s="3" t="s">
        <v>102</v>
      </c>
      <c r="R2390" s="3" t="s">
        <v>70</v>
      </c>
      <c r="S2390" s="4">
        <v>3</v>
      </c>
      <c r="T2390" s="4">
        <v>5</v>
      </c>
      <c r="U2390" s="5" t="s">
        <v>17269</v>
      </c>
      <c r="V2390" s="5" t="s">
        <v>17269</v>
      </c>
      <c r="W2390" s="5" t="s">
        <v>72</v>
      </c>
      <c r="X2390" s="5" t="s">
        <v>72</v>
      </c>
      <c r="Y2390" s="4">
        <v>134</v>
      </c>
      <c r="Z2390" s="4">
        <v>16</v>
      </c>
      <c r="AA2390" s="4">
        <v>49</v>
      </c>
      <c r="AB2390" s="4">
        <v>1</v>
      </c>
      <c r="AC2390" s="4">
        <v>9</v>
      </c>
      <c r="AD2390" s="4">
        <v>41</v>
      </c>
      <c r="AE2390" s="4">
        <v>64</v>
      </c>
      <c r="AF2390" s="4">
        <v>0</v>
      </c>
      <c r="AG2390" s="4">
        <v>2</v>
      </c>
      <c r="AH2390" s="4">
        <v>38</v>
      </c>
      <c r="AI2390" s="4">
        <v>51</v>
      </c>
      <c r="AJ2390" s="4">
        <v>9</v>
      </c>
      <c r="AK2390" s="4">
        <v>15</v>
      </c>
      <c r="AL2390" s="4">
        <v>18</v>
      </c>
      <c r="AM2390" s="4">
        <v>24</v>
      </c>
      <c r="AN2390" s="4">
        <v>0</v>
      </c>
      <c r="AO2390" s="4">
        <v>0</v>
      </c>
      <c r="AP2390" s="4">
        <v>9</v>
      </c>
      <c r="AQ2390" s="4">
        <v>19</v>
      </c>
      <c r="AR2390" s="3" t="s">
        <v>64</v>
      </c>
      <c r="AS2390" s="3" t="s">
        <v>64</v>
      </c>
      <c r="AT2390" s="3" t="s">
        <v>64</v>
      </c>
      <c r="AV2390" s="6" t="str">
        <f>HYPERLINK("http://mcgill.on.worldcat.org/oclc/726695780","Catalog Record")</f>
        <v>Catalog Record</v>
      </c>
      <c r="AW2390" s="6" t="str">
        <f>HYPERLINK("http://www.worldcat.org/oclc/726695780","WorldCat Record")</f>
        <v>WorldCat Record</v>
      </c>
      <c r="AX2390" s="3" t="s">
        <v>24297</v>
      </c>
      <c r="AY2390" s="3" t="s">
        <v>24298</v>
      </c>
      <c r="AZ2390" s="3" t="s">
        <v>24299</v>
      </c>
      <c r="BA2390" s="3" t="s">
        <v>24299</v>
      </c>
      <c r="BB2390" s="3" t="s">
        <v>24300</v>
      </c>
      <c r="BC2390" s="3" t="s">
        <v>77</v>
      </c>
      <c r="BD2390" s="3" t="s">
        <v>78</v>
      </c>
      <c r="BE2390" s="3" t="s">
        <v>24301</v>
      </c>
      <c r="BF2390" s="3" t="s">
        <v>24300</v>
      </c>
      <c r="BG2390" s="3" t="s">
        <v>24302</v>
      </c>
      <c r="BH2390">
        <f t="shared" si="59"/>
        <v>0</v>
      </c>
    </row>
    <row r="2391" spans="1:60" ht="58" x14ac:dyDescent="0.35">
      <c r="A2391" s="2" t="s">
        <v>59</v>
      </c>
      <c r="B2391" s="2" t="s">
        <v>60</v>
      </c>
      <c r="C2391" s="2" t="s">
        <v>24293</v>
      </c>
      <c r="D2391" s="2" t="s">
        <v>24294</v>
      </c>
      <c r="E2391" s="2" t="s">
        <v>24295</v>
      </c>
      <c r="G2391" s="3" t="s">
        <v>64</v>
      </c>
      <c r="I2391" s="3" t="s">
        <v>128</v>
      </c>
      <c r="J2391" s="3" t="s">
        <v>64</v>
      </c>
      <c r="K2391" s="3" t="s">
        <v>65</v>
      </c>
      <c r="M2391" s="2" t="s">
        <v>24296</v>
      </c>
      <c r="N2391" s="3" t="s">
        <v>326</v>
      </c>
      <c r="P2391" s="3" t="s">
        <v>102</v>
      </c>
      <c r="R2391" s="3" t="s">
        <v>70</v>
      </c>
      <c r="S2391" s="4">
        <v>2</v>
      </c>
      <c r="T2391" s="4">
        <v>5</v>
      </c>
      <c r="U2391" s="5" t="s">
        <v>24303</v>
      </c>
      <c r="V2391" s="5" t="s">
        <v>17269</v>
      </c>
      <c r="W2391" s="5" t="s">
        <v>72</v>
      </c>
      <c r="X2391" s="5" t="s">
        <v>72</v>
      </c>
      <c r="Y2391" s="4">
        <v>134</v>
      </c>
      <c r="Z2391" s="4">
        <v>16</v>
      </c>
      <c r="AA2391" s="4">
        <v>49</v>
      </c>
      <c r="AB2391" s="4">
        <v>1</v>
      </c>
      <c r="AC2391" s="4">
        <v>9</v>
      </c>
      <c r="AD2391" s="4">
        <v>41</v>
      </c>
      <c r="AE2391" s="4">
        <v>64</v>
      </c>
      <c r="AF2391" s="4">
        <v>0</v>
      </c>
      <c r="AG2391" s="4">
        <v>2</v>
      </c>
      <c r="AH2391" s="4">
        <v>38</v>
      </c>
      <c r="AI2391" s="4">
        <v>51</v>
      </c>
      <c r="AJ2391" s="4">
        <v>9</v>
      </c>
      <c r="AK2391" s="4">
        <v>15</v>
      </c>
      <c r="AL2391" s="4">
        <v>18</v>
      </c>
      <c r="AM2391" s="4">
        <v>24</v>
      </c>
      <c r="AN2391" s="4">
        <v>0</v>
      </c>
      <c r="AO2391" s="4">
        <v>0</v>
      </c>
      <c r="AP2391" s="4">
        <v>9</v>
      </c>
      <c r="AQ2391" s="4">
        <v>19</v>
      </c>
      <c r="AR2391" s="3" t="s">
        <v>64</v>
      </c>
      <c r="AS2391" s="3" t="s">
        <v>64</v>
      </c>
      <c r="AT2391" s="3" t="s">
        <v>64</v>
      </c>
      <c r="AV2391" s="6" t="str">
        <f>HYPERLINK("http://mcgill.on.worldcat.org/oclc/726695780","Catalog Record")</f>
        <v>Catalog Record</v>
      </c>
      <c r="AW2391" s="6" t="str">
        <f>HYPERLINK("http://www.worldcat.org/oclc/726695780","WorldCat Record")</f>
        <v>WorldCat Record</v>
      </c>
      <c r="AX2391" s="3" t="s">
        <v>24297</v>
      </c>
      <c r="AY2391" s="3" t="s">
        <v>24298</v>
      </c>
      <c r="AZ2391" s="3" t="s">
        <v>24299</v>
      </c>
      <c r="BA2391" s="3" t="s">
        <v>24299</v>
      </c>
      <c r="BB2391" s="3" t="s">
        <v>24304</v>
      </c>
      <c r="BC2391" s="3" t="s">
        <v>77</v>
      </c>
      <c r="BD2391" s="3" t="s">
        <v>78</v>
      </c>
      <c r="BE2391" s="3" t="s">
        <v>24301</v>
      </c>
      <c r="BF2391" s="3" t="s">
        <v>24304</v>
      </c>
      <c r="BG2391" s="3" t="s">
        <v>24305</v>
      </c>
      <c r="BH2391">
        <f t="shared" si="59"/>
        <v>0</v>
      </c>
    </row>
    <row r="2392" spans="1:60" ht="58" x14ac:dyDescent="0.35">
      <c r="A2392" s="2" t="s">
        <v>59</v>
      </c>
      <c r="B2392" s="2" t="s">
        <v>60</v>
      </c>
      <c r="C2392" s="2" t="s">
        <v>24306</v>
      </c>
      <c r="D2392" s="2" t="s">
        <v>24307</v>
      </c>
      <c r="E2392" s="2" t="s">
        <v>24308</v>
      </c>
      <c r="G2392" s="3" t="s">
        <v>64</v>
      </c>
      <c r="I2392" s="3" t="s">
        <v>64</v>
      </c>
      <c r="J2392" s="3" t="s">
        <v>64</v>
      </c>
      <c r="K2392" s="3" t="s">
        <v>65</v>
      </c>
      <c r="L2392" s="2" t="s">
        <v>24309</v>
      </c>
      <c r="M2392" s="2" t="s">
        <v>24310</v>
      </c>
      <c r="N2392" s="3" t="s">
        <v>405</v>
      </c>
      <c r="P2392" s="3" t="s">
        <v>102</v>
      </c>
      <c r="R2392" s="3" t="s">
        <v>70</v>
      </c>
      <c r="S2392" s="4">
        <v>1</v>
      </c>
      <c r="T2392" s="4">
        <v>1</v>
      </c>
      <c r="U2392" s="5" t="s">
        <v>24311</v>
      </c>
      <c r="V2392" s="5" t="s">
        <v>24311</v>
      </c>
      <c r="W2392" s="5" t="s">
        <v>72</v>
      </c>
      <c r="X2392" s="5" t="s">
        <v>72</v>
      </c>
      <c r="Y2392" s="4">
        <v>151</v>
      </c>
      <c r="Z2392" s="4">
        <v>45</v>
      </c>
      <c r="AA2392" s="4">
        <v>48</v>
      </c>
      <c r="AB2392" s="4">
        <v>2</v>
      </c>
      <c r="AC2392" s="4">
        <v>4</v>
      </c>
      <c r="AD2392" s="4">
        <v>79</v>
      </c>
      <c r="AE2392" s="4">
        <v>80</v>
      </c>
      <c r="AF2392" s="4">
        <v>1</v>
      </c>
      <c r="AG2392" s="4">
        <v>2</v>
      </c>
      <c r="AH2392" s="4">
        <v>60</v>
      </c>
      <c r="AI2392" s="4">
        <v>60</v>
      </c>
      <c r="AJ2392" s="4">
        <v>18</v>
      </c>
      <c r="AK2392" s="4">
        <v>19</v>
      </c>
      <c r="AL2392" s="4">
        <v>31</v>
      </c>
      <c r="AM2392" s="4">
        <v>31</v>
      </c>
      <c r="AN2392" s="4">
        <v>0</v>
      </c>
      <c r="AO2392" s="4">
        <v>0</v>
      </c>
      <c r="AP2392" s="4">
        <v>28</v>
      </c>
      <c r="AQ2392" s="4">
        <v>28</v>
      </c>
      <c r="AR2392" s="3" t="s">
        <v>128</v>
      </c>
      <c r="AS2392" s="3" t="s">
        <v>64</v>
      </c>
      <c r="AT2392" s="3" t="s">
        <v>128</v>
      </c>
      <c r="AU2392" s="6" t="str">
        <f>HYPERLINK("http://catalog.hathitrust.org/Record/000170939","HathiTrust Record")</f>
        <v>HathiTrust Record</v>
      </c>
      <c r="AV2392" s="6" t="str">
        <f>HYPERLINK("http://mcgill.on.worldcat.org/oclc/2696418","Catalog Record")</f>
        <v>Catalog Record</v>
      </c>
      <c r="AW2392" s="6" t="str">
        <f>HYPERLINK("http://www.worldcat.org/oclc/2696418","WorldCat Record")</f>
        <v>WorldCat Record</v>
      </c>
      <c r="AX2392" s="3" t="s">
        <v>24312</v>
      </c>
      <c r="AY2392" s="3" t="s">
        <v>24313</v>
      </c>
      <c r="AZ2392" s="3" t="s">
        <v>24314</v>
      </c>
      <c r="BA2392" s="3" t="s">
        <v>24314</v>
      </c>
      <c r="BB2392" s="3" t="s">
        <v>24315</v>
      </c>
      <c r="BC2392" s="3" t="s">
        <v>77</v>
      </c>
      <c r="BD2392" s="3" t="s">
        <v>78</v>
      </c>
      <c r="BE2392" s="3" t="s">
        <v>24316</v>
      </c>
      <c r="BF2392" s="3" t="s">
        <v>24315</v>
      </c>
      <c r="BG2392" s="3" t="s">
        <v>24317</v>
      </c>
      <c r="BH2392">
        <f t="shared" si="59"/>
        <v>0</v>
      </c>
    </row>
    <row r="2393" spans="1:60" ht="58" x14ac:dyDescent="0.35">
      <c r="A2393" s="2" t="s">
        <v>59</v>
      </c>
      <c r="B2393" s="2" t="s">
        <v>60</v>
      </c>
      <c r="C2393" s="2" t="s">
        <v>24318</v>
      </c>
      <c r="D2393" s="2" t="s">
        <v>24319</v>
      </c>
      <c r="E2393" s="2" t="s">
        <v>24320</v>
      </c>
      <c r="G2393" s="3" t="s">
        <v>64</v>
      </c>
      <c r="I2393" s="3" t="s">
        <v>64</v>
      </c>
      <c r="J2393" s="3" t="s">
        <v>64</v>
      </c>
      <c r="K2393" s="3" t="s">
        <v>65</v>
      </c>
      <c r="M2393" s="2" t="s">
        <v>15158</v>
      </c>
      <c r="N2393" s="3" t="s">
        <v>144</v>
      </c>
      <c r="P2393" s="3" t="s">
        <v>102</v>
      </c>
      <c r="R2393" s="3" t="s">
        <v>70</v>
      </c>
      <c r="S2393" s="4">
        <v>10</v>
      </c>
      <c r="T2393" s="4">
        <v>10</v>
      </c>
      <c r="U2393" s="5" t="s">
        <v>9731</v>
      </c>
      <c r="V2393" s="5" t="s">
        <v>9731</v>
      </c>
      <c r="W2393" s="5" t="s">
        <v>72</v>
      </c>
      <c r="X2393" s="5" t="s">
        <v>72</v>
      </c>
      <c r="Y2393" s="4">
        <v>628</v>
      </c>
      <c r="Z2393" s="4">
        <v>34</v>
      </c>
      <c r="AA2393" s="4">
        <v>36</v>
      </c>
      <c r="AB2393" s="4">
        <v>3</v>
      </c>
      <c r="AC2393" s="4">
        <v>4</v>
      </c>
      <c r="AD2393" s="4">
        <v>107</v>
      </c>
      <c r="AE2393" s="4">
        <v>109</v>
      </c>
      <c r="AF2393" s="4">
        <v>1</v>
      </c>
      <c r="AG2393" s="4">
        <v>2</v>
      </c>
      <c r="AH2393" s="4">
        <v>93</v>
      </c>
      <c r="AI2393" s="4">
        <v>94</v>
      </c>
      <c r="AJ2393" s="4">
        <v>16</v>
      </c>
      <c r="AK2393" s="4">
        <v>17</v>
      </c>
      <c r="AL2393" s="4">
        <v>47</v>
      </c>
      <c r="AM2393" s="4">
        <v>47</v>
      </c>
      <c r="AN2393" s="4">
        <v>0</v>
      </c>
      <c r="AO2393" s="4">
        <v>0</v>
      </c>
      <c r="AP2393" s="4">
        <v>20</v>
      </c>
      <c r="AQ2393" s="4">
        <v>22</v>
      </c>
      <c r="AR2393" s="3" t="s">
        <v>64</v>
      </c>
      <c r="AS2393" s="3" t="s">
        <v>64</v>
      </c>
      <c r="AT2393" s="3" t="s">
        <v>128</v>
      </c>
      <c r="AU2393" s="6" t="str">
        <f>HYPERLINK("http://catalog.hathitrust.org/Record/005957243","HathiTrust Record")</f>
        <v>HathiTrust Record</v>
      </c>
      <c r="AV2393" s="6" t="str">
        <f>HYPERLINK("http://mcgill.on.worldcat.org/oclc/180880671","Catalog Record")</f>
        <v>Catalog Record</v>
      </c>
      <c r="AW2393" s="6" t="str">
        <f>HYPERLINK("http://www.worldcat.org/oclc/180880671","WorldCat Record")</f>
        <v>WorldCat Record</v>
      </c>
      <c r="AX2393" s="3" t="s">
        <v>24321</v>
      </c>
      <c r="AY2393" s="3" t="s">
        <v>24322</v>
      </c>
      <c r="AZ2393" s="3" t="s">
        <v>24323</v>
      </c>
      <c r="BA2393" s="3" t="s">
        <v>24323</v>
      </c>
      <c r="BB2393" s="3" t="s">
        <v>24324</v>
      </c>
      <c r="BC2393" s="3" t="s">
        <v>77</v>
      </c>
      <c r="BD2393" s="3" t="s">
        <v>78</v>
      </c>
      <c r="BE2393" s="3" t="s">
        <v>24325</v>
      </c>
      <c r="BF2393" s="3" t="s">
        <v>24324</v>
      </c>
      <c r="BG2393" s="3" t="s">
        <v>24326</v>
      </c>
      <c r="BH2393">
        <f t="shared" si="59"/>
        <v>0</v>
      </c>
    </row>
    <row r="2394" spans="1:60" ht="72.5" x14ac:dyDescent="0.35">
      <c r="A2394" s="2" t="s">
        <v>59</v>
      </c>
      <c r="B2394" s="2" t="s">
        <v>60</v>
      </c>
      <c r="C2394" s="2" t="s">
        <v>24327</v>
      </c>
      <c r="D2394" s="2" t="s">
        <v>24328</v>
      </c>
      <c r="E2394" s="2" t="s">
        <v>24329</v>
      </c>
      <c r="G2394" s="3" t="s">
        <v>64</v>
      </c>
      <c r="I2394" s="3" t="s">
        <v>64</v>
      </c>
      <c r="J2394" s="3" t="s">
        <v>64</v>
      </c>
      <c r="K2394" s="3" t="s">
        <v>65</v>
      </c>
      <c r="L2394" s="2" t="s">
        <v>24330</v>
      </c>
      <c r="M2394" s="2" t="s">
        <v>24331</v>
      </c>
      <c r="N2394" s="3" t="s">
        <v>578</v>
      </c>
      <c r="P2394" s="3" t="s">
        <v>102</v>
      </c>
      <c r="Q2394" s="2" t="s">
        <v>24332</v>
      </c>
      <c r="R2394" s="3" t="s">
        <v>70</v>
      </c>
      <c r="S2394" s="4">
        <v>3</v>
      </c>
      <c r="T2394" s="4">
        <v>3</v>
      </c>
      <c r="U2394" s="5" t="s">
        <v>14464</v>
      </c>
      <c r="V2394" s="5" t="s">
        <v>14464</v>
      </c>
      <c r="W2394" s="5" t="s">
        <v>72</v>
      </c>
      <c r="X2394" s="5" t="s">
        <v>72</v>
      </c>
      <c r="Y2394" s="4">
        <v>73</v>
      </c>
      <c r="Z2394" s="4">
        <v>3</v>
      </c>
      <c r="AA2394" s="4">
        <v>3</v>
      </c>
      <c r="AB2394" s="4">
        <v>1</v>
      </c>
      <c r="AC2394" s="4">
        <v>1</v>
      </c>
      <c r="AD2394" s="4">
        <v>24</v>
      </c>
      <c r="AE2394" s="4">
        <v>24</v>
      </c>
      <c r="AF2394" s="4">
        <v>0</v>
      </c>
      <c r="AG2394" s="4">
        <v>0</v>
      </c>
      <c r="AH2394" s="4">
        <v>23</v>
      </c>
      <c r="AI2394" s="4">
        <v>23</v>
      </c>
      <c r="AJ2394" s="4">
        <v>2</v>
      </c>
      <c r="AK2394" s="4">
        <v>2</v>
      </c>
      <c r="AL2394" s="4">
        <v>14</v>
      </c>
      <c r="AM2394" s="4">
        <v>14</v>
      </c>
      <c r="AN2394" s="4">
        <v>0</v>
      </c>
      <c r="AO2394" s="4">
        <v>0</v>
      </c>
      <c r="AP2394" s="4">
        <v>1</v>
      </c>
      <c r="AQ2394" s="4">
        <v>1</v>
      </c>
      <c r="AR2394" s="3" t="s">
        <v>64</v>
      </c>
      <c r="AS2394" s="3" t="s">
        <v>64</v>
      </c>
      <c r="AT2394" s="3" t="s">
        <v>64</v>
      </c>
      <c r="AV2394" s="6" t="str">
        <f>HYPERLINK("http://mcgill.on.worldcat.org/oclc/973481310","Catalog Record")</f>
        <v>Catalog Record</v>
      </c>
      <c r="AW2394" s="6" t="str">
        <f>HYPERLINK("http://www.worldcat.org/oclc/973481310","WorldCat Record")</f>
        <v>WorldCat Record</v>
      </c>
      <c r="AX2394" s="3" t="s">
        <v>24333</v>
      </c>
      <c r="AY2394" s="3" t="s">
        <v>24334</v>
      </c>
      <c r="AZ2394" s="3" t="s">
        <v>24335</v>
      </c>
      <c r="BA2394" s="3" t="s">
        <v>24335</v>
      </c>
      <c r="BB2394" s="3" t="s">
        <v>24336</v>
      </c>
      <c r="BC2394" s="3" t="s">
        <v>77</v>
      </c>
      <c r="BD2394" s="3" t="s">
        <v>78</v>
      </c>
      <c r="BE2394" s="3" t="s">
        <v>24337</v>
      </c>
      <c r="BF2394" s="3" t="s">
        <v>24336</v>
      </c>
      <c r="BG2394" s="3" t="s">
        <v>24338</v>
      </c>
      <c r="BH2394">
        <f t="shared" si="59"/>
        <v>0</v>
      </c>
    </row>
    <row r="2395" spans="1:60" ht="58" x14ac:dyDescent="0.35">
      <c r="A2395" s="2" t="s">
        <v>59</v>
      </c>
      <c r="B2395" s="2" t="s">
        <v>60</v>
      </c>
      <c r="C2395" s="2" t="s">
        <v>24339</v>
      </c>
      <c r="D2395" s="2" t="s">
        <v>24340</v>
      </c>
      <c r="E2395" s="2" t="s">
        <v>24341</v>
      </c>
      <c r="G2395" s="3" t="s">
        <v>64</v>
      </c>
      <c r="I2395" s="3" t="s">
        <v>64</v>
      </c>
      <c r="J2395" s="3" t="s">
        <v>64</v>
      </c>
      <c r="K2395" s="3" t="s">
        <v>65</v>
      </c>
      <c r="L2395" s="2" t="s">
        <v>24342</v>
      </c>
      <c r="M2395" s="2" t="s">
        <v>15640</v>
      </c>
      <c r="N2395" s="3" t="s">
        <v>253</v>
      </c>
      <c r="P2395" s="3" t="s">
        <v>102</v>
      </c>
      <c r="Q2395" s="2" t="s">
        <v>14045</v>
      </c>
      <c r="R2395" s="3" t="s">
        <v>70</v>
      </c>
      <c r="S2395" s="4">
        <v>0</v>
      </c>
      <c r="T2395" s="4">
        <v>0</v>
      </c>
      <c r="W2395" s="5" t="s">
        <v>72</v>
      </c>
      <c r="X2395" s="5" t="s">
        <v>72</v>
      </c>
      <c r="Y2395" s="4">
        <v>229</v>
      </c>
      <c r="Z2395" s="4">
        <v>12</v>
      </c>
      <c r="AA2395" s="4">
        <v>13</v>
      </c>
      <c r="AB2395" s="4">
        <v>1</v>
      </c>
      <c r="AC2395" s="4">
        <v>2</v>
      </c>
      <c r="AD2395" s="4">
        <v>28</v>
      </c>
      <c r="AE2395" s="4">
        <v>28</v>
      </c>
      <c r="AF2395" s="4">
        <v>0</v>
      </c>
      <c r="AG2395" s="4">
        <v>0</v>
      </c>
      <c r="AH2395" s="4">
        <v>28</v>
      </c>
      <c r="AI2395" s="4">
        <v>28</v>
      </c>
      <c r="AJ2395" s="4">
        <v>3</v>
      </c>
      <c r="AK2395" s="4">
        <v>3</v>
      </c>
      <c r="AL2395" s="4">
        <v>11</v>
      </c>
      <c r="AM2395" s="4">
        <v>11</v>
      </c>
      <c r="AN2395" s="4">
        <v>0</v>
      </c>
      <c r="AO2395" s="4">
        <v>0</v>
      </c>
      <c r="AP2395" s="4">
        <v>3</v>
      </c>
      <c r="AQ2395" s="4">
        <v>3</v>
      </c>
      <c r="AR2395" s="3" t="s">
        <v>64</v>
      </c>
      <c r="AS2395" s="3" t="s">
        <v>64</v>
      </c>
      <c r="AT2395" s="3" t="s">
        <v>64</v>
      </c>
      <c r="AV2395" s="6" t="str">
        <f>HYPERLINK("http://mcgill.on.worldcat.org/oclc/909538079","Catalog Record")</f>
        <v>Catalog Record</v>
      </c>
      <c r="AW2395" s="6" t="str">
        <f>HYPERLINK("http://www.worldcat.org/oclc/909538079","WorldCat Record")</f>
        <v>WorldCat Record</v>
      </c>
      <c r="AX2395" s="3" t="s">
        <v>24343</v>
      </c>
      <c r="AY2395" s="3" t="s">
        <v>24344</v>
      </c>
      <c r="AZ2395" s="3" t="s">
        <v>24345</v>
      </c>
      <c r="BA2395" s="3" t="s">
        <v>24345</v>
      </c>
      <c r="BB2395" s="3" t="s">
        <v>24346</v>
      </c>
      <c r="BC2395" s="3" t="s">
        <v>77</v>
      </c>
      <c r="BD2395" s="3" t="s">
        <v>78</v>
      </c>
      <c r="BE2395" s="3" t="s">
        <v>24347</v>
      </c>
      <c r="BF2395" s="3" t="s">
        <v>24346</v>
      </c>
      <c r="BG2395" s="3" t="s">
        <v>24348</v>
      </c>
      <c r="BH2395">
        <f t="shared" si="59"/>
        <v>0</v>
      </c>
    </row>
    <row r="2396" spans="1:60" ht="58" x14ac:dyDescent="0.35">
      <c r="A2396" s="2" t="s">
        <v>59</v>
      </c>
      <c r="B2396" s="2" t="s">
        <v>60</v>
      </c>
      <c r="C2396" s="2" t="s">
        <v>24349</v>
      </c>
      <c r="D2396" s="2" t="s">
        <v>24350</v>
      </c>
      <c r="E2396" s="2" t="s">
        <v>24351</v>
      </c>
      <c r="G2396" s="3" t="s">
        <v>64</v>
      </c>
      <c r="I2396" s="3" t="s">
        <v>64</v>
      </c>
      <c r="J2396" s="3" t="s">
        <v>64</v>
      </c>
      <c r="K2396" s="3" t="s">
        <v>65</v>
      </c>
      <c r="L2396" s="2" t="s">
        <v>24352</v>
      </c>
      <c r="M2396" s="2" t="s">
        <v>18533</v>
      </c>
      <c r="N2396" s="3" t="s">
        <v>578</v>
      </c>
      <c r="P2396" s="3" t="s">
        <v>102</v>
      </c>
      <c r="Q2396" s="2" t="s">
        <v>14045</v>
      </c>
      <c r="R2396" s="3" t="s">
        <v>70</v>
      </c>
      <c r="S2396" s="4">
        <v>1</v>
      </c>
      <c r="T2396" s="4">
        <v>1</v>
      </c>
      <c r="U2396" s="5" t="s">
        <v>7164</v>
      </c>
      <c r="V2396" s="5" t="s">
        <v>7164</v>
      </c>
      <c r="W2396" s="5" t="s">
        <v>72</v>
      </c>
      <c r="X2396" s="5" t="s">
        <v>72</v>
      </c>
      <c r="Y2396" s="4">
        <v>241</v>
      </c>
      <c r="Z2396" s="4">
        <v>6</v>
      </c>
      <c r="AA2396" s="4">
        <v>6</v>
      </c>
      <c r="AB2396" s="4">
        <v>1</v>
      </c>
      <c r="AC2396" s="4">
        <v>1</v>
      </c>
      <c r="AD2396" s="4">
        <v>31</v>
      </c>
      <c r="AE2396" s="4">
        <v>31</v>
      </c>
      <c r="AF2396" s="4">
        <v>0</v>
      </c>
      <c r="AG2396" s="4">
        <v>0</v>
      </c>
      <c r="AH2396" s="4">
        <v>30</v>
      </c>
      <c r="AI2396" s="4">
        <v>30</v>
      </c>
      <c r="AJ2396" s="4">
        <v>3</v>
      </c>
      <c r="AK2396" s="4">
        <v>3</v>
      </c>
      <c r="AL2396" s="4">
        <v>16</v>
      </c>
      <c r="AM2396" s="4">
        <v>16</v>
      </c>
      <c r="AN2396" s="4">
        <v>0</v>
      </c>
      <c r="AO2396" s="4">
        <v>0</v>
      </c>
      <c r="AP2396" s="4">
        <v>3</v>
      </c>
      <c r="AQ2396" s="4">
        <v>3</v>
      </c>
      <c r="AR2396" s="3" t="s">
        <v>64</v>
      </c>
      <c r="AS2396" s="3" t="s">
        <v>64</v>
      </c>
      <c r="AT2396" s="3" t="s">
        <v>64</v>
      </c>
      <c r="AV2396" s="6" t="str">
        <f>HYPERLINK("http://mcgill.on.worldcat.org/oclc/975025260","Catalog Record")</f>
        <v>Catalog Record</v>
      </c>
      <c r="AW2396" s="6" t="str">
        <f>HYPERLINK("http://www.worldcat.org/oclc/975025260","WorldCat Record")</f>
        <v>WorldCat Record</v>
      </c>
      <c r="AX2396" s="3" t="s">
        <v>24353</v>
      </c>
      <c r="AY2396" s="3" t="s">
        <v>24354</v>
      </c>
      <c r="AZ2396" s="3" t="s">
        <v>24355</v>
      </c>
      <c r="BA2396" s="3" t="s">
        <v>24355</v>
      </c>
      <c r="BB2396" s="3" t="s">
        <v>24356</v>
      </c>
      <c r="BC2396" s="3" t="s">
        <v>77</v>
      </c>
      <c r="BD2396" s="3" t="s">
        <v>78</v>
      </c>
      <c r="BE2396" s="3" t="s">
        <v>24357</v>
      </c>
      <c r="BF2396" s="3" t="s">
        <v>24356</v>
      </c>
      <c r="BG2396" s="3" t="s">
        <v>24358</v>
      </c>
      <c r="BH2396">
        <f t="shared" si="59"/>
        <v>0</v>
      </c>
    </row>
    <row r="2397" spans="1:60" ht="58" x14ac:dyDescent="0.35">
      <c r="A2397" s="2" t="s">
        <v>59</v>
      </c>
      <c r="B2397" s="2" t="s">
        <v>60</v>
      </c>
      <c r="C2397" s="2" t="s">
        <v>24359</v>
      </c>
      <c r="D2397" s="2" t="s">
        <v>24360</v>
      </c>
      <c r="E2397" s="2" t="s">
        <v>24361</v>
      </c>
      <c r="G2397" s="3" t="s">
        <v>64</v>
      </c>
      <c r="I2397" s="3" t="s">
        <v>64</v>
      </c>
      <c r="J2397" s="3" t="s">
        <v>64</v>
      </c>
      <c r="K2397" s="3" t="s">
        <v>65</v>
      </c>
      <c r="L2397" s="2" t="s">
        <v>24362</v>
      </c>
      <c r="M2397" s="2" t="s">
        <v>24363</v>
      </c>
      <c r="N2397" s="3" t="s">
        <v>159</v>
      </c>
      <c r="P2397" s="3" t="s">
        <v>102</v>
      </c>
      <c r="R2397" s="3" t="s">
        <v>70</v>
      </c>
      <c r="S2397" s="4">
        <v>14</v>
      </c>
      <c r="T2397" s="4">
        <v>14</v>
      </c>
      <c r="U2397" s="5" t="s">
        <v>4758</v>
      </c>
      <c r="V2397" s="5" t="s">
        <v>4758</v>
      </c>
      <c r="W2397" s="5" t="s">
        <v>72</v>
      </c>
      <c r="X2397" s="5" t="s">
        <v>72</v>
      </c>
      <c r="Y2397" s="4">
        <v>180</v>
      </c>
      <c r="Z2397" s="4">
        <v>7</v>
      </c>
      <c r="AA2397" s="4">
        <v>8</v>
      </c>
      <c r="AB2397" s="4">
        <v>2</v>
      </c>
      <c r="AC2397" s="4">
        <v>3</v>
      </c>
      <c r="AD2397" s="4">
        <v>41</v>
      </c>
      <c r="AE2397" s="4">
        <v>42</v>
      </c>
      <c r="AF2397" s="4">
        <v>0</v>
      </c>
      <c r="AG2397" s="4">
        <v>1</v>
      </c>
      <c r="AH2397" s="4">
        <v>40</v>
      </c>
      <c r="AI2397" s="4">
        <v>40</v>
      </c>
      <c r="AJ2397" s="4">
        <v>3</v>
      </c>
      <c r="AK2397" s="4">
        <v>4</v>
      </c>
      <c r="AL2397" s="4">
        <v>17</v>
      </c>
      <c r="AM2397" s="4">
        <v>17</v>
      </c>
      <c r="AN2397" s="4">
        <v>0</v>
      </c>
      <c r="AO2397" s="4">
        <v>0</v>
      </c>
      <c r="AP2397" s="4">
        <v>3</v>
      </c>
      <c r="AQ2397" s="4">
        <v>3</v>
      </c>
      <c r="AR2397" s="3" t="s">
        <v>64</v>
      </c>
      <c r="AS2397" s="3" t="s">
        <v>64</v>
      </c>
      <c r="AT2397" s="3" t="s">
        <v>64</v>
      </c>
      <c r="AV2397" s="6" t="str">
        <f>HYPERLINK("http://mcgill.on.worldcat.org/oclc/48122766","Catalog Record")</f>
        <v>Catalog Record</v>
      </c>
      <c r="AW2397" s="6" t="str">
        <f>HYPERLINK("http://www.worldcat.org/oclc/48122766","WorldCat Record")</f>
        <v>WorldCat Record</v>
      </c>
      <c r="AX2397" s="3" t="s">
        <v>24364</v>
      </c>
      <c r="AY2397" s="3" t="s">
        <v>24365</v>
      </c>
      <c r="AZ2397" s="3" t="s">
        <v>24366</v>
      </c>
      <c r="BA2397" s="3" t="s">
        <v>24366</v>
      </c>
      <c r="BB2397" s="3" t="s">
        <v>24367</v>
      </c>
      <c r="BC2397" s="3" t="s">
        <v>77</v>
      </c>
      <c r="BD2397" s="3" t="s">
        <v>78</v>
      </c>
      <c r="BE2397" s="3" t="s">
        <v>24368</v>
      </c>
      <c r="BF2397" s="3" t="s">
        <v>24367</v>
      </c>
      <c r="BG2397" s="3" t="s">
        <v>24369</v>
      </c>
      <c r="BH2397">
        <f t="shared" si="59"/>
        <v>0</v>
      </c>
    </row>
    <row r="2398" spans="1:60" ht="58" x14ac:dyDescent="0.35">
      <c r="A2398" s="2" t="s">
        <v>59</v>
      </c>
      <c r="B2398" s="2" t="s">
        <v>60</v>
      </c>
      <c r="C2398" s="2" t="s">
        <v>24370</v>
      </c>
      <c r="D2398" s="2" t="s">
        <v>24371</v>
      </c>
      <c r="E2398" s="2" t="s">
        <v>24372</v>
      </c>
      <c r="G2398" s="3" t="s">
        <v>64</v>
      </c>
      <c r="I2398" s="3" t="s">
        <v>64</v>
      </c>
      <c r="J2398" s="3" t="s">
        <v>64</v>
      </c>
      <c r="K2398" s="3" t="s">
        <v>65</v>
      </c>
      <c r="L2398" s="2" t="s">
        <v>24373</v>
      </c>
      <c r="M2398" s="2" t="s">
        <v>15640</v>
      </c>
      <c r="N2398" s="3" t="s">
        <v>253</v>
      </c>
      <c r="P2398" s="3" t="s">
        <v>102</v>
      </c>
      <c r="R2398" s="3" t="s">
        <v>70</v>
      </c>
      <c r="S2398" s="4">
        <v>0</v>
      </c>
      <c r="T2398" s="4">
        <v>0</v>
      </c>
      <c r="W2398" s="5" t="s">
        <v>72</v>
      </c>
      <c r="X2398" s="5" t="s">
        <v>72</v>
      </c>
      <c r="Y2398" s="4">
        <v>153</v>
      </c>
      <c r="Z2398" s="4">
        <v>3</v>
      </c>
      <c r="AA2398" s="4">
        <v>79</v>
      </c>
      <c r="AB2398" s="4">
        <v>1</v>
      </c>
      <c r="AC2398" s="4">
        <v>15</v>
      </c>
      <c r="AD2398" s="4">
        <v>30</v>
      </c>
      <c r="AE2398" s="4">
        <v>107</v>
      </c>
      <c r="AF2398" s="4">
        <v>0</v>
      </c>
      <c r="AG2398" s="4">
        <v>8</v>
      </c>
      <c r="AH2398" s="4">
        <v>30</v>
      </c>
      <c r="AI2398" s="4">
        <v>72</v>
      </c>
      <c r="AJ2398" s="4">
        <v>1</v>
      </c>
      <c r="AK2398" s="4">
        <v>19</v>
      </c>
      <c r="AL2398" s="4">
        <v>13</v>
      </c>
      <c r="AM2398" s="4">
        <v>35</v>
      </c>
      <c r="AN2398" s="4">
        <v>0</v>
      </c>
      <c r="AO2398" s="4">
        <v>0</v>
      </c>
      <c r="AP2398" s="4">
        <v>1</v>
      </c>
      <c r="AQ2398" s="4">
        <v>40</v>
      </c>
      <c r="AR2398" s="3" t="s">
        <v>64</v>
      </c>
      <c r="AS2398" s="3" t="s">
        <v>64</v>
      </c>
      <c r="AT2398" s="3" t="s">
        <v>64</v>
      </c>
      <c r="AV2398" s="6" t="str">
        <f>HYPERLINK("http://mcgill.on.worldcat.org/oclc/891941675","Catalog Record")</f>
        <v>Catalog Record</v>
      </c>
      <c r="AW2398" s="6" t="str">
        <f>HYPERLINK("http://www.worldcat.org/oclc/891941675","WorldCat Record")</f>
        <v>WorldCat Record</v>
      </c>
      <c r="AX2398" s="3" t="s">
        <v>24374</v>
      </c>
      <c r="AY2398" s="3" t="s">
        <v>24375</v>
      </c>
      <c r="AZ2398" s="3" t="s">
        <v>24376</v>
      </c>
      <c r="BA2398" s="3" t="s">
        <v>24376</v>
      </c>
      <c r="BB2398" s="3" t="s">
        <v>24377</v>
      </c>
      <c r="BC2398" s="3" t="s">
        <v>77</v>
      </c>
      <c r="BD2398" s="3" t="s">
        <v>78</v>
      </c>
      <c r="BE2398" s="3" t="s">
        <v>24378</v>
      </c>
      <c r="BF2398" s="3" t="s">
        <v>24377</v>
      </c>
      <c r="BG2398" s="3" t="s">
        <v>24379</v>
      </c>
      <c r="BH2398">
        <f t="shared" si="59"/>
        <v>0</v>
      </c>
    </row>
    <row r="2399" spans="1:60" ht="58" x14ac:dyDescent="0.35">
      <c r="A2399" s="2" t="s">
        <v>59</v>
      </c>
      <c r="B2399" s="2" t="s">
        <v>60</v>
      </c>
      <c r="C2399" s="2" t="s">
        <v>24380</v>
      </c>
      <c r="D2399" s="2" t="s">
        <v>24381</v>
      </c>
      <c r="E2399" s="2" t="s">
        <v>24382</v>
      </c>
      <c r="G2399" s="3" t="s">
        <v>64</v>
      </c>
      <c r="I2399" s="3" t="s">
        <v>64</v>
      </c>
      <c r="J2399" s="3" t="s">
        <v>64</v>
      </c>
      <c r="K2399" s="3" t="s">
        <v>65</v>
      </c>
      <c r="M2399" s="2" t="s">
        <v>24383</v>
      </c>
      <c r="N2399" s="3" t="s">
        <v>1263</v>
      </c>
      <c r="P2399" s="3" t="s">
        <v>102</v>
      </c>
      <c r="Q2399" s="2" t="s">
        <v>24384</v>
      </c>
      <c r="R2399" s="3" t="s">
        <v>70</v>
      </c>
      <c r="S2399" s="4">
        <v>14</v>
      </c>
      <c r="T2399" s="4">
        <v>14</v>
      </c>
      <c r="U2399" s="5" t="s">
        <v>1846</v>
      </c>
      <c r="V2399" s="5" t="s">
        <v>1846</v>
      </c>
      <c r="W2399" s="5" t="s">
        <v>72</v>
      </c>
      <c r="X2399" s="5" t="s">
        <v>72</v>
      </c>
      <c r="Y2399" s="4">
        <v>183</v>
      </c>
      <c r="Z2399" s="4">
        <v>6</v>
      </c>
      <c r="AA2399" s="4">
        <v>7</v>
      </c>
      <c r="AB2399" s="4">
        <v>1</v>
      </c>
      <c r="AC2399" s="4">
        <v>1</v>
      </c>
      <c r="AD2399" s="4">
        <v>45</v>
      </c>
      <c r="AE2399" s="4">
        <v>47</v>
      </c>
      <c r="AF2399" s="4">
        <v>0</v>
      </c>
      <c r="AG2399" s="4">
        <v>0</v>
      </c>
      <c r="AH2399" s="4">
        <v>42</v>
      </c>
      <c r="AI2399" s="4">
        <v>44</v>
      </c>
      <c r="AJ2399" s="4">
        <v>4</v>
      </c>
      <c r="AK2399" s="4">
        <v>5</v>
      </c>
      <c r="AL2399" s="4">
        <v>27</v>
      </c>
      <c r="AM2399" s="4">
        <v>27</v>
      </c>
      <c r="AN2399" s="4">
        <v>0</v>
      </c>
      <c r="AO2399" s="4">
        <v>0</v>
      </c>
      <c r="AP2399" s="4">
        <v>3</v>
      </c>
      <c r="AQ2399" s="4">
        <v>4</v>
      </c>
      <c r="AR2399" s="3" t="s">
        <v>64</v>
      </c>
      <c r="AS2399" s="3" t="s">
        <v>64</v>
      </c>
      <c r="AT2399" s="3" t="s">
        <v>64</v>
      </c>
      <c r="AV2399" s="6" t="str">
        <f>HYPERLINK("http://mcgill.on.worldcat.org/oclc/27897766","Catalog Record")</f>
        <v>Catalog Record</v>
      </c>
      <c r="AW2399" s="6" t="str">
        <f>HYPERLINK("http://www.worldcat.org/oclc/27897766","WorldCat Record")</f>
        <v>WorldCat Record</v>
      </c>
      <c r="AX2399" s="3" t="s">
        <v>24385</v>
      </c>
      <c r="AY2399" s="3" t="s">
        <v>24386</v>
      </c>
      <c r="AZ2399" s="3" t="s">
        <v>24387</v>
      </c>
      <c r="BA2399" s="3" t="s">
        <v>24387</v>
      </c>
      <c r="BB2399" s="3" t="s">
        <v>24388</v>
      </c>
      <c r="BC2399" s="3" t="s">
        <v>77</v>
      </c>
      <c r="BD2399" s="3" t="s">
        <v>78</v>
      </c>
      <c r="BE2399" s="3" t="s">
        <v>24389</v>
      </c>
      <c r="BF2399" s="3" t="s">
        <v>24388</v>
      </c>
      <c r="BG2399" s="3" t="s">
        <v>24390</v>
      </c>
      <c r="BH2399">
        <f t="shared" si="59"/>
        <v>0</v>
      </c>
    </row>
    <row r="2400" spans="1:60" ht="58" x14ac:dyDescent="0.35">
      <c r="A2400" s="2" t="s">
        <v>59</v>
      </c>
      <c r="B2400" s="2" t="s">
        <v>60</v>
      </c>
      <c r="C2400" s="2" t="s">
        <v>24391</v>
      </c>
      <c r="D2400" s="2" t="s">
        <v>24392</v>
      </c>
      <c r="E2400" s="2" t="s">
        <v>24393</v>
      </c>
      <c r="G2400" s="3" t="s">
        <v>64</v>
      </c>
      <c r="I2400" s="3" t="s">
        <v>128</v>
      </c>
      <c r="J2400" s="3" t="s">
        <v>64</v>
      </c>
      <c r="K2400" s="3" t="s">
        <v>65</v>
      </c>
      <c r="M2400" s="2" t="s">
        <v>24394</v>
      </c>
      <c r="N2400" s="3" t="s">
        <v>898</v>
      </c>
      <c r="P2400" s="3" t="s">
        <v>102</v>
      </c>
      <c r="R2400" s="3" t="s">
        <v>70</v>
      </c>
      <c r="S2400" s="4">
        <v>2</v>
      </c>
      <c r="T2400" s="4">
        <v>2</v>
      </c>
      <c r="U2400" s="5" t="s">
        <v>14476</v>
      </c>
      <c r="V2400" s="5" t="s">
        <v>14476</v>
      </c>
      <c r="W2400" s="5" t="s">
        <v>72</v>
      </c>
      <c r="X2400" s="5" t="s">
        <v>72</v>
      </c>
      <c r="Y2400" s="4">
        <v>193</v>
      </c>
      <c r="Z2400" s="4">
        <v>10</v>
      </c>
      <c r="AA2400" s="4">
        <v>11</v>
      </c>
      <c r="AB2400" s="4">
        <v>1</v>
      </c>
      <c r="AC2400" s="4">
        <v>2</v>
      </c>
      <c r="AD2400" s="4">
        <v>67</v>
      </c>
      <c r="AE2400" s="4">
        <v>68</v>
      </c>
      <c r="AF2400" s="4">
        <v>0</v>
      </c>
      <c r="AG2400" s="4">
        <v>1</v>
      </c>
      <c r="AH2400" s="4">
        <v>64</v>
      </c>
      <c r="AI2400" s="4">
        <v>64</v>
      </c>
      <c r="AJ2400" s="4">
        <v>7</v>
      </c>
      <c r="AK2400" s="4">
        <v>8</v>
      </c>
      <c r="AL2400" s="4">
        <v>36</v>
      </c>
      <c r="AM2400" s="4">
        <v>36</v>
      </c>
      <c r="AN2400" s="4">
        <v>0</v>
      </c>
      <c r="AO2400" s="4">
        <v>0</v>
      </c>
      <c r="AP2400" s="4">
        <v>7</v>
      </c>
      <c r="AQ2400" s="4">
        <v>7</v>
      </c>
      <c r="AR2400" s="3" t="s">
        <v>64</v>
      </c>
      <c r="AS2400" s="3" t="s">
        <v>64</v>
      </c>
      <c r="AT2400" s="3" t="s">
        <v>128</v>
      </c>
      <c r="AU2400" s="6" t="str">
        <f>HYPERLINK("http://catalog.hathitrust.org/Record/002192928","HathiTrust Record")</f>
        <v>HathiTrust Record</v>
      </c>
      <c r="AV2400" s="6" t="str">
        <f>HYPERLINK("http://mcgill.on.worldcat.org/oclc/6795352","Catalog Record")</f>
        <v>Catalog Record</v>
      </c>
      <c r="AW2400" s="6" t="str">
        <f>HYPERLINK("http://www.worldcat.org/oclc/6795352","WorldCat Record")</f>
        <v>WorldCat Record</v>
      </c>
      <c r="AX2400" s="3" t="s">
        <v>24395</v>
      </c>
      <c r="AY2400" s="3" t="s">
        <v>24396</v>
      </c>
      <c r="AZ2400" s="3" t="s">
        <v>24397</v>
      </c>
      <c r="BA2400" s="3" t="s">
        <v>24397</v>
      </c>
      <c r="BB2400" s="3" t="s">
        <v>24398</v>
      </c>
      <c r="BC2400" s="3" t="s">
        <v>77</v>
      </c>
      <c r="BD2400" s="3" t="s">
        <v>78</v>
      </c>
      <c r="BE2400" s="3" t="s">
        <v>24399</v>
      </c>
      <c r="BF2400" s="3" t="s">
        <v>24398</v>
      </c>
      <c r="BG2400" s="3" t="s">
        <v>24400</v>
      </c>
      <c r="BH2400">
        <f t="shared" si="59"/>
        <v>0</v>
      </c>
    </row>
    <row r="2401" spans="1:60" ht="58" x14ac:dyDescent="0.35">
      <c r="A2401" s="2" t="s">
        <v>59</v>
      </c>
      <c r="B2401" s="2" t="s">
        <v>60</v>
      </c>
      <c r="C2401" s="2" t="s">
        <v>24401</v>
      </c>
      <c r="D2401" s="2" t="s">
        <v>24402</v>
      </c>
      <c r="E2401" s="2" t="s">
        <v>24403</v>
      </c>
      <c r="G2401" s="3" t="s">
        <v>64</v>
      </c>
      <c r="I2401" s="3" t="s">
        <v>64</v>
      </c>
      <c r="J2401" s="3" t="s">
        <v>64</v>
      </c>
      <c r="K2401" s="3" t="s">
        <v>65</v>
      </c>
      <c r="L2401" s="2" t="s">
        <v>24404</v>
      </c>
      <c r="M2401" s="2" t="s">
        <v>24405</v>
      </c>
      <c r="N2401" s="3" t="s">
        <v>3428</v>
      </c>
      <c r="P2401" s="3" t="s">
        <v>102</v>
      </c>
      <c r="Q2401" s="2" t="s">
        <v>18502</v>
      </c>
      <c r="R2401" s="3" t="s">
        <v>70</v>
      </c>
      <c r="S2401" s="4">
        <v>4</v>
      </c>
      <c r="T2401" s="4">
        <v>4</v>
      </c>
      <c r="U2401" s="5" t="s">
        <v>13820</v>
      </c>
      <c r="V2401" s="5" t="s">
        <v>13820</v>
      </c>
      <c r="W2401" s="5" t="s">
        <v>72</v>
      </c>
      <c r="X2401" s="5" t="s">
        <v>72</v>
      </c>
      <c r="Y2401" s="4">
        <v>391</v>
      </c>
      <c r="Z2401" s="4">
        <v>20</v>
      </c>
      <c r="AA2401" s="4">
        <v>22</v>
      </c>
      <c r="AB2401" s="4">
        <v>2</v>
      </c>
      <c r="AC2401" s="4">
        <v>4</v>
      </c>
      <c r="AD2401" s="4">
        <v>84</v>
      </c>
      <c r="AE2401" s="4">
        <v>86</v>
      </c>
      <c r="AF2401" s="4">
        <v>0</v>
      </c>
      <c r="AG2401" s="4">
        <v>2</v>
      </c>
      <c r="AH2401" s="4">
        <v>77</v>
      </c>
      <c r="AI2401" s="4">
        <v>77</v>
      </c>
      <c r="AJ2401" s="4">
        <v>12</v>
      </c>
      <c r="AK2401" s="4">
        <v>14</v>
      </c>
      <c r="AL2401" s="4">
        <v>38</v>
      </c>
      <c r="AM2401" s="4">
        <v>38</v>
      </c>
      <c r="AN2401" s="4">
        <v>0</v>
      </c>
      <c r="AO2401" s="4">
        <v>0</v>
      </c>
      <c r="AP2401" s="4">
        <v>13</v>
      </c>
      <c r="AQ2401" s="4">
        <v>14</v>
      </c>
      <c r="AR2401" s="3" t="s">
        <v>64</v>
      </c>
      <c r="AS2401" s="3" t="s">
        <v>64</v>
      </c>
      <c r="AT2401" s="3" t="s">
        <v>128</v>
      </c>
      <c r="AU2401" s="6" t="str">
        <f>HYPERLINK("http://catalog.hathitrust.org/Record/002977118","HathiTrust Record")</f>
        <v>HathiTrust Record</v>
      </c>
      <c r="AV2401" s="6" t="str">
        <f>HYPERLINK("http://mcgill.on.worldcat.org/oclc/30473215","Catalog Record")</f>
        <v>Catalog Record</v>
      </c>
      <c r="AW2401" s="6" t="str">
        <f>HYPERLINK("http://www.worldcat.org/oclc/30473215","WorldCat Record")</f>
        <v>WorldCat Record</v>
      </c>
      <c r="AX2401" s="3" t="s">
        <v>24406</v>
      </c>
      <c r="AY2401" s="3" t="s">
        <v>24407</v>
      </c>
      <c r="AZ2401" s="3" t="s">
        <v>24408</v>
      </c>
      <c r="BA2401" s="3" t="s">
        <v>24408</v>
      </c>
      <c r="BB2401" s="3" t="s">
        <v>24409</v>
      </c>
      <c r="BC2401" s="3" t="s">
        <v>77</v>
      </c>
      <c r="BD2401" s="3" t="s">
        <v>78</v>
      </c>
      <c r="BE2401" s="3" t="s">
        <v>24410</v>
      </c>
      <c r="BF2401" s="3" t="s">
        <v>24409</v>
      </c>
      <c r="BG2401" s="3" t="s">
        <v>24411</v>
      </c>
      <c r="BH2401">
        <f t="shared" si="59"/>
        <v>0</v>
      </c>
    </row>
    <row r="2402" spans="1:60" ht="58" x14ac:dyDescent="0.35">
      <c r="A2402" s="2" t="s">
        <v>59</v>
      </c>
      <c r="B2402" s="2" t="s">
        <v>60</v>
      </c>
      <c r="C2402" s="2" t="s">
        <v>24412</v>
      </c>
      <c r="D2402" s="2" t="s">
        <v>24413</v>
      </c>
      <c r="E2402" s="2" t="s">
        <v>24414</v>
      </c>
      <c r="G2402" s="3" t="s">
        <v>64</v>
      </c>
      <c r="I2402" s="3" t="s">
        <v>64</v>
      </c>
      <c r="J2402" s="3" t="s">
        <v>64</v>
      </c>
      <c r="K2402" s="3" t="s">
        <v>65</v>
      </c>
      <c r="L2402" s="2" t="s">
        <v>24415</v>
      </c>
      <c r="M2402" s="2" t="s">
        <v>24416</v>
      </c>
      <c r="N2402" s="3" t="s">
        <v>922</v>
      </c>
      <c r="P2402" s="3" t="s">
        <v>102</v>
      </c>
      <c r="R2402" s="3" t="s">
        <v>70</v>
      </c>
      <c r="S2402" s="4">
        <v>2</v>
      </c>
      <c r="T2402" s="4">
        <v>2</v>
      </c>
      <c r="U2402" s="5" t="s">
        <v>15479</v>
      </c>
      <c r="V2402" s="5" t="s">
        <v>15479</v>
      </c>
      <c r="W2402" s="5" t="s">
        <v>72</v>
      </c>
      <c r="X2402" s="5" t="s">
        <v>72</v>
      </c>
      <c r="Y2402" s="4">
        <v>168</v>
      </c>
      <c r="Z2402" s="4">
        <v>13</v>
      </c>
      <c r="AA2402" s="4">
        <v>20</v>
      </c>
      <c r="AB2402" s="4">
        <v>1</v>
      </c>
      <c r="AC2402" s="4">
        <v>4</v>
      </c>
      <c r="AD2402" s="4">
        <v>31</v>
      </c>
      <c r="AE2402" s="4">
        <v>88</v>
      </c>
      <c r="AF2402" s="4">
        <v>0</v>
      </c>
      <c r="AG2402" s="4">
        <v>3</v>
      </c>
      <c r="AH2402" s="4">
        <v>25</v>
      </c>
      <c r="AI2402" s="4">
        <v>78</v>
      </c>
      <c r="AJ2402" s="4">
        <v>7</v>
      </c>
      <c r="AK2402" s="4">
        <v>14</v>
      </c>
      <c r="AL2402" s="4">
        <v>14</v>
      </c>
      <c r="AM2402" s="4">
        <v>42</v>
      </c>
      <c r="AN2402" s="4">
        <v>0</v>
      </c>
      <c r="AO2402" s="4">
        <v>0</v>
      </c>
      <c r="AP2402" s="4">
        <v>8</v>
      </c>
      <c r="AQ2402" s="4">
        <v>14</v>
      </c>
      <c r="AR2402" s="3" t="s">
        <v>64</v>
      </c>
      <c r="AS2402" s="3" t="s">
        <v>64</v>
      </c>
      <c r="AT2402" s="3" t="s">
        <v>128</v>
      </c>
      <c r="AU2402" s="6" t="str">
        <f>HYPERLINK("http://catalog.hathitrust.org/Record/001162561","HathiTrust Record")</f>
        <v>HathiTrust Record</v>
      </c>
      <c r="AV2402" s="6" t="str">
        <f>HYPERLINK("http://mcgill.on.worldcat.org/oclc/522340","Catalog Record")</f>
        <v>Catalog Record</v>
      </c>
      <c r="AW2402" s="6" t="str">
        <f>HYPERLINK("http://www.worldcat.org/oclc/522340","WorldCat Record")</f>
        <v>WorldCat Record</v>
      </c>
      <c r="AX2402" s="3" t="s">
        <v>24417</v>
      </c>
      <c r="AY2402" s="3" t="s">
        <v>24418</v>
      </c>
      <c r="AZ2402" s="3" t="s">
        <v>24419</v>
      </c>
      <c r="BA2402" s="3" t="s">
        <v>24419</v>
      </c>
      <c r="BB2402" s="3" t="s">
        <v>24420</v>
      </c>
      <c r="BC2402" s="3" t="s">
        <v>77</v>
      </c>
      <c r="BD2402" s="3" t="s">
        <v>78</v>
      </c>
      <c r="BE2402" s="3" t="s">
        <v>24421</v>
      </c>
      <c r="BF2402" s="3" t="s">
        <v>24420</v>
      </c>
      <c r="BG2402" s="3" t="s">
        <v>24422</v>
      </c>
      <c r="BH2402">
        <f t="shared" si="59"/>
        <v>0</v>
      </c>
    </row>
    <row r="2403" spans="1:60" ht="72.5" x14ac:dyDescent="0.35">
      <c r="A2403" s="2" t="s">
        <v>59</v>
      </c>
      <c r="B2403" s="2" t="s">
        <v>60</v>
      </c>
      <c r="C2403" s="2" t="s">
        <v>24423</v>
      </c>
      <c r="D2403" s="2" t="s">
        <v>24424</v>
      </c>
      <c r="E2403" s="2" t="s">
        <v>24425</v>
      </c>
      <c r="G2403" s="3" t="s">
        <v>64</v>
      </c>
      <c r="I2403" s="3" t="s">
        <v>64</v>
      </c>
      <c r="J2403" s="3" t="s">
        <v>64</v>
      </c>
      <c r="K2403" s="3" t="s">
        <v>65</v>
      </c>
      <c r="L2403" s="2" t="s">
        <v>24426</v>
      </c>
      <c r="M2403" s="2" t="s">
        <v>18880</v>
      </c>
      <c r="N2403" s="3" t="s">
        <v>159</v>
      </c>
      <c r="P2403" s="3" t="s">
        <v>102</v>
      </c>
      <c r="Q2403" s="2" t="s">
        <v>21484</v>
      </c>
      <c r="R2403" s="3" t="s">
        <v>70</v>
      </c>
      <c r="S2403" s="4">
        <v>10</v>
      </c>
      <c r="T2403" s="4">
        <v>10</v>
      </c>
      <c r="U2403" s="5" t="s">
        <v>2091</v>
      </c>
      <c r="V2403" s="5" t="s">
        <v>2091</v>
      </c>
      <c r="W2403" s="5" t="s">
        <v>72</v>
      </c>
      <c r="X2403" s="5" t="s">
        <v>72</v>
      </c>
      <c r="Y2403" s="4">
        <v>885</v>
      </c>
      <c r="Z2403" s="4">
        <v>26</v>
      </c>
      <c r="AA2403" s="4">
        <v>104</v>
      </c>
      <c r="AB2403" s="4">
        <v>3</v>
      </c>
      <c r="AC2403" s="4">
        <v>19</v>
      </c>
      <c r="AD2403" s="4">
        <v>115</v>
      </c>
      <c r="AE2403" s="4">
        <v>149</v>
      </c>
      <c r="AF2403" s="4">
        <v>1</v>
      </c>
      <c r="AG2403" s="4">
        <v>8</v>
      </c>
      <c r="AH2403" s="4">
        <v>102</v>
      </c>
      <c r="AI2403" s="4">
        <v>109</v>
      </c>
      <c r="AJ2403" s="4">
        <v>13</v>
      </c>
      <c r="AK2403" s="4">
        <v>22</v>
      </c>
      <c r="AL2403" s="4">
        <v>57</v>
      </c>
      <c r="AM2403" s="4">
        <v>60</v>
      </c>
      <c r="AN2403" s="4">
        <v>0</v>
      </c>
      <c r="AO2403" s="4">
        <v>0</v>
      </c>
      <c r="AP2403" s="4">
        <v>16</v>
      </c>
      <c r="AQ2403" s="4">
        <v>43</v>
      </c>
      <c r="AR2403" s="3" t="s">
        <v>64</v>
      </c>
      <c r="AS2403" s="3" t="s">
        <v>64</v>
      </c>
      <c r="AT2403" s="3" t="s">
        <v>64</v>
      </c>
      <c r="AV2403" s="6" t="str">
        <f>HYPERLINK("http://mcgill.on.worldcat.org/oclc/49502685","Catalog Record")</f>
        <v>Catalog Record</v>
      </c>
      <c r="AW2403" s="6" t="str">
        <f>HYPERLINK("http://www.worldcat.org/oclc/49502685","WorldCat Record")</f>
        <v>WorldCat Record</v>
      </c>
      <c r="AX2403" s="3" t="s">
        <v>24427</v>
      </c>
      <c r="AY2403" s="3" t="s">
        <v>24428</v>
      </c>
      <c r="AZ2403" s="3" t="s">
        <v>24429</v>
      </c>
      <c r="BA2403" s="3" t="s">
        <v>24429</v>
      </c>
      <c r="BB2403" s="3" t="s">
        <v>24430</v>
      </c>
      <c r="BC2403" s="3" t="s">
        <v>77</v>
      </c>
      <c r="BD2403" s="3" t="s">
        <v>78</v>
      </c>
      <c r="BE2403" s="3" t="s">
        <v>24431</v>
      </c>
      <c r="BF2403" s="3" t="s">
        <v>24430</v>
      </c>
      <c r="BG2403" s="3" t="s">
        <v>24432</v>
      </c>
      <c r="BH2403">
        <f t="shared" si="59"/>
        <v>0</v>
      </c>
    </row>
    <row r="2404" spans="1:60" ht="58" x14ac:dyDescent="0.35">
      <c r="A2404" s="2" t="s">
        <v>59</v>
      </c>
      <c r="B2404" s="2" t="s">
        <v>60</v>
      </c>
      <c r="C2404" s="2" t="s">
        <v>24433</v>
      </c>
      <c r="D2404" s="2" t="s">
        <v>24434</v>
      </c>
      <c r="E2404" s="2" t="s">
        <v>24435</v>
      </c>
      <c r="G2404" s="3" t="s">
        <v>64</v>
      </c>
      <c r="I2404" s="3" t="s">
        <v>128</v>
      </c>
      <c r="J2404" s="3" t="s">
        <v>64</v>
      </c>
      <c r="K2404" s="3" t="s">
        <v>65</v>
      </c>
      <c r="L2404" s="2" t="s">
        <v>24436</v>
      </c>
      <c r="M2404" s="2" t="s">
        <v>24437</v>
      </c>
      <c r="N2404" s="3" t="s">
        <v>1061</v>
      </c>
      <c r="P2404" s="3" t="s">
        <v>102</v>
      </c>
      <c r="Q2404" s="2" t="s">
        <v>7076</v>
      </c>
      <c r="R2404" s="3" t="s">
        <v>70</v>
      </c>
      <c r="S2404" s="4">
        <v>10</v>
      </c>
      <c r="T2404" s="4">
        <v>11</v>
      </c>
      <c r="U2404" s="5" t="s">
        <v>13820</v>
      </c>
      <c r="V2404" s="5" t="s">
        <v>2456</v>
      </c>
      <c r="W2404" s="5" t="s">
        <v>72</v>
      </c>
      <c r="X2404" s="5" t="s">
        <v>72</v>
      </c>
      <c r="Y2404" s="4">
        <v>479</v>
      </c>
      <c r="Z2404" s="4">
        <v>30</v>
      </c>
      <c r="AA2404" s="4">
        <v>33</v>
      </c>
      <c r="AB2404" s="4">
        <v>3</v>
      </c>
      <c r="AC2404" s="4">
        <v>5</v>
      </c>
      <c r="AD2404" s="4">
        <v>94</v>
      </c>
      <c r="AE2404" s="4">
        <v>96</v>
      </c>
      <c r="AF2404" s="4">
        <v>1</v>
      </c>
      <c r="AG2404" s="4">
        <v>2</v>
      </c>
      <c r="AH2404" s="4">
        <v>83</v>
      </c>
      <c r="AI2404" s="4">
        <v>84</v>
      </c>
      <c r="AJ2404" s="4">
        <v>14</v>
      </c>
      <c r="AK2404" s="4">
        <v>16</v>
      </c>
      <c r="AL2404" s="4">
        <v>43</v>
      </c>
      <c r="AM2404" s="4">
        <v>43</v>
      </c>
      <c r="AN2404" s="4">
        <v>1</v>
      </c>
      <c r="AO2404" s="4">
        <v>1</v>
      </c>
      <c r="AP2404" s="4">
        <v>16</v>
      </c>
      <c r="AQ2404" s="4">
        <v>17</v>
      </c>
      <c r="AR2404" s="3" t="s">
        <v>64</v>
      </c>
      <c r="AS2404" s="3" t="s">
        <v>64</v>
      </c>
      <c r="AT2404" s="3" t="s">
        <v>128</v>
      </c>
      <c r="AU2404" s="6" t="str">
        <f>HYPERLINK("http://catalog.hathitrust.org/Record/000611842","HathiTrust Record")</f>
        <v>HathiTrust Record</v>
      </c>
      <c r="AV2404" s="6" t="str">
        <f>HYPERLINK("http://mcgill.on.worldcat.org/oclc/10997331","Catalog Record")</f>
        <v>Catalog Record</v>
      </c>
      <c r="AW2404" s="6" t="str">
        <f>HYPERLINK("http://www.worldcat.org/oclc/10997331","WorldCat Record")</f>
        <v>WorldCat Record</v>
      </c>
      <c r="AX2404" s="3" t="s">
        <v>24438</v>
      </c>
      <c r="AY2404" s="3" t="s">
        <v>24439</v>
      </c>
      <c r="AZ2404" s="3" t="s">
        <v>24440</v>
      </c>
      <c r="BA2404" s="3" t="s">
        <v>24440</v>
      </c>
      <c r="BB2404" s="3" t="s">
        <v>24441</v>
      </c>
      <c r="BC2404" s="3" t="s">
        <v>77</v>
      </c>
      <c r="BD2404" s="3" t="s">
        <v>78</v>
      </c>
      <c r="BE2404" s="3" t="s">
        <v>24442</v>
      </c>
      <c r="BF2404" s="3" t="s">
        <v>24441</v>
      </c>
      <c r="BG2404" s="3" t="s">
        <v>24443</v>
      </c>
      <c r="BH2404">
        <f t="shared" si="59"/>
        <v>0</v>
      </c>
    </row>
    <row r="2405" spans="1:60" ht="58" x14ac:dyDescent="0.35">
      <c r="A2405" s="2" t="s">
        <v>59</v>
      </c>
      <c r="B2405" s="2" t="s">
        <v>60</v>
      </c>
      <c r="C2405" s="2" t="s">
        <v>24444</v>
      </c>
      <c r="D2405" s="2" t="s">
        <v>24445</v>
      </c>
      <c r="E2405" s="2" t="s">
        <v>24446</v>
      </c>
      <c r="G2405" s="3" t="s">
        <v>64</v>
      </c>
      <c r="I2405" s="3" t="s">
        <v>128</v>
      </c>
      <c r="J2405" s="3" t="s">
        <v>64</v>
      </c>
      <c r="K2405" s="3" t="s">
        <v>65</v>
      </c>
      <c r="L2405" s="2" t="s">
        <v>24447</v>
      </c>
      <c r="M2405" s="2" t="s">
        <v>24448</v>
      </c>
      <c r="N2405" s="3" t="s">
        <v>4548</v>
      </c>
      <c r="P2405" s="3" t="s">
        <v>102</v>
      </c>
      <c r="Q2405" s="2" t="s">
        <v>24449</v>
      </c>
      <c r="R2405" s="3" t="s">
        <v>70</v>
      </c>
      <c r="S2405" s="4">
        <v>6</v>
      </c>
      <c r="T2405" s="4">
        <v>15</v>
      </c>
      <c r="U2405" s="5" t="s">
        <v>24450</v>
      </c>
      <c r="V2405" s="5" t="s">
        <v>17577</v>
      </c>
      <c r="W2405" s="5" t="s">
        <v>72</v>
      </c>
      <c r="X2405" s="5" t="s">
        <v>72</v>
      </c>
      <c r="Y2405" s="4">
        <v>774</v>
      </c>
      <c r="Z2405" s="4">
        <v>40</v>
      </c>
      <c r="AA2405" s="4">
        <v>51</v>
      </c>
      <c r="AB2405" s="4">
        <v>5</v>
      </c>
      <c r="AC2405" s="4">
        <v>11</v>
      </c>
      <c r="AD2405" s="4">
        <v>116</v>
      </c>
      <c r="AE2405" s="4">
        <v>125</v>
      </c>
      <c r="AF2405" s="4">
        <v>2</v>
      </c>
      <c r="AG2405" s="4">
        <v>6</v>
      </c>
      <c r="AH2405" s="4">
        <v>96</v>
      </c>
      <c r="AI2405" s="4">
        <v>101</v>
      </c>
      <c r="AJ2405" s="4">
        <v>18</v>
      </c>
      <c r="AK2405" s="4">
        <v>24</v>
      </c>
      <c r="AL2405" s="4">
        <v>51</v>
      </c>
      <c r="AM2405" s="4">
        <v>51</v>
      </c>
      <c r="AN2405" s="4">
        <v>0</v>
      </c>
      <c r="AO2405" s="4">
        <v>0</v>
      </c>
      <c r="AP2405" s="4">
        <v>24</v>
      </c>
      <c r="AQ2405" s="4">
        <v>30</v>
      </c>
      <c r="AR2405" s="3" t="s">
        <v>64</v>
      </c>
      <c r="AS2405" s="3" t="s">
        <v>64</v>
      </c>
      <c r="AT2405" s="3" t="s">
        <v>128</v>
      </c>
      <c r="AU2405" s="6" t="str">
        <f>HYPERLINK("http://catalog.hathitrust.org/Record/001162566","HathiTrust Record")</f>
        <v>HathiTrust Record</v>
      </c>
      <c r="AV2405" s="6" t="str">
        <f>HYPERLINK("http://mcgill.on.worldcat.org/oclc/582095","Catalog Record")</f>
        <v>Catalog Record</v>
      </c>
      <c r="AW2405" s="6" t="str">
        <f>HYPERLINK("http://www.worldcat.org/oclc/582095","WorldCat Record")</f>
        <v>WorldCat Record</v>
      </c>
      <c r="AX2405" s="3" t="s">
        <v>24451</v>
      </c>
      <c r="AY2405" s="3" t="s">
        <v>24452</v>
      </c>
      <c r="AZ2405" s="3" t="s">
        <v>24453</v>
      </c>
      <c r="BA2405" s="3" t="s">
        <v>24453</v>
      </c>
      <c r="BB2405" s="3" t="s">
        <v>24454</v>
      </c>
      <c r="BC2405" s="3" t="s">
        <v>77</v>
      </c>
      <c r="BD2405" s="3" t="s">
        <v>78</v>
      </c>
      <c r="BE2405" s="3" t="s">
        <v>24455</v>
      </c>
      <c r="BF2405" s="3" t="s">
        <v>24454</v>
      </c>
      <c r="BG2405" s="3" t="s">
        <v>24456</v>
      </c>
      <c r="BH2405">
        <f t="shared" si="59"/>
        <v>0</v>
      </c>
    </row>
    <row r="2406" spans="1:60" ht="58" x14ac:dyDescent="0.35">
      <c r="A2406" s="2" t="s">
        <v>59</v>
      </c>
      <c r="B2406" s="2" t="s">
        <v>60</v>
      </c>
      <c r="C2406" s="2" t="s">
        <v>24444</v>
      </c>
      <c r="D2406" s="2" t="s">
        <v>24445</v>
      </c>
      <c r="E2406" s="2" t="s">
        <v>24446</v>
      </c>
      <c r="G2406" s="3" t="s">
        <v>64</v>
      </c>
      <c r="I2406" s="3" t="s">
        <v>128</v>
      </c>
      <c r="J2406" s="3" t="s">
        <v>64</v>
      </c>
      <c r="K2406" s="3" t="s">
        <v>65</v>
      </c>
      <c r="L2406" s="2" t="s">
        <v>24447</v>
      </c>
      <c r="M2406" s="2" t="s">
        <v>24448</v>
      </c>
      <c r="N2406" s="3" t="s">
        <v>4548</v>
      </c>
      <c r="P2406" s="3" t="s">
        <v>102</v>
      </c>
      <c r="Q2406" s="2" t="s">
        <v>24449</v>
      </c>
      <c r="R2406" s="3" t="s">
        <v>70</v>
      </c>
      <c r="S2406" s="4">
        <v>9</v>
      </c>
      <c r="T2406" s="4">
        <v>15</v>
      </c>
      <c r="U2406" s="5" t="s">
        <v>17577</v>
      </c>
      <c r="V2406" s="5" t="s">
        <v>17577</v>
      </c>
      <c r="W2406" s="5" t="s">
        <v>72</v>
      </c>
      <c r="X2406" s="5" t="s">
        <v>72</v>
      </c>
      <c r="Y2406" s="4">
        <v>774</v>
      </c>
      <c r="Z2406" s="4">
        <v>40</v>
      </c>
      <c r="AA2406" s="4">
        <v>51</v>
      </c>
      <c r="AB2406" s="4">
        <v>5</v>
      </c>
      <c r="AC2406" s="4">
        <v>11</v>
      </c>
      <c r="AD2406" s="4">
        <v>116</v>
      </c>
      <c r="AE2406" s="4">
        <v>125</v>
      </c>
      <c r="AF2406" s="4">
        <v>2</v>
      </c>
      <c r="AG2406" s="4">
        <v>6</v>
      </c>
      <c r="AH2406" s="4">
        <v>96</v>
      </c>
      <c r="AI2406" s="4">
        <v>101</v>
      </c>
      <c r="AJ2406" s="4">
        <v>18</v>
      </c>
      <c r="AK2406" s="4">
        <v>24</v>
      </c>
      <c r="AL2406" s="4">
        <v>51</v>
      </c>
      <c r="AM2406" s="4">
        <v>51</v>
      </c>
      <c r="AN2406" s="4">
        <v>0</v>
      </c>
      <c r="AO2406" s="4">
        <v>0</v>
      </c>
      <c r="AP2406" s="4">
        <v>24</v>
      </c>
      <c r="AQ2406" s="4">
        <v>30</v>
      </c>
      <c r="AR2406" s="3" t="s">
        <v>64</v>
      </c>
      <c r="AS2406" s="3" t="s">
        <v>64</v>
      </c>
      <c r="AT2406" s="3" t="s">
        <v>128</v>
      </c>
      <c r="AU2406" s="6" t="str">
        <f>HYPERLINK("http://catalog.hathitrust.org/Record/001162566","HathiTrust Record")</f>
        <v>HathiTrust Record</v>
      </c>
      <c r="AV2406" s="6" t="str">
        <f>HYPERLINK("http://mcgill.on.worldcat.org/oclc/582095","Catalog Record")</f>
        <v>Catalog Record</v>
      </c>
      <c r="AW2406" s="6" t="str">
        <f>HYPERLINK("http://www.worldcat.org/oclc/582095","WorldCat Record")</f>
        <v>WorldCat Record</v>
      </c>
      <c r="AX2406" s="3" t="s">
        <v>24451</v>
      </c>
      <c r="AY2406" s="3" t="s">
        <v>24452</v>
      </c>
      <c r="AZ2406" s="3" t="s">
        <v>24453</v>
      </c>
      <c r="BA2406" s="3" t="s">
        <v>24453</v>
      </c>
      <c r="BB2406" s="3" t="s">
        <v>24457</v>
      </c>
      <c r="BC2406" s="3" t="s">
        <v>77</v>
      </c>
      <c r="BD2406" s="3" t="s">
        <v>78</v>
      </c>
      <c r="BE2406" s="3" t="s">
        <v>24455</v>
      </c>
      <c r="BF2406" s="3" t="s">
        <v>24457</v>
      </c>
      <c r="BG2406" s="3" t="s">
        <v>24458</v>
      </c>
      <c r="BH2406">
        <f t="shared" si="59"/>
        <v>0</v>
      </c>
    </row>
    <row r="2407" spans="1:60" ht="116" x14ac:dyDescent="0.35">
      <c r="A2407" s="2" t="s">
        <v>59</v>
      </c>
      <c r="B2407" s="2" t="s">
        <v>60</v>
      </c>
      <c r="C2407" s="2" t="s">
        <v>24459</v>
      </c>
      <c r="D2407" s="2" t="s">
        <v>24460</v>
      </c>
      <c r="E2407" s="2" t="s">
        <v>24461</v>
      </c>
      <c r="G2407" s="3" t="s">
        <v>64</v>
      </c>
      <c r="I2407" s="3" t="s">
        <v>64</v>
      </c>
      <c r="J2407" s="3" t="s">
        <v>64</v>
      </c>
      <c r="K2407" s="3" t="s">
        <v>65</v>
      </c>
      <c r="L2407" s="2" t="s">
        <v>24462</v>
      </c>
      <c r="M2407" s="2" t="s">
        <v>18704</v>
      </c>
      <c r="N2407" s="3" t="s">
        <v>979</v>
      </c>
      <c r="P2407" s="3" t="s">
        <v>102</v>
      </c>
      <c r="R2407" s="3" t="s">
        <v>70</v>
      </c>
      <c r="S2407" s="4">
        <v>3</v>
      </c>
      <c r="T2407" s="4">
        <v>3</v>
      </c>
      <c r="U2407" s="5" t="s">
        <v>17577</v>
      </c>
      <c r="V2407" s="5" t="s">
        <v>17577</v>
      </c>
      <c r="W2407" s="5" t="s">
        <v>72</v>
      </c>
      <c r="X2407" s="5" t="s">
        <v>72</v>
      </c>
      <c r="Y2407" s="4">
        <v>164</v>
      </c>
      <c r="Z2407" s="4">
        <v>12</v>
      </c>
      <c r="AA2407" s="4">
        <v>12</v>
      </c>
      <c r="AB2407" s="4">
        <v>3</v>
      </c>
      <c r="AC2407" s="4">
        <v>3</v>
      </c>
      <c r="AD2407" s="4">
        <v>60</v>
      </c>
      <c r="AE2407" s="4">
        <v>60</v>
      </c>
      <c r="AF2407" s="4">
        <v>0</v>
      </c>
      <c r="AG2407" s="4">
        <v>0</v>
      </c>
      <c r="AH2407" s="4">
        <v>54</v>
      </c>
      <c r="AI2407" s="4">
        <v>54</v>
      </c>
      <c r="AJ2407" s="4">
        <v>6</v>
      </c>
      <c r="AK2407" s="4">
        <v>6</v>
      </c>
      <c r="AL2407" s="4">
        <v>36</v>
      </c>
      <c r="AM2407" s="4">
        <v>36</v>
      </c>
      <c r="AN2407" s="4">
        <v>0</v>
      </c>
      <c r="AO2407" s="4">
        <v>0</v>
      </c>
      <c r="AP2407" s="4">
        <v>8</v>
      </c>
      <c r="AQ2407" s="4">
        <v>8</v>
      </c>
      <c r="AR2407" s="3" t="s">
        <v>64</v>
      </c>
      <c r="AS2407" s="3" t="s">
        <v>64</v>
      </c>
      <c r="AT2407" s="3" t="s">
        <v>64</v>
      </c>
      <c r="AV2407" s="6" t="str">
        <f>HYPERLINK("http://mcgill.on.worldcat.org/oclc/44619506","Catalog Record")</f>
        <v>Catalog Record</v>
      </c>
      <c r="AW2407" s="6" t="str">
        <f>HYPERLINK("http://www.worldcat.org/oclc/44619506","WorldCat Record")</f>
        <v>WorldCat Record</v>
      </c>
      <c r="AX2407" s="3" t="s">
        <v>24463</v>
      </c>
      <c r="AY2407" s="3" t="s">
        <v>24464</v>
      </c>
      <c r="AZ2407" s="3" t="s">
        <v>24465</v>
      </c>
      <c r="BA2407" s="3" t="s">
        <v>24465</v>
      </c>
      <c r="BB2407" s="3" t="s">
        <v>24466</v>
      </c>
      <c r="BC2407" s="3" t="s">
        <v>77</v>
      </c>
      <c r="BD2407" s="3" t="s">
        <v>78</v>
      </c>
      <c r="BE2407" s="3" t="s">
        <v>24467</v>
      </c>
      <c r="BF2407" s="3" t="s">
        <v>24466</v>
      </c>
      <c r="BG2407" s="3" t="s">
        <v>24468</v>
      </c>
      <c r="BH2407">
        <f t="shared" si="59"/>
        <v>0</v>
      </c>
    </row>
    <row r="2408" spans="1:60" ht="58" x14ac:dyDescent="0.35">
      <c r="A2408" s="2" t="s">
        <v>59</v>
      </c>
      <c r="B2408" s="2" t="s">
        <v>60</v>
      </c>
      <c r="C2408" s="2" t="s">
        <v>24469</v>
      </c>
      <c r="D2408" s="2" t="s">
        <v>24470</v>
      </c>
      <c r="E2408" s="2" t="s">
        <v>24471</v>
      </c>
      <c r="G2408" s="3" t="s">
        <v>64</v>
      </c>
      <c r="I2408" s="3" t="s">
        <v>64</v>
      </c>
      <c r="J2408" s="3" t="s">
        <v>64</v>
      </c>
      <c r="K2408" s="3" t="s">
        <v>65</v>
      </c>
      <c r="L2408" s="2" t="s">
        <v>24472</v>
      </c>
      <c r="M2408" s="2" t="s">
        <v>24473</v>
      </c>
      <c r="N2408" s="3" t="s">
        <v>67</v>
      </c>
      <c r="P2408" s="3" t="s">
        <v>102</v>
      </c>
      <c r="R2408" s="3" t="s">
        <v>70</v>
      </c>
      <c r="S2408" s="4">
        <v>6</v>
      </c>
      <c r="T2408" s="4">
        <v>6</v>
      </c>
      <c r="U2408" s="5" t="s">
        <v>1326</v>
      </c>
      <c r="V2408" s="5" t="s">
        <v>1326</v>
      </c>
      <c r="W2408" s="5" t="s">
        <v>72</v>
      </c>
      <c r="X2408" s="5" t="s">
        <v>72</v>
      </c>
      <c r="Y2408" s="4">
        <v>434</v>
      </c>
      <c r="Z2408" s="4">
        <v>23</v>
      </c>
      <c r="AA2408" s="4">
        <v>24</v>
      </c>
      <c r="AB2408" s="4">
        <v>3</v>
      </c>
      <c r="AC2408" s="4">
        <v>4</v>
      </c>
      <c r="AD2408" s="4">
        <v>86</v>
      </c>
      <c r="AE2408" s="4">
        <v>87</v>
      </c>
      <c r="AF2408" s="4">
        <v>1</v>
      </c>
      <c r="AG2408" s="4">
        <v>2</v>
      </c>
      <c r="AH2408" s="4">
        <v>74</v>
      </c>
      <c r="AI2408" s="4">
        <v>75</v>
      </c>
      <c r="AJ2408" s="4">
        <v>13</v>
      </c>
      <c r="AK2408" s="4">
        <v>14</v>
      </c>
      <c r="AL2408" s="4">
        <v>38</v>
      </c>
      <c r="AM2408" s="4">
        <v>38</v>
      </c>
      <c r="AN2408" s="4">
        <v>0</v>
      </c>
      <c r="AO2408" s="4">
        <v>0</v>
      </c>
      <c r="AP2408" s="4">
        <v>15</v>
      </c>
      <c r="AQ2408" s="4">
        <v>16</v>
      </c>
      <c r="AR2408" s="3" t="s">
        <v>64</v>
      </c>
      <c r="AS2408" s="3" t="s">
        <v>64</v>
      </c>
      <c r="AT2408" s="3" t="s">
        <v>64</v>
      </c>
      <c r="AV2408" s="6" t="str">
        <f>HYPERLINK("http://mcgill.on.worldcat.org/oclc/873828975","Catalog Record")</f>
        <v>Catalog Record</v>
      </c>
      <c r="AW2408" s="6" t="str">
        <f>HYPERLINK("http://www.worldcat.org/oclc/873828975","WorldCat Record")</f>
        <v>WorldCat Record</v>
      </c>
      <c r="AX2408" s="3" t="s">
        <v>24474</v>
      </c>
      <c r="AY2408" s="3" t="s">
        <v>24475</v>
      </c>
      <c r="AZ2408" s="3" t="s">
        <v>24476</v>
      </c>
      <c r="BA2408" s="3" t="s">
        <v>24476</v>
      </c>
      <c r="BB2408" s="3" t="s">
        <v>24477</v>
      </c>
      <c r="BC2408" s="3" t="s">
        <v>77</v>
      </c>
      <c r="BD2408" s="3" t="s">
        <v>78</v>
      </c>
      <c r="BE2408" s="3" t="s">
        <v>24478</v>
      </c>
      <c r="BF2408" s="3" t="s">
        <v>24477</v>
      </c>
      <c r="BG2408" s="3" t="s">
        <v>24479</v>
      </c>
      <c r="BH2408">
        <f t="shared" si="59"/>
        <v>0</v>
      </c>
    </row>
    <row r="2409" spans="1:60" ht="58" x14ac:dyDescent="0.35">
      <c r="A2409" s="2" t="s">
        <v>59</v>
      </c>
      <c r="B2409" s="2" t="s">
        <v>60</v>
      </c>
      <c r="C2409" s="2" t="s">
        <v>24480</v>
      </c>
      <c r="D2409" s="2" t="s">
        <v>24481</v>
      </c>
      <c r="E2409" s="2" t="s">
        <v>24482</v>
      </c>
      <c r="G2409" s="3" t="s">
        <v>64</v>
      </c>
      <c r="I2409" s="3" t="s">
        <v>128</v>
      </c>
      <c r="J2409" s="3" t="s">
        <v>128</v>
      </c>
      <c r="K2409" s="3" t="s">
        <v>65</v>
      </c>
      <c r="L2409" s="2" t="s">
        <v>278</v>
      </c>
      <c r="M2409" s="2" t="s">
        <v>24483</v>
      </c>
      <c r="N2409" s="3" t="s">
        <v>1047</v>
      </c>
      <c r="O2409" s="2" t="s">
        <v>24484</v>
      </c>
      <c r="P2409" s="3" t="s">
        <v>102</v>
      </c>
      <c r="R2409" s="3" t="s">
        <v>70</v>
      </c>
      <c r="S2409" s="4">
        <v>24</v>
      </c>
      <c r="T2409" s="4">
        <v>24</v>
      </c>
      <c r="U2409" s="5" t="s">
        <v>11310</v>
      </c>
      <c r="V2409" s="5" t="s">
        <v>11310</v>
      </c>
      <c r="W2409" s="5" t="s">
        <v>72</v>
      </c>
      <c r="X2409" s="5" t="s">
        <v>72</v>
      </c>
      <c r="Y2409" s="4">
        <v>422</v>
      </c>
      <c r="Z2409" s="4">
        <v>20</v>
      </c>
      <c r="AA2409" s="4">
        <v>42</v>
      </c>
      <c r="AB2409" s="4">
        <v>2</v>
      </c>
      <c r="AC2409" s="4">
        <v>8</v>
      </c>
      <c r="AD2409" s="4">
        <v>85</v>
      </c>
      <c r="AE2409" s="4">
        <v>131</v>
      </c>
      <c r="AF2409" s="4">
        <v>0</v>
      </c>
      <c r="AG2409" s="4">
        <v>4</v>
      </c>
      <c r="AH2409" s="4">
        <v>77</v>
      </c>
      <c r="AI2409" s="4">
        <v>108</v>
      </c>
      <c r="AJ2409" s="4">
        <v>13</v>
      </c>
      <c r="AK2409" s="4">
        <v>23</v>
      </c>
      <c r="AL2409" s="4">
        <v>42</v>
      </c>
      <c r="AM2409" s="4">
        <v>57</v>
      </c>
      <c r="AN2409" s="4">
        <v>0</v>
      </c>
      <c r="AO2409" s="4">
        <v>0</v>
      </c>
      <c r="AP2409" s="4">
        <v>12</v>
      </c>
      <c r="AQ2409" s="4">
        <v>27</v>
      </c>
      <c r="AR2409" s="3" t="s">
        <v>64</v>
      </c>
      <c r="AS2409" s="3" t="s">
        <v>64</v>
      </c>
      <c r="AT2409" s="3" t="s">
        <v>128</v>
      </c>
      <c r="AU2409" s="6" t="str">
        <f>HYPERLINK("http://catalog.hathitrust.org/Record/000310850","HathiTrust Record")</f>
        <v>HathiTrust Record</v>
      </c>
      <c r="AV2409" s="6" t="str">
        <f>HYPERLINK("http://mcgill.on.worldcat.org/oclc/8748769","Catalog Record")</f>
        <v>Catalog Record</v>
      </c>
      <c r="AW2409" s="6" t="str">
        <f>HYPERLINK("http://www.worldcat.org/oclc/8748769","WorldCat Record")</f>
        <v>WorldCat Record</v>
      </c>
      <c r="AX2409" s="3" t="s">
        <v>24485</v>
      </c>
      <c r="AY2409" s="3" t="s">
        <v>24486</v>
      </c>
      <c r="AZ2409" s="3" t="s">
        <v>24487</v>
      </c>
      <c r="BA2409" s="3" t="s">
        <v>24487</v>
      </c>
      <c r="BB2409" s="3" t="s">
        <v>24488</v>
      </c>
      <c r="BC2409" s="3" t="s">
        <v>77</v>
      </c>
      <c r="BD2409" s="3" t="s">
        <v>78</v>
      </c>
      <c r="BE2409" s="3" t="s">
        <v>24489</v>
      </c>
      <c r="BF2409" s="3" t="s">
        <v>24488</v>
      </c>
      <c r="BG2409" s="3" t="s">
        <v>24490</v>
      </c>
      <c r="BH2409">
        <f t="shared" si="59"/>
        <v>0</v>
      </c>
    </row>
    <row r="2410" spans="1:60" ht="58" x14ac:dyDescent="0.35">
      <c r="A2410" s="2" t="s">
        <v>59</v>
      </c>
      <c r="B2410" s="2" t="s">
        <v>60</v>
      </c>
      <c r="C2410" s="2" t="s">
        <v>24491</v>
      </c>
      <c r="D2410" s="2" t="s">
        <v>24492</v>
      </c>
      <c r="E2410" s="2" t="s">
        <v>24493</v>
      </c>
      <c r="G2410" s="3" t="s">
        <v>64</v>
      </c>
      <c r="I2410" s="3" t="s">
        <v>64</v>
      </c>
      <c r="J2410" s="3" t="s">
        <v>64</v>
      </c>
      <c r="K2410" s="3" t="s">
        <v>65</v>
      </c>
      <c r="L2410" s="2" t="s">
        <v>24494</v>
      </c>
      <c r="M2410" s="2" t="s">
        <v>16779</v>
      </c>
      <c r="N2410" s="3" t="s">
        <v>86</v>
      </c>
      <c r="P2410" s="3" t="s">
        <v>102</v>
      </c>
      <c r="R2410" s="3" t="s">
        <v>70</v>
      </c>
      <c r="S2410" s="4">
        <v>19</v>
      </c>
      <c r="T2410" s="4">
        <v>19</v>
      </c>
      <c r="U2410" s="5" t="s">
        <v>17588</v>
      </c>
      <c r="V2410" s="5" t="s">
        <v>17588</v>
      </c>
      <c r="W2410" s="5" t="s">
        <v>72</v>
      </c>
      <c r="X2410" s="5" t="s">
        <v>72</v>
      </c>
      <c r="Y2410" s="4">
        <v>305</v>
      </c>
      <c r="Z2410" s="4">
        <v>25</v>
      </c>
      <c r="AA2410" s="4">
        <v>58</v>
      </c>
      <c r="AB2410" s="4">
        <v>1</v>
      </c>
      <c r="AC2410" s="4">
        <v>6</v>
      </c>
      <c r="AD2410" s="4">
        <v>63</v>
      </c>
      <c r="AE2410" s="4">
        <v>76</v>
      </c>
      <c r="AF2410" s="4">
        <v>0</v>
      </c>
      <c r="AG2410" s="4">
        <v>1</v>
      </c>
      <c r="AH2410" s="4">
        <v>55</v>
      </c>
      <c r="AI2410" s="4">
        <v>60</v>
      </c>
      <c r="AJ2410" s="4">
        <v>8</v>
      </c>
      <c r="AK2410" s="4">
        <v>11</v>
      </c>
      <c r="AL2410" s="4">
        <v>35</v>
      </c>
      <c r="AM2410" s="4">
        <v>37</v>
      </c>
      <c r="AN2410" s="4">
        <v>0</v>
      </c>
      <c r="AO2410" s="4">
        <v>0</v>
      </c>
      <c r="AP2410" s="4">
        <v>13</v>
      </c>
      <c r="AQ2410" s="4">
        <v>19</v>
      </c>
      <c r="AR2410" s="3" t="s">
        <v>64</v>
      </c>
      <c r="AS2410" s="3" t="s">
        <v>64</v>
      </c>
      <c r="AT2410" s="3" t="s">
        <v>64</v>
      </c>
      <c r="AV2410" s="6" t="str">
        <f>HYPERLINK("http://mcgill.on.worldcat.org/oclc/721891521","Catalog Record")</f>
        <v>Catalog Record</v>
      </c>
      <c r="AW2410" s="6" t="str">
        <f>HYPERLINK("http://www.worldcat.org/oclc/721891521","WorldCat Record")</f>
        <v>WorldCat Record</v>
      </c>
      <c r="AX2410" s="3" t="s">
        <v>24495</v>
      </c>
      <c r="AY2410" s="3" t="s">
        <v>24496</v>
      </c>
      <c r="AZ2410" s="3" t="s">
        <v>24497</v>
      </c>
      <c r="BA2410" s="3" t="s">
        <v>24497</v>
      </c>
      <c r="BB2410" s="3" t="s">
        <v>24498</v>
      </c>
      <c r="BC2410" s="3" t="s">
        <v>77</v>
      </c>
      <c r="BD2410" s="3" t="s">
        <v>78</v>
      </c>
      <c r="BE2410" s="3" t="s">
        <v>24499</v>
      </c>
      <c r="BF2410" s="3" t="s">
        <v>24498</v>
      </c>
      <c r="BG2410" s="3" t="s">
        <v>24500</v>
      </c>
      <c r="BH2410">
        <f t="shared" si="59"/>
        <v>0</v>
      </c>
    </row>
    <row r="2411" spans="1:60" ht="58" x14ac:dyDescent="0.35">
      <c r="A2411" s="2" t="s">
        <v>59</v>
      </c>
      <c r="B2411" s="2" t="s">
        <v>60</v>
      </c>
      <c r="C2411" s="2" t="s">
        <v>24501</v>
      </c>
      <c r="D2411" s="2" t="s">
        <v>24502</v>
      </c>
      <c r="E2411" s="2" t="s">
        <v>24503</v>
      </c>
      <c r="G2411" s="3" t="s">
        <v>64</v>
      </c>
      <c r="I2411" s="3" t="s">
        <v>64</v>
      </c>
      <c r="J2411" s="3" t="s">
        <v>64</v>
      </c>
      <c r="K2411" s="3" t="s">
        <v>65</v>
      </c>
      <c r="L2411" s="2" t="s">
        <v>24504</v>
      </c>
      <c r="M2411" s="2" t="s">
        <v>24505</v>
      </c>
      <c r="N2411" s="3" t="s">
        <v>456</v>
      </c>
      <c r="P2411" s="3" t="s">
        <v>102</v>
      </c>
      <c r="Q2411" s="2" t="s">
        <v>24506</v>
      </c>
      <c r="R2411" s="3" t="s">
        <v>70</v>
      </c>
      <c r="S2411" s="4">
        <v>3</v>
      </c>
      <c r="T2411" s="4">
        <v>3</v>
      </c>
      <c r="U2411" s="5" t="s">
        <v>24507</v>
      </c>
      <c r="V2411" s="5" t="s">
        <v>24507</v>
      </c>
      <c r="W2411" s="5" t="s">
        <v>72</v>
      </c>
      <c r="X2411" s="5" t="s">
        <v>72</v>
      </c>
      <c r="Y2411" s="4">
        <v>30</v>
      </c>
      <c r="Z2411" s="4">
        <v>1</v>
      </c>
      <c r="AA2411" s="4">
        <v>1</v>
      </c>
      <c r="AB2411" s="4">
        <v>1</v>
      </c>
      <c r="AC2411" s="4">
        <v>1</v>
      </c>
      <c r="AD2411" s="4">
        <v>9</v>
      </c>
      <c r="AE2411" s="4">
        <v>9</v>
      </c>
      <c r="AF2411" s="4">
        <v>0</v>
      </c>
      <c r="AG2411" s="4">
        <v>0</v>
      </c>
      <c r="AH2411" s="4">
        <v>8</v>
      </c>
      <c r="AI2411" s="4">
        <v>8</v>
      </c>
      <c r="AJ2411" s="4">
        <v>0</v>
      </c>
      <c r="AK2411" s="4">
        <v>0</v>
      </c>
      <c r="AL2411" s="4">
        <v>5</v>
      </c>
      <c r="AM2411" s="4">
        <v>5</v>
      </c>
      <c r="AN2411" s="4">
        <v>0</v>
      </c>
      <c r="AO2411" s="4">
        <v>0</v>
      </c>
      <c r="AP2411" s="4">
        <v>0</v>
      </c>
      <c r="AQ2411" s="4">
        <v>0</v>
      </c>
      <c r="AR2411" s="3" t="s">
        <v>64</v>
      </c>
      <c r="AS2411" s="3" t="s">
        <v>64</v>
      </c>
      <c r="AT2411" s="3" t="s">
        <v>64</v>
      </c>
      <c r="AV2411" s="6" t="str">
        <f>HYPERLINK("http://mcgill.on.worldcat.org/oclc/3084043","Catalog Record")</f>
        <v>Catalog Record</v>
      </c>
      <c r="AW2411" s="6" t="str">
        <f>HYPERLINK("http://www.worldcat.org/oclc/3084043","WorldCat Record")</f>
        <v>WorldCat Record</v>
      </c>
      <c r="AX2411" s="3" t="s">
        <v>24508</v>
      </c>
      <c r="AY2411" s="3" t="s">
        <v>24509</v>
      </c>
      <c r="AZ2411" s="3" t="s">
        <v>24510</v>
      </c>
      <c r="BA2411" s="3" t="s">
        <v>24510</v>
      </c>
      <c r="BB2411" s="3" t="s">
        <v>24511</v>
      </c>
      <c r="BC2411" s="3" t="s">
        <v>77</v>
      </c>
      <c r="BD2411" s="3" t="s">
        <v>78</v>
      </c>
      <c r="BF2411" s="3" t="s">
        <v>24511</v>
      </c>
      <c r="BG2411" s="3" t="s">
        <v>24512</v>
      </c>
      <c r="BH2411">
        <f t="shared" si="59"/>
        <v>0</v>
      </c>
    </row>
    <row r="2412" spans="1:60" ht="87" x14ac:dyDescent="0.35">
      <c r="A2412" s="2" t="s">
        <v>59</v>
      </c>
      <c r="B2412" s="2" t="s">
        <v>60</v>
      </c>
      <c r="C2412" s="2" t="s">
        <v>24513</v>
      </c>
      <c r="D2412" s="2" t="s">
        <v>24514</v>
      </c>
      <c r="E2412" s="2" t="s">
        <v>24515</v>
      </c>
      <c r="G2412" s="3" t="s">
        <v>64</v>
      </c>
      <c r="I2412" s="3" t="s">
        <v>128</v>
      </c>
      <c r="J2412" s="3" t="s">
        <v>64</v>
      </c>
      <c r="K2412" s="3" t="s">
        <v>65</v>
      </c>
      <c r="L2412" s="2" t="s">
        <v>24516</v>
      </c>
      <c r="M2412" s="2" t="s">
        <v>24517</v>
      </c>
      <c r="N2412" s="3" t="s">
        <v>67</v>
      </c>
      <c r="P2412" s="3" t="s">
        <v>102</v>
      </c>
      <c r="R2412" s="3" t="s">
        <v>70</v>
      </c>
      <c r="S2412" s="4">
        <v>5</v>
      </c>
      <c r="T2412" s="4">
        <v>18</v>
      </c>
      <c r="U2412" s="5" t="s">
        <v>539</v>
      </c>
      <c r="V2412" s="5" t="s">
        <v>539</v>
      </c>
      <c r="W2412" s="5" t="s">
        <v>72</v>
      </c>
      <c r="X2412" s="5" t="s">
        <v>72</v>
      </c>
      <c r="Y2412" s="4">
        <v>6</v>
      </c>
      <c r="Z2412" s="4">
        <v>3</v>
      </c>
      <c r="AA2412" s="4">
        <v>4</v>
      </c>
      <c r="AB2412" s="4">
        <v>1</v>
      </c>
      <c r="AC2412" s="4">
        <v>1</v>
      </c>
      <c r="AD2412" s="4">
        <v>3</v>
      </c>
      <c r="AE2412" s="4">
        <v>4</v>
      </c>
      <c r="AF2412" s="4">
        <v>0</v>
      </c>
      <c r="AG2412" s="4">
        <v>0</v>
      </c>
      <c r="AH2412" s="4">
        <v>3</v>
      </c>
      <c r="AI2412" s="4">
        <v>3</v>
      </c>
      <c r="AJ2412" s="4">
        <v>2</v>
      </c>
      <c r="AK2412" s="4">
        <v>3</v>
      </c>
      <c r="AL2412" s="4">
        <v>1</v>
      </c>
      <c r="AM2412" s="4">
        <v>1</v>
      </c>
      <c r="AN2412" s="4">
        <v>0</v>
      </c>
      <c r="AO2412" s="4">
        <v>0</v>
      </c>
      <c r="AP2412" s="4">
        <v>2</v>
      </c>
      <c r="AQ2412" s="4">
        <v>2</v>
      </c>
      <c r="AR2412" s="3" t="s">
        <v>128</v>
      </c>
      <c r="AS2412" s="3" t="s">
        <v>64</v>
      </c>
      <c r="AT2412" s="3" t="s">
        <v>64</v>
      </c>
      <c r="AV2412" s="6" t="str">
        <f>HYPERLINK("http://mcgill.on.worldcat.org/oclc/895341231","Catalog Record")</f>
        <v>Catalog Record</v>
      </c>
      <c r="AW2412" s="6" t="str">
        <f>HYPERLINK("http://www.worldcat.org/oclc/895341231","WorldCat Record")</f>
        <v>WorldCat Record</v>
      </c>
      <c r="AX2412" s="3" t="s">
        <v>24518</v>
      </c>
      <c r="AY2412" s="3" t="s">
        <v>24519</v>
      </c>
      <c r="AZ2412" s="3" t="s">
        <v>24520</v>
      </c>
      <c r="BA2412" s="3" t="s">
        <v>24520</v>
      </c>
      <c r="BB2412" s="3" t="s">
        <v>24521</v>
      </c>
      <c r="BC2412" s="3" t="s">
        <v>77</v>
      </c>
      <c r="BD2412" s="3" t="s">
        <v>78</v>
      </c>
      <c r="BE2412" s="3" t="s">
        <v>24522</v>
      </c>
      <c r="BF2412" s="3" t="s">
        <v>24521</v>
      </c>
      <c r="BG2412" s="3" t="s">
        <v>24523</v>
      </c>
      <c r="BH2412">
        <f t="shared" si="59"/>
        <v>0</v>
      </c>
    </row>
    <row r="2413" spans="1:60" ht="58" x14ac:dyDescent="0.35">
      <c r="A2413" s="2" t="s">
        <v>59</v>
      </c>
      <c r="B2413" s="2" t="s">
        <v>60</v>
      </c>
      <c r="C2413" s="2" t="s">
        <v>24524</v>
      </c>
      <c r="D2413" s="2" t="s">
        <v>24525</v>
      </c>
      <c r="E2413" s="2" t="s">
        <v>24526</v>
      </c>
      <c r="G2413" s="3" t="s">
        <v>64</v>
      </c>
      <c r="I2413" s="3" t="s">
        <v>64</v>
      </c>
      <c r="J2413" s="3" t="s">
        <v>64</v>
      </c>
      <c r="K2413" s="3" t="s">
        <v>65</v>
      </c>
      <c r="L2413" s="2" t="s">
        <v>24527</v>
      </c>
      <c r="M2413" s="2" t="s">
        <v>24528</v>
      </c>
      <c r="N2413" s="3" t="s">
        <v>159</v>
      </c>
      <c r="P2413" s="3" t="s">
        <v>102</v>
      </c>
      <c r="Q2413" s="2" t="s">
        <v>24529</v>
      </c>
      <c r="R2413" s="3" t="s">
        <v>70</v>
      </c>
      <c r="S2413" s="4">
        <v>7</v>
      </c>
      <c r="T2413" s="4">
        <v>7</v>
      </c>
      <c r="U2413" s="5" t="s">
        <v>4300</v>
      </c>
      <c r="V2413" s="5" t="s">
        <v>4300</v>
      </c>
      <c r="W2413" s="5" t="s">
        <v>72</v>
      </c>
      <c r="X2413" s="5" t="s">
        <v>72</v>
      </c>
      <c r="Y2413" s="4">
        <v>417</v>
      </c>
      <c r="Z2413" s="4">
        <v>16</v>
      </c>
      <c r="AA2413" s="4">
        <v>17</v>
      </c>
      <c r="AB2413" s="4">
        <v>3</v>
      </c>
      <c r="AC2413" s="4">
        <v>4</v>
      </c>
      <c r="AD2413" s="4">
        <v>45</v>
      </c>
      <c r="AE2413" s="4">
        <v>56</v>
      </c>
      <c r="AF2413" s="4">
        <v>0</v>
      </c>
      <c r="AG2413" s="4">
        <v>0</v>
      </c>
      <c r="AH2413" s="4">
        <v>45</v>
      </c>
      <c r="AI2413" s="4">
        <v>56</v>
      </c>
      <c r="AJ2413" s="4">
        <v>2</v>
      </c>
      <c r="AK2413" s="4">
        <v>2</v>
      </c>
      <c r="AL2413" s="4">
        <v>25</v>
      </c>
      <c r="AM2413" s="4">
        <v>31</v>
      </c>
      <c r="AN2413" s="4">
        <v>0</v>
      </c>
      <c r="AO2413" s="4">
        <v>0</v>
      </c>
      <c r="AP2413" s="4">
        <v>2</v>
      </c>
      <c r="AQ2413" s="4">
        <v>2</v>
      </c>
      <c r="AR2413" s="3" t="s">
        <v>64</v>
      </c>
      <c r="AS2413" s="3" t="s">
        <v>64</v>
      </c>
      <c r="AT2413" s="3" t="s">
        <v>64</v>
      </c>
      <c r="AV2413" s="6" t="str">
        <f>HYPERLINK("http://mcgill.on.worldcat.org/oclc/49416178","Catalog Record")</f>
        <v>Catalog Record</v>
      </c>
      <c r="AW2413" s="6" t="str">
        <f>HYPERLINK("http://www.worldcat.org/oclc/49416178","WorldCat Record")</f>
        <v>WorldCat Record</v>
      </c>
      <c r="AX2413" s="3" t="s">
        <v>24530</v>
      </c>
      <c r="AY2413" s="3" t="s">
        <v>24531</v>
      </c>
      <c r="AZ2413" s="3" t="s">
        <v>24532</v>
      </c>
      <c r="BA2413" s="3" t="s">
        <v>24532</v>
      </c>
      <c r="BB2413" s="3" t="s">
        <v>24533</v>
      </c>
      <c r="BC2413" s="3" t="s">
        <v>77</v>
      </c>
      <c r="BD2413" s="3" t="s">
        <v>78</v>
      </c>
      <c r="BE2413" s="3" t="s">
        <v>24534</v>
      </c>
      <c r="BF2413" s="3" t="s">
        <v>24533</v>
      </c>
      <c r="BG2413" s="3" t="s">
        <v>24535</v>
      </c>
      <c r="BH2413">
        <f t="shared" si="59"/>
        <v>0</v>
      </c>
    </row>
    <row r="2414" spans="1:60" ht="58" x14ac:dyDescent="0.35">
      <c r="A2414" s="2" t="s">
        <v>59</v>
      </c>
      <c r="B2414" s="2" t="s">
        <v>60</v>
      </c>
      <c r="C2414" s="2" t="s">
        <v>24536</v>
      </c>
      <c r="D2414" s="2" t="s">
        <v>24537</v>
      </c>
      <c r="E2414" s="2" t="s">
        <v>24538</v>
      </c>
      <c r="G2414" s="3" t="s">
        <v>64</v>
      </c>
      <c r="I2414" s="3" t="s">
        <v>64</v>
      </c>
      <c r="J2414" s="3" t="s">
        <v>64</v>
      </c>
      <c r="K2414" s="3" t="s">
        <v>65</v>
      </c>
      <c r="M2414" s="2" t="s">
        <v>24539</v>
      </c>
      <c r="N2414" s="3" t="s">
        <v>253</v>
      </c>
      <c r="P2414" s="3" t="s">
        <v>102</v>
      </c>
      <c r="Q2414" s="2" t="s">
        <v>24540</v>
      </c>
      <c r="R2414" s="3" t="s">
        <v>70</v>
      </c>
      <c r="S2414" s="4">
        <v>8</v>
      </c>
      <c r="T2414" s="4">
        <v>8</v>
      </c>
      <c r="U2414" s="5" t="s">
        <v>24541</v>
      </c>
      <c r="V2414" s="5" t="s">
        <v>24541</v>
      </c>
      <c r="W2414" s="5" t="s">
        <v>72</v>
      </c>
      <c r="X2414" s="5" t="s">
        <v>72</v>
      </c>
      <c r="Y2414" s="4">
        <v>117</v>
      </c>
      <c r="Z2414" s="4">
        <v>13</v>
      </c>
      <c r="AA2414" s="4">
        <v>16</v>
      </c>
      <c r="AB2414" s="4">
        <v>1</v>
      </c>
      <c r="AC2414" s="4">
        <v>3</v>
      </c>
      <c r="AD2414" s="4">
        <v>51</v>
      </c>
      <c r="AE2414" s="4">
        <v>55</v>
      </c>
      <c r="AF2414" s="4">
        <v>0</v>
      </c>
      <c r="AG2414" s="4">
        <v>0</v>
      </c>
      <c r="AH2414" s="4">
        <v>44</v>
      </c>
      <c r="AI2414" s="4">
        <v>47</v>
      </c>
      <c r="AJ2414" s="4">
        <v>8</v>
      </c>
      <c r="AK2414" s="4">
        <v>9</v>
      </c>
      <c r="AL2414" s="4">
        <v>32</v>
      </c>
      <c r="AM2414" s="4">
        <v>33</v>
      </c>
      <c r="AN2414" s="4">
        <v>0</v>
      </c>
      <c r="AO2414" s="4">
        <v>0</v>
      </c>
      <c r="AP2414" s="4">
        <v>10</v>
      </c>
      <c r="AQ2414" s="4">
        <v>11</v>
      </c>
      <c r="AR2414" s="3" t="s">
        <v>64</v>
      </c>
      <c r="AS2414" s="3" t="s">
        <v>64</v>
      </c>
      <c r="AT2414" s="3" t="s">
        <v>64</v>
      </c>
      <c r="AV2414" s="6" t="str">
        <f>HYPERLINK("http://mcgill.on.worldcat.org/oclc/898113438","Catalog Record")</f>
        <v>Catalog Record</v>
      </c>
      <c r="AW2414" s="6" t="str">
        <f>HYPERLINK("http://www.worldcat.org/oclc/898113438","WorldCat Record")</f>
        <v>WorldCat Record</v>
      </c>
      <c r="AX2414" s="3" t="s">
        <v>24542</v>
      </c>
      <c r="AY2414" s="3" t="s">
        <v>24543</v>
      </c>
      <c r="AZ2414" s="3" t="s">
        <v>24544</v>
      </c>
      <c r="BA2414" s="3" t="s">
        <v>24544</v>
      </c>
      <c r="BB2414" s="3" t="s">
        <v>24545</v>
      </c>
      <c r="BC2414" s="3" t="s">
        <v>77</v>
      </c>
      <c r="BD2414" s="3" t="s">
        <v>78</v>
      </c>
      <c r="BE2414" s="3" t="s">
        <v>24546</v>
      </c>
      <c r="BF2414" s="3" t="s">
        <v>24545</v>
      </c>
      <c r="BG2414" s="3" t="s">
        <v>24547</v>
      </c>
      <c r="BH2414">
        <f t="shared" si="59"/>
        <v>0</v>
      </c>
    </row>
    <row r="2415" spans="1:60" ht="58" x14ac:dyDescent="0.35">
      <c r="A2415" s="2" t="s">
        <v>59</v>
      </c>
      <c r="B2415" s="2" t="s">
        <v>60</v>
      </c>
      <c r="C2415" s="2" t="s">
        <v>24548</v>
      </c>
      <c r="D2415" s="2" t="s">
        <v>24549</v>
      </c>
      <c r="E2415" s="2" t="s">
        <v>24550</v>
      </c>
      <c r="G2415" s="3" t="s">
        <v>64</v>
      </c>
      <c r="I2415" s="3" t="s">
        <v>64</v>
      </c>
      <c r="J2415" s="3" t="s">
        <v>64</v>
      </c>
      <c r="K2415" s="3" t="s">
        <v>65</v>
      </c>
      <c r="L2415" s="2" t="s">
        <v>24551</v>
      </c>
      <c r="M2415" s="2" t="s">
        <v>24552</v>
      </c>
      <c r="N2415" s="3" t="s">
        <v>1031</v>
      </c>
      <c r="O2415" s="2" t="s">
        <v>24553</v>
      </c>
      <c r="P2415" s="3" t="s">
        <v>102</v>
      </c>
      <c r="Q2415" s="2" t="s">
        <v>24554</v>
      </c>
      <c r="R2415" s="3" t="s">
        <v>70</v>
      </c>
      <c r="S2415" s="4">
        <v>1</v>
      </c>
      <c r="T2415" s="4">
        <v>1</v>
      </c>
      <c r="U2415" s="5" t="s">
        <v>24555</v>
      </c>
      <c r="V2415" s="5" t="s">
        <v>24555</v>
      </c>
      <c r="W2415" s="5" t="s">
        <v>72</v>
      </c>
      <c r="X2415" s="5" t="s">
        <v>72</v>
      </c>
      <c r="Y2415" s="4">
        <v>10</v>
      </c>
      <c r="Z2415" s="4">
        <v>10</v>
      </c>
      <c r="AA2415" s="4">
        <v>43</v>
      </c>
      <c r="AB2415" s="4">
        <v>1</v>
      </c>
      <c r="AC2415" s="4">
        <v>9</v>
      </c>
      <c r="AD2415" s="4">
        <v>7</v>
      </c>
      <c r="AE2415" s="4">
        <v>52</v>
      </c>
      <c r="AF2415" s="4">
        <v>0</v>
      </c>
      <c r="AG2415" s="4">
        <v>3</v>
      </c>
      <c r="AH2415" s="4">
        <v>4</v>
      </c>
      <c r="AI2415" s="4">
        <v>31</v>
      </c>
      <c r="AJ2415" s="4">
        <v>5</v>
      </c>
      <c r="AK2415" s="4">
        <v>20</v>
      </c>
      <c r="AL2415" s="4">
        <v>1</v>
      </c>
      <c r="AM2415" s="4">
        <v>17</v>
      </c>
      <c r="AN2415" s="4">
        <v>0</v>
      </c>
      <c r="AO2415" s="4">
        <v>0</v>
      </c>
      <c r="AP2415" s="4">
        <v>7</v>
      </c>
      <c r="AQ2415" s="4">
        <v>28</v>
      </c>
      <c r="AR2415" s="3" t="s">
        <v>128</v>
      </c>
      <c r="AS2415" s="3" t="s">
        <v>64</v>
      </c>
      <c r="AT2415" s="3" t="s">
        <v>64</v>
      </c>
      <c r="AV2415" s="6" t="str">
        <f>HYPERLINK("http://mcgill.on.worldcat.org/oclc/270871474","Catalog Record")</f>
        <v>Catalog Record</v>
      </c>
      <c r="AW2415" s="6" t="str">
        <f>HYPERLINK("http://www.worldcat.org/oclc/270871474","WorldCat Record")</f>
        <v>WorldCat Record</v>
      </c>
      <c r="AX2415" s="3" t="s">
        <v>24556</v>
      </c>
      <c r="AY2415" s="3" t="s">
        <v>24557</v>
      </c>
      <c r="AZ2415" s="3" t="s">
        <v>24558</v>
      </c>
      <c r="BA2415" s="3" t="s">
        <v>24558</v>
      </c>
      <c r="BB2415" s="3" t="s">
        <v>24559</v>
      </c>
      <c r="BC2415" s="3" t="s">
        <v>77</v>
      </c>
      <c r="BD2415" s="3" t="s">
        <v>78</v>
      </c>
      <c r="BE2415" s="3" t="s">
        <v>24560</v>
      </c>
      <c r="BF2415" s="3" t="s">
        <v>24559</v>
      </c>
      <c r="BG2415" s="3" t="s">
        <v>24561</v>
      </c>
      <c r="BH2415">
        <f t="shared" si="59"/>
        <v>0</v>
      </c>
    </row>
    <row r="2416" spans="1:60" ht="58" x14ac:dyDescent="0.35">
      <c r="A2416" s="2" t="s">
        <v>59</v>
      </c>
      <c r="B2416" s="2" t="s">
        <v>60</v>
      </c>
      <c r="C2416" s="2" t="s">
        <v>24562</v>
      </c>
      <c r="D2416" s="2" t="s">
        <v>24563</v>
      </c>
      <c r="E2416" s="2" t="s">
        <v>24564</v>
      </c>
      <c r="G2416" s="3" t="s">
        <v>64</v>
      </c>
      <c r="I2416" s="3" t="s">
        <v>64</v>
      </c>
      <c r="J2416" s="3" t="s">
        <v>64</v>
      </c>
      <c r="K2416" s="3" t="s">
        <v>65</v>
      </c>
      <c r="L2416" s="2" t="s">
        <v>24565</v>
      </c>
      <c r="M2416" s="2" t="s">
        <v>24566</v>
      </c>
      <c r="N2416" s="3" t="s">
        <v>3047</v>
      </c>
      <c r="P2416" s="3" t="s">
        <v>102</v>
      </c>
      <c r="Q2416" s="2" t="s">
        <v>24567</v>
      </c>
      <c r="R2416" s="3" t="s">
        <v>70</v>
      </c>
      <c r="S2416" s="4">
        <v>6</v>
      </c>
      <c r="T2416" s="4">
        <v>6</v>
      </c>
      <c r="U2416" s="5" t="s">
        <v>243</v>
      </c>
      <c r="V2416" s="5" t="s">
        <v>243</v>
      </c>
      <c r="W2416" s="5" t="s">
        <v>72</v>
      </c>
      <c r="X2416" s="5" t="s">
        <v>72</v>
      </c>
      <c r="Y2416" s="4">
        <v>163</v>
      </c>
      <c r="Z2416" s="4">
        <v>12</v>
      </c>
      <c r="AA2416" s="4">
        <v>13</v>
      </c>
      <c r="AB2416" s="4">
        <v>1</v>
      </c>
      <c r="AC2416" s="4">
        <v>2</v>
      </c>
      <c r="AD2416" s="4">
        <v>52</v>
      </c>
      <c r="AE2416" s="4">
        <v>53</v>
      </c>
      <c r="AF2416" s="4">
        <v>0</v>
      </c>
      <c r="AG2416" s="4">
        <v>1</v>
      </c>
      <c r="AH2416" s="4">
        <v>44</v>
      </c>
      <c r="AI2416" s="4">
        <v>44</v>
      </c>
      <c r="AJ2416" s="4">
        <v>7</v>
      </c>
      <c r="AK2416" s="4">
        <v>8</v>
      </c>
      <c r="AL2416" s="4">
        <v>23</v>
      </c>
      <c r="AM2416" s="4">
        <v>23</v>
      </c>
      <c r="AN2416" s="4">
        <v>0</v>
      </c>
      <c r="AO2416" s="4">
        <v>0</v>
      </c>
      <c r="AP2416" s="4">
        <v>9</v>
      </c>
      <c r="AQ2416" s="4">
        <v>9</v>
      </c>
      <c r="AR2416" s="3" t="s">
        <v>64</v>
      </c>
      <c r="AS2416" s="3" t="s">
        <v>64</v>
      </c>
      <c r="AT2416" s="3" t="s">
        <v>128</v>
      </c>
      <c r="AU2416" s="6" t="str">
        <f>HYPERLINK("http://catalog.hathitrust.org/Record/000817094","HathiTrust Record")</f>
        <v>HathiTrust Record</v>
      </c>
      <c r="AV2416" s="6" t="str">
        <f>HYPERLINK("http://mcgill.on.worldcat.org/oclc/15016732","Catalog Record")</f>
        <v>Catalog Record</v>
      </c>
      <c r="AW2416" s="6" t="str">
        <f>HYPERLINK("http://www.worldcat.org/oclc/15016732","WorldCat Record")</f>
        <v>WorldCat Record</v>
      </c>
      <c r="AX2416" s="3" t="s">
        <v>24568</v>
      </c>
      <c r="AY2416" s="3" t="s">
        <v>24569</v>
      </c>
      <c r="AZ2416" s="3" t="s">
        <v>24570</v>
      </c>
      <c r="BA2416" s="3" t="s">
        <v>24570</v>
      </c>
      <c r="BB2416" s="3" t="s">
        <v>24571</v>
      </c>
      <c r="BC2416" s="3" t="s">
        <v>77</v>
      </c>
      <c r="BD2416" s="3" t="s">
        <v>78</v>
      </c>
      <c r="BE2416" s="3" t="s">
        <v>24572</v>
      </c>
      <c r="BF2416" s="3" t="s">
        <v>24571</v>
      </c>
      <c r="BG2416" s="3" t="s">
        <v>24573</v>
      </c>
      <c r="BH2416">
        <f t="shared" si="59"/>
        <v>0</v>
      </c>
    </row>
    <row r="2417" spans="1:60" ht="58" x14ac:dyDescent="0.35">
      <c r="A2417" s="2" t="s">
        <v>59</v>
      </c>
      <c r="B2417" s="2" t="s">
        <v>60</v>
      </c>
      <c r="C2417" s="2" t="s">
        <v>24574</v>
      </c>
      <c r="D2417" s="2" t="s">
        <v>24575</v>
      </c>
      <c r="E2417" s="2" t="s">
        <v>24576</v>
      </c>
      <c r="G2417" s="3" t="s">
        <v>64</v>
      </c>
      <c r="I2417" s="3" t="s">
        <v>64</v>
      </c>
      <c r="J2417" s="3" t="s">
        <v>64</v>
      </c>
      <c r="K2417" s="3" t="s">
        <v>65</v>
      </c>
      <c r="L2417" s="2" t="s">
        <v>24577</v>
      </c>
      <c r="M2417" s="2" t="s">
        <v>24578</v>
      </c>
      <c r="N2417" s="3" t="s">
        <v>898</v>
      </c>
      <c r="P2417" s="3" t="s">
        <v>102</v>
      </c>
      <c r="Q2417" s="2" t="s">
        <v>24579</v>
      </c>
      <c r="R2417" s="3" t="s">
        <v>70</v>
      </c>
      <c r="S2417" s="4">
        <v>1</v>
      </c>
      <c r="T2417" s="4">
        <v>1</v>
      </c>
      <c r="U2417" s="5" t="s">
        <v>16007</v>
      </c>
      <c r="V2417" s="5" t="s">
        <v>16007</v>
      </c>
      <c r="W2417" s="5" t="s">
        <v>72</v>
      </c>
      <c r="X2417" s="5" t="s">
        <v>72</v>
      </c>
      <c r="Y2417" s="4">
        <v>16</v>
      </c>
      <c r="Z2417" s="4">
        <v>3</v>
      </c>
      <c r="AA2417" s="4">
        <v>3</v>
      </c>
      <c r="AB2417" s="4">
        <v>1</v>
      </c>
      <c r="AC2417" s="4">
        <v>1</v>
      </c>
      <c r="AD2417" s="4">
        <v>12</v>
      </c>
      <c r="AE2417" s="4">
        <v>13</v>
      </c>
      <c r="AF2417" s="4">
        <v>0</v>
      </c>
      <c r="AG2417" s="4">
        <v>0</v>
      </c>
      <c r="AH2417" s="4">
        <v>12</v>
      </c>
      <c r="AI2417" s="4">
        <v>13</v>
      </c>
      <c r="AJ2417" s="4">
        <v>1</v>
      </c>
      <c r="AK2417" s="4">
        <v>1</v>
      </c>
      <c r="AL2417" s="4">
        <v>7</v>
      </c>
      <c r="AM2417" s="4">
        <v>7</v>
      </c>
      <c r="AN2417" s="4">
        <v>0</v>
      </c>
      <c r="AO2417" s="4">
        <v>0</v>
      </c>
      <c r="AP2417" s="4">
        <v>1</v>
      </c>
      <c r="AQ2417" s="4">
        <v>1</v>
      </c>
      <c r="AR2417" s="3" t="s">
        <v>64</v>
      </c>
      <c r="AS2417" s="3" t="s">
        <v>64</v>
      </c>
      <c r="AT2417" s="3" t="s">
        <v>128</v>
      </c>
      <c r="AU2417" s="6" t="str">
        <f>HYPERLINK("http://catalog.hathitrust.org/Record/101682954","HathiTrust Record")</f>
        <v>HathiTrust Record</v>
      </c>
      <c r="AV2417" s="6" t="str">
        <f>HYPERLINK("http://mcgill.on.worldcat.org/oclc/7239288","Catalog Record")</f>
        <v>Catalog Record</v>
      </c>
      <c r="AW2417" s="6" t="str">
        <f>HYPERLINK("http://www.worldcat.org/oclc/7239288","WorldCat Record")</f>
        <v>WorldCat Record</v>
      </c>
      <c r="AX2417" s="3" t="s">
        <v>24580</v>
      </c>
      <c r="AY2417" s="3" t="s">
        <v>24581</v>
      </c>
      <c r="AZ2417" s="3" t="s">
        <v>24582</v>
      </c>
      <c r="BA2417" s="3" t="s">
        <v>24582</v>
      </c>
      <c r="BB2417" s="3" t="s">
        <v>24583</v>
      </c>
      <c r="BC2417" s="3" t="s">
        <v>77</v>
      </c>
      <c r="BD2417" s="3" t="s">
        <v>78</v>
      </c>
      <c r="BF2417" s="3" t="s">
        <v>24583</v>
      </c>
      <c r="BG2417" s="3" t="s">
        <v>24584</v>
      </c>
      <c r="BH2417">
        <f t="shared" si="59"/>
        <v>0</v>
      </c>
    </row>
    <row r="2418" spans="1:60" ht="58" x14ac:dyDescent="0.35">
      <c r="A2418" s="2" t="s">
        <v>59</v>
      </c>
      <c r="B2418" s="2" t="s">
        <v>60</v>
      </c>
      <c r="C2418" s="2" t="s">
        <v>24585</v>
      </c>
      <c r="D2418" s="2" t="s">
        <v>24586</v>
      </c>
      <c r="E2418" s="2" t="s">
        <v>24587</v>
      </c>
      <c r="G2418" s="3" t="s">
        <v>64</v>
      </c>
      <c r="I2418" s="3" t="s">
        <v>64</v>
      </c>
      <c r="J2418" s="3" t="s">
        <v>64</v>
      </c>
      <c r="K2418" s="3" t="s">
        <v>65</v>
      </c>
      <c r="M2418" s="2" t="s">
        <v>14376</v>
      </c>
      <c r="N2418" s="3" t="s">
        <v>551</v>
      </c>
      <c r="P2418" s="3" t="s">
        <v>102</v>
      </c>
      <c r="R2418" s="3" t="s">
        <v>70</v>
      </c>
      <c r="S2418" s="4">
        <v>3</v>
      </c>
      <c r="T2418" s="4">
        <v>3</v>
      </c>
      <c r="U2418" s="5" t="s">
        <v>19679</v>
      </c>
      <c r="V2418" s="5" t="s">
        <v>19679</v>
      </c>
      <c r="W2418" s="5" t="s">
        <v>72</v>
      </c>
      <c r="X2418" s="5" t="s">
        <v>72</v>
      </c>
      <c r="Y2418" s="4">
        <v>274</v>
      </c>
      <c r="Z2418" s="4">
        <v>25</v>
      </c>
      <c r="AA2418" s="4">
        <v>55</v>
      </c>
      <c r="AB2418" s="4">
        <v>5</v>
      </c>
      <c r="AC2418" s="4">
        <v>10</v>
      </c>
      <c r="AD2418" s="4">
        <v>67</v>
      </c>
      <c r="AE2418" s="4">
        <v>78</v>
      </c>
      <c r="AF2418" s="4">
        <v>2</v>
      </c>
      <c r="AG2418" s="4">
        <v>2</v>
      </c>
      <c r="AH2418" s="4">
        <v>58</v>
      </c>
      <c r="AI2418" s="4">
        <v>66</v>
      </c>
      <c r="AJ2418" s="4">
        <v>11</v>
      </c>
      <c r="AK2418" s="4">
        <v>12</v>
      </c>
      <c r="AL2418" s="4">
        <v>32</v>
      </c>
      <c r="AM2418" s="4">
        <v>34</v>
      </c>
      <c r="AN2418" s="4">
        <v>0</v>
      </c>
      <c r="AO2418" s="4">
        <v>0</v>
      </c>
      <c r="AP2418" s="4">
        <v>16</v>
      </c>
      <c r="AQ2418" s="4">
        <v>20</v>
      </c>
      <c r="AR2418" s="3" t="s">
        <v>64</v>
      </c>
      <c r="AS2418" s="3" t="s">
        <v>64</v>
      </c>
      <c r="AT2418" s="3" t="s">
        <v>128</v>
      </c>
      <c r="AU2418" s="6" t="str">
        <f>HYPERLINK("http://catalog.hathitrust.org/Record/006305210","HathiTrust Record")</f>
        <v>HathiTrust Record</v>
      </c>
      <c r="AV2418" s="6" t="str">
        <f>HYPERLINK("http://mcgill.on.worldcat.org/oclc/235945905","Catalog Record")</f>
        <v>Catalog Record</v>
      </c>
      <c r="AW2418" s="6" t="str">
        <f>HYPERLINK("http://www.worldcat.org/oclc/235945905","WorldCat Record")</f>
        <v>WorldCat Record</v>
      </c>
      <c r="AX2418" s="3" t="s">
        <v>24588</v>
      </c>
      <c r="AY2418" s="3" t="s">
        <v>24589</v>
      </c>
      <c r="AZ2418" s="3" t="s">
        <v>24590</v>
      </c>
      <c r="BA2418" s="3" t="s">
        <v>24590</v>
      </c>
      <c r="BB2418" s="3" t="s">
        <v>24591</v>
      </c>
      <c r="BC2418" s="3" t="s">
        <v>77</v>
      </c>
      <c r="BD2418" s="3" t="s">
        <v>78</v>
      </c>
      <c r="BE2418" s="3" t="s">
        <v>24592</v>
      </c>
      <c r="BF2418" s="3" t="s">
        <v>24591</v>
      </c>
      <c r="BG2418" s="3" t="s">
        <v>24593</v>
      </c>
      <c r="BH2418">
        <f t="shared" si="59"/>
        <v>0</v>
      </c>
    </row>
    <row r="2419" spans="1:60" ht="58" x14ac:dyDescent="0.35">
      <c r="A2419" s="2" t="s">
        <v>59</v>
      </c>
      <c r="B2419" s="2" t="s">
        <v>60</v>
      </c>
      <c r="C2419" s="2" t="s">
        <v>24594</v>
      </c>
      <c r="D2419" s="2" t="s">
        <v>24595</v>
      </c>
      <c r="E2419" s="2" t="s">
        <v>24596</v>
      </c>
      <c r="G2419" s="3" t="s">
        <v>64</v>
      </c>
      <c r="I2419" s="3" t="s">
        <v>64</v>
      </c>
      <c r="J2419" s="3" t="s">
        <v>64</v>
      </c>
      <c r="K2419" s="3" t="s">
        <v>65</v>
      </c>
      <c r="L2419" s="2" t="s">
        <v>24597</v>
      </c>
      <c r="M2419" s="2" t="s">
        <v>9226</v>
      </c>
      <c r="N2419" s="3" t="s">
        <v>511</v>
      </c>
      <c r="P2419" s="3" t="s">
        <v>102</v>
      </c>
      <c r="Q2419" s="2" t="s">
        <v>8981</v>
      </c>
      <c r="R2419" s="3" t="s">
        <v>70</v>
      </c>
      <c r="S2419" s="4">
        <v>3</v>
      </c>
      <c r="T2419" s="4">
        <v>3</v>
      </c>
      <c r="U2419" s="5" t="s">
        <v>21991</v>
      </c>
      <c r="V2419" s="5" t="s">
        <v>21991</v>
      </c>
      <c r="W2419" s="5" t="s">
        <v>72</v>
      </c>
      <c r="X2419" s="5" t="s">
        <v>72</v>
      </c>
      <c r="Y2419" s="4">
        <v>131</v>
      </c>
      <c r="Z2419" s="4">
        <v>15</v>
      </c>
      <c r="AA2419" s="4">
        <v>28</v>
      </c>
      <c r="AB2419" s="4">
        <v>2</v>
      </c>
      <c r="AC2419" s="4">
        <v>6</v>
      </c>
      <c r="AD2419" s="4">
        <v>26</v>
      </c>
      <c r="AE2419" s="4">
        <v>52</v>
      </c>
      <c r="AF2419" s="4">
        <v>0</v>
      </c>
      <c r="AG2419" s="4">
        <v>2</v>
      </c>
      <c r="AH2419" s="4">
        <v>23</v>
      </c>
      <c r="AI2419" s="4">
        <v>42</v>
      </c>
      <c r="AJ2419" s="4">
        <v>8</v>
      </c>
      <c r="AK2419" s="4">
        <v>13</v>
      </c>
      <c r="AL2419" s="4">
        <v>16</v>
      </c>
      <c r="AM2419" s="4">
        <v>24</v>
      </c>
      <c r="AN2419" s="4">
        <v>0</v>
      </c>
      <c r="AO2419" s="4">
        <v>0</v>
      </c>
      <c r="AP2419" s="4">
        <v>9</v>
      </c>
      <c r="AQ2419" s="4">
        <v>16</v>
      </c>
      <c r="AR2419" s="3" t="s">
        <v>64</v>
      </c>
      <c r="AS2419" s="3" t="s">
        <v>64</v>
      </c>
      <c r="AT2419" s="3" t="s">
        <v>64</v>
      </c>
      <c r="AV2419" s="6" t="str">
        <f>HYPERLINK("http://mcgill.on.worldcat.org/oclc/701103467","Catalog Record")</f>
        <v>Catalog Record</v>
      </c>
      <c r="AW2419" s="6" t="str">
        <f>HYPERLINK("http://www.worldcat.org/oclc/701103467","WorldCat Record")</f>
        <v>WorldCat Record</v>
      </c>
      <c r="AX2419" s="3" t="s">
        <v>24598</v>
      </c>
      <c r="AY2419" s="3" t="s">
        <v>24599</v>
      </c>
      <c r="AZ2419" s="3" t="s">
        <v>24600</v>
      </c>
      <c r="BA2419" s="3" t="s">
        <v>24600</v>
      </c>
      <c r="BB2419" s="3" t="s">
        <v>24601</v>
      </c>
      <c r="BC2419" s="3" t="s">
        <v>77</v>
      </c>
      <c r="BD2419" s="3" t="s">
        <v>78</v>
      </c>
      <c r="BE2419" s="3" t="s">
        <v>24602</v>
      </c>
      <c r="BF2419" s="3" t="s">
        <v>24601</v>
      </c>
      <c r="BG2419" s="3" t="s">
        <v>24603</v>
      </c>
      <c r="BH2419">
        <f t="shared" si="59"/>
        <v>0</v>
      </c>
    </row>
    <row r="2420" spans="1:60" ht="58" x14ac:dyDescent="0.35">
      <c r="A2420" s="2" t="s">
        <v>59</v>
      </c>
      <c r="B2420" s="2" t="s">
        <v>60</v>
      </c>
      <c r="C2420" s="2" t="s">
        <v>24604</v>
      </c>
      <c r="D2420" s="2" t="s">
        <v>24605</v>
      </c>
      <c r="E2420" s="2" t="s">
        <v>24606</v>
      </c>
      <c r="G2420" s="3" t="s">
        <v>64</v>
      </c>
      <c r="I2420" s="3" t="s">
        <v>64</v>
      </c>
      <c r="J2420" s="3" t="s">
        <v>64</v>
      </c>
      <c r="K2420" s="3" t="s">
        <v>65</v>
      </c>
      <c r="L2420" s="2" t="s">
        <v>24607</v>
      </c>
      <c r="M2420" s="2" t="s">
        <v>18400</v>
      </c>
      <c r="N2420" s="3" t="s">
        <v>253</v>
      </c>
      <c r="P2420" s="3" t="s">
        <v>102</v>
      </c>
      <c r="Q2420" s="2" t="s">
        <v>18390</v>
      </c>
      <c r="R2420" s="3" t="s">
        <v>70</v>
      </c>
      <c r="S2420" s="4">
        <v>2</v>
      </c>
      <c r="T2420" s="4">
        <v>2</v>
      </c>
      <c r="U2420" s="5" t="s">
        <v>19679</v>
      </c>
      <c r="V2420" s="5" t="s">
        <v>19679</v>
      </c>
      <c r="W2420" s="5" t="s">
        <v>72</v>
      </c>
      <c r="X2420" s="5" t="s">
        <v>72</v>
      </c>
      <c r="Y2420" s="4">
        <v>269</v>
      </c>
      <c r="Z2420" s="4">
        <v>12</v>
      </c>
      <c r="AA2420" s="4">
        <v>15</v>
      </c>
      <c r="AB2420" s="4">
        <v>1</v>
      </c>
      <c r="AC2420" s="4">
        <v>4</v>
      </c>
      <c r="AD2420" s="4">
        <v>44</v>
      </c>
      <c r="AE2420" s="4">
        <v>45</v>
      </c>
      <c r="AF2420" s="4">
        <v>0</v>
      </c>
      <c r="AG2420" s="4">
        <v>1</v>
      </c>
      <c r="AH2420" s="4">
        <v>43</v>
      </c>
      <c r="AI2420" s="4">
        <v>43</v>
      </c>
      <c r="AJ2420" s="4">
        <v>4</v>
      </c>
      <c r="AK2420" s="4">
        <v>5</v>
      </c>
      <c r="AL2420" s="4">
        <v>22</v>
      </c>
      <c r="AM2420" s="4">
        <v>22</v>
      </c>
      <c r="AN2420" s="4">
        <v>0</v>
      </c>
      <c r="AO2420" s="4">
        <v>0</v>
      </c>
      <c r="AP2420" s="4">
        <v>3</v>
      </c>
      <c r="AQ2420" s="4">
        <v>3</v>
      </c>
      <c r="AR2420" s="3" t="s">
        <v>64</v>
      </c>
      <c r="AS2420" s="3" t="s">
        <v>64</v>
      </c>
      <c r="AT2420" s="3" t="s">
        <v>64</v>
      </c>
      <c r="AV2420" s="6" t="str">
        <f>HYPERLINK("http://mcgill.on.worldcat.org/oclc/894201386","Catalog Record")</f>
        <v>Catalog Record</v>
      </c>
      <c r="AW2420" s="6" t="str">
        <f>HYPERLINK("http://www.worldcat.org/oclc/894201386","WorldCat Record")</f>
        <v>WorldCat Record</v>
      </c>
      <c r="AX2420" s="3" t="s">
        <v>24608</v>
      </c>
      <c r="AY2420" s="3" t="s">
        <v>24609</v>
      </c>
      <c r="AZ2420" s="3" t="s">
        <v>24610</v>
      </c>
      <c r="BA2420" s="3" t="s">
        <v>24610</v>
      </c>
      <c r="BB2420" s="3" t="s">
        <v>24611</v>
      </c>
      <c r="BC2420" s="3" t="s">
        <v>77</v>
      </c>
      <c r="BD2420" s="3" t="s">
        <v>78</v>
      </c>
      <c r="BE2420" s="3" t="s">
        <v>24612</v>
      </c>
      <c r="BF2420" s="3" t="s">
        <v>24611</v>
      </c>
      <c r="BG2420" s="3" t="s">
        <v>24613</v>
      </c>
      <c r="BH2420">
        <f t="shared" si="59"/>
        <v>0</v>
      </c>
    </row>
    <row r="2421" spans="1:60" ht="58" x14ac:dyDescent="0.35">
      <c r="A2421" s="2" t="s">
        <v>59</v>
      </c>
      <c r="B2421" s="2" t="s">
        <v>60</v>
      </c>
      <c r="C2421" s="2" t="s">
        <v>24614</v>
      </c>
      <c r="D2421" s="2" t="s">
        <v>24615</v>
      </c>
      <c r="E2421" s="2" t="s">
        <v>24616</v>
      </c>
      <c r="G2421" s="3" t="s">
        <v>64</v>
      </c>
      <c r="I2421" s="3" t="s">
        <v>64</v>
      </c>
      <c r="J2421" s="3" t="s">
        <v>64</v>
      </c>
      <c r="K2421" s="3" t="s">
        <v>65</v>
      </c>
      <c r="L2421" s="2" t="s">
        <v>24617</v>
      </c>
      <c r="M2421" s="2" t="s">
        <v>18533</v>
      </c>
      <c r="N2421" s="3" t="s">
        <v>578</v>
      </c>
      <c r="P2421" s="3" t="s">
        <v>102</v>
      </c>
      <c r="R2421" s="3" t="s">
        <v>70</v>
      </c>
      <c r="S2421" s="4">
        <v>3</v>
      </c>
      <c r="T2421" s="4">
        <v>3</v>
      </c>
      <c r="U2421" s="5" t="s">
        <v>15927</v>
      </c>
      <c r="V2421" s="5" t="s">
        <v>15927</v>
      </c>
      <c r="W2421" s="5" t="s">
        <v>72</v>
      </c>
      <c r="X2421" s="5" t="s">
        <v>72</v>
      </c>
      <c r="Y2421" s="4">
        <v>182</v>
      </c>
      <c r="Z2421" s="4">
        <v>3</v>
      </c>
      <c r="AA2421" s="4">
        <v>76</v>
      </c>
      <c r="AB2421" s="4">
        <v>1</v>
      </c>
      <c r="AC2421" s="4">
        <v>15</v>
      </c>
      <c r="AD2421" s="4">
        <v>51</v>
      </c>
      <c r="AE2421" s="4">
        <v>106</v>
      </c>
      <c r="AF2421" s="4">
        <v>0</v>
      </c>
      <c r="AG2421" s="4">
        <v>8</v>
      </c>
      <c r="AH2421" s="4">
        <v>49</v>
      </c>
      <c r="AI2421" s="4">
        <v>75</v>
      </c>
      <c r="AJ2421" s="4">
        <v>2</v>
      </c>
      <c r="AK2421" s="4">
        <v>18</v>
      </c>
      <c r="AL2421" s="4">
        <v>28</v>
      </c>
      <c r="AM2421" s="4">
        <v>40</v>
      </c>
      <c r="AN2421" s="4">
        <v>0</v>
      </c>
      <c r="AO2421" s="4">
        <v>0</v>
      </c>
      <c r="AP2421" s="4">
        <v>2</v>
      </c>
      <c r="AQ2421" s="4">
        <v>37</v>
      </c>
      <c r="AR2421" s="3" t="s">
        <v>64</v>
      </c>
      <c r="AS2421" s="3" t="s">
        <v>64</v>
      </c>
      <c r="AT2421" s="3" t="s">
        <v>64</v>
      </c>
      <c r="AV2421" s="6" t="str">
        <f>HYPERLINK("http://mcgill.on.worldcat.org/oclc/957134218","Catalog Record")</f>
        <v>Catalog Record</v>
      </c>
      <c r="AW2421" s="6" t="str">
        <f>HYPERLINK("http://www.worldcat.org/oclc/957134218","WorldCat Record")</f>
        <v>WorldCat Record</v>
      </c>
      <c r="AX2421" s="3" t="s">
        <v>24618</v>
      </c>
      <c r="AY2421" s="3" t="s">
        <v>24619</v>
      </c>
      <c r="AZ2421" s="3" t="s">
        <v>24620</v>
      </c>
      <c r="BA2421" s="3" t="s">
        <v>24620</v>
      </c>
      <c r="BB2421" s="3" t="s">
        <v>24621</v>
      </c>
      <c r="BC2421" s="3" t="s">
        <v>77</v>
      </c>
      <c r="BD2421" s="3" t="s">
        <v>78</v>
      </c>
      <c r="BE2421" s="3" t="s">
        <v>24622</v>
      </c>
      <c r="BF2421" s="3" t="s">
        <v>24621</v>
      </c>
      <c r="BG2421" s="3" t="s">
        <v>24623</v>
      </c>
      <c r="BH2421">
        <f t="shared" si="59"/>
        <v>0</v>
      </c>
    </row>
    <row r="2422" spans="1:60" ht="58" x14ac:dyDescent="0.35">
      <c r="A2422" s="2" t="s">
        <v>59</v>
      </c>
      <c r="B2422" s="2" t="s">
        <v>60</v>
      </c>
      <c r="C2422" s="2" t="s">
        <v>24624</v>
      </c>
      <c r="D2422" s="2" t="s">
        <v>24625</v>
      </c>
      <c r="E2422" s="2" t="s">
        <v>24626</v>
      </c>
      <c r="G2422" s="3" t="s">
        <v>64</v>
      </c>
      <c r="I2422" s="3" t="s">
        <v>64</v>
      </c>
      <c r="J2422" s="3" t="s">
        <v>64</v>
      </c>
      <c r="K2422" s="3" t="s">
        <v>65</v>
      </c>
      <c r="M2422" s="2" t="s">
        <v>24627</v>
      </c>
      <c r="N2422" s="3" t="s">
        <v>86</v>
      </c>
      <c r="P2422" s="3" t="s">
        <v>102</v>
      </c>
      <c r="R2422" s="3" t="s">
        <v>70</v>
      </c>
      <c r="S2422" s="4">
        <v>0</v>
      </c>
      <c r="T2422" s="4">
        <v>0</v>
      </c>
      <c r="W2422" s="5" t="s">
        <v>72</v>
      </c>
      <c r="X2422" s="5" t="s">
        <v>72</v>
      </c>
      <c r="Y2422" s="4">
        <v>47</v>
      </c>
      <c r="Z2422" s="4">
        <v>8</v>
      </c>
      <c r="AA2422" s="4">
        <v>9</v>
      </c>
      <c r="AB2422" s="4">
        <v>1</v>
      </c>
      <c r="AC2422" s="4">
        <v>2</v>
      </c>
      <c r="AD2422" s="4">
        <v>18</v>
      </c>
      <c r="AE2422" s="4">
        <v>18</v>
      </c>
      <c r="AF2422" s="4">
        <v>0</v>
      </c>
      <c r="AG2422" s="4">
        <v>0</v>
      </c>
      <c r="AH2422" s="4">
        <v>14</v>
      </c>
      <c r="AI2422" s="4">
        <v>14</v>
      </c>
      <c r="AJ2422" s="4">
        <v>5</v>
      </c>
      <c r="AK2422" s="4">
        <v>5</v>
      </c>
      <c r="AL2422" s="4">
        <v>6</v>
      </c>
      <c r="AM2422" s="4">
        <v>6</v>
      </c>
      <c r="AN2422" s="4">
        <v>0</v>
      </c>
      <c r="AO2422" s="4">
        <v>0</v>
      </c>
      <c r="AP2422" s="4">
        <v>6</v>
      </c>
      <c r="AQ2422" s="4">
        <v>6</v>
      </c>
      <c r="AR2422" s="3" t="s">
        <v>64</v>
      </c>
      <c r="AS2422" s="3" t="s">
        <v>64</v>
      </c>
      <c r="AT2422" s="3" t="s">
        <v>64</v>
      </c>
      <c r="AV2422" s="6" t="str">
        <f>HYPERLINK("http://mcgill.on.worldcat.org/oclc/778226548","Catalog Record")</f>
        <v>Catalog Record</v>
      </c>
      <c r="AW2422" s="6" t="str">
        <f>HYPERLINK("http://www.worldcat.org/oclc/778226548","WorldCat Record")</f>
        <v>WorldCat Record</v>
      </c>
      <c r="AX2422" s="3" t="s">
        <v>24628</v>
      </c>
      <c r="AY2422" s="3" t="s">
        <v>24629</v>
      </c>
      <c r="AZ2422" s="3" t="s">
        <v>24630</v>
      </c>
      <c r="BA2422" s="3" t="s">
        <v>24630</v>
      </c>
      <c r="BB2422" s="3" t="s">
        <v>24631</v>
      </c>
      <c r="BC2422" s="3" t="s">
        <v>77</v>
      </c>
      <c r="BD2422" s="3" t="s">
        <v>78</v>
      </c>
      <c r="BE2422" s="3" t="s">
        <v>24632</v>
      </c>
      <c r="BF2422" s="3" t="s">
        <v>24631</v>
      </c>
      <c r="BG2422" s="3" t="s">
        <v>24633</v>
      </c>
      <c r="BH2422">
        <f t="shared" si="59"/>
        <v>0</v>
      </c>
    </row>
    <row r="2423" spans="1:60" ht="58" x14ac:dyDescent="0.35">
      <c r="A2423" s="2" t="s">
        <v>59</v>
      </c>
      <c r="B2423" s="2" t="s">
        <v>60</v>
      </c>
      <c r="C2423" s="2" t="s">
        <v>24634</v>
      </c>
      <c r="D2423" s="2" t="s">
        <v>24635</v>
      </c>
      <c r="E2423" s="2" t="s">
        <v>24636</v>
      </c>
      <c r="G2423" s="3" t="s">
        <v>64</v>
      </c>
      <c r="I2423" s="3" t="s">
        <v>64</v>
      </c>
      <c r="J2423" s="3" t="s">
        <v>128</v>
      </c>
      <c r="K2423" s="3" t="s">
        <v>65</v>
      </c>
      <c r="L2423" s="2" t="s">
        <v>19719</v>
      </c>
      <c r="M2423" s="2" t="s">
        <v>16814</v>
      </c>
      <c r="N2423" s="3" t="s">
        <v>326</v>
      </c>
      <c r="O2423" s="2" t="s">
        <v>24637</v>
      </c>
      <c r="P2423" s="3" t="s">
        <v>102</v>
      </c>
      <c r="Q2423" s="2" t="s">
        <v>15094</v>
      </c>
      <c r="R2423" s="3" t="s">
        <v>70</v>
      </c>
      <c r="S2423" s="4">
        <v>4</v>
      </c>
      <c r="T2423" s="4">
        <v>4</v>
      </c>
      <c r="U2423" s="5" t="s">
        <v>21825</v>
      </c>
      <c r="V2423" s="5" t="s">
        <v>21825</v>
      </c>
      <c r="W2423" s="5" t="s">
        <v>72</v>
      </c>
      <c r="X2423" s="5" t="s">
        <v>72</v>
      </c>
      <c r="Y2423" s="4">
        <v>236</v>
      </c>
      <c r="Z2423" s="4">
        <v>21</v>
      </c>
      <c r="AA2423" s="4">
        <v>66</v>
      </c>
      <c r="AB2423" s="4">
        <v>3</v>
      </c>
      <c r="AC2423" s="4">
        <v>12</v>
      </c>
      <c r="AD2423" s="4">
        <v>35</v>
      </c>
      <c r="AE2423" s="4">
        <v>108</v>
      </c>
      <c r="AF2423" s="4">
        <v>1</v>
      </c>
      <c r="AG2423" s="4">
        <v>3</v>
      </c>
      <c r="AH2423" s="4">
        <v>28</v>
      </c>
      <c r="AI2423" s="4">
        <v>91</v>
      </c>
      <c r="AJ2423" s="4">
        <v>8</v>
      </c>
      <c r="AK2423" s="4">
        <v>15</v>
      </c>
      <c r="AL2423" s="4">
        <v>20</v>
      </c>
      <c r="AM2423" s="4">
        <v>46</v>
      </c>
      <c r="AN2423" s="4">
        <v>0</v>
      </c>
      <c r="AO2423" s="4">
        <v>0</v>
      </c>
      <c r="AP2423" s="4">
        <v>12</v>
      </c>
      <c r="AQ2423" s="4">
        <v>22</v>
      </c>
      <c r="AR2423" s="3" t="s">
        <v>64</v>
      </c>
      <c r="AS2423" s="3" t="s">
        <v>64</v>
      </c>
      <c r="AT2423" s="3" t="s">
        <v>64</v>
      </c>
      <c r="AV2423" s="6" t="str">
        <f>HYPERLINK("http://mcgill.on.worldcat.org/oclc/658117516","Catalog Record")</f>
        <v>Catalog Record</v>
      </c>
      <c r="AW2423" s="6" t="str">
        <f>HYPERLINK("http://www.worldcat.org/oclc/658117516","WorldCat Record")</f>
        <v>WorldCat Record</v>
      </c>
      <c r="AX2423" s="3" t="s">
        <v>24638</v>
      </c>
      <c r="AY2423" s="3" t="s">
        <v>24639</v>
      </c>
      <c r="AZ2423" s="3" t="s">
        <v>24640</v>
      </c>
      <c r="BA2423" s="3" t="s">
        <v>24640</v>
      </c>
      <c r="BB2423" s="3" t="s">
        <v>24641</v>
      </c>
      <c r="BC2423" s="3" t="s">
        <v>77</v>
      </c>
      <c r="BD2423" s="3" t="s">
        <v>78</v>
      </c>
      <c r="BE2423" s="3" t="s">
        <v>24642</v>
      </c>
      <c r="BF2423" s="3" t="s">
        <v>24641</v>
      </c>
      <c r="BG2423" s="3" t="s">
        <v>24643</v>
      </c>
      <c r="BH2423">
        <f t="shared" si="59"/>
        <v>0</v>
      </c>
    </row>
    <row r="2424" spans="1:60" ht="87" x14ac:dyDescent="0.35">
      <c r="A2424" s="2" t="s">
        <v>59</v>
      </c>
      <c r="B2424" s="2" t="s">
        <v>60</v>
      </c>
      <c r="C2424" s="2" t="s">
        <v>24644</v>
      </c>
      <c r="D2424" s="2" t="s">
        <v>24645</v>
      </c>
      <c r="E2424" s="2" t="s">
        <v>24646</v>
      </c>
      <c r="F2424" s="3" t="s">
        <v>24647</v>
      </c>
      <c r="G2424" s="3" t="s">
        <v>64</v>
      </c>
      <c r="I2424" s="3" t="s">
        <v>64</v>
      </c>
      <c r="J2424" s="3" t="s">
        <v>64</v>
      </c>
      <c r="K2424" s="3" t="s">
        <v>65</v>
      </c>
      <c r="L2424" s="2" t="s">
        <v>24648</v>
      </c>
      <c r="M2424" s="2" t="s">
        <v>24649</v>
      </c>
      <c r="N2424" s="3" t="s">
        <v>86</v>
      </c>
      <c r="P2424" s="3" t="s">
        <v>102</v>
      </c>
      <c r="Q2424" s="2" t="s">
        <v>24650</v>
      </c>
      <c r="R2424" s="3" t="s">
        <v>70</v>
      </c>
      <c r="S2424" s="4">
        <v>2</v>
      </c>
      <c r="T2424" s="4">
        <v>2</v>
      </c>
      <c r="U2424" s="5" t="s">
        <v>24651</v>
      </c>
      <c r="V2424" s="5" t="s">
        <v>24651</v>
      </c>
      <c r="W2424" s="5" t="s">
        <v>72</v>
      </c>
      <c r="X2424" s="5" t="s">
        <v>72</v>
      </c>
      <c r="Y2424" s="4">
        <v>160</v>
      </c>
      <c r="Z2424" s="4">
        <v>18</v>
      </c>
      <c r="AA2424" s="4">
        <v>21</v>
      </c>
      <c r="AB2424" s="4">
        <v>2</v>
      </c>
      <c r="AC2424" s="4">
        <v>5</v>
      </c>
      <c r="AD2424" s="4">
        <v>51</v>
      </c>
      <c r="AE2424" s="4">
        <v>53</v>
      </c>
      <c r="AF2424" s="4">
        <v>1</v>
      </c>
      <c r="AG2424" s="4">
        <v>3</v>
      </c>
      <c r="AH2424" s="4">
        <v>47</v>
      </c>
      <c r="AI2424" s="4">
        <v>47</v>
      </c>
      <c r="AJ2424" s="4">
        <v>10</v>
      </c>
      <c r="AK2424" s="4">
        <v>11</v>
      </c>
      <c r="AL2424" s="4">
        <v>28</v>
      </c>
      <c r="AM2424" s="4">
        <v>28</v>
      </c>
      <c r="AN2424" s="4">
        <v>0</v>
      </c>
      <c r="AO2424" s="4">
        <v>0</v>
      </c>
      <c r="AP2424" s="4">
        <v>11</v>
      </c>
      <c r="AQ2424" s="4">
        <v>12</v>
      </c>
      <c r="AR2424" s="3" t="s">
        <v>64</v>
      </c>
      <c r="AS2424" s="3" t="s">
        <v>64</v>
      </c>
      <c r="AT2424" s="3" t="s">
        <v>64</v>
      </c>
      <c r="AV2424" s="6" t="str">
        <f>HYPERLINK("http://mcgill.on.worldcat.org/oclc/795020462","Catalog Record")</f>
        <v>Catalog Record</v>
      </c>
      <c r="AW2424" s="6" t="str">
        <f>HYPERLINK("http://www.worldcat.org/oclc/795020462","WorldCat Record")</f>
        <v>WorldCat Record</v>
      </c>
      <c r="AX2424" s="3" t="s">
        <v>24652</v>
      </c>
      <c r="AY2424" s="3" t="s">
        <v>24653</v>
      </c>
      <c r="AZ2424" s="3" t="s">
        <v>24654</v>
      </c>
      <c r="BA2424" s="3" t="s">
        <v>24654</v>
      </c>
      <c r="BB2424" s="3" t="s">
        <v>24655</v>
      </c>
      <c r="BC2424" s="3" t="s">
        <v>77</v>
      </c>
      <c r="BD2424" s="3" t="s">
        <v>78</v>
      </c>
      <c r="BE2424" s="3" t="s">
        <v>24656</v>
      </c>
      <c r="BF2424" s="3" t="s">
        <v>24655</v>
      </c>
      <c r="BG2424" s="3" t="s">
        <v>24657</v>
      </c>
      <c r="BH2424">
        <f t="shared" si="59"/>
        <v>0</v>
      </c>
    </row>
    <row r="2425" spans="1:60" ht="87" x14ac:dyDescent="0.35">
      <c r="A2425" s="2" t="s">
        <v>59</v>
      </c>
      <c r="B2425" s="2" t="s">
        <v>60</v>
      </c>
      <c r="C2425" s="2" t="s">
        <v>24658</v>
      </c>
      <c r="D2425" s="2" t="s">
        <v>24659</v>
      </c>
      <c r="E2425" s="2" t="s">
        <v>24660</v>
      </c>
      <c r="F2425" s="3" t="s">
        <v>24661</v>
      </c>
      <c r="G2425" s="3" t="s">
        <v>64</v>
      </c>
      <c r="I2425" s="3" t="s">
        <v>64</v>
      </c>
      <c r="J2425" s="3" t="s">
        <v>64</v>
      </c>
      <c r="K2425" s="3" t="s">
        <v>65</v>
      </c>
      <c r="L2425" s="2" t="s">
        <v>24662</v>
      </c>
      <c r="M2425" s="2" t="s">
        <v>24663</v>
      </c>
      <c r="N2425" s="3" t="s">
        <v>326</v>
      </c>
      <c r="P2425" s="3" t="s">
        <v>102</v>
      </c>
      <c r="Q2425" s="2" t="s">
        <v>24664</v>
      </c>
      <c r="R2425" s="3" t="s">
        <v>70</v>
      </c>
      <c r="S2425" s="4">
        <v>2</v>
      </c>
      <c r="T2425" s="4">
        <v>2</v>
      </c>
      <c r="U2425" s="5" t="s">
        <v>24651</v>
      </c>
      <c r="V2425" s="5" t="s">
        <v>24651</v>
      </c>
      <c r="W2425" s="5" t="s">
        <v>72</v>
      </c>
      <c r="X2425" s="5" t="s">
        <v>72</v>
      </c>
      <c r="Y2425" s="4">
        <v>91</v>
      </c>
      <c r="Z2425" s="4">
        <v>10</v>
      </c>
      <c r="AA2425" s="4">
        <v>15</v>
      </c>
      <c r="AB2425" s="4">
        <v>1</v>
      </c>
      <c r="AC2425" s="4">
        <v>4</v>
      </c>
      <c r="AD2425" s="4">
        <v>28</v>
      </c>
      <c r="AE2425" s="4">
        <v>35</v>
      </c>
      <c r="AF2425" s="4">
        <v>0</v>
      </c>
      <c r="AG2425" s="4">
        <v>3</v>
      </c>
      <c r="AH2425" s="4">
        <v>25</v>
      </c>
      <c r="AI2425" s="4">
        <v>28</v>
      </c>
      <c r="AJ2425" s="4">
        <v>7</v>
      </c>
      <c r="AK2425" s="4">
        <v>11</v>
      </c>
      <c r="AL2425" s="4">
        <v>12</v>
      </c>
      <c r="AM2425" s="4">
        <v>14</v>
      </c>
      <c r="AN2425" s="4">
        <v>0</v>
      </c>
      <c r="AO2425" s="4">
        <v>0</v>
      </c>
      <c r="AP2425" s="4">
        <v>8</v>
      </c>
      <c r="AQ2425" s="4">
        <v>12</v>
      </c>
      <c r="AR2425" s="3" t="s">
        <v>64</v>
      </c>
      <c r="AS2425" s="3" t="s">
        <v>64</v>
      </c>
      <c r="AT2425" s="3" t="s">
        <v>64</v>
      </c>
      <c r="AV2425" s="6" t="str">
        <f>HYPERLINK("http://mcgill.on.worldcat.org/oclc/696773039","Catalog Record")</f>
        <v>Catalog Record</v>
      </c>
      <c r="AW2425" s="6" t="str">
        <f>HYPERLINK("http://www.worldcat.org/oclc/696773039","WorldCat Record")</f>
        <v>WorldCat Record</v>
      </c>
      <c r="AX2425" s="3" t="s">
        <v>24665</v>
      </c>
      <c r="AY2425" s="3" t="s">
        <v>24666</v>
      </c>
      <c r="AZ2425" s="3" t="s">
        <v>24667</v>
      </c>
      <c r="BA2425" s="3" t="s">
        <v>24667</v>
      </c>
      <c r="BB2425" s="3" t="s">
        <v>24668</v>
      </c>
      <c r="BC2425" s="3" t="s">
        <v>77</v>
      </c>
      <c r="BD2425" s="3" t="s">
        <v>78</v>
      </c>
      <c r="BE2425" s="3" t="s">
        <v>24669</v>
      </c>
      <c r="BF2425" s="3" t="s">
        <v>24668</v>
      </c>
      <c r="BG2425" s="3" t="s">
        <v>24670</v>
      </c>
      <c r="BH2425">
        <f t="shared" si="59"/>
        <v>0</v>
      </c>
    </row>
    <row r="2426" spans="1:60" ht="58" x14ac:dyDescent="0.35">
      <c r="A2426" s="2" t="s">
        <v>59</v>
      </c>
      <c r="B2426" s="2" t="s">
        <v>60</v>
      </c>
      <c r="C2426" s="2" t="s">
        <v>24671</v>
      </c>
      <c r="D2426" s="2" t="s">
        <v>24672</v>
      </c>
      <c r="E2426" s="2" t="s">
        <v>24673</v>
      </c>
      <c r="G2426" s="3" t="s">
        <v>64</v>
      </c>
      <c r="I2426" s="3" t="s">
        <v>64</v>
      </c>
      <c r="J2426" s="3" t="s">
        <v>64</v>
      </c>
      <c r="K2426" s="3" t="s">
        <v>65</v>
      </c>
      <c r="L2426" s="2" t="s">
        <v>24674</v>
      </c>
      <c r="M2426" s="2" t="s">
        <v>24675</v>
      </c>
      <c r="N2426" s="3" t="s">
        <v>86</v>
      </c>
      <c r="P2426" s="3" t="s">
        <v>102</v>
      </c>
      <c r="R2426" s="3" t="s">
        <v>70</v>
      </c>
      <c r="S2426" s="4">
        <v>7</v>
      </c>
      <c r="T2426" s="4">
        <v>7</v>
      </c>
      <c r="U2426" s="5" t="s">
        <v>24676</v>
      </c>
      <c r="V2426" s="5" t="s">
        <v>24676</v>
      </c>
      <c r="W2426" s="5" t="s">
        <v>72</v>
      </c>
      <c r="X2426" s="5" t="s">
        <v>72</v>
      </c>
      <c r="Y2426" s="4">
        <v>235</v>
      </c>
      <c r="Z2426" s="4">
        <v>21</v>
      </c>
      <c r="AA2426" s="4">
        <v>106</v>
      </c>
      <c r="AB2426" s="4">
        <v>2</v>
      </c>
      <c r="AC2426" s="4">
        <v>20</v>
      </c>
      <c r="AD2426" s="4">
        <v>55</v>
      </c>
      <c r="AE2426" s="4">
        <v>121</v>
      </c>
      <c r="AF2426" s="4">
        <v>1</v>
      </c>
      <c r="AG2426" s="4">
        <v>9</v>
      </c>
      <c r="AH2426" s="4">
        <v>46</v>
      </c>
      <c r="AI2426" s="4">
        <v>81</v>
      </c>
      <c r="AJ2426" s="4">
        <v>11</v>
      </c>
      <c r="AK2426" s="4">
        <v>21</v>
      </c>
      <c r="AL2426" s="4">
        <v>23</v>
      </c>
      <c r="AM2426" s="4">
        <v>41</v>
      </c>
      <c r="AN2426" s="4">
        <v>0</v>
      </c>
      <c r="AO2426" s="4">
        <v>0</v>
      </c>
      <c r="AP2426" s="4">
        <v>12</v>
      </c>
      <c r="AQ2426" s="4">
        <v>44</v>
      </c>
      <c r="AR2426" s="3" t="s">
        <v>64</v>
      </c>
      <c r="AS2426" s="3" t="s">
        <v>64</v>
      </c>
      <c r="AT2426" s="3" t="s">
        <v>64</v>
      </c>
      <c r="AV2426" s="6" t="str">
        <f>HYPERLINK("http://mcgill.on.worldcat.org/oclc/752069196","Catalog Record")</f>
        <v>Catalog Record</v>
      </c>
      <c r="AW2426" s="6" t="str">
        <f>HYPERLINK("http://www.worldcat.org/oclc/752069196","WorldCat Record")</f>
        <v>WorldCat Record</v>
      </c>
      <c r="AX2426" s="3" t="s">
        <v>24677</v>
      </c>
      <c r="AY2426" s="3" t="s">
        <v>24678</v>
      </c>
      <c r="AZ2426" s="3" t="s">
        <v>24679</v>
      </c>
      <c r="BA2426" s="3" t="s">
        <v>24679</v>
      </c>
      <c r="BB2426" s="3" t="s">
        <v>24680</v>
      </c>
      <c r="BC2426" s="3" t="s">
        <v>77</v>
      </c>
      <c r="BD2426" s="3" t="s">
        <v>78</v>
      </c>
      <c r="BE2426" s="3" t="s">
        <v>24681</v>
      </c>
      <c r="BF2426" s="3" t="s">
        <v>24680</v>
      </c>
      <c r="BG2426" s="3" t="s">
        <v>24682</v>
      </c>
      <c r="BH2426">
        <f t="shared" si="59"/>
        <v>0</v>
      </c>
    </row>
    <row r="2427" spans="1:60" ht="58" x14ac:dyDescent="0.35">
      <c r="A2427" s="2" t="s">
        <v>59</v>
      </c>
      <c r="B2427" s="2" t="s">
        <v>60</v>
      </c>
      <c r="C2427" s="2" t="s">
        <v>24683</v>
      </c>
      <c r="D2427" s="2" t="s">
        <v>24684</v>
      </c>
      <c r="E2427" s="2" t="s">
        <v>24685</v>
      </c>
      <c r="G2427" s="3" t="s">
        <v>64</v>
      </c>
      <c r="I2427" s="3" t="s">
        <v>64</v>
      </c>
      <c r="J2427" s="3" t="s">
        <v>64</v>
      </c>
      <c r="K2427" s="3" t="s">
        <v>65</v>
      </c>
      <c r="M2427" s="2" t="s">
        <v>24686</v>
      </c>
      <c r="N2427" s="3" t="s">
        <v>768</v>
      </c>
      <c r="P2427" s="3" t="s">
        <v>102</v>
      </c>
      <c r="R2427" s="3" t="s">
        <v>70</v>
      </c>
      <c r="S2427" s="4">
        <v>3</v>
      </c>
      <c r="T2427" s="4">
        <v>3</v>
      </c>
      <c r="U2427" s="5" t="s">
        <v>1628</v>
      </c>
      <c r="V2427" s="5" t="s">
        <v>1628</v>
      </c>
      <c r="W2427" s="5" t="s">
        <v>72</v>
      </c>
      <c r="X2427" s="5" t="s">
        <v>72</v>
      </c>
      <c r="Y2427" s="4">
        <v>140</v>
      </c>
      <c r="Z2427" s="4">
        <v>10</v>
      </c>
      <c r="AA2427" s="4">
        <v>10</v>
      </c>
      <c r="AB2427" s="4">
        <v>1</v>
      </c>
      <c r="AC2427" s="4">
        <v>1</v>
      </c>
      <c r="AD2427" s="4">
        <v>64</v>
      </c>
      <c r="AE2427" s="4">
        <v>64</v>
      </c>
      <c r="AF2427" s="4">
        <v>0</v>
      </c>
      <c r="AG2427" s="4">
        <v>0</v>
      </c>
      <c r="AH2427" s="4">
        <v>59</v>
      </c>
      <c r="AI2427" s="4">
        <v>59</v>
      </c>
      <c r="AJ2427" s="4">
        <v>7</v>
      </c>
      <c r="AK2427" s="4">
        <v>7</v>
      </c>
      <c r="AL2427" s="4">
        <v>34</v>
      </c>
      <c r="AM2427" s="4">
        <v>34</v>
      </c>
      <c r="AN2427" s="4">
        <v>0</v>
      </c>
      <c r="AO2427" s="4">
        <v>0</v>
      </c>
      <c r="AP2427" s="4">
        <v>6</v>
      </c>
      <c r="AQ2427" s="4">
        <v>6</v>
      </c>
      <c r="AR2427" s="3" t="s">
        <v>64</v>
      </c>
      <c r="AS2427" s="3" t="s">
        <v>128</v>
      </c>
      <c r="AT2427" s="3" t="s">
        <v>64</v>
      </c>
      <c r="AU2427" s="6" t="str">
        <f>HYPERLINK("http://catalog.hathitrust.org/Record/000846329","HathiTrust Record")</f>
        <v>HathiTrust Record</v>
      </c>
      <c r="AV2427" s="6" t="str">
        <f>HYPERLINK("http://mcgill.on.worldcat.org/oclc/3799409","Catalog Record")</f>
        <v>Catalog Record</v>
      </c>
      <c r="AW2427" s="6" t="str">
        <f>HYPERLINK("http://www.worldcat.org/oclc/3799409","WorldCat Record")</f>
        <v>WorldCat Record</v>
      </c>
      <c r="AX2427" s="3" t="s">
        <v>24687</v>
      </c>
      <c r="AY2427" s="3" t="s">
        <v>24688</v>
      </c>
      <c r="AZ2427" s="3" t="s">
        <v>24689</v>
      </c>
      <c r="BA2427" s="3" t="s">
        <v>24689</v>
      </c>
      <c r="BB2427" s="3" t="s">
        <v>24690</v>
      </c>
      <c r="BC2427" s="3" t="s">
        <v>77</v>
      </c>
      <c r="BD2427" s="3" t="s">
        <v>78</v>
      </c>
      <c r="BF2427" s="3" t="s">
        <v>24690</v>
      </c>
      <c r="BG2427" s="3" t="s">
        <v>24691</v>
      </c>
      <c r="BH2427">
        <f t="shared" si="59"/>
        <v>0</v>
      </c>
    </row>
    <row r="2428" spans="1:60" ht="58" x14ac:dyDescent="0.35">
      <c r="A2428" s="2" t="s">
        <v>59</v>
      </c>
      <c r="B2428" s="2" t="s">
        <v>60</v>
      </c>
      <c r="C2428" s="2" t="s">
        <v>24692</v>
      </c>
      <c r="D2428" s="2" t="s">
        <v>24693</v>
      </c>
      <c r="E2428" s="2" t="s">
        <v>24694</v>
      </c>
      <c r="G2428" s="3" t="s">
        <v>64</v>
      </c>
      <c r="I2428" s="3" t="s">
        <v>64</v>
      </c>
      <c r="J2428" s="3" t="s">
        <v>64</v>
      </c>
      <c r="K2428" s="3" t="s">
        <v>65</v>
      </c>
      <c r="M2428" s="2" t="s">
        <v>15333</v>
      </c>
      <c r="N2428" s="3" t="s">
        <v>67</v>
      </c>
      <c r="P2428" s="3" t="s">
        <v>102</v>
      </c>
      <c r="R2428" s="3" t="s">
        <v>70</v>
      </c>
      <c r="S2428" s="4">
        <v>2</v>
      </c>
      <c r="T2428" s="4">
        <v>2</v>
      </c>
      <c r="U2428" s="5" t="s">
        <v>21825</v>
      </c>
      <c r="V2428" s="5" t="s">
        <v>21825</v>
      </c>
      <c r="W2428" s="5" t="s">
        <v>72</v>
      </c>
      <c r="X2428" s="5" t="s">
        <v>72</v>
      </c>
      <c r="Y2428" s="4">
        <v>60</v>
      </c>
      <c r="Z2428" s="4">
        <v>1</v>
      </c>
      <c r="AA2428" s="4">
        <v>38</v>
      </c>
      <c r="AB2428" s="4">
        <v>1</v>
      </c>
      <c r="AC2428" s="4">
        <v>7</v>
      </c>
      <c r="AD2428" s="4">
        <v>2</v>
      </c>
      <c r="AE2428" s="4">
        <v>80</v>
      </c>
      <c r="AF2428" s="4">
        <v>0</v>
      </c>
      <c r="AG2428" s="4">
        <v>4</v>
      </c>
      <c r="AH2428" s="4">
        <v>2</v>
      </c>
      <c r="AI2428" s="4">
        <v>67</v>
      </c>
      <c r="AJ2428" s="4">
        <v>0</v>
      </c>
      <c r="AK2428" s="4">
        <v>14</v>
      </c>
      <c r="AL2428" s="4">
        <v>1</v>
      </c>
      <c r="AM2428" s="4">
        <v>37</v>
      </c>
      <c r="AN2428" s="4">
        <v>0</v>
      </c>
      <c r="AO2428" s="4">
        <v>0</v>
      </c>
      <c r="AP2428" s="4">
        <v>0</v>
      </c>
      <c r="AQ2428" s="4">
        <v>18</v>
      </c>
      <c r="AR2428" s="3" t="s">
        <v>64</v>
      </c>
      <c r="AS2428" s="3" t="s">
        <v>64</v>
      </c>
      <c r="AT2428" s="3" t="s">
        <v>64</v>
      </c>
      <c r="AV2428" s="6" t="str">
        <f>HYPERLINK("http://mcgill.on.worldcat.org/oclc/885378195","Catalog Record")</f>
        <v>Catalog Record</v>
      </c>
      <c r="AW2428" s="6" t="str">
        <f>HYPERLINK("http://www.worldcat.org/oclc/885378195","WorldCat Record")</f>
        <v>WorldCat Record</v>
      </c>
      <c r="AX2428" s="3" t="s">
        <v>24695</v>
      </c>
      <c r="AY2428" s="3" t="s">
        <v>24696</v>
      </c>
      <c r="AZ2428" s="3" t="s">
        <v>24697</v>
      </c>
      <c r="BA2428" s="3" t="s">
        <v>24697</v>
      </c>
      <c r="BB2428" s="3" t="s">
        <v>24698</v>
      </c>
      <c r="BC2428" s="3" t="s">
        <v>77</v>
      </c>
      <c r="BD2428" s="3" t="s">
        <v>78</v>
      </c>
      <c r="BE2428" s="3" t="s">
        <v>24699</v>
      </c>
      <c r="BF2428" s="3" t="s">
        <v>24698</v>
      </c>
      <c r="BG2428" s="3" t="s">
        <v>24700</v>
      </c>
      <c r="BH2428">
        <f t="shared" si="59"/>
        <v>0</v>
      </c>
    </row>
    <row r="2429" spans="1:60" ht="116" x14ac:dyDescent="0.35">
      <c r="A2429" s="2" t="s">
        <v>59</v>
      </c>
      <c r="B2429" s="2" t="s">
        <v>1183</v>
      </c>
      <c r="C2429" s="2" t="s">
        <v>24701</v>
      </c>
      <c r="D2429" s="2" t="s">
        <v>24702</v>
      </c>
      <c r="E2429" s="2" t="s">
        <v>24703</v>
      </c>
      <c r="G2429" s="3" t="s">
        <v>64</v>
      </c>
      <c r="I2429" s="3" t="s">
        <v>64</v>
      </c>
      <c r="J2429" s="3" t="s">
        <v>64</v>
      </c>
      <c r="K2429" s="3" t="s">
        <v>65</v>
      </c>
      <c r="M2429" s="2" t="s">
        <v>24704</v>
      </c>
      <c r="N2429" s="3" t="s">
        <v>511</v>
      </c>
      <c r="P2429" s="3" t="s">
        <v>1190</v>
      </c>
      <c r="Q2429" s="2" t="s">
        <v>24705</v>
      </c>
      <c r="R2429" s="3" t="s">
        <v>70</v>
      </c>
      <c r="S2429" s="4">
        <v>0</v>
      </c>
      <c r="T2429" s="4">
        <v>0</v>
      </c>
      <c r="W2429" s="5" t="s">
        <v>72</v>
      </c>
      <c r="X2429" s="5" t="s">
        <v>72</v>
      </c>
      <c r="Y2429" s="4">
        <v>1</v>
      </c>
      <c r="Z2429" s="4">
        <v>1</v>
      </c>
      <c r="AA2429" s="4">
        <v>1</v>
      </c>
      <c r="AB2429" s="4">
        <v>1</v>
      </c>
      <c r="AC2429" s="4">
        <v>1</v>
      </c>
      <c r="AD2429" s="4">
        <v>0</v>
      </c>
      <c r="AE2429" s="4">
        <v>0</v>
      </c>
      <c r="AF2429" s="4">
        <v>0</v>
      </c>
      <c r="AG2429" s="4">
        <v>0</v>
      </c>
      <c r="AH2429" s="4">
        <v>0</v>
      </c>
      <c r="AI2429" s="4">
        <v>0</v>
      </c>
      <c r="AJ2429" s="4">
        <v>0</v>
      </c>
      <c r="AK2429" s="4">
        <v>0</v>
      </c>
      <c r="AL2429" s="4">
        <v>0</v>
      </c>
      <c r="AM2429" s="4">
        <v>0</v>
      </c>
      <c r="AN2429" s="4">
        <v>0</v>
      </c>
      <c r="AO2429" s="4">
        <v>0</v>
      </c>
      <c r="AP2429" s="4">
        <v>0</v>
      </c>
      <c r="AQ2429" s="4">
        <v>0</v>
      </c>
      <c r="AR2429" s="3" t="s">
        <v>64</v>
      </c>
      <c r="AS2429" s="3" t="s">
        <v>64</v>
      </c>
      <c r="AT2429" s="3" t="s">
        <v>64</v>
      </c>
      <c r="AV2429" s="6" t="str">
        <f>HYPERLINK("http://mcgill.on.worldcat.org/oclc/707937709","Catalog Record")</f>
        <v>Catalog Record</v>
      </c>
      <c r="AW2429" s="6" t="str">
        <f>HYPERLINK("http://www.worldcat.org/oclc/707937709","WorldCat Record")</f>
        <v>WorldCat Record</v>
      </c>
      <c r="AX2429" s="3" t="s">
        <v>24706</v>
      </c>
      <c r="AY2429" s="3" t="s">
        <v>24707</v>
      </c>
      <c r="AZ2429" s="3" t="s">
        <v>24708</v>
      </c>
      <c r="BA2429" s="3" t="s">
        <v>24708</v>
      </c>
      <c r="BB2429" s="3" t="s">
        <v>24709</v>
      </c>
      <c r="BC2429" s="3" t="s">
        <v>77</v>
      </c>
      <c r="BD2429" s="3" t="s">
        <v>78</v>
      </c>
      <c r="BE2429" s="3" t="s">
        <v>24710</v>
      </c>
      <c r="BF2429" s="3" t="s">
        <v>24709</v>
      </c>
      <c r="BG2429" s="3" t="s">
        <v>24711</v>
      </c>
      <c r="BH2429">
        <f t="shared" si="59"/>
        <v>0</v>
      </c>
    </row>
    <row r="2430" spans="1:60" ht="58" x14ac:dyDescent="0.35">
      <c r="A2430" s="2" t="s">
        <v>59</v>
      </c>
      <c r="B2430" s="2" t="s">
        <v>60</v>
      </c>
      <c r="C2430" s="2" t="s">
        <v>24712</v>
      </c>
      <c r="D2430" s="2" t="s">
        <v>24713</v>
      </c>
      <c r="E2430" s="2" t="s">
        <v>24714</v>
      </c>
      <c r="G2430" s="3" t="s">
        <v>64</v>
      </c>
      <c r="I2430" s="3" t="s">
        <v>64</v>
      </c>
      <c r="J2430" s="3" t="s">
        <v>64</v>
      </c>
      <c r="K2430" s="3" t="s">
        <v>65</v>
      </c>
      <c r="L2430" s="2" t="s">
        <v>24715</v>
      </c>
      <c r="M2430" s="2" t="s">
        <v>14840</v>
      </c>
      <c r="N2430" s="3" t="s">
        <v>511</v>
      </c>
      <c r="P2430" s="3" t="s">
        <v>102</v>
      </c>
      <c r="R2430" s="3" t="s">
        <v>70</v>
      </c>
      <c r="S2430" s="4">
        <v>5</v>
      </c>
      <c r="T2430" s="4">
        <v>5</v>
      </c>
      <c r="U2430" s="5" t="s">
        <v>24651</v>
      </c>
      <c r="V2430" s="5" t="s">
        <v>24651</v>
      </c>
      <c r="W2430" s="5" t="s">
        <v>72</v>
      </c>
      <c r="X2430" s="5" t="s">
        <v>72</v>
      </c>
      <c r="Y2430" s="4">
        <v>271</v>
      </c>
      <c r="Z2430" s="4">
        <v>12</v>
      </c>
      <c r="AA2430" s="4">
        <v>18</v>
      </c>
      <c r="AB2430" s="4">
        <v>1</v>
      </c>
      <c r="AC2430" s="4">
        <v>4</v>
      </c>
      <c r="AD2430" s="4">
        <v>52</v>
      </c>
      <c r="AE2430" s="4">
        <v>58</v>
      </c>
      <c r="AF2430" s="4">
        <v>0</v>
      </c>
      <c r="AG2430" s="4">
        <v>2</v>
      </c>
      <c r="AH2430" s="4">
        <v>50</v>
      </c>
      <c r="AI2430" s="4">
        <v>53</v>
      </c>
      <c r="AJ2430" s="4">
        <v>4</v>
      </c>
      <c r="AK2430" s="4">
        <v>8</v>
      </c>
      <c r="AL2430" s="4">
        <v>31</v>
      </c>
      <c r="AM2430" s="4">
        <v>32</v>
      </c>
      <c r="AN2430" s="4">
        <v>0</v>
      </c>
      <c r="AO2430" s="4">
        <v>0</v>
      </c>
      <c r="AP2430" s="4">
        <v>5</v>
      </c>
      <c r="AQ2430" s="4">
        <v>9</v>
      </c>
      <c r="AR2430" s="3" t="s">
        <v>64</v>
      </c>
      <c r="AS2430" s="3" t="s">
        <v>64</v>
      </c>
      <c r="AT2430" s="3" t="s">
        <v>64</v>
      </c>
      <c r="AV2430" s="6" t="str">
        <f>HYPERLINK("http://mcgill.on.worldcat.org/oclc/501320669","Catalog Record")</f>
        <v>Catalog Record</v>
      </c>
      <c r="AW2430" s="6" t="str">
        <f>HYPERLINK("http://www.worldcat.org/oclc/501320669","WorldCat Record")</f>
        <v>WorldCat Record</v>
      </c>
      <c r="AX2430" s="3" t="s">
        <v>24716</v>
      </c>
      <c r="AY2430" s="3" t="s">
        <v>24717</v>
      </c>
      <c r="AZ2430" s="3" t="s">
        <v>24718</v>
      </c>
      <c r="BA2430" s="3" t="s">
        <v>24718</v>
      </c>
      <c r="BB2430" s="3" t="s">
        <v>24719</v>
      </c>
      <c r="BC2430" s="3" t="s">
        <v>77</v>
      </c>
      <c r="BD2430" s="3" t="s">
        <v>78</v>
      </c>
      <c r="BE2430" s="3" t="s">
        <v>24720</v>
      </c>
      <c r="BF2430" s="3" t="s">
        <v>24719</v>
      </c>
      <c r="BG2430" s="3" t="s">
        <v>24721</v>
      </c>
      <c r="BH2430">
        <f t="shared" si="59"/>
        <v>0</v>
      </c>
    </row>
    <row r="2431" spans="1:60" ht="58" x14ac:dyDescent="0.35">
      <c r="A2431" s="2" t="s">
        <v>59</v>
      </c>
      <c r="B2431" s="2" t="s">
        <v>60</v>
      </c>
      <c r="C2431" s="2" t="s">
        <v>24722</v>
      </c>
      <c r="D2431" s="2" t="s">
        <v>24723</v>
      </c>
      <c r="E2431" s="2" t="s">
        <v>24724</v>
      </c>
      <c r="G2431" s="3" t="s">
        <v>64</v>
      </c>
      <c r="I2431" s="3" t="s">
        <v>64</v>
      </c>
      <c r="J2431" s="3" t="s">
        <v>64</v>
      </c>
      <c r="K2431" s="3" t="s">
        <v>65</v>
      </c>
      <c r="L2431" s="2" t="s">
        <v>24725</v>
      </c>
      <c r="M2431" s="2" t="s">
        <v>14442</v>
      </c>
      <c r="N2431" s="3" t="s">
        <v>578</v>
      </c>
      <c r="O2431" s="2" t="s">
        <v>3787</v>
      </c>
      <c r="P2431" s="3" t="s">
        <v>102</v>
      </c>
      <c r="R2431" s="3" t="s">
        <v>70</v>
      </c>
      <c r="S2431" s="4">
        <v>2</v>
      </c>
      <c r="T2431" s="4">
        <v>2</v>
      </c>
      <c r="U2431" s="5" t="s">
        <v>12995</v>
      </c>
      <c r="V2431" s="5" t="s">
        <v>12995</v>
      </c>
      <c r="W2431" s="5" t="s">
        <v>72</v>
      </c>
      <c r="X2431" s="5" t="s">
        <v>72</v>
      </c>
      <c r="Y2431" s="4">
        <v>241</v>
      </c>
      <c r="Z2431" s="4">
        <v>9</v>
      </c>
      <c r="AA2431" s="4">
        <v>75</v>
      </c>
      <c r="AB2431" s="4">
        <v>1</v>
      </c>
      <c r="AC2431" s="4">
        <v>14</v>
      </c>
      <c r="AD2431" s="4">
        <v>46</v>
      </c>
      <c r="AE2431" s="4">
        <v>99</v>
      </c>
      <c r="AF2431" s="4">
        <v>0</v>
      </c>
      <c r="AG2431" s="4">
        <v>8</v>
      </c>
      <c r="AH2431" s="4">
        <v>44</v>
      </c>
      <c r="AI2431" s="4">
        <v>71</v>
      </c>
      <c r="AJ2431" s="4">
        <v>4</v>
      </c>
      <c r="AK2431" s="4">
        <v>19</v>
      </c>
      <c r="AL2431" s="4">
        <v>23</v>
      </c>
      <c r="AM2431" s="4">
        <v>35</v>
      </c>
      <c r="AN2431" s="4">
        <v>0</v>
      </c>
      <c r="AO2431" s="4">
        <v>0</v>
      </c>
      <c r="AP2431" s="4">
        <v>3</v>
      </c>
      <c r="AQ2431" s="4">
        <v>34</v>
      </c>
      <c r="AR2431" s="3" t="s">
        <v>64</v>
      </c>
      <c r="AS2431" s="3" t="s">
        <v>64</v>
      </c>
      <c r="AT2431" s="3" t="s">
        <v>64</v>
      </c>
      <c r="AV2431" s="6" t="str">
        <f>HYPERLINK("http://mcgill.on.worldcat.org/oclc/956633899","Catalog Record")</f>
        <v>Catalog Record</v>
      </c>
      <c r="AW2431" s="6" t="str">
        <f>HYPERLINK("http://www.worldcat.org/oclc/956633899","WorldCat Record")</f>
        <v>WorldCat Record</v>
      </c>
      <c r="AX2431" s="3" t="s">
        <v>24726</v>
      </c>
      <c r="AY2431" s="3" t="s">
        <v>24727</v>
      </c>
      <c r="AZ2431" s="3" t="s">
        <v>24728</v>
      </c>
      <c r="BA2431" s="3" t="s">
        <v>24728</v>
      </c>
      <c r="BB2431" s="3" t="s">
        <v>24729</v>
      </c>
      <c r="BC2431" s="3" t="s">
        <v>77</v>
      </c>
      <c r="BD2431" s="3" t="s">
        <v>78</v>
      </c>
      <c r="BE2431" s="3" t="s">
        <v>24730</v>
      </c>
      <c r="BF2431" s="3" t="s">
        <v>24729</v>
      </c>
      <c r="BG2431" s="3" t="s">
        <v>24731</v>
      </c>
      <c r="BH2431">
        <f t="shared" si="59"/>
        <v>0</v>
      </c>
    </row>
    <row r="2432" spans="1:60" ht="130.5" x14ac:dyDescent="0.35">
      <c r="A2432" s="2" t="s">
        <v>59</v>
      </c>
      <c r="B2432" s="2" t="s">
        <v>60</v>
      </c>
      <c r="C2432" s="2" t="s">
        <v>24732</v>
      </c>
      <c r="D2432" s="2" t="s">
        <v>24733</v>
      </c>
      <c r="E2432" s="2" t="s">
        <v>24734</v>
      </c>
      <c r="G2432" s="3" t="s">
        <v>64</v>
      </c>
      <c r="I2432" s="3" t="s">
        <v>64</v>
      </c>
      <c r="J2432" s="3" t="s">
        <v>64</v>
      </c>
      <c r="K2432" s="3" t="s">
        <v>65</v>
      </c>
      <c r="M2432" s="2" t="s">
        <v>24735</v>
      </c>
      <c r="N2432" s="3" t="s">
        <v>511</v>
      </c>
      <c r="P2432" s="3" t="s">
        <v>68</v>
      </c>
      <c r="Q2432" s="2" t="s">
        <v>24736</v>
      </c>
      <c r="R2432" s="3" t="s">
        <v>70</v>
      </c>
      <c r="S2432" s="4">
        <v>0</v>
      </c>
      <c r="T2432" s="4">
        <v>0</v>
      </c>
      <c r="W2432" s="5" t="s">
        <v>72</v>
      </c>
      <c r="X2432" s="5" t="s">
        <v>72</v>
      </c>
      <c r="Y2432" s="4">
        <v>14</v>
      </c>
      <c r="Z2432" s="4">
        <v>3</v>
      </c>
      <c r="AA2432" s="4">
        <v>5</v>
      </c>
      <c r="AB2432" s="4">
        <v>1</v>
      </c>
      <c r="AC2432" s="4">
        <v>3</v>
      </c>
      <c r="AD2432" s="4">
        <v>6</v>
      </c>
      <c r="AE2432" s="4">
        <v>6</v>
      </c>
      <c r="AF2432" s="4">
        <v>0</v>
      </c>
      <c r="AG2432" s="4">
        <v>0</v>
      </c>
      <c r="AH2432" s="4">
        <v>6</v>
      </c>
      <c r="AI2432" s="4">
        <v>6</v>
      </c>
      <c r="AJ2432" s="4">
        <v>1</v>
      </c>
      <c r="AK2432" s="4">
        <v>1</v>
      </c>
      <c r="AL2432" s="4">
        <v>5</v>
      </c>
      <c r="AM2432" s="4">
        <v>5</v>
      </c>
      <c r="AN2432" s="4">
        <v>0</v>
      </c>
      <c r="AO2432" s="4">
        <v>0</v>
      </c>
      <c r="AP2432" s="4">
        <v>1</v>
      </c>
      <c r="AQ2432" s="4">
        <v>1</v>
      </c>
      <c r="AR2432" s="3" t="s">
        <v>64</v>
      </c>
      <c r="AS2432" s="3" t="s">
        <v>64</v>
      </c>
      <c r="AT2432" s="3" t="s">
        <v>64</v>
      </c>
      <c r="AV2432" s="6" t="str">
        <f>HYPERLINK("http://mcgill.on.worldcat.org/oclc/704903133","Catalog Record")</f>
        <v>Catalog Record</v>
      </c>
      <c r="AW2432" s="6" t="str">
        <f>HYPERLINK("http://www.worldcat.org/oclc/704903133","WorldCat Record")</f>
        <v>WorldCat Record</v>
      </c>
      <c r="AX2432" s="3" t="s">
        <v>24737</v>
      </c>
      <c r="AY2432" s="3" t="s">
        <v>24738</v>
      </c>
      <c r="AZ2432" s="3" t="s">
        <v>24739</v>
      </c>
      <c r="BA2432" s="3" t="s">
        <v>24739</v>
      </c>
      <c r="BB2432" s="3" t="s">
        <v>24740</v>
      </c>
      <c r="BC2432" s="3" t="s">
        <v>77</v>
      </c>
      <c r="BD2432" s="3" t="s">
        <v>78</v>
      </c>
      <c r="BE2432" s="3" t="s">
        <v>24741</v>
      </c>
      <c r="BF2432" s="3" t="s">
        <v>24740</v>
      </c>
      <c r="BG2432" s="3" t="s">
        <v>24742</v>
      </c>
      <c r="BH2432">
        <f t="shared" si="59"/>
        <v>0</v>
      </c>
    </row>
    <row r="2433" spans="1:60" ht="58" x14ac:dyDescent="0.35">
      <c r="A2433" s="2" t="s">
        <v>59</v>
      </c>
      <c r="B2433" s="2" t="s">
        <v>60</v>
      </c>
      <c r="C2433" s="2" t="s">
        <v>24743</v>
      </c>
      <c r="D2433" s="2" t="s">
        <v>24744</v>
      </c>
      <c r="E2433" s="2" t="s">
        <v>24745</v>
      </c>
      <c r="G2433" s="3" t="s">
        <v>64</v>
      </c>
      <c r="I2433" s="3" t="s">
        <v>64</v>
      </c>
      <c r="J2433" s="3" t="s">
        <v>128</v>
      </c>
      <c r="K2433" s="3" t="s">
        <v>65</v>
      </c>
      <c r="L2433" s="2" t="s">
        <v>24746</v>
      </c>
      <c r="M2433" s="2" t="s">
        <v>14341</v>
      </c>
      <c r="N2433" s="3" t="s">
        <v>2067</v>
      </c>
      <c r="O2433" s="2" t="s">
        <v>172</v>
      </c>
      <c r="P2433" s="3" t="s">
        <v>102</v>
      </c>
      <c r="R2433" s="3" t="s">
        <v>70</v>
      </c>
      <c r="S2433" s="4">
        <v>9</v>
      </c>
      <c r="T2433" s="4">
        <v>9</v>
      </c>
      <c r="U2433" s="5" t="s">
        <v>11674</v>
      </c>
      <c r="V2433" s="5" t="s">
        <v>11674</v>
      </c>
      <c r="W2433" s="5" t="s">
        <v>72</v>
      </c>
      <c r="X2433" s="5" t="s">
        <v>72</v>
      </c>
      <c r="Y2433" s="4">
        <v>611</v>
      </c>
      <c r="Z2433" s="4">
        <v>33</v>
      </c>
      <c r="AA2433" s="4">
        <v>54</v>
      </c>
      <c r="AB2433" s="4">
        <v>1</v>
      </c>
      <c r="AC2433" s="4">
        <v>5</v>
      </c>
      <c r="AD2433" s="4">
        <v>100</v>
      </c>
      <c r="AE2433" s="4">
        <v>129</v>
      </c>
      <c r="AF2433" s="4">
        <v>0</v>
      </c>
      <c r="AG2433" s="4">
        <v>2</v>
      </c>
      <c r="AH2433" s="4">
        <v>88</v>
      </c>
      <c r="AI2433" s="4">
        <v>107</v>
      </c>
      <c r="AJ2433" s="4">
        <v>14</v>
      </c>
      <c r="AK2433" s="4">
        <v>19</v>
      </c>
      <c r="AL2433" s="4">
        <v>45</v>
      </c>
      <c r="AM2433" s="4">
        <v>57</v>
      </c>
      <c r="AN2433" s="4">
        <v>0</v>
      </c>
      <c r="AO2433" s="4">
        <v>0</v>
      </c>
      <c r="AP2433" s="4">
        <v>16</v>
      </c>
      <c r="AQ2433" s="4">
        <v>24</v>
      </c>
      <c r="AR2433" s="3" t="s">
        <v>64</v>
      </c>
      <c r="AS2433" s="3" t="s">
        <v>64</v>
      </c>
      <c r="AT2433" s="3" t="s">
        <v>128</v>
      </c>
      <c r="AU2433" s="6" t="str">
        <f>HYPERLINK("http://catalog.hathitrust.org/Record/001548281","HathiTrust Record")</f>
        <v>HathiTrust Record</v>
      </c>
      <c r="AV2433" s="6" t="str">
        <f>HYPERLINK("http://mcgill.on.worldcat.org/oclc/19590861","Catalog Record")</f>
        <v>Catalog Record</v>
      </c>
      <c r="AW2433" s="6" t="str">
        <f>HYPERLINK("http://www.worldcat.org/oclc/19590861","WorldCat Record")</f>
        <v>WorldCat Record</v>
      </c>
      <c r="AX2433" s="3" t="s">
        <v>24747</v>
      </c>
      <c r="AY2433" s="3" t="s">
        <v>24748</v>
      </c>
      <c r="AZ2433" s="3" t="s">
        <v>24749</v>
      </c>
      <c r="BA2433" s="3" t="s">
        <v>24749</v>
      </c>
      <c r="BB2433" s="3" t="s">
        <v>24750</v>
      </c>
      <c r="BC2433" s="3" t="s">
        <v>77</v>
      </c>
      <c r="BD2433" s="3" t="s">
        <v>78</v>
      </c>
      <c r="BE2433" s="3" t="s">
        <v>24751</v>
      </c>
      <c r="BF2433" s="3" t="s">
        <v>24750</v>
      </c>
      <c r="BG2433" s="3" t="s">
        <v>24752</v>
      </c>
      <c r="BH2433">
        <f t="shared" si="59"/>
        <v>0</v>
      </c>
    </row>
    <row r="2434" spans="1:60" ht="58" x14ac:dyDescent="0.35">
      <c r="A2434" s="2" t="s">
        <v>59</v>
      </c>
      <c r="B2434" s="2" t="s">
        <v>60</v>
      </c>
      <c r="C2434" s="2" t="s">
        <v>24753</v>
      </c>
      <c r="D2434" s="2" t="s">
        <v>24754</v>
      </c>
      <c r="E2434" s="2" t="s">
        <v>24755</v>
      </c>
      <c r="G2434" s="3" t="s">
        <v>64</v>
      </c>
      <c r="I2434" s="3" t="s">
        <v>64</v>
      </c>
      <c r="J2434" s="3" t="s">
        <v>64</v>
      </c>
      <c r="K2434" s="3" t="s">
        <v>65</v>
      </c>
      <c r="M2434" s="2" t="s">
        <v>24756</v>
      </c>
      <c r="N2434" s="3" t="s">
        <v>326</v>
      </c>
      <c r="P2434" s="3" t="s">
        <v>102</v>
      </c>
      <c r="Q2434" s="2" t="s">
        <v>24757</v>
      </c>
      <c r="R2434" s="3" t="s">
        <v>70</v>
      </c>
      <c r="S2434" s="4">
        <v>3</v>
      </c>
      <c r="T2434" s="4">
        <v>3</v>
      </c>
      <c r="U2434" s="5" t="s">
        <v>24758</v>
      </c>
      <c r="V2434" s="5" t="s">
        <v>24758</v>
      </c>
      <c r="W2434" s="5" t="s">
        <v>72</v>
      </c>
      <c r="X2434" s="5" t="s">
        <v>72</v>
      </c>
      <c r="Y2434" s="4">
        <v>234</v>
      </c>
      <c r="Z2434" s="4">
        <v>21</v>
      </c>
      <c r="AA2434" s="4">
        <v>99</v>
      </c>
      <c r="AB2434" s="4">
        <v>2</v>
      </c>
      <c r="AC2434" s="4">
        <v>17</v>
      </c>
      <c r="AD2434" s="4">
        <v>65</v>
      </c>
      <c r="AE2434" s="4">
        <v>128</v>
      </c>
      <c r="AF2434" s="4">
        <v>1</v>
      </c>
      <c r="AG2434" s="4">
        <v>8</v>
      </c>
      <c r="AH2434" s="4">
        <v>55</v>
      </c>
      <c r="AI2434" s="4">
        <v>90</v>
      </c>
      <c r="AJ2434" s="4">
        <v>13</v>
      </c>
      <c r="AK2434" s="4">
        <v>25</v>
      </c>
      <c r="AL2434" s="4">
        <v>32</v>
      </c>
      <c r="AM2434" s="4">
        <v>48</v>
      </c>
      <c r="AN2434" s="4">
        <v>0</v>
      </c>
      <c r="AO2434" s="4">
        <v>0</v>
      </c>
      <c r="AP2434" s="4">
        <v>14</v>
      </c>
      <c r="AQ2434" s="4">
        <v>46</v>
      </c>
      <c r="AR2434" s="3" t="s">
        <v>64</v>
      </c>
      <c r="AS2434" s="3" t="s">
        <v>64</v>
      </c>
      <c r="AT2434" s="3" t="s">
        <v>64</v>
      </c>
      <c r="AV2434" s="6" t="str">
        <f>HYPERLINK("http://mcgill.on.worldcat.org/oclc/713181561","Catalog Record")</f>
        <v>Catalog Record</v>
      </c>
      <c r="AW2434" s="6" t="str">
        <f>HYPERLINK("http://www.worldcat.org/oclc/713181561","WorldCat Record")</f>
        <v>WorldCat Record</v>
      </c>
      <c r="AX2434" s="3" t="s">
        <v>24759</v>
      </c>
      <c r="AY2434" s="3" t="s">
        <v>24760</v>
      </c>
      <c r="AZ2434" s="3" t="s">
        <v>24761</v>
      </c>
      <c r="BA2434" s="3" t="s">
        <v>24761</v>
      </c>
      <c r="BB2434" s="3" t="s">
        <v>24762</v>
      </c>
      <c r="BC2434" s="3" t="s">
        <v>77</v>
      </c>
      <c r="BD2434" s="3" t="s">
        <v>78</v>
      </c>
      <c r="BE2434" s="3" t="s">
        <v>24763</v>
      </c>
      <c r="BF2434" s="3" t="s">
        <v>24762</v>
      </c>
      <c r="BG2434" s="3" t="s">
        <v>24764</v>
      </c>
      <c r="BH2434">
        <f t="shared" ref="BH2434:BH2497" si="60">IF(COUNTIF($BF$1:$BF$5431,BF2434)=1,0,1)</f>
        <v>0</v>
      </c>
    </row>
    <row r="2435" spans="1:60" ht="58" x14ac:dyDescent="0.35">
      <c r="A2435" s="2" t="s">
        <v>59</v>
      </c>
      <c r="B2435" s="2" t="s">
        <v>60</v>
      </c>
      <c r="C2435" s="2" t="s">
        <v>24765</v>
      </c>
      <c r="D2435" s="2" t="s">
        <v>24766</v>
      </c>
      <c r="E2435" s="2" t="s">
        <v>24767</v>
      </c>
      <c r="G2435" s="3" t="s">
        <v>64</v>
      </c>
      <c r="I2435" s="3" t="s">
        <v>64</v>
      </c>
      <c r="J2435" s="3" t="s">
        <v>64</v>
      </c>
      <c r="K2435" s="3" t="s">
        <v>65</v>
      </c>
      <c r="L2435" s="2" t="s">
        <v>8954</v>
      </c>
      <c r="M2435" s="2" t="s">
        <v>24768</v>
      </c>
      <c r="N2435" s="3" t="s">
        <v>1075</v>
      </c>
      <c r="P2435" s="3" t="s">
        <v>102</v>
      </c>
      <c r="R2435" s="3" t="s">
        <v>70</v>
      </c>
      <c r="S2435" s="4">
        <v>2</v>
      </c>
      <c r="T2435" s="4">
        <v>2</v>
      </c>
      <c r="U2435" s="5" t="s">
        <v>24769</v>
      </c>
      <c r="V2435" s="5" t="s">
        <v>24769</v>
      </c>
      <c r="W2435" s="5" t="s">
        <v>72</v>
      </c>
      <c r="X2435" s="5" t="s">
        <v>72</v>
      </c>
      <c r="Y2435" s="4">
        <v>18</v>
      </c>
      <c r="Z2435" s="4">
        <v>2</v>
      </c>
      <c r="AA2435" s="4">
        <v>3</v>
      </c>
      <c r="AB2435" s="4">
        <v>1</v>
      </c>
      <c r="AC2435" s="4">
        <v>1</v>
      </c>
      <c r="AD2435" s="4">
        <v>7</v>
      </c>
      <c r="AE2435" s="4">
        <v>9</v>
      </c>
      <c r="AF2435" s="4">
        <v>0</v>
      </c>
      <c r="AG2435" s="4">
        <v>0</v>
      </c>
      <c r="AH2435" s="4">
        <v>6</v>
      </c>
      <c r="AI2435" s="4">
        <v>7</v>
      </c>
      <c r="AJ2435" s="4">
        <v>1</v>
      </c>
      <c r="AK2435" s="4">
        <v>2</v>
      </c>
      <c r="AL2435" s="4">
        <v>4</v>
      </c>
      <c r="AM2435" s="4">
        <v>5</v>
      </c>
      <c r="AN2435" s="4">
        <v>0</v>
      </c>
      <c r="AO2435" s="4">
        <v>0</v>
      </c>
      <c r="AP2435" s="4">
        <v>1</v>
      </c>
      <c r="AQ2435" s="4">
        <v>2</v>
      </c>
      <c r="AR2435" s="3" t="s">
        <v>64</v>
      </c>
      <c r="AS2435" s="3" t="s">
        <v>64</v>
      </c>
      <c r="AT2435" s="3" t="s">
        <v>64</v>
      </c>
      <c r="AV2435" s="6" t="str">
        <f>HYPERLINK("http://mcgill.on.worldcat.org/oclc/847844338","Catalog Record")</f>
        <v>Catalog Record</v>
      </c>
      <c r="AW2435" s="6" t="str">
        <f>HYPERLINK("http://www.worldcat.org/oclc/847844338","WorldCat Record")</f>
        <v>WorldCat Record</v>
      </c>
      <c r="AX2435" s="3" t="s">
        <v>24770</v>
      </c>
      <c r="AY2435" s="3" t="s">
        <v>24771</v>
      </c>
      <c r="AZ2435" s="3" t="s">
        <v>24772</v>
      </c>
      <c r="BA2435" s="3" t="s">
        <v>24772</v>
      </c>
      <c r="BB2435" s="3" t="s">
        <v>24773</v>
      </c>
      <c r="BC2435" s="3" t="s">
        <v>77</v>
      </c>
      <c r="BD2435" s="3" t="s">
        <v>78</v>
      </c>
      <c r="BF2435" s="3" t="s">
        <v>24773</v>
      </c>
      <c r="BG2435" s="3" t="s">
        <v>24774</v>
      </c>
      <c r="BH2435">
        <f t="shared" si="60"/>
        <v>0</v>
      </c>
    </row>
    <row r="2436" spans="1:60" ht="72.5" x14ac:dyDescent="0.35">
      <c r="A2436" s="2" t="s">
        <v>59</v>
      </c>
      <c r="B2436" s="2" t="s">
        <v>60</v>
      </c>
      <c r="C2436" s="2" t="s">
        <v>24775</v>
      </c>
      <c r="D2436" s="2" t="s">
        <v>24776</v>
      </c>
      <c r="E2436" s="2" t="s">
        <v>24777</v>
      </c>
      <c r="G2436" s="3" t="s">
        <v>64</v>
      </c>
      <c r="I2436" s="3" t="s">
        <v>64</v>
      </c>
      <c r="J2436" s="3" t="s">
        <v>64</v>
      </c>
      <c r="K2436" s="3" t="s">
        <v>65</v>
      </c>
      <c r="L2436" s="2" t="s">
        <v>24778</v>
      </c>
      <c r="M2436" s="2" t="s">
        <v>24779</v>
      </c>
      <c r="N2436" s="3" t="s">
        <v>67</v>
      </c>
      <c r="P2436" s="3" t="s">
        <v>102</v>
      </c>
      <c r="Q2436" s="2" t="s">
        <v>24780</v>
      </c>
      <c r="R2436" s="3" t="s">
        <v>70</v>
      </c>
      <c r="S2436" s="4">
        <v>1</v>
      </c>
      <c r="T2436" s="4">
        <v>1</v>
      </c>
      <c r="U2436" s="5" t="s">
        <v>2035</v>
      </c>
      <c r="V2436" s="5" t="s">
        <v>2035</v>
      </c>
      <c r="W2436" s="5" t="s">
        <v>72</v>
      </c>
      <c r="X2436" s="5" t="s">
        <v>72</v>
      </c>
      <c r="Y2436" s="4">
        <v>85</v>
      </c>
      <c r="Z2436" s="4">
        <v>5</v>
      </c>
      <c r="AA2436" s="4">
        <v>7</v>
      </c>
      <c r="AB2436" s="4">
        <v>1</v>
      </c>
      <c r="AC2436" s="4">
        <v>3</v>
      </c>
      <c r="AD2436" s="4">
        <v>22</v>
      </c>
      <c r="AE2436" s="4">
        <v>23</v>
      </c>
      <c r="AF2436" s="4">
        <v>0</v>
      </c>
      <c r="AG2436" s="4">
        <v>1</v>
      </c>
      <c r="AH2436" s="4">
        <v>22</v>
      </c>
      <c r="AI2436" s="4">
        <v>22</v>
      </c>
      <c r="AJ2436" s="4">
        <v>2</v>
      </c>
      <c r="AK2436" s="4">
        <v>3</v>
      </c>
      <c r="AL2436" s="4">
        <v>15</v>
      </c>
      <c r="AM2436" s="4">
        <v>15</v>
      </c>
      <c r="AN2436" s="4">
        <v>0</v>
      </c>
      <c r="AO2436" s="4">
        <v>0</v>
      </c>
      <c r="AP2436" s="4">
        <v>2</v>
      </c>
      <c r="AQ2436" s="4">
        <v>2</v>
      </c>
      <c r="AR2436" s="3" t="s">
        <v>64</v>
      </c>
      <c r="AS2436" s="3" t="s">
        <v>64</v>
      </c>
      <c r="AT2436" s="3" t="s">
        <v>64</v>
      </c>
      <c r="AV2436" s="6" t="str">
        <f>HYPERLINK("http://mcgill.on.worldcat.org/oclc/878812657","Catalog Record")</f>
        <v>Catalog Record</v>
      </c>
      <c r="AW2436" s="6" t="str">
        <f>HYPERLINK("http://www.worldcat.org/oclc/878812657","WorldCat Record")</f>
        <v>WorldCat Record</v>
      </c>
      <c r="AX2436" s="3" t="s">
        <v>24781</v>
      </c>
      <c r="AY2436" s="3" t="s">
        <v>24782</v>
      </c>
      <c r="AZ2436" s="3" t="s">
        <v>24783</v>
      </c>
      <c r="BA2436" s="3" t="s">
        <v>24783</v>
      </c>
      <c r="BB2436" s="3" t="s">
        <v>24784</v>
      </c>
      <c r="BC2436" s="3" t="s">
        <v>77</v>
      </c>
      <c r="BD2436" s="3" t="s">
        <v>78</v>
      </c>
      <c r="BE2436" s="3" t="s">
        <v>24785</v>
      </c>
      <c r="BF2436" s="3" t="s">
        <v>24784</v>
      </c>
      <c r="BG2436" s="3" t="s">
        <v>24786</v>
      </c>
      <c r="BH2436">
        <f t="shared" si="60"/>
        <v>0</v>
      </c>
    </row>
    <row r="2437" spans="1:60" ht="58" x14ac:dyDescent="0.35">
      <c r="A2437" s="2" t="s">
        <v>59</v>
      </c>
      <c r="B2437" s="2" t="s">
        <v>60</v>
      </c>
      <c r="C2437" s="2" t="s">
        <v>24787</v>
      </c>
      <c r="D2437" s="2" t="s">
        <v>24788</v>
      </c>
      <c r="E2437" s="2" t="s">
        <v>24789</v>
      </c>
      <c r="G2437" s="3" t="s">
        <v>64</v>
      </c>
      <c r="I2437" s="3" t="s">
        <v>64</v>
      </c>
      <c r="J2437" s="3" t="s">
        <v>128</v>
      </c>
      <c r="K2437" s="3" t="s">
        <v>65</v>
      </c>
      <c r="L2437" s="2" t="s">
        <v>24790</v>
      </c>
      <c r="M2437" s="2" t="s">
        <v>22877</v>
      </c>
      <c r="N2437" s="3" t="s">
        <v>101</v>
      </c>
      <c r="P2437" s="3" t="s">
        <v>102</v>
      </c>
      <c r="Q2437" s="2" t="s">
        <v>15094</v>
      </c>
      <c r="R2437" s="3" t="s">
        <v>70</v>
      </c>
      <c r="S2437" s="4">
        <v>15</v>
      </c>
      <c r="T2437" s="4">
        <v>15</v>
      </c>
      <c r="U2437" s="5" t="s">
        <v>9096</v>
      </c>
      <c r="V2437" s="5" t="s">
        <v>9096</v>
      </c>
      <c r="W2437" s="5" t="s">
        <v>72</v>
      </c>
      <c r="X2437" s="5" t="s">
        <v>72</v>
      </c>
      <c r="Y2437" s="4">
        <v>672</v>
      </c>
      <c r="Z2437" s="4">
        <v>34</v>
      </c>
      <c r="AA2437" s="4">
        <v>45</v>
      </c>
      <c r="AB2437" s="4">
        <v>3</v>
      </c>
      <c r="AC2437" s="4">
        <v>10</v>
      </c>
      <c r="AD2437" s="4">
        <v>86</v>
      </c>
      <c r="AE2437" s="4">
        <v>95</v>
      </c>
      <c r="AF2437" s="4">
        <v>1</v>
      </c>
      <c r="AG2437" s="4">
        <v>4</v>
      </c>
      <c r="AH2437" s="4">
        <v>72</v>
      </c>
      <c r="AI2437" s="4">
        <v>77</v>
      </c>
      <c r="AJ2437" s="4">
        <v>13</v>
      </c>
      <c r="AK2437" s="4">
        <v>17</v>
      </c>
      <c r="AL2437" s="4">
        <v>36</v>
      </c>
      <c r="AM2437" s="4">
        <v>38</v>
      </c>
      <c r="AN2437" s="4">
        <v>0</v>
      </c>
      <c r="AO2437" s="4">
        <v>0</v>
      </c>
      <c r="AP2437" s="4">
        <v>20</v>
      </c>
      <c r="AQ2437" s="4">
        <v>23</v>
      </c>
      <c r="AR2437" s="3" t="s">
        <v>64</v>
      </c>
      <c r="AS2437" s="3" t="s">
        <v>64</v>
      </c>
      <c r="AT2437" s="3" t="s">
        <v>128</v>
      </c>
      <c r="AU2437" s="6" t="str">
        <f>HYPERLINK("http://catalog.hathitrust.org/Record/004343954","HathiTrust Record")</f>
        <v>HathiTrust Record</v>
      </c>
      <c r="AV2437" s="6" t="str">
        <f>HYPERLINK("http://mcgill.on.worldcat.org/oclc/52312641","Catalog Record")</f>
        <v>Catalog Record</v>
      </c>
      <c r="AW2437" s="6" t="str">
        <f>HYPERLINK("http://www.worldcat.org/oclc/52312641","WorldCat Record")</f>
        <v>WorldCat Record</v>
      </c>
      <c r="AX2437" s="3" t="s">
        <v>24791</v>
      </c>
      <c r="AY2437" s="3" t="s">
        <v>24792</v>
      </c>
      <c r="AZ2437" s="3" t="s">
        <v>24793</v>
      </c>
      <c r="BA2437" s="3" t="s">
        <v>24793</v>
      </c>
      <c r="BB2437" s="3" t="s">
        <v>24794</v>
      </c>
      <c r="BC2437" s="3" t="s">
        <v>77</v>
      </c>
      <c r="BD2437" s="3" t="s">
        <v>78</v>
      </c>
      <c r="BE2437" s="3" t="s">
        <v>24795</v>
      </c>
      <c r="BF2437" s="3" t="s">
        <v>24794</v>
      </c>
      <c r="BG2437" s="3" t="s">
        <v>24796</v>
      </c>
      <c r="BH2437">
        <f t="shared" si="60"/>
        <v>0</v>
      </c>
    </row>
    <row r="2438" spans="1:60" ht="58" x14ac:dyDescent="0.35">
      <c r="A2438" s="2" t="s">
        <v>59</v>
      </c>
      <c r="B2438" s="2" t="s">
        <v>60</v>
      </c>
      <c r="C2438" s="2" t="s">
        <v>24797</v>
      </c>
      <c r="D2438" s="2" t="s">
        <v>24798</v>
      </c>
      <c r="E2438" s="2" t="s">
        <v>24799</v>
      </c>
      <c r="G2438" s="3" t="s">
        <v>64</v>
      </c>
      <c r="I2438" s="3" t="s">
        <v>64</v>
      </c>
      <c r="J2438" s="3" t="s">
        <v>128</v>
      </c>
      <c r="K2438" s="3" t="s">
        <v>65</v>
      </c>
      <c r="L2438" s="2" t="s">
        <v>24800</v>
      </c>
      <c r="M2438" s="2" t="s">
        <v>24801</v>
      </c>
      <c r="N2438" s="3" t="s">
        <v>253</v>
      </c>
      <c r="O2438" s="2" t="s">
        <v>3787</v>
      </c>
      <c r="P2438" s="3" t="s">
        <v>102</v>
      </c>
      <c r="Q2438" s="2" t="s">
        <v>15094</v>
      </c>
      <c r="R2438" s="3" t="s">
        <v>70</v>
      </c>
      <c r="S2438" s="4">
        <v>0</v>
      </c>
      <c r="T2438" s="4">
        <v>0</v>
      </c>
      <c r="W2438" s="5" t="s">
        <v>72</v>
      </c>
      <c r="X2438" s="5" t="s">
        <v>72</v>
      </c>
      <c r="Y2438" s="4">
        <v>207</v>
      </c>
      <c r="Z2438" s="4">
        <v>9</v>
      </c>
      <c r="AA2438" s="4">
        <v>45</v>
      </c>
      <c r="AB2438" s="4">
        <v>1</v>
      </c>
      <c r="AC2438" s="4">
        <v>10</v>
      </c>
      <c r="AD2438" s="4">
        <v>28</v>
      </c>
      <c r="AE2438" s="4">
        <v>95</v>
      </c>
      <c r="AF2438" s="4">
        <v>0</v>
      </c>
      <c r="AG2438" s="4">
        <v>4</v>
      </c>
      <c r="AH2438" s="4">
        <v>27</v>
      </c>
      <c r="AI2438" s="4">
        <v>77</v>
      </c>
      <c r="AJ2438" s="4">
        <v>4</v>
      </c>
      <c r="AK2438" s="4">
        <v>17</v>
      </c>
      <c r="AL2438" s="4">
        <v>15</v>
      </c>
      <c r="AM2438" s="4">
        <v>38</v>
      </c>
      <c r="AN2438" s="4">
        <v>0</v>
      </c>
      <c r="AO2438" s="4">
        <v>0</v>
      </c>
      <c r="AP2438" s="4">
        <v>5</v>
      </c>
      <c r="AQ2438" s="4">
        <v>23</v>
      </c>
      <c r="AR2438" s="3" t="s">
        <v>64</v>
      </c>
      <c r="AS2438" s="3" t="s">
        <v>64</v>
      </c>
      <c r="AT2438" s="3" t="s">
        <v>64</v>
      </c>
      <c r="AV2438" s="6" t="str">
        <f>HYPERLINK("http://mcgill.on.worldcat.org/oclc/900031545","Catalog Record")</f>
        <v>Catalog Record</v>
      </c>
      <c r="AW2438" s="6" t="str">
        <f>HYPERLINK("http://www.worldcat.org/oclc/900031545","WorldCat Record")</f>
        <v>WorldCat Record</v>
      </c>
      <c r="AX2438" s="3" t="s">
        <v>24791</v>
      </c>
      <c r="AY2438" s="3" t="s">
        <v>24802</v>
      </c>
      <c r="AZ2438" s="3" t="s">
        <v>24803</v>
      </c>
      <c r="BA2438" s="3" t="s">
        <v>24803</v>
      </c>
      <c r="BB2438" s="3" t="s">
        <v>24804</v>
      </c>
      <c r="BC2438" s="3" t="s">
        <v>77</v>
      </c>
      <c r="BD2438" s="3" t="s">
        <v>78</v>
      </c>
      <c r="BE2438" s="3" t="s">
        <v>24805</v>
      </c>
      <c r="BF2438" s="3" t="s">
        <v>24804</v>
      </c>
      <c r="BG2438" s="3" t="s">
        <v>24806</v>
      </c>
      <c r="BH2438">
        <f t="shared" si="60"/>
        <v>0</v>
      </c>
    </row>
    <row r="2439" spans="1:60" ht="116" x14ac:dyDescent="0.35">
      <c r="A2439" s="2" t="s">
        <v>59</v>
      </c>
      <c r="B2439" s="2" t="s">
        <v>1183</v>
      </c>
      <c r="C2439" s="2" t="s">
        <v>24807</v>
      </c>
      <c r="D2439" s="2" t="s">
        <v>24808</v>
      </c>
      <c r="E2439" s="2" t="s">
        <v>24809</v>
      </c>
      <c r="G2439" s="3" t="s">
        <v>64</v>
      </c>
      <c r="H2439" s="3" t="s">
        <v>183</v>
      </c>
      <c r="I2439" s="3" t="s">
        <v>64</v>
      </c>
      <c r="J2439" s="3" t="s">
        <v>64</v>
      </c>
      <c r="K2439" s="3" t="s">
        <v>65</v>
      </c>
      <c r="L2439" s="2" t="s">
        <v>24810</v>
      </c>
      <c r="M2439" s="2" t="s">
        <v>24811</v>
      </c>
      <c r="N2439" s="3" t="s">
        <v>1492</v>
      </c>
      <c r="P2439" s="3" t="s">
        <v>1190</v>
      </c>
      <c r="R2439" s="3" t="s">
        <v>70</v>
      </c>
      <c r="S2439" s="4">
        <v>0</v>
      </c>
      <c r="T2439" s="4">
        <v>0</v>
      </c>
      <c r="W2439" s="5" t="s">
        <v>11334</v>
      </c>
      <c r="X2439" s="5" t="s">
        <v>11334</v>
      </c>
      <c r="Y2439" s="4">
        <v>12</v>
      </c>
      <c r="Z2439" s="4">
        <v>1</v>
      </c>
      <c r="AA2439" s="4">
        <v>1</v>
      </c>
      <c r="AB2439" s="4">
        <v>1</v>
      </c>
      <c r="AC2439" s="4">
        <v>1</v>
      </c>
      <c r="AD2439" s="4">
        <v>8</v>
      </c>
      <c r="AE2439" s="4">
        <v>8</v>
      </c>
      <c r="AF2439" s="4">
        <v>0</v>
      </c>
      <c r="AG2439" s="4">
        <v>0</v>
      </c>
      <c r="AH2439" s="4">
        <v>8</v>
      </c>
      <c r="AI2439" s="4">
        <v>8</v>
      </c>
      <c r="AJ2439" s="4">
        <v>0</v>
      </c>
      <c r="AK2439" s="4">
        <v>0</v>
      </c>
      <c r="AL2439" s="4">
        <v>8</v>
      </c>
      <c r="AM2439" s="4">
        <v>8</v>
      </c>
      <c r="AN2439" s="4">
        <v>0</v>
      </c>
      <c r="AO2439" s="4">
        <v>0</v>
      </c>
      <c r="AP2439" s="4">
        <v>0</v>
      </c>
      <c r="AQ2439" s="4">
        <v>0</v>
      </c>
      <c r="AR2439" s="3" t="s">
        <v>64</v>
      </c>
      <c r="AS2439" s="3" t="s">
        <v>64</v>
      </c>
      <c r="AT2439" s="3" t="s">
        <v>64</v>
      </c>
      <c r="AV2439" s="6" t="str">
        <f>HYPERLINK("http://mcgill.on.worldcat.org/oclc/1126569480","Catalog Record")</f>
        <v>Catalog Record</v>
      </c>
      <c r="AW2439" s="6" t="str">
        <f>HYPERLINK("http://www.worldcat.org/oclc/1126569480","WorldCat Record")</f>
        <v>WorldCat Record</v>
      </c>
      <c r="AX2439" s="3" t="s">
        <v>24812</v>
      </c>
      <c r="AY2439" s="3" t="s">
        <v>24813</v>
      </c>
      <c r="AZ2439" s="3" t="s">
        <v>24814</v>
      </c>
      <c r="BA2439" s="3" t="s">
        <v>24814</v>
      </c>
      <c r="BB2439" s="3" t="s">
        <v>24815</v>
      </c>
      <c r="BC2439" s="3" t="s">
        <v>77</v>
      </c>
      <c r="BD2439" s="3" t="s">
        <v>78</v>
      </c>
      <c r="BE2439" s="3" t="s">
        <v>24816</v>
      </c>
      <c r="BF2439" s="3" t="s">
        <v>24815</v>
      </c>
      <c r="BG2439" s="3" t="s">
        <v>24817</v>
      </c>
      <c r="BH2439">
        <f t="shared" si="60"/>
        <v>0</v>
      </c>
    </row>
    <row r="2440" spans="1:60" ht="72.5" x14ac:dyDescent="0.35">
      <c r="A2440" s="2" t="s">
        <v>59</v>
      </c>
      <c r="B2440" s="2" t="s">
        <v>60</v>
      </c>
      <c r="C2440" s="2" t="s">
        <v>24818</v>
      </c>
      <c r="D2440" s="2" t="s">
        <v>24819</v>
      </c>
      <c r="E2440" s="2" t="s">
        <v>24820</v>
      </c>
      <c r="G2440" s="3" t="s">
        <v>64</v>
      </c>
      <c r="I2440" s="3" t="s">
        <v>64</v>
      </c>
      <c r="J2440" s="3" t="s">
        <v>64</v>
      </c>
      <c r="K2440" s="3" t="s">
        <v>65</v>
      </c>
      <c r="L2440" s="2" t="s">
        <v>24821</v>
      </c>
      <c r="M2440" s="2" t="s">
        <v>24822</v>
      </c>
      <c r="N2440" s="3" t="s">
        <v>11182</v>
      </c>
      <c r="P2440" s="3" t="s">
        <v>102</v>
      </c>
      <c r="R2440" s="3" t="s">
        <v>70</v>
      </c>
      <c r="S2440" s="4">
        <v>4</v>
      </c>
      <c r="T2440" s="4">
        <v>4</v>
      </c>
      <c r="U2440" s="5" t="s">
        <v>24823</v>
      </c>
      <c r="V2440" s="5" t="s">
        <v>24823</v>
      </c>
      <c r="W2440" s="5" t="s">
        <v>72</v>
      </c>
      <c r="X2440" s="5" t="s">
        <v>72</v>
      </c>
      <c r="Y2440" s="4">
        <v>47</v>
      </c>
      <c r="Z2440" s="4">
        <v>2</v>
      </c>
      <c r="AA2440" s="4">
        <v>2</v>
      </c>
      <c r="AB2440" s="4">
        <v>1</v>
      </c>
      <c r="AC2440" s="4">
        <v>1</v>
      </c>
      <c r="AD2440" s="4">
        <v>19</v>
      </c>
      <c r="AE2440" s="4">
        <v>20</v>
      </c>
      <c r="AF2440" s="4">
        <v>0</v>
      </c>
      <c r="AG2440" s="4">
        <v>0</v>
      </c>
      <c r="AH2440" s="4">
        <v>18</v>
      </c>
      <c r="AI2440" s="4">
        <v>18</v>
      </c>
      <c r="AJ2440" s="4">
        <v>1</v>
      </c>
      <c r="AK2440" s="4">
        <v>1</v>
      </c>
      <c r="AL2440" s="4">
        <v>13</v>
      </c>
      <c r="AM2440" s="4">
        <v>14</v>
      </c>
      <c r="AN2440" s="4">
        <v>0</v>
      </c>
      <c r="AO2440" s="4">
        <v>0</v>
      </c>
      <c r="AP2440" s="4">
        <v>1</v>
      </c>
      <c r="AQ2440" s="4">
        <v>1</v>
      </c>
      <c r="AR2440" s="3" t="s">
        <v>64</v>
      </c>
      <c r="AS2440" s="3" t="s">
        <v>64</v>
      </c>
      <c r="AT2440" s="3" t="s">
        <v>128</v>
      </c>
      <c r="AU2440" s="6" t="str">
        <f>HYPERLINK("http://catalog.hathitrust.org/Record/001596130","HathiTrust Record")</f>
        <v>HathiTrust Record</v>
      </c>
      <c r="AV2440" s="6" t="str">
        <f>HYPERLINK("http://mcgill.on.worldcat.org/oclc/7159809","Catalog Record")</f>
        <v>Catalog Record</v>
      </c>
      <c r="AW2440" s="6" t="str">
        <f>HYPERLINK("http://www.worldcat.org/oclc/7159809","WorldCat Record")</f>
        <v>WorldCat Record</v>
      </c>
      <c r="AX2440" s="3" t="s">
        <v>24824</v>
      </c>
      <c r="AY2440" s="3" t="s">
        <v>24825</v>
      </c>
      <c r="AZ2440" s="3" t="s">
        <v>24826</v>
      </c>
      <c r="BA2440" s="3" t="s">
        <v>24826</v>
      </c>
      <c r="BB2440" s="3" t="s">
        <v>24827</v>
      </c>
      <c r="BC2440" s="3" t="s">
        <v>77</v>
      </c>
      <c r="BD2440" s="3" t="s">
        <v>78</v>
      </c>
      <c r="BF2440" s="3" t="s">
        <v>24827</v>
      </c>
      <c r="BG2440" s="3" t="s">
        <v>24828</v>
      </c>
      <c r="BH2440">
        <f t="shared" si="60"/>
        <v>0</v>
      </c>
    </row>
    <row r="2441" spans="1:60" ht="58" x14ac:dyDescent="0.35">
      <c r="A2441" s="2" t="s">
        <v>59</v>
      </c>
      <c r="B2441" s="2" t="s">
        <v>60</v>
      </c>
      <c r="C2441" s="2" t="s">
        <v>24829</v>
      </c>
      <c r="D2441" s="2" t="s">
        <v>24830</v>
      </c>
      <c r="E2441" s="2" t="s">
        <v>24831</v>
      </c>
      <c r="G2441" s="3" t="s">
        <v>64</v>
      </c>
      <c r="I2441" s="3" t="s">
        <v>128</v>
      </c>
      <c r="J2441" s="3" t="s">
        <v>64</v>
      </c>
      <c r="K2441" s="3" t="s">
        <v>65</v>
      </c>
      <c r="L2441" s="2" t="s">
        <v>24832</v>
      </c>
      <c r="M2441" s="2" t="s">
        <v>24833</v>
      </c>
      <c r="N2441" s="3" t="s">
        <v>4548</v>
      </c>
      <c r="P2441" s="3" t="s">
        <v>102</v>
      </c>
      <c r="Q2441" s="2" t="s">
        <v>24834</v>
      </c>
      <c r="R2441" s="3" t="s">
        <v>70</v>
      </c>
      <c r="S2441" s="4">
        <v>20</v>
      </c>
      <c r="T2441" s="4">
        <v>26</v>
      </c>
      <c r="U2441" s="5" t="s">
        <v>24104</v>
      </c>
      <c r="V2441" s="5" t="s">
        <v>24104</v>
      </c>
      <c r="W2441" s="5" t="s">
        <v>72</v>
      </c>
      <c r="X2441" s="5" t="s">
        <v>72</v>
      </c>
      <c r="Y2441" s="4">
        <v>1233</v>
      </c>
      <c r="Z2441" s="4">
        <v>58</v>
      </c>
      <c r="AA2441" s="4">
        <v>69</v>
      </c>
      <c r="AB2441" s="4">
        <v>5</v>
      </c>
      <c r="AC2441" s="4">
        <v>13</v>
      </c>
      <c r="AD2441" s="4">
        <v>139</v>
      </c>
      <c r="AE2441" s="4">
        <v>144</v>
      </c>
      <c r="AF2441" s="4">
        <v>2</v>
      </c>
      <c r="AG2441" s="4">
        <v>6</v>
      </c>
      <c r="AH2441" s="4">
        <v>111</v>
      </c>
      <c r="AI2441" s="4">
        <v>113</v>
      </c>
      <c r="AJ2441" s="4">
        <v>21</v>
      </c>
      <c r="AK2441" s="4">
        <v>26</v>
      </c>
      <c r="AL2441" s="4">
        <v>60</v>
      </c>
      <c r="AM2441" s="4">
        <v>60</v>
      </c>
      <c r="AN2441" s="4">
        <v>0</v>
      </c>
      <c r="AO2441" s="4">
        <v>0</v>
      </c>
      <c r="AP2441" s="4">
        <v>35</v>
      </c>
      <c r="AQ2441" s="4">
        <v>39</v>
      </c>
      <c r="AR2441" s="3" t="s">
        <v>64</v>
      </c>
      <c r="AS2441" s="3" t="s">
        <v>64</v>
      </c>
      <c r="AT2441" s="3" t="s">
        <v>128</v>
      </c>
      <c r="AU2441" s="6" t="str">
        <f>HYPERLINK("http://catalog.hathitrust.org/Record/001596100","HathiTrust Record")</f>
        <v>HathiTrust Record</v>
      </c>
      <c r="AV2441" s="6" t="str">
        <f>HYPERLINK("http://mcgill.on.worldcat.org/oclc/250927","Catalog Record")</f>
        <v>Catalog Record</v>
      </c>
      <c r="AW2441" s="6" t="str">
        <f>HYPERLINK("http://www.worldcat.org/oclc/250927","WorldCat Record")</f>
        <v>WorldCat Record</v>
      </c>
      <c r="AX2441" s="3" t="s">
        <v>24835</v>
      </c>
      <c r="AY2441" s="3" t="s">
        <v>24836</v>
      </c>
      <c r="AZ2441" s="3" t="s">
        <v>24837</v>
      </c>
      <c r="BA2441" s="3" t="s">
        <v>24837</v>
      </c>
      <c r="BB2441" s="3" t="s">
        <v>24838</v>
      </c>
      <c r="BC2441" s="3" t="s">
        <v>77</v>
      </c>
      <c r="BD2441" s="3" t="s">
        <v>78</v>
      </c>
      <c r="BE2441" s="3" t="s">
        <v>24839</v>
      </c>
      <c r="BF2441" s="3" t="s">
        <v>24838</v>
      </c>
      <c r="BG2441" s="3" t="s">
        <v>24840</v>
      </c>
      <c r="BH2441">
        <f t="shared" si="60"/>
        <v>0</v>
      </c>
    </row>
    <row r="2442" spans="1:60" ht="58" x14ac:dyDescent="0.35">
      <c r="A2442" s="2" t="s">
        <v>59</v>
      </c>
      <c r="B2442" s="2" t="s">
        <v>60</v>
      </c>
      <c r="C2442" s="2" t="s">
        <v>24841</v>
      </c>
      <c r="D2442" s="2" t="s">
        <v>24842</v>
      </c>
      <c r="E2442" s="2" t="s">
        <v>24843</v>
      </c>
      <c r="G2442" s="3" t="s">
        <v>64</v>
      </c>
      <c r="I2442" s="3" t="s">
        <v>128</v>
      </c>
      <c r="J2442" s="3" t="s">
        <v>64</v>
      </c>
      <c r="K2442" s="3" t="s">
        <v>65</v>
      </c>
      <c r="L2442" s="2" t="s">
        <v>24832</v>
      </c>
      <c r="M2442" s="2" t="s">
        <v>24844</v>
      </c>
      <c r="N2442" s="3" t="s">
        <v>3804</v>
      </c>
      <c r="P2442" s="3" t="s">
        <v>102</v>
      </c>
      <c r="R2442" s="3" t="s">
        <v>70</v>
      </c>
      <c r="S2442" s="4">
        <v>16</v>
      </c>
      <c r="T2442" s="4">
        <v>21</v>
      </c>
      <c r="U2442" s="5" t="s">
        <v>8245</v>
      </c>
      <c r="V2442" s="5" t="s">
        <v>8245</v>
      </c>
      <c r="W2442" s="5" t="s">
        <v>72</v>
      </c>
      <c r="X2442" s="5" t="s">
        <v>72</v>
      </c>
      <c r="Y2442" s="4">
        <v>780</v>
      </c>
      <c r="Z2442" s="4">
        <v>42</v>
      </c>
      <c r="AA2442" s="4">
        <v>64</v>
      </c>
      <c r="AB2442" s="4">
        <v>4</v>
      </c>
      <c r="AC2442" s="4">
        <v>12</v>
      </c>
      <c r="AD2442" s="4">
        <v>121</v>
      </c>
      <c r="AE2442" s="4">
        <v>142</v>
      </c>
      <c r="AF2442" s="4">
        <v>2</v>
      </c>
      <c r="AG2442" s="4">
        <v>6</v>
      </c>
      <c r="AH2442" s="4">
        <v>105</v>
      </c>
      <c r="AI2442" s="4">
        <v>116</v>
      </c>
      <c r="AJ2442" s="4">
        <v>13</v>
      </c>
      <c r="AK2442" s="4">
        <v>22</v>
      </c>
      <c r="AL2442" s="4">
        <v>54</v>
      </c>
      <c r="AM2442" s="4">
        <v>58</v>
      </c>
      <c r="AN2442" s="4">
        <v>0</v>
      </c>
      <c r="AO2442" s="4">
        <v>3</v>
      </c>
      <c r="AP2442" s="4">
        <v>24</v>
      </c>
      <c r="AQ2442" s="4">
        <v>36</v>
      </c>
      <c r="AR2442" s="3" t="s">
        <v>64</v>
      </c>
      <c r="AS2442" s="3" t="s">
        <v>64</v>
      </c>
      <c r="AT2442" s="3" t="s">
        <v>64</v>
      </c>
      <c r="AU2442" s="6" t="str">
        <f>HYPERLINK("http://catalog.hathitrust.org/Record/003934523","HathiTrust Record")</f>
        <v>HathiTrust Record</v>
      </c>
      <c r="AV2442" s="6" t="str">
        <f>HYPERLINK("http://mcgill.on.worldcat.org/oclc/862823471","Catalog Record")</f>
        <v>Catalog Record</v>
      </c>
      <c r="AW2442" s="6" t="str">
        <f>HYPERLINK("http://www.worldcat.org/oclc/862823471","WorldCat Record")</f>
        <v>WorldCat Record</v>
      </c>
      <c r="AX2442" s="3" t="s">
        <v>24845</v>
      </c>
      <c r="AY2442" s="3" t="s">
        <v>24846</v>
      </c>
      <c r="AZ2442" s="3" t="s">
        <v>24847</v>
      </c>
      <c r="BA2442" s="3" t="s">
        <v>24847</v>
      </c>
      <c r="BB2442" s="3" t="s">
        <v>24848</v>
      </c>
      <c r="BC2442" s="3" t="s">
        <v>77</v>
      </c>
      <c r="BD2442" s="3" t="s">
        <v>78</v>
      </c>
      <c r="BF2442" s="3" t="s">
        <v>24848</v>
      </c>
      <c r="BG2442" s="3" t="s">
        <v>24849</v>
      </c>
      <c r="BH2442">
        <f t="shared" si="60"/>
        <v>0</v>
      </c>
    </row>
    <row r="2443" spans="1:60" ht="58" x14ac:dyDescent="0.35">
      <c r="A2443" s="2" t="s">
        <v>59</v>
      </c>
      <c r="B2443" s="2" t="s">
        <v>60</v>
      </c>
      <c r="C2443" s="2" t="s">
        <v>24841</v>
      </c>
      <c r="D2443" s="2" t="s">
        <v>24842</v>
      </c>
      <c r="E2443" s="2" t="s">
        <v>24843</v>
      </c>
      <c r="G2443" s="3" t="s">
        <v>64</v>
      </c>
      <c r="I2443" s="3" t="s">
        <v>128</v>
      </c>
      <c r="J2443" s="3" t="s">
        <v>64</v>
      </c>
      <c r="K2443" s="3" t="s">
        <v>65</v>
      </c>
      <c r="L2443" s="2" t="s">
        <v>24832</v>
      </c>
      <c r="M2443" s="2" t="s">
        <v>24844</v>
      </c>
      <c r="N2443" s="3" t="s">
        <v>3804</v>
      </c>
      <c r="P2443" s="3" t="s">
        <v>102</v>
      </c>
      <c r="R2443" s="3" t="s">
        <v>70</v>
      </c>
      <c r="S2443" s="4">
        <v>5</v>
      </c>
      <c r="T2443" s="4">
        <v>21</v>
      </c>
      <c r="U2443" s="5" t="s">
        <v>24850</v>
      </c>
      <c r="V2443" s="5" t="s">
        <v>8245</v>
      </c>
      <c r="W2443" s="5" t="s">
        <v>72</v>
      </c>
      <c r="X2443" s="5" t="s">
        <v>72</v>
      </c>
      <c r="Y2443" s="4">
        <v>780</v>
      </c>
      <c r="Z2443" s="4">
        <v>42</v>
      </c>
      <c r="AA2443" s="4">
        <v>64</v>
      </c>
      <c r="AB2443" s="4">
        <v>4</v>
      </c>
      <c r="AC2443" s="4">
        <v>12</v>
      </c>
      <c r="AD2443" s="4">
        <v>121</v>
      </c>
      <c r="AE2443" s="4">
        <v>142</v>
      </c>
      <c r="AF2443" s="4">
        <v>2</v>
      </c>
      <c r="AG2443" s="4">
        <v>6</v>
      </c>
      <c r="AH2443" s="4">
        <v>105</v>
      </c>
      <c r="AI2443" s="4">
        <v>116</v>
      </c>
      <c r="AJ2443" s="4">
        <v>13</v>
      </c>
      <c r="AK2443" s="4">
        <v>22</v>
      </c>
      <c r="AL2443" s="4">
        <v>54</v>
      </c>
      <c r="AM2443" s="4">
        <v>58</v>
      </c>
      <c r="AN2443" s="4">
        <v>0</v>
      </c>
      <c r="AO2443" s="4">
        <v>3</v>
      </c>
      <c r="AP2443" s="4">
        <v>24</v>
      </c>
      <c r="AQ2443" s="4">
        <v>36</v>
      </c>
      <c r="AR2443" s="3" t="s">
        <v>64</v>
      </c>
      <c r="AS2443" s="3" t="s">
        <v>64</v>
      </c>
      <c r="AT2443" s="3" t="s">
        <v>64</v>
      </c>
      <c r="AU2443" s="6" t="str">
        <f>HYPERLINK("http://catalog.hathitrust.org/Record/003934523","HathiTrust Record")</f>
        <v>HathiTrust Record</v>
      </c>
      <c r="AV2443" s="6" t="str">
        <f>HYPERLINK("http://mcgill.on.worldcat.org/oclc/862823471","Catalog Record")</f>
        <v>Catalog Record</v>
      </c>
      <c r="AW2443" s="6" t="str">
        <f>HYPERLINK("http://www.worldcat.org/oclc/862823471","WorldCat Record")</f>
        <v>WorldCat Record</v>
      </c>
      <c r="AX2443" s="3" t="s">
        <v>24845</v>
      </c>
      <c r="AY2443" s="3" t="s">
        <v>24846</v>
      </c>
      <c r="AZ2443" s="3" t="s">
        <v>24847</v>
      </c>
      <c r="BA2443" s="3" t="s">
        <v>24847</v>
      </c>
      <c r="BB2443" s="3" t="s">
        <v>24851</v>
      </c>
      <c r="BC2443" s="3" t="s">
        <v>77</v>
      </c>
      <c r="BD2443" s="3" t="s">
        <v>78</v>
      </c>
      <c r="BF2443" s="3" t="s">
        <v>24851</v>
      </c>
      <c r="BG2443" s="3" t="s">
        <v>24852</v>
      </c>
      <c r="BH2443">
        <f t="shared" si="60"/>
        <v>0</v>
      </c>
    </row>
    <row r="2444" spans="1:60" ht="58" x14ac:dyDescent="0.35">
      <c r="A2444" s="2" t="s">
        <v>59</v>
      </c>
      <c r="B2444" s="2" t="s">
        <v>60</v>
      </c>
      <c r="C2444" s="2" t="s">
        <v>24853</v>
      </c>
      <c r="D2444" s="2" t="s">
        <v>24854</v>
      </c>
      <c r="E2444" s="2" t="s">
        <v>24855</v>
      </c>
      <c r="G2444" s="3" t="s">
        <v>64</v>
      </c>
      <c r="I2444" s="3" t="s">
        <v>64</v>
      </c>
      <c r="J2444" s="3" t="s">
        <v>64</v>
      </c>
      <c r="K2444" s="3" t="s">
        <v>65</v>
      </c>
      <c r="M2444" s="2" t="s">
        <v>24856</v>
      </c>
      <c r="N2444" s="3" t="s">
        <v>537</v>
      </c>
      <c r="P2444" s="3" t="s">
        <v>102</v>
      </c>
      <c r="R2444" s="3" t="s">
        <v>70</v>
      </c>
      <c r="S2444" s="4">
        <v>0</v>
      </c>
      <c r="T2444" s="4">
        <v>0</v>
      </c>
      <c r="W2444" s="5" t="s">
        <v>72</v>
      </c>
      <c r="X2444" s="5" t="s">
        <v>72</v>
      </c>
      <c r="Y2444" s="4">
        <v>26</v>
      </c>
      <c r="Z2444" s="4">
        <v>5</v>
      </c>
      <c r="AA2444" s="4">
        <v>5</v>
      </c>
      <c r="AB2444" s="4">
        <v>2</v>
      </c>
      <c r="AC2444" s="4">
        <v>2</v>
      </c>
      <c r="AD2444" s="4">
        <v>13</v>
      </c>
      <c r="AE2444" s="4">
        <v>13</v>
      </c>
      <c r="AF2444" s="4">
        <v>1</v>
      </c>
      <c r="AG2444" s="4">
        <v>1</v>
      </c>
      <c r="AH2444" s="4">
        <v>12</v>
      </c>
      <c r="AI2444" s="4">
        <v>12</v>
      </c>
      <c r="AJ2444" s="4">
        <v>4</v>
      </c>
      <c r="AK2444" s="4">
        <v>4</v>
      </c>
      <c r="AL2444" s="4">
        <v>8</v>
      </c>
      <c r="AM2444" s="4">
        <v>8</v>
      </c>
      <c r="AN2444" s="4">
        <v>0</v>
      </c>
      <c r="AO2444" s="4">
        <v>0</v>
      </c>
      <c r="AP2444" s="4">
        <v>4</v>
      </c>
      <c r="AQ2444" s="4">
        <v>4</v>
      </c>
      <c r="AR2444" s="3" t="s">
        <v>64</v>
      </c>
      <c r="AS2444" s="3" t="s">
        <v>64</v>
      </c>
      <c r="AT2444" s="3" t="s">
        <v>64</v>
      </c>
      <c r="AV2444" s="6" t="str">
        <f>HYPERLINK("http://mcgill.on.worldcat.org/oclc/959873621","Catalog Record")</f>
        <v>Catalog Record</v>
      </c>
      <c r="AW2444" s="6" t="str">
        <f>HYPERLINK("http://www.worldcat.org/oclc/959873621","WorldCat Record")</f>
        <v>WorldCat Record</v>
      </c>
      <c r="AX2444" s="3" t="s">
        <v>24857</v>
      </c>
      <c r="AY2444" s="3" t="s">
        <v>24858</v>
      </c>
      <c r="AZ2444" s="3" t="s">
        <v>24859</v>
      </c>
      <c r="BA2444" s="3" t="s">
        <v>24859</v>
      </c>
      <c r="BB2444" s="3" t="s">
        <v>24860</v>
      </c>
      <c r="BC2444" s="3" t="s">
        <v>77</v>
      </c>
      <c r="BD2444" s="3" t="s">
        <v>78</v>
      </c>
      <c r="BE2444" s="3" t="s">
        <v>24861</v>
      </c>
      <c r="BF2444" s="3" t="s">
        <v>24860</v>
      </c>
      <c r="BG2444" s="3" t="s">
        <v>24862</v>
      </c>
      <c r="BH2444">
        <f t="shared" si="60"/>
        <v>0</v>
      </c>
    </row>
    <row r="2445" spans="1:60" ht="58" x14ac:dyDescent="0.35">
      <c r="A2445" s="2" t="s">
        <v>59</v>
      </c>
      <c r="B2445" s="2" t="s">
        <v>60</v>
      </c>
      <c r="C2445" s="2" t="s">
        <v>24863</v>
      </c>
      <c r="D2445" s="2" t="s">
        <v>24864</v>
      </c>
      <c r="E2445" s="2" t="s">
        <v>24865</v>
      </c>
      <c r="G2445" s="3" t="s">
        <v>64</v>
      </c>
      <c r="I2445" s="3" t="s">
        <v>64</v>
      </c>
      <c r="J2445" s="3" t="s">
        <v>64</v>
      </c>
      <c r="K2445" s="3" t="s">
        <v>65</v>
      </c>
      <c r="L2445" s="2" t="s">
        <v>24866</v>
      </c>
      <c r="M2445" s="2" t="s">
        <v>15272</v>
      </c>
      <c r="N2445" s="3" t="s">
        <v>291</v>
      </c>
      <c r="P2445" s="3" t="s">
        <v>102</v>
      </c>
      <c r="R2445" s="3" t="s">
        <v>70</v>
      </c>
      <c r="S2445" s="4">
        <v>13</v>
      </c>
      <c r="T2445" s="4">
        <v>13</v>
      </c>
      <c r="U2445" s="5" t="s">
        <v>24867</v>
      </c>
      <c r="V2445" s="5" t="s">
        <v>24867</v>
      </c>
      <c r="W2445" s="5" t="s">
        <v>72</v>
      </c>
      <c r="X2445" s="5" t="s">
        <v>72</v>
      </c>
      <c r="Y2445" s="4">
        <v>579</v>
      </c>
      <c r="Z2445" s="4">
        <v>26</v>
      </c>
      <c r="AA2445" s="4">
        <v>55</v>
      </c>
      <c r="AB2445" s="4">
        <v>2</v>
      </c>
      <c r="AC2445" s="4">
        <v>7</v>
      </c>
      <c r="AD2445" s="4">
        <v>54</v>
      </c>
      <c r="AE2445" s="4">
        <v>66</v>
      </c>
      <c r="AF2445" s="4">
        <v>0</v>
      </c>
      <c r="AG2445" s="4">
        <v>0</v>
      </c>
      <c r="AH2445" s="4">
        <v>47</v>
      </c>
      <c r="AI2445" s="4">
        <v>57</v>
      </c>
      <c r="AJ2445" s="4">
        <v>11</v>
      </c>
      <c r="AK2445" s="4">
        <v>11</v>
      </c>
      <c r="AL2445" s="4">
        <v>24</v>
      </c>
      <c r="AM2445" s="4">
        <v>29</v>
      </c>
      <c r="AN2445" s="4">
        <v>5</v>
      </c>
      <c r="AO2445" s="4">
        <v>5</v>
      </c>
      <c r="AP2445" s="4">
        <v>13</v>
      </c>
      <c r="AQ2445" s="4">
        <v>15</v>
      </c>
      <c r="AR2445" s="3" t="s">
        <v>64</v>
      </c>
      <c r="AS2445" s="3" t="s">
        <v>64</v>
      </c>
      <c r="AT2445" s="3" t="s">
        <v>128</v>
      </c>
      <c r="AU2445" s="6" t="str">
        <f>HYPERLINK("http://catalog.hathitrust.org/Record/005807446","HathiTrust Record")</f>
        <v>HathiTrust Record</v>
      </c>
      <c r="AV2445" s="6" t="str">
        <f>HYPERLINK("http://mcgill.on.worldcat.org/oclc/85898238","Catalog Record")</f>
        <v>Catalog Record</v>
      </c>
      <c r="AW2445" s="6" t="str">
        <f>HYPERLINK("http://www.worldcat.org/oclc/85898238","WorldCat Record")</f>
        <v>WorldCat Record</v>
      </c>
      <c r="AX2445" s="3" t="s">
        <v>24868</v>
      </c>
      <c r="AY2445" s="3" t="s">
        <v>24869</v>
      </c>
      <c r="AZ2445" s="3" t="s">
        <v>24870</v>
      </c>
      <c r="BA2445" s="3" t="s">
        <v>24870</v>
      </c>
      <c r="BB2445" s="3" t="s">
        <v>24871</v>
      </c>
      <c r="BC2445" s="3" t="s">
        <v>77</v>
      </c>
      <c r="BD2445" s="3" t="s">
        <v>165</v>
      </c>
      <c r="BE2445" s="3" t="s">
        <v>24872</v>
      </c>
      <c r="BF2445" s="3" t="s">
        <v>24871</v>
      </c>
      <c r="BG2445" s="3" t="s">
        <v>24873</v>
      </c>
      <c r="BH2445">
        <f t="shared" si="60"/>
        <v>0</v>
      </c>
    </row>
    <row r="2446" spans="1:60" ht="58" x14ac:dyDescent="0.35">
      <c r="A2446" s="2" t="s">
        <v>59</v>
      </c>
      <c r="B2446" s="2" t="s">
        <v>60</v>
      </c>
      <c r="C2446" s="2" t="s">
        <v>24874</v>
      </c>
      <c r="D2446" s="2" t="s">
        <v>24875</v>
      </c>
      <c r="E2446" s="2" t="s">
        <v>24876</v>
      </c>
      <c r="G2446" s="3" t="s">
        <v>64</v>
      </c>
      <c r="I2446" s="3" t="s">
        <v>64</v>
      </c>
      <c r="J2446" s="3" t="s">
        <v>64</v>
      </c>
      <c r="K2446" s="3" t="s">
        <v>65</v>
      </c>
      <c r="L2446" s="2" t="s">
        <v>24877</v>
      </c>
      <c r="M2446" s="2" t="s">
        <v>22298</v>
      </c>
      <c r="N2446" s="3" t="s">
        <v>511</v>
      </c>
      <c r="P2446" s="3" t="s">
        <v>102</v>
      </c>
      <c r="R2446" s="3" t="s">
        <v>70</v>
      </c>
      <c r="S2446" s="4">
        <v>3</v>
      </c>
      <c r="T2446" s="4">
        <v>3</v>
      </c>
      <c r="U2446" s="5" t="s">
        <v>24878</v>
      </c>
      <c r="V2446" s="5" t="s">
        <v>24878</v>
      </c>
      <c r="W2446" s="5" t="s">
        <v>72</v>
      </c>
      <c r="X2446" s="5" t="s">
        <v>72</v>
      </c>
      <c r="Y2446" s="4">
        <v>336</v>
      </c>
      <c r="Z2446" s="4">
        <v>18</v>
      </c>
      <c r="AA2446" s="4">
        <v>113</v>
      </c>
      <c r="AB2446" s="4">
        <v>3</v>
      </c>
      <c r="AC2446" s="4">
        <v>19</v>
      </c>
      <c r="AD2446" s="4">
        <v>49</v>
      </c>
      <c r="AE2446" s="4">
        <v>117</v>
      </c>
      <c r="AF2446" s="4">
        <v>0</v>
      </c>
      <c r="AG2446" s="4">
        <v>8</v>
      </c>
      <c r="AH2446" s="4">
        <v>46</v>
      </c>
      <c r="AI2446" s="4">
        <v>79</v>
      </c>
      <c r="AJ2446" s="4">
        <v>6</v>
      </c>
      <c r="AK2446" s="4">
        <v>20</v>
      </c>
      <c r="AL2446" s="4">
        <v>21</v>
      </c>
      <c r="AM2446" s="4">
        <v>40</v>
      </c>
      <c r="AN2446" s="4">
        <v>0</v>
      </c>
      <c r="AO2446" s="4">
        <v>0</v>
      </c>
      <c r="AP2446" s="4">
        <v>7</v>
      </c>
      <c r="AQ2446" s="4">
        <v>44</v>
      </c>
      <c r="AR2446" s="3" t="s">
        <v>64</v>
      </c>
      <c r="AS2446" s="3" t="s">
        <v>64</v>
      </c>
      <c r="AT2446" s="3" t="s">
        <v>64</v>
      </c>
      <c r="AV2446" s="6" t="str">
        <f>HYPERLINK("http://mcgill.on.worldcat.org/oclc/427541678","Catalog Record")</f>
        <v>Catalog Record</v>
      </c>
      <c r="AW2446" s="6" t="str">
        <f>HYPERLINK("http://www.worldcat.org/oclc/427541678","WorldCat Record")</f>
        <v>WorldCat Record</v>
      </c>
      <c r="AX2446" s="3" t="s">
        <v>24879</v>
      </c>
      <c r="AY2446" s="3" t="s">
        <v>24880</v>
      </c>
      <c r="AZ2446" s="3" t="s">
        <v>24881</v>
      </c>
      <c r="BA2446" s="3" t="s">
        <v>24881</v>
      </c>
      <c r="BB2446" s="3" t="s">
        <v>24882</v>
      </c>
      <c r="BC2446" s="3" t="s">
        <v>77</v>
      </c>
      <c r="BD2446" s="3" t="s">
        <v>78</v>
      </c>
      <c r="BE2446" s="3" t="s">
        <v>24883</v>
      </c>
      <c r="BF2446" s="3" t="s">
        <v>24882</v>
      </c>
      <c r="BG2446" s="3" t="s">
        <v>24884</v>
      </c>
      <c r="BH2446">
        <f t="shared" si="60"/>
        <v>0</v>
      </c>
    </row>
    <row r="2447" spans="1:60" ht="58" x14ac:dyDescent="0.35">
      <c r="A2447" s="2" t="s">
        <v>59</v>
      </c>
      <c r="B2447" s="2" t="s">
        <v>60</v>
      </c>
      <c r="C2447" s="2" t="s">
        <v>24885</v>
      </c>
      <c r="D2447" s="2" t="s">
        <v>24886</v>
      </c>
      <c r="E2447" s="2" t="s">
        <v>24887</v>
      </c>
      <c r="G2447" s="3" t="s">
        <v>64</v>
      </c>
      <c r="I2447" s="3" t="s">
        <v>64</v>
      </c>
      <c r="J2447" s="3" t="s">
        <v>64</v>
      </c>
      <c r="K2447" s="3" t="s">
        <v>65</v>
      </c>
      <c r="L2447" s="2" t="s">
        <v>24888</v>
      </c>
      <c r="M2447" s="2" t="s">
        <v>24889</v>
      </c>
      <c r="N2447" s="3" t="s">
        <v>67</v>
      </c>
      <c r="P2447" s="3" t="s">
        <v>102</v>
      </c>
      <c r="R2447" s="3" t="s">
        <v>70</v>
      </c>
      <c r="S2447" s="4">
        <v>3</v>
      </c>
      <c r="T2447" s="4">
        <v>3</v>
      </c>
      <c r="U2447" s="5" t="s">
        <v>1846</v>
      </c>
      <c r="V2447" s="5" t="s">
        <v>1846</v>
      </c>
      <c r="W2447" s="5" t="s">
        <v>72</v>
      </c>
      <c r="X2447" s="5" t="s">
        <v>72</v>
      </c>
      <c r="Y2447" s="4">
        <v>156</v>
      </c>
      <c r="Z2447" s="4">
        <v>8</v>
      </c>
      <c r="AA2447" s="4">
        <v>29</v>
      </c>
      <c r="AB2447" s="4">
        <v>1</v>
      </c>
      <c r="AC2447" s="4">
        <v>7</v>
      </c>
      <c r="AD2447" s="4">
        <v>18</v>
      </c>
      <c r="AE2447" s="4">
        <v>74</v>
      </c>
      <c r="AF2447" s="4">
        <v>0</v>
      </c>
      <c r="AG2447" s="4">
        <v>2</v>
      </c>
      <c r="AH2447" s="4">
        <v>13</v>
      </c>
      <c r="AI2447" s="4">
        <v>62</v>
      </c>
      <c r="AJ2447" s="4">
        <v>4</v>
      </c>
      <c r="AK2447" s="4">
        <v>13</v>
      </c>
      <c r="AL2447" s="4">
        <v>11</v>
      </c>
      <c r="AM2447" s="4">
        <v>35</v>
      </c>
      <c r="AN2447" s="4">
        <v>0</v>
      </c>
      <c r="AO2447" s="4">
        <v>0</v>
      </c>
      <c r="AP2447" s="4">
        <v>6</v>
      </c>
      <c r="AQ2447" s="4">
        <v>15</v>
      </c>
      <c r="AR2447" s="3" t="s">
        <v>64</v>
      </c>
      <c r="AS2447" s="3" t="s">
        <v>64</v>
      </c>
      <c r="AT2447" s="3" t="s">
        <v>64</v>
      </c>
      <c r="AV2447" s="6" t="str">
        <f>HYPERLINK("http://mcgill.on.worldcat.org/oclc/869299705","Catalog Record")</f>
        <v>Catalog Record</v>
      </c>
      <c r="AW2447" s="6" t="str">
        <f>HYPERLINK("http://www.worldcat.org/oclc/869299705","WorldCat Record")</f>
        <v>WorldCat Record</v>
      </c>
      <c r="AX2447" s="3" t="s">
        <v>24890</v>
      </c>
      <c r="AY2447" s="3" t="s">
        <v>24891</v>
      </c>
      <c r="AZ2447" s="3" t="s">
        <v>24892</v>
      </c>
      <c r="BA2447" s="3" t="s">
        <v>24892</v>
      </c>
      <c r="BB2447" s="3" t="s">
        <v>24893</v>
      </c>
      <c r="BC2447" s="3" t="s">
        <v>77</v>
      </c>
      <c r="BD2447" s="3" t="s">
        <v>78</v>
      </c>
      <c r="BE2447" s="3" t="s">
        <v>24894</v>
      </c>
      <c r="BF2447" s="3" t="s">
        <v>24893</v>
      </c>
      <c r="BG2447" s="3" t="s">
        <v>24895</v>
      </c>
      <c r="BH2447">
        <f t="shared" si="60"/>
        <v>0</v>
      </c>
    </row>
    <row r="2448" spans="1:60" ht="58" x14ac:dyDescent="0.35">
      <c r="A2448" s="2" t="s">
        <v>59</v>
      </c>
      <c r="B2448" s="2" t="s">
        <v>60</v>
      </c>
      <c r="C2448" s="2" t="s">
        <v>24896</v>
      </c>
      <c r="D2448" s="2" t="s">
        <v>24897</v>
      </c>
      <c r="E2448" s="2" t="s">
        <v>24898</v>
      </c>
      <c r="G2448" s="3" t="s">
        <v>64</v>
      </c>
      <c r="I2448" s="3" t="s">
        <v>64</v>
      </c>
      <c r="J2448" s="3" t="s">
        <v>64</v>
      </c>
      <c r="K2448" s="3" t="s">
        <v>65</v>
      </c>
      <c r="L2448" s="2" t="s">
        <v>24899</v>
      </c>
      <c r="M2448" s="2" t="s">
        <v>9226</v>
      </c>
      <c r="N2448" s="3" t="s">
        <v>511</v>
      </c>
      <c r="P2448" s="3" t="s">
        <v>102</v>
      </c>
      <c r="Q2448" s="2" t="s">
        <v>8981</v>
      </c>
      <c r="R2448" s="3" t="s">
        <v>70</v>
      </c>
      <c r="S2448" s="4">
        <v>3</v>
      </c>
      <c r="T2448" s="4">
        <v>3</v>
      </c>
      <c r="U2448" s="5" t="s">
        <v>24900</v>
      </c>
      <c r="V2448" s="5" t="s">
        <v>24900</v>
      </c>
      <c r="W2448" s="5" t="s">
        <v>72</v>
      </c>
      <c r="X2448" s="5" t="s">
        <v>72</v>
      </c>
      <c r="Y2448" s="4">
        <v>203</v>
      </c>
      <c r="Z2448" s="4">
        <v>17</v>
      </c>
      <c r="AA2448" s="4">
        <v>39</v>
      </c>
      <c r="AB2448" s="4">
        <v>1</v>
      </c>
      <c r="AC2448" s="4">
        <v>9</v>
      </c>
      <c r="AD2448" s="4">
        <v>50</v>
      </c>
      <c r="AE2448" s="4">
        <v>81</v>
      </c>
      <c r="AF2448" s="4">
        <v>0</v>
      </c>
      <c r="AG2448" s="4">
        <v>6</v>
      </c>
      <c r="AH2448" s="4">
        <v>43</v>
      </c>
      <c r="AI2448" s="4">
        <v>62</v>
      </c>
      <c r="AJ2448" s="4">
        <v>7</v>
      </c>
      <c r="AK2448" s="4">
        <v>15</v>
      </c>
      <c r="AL2448" s="4">
        <v>29</v>
      </c>
      <c r="AM2448" s="4">
        <v>36</v>
      </c>
      <c r="AN2448" s="4">
        <v>0</v>
      </c>
      <c r="AO2448" s="4">
        <v>0</v>
      </c>
      <c r="AP2448" s="4">
        <v>11</v>
      </c>
      <c r="AQ2448" s="4">
        <v>24</v>
      </c>
      <c r="AR2448" s="3" t="s">
        <v>64</v>
      </c>
      <c r="AS2448" s="3" t="s">
        <v>64</v>
      </c>
      <c r="AT2448" s="3" t="s">
        <v>64</v>
      </c>
      <c r="AV2448" s="6" t="str">
        <f>HYPERLINK("http://mcgill.on.worldcat.org/oclc/692617675","Catalog Record")</f>
        <v>Catalog Record</v>
      </c>
      <c r="AW2448" s="6" t="str">
        <f>HYPERLINK("http://www.worldcat.org/oclc/692617675","WorldCat Record")</f>
        <v>WorldCat Record</v>
      </c>
      <c r="AX2448" s="3" t="s">
        <v>24901</v>
      </c>
      <c r="AY2448" s="3" t="s">
        <v>24902</v>
      </c>
      <c r="AZ2448" s="3" t="s">
        <v>24903</v>
      </c>
      <c r="BA2448" s="3" t="s">
        <v>24903</v>
      </c>
      <c r="BB2448" s="3" t="s">
        <v>24904</v>
      </c>
      <c r="BC2448" s="3" t="s">
        <v>77</v>
      </c>
      <c r="BD2448" s="3" t="s">
        <v>78</v>
      </c>
      <c r="BE2448" s="3" t="s">
        <v>24905</v>
      </c>
      <c r="BF2448" s="3" t="s">
        <v>24904</v>
      </c>
      <c r="BG2448" s="3" t="s">
        <v>24906</v>
      </c>
      <c r="BH2448">
        <f t="shared" si="60"/>
        <v>0</v>
      </c>
    </row>
    <row r="2449" spans="1:60" ht="58" x14ac:dyDescent="0.35">
      <c r="A2449" s="2" t="s">
        <v>59</v>
      </c>
      <c r="B2449" s="2" t="s">
        <v>60</v>
      </c>
      <c r="C2449" s="2" t="s">
        <v>24907</v>
      </c>
      <c r="D2449" s="2" t="s">
        <v>24908</v>
      </c>
      <c r="E2449" s="2" t="s">
        <v>24909</v>
      </c>
      <c r="G2449" s="3" t="s">
        <v>64</v>
      </c>
      <c r="I2449" s="3" t="s">
        <v>64</v>
      </c>
      <c r="J2449" s="3" t="s">
        <v>64</v>
      </c>
      <c r="K2449" s="3" t="s">
        <v>65</v>
      </c>
      <c r="M2449" s="2" t="s">
        <v>24910</v>
      </c>
      <c r="N2449" s="3" t="s">
        <v>326</v>
      </c>
      <c r="P2449" s="3" t="s">
        <v>102</v>
      </c>
      <c r="Q2449" s="2" t="s">
        <v>24911</v>
      </c>
      <c r="R2449" s="3" t="s">
        <v>70</v>
      </c>
      <c r="S2449" s="4">
        <v>3</v>
      </c>
      <c r="T2449" s="4">
        <v>3</v>
      </c>
      <c r="U2449" s="5" t="s">
        <v>11203</v>
      </c>
      <c r="V2449" s="5" t="s">
        <v>11203</v>
      </c>
      <c r="W2449" s="5" t="s">
        <v>72</v>
      </c>
      <c r="X2449" s="5" t="s">
        <v>72</v>
      </c>
      <c r="Y2449" s="4">
        <v>65</v>
      </c>
      <c r="Z2449" s="4">
        <v>6</v>
      </c>
      <c r="AA2449" s="4">
        <v>36</v>
      </c>
      <c r="AB2449" s="4">
        <v>2</v>
      </c>
      <c r="AC2449" s="4">
        <v>9</v>
      </c>
      <c r="AD2449" s="4">
        <v>22</v>
      </c>
      <c r="AE2449" s="4">
        <v>73</v>
      </c>
      <c r="AF2449" s="4">
        <v>1</v>
      </c>
      <c r="AG2449" s="4">
        <v>5</v>
      </c>
      <c r="AH2449" s="4">
        <v>19</v>
      </c>
      <c r="AI2449" s="4">
        <v>48</v>
      </c>
      <c r="AJ2449" s="4">
        <v>5</v>
      </c>
      <c r="AK2449" s="4">
        <v>18</v>
      </c>
      <c r="AL2449" s="4">
        <v>13</v>
      </c>
      <c r="AM2449" s="4">
        <v>24</v>
      </c>
      <c r="AN2449" s="4">
        <v>0</v>
      </c>
      <c r="AO2449" s="4">
        <v>0</v>
      </c>
      <c r="AP2449" s="4">
        <v>5</v>
      </c>
      <c r="AQ2449" s="4">
        <v>31</v>
      </c>
      <c r="AR2449" s="3" t="s">
        <v>64</v>
      </c>
      <c r="AS2449" s="3" t="s">
        <v>64</v>
      </c>
      <c r="AT2449" s="3" t="s">
        <v>64</v>
      </c>
      <c r="AV2449" s="6" t="str">
        <f>HYPERLINK("http://mcgill.on.worldcat.org/oclc/692840238","Catalog Record")</f>
        <v>Catalog Record</v>
      </c>
      <c r="AW2449" s="6" t="str">
        <f>HYPERLINK("http://www.worldcat.org/oclc/692840238","WorldCat Record")</f>
        <v>WorldCat Record</v>
      </c>
      <c r="AX2449" s="3" t="s">
        <v>24912</v>
      </c>
      <c r="AY2449" s="3" t="s">
        <v>24913</v>
      </c>
      <c r="AZ2449" s="3" t="s">
        <v>24914</v>
      </c>
      <c r="BA2449" s="3" t="s">
        <v>24914</v>
      </c>
      <c r="BB2449" s="3" t="s">
        <v>24915</v>
      </c>
      <c r="BC2449" s="3" t="s">
        <v>77</v>
      </c>
      <c r="BD2449" s="3" t="s">
        <v>78</v>
      </c>
      <c r="BE2449" s="3" t="s">
        <v>24916</v>
      </c>
      <c r="BF2449" s="3" t="s">
        <v>24915</v>
      </c>
      <c r="BG2449" s="3" t="s">
        <v>24917</v>
      </c>
      <c r="BH2449">
        <f t="shared" si="60"/>
        <v>0</v>
      </c>
    </row>
    <row r="2450" spans="1:60" ht="58" x14ac:dyDescent="0.35">
      <c r="A2450" s="2" t="s">
        <v>59</v>
      </c>
      <c r="B2450" s="2" t="s">
        <v>60</v>
      </c>
      <c r="C2450" s="2" t="s">
        <v>24918</v>
      </c>
      <c r="D2450" s="2" t="s">
        <v>24919</v>
      </c>
      <c r="E2450" s="2" t="s">
        <v>24920</v>
      </c>
      <c r="G2450" s="3" t="s">
        <v>64</v>
      </c>
      <c r="I2450" s="3" t="s">
        <v>64</v>
      </c>
      <c r="J2450" s="3" t="s">
        <v>64</v>
      </c>
      <c r="K2450" s="3" t="s">
        <v>65</v>
      </c>
      <c r="L2450" s="2" t="s">
        <v>24921</v>
      </c>
      <c r="M2450" s="2" t="s">
        <v>24922</v>
      </c>
      <c r="N2450" s="3" t="s">
        <v>86</v>
      </c>
      <c r="P2450" s="3" t="s">
        <v>102</v>
      </c>
      <c r="Q2450" s="2" t="s">
        <v>8981</v>
      </c>
      <c r="R2450" s="3" t="s">
        <v>70</v>
      </c>
      <c r="S2450" s="4">
        <v>2</v>
      </c>
      <c r="T2450" s="4">
        <v>2</v>
      </c>
      <c r="U2450" s="5" t="s">
        <v>24923</v>
      </c>
      <c r="V2450" s="5" t="s">
        <v>24923</v>
      </c>
      <c r="W2450" s="5" t="s">
        <v>72</v>
      </c>
      <c r="X2450" s="5" t="s">
        <v>72</v>
      </c>
      <c r="Y2450" s="4">
        <v>228</v>
      </c>
      <c r="Z2450" s="4">
        <v>21</v>
      </c>
      <c r="AA2450" s="4">
        <v>91</v>
      </c>
      <c r="AB2450" s="4">
        <v>1</v>
      </c>
      <c r="AC2450" s="4">
        <v>17</v>
      </c>
      <c r="AD2450" s="4">
        <v>48</v>
      </c>
      <c r="AE2450" s="4">
        <v>115</v>
      </c>
      <c r="AF2450" s="4">
        <v>0</v>
      </c>
      <c r="AG2450" s="4">
        <v>9</v>
      </c>
      <c r="AH2450" s="4">
        <v>43</v>
      </c>
      <c r="AI2450" s="4">
        <v>79</v>
      </c>
      <c r="AJ2450" s="4">
        <v>9</v>
      </c>
      <c r="AK2450" s="4">
        <v>21</v>
      </c>
      <c r="AL2450" s="4">
        <v>26</v>
      </c>
      <c r="AM2450" s="4">
        <v>42</v>
      </c>
      <c r="AN2450" s="4">
        <v>0</v>
      </c>
      <c r="AO2450" s="4">
        <v>0</v>
      </c>
      <c r="AP2450" s="4">
        <v>11</v>
      </c>
      <c r="AQ2450" s="4">
        <v>42</v>
      </c>
      <c r="AR2450" s="3" t="s">
        <v>64</v>
      </c>
      <c r="AS2450" s="3" t="s">
        <v>64</v>
      </c>
      <c r="AT2450" s="3" t="s">
        <v>64</v>
      </c>
      <c r="AV2450" s="6" t="str">
        <f>HYPERLINK("http://mcgill.on.worldcat.org/oclc/819941084","Catalog Record")</f>
        <v>Catalog Record</v>
      </c>
      <c r="AW2450" s="6" t="str">
        <f>HYPERLINK("http://www.worldcat.org/oclc/819941084","WorldCat Record")</f>
        <v>WorldCat Record</v>
      </c>
      <c r="AX2450" s="3" t="s">
        <v>24924</v>
      </c>
      <c r="AY2450" s="3" t="s">
        <v>24925</v>
      </c>
      <c r="AZ2450" s="3" t="s">
        <v>24926</v>
      </c>
      <c r="BA2450" s="3" t="s">
        <v>24926</v>
      </c>
      <c r="BB2450" s="3" t="s">
        <v>24927</v>
      </c>
      <c r="BC2450" s="3" t="s">
        <v>77</v>
      </c>
      <c r="BD2450" s="3" t="s">
        <v>78</v>
      </c>
      <c r="BE2450" s="3" t="s">
        <v>24928</v>
      </c>
      <c r="BF2450" s="3" t="s">
        <v>24927</v>
      </c>
      <c r="BG2450" s="3" t="s">
        <v>24929</v>
      </c>
      <c r="BH2450">
        <f t="shared" si="60"/>
        <v>0</v>
      </c>
    </row>
    <row r="2451" spans="1:60" ht="58" x14ac:dyDescent="0.35">
      <c r="A2451" s="2" t="s">
        <v>59</v>
      </c>
      <c r="B2451" s="2" t="s">
        <v>60</v>
      </c>
      <c r="C2451" s="2" t="s">
        <v>24930</v>
      </c>
      <c r="D2451" s="2" t="s">
        <v>24931</v>
      </c>
      <c r="E2451" s="2" t="s">
        <v>24932</v>
      </c>
      <c r="G2451" s="3" t="s">
        <v>64</v>
      </c>
      <c r="I2451" s="3" t="s">
        <v>64</v>
      </c>
      <c r="J2451" s="3" t="s">
        <v>64</v>
      </c>
      <c r="K2451" s="3" t="s">
        <v>65</v>
      </c>
      <c r="L2451" s="2" t="s">
        <v>24933</v>
      </c>
      <c r="M2451" s="2" t="s">
        <v>24934</v>
      </c>
      <c r="N2451" s="3" t="s">
        <v>392</v>
      </c>
      <c r="P2451" s="3" t="s">
        <v>102</v>
      </c>
      <c r="Q2451" s="2" t="s">
        <v>14110</v>
      </c>
      <c r="R2451" s="3" t="s">
        <v>70</v>
      </c>
      <c r="S2451" s="4">
        <v>11</v>
      </c>
      <c r="T2451" s="4">
        <v>11</v>
      </c>
      <c r="U2451" s="5" t="s">
        <v>19563</v>
      </c>
      <c r="V2451" s="5" t="s">
        <v>19563</v>
      </c>
      <c r="W2451" s="5" t="s">
        <v>72</v>
      </c>
      <c r="X2451" s="5" t="s">
        <v>72</v>
      </c>
      <c r="Y2451" s="4">
        <v>299</v>
      </c>
      <c r="Z2451" s="4">
        <v>18</v>
      </c>
      <c r="AA2451" s="4">
        <v>19</v>
      </c>
      <c r="AB2451" s="4">
        <v>2</v>
      </c>
      <c r="AC2451" s="4">
        <v>3</v>
      </c>
      <c r="AD2451" s="4">
        <v>82</v>
      </c>
      <c r="AE2451" s="4">
        <v>83</v>
      </c>
      <c r="AF2451" s="4">
        <v>1</v>
      </c>
      <c r="AG2451" s="4">
        <v>2</v>
      </c>
      <c r="AH2451" s="4">
        <v>75</v>
      </c>
      <c r="AI2451" s="4">
        <v>75</v>
      </c>
      <c r="AJ2451" s="4">
        <v>12</v>
      </c>
      <c r="AK2451" s="4">
        <v>13</v>
      </c>
      <c r="AL2451" s="4">
        <v>40</v>
      </c>
      <c r="AM2451" s="4">
        <v>40</v>
      </c>
      <c r="AN2451" s="4">
        <v>0</v>
      </c>
      <c r="AO2451" s="4">
        <v>0</v>
      </c>
      <c r="AP2451" s="4">
        <v>13</v>
      </c>
      <c r="AQ2451" s="4">
        <v>13</v>
      </c>
      <c r="AR2451" s="3" t="s">
        <v>64</v>
      </c>
      <c r="AS2451" s="3" t="s">
        <v>64</v>
      </c>
      <c r="AT2451" s="3" t="s">
        <v>128</v>
      </c>
      <c r="AU2451" s="6" t="str">
        <f>HYPERLINK("http://catalog.hathitrust.org/Record/004073360","HathiTrust Record")</f>
        <v>HathiTrust Record</v>
      </c>
      <c r="AV2451" s="6" t="str">
        <f>HYPERLINK("http://mcgill.on.worldcat.org/oclc/41368271","Catalog Record")</f>
        <v>Catalog Record</v>
      </c>
      <c r="AW2451" s="6" t="str">
        <f>HYPERLINK("http://www.worldcat.org/oclc/41368271","WorldCat Record")</f>
        <v>WorldCat Record</v>
      </c>
      <c r="AX2451" s="3" t="s">
        <v>24935</v>
      </c>
      <c r="AY2451" s="3" t="s">
        <v>24936</v>
      </c>
      <c r="AZ2451" s="3" t="s">
        <v>24937</v>
      </c>
      <c r="BA2451" s="3" t="s">
        <v>24937</v>
      </c>
      <c r="BB2451" s="3" t="s">
        <v>24938</v>
      </c>
      <c r="BC2451" s="3" t="s">
        <v>77</v>
      </c>
      <c r="BD2451" s="3" t="s">
        <v>78</v>
      </c>
      <c r="BE2451" s="3" t="s">
        <v>24939</v>
      </c>
      <c r="BF2451" s="3" t="s">
        <v>24938</v>
      </c>
      <c r="BG2451" s="3" t="s">
        <v>24940</v>
      </c>
      <c r="BH2451">
        <f t="shared" si="60"/>
        <v>0</v>
      </c>
    </row>
    <row r="2452" spans="1:60" ht="58" x14ac:dyDescent="0.35">
      <c r="A2452" s="2" t="s">
        <v>59</v>
      </c>
      <c r="B2452" s="2" t="s">
        <v>60</v>
      </c>
      <c r="C2452" s="2" t="s">
        <v>24941</v>
      </c>
      <c r="D2452" s="2" t="s">
        <v>24942</v>
      </c>
      <c r="E2452" s="2" t="s">
        <v>24943</v>
      </c>
      <c r="G2452" s="3" t="s">
        <v>64</v>
      </c>
      <c r="I2452" s="3" t="s">
        <v>64</v>
      </c>
      <c r="J2452" s="3" t="s">
        <v>64</v>
      </c>
      <c r="K2452" s="3" t="s">
        <v>65</v>
      </c>
      <c r="L2452" s="2" t="s">
        <v>23952</v>
      </c>
      <c r="M2452" s="2" t="s">
        <v>16911</v>
      </c>
      <c r="N2452" s="3" t="s">
        <v>1075</v>
      </c>
      <c r="P2452" s="3" t="s">
        <v>102</v>
      </c>
      <c r="R2452" s="3" t="s">
        <v>70</v>
      </c>
      <c r="S2452" s="4">
        <v>3</v>
      </c>
      <c r="T2452" s="4">
        <v>3</v>
      </c>
      <c r="U2452" s="5" t="s">
        <v>12995</v>
      </c>
      <c r="V2452" s="5" t="s">
        <v>12995</v>
      </c>
      <c r="W2452" s="5" t="s">
        <v>72</v>
      </c>
      <c r="X2452" s="5" t="s">
        <v>72</v>
      </c>
      <c r="Y2452" s="4">
        <v>443</v>
      </c>
      <c r="Z2452" s="4">
        <v>21</v>
      </c>
      <c r="AA2452" s="4">
        <v>113</v>
      </c>
      <c r="AB2452" s="4">
        <v>2</v>
      </c>
      <c r="AC2452" s="4">
        <v>16</v>
      </c>
      <c r="AD2452" s="4">
        <v>68</v>
      </c>
      <c r="AE2452" s="4">
        <v>127</v>
      </c>
      <c r="AF2452" s="4">
        <v>1</v>
      </c>
      <c r="AG2452" s="4">
        <v>8</v>
      </c>
      <c r="AH2452" s="4">
        <v>64</v>
      </c>
      <c r="AI2452" s="4">
        <v>88</v>
      </c>
      <c r="AJ2452" s="4">
        <v>8</v>
      </c>
      <c r="AK2452" s="4">
        <v>21</v>
      </c>
      <c r="AL2452" s="4">
        <v>28</v>
      </c>
      <c r="AM2452" s="4">
        <v>44</v>
      </c>
      <c r="AN2452" s="4">
        <v>0</v>
      </c>
      <c r="AO2452" s="4">
        <v>0</v>
      </c>
      <c r="AP2452" s="4">
        <v>10</v>
      </c>
      <c r="AQ2452" s="4">
        <v>44</v>
      </c>
      <c r="AR2452" s="3" t="s">
        <v>64</v>
      </c>
      <c r="AS2452" s="3" t="s">
        <v>64</v>
      </c>
      <c r="AT2452" s="3" t="s">
        <v>64</v>
      </c>
      <c r="AV2452" s="6" t="str">
        <f>HYPERLINK("http://mcgill.on.worldcat.org/oclc/840927675","Catalog Record")</f>
        <v>Catalog Record</v>
      </c>
      <c r="AW2452" s="6" t="str">
        <f>HYPERLINK("http://www.worldcat.org/oclc/840927675","WorldCat Record")</f>
        <v>WorldCat Record</v>
      </c>
      <c r="AX2452" s="3" t="s">
        <v>24944</v>
      </c>
      <c r="AY2452" s="3" t="s">
        <v>24945</v>
      </c>
      <c r="AZ2452" s="3" t="s">
        <v>24946</v>
      </c>
      <c r="BA2452" s="3" t="s">
        <v>24946</v>
      </c>
      <c r="BB2452" s="3" t="s">
        <v>24947</v>
      </c>
      <c r="BC2452" s="3" t="s">
        <v>77</v>
      </c>
      <c r="BD2452" s="3" t="s">
        <v>78</v>
      </c>
      <c r="BE2452" s="3" t="s">
        <v>24948</v>
      </c>
      <c r="BF2452" s="3" t="s">
        <v>24947</v>
      </c>
      <c r="BG2452" s="3" t="s">
        <v>24949</v>
      </c>
      <c r="BH2452">
        <f t="shared" si="60"/>
        <v>0</v>
      </c>
    </row>
    <row r="2453" spans="1:60" ht="58" x14ac:dyDescent="0.35">
      <c r="A2453" s="2" t="s">
        <v>59</v>
      </c>
      <c r="B2453" s="2" t="s">
        <v>60</v>
      </c>
      <c r="C2453" s="2" t="s">
        <v>24950</v>
      </c>
      <c r="D2453" s="2" t="s">
        <v>24951</v>
      </c>
      <c r="E2453" s="2" t="s">
        <v>24952</v>
      </c>
      <c r="G2453" s="3" t="s">
        <v>64</v>
      </c>
      <c r="I2453" s="3" t="s">
        <v>64</v>
      </c>
      <c r="J2453" s="3" t="s">
        <v>64</v>
      </c>
      <c r="K2453" s="3" t="s">
        <v>65</v>
      </c>
      <c r="L2453" s="2" t="s">
        <v>24953</v>
      </c>
      <c r="M2453" s="2" t="s">
        <v>9037</v>
      </c>
      <c r="N2453" s="3" t="s">
        <v>1075</v>
      </c>
      <c r="P2453" s="3" t="s">
        <v>102</v>
      </c>
      <c r="R2453" s="3" t="s">
        <v>70</v>
      </c>
      <c r="S2453" s="4">
        <v>0</v>
      </c>
      <c r="T2453" s="4">
        <v>0</v>
      </c>
      <c r="W2453" s="5" t="s">
        <v>72</v>
      </c>
      <c r="X2453" s="5" t="s">
        <v>72</v>
      </c>
      <c r="Y2453" s="4">
        <v>70</v>
      </c>
      <c r="Z2453" s="4">
        <v>3</v>
      </c>
      <c r="AA2453" s="4">
        <v>4</v>
      </c>
      <c r="AB2453" s="4">
        <v>1</v>
      </c>
      <c r="AC2453" s="4">
        <v>1</v>
      </c>
      <c r="AD2453" s="4">
        <v>4</v>
      </c>
      <c r="AE2453" s="4">
        <v>5</v>
      </c>
      <c r="AF2453" s="4">
        <v>0</v>
      </c>
      <c r="AG2453" s="4">
        <v>0</v>
      </c>
      <c r="AH2453" s="4">
        <v>2</v>
      </c>
      <c r="AI2453" s="4">
        <v>3</v>
      </c>
      <c r="AJ2453" s="4">
        <v>2</v>
      </c>
      <c r="AK2453" s="4">
        <v>3</v>
      </c>
      <c r="AL2453" s="4">
        <v>2</v>
      </c>
      <c r="AM2453" s="4">
        <v>2</v>
      </c>
      <c r="AN2453" s="4">
        <v>0</v>
      </c>
      <c r="AO2453" s="4">
        <v>0</v>
      </c>
      <c r="AP2453" s="4">
        <v>2</v>
      </c>
      <c r="AQ2453" s="4">
        <v>3</v>
      </c>
      <c r="AR2453" s="3" t="s">
        <v>64</v>
      </c>
      <c r="AS2453" s="3" t="s">
        <v>64</v>
      </c>
      <c r="AT2453" s="3" t="s">
        <v>64</v>
      </c>
      <c r="AV2453" s="6" t="str">
        <f>HYPERLINK("http://mcgill.on.worldcat.org/oclc/847522690","Catalog Record")</f>
        <v>Catalog Record</v>
      </c>
      <c r="AW2453" s="6" t="str">
        <f>HYPERLINK("http://www.worldcat.org/oclc/847522690","WorldCat Record")</f>
        <v>WorldCat Record</v>
      </c>
      <c r="AX2453" s="3" t="s">
        <v>24954</v>
      </c>
      <c r="AY2453" s="3" t="s">
        <v>24955</v>
      </c>
      <c r="AZ2453" s="3" t="s">
        <v>24956</v>
      </c>
      <c r="BA2453" s="3" t="s">
        <v>24956</v>
      </c>
      <c r="BB2453" s="3" t="s">
        <v>24957</v>
      </c>
      <c r="BC2453" s="3" t="s">
        <v>77</v>
      </c>
      <c r="BD2453" s="3" t="s">
        <v>78</v>
      </c>
      <c r="BE2453" s="3" t="s">
        <v>24958</v>
      </c>
      <c r="BF2453" s="3" t="s">
        <v>24957</v>
      </c>
      <c r="BG2453" s="3" t="s">
        <v>24959</v>
      </c>
      <c r="BH2453">
        <f t="shared" si="60"/>
        <v>0</v>
      </c>
    </row>
    <row r="2454" spans="1:60" ht="58" x14ac:dyDescent="0.35">
      <c r="A2454" s="2" t="s">
        <v>59</v>
      </c>
      <c r="B2454" s="2" t="s">
        <v>60</v>
      </c>
      <c r="C2454" s="2" t="s">
        <v>24960</v>
      </c>
      <c r="D2454" s="2" t="s">
        <v>24961</v>
      </c>
      <c r="E2454" s="2" t="s">
        <v>24962</v>
      </c>
      <c r="G2454" s="3" t="s">
        <v>64</v>
      </c>
      <c r="I2454" s="3" t="s">
        <v>64</v>
      </c>
      <c r="J2454" s="3" t="s">
        <v>64</v>
      </c>
      <c r="K2454" s="3" t="s">
        <v>65</v>
      </c>
      <c r="L2454" s="2" t="s">
        <v>24953</v>
      </c>
      <c r="M2454" s="2" t="s">
        <v>24963</v>
      </c>
      <c r="N2454" s="3" t="s">
        <v>1075</v>
      </c>
      <c r="P2454" s="3" t="s">
        <v>102</v>
      </c>
      <c r="Q2454" s="2" t="s">
        <v>18401</v>
      </c>
      <c r="R2454" s="3" t="s">
        <v>70</v>
      </c>
      <c r="S2454" s="4">
        <v>4</v>
      </c>
      <c r="T2454" s="4">
        <v>4</v>
      </c>
      <c r="U2454" s="5" t="s">
        <v>12995</v>
      </c>
      <c r="V2454" s="5" t="s">
        <v>12995</v>
      </c>
      <c r="W2454" s="5" t="s">
        <v>72</v>
      </c>
      <c r="X2454" s="5" t="s">
        <v>72</v>
      </c>
      <c r="Y2454" s="4">
        <v>716</v>
      </c>
      <c r="Z2454" s="4">
        <v>36</v>
      </c>
      <c r="AA2454" s="4">
        <v>52</v>
      </c>
      <c r="AB2454" s="4">
        <v>1</v>
      </c>
      <c r="AC2454" s="4">
        <v>6</v>
      </c>
      <c r="AD2454" s="4">
        <v>75</v>
      </c>
      <c r="AE2454" s="4">
        <v>98</v>
      </c>
      <c r="AF2454" s="4">
        <v>0</v>
      </c>
      <c r="AG2454" s="4">
        <v>3</v>
      </c>
      <c r="AH2454" s="4">
        <v>68</v>
      </c>
      <c r="AI2454" s="4">
        <v>85</v>
      </c>
      <c r="AJ2454" s="4">
        <v>9</v>
      </c>
      <c r="AK2454" s="4">
        <v>16</v>
      </c>
      <c r="AL2454" s="4">
        <v>32</v>
      </c>
      <c r="AM2454" s="4">
        <v>38</v>
      </c>
      <c r="AN2454" s="4">
        <v>0</v>
      </c>
      <c r="AO2454" s="4">
        <v>0</v>
      </c>
      <c r="AP2454" s="4">
        <v>15</v>
      </c>
      <c r="AQ2454" s="4">
        <v>23</v>
      </c>
      <c r="AR2454" s="3" t="s">
        <v>64</v>
      </c>
      <c r="AS2454" s="3" t="s">
        <v>64</v>
      </c>
      <c r="AT2454" s="3" t="s">
        <v>64</v>
      </c>
      <c r="AV2454" s="6" t="str">
        <f>HYPERLINK("http://mcgill.on.worldcat.org/oclc/805701697","Catalog Record")</f>
        <v>Catalog Record</v>
      </c>
      <c r="AW2454" s="6" t="str">
        <f>HYPERLINK("http://www.worldcat.org/oclc/805701697","WorldCat Record")</f>
        <v>WorldCat Record</v>
      </c>
      <c r="AX2454" s="3" t="s">
        <v>24964</v>
      </c>
      <c r="AY2454" s="3" t="s">
        <v>24965</v>
      </c>
      <c r="AZ2454" s="3" t="s">
        <v>24966</v>
      </c>
      <c r="BA2454" s="3" t="s">
        <v>24966</v>
      </c>
      <c r="BB2454" s="3" t="s">
        <v>24967</v>
      </c>
      <c r="BC2454" s="3" t="s">
        <v>77</v>
      </c>
      <c r="BD2454" s="3" t="s">
        <v>78</v>
      </c>
      <c r="BE2454" s="3" t="s">
        <v>24968</v>
      </c>
      <c r="BF2454" s="3" t="s">
        <v>24967</v>
      </c>
      <c r="BG2454" s="3" t="s">
        <v>24969</v>
      </c>
      <c r="BH2454">
        <f t="shared" si="60"/>
        <v>0</v>
      </c>
    </row>
    <row r="2455" spans="1:60" ht="58" x14ac:dyDescent="0.35">
      <c r="A2455" s="2" t="s">
        <v>59</v>
      </c>
      <c r="B2455" s="2" t="s">
        <v>60</v>
      </c>
      <c r="C2455" s="2" t="s">
        <v>24970</v>
      </c>
      <c r="D2455" s="2" t="s">
        <v>24971</v>
      </c>
      <c r="E2455" s="2" t="s">
        <v>24972</v>
      </c>
      <c r="G2455" s="3" t="s">
        <v>64</v>
      </c>
      <c r="I2455" s="3" t="s">
        <v>64</v>
      </c>
      <c r="J2455" s="3" t="s">
        <v>64</v>
      </c>
      <c r="K2455" s="3" t="s">
        <v>65</v>
      </c>
      <c r="L2455" s="2" t="s">
        <v>24973</v>
      </c>
      <c r="M2455" s="2" t="s">
        <v>24974</v>
      </c>
      <c r="N2455" s="3" t="s">
        <v>1275</v>
      </c>
      <c r="O2455" s="2" t="s">
        <v>172</v>
      </c>
      <c r="P2455" s="3" t="s">
        <v>102</v>
      </c>
      <c r="R2455" s="3" t="s">
        <v>70</v>
      </c>
      <c r="S2455" s="4">
        <v>33</v>
      </c>
      <c r="T2455" s="4">
        <v>33</v>
      </c>
      <c r="U2455" s="5" t="s">
        <v>19011</v>
      </c>
      <c r="V2455" s="5" t="s">
        <v>19011</v>
      </c>
      <c r="W2455" s="5" t="s">
        <v>72</v>
      </c>
      <c r="X2455" s="5" t="s">
        <v>72</v>
      </c>
      <c r="Y2455" s="4">
        <v>209</v>
      </c>
      <c r="Z2455" s="4">
        <v>3</v>
      </c>
      <c r="AA2455" s="4">
        <v>13</v>
      </c>
      <c r="AB2455" s="4">
        <v>1</v>
      </c>
      <c r="AC2455" s="4">
        <v>3</v>
      </c>
      <c r="AD2455" s="4">
        <v>48</v>
      </c>
      <c r="AE2455" s="4">
        <v>60</v>
      </c>
      <c r="AF2455" s="4">
        <v>0</v>
      </c>
      <c r="AG2455" s="4">
        <v>1</v>
      </c>
      <c r="AH2455" s="4">
        <v>46</v>
      </c>
      <c r="AI2455" s="4">
        <v>54</v>
      </c>
      <c r="AJ2455" s="4">
        <v>2</v>
      </c>
      <c r="AK2455" s="4">
        <v>5</v>
      </c>
      <c r="AL2455" s="4">
        <v>28</v>
      </c>
      <c r="AM2455" s="4">
        <v>30</v>
      </c>
      <c r="AN2455" s="4">
        <v>0</v>
      </c>
      <c r="AO2455" s="4">
        <v>0</v>
      </c>
      <c r="AP2455" s="4">
        <v>2</v>
      </c>
      <c r="AQ2455" s="4">
        <v>8</v>
      </c>
      <c r="AR2455" s="3" t="s">
        <v>64</v>
      </c>
      <c r="AS2455" s="3" t="s">
        <v>64</v>
      </c>
      <c r="AT2455" s="3" t="s">
        <v>64</v>
      </c>
      <c r="AV2455" s="6" t="str">
        <f>HYPERLINK("http://mcgill.on.worldcat.org/oclc/56911889","Catalog Record")</f>
        <v>Catalog Record</v>
      </c>
      <c r="AW2455" s="6" t="str">
        <f>HYPERLINK("http://www.worldcat.org/oclc/56911889","WorldCat Record")</f>
        <v>WorldCat Record</v>
      </c>
      <c r="AX2455" s="3" t="s">
        <v>24975</v>
      </c>
      <c r="AY2455" s="3" t="s">
        <v>24976</v>
      </c>
      <c r="AZ2455" s="3" t="s">
        <v>24977</v>
      </c>
      <c r="BA2455" s="3" t="s">
        <v>24977</v>
      </c>
      <c r="BB2455" s="3" t="s">
        <v>24978</v>
      </c>
      <c r="BC2455" s="3" t="s">
        <v>77</v>
      </c>
      <c r="BD2455" s="3" t="s">
        <v>78</v>
      </c>
      <c r="BE2455" s="3" t="s">
        <v>24979</v>
      </c>
      <c r="BF2455" s="3" t="s">
        <v>24978</v>
      </c>
      <c r="BG2455" s="3" t="s">
        <v>24980</v>
      </c>
      <c r="BH2455">
        <f t="shared" si="60"/>
        <v>0</v>
      </c>
    </row>
    <row r="2456" spans="1:60" ht="58" x14ac:dyDescent="0.35">
      <c r="A2456" s="2" t="s">
        <v>59</v>
      </c>
      <c r="B2456" s="2" t="s">
        <v>60</v>
      </c>
      <c r="C2456" s="2" t="s">
        <v>24981</v>
      </c>
      <c r="D2456" s="2" t="s">
        <v>24982</v>
      </c>
      <c r="E2456" s="2" t="s">
        <v>24983</v>
      </c>
      <c r="G2456" s="3" t="s">
        <v>64</v>
      </c>
      <c r="I2456" s="3" t="s">
        <v>64</v>
      </c>
      <c r="J2456" s="3" t="s">
        <v>64</v>
      </c>
      <c r="K2456" s="3" t="s">
        <v>65</v>
      </c>
      <c r="M2456" s="2" t="s">
        <v>16922</v>
      </c>
      <c r="N2456" s="3" t="s">
        <v>86</v>
      </c>
      <c r="P2456" s="3" t="s">
        <v>102</v>
      </c>
      <c r="Q2456" s="2" t="s">
        <v>24984</v>
      </c>
      <c r="R2456" s="3" t="s">
        <v>70</v>
      </c>
      <c r="S2456" s="4">
        <v>4</v>
      </c>
      <c r="T2456" s="4">
        <v>4</v>
      </c>
      <c r="U2456" s="5" t="s">
        <v>8367</v>
      </c>
      <c r="V2456" s="5" t="s">
        <v>8367</v>
      </c>
      <c r="W2456" s="5" t="s">
        <v>72</v>
      </c>
      <c r="X2456" s="5" t="s">
        <v>72</v>
      </c>
      <c r="Y2456" s="4">
        <v>417</v>
      </c>
      <c r="Z2456" s="4">
        <v>24</v>
      </c>
      <c r="AA2456" s="4">
        <v>127</v>
      </c>
      <c r="AB2456" s="4">
        <v>3</v>
      </c>
      <c r="AC2456" s="4">
        <v>19</v>
      </c>
      <c r="AD2456" s="4">
        <v>62</v>
      </c>
      <c r="AE2456" s="4">
        <v>127</v>
      </c>
      <c r="AF2456" s="4">
        <v>1</v>
      </c>
      <c r="AG2456" s="4">
        <v>8</v>
      </c>
      <c r="AH2456" s="4">
        <v>55</v>
      </c>
      <c r="AI2456" s="4">
        <v>84</v>
      </c>
      <c r="AJ2456" s="4">
        <v>9</v>
      </c>
      <c r="AK2456" s="4">
        <v>22</v>
      </c>
      <c r="AL2456" s="4">
        <v>33</v>
      </c>
      <c r="AM2456" s="4">
        <v>44</v>
      </c>
      <c r="AN2456" s="4">
        <v>0</v>
      </c>
      <c r="AO2456" s="4">
        <v>0</v>
      </c>
      <c r="AP2456" s="4">
        <v>12</v>
      </c>
      <c r="AQ2456" s="4">
        <v>49</v>
      </c>
      <c r="AR2456" s="3" t="s">
        <v>64</v>
      </c>
      <c r="AS2456" s="3" t="s">
        <v>64</v>
      </c>
      <c r="AT2456" s="3" t="s">
        <v>64</v>
      </c>
      <c r="AV2456" s="6" t="str">
        <f>HYPERLINK("http://mcgill.on.worldcat.org/oclc/793421764","Catalog Record")</f>
        <v>Catalog Record</v>
      </c>
      <c r="AW2456" s="6" t="str">
        <f>HYPERLINK("http://www.worldcat.org/oclc/793421764","WorldCat Record")</f>
        <v>WorldCat Record</v>
      </c>
      <c r="AX2456" s="3" t="s">
        <v>24985</v>
      </c>
      <c r="AY2456" s="3" t="s">
        <v>24986</v>
      </c>
      <c r="AZ2456" s="3" t="s">
        <v>24987</v>
      </c>
      <c r="BA2456" s="3" t="s">
        <v>24987</v>
      </c>
      <c r="BB2456" s="3" t="s">
        <v>24988</v>
      </c>
      <c r="BC2456" s="3" t="s">
        <v>77</v>
      </c>
      <c r="BD2456" s="3" t="s">
        <v>165</v>
      </c>
      <c r="BE2456" s="3" t="s">
        <v>24989</v>
      </c>
      <c r="BF2456" s="3" t="s">
        <v>24988</v>
      </c>
      <c r="BG2456" s="3" t="s">
        <v>24990</v>
      </c>
      <c r="BH2456">
        <f t="shared" si="60"/>
        <v>0</v>
      </c>
    </row>
    <row r="2457" spans="1:60" ht="58" x14ac:dyDescent="0.35">
      <c r="A2457" s="2" t="s">
        <v>59</v>
      </c>
      <c r="B2457" s="2" t="s">
        <v>60</v>
      </c>
      <c r="C2457" s="2" t="s">
        <v>24991</v>
      </c>
      <c r="D2457" s="2" t="s">
        <v>24992</v>
      </c>
      <c r="E2457" s="2" t="s">
        <v>24993</v>
      </c>
      <c r="G2457" s="3" t="s">
        <v>64</v>
      </c>
      <c r="I2457" s="3" t="s">
        <v>64</v>
      </c>
      <c r="J2457" s="3" t="s">
        <v>64</v>
      </c>
      <c r="K2457" s="3" t="s">
        <v>65</v>
      </c>
      <c r="M2457" s="2" t="s">
        <v>16229</v>
      </c>
      <c r="N2457" s="3" t="s">
        <v>190</v>
      </c>
      <c r="P2457" s="3" t="s">
        <v>102</v>
      </c>
      <c r="Q2457" s="2" t="s">
        <v>14022</v>
      </c>
      <c r="R2457" s="3" t="s">
        <v>70</v>
      </c>
      <c r="S2457" s="4">
        <v>2</v>
      </c>
      <c r="T2457" s="4">
        <v>2</v>
      </c>
      <c r="U2457" s="5" t="s">
        <v>12995</v>
      </c>
      <c r="V2457" s="5" t="s">
        <v>12995</v>
      </c>
      <c r="W2457" s="5" t="s">
        <v>72</v>
      </c>
      <c r="X2457" s="5" t="s">
        <v>72</v>
      </c>
      <c r="Y2457" s="4">
        <v>272</v>
      </c>
      <c r="Z2457" s="4">
        <v>14</v>
      </c>
      <c r="AA2457" s="4">
        <v>14</v>
      </c>
      <c r="AB2457" s="4">
        <v>1</v>
      </c>
      <c r="AC2457" s="4">
        <v>1</v>
      </c>
      <c r="AD2457" s="4">
        <v>65</v>
      </c>
      <c r="AE2457" s="4">
        <v>65</v>
      </c>
      <c r="AF2457" s="4">
        <v>0</v>
      </c>
      <c r="AG2457" s="4">
        <v>0</v>
      </c>
      <c r="AH2457" s="4">
        <v>58</v>
      </c>
      <c r="AI2457" s="4">
        <v>58</v>
      </c>
      <c r="AJ2457" s="4">
        <v>10</v>
      </c>
      <c r="AK2457" s="4">
        <v>10</v>
      </c>
      <c r="AL2457" s="4">
        <v>35</v>
      </c>
      <c r="AM2457" s="4">
        <v>35</v>
      </c>
      <c r="AN2457" s="4">
        <v>0</v>
      </c>
      <c r="AO2457" s="4">
        <v>0</v>
      </c>
      <c r="AP2457" s="4">
        <v>10</v>
      </c>
      <c r="AQ2457" s="4">
        <v>10</v>
      </c>
      <c r="AR2457" s="3" t="s">
        <v>64</v>
      </c>
      <c r="AS2457" s="3" t="s">
        <v>64</v>
      </c>
      <c r="AT2457" s="3" t="s">
        <v>64</v>
      </c>
      <c r="AV2457" s="6" t="str">
        <f>HYPERLINK("http://mcgill.on.worldcat.org/oclc/1030445508","Catalog Record")</f>
        <v>Catalog Record</v>
      </c>
      <c r="AW2457" s="6" t="str">
        <f>HYPERLINK("http://www.worldcat.org/oclc/1030445508","WorldCat Record")</f>
        <v>WorldCat Record</v>
      </c>
      <c r="AX2457" s="3" t="s">
        <v>24994</v>
      </c>
      <c r="AY2457" s="3" t="s">
        <v>24995</v>
      </c>
      <c r="AZ2457" s="3" t="s">
        <v>24996</v>
      </c>
      <c r="BA2457" s="3" t="s">
        <v>24996</v>
      </c>
      <c r="BB2457" s="3" t="s">
        <v>24997</v>
      </c>
      <c r="BC2457" s="3" t="s">
        <v>77</v>
      </c>
      <c r="BD2457" s="3" t="s">
        <v>78</v>
      </c>
      <c r="BE2457" s="3" t="s">
        <v>24998</v>
      </c>
      <c r="BF2457" s="3" t="s">
        <v>24997</v>
      </c>
      <c r="BG2457" s="3" t="s">
        <v>24999</v>
      </c>
      <c r="BH2457">
        <f t="shared" si="60"/>
        <v>0</v>
      </c>
    </row>
    <row r="2458" spans="1:60" ht="58" x14ac:dyDescent="0.35">
      <c r="A2458" s="2" t="s">
        <v>59</v>
      </c>
      <c r="B2458" s="2" t="s">
        <v>60</v>
      </c>
      <c r="C2458" s="2" t="s">
        <v>25000</v>
      </c>
      <c r="D2458" s="2" t="s">
        <v>25001</v>
      </c>
      <c r="E2458" s="2" t="s">
        <v>25002</v>
      </c>
      <c r="G2458" s="3" t="s">
        <v>64</v>
      </c>
      <c r="I2458" s="3" t="s">
        <v>64</v>
      </c>
      <c r="J2458" s="3" t="s">
        <v>64</v>
      </c>
      <c r="K2458" s="3" t="s">
        <v>65</v>
      </c>
      <c r="L2458" s="2" t="s">
        <v>25003</v>
      </c>
      <c r="M2458" s="2" t="s">
        <v>14442</v>
      </c>
      <c r="N2458" s="3" t="s">
        <v>578</v>
      </c>
      <c r="P2458" s="3" t="s">
        <v>102</v>
      </c>
      <c r="Q2458" s="2" t="s">
        <v>18390</v>
      </c>
      <c r="R2458" s="3" t="s">
        <v>70</v>
      </c>
      <c r="S2458" s="4">
        <v>2</v>
      </c>
      <c r="T2458" s="4">
        <v>2</v>
      </c>
      <c r="U2458" s="5" t="s">
        <v>12995</v>
      </c>
      <c r="V2458" s="5" t="s">
        <v>12995</v>
      </c>
      <c r="W2458" s="5" t="s">
        <v>72</v>
      </c>
      <c r="X2458" s="5" t="s">
        <v>72</v>
      </c>
      <c r="Y2458" s="4">
        <v>328</v>
      </c>
      <c r="Z2458" s="4">
        <v>16</v>
      </c>
      <c r="AA2458" s="4">
        <v>81</v>
      </c>
      <c r="AB2458" s="4">
        <v>1</v>
      </c>
      <c r="AC2458" s="4">
        <v>14</v>
      </c>
      <c r="AD2458" s="4">
        <v>60</v>
      </c>
      <c r="AE2458" s="4">
        <v>105</v>
      </c>
      <c r="AF2458" s="4">
        <v>0</v>
      </c>
      <c r="AG2458" s="4">
        <v>8</v>
      </c>
      <c r="AH2458" s="4">
        <v>54</v>
      </c>
      <c r="AI2458" s="4">
        <v>73</v>
      </c>
      <c r="AJ2458" s="4">
        <v>7</v>
      </c>
      <c r="AK2458" s="4">
        <v>18</v>
      </c>
      <c r="AL2458" s="4">
        <v>24</v>
      </c>
      <c r="AM2458" s="4">
        <v>36</v>
      </c>
      <c r="AN2458" s="4">
        <v>0</v>
      </c>
      <c r="AO2458" s="4">
        <v>0</v>
      </c>
      <c r="AP2458" s="4">
        <v>10</v>
      </c>
      <c r="AQ2458" s="4">
        <v>37</v>
      </c>
      <c r="AR2458" s="3" t="s">
        <v>64</v>
      </c>
      <c r="AS2458" s="3" t="s">
        <v>64</v>
      </c>
      <c r="AT2458" s="3" t="s">
        <v>64</v>
      </c>
      <c r="AV2458" s="6" t="str">
        <f>HYPERLINK("http://mcgill.on.worldcat.org/oclc/964065635","Catalog Record")</f>
        <v>Catalog Record</v>
      </c>
      <c r="AW2458" s="6" t="str">
        <f>HYPERLINK("http://www.worldcat.org/oclc/964065635","WorldCat Record")</f>
        <v>WorldCat Record</v>
      </c>
      <c r="AX2458" s="3" t="s">
        <v>25004</v>
      </c>
      <c r="AY2458" s="3" t="s">
        <v>25005</v>
      </c>
      <c r="AZ2458" s="3" t="s">
        <v>25006</v>
      </c>
      <c r="BA2458" s="3" t="s">
        <v>25006</v>
      </c>
      <c r="BB2458" s="3" t="s">
        <v>25007</v>
      </c>
      <c r="BC2458" s="3" t="s">
        <v>77</v>
      </c>
      <c r="BD2458" s="3" t="s">
        <v>78</v>
      </c>
      <c r="BE2458" s="3" t="s">
        <v>25008</v>
      </c>
      <c r="BF2458" s="3" t="s">
        <v>25007</v>
      </c>
      <c r="BG2458" s="3" t="s">
        <v>25009</v>
      </c>
      <c r="BH2458">
        <f t="shared" si="60"/>
        <v>0</v>
      </c>
    </row>
    <row r="2459" spans="1:60" ht="72.5" x14ac:dyDescent="0.35">
      <c r="A2459" s="2" t="s">
        <v>59</v>
      </c>
      <c r="B2459" s="2" t="s">
        <v>60</v>
      </c>
      <c r="C2459" s="2" t="s">
        <v>25010</v>
      </c>
      <c r="D2459" s="2" t="s">
        <v>25011</v>
      </c>
      <c r="E2459" s="2" t="s">
        <v>25012</v>
      </c>
      <c r="G2459" s="3" t="s">
        <v>64</v>
      </c>
      <c r="I2459" s="3" t="s">
        <v>64</v>
      </c>
      <c r="J2459" s="3" t="s">
        <v>64</v>
      </c>
      <c r="K2459" s="3" t="s">
        <v>65</v>
      </c>
      <c r="L2459" s="2" t="s">
        <v>25013</v>
      </c>
      <c r="M2459" s="2" t="s">
        <v>17391</v>
      </c>
      <c r="N2459" s="3" t="s">
        <v>86</v>
      </c>
      <c r="P2459" s="3" t="s">
        <v>102</v>
      </c>
      <c r="R2459" s="3" t="s">
        <v>70</v>
      </c>
      <c r="S2459" s="4">
        <v>2</v>
      </c>
      <c r="T2459" s="4">
        <v>2</v>
      </c>
      <c r="U2459" s="5" t="s">
        <v>25014</v>
      </c>
      <c r="V2459" s="5" t="s">
        <v>25014</v>
      </c>
      <c r="W2459" s="5" t="s">
        <v>72</v>
      </c>
      <c r="X2459" s="5" t="s">
        <v>72</v>
      </c>
      <c r="Y2459" s="4">
        <v>181</v>
      </c>
      <c r="Z2459" s="4">
        <v>15</v>
      </c>
      <c r="AA2459" s="4">
        <v>53</v>
      </c>
      <c r="AB2459" s="4">
        <v>1</v>
      </c>
      <c r="AC2459" s="4">
        <v>5</v>
      </c>
      <c r="AD2459" s="4">
        <v>37</v>
      </c>
      <c r="AE2459" s="4">
        <v>60</v>
      </c>
      <c r="AF2459" s="4">
        <v>0</v>
      </c>
      <c r="AG2459" s="4">
        <v>1</v>
      </c>
      <c r="AH2459" s="4">
        <v>31</v>
      </c>
      <c r="AI2459" s="4">
        <v>46</v>
      </c>
      <c r="AJ2459" s="4">
        <v>9</v>
      </c>
      <c r="AK2459" s="4">
        <v>13</v>
      </c>
      <c r="AL2459" s="4">
        <v>16</v>
      </c>
      <c r="AM2459" s="4">
        <v>22</v>
      </c>
      <c r="AN2459" s="4">
        <v>0</v>
      </c>
      <c r="AO2459" s="4">
        <v>0</v>
      </c>
      <c r="AP2459" s="4">
        <v>10</v>
      </c>
      <c r="AQ2459" s="4">
        <v>18</v>
      </c>
      <c r="AR2459" s="3" t="s">
        <v>64</v>
      </c>
      <c r="AS2459" s="3" t="s">
        <v>64</v>
      </c>
      <c r="AT2459" s="3" t="s">
        <v>64</v>
      </c>
      <c r="AV2459" s="6" t="str">
        <f>HYPERLINK("http://mcgill.on.worldcat.org/oclc/729344439","Catalog Record")</f>
        <v>Catalog Record</v>
      </c>
      <c r="AW2459" s="6" t="str">
        <f>HYPERLINK("http://www.worldcat.org/oclc/729344439","WorldCat Record")</f>
        <v>WorldCat Record</v>
      </c>
      <c r="AX2459" s="3" t="s">
        <v>25015</v>
      </c>
      <c r="AY2459" s="3" t="s">
        <v>25016</v>
      </c>
      <c r="AZ2459" s="3" t="s">
        <v>25017</v>
      </c>
      <c r="BA2459" s="3" t="s">
        <v>25017</v>
      </c>
      <c r="BB2459" s="3" t="s">
        <v>25018</v>
      </c>
      <c r="BC2459" s="3" t="s">
        <v>77</v>
      </c>
      <c r="BD2459" s="3" t="s">
        <v>78</v>
      </c>
      <c r="BE2459" s="3" t="s">
        <v>25019</v>
      </c>
      <c r="BF2459" s="3" t="s">
        <v>25018</v>
      </c>
      <c r="BG2459" s="3" t="s">
        <v>25020</v>
      </c>
      <c r="BH2459">
        <f t="shared" si="60"/>
        <v>0</v>
      </c>
    </row>
    <row r="2460" spans="1:60" ht="58" x14ac:dyDescent="0.35">
      <c r="A2460" s="2" t="s">
        <v>59</v>
      </c>
      <c r="B2460" s="2" t="s">
        <v>60</v>
      </c>
      <c r="C2460" s="2" t="s">
        <v>25021</v>
      </c>
      <c r="D2460" s="2" t="s">
        <v>25022</v>
      </c>
      <c r="E2460" s="2" t="s">
        <v>25023</v>
      </c>
      <c r="G2460" s="3" t="s">
        <v>64</v>
      </c>
      <c r="I2460" s="3" t="s">
        <v>64</v>
      </c>
      <c r="J2460" s="3" t="s">
        <v>64</v>
      </c>
      <c r="K2460" s="3" t="s">
        <v>65</v>
      </c>
      <c r="M2460" s="2" t="s">
        <v>25024</v>
      </c>
      <c r="N2460" s="3" t="s">
        <v>537</v>
      </c>
      <c r="O2460" s="2" t="s">
        <v>18921</v>
      </c>
      <c r="P2460" s="3" t="s">
        <v>102</v>
      </c>
      <c r="R2460" s="3" t="s">
        <v>70</v>
      </c>
      <c r="S2460" s="4">
        <v>0</v>
      </c>
      <c r="T2460" s="4">
        <v>0</v>
      </c>
      <c r="W2460" s="5" t="s">
        <v>72</v>
      </c>
      <c r="X2460" s="5" t="s">
        <v>72</v>
      </c>
      <c r="Y2460" s="4">
        <v>27</v>
      </c>
      <c r="Z2460" s="4">
        <v>2</v>
      </c>
      <c r="AA2460" s="4">
        <v>2</v>
      </c>
      <c r="AB2460" s="4">
        <v>1</v>
      </c>
      <c r="AC2460" s="4">
        <v>1</v>
      </c>
      <c r="AD2460" s="4">
        <v>10</v>
      </c>
      <c r="AE2460" s="4">
        <v>10</v>
      </c>
      <c r="AF2460" s="4">
        <v>0</v>
      </c>
      <c r="AG2460" s="4">
        <v>0</v>
      </c>
      <c r="AH2460" s="4">
        <v>9</v>
      </c>
      <c r="AI2460" s="4">
        <v>9</v>
      </c>
      <c r="AJ2460" s="4">
        <v>1</v>
      </c>
      <c r="AK2460" s="4">
        <v>1</v>
      </c>
      <c r="AL2460" s="4">
        <v>3</v>
      </c>
      <c r="AM2460" s="4">
        <v>3</v>
      </c>
      <c r="AN2460" s="4">
        <v>0</v>
      </c>
      <c r="AO2460" s="4">
        <v>0</v>
      </c>
      <c r="AP2460" s="4">
        <v>1</v>
      </c>
      <c r="AQ2460" s="4">
        <v>1</v>
      </c>
      <c r="AR2460" s="3" t="s">
        <v>64</v>
      </c>
      <c r="AS2460" s="3" t="s">
        <v>64</v>
      </c>
      <c r="AT2460" s="3" t="s">
        <v>64</v>
      </c>
      <c r="AV2460" s="6" t="str">
        <f>HYPERLINK("http://mcgill.on.worldcat.org/oclc/952372765","Catalog Record")</f>
        <v>Catalog Record</v>
      </c>
      <c r="AW2460" s="6" t="str">
        <f>HYPERLINK("http://www.worldcat.org/oclc/952372765","WorldCat Record")</f>
        <v>WorldCat Record</v>
      </c>
      <c r="AX2460" s="3" t="s">
        <v>25025</v>
      </c>
      <c r="AY2460" s="3" t="s">
        <v>25026</v>
      </c>
      <c r="AZ2460" s="3" t="s">
        <v>25027</v>
      </c>
      <c r="BA2460" s="3" t="s">
        <v>25027</v>
      </c>
      <c r="BB2460" s="3" t="s">
        <v>25028</v>
      </c>
      <c r="BC2460" s="3" t="s">
        <v>77</v>
      </c>
      <c r="BD2460" s="3" t="s">
        <v>78</v>
      </c>
      <c r="BE2460" s="3" t="s">
        <v>25029</v>
      </c>
      <c r="BF2460" s="3" t="s">
        <v>25028</v>
      </c>
      <c r="BG2460" s="3" t="s">
        <v>25030</v>
      </c>
      <c r="BH2460">
        <f t="shared" si="60"/>
        <v>0</v>
      </c>
    </row>
    <row r="2461" spans="1:60" ht="58" x14ac:dyDescent="0.35">
      <c r="A2461" s="2" t="s">
        <v>59</v>
      </c>
      <c r="B2461" s="2" t="s">
        <v>60</v>
      </c>
      <c r="C2461" s="2" t="s">
        <v>25031</v>
      </c>
      <c r="D2461" s="2" t="s">
        <v>25032</v>
      </c>
      <c r="E2461" s="2" t="s">
        <v>25033</v>
      </c>
      <c r="G2461" s="3" t="s">
        <v>64</v>
      </c>
      <c r="I2461" s="3" t="s">
        <v>64</v>
      </c>
      <c r="J2461" s="3" t="s">
        <v>64</v>
      </c>
      <c r="K2461" s="3" t="s">
        <v>65</v>
      </c>
      <c r="M2461" s="2" t="s">
        <v>25034</v>
      </c>
      <c r="N2461" s="3" t="s">
        <v>537</v>
      </c>
      <c r="P2461" s="3" t="s">
        <v>102</v>
      </c>
      <c r="Q2461" s="2" t="s">
        <v>25035</v>
      </c>
      <c r="R2461" s="3" t="s">
        <v>70</v>
      </c>
      <c r="S2461" s="4">
        <v>0</v>
      </c>
      <c r="T2461" s="4">
        <v>0</v>
      </c>
      <c r="W2461" s="5" t="s">
        <v>72</v>
      </c>
      <c r="X2461" s="5" t="s">
        <v>72</v>
      </c>
      <c r="Y2461" s="4">
        <v>145</v>
      </c>
      <c r="Z2461" s="4">
        <v>5</v>
      </c>
      <c r="AA2461" s="4">
        <v>86</v>
      </c>
      <c r="AB2461" s="4">
        <v>2</v>
      </c>
      <c r="AC2461" s="4">
        <v>17</v>
      </c>
      <c r="AD2461" s="4">
        <v>46</v>
      </c>
      <c r="AE2461" s="4">
        <v>132</v>
      </c>
      <c r="AF2461" s="4">
        <v>1</v>
      </c>
      <c r="AG2461" s="4">
        <v>8</v>
      </c>
      <c r="AH2461" s="4">
        <v>43</v>
      </c>
      <c r="AI2461" s="4">
        <v>94</v>
      </c>
      <c r="AJ2461" s="4">
        <v>3</v>
      </c>
      <c r="AK2461" s="4">
        <v>22</v>
      </c>
      <c r="AL2461" s="4">
        <v>29</v>
      </c>
      <c r="AM2461" s="4">
        <v>51</v>
      </c>
      <c r="AN2461" s="4">
        <v>0</v>
      </c>
      <c r="AO2461" s="4">
        <v>0</v>
      </c>
      <c r="AP2461" s="4">
        <v>4</v>
      </c>
      <c r="AQ2461" s="4">
        <v>43</v>
      </c>
      <c r="AR2461" s="3" t="s">
        <v>64</v>
      </c>
      <c r="AS2461" s="3" t="s">
        <v>64</v>
      </c>
      <c r="AT2461" s="3" t="s">
        <v>64</v>
      </c>
      <c r="AV2461" s="6" t="str">
        <f>HYPERLINK("http://mcgill.on.worldcat.org/oclc/907101453","Catalog Record")</f>
        <v>Catalog Record</v>
      </c>
      <c r="AW2461" s="6" t="str">
        <f>HYPERLINK("http://www.worldcat.org/oclc/907101453","WorldCat Record")</f>
        <v>WorldCat Record</v>
      </c>
      <c r="AX2461" s="3" t="s">
        <v>25036</v>
      </c>
      <c r="AY2461" s="3" t="s">
        <v>25037</v>
      </c>
      <c r="AZ2461" s="3" t="s">
        <v>25038</v>
      </c>
      <c r="BA2461" s="3" t="s">
        <v>25038</v>
      </c>
      <c r="BB2461" s="3" t="s">
        <v>25039</v>
      </c>
      <c r="BC2461" s="3" t="s">
        <v>77</v>
      </c>
      <c r="BD2461" s="3" t="s">
        <v>78</v>
      </c>
      <c r="BE2461" s="3" t="s">
        <v>25040</v>
      </c>
      <c r="BF2461" s="3" t="s">
        <v>25039</v>
      </c>
      <c r="BG2461" s="3" t="s">
        <v>25041</v>
      </c>
      <c r="BH2461">
        <f t="shared" si="60"/>
        <v>0</v>
      </c>
    </row>
    <row r="2462" spans="1:60" ht="58" x14ac:dyDescent="0.35">
      <c r="A2462" s="2" t="s">
        <v>59</v>
      </c>
      <c r="B2462" s="2" t="s">
        <v>60</v>
      </c>
      <c r="C2462" s="2" t="s">
        <v>25042</v>
      </c>
      <c r="D2462" s="2" t="s">
        <v>25043</v>
      </c>
      <c r="E2462" s="2" t="s">
        <v>25044</v>
      </c>
      <c r="G2462" s="3" t="s">
        <v>64</v>
      </c>
      <c r="I2462" s="3" t="s">
        <v>64</v>
      </c>
      <c r="J2462" s="3" t="s">
        <v>64</v>
      </c>
      <c r="K2462" s="3" t="s">
        <v>65</v>
      </c>
      <c r="L2462" s="2" t="s">
        <v>25045</v>
      </c>
      <c r="M2462" s="2" t="s">
        <v>25046</v>
      </c>
      <c r="N2462" s="3" t="s">
        <v>253</v>
      </c>
      <c r="P2462" s="3" t="s">
        <v>102</v>
      </c>
      <c r="Q2462" s="2" t="s">
        <v>17049</v>
      </c>
      <c r="R2462" s="3" t="s">
        <v>70</v>
      </c>
      <c r="S2462" s="4">
        <v>2</v>
      </c>
      <c r="T2462" s="4">
        <v>2</v>
      </c>
      <c r="U2462" s="5" t="s">
        <v>25047</v>
      </c>
      <c r="V2462" s="5" t="s">
        <v>25047</v>
      </c>
      <c r="W2462" s="5" t="s">
        <v>72</v>
      </c>
      <c r="X2462" s="5" t="s">
        <v>72</v>
      </c>
      <c r="Y2462" s="4">
        <v>198</v>
      </c>
      <c r="Z2462" s="4">
        <v>12</v>
      </c>
      <c r="AA2462" s="4">
        <v>73</v>
      </c>
      <c r="AB2462" s="4">
        <v>1</v>
      </c>
      <c r="AC2462" s="4">
        <v>15</v>
      </c>
      <c r="AD2462" s="4">
        <v>49</v>
      </c>
      <c r="AE2462" s="4">
        <v>101</v>
      </c>
      <c r="AF2462" s="4">
        <v>0</v>
      </c>
      <c r="AG2462" s="4">
        <v>8</v>
      </c>
      <c r="AH2462" s="4">
        <v>48</v>
      </c>
      <c r="AI2462" s="4">
        <v>71</v>
      </c>
      <c r="AJ2462" s="4">
        <v>6</v>
      </c>
      <c r="AK2462" s="4">
        <v>17</v>
      </c>
      <c r="AL2462" s="4">
        <v>19</v>
      </c>
      <c r="AM2462" s="4">
        <v>34</v>
      </c>
      <c r="AN2462" s="4">
        <v>0</v>
      </c>
      <c r="AO2462" s="4">
        <v>0</v>
      </c>
      <c r="AP2462" s="4">
        <v>7</v>
      </c>
      <c r="AQ2462" s="4">
        <v>36</v>
      </c>
      <c r="AR2462" s="3" t="s">
        <v>64</v>
      </c>
      <c r="AS2462" s="3" t="s">
        <v>64</v>
      </c>
      <c r="AT2462" s="3" t="s">
        <v>64</v>
      </c>
      <c r="AV2462" s="6" t="str">
        <f>HYPERLINK("http://mcgill.on.worldcat.org/oclc/902599218","Catalog Record")</f>
        <v>Catalog Record</v>
      </c>
      <c r="AW2462" s="6" t="str">
        <f>HYPERLINK("http://www.worldcat.org/oclc/902599218","WorldCat Record")</f>
        <v>WorldCat Record</v>
      </c>
      <c r="AX2462" s="3" t="s">
        <v>25048</v>
      </c>
      <c r="AY2462" s="3" t="s">
        <v>25049</v>
      </c>
      <c r="AZ2462" s="3" t="s">
        <v>25050</v>
      </c>
      <c r="BA2462" s="3" t="s">
        <v>25050</v>
      </c>
      <c r="BB2462" s="3" t="s">
        <v>25051</v>
      </c>
      <c r="BC2462" s="3" t="s">
        <v>77</v>
      </c>
      <c r="BD2462" s="3" t="s">
        <v>78</v>
      </c>
      <c r="BE2462" s="3" t="s">
        <v>25052</v>
      </c>
      <c r="BF2462" s="3" t="s">
        <v>25051</v>
      </c>
      <c r="BG2462" s="3" t="s">
        <v>25053</v>
      </c>
      <c r="BH2462">
        <f t="shared" si="60"/>
        <v>0</v>
      </c>
    </row>
    <row r="2463" spans="1:60" ht="58" x14ac:dyDescent="0.35">
      <c r="A2463" s="2" t="s">
        <v>59</v>
      </c>
      <c r="B2463" s="2" t="s">
        <v>60</v>
      </c>
      <c r="C2463" s="2" t="s">
        <v>25054</v>
      </c>
      <c r="D2463" s="2" t="s">
        <v>25055</v>
      </c>
      <c r="E2463" s="2" t="s">
        <v>25056</v>
      </c>
      <c r="G2463" s="3" t="s">
        <v>64</v>
      </c>
      <c r="I2463" s="3" t="s">
        <v>64</v>
      </c>
      <c r="J2463" s="3" t="s">
        <v>64</v>
      </c>
      <c r="K2463" s="3" t="s">
        <v>65</v>
      </c>
      <c r="M2463" s="2" t="s">
        <v>25057</v>
      </c>
      <c r="N2463" s="3" t="s">
        <v>86</v>
      </c>
      <c r="P2463" s="3" t="s">
        <v>102</v>
      </c>
      <c r="Q2463" s="2" t="s">
        <v>25058</v>
      </c>
      <c r="R2463" s="3" t="s">
        <v>70</v>
      </c>
      <c r="S2463" s="4">
        <v>3</v>
      </c>
      <c r="T2463" s="4">
        <v>3</v>
      </c>
      <c r="U2463" s="5" t="s">
        <v>25059</v>
      </c>
      <c r="V2463" s="5" t="s">
        <v>25059</v>
      </c>
      <c r="W2463" s="5" t="s">
        <v>72</v>
      </c>
      <c r="X2463" s="5" t="s">
        <v>72</v>
      </c>
      <c r="Y2463" s="4">
        <v>562</v>
      </c>
      <c r="Z2463" s="4">
        <v>33</v>
      </c>
      <c r="AA2463" s="4">
        <v>132</v>
      </c>
      <c r="AB2463" s="4">
        <v>3</v>
      </c>
      <c r="AC2463" s="4">
        <v>19</v>
      </c>
      <c r="AD2463" s="4">
        <v>78</v>
      </c>
      <c r="AE2463" s="4">
        <v>140</v>
      </c>
      <c r="AF2463" s="4">
        <v>1</v>
      </c>
      <c r="AG2463" s="4">
        <v>8</v>
      </c>
      <c r="AH2463" s="4">
        <v>70</v>
      </c>
      <c r="AI2463" s="4">
        <v>97</v>
      </c>
      <c r="AJ2463" s="4">
        <v>11</v>
      </c>
      <c r="AK2463" s="4">
        <v>23</v>
      </c>
      <c r="AL2463" s="4">
        <v>39</v>
      </c>
      <c r="AM2463" s="4">
        <v>52</v>
      </c>
      <c r="AN2463" s="4">
        <v>0</v>
      </c>
      <c r="AO2463" s="4">
        <v>0</v>
      </c>
      <c r="AP2463" s="4">
        <v>13</v>
      </c>
      <c r="AQ2463" s="4">
        <v>48</v>
      </c>
      <c r="AR2463" s="3" t="s">
        <v>64</v>
      </c>
      <c r="AS2463" s="3" t="s">
        <v>64</v>
      </c>
      <c r="AT2463" s="3" t="s">
        <v>64</v>
      </c>
      <c r="AV2463" s="6" t="str">
        <f>HYPERLINK("http://mcgill.on.worldcat.org/oclc/795020450","Catalog Record")</f>
        <v>Catalog Record</v>
      </c>
      <c r="AW2463" s="6" t="str">
        <f>HYPERLINK("http://www.worldcat.org/oclc/795020450","WorldCat Record")</f>
        <v>WorldCat Record</v>
      </c>
      <c r="AX2463" s="3" t="s">
        <v>25060</v>
      </c>
      <c r="AY2463" s="3" t="s">
        <v>25061</v>
      </c>
      <c r="AZ2463" s="3" t="s">
        <v>25062</v>
      </c>
      <c r="BA2463" s="3" t="s">
        <v>25062</v>
      </c>
      <c r="BB2463" s="3" t="s">
        <v>25063</v>
      </c>
      <c r="BC2463" s="3" t="s">
        <v>77</v>
      </c>
      <c r="BD2463" s="3" t="s">
        <v>78</v>
      </c>
      <c r="BE2463" s="3" t="s">
        <v>25064</v>
      </c>
      <c r="BF2463" s="3" t="s">
        <v>25063</v>
      </c>
      <c r="BG2463" s="3" t="s">
        <v>25065</v>
      </c>
      <c r="BH2463">
        <f t="shared" si="60"/>
        <v>0</v>
      </c>
    </row>
    <row r="2464" spans="1:60" ht="58" x14ac:dyDescent="0.35">
      <c r="A2464" s="2" t="s">
        <v>59</v>
      </c>
      <c r="B2464" s="2" t="s">
        <v>60</v>
      </c>
      <c r="C2464" s="2" t="s">
        <v>25066</v>
      </c>
      <c r="D2464" s="2" t="s">
        <v>25067</v>
      </c>
      <c r="E2464" s="2" t="s">
        <v>25068</v>
      </c>
      <c r="G2464" s="3" t="s">
        <v>64</v>
      </c>
      <c r="I2464" s="3" t="s">
        <v>64</v>
      </c>
      <c r="J2464" s="3" t="s">
        <v>64</v>
      </c>
      <c r="K2464" s="3" t="s">
        <v>65</v>
      </c>
      <c r="L2464" s="2" t="s">
        <v>25069</v>
      </c>
      <c r="M2464" s="2" t="s">
        <v>25070</v>
      </c>
      <c r="N2464" s="3" t="s">
        <v>1075</v>
      </c>
      <c r="P2464" s="3" t="s">
        <v>102</v>
      </c>
      <c r="R2464" s="3" t="s">
        <v>70</v>
      </c>
      <c r="S2464" s="4">
        <v>0</v>
      </c>
      <c r="T2464" s="4">
        <v>0</v>
      </c>
      <c r="W2464" s="5" t="s">
        <v>72</v>
      </c>
      <c r="X2464" s="5" t="s">
        <v>72</v>
      </c>
      <c r="Y2464" s="4">
        <v>43</v>
      </c>
      <c r="Z2464" s="4">
        <v>3</v>
      </c>
      <c r="AA2464" s="4">
        <v>78</v>
      </c>
      <c r="AB2464" s="4">
        <v>1</v>
      </c>
      <c r="AC2464" s="4">
        <v>14</v>
      </c>
      <c r="AD2464" s="4">
        <v>10</v>
      </c>
      <c r="AE2464" s="4">
        <v>97</v>
      </c>
      <c r="AF2464" s="4">
        <v>0</v>
      </c>
      <c r="AG2464" s="4">
        <v>8</v>
      </c>
      <c r="AH2464" s="4">
        <v>10</v>
      </c>
      <c r="AI2464" s="4">
        <v>63</v>
      </c>
      <c r="AJ2464" s="4">
        <v>2</v>
      </c>
      <c r="AK2464" s="4">
        <v>19</v>
      </c>
      <c r="AL2464" s="4">
        <v>4</v>
      </c>
      <c r="AM2464" s="4">
        <v>30</v>
      </c>
      <c r="AN2464" s="4">
        <v>0</v>
      </c>
      <c r="AO2464" s="4">
        <v>0</v>
      </c>
      <c r="AP2464" s="4">
        <v>2</v>
      </c>
      <c r="AQ2464" s="4">
        <v>39</v>
      </c>
      <c r="AR2464" s="3" t="s">
        <v>64</v>
      </c>
      <c r="AS2464" s="3" t="s">
        <v>64</v>
      </c>
      <c r="AT2464" s="3" t="s">
        <v>64</v>
      </c>
      <c r="AV2464" s="6" t="str">
        <f>HYPERLINK("http://mcgill.on.worldcat.org/oclc/861753151","Catalog Record")</f>
        <v>Catalog Record</v>
      </c>
      <c r="AW2464" s="6" t="str">
        <f>HYPERLINK("http://www.worldcat.org/oclc/861753151","WorldCat Record")</f>
        <v>WorldCat Record</v>
      </c>
      <c r="AX2464" s="3" t="s">
        <v>25071</v>
      </c>
      <c r="AY2464" s="3" t="s">
        <v>25072</v>
      </c>
      <c r="AZ2464" s="3" t="s">
        <v>25073</v>
      </c>
      <c r="BA2464" s="3" t="s">
        <v>25073</v>
      </c>
      <c r="BB2464" s="3" t="s">
        <v>25074</v>
      </c>
      <c r="BC2464" s="3" t="s">
        <v>77</v>
      </c>
      <c r="BD2464" s="3" t="s">
        <v>78</v>
      </c>
      <c r="BE2464" s="3" t="s">
        <v>25075</v>
      </c>
      <c r="BF2464" s="3" t="s">
        <v>25074</v>
      </c>
      <c r="BG2464" s="3" t="s">
        <v>25076</v>
      </c>
      <c r="BH2464">
        <f t="shared" si="60"/>
        <v>0</v>
      </c>
    </row>
    <row r="2465" spans="1:60" ht="58" x14ac:dyDescent="0.35">
      <c r="A2465" s="2" t="s">
        <v>59</v>
      </c>
      <c r="B2465" s="2" t="s">
        <v>60</v>
      </c>
      <c r="C2465" s="2" t="s">
        <v>25077</v>
      </c>
      <c r="D2465" s="2" t="s">
        <v>25078</v>
      </c>
      <c r="E2465" s="2" t="s">
        <v>25079</v>
      </c>
      <c r="G2465" s="3" t="s">
        <v>64</v>
      </c>
      <c r="I2465" s="3" t="s">
        <v>64</v>
      </c>
      <c r="J2465" s="3" t="s">
        <v>64</v>
      </c>
      <c r="K2465" s="3" t="s">
        <v>65</v>
      </c>
      <c r="M2465" s="2" t="s">
        <v>17565</v>
      </c>
      <c r="N2465" s="3" t="s">
        <v>86</v>
      </c>
      <c r="P2465" s="3" t="s">
        <v>102</v>
      </c>
      <c r="R2465" s="3" t="s">
        <v>70</v>
      </c>
      <c r="S2465" s="4">
        <v>3</v>
      </c>
      <c r="T2465" s="4">
        <v>3</v>
      </c>
      <c r="U2465" s="5" t="s">
        <v>24923</v>
      </c>
      <c r="V2465" s="5" t="s">
        <v>24923</v>
      </c>
      <c r="W2465" s="5" t="s">
        <v>72</v>
      </c>
      <c r="X2465" s="5" t="s">
        <v>72</v>
      </c>
      <c r="Y2465" s="4">
        <v>746</v>
      </c>
      <c r="Z2465" s="4">
        <v>43</v>
      </c>
      <c r="AA2465" s="4">
        <v>140</v>
      </c>
      <c r="AB2465" s="4">
        <v>2</v>
      </c>
      <c r="AC2465" s="4">
        <v>17</v>
      </c>
      <c r="AD2465" s="4">
        <v>86</v>
      </c>
      <c r="AE2465" s="4">
        <v>142</v>
      </c>
      <c r="AF2465" s="4">
        <v>0</v>
      </c>
      <c r="AG2465" s="4">
        <v>8</v>
      </c>
      <c r="AH2465" s="4">
        <v>75</v>
      </c>
      <c r="AI2465" s="4">
        <v>97</v>
      </c>
      <c r="AJ2465" s="4">
        <v>13</v>
      </c>
      <c r="AK2465" s="4">
        <v>25</v>
      </c>
      <c r="AL2465" s="4">
        <v>34</v>
      </c>
      <c r="AM2465" s="4">
        <v>47</v>
      </c>
      <c r="AN2465" s="4">
        <v>0</v>
      </c>
      <c r="AO2465" s="4">
        <v>0</v>
      </c>
      <c r="AP2465" s="4">
        <v>17</v>
      </c>
      <c r="AQ2465" s="4">
        <v>52</v>
      </c>
      <c r="AR2465" s="3" t="s">
        <v>64</v>
      </c>
      <c r="AS2465" s="3" t="s">
        <v>64</v>
      </c>
      <c r="AT2465" s="3" t="s">
        <v>64</v>
      </c>
      <c r="AV2465" s="6" t="str">
        <f>HYPERLINK("http://mcgill.on.worldcat.org/oclc/760176256","Catalog Record")</f>
        <v>Catalog Record</v>
      </c>
      <c r="AW2465" s="6" t="str">
        <f>HYPERLINK("http://www.worldcat.org/oclc/760176256","WorldCat Record")</f>
        <v>WorldCat Record</v>
      </c>
      <c r="AX2465" s="3" t="s">
        <v>25080</v>
      </c>
      <c r="AY2465" s="3" t="s">
        <v>25081</v>
      </c>
      <c r="AZ2465" s="3" t="s">
        <v>25082</v>
      </c>
      <c r="BA2465" s="3" t="s">
        <v>25082</v>
      </c>
      <c r="BB2465" s="3" t="s">
        <v>25083</v>
      </c>
      <c r="BC2465" s="3" t="s">
        <v>77</v>
      </c>
      <c r="BD2465" s="3" t="s">
        <v>78</v>
      </c>
      <c r="BE2465" s="3" t="s">
        <v>25084</v>
      </c>
      <c r="BF2465" s="3" t="s">
        <v>25083</v>
      </c>
      <c r="BG2465" s="3" t="s">
        <v>25085</v>
      </c>
      <c r="BH2465">
        <f t="shared" si="60"/>
        <v>0</v>
      </c>
    </row>
    <row r="2466" spans="1:60" ht="58" x14ac:dyDescent="0.35">
      <c r="A2466" s="2" t="s">
        <v>59</v>
      </c>
      <c r="B2466" s="2" t="s">
        <v>60</v>
      </c>
      <c r="C2466" s="2" t="s">
        <v>25086</v>
      </c>
      <c r="D2466" s="2" t="s">
        <v>25087</v>
      </c>
      <c r="E2466" s="2" t="s">
        <v>25088</v>
      </c>
      <c r="G2466" s="3" t="s">
        <v>64</v>
      </c>
      <c r="I2466" s="3" t="s">
        <v>64</v>
      </c>
      <c r="J2466" s="3" t="s">
        <v>64</v>
      </c>
      <c r="K2466" s="3" t="s">
        <v>65</v>
      </c>
      <c r="M2466" s="2" t="s">
        <v>20347</v>
      </c>
      <c r="N2466" s="3" t="s">
        <v>67</v>
      </c>
      <c r="P2466" s="3" t="s">
        <v>102</v>
      </c>
      <c r="R2466" s="3" t="s">
        <v>70</v>
      </c>
      <c r="S2466" s="4">
        <v>0</v>
      </c>
      <c r="T2466" s="4">
        <v>0</v>
      </c>
      <c r="W2466" s="5" t="s">
        <v>72</v>
      </c>
      <c r="X2466" s="5" t="s">
        <v>72</v>
      </c>
      <c r="Y2466" s="4">
        <v>26</v>
      </c>
      <c r="Z2466" s="4">
        <v>2</v>
      </c>
      <c r="AA2466" s="4">
        <v>3</v>
      </c>
      <c r="AB2466" s="4">
        <v>1</v>
      </c>
      <c r="AC2466" s="4">
        <v>2</v>
      </c>
      <c r="AD2466" s="4">
        <v>8</v>
      </c>
      <c r="AE2466" s="4">
        <v>9</v>
      </c>
      <c r="AF2466" s="4">
        <v>0</v>
      </c>
      <c r="AG2466" s="4">
        <v>0</v>
      </c>
      <c r="AH2466" s="4">
        <v>8</v>
      </c>
      <c r="AI2466" s="4">
        <v>9</v>
      </c>
      <c r="AJ2466" s="4">
        <v>1</v>
      </c>
      <c r="AK2466" s="4">
        <v>1</v>
      </c>
      <c r="AL2466" s="4">
        <v>3</v>
      </c>
      <c r="AM2466" s="4">
        <v>3</v>
      </c>
      <c r="AN2466" s="4">
        <v>0</v>
      </c>
      <c r="AO2466" s="4">
        <v>0</v>
      </c>
      <c r="AP2466" s="4">
        <v>1</v>
      </c>
      <c r="AQ2466" s="4">
        <v>1</v>
      </c>
      <c r="AR2466" s="3" t="s">
        <v>64</v>
      </c>
      <c r="AS2466" s="3" t="s">
        <v>64</v>
      </c>
      <c r="AT2466" s="3" t="s">
        <v>64</v>
      </c>
      <c r="AV2466" s="6" t="str">
        <f>HYPERLINK("http://mcgill.on.worldcat.org/oclc/890435772","Catalog Record")</f>
        <v>Catalog Record</v>
      </c>
      <c r="AW2466" s="6" t="str">
        <f>HYPERLINK("http://www.worldcat.org/oclc/890435772","WorldCat Record")</f>
        <v>WorldCat Record</v>
      </c>
      <c r="AX2466" s="3" t="s">
        <v>25089</v>
      </c>
      <c r="AY2466" s="3" t="s">
        <v>25090</v>
      </c>
      <c r="AZ2466" s="3" t="s">
        <v>25091</v>
      </c>
      <c r="BA2466" s="3" t="s">
        <v>25091</v>
      </c>
      <c r="BB2466" s="3" t="s">
        <v>25092</v>
      </c>
      <c r="BC2466" s="3" t="s">
        <v>77</v>
      </c>
      <c r="BD2466" s="3" t="s">
        <v>78</v>
      </c>
      <c r="BE2466" s="3" t="s">
        <v>25093</v>
      </c>
      <c r="BF2466" s="3" t="s">
        <v>25092</v>
      </c>
      <c r="BG2466" s="3" t="s">
        <v>25094</v>
      </c>
      <c r="BH2466">
        <f t="shared" si="60"/>
        <v>0</v>
      </c>
    </row>
    <row r="2467" spans="1:60" ht="72.5" x14ac:dyDescent="0.35">
      <c r="A2467" s="2" t="s">
        <v>59</v>
      </c>
      <c r="B2467" s="2" t="s">
        <v>60</v>
      </c>
      <c r="C2467" s="2" t="s">
        <v>25095</v>
      </c>
      <c r="D2467" s="2" t="s">
        <v>25096</v>
      </c>
      <c r="E2467" s="2" t="s">
        <v>25097</v>
      </c>
      <c r="G2467" s="3" t="s">
        <v>64</v>
      </c>
      <c r="I2467" s="3" t="s">
        <v>64</v>
      </c>
      <c r="J2467" s="3" t="s">
        <v>64</v>
      </c>
      <c r="K2467" s="3" t="s">
        <v>65</v>
      </c>
      <c r="L2467" s="2" t="s">
        <v>25098</v>
      </c>
      <c r="M2467" s="2" t="s">
        <v>15169</v>
      </c>
      <c r="N2467" s="3" t="s">
        <v>551</v>
      </c>
      <c r="P2467" s="3" t="s">
        <v>102</v>
      </c>
      <c r="R2467" s="3" t="s">
        <v>70</v>
      </c>
      <c r="S2467" s="4">
        <v>5</v>
      </c>
      <c r="T2467" s="4">
        <v>5</v>
      </c>
      <c r="U2467" s="5" t="s">
        <v>25099</v>
      </c>
      <c r="V2467" s="5" t="s">
        <v>25099</v>
      </c>
      <c r="W2467" s="5" t="s">
        <v>72</v>
      </c>
      <c r="X2467" s="5" t="s">
        <v>72</v>
      </c>
      <c r="Y2467" s="4">
        <v>337</v>
      </c>
      <c r="Z2467" s="4">
        <v>18</v>
      </c>
      <c r="AA2467" s="4">
        <v>19</v>
      </c>
      <c r="AB2467" s="4">
        <v>1</v>
      </c>
      <c r="AC2467" s="4">
        <v>2</v>
      </c>
      <c r="AD2467" s="4">
        <v>43</v>
      </c>
      <c r="AE2467" s="4">
        <v>44</v>
      </c>
      <c r="AF2467" s="4">
        <v>0</v>
      </c>
      <c r="AG2467" s="4">
        <v>1</v>
      </c>
      <c r="AH2467" s="4">
        <v>37</v>
      </c>
      <c r="AI2467" s="4">
        <v>37</v>
      </c>
      <c r="AJ2467" s="4">
        <v>7</v>
      </c>
      <c r="AK2467" s="4">
        <v>8</v>
      </c>
      <c r="AL2467" s="4">
        <v>18</v>
      </c>
      <c r="AM2467" s="4">
        <v>18</v>
      </c>
      <c r="AN2467" s="4">
        <v>0</v>
      </c>
      <c r="AO2467" s="4">
        <v>0</v>
      </c>
      <c r="AP2467" s="4">
        <v>7</v>
      </c>
      <c r="AQ2467" s="4">
        <v>7</v>
      </c>
      <c r="AR2467" s="3" t="s">
        <v>64</v>
      </c>
      <c r="AS2467" s="3" t="s">
        <v>64</v>
      </c>
      <c r="AT2467" s="3" t="s">
        <v>64</v>
      </c>
      <c r="AV2467" s="6" t="str">
        <f>HYPERLINK("http://mcgill.on.worldcat.org/oclc/148764834","Catalog Record")</f>
        <v>Catalog Record</v>
      </c>
      <c r="AW2467" s="6" t="str">
        <f>HYPERLINK("http://www.worldcat.org/oclc/148764834","WorldCat Record")</f>
        <v>WorldCat Record</v>
      </c>
      <c r="AX2467" s="3" t="s">
        <v>25100</v>
      </c>
      <c r="AY2467" s="3" t="s">
        <v>25101</v>
      </c>
      <c r="AZ2467" s="3" t="s">
        <v>25102</v>
      </c>
      <c r="BA2467" s="3" t="s">
        <v>25102</v>
      </c>
      <c r="BB2467" s="3" t="s">
        <v>25103</v>
      </c>
      <c r="BC2467" s="3" t="s">
        <v>77</v>
      </c>
      <c r="BD2467" s="3" t="s">
        <v>78</v>
      </c>
      <c r="BE2467" s="3" t="s">
        <v>25104</v>
      </c>
      <c r="BF2467" s="3" t="s">
        <v>25103</v>
      </c>
      <c r="BG2467" s="3" t="s">
        <v>25105</v>
      </c>
      <c r="BH2467">
        <f t="shared" si="60"/>
        <v>0</v>
      </c>
    </row>
    <row r="2468" spans="1:60" ht="72.5" x14ac:dyDescent="0.35">
      <c r="A2468" s="2" t="s">
        <v>59</v>
      </c>
      <c r="B2468" s="2" t="s">
        <v>60</v>
      </c>
      <c r="C2468" s="2" t="s">
        <v>25106</v>
      </c>
      <c r="D2468" s="2" t="s">
        <v>25107</v>
      </c>
      <c r="E2468" s="2" t="s">
        <v>25108</v>
      </c>
      <c r="G2468" s="3" t="s">
        <v>64</v>
      </c>
      <c r="I2468" s="3" t="s">
        <v>64</v>
      </c>
      <c r="J2468" s="3" t="s">
        <v>64</v>
      </c>
      <c r="K2468" s="3" t="s">
        <v>65</v>
      </c>
      <c r="M2468" s="2" t="s">
        <v>16410</v>
      </c>
      <c r="N2468" s="3" t="s">
        <v>144</v>
      </c>
      <c r="P2468" s="3" t="s">
        <v>102</v>
      </c>
      <c r="R2468" s="3" t="s">
        <v>70</v>
      </c>
      <c r="S2468" s="4">
        <v>7</v>
      </c>
      <c r="T2468" s="4">
        <v>7</v>
      </c>
      <c r="U2468" s="5" t="s">
        <v>1964</v>
      </c>
      <c r="V2468" s="5" t="s">
        <v>1964</v>
      </c>
      <c r="W2468" s="5" t="s">
        <v>72</v>
      </c>
      <c r="X2468" s="5" t="s">
        <v>72</v>
      </c>
      <c r="Y2468" s="4">
        <v>367</v>
      </c>
      <c r="Z2468" s="4">
        <v>24</v>
      </c>
      <c r="AA2468" s="4">
        <v>26</v>
      </c>
      <c r="AB2468" s="4">
        <v>1</v>
      </c>
      <c r="AC2468" s="4">
        <v>3</v>
      </c>
      <c r="AD2468" s="4">
        <v>83</v>
      </c>
      <c r="AE2468" s="4">
        <v>85</v>
      </c>
      <c r="AF2468" s="4">
        <v>0</v>
      </c>
      <c r="AG2468" s="4">
        <v>2</v>
      </c>
      <c r="AH2468" s="4">
        <v>72</v>
      </c>
      <c r="AI2468" s="4">
        <v>72</v>
      </c>
      <c r="AJ2468" s="4">
        <v>12</v>
      </c>
      <c r="AK2468" s="4">
        <v>14</v>
      </c>
      <c r="AL2468" s="4">
        <v>38</v>
      </c>
      <c r="AM2468" s="4">
        <v>38</v>
      </c>
      <c r="AN2468" s="4">
        <v>0</v>
      </c>
      <c r="AO2468" s="4">
        <v>0</v>
      </c>
      <c r="AP2468" s="4">
        <v>18</v>
      </c>
      <c r="AQ2468" s="4">
        <v>19</v>
      </c>
      <c r="AR2468" s="3" t="s">
        <v>64</v>
      </c>
      <c r="AS2468" s="3" t="s">
        <v>64</v>
      </c>
      <c r="AT2468" s="3" t="s">
        <v>128</v>
      </c>
      <c r="AU2468" s="6" t="str">
        <f>HYPERLINK("http://catalog.hathitrust.org/Record/005913206","HathiTrust Record")</f>
        <v>HathiTrust Record</v>
      </c>
      <c r="AV2468" s="6" t="str">
        <f>HYPERLINK("http://mcgill.on.worldcat.org/oclc/261404087","Catalog Record")</f>
        <v>Catalog Record</v>
      </c>
      <c r="AW2468" s="6" t="str">
        <f>HYPERLINK("http://www.worldcat.org/oclc/261404087","WorldCat Record")</f>
        <v>WorldCat Record</v>
      </c>
      <c r="AX2468" s="3" t="s">
        <v>25109</v>
      </c>
      <c r="AY2468" s="3" t="s">
        <v>25110</v>
      </c>
      <c r="AZ2468" s="3" t="s">
        <v>25111</v>
      </c>
      <c r="BA2468" s="3" t="s">
        <v>25111</v>
      </c>
      <c r="BB2468" s="3" t="s">
        <v>25112</v>
      </c>
      <c r="BC2468" s="3" t="s">
        <v>77</v>
      </c>
      <c r="BD2468" s="3" t="s">
        <v>78</v>
      </c>
      <c r="BE2468" s="3" t="s">
        <v>25113</v>
      </c>
      <c r="BF2468" s="3" t="s">
        <v>25112</v>
      </c>
      <c r="BG2468" s="3" t="s">
        <v>25114</v>
      </c>
      <c r="BH2468">
        <f t="shared" si="60"/>
        <v>0</v>
      </c>
    </row>
    <row r="2469" spans="1:60" ht="58" x14ac:dyDescent="0.35">
      <c r="A2469" s="2" t="s">
        <v>59</v>
      </c>
      <c r="B2469" s="2" t="s">
        <v>60</v>
      </c>
      <c r="C2469" s="2" t="s">
        <v>25115</v>
      </c>
      <c r="D2469" s="2" t="s">
        <v>25116</v>
      </c>
      <c r="E2469" s="2" t="s">
        <v>25117</v>
      </c>
      <c r="G2469" s="3" t="s">
        <v>64</v>
      </c>
      <c r="I2469" s="3" t="s">
        <v>64</v>
      </c>
      <c r="J2469" s="3" t="s">
        <v>64</v>
      </c>
      <c r="K2469" s="3" t="s">
        <v>65</v>
      </c>
      <c r="L2469" s="2" t="s">
        <v>25118</v>
      </c>
      <c r="M2469" s="2" t="s">
        <v>25119</v>
      </c>
      <c r="N2469" s="3" t="s">
        <v>326</v>
      </c>
      <c r="P2469" s="3" t="s">
        <v>102</v>
      </c>
      <c r="R2469" s="3" t="s">
        <v>70</v>
      </c>
      <c r="S2469" s="4">
        <v>2</v>
      </c>
      <c r="T2469" s="4">
        <v>2</v>
      </c>
      <c r="U2469" s="5" t="s">
        <v>25120</v>
      </c>
      <c r="V2469" s="5" t="s">
        <v>25120</v>
      </c>
      <c r="W2469" s="5" t="s">
        <v>72</v>
      </c>
      <c r="X2469" s="5" t="s">
        <v>72</v>
      </c>
      <c r="Y2469" s="4">
        <v>167</v>
      </c>
      <c r="Z2469" s="4">
        <v>13</v>
      </c>
      <c r="AA2469" s="4">
        <v>13</v>
      </c>
      <c r="AB2469" s="4">
        <v>2</v>
      </c>
      <c r="AC2469" s="4">
        <v>2</v>
      </c>
      <c r="AD2469" s="4">
        <v>30</v>
      </c>
      <c r="AE2469" s="4">
        <v>30</v>
      </c>
      <c r="AF2469" s="4">
        <v>0</v>
      </c>
      <c r="AG2469" s="4">
        <v>0</v>
      </c>
      <c r="AH2469" s="4">
        <v>29</v>
      </c>
      <c r="AI2469" s="4">
        <v>29</v>
      </c>
      <c r="AJ2469" s="4">
        <v>4</v>
      </c>
      <c r="AK2469" s="4">
        <v>4</v>
      </c>
      <c r="AL2469" s="4">
        <v>15</v>
      </c>
      <c r="AM2469" s="4">
        <v>15</v>
      </c>
      <c r="AN2469" s="4">
        <v>0</v>
      </c>
      <c r="AO2469" s="4">
        <v>0</v>
      </c>
      <c r="AP2469" s="4">
        <v>5</v>
      </c>
      <c r="AQ2469" s="4">
        <v>5</v>
      </c>
      <c r="AR2469" s="3" t="s">
        <v>64</v>
      </c>
      <c r="AS2469" s="3" t="s">
        <v>64</v>
      </c>
      <c r="AT2469" s="3" t="s">
        <v>64</v>
      </c>
      <c r="AV2469" s="6" t="str">
        <f>HYPERLINK("http://mcgill.on.worldcat.org/oclc/670247330","Catalog Record")</f>
        <v>Catalog Record</v>
      </c>
      <c r="AW2469" s="6" t="str">
        <f>HYPERLINK("http://www.worldcat.org/oclc/670247330","WorldCat Record")</f>
        <v>WorldCat Record</v>
      </c>
      <c r="AX2469" s="3" t="s">
        <v>25121</v>
      </c>
      <c r="AY2469" s="3" t="s">
        <v>25122</v>
      </c>
      <c r="AZ2469" s="3" t="s">
        <v>25123</v>
      </c>
      <c r="BA2469" s="3" t="s">
        <v>25123</v>
      </c>
      <c r="BB2469" s="3" t="s">
        <v>25124</v>
      </c>
      <c r="BC2469" s="3" t="s">
        <v>77</v>
      </c>
      <c r="BD2469" s="3" t="s">
        <v>78</v>
      </c>
      <c r="BE2469" s="3" t="s">
        <v>25125</v>
      </c>
      <c r="BF2469" s="3" t="s">
        <v>25124</v>
      </c>
      <c r="BG2469" s="3" t="s">
        <v>25126</v>
      </c>
      <c r="BH2469">
        <f t="shared" si="60"/>
        <v>0</v>
      </c>
    </row>
    <row r="2470" spans="1:60" ht="58" x14ac:dyDescent="0.35">
      <c r="A2470" s="2" t="s">
        <v>59</v>
      </c>
      <c r="B2470" s="2" t="s">
        <v>60</v>
      </c>
      <c r="C2470" s="2" t="s">
        <v>25127</v>
      </c>
      <c r="D2470" s="2" t="s">
        <v>25128</v>
      </c>
      <c r="E2470" s="2" t="s">
        <v>25129</v>
      </c>
      <c r="G2470" s="3" t="s">
        <v>64</v>
      </c>
      <c r="I2470" s="3" t="s">
        <v>64</v>
      </c>
      <c r="J2470" s="3" t="s">
        <v>128</v>
      </c>
      <c r="K2470" s="3" t="s">
        <v>65</v>
      </c>
      <c r="L2470" s="2" t="s">
        <v>24373</v>
      </c>
      <c r="M2470" s="2" t="s">
        <v>14235</v>
      </c>
      <c r="N2470" s="3" t="s">
        <v>511</v>
      </c>
      <c r="P2470" s="3" t="s">
        <v>102</v>
      </c>
      <c r="Q2470" s="2" t="s">
        <v>25130</v>
      </c>
      <c r="R2470" s="3" t="s">
        <v>70</v>
      </c>
      <c r="S2470" s="4">
        <v>11</v>
      </c>
      <c r="T2470" s="4">
        <v>11</v>
      </c>
      <c r="U2470" s="5" t="s">
        <v>15128</v>
      </c>
      <c r="V2470" s="5" t="s">
        <v>15128</v>
      </c>
      <c r="W2470" s="5" t="s">
        <v>72</v>
      </c>
      <c r="X2470" s="5" t="s">
        <v>72</v>
      </c>
      <c r="Y2470" s="4">
        <v>501</v>
      </c>
      <c r="Z2470" s="4">
        <v>25</v>
      </c>
      <c r="AA2470" s="4">
        <v>110</v>
      </c>
      <c r="AB2470" s="4">
        <v>2</v>
      </c>
      <c r="AC2470" s="4">
        <v>19</v>
      </c>
      <c r="AD2470" s="4">
        <v>57</v>
      </c>
      <c r="AE2470" s="4">
        <v>115</v>
      </c>
      <c r="AF2470" s="4">
        <v>0</v>
      </c>
      <c r="AG2470" s="4">
        <v>8</v>
      </c>
      <c r="AH2470" s="4">
        <v>50</v>
      </c>
      <c r="AI2470" s="4">
        <v>78</v>
      </c>
      <c r="AJ2470" s="4">
        <v>8</v>
      </c>
      <c r="AK2470" s="4">
        <v>20</v>
      </c>
      <c r="AL2470" s="4">
        <v>23</v>
      </c>
      <c r="AM2470" s="4">
        <v>40</v>
      </c>
      <c r="AN2470" s="4">
        <v>0</v>
      </c>
      <c r="AO2470" s="4">
        <v>0</v>
      </c>
      <c r="AP2470" s="4">
        <v>11</v>
      </c>
      <c r="AQ2470" s="4">
        <v>43</v>
      </c>
      <c r="AR2470" s="3" t="s">
        <v>64</v>
      </c>
      <c r="AS2470" s="3" t="s">
        <v>64</v>
      </c>
      <c r="AT2470" s="3" t="s">
        <v>64</v>
      </c>
      <c r="AV2470" s="6" t="str">
        <f>HYPERLINK("http://mcgill.on.worldcat.org/oclc/421532716","Catalog Record")</f>
        <v>Catalog Record</v>
      </c>
      <c r="AW2470" s="6" t="str">
        <f>HYPERLINK("http://www.worldcat.org/oclc/421532716","WorldCat Record")</f>
        <v>WorldCat Record</v>
      </c>
      <c r="AX2470" s="3" t="s">
        <v>25131</v>
      </c>
      <c r="AY2470" s="3" t="s">
        <v>25132</v>
      </c>
      <c r="AZ2470" s="3" t="s">
        <v>25133</v>
      </c>
      <c r="BA2470" s="3" t="s">
        <v>25133</v>
      </c>
      <c r="BB2470" s="3" t="s">
        <v>25134</v>
      </c>
      <c r="BC2470" s="3" t="s">
        <v>77</v>
      </c>
      <c r="BD2470" s="3" t="s">
        <v>78</v>
      </c>
      <c r="BE2470" s="3" t="s">
        <v>25135</v>
      </c>
      <c r="BF2470" s="3" t="s">
        <v>25134</v>
      </c>
      <c r="BG2470" s="3" t="s">
        <v>25136</v>
      </c>
      <c r="BH2470">
        <f t="shared" si="60"/>
        <v>0</v>
      </c>
    </row>
    <row r="2471" spans="1:60" ht="58" x14ac:dyDescent="0.35">
      <c r="A2471" s="2" t="s">
        <v>59</v>
      </c>
      <c r="B2471" s="2" t="s">
        <v>60</v>
      </c>
      <c r="C2471" s="2" t="s">
        <v>25137</v>
      </c>
      <c r="D2471" s="2" t="s">
        <v>25138</v>
      </c>
      <c r="E2471" s="2" t="s">
        <v>25129</v>
      </c>
      <c r="G2471" s="3" t="s">
        <v>64</v>
      </c>
      <c r="I2471" s="3" t="s">
        <v>64</v>
      </c>
      <c r="J2471" s="3" t="s">
        <v>128</v>
      </c>
      <c r="K2471" s="3" t="s">
        <v>65</v>
      </c>
      <c r="L2471" s="2" t="s">
        <v>25139</v>
      </c>
      <c r="M2471" s="2" t="s">
        <v>18533</v>
      </c>
      <c r="N2471" s="3" t="s">
        <v>578</v>
      </c>
      <c r="O2471" s="2" t="s">
        <v>3787</v>
      </c>
      <c r="P2471" s="3" t="s">
        <v>102</v>
      </c>
      <c r="Q2471" s="2" t="s">
        <v>25130</v>
      </c>
      <c r="R2471" s="3" t="s">
        <v>70</v>
      </c>
      <c r="S2471" s="4">
        <v>0</v>
      </c>
      <c r="T2471" s="4">
        <v>0</v>
      </c>
      <c r="W2471" s="5" t="s">
        <v>72</v>
      </c>
      <c r="X2471" s="5" t="s">
        <v>72</v>
      </c>
      <c r="Y2471" s="4">
        <v>240</v>
      </c>
      <c r="Z2471" s="4">
        <v>7</v>
      </c>
      <c r="AA2471" s="4">
        <v>110</v>
      </c>
      <c r="AB2471" s="4">
        <v>1</v>
      </c>
      <c r="AC2471" s="4">
        <v>19</v>
      </c>
      <c r="AD2471" s="4">
        <v>27</v>
      </c>
      <c r="AE2471" s="4">
        <v>115</v>
      </c>
      <c r="AF2471" s="4">
        <v>0</v>
      </c>
      <c r="AG2471" s="4">
        <v>8</v>
      </c>
      <c r="AH2471" s="4">
        <v>26</v>
      </c>
      <c r="AI2471" s="4">
        <v>78</v>
      </c>
      <c r="AJ2471" s="4">
        <v>3</v>
      </c>
      <c r="AK2471" s="4">
        <v>20</v>
      </c>
      <c r="AL2471" s="4">
        <v>13</v>
      </c>
      <c r="AM2471" s="4">
        <v>40</v>
      </c>
      <c r="AN2471" s="4">
        <v>0</v>
      </c>
      <c r="AO2471" s="4">
        <v>0</v>
      </c>
      <c r="AP2471" s="4">
        <v>3</v>
      </c>
      <c r="AQ2471" s="4">
        <v>43</v>
      </c>
      <c r="AR2471" s="3" t="s">
        <v>64</v>
      </c>
      <c r="AS2471" s="3" t="s">
        <v>64</v>
      </c>
      <c r="AT2471" s="3" t="s">
        <v>64</v>
      </c>
      <c r="AV2471" s="6" t="str">
        <f>HYPERLINK("http://mcgill.on.worldcat.org/oclc/958371535","Catalog Record")</f>
        <v>Catalog Record</v>
      </c>
      <c r="AW2471" s="6" t="str">
        <f>HYPERLINK("http://www.worldcat.org/oclc/958371535","WorldCat Record")</f>
        <v>WorldCat Record</v>
      </c>
      <c r="AX2471" s="3" t="s">
        <v>25131</v>
      </c>
      <c r="AY2471" s="3" t="s">
        <v>25140</v>
      </c>
      <c r="AZ2471" s="3" t="s">
        <v>25141</v>
      </c>
      <c r="BA2471" s="3" t="s">
        <v>25141</v>
      </c>
      <c r="BB2471" s="3" t="s">
        <v>25142</v>
      </c>
      <c r="BC2471" s="3" t="s">
        <v>77</v>
      </c>
      <c r="BD2471" s="3" t="s">
        <v>78</v>
      </c>
      <c r="BE2471" s="3" t="s">
        <v>25143</v>
      </c>
      <c r="BF2471" s="3" t="s">
        <v>25142</v>
      </c>
      <c r="BG2471" s="3" t="s">
        <v>25144</v>
      </c>
      <c r="BH2471">
        <f t="shared" si="60"/>
        <v>0</v>
      </c>
    </row>
    <row r="2472" spans="1:60" ht="72.5" x14ac:dyDescent="0.35">
      <c r="A2472" s="2" t="s">
        <v>59</v>
      </c>
      <c r="B2472" s="2" t="s">
        <v>60</v>
      </c>
      <c r="C2472" s="2" t="s">
        <v>25145</v>
      </c>
      <c r="D2472" s="2" t="s">
        <v>25146</v>
      </c>
      <c r="E2472" s="2" t="s">
        <v>25147</v>
      </c>
      <c r="G2472" s="3" t="s">
        <v>64</v>
      </c>
      <c r="I2472" s="3" t="s">
        <v>64</v>
      </c>
      <c r="J2472" s="3" t="s">
        <v>64</v>
      </c>
      <c r="K2472" s="3" t="s">
        <v>65</v>
      </c>
      <c r="M2472" s="2" t="s">
        <v>25148</v>
      </c>
      <c r="N2472" s="3" t="s">
        <v>511</v>
      </c>
      <c r="P2472" s="3" t="s">
        <v>102</v>
      </c>
      <c r="R2472" s="3" t="s">
        <v>70</v>
      </c>
      <c r="S2472" s="4">
        <v>12</v>
      </c>
      <c r="T2472" s="4">
        <v>12</v>
      </c>
      <c r="U2472" s="5" t="s">
        <v>25149</v>
      </c>
      <c r="V2472" s="5" t="s">
        <v>25149</v>
      </c>
      <c r="W2472" s="5" t="s">
        <v>72</v>
      </c>
      <c r="X2472" s="5" t="s">
        <v>72</v>
      </c>
      <c r="Y2472" s="4">
        <v>232</v>
      </c>
      <c r="Z2472" s="4">
        <v>15</v>
      </c>
      <c r="AA2472" s="4">
        <v>47</v>
      </c>
      <c r="AB2472" s="4">
        <v>1</v>
      </c>
      <c r="AC2472" s="4">
        <v>8</v>
      </c>
      <c r="AD2472" s="4">
        <v>55</v>
      </c>
      <c r="AE2472" s="4">
        <v>68</v>
      </c>
      <c r="AF2472" s="4">
        <v>0</v>
      </c>
      <c r="AG2472" s="4">
        <v>2</v>
      </c>
      <c r="AH2472" s="4">
        <v>49</v>
      </c>
      <c r="AI2472" s="4">
        <v>55</v>
      </c>
      <c r="AJ2472" s="4">
        <v>7</v>
      </c>
      <c r="AK2472" s="4">
        <v>11</v>
      </c>
      <c r="AL2472" s="4">
        <v>30</v>
      </c>
      <c r="AM2472" s="4">
        <v>34</v>
      </c>
      <c r="AN2472" s="4">
        <v>0</v>
      </c>
      <c r="AO2472" s="4">
        <v>0</v>
      </c>
      <c r="AP2472" s="4">
        <v>8</v>
      </c>
      <c r="AQ2472" s="4">
        <v>14</v>
      </c>
      <c r="AR2472" s="3" t="s">
        <v>64</v>
      </c>
      <c r="AS2472" s="3" t="s">
        <v>64</v>
      </c>
      <c r="AT2472" s="3" t="s">
        <v>64</v>
      </c>
      <c r="AV2472" s="6" t="str">
        <f>HYPERLINK("http://mcgill.on.worldcat.org/oclc/527702660","Catalog Record")</f>
        <v>Catalog Record</v>
      </c>
      <c r="AW2472" s="6" t="str">
        <f>HYPERLINK("http://www.worldcat.org/oclc/527702660","WorldCat Record")</f>
        <v>WorldCat Record</v>
      </c>
      <c r="AX2472" s="3" t="s">
        <v>25150</v>
      </c>
      <c r="AY2472" s="3" t="s">
        <v>25151</v>
      </c>
      <c r="AZ2472" s="3" t="s">
        <v>25152</v>
      </c>
      <c r="BA2472" s="3" t="s">
        <v>25152</v>
      </c>
      <c r="BB2472" s="3" t="s">
        <v>25153</v>
      </c>
      <c r="BC2472" s="3" t="s">
        <v>77</v>
      </c>
      <c r="BD2472" s="3" t="s">
        <v>78</v>
      </c>
      <c r="BE2472" s="3" t="s">
        <v>25154</v>
      </c>
      <c r="BF2472" s="3" t="s">
        <v>25153</v>
      </c>
      <c r="BG2472" s="3" t="s">
        <v>25155</v>
      </c>
      <c r="BH2472">
        <f t="shared" si="60"/>
        <v>0</v>
      </c>
    </row>
    <row r="2473" spans="1:60" ht="58" x14ac:dyDescent="0.35">
      <c r="A2473" s="2" t="s">
        <v>59</v>
      </c>
      <c r="B2473" s="2" t="s">
        <v>60</v>
      </c>
      <c r="C2473" s="2" t="s">
        <v>25156</v>
      </c>
      <c r="D2473" s="2" t="s">
        <v>25157</v>
      </c>
      <c r="E2473" s="2" t="s">
        <v>25158</v>
      </c>
      <c r="G2473" s="3" t="s">
        <v>64</v>
      </c>
      <c r="I2473" s="3" t="s">
        <v>64</v>
      </c>
      <c r="J2473" s="3" t="s">
        <v>64</v>
      </c>
      <c r="K2473" s="3" t="s">
        <v>65</v>
      </c>
      <c r="M2473" s="2" t="s">
        <v>25159</v>
      </c>
      <c r="N2473" s="3" t="s">
        <v>551</v>
      </c>
      <c r="P2473" s="3" t="s">
        <v>102</v>
      </c>
      <c r="R2473" s="3" t="s">
        <v>70</v>
      </c>
      <c r="S2473" s="4">
        <v>6</v>
      </c>
      <c r="T2473" s="4">
        <v>6</v>
      </c>
      <c r="U2473" s="5" t="s">
        <v>25160</v>
      </c>
      <c r="V2473" s="5" t="s">
        <v>25160</v>
      </c>
      <c r="W2473" s="5" t="s">
        <v>72</v>
      </c>
      <c r="X2473" s="5" t="s">
        <v>72</v>
      </c>
      <c r="Y2473" s="4">
        <v>276</v>
      </c>
      <c r="Z2473" s="4">
        <v>24</v>
      </c>
      <c r="AA2473" s="4">
        <v>25</v>
      </c>
      <c r="AB2473" s="4">
        <v>3</v>
      </c>
      <c r="AC2473" s="4">
        <v>4</v>
      </c>
      <c r="AD2473" s="4">
        <v>50</v>
      </c>
      <c r="AE2473" s="4">
        <v>51</v>
      </c>
      <c r="AF2473" s="4">
        <v>0</v>
      </c>
      <c r="AG2473" s="4">
        <v>1</v>
      </c>
      <c r="AH2473" s="4">
        <v>44</v>
      </c>
      <c r="AI2473" s="4">
        <v>45</v>
      </c>
      <c r="AJ2473" s="4">
        <v>9</v>
      </c>
      <c r="AK2473" s="4">
        <v>10</v>
      </c>
      <c r="AL2473" s="4">
        <v>26</v>
      </c>
      <c r="AM2473" s="4">
        <v>26</v>
      </c>
      <c r="AN2473" s="4">
        <v>0</v>
      </c>
      <c r="AO2473" s="4">
        <v>0</v>
      </c>
      <c r="AP2473" s="4">
        <v>10</v>
      </c>
      <c r="AQ2473" s="4">
        <v>11</v>
      </c>
      <c r="AR2473" s="3" t="s">
        <v>64</v>
      </c>
      <c r="AS2473" s="3" t="s">
        <v>64</v>
      </c>
      <c r="AT2473" s="3" t="s">
        <v>64</v>
      </c>
      <c r="AV2473" s="6" t="str">
        <f>HYPERLINK("http://mcgill.on.worldcat.org/oclc/320131620","Catalog Record")</f>
        <v>Catalog Record</v>
      </c>
      <c r="AW2473" s="6" t="str">
        <f>HYPERLINK("http://www.worldcat.org/oclc/320131620","WorldCat Record")</f>
        <v>WorldCat Record</v>
      </c>
      <c r="AX2473" s="3" t="s">
        <v>25161</v>
      </c>
      <c r="AY2473" s="3" t="s">
        <v>25162</v>
      </c>
      <c r="AZ2473" s="3" t="s">
        <v>25163</v>
      </c>
      <c r="BA2473" s="3" t="s">
        <v>25163</v>
      </c>
      <c r="BB2473" s="3" t="s">
        <v>25164</v>
      </c>
      <c r="BC2473" s="3" t="s">
        <v>77</v>
      </c>
      <c r="BD2473" s="3" t="s">
        <v>165</v>
      </c>
      <c r="BE2473" s="3" t="s">
        <v>25165</v>
      </c>
      <c r="BF2473" s="3" t="s">
        <v>25164</v>
      </c>
      <c r="BG2473" s="3" t="s">
        <v>25166</v>
      </c>
      <c r="BH2473">
        <f t="shared" si="60"/>
        <v>0</v>
      </c>
    </row>
    <row r="2474" spans="1:60" ht="58" x14ac:dyDescent="0.35">
      <c r="A2474" s="2" t="s">
        <v>59</v>
      </c>
      <c r="B2474" s="2" t="s">
        <v>60</v>
      </c>
      <c r="C2474" s="2" t="s">
        <v>25167</v>
      </c>
      <c r="D2474" s="2" t="s">
        <v>25168</v>
      </c>
      <c r="E2474" s="2" t="s">
        <v>25169</v>
      </c>
      <c r="G2474" s="3" t="s">
        <v>64</v>
      </c>
      <c r="I2474" s="3" t="s">
        <v>64</v>
      </c>
      <c r="J2474" s="3" t="s">
        <v>64</v>
      </c>
      <c r="K2474" s="3" t="s">
        <v>65</v>
      </c>
      <c r="L2474" s="2" t="s">
        <v>25170</v>
      </c>
      <c r="M2474" s="2" t="s">
        <v>25171</v>
      </c>
      <c r="N2474" s="3" t="s">
        <v>511</v>
      </c>
      <c r="P2474" s="3" t="s">
        <v>102</v>
      </c>
      <c r="R2474" s="3" t="s">
        <v>70</v>
      </c>
      <c r="S2474" s="4">
        <v>9</v>
      </c>
      <c r="T2474" s="4">
        <v>9</v>
      </c>
      <c r="U2474" s="5" t="s">
        <v>12865</v>
      </c>
      <c r="V2474" s="5" t="s">
        <v>12865</v>
      </c>
      <c r="W2474" s="5" t="s">
        <v>72</v>
      </c>
      <c r="X2474" s="5" t="s">
        <v>72</v>
      </c>
      <c r="Y2474" s="4">
        <v>307</v>
      </c>
      <c r="Z2474" s="4">
        <v>18</v>
      </c>
      <c r="AA2474" s="4">
        <v>18</v>
      </c>
      <c r="AB2474" s="4">
        <v>2</v>
      </c>
      <c r="AC2474" s="4">
        <v>2</v>
      </c>
      <c r="AD2474" s="4">
        <v>40</v>
      </c>
      <c r="AE2474" s="4">
        <v>40</v>
      </c>
      <c r="AF2474" s="4">
        <v>0</v>
      </c>
      <c r="AG2474" s="4">
        <v>0</v>
      </c>
      <c r="AH2474" s="4">
        <v>38</v>
      </c>
      <c r="AI2474" s="4">
        <v>38</v>
      </c>
      <c r="AJ2474" s="4">
        <v>5</v>
      </c>
      <c r="AK2474" s="4">
        <v>5</v>
      </c>
      <c r="AL2474" s="4">
        <v>24</v>
      </c>
      <c r="AM2474" s="4">
        <v>24</v>
      </c>
      <c r="AN2474" s="4">
        <v>0</v>
      </c>
      <c r="AO2474" s="4">
        <v>0</v>
      </c>
      <c r="AP2474" s="4">
        <v>5</v>
      </c>
      <c r="AQ2474" s="4">
        <v>5</v>
      </c>
      <c r="AR2474" s="3" t="s">
        <v>64</v>
      </c>
      <c r="AS2474" s="3" t="s">
        <v>64</v>
      </c>
      <c r="AT2474" s="3" t="s">
        <v>64</v>
      </c>
      <c r="AV2474" s="6" t="str">
        <f>HYPERLINK("http://mcgill.on.worldcat.org/oclc/456977399","Catalog Record")</f>
        <v>Catalog Record</v>
      </c>
      <c r="AW2474" s="6" t="str">
        <f>HYPERLINK("http://www.worldcat.org/oclc/456977399","WorldCat Record")</f>
        <v>WorldCat Record</v>
      </c>
      <c r="AX2474" s="3" t="s">
        <v>25172</v>
      </c>
      <c r="AY2474" s="3" t="s">
        <v>25173</v>
      </c>
      <c r="AZ2474" s="3" t="s">
        <v>25174</v>
      </c>
      <c r="BA2474" s="3" t="s">
        <v>25174</v>
      </c>
      <c r="BB2474" s="3" t="s">
        <v>25175</v>
      </c>
      <c r="BC2474" s="3" t="s">
        <v>77</v>
      </c>
      <c r="BD2474" s="3" t="s">
        <v>78</v>
      </c>
      <c r="BE2474" s="3" t="s">
        <v>25176</v>
      </c>
      <c r="BF2474" s="3" t="s">
        <v>25175</v>
      </c>
      <c r="BG2474" s="3" t="s">
        <v>25177</v>
      </c>
      <c r="BH2474">
        <f t="shared" si="60"/>
        <v>0</v>
      </c>
    </row>
    <row r="2475" spans="1:60" ht="58" x14ac:dyDescent="0.35">
      <c r="A2475" s="2" t="s">
        <v>59</v>
      </c>
      <c r="B2475" s="2" t="s">
        <v>60</v>
      </c>
      <c r="C2475" s="2" t="s">
        <v>25178</v>
      </c>
      <c r="D2475" s="2" t="s">
        <v>25179</v>
      </c>
      <c r="E2475" s="2" t="s">
        <v>25180</v>
      </c>
      <c r="G2475" s="3" t="s">
        <v>64</v>
      </c>
      <c r="I2475" s="3" t="s">
        <v>128</v>
      </c>
      <c r="J2475" s="3" t="s">
        <v>128</v>
      </c>
      <c r="K2475" s="3" t="s">
        <v>65</v>
      </c>
      <c r="L2475" s="2" t="s">
        <v>25181</v>
      </c>
      <c r="M2475" s="2" t="s">
        <v>18683</v>
      </c>
      <c r="N2475" s="3" t="s">
        <v>153</v>
      </c>
      <c r="O2475" s="2" t="s">
        <v>2994</v>
      </c>
      <c r="P2475" s="3" t="s">
        <v>102</v>
      </c>
      <c r="R2475" s="3" t="s">
        <v>70</v>
      </c>
      <c r="S2475" s="4">
        <v>15</v>
      </c>
      <c r="T2475" s="4">
        <v>16</v>
      </c>
      <c r="U2475" s="5" t="s">
        <v>2534</v>
      </c>
      <c r="V2475" s="5" t="s">
        <v>2534</v>
      </c>
      <c r="W2475" s="5" t="s">
        <v>72</v>
      </c>
      <c r="X2475" s="5" t="s">
        <v>72</v>
      </c>
      <c r="Y2475" s="4">
        <v>484</v>
      </c>
      <c r="Z2475" s="4">
        <v>38</v>
      </c>
      <c r="AA2475" s="4">
        <v>67</v>
      </c>
      <c r="AB2475" s="4">
        <v>3</v>
      </c>
      <c r="AC2475" s="4">
        <v>11</v>
      </c>
      <c r="AD2475" s="4">
        <v>114</v>
      </c>
      <c r="AE2475" s="4">
        <v>144</v>
      </c>
      <c r="AF2475" s="4">
        <v>1</v>
      </c>
      <c r="AG2475" s="4">
        <v>5</v>
      </c>
      <c r="AH2475" s="4">
        <v>96</v>
      </c>
      <c r="AI2475" s="4">
        <v>112</v>
      </c>
      <c r="AJ2475" s="4">
        <v>20</v>
      </c>
      <c r="AK2475" s="4">
        <v>27</v>
      </c>
      <c r="AL2475" s="4">
        <v>51</v>
      </c>
      <c r="AM2475" s="4">
        <v>57</v>
      </c>
      <c r="AN2475" s="4">
        <v>0</v>
      </c>
      <c r="AO2475" s="4">
        <v>0</v>
      </c>
      <c r="AP2475" s="4">
        <v>27</v>
      </c>
      <c r="AQ2475" s="4">
        <v>40</v>
      </c>
      <c r="AR2475" s="3" t="s">
        <v>64</v>
      </c>
      <c r="AS2475" s="3" t="s">
        <v>64</v>
      </c>
      <c r="AT2475" s="3" t="s">
        <v>128</v>
      </c>
      <c r="AU2475" s="6" t="str">
        <f>HYPERLINK("http://catalog.hathitrust.org/Record/003999788","HathiTrust Record")</f>
        <v>HathiTrust Record</v>
      </c>
      <c r="AV2475" s="6" t="str">
        <f>HYPERLINK("http://mcgill.on.worldcat.org/oclc/38595478","Catalog Record")</f>
        <v>Catalog Record</v>
      </c>
      <c r="AW2475" s="6" t="str">
        <f>HYPERLINK("http://www.worldcat.org/oclc/38595478","WorldCat Record")</f>
        <v>WorldCat Record</v>
      </c>
      <c r="AX2475" s="3" t="s">
        <v>25182</v>
      </c>
      <c r="AY2475" s="3" t="s">
        <v>25183</v>
      </c>
      <c r="AZ2475" s="3" t="s">
        <v>25184</v>
      </c>
      <c r="BA2475" s="3" t="s">
        <v>25184</v>
      </c>
      <c r="BB2475" s="3" t="s">
        <v>25185</v>
      </c>
      <c r="BC2475" s="3" t="s">
        <v>77</v>
      </c>
      <c r="BD2475" s="3" t="s">
        <v>78</v>
      </c>
      <c r="BE2475" s="3" t="s">
        <v>25186</v>
      </c>
      <c r="BF2475" s="3" t="s">
        <v>25185</v>
      </c>
      <c r="BG2475" s="3" t="s">
        <v>25187</v>
      </c>
      <c r="BH2475">
        <f t="shared" si="60"/>
        <v>0</v>
      </c>
    </row>
    <row r="2476" spans="1:60" ht="72.5" x14ac:dyDescent="0.35">
      <c r="A2476" s="2" t="s">
        <v>59</v>
      </c>
      <c r="B2476" s="2" t="s">
        <v>25188</v>
      </c>
      <c r="C2476" s="2" t="s">
        <v>25178</v>
      </c>
      <c r="D2476" s="2" t="s">
        <v>25179</v>
      </c>
      <c r="E2476" s="2" t="s">
        <v>25180</v>
      </c>
      <c r="G2476" s="3" t="s">
        <v>64</v>
      </c>
      <c r="I2476" s="3" t="s">
        <v>128</v>
      </c>
      <c r="J2476" s="3" t="s">
        <v>128</v>
      </c>
      <c r="K2476" s="3" t="s">
        <v>65</v>
      </c>
      <c r="L2476" s="2" t="s">
        <v>25181</v>
      </c>
      <c r="M2476" s="2" t="s">
        <v>18683</v>
      </c>
      <c r="N2476" s="3" t="s">
        <v>153</v>
      </c>
      <c r="O2476" s="2" t="s">
        <v>2994</v>
      </c>
      <c r="P2476" s="3" t="s">
        <v>102</v>
      </c>
      <c r="R2476" s="3" t="s">
        <v>70</v>
      </c>
      <c r="S2476" s="4">
        <v>1</v>
      </c>
      <c r="T2476" s="4">
        <v>16</v>
      </c>
      <c r="U2476" s="5" t="s">
        <v>25189</v>
      </c>
      <c r="V2476" s="5" t="s">
        <v>2534</v>
      </c>
      <c r="W2476" s="5" t="s">
        <v>72</v>
      </c>
      <c r="X2476" s="5" t="s">
        <v>72</v>
      </c>
      <c r="Y2476" s="4">
        <v>484</v>
      </c>
      <c r="Z2476" s="4">
        <v>38</v>
      </c>
      <c r="AA2476" s="4">
        <v>67</v>
      </c>
      <c r="AB2476" s="4">
        <v>3</v>
      </c>
      <c r="AC2476" s="4">
        <v>11</v>
      </c>
      <c r="AD2476" s="4">
        <v>114</v>
      </c>
      <c r="AE2476" s="4">
        <v>144</v>
      </c>
      <c r="AF2476" s="4">
        <v>1</v>
      </c>
      <c r="AG2476" s="4">
        <v>5</v>
      </c>
      <c r="AH2476" s="4">
        <v>96</v>
      </c>
      <c r="AI2476" s="4">
        <v>112</v>
      </c>
      <c r="AJ2476" s="4">
        <v>20</v>
      </c>
      <c r="AK2476" s="4">
        <v>27</v>
      </c>
      <c r="AL2476" s="4">
        <v>51</v>
      </c>
      <c r="AM2476" s="4">
        <v>57</v>
      </c>
      <c r="AN2476" s="4">
        <v>0</v>
      </c>
      <c r="AO2476" s="4">
        <v>0</v>
      </c>
      <c r="AP2476" s="4">
        <v>27</v>
      </c>
      <c r="AQ2476" s="4">
        <v>40</v>
      </c>
      <c r="AR2476" s="3" t="s">
        <v>64</v>
      </c>
      <c r="AS2476" s="3" t="s">
        <v>64</v>
      </c>
      <c r="AT2476" s="3" t="s">
        <v>128</v>
      </c>
      <c r="AU2476" s="6" t="str">
        <f>HYPERLINK("http://catalog.hathitrust.org/Record/003999788","HathiTrust Record")</f>
        <v>HathiTrust Record</v>
      </c>
      <c r="AV2476" s="6" t="str">
        <f>HYPERLINK("http://mcgill.on.worldcat.org/oclc/38595478","Catalog Record")</f>
        <v>Catalog Record</v>
      </c>
      <c r="AW2476" s="6" t="str">
        <f>HYPERLINK("http://www.worldcat.org/oclc/38595478","WorldCat Record")</f>
        <v>WorldCat Record</v>
      </c>
      <c r="AX2476" s="3" t="s">
        <v>25182</v>
      </c>
      <c r="AY2476" s="3" t="s">
        <v>25183</v>
      </c>
      <c r="AZ2476" s="3" t="s">
        <v>25184</v>
      </c>
      <c r="BA2476" s="3" t="s">
        <v>25184</v>
      </c>
      <c r="BB2476" s="3" t="s">
        <v>25190</v>
      </c>
      <c r="BC2476" s="3" t="s">
        <v>77</v>
      </c>
      <c r="BD2476" s="3" t="s">
        <v>78</v>
      </c>
      <c r="BE2476" s="3" t="s">
        <v>25186</v>
      </c>
      <c r="BF2476" s="3" t="s">
        <v>25190</v>
      </c>
      <c r="BG2476" s="3" t="s">
        <v>25191</v>
      </c>
      <c r="BH2476">
        <f t="shared" si="60"/>
        <v>0</v>
      </c>
    </row>
    <row r="2477" spans="1:60" ht="58" x14ac:dyDescent="0.35">
      <c r="A2477" s="2" t="s">
        <v>59</v>
      </c>
      <c r="B2477" s="2" t="s">
        <v>60</v>
      </c>
      <c r="C2477" s="2" t="s">
        <v>25192</v>
      </c>
      <c r="D2477" s="2" t="s">
        <v>25193</v>
      </c>
      <c r="E2477" s="2" t="s">
        <v>25194</v>
      </c>
      <c r="G2477" s="3" t="s">
        <v>64</v>
      </c>
      <c r="I2477" s="3" t="s">
        <v>64</v>
      </c>
      <c r="J2477" s="3" t="s">
        <v>64</v>
      </c>
      <c r="K2477" s="3" t="s">
        <v>65</v>
      </c>
      <c r="M2477" s="2" t="s">
        <v>25195</v>
      </c>
      <c r="N2477" s="3" t="s">
        <v>116</v>
      </c>
      <c r="P2477" s="3" t="s">
        <v>102</v>
      </c>
      <c r="R2477" s="3" t="s">
        <v>70</v>
      </c>
      <c r="S2477" s="4">
        <v>2</v>
      </c>
      <c r="T2477" s="4">
        <v>2</v>
      </c>
      <c r="U2477" s="5" t="s">
        <v>2534</v>
      </c>
      <c r="V2477" s="5" t="s">
        <v>2534</v>
      </c>
      <c r="W2477" s="5" t="s">
        <v>72</v>
      </c>
      <c r="X2477" s="5" t="s">
        <v>72</v>
      </c>
      <c r="Y2477" s="4">
        <v>407</v>
      </c>
      <c r="Z2477" s="4">
        <v>33</v>
      </c>
      <c r="AA2477" s="4">
        <v>40</v>
      </c>
      <c r="AB2477" s="4">
        <v>2</v>
      </c>
      <c r="AC2477" s="4">
        <v>7</v>
      </c>
      <c r="AD2477" s="4">
        <v>98</v>
      </c>
      <c r="AE2477" s="4">
        <v>106</v>
      </c>
      <c r="AF2477" s="4">
        <v>0</v>
      </c>
      <c r="AG2477" s="4">
        <v>3</v>
      </c>
      <c r="AH2477" s="4">
        <v>82</v>
      </c>
      <c r="AI2477" s="4">
        <v>88</v>
      </c>
      <c r="AJ2477" s="4">
        <v>18</v>
      </c>
      <c r="AK2477" s="4">
        <v>22</v>
      </c>
      <c r="AL2477" s="4">
        <v>43</v>
      </c>
      <c r="AM2477" s="4">
        <v>45</v>
      </c>
      <c r="AN2477" s="4">
        <v>0</v>
      </c>
      <c r="AO2477" s="4">
        <v>0</v>
      </c>
      <c r="AP2477" s="4">
        <v>23</v>
      </c>
      <c r="AQ2477" s="4">
        <v>26</v>
      </c>
      <c r="AR2477" s="3" t="s">
        <v>64</v>
      </c>
      <c r="AS2477" s="3" t="s">
        <v>64</v>
      </c>
      <c r="AT2477" s="3" t="s">
        <v>128</v>
      </c>
      <c r="AU2477" s="6" t="str">
        <f>HYPERLINK("http://catalog.hathitrust.org/Record/004193893","HathiTrust Record")</f>
        <v>HathiTrust Record</v>
      </c>
      <c r="AV2477" s="6" t="str">
        <f>HYPERLINK("http://mcgill.on.worldcat.org/oclc/47857922","Catalog Record")</f>
        <v>Catalog Record</v>
      </c>
      <c r="AW2477" s="6" t="str">
        <f>HYPERLINK("http://www.worldcat.org/oclc/47857922","WorldCat Record")</f>
        <v>WorldCat Record</v>
      </c>
      <c r="AX2477" s="3" t="s">
        <v>25196</v>
      </c>
      <c r="AY2477" s="3" t="s">
        <v>25197</v>
      </c>
      <c r="AZ2477" s="3" t="s">
        <v>25198</v>
      </c>
      <c r="BA2477" s="3" t="s">
        <v>25198</v>
      </c>
      <c r="BB2477" s="3" t="s">
        <v>25199</v>
      </c>
      <c r="BC2477" s="3" t="s">
        <v>77</v>
      </c>
      <c r="BD2477" s="3" t="s">
        <v>78</v>
      </c>
      <c r="BE2477" s="3" t="s">
        <v>25200</v>
      </c>
      <c r="BF2477" s="3" t="s">
        <v>25199</v>
      </c>
      <c r="BG2477" s="3" t="s">
        <v>25201</v>
      </c>
      <c r="BH2477">
        <f t="shared" si="60"/>
        <v>0</v>
      </c>
    </row>
    <row r="2478" spans="1:60" ht="58" x14ac:dyDescent="0.35">
      <c r="A2478" s="2" t="s">
        <v>59</v>
      </c>
      <c r="B2478" s="2" t="s">
        <v>60</v>
      </c>
      <c r="C2478" s="2" t="s">
        <v>25202</v>
      </c>
      <c r="D2478" s="2" t="s">
        <v>25203</v>
      </c>
      <c r="E2478" s="2" t="s">
        <v>25204</v>
      </c>
      <c r="G2478" s="3" t="s">
        <v>64</v>
      </c>
      <c r="I2478" s="3" t="s">
        <v>64</v>
      </c>
      <c r="J2478" s="3" t="s">
        <v>64</v>
      </c>
      <c r="K2478" s="3" t="s">
        <v>65</v>
      </c>
      <c r="M2478" s="2" t="s">
        <v>15949</v>
      </c>
      <c r="N2478" s="3" t="s">
        <v>874</v>
      </c>
      <c r="P2478" s="3" t="s">
        <v>102</v>
      </c>
      <c r="Q2478" s="2" t="s">
        <v>25205</v>
      </c>
      <c r="R2478" s="3" t="s">
        <v>70</v>
      </c>
      <c r="S2478" s="4">
        <v>5</v>
      </c>
      <c r="T2478" s="4">
        <v>5</v>
      </c>
      <c r="U2478" s="5" t="s">
        <v>2534</v>
      </c>
      <c r="V2478" s="5" t="s">
        <v>2534</v>
      </c>
      <c r="W2478" s="5" t="s">
        <v>72</v>
      </c>
      <c r="X2478" s="5" t="s">
        <v>72</v>
      </c>
      <c r="Y2478" s="4">
        <v>44</v>
      </c>
      <c r="Z2478" s="4">
        <v>4</v>
      </c>
      <c r="AA2478" s="4">
        <v>5</v>
      </c>
      <c r="AB2478" s="4">
        <v>1</v>
      </c>
      <c r="AC2478" s="4">
        <v>2</v>
      </c>
      <c r="AD2478" s="4">
        <v>17</v>
      </c>
      <c r="AE2478" s="4">
        <v>17</v>
      </c>
      <c r="AF2478" s="4">
        <v>0</v>
      </c>
      <c r="AG2478" s="4">
        <v>0</v>
      </c>
      <c r="AH2478" s="4">
        <v>15</v>
      </c>
      <c r="AI2478" s="4">
        <v>15</v>
      </c>
      <c r="AJ2478" s="4">
        <v>2</v>
      </c>
      <c r="AK2478" s="4">
        <v>2</v>
      </c>
      <c r="AL2478" s="4">
        <v>10</v>
      </c>
      <c r="AM2478" s="4">
        <v>10</v>
      </c>
      <c r="AN2478" s="4">
        <v>0</v>
      </c>
      <c r="AO2478" s="4">
        <v>0</v>
      </c>
      <c r="AP2478" s="4">
        <v>2</v>
      </c>
      <c r="AQ2478" s="4">
        <v>2</v>
      </c>
      <c r="AR2478" s="3" t="s">
        <v>64</v>
      </c>
      <c r="AS2478" s="3" t="s">
        <v>64</v>
      </c>
      <c r="AT2478" s="3" t="s">
        <v>64</v>
      </c>
      <c r="AV2478" s="6" t="str">
        <f>HYPERLINK("http://mcgill.on.worldcat.org/oclc/7491163","Catalog Record")</f>
        <v>Catalog Record</v>
      </c>
      <c r="AW2478" s="6" t="str">
        <f>HYPERLINK("http://www.worldcat.org/oclc/7491163","WorldCat Record")</f>
        <v>WorldCat Record</v>
      </c>
      <c r="AX2478" s="3" t="s">
        <v>25206</v>
      </c>
      <c r="AY2478" s="3" t="s">
        <v>25207</v>
      </c>
      <c r="AZ2478" s="3" t="s">
        <v>25208</v>
      </c>
      <c r="BA2478" s="3" t="s">
        <v>25208</v>
      </c>
      <c r="BB2478" s="3" t="s">
        <v>25209</v>
      </c>
      <c r="BC2478" s="3" t="s">
        <v>77</v>
      </c>
      <c r="BD2478" s="3" t="s">
        <v>78</v>
      </c>
      <c r="BF2478" s="3" t="s">
        <v>25209</v>
      </c>
      <c r="BG2478" s="3" t="s">
        <v>25210</v>
      </c>
      <c r="BH2478">
        <f t="shared" si="60"/>
        <v>0</v>
      </c>
    </row>
    <row r="2479" spans="1:60" ht="58" x14ac:dyDescent="0.35">
      <c r="A2479" s="2" t="s">
        <v>59</v>
      </c>
      <c r="B2479" s="2" t="s">
        <v>60</v>
      </c>
      <c r="C2479" s="2" t="s">
        <v>25211</v>
      </c>
      <c r="D2479" s="2" t="s">
        <v>25212</v>
      </c>
      <c r="E2479" s="2" t="s">
        <v>25213</v>
      </c>
      <c r="G2479" s="3" t="s">
        <v>64</v>
      </c>
      <c r="I2479" s="3" t="s">
        <v>64</v>
      </c>
      <c r="J2479" s="3" t="s">
        <v>64</v>
      </c>
      <c r="K2479" s="3" t="s">
        <v>65</v>
      </c>
      <c r="L2479" s="2" t="s">
        <v>25214</v>
      </c>
      <c r="M2479" s="2" t="s">
        <v>25215</v>
      </c>
      <c r="N2479" s="3" t="s">
        <v>898</v>
      </c>
      <c r="P2479" s="3" t="s">
        <v>102</v>
      </c>
      <c r="R2479" s="3" t="s">
        <v>70</v>
      </c>
      <c r="S2479" s="4">
        <v>3</v>
      </c>
      <c r="T2479" s="4">
        <v>3</v>
      </c>
      <c r="U2479" s="5" t="s">
        <v>2534</v>
      </c>
      <c r="V2479" s="5" t="s">
        <v>2534</v>
      </c>
      <c r="W2479" s="5" t="s">
        <v>72</v>
      </c>
      <c r="X2479" s="5" t="s">
        <v>72</v>
      </c>
      <c r="Y2479" s="4">
        <v>337</v>
      </c>
      <c r="Z2479" s="4">
        <v>21</v>
      </c>
      <c r="AA2479" s="4">
        <v>25</v>
      </c>
      <c r="AB2479" s="4">
        <v>1</v>
      </c>
      <c r="AC2479" s="4">
        <v>5</v>
      </c>
      <c r="AD2479" s="4">
        <v>99</v>
      </c>
      <c r="AE2479" s="4">
        <v>102</v>
      </c>
      <c r="AF2479" s="4">
        <v>0</v>
      </c>
      <c r="AG2479" s="4">
        <v>3</v>
      </c>
      <c r="AH2479" s="4">
        <v>88</v>
      </c>
      <c r="AI2479" s="4">
        <v>89</v>
      </c>
      <c r="AJ2479" s="4">
        <v>14</v>
      </c>
      <c r="AK2479" s="4">
        <v>17</v>
      </c>
      <c r="AL2479" s="4">
        <v>48</v>
      </c>
      <c r="AM2479" s="4">
        <v>48</v>
      </c>
      <c r="AN2479" s="4">
        <v>0</v>
      </c>
      <c r="AO2479" s="4">
        <v>0</v>
      </c>
      <c r="AP2479" s="4">
        <v>16</v>
      </c>
      <c r="AQ2479" s="4">
        <v>18</v>
      </c>
      <c r="AR2479" s="3" t="s">
        <v>64</v>
      </c>
      <c r="AS2479" s="3" t="s">
        <v>64</v>
      </c>
      <c r="AT2479" s="3" t="s">
        <v>128</v>
      </c>
      <c r="AU2479" s="6" t="str">
        <f>HYPERLINK("http://catalog.hathitrust.org/Record/000729580","HathiTrust Record")</f>
        <v>HathiTrust Record</v>
      </c>
      <c r="AV2479" s="6" t="str">
        <f>HYPERLINK("http://mcgill.on.worldcat.org/oclc/6200226","Catalog Record")</f>
        <v>Catalog Record</v>
      </c>
      <c r="AW2479" s="6" t="str">
        <f>HYPERLINK("http://www.worldcat.org/oclc/6200226","WorldCat Record")</f>
        <v>WorldCat Record</v>
      </c>
      <c r="AX2479" s="3" t="s">
        <v>25216</v>
      </c>
      <c r="AY2479" s="3" t="s">
        <v>25217</v>
      </c>
      <c r="AZ2479" s="3" t="s">
        <v>25218</v>
      </c>
      <c r="BA2479" s="3" t="s">
        <v>25218</v>
      </c>
      <c r="BB2479" s="3" t="s">
        <v>25219</v>
      </c>
      <c r="BC2479" s="3" t="s">
        <v>77</v>
      </c>
      <c r="BD2479" s="3" t="s">
        <v>78</v>
      </c>
      <c r="BE2479" s="3" t="s">
        <v>25220</v>
      </c>
      <c r="BF2479" s="3" t="s">
        <v>25219</v>
      </c>
      <c r="BG2479" s="3" t="s">
        <v>25221</v>
      </c>
      <c r="BH2479">
        <f t="shared" si="60"/>
        <v>0</v>
      </c>
    </row>
    <row r="2480" spans="1:60" ht="58" x14ac:dyDescent="0.35">
      <c r="A2480" s="2" t="s">
        <v>59</v>
      </c>
      <c r="B2480" s="2" t="s">
        <v>60</v>
      </c>
      <c r="C2480" s="2" t="s">
        <v>25222</v>
      </c>
      <c r="D2480" s="2" t="s">
        <v>25223</v>
      </c>
      <c r="E2480" s="2" t="s">
        <v>25224</v>
      </c>
      <c r="G2480" s="3" t="s">
        <v>64</v>
      </c>
      <c r="I2480" s="3" t="s">
        <v>64</v>
      </c>
      <c r="J2480" s="3" t="s">
        <v>64</v>
      </c>
      <c r="K2480" s="3" t="s">
        <v>65</v>
      </c>
      <c r="L2480" s="2" t="s">
        <v>25225</v>
      </c>
      <c r="M2480" s="2" t="s">
        <v>23721</v>
      </c>
      <c r="N2480" s="3" t="s">
        <v>67</v>
      </c>
      <c r="P2480" s="3" t="s">
        <v>102</v>
      </c>
      <c r="R2480" s="3" t="s">
        <v>70</v>
      </c>
      <c r="S2480" s="4">
        <v>0</v>
      </c>
      <c r="T2480" s="4">
        <v>0</v>
      </c>
      <c r="W2480" s="5" t="s">
        <v>72</v>
      </c>
      <c r="X2480" s="5" t="s">
        <v>72</v>
      </c>
      <c r="Y2480" s="4">
        <v>225</v>
      </c>
      <c r="Z2480" s="4">
        <v>11</v>
      </c>
      <c r="AA2480" s="4">
        <v>14</v>
      </c>
      <c r="AB2480" s="4">
        <v>1</v>
      </c>
      <c r="AC2480" s="4">
        <v>4</v>
      </c>
      <c r="AD2480" s="4">
        <v>31</v>
      </c>
      <c r="AE2480" s="4">
        <v>32</v>
      </c>
      <c r="AF2480" s="4">
        <v>0</v>
      </c>
      <c r="AG2480" s="4">
        <v>1</v>
      </c>
      <c r="AH2480" s="4">
        <v>31</v>
      </c>
      <c r="AI2480" s="4">
        <v>31</v>
      </c>
      <c r="AJ2480" s="4">
        <v>3</v>
      </c>
      <c r="AK2480" s="4">
        <v>4</v>
      </c>
      <c r="AL2480" s="4">
        <v>15</v>
      </c>
      <c r="AM2480" s="4">
        <v>15</v>
      </c>
      <c r="AN2480" s="4">
        <v>0</v>
      </c>
      <c r="AO2480" s="4">
        <v>0</v>
      </c>
      <c r="AP2480" s="4">
        <v>3</v>
      </c>
      <c r="AQ2480" s="4">
        <v>3</v>
      </c>
      <c r="AR2480" s="3" t="s">
        <v>64</v>
      </c>
      <c r="AS2480" s="3" t="s">
        <v>64</v>
      </c>
      <c r="AT2480" s="3" t="s">
        <v>64</v>
      </c>
      <c r="AV2480" s="6" t="str">
        <f>HYPERLINK("http://mcgill.on.worldcat.org/oclc/878224395","Catalog Record")</f>
        <v>Catalog Record</v>
      </c>
      <c r="AW2480" s="6" t="str">
        <f>HYPERLINK("http://www.worldcat.org/oclc/878224395","WorldCat Record")</f>
        <v>WorldCat Record</v>
      </c>
      <c r="AX2480" s="3" t="s">
        <v>25226</v>
      </c>
      <c r="AY2480" s="3" t="s">
        <v>25227</v>
      </c>
      <c r="AZ2480" s="3" t="s">
        <v>25228</v>
      </c>
      <c r="BA2480" s="3" t="s">
        <v>25228</v>
      </c>
      <c r="BB2480" s="3" t="s">
        <v>25229</v>
      </c>
      <c r="BC2480" s="3" t="s">
        <v>77</v>
      </c>
      <c r="BD2480" s="3" t="s">
        <v>78</v>
      </c>
      <c r="BE2480" s="3" t="s">
        <v>25230</v>
      </c>
      <c r="BF2480" s="3" t="s">
        <v>25229</v>
      </c>
      <c r="BG2480" s="3" t="s">
        <v>25231</v>
      </c>
      <c r="BH2480">
        <f t="shared" si="60"/>
        <v>0</v>
      </c>
    </row>
    <row r="2481" spans="1:60" ht="58" x14ac:dyDescent="0.35">
      <c r="A2481" s="2" t="s">
        <v>59</v>
      </c>
      <c r="B2481" s="2" t="s">
        <v>60</v>
      </c>
      <c r="C2481" s="2" t="s">
        <v>25232</v>
      </c>
      <c r="D2481" s="2" t="s">
        <v>25233</v>
      </c>
      <c r="E2481" s="2" t="s">
        <v>25234</v>
      </c>
      <c r="G2481" s="3" t="s">
        <v>64</v>
      </c>
      <c r="I2481" s="3" t="s">
        <v>64</v>
      </c>
      <c r="J2481" s="3" t="s">
        <v>64</v>
      </c>
      <c r="K2481" s="3" t="s">
        <v>65</v>
      </c>
      <c r="M2481" s="2" t="s">
        <v>25235</v>
      </c>
      <c r="N2481" s="3" t="s">
        <v>116</v>
      </c>
      <c r="P2481" s="3" t="s">
        <v>68</v>
      </c>
      <c r="Q2481" s="2" t="s">
        <v>25236</v>
      </c>
      <c r="R2481" s="3" t="s">
        <v>70</v>
      </c>
      <c r="S2481" s="4">
        <v>6</v>
      </c>
      <c r="T2481" s="4">
        <v>6</v>
      </c>
      <c r="U2481" s="5" t="s">
        <v>539</v>
      </c>
      <c r="V2481" s="5" t="s">
        <v>539</v>
      </c>
      <c r="W2481" s="5" t="s">
        <v>72</v>
      </c>
      <c r="X2481" s="5" t="s">
        <v>72</v>
      </c>
      <c r="Y2481" s="4">
        <v>71</v>
      </c>
      <c r="Z2481" s="4">
        <v>29</v>
      </c>
      <c r="AA2481" s="4">
        <v>135</v>
      </c>
      <c r="AB2481" s="4">
        <v>23</v>
      </c>
      <c r="AC2481" s="4">
        <v>35</v>
      </c>
      <c r="AD2481" s="4">
        <v>12</v>
      </c>
      <c r="AE2481" s="4">
        <v>100</v>
      </c>
      <c r="AF2481" s="4">
        <v>5</v>
      </c>
      <c r="AG2481" s="4">
        <v>8</v>
      </c>
      <c r="AH2481" s="4">
        <v>7</v>
      </c>
      <c r="AI2481" s="4">
        <v>53</v>
      </c>
      <c r="AJ2481" s="4">
        <v>6</v>
      </c>
      <c r="AK2481" s="4">
        <v>26</v>
      </c>
      <c r="AL2481" s="4">
        <v>4</v>
      </c>
      <c r="AM2481" s="4">
        <v>25</v>
      </c>
      <c r="AN2481" s="4">
        <v>0</v>
      </c>
      <c r="AO2481" s="4">
        <v>0</v>
      </c>
      <c r="AP2481" s="4">
        <v>5</v>
      </c>
      <c r="AQ2481" s="4">
        <v>54</v>
      </c>
      <c r="AR2481" s="3" t="s">
        <v>128</v>
      </c>
      <c r="AS2481" s="3" t="s">
        <v>64</v>
      </c>
      <c r="AT2481" s="3" t="s">
        <v>64</v>
      </c>
      <c r="AV2481" s="6" t="str">
        <f>HYPERLINK("http://mcgill.on.worldcat.org/oclc/46908129","Catalog Record")</f>
        <v>Catalog Record</v>
      </c>
      <c r="AW2481" s="6" t="str">
        <f>HYPERLINK("http://www.worldcat.org/oclc/46908129","WorldCat Record")</f>
        <v>WorldCat Record</v>
      </c>
      <c r="AX2481" s="3" t="s">
        <v>25237</v>
      </c>
      <c r="AY2481" s="3" t="s">
        <v>25238</v>
      </c>
      <c r="AZ2481" s="3" t="s">
        <v>25239</v>
      </c>
      <c r="BA2481" s="3" t="s">
        <v>25239</v>
      </c>
      <c r="BB2481" s="3" t="s">
        <v>25240</v>
      </c>
      <c r="BC2481" s="3" t="s">
        <v>77</v>
      </c>
      <c r="BD2481" s="3" t="s">
        <v>78</v>
      </c>
      <c r="BE2481" s="3" t="s">
        <v>25241</v>
      </c>
      <c r="BF2481" s="3" t="s">
        <v>25240</v>
      </c>
      <c r="BG2481" s="3" t="s">
        <v>25242</v>
      </c>
      <c r="BH2481">
        <f t="shared" si="60"/>
        <v>0</v>
      </c>
    </row>
    <row r="2482" spans="1:60" ht="58" x14ac:dyDescent="0.35">
      <c r="A2482" s="2" t="s">
        <v>59</v>
      </c>
      <c r="B2482" s="2" t="s">
        <v>60</v>
      </c>
      <c r="C2482" s="2" t="s">
        <v>25243</v>
      </c>
      <c r="D2482" s="2" t="s">
        <v>25244</v>
      </c>
      <c r="E2482" s="2" t="s">
        <v>25245</v>
      </c>
      <c r="G2482" s="3" t="s">
        <v>64</v>
      </c>
      <c r="I2482" s="3" t="s">
        <v>64</v>
      </c>
      <c r="J2482" s="3" t="s">
        <v>64</v>
      </c>
      <c r="K2482" s="3" t="s">
        <v>65</v>
      </c>
      <c r="M2482" s="2" t="s">
        <v>25246</v>
      </c>
      <c r="N2482" s="3" t="s">
        <v>326</v>
      </c>
      <c r="P2482" s="3" t="s">
        <v>68</v>
      </c>
      <c r="Q2482" s="2" t="s">
        <v>15712</v>
      </c>
      <c r="R2482" s="3" t="s">
        <v>70</v>
      </c>
      <c r="S2482" s="4">
        <v>0</v>
      </c>
      <c r="T2482" s="4">
        <v>0</v>
      </c>
      <c r="W2482" s="5" t="s">
        <v>72</v>
      </c>
      <c r="X2482" s="5" t="s">
        <v>72</v>
      </c>
      <c r="Y2482" s="4">
        <v>10</v>
      </c>
      <c r="Z2482" s="4">
        <v>1</v>
      </c>
      <c r="AA2482" s="4">
        <v>4</v>
      </c>
      <c r="AB2482" s="4">
        <v>1</v>
      </c>
      <c r="AC2482" s="4">
        <v>3</v>
      </c>
      <c r="AD2482" s="4">
        <v>4</v>
      </c>
      <c r="AE2482" s="4">
        <v>6</v>
      </c>
      <c r="AF2482" s="4">
        <v>0</v>
      </c>
      <c r="AG2482" s="4">
        <v>1</v>
      </c>
      <c r="AH2482" s="4">
        <v>4</v>
      </c>
      <c r="AI2482" s="4">
        <v>5</v>
      </c>
      <c r="AJ2482" s="4">
        <v>0</v>
      </c>
      <c r="AK2482" s="4">
        <v>2</v>
      </c>
      <c r="AL2482" s="4">
        <v>3</v>
      </c>
      <c r="AM2482" s="4">
        <v>3</v>
      </c>
      <c r="AN2482" s="4">
        <v>0</v>
      </c>
      <c r="AO2482" s="4">
        <v>0</v>
      </c>
      <c r="AP2482" s="4">
        <v>0</v>
      </c>
      <c r="AQ2482" s="4">
        <v>1</v>
      </c>
      <c r="AR2482" s="3" t="s">
        <v>64</v>
      </c>
      <c r="AS2482" s="3" t="s">
        <v>64</v>
      </c>
      <c r="AT2482" s="3" t="s">
        <v>64</v>
      </c>
      <c r="AV2482" s="6" t="str">
        <f>HYPERLINK("http://mcgill.on.worldcat.org/oclc/754323895","Catalog Record")</f>
        <v>Catalog Record</v>
      </c>
      <c r="AW2482" s="6" t="str">
        <f>HYPERLINK("http://www.worldcat.org/oclc/754323895","WorldCat Record")</f>
        <v>WorldCat Record</v>
      </c>
      <c r="AX2482" s="3" t="s">
        <v>25247</v>
      </c>
      <c r="AY2482" s="3" t="s">
        <v>25248</v>
      </c>
      <c r="AZ2482" s="3" t="s">
        <v>25249</v>
      </c>
      <c r="BA2482" s="3" t="s">
        <v>25249</v>
      </c>
      <c r="BB2482" s="3" t="s">
        <v>25250</v>
      </c>
      <c r="BC2482" s="3" t="s">
        <v>77</v>
      </c>
      <c r="BD2482" s="3" t="s">
        <v>78</v>
      </c>
      <c r="BE2482" s="3" t="s">
        <v>25251</v>
      </c>
      <c r="BF2482" s="3" t="s">
        <v>25250</v>
      </c>
      <c r="BG2482" s="3" t="s">
        <v>25252</v>
      </c>
      <c r="BH2482">
        <f t="shared" si="60"/>
        <v>0</v>
      </c>
    </row>
    <row r="2483" spans="1:60" ht="58" x14ac:dyDescent="0.35">
      <c r="A2483" s="2" t="s">
        <v>59</v>
      </c>
      <c r="B2483" s="2" t="s">
        <v>60</v>
      </c>
      <c r="C2483" s="2" t="s">
        <v>25253</v>
      </c>
      <c r="D2483" s="2" t="s">
        <v>25254</v>
      </c>
      <c r="E2483" s="2" t="s">
        <v>25255</v>
      </c>
      <c r="G2483" s="3" t="s">
        <v>64</v>
      </c>
      <c r="I2483" s="3" t="s">
        <v>64</v>
      </c>
      <c r="J2483" s="3" t="s">
        <v>64</v>
      </c>
      <c r="K2483" s="3" t="s">
        <v>65</v>
      </c>
      <c r="L2483" s="2" t="s">
        <v>25256</v>
      </c>
      <c r="M2483" s="2" t="s">
        <v>15765</v>
      </c>
      <c r="N2483" s="3" t="s">
        <v>326</v>
      </c>
      <c r="P2483" s="3" t="s">
        <v>102</v>
      </c>
      <c r="Q2483" s="2" t="s">
        <v>8981</v>
      </c>
      <c r="R2483" s="3" t="s">
        <v>70</v>
      </c>
      <c r="S2483" s="4">
        <v>6</v>
      </c>
      <c r="T2483" s="4">
        <v>6</v>
      </c>
      <c r="U2483" s="5" t="s">
        <v>539</v>
      </c>
      <c r="V2483" s="5" t="s">
        <v>539</v>
      </c>
      <c r="W2483" s="5" t="s">
        <v>72</v>
      </c>
      <c r="X2483" s="5" t="s">
        <v>72</v>
      </c>
      <c r="Y2483" s="4">
        <v>193</v>
      </c>
      <c r="Z2483" s="4">
        <v>17</v>
      </c>
      <c r="AA2483" s="4">
        <v>30</v>
      </c>
      <c r="AB2483" s="4">
        <v>2</v>
      </c>
      <c r="AC2483" s="4">
        <v>6</v>
      </c>
      <c r="AD2483" s="4">
        <v>60</v>
      </c>
      <c r="AE2483" s="4">
        <v>81</v>
      </c>
      <c r="AF2483" s="4">
        <v>0</v>
      </c>
      <c r="AG2483" s="4">
        <v>2</v>
      </c>
      <c r="AH2483" s="4">
        <v>53</v>
      </c>
      <c r="AI2483" s="4">
        <v>68</v>
      </c>
      <c r="AJ2483" s="4">
        <v>10</v>
      </c>
      <c r="AK2483" s="4">
        <v>14</v>
      </c>
      <c r="AL2483" s="4">
        <v>30</v>
      </c>
      <c r="AM2483" s="4">
        <v>37</v>
      </c>
      <c r="AN2483" s="4">
        <v>0</v>
      </c>
      <c r="AO2483" s="4">
        <v>0</v>
      </c>
      <c r="AP2483" s="4">
        <v>13</v>
      </c>
      <c r="AQ2483" s="4">
        <v>19</v>
      </c>
      <c r="AR2483" s="3" t="s">
        <v>64</v>
      </c>
      <c r="AS2483" s="3" t="s">
        <v>64</v>
      </c>
      <c r="AT2483" s="3" t="s">
        <v>64</v>
      </c>
      <c r="AV2483" s="6" t="str">
        <f>HYPERLINK("http://mcgill.on.worldcat.org/oclc/703545751","Catalog Record")</f>
        <v>Catalog Record</v>
      </c>
      <c r="AW2483" s="6" t="str">
        <f>HYPERLINK("http://www.worldcat.org/oclc/703545751","WorldCat Record")</f>
        <v>WorldCat Record</v>
      </c>
      <c r="AX2483" s="3" t="s">
        <v>25257</v>
      </c>
      <c r="AY2483" s="3" t="s">
        <v>25258</v>
      </c>
      <c r="AZ2483" s="3" t="s">
        <v>25259</v>
      </c>
      <c r="BA2483" s="3" t="s">
        <v>25259</v>
      </c>
      <c r="BB2483" s="3" t="s">
        <v>25260</v>
      </c>
      <c r="BC2483" s="3" t="s">
        <v>77</v>
      </c>
      <c r="BD2483" s="3" t="s">
        <v>78</v>
      </c>
      <c r="BE2483" s="3" t="s">
        <v>25261</v>
      </c>
      <c r="BF2483" s="3" t="s">
        <v>25260</v>
      </c>
      <c r="BG2483" s="3" t="s">
        <v>25262</v>
      </c>
      <c r="BH2483">
        <f t="shared" si="60"/>
        <v>0</v>
      </c>
    </row>
    <row r="2484" spans="1:60" ht="58" x14ac:dyDescent="0.35">
      <c r="A2484" s="2" t="s">
        <v>59</v>
      </c>
      <c r="B2484" s="2" t="s">
        <v>60</v>
      </c>
      <c r="C2484" s="2" t="s">
        <v>25263</v>
      </c>
      <c r="D2484" s="2" t="s">
        <v>25264</v>
      </c>
      <c r="E2484" s="2" t="s">
        <v>25265</v>
      </c>
      <c r="G2484" s="3" t="s">
        <v>64</v>
      </c>
      <c r="I2484" s="3" t="s">
        <v>64</v>
      </c>
      <c r="J2484" s="3" t="s">
        <v>64</v>
      </c>
      <c r="K2484" s="3" t="s">
        <v>65</v>
      </c>
      <c r="M2484" s="2" t="s">
        <v>25266</v>
      </c>
      <c r="N2484" s="3" t="s">
        <v>3428</v>
      </c>
      <c r="P2484" s="3" t="s">
        <v>102</v>
      </c>
      <c r="R2484" s="3" t="s">
        <v>70</v>
      </c>
      <c r="S2484" s="4">
        <v>16</v>
      </c>
      <c r="T2484" s="4">
        <v>16</v>
      </c>
      <c r="U2484" s="5" t="s">
        <v>4061</v>
      </c>
      <c r="V2484" s="5" t="s">
        <v>4061</v>
      </c>
      <c r="W2484" s="5" t="s">
        <v>72</v>
      </c>
      <c r="X2484" s="5" t="s">
        <v>72</v>
      </c>
      <c r="Y2484" s="4">
        <v>186</v>
      </c>
      <c r="Z2484" s="4">
        <v>13</v>
      </c>
      <c r="AA2484" s="4">
        <v>19</v>
      </c>
      <c r="AB2484" s="4">
        <v>6</v>
      </c>
      <c r="AC2484" s="4">
        <v>12</v>
      </c>
      <c r="AD2484" s="4">
        <v>54</v>
      </c>
      <c r="AE2484" s="4">
        <v>56</v>
      </c>
      <c r="AF2484" s="4">
        <v>2</v>
      </c>
      <c r="AG2484" s="4">
        <v>4</v>
      </c>
      <c r="AH2484" s="4">
        <v>47</v>
      </c>
      <c r="AI2484" s="4">
        <v>47</v>
      </c>
      <c r="AJ2484" s="4">
        <v>5</v>
      </c>
      <c r="AK2484" s="4">
        <v>7</v>
      </c>
      <c r="AL2484" s="4">
        <v>27</v>
      </c>
      <c r="AM2484" s="4">
        <v>27</v>
      </c>
      <c r="AN2484" s="4">
        <v>0</v>
      </c>
      <c r="AO2484" s="4">
        <v>0</v>
      </c>
      <c r="AP2484" s="4">
        <v>7</v>
      </c>
      <c r="AQ2484" s="4">
        <v>8</v>
      </c>
      <c r="AR2484" s="3" t="s">
        <v>64</v>
      </c>
      <c r="AS2484" s="3" t="s">
        <v>64</v>
      </c>
      <c r="AT2484" s="3" t="s">
        <v>128</v>
      </c>
      <c r="AU2484" s="6" t="str">
        <f>HYPERLINK("http://catalog.hathitrust.org/Record/003550049","HathiTrust Record")</f>
        <v>HathiTrust Record</v>
      </c>
      <c r="AV2484" s="6" t="str">
        <f>HYPERLINK("http://mcgill.on.worldcat.org/oclc/33668220","Catalog Record")</f>
        <v>Catalog Record</v>
      </c>
      <c r="AW2484" s="6" t="str">
        <f>HYPERLINK("http://www.worldcat.org/oclc/33668220","WorldCat Record")</f>
        <v>WorldCat Record</v>
      </c>
      <c r="AX2484" s="3" t="s">
        <v>25267</v>
      </c>
      <c r="AY2484" s="3" t="s">
        <v>25268</v>
      </c>
      <c r="AZ2484" s="3" t="s">
        <v>25269</v>
      </c>
      <c r="BA2484" s="3" t="s">
        <v>25269</v>
      </c>
      <c r="BB2484" s="3" t="s">
        <v>25270</v>
      </c>
      <c r="BC2484" s="3" t="s">
        <v>77</v>
      </c>
      <c r="BD2484" s="3" t="s">
        <v>78</v>
      </c>
      <c r="BE2484" s="3" t="s">
        <v>25271</v>
      </c>
      <c r="BF2484" s="3" t="s">
        <v>25270</v>
      </c>
      <c r="BG2484" s="3" t="s">
        <v>25272</v>
      </c>
      <c r="BH2484">
        <f t="shared" si="60"/>
        <v>0</v>
      </c>
    </row>
    <row r="2485" spans="1:60" ht="58" x14ac:dyDescent="0.35">
      <c r="A2485" s="2" t="s">
        <v>59</v>
      </c>
      <c r="B2485" s="2" t="s">
        <v>60</v>
      </c>
      <c r="C2485" s="2" t="s">
        <v>25273</v>
      </c>
      <c r="D2485" s="2" t="s">
        <v>25274</v>
      </c>
      <c r="E2485" s="2" t="s">
        <v>25275</v>
      </c>
      <c r="G2485" s="3" t="s">
        <v>64</v>
      </c>
      <c r="I2485" s="3" t="s">
        <v>64</v>
      </c>
      <c r="J2485" s="3" t="s">
        <v>64</v>
      </c>
      <c r="K2485" s="3" t="s">
        <v>65</v>
      </c>
      <c r="M2485" s="2" t="s">
        <v>24002</v>
      </c>
      <c r="N2485" s="3" t="s">
        <v>326</v>
      </c>
      <c r="P2485" s="3" t="s">
        <v>102</v>
      </c>
      <c r="R2485" s="3" t="s">
        <v>70</v>
      </c>
      <c r="S2485" s="4">
        <v>0</v>
      </c>
      <c r="T2485" s="4">
        <v>0</v>
      </c>
      <c r="W2485" s="5" t="s">
        <v>72</v>
      </c>
      <c r="X2485" s="5" t="s">
        <v>72</v>
      </c>
      <c r="Y2485" s="4">
        <v>62</v>
      </c>
      <c r="Z2485" s="4">
        <v>5</v>
      </c>
      <c r="AA2485" s="4">
        <v>7</v>
      </c>
      <c r="AB2485" s="4">
        <v>2</v>
      </c>
      <c r="AC2485" s="4">
        <v>3</v>
      </c>
      <c r="AD2485" s="4">
        <v>17</v>
      </c>
      <c r="AE2485" s="4">
        <v>18</v>
      </c>
      <c r="AF2485" s="4">
        <v>0</v>
      </c>
      <c r="AG2485" s="4">
        <v>0</v>
      </c>
      <c r="AH2485" s="4">
        <v>15</v>
      </c>
      <c r="AI2485" s="4">
        <v>15</v>
      </c>
      <c r="AJ2485" s="4">
        <v>2</v>
      </c>
      <c r="AK2485" s="4">
        <v>2</v>
      </c>
      <c r="AL2485" s="4">
        <v>11</v>
      </c>
      <c r="AM2485" s="4">
        <v>11</v>
      </c>
      <c r="AN2485" s="4">
        <v>0</v>
      </c>
      <c r="AO2485" s="4">
        <v>0</v>
      </c>
      <c r="AP2485" s="4">
        <v>2</v>
      </c>
      <c r="AQ2485" s="4">
        <v>3</v>
      </c>
      <c r="AR2485" s="3" t="s">
        <v>64</v>
      </c>
      <c r="AS2485" s="3" t="s">
        <v>64</v>
      </c>
      <c r="AT2485" s="3" t="s">
        <v>64</v>
      </c>
      <c r="AV2485" s="6" t="str">
        <f>HYPERLINK("http://mcgill.on.worldcat.org/oclc/707066559","Catalog Record")</f>
        <v>Catalog Record</v>
      </c>
      <c r="AW2485" s="6" t="str">
        <f>HYPERLINK("http://www.worldcat.org/oclc/707066559","WorldCat Record")</f>
        <v>WorldCat Record</v>
      </c>
      <c r="AX2485" s="3" t="s">
        <v>25276</v>
      </c>
      <c r="AY2485" s="3" t="s">
        <v>25277</v>
      </c>
      <c r="AZ2485" s="3" t="s">
        <v>25278</v>
      </c>
      <c r="BA2485" s="3" t="s">
        <v>25278</v>
      </c>
      <c r="BB2485" s="3" t="s">
        <v>25279</v>
      </c>
      <c r="BC2485" s="3" t="s">
        <v>77</v>
      </c>
      <c r="BD2485" s="3" t="s">
        <v>78</v>
      </c>
      <c r="BE2485" s="3" t="s">
        <v>25280</v>
      </c>
      <c r="BF2485" s="3" t="s">
        <v>25279</v>
      </c>
      <c r="BG2485" s="3" t="s">
        <v>25281</v>
      </c>
      <c r="BH2485">
        <f t="shared" si="60"/>
        <v>0</v>
      </c>
    </row>
    <row r="2486" spans="1:60" ht="58" x14ac:dyDescent="0.35">
      <c r="A2486" s="2" t="s">
        <v>59</v>
      </c>
      <c r="B2486" s="2" t="s">
        <v>60</v>
      </c>
      <c r="C2486" s="2" t="s">
        <v>25282</v>
      </c>
      <c r="D2486" s="2" t="s">
        <v>25283</v>
      </c>
      <c r="E2486" s="2" t="s">
        <v>25284</v>
      </c>
      <c r="G2486" s="3" t="s">
        <v>64</v>
      </c>
      <c r="I2486" s="3" t="s">
        <v>64</v>
      </c>
      <c r="J2486" s="3" t="s">
        <v>64</v>
      </c>
      <c r="K2486" s="3" t="s">
        <v>65</v>
      </c>
      <c r="M2486" s="2" t="s">
        <v>25285</v>
      </c>
      <c r="N2486" s="3" t="s">
        <v>1492</v>
      </c>
      <c r="P2486" s="3" t="s">
        <v>102</v>
      </c>
      <c r="Q2486" s="2" t="s">
        <v>14022</v>
      </c>
      <c r="R2486" s="3" t="s">
        <v>70</v>
      </c>
      <c r="S2486" s="4">
        <v>2</v>
      </c>
      <c r="T2486" s="4">
        <v>2</v>
      </c>
      <c r="U2486" s="5" t="s">
        <v>25286</v>
      </c>
      <c r="V2486" s="5" t="s">
        <v>25286</v>
      </c>
      <c r="W2486" s="5" t="s">
        <v>72</v>
      </c>
      <c r="X2486" s="5" t="s">
        <v>72</v>
      </c>
      <c r="Y2486" s="4">
        <v>256</v>
      </c>
      <c r="Z2486" s="4">
        <v>11</v>
      </c>
      <c r="AA2486" s="4">
        <v>12</v>
      </c>
      <c r="AB2486" s="4">
        <v>1</v>
      </c>
      <c r="AC2486" s="4">
        <v>2</v>
      </c>
      <c r="AD2486" s="4">
        <v>57</v>
      </c>
      <c r="AE2486" s="4">
        <v>58</v>
      </c>
      <c r="AF2486" s="4">
        <v>0</v>
      </c>
      <c r="AG2486" s="4">
        <v>1</v>
      </c>
      <c r="AH2486" s="4">
        <v>54</v>
      </c>
      <c r="AI2486" s="4">
        <v>54</v>
      </c>
      <c r="AJ2486" s="4">
        <v>5</v>
      </c>
      <c r="AK2486" s="4">
        <v>6</v>
      </c>
      <c r="AL2486" s="4">
        <v>29</v>
      </c>
      <c r="AM2486" s="4">
        <v>29</v>
      </c>
      <c r="AN2486" s="4">
        <v>0</v>
      </c>
      <c r="AO2486" s="4">
        <v>0</v>
      </c>
      <c r="AP2486" s="4">
        <v>8</v>
      </c>
      <c r="AQ2486" s="4">
        <v>8</v>
      </c>
      <c r="AR2486" s="3" t="s">
        <v>64</v>
      </c>
      <c r="AS2486" s="3" t="s">
        <v>64</v>
      </c>
      <c r="AT2486" s="3" t="s">
        <v>64</v>
      </c>
      <c r="AV2486" s="6" t="str">
        <f>HYPERLINK("http://mcgill.on.worldcat.org/oclc/1047576978","Catalog Record")</f>
        <v>Catalog Record</v>
      </c>
      <c r="AW2486" s="6" t="str">
        <f>HYPERLINK("http://www.worldcat.org/oclc/1047576978","WorldCat Record")</f>
        <v>WorldCat Record</v>
      </c>
      <c r="AX2486" s="3" t="s">
        <v>25287</v>
      </c>
      <c r="AY2486" s="3" t="s">
        <v>25288</v>
      </c>
      <c r="AZ2486" s="3" t="s">
        <v>25289</v>
      </c>
      <c r="BA2486" s="3" t="s">
        <v>25289</v>
      </c>
      <c r="BB2486" s="3" t="s">
        <v>25290</v>
      </c>
      <c r="BC2486" s="3" t="s">
        <v>77</v>
      </c>
      <c r="BD2486" s="3" t="s">
        <v>78</v>
      </c>
      <c r="BE2486" s="3" t="s">
        <v>25291</v>
      </c>
      <c r="BF2486" s="3" t="s">
        <v>25290</v>
      </c>
      <c r="BG2486" s="3" t="s">
        <v>25292</v>
      </c>
      <c r="BH2486">
        <f t="shared" si="60"/>
        <v>0</v>
      </c>
    </row>
    <row r="2487" spans="1:60" ht="58" x14ac:dyDescent="0.35">
      <c r="A2487" s="2" t="s">
        <v>59</v>
      </c>
      <c r="B2487" s="2" t="s">
        <v>60</v>
      </c>
      <c r="C2487" s="2" t="s">
        <v>25293</v>
      </c>
      <c r="D2487" s="2" t="s">
        <v>25294</v>
      </c>
      <c r="E2487" s="2" t="s">
        <v>25295</v>
      </c>
      <c r="G2487" s="3" t="s">
        <v>64</v>
      </c>
      <c r="I2487" s="3" t="s">
        <v>64</v>
      </c>
      <c r="J2487" s="3" t="s">
        <v>64</v>
      </c>
      <c r="K2487" s="3" t="s">
        <v>65</v>
      </c>
      <c r="M2487" s="2" t="s">
        <v>24856</v>
      </c>
      <c r="N2487" s="3" t="s">
        <v>537</v>
      </c>
      <c r="P2487" s="3" t="s">
        <v>102</v>
      </c>
      <c r="R2487" s="3" t="s">
        <v>70</v>
      </c>
      <c r="S2487" s="4">
        <v>0</v>
      </c>
      <c r="T2487" s="4">
        <v>0</v>
      </c>
      <c r="W2487" s="5" t="s">
        <v>72</v>
      </c>
      <c r="X2487" s="5" t="s">
        <v>72</v>
      </c>
      <c r="Y2487" s="4">
        <v>24</v>
      </c>
      <c r="Z2487" s="4">
        <v>3</v>
      </c>
      <c r="AA2487" s="4">
        <v>4</v>
      </c>
      <c r="AB2487" s="4">
        <v>1</v>
      </c>
      <c r="AC2487" s="4">
        <v>2</v>
      </c>
      <c r="AD2487" s="4">
        <v>9</v>
      </c>
      <c r="AE2487" s="4">
        <v>11</v>
      </c>
      <c r="AF2487" s="4">
        <v>0</v>
      </c>
      <c r="AG2487" s="4">
        <v>0</v>
      </c>
      <c r="AH2487" s="4">
        <v>8</v>
      </c>
      <c r="AI2487" s="4">
        <v>9</v>
      </c>
      <c r="AJ2487" s="4">
        <v>2</v>
      </c>
      <c r="AK2487" s="4">
        <v>2</v>
      </c>
      <c r="AL2487" s="4">
        <v>2</v>
      </c>
      <c r="AM2487" s="4">
        <v>3</v>
      </c>
      <c r="AN2487" s="4">
        <v>0</v>
      </c>
      <c r="AO2487" s="4">
        <v>0</v>
      </c>
      <c r="AP2487" s="4">
        <v>2</v>
      </c>
      <c r="AQ2487" s="4">
        <v>2</v>
      </c>
      <c r="AR2487" s="3" t="s">
        <v>64</v>
      </c>
      <c r="AS2487" s="3" t="s">
        <v>64</v>
      </c>
      <c r="AT2487" s="3" t="s">
        <v>64</v>
      </c>
      <c r="AV2487" s="6" t="str">
        <f>HYPERLINK("http://mcgill.on.worldcat.org/oclc/950934052","Catalog Record")</f>
        <v>Catalog Record</v>
      </c>
      <c r="AW2487" s="6" t="str">
        <f>HYPERLINK("http://www.worldcat.org/oclc/950934052","WorldCat Record")</f>
        <v>WorldCat Record</v>
      </c>
      <c r="AX2487" s="3" t="s">
        <v>25296</v>
      </c>
      <c r="AY2487" s="3" t="s">
        <v>25297</v>
      </c>
      <c r="AZ2487" s="3" t="s">
        <v>25298</v>
      </c>
      <c r="BA2487" s="3" t="s">
        <v>25298</v>
      </c>
      <c r="BB2487" s="3" t="s">
        <v>25299</v>
      </c>
      <c r="BC2487" s="3" t="s">
        <v>77</v>
      </c>
      <c r="BD2487" s="3" t="s">
        <v>78</v>
      </c>
      <c r="BE2487" s="3" t="s">
        <v>25300</v>
      </c>
      <c r="BF2487" s="3" t="s">
        <v>25299</v>
      </c>
      <c r="BG2487" s="3" t="s">
        <v>25301</v>
      </c>
      <c r="BH2487">
        <f t="shared" si="60"/>
        <v>0</v>
      </c>
    </row>
    <row r="2488" spans="1:60" ht="87" x14ac:dyDescent="0.35">
      <c r="A2488" s="2" t="s">
        <v>59</v>
      </c>
      <c r="B2488" s="2" t="s">
        <v>60</v>
      </c>
      <c r="C2488" s="2" t="s">
        <v>25302</v>
      </c>
      <c r="D2488" s="2" t="s">
        <v>25303</v>
      </c>
      <c r="E2488" s="2" t="s">
        <v>25304</v>
      </c>
      <c r="G2488" s="3" t="s">
        <v>64</v>
      </c>
      <c r="I2488" s="3" t="s">
        <v>64</v>
      </c>
      <c r="J2488" s="3" t="s">
        <v>64</v>
      </c>
      <c r="K2488" s="3" t="s">
        <v>65</v>
      </c>
      <c r="L2488" s="2" t="s">
        <v>25305</v>
      </c>
      <c r="M2488" s="2" t="s">
        <v>25306</v>
      </c>
      <c r="N2488" s="3" t="s">
        <v>1031</v>
      </c>
      <c r="P2488" s="3" t="s">
        <v>102</v>
      </c>
      <c r="R2488" s="3" t="s">
        <v>70</v>
      </c>
      <c r="S2488" s="4">
        <v>11</v>
      </c>
      <c r="T2488" s="4">
        <v>11</v>
      </c>
      <c r="U2488" s="5" t="s">
        <v>25307</v>
      </c>
      <c r="V2488" s="5" t="s">
        <v>25307</v>
      </c>
      <c r="W2488" s="5" t="s">
        <v>72</v>
      </c>
      <c r="X2488" s="5" t="s">
        <v>72</v>
      </c>
      <c r="Y2488" s="4">
        <v>274</v>
      </c>
      <c r="Z2488" s="4">
        <v>18</v>
      </c>
      <c r="AA2488" s="4">
        <v>19</v>
      </c>
      <c r="AB2488" s="4">
        <v>3</v>
      </c>
      <c r="AC2488" s="4">
        <v>4</v>
      </c>
      <c r="AD2488" s="4">
        <v>84</v>
      </c>
      <c r="AE2488" s="4">
        <v>85</v>
      </c>
      <c r="AF2488" s="4">
        <v>1</v>
      </c>
      <c r="AG2488" s="4">
        <v>2</v>
      </c>
      <c r="AH2488" s="4">
        <v>77</v>
      </c>
      <c r="AI2488" s="4">
        <v>77</v>
      </c>
      <c r="AJ2488" s="4">
        <v>12</v>
      </c>
      <c r="AK2488" s="4">
        <v>13</v>
      </c>
      <c r="AL2488" s="4">
        <v>41</v>
      </c>
      <c r="AM2488" s="4">
        <v>41</v>
      </c>
      <c r="AN2488" s="4">
        <v>0</v>
      </c>
      <c r="AO2488" s="4">
        <v>0</v>
      </c>
      <c r="AP2488" s="4">
        <v>12</v>
      </c>
      <c r="AQ2488" s="4">
        <v>12</v>
      </c>
      <c r="AR2488" s="3" t="s">
        <v>64</v>
      </c>
      <c r="AS2488" s="3" t="s">
        <v>64</v>
      </c>
      <c r="AT2488" s="3" t="s">
        <v>128</v>
      </c>
      <c r="AU2488" s="6" t="str">
        <f>HYPERLINK("http://catalog.hathitrust.org/Record/002536744","HathiTrust Record")</f>
        <v>HathiTrust Record</v>
      </c>
      <c r="AV2488" s="6" t="str">
        <f>HYPERLINK("http://mcgill.on.worldcat.org/oclc/25410454","Catalog Record")</f>
        <v>Catalog Record</v>
      </c>
      <c r="AW2488" s="6" t="str">
        <f>HYPERLINK("http://www.worldcat.org/oclc/25410454","WorldCat Record")</f>
        <v>WorldCat Record</v>
      </c>
      <c r="AX2488" s="3" t="s">
        <v>25308</v>
      </c>
      <c r="AY2488" s="3" t="s">
        <v>25309</v>
      </c>
      <c r="AZ2488" s="3" t="s">
        <v>25310</v>
      </c>
      <c r="BA2488" s="3" t="s">
        <v>25310</v>
      </c>
      <c r="BB2488" s="3" t="s">
        <v>25311</v>
      </c>
      <c r="BC2488" s="3" t="s">
        <v>77</v>
      </c>
      <c r="BD2488" s="3" t="s">
        <v>165</v>
      </c>
      <c r="BE2488" s="3" t="s">
        <v>25312</v>
      </c>
      <c r="BF2488" s="3" t="s">
        <v>25311</v>
      </c>
      <c r="BG2488" s="3" t="s">
        <v>25313</v>
      </c>
      <c r="BH2488">
        <f t="shared" si="60"/>
        <v>0</v>
      </c>
    </row>
    <row r="2489" spans="1:60" ht="58" x14ac:dyDescent="0.35">
      <c r="A2489" s="2" t="s">
        <v>59</v>
      </c>
      <c r="B2489" s="2" t="s">
        <v>60</v>
      </c>
      <c r="C2489" s="2" t="s">
        <v>25314</v>
      </c>
      <c r="D2489" s="2" t="s">
        <v>25315</v>
      </c>
      <c r="E2489" s="2" t="s">
        <v>25316</v>
      </c>
      <c r="G2489" s="3" t="s">
        <v>64</v>
      </c>
      <c r="I2489" s="3" t="s">
        <v>64</v>
      </c>
      <c r="J2489" s="3" t="s">
        <v>64</v>
      </c>
      <c r="K2489" s="3" t="s">
        <v>65</v>
      </c>
      <c r="M2489" s="2" t="s">
        <v>25317</v>
      </c>
      <c r="N2489" s="3" t="s">
        <v>253</v>
      </c>
      <c r="P2489" s="3" t="s">
        <v>68</v>
      </c>
      <c r="R2489" s="3" t="s">
        <v>70</v>
      </c>
      <c r="S2489" s="4">
        <v>0</v>
      </c>
      <c r="T2489" s="4">
        <v>0</v>
      </c>
      <c r="W2489" s="5" t="s">
        <v>72</v>
      </c>
      <c r="X2489" s="5" t="s">
        <v>72</v>
      </c>
      <c r="Y2489" s="4">
        <v>34</v>
      </c>
      <c r="Z2489" s="4">
        <v>3</v>
      </c>
      <c r="AA2489" s="4">
        <v>5</v>
      </c>
      <c r="AB2489" s="4">
        <v>1</v>
      </c>
      <c r="AC2489" s="4">
        <v>3</v>
      </c>
      <c r="AD2489" s="4">
        <v>8</v>
      </c>
      <c r="AE2489" s="4">
        <v>9</v>
      </c>
      <c r="AF2489" s="4">
        <v>0</v>
      </c>
      <c r="AG2489" s="4">
        <v>1</v>
      </c>
      <c r="AH2489" s="4">
        <v>7</v>
      </c>
      <c r="AI2489" s="4">
        <v>7</v>
      </c>
      <c r="AJ2489" s="4">
        <v>1</v>
      </c>
      <c r="AK2489" s="4">
        <v>2</v>
      </c>
      <c r="AL2489" s="4">
        <v>6</v>
      </c>
      <c r="AM2489" s="4">
        <v>6</v>
      </c>
      <c r="AN2489" s="4">
        <v>0</v>
      </c>
      <c r="AO2489" s="4">
        <v>0</v>
      </c>
      <c r="AP2489" s="4">
        <v>1</v>
      </c>
      <c r="AQ2489" s="4">
        <v>1</v>
      </c>
      <c r="AR2489" s="3" t="s">
        <v>64</v>
      </c>
      <c r="AS2489" s="3" t="s">
        <v>64</v>
      </c>
      <c r="AT2489" s="3" t="s">
        <v>64</v>
      </c>
      <c r="AV2489" s="6" t="str">
        <f>HYPERLINK("http://mcgill.on.worldcat.org/oclc/905838705","Catalog Record")</f>
        <v>Catalog Record</v>
      </c>
      <c r="AW2489" s="6" t="str">
        <f>HYPERLINK("http://www.worldcat.org/oclc/905838705","WorldCat Record")</f>
        <v>WorldCat Record</v>
      </c>
      <c r="AX2489" s="3" t="s">
        <v>25318</v>
      </c>
      <c r="AY2489" s="3" t="s">
        <v>25319</v>
      </c>
      <c r="AZ2489" s="3" t="s">
        <v>25320</v>
      </c>
      <c r="BA2489" s="3" t="s">
        <v>25320</v>
      </c>
      <c r="BB2489" s="3" t="s">
        <v>25321</v>
      </c>
      <c r="BC2489" s="3" t="s">
        <v>77</v>
      </c>
      <c r="BD2489" s="3" t="s">
        <v>78</v>
      </c>
      <c r="BE2489" s="3" t="s">
        <v>25322</v>
      </c>
      <c r="BF2489" s="3" t="s">
        <v>25321</v>
      </c>
      <c r="BG2489" s="3" t="s">
        <v>25323</v>
      </c>
      <c r="BH2489">
        <f t="shared" si="60"/>
        <v>0</v>
      </c>
    </row>
    <row r="2490" spans="1:60" ht="87" x14ac:dyDescent="0.35">
      <c r="A2490" s="2" t="s">
        <v>59</v>
      </c>
      <c r="B2490" s="2" t="s">
        <v>60</v>
      </c>
      <c r="C2490" s="2" t="s">
        <v>25324</v>
      </c>
      <c r="D2490" s="2" t="s">
        <v>25325</v>
      </c>
      <c r="E2490" s="2" t="s">
        <v>25326</v>
      </c>
      <c r="G2490" s="3" t="s">
        <v>64</v>
      </c>
      <c r="I2490" s="3" t="s">
        <v>64</v>
      </c>
      <c r="J2490" s="3" t="s">
        <v>64</v>
      </c>
      <c r="K2490" s="3" t="s">
        <v>65</v>
      </c>
      <c r="L2490" s="2" t="s">
        <v>25327</v>
      </c>
      <c r="M2490" s="2" t="s">
        <v>25328</v>
      </c>
      <c r="N2490" s="3" t="s">
        <v>171</v>
      </c>
      <c r="O2490" s="2" t="s">
        <v>25329</v>
      </c>
      <c r="P2490" s="3" t="s">
        <v>68</v>
      </c>
      <c r="Q2490" s="2" t="s">
        <v>25330</v>
      </c>
      <c r="R2490" s="3" t="s">
        <v>70</v>
      </c>
      <c r="S2490" s="4">
        <v>4</v>
      </c>
      <c r="T2490" s="4">
        <v>4</v>
      </c>
      <c r="U2490" s="5" t="s">
        <v>15687</v>
      </c>
      <c r="V2490" s="5" t="s">
        <v>15687</v>
      </c>
      <c r="W2490" s="5" t="s">
        <v>72</v>
      </c>
      <c r="X2490" s="5" t="s">
        <v>72</v>
      </c>
      <c r="Y2490" s="4">
        <v>2</v>
      </c>
      <c r="Z2490" s="4">
        <v>1</v>
      </c>
      <c r="AA2490" s="4">
        <v>2</v>
      </c>
      <c r="AB2490" s="4">
        <v>1</v>
      </c>
      <c r="AC2490" s="4">
        <v>2</v>
      </c>
      <c r="AD2490" s="4">
        <v>0</v>
      </c>
      <c r="AE2490" s="4">
        <v>1</v>
      </c>
      <c r="AF2490" s="4">
        <v>0</v>
      </c>
      <c r="AG2490" s="4">
        <v>1</v>
      </c>
      <c r="AH2490" s="4">
        <v>0</v>
      </c>
      <c r="AI2490" s="4">
        <v>0</v>
      </c>
      <c r="AJ2490" s="4">
        <v>0</v>
      </c>
      <c r="AK2490" s="4">
        <v>1</v>
      </c>
      <c r="AL2490" s="4">
        <v>0</v>
      </c>
      <c r="AM2490" s="4">
        <v>0</v>
      </c>
      <c r="AN2490" s="4">
        <v>0</v>
      </c>
      <c r="AO2490" s="4">
        <v>0</v>
      </c>
      <c r="AP2490" s="4">
        <v>0</v>
      </c>
      <c r="AQ2490" s="4">
        <v>0</v>
      </c>
      <c r="AR2490" s="3" t="s">
        <v>64</v>
      </c>
      <c r="AS2490" s="3" t="s">
        <v>64</v>
      </c>
      <c r="AT2490" s="3" t="s">
        <v>64</v>
      </c>
      <c r="AV2490" s="6" t="str">
        <f>HYPERLINK("http://mcgill.on.worldcat.org/oclc/232108711","Catalog Record")</f>
        <v>Catalog Record</v>
      </c>
      <c r="AW2490" s="6" t="str">
        <f>HYPERLINK("http://www.worldcat.org/oclc/232108711","WorldCat Record")</f>
        <v>WorldCat Record</v>
      </c>
      <c r="AX2490" s="3" t="s">
        <v>25331</v>
      </c>
      <c r="AY2490" s="3" t="s">
        <v>25332</v>
      </c>
      <c r="AZ2490" s="3" t="s">
        <v>25333</v>
      </c>
      <c r="BA2490" s="3" t="s">
        <v>25333</v>
      </c>
      <c r="BB2490" s="3" t="s">
        <v>25334</v>
      </c>
      <c r="BC2490" s="3" t="s">
        <v>77</v>
      </c>
      <c r="BD2490" s="3" t="s">
        <v>78</v>
      </c>
      <c r="BE2490" s="3" t="s">
        <v>25335</v>
      </c>
      <c r="BF2490" s="3" t="s">
        <v>25334</v>
      </c>
      <c r="BG2490" s="3" t="s">
        <v>25336</v>
      </c>
      <c r="BH2490">
        <f t="shared" si="60"/>
        <v>0</v>
      </c>
    </row>
    <row r="2491" spans="1:60" ht="58" x14ac:dyDescent="0.35">
      <c r="A2491" s="2" t="s">
        <v>59</v>
      </c>
      <c r="B2491" s="2" t="s">
        <v>60</v>
      </c>
      <c r="C2491" s="2" t="s">
        <v>25337</v>
      </c>
      <c r="D2491" s="2" t="s">
        <v>25338</v>
      </c>
      <c r="E2491" s="2" t="s">
        <v>25339</v>
      </c>
      <c r="G2491" s="3" t="s">
        <v>64</v>
      </c>
      <c r="I2491" s="3" t="s">
        <v>64</v>
      </c>
      <c r="J2491" s="3" t="s">
        <v>128</v>
      </c>
      <c r="K2491" s="3" t="s">
        <v>65</v>
      </c>
      <c r="L2491" s="2" t="s">
        <v>25340</v>
      </c>
      <c r="M2491" s="2" t="s">
        <v>14056</v>
      </c>
      <c r="N2491" s="3" t="s">
        <v>1275</v>
      </c>
      <c r="P2491" s="3" t="s">
        <v>102</v>
      </c>
      <c r="R2491" s="3" t="s">
        <v>70</v>
      </c>
      <c r="S2491" s="4">
        <v>19</v>
      </c>
      <c r="T2491" s="4">
        <v>19</v>
      </c>
      <c r="U2491" s="5" t="s">
        <v>25341</v>
      </c>
      <c r="V2491" s="5" t="s">
        <v>25341</v>
      </c>
      <c r="W2491" s="5" t="s">
        <v>72</v>
      </c>
      <c r="X2491" s="5" t="s">
        <v>72</v>
      </c>
      <c r="Y2491" s="4">
        <v>143</v>
      </c>
      <c r="Z2491" s="4">
        <v>5</v>
      </c>
      <c r="AA2491" s="4">
        <v>92</v>
      </c>
      <c r="AB2491" s="4">
        <v>1</v>
      </c>
      <c r="AC2491" s="4">
        <v>17</v>
      </c>
      <c r="AD2491" s="4">
        <v>8</v>
      </c>
      <c r="AE2491" s="4">
        <v>111</v>
      </c>
      <c r="AF2491" s="4">
        <v>0</v>
      </c>
      <c r="AG2491" s="4">
        <v>8</v>
      </c>
      <c r="AH2491" s="4">
        <v>8</v>
      </c>
      <c r="AI2491" s="4">
        <v>79</v>
      </c>
      <c r="AJ2491" s="4">
        <v>2</v>
      </c>
      <c r="AK2491" s="4">
        <v>20</v>
      </c>
      <c r="AL2491" s="4">
        <v>4</v>
      </c>
      <c r="AM2491" s="4">
        <v>39</v>
      </c>
      <c r="AN2491" s="4">
        <v>0</v>
      </c>
      <c r="AO2491" s="4">
        <v>0</v>
      </c>
      <c r="AP2491" s="4">
        <v>2</v>
      </c>
      <c r="AQ2491" s="4">
        <v>40</v>
      </c>
      <c r="AR2491" s="3" t="s">
        <v>64</v>
      </c>
      <c r="AS2491" s="3" t="s">
        <v>64</v>
      </c>
      <c r="AT2491" s="3" t="s">
        <v>128</v>
      </c>
      <c r="AU2491" s="6" t="str">
        <f>HYPERLINK("http://catalog.hathitrust.org/Record/004916706","HathiTrust Record")</f>
        <v>HathiTrust Record</v>
      </c>
      <c r="AV2491" s="6" t="str">
        <f>HYPERLINK("http://mcgill.on.worldcat.org/oclc/56457915","Catalog Record")</f>
        <v>Catalog Record</v>
      </c>
      <c r="AW2491" s="6" t="str">
        <f>HYPERLINK("http://www.worldcat.org/oclc/56457915","WorldCat Record")</f>
        <v>WorldCat Record</v>
      </c>
      <c r="AX2491" s="3" t="s">
        <v>25342</v>
      </c>
      <c r="AY2491" s="3" t="s">
        <v>25343</v>
      </c>
      <c r="AZ2491" s="3" t="s">
        <v>25344</v>
      </c>
      <c r="BA2491" s="3" t="s">
        <v>25344</v>
      </c>
      <c r="BB2491" s="3" t="s">
        <v>25345</v>
      </c>
      <c r="BC2491" s="3" t="s">
        <v>77</v>
      </c>
      <c r="BD2491" s="3" t="s">
        <v>78</v>
      </c>
      <c r="BE2491" s="3" t="s">
        <v>25346</v>
      </c>
      <c r="BF2491" s="3" t="s">
        <v>25345</v>
      </c>
      <c r="BG2491" s="3" t="s">
        <v>25347</v>
      </c>
      <c r="BH2491">
        <f t="shared" si="60"/>
        <v>0</v>
      </c>
    </row>
    <row r="2492" spans="1:60" ht="58" x14ac:dyDescent="0.35">
      <c r="A2492" s="2" t="s">
        <v>59</v>
      </c>
      <c r="B2492" s="2" t="s">
        <v>60</v>
      </c>
      <c r="C2492" s="2" t="s">
        <v>25348</v>
      </c>
      <c r="D2492" s="2" t="s">
        <v>25349</v>
      </c>
      <c r="E2492" s="2" t="s">
        <v>25339</v>
      </c>
      <c r="G2492" s="3" t="s">
        <v>64</v>
      </c>
      <c r="I2492" s="3" t="s">
        <v>64</v>
      </c>
      <c r="J2492" s="3" t="s">
        <v>128</v>
      </c>
      <c r="K2492" s="3" t="s">
        <v>65</v>
      </c>
      <c r="L2492" s="2" t="s">
        <v>25350</v>
      </c>
      <c r="M2492" s="2" t="s">
        <v>15674</v>
      </c>
      <c r="N2492" s="3" t="s">
        <v>253</v>
      </c>
      <c r="O2492" s="2" t="s">
        <v>3787</v>
      </c>
      <c r="P2492" s="3" t="s">
        <v>102</v>
      </c>
      <c r="R2492" s="3" t="s">
        <v>70</v>
      </c>
      <c r="S2492" s="4">
        <v>2</v>
      </c>
      <c r="T2492" s="4">
        <v>2</v>
      </c>
      <c r="U2492" s="5" t="s">
        <v>25351</v>
      </c>
      <c r="V2492" s="5" t="s">
        <v>25351</v>
      </c>
      <c r="W2492" s="5" t="s">
        <v>72</v>
      </c>
      <c r="X2492" s="5" t="s">
        <v>72</v>
      </c>
      <c r="Y2492" s="4">
        <v>65</v>
      </c>
      <c r="Z2492" s="4">
        <v>3</v>
      </c>
      <c r="AA2492" s="4">
        <v>92</v>
      </c>
      <c r="AB2492" s="4">
        <v>1</v>
      </c>
      <c r="AC2492" s="4">
        <v>17</v>
      </c>
      <c r="AD2492" s="4">
        <v>5</v>
      </c>
      <c r="AE2492" s="4">
        <v>111</v>
      </c>
      <c r="AF2492" s="4">
        <v>0</v>
      </c>
      <c r="AG2492" s="4">
        <v>8</v>
      </c>
      <c r="AH2492" s="4">
        <v>3</v>
      </c>
      <c r="AI2492" s="4">
        <v>79</v>
      </c>
      <c r="AJ2492" s="4">
        <v>1</v>
      </c>
      <c r="AK2492" s="4">
        <v>20</v>
      </c>
      <c r="AL2492" s="4">
        <v>2</v>
      </c>
      <c r="AM2492" s="4">
        <v>39</v>
      </c>
      <c r="AN2492" s="4">
        <v>0</v>
      </c>
      <c r="AO2492" s="4">
        <v>0</v>
      </c>
      <c r="AP2492" s="4">
        <v>2</v>
      </c>
      <c r="AQ2492" s="4">
        <v>40</v>
      </c>
      <c r="AR2492" s="3" t="s">
        <v>64</v>
      </c>
      <c r="AS2492" s="3" t="s">
        <v>64</v>
      </c>
      <c r="AT2492" s="3" t="s">
        <v>64</v>
      </c>
      <c r="AV2492" s="6" t="str">
        <f>HYPERLINK("http://mcgill.on.worldcat.org/oclc/920570906","Catalog Record")</f>
        <v>Catalog Record</v>
      </c>
      <c r="AW2492" s="6" t="str">
        <f>HYPERLINK("http://www.worldcat.org/oclc/920570906","WorldCat Record")</f>
        <v>WorldCat Record</v>
      </c>
      <c r="AX2492" s="3" t="s">
        <v>25342</v>
      </c>
      <c r="AY2492" s="3" t="s">
        <v>25352</v>
      </c>
      <c r="AZ2492" s="3" t="s">
        <v>25353</v>
      </c>
      <c r="BA2492" s="3" t="s">
        <v>25353</v>
      </c>
      <c r="BB2492" s="3" t="s">
        <v>25354</v>
      </c>
      <c r="BC2492" s="3" t="s">
        <v>77</v>
      </c>
      <c r="BD2492" s="3" t="s">
        <v>78</v>
      </c>
      <c r="BE2492" s="3" t="s">
        <v>25355</v>
      </c>
      <c r="BF2492" s="3" t="s">
        <v>25354</v>
      </c>
      <c r="BG2492" s="3" t="s">
        <v>25356</v>
      </c>
      <c r="BH2492">
        <f t="shared" si="60"/>
        <v>0</v>
      </c>
    </row>
    <row r="2493" spans="1:60" ht="58" x14ac:dyDescent="0.35">
      <c r="A2493" s="2" t="s">
        <v>59</v>
      </c>
      <c r="B2493" s="2" t="s">
        <v>60</v>
      </c>
      <c r="C2493" s="2" t="s">
        <v>25357</v>
      </c>
      <c r="D2493" s="2" t="s">
        <v>25358</v>
      </c>
      <c r="E2493" s="2" t="s">
        <v>25359</v>
      </c>
      <c r="G2493" s="3" t="s">
        <v>64</v>
      </c>
      <c r="I2493" s="3" t="s">
        <v>64</v>
      </c>
      <c r="J2493" s="3" t="s">
        <v>64</v>
      </c>
      <c r="K2493" s="3" t="s">
        <v>65</v>
      </c>
      <c r="M2493" s="2" t="s">
        <v>25360</v>
      </c>
      <c r="N2493" s="3" t="s">
        <v>378</v>
      </c>
      <c r="P2493" s="3" t="s">
        <v>102</v>
      </c>
      <c r="R2493" s="3" t="s">
        <v>70</v>
      </c>
      <c r="S2493" s="4">
        <v>5</v>
      </c>
      <c r="T2493" s="4">
        <v>5</v>
      </c>
      <c r="U2493" s="5" t="s">
        <v>11334</v>
      </c>
      <c r="V2493" s="5" t="s">
        <v>11334</v>
      </c>
      <c r="W2493" s="5" t="s">
        <v>72</v>
      </c>
      <c r="X2493" s="5" t="s">
        <v>72</v>
      </c>
      <c r="Y2493" s="4">
        <v>494</v>
      </c>
      <c r="Z2493" s="4">
        <v>20</v>
      </c>
      <c r="AA2493" s="4">
        <v>23</v>
      </c>
      <c r="AB2493" s="4">
        <v>2</v>
      </c>
      <c r="AC2493" s="4">
        <v>4</v>
      </c>
      <c r="AD2493" s="4">
        <v>91</v>
      </c>
      <c r="AE2493" s="4">
        <v>94</v>
      </c>
      <c r="AF2493" s="4">
        <v>1</v>
      </c>
      <c r="AG2493" s="4">
        <v>3</v>
      </c>
      <c r="AH2493" s="4">
        <v>78</v>
      </c>
      <c r="AI2493" s="4">
        <v>78</v>
      </c>
      <c r="AJ2493" s="4">
        <v>9</v>
      </c>
      <c r="AK2493" s="4">
        <v>12</v>
      </c>
      <c r="AL2493" s="4">
        <v>41</v>
      </c>
      <c r="AM2493" s="4">
        <v>41</v>
      </c>
      <c r="AN2493" s="4">
        <v>0</v>
      </c>
      <c r="AO2493" s="4">
        <v>0</v>
      </c>
      <c r="AP2493" s="4">
        <v>14</v>
      </c>
      <c r="AQ2493" s="4">
        <v>16</v>
      </c>
      <c r="AR2493" s="3" t="s">
        <v>64</v>
      </c>
      <c r="AS2493" s="3" t="s">
        <v>64</v>
      </c>
      <c r="AT2493" s="3" t="s">
        <v>128</v>
      </c>
      <c r="AU2493" s="6" t="str">
        <f>HYPERLINK("http://catalog.hathitrust.org/Record/000434842","HathiTrust Record")</f>
        <v>HathiTrust Record</v>
      </c>
      <c r="AV2493" s="6" t="str">
        <f>HYPERLINK("http://mcgill.on.worldcat.org/oclc/13183942","Catalog Record")</f>
        <v>Catalog Record</v>
      </c>
      <c r="AW2493" s="6" t="str">
        <f>HYPERLINK("http://www.worldcat.org/oclc/13183942","WorldCat Record")</f>
        <v>WorldCat Record</v>
      </c>
      <c r="AX2493" s="3" t="s">
        <v>25361</v>
      </c>
      <c r="AY2493" s="3" t="s">
        <v>25362</v>
      </c>
      <c r="AZ2493" s="3" t="s">
        <v>25363</v>
      </c>
      <c r="BA2493" s="3" t="s">
        <v>25363</v>
      </c>
      <c r="BB2493" s="3" t="s">
        <v>25364</v>
      </c>
      <c r="BC2493" s="3" t="s">
        <v>77</v>
      </c>
      <c r="BD2493" s="3" t="s">
        <v>78</v>
      </c>
      <c r="BE2493" s="3" t="s">
        <v>25365</v>
      </c>
      <c r="BF2493" s="3" t="s">
        <v>25364</v>
      </c>
      <c r="BG2493" s="3" t="s">
        <v>25366</v>
      </c>
      <c r="BH2493">
        <f t="shared" si="60"/>
        <v>0</v>
      </c>
    </row>
    <row r="2494" spans="1:60" ht="58" x14ac:dyDescent="0.35">
      <c r="A2494" s="2" t="s">
        <v>59</v>
      </c>
      <c r="B2494" s="2" t="s">
        <v>60</v>
      </c>
      <c r="C2494" s="2" t="s">
        <v>25367</v>
      </c>
      <c r="D2494" s="2" t="s">
        <v>25368</v>
      </c>
      <c r="E2494" s="2" t="s">
        <v>25369</v>
      </c>
      <c r="G2494" s="3" t="s">
        <v>64</v>
      </c>
      <c r="I2494" s="3" t="s">
        <v>128</v>
      </c>
      <c r="J2494" s="3" t="s">
        <v>128</v>
      </c>
      <c r="K2494" s="3" t="s">
        <v>65</v>
      </c>
      <c r="L2494" s="2" t="s">
        <v>25370</v>
      </c>
      <c r="M2494" s="2" t="s">
        <v>25371</v>
      </c>
      <c r="N2494" s="3" t="s">
        <v>874</v>
      </c>
      <c r="P2494" s="3" t="s">
        <v>102</v>
      </c>
      <c r="Q2494" s="2" t="s">
        <v>25372</v>
      </c>
      <c r="R2494" s="3" t="s">
        <v>70</v>
      </c>
      <c r="S2494" s="4">
        <v>27</v>
      </c>
      <c r="T2494" s="4">
        <v>111</v>
      </c>
      <c r="U2494" s="5" t="s">
        <v>6045</v>
      </c>
      <c r="V2494" s="5" t="s">
        <v>770</v>
      </c>
      <c r="W2494" s="5" t="s">
        <v>72</v>
      </c>
      <c r="X2494" s="5" t="s">
        <v>72</v>
      </c>
      <c r="Y2494" s="4">
        <v>444</v>
      </c>
      <c r="Z2494" s="4">
        <v>29</v>
      </c>
      <c r="AA2494" s="4">
        <v>62</v>
      </c>
      <c r="AB2494" s="4">
        <v>4</v>
      </c>
      <c r="AC2494" s="4">
        <v>10</v>
      </c>
      <c r="AD2494" s="4">
        <v>77</v>
      </c>
      <c r="AE2494" s="4">
        <v>119</v>
      </c>
      <c r="AF2494" s="4">
        <v>1</v>
      </c>
      <c r="AG2494" s="4">
        <v>2</v>
      </c>
      <c r="AH2494" s="4">
        <v>64</v>
      </c>
      <c r="AI2494" s="4">
        <v>97</v>
      </c>
      <c r="AJ2494" s="4">
        <v>10</v>
      </c>
      <c r="AK2494" s="4">
        <v>16</v>
      </c>
      <c r="AL2494" s="4">
        <v>39</v>
      </c>
      <c r="AM2494" s="4">
        <v>57</v>
      </c>
      <c r="AN2494" s="4">
        <v>0</v>
      </c>
      <c r="AO2494" s="4">
        <v>0</v>
      </c>
      <c r="AP2494" s="4">
        <v>13</v>
      </c>
      <c r="AQ2494" s="4">
        <v>21</v>
      </c>
      <c r="AR2494" s="3" t="s">
        <v>64</v>
      </c>
      <c r="AS2494" s="3" t="s">
        <v>64</v>
      </c>
      <c r="AT2494" s="3" t="s">
        <v>128</v>
      </c>
      <c r="AU2494" s="6" t="str">
        <f>HYPERLINK("http://catalog.hathitrust.org/Record/000737438","HathiTrust Record")</f>
        <v>HathiTrust Record</v>
      </c>
      <c r="AV2494" s="6" t="str">
        <f>HYPERLINK("http://mcgill.on.worldcat.org/oclc/6331164","Catalog Record")</f>
        <v>Catalog Record</v>
      </c>
      <c r="AW2494" s="6" t="str">
        <f>HYPERLINK("http://www.worldcat.org/oclc/6331164","WorldCat Record")</f>
        <v>WorldCat Record</v>
      </c>
      <c r="AX2494" s="3" t="s">
        <v>25373</v>
      </c>
      <c r="AY2494" s="3" t="s">
        <v>25374</v>
      </c>
      <c r="AZ2494" s="3" t="s">
        <v>25375</v>
      </c>
      <c r="BA2494" s="3" t="s">
        <v>25375</v>
      </c>
      <c r="BB2494" s="3" t="s">
        <v>25376</v>
      </c>
      <c r="BC2494" s="3" t="s">
        <v>77</v>
      </c>
      <c r="BD2494" s="3" t="s">
        <v>78</v>
      </c>
      <c r="BE2494" s="3" t="s">
        <v>25377</v>
      </c>
      <c r="BF2494" s="3" t="s">
        <v>25376</v>
      </c>
      <c r="BG2494" s="3" t="s">
        <v>25378</v>
      </c>
      <c r="BH2494">
        <f t="shared" si="60"/>
        <v>0</v>
      </c>
    </row>
    <row r="2495" spans="1:60" ht="58" x14ac:dyDescent="0.35">
      <c r="A2495" s="2" t="s">
        <v>59</v>
      </c>
      <c r="B2495" s="2" t="s">
        <v>60</v>
      </c>
      <c r="C2495" s="2" t="s">
        <v>25367</v>
      </c>
      <c r="D2495" s="2" t="s">
        <v>25368</v>
      </c>
      <c r="E2495" s="2" t="s">
        <v>25369</v>
      </c>
      <c r="G2495" s="3" t="s">
        <v>64</v>
      </c>
      <c r="I2495" s="3" t="s">
        <v>128</v>
      </c>
      <c r="J2495" s="3" t="s">
        <v>128</v>
      </c>
      <c r="K2495" s="3" t="s">
        <v>65</v>
      </c>
      <c r="L2495" s="2" t="s">
        <v>25370</v>
      </c>
      <c r="M2495" s="2" t="s">
        <v>25371</v>
      </c>
      <c r="N2495" s="3" t="s">
        <v>874</v>
      </c>
      <c r="P2495" s="3" t="s">
        <v>102</v>
      </c>
      <c r="Q2495" s="2" t="s">
        <v>25372</v>
      </c>
      <c r="R2495" s="3" t="s">
        <v>70</v>
      </c>
      <c r="S2495" s="4">
        <v>38</v>
      </c>
      <c r="T2495" s="4">
        <v>111</v>
      </c>
      <c r="U2495" s="5" t="s">
        <v>25379</v>
      </c>
      <c r="V2495" s="5" t="s">
        <v>770</v>
      </c>
      <c r="W2495" s="5" t="s">
        <v>72</v>
      </c>
      <c r="X2495" s="5" t="s">
        <v>72</v>
      </c>
      <c r="Y2495" s="4">
        <v>444</v>
      </c>
      <c r="Z2495" s="4">
        <v>29</v>
      </c>
      <c r="AA2495" s="4">
        <v>62</v>
      </c>
      <c r="AB2495" s="4">
        <v>4</v>
      </c>
      <c r="AC2495" s="4">
        <v>10</v>
      </c>
      <c r="AD2495" s="4">
        <v>77</v>
      </c>
      <c r="AE2495" s="4">
        <v>119</v>
      </c>
      <c r="AF2495" s="4">
        <v>1</v>
      </c>
      <c r="AG2495" s="4">
        <v>2</v>
      </c>
      <c r="AH2495" s="4">
        <v>64</v>
      </c>
      <c r="AI2495" s="4">
        <v>97</v>
      </c>
      <c r="AJ2495" s="4">
        <v>10</v>
      </c>
      <c r="AK2495" s="4">
        <v>16</v>
      </c>
      <c r="AL2495" s="4">
        <v>39</v>
      </c>
      <c r="AM2495" s="4">
        <v>57</v>
      </c>
      <c r="AN2495" s="4">
        <v>0</v>
      </c>
      <c r="AO2495" s="4">
        <v>0</v>
      </c>
      <c r="AP2495" s="4">
        <v>13</v>
      </c>
      <c r="AQ2495" s="4">
        <v>21</v>
      </c>
      <c r="AR2495" s="3" t="s">
        <v>64</v>
      </c>
      <c r="AS2495" s="3" t="s">
        <v>64</v>
      </c>
      <c r="AT2495" s="3" t="s">
        <v>128</v>
      </c>
      <c r="AU2495" s="6" t="str">
        <f>HYPERLINK("http://catalog.hathitrust.org/Record/000737438","HathiTrust Record")</f>
        <v>HathiTrust Record</v>
      </c>
      <c r="AV2495" s="6" t="str">
        <f>HYPERLINK("http://mcgill.on.worldcat.org/oclc/6331164","Catalog Record")</f>
        <v>Catalog Record</v>
      </c>
      <c r="AW2495" s="6" t="str">
        <f>HYPERLINK("http://www.worldcat.org/oclc/6331164","WorldCat Record")</f>
        <v>WorldCat Record</v>
      </c>
      <c r="AX2495" s="3" t="s">
        <v>25373</v>
      </c>
      <c r="AY2495" s="3" t="s">
        <v>25374</v>
      </c>
      <c r="AZ2495" s="3" t="s">
        <v>25375</v>
      </c>
      <c r="BA2495" s="3" t="s">
        <v>25375</v>
      </c>
      <c r="BB2495" s="3" t="s">
        <v>25380</v>
      </c>
      <c r="BC2495" s="3" t="s">
        <v>77</v>
      </c>
      <c r="BD2495" s="3" t="s">
        <v>78</v>
      </c>
      <c r="BE2495" s="3" t="s">
        <v>25377</v>
      </c>
      <c r="BF2495" s="3" t="s">
        <v>25380</v>
      </c>
      <c r="BG2495" s="3" t="s">
        <v>25381</v>
      </c>
      <c r="BH2495">
        <f t="shared" si="60"/>
        <v>0</v>
      </c>
    </row>
    <row r="2496" spans="1:60" ht="58" x14ac:dyDescent="0.35">
      <c r="A2496" s="2" t="s">
        <v>59</v>
      </c>
      <c r="B2496" s="2" t="s">
        <v>60</v>
      </c>
      <c r="C2496" s="2" t="s">
        <v>25367</v>
      </c>
      <c r="D2496" s="2" t="s">
        <v>25368</v>
      </c>
      <c r="E2496" s="2" t="s">
        <v>25369</v>
      </c>
      <c r="G2496" s="3" t="s">
        <v>64</v>
      </c>
      <c r="I2496" s="3" t="s">
        <v>128</v>
      </c>
      <c r="J2496" s="3" t="s">
        <v>128</v>
      </c>
      <c r="K2496" s="3" t="s">
        <v>65</v>
      </c>
      <c r="L2496" s="2" t="s">
        <v>25370</v>
      </c>
      <c r="M2496" s="2" t="s">
        <v>25371</v>
      </c>
      <c r="N2496" s="3" t="s">
        <v>874</v>
      </c>
      <c r="P2496" s="3" t="s">
        <v>102</v>
      </c>
      <c r="Q2496" s="2" t="s">
        <v>25372</v>
      </c>
      <c r="R2496" s="3" t="s">
        <v>70</v>
      </c>
      <c r="S2496" s="4">
        <v>46</v>
      </c>
      <c r="T2496" s="4">
        <v>111</v>
      </c>
      <c r="U2496" s="5" t="s">
        <v>770</v>
      </c>
      <c r="V2496" s="5" t="s">
        <v>770</v>
      </c>
      <c r="W2496" s="5" t="s">
        <v>72</v>
      </c>
      <c r="X2496" s="5" t="s">
        <v>72</v>
      </c>
      <c r="Y2496" s="4">
        <v>444</v>
      </c>
      <c r="Z2496" s="4">
        <v>29</v>
      </c>
      <c r="AA2496" s="4">
        <v>62</v>
      </c>
      <c r="AB2496" s="4">
        <v>4</v>
      </c>
      <c r="AC2496" s="4">
        <v>10</v>
      </c>
      <c r="AD2496" s="4">
        <v>77</v>
      </c>
      <c r="AE2496" s="4">
        <v>119</v>
      </c>
      <c r="AF2496" s="4">
        <v>1</v>
      </c>
      <c r="AG2496" s="4">
        <v>2</v>
      </c>
      <c r="AH2496" s="4">
        <v>64</v>
      </c>
      <c r="AI2496" s="4">
        <v>97</v>
      </c>
      <c r="AJ2496" s="4">
        <v>10</v>
      </c>
      <c r="AK2496" s="4">
        <v>16</v>
      </c>
      <c r="AL2496" s="4">
        <v>39</v>
      </c>
      <c r="AM2496" s="4">
        <v>57</v>
      </c>
      <c r="AN2496" s="4">
        <v>0</v>
      </c>
      <c r="AO2496" s="4">
        <v>0</v>
      </c>
      <c r="AP2496" s="4">
        <v>13</v>
      </c>
      <c r="AQ2496" s="4">
        <v>21</v>
      </c>
      <c r="AR2496" s="3" t="s">
        <v>64</v>
      </c>
      <c r="AS2496" s="3" t="s">
        <v>64</v>
      </c>
      <c r="AT2496" s="3" t="s">
        <v>128</v>
      </c>
      <c r="AU2496" s="6" t="str">
        <f>HYPERLINK("http://catalog.hathitrust.org/Record/000737438","HathiTrust Record")</f>
        <v>HathiTrust Record</v>
      </c>
      <c r="AV2496" s="6" t="str">
        <f>HYPERLINK("http://mcgill.on.worldcat.org/oclc/6331164","Catalog Record")</f>
        <v>Catalog Record</v>
      </c>
      <c r="AW2496" s="6" t="str">
        <f>HYPERLINK("http://www.worldcat.org/oclc/6331164","WorldCat Record")</f>
        <v>WorldCat Record</v>
      </c>
      <c r="AX2496" s="3" t="s">
        <v>25373</v>
      </c>
      <c r="AY2496" s="3" t="s">
        <v>25374</v>
      </c>
      <c r="AZ2496" s="3" t="s">
        <v>25375</v>
      </c>
      <c r="BA2496" s="3" t="s">
        <v>25375</v>
      </c>
      <c r="BB2496" s="3" t="s">
        <v>25382</v>
      </c>
      <c r="BC2496" s="3" t="s">
        <v>77</v>
      </c>
      <c r="BD2496" s="3" t="s">
        <v>78</v>
      </c>
      <c r="BE2496" s="3" t="s">
        <v>25377</v>
      </c>
      <c r="BF2496" s="3" t="s">
        <v>25382</v>
      </c>
      <c r="BG2496" s="3" t="s">
        <v>25383</v>
      </c>
      <c r="BH2496">
        <f t="shared" si="60"/>
        <v>0</v>
      </c>
    </row>
    <row r="2497" spans="1:60" ht="58" x14ac:dyDescent="0.35">
      <c r="A2497" s="2" t="s">
        <v>59</v>
      </c>
      <c r="B2497" s="2" t="s">
        <v>60</v>
      </c>
      <c r="C2497" s="2" t="s">
        <v>25384</v>
      </c>
      <c r="D2497" s="2" t="s">
        <v>25385</v>
      </c>
      <c r="E2497" s="2" t="s">
        <v>25386</v>
      </c>
      <c r="G2497" s="3" t="s">
        <v>64</v>
      </c>
      <c r="I2497" s="3" t="s">
        <v>64</v>
      </c>
      <c r="J2497" s="3" t="s">
        <v>128</v>
      </c>
      <c r="K2497" s="3" t="s">
        <v>65</v>
      </c>
      <c r="L2497" s="2" t="s">
        <v>25387</v>
      </c>
      <c r="M2497" s="2" t="s">
        <v>25388</v>
      </c>
      <c r="N2497" s="3" t="s">
        <v>1938</v>
      </c>
      <c r="O2497" s="2" t="s">
        <v>172</v>
      </c>
      <c r="P2497" s="3" t="s">
        <v>102</v>
      </c>
      <c r="R2497" s="3" t="s">
        <v>70</v>
      </c>
      <c r="S2497" s="4">
        <v>22</v>
      </c>
      <c r="T2497" s="4">
        <v>22</v>
      </c>
      <c r="U2497" s="5" t="s">
        <v>6045</v>
      </c>
      <c r="V2497" s="5" t="s">
        <v>6045</v>
      </c>
      <c r="W2497" s="5" t="s">
        <v>72</v>
      </c>
      <c r="X2497" s="5" t="s">
        <v>72</v>
      </c>
      <c r="Y2497" s="4">
        <v>208</v>
      </c>
      <c r="Z2497" s="4">
        <v>14</v>
      </c>
      <c r="AA2497" s="4">
        <v>24</v>
      </c>
      <c r="AB2497" s="4">
        <v>2</v>
      </c>
      <c r="AC2497" s="4">
        <v>5</v>
      </c>
      <c r="AD2497" s="4">
        <v>37</v>
      </c>
      <c r="AE2497" s="4">
        <v>65</v>
      </c>
      <c r="AF2497" s="4">
        <v>1</v>
      </c>
      <c r="AG2497" s="4">
        <v>3</v>
      </c>
      <c r="AH2497" s="4">
        <v>35</v>
      </c>
      <c r="AI2497" s="4">
        <v>56</v>
      </c>
      <c r="AJ2497" s="4">
        <v>6</v>
      </c>
      <c r="AK2497" s="4">
        <v>11</v>
      </c>
      <c r="AL2497" s="4">
        <v>22</v>
      </c>
      <c r="AM2497" s="4">
        <v>27</v>
      </c>
      <c r="AN2497" s="4">
        <v>0</v>
      </c>
      <c r="AO2497" s="4">
        <v>0</v>
      </c>
      <c r="AP2497" s="4">
        <v>5</v>
      </c>
      <c r="AQ2497" s="4">
        <v>11</v>
      </c>
      <c r="AR2497" s="3" t="s">
        <v>64</v>
      </c>
      <c r="AS2497" s="3" t="s">
        <v>64</v>
      </c>
      <c r="AT2497" s="3" t="s">
        <v>128</v>
      </c>
      <c r="AU2497" s="6" t="str">
        <f>HYPERLINK("http://catalog.hathitrust.org/Record/002054102","HathiTrust Record")</f>
        <v>HathiTrust Record</v>
      </c>
      <c r="AV2497" s="6" t="str">
        <f>HYPERLINK("http://mcgill.on.worldcat.org/oclc/20633444","Catalog Record")</f>
        <v>Catalog Record</v>
      </c>
      <c r="AW2497" s="6" t="str">
        <f>HYPERLINK("http://www.worldcat.org/oclc/20633444","WorldCat Record")</f>
        <v>WorldCat Record</v>
      </c>
      <c r="AX2497" s="3" t="s">
        <v>25389</v>
      </c>
      <c r="AY2497" s="3" t="s">
        <v>25390</v>
      </c>
      <c r="AZ2497" s="3" t="s">
        <v>25391</v>
      </c>
      <c r="BA2497" s="3" t="s">
        <v>25391</v>
      </c>
      <c r="BB2497" s="3" t="s">
        <v>25392</v>
      </c>
      <c r="BC2497" s="3" t="s">
        <v>77</v>
      </c>
      <c r="BD2497" s="3" t="s">
        <v>78</v>
      </c>
      <c r="BE2497" s="3" t="s">
        <v>25393</v>
      </c>
      <c r="BF2497" s="3" t="s">
        <v>25392</v>
      </c>
      <c r="BG2497" s="3" t="s">
        <v>25394</v>
      </c>
      <c r="BH2497">
        <f t="shared" si="60"/>
        <v>0</v>
      </c>
    </row>
    <row r="2498" spans="1:60" ht="58" x14ac:dyDescent="0.35">
      <c r="A2498" s="2" t="s">
        <v>1932</v>
      </c>
      <c r="B2498" s="2" t="s">
        <v>7461</v>
      </c>
      <c r="C2498" s="2" t="s">
        <v>25395</v>
      </c>
      <c r="D2498" s="2" t="s">
        <v>25396</v>
      </c>
      <c r="E2498" s="2" t="s">
        <v>25369</v>
      </c>
      <c r="G2498" s="3" t="s">
        <v>64</v>
      </c>
      <c r="I2498" s="3" t="s">
        <v>128</v>
      </c>
      <c r="J2498" s="3" t="s">
        <v>128</v>
      </c>
      <c r="K2498" s="3" t="s">
        <v>65</v>
      </c>
      <c r="L2498" s="2" t="s">
        <v>25370</v>
      </c>
      <c r="M2498" s="2" t="s">
        <v>25371</v>
      </c>
      <c r="N2498" s="3" t="s">
        <v>874</v>
      </c>
      <c r="P2498" s="3" t="s">
        <v>102</v>
      </c>
      <c r="Q2498" s="2" t="s">
        <v>25372</v>
      </c>
      <c r="R2498" s="3" t="s">
        <v>70</v>
      </c>
      <c r="S2498" s="4">
        <v>0</v>
      </c>
      <c r="T2498" s="4">
        <v>111</v>
      </c>
      <c r="V2498" s="5" t="s">
        <v>770</v>
      </c>
      <c r="W2498" s="5" t="s">
        <v>72</v>
      </c>
      <c r="X2498" s="5" t="s">
        <v>72</v>
      </c>
      <c r="Y2498" s="4">
        <v>444</v>
      </c>
      <c r="Z2498" s="4">
        <v>29</v>
      </c>
      <c r="AA2498" s="4">
        <v>62</v>
      </c>
      <c r="AB2498" s="4">
        <v>4</v>
      </c>
      <c r="AC2498" s="4">
        <v>10</v>
      </c>
      <c r="AD2498" s="4">
        <v>77</v>
      </c>
      <c r="AE2498" s="4">
        <v>119</v>
      </c>
      <c r="AF2498" s="4">
        <v>1</v>
      </c>
      <c r="AG2498" s="4">
        <v>2</v>
      </c>
      <c r="AH2498" s="4">
        <v>64</v>
      </c>
      <c r="AI2498" s="4">
        <v>97</v>
      </c>
      <c r="AJ2498" s="4">
        <v>10</v>
      </c>
      <c r="AK2498" s="4">
        <v>16</v>
      </c>
      <c r="AL2498" s="4">
        <v>39</v>
      </c>
      <c r="AM2498" s="4">
        <v>57</v>
      </c>
      <c r="AN2498" s="4">
        <v>0</v>
      </c>
      <c r="AO2498" s="4">
        <v>0</v>
      </c>
      <c r="AP2498" s="4">
        <v>13</v>
      </c>
      <c r="AQ2498" s="4">
        <v>21</v>
      </c>
      <c r="AR2498" s="3" t="s">
        <v>64</v>
      </c>
      <c r="AS2498" s="3" t="s">
        <v>64</v>
      </c>
      <c r="AT2498" s="3" t="s">
        <v>128</v>
      </c>
      <c r="AU2498" s="6" t="str">
        <f>HYPERLINK("http://catalog.hathitrust.org/Record/000737438","HathiTrust Record")</f>
        <v>HathiTrust Record</v>
      </c>
      <c r="AV2498" s="6" t="str">
        <f>HYPERLINK("http://mcgill.on.worldcat.org/oclc/6331164","Catalog Record")</f>
        <v>Catalog Record</v>
      </c>
      <c r="AW2498" s="6" t="str">
        <f>HYPERLINK("http://www.worldcat.org/oclc/6331164","WorldCat Record")</f>
        <v>WorldCat Record</v>
      </c>
      <c r="AX2498" s="3" t="s">
        <v>25373</v>
      </c>
      <c r="AY2498" s="3" t="s">
        <v>25374</v>
      </c>
      <c r="AZ2498" s="3" t="s">
        <v>25375</v>
      </c>
      <c r="BA2498" s="3" t="s">
        <v>25375</v>
      </c>
      <c r="BB2498" s="3" t="s">
        <v>25397</v>
      </c>
      <c r="BC2498" s="3" t="s">
        <v>77</v>
      </c>
      <c r="BD2498" s="3" t="s">
        <v>78</v>
      </c>
      <c r="BE2498" s="3" t="s">
        <v>25377</v>
      </c>
      <c r="BF2498" s="3" t="s">
        <v>25397</v>
      </c>
      <c r="BG2498" s="3" t="s">
        <v>25398</v>
      </c>
      <c r="BH2498">
        <f t="shared" ref="BH2498:BH2561" si="61">IF(COUNTIF($BF$1:$BF$5431,BF2498)=1,0,1)</f>
        <v>0</v>
      </c>
    </row>
    <row r="2499" spans="1:60" ht="87" x14ac:dyDescent="0.35">
      <c r="A2499" s="2" t="s">
        <v>59</v>
      </c>
      <c r="B2499" s="2" t="s">
        <v>60</v>
      </c>
      <c r="C2499" s="2" t="s">
        <v>25399</v>
      </c>
      <c r="D2499" s="2" t="s">
        <v>25400</v>
      </c>
      <c r="E2499" s="2" t="s">
        <v>25401</v>
      </c>
      <c r="G2499" s="3" t="s">
        <v>64</v>
      </c>
      <c r="I2499" s="3" t="s">
        <v>64</v>
      </c>
      <c r="J2499" s="3" t="s">
        <v>64</v>
      </c>
      <c r="K2499" s="3" t="s">
        <v>65</v>
      </c>
      <c r="M2499" s="2" t="s">
        <v>23590</v>
      </c>
      <c r="N2499" s="3" t="s">
        <v>3428</v>
      </c>
      <c r="P2499" s="3" t="s">
        <v>102</v>
      </c>
      <c r="R2499" s="3" t="s">
        <v>70</v>
      </c>
      <c r="S2499" s="4">
        <v>2</v>
      </c>
      <c r="T2499" s="4">
        <v>2</v>
      </c>
      <c r="U2499" s="5" t="s">
        <v>25402</v>
      </c>
      <c r="V2499" s="5" t="s">
        <v>25402</v>
      </c>
      <c r="W2499" s="5" t="s">
        <v>72</v>
      </c>
      <c r="X2499" s="5" t="s">
        <v>72</v>
      </c>
      <c r="Y2499" s="4">
        <v>578</v>
      </c>
      <c r="Z2499" s="4">
        <v>28</v>
      </c>
      <c r="AA2499" s="4">
        <v>33</v>
      </c>
      <c r="AB2499" s="4">
        <v>2</v>
      </c>
      <c r="AC2499" s="4">
        <v>4</v>
      </c>
      <c r="AD2499" s="4">
        <v>99</v>
      </c>
      <c r="AE2499" s="4">
        <v>103</v>
      </c>
      <c r="AF2499" s="4">
        <v>0</v>
      </c>
      <c r="AG2499" s="4">
        <v>1</v>
      </c>
      <c r="AH2499" s="4">
        <v>86</v>
      </c>
      <c r="AI2499" s="4">
        <v>88</v>
      </c>
      <c r="AJ2499" s="4">
        <v>13</v>
      </c>
      <c r="AK2499" s="4">
        <v>14</v>
      </c>
      <c r="AL2499" s="4">
        <v>42</v>
      </c>
      <c r="AM2499" s="4">
        <v>42</v>
      </c>
      <c r="AN2499" s="4">
        <v>0</v>
      </c>
      <c r="AO2499" s="4">
        <v>0</v>
      </c>
      <c r="AP2499" s="4">
        <v>19</v>
      </c>
      <c r="AQ2499" s="4">
        <v>20</v>
      </c>
      <c r="AR2499" s="3" t="s">
        <v>64</v>
      </c>
      <c r="AS2499" s="3" t="s">
        <v>64</v>
      </c>
      <c r="AT2499" s="3" t="s">
        <v>128</v>
      </c>
      <c r="AU2499" s="6" t="str">
        <f>HYPERLINK("http://catalog.hathitrust.org/Record/002969823","HathiTrust Record")</f>
        <v>HathiTrust Record</v>
      </c>
      <c r="AV2499" s="6" t="str">
        <f>HYPERLINK("http://mcgill.on.worldcat.org/oclc/31289191","Catalog Record")</f>
        <v>Catalog Record</v>
      </c>
      <c r="AW2499" s="6" t="str">
        <f>HYPERLINK("http://www.worldcat.org/oclc/31289191","WorldCat Record")</f>
        <v>WorldCat Record</v>
      </c>
      <c r="AX2499" s="3" t="s">
        <v>25403</v>
      </c>
      <c r="AY2499" s="3" t="s">
        <v>25404</v>
      </c>
      <c r="AZ2499" s="3" t="s">
        <v>25405</v>
      </c>
      <c r="BA2499" s="3" t="s">
        <v>25405</v>
      </c>
      <c r="BB2499" s="3" t="s">
        <v>25406</v>
      </c>
      <c r="BC2499" s="3" t="s">
        <v>77</v>
      </c>
      <c r="BD2499" s="3" t="s">
        <v>78</v>
      </c>
      <c r="BE2499" s="3" t="s">
        <v>25407</v>
      </c>
      <c r="BF2499" s="3" t="s">
        <v>25406</v>
      </c>
      <c r="BG2499" s="3" t="s">
        <v>25408</v>
      </c>
      <c r="BH2499">
        <f t="shared" si="61"/>
        <v>0</v>
      </c>
    </row>
    <row r="2500" spans="1:60" ht="58" x14ac:dyDescent="0.35">
      <c r="A2500" s="2" t="s">
        <v>59</v>
      </c>
      <c r="B2500" s="2" t="s">
        <v>60</v>
      </c>
      <c r="C2500" s="2" t="s">
        <v>25409</v>
      </c>
      <c r="D2500" s="2" t="s">
        <v>25410</v>
      </c>
      <c r="E2500" s="2" t="s">
        <v>25411</v>
      </c>
      <c r="G2500" s="3" t="s">
        <v>64</v>
      </c>
      <c r="I2500" s="3" t="s">
        <v>64</v>
      </c>
      <c r="J2500" s="3" t="s">
        <v>64</v>
      </c>
      <c r="K2500" s="3" t="s">
        <v>65</v>
      </c>
      <c r="M2500" s="2" t="s">
        <v>20948</v>
      </c>
      <c r="N2500" s="3" t="s">
        <v>326</v>
      </c>
      <c r="P2500" s="3" t="s">
        <v>102</v>
      </c>
      <c r="Q2500" s="2" t="s">
        <v>17587</v>
      </c>
      <c r="R2500" s="3" t="s">
        <v>70</v>
      </c>
      <c r="S2500" s="4">
        <v>5</v>
      </c>
      <c r="T2500" s="4">
        <v>5</v>
      </c>
      <c r="U2500" s="5" t="s">
        <v>4697</v>
      </c>
      <c r="V2500" s="5" t="s">
        <v>4697</v>
      </c>
      <c r="W2500" s="5" t="s">
        <v>72</v>
      </c>
      <c r="X2500" s="5" t="s">
        <v>72</v>
      </c>
      <c r="Y2500" s="4">
        <v>280</v>
      </c>
      <c r="Z2500" s="4">
        <v>15</v>
      </c>
      <c r="AA2500" s="4">
        <v>45</v>
      </c>
      <c r="AB2500" s="4">
        <v>1</v>
      </c>
      <c r="AC2500" s="4">
        <v>10</v>
      </c>
      <c r="AD2500" s="4">
        <v>65</v>
      </c>
      <c r="AE2500" s="4">
        <v>86</v>
      </c>
      <c r="AF2500" s="4">
        <v>0</v>
      </c>
      <c r="AG2500" s="4">
        <v>2</v>
      </c>
      <c r="AH2500" s="4">
        <v>60</v>
      </c>
      <c r="AI2500" s="4">
        <v>76</v>
      </c>
      <c r="AJ2500" s="4">
        <v>9</v>
      </c>
      <c r="AK2500" s="4">
        <v>11</v>
      </c>
      <c r="AL2500" s="4">
        <v>36</v>
      </c>
      <c r="AM2500" s="4">
        <v>42</v>
      </c>
      <c r="AN2500" s="4">
        <v>0</v>
      </c>
      <c r="AO2500" s="4">
        <v>0</v>
      </c>
      <c r="AP2500" s="4">
        <v>11</v>
      </c>
      <c r="AQ2500" s="4">
        <v>16</v>
      </c>
      <c r="AR2500" s="3" t="s">
        <v>64</v>
      </c>
      <c r="AS2500" s="3" t="s">
        <v>64</v>
      </c>
      <c r="AT2500" s="3" t="s">
        <v>64</v>
      </c>
      <c r="AV2500" s="6" t="str">
        <f>HYPERLINK("http://mcgill.on.worldcat.org/oclc/682921018","Catalog Record")</f>
        <v>Catalog Record</v>
      </c>
      <c r="AW2500" s="6" t="str">
        <f>HYPERLINK("http://www.worldcat.org/oclc/682921018","WorldCat Record")</f>
        <v>WorldCat Record</v>
      </c>
      <c r="AX2500" s="3" t="s">
        <v>25412</v>
      </c>
      <c r="AY2500" s="3" t="s">
        <v>25413</v>
      </c>
      <c r="AZ2500" s="3" t="s">
        <v>25414</v>
      </c>
      <c r="BA2500" s="3" t="s">
        <v>25414</v>
      </c>
      <c r="BB2500" s="3" t="s">
        <v>25415</v>
      </c>
      <c r="BC2500" s="3" t="s">
        <v>77</v>
      </c>
      <c r="BD2500" s="3" t="s">
        <v>78</v>
      </c>
      <c r="BE2500" s="3" t="s">
        <v>25416</v>
      </c>
      <c r="BF2500" s="3" t="s">
        <v>25415</v>
      </c>
      <c r="BG2500" s="3" t="s">
        <v>25417</v>
      </c>
      <c r="BH2500">
        <f t="shared" si="61"/>
        <v>0</v>
      </c>
    </row>
    <row r="2501" spans="1:60" ht="58" x14ac:dyDescent="0.35">
      <c r="A2501" s="2" t="s">
        <v>59</v>
      </c>
      <c r="B2501" s="2" t="s">
        <v>60</v>
      </c>
      <c r="C2501" s="2" t="s">
        <v>25418</v>
      </c>
      <c r="D2501" s="2" t="s">
        <v>25419</v>
      </c>
      <c r="E2501" s="2" t="s">
        <v>25420</v>
      </c>
      <c r="F2501" s="3" t="s">
        <v>525</v>
      </c>
      <c r="G2501" s="3" t="s">
        <v>128</v>
      </c>
      <c r="I2501" s="3" t="s">
        <v>64</v>
      </c>
      <c r="J2501" s="3" t="s">
        <v>64</v>
      </c>
      <c r="K2501" s="3" t="s">
        <v>65</v>
      </c>
      <c r="M2501" s="2" t="s">
        <v>25421</v>
      </c>
      <c r="N2501" s="3" t="s">
        <v>144</v>
      </c>
      <c r="O2501" s="2" t="s">
        <v>2149</v>
      </c>
      <c r="P2501" s="3" t="s">
        <v>102</v>
      </c>
      <c r="R2501" s="3" t="s">
        <v>70</v>
      </c>
      <c r="S2501" s="4">
        <v>1</v>
      </c>
      <c r="T2501" s="4">
        <v>1</v>
      </c>
      <c r="U2501" s="5" t="s">
        <v>6045</v>
      </c>
      <c r="V2501" s="5" t="s">
        <v>6045</v>
      </c>
      <c r="W2501" s="5" t="s">
        <v>72</v>
      </c>
      <c r="X2501" s="5" t="s">
        <v>72</v>
      </c>
      <c r="Y2501" s="4">
        <v>7</v>
      </c>
      <c r="Z2501" s="4">
        <v>2</v>
      </c>
      <c r="AA2501" s="4">
        <v>2</v>
      </c>
      <c r="AB2501" s="4">
        <v>2</v>
      </c>
      <c r="AC2501" s="4">
        <v>2</v>
      </c>
      <c r="AD2501" s="4">
        <v>1</v>
      </c>
      <c r="AE2501" s="4">
        <v>1</v>
      </c>
      <c r="AF2501" s="4">
        <v>0</v>
      </c>
      <c r="AG2501" s="4">
        <v>0</v>
      </c>
      <c r="AH2501" s="4">
        <v>1</v>
      </c>
      <c r="AI2501" s="4">
        <v>1</v>
      </c>
      <c r="AJ2501" s="4">
        <v>0</v>
      </c>
      <c r="AK2501" s="4">
        <v>0</v>
      </c>
      <c r="AL2501" s="4">
        <v>1</v>
      </c>
      <c r="AM2501" s="4">
        <v>1</v>
      </c>
      <c r="AN2501" s="4">
        <v>0</v>
      </c>
      <c r="AO2501" s="4">
        <v>0</v>
      </c>
      <c r="AP2501" s="4">
        <v>0</v>
      </c>
      <c r="AQ2501" s="4">
        <v>0</v>
      </c>
      <c r="AR2501" s="3" t="s">
        <v>64</v>
      </c>
      <c r="AS2501" s="3" t="s">
        <v>64</v>
      </c>
      <c r="AT2501" s="3" t="s">
        <v>64</v>
      </c>
      <c r="AV2501" s="6" t="str">
        <f>HYPERLINK("http://mcgill.on.worldcat.org/oclc/277276929","Catalog Record")</f>
        <v>Catalog Record</v>
      </c>
      <c r="AW2501" s="6" t="str">
        <f>HYPERLINK("http://www.worldcat.org/oclc/277276929","WorldCat Record")</f>
        <v>WorldCat Record</v>
      </c>
      <c r="AX2501" s="3" t="s">
        <v>25422</v>
      </c>
      <c r="AY2501" s="3" t="s">
        <v>25423</v>
      </c>
      <c r="AZ2501" s="3" t="s">
        <v>25424</v>
      </c>
      <c r="BA2501" s="3" t="s">
        <v>25424</v>
      </c>
      <c r="BB2501" s="3" t="s">
        <v>25425</v>
      </c>
      <c r="BC2501" s="3" t="s">
        <v>77</v>
      </c>
      <c r="BD2501" s="3" t="s">
        <v>78</v>
      </c>
      <c r="BE2501" s="3" t="s">
        <v>25426</v>
      </c>
      <c r="BF2501" s="3" t="s">
        <v>25425</v>
      </c>
      <c r="BG2501" s="3" t="s">
        <v>25427</v>
      </c>
      <c r="BH2501">
        <f t="shared" si="61"/>
        <v>0</v>
      </c>
    </row>
    <row r="2502" spans="1:60" ht="58" x14ac:dyDescent="0.35">
      <c r="A2502" s="2" t="s">
        <v>59</v>
      </c>
      <c r="B2502" s="2" t="s">
        <v>60</v>
      </c>
      <c r="C2502" s="2" t="s">
        <v>25418</v>
      </c>
      <c r="D2502" s="2" t="s">
        <v>25419</v>
      </c>
      <c r="E2502" s="2" t="s">
        <v>25420</v>
      </c>
      <c r="F2502" s="3" t="s">
        <v>529</v>
      </c>
      <c r="G2502" s="3" t="s">
        <v>128</v>
      </c>
      <c r="I2502" s="3" t="s">
        <v>64</v>
      </c>
      <c r="J2502" s="3" t="s">
        <v>64</v>
      </c>
      <c r="K2502" s="3" t="s">
        <v>65</v>
      </c>
      <c r="M2502" s="2" t="s">
        <v>25421</v>
      </c>
      <c r="N2502" s="3" t="s">
        <v>144</v>
      </c>
      <c r="O2502" s="2" t="s">
        <v>2149</v>
      </c>
      <c r="P2502" s="3" t="s">
        <v>102</v>
      </c>
      <c r="R2502" s="3" t="s">
        <v>70</v>
      </c>
      <c r="S2502" s="4">
        <v>0</v>
      </c>
      <c r="T2502" s="4">
        <v>1</v>
      </c>
      <c r="V2502" s="5" t="s">
        <v>6045</v>
      </c>
      <c r="W2502" s="5" t="s">
        <v>72</v>
      </c>
      <c r="X2502" s="5" t="s">
        <v>72</v>
      </c>
      <c r="Y2502" s="4">
        <v>7</v>
      </c>
      <c r="Z2502" s="4">
        <v>2</v>
      </c>
      <c r="AA2502" s="4">
        <v>2</v>
      </c>
      <c r="AB2502" s="4">
        <v>2</v>
      </c>
      <c r="AC2502" s="4">
        <v>2</v>
      </c>
      <c r="AD2502" s="4">
        <v>1</v>
      </c>
      <c r="AE2502" s="4">
        <v>1</v>
      </c>
      <c r="AF2502" s="4">
        <v>0</v>
      </c>
      <c r="AG2502" s="4">
        <v>0</v>
      </c>
      <c r="AH2502" s="4">
        <v>1</v>
      </c>
      <c r="AI2502" s="4">
        <v>1</v>
      </c>
      <c r="AJ2502" s="4">
        <v>0</v>
      </c>
      <c r="AK2502" s="4">
        <v>0</v>
      </c>
      <c r="AL2502" s="4">
        <v>1</v>
      </c>
      <c r="AM2502" s="4">
        <v>1</v>
      </c>
      <c r="AN2502" s="4">
        <v>0</v>
      </c>
      <c r="AO2502" s="4">
        <v>0</v>
      </c>
      <c r="AP2502" s="4">
        <v>0</v>
      </c>
      <c r="AQ2502" s="4">
        <v>0</v>
      </c>
      <c r="AR2502" s="3" t="s">
        <v>64</v>
      </c>
      <c r="AS2502" s="3" t="s">
        <v>64</v>
      </c>
      <c r="AT2502" s="3" t="s">
        <v>64</v>
      </c>
      <c r="AV2502" s="6" t="str">
        <f>HYPERLINK("http://mcgill.on.worldcat.org/oclc/277276929","Catalog Record")</f>
        <v>Catalog Record</v>
      </c>
      <c r="AW2502" s="6" t="str">
        <f>HYPERLINK("http://www.worldcat.org/oclc/277276929","WorldCat Record")</f>
        <v>WorldCat Record</v>
      </c>
      <c r="AX2502" s="3" t="s">
        <v>25422</v>
      </c>
      <c r="AY2502" s="3" t="s">
        <v>25423</v>
      </c>
      <c r="AZ2502" s="3" t="s">
        <v>25424</v>
      </c>
      <c r="BA2502" s="3" t="s">
        <v>25424</v>
      </c>
      <c r="BB2502" s="3" t="s">
        <v>25428</v>
      </c>
      <c r="BC2502" s="3" t="s">
        <v>77</v>
      </c>
      <c r="BD2502" s="3" t="s">
        <v>78</v>
      </c>
      <c r="BE2502" s="3" t="s">
        <v>25426</v>
      </c>
      <c r="BF2502" s="3" t="s">
        <v>25428</v>
      </c>
      <c r="BG2502" s="3" t="s">
        <v>25429</v>
      </c>
      <c r="BH2502">
        <f t="shared" si="61"/>
        <v>0</v>
      </c>
    </row>
    <row r="2503" spans="1:60" ht="58" x14ac:dyDescent="0.35">
      <c r="A2503" s="2" t="s">
        <v>59</v>
      </c>
      <c r="B2503" s="2" t="s">
        <v>60</v>
      </c>
      <c r="C2503" s="2" t="s">
        <v>25430</v>
      </c>
      <c r="D2503" s="2" t="s">
        <v>25431</v>
      </c>
      <c r="E2503" s="2" t="s">
        <v>25432</v>
      </c>
      <c r="G2503" s="3" t="s">
        <v>64</v>
      </c>
      <c r="I2503" s="3" t="s">
        <v>64</v>
      </c>
      <c r="J2503" s="3" t="s">
        <v>64</v>
      </c>
      <c r="K2503" s="3" t="s">
        <v>65</v>
      </c>
      <c r="M2503" s="2" t="s">
        <v>25433</v>
      </c>
      <c r="N2503" s="3" t="s">
        <v>1061</v>
      </c>
      <c r="P2503" s="3" t="s">
        <v>102</v>
      </c>
      <c r="R2503" s="3" t="s">
        <v>70</v>
      </c>
      <c r="S2503" s="4">
        <v>12</v>
      </c>
      <c r="T2503" s="4">
        <v>12</v>
      </c>
      <c r="U2503" s="5" t="s">
        <v>1088</v>
      </c>
      <c r="V2503" s="5" t="s">
        <v>1088</v>
      </c>
      <c r="W2503" s="5" t="s">
        <v>72</v>
      </c>
      <c r="X2503" s="5" t="s">
        <v>72</v>
      </c>
      <c r="Y2503" s="4">
        <v>325</v>
      </c>
      <c r="Z2503" s="4">
        <v>16</v>
      </c>
      <c r="AA2503" s="4">
        <v>17</v>
      </c>
      <c r="AB2503" s="4">
        <v>1</v>
      </c>
      <c r="AC2503" s="4">
        <v>2</v>
      </c>
      <c r="AD2503" s="4">
        <v>75</v>
      </c>
      <c r="AE2503" s="4">
        <v>76</v>
      </c>
      <c r="AF2503" s="4">
        <v>0</v>
      </c>
      <c r="AG2503" s="4">
        <v>1</v>
      </c>
      <c r="AH2503" s="4">
        <v>69</v>
      </c>
      <c r="AI2503" s="4">
        <v>69</v>
      </c>
      <c r="AJ2503" s="4">
        <v>9</v>
      </c>
      <c r="AK2503" s="4">
        <v>10</v>
      </c>
      <c r="AL2503" s="4">
        <v>36</v>
      </c>
      <c r="AM2503" s="4">
        <v>36</v>
      </c>
      <c r="AN2503" s="4">
        <v>0</v>
      </c>
      <c r="AO2503" s="4">
        <v>0</v>
      </c>
      <c r="AP2503" s="4">
        <v>9</v>
      </c>
      <c r="AQ2503" s="4">
        <v>9</v>
      </c>
      <c r="AR2503" s="3" t="s">
        <v>64</v>
      </c>
      <c r="AS2503" s="3" t="s">
        <v>64</v>
      </c>
      <c r="AT2503" s="3" t="s">
        <v>128</v>
      </c>
      <c r="AU2503" s="6" t="str">
        <f>HYPERLINK("http://catalog.hathitrust.org/Record/000424265","HathiTrust Record")</f>
        <v>HathiTrust Record</v>
      </c>
      <c r="AV2503" s="6" t="str">
        <f>HYPERLINK("http://mcgill.on.worldcat.org/oclc/12106555","Catalog Record")</f>
        <v>Catalog Record</v>
      </c>
      <c r="AW2503" s="6" t="str">
        <f>HYPERLINK("http://www.worldcat.org/oclc/12106555","WorldCat Record")</f>
        <v>WorldCat Record</v>
      </c>
      <c r="AX2503" s="3" t="s">
        <v>25434</v>
      </c>
      <c r="AY2503" s="3" t="s">
        <v>25435</v>
      </c>
      <c r="AZ2503" s="3" t="s">
        <v>25436</v>
      </c>
      <c r="BA2503" s="3" t="s">
        <v>25436</v>
      </c>
      <c r="BB2503" s="3" t="s">
        <v>25437</v>
      </c>
      <c r="BC2503" s="3" t="s">
        <v>77</v>
      </c>
      <c r="BD2503" s="3" t="s">
        <v>78</v>
      </c>
      <c r="BE2503" s="3" t="s">
        <v>25438</v>
      </c>
      <c r="BF2503" s="3" t="s">
        <v>25437</v>
      </c>
      <c r="BG2503" s="3" t="s">
        <v>25439</v>
      </c>
      <c r="BH2503">
        <f t="shared" si="61"/>
        <v>0</v>
      </c>
    </row>
    <row r="2504" spans="1:60" ht="58" x14ac:dyDescent="0.35">
      <c r="A2504" s="2" t="s">
        <v>59</v>
      </c>
      <c r="B2504" s="2" t="s">
        <v>60</v>
      </c>
      <c r="C2504" s="2" t="s">
        <v>25440</v>
      </c>
      <c r="D2504" s="2" t="s">
        <v>25441</v>
      </c>
      <c r="E2504" s="2" t="s">
        <v>25442</v>
      </c>
      <c r="G2504" s="3" t="s">
        <v>64</v>
      </c>
      <c r="I2504" s="3" t="s">
        <v>64</v>
      </c>
      <c r="J2504" s="3" t="s">
        <v>128</v>
      </c>
      <c r="K2504" s="3" t="s">
        <v>65</v>
      </c>
      <c r="L2504" s="2" t="s">
        <v>25443</v>
      </c>
      <c r="M2504" s="2" t="s">
        <v>24363</v>
      </c>
      <c r="N2504" s="3" t="s">
        <v>159</v>
      </c>
      <c r="O2504" s="2" t="s">
        <v>2994</v>
      </c>
      <c r="P2504" s="3" t="s">
        <v>102</v>
      </c>
      <c r="R2504" s="3" t="s">
        <v>70</v>
      </c>
      <c r="S2504" s="4">
        <v>14</v>
      </c>
      <c r="T2504" s="4">
        <v>14</v>
      </c>
      <c r="U2504" s="5" t="s">
        <v>6045</v>
      </c>
      <c r="V2504" s="5" t="s">
        <v>6045</v>
      </c>
      <c r="W2504" s="5" t="s">
        <v>72</v>
      </c>
      <c r="X2504" s="5" t="s">
        <v>72</v>
      </c>
      <c r="Y2504" s="4">
        <v>202</v>
      </c>
      <c r="Z2504" s="4">
        <v>13</v>
      </c>
      <c r="AA2504" s="4">
        <v>26</v>
      </c>
      <c r="AB2504" s="4">
        <v>2</v>
      </c>
      <c r="AC2504" s="4">
        <v>5</v>
      </c>
      <c r="AD2504" s="4">
        <v>42</v>
      </c>
      <c r="AE2504" s="4">
        <v>79</v>
      </c>
      <c r="AF2504" s="4">
        <v>0</v>
      </c>
      <c r="AG2504" s="4">
        <v>2</v>
      </c>
      <c r="AH2504" s="4">
        <v>41</v>
      </c>
      <c r="AI2504" s="4">
        <v>69</v>
      </c>
      <c r="AJ2504" s="4">
        <v>6</v>
      </c>
      <c r="AK2504" s="4">
        <v>11</v>
      </c>
      <c r="AL2504" s="4">
        <v>16</v>
      </c>
      <c r="AM2504" s="4">
        <v>33</v>
      </c>
      <c r="AN2504" s="4">
        <v>0</v>
      </c>
      <c r="AO2504" s="4">
        <v>0</v>
      </c>
      <c r="AP2504" s="4">
        <v>6</v>
      </c>
      <c r="AQ2504" s="4">
        <v>13</v>
      </c>
      <c r="AR2504" s="3" t="s">
        <v>64</v>
      </c>
      <c r="AS2504" s="3" t="s">
        <v>64</v>
      </c>
      <c r="AT2504" s="3" t="s">
        <v>128</v>
      </c>
      <c r="AU2504" s="6" t="str">
        <f>HYPERLINK("http://catalog.hathitrust.org/Record/004232475","HathiTrust Record")</f>
        <v>HathiTrust Record</v>
      </c>
      <c r="AV2504" s="6" t="str">
        <f>HYPERLINK("http://mcgill.on.worldcat.org/oclc/47521331","Catalog Record")</f>
        <v>Catalog Record</v>
      </c>
      <c r="AW2504" s="6" t="str">
        <f>HYPERLINK("http://www.worldcat.org/oclc/47521331","WorldCat Record")</f>
        <v>WorldCat Record</v>
      </c>
      <c r="AX2504" s="3" t="s">
        <v>25444</v>
      </c>
      <c r="AY2504" s="3" t="s">
        <v>25445</v>
      </c>
      <c r="AZ2504" s="3" t="s">
        <v>25446</v>
      </c>
      <c r="BA2504" s="3" t="s">
        <v>25446</v>
      </c>
      <c r="BB2504" s="3" t="s">
        <v>25447</v>
      </c>
      <c r="BC2504" s="3" t="s">
        <v>77</v>
      </c>
      <c r="BD2504" s="3" t="s">
        <v>78</v>
      </c>
      <c r="BE2504" s="3" t="s">
        <v>25448</v>
      </c>
      <c r="BF2504" s="3" t="s">
        <v>25447</v>
      </c>
      <c r="BG2504" s="3" t="s">
        <v>25449</v>
      </c>
      <c r="BH2504">
        <f t="shared" si="61"/>
        <v>0</v>
      </c>
    </row>
    <row r="2505" spans="1:60" ht="116" x14ac:dyDescent="0.35">
      <c r="A2505" s="2" t="s">
        <v>59</v>
      </c>
      <c r="B2505" s="2" t="s">
        <v>1183</v>
      </c>
      <c r="C2505" s="2" t="s">
        <v>25450</v>
      </c>
      <c r="D2505" s="2" t="s">
        <v>25451</v>
      </c>
      <c r="E2505" s="2" t="s">
        <v>25452</v>
      </c>
      <c r="G2505" s="3" t="s">
        <v>64</v>
      </c>
      <c r="I2505" s="3" t="s">
        <v>64</v>
      </c>
      <c r="J2505" s="3" t="s">
        <v>64</v>
      </c>
      <c r="K2505" s="3" t="s">
        <v>65</v>
      </c>
      <c r="L2505" s="2" t="s">
        <v>25453</v>
      </c>
      <c r="M2505" s="2" t="s">
        <v>25454</v>
      </c>
      <c r="N2505" s="3" t="s">
        <v>511</v>
      </c>
      <c r="O2505" s="2" t="s">
        <v>1189</v>
      </c>
      <c r="P2505" s="3" t="s">
        <v>1190</v>
      </c>
      <c r="R2505" s="3" t="s">
        <v>70</v>
      </c>
      <c r="S2505" s="4">
        <v>1</v>
      </c>
      <c r="T2505" s="4">
        <v>1</v>
      </c>
      <c r="U2505" s="5" t="s">
        <v>25455</v>
      </c>
      <c r="V2505" s="5" t="s">
        <v>25455</v>
      </c>
      <c r="W2505" s="5" t="s">
        <v>72</v>
      </c>
      <c r="X2505" s="5" t="s">
        <v>72</v>
      </c>
      <c r="Y2505" s="4">
        <v>11</v>
      </c>
      <c r="Z2505" s="4">
        <v>1</v>
      </c>
      <c r="AA2505" s="4">
        <v>1</v>
      </c>
      <c r="AB2505" s="4">
        <v>1</v>
      </c>
      <c r="AC2505" s="4">
        <v>1</v>
      </c>
      <c r="AD2505" s="4">
        <v>4</v>
      </c>
      <c r="AE2505" s="4">
        <v>4</v>
      </c>
      <c r="AF2505" s="4">
        <v>0</v>
      </c>
      <c r="AG2505" s="4">
        <v>0</v>
      </c>
      <c r="AH2505" s="4">
        <v>3</v>
      </c>
      <c r="AI2505" s="4">
        <v>3</v>
      </c>
      <c r="AJ2505" s="4">
        <v>0</v>
      </c>
      <c r="AK2505" s="4">
        <v>0</v>
      </c>
      <c r="AL2505" s="4">
        <v>3</v>
      </c>
      <c r="AM2505" s="4">
        <v>3</v>
      </c>
      <c r="AN2505" s="4">
        <v>0</v>
      </c>
      <c r="AO2505" s="4">
        <v>0</v>
      </c>
      <c r="AP2505" s="4">
        <v>0</v>
      </c>
      <c r="AQ2505" s="4">
        <v>0</v>
      </c>
      <c r="AR2505" s="3" t="s">
        <v>64</v>
      </c>
      <c r="AS2505" s="3" t="s">
        <v>64</v>
      </c>
      <c r="AT2505" s="3" t="s">
        <v>64</v>
      </c>
      <c r="AV2505" s="6" t="str">
        <f>HYPERLINK("http://mcgill.on.worldcat.org/oclc/650056009","Catalog Record")</f>
        <v>Catalog Record</v>
      </c>
      <c r="AW2505" s="6" t="str">
        <f>HYPERLINK("http://www.worldcat.org/oclc/650056009","WorldCat Record")</f>
        <v>WorldCat Record</v>
      </c>
      <c r="AX2505" s="3" t="s">
        <v>25456</v>
      </c>
      <c r="AY2505" s="3" t="s">
        <v>25457</v>
      </c>
      <c r="AZ2505" s="3" t="s">
        <v>25458</v>
      </c>
      <c r="BA2505" s="3" t="s">
        <v>25458</v>
      </c>
      <c r="BB2505" s="3" t="s">
        <v>25459</v>
      </c>
      <c r="BC2505" s="3" t="s">
        <v>77</v>
      </c>
      <c r="BD2505" s="3" t="s">
        <v>78</v>
      </c>
      <c r="BE2505" s="3" t="s">
        <v>25460</v>
      </c>
      <c r="BF2505" s="3" t="s">
        <v>25459</v>
      </c>
      <c r="BG2505" s="3" t="s">
        <v>25461</v>
      </c>
      <c r="BH2505">
        <f t="shared" si="61"/>
        <v>0</v>
      </c>
    </row>
    <row r="2506" spans="1:60" ht="58" x14ac:dyDescent="0.35">
      <c r="A2506" s="2" t="s">
        <v>59</v>
      </c>
      <c r="B2506" s="2" t="s">
        <v>60</v>
      </c>
      <c r="C2506" s="2" t="s">
        <v>25462</v>
      </c>
      <c r="D2506" s="2" t="s">
        <v>25463</v>
      </c>
      <c r="E2506" s="2" t="s">
        <v>25464</v>
      </c>
      <c r="G2506" s="3" t="s">
        <v>64</v>
      </c>
      <c r="I2506" s="3" t="s">
        <v>64</v>
      </c>
      <c r="J2506" s="3" t="s">
        <v>128</v>
      </c>
      <c r="K2506" s="3" t="s">
        <v>65</v>
      </c>
      <c r="L2506" s="2" t="s">
        <v>25465</v>
      </c>
      <c r="M2506" s="2" t="s">
        <v>25466</v>
      </c>
      <c r="N2506" s="3" t="s">
        <v>253</v>
      </c>
      <c r="O2506" s="2" t="s">
        <v>15875</v>
      </c>
      <c r="P2506" s="3" t="s">
        <v>102</v>
      </c>
      <c r="R2506" s="3" t="s">
        <v>70</v>
      </c>
      <c r="S2506" s="4">
        <v>2</v>
      </c>
      <c r="T2506" s="4">
        <v>2</v>
      </c>
      <c r="U2506" s="5" t="s">
        <v>25467</v>
      </c>
      <c r="V2506" s="5" t="s">
        <v>25467</v>
      </c>
      <c r="W2506" s="5" t="s">
        <v>72</v>
      </c>
      <c r="X2506" s="5" t="s">
        <v>72</v>
      </c>
      <c r="Y2506" s="4">
        <v>98</v>
      </c>
      <c r="Z2506" s="4">
        <v>7</v>
      </c>
      <c r="AA2506" s="4">
        <v>68</v>
      </c>
      <c r="AB2506" s="4">
        <v>1</v>
      </c>
      <c r="AC2506" s="4">
        <v>9</v>
      </c>
      <c r="AD2506" s="4">
        <v>11</v>
      </c>
      <c r="AE2506" s="4">
        <v>98</v>
      </c>
      <c r="AF2506" s="4">
        <v>0</v>
      </c>
      <c r="AG2506" s="4">
        <v>2</v>
      </c>
      <c r="AH2506" s="4">
        <v>11</v>
      </c>
      <c r="AI2506" s="4">
        <v>80</v>
      </c>
      <c r="AJ2506" s="4">
        <v>2</v>
      </c>
      <c r="AK2506" s="4">
        <v>16</v>
      </c>
      <c r="AL2506" s="4">
        <v>5</v>
      </c>
      <c r="AM2506" s="4">
        <v>39</v>
      </c>
      <c r="AN2506" s="4">
        <v>0</v>
      </c>
      <c r="AO2506" s="4">
        <v>0</v>
      </c>
      <c r="AP2506" s="4">
        <v>2</v>
      </c>
      <c r="AQ2506" s="4">
        <v>23</v>
      </c>
      <c r="AR2506" s="3" t="s">
        <v>64</v>
      </c>
      <c r="AS2506" s="3" t="s">
        <v>64</v>
      </c>
      <c r="AT2506" s="3" t="s">
        <v>64</v>
      </c>
      <c r="AV2506" s="6" t="str">
        <f>HYPERLINK("http://mcgill.on.worldcat.org/oclc/890912114","Catalog Record")</f>
        <v>Catalog Record</v>
      </c>
      <c r="AW2506" s="6" t="str">
        <f>HYPERLINK("http://www.worldcat.org/oclc/890912114","WorldCat Record")</f>
        <v>WorldCat Record</v>
      </c>
      <c r="AX2506" s="3" t="s">
        <v>25468</v>
      </c>
      <c r="AY2506" s="3" t="s">
        <v>25469</v>
      </c>
      <c r="AZ2506" s="3" t="s">
        <v>25470</v>
      </c>
      <c r="BA2506" s="3" t="s">
        <v>25470</v>
      </c>
      <c r="BB2506" s="3" t="s">
        <v>25471</v>
      </c>
      <c r="BC2506" s="3" t="s">
        <v>77</v>
      </c>
      <c r="BD2506" s="3" t="s">
        <v>78</v>
      </c>
      <c r="BE2506" s="3" t="s">
        <v>25472</v>
      </c>
      <c r="BF2506" s="3" t="s">
        <v>25471</v>
      </c>
      <c r="BG2506" s="3" t="s">
        <v>25473</v>
      </c>
      <c r="BH2506">
        <f t="shared" si="61"/>
        <v>0</v>
      </c>
    </row>
    <row r="2507" spans="1:60" ht="58" x14ac:dyDescent="0.35">
      <c r="A2507" s="2" t="s">
        <v>59</v>
      </c>
      <c r="B2507" s="2" t="s">
        <v>60</v>
      </c>
      <c r="C2507" s="2" t="s">
        <v>25474</v>
      </c>
      <c r="D2507" s="2" t="s">
        <v>25475</v>
      </c>
      <c r="E2507" s="2" t="s">
        <v>25476</v>
      </c>
      <c r="G2507" s="3" t="s">
        <v>64</v>
      </c>
      <c r="I2507" s="3" t="s">
        <v>64</v>
      </c>
      <c r="J2507" s="3" t="s">
        <v>64</v>
      </c>
      <c r="K2507" s="3" t="s">
        <v>65</v>
      </c>
      <c r="L2507" s="2" t="s">
        <v>25477</v>
      </c>
      <c r="M2507" s="2" t="s">
        <v>25478</v>
      </c>
      <c r="N2507" s="3" t="s">
        <v>421</v>
      </c>
      <c r="P2507" s="3" t="s">
        <v>102</v>
      </c>
      <c r="R2507" s="3" t="s">
        <v>70</v>
      </c>
      <c r="S2507" s="4">
        <v>5</v>
      </c>
      <c r="T2507" s="4">
        <v>5</v>
      </c>
      <c r="U2507" s="5" t="s">
        <v>11334</v>
      </c>
      <c r="V2507" s="5" t="s">
        <v>11334</v>
      </c>
      <c r="W2507" s="5" t="s">
        <v>72</v>
      </c>
      <c r="X2507" s="5" t="s">
        <v>72</v>
      </c>
      <c r="Y2507" s="4">
        <v>106</v>
      </c>
      <c r="Z2507" s="4">
        <v>3</v>
      </c>
      <c r="AA2507" s="4">
        <v>11</v>
      </c>
      <c r="AB2507" s="4">
        <v>1</v>
      </c>
      <c r="AC2507" s="4">
        <v>2</v>
      </c>
      <c r="AD2507" s="4">
        <v>32</v>
      </c>
      <c r="AE2507" s="4">
        <v>42</v>
      </c>
      <c r="AF2507" s="4">
        <v>0</v>
      </c>
      <c r="AG2507" s="4">
        <v>1</v>
      </c>
      <c r="AH2507" s="4">
        <v>30</v>
      </c>
      <c r="AI2507" s="4">
        <v>38</v>
      </c>
      <c r="AJ2507" s="4">
        <v>1</v>
      </c>
      <c r="AK2507" s="4">
        <v>8</v>
      </c>
      <c r="AL2507" s="4">
        <v>20</v>
      </c>
      <c r="AM2507" s="4">
        <v>22</v>
      </c>
      <c r="AN2507" s="4">
        <v>0</v>
      </c>
      <c r="AO2507" s="4">
        <v>0</v>
      </c>
      <c r="AP2507" s="4">
        <v>2</v>
      </c>
      <c r="AQ2507" s="4">
        <v>8</v>
      </c>
      <c r="AR2507" s="3" t="s">
        <v>64</v>
      </c>
      <c r="AS2507" s="3" t="s">
        <v>64</v>
      </c>
      <c r="AT2507" s="3" t="s">
        <v>64</v>
      </c>
      <c r="AV2507" s="6" t="str">
        <f>HYPERLINK("http://mcgill.on.worldcat.org/oclc/35759924","Catalog Record")</f>
        <v>Catalog Record</v>
      </c>
      <c r="AW2507" s="6" t="str">
        <f>HYPERLINK("http://www.worldcat.org/oclc/35759924","WorldCat Record")</f>
        <v>WorldCat Record</v>
      </c>
      <c r="AX2507" s="3" t="s">
        <v>25479</v>
      </c>
      <c r="AY2507" s="3" t="s">
        <v>25480</v>
      </c>
      <c r="AZ2507" s="3" t="s">
        <v>25481</v>
      </c>
      <c r="BA2507" s="3" t="s">
        <v>25481</v>
      </c>
      <c r="BB2507" s="3" t="s">
        <v>25482</v>
      </c>
      <c r="BC2507" s="3" t="s">
        <v>77</v>
      </c>
      <c r="BD2507" s="3" t="s">
        <v>78</v>
      </c>
      <c r="BE2507" s="3" t="s">
        <v>25483</v>
      </c>
      <c r="BF2507" s="3" t="s">
        <v>25482</v>
      </c>
      <c r="BG2507" s="3" t="s">
        <v>25484</v>
      </c>
      <c r="BH2507">
        <f t="shared" si="61"/>
        <v>0</v>
      </c>
    </row>
    <row r="2508" spans="1:60" ht="58" x14ac:dyDescent="0.35">
      <c r="A2508" s="2" t="s">
        <v>59</v>
      </c>
      <c r="B2508" s="2" t="s">
        <v>60</v>
      </c>
      <c r="C2508" s="2" t="s">
        <v>25485</v>
      </c>
      <c r="D2508" s="2" t="s">
        <v>25486</v>
      </c>
      <c r="E2508" s="2" t="s">
        <v>25487</v>
      </c>
      <c r="G2508" s="3" t="s">
        <v>64</v>
      </c>
      <c r="I2508" s="3" t="s">
        <v>64</v>
      </c>
      <c r="J2508" s="3" t="s">
        <v>64</v>
      </c>
      <c r="K2508" s="3" t="s">
        <v>65</v>
      </c>
      <c r="L2508" s="2" t="s">
        <v>25488</v>
      </c>
      <c r="M2508" s="2" t="s">
        <v>25489</v>
      </c>
      <c r="N2508" s="3" t="s">
        <v>1250</v>
      </c>
      <c r="P2508" s="3" t="s">
        <v>102</v>
      </c>
      <c r="R2508" s="3" t="s">
        <v>70</v>
      </c>
      <c r="S2508" s="4">
        <v>30</v>
      </c>
      <c r="T2508" s="4">
        <v>30</v>
      </c>
      <c r="U2508" s="5" t="s">
        <v>6045</v>
      </c>
      <c r="V2508" s="5" t="s">
        <v>6045</v>
      </c>
      <c r="W2508" s="5" t="s">
        <v>72</v>
      </c>
      <c r="X2508" s="5" t="s">
        <v>72</v>
      </c>
      <c r="Y2508" s="4">
        <v>180</v>
      </c>
      <c r="Z2508" s="4">
        <v>13</v>
      </c>
      <c r="AA2508" s="4">
        <v>14</v>
      </c>
      <c r="AB2508" s="4">
        <v>2</v>
      </c>
      <c r="AC2508" s="4">
        <v>3</v>
      </c>
      <c r="AD2508" s="4">
        <v>47</v>
      </c>
      <c r="AE2508" s="4">
        <v>48</v>
      </c>
      <c r="AF2508" s="4">
        <v>1</v>
      </c>
      <c r="AG2508" s="4">
        <v>2</v>
      </c>
      <c r="AH2508" s="4">
        <v>41</v>
      </c>
      <c r="AI2508" s="4">
        <v>41</v>
      </c>
      <c r="AJ2508" s="4">
        <v>8</v>
      </c>
      <c r="AK2508" s="4">
        <v>9</v>
      </c>
      <c r="AL2508" s="4">
        <v>17</v>
      </c>
      <c r="AM2508" s="4">
        <v>17</v>
      </c>
      <c r="AN2508" s="4">
        <v>0</v>
      </c>
      <c r="AO2508" s="4">
        <v>0</v>
      </c>
      <c r="AP2508" s="4">
        <v>10</v>
      </c>
      <c r="AQ2508" s="4">
        <v>10</v>
      </c>
      <c r="AR2508" s="3" t="s">
        <v>64</v>
      </c>
      <c r="AS2508" s="3" t="s">
        <v>64</v>
      </c>
      <c r="AT2508" s="3" t="s">
        <v>128</v>
      </c>
      <c r="AU2508" s="6" t="str">
        <f>HYPERLINK("http://catalog.hathitrust.org/Record/002907202","HathiTrust Record")</f>
        <v>HathiTrust Record</v>
      </c>
      <c r="AV2508" s="6" t="str">
        <f>HYPERLINK("http://mcgill.on.worldcat.org/oclc/30983914","Catalog Record")</f>
        <v>Catalog Record</v>
      </c>
      <c r="AW2508" s="6" t="str">
        <f>HYPERLINK("http://www.worldcat.org/oclc/30983914","WorldCat Record")</f>
        <v>WorldCat Record</v>
      </c>
      <c r="AX2508" s="3" t="s">
        <v>25490</v>
      </c>
      <c r="AY2508" s="3" t="s">
        <v>25491</v>
      </c>
      <c r="AZ2508" s="3" t="s">
        <v>25492</v>
      </c>
      <c r="BA2508" s="3" t="s">
        <v>25492</v>
      </c>
      <c r="BB2508" s="3" t="s">
        <v>25493</v>
      </c>
      <c r="BC2508" s="3" t="s">
        <v>77</v>
      </c>
      <c r="BD2508" s="3" t="s">
        <v>78</v>
      </c>
      <c r="BE2508" s="3" t="s">
        <v>25494</v>
      </c>
      <c r="BF2508" s="3" t="s">
        <v>25493</v>
      </c>
      <c r="BG2508" s="3" t="s">
        <v>25495</v>
      </c>
      <c r="BH2508">
        <f t="shared" si="61"/>
        <v>0</v>
      </c>
    </row>
    <row r="2509" spans="1:60" ht="58" x14ac:dyDescent="0.35">
      <c r="A2509" s="2" t="s">
        <v>59</v>
      </c>
      <c r="B2509" s="2" t="s">
        <v>60</v>
      </c>
      <c r="C2509" s="2" t="s">
        <v>25496</v>
      </c>
      <c r="D2509" s="2" t="s">
        <v>25497</v>
      </c>
      <c r="E2509" s="2" t="s">
        <v>25498</v>
      </c>
      <c r="G2509" s="3" t="s">
        <v>64</v>
      </c>
      <c r="I2509" s="3" t="s">
        <v>64</v>
      </c>
      <c r="J2509" s="3" t="s">
        <v>64</v>
      </c>
      <c r="K2509" s="3" t="s">
        <v>65</v>
      </c>
      <c r="M2509" s="2" t="s">
        <v>16814</v>
      </c>
      <c r="N2509" s="3" t="s">
        <v>326</v>
      </c>
      <c r="P2509" s="3" t="s">
        <v>102</v>
      </c>
      <c r="Q2509" s="2" t="s">
        <v>15181</v>
      </c>
      <c r="R2509" s="3" t="s">
        <v>70</v>
      </c>
      <c r="S2509" s="4">
        <v>3</v>
      </c>
      <c r="T2509" s="4">
        <v>3</v>
      </c>
      <c r="U2509" s="5" t="s">
        <v>25499</v>
      </c>
      <c r="V2509" s="5" t="s">
        <v>25499</v>
      </c>
      <c r="W2509" s="5" t="s">
        <v>72</v>
      </c>
      <c r="X2509" s="5" t="s">
        <v>72</v>
      </c>
      <c r="Y2509" s="4">
        <v>252</v>
      </c>
      <c r="Z2509" s="4">
        <v>13</v>
      </c>
      <c r="AA2509" s="4">
        <v>28</v>
      </c>
      <c r="AB2509" s="4">
        <v>1</v>
      </c>
      <c r="AC2509" s="4">
        <v>7</v>
      </c>
      <c r="AD2509" s="4">
        <v>53</v>
      </c>
      <c r="AE2509" s="4">
        <v>72</v>
      </c>
      <c r="AF2509" s="4">
        <v>0</v>
      </c>
      <c r="AG2509" s="4">
        <v>3</v>
      </c>
      <c r="AH2509" s="4">
        <v>49</v>
      </c>
      <c r="AI2509" s="4">
        <v>65</v>
      </c>
      <c r="AJ2509" s="4">
        <v>8</v>
      </c>
      <c r="AK2509" s="4">
        <v>10</v>
      </c>
      <c r="AL2509" s="4">
        <v>27</v>
      </c>
      <c r="AM2509" s="4">
        <v>34</v>
      </c>
      <c r="AN2509" s="4">
        <v>0</v>
      </c>
      <c r="AO2509" s="4">
        <v>0</v>
      </c>
      <c r="AP2509" s="4">
        <v>10</v>
      </c>
      <c r="AQ2509" s="4">
        <v>13</v>
      </c>
      <c r="AR2509" s="3" t="s">
        <v>64</v>
      </c>
      <c r="AS2509" s="3" t="s">
        <v>64</v>
      </c>
      <c r="AT2509" s="3" t="s">
        <v>64</v>
      </c>
      <c r="AV2509" s="6" t="str">
        <f>HYPERLINK("http://mcgill.on.worldcat.org/oclc/666573601","Catalog Record")</f>
        <v>Catalog Record</v>
      </c>
      <c r="AW2509" s="6" t="str">
        <f>HYPERLINK("http://www.worldcat.org/oclc/666573601","WorldCat Record")</f>
        <v>WorldCat Record</v>
      </c>
      <c r="AX2509" s="3" t="s">
        <v>25500</v>
      </c>
      <c r="AY2509" s="3" t="s">
        <v>25501</v>
      </c>
      <c r="AZ2509" s="3" t="s">
        <v>25502</v>
      </c>
      <c r="BA2509" s="3" t="s">
        <v>25502</v>
      </c>
      <c r="BB2509" s="3" t="s">
        <v>25503</v>
      </c>
      <c r="BC2509" s="3" t="s">
        <v>77</v>
      </c>
      <c r="BD2509" s="3" t="s">
        <v>78</v>
      </c>
      <c r="BE2509" s="3" t="s">
        <v>25504</v>
      </c>
      <c r="BF2509" s="3" t="s">
        <v>25503</v>
      </c>
      <c r="BG2509" s="3" t="s">
        <v>25505</v>
      </c>
      <c r="BH2509">
        <f t="shared" si="61"/>
        <v>0</v>
      </c>
    </row>
    <row r="2510" spans="1:60" ht="58" x14ac:dyDescent="0.35">
      <c r="A2510" s="2" t="s">
        <v>59</v>
      </c>
      <c r="B2510" s="2" t="s">
        <v>60</v>
      </c>
      <c r="C2510" s="2" t="s">
        <v>25506</v>
      </c>
      <c r="D2510" s="2" t="s">
        <v>25507</v>
      </c>
      <c r="E2510" s="2" t="s">
        <v>25508</v>
      </c>
      <c r="G2510" s="3" t="s">
        <v>64</v>
      </c>
      <c r="I2510" s="3" t="s">
        <v>64</v>
      </c>
      <c r="J2510" s="3" t="s">
        <v>64</v>
      </c>
      <c r="K2510" s="3" t="s">
        <v>65</v>
      </c>
      <c r="M2510" s="2" t="s">
        <v>25509</v>
      </c>
      <c r="N2510" s="3" t="s">
        <v>144</v>
      </c>
      <c r="P2510" s="3" t="s">
        <v>102</v>
      </c>
      <c r="R2510" s="3" t="s">
        <v>70</v>
      </c>
      <c r="S2510" s="4">
        <v>24</v>
      </c>
      <c r="T2510" s="4">
        <v>24</v>
      </c>
      <c r="U2510" s="5" t="s">
        <v>25510</v>
      </c>
      <c r="V2510" s="5" t="s">
        <v>25510</v>
      </c>
      <c r="W2510" s="5" t="s">
        <v>72</v>
      </c>
      <c r="X2510" s="5" t="s">
        <v>72</v>
      </c>
      <c r="Y2510" s="4">
        <v>374</v>
      </c>
      <c r="Z2510" s="4">
        <v>21</v>
      </c>
      <c r="AA2510" s="4">
        <v>24</v>
      </c>
      <c r="AB2510" s="4">
        <v>4</v>
      </c>
      <c r="AC2510" s="4">
        <v>7</v>
      </c>
      <c r="AD2510" s="4">
        <v>80</v>
      </c>
      <c r="AE2510" s="4">
        <v>81</v>
      </c>
      <c r="AF2510" s="4">
        <v>1</v>
      </c>
      <c r="AG2510" s="4">
        <v>2</v>
      </c>
      <c r="AH2510" s="4">
        <v>73</v>
      </c>
      <c r="AI2510" s="4">
        <v>73</v>
      </c>
      <c r="AJ2510" s="4">
        <v>10</v>
      </c>
      <c r="AK2510" s="4">
        <v>11</v>
      </c>
      <c r="AL2510" s="4">
        <v>44</v>
      </c>
      <c r="AM2510" s="4">
        <v>44</v>
      </c>
      <c r="AN2510" s="4">
        <v>0</v>
      </c>
      <c r="AO2510" s="4">
        <v>0</v>
      </c>
      <c r="AP2510" s="4">
        <v>13</v>
      </c>
      <c r="AQ2510" s="4">
        <v>13</v>
      </c>
      <c r="AR2510" s="3" t="s">
        <v>64</v>
      </c>
      <c r="AS2510" s="3" t="s">
        <v>64</v>
      </c>
      <c r="AT2510" s="3" t="s">
        <v>64</v>
      </c>
      <c r="AV2510" s="6" t="str">
        <f>HYPERLINK("http://mcgill.on.worldcat.org/oclc/173241123","Catalog Record")</f>
        <v>Catalog Record</v>
      </c>
      <c r="AW2510" s="6" t="str">
        <f>HYPERLINK("http://www.worldcat.org/oclc/173241123","WorldCat Record")</f>
        <v>WorldCat Record</v>
      </c>
      <c r="AX2510" s="3" t="s">
        <v>25511</v>
      </c>
      <c r="AY2510" s="3" t="s">
        <v>25512</v>
      </c>
      <c r="AZ2510" s="3" t="s">
        <v>25513</v>
      </c>
      <c r="BA2510" s="3" t="s">
        <v>25513</v>
      </c>
      <c r="BB2510" s="3" t="s">
        <v>25514</v>
      </c>
      <c r="BC2510" s="3" t="s">
        <v>77</v>
      </c>
      <c r="BD2510" s="3" t="s">
        <v>78</v>
      </c>
      <c r="BE2510" s="3" t="s">
        <v>25515</v>
      </c>
      <c r="BF2510" s="3" t="s">
        <v>25514</v>
      </c>
      <c r="BG2510" s="3" t="s">
        <v>25516</v>
      </c>
      <c r="BH2510">
        <f t="shared" si="61"/>
        <v>0</v>
      </c>
    </row>
    <row r="2511" spans="1:60" ht="58" x14ac:dyDescent="0.35">
      <c r="A2511" s="2" t="s">
        <v>59</v>
      </c>
      <c r="B2511" s="2" t="s">
        <v>60</v>
      </c>
      <c r="C2511" s="2" t="s">
        <v>25517</v>
      </c>
      <c r="D2511" s="2" t="s">
        <v>25518</v>
      </c>
      <c r="E2511" s="2" t="s">
        <v>25519</v>
      </c>
      <c r="G2511" s="3" t="s">
        <v>64</v>
      </c>
      <c r="I2511" s="3" t="s">
        <v>128</v>
      </c>
      <c r="J2511" s="3" t="s">
        <v>64</v>
      </c>
      <c r="K2511" s="3" t="s">
        <v>65</v>
      </c>
      <c r="L2511" s="2" t="s">
        <v>25520</v>
      </c>
      <c r="M2511" s="2" t="s">
        <v>15995</v>
      </c>
      <c r="N2511" s="3" t="s">
        <v>551</v>
      </c>
      <c r="P2511" s="3" t="s">
        <v>102</v>
      </c>
      <c r="R2511" s="3" t="s">
        <v>70</v>
      </c>
      <c r="S2511" s="4">
        <v>5</v>
      </c>
      <c r="T2511" s="4">
        <v>5</v>
      </c>
      <c r="U2511" s="5" t="s">
        <v>25521</v>
      </c>
      <c r="V2511" s="5" t="s">
        <v>25521</v>
      </c>
      <c r="W2511" s="5" t="s">
        <v>72</v>
      </c>
      <c r="X2511" s="5" t="s">
        <v>72</v>
      </c>
      <c r="Y2511" s="4">
        <v>206</v>
      </c>
      <c r="Z2511" s="4">
        <v>19</v>
      </c>
      <c r="AA2511" s="4">
        <v>25</v>
      </c>
      <c r="AB2511" s="4">
        <v>2</v>
      </c>
      <c r="AC2511" s="4">
        <v>6</v>
      </c>
      <c r="AD2511" s="4">
        <v>26</v>
      </c>
      <c r="AE2511" s="4">
        <v>34</v>
      </c>
      <c r="AF2511" s="4">
        <v>0</v>
      </c>
      <c r="AG2511" s="4">
        <v>2</v>
      </c>
      <c r="AH2511" s="4">
        <v>23</v>
      </c>
      <c r="AI2511" s="4">
        <v>29</v>
      </c>
      <c r="AJ2511" s="4">
        <v>5</v>
      </c>
      <c r="AK2511" s="4">
        <v>7</v>
      </c>
      <c r="AL2511" s="4">
        <v>10</v>
      </c>
      <c r="AM2511" s="4">
        <v>14</v>
      </c>
      <c r="AN2511" s="4">
        <v>0</v>
      </c>
      <c r="AO2511" s="4">
        <v>0</v>
      </c>
      <c r="AP2511" s="4">
        <v>7</v>
      </c>
      <c r="AQ2511" s="4">
        <v>8</v>
      </c>
      <c r="AR2511" s="3" t="s">
        <v>64</v>
      </c>
      <c r="AS2511" s="3" t="s">
        <v>64</v>
      </c>
      <c r="AT2511" s="3" t="s">
        <v>64</v>
      </c>
      <c r="AV2511" s="6" t="str">
        <f>HYPERLINK("http://mcgill.on.worldcat.org/oclc/319868218","Catalog Record")</f>
        <v>Catalog Record</v>
      </c>
      <c r="AW2511" s="6" t="str">
        <f>HYPERLINK("http://www.worldcat.org/oclc/319868218","WorldCat Record")</f>
        <v>WorldCat Record</v>
      </c>
      <c r="AX2511" s="3" t="s">
        <v>25522</v>
      </c>
      <c r="AY2511" s="3" t="s">
        <v>25523</v>
      </c>
      <c r="AZ2511" s="3" t="s">
        <v>25524</v>
      </c>
      <c r="BA2511" s="3" t="s">
        <v>25524</v>
      </c>
      <c r="BB2511" s="3" t="s">
        <v>25525</v>
      </c>
      <c r="BC2511" s="3" t="s">
        <v>77</v>
      </c>
      <c r="BD2511" s="3" t="s">
        <v>78</v>
      </c>
      <c r="BE2511" s="3" t="s">
        <v>25526</v>
      </c>
      <c r="BF2511" s="3" t="s">
        <v>25525</v>
      </c>
      <c r="BG2511" s="3" t="s">
        <v>25527</v>
      </c>
      <c r="BH2511">
        <f t="shared" si="61"/>
        <v>0</v>
      </c>
    </row>
    <row r="2512" spans="1:60" ht="58" x14ac:dyDescent="0.35">
      <c r="A2512" s="2" t="s">
        <v>59</v>
      </c>
      <c r="B2512" s="2" t="s">
        <v>60</v>
      </c>
      <c r="C2512" s="2" t="s">
        <v>25517</v>
      </c>
      <c r="D2512" s="2" t="s">
        <v>25518</v>
      </c>
      <c r="E2512" s="2" t="s">
        <v>25519</v>
      </c>
      <c r="G2512" s="3" t="s">
        <v>64</v>
      </c>
      <c r="I2512" s="3" t="s">
        <v>128</v>
      </c>
      <c r="J2512" s="3" t="s">
        <v>64</v>
      </c>
      <c r="K2512" s="3" t="s">
        <v>65</v>
      </c>
      <c r="L2512" s="2" t="s">
        <v>25520</v>
      </c>
      <c r="M2512" s="2" t="s">
        <v>15995</v>
      </c>
      <c r="N2512" s="3" t="s">
        <v>551</v>
      </c>
      <c r="P2512" s="3" t="s">
        <v>102</v>
      </c>
      <c r="R2512" s="3" t="s">
        <v>70</v>
      </c>
      <c r="S2512" s="4">
        <v>0</v>
      </c>
      <c r="T2512" s="4">
        <v>5</v>
      </c>
      <c r="V2512" s="5" t="s">
        <v>25521</v>
      </c>
      <c r="W2512" s="5" t="s">
        <v>72</v>
      </c>
      <c r="X2512" s="5" t="s">
        <v>72</v>
      </c>
      <c r="Y2512" s="4">
        <v>206</v>
      </c>
      <c r="Z2512" s="4">
        <v>19</v>
      </c>
      <c r="AA2512" s="4">
        <v>25</v>
      </c>
      <c r="AB2512" s="4">
        <v>2</v>
      </c>
      <c r="AC2512" s="4">
        <v>6</v>
      </c>
      <c r="AD2512" s="4">
        <v>26</v>
      </c>
      <c r="AE2512" s="4">
        <v>34</v>
      </c>
      <c r="AF2512" s="4">
        <v>0</v>
      </c>
      <c r="AG2512" s="4">
        <v>2</v>
      </c>
      <c r="AH2512" s="4">
        <v>23</v>
      </c>
      <c r="AI2512" s="4">
        <v>29</v>
      </c>
      <c r="AJ2512" s="4">
        <v>5</v>
      </c>
      <c r="AK2512" s="4">
        <v>7</v>
      </c>
      <c r="AL2512" s="4">
        <v>10</v>
      </c>
      <c r="AM2512" s="4">
        <v>14</v>
      </c>
      <c r="AN2512" s="4">
        <v>0</v>
      </c>
      <c r="AO2512" s="4">
        <v>0</v>
      </c>
      <c r="AP2512" s="4">
        <v>7</v>
      </c>
      <c r="AQ2512" s="4">
        <v>8</v>
      </c>
      <c r="AR2512" s="3" t="s">
        <v>64</v>
      </c>
      <c r="AS2512" s="3" t="s">
        <v>64</v>
      </c>
      <c r="AT2512" s="3" t="s">
        <v>64</v>
      </c>
      <c r="AV2512" s="6" t="str">
        <f>HYPERLINK("http://mcgill.on.worldcat.org/oclc/319868218","Catalog Record")</f>
        <v>Catalog Record</v>
      </c>
      <c r="AW2512" s="6" t="str">
        <f>HYPERLINK("http://www.worldcat.org/oclc/319868218","WorldCat Record")</f>
        <v>WorldCat Record</v>
      </c>
      <c r="AX2512" s="3" t="s">
        <v>25522</v>
      </c>
      <c r="AY2512" s="3" t="s">
        <v>25523</v>
      </c>
      <c r="AZ2512" s="3" t="s">
        <v>25524</v>
      </c>
      <c r="BA2512" s="3" t="s">
        <v>25524</v>
      </c>
      <c r="BB2512" s="3" t="s">
        <v>25528</v>
      </c>
      <c r="BC2512" s="3" t="s">
        <v>77</v>
      </c>
      <c r="BD2512" s="3" t="s">
        <v>78</v>
      </c>
      <c r="BE2512" s="3" t="s">
        <v>25526</v>
      </c>
      <c r="BF2512" s="3" t="s">
        <v>25528</v>
      </c>
      <c r="BG2512" s="3" t="s">
        <v>25529</v>
      </c>
      <c r="BH2512">
        <f t="shared" si="61"/>
        <v>0</v>
      </c>
    </row>
    <row r="2513" spans="1:60" ht="58" x14ac:dyDescent="0.35">
      <c r="A2513" s="2" t="s">
        <v>59</v>
      </c>
      <c r="B2513" s="2" t="s">
        <v>60</v>
      </c>
      <c r="C2513" s="2" t="s">
        <v>25530</v>
      </c>
      <c r="D2513" s="2" t="s">
        <v>25531</v>
      </c>
      <c r="E2513" s="2" t="s">
        <v>25532</v>
      </c>
      <c r="G2513" s="3" t="s">
        <v>64</v>
      </c>
      <c r="I2513" s="3" t="s">
        <v>64</v>
      </c>
      <c r="J2513" s="3" t="s">
        <v>128</v>
      </c>
      <c r="K2513" s="3" t="s">
        <v>65</v>
      </c>
      <c r="L2513" s="2" t="s">
        <v>25533</v>
      </c>
      <c r="M2513" s="2" t="s">
        <v>25433</v>
      </c>
      <c r="N2513" s="3" t="s">
        <v>1061</v>
      </c>
      <c r="O2513" s="2" t="s">
        <v>25534</v>
      </c>
      <c r="P2513" s="3" t="s">
        <v>102</v>
      </c>
      <c r="Q2513" s="2" t="s">
        <v>20193</v>
      </c>
      <c r="R2513" s="3" t="s">
        <v>70</v>
      </c>
      <c r="S2513" s="4">
        <v>17</v>
      </c>
      <c r="T2513" s="4">
        <v>17</v>
      </c>
      <c r="U2513" s="5" t="s">
        <v>25535</v>
      </c>
      <c r="V2513" s="5" t="s">
        <v>25535</v>
      </c>
      <c r="W2513" s="5" t="s">
        <v>72</v>
      </c>
      <c r="X2513" s="5" t="s">
        <v>72</v>
      </c>
      <c r="Y2513" s="4">
        <v>598</v>
      </c>
      <c r="Z2513" s="4">
        <v>22</v>
      </c>
      <c r="AA2513" s="4">
        <v>78</v>
      </c>
      <c r="AB2513" s="4">
        <v>1</v>
      </c>
      <c r="AC2513" s="4">
        <v>12</v>
      </c>
      <c r="AD2513" s="4">
        <v>82</v>
      </c>
      <c r="AE2513" s="4">
        <v>145</v>
      </c>
      <c r="AF2513" s="4">
        <v>0</v>
      </c>
      <c r="AG2513" s="4">
        <v>5</v>
      </c>
      <c r="AH2513" s="4">
        <v>72</v>
      </c>
      <c r="AI2513" s="4">
        <v>113</v>
      </c>
      <c r="AJ2513" s="4">
        <v>8</v>
      </c>
      <c r="AK2513" s="4">
        <v>22</v>
      </c>
      <c r="AL2513" s="4">
        <v>42</v>
      </c>
      <c r="AM2513" s="4">
        <v>62</v>
      </c>
      <c r="AN2513" s="4">
        <v>0</v>
      </c>
      <c r="AO2513" s="4">
        <v>0</v>
      </c>
      <c r="AP2513" s="4">
        <v>11</v>
      </c>
      <c r="AQ2513" s="4">
        <v>34</v>
      </c>
      <c r="AR2513" s="3" t="s">
        <v>64</v>
      </c>
      <c r="AS2513" s="3" t="s">
        <v>64</v>
      </c>
      <c r="AT2513" s="3" t="s">
        <v>128</v>
      </c>
      <c r="AU2513" s="6" t="str">
        <f>HYPERLINK("http://catalog.hathitrust.org/Record/000383722","HathiTrust Record")</f>
        <v>HathiTrust Record</v>
      </c>
      <c r="AV2513" s="6" t="str">
        <f>HYPERLINK("http://mcgill.on.worldcat.org/oclc/12668634","Catalog Record")</f>
        <v>Catalog Record</v>
      </c>
      <c r="AW2513" s="6" t="str">
        <f>HYPERLINK("http://www.worldcat.org/oclc/12668634","WorldCat Record")</f>
        <v>WorldCat Record</v>
      </c>
      <c r="AX2513" s="3" t="s">
        <v>25536</v>
      </c>
      <c r="AY2513" s="3" t="s">
        <v>25537</v>
      </c>
      <c r="AZ2513" s="3" t="s">
        <v>25538</v>
      </c>
      <c r="BA2513" s="3" t="s">
        <v>25538</v>
      </c>
      <c r="BB2513" s="3" t="s">
        <v>25539</v>
      </c>
      <c r="BC2513" s="3" t="s">
        <v>77</v>
      </c>
      <c r="BD2513" s="3" t="s">
        <v>78</v>
      </c>
      <c r="BE2513" s="3" t="s">
        <v>25540</v>
      </c>
      <c r="BF2513" s="3" t="s">
        <v>25539</v>
      </c>
      <c r="BG2513" s="3" t="s">
        <v>25541</v>
      </c>
      <c r="BH2513">
        <f t="shared" si="61"/>
        <v>0</v>
      </c>
    </row>
    <row r="2514" spans="1:60" ht="101.5" x14ac:dyDescent="0.35">
      <c r="A2514" s="2" t="s">
        <v>59</v>
      </c>
      <c r="B2514" s="2" t="s">
        <v>60</v>
      </c>
      <c r="C2514" s="2" t="s">
        <v>25542</v>
      </c>
      <c r="D2514" s="2" t="s">
        <v>25543</v>
      </c>
      <c r="E2514" s="2" t="s">
        <v>25544</v>
      </c>
      <c r="G2514" s="3" t="s">
        <v>64</v>
      </c>
      <c r="I2514" s="3" t="s">
        <v>64</v>
      </c>
      <c r="J2514" s="3" t="s">
        <v>128</v>
      </c>
      <c r="K2514" s="3" t="s">
        <v>65</v>
      </c>
      <c r="L2514" s="2" t="s">
        <v>15092</v>
      </c>
      <c r="M2514" s="2" t="s">
        <v>25545</v>
      </c>
      <c r="N2514" s="3" t="s">
        <v>979</v>
      </c>
      <c r="O2514" s="2" t="s">
        <v>25546</v>
      </c>
      <c r="P2514" s="3" t="s">
        <v>102</v>
      </c>
      <c r="Q2514" s="2" t="s">
        <v>15094</v>
      </c>
      <c r="R2514" s="3" t="s">
        <v>70</v>
      </c>
      <c r="S2514" s="4">
        <v>128</v>
      </c>
      <c r="T2514" s="4">
        <v>128</v>
      </c>
      <c r="U2514" s="5" t="s">
        <v>15069</v>
      </c>
      <c r="V2514" s="5" t="s">
        <v>15069</v>
      </c>
      <c r="W2514" s="5" t="s">
        <v>72</v>
      </c>
      <c r="X2514" s="5" t="s">
        <v>72</v>
      </c>
      <c r="Y2514" s="4">
        <v>595</v>
      </c>
      <c r="Z2514" s="4">
        <v>24</v>
      </c>
      <c r="AA2514" s="4">
        <v>29</v>
      </c>
      <c r="AB2514" s="4">
        <v>4</v>
      </c>
      <c r="AC2514" s="4">
        <v>6</v>
      </c>
      <c r="AD2514" s="4">
        <v>73</v>
      </c>
      <c r="AE2514" s="4">
        <v>93</v>
      </c>
      <c r="AF2514" s="4">
        <v>1</v>
      </c>
      <c r="AG2514" s="4">
        <v>3</v>
      </c>
      <c r="AH2514" s="4">
        <v>64</v>
      </c>
      <c r="AI2514" s="4">
        <v>82</v>
      </c>
      <c r="AJ2514" s="4">
        <v>11</v>
      </c>
      <c r="AK2514" s="4">
        <v>15</v>
      </c>
      <c r="AL2514" s="4">
        <v>33</v>
      </c>
      <c r="AM2514" s="4">
        <v>39</v>
      </c>
      <c r="AN2514" s="4">
        <v>0</v>
      </c>
      <c r="AO2514" s="4">
        <v>0</v>
      </c>
      <c r="AP2514" s="4">
        <v>11</v>
      </c>
      <c r="AQ2514" s="4">
        <v>14</v>
      </c>
      <c r="AR2514" s="3" t="s">
        <v>64</v>
      </c>
      <c r="AS2514" s="3" t="s">
        <v>64</v>
      </c>
      <c r="AT2514" s="3" t="s">
        <v>128</v>
      </c>
      <c r="AU2514" s="6" t="str">
        <f>HYPERLINK("http://catalog.hathitrust.org/Record/004318374","HathiTrust Record")</f>
        <v>HathiTrust Record</v>
      </c>
      <c r="AV2514" s="6" t="str">
        <f>HYPERLINK("http://mcgill.on.worldcat.org/oclc/43930123","Catalog Record")</f>
        <v>Catalog Record</v>
      </c>
      <c r="AW2514" s="6" t="str">
        <f>HYPERLINK("http://www.worldcat.org/oclc/43930123","WorldCat Record")</f>
        <v>WorldCat Record</v>
      </c>
      <c r="AX2514" s="3" t="s">
        <v>25547</v>
      </c>
      <c r="AY2514" s="3" t="s">
        <v>25548</v>
      </c>
      <c r="AZ2514" s="3" t="s">
        <v>25549</v>
      </c>
      <c r="BA2514" s="3" t="s">
        <v>25549</v>
      </c>
      <c r="BB2514" s="3" t="s">
        <v>25550</v>
      </c>
      <c r="BC2514" s="3" t="s">
        <v>77</v>
      </c>
      <c r="BD2514" s="3" t="s">
        <v>78</v>
      </c>
      <c r="BE2514" s="3" t="s">
        <v>25551</v>
      </c>
      <c r="BF2514" s="3" t="s">
        <v>25550</v>
      </c>
      <c r="BG2514" s="3" t="s">
        <v>25552</v>
      </c>
      <c r="BH2514">
        <f t="shared" si="61"/>
        <v>0</v>
      </c>
    </row>
    <row r="2515" spans="1:60" ht="116" x14ac:dyDescent="0.35">
      <c r="A2515" s="2" t="s">
        <v>59</v>
      </c>
      <c r="B2515" s="2" t="s">
        <v>60</v>
      </c>
      <c r="C2515" s="2" t="s">
        <v>25553</v>
      </c>
      <c r="D2515" s="2" t="s">
        <v>25554</v>
      </c>
      <c r="E2515" s="2" t="s">
        <v>25544</v>
      </c>
      <c r="G2515" s="3" t="s">
        <v>64</v>
      </c>
      <c r="I2515" s="3" t="s">
        <v>128</v>
      </c>
      <c r="J2515" s="3" t="s">
        <v>128</v>
      </c>
      <c r="K2515" s="3" t="s">
        <v>65</v>
      </c>
      <c r="L2515" s="2" t="s">
        <v>15092</v>
      </c>
      <c r="M2515" s="2" t="s">
        <v>15858</v>
      </c>
      <c r="N2515" s="3" t="s">
        <v>1275</v>
      </c>
      <c r="O2515" s="2" t="s">
        <v>25555</v>
      </c>
      <c r="P2515" s="3" t="s">
        <v>102</v>
      </c>
      <c r="Q2515" s="2" t="s">
        <v>15094</v>
      </c>
      <c r="R2515" s="3" t="s">
        <v>70</v>
      </c>
      <c r="S2515" s="4">
        <v>22</v>
      </c>
      <c r="T2515" s="4">
        <v>61</v>
      </c>
      <c r="U2515" s="5" t="s">
        <v>25467</v>
      </c>
      <c r="V2515" s="5" t="s">
        <v>25467</v>
      </c>
      <c r="W2515" s="5" t="s">
        <v>72</v>
      </c>
      <c r="X2515" s="5" t="s">
        <v>72</v>
      </c>
      <c r="Y2515" s="4">
        <v>343</v>
      </c>
      <c r="Z2515" s="4">
        <v>9</v>
      </c>
      <c r="AA2515" s="4">
        <v>29</v>
      </c>
      <c r="AB2515" s="4">
        <v>1</v>
      </c>
      <c r="AC2515" s="4">
        <v>6</v>
      </c>
      <c r="AD2515" s="4">
        <v>57</v>
      </c>
      <c r="AE2515" s="4">
        <v>93</v>
      </c>
      <c r="AF2515" s="4">
        <v>0</v>
      </c>
      <c r="AG2515" s="4">
        <v>3</v>
      </c>
      <c r="AH2515" s="4">
        <v>56</v>
      </c>
      <c r="AI2515" s="4">
        <v>82</v>
      </c>
      <c r="AJ2515" s="4">
        <v>5</v>
      </c>
      <c r="AK2515" s="4">
        <v>15</v>
      </c>
      <c r="AL2515" s="4">
        <v>24</v>
      </c>
      <c r="AM2515" s="4">
        <v>39</v>
      </c>
      <c r="AN2515" s="4">
        <v>0</v>
      </c>
      <c r="AO2515" s="4">
        <v>0</v>
      </c>
      <c r="AP2515" s="4">
        <v>5</v>
      </c>
      <c r="AQ2515" s="4">
        <v>14</v>
      </c>
      <c r="AR2515" s="3" t="s">
        <v>64</v>
      </c>
      <c r="AS2515" s="3" t="s">
        <v>64</v>
      </c>
      <c r="AT2515" s="3" t="s">
        <v>128</v>
      </c>
      <c r="AU2515" s="6" t="str">
        <f>HYPERLINK("http://catalog.hathitrust.org/Record/004740057","HathiTrust Record")</f>
        <v>HathiTrust Record</v>
      </c>
      <c r="AV2515" s="6" t="str">
        <f>HYPERLINK("http://mcgill.on.worldcat.org/oclc/55633896","Catalog Record")</f>
        <v>Catalog Record</v>
      </c>
      <c r="AW2515" s="6" t="str">
        <f>HYPERLINK("http://www.worldcat.org/oclc/55633896","WorldCat Record")</f>
        <v>WorldCat Record</v>
      </c>
      <c r="AX2515" s="3" t="s">
        <v>25547</v>
      </c>
      <c r="AY2515" s="3" t="s">
        <v>25556</v>
      </c>
      <c r="AZ2515" s="3" t="s">
        <v>25557</v>
      </c>
      <c r="BA2515" s="3" t="s">
        <v>25557</v>
      </c>
      <c r="BB2515" s="3" t="s">
        <v>25558</v>
      </c>
      <c r="BC2515" s="3" t="s">
        <v>77</v>
      </c>
      <c r="BD2515" s="3" t="s">
        <v>78</v>
      </c>
      <c r="BE2515" s="3" t="s">
        <v>25559</v>
      </c>
      <c r="BF2515" s="3" t="s">
        <v>25558</v>
      </c>
      <c r="BG2515" s="3" t="s">
        <v>25560</v>
      </c>
      <c r="BH2515">
        <f t="shared" si="61"/>
        <v>0</v>
      </c>
    </row>
    <row r="2516" spans="1:60" ht="116" x14ac:dyDescent="0.35">
      <c r="A2516" s="2" t="s">
        <v>59</v>
      </c>
      <c r="B2516" s="2" t="s">
        <v>60</v>
      </c>
      <c r="C2516" s="2" t="s">
        <v>25553</v>
      </c>
      <c r="D2516" s="2" t="s">
        <v>25554</v>
      </c>
      <c r="E2516" s="2" t="s">
        <v>25544</v>
      </c>
      <c r="G2516" s="3" t="s">
        <v>64</v>
      </c>
      <c r="I2516" s="3" t="s">
        <v>128</v>
      </c>
      <c r="J2516" s="3" t="s">
        <v>128</v>
      </c>
      <c r="K2516" s="3" t="s">
        <v>65</v>
      </c>
      <c r="L2516" s="2" t="s">
        <v>15092</v>
      </c>
      <c r="M2516" s="2" t="s">
        <v>15858</v>
      </c>
      <c r="N2516" s="3" t="s">
        <v>1275</v>
      </c>
      <c r="O2516" s="2" t="s">
        <v>25555</v>
      </c>
      <c r="P2516" s="3" t="s">
        <v>102</v>
      </c>
      <c r="Q2516" s="2" t="s">
        <v>15094</v>
      </c>
      <c r="R2516" s="3" t="s">
        <v>70</v>
      </c>
      <c r="S2516" s="4">
        <v>39</v>
      </c>
      <c r="T2516" s="4">
        <v>61</v>
      </c>
      <c r="U2516" s="5" t="s">
        <v>25561</v>
      </c>
      <c r="V2516" s="5" t="s">
        <v>25467</v>
      </c>
      <c r="W2516" s="5" t="s">
        <v>72</v>
      </c>
      <c r="X2516" s="5" t="s">
        <v>72</v>
      </c>
      <c r="Y2516" s="4">
        <v>343</v>
      </c>
      <c r="Z2516" s="4">
        <v>9</v>
      </c>
      <c r="AA2516" s="4">
        <v>29</v>
      </c>
      <c r="AB2516" s="4">
        <v>1</v>
      </c>
      <c r="AC2516" s="4">
        <v>6</v>
      </c>
      <c r="AD2516" s="4">
        <v>57</v>
      </c>
      <c r="AE2516" s="4">
        <v>93</v>
      </c>
      <c r="AF2516" s="4">
        <v>0</v>
      </c>
      <c r="AG2516" s="4">
        <v>3</v>
      </c>
      <c r="AH2516" s="4">
        <v>56</v>
      </c>
      <c r="AI2516" s="4">
        <v>82</v>
      </c>
      <c r="AJ2516" s="4">
        <v>5</v>
      </c>
      <c r="AK2516" s="4">
        <v>15</v>
      </c>
      <c r="AL2516" s="4">
        <v>24</v>
      </c>
      <c r="AM2516" s="4">
        <v>39</v>
      </c>
      <c r="AN2516" s="4">
        <v>0</v>
      </c>
      <c r="AO2516" s="4">
        <v>0</v>
      </c>
      <c r="AP2516" s="4">
        <v>5</v>
      </c>
      <c r="AQ2516" s="4">
        <v>14</v>
      </c>
      <c r="AR2516" s="3" t="s">
        <v>64</v>
      </c>
      <c r="AS2516" s="3" t="s">
        <v>64</v>
      </c>
      <c r="AT2516" s="3" t="s">
        <v>128</v>
      </c>
      <c r="AU2516" s="6" t="str">
        <f>HYPERLINK("http://catalog.hathitrust.org/Record/004740057","HathiTrust Record")</f>
        <v>HathiTrust Record</v>
      </c>
      <c r="AV2516" s="6" t="str">
        <f>HYPERLINK("http://mcgill.on.worldcat.org/oclc/55633896","Catalog Record")</f>
        <v>Catalog Record</v>
      </c>
      <c r="AW2516" s="6" t="str">
        <f>HYPERLINK("http://www.worldcat.org/oclc/55633896","WorldCat Record")</f>
        <v>WorldCat Record</v>
      </c>
      <c r="AX2516" s="3" t="s">
        <v>25547</v>
      </c>
      <c r="AY2516" s="3" t="s">
        <v>25556</v>
      </c>
      <c r="AZ2516" s="3" t="s">
        <v>25557</v>
      </c>
      <c r="BA2516" s="3" t="s">
        <v>25557</v>
      </c>
      <c r="BB2516" s="3" t="s">
        <v>25562</v>
      </c>
      <c r="BC2516" s="3" t="s">
        <v>77</v>
      </c>
      <c r="BD2516" s="3" t="s">
        <v>78</v>
      </c>
      <c r="BE2516" s="3" t="s">
        <v>25559</v>
      </c>
      <c r="BF2516" s="3" t="s">
        <v>25562</v>
      </c>
      <c r="BG2516" s="3" t="s">
        <v>25563</v>
      </c>
      <c r="BH2516">
        <f t="shared" si="61"/>
        <v>0</v>
      </c>
    </row>
    <row r="2517" spans="1:60" ht="58" x14ac:dyDescent="0.35">
      <c r="A2517" s="2" t="s">
        <v>59</v>
      </c>
      <c r="B2517" s="2" t="s">
        <v>60</v>
      </c>
      <c r="C2517" s="2" t="s">
        <v>25564</v>
      </c>
      <c r="D2517" s="2" t="s">
        <v>25565</v>
      </c>
      <c r="E2517" s="2" t="s">
        <v>25566</v>
      </c>
      <c r="G2517" s="3" t="s">
        <v>64</v>
      </c>
      <c r="I2517" s="3" t="s">
        <v>128</v>
      </c>
      <c r="J2517" s="3" t="s">
        <v>128</v>
      </c>
      <c r="K2517" s="3" t="s">
        <v>65</v>
      </c>
      <c r="L2517" s="2" t="s">
        <v>15092</v>
      </c>
      <c r="M2517" s="2" t="s">
        <v>15259</v>
      </c>
      <c r="N2517" s="3" t="s">
        <v>171</v>
      </c>
      <c r="O2517" s="2" t="s">
        <v>25567</v>
      </c>
      <c r="P2517" s="3" t="s">
        <v>102</v>
      </c>
      <c r="Q2517" s="2" t="s">
        <v>15094</v>
      </c>
      <c r="R2517" s="3" t="s">
        <v>70</v>
      </c>
      <c r="S2517" s="4">
        <v>71</v>
      </c>
      <c r="T2517" s="4">
        <v>102</v>
      </c>
      <c r="U2517" s="5" t="s">
        <v>6045</v>
      </c>
      <c r="V2517" s="5" t="s">
        <v>25351</v>
      </c>
      <c r="W2517" s="5" t="s">
        <v>72</v>
      </c>
      <c r="X2517" s="5" t="s">
        <v>72</v>
      </c>
      <c r="Y2517" s="4">
        <v>668</v>
      </c>
      <c r="Z2517" s="4">
        <v>28</v>
      </c>
      <c r="AA2517" s="4">
        <v>78</v>
      </c>
      <c r="AB2517" s="4">
        <v>2</v>
      </c>
      <c r="AC2517" s="4">
        <v>12</v>
      </c>
      <c r="AD2517" s="4">
        <v>66</v>
      </c>
      <c r="AE2517" s="4">
        <v>145</v>
      </c>
      <c r="AF2517" s="4">
        <v>0</v>
      </c>
      <c r="AG2517" s="4">
        <v>5</v>
      </c>
      <c r="AH2517" s="4">
        <v>60</v>
      </c>
      <c r="AI2517" s="4">
        <v>113</v>
      </c>
      <c r="AJ2517" s="4">
        <v>8</v>
      </c>
      <c r="AK2517" s="4">
        <v>22</v>
      </c>
      <c r="AL2517" s="4">
        <v>30</v>
      </c>
      <c r="AM2517" s="4">
        <v>62</v>
      </c>
      <c r="AN2517" s="4">
        <v>0</v>
      </c>
      <c r="AO2517" s="4">
        <v>0</v>
      </c>
      <c r="AP2517" s="4">
        <v>10</v>
      </c>
      <c r="AQ2517" s="4">
        <v>34</v>
      </c>
      <c r="AR2517" s="3" t="s">
        <v>64</v>
      </c>
      <c r="AS2517" s="3" t="s">
        <v>64</v>
      </c>
      <c r="AT2517" s="3" t="s">
        <v>128</v>
      </c>
      <c r="AU2517" s="6" t="str">
        <f>HYPERLINK("http://catalog.hathitrust.org/Record/005230944","HathiTrust Record")</f>
        <v>HathiTrust Record</v>
      </c>
      <c r="AV2517" s="6" t="str">
        <f>HYPERLINK("http://mcgill.on.worldcat.org/oclc/66527059","Catalog Record")</f>
        <v>Catalog Record</v>
      </c>
      <c r="AW2517" s="6" t="str">
        <f>HYPERLINK("http://www.worldcat.org/oclc/66527059","WorldCat Record")</f>
        <v>WorldCat Record</v>
      </c>
      <c r="AX2517" s="3" t="s">
        <v>25536</v>
      </c>
      <c r="AY2517" s="3" t="s">
        <v>25568</v>
      </c>
      <c r="AZ2517" s="3" t="s">
        <v>25569</v>
      </c>
      <c r="BA2517" s="3" t="s">
        <v>25569</v>
      </c>
      <c r="BB2517" s="3" t="s">
        <v>25570</v>
      </c>
      <c r="BC2517" s="3" t="s">
        <v>77</v>
      </c>
      <c r="BD2517" s="3" t="s">
        <v>78</v>
      </c>
      <c r="BE2517" s="3" t="s">
        <v>25571</v>
      </c>
      <c r="BF2517" s="3" t="s">
        <v>25570</v>
      </c>
      <c r="BG2517" s="3" t="s">
        <v>25572</v>
      </c>
      <c r="BH2517">
        <f t="shared" si="61"/>
        <v>0</v>
      </c>
    </row>
    <row r="2518" spans="1:60" ht="58" x14ac:dyDescent="0.35">
      <c r="A2518" s="2" t="s">
        <v>59</v>
      </c>
      <c r="B2518" s="2" t="s">
        <v>60</v>
      </c>
      <c r="C2518" s="2" t="s">
        <v>25564</v>
      </c>
      <c r="D2518" s="2" t="s">
        <v>25565</v>
      </c>
      <c r="E2518" s="2" t="s">
        <v>25566</v>
      </c>
      <c r="G2518" s="3" t="s">
        <v>64</v>
      </c>
      <c r="I2518" s="3" t="s">
        <v>128</v>
      </c>
      <c r="J2518" s="3" t="s">
        <v>128</v>
      </c>
      <c r="K2518" s="3" t="s">
        <v>65</v>
      </c>
      <c r="L2518" s="2" t="s">
        <v>15092</v>
      </c>
      <c r="M2518" s="2" t="s">
        <v>15259</v>
      </c>
      <c r="N2518" s="3" t="s">
        <v>171</v>
      </c>
      <c r="O2518" s="2" t="s">
        <v>25567</v>
      </c>
      <c r="P2518" s="3" t="s">
        <v>102</v>
      </c>
      <c r="Q2518" s="2" t="s">
        <v>15094</v>
      </c>
      <c r="R2518" s="3" t="s">
        <v>70</v>
      </c>
      <c r="S2518" s="4">
        <v>31</v>
      </c>
      <c r="T2518" s="4">
        <v>102</v>
      </c>
      <c r="U2518" s="5" t="s">
        <v>25351</v>
      </c>
      <c r="V2518" s="5" t="s">
        <v>25351</v>
      </c>
      <c r="W2518" s="5" t="s">
        <v>72</v>
      </c>
      <c r="X2518" s="5" t="s">
        <v>72</v>
      </c>
      <c r="Y2518" s="4">
        <v>668</v>
      </c>
      <c r="Z2518" s="4">
        <v>28</v>
      </c>
      <c r="AA2518" s="4">
        <v>78</v>
      </c>
      <c r="AB2518" s="4">
        <v>2</v>
      </c>
      <c r="AC2518" s="4">
        <v>12</v>
      </c>
      <c r="AD2518" s="4">
        <v>66</v>
      </c>
      <c r="AE2518" s="4">
        <v>145</v>
      </c>
      <c r="AF2518" s="4">
        <v>0</v>
      </c>
      <c r="AG2518" s="4">
        <v>5</v>
      </c>
      <c r="AH2518" s="4">
        <v>60</v>
      </c>
      <c r="AI2518" s="4">
        <v>113</v>
      </c>
      <c r="AJ2518" s="4">
        <v>8</v>
      </c>
      <c r="AK2518" s="4">
        <v>22</v>
      </c>
      <c r="AL2518" s="4">
        <v>30</v>
      </c>
      <c r="AM2518" s="4">
        <v>62</v>
      </c>
      <c r="AN2518" s="4">
        <v>0</v>
      </c>
      <c r="AO2518" s="4">
        <v>0</v>
      </c>
      <c r="AP2518" s="4">
        <v>10</v>
      </c>
      <c r="AQ2518" s="4">
        <v>34</v>
      </c>
      <c r="AR2518" s="3" t="s">
        <v>64</v>
      </c>
      <c r="AS2518" s="3" t="s">
        <v>64</v>
      </c>
      <c r="AT2518" s="3" t="s">
        <v>128</v>
      </c>
      <c r="AU2518" s="6" t="str">
        <f>HYPERLINK("http://catalog.hathitrust.org/Record/005230944","HathiTrust Record")</f>
        <v>HathiTrust Record</v>
      </c>
      <c r="AV2518" s="6" t="str">
        <f>HYPERLINK("http://mcgill.on.worldcat.org/oclc/66527059","Catalog Record")</f>
        <v>Catalog Record</v>
      </c>
      <c r="AW2518" s="6" t="str">
        <f>HYPERLINK("http://www.worldcat.org/oclc/66527059","WorldCat Record")</f>
        <v>WorldCat Record</v>
      </c>
      <c r="AX2518" s="3" t="s">
        <v>25536</v>
      </c>
      <c r="AY2518" s="3" t="s">
        <v>25568</v>
      </c>
      <c r="AZ2518" s="3" t="s">
        <v>25569</v>
      </c>
      <c r="BA2518" s="3" t="s">
        <v>25569</v>
      </c>
      <c r="BB2518" s="3" t="s">
        <v>25573</v>
      </c>
      <c r="BC2518" s="3" t="s">
        <v>77</v>
      </c>
      <c r="BD2518" s="3" t="s">
        <v>78</v>
      </c>
      <c r="BE2518" s="3" t="s">
        <v>25571</v>
      </c>
      <c r="BF2518" s="3" t="s">
        <v>25573</v>
      </c>
      <c r="BG2518" s="3" t="s">
        <v>25574</v>
      </c>
      <c r="BH2518">
        <f t="shared" si="61"/>
        <v>0</v>
      </c>
    </row>
    <row r="2519" spans="1:60" ht="58" x14ac:dyDescent="0.35">
      <c r="A2519" s="2" t="s">
        <v>59</v>
      </c>
      <c r="B2519" s="2" t="s">
        <v>60</v>
      </c>
      <c r="C2519" s="2" t="s">
        <v>25575</v>
      </c>
      <c r="D2519" s="2" t="s">
        <v>25576</v>
      </c>
      <c r="E2519" s="2" t="s">
        <v>25577</v>
      </c>
      <c r="G2519" s="3" t="s">
        <v>64</v>
      </c>
      <c r="I2519" s="3" t="s">
        <v>64</v>
      </c>
      <c r="J2519" s="3" t="s">
        <v>64</v>
      </c>
      <c r="K2519" s="3" t="s">
        <v>65</v>
      </c>
      <c r="L2519" s="2" t="s">
        <v>15134</v>
      </c>
      <c r="M2519" s="2" t="s">
        <v>19100</v>
      </c>
      <c r="N2519" s="3" t="s">
        <v>253</v>
      </c>
      <c r="O2519" s="2" t="s">
        <v>25578</v>
      </c>
      <c r="P2519" s="3" t="s">
        <v>102</v>
      </c>
      <c r="Q2519" s="2" t="s">
        <v>15094</v>
      </c>
      <c r="R2519" s="3" t="s">
        <v>70</v>
      </c>
      <c r="S2519" s="4">
        <v>18</v>
      </c>
      <c r="T2519" s="4">
        <v>18</v>
      </c>
      <c r="U2519" s="5" t="s">
        <v>1088</v>
      </c>
      <c r="V2519" s="5" t="s">
        <v>1088</v>
      </c>
      <c r="W2519" s="5" t="s">
        <v>72</v>
      </c>
      <c r="X2519" s="5" t="s">
        <v>72</v>
      </c>
      <c r="Y2519" s="4">
        <v>268</v>
      </c>
      <c r="Z2519" s="4">
        <v>11</v>
      </c>
      <c r="AA2519" s="4">
        <v>14</v>
      </c>
      <c r="AB2519" s="4">
        <v>1</v>
      </c>
      <c r="AC2519" s="4">
        <v>3</v>
      </c>
      <c r="AD2519" s="4">
        <v>46</v>
      </c>
      <c r="AE2519" s="4">
        <v>50</v>
      </c>
      <c r="AF2519" s="4">
        <v>0</v>
      </c>
      <c r="AG2519" s="4">
        <v>1</v>
      </c>
      <c r="AH2519" s="4">
        <v>43</v>
      </c>
      <c r="AI2519" s="4">
        <v>45</v>
      </c>
      <c r="AJ2519" s="4">
        <v>6</v>
      </c>
      <c r="AK2519" s="4">
        <v>7</v>
      </c>
      <c r="AL2519" s="4">
        <v>25</v>
      </c>
      <c r="AM2519" s="4">
        <v>27</v>
      </c>
      <c r="AN2519" s="4">
        <v>0</v>
      </c>
      <c r="AO2519" s="4">
        <v>0</v>
      </c>
      <c r="AP2519" s="4">
        <v>8</v>
      </c>
      <c r="AQ2519" s="4">
        <v>10</v>
      </c>
      <c r="AR2519" s="3" t="s">
        <v>64</v>
      </c>
      <c r="AS2519" s="3" t="s">
        <v>64</v>
      </c>
      <c r="AT2519" s="3" t="s">
        <v>64</v>
      </c>
      <c r="AV2519" s="6" t="str">
        <f>HYPERLINK("http://mcgill.on.worldcat.org/oclc/911180115","Catalog Record")</f>
        <v>Catalog Record</v>
      </c>
      <c r="AW2519" s="6" t="str">
        <f>HYPERLINK("http://www.worldcat.org/oclc/911180115","WorldCat Record")</f>
        <v>WorldCat Record</v>
      </c>
      <c r="AX2519" s="3" t="s">
        <v>25579</v>
      </c>
      <c r="AY2519" s="3" t="s">
        <v>25580</v>
      </c>
      <c r="AZ2519" s="3" t="s">
        <v>25581</v>
      </c>
      <c r="BA2519" s="3" t="s">
        <v>25581</v>
      </c>
      <c r="BB2519" s="3" t="s">
        <v>25582</v>
      </c>
      <c r="BC2519" s="3" t="s">
        <v>77</v>
      </c>
      <c r="BD2519" s="3" t="s">
        <v>78</v>
      </c>
      <c r="BE2519" s="3" t="s">
        <v>25583</v>
      </c>
      <c r="BF2519" s="3" t="s">
        <v>25582</v>
      </c>
      <c r="BG2519" s="3" t="s">
        <v>25584</v>
      </c>
      <c r="BH2519">
        <f t="shared" si="61"/>
        <v>0</v>
      </c>
    </row>
    <row r="2520" spans="1:60" ht="58" x14ac:dyDescent="0.35">
      <c r="A2520" s="2" t="s">
        <v>59</v>
      </c>
      <c r="B2520" s="2" t="s">
        <v>60</v>
      </c>
      <c r="C2520" s="2" t="s">
        <v>25585</v>
      </c>
      <c r="D2520" s="2" t="s">
        <v>25586</v>
      </c>
      <c r="E2520" s="2" t="s">
        <v>25587</v>
      </c>
      <c r="G2520" s="3" t="s">
        <v>64</v>
      </c>
      <c r="I2520" s="3" t="s">
        <v>64</v>
      </c>
      <c r="J2520" s="3" t="s">
        <v>64</v>
      </c>
      <c r="K2520" s="3" t="s">
        <v>65</v>
      </c>
      <c r="M2520" s="2" t="s">
        <v>25588</v>
      </c>
      <c r="N2520" s="3" t="s">
        <v>1492</v>
      </c>
      <c r="P2520" s="3" t="s">
        <v>102</v>
      </c>
      <c r="R2520" s="3" t="s">
        <v>70</v>
      </c>
      <c r="S2520" s="4">
        <v>1</v>
      </c>
      <c r="T2520" s="4">
        <v>1</v>
      </c>
      <c r="W2520" s="5" t="s">
        <v>25589</v>
      </c>
      <c r="X2520" s="5" t="s">
        <v>25589</v>
      </c>
      <c r="Y2520" s="4">
        <v>139</v>
      </c>
      <c r="Z2520" s="4">
        <v>11</v>
      </c>
      <c r="AA2520" s="4">
        <v>18</v>
      </c>
      <c r="AB2520" s="4">
        <v>2</v>
      </c>
      <c r="AC2520" s="4">
        <v>7</v>
      </c>
      <c r="AD2520" s="4">
        <v>52</v>
      </c>
      <c r="AE2520" s="4">
        <v>64</v>
      </c>
      <c r="AF2520" s="4">
        <v>1</v>
      </c>
      <c r="AG2520" s="4">
        <v>4</v>
      </c>
      <c r="AH2520" s="4">
        <v>48</v>
      </c>
      <c r="AI2520" s="4">
        <v>55</v>
      </c>
      <c r="AJ2520" s="4">
        <v>5</v>
      </c>
      <c r="AK2520" s="4">
        <v>10</v>
      </c>
      <c r="AL2520" s="4">
        <v>29</v>
      </c>
      <c r="AM2520" s="4">
        <v>32</v>
      </c>
      <c r="AN2520" s="4">
        <v>0</v>
      </c>
      <c r="AO2520" s="4">
        <v>0</v>
      </c>
      <c r="AP2520" s="4">
        <v>7</v>
      </c>
      <c r="AQ2520" s="4">
        <v>11</v>
      </c>
      <c r="AR2520" s="3" t="s">
        <v>64</v>
      </c>
      <c r="AS2520" s="3" t="s">
        <v>64</v>
      </c>
      <c r="AT2520" s="3" t="s">
        <v>64</v>
      </c>
      <c r="AV2520" s="6" t="str">
        <f>HYPERLINK("http://mcgill.on.worldcat.org/oclc/1048278063","Catalog Record")</f>
        <v>Catalog Record</v>
      </c>
      <c r="AW2520" s="6" t="str">
        <f>HYPERLINK("http://www.worldcat.org/oclc/1048278063","WorldCat Record")</f>
        <v>WorldCat Record</v>
      </c>
      <c r="AX2520" s="3" t="s">
        <v>25590</v>
      </c>
      <c r="AY2520" s="3" t="s">
        <v>25591</v>
      </c>
      <c r="AZ2520" s="3" t="s">
        <v>25592</v>
      </c>
      <c r="BA2520" s="3" t="s">
        <v>25592</v>
      </c>
      <c r="BB2520" s="3" t="s">
        <v>25593</v>
      </c>
      <c r="BC2520" s="3" t="s">
        <v>77</v>
      </c>
      <c r="BD2520" s="3" t="s">
        <v>165</v>
      </c>
      <c r="BE2520" s="3" t="s">
        <v>25594</v>
      </c>
      <c r="BF2520" s="3" t="s">
        <v>25593</v>
      </c>
      <c r="BG2520" s="3" t="s">
        <v>25595</v>
      </c>
      <c r="BH2520">
        <f t="shared" si="61"/>
        <v>0</v>
      </c>
    </row>
    <row r="2521" spans="1:60" ht="58" x14ac:dyDescent="0.35">
      <c r="A2521" s="2" t="s">
        <v>59</v>
      </c>
      <c r="B2521" s="2" t="s">
        <v>60</v>
      </c>
      <c r="C2521" s="2" t="s">
        <v>25596</v>
      </c>
      <c r="D2521" s="2" t="s">
        <v>25597</v>
      </c>
      <c r="E2521" s="2" t="s">
        <v>25598</v>
      </c>
      <c r="G2521" s="3" t="s">
        <v>64</v>
      </c>
      <c r="I2521" s="3" t="s">
        <v>64</v>
      </c>
      <c r="J2521" s="3" t="s">
        <v>64</v>
      </c>
      <c r="K2521" s="3" t="s">
        <v>65</v>
      </c>
      <c r="L2521" s="2" t="s">
        <v>25599</v>
      </c>
      <c r="M2521" s="2" t="s">
        <v>25600</v>
      </c>
      <c r="N2521" s="3" t="s">
        <v>326</v>
      </c>
      <c r="P2521" s="3" t="s">
        <v>102</v>
      </c>
      <c r="Q2521" s="2" t="s">
        <v>25601</v>
      </c>
      <c r="R2521" s="3" t="s">
        <v>70</v>
      </c>
      <c r="S2521" s="4">
        <v>5</v>
      </c>
      <c r="T2521" s="4">
        <v>5</v>
      </c>
      <c r="U2521" s="5" t="s">
        <v>11814</v>
      </c>
      <c r="V2521" s="5" t="s">
        <v>11814</v>
      </c>
      <c r="W2521" s="5" t="s">
        <v>72</v>
      </c>
      <c r="X2521" s="5" t="s">
        <v>72</v>
      </c>
      <c r="Y2521" s="4">
        <v>204</v>
      </c>
      <c r="Z2521" s="4">
        <v>17</v>
      </c>
      <c r="AA2521" s="4">
        <v>100</v>
      </c>
      <c r="AB2521" s="4">
        <v>1</v>
      </c>
      <c r="AC2521" s="4">
        <v>20</v>
      </c>
      <c r="AD2521" s="4">
        <v>65</v>
      </c>
      <c r="AE2521" s="4">
        <v>126</v>
      </c>
      <c r="AF2521" s="4">
        <v>0</v>
      </c>
      <c r="AG2521" s="4">
        <v>8</v>
      </c>
      <c r="AH2521" s="4">
        <v>60</v>
      </c>
      <c r="AI2521" s="4">
        <v>91</v>
      </c>
      <c r="AJ2521" s="4">
        <v>10</v>
      </c>
      <c r="AK2521" s="4">
        <v>22</v>
      </c>
      <c r="AL2521" s="4">
        <v>39</v>
      </c>
      <c r="AM2521" s="4">
        <v>50</v>
      </c>
      <c r="AN2521" s="4">
        <v>0</v>
      </c>
      <c r="AO2521" s="4">
        <v>0</v>
      </c>
      <c r="AP2521" s="4">
        <v>11</v>
      </c>
      <c r="AQ2521" s="4">
        <v>43</v>
      </c>
      <c r="AR2521" s="3" t="s">
        <v>64</v>
      </c>
      <c r="AS2521" s="3" t="s">
        <v>64</v>
      </c>
      <c r="AT2521" s="3" t="s">
        <v>64</v>
      </c>
      <c r="AV2521" s="6" t="str">
        <f>HYPERLINK("http://mcgill.on.worldcat.org/oclc/698360129","Catalog Record")</f>
        <v>Catalog Record</v>
      </c>
      <c r="AW2521" s="6" t="str">
        <f>HYPERLINK("http://www.worldcat.org/oclc/698360129","WorldCat Record")</f>
        <v>WorldCat Record</v>
      </c>
      <c r="AX2521" s="3" t="s">
        <v>25602</v>
      </c>
      <c r="AY2521" s="3" t="s">
        <v>25603</v>
      </c>
      <c r="AZ2521" s="3" t="s">
        <v>25604</v>
      </c>
      <c r="BA2521" s="3" t="s">
        <v>25604</v>
      </c>
      <c r="BB2521" s="3" t="s">
        <v>25605</v>
      </c>
      <c r="BC2521" s="3" t="s">
        <v>77</v>
      </c>
      <c r="BD2521" s="3" t="s">
        <v>78</v>
      </c>
      <c r="BE2521" s="3" t="s">
        <v>25606</v>
      </c>
      <c r="BF2521" s="3" t="s">
        <v>25605</v>
      </c>
      <c r="BG2521" s="3" t="s">
        <v>25607</v>
      </c>
      <c r="BH2521">
        <f t="shared" si="61"/>
        <v>0</v>
      </c>
    </row>
    <row r="2522" spans="1:60" ht="58" x14ac:dyDescent="0.35">
      <c r="A2522" s="2" t="s">
        <v>59</v>
      </c>
      <c r="B2522" s="2" t="s">
        <v>60</v>
      </c>
      <c r="C2522" s="2" t="s">
        <v>25608</v>
      </c>
      <c r="D2522" s="2" t="s">
        <v>25609</v>
      </c>
      <c r="E2522" s="2" t="s">
        <v>25610</v>
      </c>
      <c r="G2522" s="3" t="s">
        <v>64</v>
      </c>
      <c r="I2522" s="3" t="s">
        <v>64</v>
      </c>
      <c r="J2522" s="3" t="s">
        <v>64</v>
      </c>
      <c r="K2522" s="3" t="s">
        <v>65</v>
      </c>
      <c r="L2522" s="2" t="s">
        <v>25611</v>
      </c>
      <c r="M2522" s="2" t="s">
        <v>25612</v>
      </c>
      <c r="N2522" s="3" t="s">
        <v>1275</v>
      </c>
      <c r="P2522" s="3" t="s">
        <v>102</v>
      </c>
      <c r="R2522" s="3" t="s">
        <v>70</v>
      </c>
      <c r="S2522" s="4">
        <v>1</v>
      </c>
      <c r="T2522" s="4">
        <v>1</v>
      </c>
      <c r="U2522" s="5" t="s">
        <v>19011</v>
      </c>
      <c r="V2522" s="5" t="s">
        <v>19011</v>
      </c>
      <c r="W2522" s="5" t="s">
        <v>72</v>
      </c>
      <c r="X2522" s="5" t="s">
        <v>72</v>
      </c>
      <c r="Y2522" s="4">
        <v>20</v>
      </c>
      <c r="Z2522" s="4">
        <v>1</v>
      </c>
      <c r="AA2522" s="4">
        <v>1</v>
      </c>
      <c r="AB2522" s="4">
        <v>1</v>
      </c>
      <c r="AC2522" s="4">
        <v>1</v>
      </c>
      <c r="AD2522" s="4">
        <v>7</v>
      </c>
      <c r="AE2522" s="4">
        <v>7</v>
      </c>
      <c r="AF2522" s="4">
        <v>0</v>
      </c>
      <c r="AG2522" s="4">
        <v>0</v>
      </c>
      <c r="AH2522" s="4">
        <v>6</v>
      </c>
      <c r="AI2522" s="4">
        <v>6</v>
      </c>
      <c r="AJ2522" s="4">
        <v>0</v>
      </c>
      <c r="AK2522" s="4">
        <v>0</v>
      </c>
      <c r="AL2522" s="4">
        <v>6</v>
      </c>
      <c r="AM2522" s="4">
        <v>6</v>
      </c>
      <c r="AN2522" s="4">
        <v>0</v>
      </c>
      <c r="AO2522" s="4">
        <v>0</v>
      </c>
      <c r="AP2522" s="4">
        <v>0</v>
      </c>
      <c r="AQ2522" s="4">
        <v>0</v>
      </c>
      <c r="AR2522" s="3" t="s">
        <v>64</v>
      </c>
      <c r="AS2522" s="3" t="s">
        <v>64</v>
      </c>
      <c r="AT2522" s="3" t="s">
        <v>128</v>
      </c>
      <c r="AU2522" s="6" t="str">
        <f>HYPERLINK("http://catalog.hathitrust.org/Record/006955249","HathiTrust Record")</f>
        <v>HathiTrust Record</v>
      </c>
      <c r="AV2522" s="6" t="str">
        <f>HYPERLINK("http://mcgill.on.worldcat.org/oclc/70802962","Catalog Record")</f>
        <v>Catalog Record</v>
      </c>
      <c r="AW2522" s="6" t="str">
        <f>HYPERLINK("http://www.worldcat.org/oclc/70802962","WorldCat Record")</f>
        <v>WorldCat Record</v>
      </c>
      <c r="AX2522" s="3" t="s">
        <v>25613</v>
      </c>
      <c r="AY2522" s="3" t="s">
        <v>25614</v>
      </c>
      <c r="AZ2522" s="3" t="s">
        <v>25615</v>
      </c>
      <c r="BA2522" s="3" t="s">
        <v>25615</v>
      </c>
      <c r="BB2522" s="3" t="s">
        <v>25616</v>
      </c>
      <c r="BC2522" s="3" t="s">
        <v>77</v>
      </c>
      <c r="BD2522" s="3" t="s">
        <v>78</v>
      </c>
      <c r="BE2522" s="3" t="s">
        <v>25617</v>
      </c>
      <c r="BF2522" s="3" t="s">
        <v>25616</v>
      </c>
      <c r="BG2522" s="3" t="s">
        <v>25618</v>
      </c>
      <c r="BH2522">
        <f t="shared" si="61"/>
        <v>0</v>
      </c>
    </row>
    <row r="2523" spans="1:60" ht="87" x14ac:dyDescent="0.35">
      <c r="A2523" s="2" t="s">
        <v>59</v>
      </c>
      <c r="B2523" s="2" t="s">
        <v>60</v>
      </c>
      <c r="C2523" s="2" t="s">
        <v>25619</v>
      </c>
      <c r="D2523" s="2" t="s">
        <v>25620</v>
      </c>
      <c r="E2523" s="2" t="s">
        <v>25621</v>
      </c>
      <c r="G2523" s="3" t="s">
        <v>64</v>
      </c>
      <c r="I2523" s="3" t="s">
        <v>64</v>
      </c>
      <c r="J2523" s="3" t="s">
        <v>64</v>
      </c>
      <c r="K2523" s="3" t="s">
        <v>65</v>
      </c>
      <c r="L2523" s="2" t="s">
        <v>25622</v>
      </c>
      <c r="M2523" s="2" t="s">
        <v>25623</v>
      </c>
      <c r="N2523" s="3" t="s">
        <v>434</v>
      </c>
      <c r="P2523" s="3" t="s">
        <v>102</v>
      </c>
      <c r="Q2523" s="2" t="s">
        <v>25624</v>
      </c>
      <c r="R2523" s="3" t="s">
        <v>70</v>
      </c>
      <c r="S2523" s="4">
        <v>6</v>
      </c>
      <c r="T2523" s="4">
        <v>6</v>
      </c>
      <c r="U2523" s="5" t="s">
        <v>5263</v>
      </c>
      <c r="V2523" s="5" t="s">
        <v>5263</v>
      </c>
      <c r="W2523" s="5" t="s">
        <v>72</v>
      </c>
      <c r="X2523" s="5" t="s">
        <v>72</v>
      </c>
      <c r="Y2523" s="4">
        <v>48</v>
      </c>
      <c r="Z2523" s="4">
        <v>3</v>
      </c>
      <c r="AA2523" s="4">
        <v>8</v>
      </c>
      <c r="AB2523" s="4">
        <v>1</v>
      </c>
      <c r="AC2523" s="4">
        <v>2</v>
      </c>
      <c r="AD2523" s="4">
        <v>16</v>
      </c>
      <c r="AE2523" s="4">
        <v>17</v>
      </c>
      <c r="AF2523" s="4">
        <v>0</v>
      </c>
      <c r="AG2523" s="4">
        <v>1</v>
      </c>
      <c r="AH2523" s="4">
        <v>15</v>
      </c>
      <c r="AI2523" s="4">
        <v>15</v>
      </c>
      <c r="AJ2523" s="4">
        <v>2</v>
      </c>
      <c r="AK2523" s="4">
        <v>3</v>
      </c>
      <c r="AL2523" s="4">
        <v>13</v>
      </c>
      <c r="AM2523" s="4">
        <v>13</v>
      </c>
      <c r="AN2523" s="4">
        <v>0</v>
      </c>
      <c r="AO2523" s="4">
        <v>0</v>
      </c>
      <c r="AP2523" s="4">
        <v>2</v>
      </c>
      <c r="AQ2523" s="4">
        <v>2</v>
      </c>
      <c r="AR2523" s="3" t="s">
        <v>64</v>
      </c>
      <c r="AS2523" s="3" t="s">
        <v>64</v>
      </c>
      <c r="AT2523" s="3" t="s">
        <v>64</v>
      </c>
      <c r="AV2523" s="6" t="str">
        <f>HYPERLINK("http://mcgill.on.worldcat.org/oclc/62710974","Catalog Record")</f>
        <v>Catalog Record</v>
      </c>
      <c r="AW2523" s="6" t="str">
        <f>HYPERLINK("http://www.worldcat.org/oclc/62710974","WorldCat Record")</f>
        <v>WorldCat Record</v>
      </c>
      <c r="AX2523" s="3" t="s">
        <v>25625</v>
      </c>
      <c r="AY2523" s="3" t="s">
        <v>25626</v>
      </c>
      <c r="AZ2523" s="3" t="s">
        <v>25627</v>
      </c>
      <c r="BA2523" s="3" t="s">
        <v>25627</v>
      </c>
      <c r="BB2523" s="3" t="s">
        <v>25628</v>
      </c>
      <c r="BC2523" s="3" t="s">
        <v>77</v>
      </c>
      <c r="BD2523" s="3" t="s">
        <v>78</v>
      </c>
      <c r="BE2523" s="3" t="s">
        <v>25629</v>
      </c>
      <c r="BF2523" s="3" t="s">
        <v>25628</v>
      </c>
      <c r="BG2523" s="3" t="s">
        <v>25630</v>
      </c>
      <c r="BH2523">
        <f t="shared" si="61"/>
        <v>0</v>
      </c>
    </row>
    <row r="2524" spans="1:60" ht="58" x14ac:dyDescent="0.35">
      <c r="A2524" s="2" t="s">
        <v>59</v>
      </c>
      <c r="B2524" s="2" t="s">
        <v>60</v>
      </c>
      <c r="C2524" s="2" t="s">
        <v>25631</v>
      </c>
      <c r="D2524" s="2" t="s">
        <v>25632</v>
      </c>
      <c r="E2524" s="2" t="s">
        <v>25633</v>
      </c>
      <c r="G2524" s="3" t="s">
        <v>64</v>
      </c>
      <c r="I2524" s="3" t="s">
        <v>64</v>
      </c>
      <c r="J2524" s="3" t="s">
        <v>64</v>
      </c>
      <c r="K2524" s="3" t="s">
        <v>65</v>
      </c>
      <c r="L2524" s="2" t="s">
        <v>25634</v>
      </c>
      <c r="M2524" s="2" t="s">
        <v>8980</v>
      </c>
      <c r="N2524" s="3" t="s">
        <v>511</v>
      </c>
      <c r="P2524" s="3" t="s">
        <v>102</v>
      </c>
      <c r="Q2524" s="2" t="s">
        <v>8981</v>
      </c>
      <c r="R2524" s="3" t="s">
        <v>70</v>
      </c>
      <c r="S2524" s="4">
        <v>2</v>
      </c>
      <c r="T2524" s="4">
        <v>2</v>
      </c>
      <c r="U2524" s="5" t="s">
        <v>25635</v>
      </c>
      <c r="V2524" s="5" t="s">
        <v>25635</v>
      </c>
      <c r="W2524" s="5" t="s">
        <v>72</v>
      </c>
      <c r="X2524" s="5" t="s">
        <v>72</v>
      </c>
      <c r="Y2524" s="4">
        <v>144</v>
      </c>
      <c r="Z2524" s="4">
        <v>9</v>
      </c>
      <c r="AA2524" s="4">
        <v>25</v>
      </c>
      <c r="AB2524" s="4">
        <v>1</v>
      </c>
      <c r="AC2524" s="4">
        <v>6</v>
      </c>
      <c r="AD2524" s="4">
        <v>41</v>
      </c>
      <c r="AE2524" s="4">
        <v>65</v>
      </c>
      <c r="AF2524" s="4">
        <v>0</v>
      </c>
      <c r="AG2524" s="4">
        <v>3</v>
      </c>
      <c r="AH2524" s="4">
        <v>37</v>
      </c>
      <c r="AI2524" s="4">
        <v>56</v>
      </c>
      <c r="AJ2524" s="4">
        <v>7</v>
      </c>
      <c r="AK2524" s="4">
        <v>14</v>
      </c>
      <c r="AL2524" s="4">
        <v>26</v>
      </c>
      <c r="AM2524" s="4">
        <v>33</v>
      </c>
      <c r="AN2524" s="4">
        <v>0</v>
      </c>
      <c r="AO2524" s="4">
        <v>0</v>
      </c>
      <c r="AP2524" s="4">
        <v>8</v>
      </c>
      <c r="AQ2524" s="4">
        <v>15</v>
      </c>
      <c r="AR2524" s="3" t="s">
        <v>64</v>
      </c>
      <c r="AS2524" s="3" t="s">
        <v>64</v>
      </c>
      <c r="AT2524" s="3" t="s">
        <v>64</v>
      </c>
      <c r="AV2524" s="6" t="str">
        <f>HYPERLINK("http://mcgill.on.worldcat.org/oclc/436265337","Catalog Record")</f>
        <v>Catalog Record</v>
      </c>
      <c r="AW2524" s="6" t="str">
        <f>HYPERLINK("http://www.worldcat.org/oclc/436265337","WorldCat Record")</f>
        <v>WorldCat Record</v>
      </c>
      <c r="AX2524" s="3" t="s">
        <v>25636</v>
      </c>
      <c r="AY2524" s="3" t="s">
        <v>25637</v>
      </c>
      <c r="AZ2524" s="3" t="s">
        <v>25638</v>
      </c>
      <c r="BA2524" s="3" t="s">
        <v>25638</v>
      </c>
      <c r="BB2524" s="3" t="s">
        <v>25639</v>
      </c>
      <c r="BC2524" s="3" t="s">
        <v>77</v>
      </c>
      <c r="BD2524" s="3" t="s">
        <v>78</v>
      </c>
      <c r="BE2524" s="3" t="s">
        <v>25640</v>
      </c>
      <c r="BF2524" s="3" t="s">
        <v>25639</v>
      </c>
      <c r="BG2524" s="3" t="s">
        <v>25641</v>
      </c>
      <c r="BH2524">
        <f t="shared" si="61"/>
        <v>0</v>
      </c>
    </row>
    <row r="2525" spans="1:60" ht="58" x14ac:dyDescent="0.35">
      <c r="A2525" s="2" t="s">
        <v>59</v>
      </c>
      <c r="B2525" s="2" t="s">
        <v>60</v>
      </c>
      <c r="C2525" s="2" t="s">
        <v>25642</v>
      </c>
      <c r="D2525" s="2" t="s">
        <v>25643</v>
      </c>
      <c r="E2525" s="2" t="s">
        <v>25644</v>
      </c>
      <c r="G2525" s="3" t="s">
        <v>64</v>
      </c>
      <c r="I2525" s="3" t="s">
        <v>128</v>
      </c>
      <c r="J2525" s="3" t="s">
        <v>128</v>
      </c>
      <c r="K2525" s="3" t="s">
        <v>65</v>
      </c>
      <c r="L2525" s="2" t="s">
        <v>25370</v>
      </c>
      <c r="M2525" s="2" t="s">
        <v>14751</v>
      </c>
      <c r="N2525" s="3" t="s">
        <v>291</v>
      </c>
      <c r="O2525" s="2" t="s">
        <v>2994</v>
      </c>
      <c r="P2525" s="3" t="s">
        <v>102</v>
      </c>
      <c r="R2525" s="3" t="s">
        <v>70</v>
      </c>
      <c r="S2525" s="4">
        <v>119</v>
      </c>
      <c r="T2525" s="4">
        <v>219</v>
      </c>
      <c r="U2525" s="5" t="s">
        <v>1505</v>
      </c>
      <c r="V2525" s="5" t="s">
        <v>25645</v>
      </c>
      <c r="W2525" s="5" t="s">
        <v>72</v>
      </c>
      <c r="X2525" s="5" t="s">
        <v>72</v>
      </c>
      <c r="Y2525" s="4">
        <v>576</v>
      </c>
      <c r="Z2525" s="4">
        <v>27</v>
      </c>
      <c r="AA2525" s="4">
        <v>62</v>
      </c>
      <c r="AB2525" s="4">
        <v>1</v>
      </c>
      <c r="AC2525" s="4">
        <v>10</v>
      </c>
      <c r="AD2525" s="4">
        <v>63</v>
      </c>
      <c r="AE2525" s="4">
        <v>119</v>
      </c>
      <c r="AF2525" s="4">
        <v>0</v>
      </c>
      <c r="AG2525" s="4">
        <v>2</v>
      </c>
      <c r="AH2525" s="4">
        <v>56</v>
      </c>
      <c r="AI2525" s="4">
        <v>97</v>
      </c>
      <c r="AJ2525" s="4">
        <v>9</v>
      </c>
      <c r="AK2525" s="4">
        <v>16</v>
      </c>
      <c r="AL2525" s="4">
        <v>32</v>
      </c>
      <c r="AM2525" s="4">
        <v>57</v>
      </c>
      <c r="AN2525" s="4">
        <v>0</v>
      </c>
      <c r="AO2525" s="4">
        <v>0</v>
      </c>
      <c r="AP2525" s="4">
        <v>10</v>
      </c>
      <c r="AQ2525" s="4">
        <v>21</v>
      </c>
      <c r="AR2525" s="3" t="s">
        <v>64</v>
      </c>
      <c r="AS2525" s="3" t="s">
        <v>64</v>
      </c>
      <c r="AT2525" s="3" t="s">
        <v>128</v>
      </c>
      <c r="AU2525" s="6" t="str">
        <f>HYPERLINK("http://catalog.hathitrust.org/Record/005837915","HathiTrust Record")</f>
        <v>HathiTrust Record</v>
      </c>
      <c r="AV2525" s="6" t="str">
        <f>HYPERLINK("http://mcgill.on.worldcat.org/oclc/124031949","Catalog Record")</f>
        <v>Catalog Record</v>
      </c>
      <c r="AW2525" s="6" t="str">
        <f>HYPERLINK("http://www.worldcat.org/oclc/124031949","WorldCat Record")</f>
        <v>WorldCat Record</v>
      </c>
      <c r="AX2525" s="3" t="s">
        <v>25373</v>
      </c>
      <c r="AY2525" s="3" t="s">
        <v>25646</v>
      </c>
      <c r="AZ2525" s="3" t="s">
        <v>25647</v>
      </c>
      <c r="BA2525" s="3" t="s">
        <v>25647</v>
      </c>
      <c r="BB2525" s="3" t="s">
        <v>25648</v>
      </c>
      <c r="BC2525" s="3" t="s">
        <v>77</v>
      </c>
      <c r="BD2525" s="3" t="s">
        <v>78</v>
      </c>
      <c r="BE2525" s="3" t="s">
        <v>25649</v>
      </c>
      <c r="BF2525" s="3" t="s">
        <v>25648</v>
      </c>
      <c r="BG2525" s="3" t="s">
        <v>25650</v>
      </c>
      <c r="BH2525">
        <f t="shared" si="61"/>
        <v>0</v>
      </c>
    </row>
    <row r="2526" spans="1:60" ht="58" x14ac:dyDescent="0.35">
      <c r="A2526" s="2" t="s">
        <v>59</v>
      </c>
      <c r="B2526" s="2" t="s">
        <v>60</v>
      </c>
      <c r="C2526" s="2" t="s">
        <v>25642</v>
      </c>
      <c r="D2526" s="2" t="s">
        <v>25643</v>
      </c>
      <c r="E2526" s="2" t="s">
        <v>25644</v>
      </c>
      <c r="G2526" s="3" t="s">
        <v>64</v>
      </c>
      <c r="I2526" s="3" t="s">
        <v>128</v>
      </c>
      <c r="J2526" s="3" t="s">
        <v>128</v>
      </c>
      <c r="K2526" s="3" t="s">
        <v>65</v>
      </c>
      <c r="L2526" s="2" t="s">
        <v>25370</v>
      </c>
      <c r="M2526" s="2" t="s">
        <v>14751</v>
      </c>
      <c r="N2526" s="3" t="s">
        <v>291</v>
      </c>
      <c r="O2526" s="2" t="s">
        <v>2994</v>
      </c>
      <c r="P2526" s="3" t="s">
        <v>102</v>
      </c>
      <c r="R2526" s="3" t="s">
        <v>70</v>
      </c>
      <c r="S2526" s="4">
        <v>99</v>
      </c>
      <c r="T2526" s="4">
        <v>219</v>
      </c>
      <c r="U2526" s="5" t="s">
        <v>25651</v>
      </c>
      <c r="V2526" s="5" t="s">
        <v>25645</v>
      </c>
      <c r="W2526" s="5" t="s">
        <v>72</v>
      </c>
      <c r="X2526" s="5" t="s">
        <v>72</v>
      </c>
      <c r="Y2526" s="4">
        <v>576</v>
      </c>
      <c r="Z2526" s="4">
        <v>27</v>
      </c>
      <c r="AA2526" s="4">
        <v>62</v>
      </c>
      <c r="AB2526" s="4">
        <v>1</v>
      </c>
      <c r="AC2526" s="4">
        <v>10</v>
      </c>
      <c r="AD2526" s="4">
        <v>63</v>
      </c>
      <c r="AE2526" s="4">
        <v>119</v>
      </c>
      <c r="AF2526" s="4">
        <v>0</v>
      </c>
      <c r="AG2526" s="4">
        <v>2</v>
      </c>
      <c r="AH2526" s="4">
        <v>56</v>
      </c>
      <c r="AI2526" s="4">
        <v>97</v>
      </c>
      <c r="AJ2526" s="4">
        <v>9</v>
      </c>
      <c r="AK2526" s="4">
        <v>16</v>
      </c>
      <c r="AL2526" s="4">
        <v>32</v>
      </c>
      <c r="AM2526" s="4">
        <v>57</v>
      </c>
      <c r="AN2526" s="4">
        <v>0</v>
      </c>
      <c r="AO2526" s="4">
        <v>0</v>
      </c>
      <c r="AP2526" s="4">
        <v>10</v>
      </c>
      <c r="AQ2526" s="4">
        <v>21</v>
      </c>
      <c r="AR2526" s="3" t="s">
        <v>64</v>
      </c>
      <c r="AS2526" s="3" t="s">
        <v>64</v>
      </c>
      <c r="AT2526" s="3" t="s">
        <v>128</v>
      </c>
      <c r="AU2526" s="6" t="str">
        <f>HYPERLINK("http://catalog.hathitrust.org/Record/005837915","HathiTrust Record")</f>
        <v>HathiTrust Record</v>
      </c>
      <c r="AV2526" s="6" t="str">
        <f>HYPERLINK("http://mcgill.on.worldcat.org/oclc/124031949","Catalog Record")</f>
        <v>Catalog Record</v>
      </c>
      <c r="AW2526" s="6" t="str">
        <f>HYPERLINK("http://www.worldcat.org/oclc/124031949","WorldCat Record")</f>
        <v>WorldCat Record</v>
      </c>
      <c r="AX2526" s="3" t="s">
        <v>25373</v>
      </c>
      <c r="AY2526" s="3" t="s">
        <v>25646</v>
      </c>
      <c r="AZ2526" s="3" t="s">
        <v>25647</v>
      </c>
      <c r="BA2526" s="3" t="s">
        <v>25647</v>
      </c>
      <c r="BB2526" s="3" t="s">
        <v>25652</v>
      </c>
      <c r="BC2526" s="3" t="s">
        <v>77</v>
      </c>
      <c r="BD2526" s="3" t="s">
        <v>78</v>
      </c>
      <c r="BE2526" s="3" t="s">
        <v>25649</v>
      </c>
      <c r="BF2526" s="3" t="s">
        <v>25652</v>
      </c>
      <c r="BG2526" s="3" t="s">
        <v>25653</v>
      </c>
      <c r="BH2526">
        <f t="shared" si="61"/>
        <v>0</v>
      </c>
    </row>
    <row r="2527" spans="1:60" ht="58" x14ac:dyDescent="0.35">
      <c r="A2527" s="2" t="s">
        <v>59</v>
      </c>
      <c r="B2527" s="2" t="s">
        <v>60</v>
      </c>
      <c r="C2527" s="2" t="s">
        <v>25642</v>
      </c>
      <c r="D2527" s="2" t="s">
        <v>25643</v>
      </c>
      <c r="E2527" s="2" t="s">
        <v>25644</v>
      </c>
      <c r="G2527" s="3" t="s">
        <v>64</v>
      </c>
      <c r="I2527" s="3" t="s">
        <v>128</v>
      </c>
      <c r="J2527" s="3" t="s">
        <v>128</v>
      </c>
      <c r="K2527" s="3" t="s">
        <v>65</v>
      </c>
      <c r="L2527" s="2" t="s">
        <v>25370</v>
      </c>
      <c r="M2527" s="2" t="s">
        <v>14751</v>
      </c>
      <c r="N2527" s="3" t="s">
        <v>291</v>
      </c>
      <c r="O2527" s="2" t="s">
        <v>2994</v>
      </c>
      <c r="P2527" s="3" t="s">
        <v>102</v>
      </c>
      <c r="R2527" s="3" t="s">
        <v>70</v>
      </c>
      <c r="S2527" s="4">
        <v>1</v>
      </c>
      <c r="T2527" s="4">
        <v>219</v>
      </c>
      <c r="U2527" s="5" t="s">
        <v>25645</v>
      </c>
      <c r="V2527" s="5" t="s">
        <v>25645</v>
      </c>
      <c r="W2527" s="5" t="s">
        <v>72</v>
      </c>
      <c r="X2527" s="5" t="s">
        <v>72</v>
      </c>
      <c r="Y2527" s="4">
        <v>576</v>
      </c>
      <c r="Z2527" s="4">
        <v>27</v>
      </c>
      <c r="AA2527" s="4">
        <v>62</v>
      </c>
      <c r="AB2527" s="4">
        <v>1</v>
      </c>
      <c r="AC2527" s="4">
        <v>10</v>
      </c>
      <c r="AD2527" s="4">
        <v>63</v>
      </c>
      <c r="AE2527" s="4">
        <v>119</v>
      </c>
      <c r="AF2527" s="4">
        <v>0</v>
      </c>
      <c r="AG2527" s="4">
        <v>2</v>
      </c>
      <c r="AH2527" s="4">
        <v>56</v>
      </c>
      <c r="AI2527" s="4">
        <v>97</v>
      </c>
      <c r="AJ2527" s="4">
        <v>9</v>
      </c>
      <c r="AK2527" s="4">
        <v>16</v>
      </c>
      <c r="AL2527" s="4">
        <v>32</v>
      </c>
      <c r="AM2527" s="4">
        <v>57</v>
      </c>
      <c r="AN2527" s="4">
        <v>0</v>
      </c>
      <c r="AO2527" s="4">
        <v>0</v>
      </c>
      <c r="AP2527" s="4">
        <v>10</v>
      </c>
      <c r="AQ2527" s="4">
        <v>21</v>
      </c>
      <c r="AR2527" s="3" t="s">
        <v>64</v>
      </c>
      <c r="AS2527" s="3" t="s">
        <v>64</v>
      </c>
      <c r="AT2527" s="3" t="s">
        <v>128</v>
      </c>
      <c r="AU2527" s="6" t="str">
        <f>HYPERLINK("http://catalog.hathitrust.org/Record/005837915","HathiTrust Record")</f>
        <v>HathiTrust Record</v>
      </c>
      <c r="AV2527" s="6" t="str">
        <f>HYPERLINK("http://mcgill.on.worldcat.org/oclc/124031949","Catalog Record")</f>
        <v>Catalog Record</v>
      </c>
      <c r="AW2527" s="6" t="str">
        <f>HYPERLINK("http://www.worldcat.org/oclc/124031949","WorldCat Record")</f>
        <v>WorldCat Record</v>
      </c>
      <c r="AX2527" s="3" t="s">
        <v>25373</v>
      </c>
      <c r="AY2527" s="3" t="s">
        <v>25646</v>
      </c>
      <c r="AZ2527" s="3" t="s">
        <v>25647</v>
      </c>
      <c r="BA2527" s="3" t="s">
        <v>25647</v>
      </c>
      <c r="BB2527" s="3" t="s">
        <v>25654</v>
      </c>
      <c r="BC2527" s="3" t="s">
        <v>77</v>
      </c>
      <c r="BD2527" s="3" t="s">
        <v>78</v>
      </c>
      <c r="BE2527" s="3" t="s">
        <v>25649</v>
      </c>
      <c r="BF2527" s="3" t="s">
        <v>25654</v>
      </c>
      <c r="BG2527" s="3" t="s">
        <v>25655</v>
      </c>
      <c r="BH2527">
        <f t="shared" si="61"/>
        <v>0</v>
      </c>
    </row>
    <row r="2528" spans="1:60" ht="101.5" x14ac:dyDescent="0.35">
      <c r="A2528" s="2" t="s">
        <v>59</v>
      </c>
      <c r="B2528" s="2" t="s">
        <v>60</v>
      </c>
      <c r="C2528" s="2" t="s">
        <v>25656</v>
      </c>
      <c r="D2528" s="2" t="s">
        <v>25657</v>
      </c>
      <c r="E2528" s="2" t="s">
        <v>25658</v>
      </c>
      <c r="G2528" s="3" t="s">
        <v>64</v>
      </c>
      <c r="I2528" s="3" t="s">
        <v>128</v>
      </c>
      <c r="J2528" s="3" t="s">
        <v>64</v>
      </c>
      <c r="K2528" s="3" t="s">
        <v>65</v>
      </c>
      <c r="M2528" s="2" t="s">
        <v>25659</v>
      </c>
      <c r="N2528" s="3" t="s">
        <v>1047</v>
      </c>
      <c r="O2528" s="2" t="s">
        <v>25660</v>
      </c>
      <c r="P2528" s="3" t="s">
        <v>102</v>
      </c>
      <c r="R2528" s="3" t="s">
        <v>70</v>
      </c>
      <c r="S2528" s="4">
        <v>5</v>
      </c>
      <c r="T2528" s="4">
        <v>11</v>
      </c>
      <c r="U2528" s="5" t="s">
        <v>25521</v>
      </c>
      <c r="V2528" s="5" t="s">
        <v>25521</v>
      </c>
      <c r="W2528" s="5" t="s">
        <v>72</v>
      </c>
      <c r="X2528" s="5" t="s">
        <v>72</v>
      </c>
      <c r="Y2528" s="4">
        <v>10</v>
      </c>
      <c r="Z2528" s="4">
        <v>1</v>
      </c>
      <c r="AA2528" s="4">
        <v>1</v>
      </c>
      <c r="AB2528" s="4">
        <v>1</v>
      </c>
      <c r="AC2528" s="4">
        <v>1</v>
      </c>
      <c r="AD2528" s="4">
        <v>0</v>
      </c>
      <c r="AE2528" s="4">
        <v>0</v>
      </c>
      <c r="AF2528" s="4">
        <v>0</v>
      </c>
      <c r="AG2528" s="4">
        <v>0</v>
      </c>
      <c r="AH2528" s="4">
        <v>0</v>
      </c>
      <c r="AI2528" s="4">
        <v>0</v>
      </c>
      <c r="AJ2528" s="4">
        <v>0</v>
      </c>
      <c r="AK2528" s="4">
        <v>0</v>
      </c>
      <c r="AL2528" s="4">
        <v>0</v>
      </c>
      <c r="AM2528" s="4">
        <v>0</v>
      </c>
      <c r="AN2528" s="4">
        <v>0</v>
      </c>
      <c r="AO2528" s="4">
        <v>0</v>
      </c>
      <c r="AP2528" s="4">
        <v>0</v>
      </c>
      <c r="AQ2528" s="4">
        <v>0</v>
      </c>
      <c r="AR2528" s="3" t="s">
        <v>64</v>
      </c>
      <c r="AS2528" s="3" t="s">
        <v>64</v>
      </c>
      <c r="AT2528" s="3" t="s">
        <v>64</v>
      </c>
      <c r="AV2528" s="6" t="str">
        <f>HYPERLINK("http://mcgill.on.worldcat.org/oclc/220013849","Catalog Record")</f>
        <v>Catalog Record</v>
      </c>
      <c r="AW2528" s="6" t="str">
        <f>HYPERLINK("http://www.worldcat.org/oclc/220013849","WorldCat Record")</f>
        <v>WorldCat Record</v>
      </c>
      <c r="AX2528" s="3" t="s">
        <v>25661</v>
      </c>
      <c r="AY2528" s="3" t="s">
        <v>25662</v>
      </c>
      <c r="AZ2528" s="3" t="s">
        <v>25663</v>
      </c>
      <c r="BA2528" s="3" t="s">
        <v>25663</v>
      </c>
      <c r="BB2528" s="3" t="s">
        <v>25664</v>
      </c>
      <c r="BC2528" s="3" t="s">
        <v>77</v>
      </c>
      <c r="BD2528" s="3" t="s">
        <v>78</v>
      </c>
      <c r="BE2528" s="3" t="s">
        <v>25665</v>
      </c>
      <c r="BF2528" s="3" t="s">
        <v>25664</v>
      </c>
      <c r="BG2528" s="3" t="s">
        <v>25666</v>
      </c>
      <c r="BH2528">
        <f t="shared" si="61"/>
        <v>0</v>
      </c>
    </row>
    <row r="2529" spans="1:60" ht="101.5" x14ac:dyDescent="0.35">
      <c r="A2529" s="2" t="s">
        <v>59</v>
      </c>
      <c r="B2529" s="2" t="s">
        <v>60</v>
      </c>
      <c r="C2529" s="2" t="s">
        <v>25656</v>
      </c>
      <c r="D2529" s="2" t="s">
        <v>25657</v>
      </c>
      <c r="E2529" s="2" t="s">
        <v>25658</v>
      </c>
      <c r="G2529" s="3" t="s">
        <v>64</v>
      </c>
      <c r="I2529" s="3" t="s">
        <v>128</v>
      </c>
      <c r="J2529" s="3" t="s">
        <v>64</v>
      </c>
      <c r="K2529" s="3" t="s">
        <v>65</v>
      </c>
      <c r="M2529" s="2" t="s">
        <v>25659</v>
      </c>
      <c r="N2529" s="3" t="s">
        <v>1047</v>
      </c>
      <c r="O2529" s="2" t="s">
        <v>25660</v>
      </c>
      <c r="P2529" s="3" t="s">
        <v>102</v>
      </c>
      <c r="R2529" s="3" t="s">
        <v>70</v>
      </c>
      <c r="S2529" s="4">
        <v>0</v>
      </c>
      <c r="T2529" s="4">
        <v>11</v>
      </c>
      <c r="V2529" s="5" t="s">
        <v>25521</v>
      </c>
      <c r="W2529" s="5" t="s">
        <v>72</v>
      </c>
      <c r="X2529" s="5" t="s">
        <v>72</v>
      </c>
      <c r="Y2529" s="4">
        <v>10</v>
      </c>
      <c r="Z2529" s="4">
        <v>1</v>
      </c>
      <c r="AA2529" s="4">
        <v>1</v>
      </c>
      <c r="AB2529" s="4">
        <v>1</v>
      </c>
      <c r="AC2529" s="4">
        <v>1</v>
      </c>
      <c r="AD2529" s="4">
        <v>0</v>
      </c>
      <c r="AE2529" s="4">
        <v>0</v>
      </c>
      <c r="AF2529" s="4">
        <v>0</v>
      </c>
      <c r="AG2529" s="4">
        <v>0</v>
      </c>
      <c r="AH2529" s="4">
        <v>0</v>
      </c>
      <c r="AI2529" s="4">
        <v>0</v>
      </c>
      <c r="AJ2529" s="4">
        <v>0</v>
      </c>
      <c r="AK2529" s="4">
        <v>0</v>
      </c>
      <c r="AL2529" s="4">
        <v>0</v>
      </c>
      <c r="AM2529" s="4">
        <v>0</v>
      </c>
      <c r="AN2529" s="4">
        <v>0</v>
      </c>
      <c r="AO2529" s="4">
        <v>0</v>
      </c>
      <c r="AP2529" s="4">
        <v>0</v>
      </c>
      <c r="AQ2529" s="4">
        <v>0</v>
      </c>
      <c r="AR2529" s="3" t="s">
        <v>64</v>
      </c>
      <c r="AS2529" s="3" t="s">
        <v>64</v>
      </c>
      <c r="AT2529" s="3" t="s">
        <v>64</v>
      </c>
      <c r="AV2529" s="6" t="str">
        <f>HYPERLINK("http://mcgill.on.worldcat.org/oclc/220013849","Catalog Record")</f>
        <v>Catalog Record</v>
      </c>
      <c r="AW2529" s="6" t="str">
        <f>HYPERLINK("http://www.worldcat.org/oclc/220013849","WorldCat Record")</f>
        <v>WorldCat Record</v>
      </c>
      <c r="AX2529" s="3" t="s">
        <v>25661</v>
      </c>
      <c r="AY2529" s="3" t="s">
        <v>25662</v>
      </c>
      <c r="AZ2529" s="3" t="s">
        <v>25663</v>
      </c>
      <c r="BA2529" s="3" t="s">
        <v>25663</v>
      </c>
      <c r="BB2529" s="3" t="s">
        <v>25667</v>
      </c>
      <c r="BC2529" s="3" t="s">
        <v>77</v>
      </c>
      <c r="BD2529" s="3" t="s">
        <v>78</v>
      </c>
      <c r="BE2529" s="3" t="s">
        <v>25665</v>
      </c>
      <c r="BF2529" s="3" t="s">
        <v>25667</v>
      </c>
      <c r="BG2529" s="3" t="s">
        <v>25668</v>
      </c>
      <c r="BH2529">
        <f t="shared" si="61"/>
        <v>0</v>
      </c>
    </row>
    <row r="2530" spans="1:60" ht="101.5" x14ac:dyDescent="0.35">
      <c r="A2530" s="2" t="s">
        <v>59</v>
      </c>
      <c r="B2530" s="2" t="s">
        <v>60</v>
      </c>
      <c r="C2530" s="2" t="s">
        <v>25656</v>
      </c>
      <c r="D2530" s="2" t="s">
        <v>25657</v>
      </c>
      <c r="E2530" s="2" t="s">
        <v>25658</v>
      </c>
      <c r="G2530" s="3" t="s">
        <v>64</v>
      </c>
      <c r="I2530" s="3" t="s">
        <v>128</v>
      </c>
      <c r="J2530" s="3" t="s">
        <v>64</v>
      </c>
      <c r="K2530" s="3" t="s">
        <v>65</v>
      </c>
      <c r="M2530" s="2" t="s">
        <v>25659</v>
      </c>
      <c r="N2530" s="3" t="s">
        <v>1047</v>
      </c>
      <c r="O2530" s="2" t="s">
        <v>25660</v>
      </c>
      <c r="P2530" s="3" t="s">
        <v>102</v>
      </c>
      <c r="R2530" s="3" t="s">
        <v>70</v>
      </c>
      <c r="S2530" s="4">
        <v>6</v>
      </c>
      <c r="T2530" s="4">
        <v>11</v>
      </c>
      <c r="U2530" s="5" t="s">
        <v>25669</v>
      </c>
      <c r="V2530" s="5" t="s">
        <v>25521</v>
      </c>
      <c r="W2530" s="5" t="s">
        <v>72</v>
      </c>
      <c r="X2530" s="5" t="s">
        <v>72</v>
      </c>
      <c r="Y2530" s="4">
        <v>10</v>
      </c>
      <c r="Z2530" s="4">
        <v>1</v>
      </c>
      <c r="AA2530" s="4">
        <v>1</v>
      </c>
      <c r="AB2530" s="4">
        <v>1</v>
      </c>
      <c r="AC2530" s="4">
        <v>1</v>
      </c>
      <c r="AD2530" s="4">
        <v>0</v>
      </c>
      <c r="AE2530" s="4">
        <v>0</v>
      </c>
      <c r="AF2530" s="4">
        <v>0</v>
      </c>
      <c r="AG2530" s="4">
        <v>0</v>
      </c>
      <c r="AH2530" s="4">
        <v>0</v>
      </c>
      <c r="AI2530" s="4">
        <v>0</v>
      </c>
      <c r="AJ2530" s="4">
        <v>0</v>
      </c>
      <c r="AK2530" s="4">
        <v>0</v>
      </c>
      <c r="AL2530" s="4">
        <v>0</v>
      </c>
      <c r="AM2530" s="4">
        <v>0</v>
      </c>
      <c r="AN2530" s="4">
        <v>0</v>
      </c>
      <c r="AO2530" s="4">
        <v>0</v>
      </c>
      <c r="AP2530" s="4">
        <v>0</v>
      </c>
      <c r="AQ2530" s="4">
        <v>0</v>
      </c>
      <c r="AR2530" s="3" t="s">
        <v>64</v>
      </c>
      <c r="AS2530" s="3" t="s">
        <v>64</v>
      </c>
      <c r="AT2530" s="3" t="s">
        <v>64</v>
      </c>
      <c r="AV2530" s="6" t="str">
        <f>HYPERLINK("http://mcgill.on.worldcat.org/oclc/220013849","Catalog Record")</f>
        <v>Catalog Record</v>
      </c>
      <c r="AW2530" s="6" t="str">
        <f>HYPERLINK("http://www.worldcat.org/oclc/220013849","WorldCat Record")</f>
        <v>WorldCat Record</v>
      </c>
      <c r="AX2530" s="3" t="s">
        <v>25661</v>
      </c>
      <c r="AY2530" s="3" t="s">
        <v>25662</v>
      </c>
      <c r="AZ2530" s="3" t="s">
        <v>25663</v>
      </c>
      <c r="BA2530" s="3" t="s">
        <v>25663</v>
      </c>
      <c r="BB2530" s="3" t="s">
        <v>25670</v>
      </c>
      <c r="BC2530" s="3" t="s">
        <v>77</v>
      </c>
      <c r="BD2530" s="3" t="s">
        <v>78</v>
      </c>
      <c r="BE2530" s="3" t="s">
        <v>25665</v>
      </c>
      <c r="BF2530" s="3" t="s">
        <v>25670</v>
      </c>
      <c r="BG2530" s="3" t="s">
        <v>25671</v>
      </c>
      <c r="BH2530">
        <f t="shared" si="61"/>
        <v>0</v>
      </c>
    </row>
    <row r="2531" spans="1:60" ht="58" x14ac:dyDescent="0.35">
      <c r="A2531" s="2" t="s">
        <v>59</v>
      </c>
      <c r="B2531" s="2" t="s">
        <v>60</v>
      </c>
      <c r="C2531" s="2" t="s">
        <v>25672</v>
      </c>
      <c r="D2531" s="2" t="s">
        <v>25673</v>
      </c>
      <c r="E2531" s="2" t="s">
        <v>25674</v>
      </c>
      <c r="G2531" s="3" t="s">
        <v>64</v>
      </c>
      <c r="I2531" s="3" t="s">
        <v>64</v>
      </c>
      <c r="J2531" s="3" t="s">
        <v>64</v>
      </c>
      <c r="K2531" s="3" t="s">
        <v>65</v>
      </c>
      <c r="L2531" s="2" t="s">
        <v>25675</v>
      </c>
      <c r="M2531" s="2" t="s">
        <v>25676</v>
      </c>
      <c r="N2531" s="3" t="s">
        <v>101</v>
      </c>
      <c r="P2531" s="3" t="s">
        <v>102</v>
      </c>
      <c r="R2531" s="3" t="s">
        <v>70</v>
      </c>
      <c r="S2531" s="4">
        <v>3</v>
      </c>
      <c r="T2531" s="4">
        <v>3</v>
      </c>
      <c r="U2531" s="5" t="s">
        <v>25467</v>
      </c>
      <c r="V2531" s="5" t="s">
        <v>25467</v>
      </c>
      <c r="W2531" s="5" t="s">
        <v>72</v>
      </c>
      <c r="X2531" s="5" t="s">
        <v>72</v>
      </c>
      <c r="Y2531" s="4">
        <v>590</v>
      </c>
      <c r="Z2531" s="4">
        <v>20</v>
      </c>
      <c r="AA2531" s="4">
        <v>87</v>
      </c>
      <c r="AB2531" s="4">
        <v>2</v>
      </c>
      <c r="AC2531" s="4">
        <v>15</v>
      </c>
      <c r="AD2531" s="4">
        <v>58</v>
      </c>
      <c r="AE2531" s="4">
        <v>112</v>
      </c>
      <c r="AF2531" s="4">
        <v>0</v>
      </c>
      <c r="AG2531" s="4">
        <v>8</v>
      </c>
      <c r="AH2531" s="4">
        <v>53</v>
      </c>
      <c r="AI2531" s="4">
        <v>78</v>
      </c>
      <c r="AJ2531" s="4">
        <v>8</v>
      </c>
      <c r="AK2531" s="4">
        <v>20</v>
      </c>
      <c r="AL2531" s="4">
        <v>28</v>
      </c>
      <c r="AM2531" s="4">
        <v>41</v>
      </c>
      <c r="AN2531" s="4">
        <v>0</v>
      </c>
      <c r="AO2531" s="4">
        <v>0</v>
      </c>
      <c r="AP2531" s="4">
        <v>10</v>
      </c>
      <c r="AQ2531" s="4">
        <v>42</v>
      </c>
      <c r="AR2531" s="3" t="s">
        <v>64</v>
      </c>
      <c r="AS2531" s="3" t="s">
        <v>64</v>
      </c>
      <c r="AT2531" s="3" t="s">
        <v>128</v>
      </c>
      <c r="AU2531" s="6" t="str">
        <f>HYPERLINK("http://catalog.hathitrust.org/Record/004307311","HathiTrust Record")</f>
        <v>HathiTrust Record</v>
      </c>
      <c r="AV2531" s="6" t="str">
        <f>HYPERLINK("http://mcgill.on.worldcat.org/oclc/50526669","Catalog Record")</f>
        <v>Catalog Record</v>
      </c>
      <c r="AW2531" s="6" t="str">
        <f>HYPERLINK("http://www.worldcat.org/oclc/50526669","WorldCat Record")</f>
        <v>WorldCat Record</v>
      </c>
      <c r="AX2531" s="3" t="s">
        <v>25677</v>
      </c>
      <c r="AY2531" s="3" t="s">
        <v>25678</v>
      </c>
      <c r="AZ2531" s="3" t="s">
        <v>25679</v>
      </c>
      <c r="BA2531" s="3" t="s">
        <v>25679</v>
      </c>
      <c r="BB2531" s="3" t="s">
        <v>25680</v>
      </c>
      <c r="BC2531" s="3" t="s">
        <v>77</v>
      </c>
      <c r="BD2531" s="3" t="s">
        <v>78</v>
      </c>
      <c r="BE2531" s="3" t="s">
        <v>25681</v>
      </c>
      <c r="BF2531" s="3" t="s">
        <v>25680</v>
      </c>
      <c r="BG2531" s="3" t="s">
        <v>25682</v>
      </c>
      <c r="BH2531">
        <f t="shared" si="61"/>
        <v>0</v>
      </c>
    </row>
    <row r="2532" spans="1:60" ht="58" x14ac:dyDescent="0.35">
      <c r="A2532" s="2" t="s">
        <v>59</v>
      </c>
      <c r="B2532" s="2" t="s">
        <v>60</v>
      </c>
      <c r="C2532" s="2" t="s">
        <v>25683</v>
      </c>
      <c r="D2532" s="2" t="s">
        <v>25684</v>
      </c>
      <c r="E2532" s="2" t="s">
        <v>25685</v>
      </c>
      <c r="G2532" s="3" t="s">
        <v>64</v>
      </c>
      <c r="I2532" s="3" t="s">
        <v>64</v>
      </c>
      <c r="J2532" s="3" t="s">
        <v>128</v>
      </c>
      <c r="K2532" s="3" t="s">
        <v>65</v>
      </c>
      <c r="L2532" s="2" t="s">
        <v>25686</v>
      </c>
      <c r="M2532" s="2" t="s">
        <v>25687</v>
      </c>
      <c r="N2532" s="3" t="s">
        <v>874</v>
      </c>
      <c r="P2532" s="3" t="s">
        <v>102</v>
      </c>
      <c r="R2532" s="3" t="s">
        <v>70</v>
      </c>
      <c r="S2532" s="4">
        <v>2</v>
      </c>
      <c r="T2532" s="4">
        <v>2</v>
      </c>
      <c r="U2532" s="5" t="s">
        <v>25521</v>
      </c>
      <c r="V2532" s="5" t="s">
        <v>25521</v>
      </c>
      <c r="W2532" s="5" t="s">
        <v>72</v>
      </c>
      <c r="X2532" s="5" t="s">
        <v>72</v>
      </c>
      <c r="Y2532" s="4">
        <v>891</v>
      </c>
      <c r="Z2532" s="4">
        <v>27</v>
      </c>
      <c r="AA2532" s="4">
        <v>134</v>
      </c>
      <c r="AB2532" s="4">
        <v>1</v>
      </c>
      <c r="AC2532" s="4">
        <v>22</v>
      </c>
      <c r="AD2532" s="4">
        <v>91</v>
      </c>
      <c r="AE2532" s="4">
        <v>151</v>
      </c>
      <c r="AF2532" s="4">
        <v>0</v>
      </c>
      <c r="AG2532" s="4">
        <v>9</v>
      </c>
      <c r="AH2532" s="4">
        <v>80</v>
      </c>
      <c r="AI2532" s="4">
        <v>108</v>
      </c>
      <c r="AJ2532" s="4">
        <v>12</v>
      </c>
      <c r="AK2532" s="4">
        <v>23</v>
      </c>
      <c r="AL2532" s="4">
        <v>44</v>
      </c>
      <c r="AM2532" s="4">
        <v>59</v>
      </c>
      <c r="AN2532" s="4">
        <v>0</v>
      </c>
      <c r="AO2532" s="4">
        <v>0</v>
      </c>
      <c r="AP2532" s="4">
        <v>15</v>
      </c>
      <c r="AQ2532" s="4">
        <v>48</v>
      </c>
      <c r="AR2532" s="3" t="s">
        <v>64</v>
      </c>
      <c r="AS2532" s="3" t="s">
        <v>64</v>
      </c>
      <c r="AT2532" s="3" t="s">
        <v>128</v>
      </c>
      <c r="AU2532" s="6" t="str">
        <f>HYPERLINK("http://catalog.hathitrust.org/Record/009511363","HathiTrust Record")</f>
        <v>HathiTrust Record</v>
      </c>
      <c r="AV2532" s="6" t="str">
        <f>HYPERLINK("http://mcgill.on.worldcat.org/oclc/7452872","Catalog Record")</f>
        <v>Catalog Record</v>
      </c>
      <c r="AW2532" s="6" t="str">
        <f>HYPERLINK("http://www.worldcat.org/oclc/7452872","WorldCat Record")</f>
        <v>WorldCat Record</v>
      </c>
      <c r="AX2532" s="3" t="s">
        <v>25688</v>
      </c>
      <c r="AY2532" s="3" t="s">
        <v>25689</v>
      </c>
      <c r="AZ2532" s="3" t="s">
        <v>25690</v>
      </c>
      <c r="BA2532" s="3" t="s">
        <v>25690</v>
      </c>
      <c r="BB2532" s="3" t="s">
        <v>25691</v>
      </c>
      <c r="BC2532" s="3" t="s">
        <v>77</v>
      </c>
      <c r="BD2532" s="3" t="s">
        <v>78</v>
      </c>
      <c r="BE2532" s="3" t="s">
        <v>25692</v>
      </c>
      <c r="BF2532" s="3" t="s">
        <v>25691</v>
      </c>
      <c r="BG2532" s="3" t="s">
        <v>25693</v>
      </c>
      <c r="BH2532">
        <f t="shared" si="61"/>
        <v>0</v>
      </c>
    </row>
    <row r="2533" spans="1:60" ht="58" x14ac:dyDescent="0.35">
      <c r="A2533" s="2" t="s">
        <v>59</v>
      </c>
      <c r="B2533" s="2" t="s">
        <v>60</v>
      </c>
      <c r="C2533" s="2" t="s">
        <v>25694</v>
      </c>
      <c r="D2533" s="2" t="s">
        <v>25695</v>
      </c>
      <c r="E2533" s="2" t="s">
        <v>25696</v>
      </c>
      <c r="G2533" s="3" t="s">
        <v>64</v>
      </c>
      <c r="I2533" s="3" t="s">
        <v>64</v>
      </c>
      <c r="J2533" s="3" t="s">
        <v>64</v>
      </c>
      <c r="K2533" s="3" t="s">
        <v>65</v>
      </c>
      <c r="L2533" s="2" t="s">
        <v>25697</v>
      </c>
      <c r="M2533" s="2" t="s">
        <v>25698</v>
      </c>
      <c r="N2533" s="3" t="s">
        <v>1763</v>
      </c>
      <c r="P2533" s="3" t="s">
        <v>102</v>
      </c>
      <c r="R2533" s="3" t="s">
        <v>70</v>
      </c>
      <c r="S2533" s="4">
        <v>3</v>
      </c>
      <c r="T2533" s="4">
        <v>3</v>
      </c>
      <c r="U2533" s="5" t="s">
        <v>25521</v>
      </c>
      <c r="V2533" s="5" t="s">
        <v>25521</v>
      </c>
      <c r="W2533" s="5" t="s">
        <v>72</v>
      </c>
      <c r="X2533" s="5" t="s">
        <v>72</v>
      </c>
      <c r="Y2533" s="4">
        <v>479</v>
      </c>
      <c r="Z2533" s="4">
        <v>24</v>
      </c>
      <c r="AA2533" s="4">
        <v>25</v>
      </c>
      <c r="AB2533" s="4">
        <v>2</v>
      </c>
      <c r="AC2533" s="4">
        <v>3</v>
      </c>
      <c r="AD2533" s="4">
        <v>86</v>
      </c>
      <c r="AE2533" s="4">
        <v>87</v>
      </c>
      <c r="AF2533" s="4">
        <v>0</v>
      </c>
      <c r="AG2533" s="4">
        <v>1</v>
      </c>
      <c r="AH2533" s="4">
        <v>74</v>
      </c>
      <c r="AI2533" s="4">
        <v>74</v>
      </c>
      <c r="AJ2533" s="4">
        <v>11</v>
      </c>
      <c r="AK2533" s="4">
        <v>12</v>
      </c>
      <c r="AL2533" s="4">
        <v>41</v>
      </c>
      <c r="AM2533" s="4">
        <v>41</v>
      </c>
      <c r="AN2533" s="4">
        <v>0</v>
      </c>
      <c r="AO2533" s="4">
        <v>0</v>
      </c>
      <c r="AP2533" s="4">
        <v>14</v>
      </c>
      <c r="AQ2533" s="4">
        <v>14</v>
      </c>
      <c r="AR2533" s="3" t="s">
        <v>64</v>
      </c>
      <c r="AS2533" s="3" t="s">
        <v>64</v>
      </c>
      <c r="AT2533" s="3" t="s">
        <v>128</v>
      </c>
      <c r="AU2533" s="6" t="str">
        <f>HYPERLINK("http://catalog.hathitrust.org/Record/000783204","HathiTrust Record")</f>
        <v>HathiTrust Record</v>
      </c>
      <c r="AV2533" s="6" t="str">
        <f>HYPERLINK("http://mcgill.on.worldcat.org/oclc/10300669","Catalog Record")</f>
        <v>Catalog Record</v>
      </c>
      <c r="AW2533" s="6" t="str">
        <f>HYPERLINK("http://www.worldcat.org/oclc/10300669","WorldCat Record")</f>
        <v>WorldCat Record</v>
      </c>
      <c r="AX2533" s="3" t="s">
        <v>25699</v>
      </c>
      <c r="AY2533" s="3" t="s">
        <v>25700</v>
      </c>
      <c r="AZ2533" s="3" t="s">
        <v>25701</v>
      </c>
      <c r="BA2533" s="3" t="s">
        <v>25701</v>
      </c>
      <c r="BB2533" s="3" t="s">
        <v>25702</v>
      </c>
      <c r="BC2533" s="3" t="s">
        <v>77</v>
      </c>
      <c r="BD2533" s="3" t="s">
        <v>78</v>
      </c>
      <c r="BE2533" s="3" t="s">
        <v>25703</v>
      </c>
      <c r="BF2533" s="3" t="s">
        <v>25702</v>
      </c>
      <c r="BG2533" s="3" t="s">
        <v>25704</v>
      </c>
      <c r="BH2533">
        <f t="shared" si="61"/>
        <v>0</v>
      </c>
    </row>
    <row r="2534" spans="1:60" ht="58" x14ac:dyDescent="0.35">
      <c r="A2534" s="2" t="s">
        <v>59</v>
      </c>
      <c r="B2534" s="2" t="s">
        <v>60</v>
      </c>
      <c r="C2534" s="2" t="s">
        <v>25705</v>
      </c>
      <c r="D2534" s="2" t="s">
        <v>25706</v>
      </c>
      <c r="E2534" s="2" t="s">
        <v>25707</v>
      </c>
      <c r="G2534" s="3" t="s">
        <v>64</v>
      </c>
      <c r="I2534" s="3" t="s">
        <v>64</v>
      </c>
      <c r="J2534" s="3" t="s">
        <v>64</v>
      </c>
      <c r="K2534" s="3" t="s">
        <v>65</v>
      </c>
      <c r="L2534" s="2" t="s">
        <v>25708</v>
      </c>
      <c r="M2534" s="2" t="s">
        <v>8991</v>
      </c>
      <c r="N2534" s="3" t="s">
        <v>171</v>
      </c>
      <c r="P2534" s="3" t="s">
        <v>102</v>
      </c>
      <c r="Q2534" s="2" t="s">
        <v>8981</v>
      </c>
      <c r="R2534" s="3" t="s">
        <v>70</v>
      </c>
      <c r="S2534" s="4">
        <v>5</v>
      </c>
      <c r="T2534" s="4">
        <v>5</v>
      </c>
      <c r="U2534" s="5" t="s">
        <v>7419</v>
      </c>
      <c r="V2534" s="5" t="s">
        <v>7419</v>
      </c>
      <c r="W2534" s="5" t="s">
        <v>72</v>
      </c>
      <c r="X2534" s="5" t="s">
        <v>72</v>
      </c>
      <c r="Y2534" s="4">
        <v>80</v>
      </c>
      <c r="Z2534" s="4">
        <v>10</v>
      </c>
      <c r="AA2534" s="4">
        <v>16</v>
      </c>
      <c r="AB2534" s="4">
        <v>2</v>
      </c>
      <c r="AC2534" s="4">
        <v>5</v>
      </c>
      <c r="AD2534" s="4">
        <v>11</v>
      </c>
      <c r="AE2534" s="4">
        <v>21</v>
      </c>
      <c r="AF2534" s="4">
        <v>0</v>
      </c>
      <c r="AG2534" s="4">
        <v>1</v>
      </c>
      <c r="AH2534" s="4">
        <v>10</v>
      </c>
      <c r="AI2534" s="4">
        <v>17</v>
      </c>
      <c r="AJ2534" s="4">
        <v>4</v>
      </c>
      <c r="AK2534" s="4">
        <v>6</v>
      </c>
      <c r="AL2534" s="4">
        <v>4</v>
      </c>
      <c r="AM2534" s="4">
        <v>9</v>
      </c>
      <c r="AN2534" s="4">
        <v>0</v>
      </c>
      <c r="AO2534" s="4">
        <v>0</v>
      </c>
      <c r="AP2534" s="4">
        <v>5</v>
      </c>
      <c r="AQ2534" s="4">
        <v>7</v>
      </c>
      <c r="AR2534" s="3" t="s">
        <v>64</v>
      </c>
      <c r="AS2534" s="3" t="s">
        <v>64</v>
      </c>
      <c r="AT2534" s="3" t="s">
        <v>64</v>
      </c>
      <c r="AV2534" s="6" t="str">
        <f>HYPERLINK("http://mcgill.on.worldcat.org/oclc/63185159","Catalog Record")</f>
        <v>Catalog Record</v>
      </c>
      <c r="AW2534" s="6" t="str">
        <f>HYPERLINK("http://www.worldcat.org/oclc/63185159","WorldCat Record")</f>
        <v>WorldCat Record</v>
      </c>
      <c r="AX2534" s="3" t="s">
        <v>25709</v>
      </c>
      <c r="AY2534" s="3" t="s">
        <v>25710</v>
      </c>
      <c r="AZ2534" s="3" t="s">
        <v>25711</v>
      </c>
      <c r="BA2534" s="3" t="s">
        <v>25711</v>
      </c>
      <c r="BB2534" s="3" t="s">
        <v>25712</v>
      </c>
      <c r="BC2534" s="3" t="s">
        <v>77</v>
      </c>
      <c r="BD2534" s="3" t="s">
        <v>78</v>
      </c>
      <c r="BE2534" s="3" t="s">
        <v>25713</v>
      </c>
      <c r="BF2534" s="3" t="s">
        <v>25712</v>
      </c>
      <c r="BG2534" s="3" t="s">
        <v>25714</v>
      </c>
      <c r="BH2534">
        <f t="shared" si="61"/>
        <v>0</v>
      </c>
    </row>
    <row r="2535" spans="1:60" ht="72.5" x14ac:dyDescent="0.35">
      <c r="A2535" s="2" t="s">
        <v>59</v>
      </c>
      <c r="B2535" s="2" t="s">
        <v>60</v>
      </c>
      <c r="C2535" s="2" t="s">
        <v>25715</v>
      </c>
      <c r="D2535" s="2" t="s">
        <v>25716</v>
      </c>
      <c r="E2535" s="2" t="s">
        <v>25717</v>
      </c>
      <c r="G2535" s="3" t="s">
        <v>64</v>
      </c>
      <c r="I2535" s="3" t="s">
        <v>64</v>
      </c>
      <c r="J2535" s="3" t="s">
        <v>64</v>
      </c>
      <c r="K2535" s="3" t="s">
        <v>65</v>
      </c>
      <c r="L2535" s="2" t="s">
        <v>25718</v>
      </c>
      <c r="M2535" s="2" t="s">
        <v>25719</v>
      </c>
      <c r="N2535" s="3" t="s">
        <v>898</v>
      </c>
      <c r="O2535" s="2" t="s">
        <v>25720</v>
      </c>
      <c r="P2535" s="3" t="s">
        <v>102</v>
      </c>
      <c r="R2535" s="3" t="s">
        <v>70</v>
      </c>
      <c r="S2535" s="4">
        <v>5</v>
      </c>
      <c r="T2535" s="4">
        <v>5</v>
      </c>
      <c r="U2535" s="5" t="s">
        <v>7419</v>
      </c>
      <c r="V2535" s="5" t="s">
        <v>7419</v>
      </c>
      <c r="W2535" s="5" t="s">
        <v>72</v>
      </c>
      <c r="X2535" s="5" t="s">
        <v>72</v>
      </c>
      <c r="Y2535" s="4">
        <v>280</v>
      </c>
      <c r="Z2535" s="4">
        <v>10</v>
      </c>
      <c r="AA2535" s="4">
        <v>10</v>
      </c>
      <c r="AB2535" s="4">
        <v>1</v>
      </c>
      <c r="AC2535" s="4">
        <v>1</v>
      </c>
      <c r="AD2535" s="4">
        <v>58</v>
      </c>
      <c r="AE2535" s="4">
        <v>58</v>
      </c>
      <c r="AF2535" s="4">
        <v>0</v>
      </c>
      <c r="AG2535" s="4">
        <v>0</v>
      </c>
      <c r="AH2535" s="4">
        <v>51</v>
      </c>
      <c r="AI2535" s="4">
        <v>51</v>
      </c>
      <c r="AJ2535" s="4">
        <v>4</v>
      </c>
      <c r="AK2535" s="4">
        <v>4</v>
      </c>
      <c r="AL2535" s="4">
        <v>27</v>
      </c>
      <c r="AM2535" s="4">
        <v>27</v>
      </c>
      <c r="AN2535" s="4">
        <v>0</v>
      </c>
      <c r="AO2535" s="4">
        <v>0</v>
      </c>
      <c r="AP2535" s="4">
        <v>6</v>
      </c>
      <c r="AQ2535" s="4">
        <v>6</v>
      </c>
      <c r="AR2535" s="3" t="s">
        <v>64</v>
      </c>
      <c r="AS2535" s="3" t="s">
        <v>64</v>
      </c>
      <c r="AT2535" s="3" t="s">
        <v>64</v>
      </c>
      <c r="AV2535" s="6" t="str">
        <f>HYPERLINK("http://mcgill.on.worldcat.org/oclc/6666290","Catalog Record")</f>
        <v>Catalog Record</v>
      </c>
      <c r="AW2535" s="6" t="str">
        <f>HYPERLINK("http://www.worldcat.org/oclc/6666290","WorldCat Record")</f>
        <v>WorldCat Record</v>
      </c>
      <c r="AX2535" s="3" t="s">
        <v>25721</v>
      </c>
      <c r="AY2535" s="3" t="s">
        <v>25722</v>
      </c>
      <c r="AZ2535" s="3" t="s">
        <v>25723</v>
      </c>
      <c r="BA2535" s="3" t="s">
        <v>25723</v>
      </c>
      <c r="BB2535" s="3" t="s">
        <v>25724</v>
      </c>
      <c r="BC2535" s="3" t="s">
        <v>77</v>
      </c>
      <c r="BD2535" s="3" t="s">
        <v>78</v>
      </c>
      <c r="BE2535" s="3" t="s">
        <v>25725</v>
      </c>
      <c r="BF2535" s="3" t="s">
        <v>25724</v>
      </c>
      <c r="BG2535" s="3" t="s">
        <v>25726</v>
      </c>
      <c r="BH2535">
        <f t="shared" si="61"/>
        <v>0</v>
      </c>
    </row>
    <row r="2536" spans="1:60" ht="58" x14ac:dyDescent="0.35">
      <c r="A2536" s="2" t="s">
        <v>59</v>
      </c>
      <c r="B2536" s="2" t="s">
        <v>60</v>
      </c>
      <c r="C2536" s="2" t="s">
        <v>25727</v>
      </c>
      <c r="D2536" s="2" t="s">
        <v>25728</v>
      </c>
      <c r="E2536" s="2" t="s">
        <v>25729</v>
      </c>
      <c r="G2536" s="3" t="s">
        <v>64</v>
      </c>
      <c r="I2536" s="3" t="s">
        <v>64</v>
      </c>
      <c r="J2536" s="3" t="s">
        <v>64</v>
      </c>
      <c r="K2536" s="3" t="s">
        <v>65</v>
      </c>
      <c r="L2536" s="2" t="s">
        <v>25730</v>
      </c>
      <c r="M2536" s="2" t="s">
        <v>19139</v>
      </c>
      <c r="N2536" s="3" t="s">
        <v>86</v>
      </c>
      <c r="P2536" s="3" t="s">
        <v>102</v>
      </c>
      <c r="R2536" s="3" t="s">
        <v>70</v>
      </c>
      <c r="S2536" s="4">
        <v>10</v>
      </c>
      <c r="T2536" s="4">
        <v>10</v>
      </c>
      <c r="U2536" s="5" t="s">
        <v>25635</v>
      </c>
      <c r="V2536" s="5" t="s">
        <v>25635</v>
      </c>
      <c r="W2536" s="5" t="s">
        <v>72</v>
      </c>
      <c r="X2536" s="5" t="s">
        <v>72</v>
      </c>
      <c r="Y2536" s="4">
        <v>188</v>
      </c>
      <c r="Z2536" s="4">
        <v>9</v>
      </c>
      <c r="AA2536" s="4">
        <v>103</v>
      </c>
      <c r="AB2536" s="4">
        <v>1</v>
      </c>
      <c r="AC2536" s="4">
        <v>17</v>
      </c>
      <c r="AD2536" s="4">
        <v>6</v>
      </c>
      <c r="AE2536" s="4">
        <v>126</v>
      </c>
      <c r="AF2536" s="4">
        <v>0</v>
      </c>
      <c r="AG2536" s="4">
        <v>8</v>
      </c>
      <c r="AH2536" s="4">
        <v>4</v>
      </c>
      <c r="AI2536" s="4">
        <v>88</v>
      </c>
      <c r="AJ2536" s="4">
        <v>2</v>
      </c>
      <c r="AK2536" s="4">
        <v>24</v>
      </c>
      <c r="AL2536" s="4">
        <v>2</v>
      </c>
      <c r="AM2536" s="4">
        <v>46</v>
      </c>
      <c r="AN2536" s="4">
        <v>0</v>
      </c>
      <c r="AO2536" s="4">
        <v>0</v>
      </c>
      <c r="AP2536" s="4">
        <v>3</v>
      </c>
      <c r="AQ2536" s="4">
        <v>47</v>
      </c>
      <c r="AR2536" s="3" t="s">
        <v>64</v>
      </c>
      <c r="AS2536" s="3" t="s">
        <v>64</v>
      </c>
      <c r="AT2536" s="3" t="s">
        <v>64</v>
      </c>
      <c r="AV2536" s="6" t="str">
        <f>HYPERLINK("http://mcgill.on.worldcat.org/oclc/792740684","Catalog Record")</f>
        <v>Catalog Record</v>
      </c>
      <c r="AW2536" s="6" t="str">
        <f>HYPERLINK("http://www.worldcat.org/oclc/792740684","WorldCat Record")</f>
        <v>WorldCat Record</v>
      </c>
      <c r="AX2536" s="3" t="s">
        <v>25731</v>
      </c>
      <c r="AY2536" s="3" t="s">
        <v>25732</v>
      </c>
      <c r="AZ2536" s="3" t="s">
        <v>25733</v>
      </c>
      <c r="BA2536" s="3" t="s">
        <v>25733</v>
      </c>
      <c r="BB2536" s="3" t="s">
        <v>25734</v>
      </c>
      <c r="BC2536" s="3" t="s">
        <v>77</v>
      </c>
      <c r="BD2536" s="3" t="s">
        <v>78</v>
      </c>
      <c r="BE2536" s="3" t="s">
        <v>25735</v>
      </c>
      <c r="BF2536" s="3" t="s">
        <v>25734</v>
      </c>
      <c r="BG2536" s="3" t="s">
        <v>25736</v>
      </c>
      <c r="BH2536">
        <f t="shared" si="61"/>
        <v>0</v>
      </c>
    </row>
    <row r="2537" spans="1:60" ht="58" x14ac:dyDescent="0.35">
      <c r="A2537" s="2" t="s">
        <v>59</v>
      </c>
      <c r="B2537" s="2" t="s">
        <v>60</v>
      </c>
      <c r="C2537" s="2" t="s">
        <v>25737</v>
      </c>
      <c r="D2537" s="2" t="s">
        <v>25738</v>
      </c>
      <c r="E2537" s="2" t="s">
        <v>25739</v>
      </c>
      <c r="G2537" s="3" t="s">
        <v>64</v>
      </c>
      <c r="I2537" s="3" t="s">
        <v>128</v>
      </c>
      <c r="J2537" s="3" t="s">
        <v>64</v>
      </c>
      <c r="K2537" s="3" t="s">
        <v>65</v>
      </c>
      <c r="L2537" s="2" t="s">
        <v>25740</v>
      </c>
      <c r="M2537" s="2" t="s">
        <v>16038</v>
      </c>
      <c r="N2537" s="3" t="s">
        <v>153</v>
      </c>
      <c r="P2537" s="3" t="s">
        <v>102</v>
      </c>
      <c r="R2537" s="3" t="s">
        <v>70</v>
      </c>
      <c r="S2537" s="4">
        <v>9</v>
      </c>
      <c r="T2537" s="4">
        <v>13</v>
      </c>
      <c r="U2537" s="5" t="s">
        <v>25741</v>
      </c>
      <c r="V2537" s="5" t="s">
        <v>6045</v>
      </c>
      <c r="W2537" s="5" t="s">
        <v>72</v>
      </c>
      <c r="X2537" s="5" t="s">
        <v>72</v>
      </c>
      <c r="Y2537" s="4">
        <v>22</v>
      </c>
      <c r="Z2537" s="4">
        <v>6</v>
      </c>
      <c r="AA2537" s="4">
        <v>6</v>
      </c>
      <c r="AB2537" s="4">
        <v>1</v>
      </c>
      <c r="AC2537" s="4">
        <v>1</v>
      </c>
      <c r="AD2537" s="4">
        <v>10</v>
      </c>
      <c r="AE2537" s="4">
        <v>12</v>
      </c>
      <c r="AF2537" s="4">
        <v>0</v>
      </c>
      <c r="AG2537" s="4">
        <v>0</v>
      </c>
      <c r="AH2537" s="4">
        <v>7</v>
      </c>
      <c r="AI2537" s="4">
        <v>9</v>
      </c>
      <c r="AJ2537" s="4">
        <v>4</v>
      </c>
      <c r="AK2537" s="4">
        <v>4</v>
      </c>
      <c r="AL2537" s="4">
        <v>2</v>
      </c>
      <c r="AM2537" s="4">
        <v>3</v>
      </c>
      <c r="AN2537" s="4">
        <v>0</v>
      </c>
      <c r="AO2537" s="4">
        <v>0</v>
      </c>
      <c r="AP2537" s="4">
        <v>5</v>
      </c>
      <c r="AQ2537" s="4">
        <v>5</v>
      </c>
      <c r="AR2537" s="3" t="s">
        <v>64</v>
      </c>
      <c r="AS2537" s="3" t="s">
        <v>64</v>
      </c>
      <c r="AT2537" s="3" t="s">
        <v>128</v>
      </c>
      <c r="AU2537" s="6" t="str">
        <f>HYPERLINK("http://catalog.hathitrust.org/Record/004031633","HathiTrust Record")</f>
        <v>HathiTrust Record</v>
      </c>
      <c r="AV2537" s="6" t="str">
        <f>HYPERLINK("http://mcgill.on.worldcat.org/oclc/222974681","Catalog Record")</f>
        <v>Catalog Record</v>
      </c>
      <c r="AW2537" s="6" t="str">
        <f>HYPERLINK("http://www.worldcat.org/oclc/222974681","WorldCat Record")</f>
        <v>WorldCat Record</v>
      </c>
      <c r="AX2537" s="3" t="s">
        <v>25742</v>
      </c>
      <c r="AY2537" s="3" t="s">
        <v>25743</v>
      </c>
      <c r="AZ2537" s="3" t="s">
        <v>25744</v>
      </c>
      <c r="BA2537" s="3" t="s">
        <v>25744</v>
      </c>
      <c r="BB2537" s="3" t="s">
        <v>25745</v>
      </c>
      <c r="BC2537" s="3" t="s">
        <v>77</v>
      </c>
      <c r="BD2537" s="3" t="s">
        <v>78</v>
      </c>
      <c r="BE2537" s="3" t="s">
        <v>25746</v>
      </c>
      <c r="BF2537" s="3" t="s">
        <v>25745</v>
      </c>
      <c r="BG2537" s="3" t="s">
        <v>25747</v>
      </c>
      <c r="BH2537">
        <f t="shared" si="61"/>
        <v>0</v>
      </c>
    </row>
    <row r="2538" spans="1:60" ht="58" x14ac:dyDescent="0.35">
      <c r="A2538" s="2" t="s">
        <v>59</v>
      </c>
      <c r="B2538" s="2" t="s">
        <v>60</v>
      </c>
      <c r="C2538" s="2" t="s">
        <v>25737</v>
      </c>
      <c r="D2538" s="2" t="s">
        <v>25738</v>
      </c>
      <c r="E2538" s="2" t="s">
        <v>25739</v>
      </c>
      <c r="G2538" s="3" t="s">
        <v>64</v>
      </c>
      <c r="I2538" s="3" t="s">
        <v>128</v>
      </c>
      <c r="J2538" s="3" t="s">
        <v>64</v>
      </c>
      <c r="K2538" s="3" t="s">
        <v>65</v>
      </c>
      <c r="L2538" s="2" t="s">
        <v>25740</v>
      </c>
      <c r="M2538" s="2" t="s">
        <v>16038</v>
      </c>
      <c r="N2538" s="3" t="s">
        <v>153</v>
      </c>
      <c r="P2538" s="3" t="s">
        <v>102</v>
      </c>
      <c r="R2538" s="3" t="s">
        <v>70</v>
      </c>
      <c r="S2538" s="4">
        <v>4</v>
      </c>
      <c r="T2538" s="4">
        <v>13</v>
      </c>
      <c r="U2538" s="5" t="s">
        <v>6045</v>
      </c>
      <c r="V2538" s="5" t="s">
        <v>6045</v>
      </c>
      <c r="W2538" s="5" t="s">
        <v>72</v>
      </c>
      <c r="X2538" s="5" t="s">
        <v>72</v>
      </c>
      <c r="Y2538" s="4">
        <v>22</v>
      </c>
      <c r="Z2538" s="4">
        <v>6</v>
      </c>
      <c r="AA2538" s="4">
        <v>6</v>
      </c>
      <c r="AB2538" s="4">
        <v>1</v>
      </c>
      <c r="AC2538" s="4">
        <v>1</v>
      </c>
      <c r="AD2538" s="4">
        <v>10</v>
      </c>
      <c r="AE2538" s="4">
        <v>12</v>
      </c>
      <c r="AF2538" s="4">
        <v>0</v>
      </c>
      <c r="AG2538" s="4">
        <v>0</v>
      </c>
      <c r="AH2538" s="4">
        <v>7</v>
      </c>
      <c r="AI2538" s="4">
        <v>9</v>
      </c>
      <c r="AJ2538" s="4">
        <v>4</v>
      </c>
      <c r="AK2538" s="4">
        <v>4</v>
      </c>
      <c r="AL2538" s="4">
        <v>2</v>
      </c>
      <c r="AM2538" s="4">
        <v>3</v>
      </c>
      <c r="AN2538" s="4">
        <v>0</v>
      </c>
      <c r="AO2538" s="4">
        <v>0</v>
      </c>
      <c r="AP2538" s="4">
        <v>5</v>
      </c>
      <c r="AQ2538" s="4">
        <v>5</v>
      </c>
      <c r="AR2538" s="3" t="s">
        <v>64</v>
      </c>
      <c r="AS2538" s="3" t="s">
        <v>64</v>
      </c>
      <c r="AT2538" s="3" t="s">
        <v>128</v>
      </c>
      <c r="AU2538" s="6" t="str">
        <f>HYPERLINK("http://catalog.hathitrust.org/Record/004031633","HathiTrust Record")</f>
        <v>HathiTrust Record</v>
      </c>
      <c r="AV2538" s="6" t="str">
        <f>HYPERLINK("http://mcgill.on.worldcat.org/oclc/222974681","Catalog Record")</f>
        <v>Catalog Record</v>
      </c>
      <c r="AW2538" s="6" t="str">
        <f>HYPERLINK("http://www.worldcat.org/oclc/222974681","WorldCat Record")</f>
        <v>WorldCat Record</v>
      </c>
      <c r="AX2538" s="3" t="s">
        <v>25742</v>
      </c>
      <c r="AY2538" s="3" t="s">
        <v>25743</v>
      </c>
      <c r="AZ2538" s="3" t="s">
        <v>25744</v>
      </c>
      <c r="BA2538" s="3" t="s">
        <v>25744</v>
      </c>
      <c r="BB2538" s="3" t="s">
        <v>25748</v>
      </c>
      <c r="BC2538" s="3" t="s">
        <v>77</v>
      </c>
      <c r="BD2538" s="3" t="s">
        <v>78</v>
      </c>
      <c r="BE2538" s="3" t="s">
        <v>25746</v>
      </c>
      <c r="BF2538" s="3" t="s">
        <v>25748</v>
      </c>
      <c r="BG2538" s="3" t="s">
        <v>25749</v>
      </c>
      <c r="BH2538">
        <f t="shared" si="61"/>
        <v>0</v>
      </c>
    </row>
    <row r="2539" spans="1:60" ht="72.5" x14ac:dyDescent="0.35">
      <c r="A2539" s="2" t="s">
        <v>59</v>
      </c>
      <c r="B2539" s="2" t="s">
        <v>60</v>
      </c>
      <c r="C2539" s="2" t="s">
        <v>25750</v>
      </c>
      <c r="D2539" s="2" t="s">
        <v>25751</v>
      </c>
      <c r="E2539" s="2" t="s">
        <v>25752</v>
      </c>
      <c r="G2539" s="3" t="s">
        <v>64</v>
      </c>
      <c r="I2539" s="3" t="s">
        <v>64</v>
      </c>
      <c r="J2539" s="3" t="s">
        <v>64</v>
      </c>
      <c r="K2539" s="3" t="s">
        <v>65</v>
      </c>
      <c r="L2539" s="2" t="s">
        <v>25753</v>
      </c>
      <c r="M2539" s="2" t="s">
        <v>25754</v>
      </c>
      <c r="N2539" s="3" t="s">
        <v>153</v>
      </c>
      <c r="P2539" s="3" t="s">
        <v>102</v>
      </c>
      <c r="Q2539" s="2" t="s">
        <v>25755</v>
      </c>
      <c r="R2539" s="3" t="s">
        <v>70</v>
      </c>
      <c r="S2539" s="4">
        <v>7</v>
      </c>
      <c r="T2539" s="4">
        <v>7</v>
      </c>
      <c r="U2539" s="5" t="s">
        <v>6045</v>
      </c>
      <c r="V2539" s="5" t="s">
        <v>6045</v>
      </c>
      <c r="W2539" s="5" t="s">
        <v>72</v>
      </c>
      <c r="X2539" s="5" t="s">
        <v>72</v>
      </c>
      <c r="Y2539" s="4">
        <v>393</v>
      </c>
      <c r="Z2539" s="4">
        <v>12</v>
      </c>
      <c r="AA2539" s="4">
        <v>97</v>
      </c>
      <c r="AB2539" s="4">
        <v>2</v>
      </c>
      <c r="AC2539" s="4">
        <v>18</v>
      </c>
      <c r="AD2539" s="4">
        <v>83</v>
      </c>
      <c r="AE2539" s="4">
        <v>138</v>
      </c>
      <c r="AF2539" s="4">
        <v>0</v>
      </c>
      <c r="AG2539" s="4">
        <v>8</v>
      </c>
      <c r="AH2539" s="4">
        <v>74</v>
      </c>
      <c r="AI2539" s="4">
        <v>100</v>
      </c>
      <c r="AJ2539" s="4">
        <v>6</v>
      </c>
      <c r="AK2539" s="4">
        <v>21</v>
      </c>
      <c r="AL2539" s="4">
        <v>42</v>
      </c>
      <c r="AM2539" s="4">
        <v>53</v>
      </c>
      <c r="AN2539" s="4">
        <v>0</v>
      </c>
      <c r="AO2539" s="4">
        <v>0</v>
      </c>
      <c r="AP2539" s="4">
        <v>8</v>
      </c>
      <c r="AQ2539" s="4">
        <v>44</v>
      </c>
      <c r="AR2539" s="3" t="s">
        <v>64</v>
      </c>
      <c r="AS2539" s="3" t="s">
        <v>64</v>
      </c>
      <c r="AT2539" s="3" t="s">
        <v>64</v>
      </c>
      <c r="AV2539" s="6" t="str">
        <f>HYPERLINK("http://mcgill.on.worldcat.org/oclc/37509968","Catalog Record")</f>
        <v>Catalog Record</v>
      </c>
      <c r="AW2539" s="6" t="str">
        <f>HYPERLINK("http://www.worldcat.org/oclc/37509968","WorldCat Record")</f>
        <v>WorldCat Record</v>
      </c>
      <c r="AX2539" s="3" t="s">
        <v>25756</v>
      </c>
      <c r="AY2539" s="3" t="s">
        <v>25757</v>
      </c>
      <c r="AZ2539" s="3" t="s">
        <v>25758</v>
      </c>
      <c r="BA2539" s="3" t="s">
        <v>25758</v>
      </c>
      <c r="BB2539" s="3" t="s">
        <v>25759</v>
      </c>
      <c r="BC2539" s="3" t="s">
        <v>77</v>
      </c>
      <c r="BD2539" s="3" t="s">
        <v>78</v>
      </c>
      <c r="BE2539" s="3" t="s">
        <v>25760</v>
      </c>
      <c r="BF2539" s="3" t="s">
        <v>25759</v>
      </c>
      <c r="BG2539" s="3" t="s">
        <v>25761</v>
      </c>
      <c r="BH2539">
        <f t="shared" si="61"/>
        <v>0</v>
      </c>
    </row>
    <row r="2540" spans="1:60" ht="130.5" x14ac:dyDescent="0.35">
      <c r="A2540" s="2" t="s">
        <v>59</v>
      </c>
      <c r="B2540" s="2" t="s">
        <v>60</v>
      </c>
      <c r="C2540" s="2" t="s">
        <v>25762</v>
      </c>
      <c r="D2540" s="2" t="s">
        <v>25763</v>
      </c>
      <c r="E2540" s="2" t="s">
        <v>25764</v>
      </c>
      <c r="F2540" s="3" t="s">
        <v>7620</v>
      </c>
      <c r="G2540" s="3" t="s">
        <v>128</v>
      </c>
      <c r="I2540" s="3" t="s">
        <v>128</v>
      </c>
      <c r="J2540" s="3" t="s">
        <v>64</v>
      </c>
      <c r="K2540" s="3" t="s">
        <v>65</v>
      </c>
      <c r="M2540" s="2" t="s">
        <v>25765</v>
      </c>
      <c r="N2540" s="3" t="s">
        <v>153</v>
      </c>
      <c r="O2540" s="2" t="s">
        <v>25766</v>
      </c>
      <c r="P2540" s="3" t="s">
        <v>102</v>
      </c>
      <c r="R2540" s="3" t="s">
        <v>70</v>
      </c>
      <c r="S2540" s="4">
        <v>11</v>
      </c>
      <c r="T2540" s="4">
        <v>20</v>
      </c>
      <c r="U2540" s="5" t="s">
        <v>25767</v>
      </c>
      <c r="V2540" s="5" t="s">
        <v>1264</v>
      </c>
      <c r="W2540" s="5" t="s">
        <v>72</v>
      </c>
      <c r="X2540" s="5" t="s">
        <v>72</v>
      </c>
      <c r="Y2540" s="4">
        <v>1252</v>
      </c>
      <c r="Z2540" s="4">
        <v>49</v>
      </c>
      <c r="AA2540" s="4">
        <v>58</v>
      </c>
      <c r="AB2540" s="4">
        <v>3</v>
      </c>
      <c r="AC2540" s="4">
        <v>9</v>
      </c>
      <c r="AD2540" s="4">
        <v>112</v>
      </c>
      <c r="AE2540" s="4">
        <v>118</v>
      </c>
      <c r="AF2540" s="4">
        <v>0</v>
      </c>
      <c r="AG2540" s="4">
        <v>4</v>
      </c>
      <c r="AH2540" s="4">
        <v>94</v>
      </c>
      <c r="AI2540" s="4">
        <v>96</v>
      </c>
      <c r="AJ2540" s="4">
        <v>13</v>
      </c>
      <c r="AK2540" s="4">
        <v>17</v>
      </c>
      <c r="AL2540" s="4">
        <v>49</v>
      </c>
      <c r="AM2540" s="4">
        <v>49</v>
      </c>
      <c r="AN2540" s="4">
        <v>0</v>
      </c>
      <c r="AO2540" s="4">
        <v>0</v>
      </c>
      <c r="AP2540" s="4">
        <v>18</v>
      </c>
      <c r="AQ2540" s="4">
        <v>22</v>
      </c>
      <c r="AR2540" s="3" t="s">
        <v>128</v>
      </c>
      <c r="AS2540" s="3" t="s">
        <v>64</v>
      </c>
      <c r="AT2540" s="3" t="s">
        <v>128</v>
      </c>
      <c r="AU2540" s="6" t="str">
        <f>HYPERLINK("http://catalog.hathitrust.org/Record/003491626","HathiTrust Record")</f>
        <v>HathiTrust Record</v>
      </c>
      <c r="AV2540" s="6" t="str">
        <f>HYPERLINK("http://mcgill.on.worldcat.org/oclc/39281762","Catalog Record")</f>
        <v>Catalog Record</v>
      </c>
      <c r="AW2540" s="6" t="str">
        <f>HYPERLINK("http://www.worldcat.org/oclc/39281762","WorldCat Record")</f>
        <v>WorldCat Record</v>
      </c>
      <c r="AX2540" s="3" t="s">
        <v>25768</v>
      </c>
      <c r="AY2540" s="3" t="s">
        <v>25769</v>
      </c>
      <c r="AZ2540" s="3" t="s">
        <v>25770</v>
      </c>
      <c r="BA2540" s="3" t="s">
        <v>25770</v>
      </c>
      <c r="BB2540" s="3" t="s">
        <v>25771</v>
      </c>
      <c r="BC2540" s="3" t="s">
        <v>77</v>
      </c>
      <c r="BD2540" s="3" t="s">
        <v>78</v>
      </c>
      <c r="BE2540" s="3" t="s">
        <v>25772</v>
      </c>
      <c r="BF2540" s="3" t="s">
        <v>25771</v>
      </c>
      <c r="BG2540" s="3" t="s">
        <v>25773</v>
      </c>
      <c r="BH2540">
        <f t="shared" si="61"/>
        <v>0</v>
      </c>
    </row>
    <row r="2541" spans="1:60" ht="130.5" x14ac:dyDescent="0.35">
      <c r="A2541" s="2" t="s">
        <v>59</v>
      </c>
      <c r="B2541" s="2" t="s">
        <v>60</v>
      </c>
      <c r="C2541" s="2" t="s">
        <v>25762</v>
      </c>
      <c r="D2541" s="2" t="s">
        <v>25763</v>
      </c>
      <c r="E2541" s="2" t="s">
        <v>25764</v>
      </c>
      <c r="F2541" s="3" t="s">
        <v>25774</v>
      </c>
      <c r="G2541" s="3" t="s">
        <v>128</v>
      </c>
      <c r="I2541" s="3" t="s">
        <v>128</v>
      </c>
      <c r="J2541" s="3" t="s">
        <v>64</v>
      </c>
      <c r="K2541" s="3" t="s">
        <v>65</v>
      </c>
      <c r="M2541" s="2" t="s">
        <v>25765</v>
      </c>
      <c r="N2541" s="3" t="s">
        <v>153</v>
      </c>
      <c r="O2541" s="2" t="s">
        <v>25766</v>
      </c>
      <c r="P2541" s="3" t="s">
        <v>102</v>
      </c>
      <c r="R2541" s="3" t="s">
        <v>70</v>
      </c>
      <c r="S2541" s="4">
        <v>0</v>
      </c>
      <c r="T2541" s="4">
        <v>20</v>
      </c>
      <c r="V2541" s="5" t="s">
        <v>1264</v>
      </c>
      <c r="W2541" s="5" t="s">
        <v>72</v>
      </c>
      <c r="X2541" s="5" t="s">
        <v>72</v>
      </c>
      <c r="Y2541" s="4">
        <v>1252</v>
      </c>
      <c r="Z2541" s="4">
        <v>49</v>
      </c>
      <c r="AA2541" s="4">
        <v>58</v>
      </c>
      <c r="AB2541" s="4">
        <v>3</v>
      </c>
      <c r="AC2541" s="4">
        <v>9</v>
      </c>
      <c r="AD2541" s="4">
        <v>112</v>
      </c>
      <c r="AE2541" s="4">
        <v>118</v>
      </c>
      <c r="AF2541" s="4">
        <v>0</v>
      </c>
      <c r="AG2541" s="4">
        <v>4</v>
      </c>
      <c r="AH2541" s="4">
        <v>94</v>
      </c>
      <c r="AI2541" s="4">
        <v>96</v>
      </c>
      <c r="AJ2541" s="4">
        <v>13</v>
      </c>
      <c r="AK2541" s="4">
        <v>17</v>
      </c>
      <c r="AL2541" s="4">
        <v>49</v>
      </c>
      <c r="AM2541" s="4">
        <v>49</v>
      </c>
      <c r="AN2541" s="4">
        <v>0</v>
      </c>
      <c r="AO2541" s="4">
        <v>0</v>
      </c>
      <c r="AP2541" s="4">
        <v>18</v>
      </c>
      <c r="AQ2541" s="4">
        <v>22</v>
      </c>
      <c r="AR2541" s="3" t="s">
        <v>128</v>
      </c>
      <c r="AS2541" s="3" t="s">
        <v>64</v>
      </c>
      <c r="AT2541" s="3" t="s">
        <v>128</v>
      </c>
      <c r="AU2541" s="6" t="str">
        <f>HYPERLINK("http://catalog.hathitrust.org/Record/003491626","HathiTrust Record")</f>
        <v>HathiTrust Record</v>
      </c>
      <c r="AV2541" s="6" t="str">
        <f>HYPERLINK("http://mcgill.on.worldcat.org/oclc/39281762","Catalog Record")</f>
        <v>Catalog Record</v>
      </c>
      <c r="AW2541" s="6" t="str">
        <f>HYPERLINK("http://www.worldcat.org/oclc/39281762","WorldCat Record")</f>
        <v>WorldCat Record</v>
      </c>
      <c r="AX2541" s="3" t="s">
        <v>25768</v>
      </c>
      <c r="AY2541" s="3" t="s">
        <v>25769</v>
      </c>
      <c r="AZ2541" s="3" t="s">
        <v>25770</v>
      </c>
      <c r="BA2541" s="3" t="s">
        <v>25770</v>
      </c>
      <c r="BB2541" s="3" t="s">
        <v>25775</v>
      </c>
      <c r="BC2541" s="3" t="s">
        <v>77</v>
      </c>
      <c r="BD2541" s="3" t="s">
        <v>78</v>
      </c>
      <c r="BE2541" s="3" t="s">
        <v>25772</v>
      </c>
      <c r="BF2541" s="3" t="s">
        <v>25775</v>
      </c>
      <c r="BG2541" s="3" t="s">
        <v>25776</v>
      </c>
      <c r="BH2541">
        <f t="shared" si="61"/>
        <v>0</v>
      </c>
    </row>
    <row r="2542" spans="1:60" ht="130.5" x14ac:dyDescent="0.35">
      <c r="A2542" s="2" t="s">
        <v>59</v>
      </c>
      <c r="B2542" s="2" t="s">
        <v>60</v>
      </c>
      <c r="C2542" s="2" t="s">
        <v>25762</v>
      </c>
      <c r="D2542" s="2" t="s">
        <v>25763</v>
      </c>
      <c r="E2542" s="2" t="s">
        <v>25764</v>
      </c>
      <c r="F2542" s="3" t="s">
        <v>25774</v>
      </c>
      <c r="G2542" s="3" t="s">
        <v>128</v>
      </c>
      <c r="I2542" s="3" t="s">
        <v>128</v>
      </c>
      <c r="J2542" s="3" t="s">
        <v>64</v>
      </c>
      <c r="K2542" s="3" t="s">
        <v>65</v>
      </c>
      <c r="M2542" s="2" t="s">
        <v>25765</v>
      </c>
      <c r="N2542" s="3" t="s">
        <v>153</v>
      </c>
      <c r="O2542" s="2" t="s">
        <v>25766</v>
      </c>
      <c r="P2542" s="3" t="s">
        <v>102</v>
      </c>
      <c r="R2542" s="3" t="s">
        <v>70</v>
      </c>
      <c r="S2542" s="4">
        <v>1</v>
      </c>
      <c r="T2542" s="4">
        <v>20</v>
      </c>
      <c r="U2542" s="5" t="s">
        <v>25777</v>
      </c>
      <c r="V2542" s="5" t="s">
        <v>1264</v>
      </c>
      <c r="W2542" s="5" t="s">
        <v>72</v>
      </c>
      <c r="X2542" s="5" t="s">
        <v>72</v>
      </c>
      <c r="Y2542" s="4">
        <v>1252</v>
      </c>
      <c r="Z2542" s="4">
        <v>49</v>
      </c>
      <c r="AA2542" s="4">
        <v>58</v>
      </c>
      <c r="AB2542" s="4">
        <v>3</v>
      </c>
      <c r="AC2542" s="4">
        <v>9</v>
      </c>
      <c r="AD2542" s="4">
        <v>112</v>
      </c>
      <c r="AE2542" s="4">
        <v>118</v>
      </c>
      <c r="AF2542" s="4">
        <v>0</v>
      </c>
      <c r="AG2542" s="4">
        <v>4</v>
      </c>
      <c r="AH2542" s="4">
        <v>94</v>
      </c>
      <c r="AI2542" s="4">
        <v>96</v>
      </c>
      <c r="AJ2542" s="4">
        <v>13</v>
      </c>
      <c r="AK2542" s="4">
        <v>17</v>
      </c>
      <c r="AL2542" s="4">
        <v>49</v>
      </c>
      <c r="AM2542" s="4">
        <v>49</v>
      </c>
      <c r="AN2542" s="4">
        <v>0</v>
      </c>
      <c r="AO2542" s="4">
        <v>0</v>
      </c>
      <c r="AP2542" s="4">
        <v>18</v>
      </c>
      <c r="AQ2542" s="4">
        <v>22</v>
      </c>
      <c r="AR2542" s="3" t="s">
        <v>128</v>
      </c>
      <c r="AS2542" s="3" t="s">
        <v>64</v>
      </c>
      <c r="AT2542" s="3" t="s">
        <v>128</v>
      </c>
      <c r="AU2542" s="6" t="str">
        <f>HYPERLINK("http://catalog.hathitrust.org/Record/003491626","HathiTrust Record")</f>
        <v>HathiTrust Record</v>
      </c>
      <c r="AV2542" s="6" t="str">
        <f>HYPERLINK("http://mcgill.on.worldcat.org/oclc/39281762","Catalog Record")</f>
        <v>Catalog Record</v>
      </c>
      <c r="AW2542" s="6" t="str">
        <f>HYPERLINK("http://www.worldcat.org/oclc/39281762","WorldCat Record")</f>
        <v>WorldCat Record</v>
      </c>
      <c r="AX2542" s="3" t="s">
        <v>25768</v>
      </c>
      <c r="AY2542" s="3" t="s">
        <v>25769</v>
      </c>
      <c r="AZ2542" s="3" t="s">
        <v>25770</v>
      </c>
      <c r="BA2542" s="3" t="s">
        <v>25770</v>
      </c>
      <c r="BB2542" s="3" t="s">
        <v>25778</v>
      </c>
      <c r="BC2542" s="3" t="s">
        <v>77</v>
      </c>
      <c r="BD2542" s="3" t="s">
        <v>78</v>
      </c>
      <c r="BE2542" s="3" t="s">
        <v>25772</v>
      </c>
      <c r="BF2542" s="3" t="s">
        <v>25778</v>
      </c>
      <c r="BG2542" s="3" t="s">
        <v>25779</v>
      </c>
      <c r="BH2542">
        <f t="shared" si="61"/>
        <v>0</v>
      </c>
    </row>
    <row r="2543" spans="1:60" ht="130.5" x14ac:dyDescent="0.35">
      <c r="A2543" s="2" t="s">
        <v>59</v>
      </c>
      <c r="B2543" s="2" t="s">
        <v>60</v>
      </c>
      <c r="C2543" s="2" t="s">
        <v>25762</v>
      </c>
      <c r="D2543" s="2" t="s">
        <v>25763</v>
      </c>
      <c r="E2543" s="2" t="s">
        <v>25764</v>
      </c>
      <c r="F2543" s="3" t="s">
        <v>7620</v>
      </c>
      <c r="G2543" s="3" t="s">
        <v>128</v>
      </c>
      <c r="I2543" s="3" t="s">
        <v>128</v>
      </c>
      <c r="J2543" s="3" t="s">
        <v>64</v>
      </c>
      <c r="K2543" s="3" t="s">
        <v>65</v>
      </c>
      <c r="M2543" s="2" t="s">
        <v>25765</v>
      </c>
      <c r="N2543" s="3" t="s">
        <v>153</v>
      </c>
      <c r="O2543" s="2" t="s">
        <v>25766</v>
      </c>
      <c r="P2543" s="3" t="s">
        <v>102</v>
      </c>
      <c r="R2543" s="3" t="s">
        <v>70</v>
      </c>
      <c r="S2543" s="4">
        <v>8</v>
      </c>
      <c r="T2543" s="4">
        <v>20</v>
      </c>
      <c r="U2543" s="5" t="s">
        <v>1264</v>
      </c>
      <c r="V2543" s="5" t="s">
        <v>1264</v>
      </c>
      <c r="W2543" s="5" t="s">
        <v>72</v>
      </c>
      <c r="X2543" s="5" t="s">
        <v>72</v>
      </c>
      <c r="Y2543" s="4">
        <v>1252</v>
      </c>
      <c r="Z2543" s="4">
        <v>49</v>
      </c>
      <c r="AA2543" s="4">
        <v>58</v>
      </c>
      <c r="AB2543" s="4">
        <v>3</v>
      </c>
      <c r="AC2543" s="4">
        <v>9</v>
      </c>
      <c r="AD2543" s="4">
        <v>112</v>
      </c>
      <c r="AE2543" s="4">
        <v>118</v>
      </c>
      <c r="AF2543" s="4">
        <v>0</v>
      </c>
      <c r="AG2543" s="4">
        <v>4</v>
      </c>
      <c r="AH2543" s="4">
        <v>94</v>
      </c>
      <c r="AI2543" s="4">
        <v>96</v>
      </c>
      <c r="AJ2543" s="4">
        <v>13</v>
      </c>
      <c r="AK2543" s="4">
        <v>17</v>
      </c>
      <c r="AL2543" s="4">
        <v>49</v>
      </c>
      <c r="AM2543" s="4">
        <v>49</v>
      </c>
      <c r="AN2543" s="4">
        <v>0</v>
      </c>
      <c r="AO2543" s="4">
        <v>0</v>
      </c>
      <c r="AP2543" s="4">
        <v>18</v>
      </c>
      <c r="AQ2543" s="4">
        <v>22</v>
      </c>
      <c r="AR2543" s="3" t="s">
        <v>128</v>
      </c>
      <c r="AS2543" s="3" t="s">
        <v>64</v>
      </c>
      <c r="AT2543" s="3" t="s">
        <v>128</v>
      </c>
      <c r="AU2543" s="6" t="str">
        <f>HYPERLINK("http://catalog.hathitrust.org/Record/003491626","HathiTrust Record")</f>
        <v>HathiTrust Record</v>
      </c>
      <c r="AV2543" s="6" t="str">
        <f>HYPERLINK("http://mcgill.on.worldcat.org/oclc/39281762","Catalog Record")</f>
        <v>Catalog Record</v>
      </c>
      <c r="AW2543" s="6" t="str">
        <f>HYPERLINK("http://www.worldcat.org/oclc/39281762","WorldCat Record")</f>
        <v>WorldCat Record</v>
      </c>
      <c r="AX2543" s="3" t="s">
        <v>25768</v>
      </c>
      <c r="AY2543" s="3" t="s">
        <v>25769</v>
      </c>
      <c r="AZ2543" s="3" t="s">
        <v>25770</v>
      </c>
      <c r="BA2543" s="3" t="s">
        <v>25770</v>
      </c>
      <c r="BB2543" s="3" t="s">
        <v>25780</v>
      </c>
      <c r="BC2543" s="3" t="s">
        <v>77</v>
      </c>
      <c r="BD2543" s="3" t="s">
        <v>78</v>
      </c>
      <c r="BE2543" s="3" t="s">
        <v>25772</v>
      </c>
      <c r="BF2543" s="3" t="s">
        <v>25780</v>
      </c>
      <c r="BG2543" s="3" t="s">
        <v>25781</v>
      </c>
      <c r="BH2543">
        <f t="shared" si="61"/>
        <v>0</v>
      </c>
    </row>
    <row r="2544" spans="1:60" ht="72.5" x14ac:dyDescent="0.35">
      <c r="A2544" s="2" t="s">
        <v>59</v>
      </c>
      <c r="B2544" s="2" t="s">
        <v>60</v>
      </c>
      <c r="C2544" s="2" t="s">
        <v>25782</v>
      </c>
      <c r="D2544" s="2" t="s">
        <v>25783</v>
      </c>
      <c r="E2544" s="2" t="s">
        <v>25784</v>
      </c>
      <c r="G2544" s="3" t="s">
        <v>64</v>
      </c>
      <c r="I2544" s="3" t="s">
        <v>128</v>
      </c>
      <c r="J2544" s="3" t="s">
        <v>64</v>
      </c>
      <c r="K2544" s="3" t="s">
        <v>65</v>
      </c>
      <c r="M2544" s="2" t="s">
        <v>25785</v>
      </c>
      <c r="N2544" s="3" t="s">
        <v>101</v>
      </c>
      <c r="O2544" s="2" t="s">
        <v>25786</v>
      </c>
      <c r="P2544" s="3" t="s">
        <v>102</v>
      </c>
      <c r="R2544" s="3" t="s">
        <v>70</v>
      </c>
      <c r="S2544" s="4">
        <v>97</v>
      </c>
      <c r="T2544" s="4">
        <v>97</v>
      </c>
      <c r="U2544" s="5" t="s">
        <v>1264</v>
      </c>
      <c r="V2544" s="5" t="s">
        <v>1264</v>
      </c>
      <c r="W2544" s="5" t="s">
        <v>72</v>
      </c>
      <c r="X2544" s="5" t="s">
        <v>72</v>
      </c>
      <c r="Y2544" s="4">
        <v>55</v>
      </c>
      <c r="Z2544" s="4">
        <v>3</v>
      </c>
      <c r="AA2544" s="4">
        <v>3</v>
      </c>
      <c r="AB2544" s="4">
        <v>1</v>
      </c>
      <c r="AC2544" s="4">
        <v>1</v>
      </c>
      <c r="AD2544" s="4">
        <v>4</v>
      </c>
      <c r="AE2544" s="4">
        <v>7</v>
      </c>
      <c r="AF2544" s="4">
        <v>0</v>
      </c>
      <c r="AG2544" s="4">
        <v>0</v>
      </c>
      <c r="AH2544" s="4">
        <v>3</v>
      </c>
      <c r="AI2544" s="4">
        <v>6</v>
      </c>
      <c r="AJ2544" s="4">
        <v>0</v>
      </c>
      <c r="AK2544" s="4">
        <v>0</v>
      </c>
      <c r="AL2544" s="4">
        <v>2</v>
      </c>
      <c r="AM2544" s="4">
        <v>5</v>
      </c>
      <c r="AN2544" s="4">
        <v>0</v>
      </c>
      <c r="AO2544" s="4">
        <v>0</v>
      </c>
      <c r="AP2544" s="4">
        <v>1</v>
      </c>
      <c r="AQ2544" s="4">
        <v>1</v>
      </c>
      <c r="AR2544" s="3" t="s">
        <v>64</v>
      </c>
      <c r="AS2544" s="3" t="s">
        <v>64</v>
      </c>
      <c r="AT2544" s="3" t="s">
        <v>64</v>
      </c>
      <c r="AV2544" s="6" t="str">
        <f>HYPERLINK("http://mcgill.on.worldcat.org/oclc/55070581","Catalog Record")</f>
        <v>Catalog Record</v>
      </c>
      <c r="AW2544" s="6" t="str">
        <f>HYPERLINK("http://www.worldcat.org/oclc/55070581","WorldCat Record")</f>
        <v>WorldCat Record</v>
      </c>
      <c r="AX2544" s="3" t="s">
        <v>25787</v>
      </c>
      <c r="AY2544" s="3" t="s">
        <v>25788</v>
      </c>
      <c r="AZ2544" s="3" t="s">
        <v>25789</v>
      </c>
      <c r="BA2544" s="3" t="s">
        <v>25789</v>
      </c>
      <c r="BB2544" s="3" t="s">
        <v>25790</v>
      </c>
      <c r="BC2544" s="3" t="s">
        <v>77</v>
      </c>
      <c r="BD2544" s="3" t="s">
        <v>78</v>
      </c>
      <c r="BE2544" s="3" t="s">
        <v>25791</v>
      </c>
      <c r="BF2544" s="3" t="s">
        <v>25790</v>
      </c>
      <c r="BG2544" s="3" t="s">
        <v>25792</v>
      </c>
      <c r="BH2544">
        <f t="shared" si="61"/>
        <v>0</v>
      </c>
    </row>
    <row r="2545" spans="1:60" ht="72.5" x14ac:dyDescent="0.35">
      <c r="A2545" s="2" t="s">
        <v>59</v>
      </c>
      <c r="B2545" s="2" t="s">
        <v>60</v>
      </c>
      <c r="C2545" s="2" t="s">
        <v>25782</v>
      </c>
      <c r="D2545" s="2" t="s">
        <v>25783</v>
      </c>
      <c r="E2545" s="2" t="s">
        <v>25784</v>
      </c>
      <c r="G2545" s="3" t="s">
        <v>64</v>
      </c>
      <c r="I2545" s="3" t="s">
        <v>128</v>
      </c>
      <c r="J2545" s="3" t="s">
        <v>64</v>
      </c>
      <c r="K2545" s="3" t="s">
        <v>65</v>
      </c>
      <c r="M2545" s="2" t="s">
        <v>25785</v>
      </c>
      <c r="N2545" s="3" t="s">
        <v>101</v>
      </c>
      <c r="O2545" s="2" t="s">
        <v>25786</v>
      </c>
      <c r="P2545" s="3" t="s">
        <v>102</v>
      </c>
      <c r="R2545" s="3" t="s">
        <v>70</v>
      </c>
      <c r="S2545" s="4">
        <v>0</v>
      </c>
      <c r="T2545" s="4">
        <v>97</v>
      </c>
      <c r="V2545" s="5" t="s">
        <v>1264</v>
      </c>
      <c r="W2545" s="5" t="s">
        <v>72</v>
      </c>
      <c r="X2545" s="5" t="s">
        <v>72</v>
      </c>
      <c r="Y2545" s="4">
        <v>55</v>
      </c>
      <c r="Z2545" s="4">
        <v>3</v>
      </c>
      <c r="AA2545" s="4">
        <v>3</v>
      </c>
      <c r="AB2545" s="4">
        <v>1</v>
      </c>
      <c r="AC2545" s="4">
        <v>1</v>
      </c>
      <c r="AD2545" s="4">
        <v>4</v>
      </c>
      <c r="AE2545" s="4">
        <v>7</v>
      </c>
      <c r="AF2545" s="4">
        <v>0</v>
      </c>
      <c r="AG2545" s="4">
        <v>0</v>
      </c>
      <c r="AH2545" s="4">
        <v>3</v>
      </c>
      <c r="AI2545" s="4">
        <v>6</v>
      </c>
      <c r="AJ2545" s="4">
        <v>0</v>
      </c>
      <c r="AK2545" s="4">
        <v>0</v>
      </c>
      <c r="AL2545" s="4">
        <v>2</v>
      </c>
      <c r="AM2545" s="4">
        <v>5</v>
      </c>
      <c r="AN2545" s="4">
        <v>0</v>
      </c>
      <c r="AO2545" s="4">
        <v>0</v>
      </c>
      <c r="AP2545" s="4">
        <v>1</v>
      </c>
      <c r="AQ2545" s="4">
        <v>1</v>
      </c>
      <c r="AR2545" s="3" t="s">
        <v>64</v>
      </c>
      <c r="AS2545" s="3" t="s">
        <v>64</v>
      </c>
      <c r="AT2545" s="3" t="s">
        <v>64</v>
      </c>
      <c r="AV2545" s="6" t="str">
        <f>HYPERLINK("http://mcgill.on.worldcat.org/oclc/55070581","Catalog Record")</f>
        <v>Catalog Record</v>
      </c>
      <c r="AW2545" s="6" t="str">
        <f>HYPERLINK("http://www.worldcat.org/oclc/55070581","WorldCat Record")</f>
        <v>WorldCat Record</v>
      </c>
      <c r="AX2545" s="3" t="s">
        <v>25787</v>
      </c>
      <c r="AY2545" s="3" t="s">
        <v>25788</v>
      </c>
      <c r="AZ2545" s="3" t="s">
        <v>25789</v>
      </c>
      <c r="BA2545" s="3" t="s">
        <v>25789</v>
      </c>
      <c r="BB2545" s="3" t="s">
        <v>25793</v>
      </c>
      <c r="BC2545" s="3" t="s">
        <v>77</v>
      </c>
      <c r="BD2545" s="3" t="s">
        <v>78</v>
      </c>
      <c r="BE2545" s="3" t="s">
        <v>25791</v>
      </c>
      <c r="BF2545" s="3" t="s">
        <v>25793</v>
      </c>
      <c r="BG2545" s="3" t="s">
        <v>25794</v>
      </c>
      <c r="BH2545">
        <f t="shared" si="61"/>
        <v>0</v>
      </c>
    </row>
    <row r="2546" spans="1:60" ht="58" x14ac:dyDescent="0.35">
      <c r="A2546" s="2" t="s">
        <v>59</v>
      </c>
      <c r="B2546" s="2" t="s">
        <v>60</v>
      </c>
      <c r="C2546" s="2" t="s">
        <v>25795</v>
      </c>
      <c r="D2546" s="2" t="s">
        <v>25796</v>
      </c>
      <c r="E2546" s="2" t="s">
        <v>25797</v>
      </c>
      <c r="G2546" s="3" t="s">
        <v>64</v>
      </c>
      <c r="I2546" s="3" t="s">
        <v>64</v>
      </c>
      <c r="J2546" s="3" t="s">
        <v>128</v>
      </c>
      <c r="K2546" s="3" t="s">
        <v>65</v>
      </c>
      <c r="L2546" s="2" t="s">
        <v>25686</v>
      </c>
      <c r="M2546" s="2" t="s">
        <v>25798</v>
      </c>
      <c r="N2546" s="3" t="s">
        <v>1275</v>
      </c>
      <c r="O2546" s="2" t="s">
        <v>7660</v>
      </c>
      <c r="P2546" s="3" t="s">
        <v>102</v>
      </c>
      <c r="R2546" s="3" t="s">
        <v>70</v>
      </c>
      <c r="S2546" s="4">
        <v>21</v>
      </c>
      <c r="T2546" s="4">
        <v>21</v>
      </c>
      <c r="U2546" s="5" t="s">
        <v>3344</v>
      </c>
      <c r="V2546" s="5" t="s">
        <v>3344</v>
      </c>
      <c r="W2546" s="5" t="s">
        <v>72</v>
      </c>
      <c r="X2546" s="5" t="s">
        <v>72</v>
      </c>
      <c r="Y2546" s="4">
        <v>568</v>
      </c>
      <c r="Z2546" s="4">
        <v>25</v>
      </c>
      <c r="AA2546" s="4">
        <v>134</v>
      </c>
      <c r="AB2546" s="4">
        <v>1</v>
      </c>
      <c r="AC2546" s="4">
        <v>22</v>
      </c>
      <c r="AD2546" s="4">
        <v>60</v>
      </c>
      <c r="AE2546" s="4">
        <v>151</v>
      </c>
      <c r="AF2546" s="4">
        <v>0</v>
      </c>
      <c r="AG2546" s="4">
        <v>9</v>
      </c>
      <c r="AH2546" s="4">
        <v>57</v>
      </c>
      <c r="AI2546" s="4">
        <v>108</v>
      </c>
      <c r="AJ2546" s="4">
        <v>7</v>
      </c>
      <c r="AK2546" s="4">
        <v>23</v>
      </c>
      <c r="AL2546" s="4">
        <v>25</v>
      </c>
      <c r="AM2546" s="4">
        <v>59</v>
      </c>
      <c r="AN2546" s="4">
        <v>0</v>
      </c>
      <c r="AO2546" s="4">
        <v>0</v>
      </c>
      <c r="AP2546" s="4">
        <v>11</v>
      </c>
      <c r="AQ2546" s="4">
        <v>48</v>
      </c>
      <c r="AR2546" s="3" t="s">
        <v>64</v>
      </c>
      <c r="AS2546" s="3" t="s">
        <v>64</v>
      </c>
      <c r="AT2546" s="3" t="s">
        <v>128</v>
      </c>
      <c r="AU2546" s="6" t="str">
        <f>HYPERLINK("http://catalog.hathitrust.org/Record/005826915","HathiTrust Record")</f>
        <v>HathiTrust Record</v>
      </c>
      <c r="AV2546" s="6" t="str">
        <f>HYPERLINK("http://mcgill.on.worldcat.org/oclc/55960806","Catalog Record")</f>
        <v>Catalog Record</v>
      </c>
      <c r="AW2546" s="6" t="str">
        <f>HYPERLINK("http://www.worldcat.org/oclc/55960806","WorldCat Record")</f>
        <v>WorldCat Record</v>
      </c>
      <c r="AX2546" s="3" t="s">
        <v>25688</v>
      </c>
      <c r="AY2546" s="3" t="s">
        <v>25799</v>
      </c>
      <c r="AZ2546" s="3" t="s">
        <v>25800</v>
      </c>
      <c r="BA2546" s="3" t="s">
        <v>25800</v>
      </c>
      <c r="BB2546" s="3" t="s">
        <v>25801</v>
      </c>
      <c r="BC2546" s="3" t="s">
        <v>77</v>
      </c>
      <c r="BD2546" s="3" t="s">
        <v>78</v>
      </c>
      <c r="BE2546" s="3" t="s">
        <v>25802</v>
      </c>
      <c r="BF2546" s="3" t="s">
        <v>25801</v>
      </c>
      <c r="BG2546" s="3" t="s">
        <v>25803</v>
      </c>
      <c r="BH2546">
        <f t="shared" si="61"/>
        <v>0</v>
      </c>
    </row>
    <row r="2547" spans="1:60" ht="58" x14ac:dyDescent="0.35">
      <c r="A2547" s="2" t="s">
        <v>59</v>
      </c>
      <c r="B2547" s="2" t="s">
        <v>60</v>
      </c>
      <c r="C2547" s="2" t="s">
        <v>25804</v>
      </c>
      <c r="D2547" s="2" t="s">
        <v>25805</v>
      </c>
      <c r="E2547" s="2" t="s">
        <v>25806</v>
      </c>
      <c r="G2547" s="3" t="s">
        <v>64</v>
      </c>
      <c r="I2547" s="3" t="s">
        <v>64</v>
      </c>
      <c r="J2547" s="3" t="s">
        <v>64</v>
      </c>
      <c r="K2547" s="3" t="s">
        <v>65</v>
      </c>
      <c r="L2547" s="2" t="s">
        <v>15157</v>
      </c>
      <c r="M2547" s="2" t="s">
        <v>21083</v>
      </c>
      <c r="N2547" s="3" t="s">
        <v>1275</v>
      </c>
      <c r="O2547" s="2" t="s">
        <v>7660</v>
      </c>
      <c r="P2547" s="3" t="s">
        <v>102</v>
      </c>
      <c r="R2547" s="3" t="s">
        <v>70</v>
      </c>
      <c r="S2547" s="4">
        <v>21</v>
      </c>
      <c r="T2547" s="4">
        <v>21</v>
      </c>
      <c r="U2547" s="5" t="s">
        <v>25645</v>
      </c>
      <c r="V2547" s="5" t="s">
        <v>25645</v>
      </c>
      <c r="W2547" s="5" t="s">
        <v>72</v>
      </c>
      <c r="X2547" s="5" t="s">
        <v>72</v>
      </c>
      <c r="Y2547" s="4">
        <v>631</v>
      </c>
      <c r="Z2547" s="4">
        <v>38</v>
      </c>
      <c r="AA2547" s="4">
        <v>120</v>
      </c>
      <c r="AB2547" s="4">
        <v>2</v>
      </c>
      <c r="AC2547" s="4">
        <v>18</v>
      </c>
      <c r="AD2547" s="4">
        <v>86</v>
      </c>
      <c r="AE2547" s="4">
        <v>131</v>
      </c>
      <c r="AF2547" s="4">
        <v>1</v>
      </c>
      <c r="AG2547" s="4">
        <v>8</v>
      </c>
      <c r="AH2547" s="4">
        <v>74</v>
      </c>
      <c r="AI2547" s="4">
        <v>93</v>
      </c>
      <c r="AJ2547" s="4">
        <v>12</v>
      </c>
      <c r="AK2547" s="4">
        <v>22</v>
      </c>
      <c r="AL2547" s="4">
        <v>36</v>
      </c>
      <c r="AM2547" s="4">
        <v>47</v>
      </c>
      <c r="AN2547" s="4">
        <v>0</v>
      </c>
      <c r="AO2547" s="4">
        <v>0</v>
      </c>
      <c r="AP2547" s="4">
        <v>17</v>
      </c>
      <c r="AQ2547" s="4">
        <v>45</v>
      </c>
      <c r="AR2547" s="3" t="s">
        <v>64</v>
      </c>
      <c r="AS2547" s="3" t="s">
        <v>64</v>
      </c>
      <c r="AT2547" s="3" t="s">
        <v>64</v>
      </c>
      <c r="AV2547" s="6" t="str">
        <f>HYPERLINK("http://mcgill.on.worldcat.org/oclc/54356559","Catalog Record")</f>
        <v>Catalog Record</v>
      </c>
      <c r="AW2547" s="6" t="str">
        <f>HYPERLINK("http://www.worldcat.org/oclc/54356559","WorldCat Record")</f>
        <v>WorldCat Record</v>
      </c>
      <c r="AX2547" s="3" t="s">
        <v>25807</v>
      </c>
      <c r="AY2547" s="3" t="s">
        <v>25808</v>
      </c>
      <c r="AZ2547" s="3" t="s">
        <v>25809</v>
      </c>
      <c r="BA2547" s="3" t="s">
        <v>25809</v>
      </c>
      <c r="BB2547" s="3" t="s">
        <v>25810</v>
      </c>
      <c r="BC2547" s="3" t="s">
        <v>77</v>
      </c>
      <c r="BD2547" s="3" t="s">
        <v>78</v>
      </c>
      <c r="BE2547" s="3" t="s">
        <v>25811</v>
      </c>
      <c r="BF2547" s="3" t="s">
        <v>25810</v>
      </c>
      <c r="BG2547" s="3" t="s">
        <v>25812</v>
      </c>
      <c r="BH2547">
        <f t="shared" si="61"/>
        <v>0</v>
      </c>
    </row>
    <row r="2548" spans="1:60" ht="116" x14ac:dyDescent="0.35">
      <c r="A2548" s="2" t="s">
        <v>59</v>
      </c>
      <c r="B2548" s="2" t="s">
        <v>60</v>
      </c>
      <c r="C2548" s="2" t="s">
        <v>25813</v>
      </c>
      <c r="D2548" s="2" t="s">
        <v>25814</v>
      </c>
      <c r="E2548" s="2" t="s">
        <v>25815</v>
      </c>
      <c r="G2548" s="3" t="s">
        <v>64</v>
      </c>
      <c r="I2548" s="3" t="s">
        <v>64</v>
      </c>
      <c r="J2548" s="3" t="s">
        <v>64</v>
      </c>
      <c r="K2548" s="3" t="s">
        <v>65</v>
      </c>
      <c r="L2548" s="2" t="s">
        <v>25816</v>
      </c>
      <c r="M2548" s="2" t="s">
        <v>25817</v>
      </c>
      <c r="N2548" s="3" t="s">
        <v>434</v>
      </c>
      <c r="P2548" s="3" t="s">
        <v>68</v>
      </c>
      <c r="R2548" s="3" t="s">
        <v>70</v>
      </c>
      <c r="S2548" s="4">
        <v>4</v>
      </c>
      <c r="T2548" s="4">
        <v>4</v>
      </c>
      <c r="U2548" s="5" t="s">
        <v>25467</v>
      </c>
      <c r="V2548" s="5" t="s">
        <v>25467</v>
      </c>
      <c r="W2548" s="5" t="s">
        <v>72</v>
      </c>
      <c r="X2548" s="5" t="s">
        <v>72</v>
      </c>
      <c r="Y2548" s="4">
        <v>8</v>
      </c>
      <c r="Z2548" s="4">
        <v>8</v>
      </c>
      <c r="AA2548" s="4">
        <v>10</v>
      </c>
      <c r="AB2548" s="4">
        <v>6</v>
      </c>
      <c r="AC2548" s="4">
        <v>6</v>
      </c>
      <c r="AD2548" s="4">
        <v>3</v>
      </c>
      <c r="AE2548" s="4">
        <v>4</v>
      </c>
      <c r="AF2548" s="4">
        <v>2</v>
      </c>
      <c r="AG2548" s="4">
        <v>2</v>
      </c>
      <c r="AH2548" s="4">
        <v>1</v>
      </c>
      <c r="AI2548" s="4">
        <v>2</v>
      </c>
      <c r="AJ2548" s="4">
        <v>2</v>
      </c>
      <c r="AK2548" s="4">
        <v>3</v>
      </c>
      <c r="AL2548" s="4">
        <v>0</v>
      </c>
      <c r="AM2548" s="4">
        <v>1</v>
      </c>
      <c r="AN2548" s="4">
        <v>0</v>
      </c>
      <c r="AO2548" s="4">
        <v>0</v>
      </c>
      <c r="AP2548" s="4">
        <v>3</v>
      </c>
      <c r="AQ2548" s="4">
        <v>4</v>
      </c>
      <c r="AR2548" s="3" t="s">
        <v>128</v>
      </c>
      <c r="AS2548" s="3" t="s">
        <v>64</v>
      </c>
      <c r="AT2548" s="3" t="s">
        <v>64</v>
      </c>
      <c r="AV2548" s="6" t="str">
        <f>HYPERLINK("http://mcgill.on.worldcat.org/oclc/71236256","Catalog Record")</f>
        <v>Catalog Record</v>
      </c>
      <c r="AW2548" s="6" t="str">
        <f>HYPERLINK("http://www.worldcat.org/oclc/71236256","WorldCat Record")</f>
        <v>WorldCat Record</v>
      </c>
      <c r="AX2548" s="3" t="s">
        <v>25818</v>
      </c>
      <c r="AY2548" s="3" t="s">
        <v>25819</v>
      </c>
      <c r="AZ2548" s="3" t="s">
        <v>25820</v>
      </c>
      <c r="BA2548" s="3" t="s">
        <v>25820</v>
      </c>
      <c r="BB2548" s="3" t="s">
        <v>25821</v>
      </c>
      <c r="BC2548" s="3" t="s">
        <v>77</v>
      </c>
      <c r="BD2548" s="3" t="s">
        <v>78</v>
      </c>
      <c r="BE2548" s="3" t="s">
        <v>25822</v>
      </c>
      <c r="BF2548" s="3" t="s">
        <v>25821</v>
      </c>
      <c r="BG2548" s="3" t="s">
        <v>25823</v>
      </c>
      <c r="BH2548">
        <f t="shared" si="61"/>
        <v>0</v>
      </c>
    </row>
    <row r="2549" spans="1:60" ht="58" x14ac:dyDescent="0.35">
      <c r="A2549" s="2" t="s">
        <v>59</v>
      </c>
      <c r="B2549" s="2" t="s">
        <v>60</v>
      </c>
      <c r="C2549" s="2" t="s">
        <v>25824</v>
      </c>
      <c r="D2549" s="2" t="s">
        <v>25825</v>
      </c>
      <c r="E2549" s="2" t="s">
        <v>25826</v>
      </c>
      <c r="G2549" s="3" t="s">
        <v>64</v>
      </c>
      <c r="I2549" s="3" t="s">
        <v>64</v>
      </c>
      <c r="J2549" s="3" t="s">
        <v>64</v>
      </c>
      <c r="K2549" s="3" t="s">
        <v>65</v>
      </c>
      <c r="L2549" s="2" t="s">
        <v>25827</v>
      </c>
      <c r="M2549" s="2" t="s">
        <v>14552</v>
      </c>
      <c r="N2549" s="3" t="s">
        <v>537</v>
      </c>
      <c r="P2549" s="3" t="s">
        <v>102</v>
      </c>
      <c r="R2549" s="3" t="s">
        <v>70</v>
      </c>
      <c r="S2549" s="4">
        <v>6</v>
      </c>
      <c r="T2549" s="4">
        <v>6</v>
      </c>
      <c r="U2549" s="5" t="s">
        <v>25635</v>
      </c>
      <c r="V2549" s="5" t="s">
        <v>25635</v>
      </c>
      <c r="W2549" s="5" t="s">
        <v>72</v>
      </c>
      <c r="X2549" s="5" t="s">
        <v>72</v>
      </c>
      <c r="Y2549" s="4">
        <v>388</v>
      </c>
      <c r="Z2549" s="4">
        <v>20</v>
      </c>
      <c r="AA2549" s="4">
        <v>23</v>
      </c>
      <c r="AB2549" s="4">
        <v>1</v>
      </c>
      <c r="AC2549" s="4">
        <v>4</v>
      </c>
      <c r="AD2549" s="4">
        <v>61</v>
      </c>
      <c r="AE2549" s="4">
        <v>63</v>
      </c>
      <c r="AF2549" s="4">
        <v>0</v>
      </c>
      <c r="AG2549" s="4">
        <v>2</v>
      </c>
      <c r="AH2549" s="4">
        <v>52</v>
      </c>
      <c r="AI2549" s="4">
        <v>52</v>
      </c>
      <c r="AJ2549" s="4">
        <v>10</v>
      </c>
      <c r="AK2549" s="4">
        <v>11</v>
      </c>
      <c r="AL2549" s="4">
        <v>26</v>
      </c>
      <c r="AM2549" s="4">
        <v>26</v>
      </c>
      <c r="AN2549" s="4">
        <v>0</v>
      </c>
      <c r="AO2549" s="4">
        <v>0</v>
      </c>
      <c r="AP2549" s="4">
        <v>13</v>
      </c>
      <c r="AQ2549" s="4">
        <v>14</v>
      </c>
      <c r="AR2549" s="3" t="s">
        <v>64</v>
      </c>
      <c r="AS2549" s="3" t="s">
        <v>64</v>
      </c>
      <c r="AT2549" s="3" t="s">
        <v>64</v>
      </c>
      <c r="AV2549" s="6" t="str">
        <f>HYPERLINK("http://mcgill.on.worldcat.org/oclc/908700868","Catalog Record")</f>
        <v>Catalog Record</v>
      </c>
      <c r="AW2549" s="6" t="str">
        <f>HYPERLINK("http://www.worldcat.org/oclc/908700868","WorldCat Record")</f>
        <v>WorldCat Record</v>
      </c>
      <c r="AX2549" s="3" t="s">
        <v>25828</v>
      </c>
      <c r="AY2549" s="3" t="s">
        <v>25829</v>
      </c>
      <c r="AZ2549" s="3" t="s">
        <v>25830</v>
      </c>
      <c r="BA2549" s="3" t="s">
        <v>25830</v>
      </c>
      <c r="BB2549" s="3" t="s">
        <v>25831</v>
      </c>
      <c r="BC2549" s="3" t="s">
        <v>77</v>
      </c>
      <c r="BD2549" s="3" t="s">
        <v>78</v>
      </c>
      <c r="BE2549" s="3" t="s">
        <v>25832</v>
      </c>
      <c r="BF2549" s="3" t="s">
        <v>25831</v>
      </c>
      <c r="BG2549" s="3" t="s">
        <v>25833</v>
      </c>
      <c r="BH2549">
        <f t="shared" si="61"/>
        <v>0</v>
      </c>
    </row>
    <row r="2550" spans="1:60" ht="58" x14ac:dyDescent="0.35">
      <c r="A2550" s="2" t="s">
        <v>59</v>
      </c>
      <c r="B2550" s="2" t="s">
        <v>60</v>
      </c>
      <c r="C2550" s="2" t="s">
        <v>25834</v>
      </c>
      <c r="D2550" s="2" t="s">
        <v>25835</v>
      </c>
      <c r="E2550" s="2" t="s">
        <v>25836</v>
      </c>
      <c r="G2550" s="3" t="s">
        <v>64</v>
      </c>
      <c r="I2550" s="3" t="s">
        <v>64</v>
      </c>
      <c r="J2550" s="3" t="s">
        <v>64</v>
      </c>
      <c r="K2550" s="3" t="s">
        <v>65</v>
      </c>
      <c r="L2550" s="2" t="s">
        <v>25837</v>
      </c>
      <c r="M2550" s="2" t="s">
        <v>9037</v>
      </c>
      <c r="N2550" s="3" t="s">
        <v>1075</v>
      </c>
      <c r="P2550" s="3" t="s">
        <v>102</v>
      </c>
      <c r="R2550" s="3" t="s">
        <v>70</v>
      </c>
      <c r="S2550" s="4">
        <v>4</v>
      </c>
      <c r="T2550" s="4">
        <v>4</v>
      </c>
      <c r="U2550" s="5" t="s">
        <v>25635</v>
      </c>
      <c r="V2550" s="5" t="s">
        <v>25635</v>
      </c>
      <c r="W2550" s="5" t="s">
        <v>72</v>
      </c>
      <c r="X2550" s="5" t="s">
        <v>72</v>
      </c>
      <c r="Y2550" s="4">
        <v>84</v>
      </c>
      <c r="Z2550" s="4">
        <v>6</v>
      </c>
      <c r="AA2550" s="4">
        <v>38</v>
      </c>
      <c r="AB2550" s="4">
        <v>1</v>
      </c>
      <c r="AC2550" s="4">
        <v>5</v>
      </c>
      <c r="AD2550" s="4">
        <v>11</v>
      </c>
      <c r="AE2550" s="4">
        <v>78</v>
      </c>
      <c r="AF2550" s="4">
        <v>0</v>
      </c>
      <c r="AG2550" s="4">
        <v>2</v>
      </c>
      <c r="AH2550" s="4">
        <v>8</v>
      </c>
      <c r="AI2550" s="4">
        <v>69</v>
      </c>
      <c r="AJ2550" s="4">
        <v>3</v>
      </c>
      <c r="AK2550" s="4">
        <v>12</v>
      </c>
      <c r="AL2550" s="4">
        <v>5</v>
      </c>
      <c r="AM2550" s="4">
        <v>30</v>
      </c>
      <c r="AN2550" s="4">
        <v>0</v>
      </c>
      <c r="AO2550" s="4">
        <v>0</v>
      </c>
      <c r="AP2550" s="4">
        <v>5</v>
      </c>
      <c r="AQ2550" s="4">
        <v>18</v>
      </c>
      <c r="AR2550" s="3" t="s">
        <v>64</v>
      </c>
      <c r="AS2550" s="3" t="s">
        <v>64</v>
      </c>
      <c r="AT2550" s="3" t="s">
        <v>64</v>
      </c>
      <c r="AV2550" s="6" t="str">
        <f>HYPERLINK("http://mcgill.on.worldcat.org/oclc/775075431","Catalog Record")</f>
        <v>Catalog Record</v>
      </c>
      <c r="AW2550" s="6" t="str">
        <f>HYPERLINK("http://www.worldcat.org/oclc/775075431","WorldCat Record")</f>
        <v>WorldCat Record</v>
      </c>
      <c r="AX2550" s="3" t="s">
        <v>25838</v>
      </c>
      <c r="AY2550" s="3" t="s">
        <v>25839</v>
      </c>
      <c r="AZ2550" s="3" t="s">
        <v>25840</v>
      </c>
      <c r="BA2550" s="3" t="s">
        <v>25840</v>
      </c>
      <c r="BB2550" s="3" t="s">
        <v>25841</v>
      </c>
      <c r="BC2550" s="3" t="s">
        <v>77</v>
      </c>
      <c r="BD2550" s="3" t="s">
        <v>78</v>
      </c>
      <c r="BE2550" s="3" t="s">
        <v>25842</v>
      </c>
      <c r="BF2550" s="3" t="s">
        <v>25841</v>
      </c>
      <c r="BG2550" s="3" t="s">
        <v>25843</v>
      </c>
      <c r="BH2550">
        <f t="shared" si="61"/>
        <v>0</v>
      </c>
    </row>
    <row r="2551" spans="1:60" ht="116" x14ac:dyDescent="0.35">
      <c r="A2551" s="2" t="s">
        <v>59</v>
      </c>
      <c r="B2551" s="2" t="s">
        <v>25844</v>
      </c>
      <c r="C2551" s="2" t="s">
        <v>25845</v>
      </c>
      <c r="D2551" s="2" t="s">
        <v>25846</v>
      </c>
      <c r="E2551" s="2" t="s">
        <v>25847</v>
      </c>
      <c r="G2551" s="3" t="s">
        <v>64</v>
      </c>
      <c r="I2551" s="3" t="s">
        <v>64</v>
      </c>
      <c r="J2551" s="3" t="s">
        <v>64</v>
      </c>
      <c r="K2551" s="3" t="s">
        <v>65</v>
      </c>
      <c r="M2551" s="2" t="s">
        <v>25848</v>
      </c>
      <c r="N2551" s="3" t="s">
        <v>578</v>
      </c>
      <c r="O2551" s="2" t="s">
        <v>1189</v>
      </c>
      <c r="P2551" s="3" t="s">
        <v>1190</v>
      </c>
      <c r="R2551" s="3" t="s">
        <v>70</v>
      </c>
      <c r="S2551" s="4">
        <v>0</v>
      </c>
      <c r="T2551" s="4">
        <v>0</v>
      </c>
      <c r="W2551" s="5" t="s">
        <v>72</v>
      </c>
      <c r="X2551" s="5" t="s">
        <v>72</v>
      </c>
      <c r="Y2551" s="4">
        <v>14</v>
      </c>
      <c r="Z2551" s="4">
        <v>1</v>
      </c>
      <c r="AA2551" s="4">
        <v>1</v>
      </c>
      <c r="AB2551" s="4">
        <v>1</v>
      </c>
      <c r="AC2551" s="4">
        <v>1</v>
      </c>
      <c r="AD2551" s="4">
        <v>8</v>
      </c>
      <c r="AE2551" s="4">
        <v>8</v>
      </c>
      <c r="AF2551" s="4">
        <v>0</v>
      </c>
      <c r="AG2551" s="4">
        <v>0</v>
      </c>
      <c r="AH2551" s="4">
        <v>8</v>
      </c>
      <c r="AI2551" s="4">
        <v>8</v>
      </c>
      <c r="AJ2551" s="4">
        <v>0</v>
      </c>
      <c r="AK2551" s="4">
        <v>0</v>
      </c>
      <c r="AL2551" s="4">
        <v>7</v>
      </c>
      <c r="AM2551" s="4">
        <v>7</v>
      </c>
      <c r="AN2551" s="4">
        <v>0</v>
      </c>
      <c r="AO2551" s="4">
        <v>0</v>
      </c>
      <c r="AP2551" s="4">
        <v>0</v>
      </c>
      <c r="AQ2551" s="4">
        <v>0</v>
      </c>
      <c r="AR2551" s="3" t="s">
        <v>64</v>
      </c>
      <c r="AS2551" s="3" t="s">
        <v>64</v>
      </c>
      <c r="AT2551" s="3" t="s">
        <v>64</v>
      </c>
      <c r="AV2551" s="6" t="str">
        <f>HYPERLINK("http://mcgill.on.worldcat.org/oclc/1044731076","Catalog Record")</f>
        <v>Catalog Record</v>
      </c>
      <c r="AW2551" s="6" t="str">
        <f>HYPERLINK("http://www.worldcat.org/oclc/1044731076","WorldCat Record")</f>
        <v>WorldCat Record</v>
      </c>
      <c r="AX2551" s="3" t="s">
        <v>25849</v>
      </c>
      <c r="AY2551" s="3" t="s">
        <v>25850</v>
      </c>
      <c r="AZ2551" s="3" t="s">
        <v>25851</v>
      </c>
      <c r="BA2551" s="3" t="s">
        <v>25851</v>
      </c>
      <c r="BB2551" s="3" t="s">
        <v>25852</v>
      </c>
      <c r="BC2551" s="3" t="s">
        <v>77</v>
      </c>
      <c r="BD2551" s="3" t="s">
        <v>78</v>
      </c>
      <c r="BE2551" s="3" t="s">
        <v>25853</v>
      </c>
      <c r="BF2551" s="3" t="s">
        <v>25852</v>
      </c>
      <c r="BG2551" s="3" t="s">
        <v>25854</v>
      </c>
      <c r="BH2551">
        <f t="shared" si="61"/>
        <v>0</v>
      </c>
    </row>
    <row r="2552" spans="1:60" ht="58" x14ac:dyDescent="0.35">
      <c r="A2552" s="2" t="s">
        <v>59</v>
      </c>
      <c r="B2552" s="2" t="s">
        <v>60</v>
      </c>
      <c r="C2552" s="2" t="s">
        <v>25855</v>
      </c>
      <c r="D2552" s="2" t="s">
        <v>25856</v>
      </c>
      <c r="E2552" s="2" t="s">
        <v>25857</v>
      </c>
      <c r="G2552" s="3" t="s">
        <v>64</v>
      </c>
      <c r="I2552" s="3" t="s">
        <v>64</v>
      </c>
      <c r="J2552" s="3" t="s">
        <v>64</v>
      </c>
      <c r="K2552" s="3" t="s">
        <v>65</v>
      </c>
      <c r="L2552" s="2" t="s">
        <v>25858</v>
      </c>
      <c r="M2552" s="2" t="s">
        <v>25859</v>
      </c>
      <c r="N2552" s="3" t="s">
        <v>537</v>
      </c>
      <c r="P2552" s="3" t="s">
        <v>102</v>
      </c>
      <c r="R2552" s="3" t="s">
        <v>70</v>
      </c>
      <c r="S2552" s="4">
        <v>0</v>
      </c>
      <c r="T2552" s="4">
        <v>0</v>
      </c>
      <c r="W2552" s="5" t="s">
        <v>72</v>
      </c>
      <c r="X2552" s="5" t="s">
        <v>72</v>
      </c>
      <c r="Y2552" s="4">
        <v>32</v>
      </c>
      <c r="Z2552" s="4">
        <v>3</v>
      </c>
      <c r="AA2552" s="4">
        <v>3</v>
      </c>
      <c r="AB2552" s="4">
        <v>1</v>
      </c>
      <c r="AC2552" s="4">
        <v>1</v>
      </c>
      <c r="AD2552" s="4">
        <v>13</v>
      </c>
      <c r="AE2552" s="4">
        <v>13</v>
      </c>
      <c r="AF2552" s="4">
        <v>0</v>
      </c>
      <c r="AG2552" s="4">
        <v>0</v>
      </c>
      <c r="AH2552" s="4">
        <v>12</v>
      </c>
      <c r="AI2552" s="4">
        <v>12</v>
      </c>
      <c r="AJ2552" s="4">
        <v>2</v>
      </c>
      <c r="AK2552" s="4">
        <v>2</v>
      </c>
      <c r="AL2552" s="4">
        <v>4</v>
      </c>
      <c r="AM2552" s="4">
        <v>4</v>
      </c>
      <c r="AN2552" s="4">
        <v>0</v>
      </c>
      <c r="AO2552" s="4">
        <v>0</v>
      </c>
      <c r="AP2552" s="4">
        <v>2</v>
      </c>
      <c r="AQ2552" s="4">
        <v>2</v>
      </c>
      <c r="AR2552" s="3" t="s">
        <v>64</v>
      </c>
      <c r="AS2552" s="3" t="s">
        <v>64</v>
      </c>
      <c r="AT2552" s="3" t="s">
        <v>64</v>
      </c>
      <c r="AV2552" s="6" t="str">
        <f>HYPERLINK("http://mcgill.on.worldcat.org/oclc/949911758","Catalog Record")</f>
        <v>Catalog Record</v>
      </c>
      <c r="AW2552" s="6" t="str">
        <f>HYPERLINK("http://www.worldcat.org/oclc/949911758","WorldCat Record")</f>
        <v>WorldCat Record</v>
      </c>
      <c r="AX2552" s="3" t="s">
        <v>25860</v>
      </c>
      <c r="AY2552" s="3" t="s">
        <v>25861</v>
      </c>
      <c r="AZ2552" s="3" t="s">
        <v>25862</v>
      </c>
      <c r="BA2552" s="3" t="s">
        <v>25862</v>
      </c>
      <c r="BB2552" s="3" t="s">
        <v>25863</v>
      </c>
      <c r="BC2552" s="3" t="s">
        <v>77</v>
      </c>
      <c r="BD2552" s="3" t="s">
        <v>78</v>
      </c>
      <c r="BE2552" s="3" t="s">
        <v>25864</v>
      </c>
      <c r="BF2552" s="3" t="s">
        <v>25863</v>
      </c>
      <c r="BG2552" s="3" t="s">
        <v>25865</v>
      </c>
      <c r="BH2552">
        <f t="shared" si="61"/>
        <v>0</v>
      </c>
    </row>
    <row r="2553" spans="1:60" ht="58" x14ac:dyDescent="0.35">
      <c r="A2553" s="2" t="s">
        <v>59</v>
      </c>
      <c r="B2553" s="2" t="s">
        <v>60</v>
      </c>
      <c r="C2553" s="2" t="s">
        <v>25866</v>
      </c>
      <c r="D2553" s="2" t="s">
        <v>25867</v>
      </c>
      <c r="E2553" s="2" t="s">
        <v>25868</v>
      </c>
      <c r="G2553" s="3" t="s">
        <v>64</v>
      </c>
      <c r="I2553" s="3" t="s">
        <v>128</v>
      </c>
      <c r="J2553" s="3" t="s">
        <v>64</v>
      </c>
      <c r="K2553" s="3" t="s">
        <v>65</v>
      </c>
      <c r="L2553" s="2" t="s">
        <v>25869</v>
      </c>
      <c r="M2553" s="2" t="s">
        <v>25870</v>
      </c>
      <c r="N2553" s="3" t="s">
        <v>511</v>
      </c>
      <c r="P2553" s="3" t="s">
        <v>102</v>
      </c>
      <c r="R2553" s="3" t="s">
        <v>70</v>
      </c>
      <c r="S2553" s="4">
        <v>23</v>
      </c>
      <c r="T2553" s="4">
        <v>24</v>
      </c>
      <c r="U2553" s="5" t="s">
        <v>25871</v>
      </c>
      <c r="V2553" s="5" t="s">
        <v>14294</v>
      </c>
      <c r="W2553" s="5" t="s">
        <v>72</v>
      </c>
      <c r="X2553" s="5" t="s">
        <v>72</v>
      </c>
      <c r="Y2553" s="4">
        <v>332</v>
      </c>
      <c r="Z2553" s="4">
        <v>19</v>
      </c>
      <c r="AA2553" s="4">
        <v>45</v>
      </c>
      <c r="AB2553" s="4">
        <v>1</v>
      </c>
      <c r="AC2553" s="4">
        <v>6</v>
      </c>
      <c r="AD2553" s="4">
        <v>44</v>
      </c>
      <c r="AE2553" s="4">
        <v>50</v>
      </c>
      <c r="AF2553" s="4">
        <v>0</v>
      </c>
      <c r="AG2553" s="4">
        <v>0</v>
      </c>
      <c r="AH2553" s="4">
        <v>38</v>
      </c>
      <c r="AI2553" s="4">
        <v>43</v>
      </c>
      <c r="AJ2553" s="4">
        <v>6</v>
      </c>
      <c r="AK2553" s="4">
        <v>6</v>
      </c>
      <c r="AL2553" s="4">
        <v>21</v>
      </c>
      <c r="AM2553" s="4">
        <v>22</v>
      </c>
      <c r="AN2553" s="4">
        <v>0</v>
      </c>
      <c r="AO2553" s="4">
        <v>0</v>
      </c>
      <c r="AP2553" s="4">
        <v>9</v>
      </c>
      <c r="AQ2553" s="4">
        <v>10</v>
      </c>
      <c r="AR2553" s="3" t="s">
        <v>64</v>
      </c>
      <c r="AS2553" s="3" t="s">
        <v>64</v>
      </c>
      <c r="AT2553" s="3" t="s">
        <v>64</v>
      </c>
      <c r="AV2553" s="6" t="str">
        <f>HYPERLINK("http://mcgill.on.worldcat.org/oclc/606787468","Catalog Record")</f>
        <v>Catalog Record</v>
      </c>
      <c r="AW2553" s="6" t="str">
        <f>HYPERLINK("http://www.worldcat.org/oclc/606787468","WorldCat Record")</f>
        <v>WorldCat Record</v>
      </c>
      <c r="AX2553" s="3" t="s">
        <v>25872</v>
      </c>
      <c r="AY2553" s="3" t="s">
        <v>25873</v>
      </c>
      <c r="AZ2553" s="3" t="s">
        <v>25874</v>
      </c>
      <c r="BA2553" s="3" t="s">
        <v>25874</v>
      </c>
      <c r="BB2553" s="3" t="s">
        <v>25875</v>
      </c>
      <c r="BC2553" s="3" t="s">
        <v>77</v>
      </c>
      <c r="BD2553" s="3" t="s">
        <v>78</v>
      </c>
      <c r="BE2553" s="3" t="s">
        <v>25876</v>
      </c>
      <c r="BF2553" s="3" t="s">
        <v>25875</v>
      </c>
      <c r="BG2553" s="3" t="s">
        <v>25877</v>
      </c>
      <c r="BH2553">
        <f t="shared" si="61"/>
        <v>0</v>
      </c>
    </row>
    <row r="2554" spans="1:60" ht="58" x14ac:dyDescent="0.35">
      <c r="A2554" s="2" t="s">
        <v>59</v>
      </c>
      <c r="B2554" s="2" t="s">
        <v>60</v>
      </c>
      <c r="C2554" s="2" t="s">
        <v>25866</v>
      </c>
      <c r="D2554" s="2" t="s">
        <v>25867</v>
      </c>
      <c r="E2554" s="2" t="s">
        <v>25868</v>
      </c>
      <c r="G2554" s="3" t="s">
        <v>64</v>
      </c>
      <c r="I2554" s="3" t="s">
        <v>128</v>
      </c>
      <c r="J2554" s="3" t="s">
        <v>64</v>
      </c>
      <c r="K2554" s="3" t="s">
        <v>65</v>
      </c>
      <c r="L2554" s="2" t="s">
        <v>25869</v>
      </c>
      <c r="M2554" s="2" t="s">
        <v>25870</v>
      </c>
      <c r="N2554" s="3" t="s">
        <v>511</v>
      </c>
      <c r="P2554" s="3" t="s">
        <v>102</v>
      </c>
      <c r="R2554" s="3" t="s">
        <v>70</v>
      </c>
      <c r="S2554" s="4">
        <v>1</v>
      </c>
      <c r="T2554" s="4">
        <v>24</v>
      </c>
      <c r="U2554" s="5" t="s">
        <v>14294</v>
      </c>
      <c r="V2554" s="5" t="s">
        <v>14294</v>
      </c>
      <c r="W2554" s="5" t="s">
        <v>72</v>
      </c>
      <c r="X2554" s="5" t="s">
        <v>72</v>
      </c>
      <c r="Y2554" s="4">
        <v>332</v>
      </c>
      <c r="Z2554" s="4">
        <v>19</v>
      </c>
      <c r="AA2554" s="4">
        <v>45</v>
      </c>
      <c r="AB2554" s="4">
        <v>1</v>
      </c>
      <c r="AC2554" s="4">
        <v>6</v>
      </c>
      <c r="AD2554" s="4">
        <v>44</v>
      </c>
      <c r="AE2554" s="4">
        <v>50</v>
      </c>
      <c r="AF2554" s="4">
        <v>0</v>
      </c>
      <c r="AG2554" s="4">
        <v>0</v>
      </c>
      <c r="AH2554" s="4">
        <v>38</v>
      </c>
      <c r="AI2554" s="4">
        <v>43</v>
      </c>
      <c r="AJ2554" s="4">
        <v>6</v>
      </c>
      <c r="AK2554" s="4">
        <v>6</v>
      </c>
      <c r="AL2554" s="4">
        <v>21</v>
      </c>
      <c r="AM2554" s="4">
        <v>22</v>
      </c>
      <c r="AN2554" s="4">
        <v>0</v>
      </c>
      <c r="AO2554" s="4">
        <v>0</v>
      </c>
      <c r="AP2554" s="4">
        <v>9</v>
      </c>
      <c r="AQ2554" s="4">
        <v>10</v>
      </c>
      <c r="AR2554" s="3" t="s">
        <v>64</v>
      </c>
      <c r="AS2554" s="3" t="s">
        <v>64</v>
      </c>
      <c r="AT2554" s="3" t="s">
        <v>64</v>
      </c>
      <c r="AV2554" s="6" t="str">
        <f>HYPERLINK("http://mcgill.on.worldcat.org/oclc/606787468","Catalog Record")</f>
        <v>Catalog Record</v>
      </c>
      <c r="AW2554" s="6" t="str">
        <f>HYPERLINK("http://www.worldcat.org/oclc/606787468","WorldCat Record")</f>
        <v>WorldCat Record</v>
      </c>
      <c r="AX2554" s="3" t="s">
        <v>25872</v>
      </c>
      <c r="AY2554" s="3" t="s">
        <v>25873</v>
      </c>
      <c r="AZ2554" s="3" t="s">
        <v>25874</v>
      </c>
      <c r="BA2554" s="3" t="s">
        <v>25874</v>
      </c>
      <c r="BB2554" s="3" t="s">
        <v>25878</v>
      </c>
      <c r="BC2554" s="3" t="s">
        <v>77</v>
      </c>
      <c r="BD2554" s="3" t="s">
        <v>78</v>
      </c>
      <c r="BE2554" s="3" t="s">
        <v>25876</v>
      </c>
      <c r="BF2554" s="3" t="s">
        <v>25878</v>
      </c>
      <c r="BG2554" s="3" t="s">
        <v>25879</v>
      </c>
      <c r="BH2554">
        <f t="shared" si="61"/>
        <v>0</v>
      </c>
    </row>
    <row r="2555" spans="1:60" ht="58" x14ac:dyDescent="0.35">
      <c r="A2555" s="2" t="s">
        <v>59</v>
      </c>
      <c r="B2555" s="2" t="s">
        <v>60</v>
      </c>
      <c r="C2555" s="2" t="s">
        <v>25880</v>
      </c>
      <c r="D2555" s="2" t="s">
        <v>25881</v>
      </c>
      <c r="E2555" s="2" t="s">
        <v>25882</v>
      </c>
      <c r="G2555" s="3" t="s">
        <v>64</v>
      </c>
      <c r="I2555" s="3" t="s">
        <v>64</v>
      </c>
      <c r="J2555" s="3" t="s">
        <v>64</v>
      </c>
      <c r="K2555" s="3" t="s">
        <v>65</v>
      </c>
      <c r="L2555" s="2" t="s">
        <v>25883</v>
      </c>
      <c r="M2555" s="2" t="s">
        <v>9037</v>
      </c>
      <c r="N2555" s="3" t="s">
        <v>1075</v>
      </c>
      <c r="P2555" s="3" t="s">
        <v>102</v>
      </c>
      <c r="R2555" s="3" t="s">
        <v>70</v>
      </c>
      <c r="S2555" s="4">
        <v>3</v>
      </c>
      <c r="T2555" s="4">
        <v>3</v>
      </c>
      <c r="U2555" s="5" t="s">
        <v>8822</v>
      </c>
      <c r="V2555" s="5" t="s">
        <v>8822</v>
      </c>
      <c r="W2555" s="5" t="s">
        <v>72</v>
      </c>
      <c r="X2555" s="5" t="s">
        <v>72</v>
      </c>
      <c r="Y2555" s="4">
        <v>79</v>
      </c>
      <c r="Z2555" s="4">
        <v>9</v>
      </c>
      <c r="AA2555" s="4">
        <v>122</v>
      </c>
      <c r="AB2555" s="4">
        <v>3</v>
      </c>
      <c r="AC2555" s="4">
        <v>17</v>
      </c>
      <c r="AD2555" s="4">
        <v>6</v>
      </c>
      <c r="AE2555" s="4">
        <v>141</v>
      </c>
      <c r="AF2555" s="4">
        <v>1</v>
      </c>
      <c r="AG2555" s="4">
        <v>9</v>
      </c>
      <c r="AH2555" s="4">
        <v>3</v>
      </c>
      <c r="AI2555" s="4">
        <v>99</v>
      </c>
      <c r="AJ2555" s="4">
        <v>4</v>
      </c>
      <c r="AK2555" s="4">
        <v>26</v>
      </c>
      <c r="AL2555" s="4">
        <v>0</v>
      </c>
      <c r="AM2555" s="4">
        <v>51</v>
      </c>
      <c r="AN2555" s="4">
        <v>0</v>
      </c>
      <c r="AO2555" s="4">
        <v>0</v>
      </c>
      <c r="AP2555" s="4">
        <v>5</v>
      </c>
      <c r="AQ2555" s="4">
        <v>49</v>
      </c>
      <c r="AR2555" s="3" t="s">
        <v>64</v>
      </c>
      <c r="AS2555" s="3" t="s">
        <v>64</v>
      </c>
      <c r="AT2555" s="3" t="s">
        <v>64</v>
      </c>
      <c r="AV2555" s="6" t="str">
        <f>HYPERLINK("http://mcgill.on.worldcat.org/oclc/828418561","Catalog Record")</f>
        <v>Catalog Record</v>
      </c>
      <c r="AW2555" s="6" t="str">
        <f>HYPERLINK("http://www.worldcat.org/oclc/828418561","WorldCat Record")</f>
        <v>WorldCat Record</v>
      </c>
      <c r="AX2555" s="3" t="s">
        <v>25884</v>
      </c>
      <c r="AY2555" s="3" t="s">
        <v>25885</v>
      </c>
      <c r="AZ2555" s="3" t="s">
        <v>25886</v>
      </c>
      <c r="BA2555" s="3" t="s">
        <v>25886</v>
      </c>
      <c r="BB2555" s="3" t="s">
        <v>25887</v>
      </c>
      <c r="BC2555" s="3" t="s">
        <v>77</v>
      </c>
      <c r="BD2555" s="3" t="s">
        <v>78</v>
      </c>
      <c r="BE2555" s="3" t="s">
        <v>25888</v>
      </c>
      <c r="BF2555" s="3" t="s">
        <v>25887</v>
      </c>
      <c r="BG2555" s="3" t="s">
        <v>25889</v>
      </c>
      <c r="BH2555">
        <f t="shared" si="61"/>
        <v>0</v>
      </c>
    </row>
    <row r="2556" spans="1:60" ht="58" x14ac:dyDescent="0.35">
      <c r="A2556" s="2" t="s">
        <v>59</v>
      </c>
      <c r="B2556" s="2" t="s">
        <v>60</v>
      </c>
      <c r="C2556" s="2" t="s">
        <v>25890</v>
      </c>
      <c r="D2556" s="2" t="s">
        <v>25891</v>
      </c>
      <c r="E2556" s="2" t="s">
        <v>25892</v>
      </c>
      <c r="G2556" s="3" t="s">
        <v>64</v>
      </c>
      <c r="I2556" s="3" t="s">
        <v>128</v>
      </c>
      <c r="J2556" s="3" t="s">
        <v>64</v>
      </c>
      <c r="K2556" s="3" t="s">
        <v>65</v>
      </c>
      <c r="L2556" s="2" t="s">
        <v>15157</v>
      </c>
      <c r="M2556" s="2" t="s">
        <v>16911</v>
      </c>
      <c r="N2556" s="3" t="s">
        <v>1075</v>
      </c>
      <c r="P2556" s="3" t="s">
        <v>102</v>
      </c>
      <c r="R2556" s="3" t="s">
        <v>70</v>
      </c>
      <c r="S2556" s="4">
        <v>6</v>
      </c>
      <c r="T2556" s="4">
        <v>24</v>
      </c>
      <c r="U2556" s="5" t="s">
        <v>14294</v>
      </c>
      <c r="V2556" s="5" t="s">
        <v>14294</v>
      </c>
      <c r="W2556" s="5" t="s">
        <v>72</v>
      </c>
      <c r="X2556" s="5" t="s">
        <v>20937</v>
      </c>
      <c r="Y2556" s="4">
        <v>1016</v>
      </c>
      <c r="Z2556" s="4">
        <v>43</v>
      </c>
      <c r="AA2556" s="4">
        <v>61</v>
      </c>
      <c r="AB2556" s="4">
        <v>1</v>
      </c>
      <c r="AC2556" s="4">
        <v>11</v>
      </c>
      <c r="AD2556" s="4">
        <v>106</v>
      </c>
      <c r="AE2556" s="4">
        <v>118</v>
      </c>
      <c r="AF2556" s="4">
        <v>0</v>
      </c>
      <c r="AG2556" s="4">
        <v>6</v>
      </c>
      <c r="AH2556" s="4">
        <v>89</v>
      </c>
      <c r="AI2556" s="4">
        <v>91</v>
      </c>
      <c r="AJ2556" s="4">
        <v>14</v>
      </c>
      <c r="AK2556" s="4">
        <v>19</v>
      </c>
      <c r="AL2556" s="4">
        <v>43</v>
      </c>
      <c r="AM2556" s="4">
        <v>44</v>
      </c>
      <c r="AN2556" s="4">
        <v>0</v>
      </c>
      <c r="AO2556" s="4">
        <v>0</v>
      </c>
      <c r="AP2556" s="4">
        <v>21</v>
      </c>
      <c r="AQ2556" s="4">
        <v>31</v>
      </c>
      <c r="AR2556" s="3" t="s">
        <v>64</v>
      </c>
      <c r="AS2556" s="3" t="s">
        <v>64</v>
      </c>
      <c r="AT2556" s="3" t="s">
        <v>64</v>
      </c>
      <c r="AV2556" s="6" t="str">
        <f>HYPERLINK("http://mcgill.on.worldcat.org/oclc/780483684","Catalog Record")</f>
        <v>Catalog Record</v>
      </c>
      <c r="AW2556" s="6" t="str">
        <f>HYPERLINK("http://www.worldcat.org/oclc/780483684","WorldCat Record")</f>
        <v>WorldCat Record</v>
      </c>
      <c r="AX2556" s="3" t="s">
        <v>25893</v>
      </c>
      <c r="AY2556" s="3" t="s">
        <v>25894</v>
      </c>
      <c r="AZ2556" s="3" t="s">
        <v>25895</v>
      </c>
      <c r="BA2556" s="3" t="s">
        <v>25895</v>
      </c>
      <c r="BB2556" s="3" t="s">
        <v>25896</v>
      </c>
      <c r="BC2556" s="3" t="s">
        <v>77</v>
      </c>
      <c r="BD2556" s="3" t="s">
        <v>78</v>
      </c>
      <c r="BE2556" s="3" t="s">
        <v>25897</v>
      </c>
      <c r="BF2556" s="3" t="s">
        <v>25896</v>
      </c>
      <c r="BG2556" s="3" t="s">
        <v>25898</v>
      </c>
      <c r="BH2556">
        <f t="shared" si="61"/>
        <v>0</v>
      </c>
    </row>
    <row r="2557" spans="1:60" ht="58" x14ac:dyDescent="0.35">
      <c r="A2557" s="2" t="s">
        <v>59</v>
      </c>
      <c r="B2557" s="2" t="s">
        <v>60</v>
      </c>
      <c r="C2557" s="2" t="s">
        <v>25890</v>
      </c>
      <c r="D2557" s="2" t="s">
        <v>25891</v>
      </c>
      <c r="E2557" s="2" t="s">
        <v>25892</v>
      </c>
      <c r="G2557" s="3" t="s">
        <v>64</v>
      </c>
      <c r="I2557" s="3" t="s">
        <v>128</v>
      </c>
      <c r="J2557" s="3" t="s">
        <v>64</v>
      </c>
      <c r="K2557" s="3" t="s">
        <v>65</v>
      </c>
      <c r="L2557" s="2" t="s">
        <v>15157</v>
      </c>
      <c r="M2557" s="2" t="s">
        <v>16911</v>
      </c>
      <c r="N2557" s="3" t="s">
        <v>1075</v>
      </c>
      <c r="P2557" s="3" t="s">
        <v>102</v>
      </c>
      <c r="R2557" s="3" t="s">
        <v>70</v>
      </c>
      <c r="S2557" s="4">
        <v>2</v>
      </c>
      <c r="T2557" s="4">
        <v>24</v>
      </c>
      <c r="U2557" s="5" t="s">
        <v>4433</v>
      </c>
      <c r="V2557" s="5" t="s">
        <v>14294</v>
      </c>
      <c r="W2557" s="5" t="s">
        <v>72</v>
      </c>
      <c r="X2557" s="5" t="s">
        <v>20937</v>
      </c>
      <c r="Y2557" s="4">
        <v>1016</v>
      </c>
      <c r="Z2557" s="4">
        <v>43</v>
      </c>
      <c r="AA2557" s="4">
        <v>61</v>
      </c>
      <c r="AB2557" s="4">
        <v>1</v>
      </c>
      <c r="AC2557" s="4">
        <v>11</v>
      </c>
      <c r="AD2557" s="4">
        <v>106</v>
      </c>
      <c r="AE2557" s="4">
        <v>118</v>
      </c>
      <c r="AF2557" s="4">
        <v>0</v>
      </c>
      <c r="AG2557" s="4">
        <v>6</v>
      </c>
      <c r="AH2557" s="4">
        <v>89</v>
      </c>
      <c r="AI2557" s="4">
        <v>91</v>
      </c>
      <c r="AJ2557" s="4">
        <v>14</v>
      </c>
      <c r="AK2557" s="4">
        <v>19</v>
      </c>
      <c r="AL2557" s="4">
        <v>43</v>
      </c>
      <c r="AM2557" s="4">
        <v>44</v>
      </c>
      <c r="AN2557" s="4">
        <v>0</v>
      </c>
      <c r="AO2557" s="4">
        <v>0</v>
      </c>
      <c r="AP2557" s="4">
        <v>21</v>
      </c>
      <c r="AQ2557" s="4">
        <v>31</v>
      </c>
      <c r="AR2557" s="3" t="s">
        <v>64</v>
      </c>
      <c r="AS2557" s="3" t="s">
        <v>64</v>
      </c>
      <c r="AT2557" s="3" t="s">
        <v>64</v>
      </c>
      <c r="AV2557" s="6" t="str">
        <f>HYPERLINK("http://mcgill.on.worldcat.org/oclc/780483684","Catalog Record")</f>
        <v>Catalog Record</v>
      </c>
      <c r="AW2557" s="6" t="str">
        <f>HYPERLINK("http://www.worldcat.org/oclc/780483684","WorldCat Record")</f>
        <v>WorldCat Record</v>
      </c>
      <c r="AX2557" s="3" t="s">
        <v>25893</v>
      </c>
      <c r="AY2557" s="3" t="s">
        <v>25894</v>
      </c>
      <c r="AZ2557" s="3" t="s">
        <v>25895</v>
      </c>
      <c r="BA2557" s="3" t="s">
        <v>25895</v>
      </c>
      <c r="BB2557" s="3" t="s">
        <v>25899</v>
      </c>
      <c r="BC2557" s="3" t="s">
        <v>77</v>
      </c>
      <c r="BD2557" s="3" t="s">
        <v>78</v>
      </c>
      <c r="BE2557" s="3" t="s">
        <v>25897</v>
      </c>
      <c r="BF2557" s="3" t="s">
        <v>25899</v>
      </c>
      <c r="BG2557" s="3" t="s">
        <v>25900</v>
      </c>
      <c r="BH2557">
        <f t="shared" si="61"/>
        <v>0</v>
      </c>
    </row>
    <row r="2558" spans="1:60" ht="58" x14ac:dyDescent="0.35">
      <c r="A2558" s="2" t="s">
        <v>59</v>
      </c>
      <c r="B2558" s="2" t="s">
        <v>60</v>
      </c>
      <c r="C2558" s="2" t="s">
        <v>25890</v>
      </c>
      <c r="D2558" s="2" t="s">
        <v>25891</v>
      </c>
      <c r="E2558" s="2" t="s">
        <v>25892</v>
      </c>
      <c r="G2558" s="3" t="s">
        <v>64</v>
      </c>
      <c r="I2558" s="3" t="s">
        <v>128</v>
      </c>
      <c r="J2558" s="3" t="s">
        <v>64</v>
      </c>
      <c r="K2558" s="3" t="s">
        <v>65</v>
      </c>
      <c r="L2558" s="2" t="s">
        <v>15157</v>
      </c>
      <c r="M2558" s="2" t="s">
        <v>16911</v>
      </c>
      <c r="N2558" s="3" t="s">
        <v>1075</v>
      </c>
      <c r="P2558" s="3" t="s">
        <v>102</v>
      </c>
      <c r="R2558" s="3" t="s">
        <v>70</v>
      </c>
      <c r="S2558" s="4">
        <v>16</v>
      </c>
      <c r="T2558" s="4">
        <v>24</v>
      </c>
      <c r="U2558" s="5" t="s">
        <v>11093</v>
      </c>
      <c r="V2558" s="5" t="s">
        <v>14294</v>
      </c>
      <c r="W2558" s="5" t="s">
        <v>72</v>
      </c>
      <c r="X2558" s="5" t="s">
        <v>20937</v>
      </c>
      <c r="Y2558" s="4">
        <v>1016</v>
      </c>
      <c r="Z2558" s="4">
        <v>43</v>
      </c>
      <c r="AA2558" s="4">
        <v>61</v>
      </c>
      <c r="AB2558" s="4">
        <v>1</v>
      </c>
      <c r="AC2558" s="4">
        <v>11</v>
      </c>
      <c r="AD2558" s="4">
        <v>106</v>
      </c>
      <c r="AE2558" s="4">
        <v>118</v>
      </c>
      <c r="AF2558" s="4">
        <v>0</v>
      </c>
      <c r="AG2558" s="4">
        <v>6</v>
      </c>
      <c r="AH2558" s="4">
        <v>89</v>
      </c>
      <c r="AI2558" s="4">
        <v>91</v>
      </c>
      <c r="AJ2558" s="4">
        <v>14</v>
      </c>
      <c r="AK2558" s="4">
        <v>19</v>
      </c>
      <c r="AL2558" s="4">
        <v>43</v>
      </c>
      <c r="AM2558" s="4">
        <v>44</v>
      </c>
      <c r="AN2558" s="4">
        <v>0</v>
      </c>
      <c r="AO2558" s="4">
        <v>0</v>
      </c>
      <c r="AP2558" s="4">
        <v>21</v>
      </c>
      <c r="AQ2558" s="4">
        <v>31</v>
      </c>
      <c r="AR2558" s="3" t="s">
        <v>64</v>
      </c>
      <c r="AS2558" s="3" t="s">
        <v>64</v>
      </c>
      <c r="AT2558" s="3" t="s">
        <v>64</v>
      </c>
      <c r="AV2558" s="6" t="str">
        <f>HYPERLINK("http://mcgill.on.worldcat.org/oclc/780483684","Catalog Record")</f>
        <v>Catalog Record</v>
      </c>
      <c r="AW2558" s="6" t="str">
        <f>HYPERLINK("http://www.worldcat.org/oclc/780483684","WorldCat Record")</f>
        <v>WorldCat Record</v>
      </c>
      <c r="AX2558" s="3" t="s">
        <v>25893</v>
      </c>
      <c r="AY2558" s="3" t="s">
        <v>25894</v>
      </c>
      <c r="AZ2558" s="3" t="s">
        <v>25895</v>
      </c>
      <c r="BA2558" s="3" t="s">
        <v>25895</v>
      </c>
      <c r="BB2558" s="3" t="s">
        <v>25901</v>
      </c>
      <c r="BC2558" s="3" t="s">
        <v>77</v>
      </c>
      <c r="BD2558" s="3" t="s">
        <v>78</v>
      </c>
      <c r="BE2558" s="3" t="s">
        <v>25897</v>
      </c>
      <c r="BF2558" s="3" t="s">
        <v>25901</v>
      </c>
      <c r="BG2558" s="3" t="s">
        <v>25902</v>
      </c>
      <c r="BH2558">
        <f t="shared" si="61"/>
        <v>0</v>
      </c>
    </row>
    <row r="2559" spans="1:60" ht="58" x14ac:dyDescent="0.35">
      <c r="A2559" s="2" t="s">
        <v>59</v>
      </c>
      <c r="B2559" s="2" t="s">
        <v>60</v>
      </c>
      <c r="C2559" s="2" t="s">
        <v>25903</v>
      </c>
      <c r="D2559" s="2" t="s">
        <v>25904</v>
      </c>
      <c r="E2559" s="2" t="s">
        <v>25905</v>
      </c>
      <c r="G2559" s="3" t="s">
        <v>64</v>
      </c>
      <c r="I2559" s="3" t="s">
        <v>128</v>
      </c>
      <c r="J2559" s="3" t="s">
        <v>64</v>
      </c>
      <c r="K2559" s="3" t="s">
        <v>65</v>
      </c>
      <c r="L2559" s="2" t="s">
        <v>25906</v>
      </c>
      <c r="M2559" s="2" t="s">
        <v>14235</v>
      </c>
      <c r="N2559" s="3" t="s">
        <v>511</v>
      </c>
      <c r="P2559" s="3" t="s">
        <v>102</v>
      </c>
      <c r="Q2559" s="2" t="s">
        <v>25907</v>
      </c>
      <c r="R2559" s="3" t="s">
        <v>70</v>
      </c>
      <c r="S2559" s="4">
        <v>36</v>
      </c>
      <c r="T2559" s="4">
        <v>65</v>
      </c>
      <c r="U2559" s="5" t="s">
        <v>14663</v>
      </c>
      <c r="V2559" s="5" t="s">
        <v>15675</v>
      </c>
      <c r="W2559" s="5" t="s">
        <v>72</v>
      </c>
      <c r="X2559" s="5" t="s">
        <v>20937</v>
      </c>
      <c r="Y2559" s="4">
        <v>1511</v>
      </c>
      <c r="Z2559" s="4">
        <v>71</v>
      </c>
      <c r="AA2559" s="4">
        <v>154</v>
      </c>
      <c r="AB2559" s="4">
        <v>4</v>
      </c>
      <c r="AC2559" s="4">
        <v>22</v>
      </c>
      <c r="AD2559" s="4">
        <v>117</v>
      </c>
      <c r="AE2559" s="4">
        <v>162</v>
      </c>
      <c r="AF2559" s="4">
        <v>1</v>
      </c>
      <c r="AG2559" s="4">
        <v>9</v>
      </c>
      <c r="AH2559" s="4">
        <v>97</v>
      </c>
      <c r="AI2559" s="4">
        <v>116</v>
      </c>
      <c r="AJ2559" s="4">
        <v>15</v>
      </c>
      <c r="AK2559" s="4">
        <v>28</v>
      </c>
      <c r="AL2559" s="4">
        <v>53</v>
      </c>
      <c r="AM2559" s="4">
        <v>62</v>
      </c>
      <c r="AN2559" s="4">
        <v>0</v>
      </c>
      <c r="AO2559" s="4">
        <v>0</v>
      </c>
      <c r="AP2559" s="4">
        <v>21</v>
      </c>
      <c r="AQ2559" s="4">
        <v>51</v>
      </c>
      <c r="AR2559" s="3" t="s">
        <v>64</v>
      </c>
      <c r="AS2559" s="3" t="s">
        <v>64</v>
      </c>
      <c r="AT2559" s="3" t="s">
        <v>64</v>
      </c>
      <c r="AV2559" s="6" t="str">
        <f>HYPERLINK("http://mcgill.on.worldcat.org/oclc/528423491","Catalog Record")</f>
        <v>Catalog Record</v>
      </c>
      <c r="AW2559" s="6" t="str">
        <f>HYPERLINK("http://www.worldcat.org/oclc/528423491","WorldCat Record")</f>
        <v>WorldCat Record</v>
      </c>
      <c r="AX2559" s="3" t="s">
        <v>25908</v>
      </c>
      <c r="AY2559" s="3" t="s">
        <v>25909</v>
      </c>
      <c r="AZ2559" s="3" t="s">
        <v>25910</v>
      </c>
      <c r="BA2559" s="3" t="s">
        <v>25910</v>
      </c>
      <c r="BB2559" s="3" t="s">
        <v>25911</v>
      </c>
      <c r="BC2559" s="3" t="s">
        <v>77</v>
      </c>
      <c r="BD2559" s="3" t="s">
        <v>78</v>
      </c>
      <c r="BE2559" s="3" t="s">
        <v>25912</v>
      </c>
      <c r="BF2559" s="3" t="s">
        <v>25911</v>
      </c>
      <c r="BG2559" s="3" t="s">
        <v>25913</v>
      </c>
      <c r="BH2559">
        <f t="shared" si="61"/>
        <v>0</v>
      </c>
    </row>
    <row r="2560" spans="1:60" ht="58" x14ac:dyDescent="0.35">
      <c r="A2560" s="2" t="s">
        <v>59</v>
      </c>
      <c r="B2560" s="2" t="s">
        <v>60</v>
      </c>
      <c r="C2560" s="2" t="s">
        <v>25903</v>
      </c>
      <c r="D2560" s="2" t="s">
        <v>25904</v>
      </c>
      <c r="E2560" s="2" t="s">
        <v>25905</v>
      </c>
      <c r="G2560" s="3" t="s">
        <v>64</v>
      </c>
      <c r="I2560" s="3" t="s">
        <v>128</v>
      </c>
      <c r="J2560" s="3" t="s">
        <v>64</v>
      </c>
      <c r="K2560" s="3" t="s">
        <v>65</v>
      </c>
      <c r="L2560" s="2" t="s">
        <v>25906</v>
      </c>
      <c r="M2560" s="2" t="s">
        <v>14235</v>
      </c>
      <c r="N2560" s="3" t="s">
        <v>511</v>
      </c>
      <c r="P2560" s="3" t="s">
        <v>102</v>
      </c>
      <c r="Q2560" s="2" t="s">
        <v>25907</v>
      </c>
      <c r="R2560" s="3" t="s">
        <v>70</v>
      </c>
      <c r="S2560" s="4">
        <v>27</v>
      </c>
      <c r="T2560" s="4">
        <v>65</v>
      </c>
      <c r="U2560" s="5" t="s">
        <v>15675</v>
      </c>
      <c r="V2560" s="5" t="s">
        <v>15675</v>
      </c>
      <c r="W2560" s="5" t="s">
        <v>72</v>
      </c>
      <c r="X2560" s="5" t="s">
        <v>20937</v>
      </c>
      <c r="Y2560" s="4">
        <v>1511</v>
      </c>
      <c r="Z2560" s="4">
        <v>71</v>
      </c>
      <c r="AA2560" s="4">
        <v>154</v>
      </c>
      <c r="AB2560" s="4">
        <v>4</v>
      </c>
      <c r="AC2560" s="4">
        <v>22</v>
      </c>
      <c r="AD2560" s="4">
        <v>117</v>
      </c>
      <c r="AE2560" s="4">
        <v>162</v>
      </c>
      <c r="AF2560" s="4">
        <v>1</v>
      </c>
      <c r="AG2560" s="4">
        <v>9</v>
      </c>
      <c r="AH2560" s="4">
        <v>97</v>
      </c>
      <c r="AI2560" s="4">
        <v>116</v>
      </c>
      <c r="AJ2560" s="4">
        <v>15</v>
      </c>
      <c r="AK2560" s="4">
        <v>28</v>
      </c>
      <c r="AL2560" s="4">
        <v>53</v>
      </c>
      <c r="AM2560" s="4">
        <v>62</v>
      </c>
      <c r="AN2560" s="4">
        <v>0</v>
      </c>
      <c r="AO2560" s="4">
        <v>0</v>
      </c>
      <c r="AP2560" s="4">
        <v>21</v>
      </c>
      <c r="AQ2560" s="4">
        <v>51</v>
      </c>
      <c r="AR2560" s="3" t="s">
        <v>64</v>
      </c>
      <c r="AS2560" s="3" t="s">
        <v>64</v>
      </c>
      <c r="AT2560" s="3" t="s">
        <v>64</v>
      </c>
      <c r="AV2560" s="6" t="str">
        <f>HYPERLINK("http://mcgill.on.worldcat.org/oclc/528423491","Catalog Record")</f>
        <v>Catalog Record</v>
      </c>
      <c r="AW2560" s="6" t="str">
        <f>HYPERLINK("http://www.worldcat.org/oclc/528423491","WorldCat Record")</f>
        <v>WorldCat Record</v>
      </c>
      <c r="AX2560" s="3" t="s">
        <v>25908</v>
      </c>
      <c r="AY2560" s="3" t="s">
        <v>25909</v>
      </c>
      <c r="AZ2560" s="3" t="s">
        <v>25910</v>
      </c>
      <c r="BA2560" s="3" t="s">
        <v>25910</v>
      </c>
      <c r="BB2560" s="3" t="s">
        <v>25914</v>
      </c>
      <c r="BC2560" s="3" t="s">
        <v>77</v>
      </c>
      <c r="BD2560" s="3" t="s">
        <v>78</v>
      </c>
      <c r="BE2560" s="3" t="s">
        <v>25912</v>
      </c>
      <c r="BF2560" s="3" t="s">
        <v>25914</v>
      </c>
      <c r="BG2560" s="3" t="s">
        <v>25915</v>
      </c>
      <c r="BH2560">
        <f t="shared" si="61"/>
        <v>0</v>
      </c>
    </row>
    <row r="2561" spans="1:60" ht="58" x14ac:dyDescent="0.35">
      <c r="A2561" s="2" t="s">
        <v>59</v>
      </c>
      <c r="B2561" s="2" t="s">
        <v>60</v>
      </c>
      <c r="C2561" s="2" t="s">
        <v>25916</v>
      </c>
      <c r="D2561" s="2" t="s">
        <v>25917</v>
      </c>
      <c r="E2561" s="2" t="s">
        <v>25918</v>
      </c>
      <c r="G2561" s="3" t="s">
        <v>64</v>
      </c>
      <c r="I2561" s="3" t="s">
        <v>128</v>
      </c>
      <c r="J2561" s="3" t="s">
        <v>64</v>
      </c>
      <c r="K2561" s="3" t="s">
        <v>65</v>
      </c>
      <c r="M2561" s="2" t="s">
        <v>25919</v>
      </c>
      <c r="N2561" s="3" t="s">
        <v>511</v>
      </c>
      <c r="P2561" s="3" t="s">
        <v>102</v>
      </c>
      <c r="R2561" s="3" t="s">
        <v>70</v>
      </c>
      <c r="S2561" s="4">
        <v>3</v>
      </c>
      <c r="T2561" s="4">
        <v>5</v>
      </c>
      <c r="U2561" s="5" t="s">
        <v>1264</v>
      </c>
      <c r="V2561" s="5" t="s">
        <v>1264</v>
      </c>
      <c r="W2561" s="5" t="s">
        <v>17763</v>
      </c>
      <c r="X2561" s="5" t="s">
        <v>17763</v>
      </c>
      <c r="Y2561" s="4">
        <v>497</v>
      </c>
      <c r="Z2561" s="4">
        <v>20</v>
      </c>
      <c r="AA2561" s="4">
        <v>25</v>
      </c>
      <c r="AB2561" s="4">
        <v>2</v>
      </c>
      <c r="AC2561" s="4">
        <v>5</v>
      </c>
      <c r="AD2561" s="4">
        <v>56</v>
      </c>
      <c r="AE2561" s="4">
        <v>68</v>
      </c>
      <c r="AF2561" s="4">
        <v>0</v>
      </c>
      <c r="AG2561" s="4">
        <v>2</v>
      </c>
      <c r="AH2561" s="4">
        <v>51</v>
      </c>
      <c r="AI2561" s="4">
        <v>59</v>
      </c>
      <c r="AJ2561" s="4">
        <v>5</v>
      </c>
      <c r="AK2561" s="4">
        <v>9</v>
      </c>
      <c r="AL2561" s="4">
        <v>28</v>
      </c>
      <c r="AM2561" s="4">
        <v>32</v>
      </c>
      <c r="AN2561" s="4">
        <v>0</v>
      </c>
      <c r="AO2561" s="4">
        <v>0</v>
      </c>
      <c r="AP2561" s="4">
        <v>6</v>
      </c>
      <c r="AQ2561" s="4">
        <v>9</v>
      </c>
      <c r="AR2561" s="3" t="s">
        <v>64</v>
      </c>
      <c r="AS2561" s="3" t="s">
        <v>64</v>
      </c>
      <c r="AT2561" s="3" t="s">
        <v>64</v>
      </c>
      <c r="AV2561" s="6" t="str">
        <f>HYPERLINK("http://mcgill.on.worldcat.org/oclc/664141075","Catalog Record")</f>
        <v>Catalog Record</v>
      </c>
      <c r="AW2561" s="6" t="str">
        <f>HYPERLINK("http://www.worldcat.org/oclc/664141075","WorldCat Record")</f>
        <v>WorldCat Record</v>
      </c>
      <c r="AX2561" s="3" t="s">
        <v>25920</v>
      </c>
      <c r="AY2561" s="3" t="s">
        <v>25921</v>
      </c>
      <c r="AZ2561" s="3" t="s">
        <v>25922</v>
      </c>
      <c r="BA2561" s="3" t="s">
        <v>25922</v>
      </c>
      <c r="BB2561" s="3" t="s">
        <v>25923</v>
      </c>
      <c r="BC2561" s="3" t="s">
        <v>25924</v>
      </c>
      <c r="BD2561" s="3" t="s">
        <v>78</v>
      </c>
      <c r="BE2561" s="3" t="s">
        <v>25925</v>
      </c>
      <c r="BF2561" s="3" t="s">
        <v>25923</v>
      </c>
      <c r="BG2561" s="3" t="s">
        <v>25926</v>
      </c>
      <c r="BH2561">
        <f t="shared" si="61"/>
        <v>0</v>
      </c>
    </row>
    <row r="2562" spans="1:60" ht="58" x14ac:dyDescent="0.35">
      <c r="A2562" s="2" t="s">
        <v>59</v>
      </c>
      <c r="B2562" s="2" t="s">
        <v>60</v>
      </c>
      <c r="C2562" s="2" t="s">
        <v>25916</v>
      </c>
      <c r="D2562" s="2" t="s">
        <v>25917</v>
      </c>
      <c r="E2562" s="2" t="s">
        <v>25918</v>
      </c>
      <c r="G2562" s="3" t="s">
        <v>64</v>
      </c>
      <c r="I2562" s="3" t="s">
        <v>128</v>
      </c>
      <c r="J2562" s="3" t="s">
        <v>64</v>
      </c>
      <c r="K2562" s="3" t="s">
        <v>65</v>
      </c>
      <c r="M2562" s="2" t="s">
        <v>25919</v>
      </c>
      <c r="N2562" s="3" t="s">
        <v>511</v>
      </c>
      <c r="P2562" s="3" t="s">
        <v>102</v>
      </c>
      <c r="R2562" s="3" t="s">
        <v>70</v>
      </c>
      <c r="S2562" s="4">
        <v>2</v>
      </c>
      <c r="T2562" s="4">
        <v>5</v>
      </c>
      <c r="U2562" s="5" t="s">
        <v>25927</v>
      </c>
      <c r="V2562" s="5" t="s">
        <v>1264</v>
      </c>
      <c r="W2562" s="5" t="s">
        <v>17763</v>
      </c>
      <c r="X2562" s="5" t="s">
        <v>17763</v>
      </c>
      <c r="Y2562" s="4">
        <v>497</v>
      </c>
      <c r="Z2562" s="4">
        <v>20</v>
      </c>
      <c r="AA2562" s="4">
        <v>25</v>
      </c>
      <c r="AB2562" s="4">
        <v>2</v>
      </c>
      <c r="AC2562" s="4">
        <v>5</v>
      </c>
      <c r="AD2562" s="4">
        <v>56</v>
      </c>
      <c r="AE2562" s="4">
        <v>68</v>
      </c>
      <c r="AF2562" s="4">
        <v>0</v>
      </c>
      <c r="AG2562" s="4">
        <v>2</v>
      </c>
      <c r="AH2562" s="4">
        <v>51</v>
      </c>
      <c r="AI2562" s="4">
        <v>59</v>
      </c>
      <c r="AJ2562" s="4">
        <v>5</v>
      </c>
      <c r="AK2562" s="4">
        <v>9</v>
      </c>
      <c r="AL2562" s="4">
        <v>28</v>
      </c>
      <c r="AM2562" s="4">
        <v>32</v>
      </c>
      <c r="AN2562" s="4">
        <v>0</v>
      </c>
      <c r="AO2562" s="4">
        <v>0</v>
      </c>
      <c r="AP2562" s="4">
        <v>6</v>
      </c>
      <c r="AQ2562" s="4">
        <v>9</v>
      </c>
      <c r="AR2562" s="3" t="s">
        <v>64</v>
      </c>
      <c r="AS2562" s="3" t="s">
        <v>64</v>
      </c>
      <c r="AT2562" s="3" t="s">
        <v>64</v>
      </c>
      <c r="AV2562" s="6" t="str">
        <f>HYPERLINK("http://mcgill.on.worldcat.org/oclc/664141075","Catalog Record")</f>
        <v>Catalog Record</v>
      </c>
      <c r="AW2562" s="6" t="str">
        <f>HYPERLINK("http://www.worldcat.org/oclc/664141075","WorldCat Record")</f>
        <v>WorldCat Record</v>
      </c>
      <c r="AX2562" s="3" t="s">
        <v>25920</v>
      </c>
      <c r="AY2562" s="3" t="s">
        <v>25921</v>
      </c>
      <c r="AZ2562" s="3" t="s">
        <v>25922</v>
      </c>
      <c r="BA2562" s="3" t="s">
        <v>25922</v>
      </c>
      <c r="BB2562" s="3" t="s">
        <v>25928</v>
      </c>
      <c r="BC2562" s="3" t="s">
        <v>25924</v>
      </c>
      <c r="BD2562" s="3" t="s">
        <v>78</v>
      </c>
      <c r="BE2562" s="3" t="s">
        <v>25925</v>
      </c>
      <c r="BF2562" s="3" t="s">
        <v>25928</v>
      </c>
      <c r="BG2562" s="3" t="s">
        <v>25929</v>
      </c>
      <c r="BH2562">
        <f t="shared" ref="BH2562:BH2625" si="62">IF(COUNTIF($BF$1:$BF$5431,BF2562)=1,0,1)</f>
        <v>0</v>
      </c>
    </row>
    <row r="2563" spans="1:60" ht="58" x14ac:dyDescent="0.35">
      <c r="A2563" s="2" t="s">
        <v>59</v>
      </c>
      <c r="B2563" s="2" t="s">
        <v>60</v>
      </c>
      <c r="C2563" s="2" t="s">
        <v>25930</v>
      </c>
      <c r="D2563" s="2" t="s">
        <v>25931</v>
      </c>
      <c r="E2563" s="2" t="s">
        <v>25932</v>
      </c>
      <c r="G2563" s="3" t="s">
        <v>64</v>
      </c>
      <c r="I2563" s="3" t="s">
        <v>64</v>
      </c>
      <c r="J2563" s="3" t="s">
        <v>64</v>
      </c>
      <c r="K2563" s="3" t="s">
        <v>65</v>
      </c>
      <c r="L2563" s="2" t="s">
        <v>25933</v>
      </c>
      <c r="M2563" s="2" t="s">
        <v>8893</v>
      </c>
      <c r="N2563" s="3" t="s">
        <v>578</v>
      </c>
      <c r="O2563" s="2" t="s">
        <v>117</v>
      </c>
      <c r="P2563" s="3" t="s">
        <v>102</v>
      </c>
      <c r="R2563" s="3" t="s">
        <v>70</v>
      </c>
      <c r="S2563" s="4">
        <v>2</v>
      </c>
      <c r="T2563" s="4">
        <v>2</v>
      </c>
      <c r="U2563" s="5" t="s">
        <v>709</v>
      </c>
      <c r="V2563" s="5" t="s">
        <v>709</v>
      </c>
      <c r="W2563" s="5" t="s">
        <v>72</v>
      </c>
      <c r="X2563" s="5" t="s">
        <v>72</v>
      </c>
      <c r="Y2563" s="4">
        <v>271</v>
      </c>
      <c r="Z2563" s="4">
        <v>17</v>
      </c>
      <c r="AA2563" s="4">
        <v>31</v>
      </c>
      <c r="AB2563" s="4">
        <v>1</v>
      </c>
      <c r="AC2563" s="4">
        <v>9</v>
      </c>
      <c r="AD2563" s="4">
        <v>61</v>
      </c>
      <c r="AE2563" s="4">
        <v>84</v>
      </c>
      <c r="AF2563" s="4">
        <v>0</v>
      </c>
      <c r="AG2563" s="4">
        <v>4</v>
      </c>
      <c r="AH2563" s="4">
        <v>53</v>
      </c>
      <c r="AI2563" s="4">
        <v>69</v>
      </c>
      <c r="AJ2563" s="4">
        <v>10</v>
      </c>
      <c r="AK2563" s="4">
        <v>16</v>
      </c>
      <c r="AL2563" s="4">
        <v>37</v>
      </c>
      <c r="AM2563" s="4">
        <v>42</v>
      </c>
      <c r="AN2563" s="4">
        <v>0</v>
      </c>
      <c r="AO2563" s="4">
        <v>0</v>
      </c>
      <c r="AP2563" s="4">
        <v>10</v>
      </c>
      <c r="AQ2563" s="4">
        <v>17</v>
      </c>
      <c r="AR2563" s="3" t="s">
        <v>64</v>
      </c>
      <c r="AS2563" s="3" t="s">
        <v>64</v>
      </c>
      <c r="AT2563" s="3" t="s">
        <v>64</v>
      </c>
      <c r="AV2563" s="6" t="str">
        <f>HYPERLINK("http://mcgill.on.worldcat.org/oclc/960836480","Catalog Record")</f>
        <v>Catalog Record</v>
      </c>
      <c r="AW2563" s="6" t="str">
        <f>HYPERLINK("http://www.worldcat.org/oclc/960836480","WorldCat Record")</f>
        <v>WorldCat Record</v>
      </c>
      <c r="AX2563" s="3" t="s">
        <v>25934</v>
      </c>
      <c r="AY2563" s="3" t="s">
        <v>25935</v>
      </c>
      <c r="AZ2563" s="3" t="s">
        <v>25936</v>
      </c>
      <c r="BA2563" s="3" t="s">
        <v>25936</v>
      </c>
      <c r="BB2563" s="3" t="s">
        <v>25937</v>
      </c>
      <c r="BC2563" s="3" t="s">
        <v>77</v>
      </c>
      <c r="BD2563" s="3" t="s">
        <v>78</v>
      </c>
      <c r="BE2563" s="3" t="s">
        <v>25938</v>
      </c>
      <c r="BF2563" s="3" t="s">
        <v>25937</v>
      </c>
      <c r="BG2563" s="3" t="s">
        <v>25939</v>
      </c>
      <c r="BH2563">
        <f t="shared" si="62"/>
        <v>0</v>
      </c>
    </row>
    <row r="2564" spans="1:60" ht="58" x14ac:dyDescent="0.35">
      <c r="A2564" s="2" t="s">
        <v>59</v>
      </c>
      <c r="B2564" s="2" t="s">
        <v>60</v>
      </c>
      <c r="C2564" s="2" t="s">
        <v>25940</v>
      </c>
      <c r="D2564" s="2" t="s">
        <v>25941</v>
      </c>
      <c r="E2564" s="2" t="s">
        <v>25942</v>
      </c>
      <c r="G2564" s="3" t="s">
        <v>64</v>
      </c>
      <c r="I2564" s="3" t="s">
        <v>128</v>
      </c>
      <c r="J2564" s="3" t="s">
        <v>128</v>
      </c>
      <c r="K2564" s="3" t="s">
        <v>65</v>
      </c>
      <c r="L2564" s="2" t="s">
        <v>25943</v>
      </c>
      <c r="M2564" s="2" t="s">
        <v>25944</v>
      </c>
      <c r="N2564" s="3" t="s">
        <v>922</v>
      </c>
      <c r="P2564" s="3" t="s">
        <v>102</v>
      </c>
      <c r="R2564" s="3" t="s">
        <v>70</v>
      </c>
      <c r="S2564" s="4">
        <v>14</v>
      </c>
      <c r="T2564" s="4">
        <v>14</v>
      </c>
      <c r="U2564" s="5" t="s">
        <v>25341</v>
      </c>
      <c r="V2564" s="5" t="s">
        <v>25341</v>
      </c>
      <c r="W2564" s="5" t="s">
        <v>72</v>
      </c>
      <c r="X2564" s="5" t="s">
        <v>72</v>
      </c>
      <c r="Y2564" s="4">
        <v>250</v>
      </c>
      <c r="Z2564" s="4">
        <v>22</v>
      </c>
      <c r="AA2564" s="4">
        <v>45</v>
      </c>
      <c r="AB2564" s="4">
        <v>2</v>
      </c>
      <c r="AC2564" s="4">
        <v>11</v>
      </c>
      <c r="AD2564" s="4">
        <v>58</v>
      </c>
      <c r="AE2564" s="4">
        <v>97</v>
      </c>
      <c r="AF2564" s="4">
        <v>0</v>
      </c>
      <c r="AG2564" s="4">
        <v>5</v>
      </c>
      <c r="AH2564" s="4">
        <v>46</v>
      </c>
      <c r="AI2564" s="4">
        <v>77</v>
      </c>
      <c r="AJ2564" s="4">
        <v>14</v>
      </c>
      <c r="AK2564" s="4">
        <v>23</v>
      </c>
      <c r="AL2564" s="4">
        <v>31</v>
      </c>
      <c r="AM2564" s="4">
        <v>39</v>
      </c>
      <c r="AN2564" s="4">
        <v>0</v>
      </c>
      <c r="AO2564" s="4">
        <v>0</v>
      </c>
      <c r="AP2564" s="4">
        <v>14</v>
      </c>
      <c r="AQ2564" s="4">
        <v>26</v>
      </c>
      <c r="AR2564" s="3" t="s">
        <v>64</v>
      </c>
      <c r="AS2564" s="3" t="s">
        <v>64</v>
      </c>
      <c r="AT2564" s="3" t="s">
        <v>128</v>
      </c>
      <c r="AU2564" s="6" t="str">
        <f>HYPERLINK("http://catalog.hathitrust.org/Record/001181148","HathiTrust Record")</f>
        <v>HathiTrust Record</v>
      </c>
      <c r="AV2564" s="6" t="str">
        <f>HYPERLINK("http://mcgill.on.worldcat.org/oclc/1164967","Catalog Record")</f>
        <v>Catalog Record</v>
      </c>
      <c r="AW2564" s="6" t="str">
        <f>HYPERLINK("http://www.worldcat.org/oclc/1164967","WorldCat Record")</f>
        <v>WorldCat Record</v>
      </c>
      <c r="AX2564" s="3" t="s">
        <v>25945</v>
      </c>
      <c r="AY2564" s="3" t="s">
        <v>25946</v>
      </c>
      <c r="AZ2564" s="3" t="s">
        <v>25947</v>
      </c>
      <c r="BA2564" s="3" t="s">
        <v>25947</v>
      </c>
      <c r="BB2564" s="3" t="s">
        <v>25948</v>
      </c>
      <c r="BC2564" s="3" t="s">
        <v>77</v>
      </c>
      <c r="BD2564" s="3" t="s">
        <v>78</v>
      </c>
      <c r="BE2564" s="3" t="s">
        <v>25949</v>
      </c>
      <c r="BF2564" s="3" t="s">
        <v>25948</v>
      </c>
      <c r="BG2564" s="3" t="s">
        <v>25950</v>
      </c>
      <c r="BH2564">
        <f t="shared" si="62"/>
        <v>0</v>
      </c>
    </row>
    <row r="2565" spans="1:60" ht="58" x14ac:dyDescent="0.35">
      <c r="A2565" s="2" t="s">
        <v>59</v>
      </c>
      <c r="B2565" s="2" t="s">
        <v>60</v>
      </c>
      <c r="C2565" s="2" t="s">
        <v>25940</v>
      </c>
      <c r="D2565" s="2" t="s">
        <v>25941</v>
      </c>
      <c r="E2565" s="2" t="s">
        <v>25942</v>
      </c>
      <c r="G2565" s="3" t="s">
        <v>64</v>
      </c>
      <c r="I2565" s="3" t="s">
        <v>128</v>
      </c>
      <c r="J2565" s="3" t="s">
        <v>128</v>
      </c>
      <c r="K2565" s="3" t="s">
        <v>65</v>
      </c>
      <c r="L2565" s="2" t="s">
        <v>25943</v>
      </c>
      <c r="M2565" s="2" t="s">
        <v>25944</v>
      </c>
      <c r="N2565" s="3" t="s">
        <v>922</v>
      </c>
      <c r="P2565" s="3" t="s">
        <v>102</v>
      </c>
      <c r="R2565" s="3" t="s">
        <v>70</v>
      </c>
      <c r="S2565" s="4">
        <v>0</v>
      </c>
      <c r="T2565" s="4">
        <v>14</v>
      </c>
      <c r="V2565" s="5" t="s">
        <v>25341</v>
      </c>
      <c r="W2565" s="5" t="s">
        <v>72</v>
      </c>
      <c r="X2565" s="5" t="s">
        <v>72</v>
      </c>
      <c r="Y2565" s="4">
        <v>250</v>
      </c>
      <c r="Z2565" s="4">
        <v>22</v>
      </c>
      <c r="AA2565" s="4">
        <v>45</v>
      </c>
      <c r="AB2565" s="4">
        <v>2</v>
      </c>
      <c r="AC2565" s="4">
        <v>11</v>
      </c>
      <c r="AD2565" s="4">
        <v>58</v>
      </c>
      <c r="AE2565" s="4">
        <v>97</v>
      </c>
      <c r="AF2565" s="4">
        <v>0</v>
      </c>
      <c r="AG2565" s="4">
        <v>5</v>
      </c>
      <c r="AH2565" s="4">
        <v>46</v>
      </c>
      <c r="AI2565" s="4">
        <v>77</v>
      </c>
      <c r="AJ2565" s="4">
        <v>14</v>
      </c>
      <c r="AK2565" s="4">
        <v>23</v>
      </c>
      <c r="AL2565" s="4">
        <v>31</v>
      </c>
      <c r="AM2565" s="4">
        <v>39</v>
      </c>
      <c r="AN2565" s="4">
        <v>0</v>
      </c>
      <c r="AO2565" s="4">
        <v>0</v>
      </c>
      <c r="AP2565" s="4">
        <v>14</v>
      </c>
      <c r="AQ2565" s="4">
        <v>26</v>
      </c>
      <c r="AR2565" s="3" t="s">
        <v>64</v>
      </c>
      <c r="AS2565" s="3" t="s">
        <v>64</v>
      </c>
      <c r="AT2565" s="3" t="s">
        <v>128</v>
      </c>
      <c r="AU2565" s="6" t="str">
        <f>HYPERLINK("http://catalog.hathitrust.org/Record/001181148","HathiTrust Record")</f>
        <v>HathiTrust Record</v>
      </c>
      <c r="AV2565" s="6" t="str">
        <f>HYPERLINK("http://mcgill.on.worldcat.org/oclc/1164967","Catalog Record")</f>
        <v>Catalog Record</v>
      </c>
      <c r="AW2565" s="6" t="str">
        <f>HYPERLINK("http://www.worldcat.org/oclc/1164967","WorldCat Record")</f>
        <v>WorldCat Record</v>
      </c>
      <c r="AX2565" s="3" t="s">
        <v>25945</v>
      </c>
      <c r="AY2565" s="3" t="s">
        <v>25946</v>
      </c>
      <c r="AZ2565" s="3" t="s">
        <v>25947</v>
      </c>
      <c r="BA2565" s="3" t="s">
        <v>25947</v>
      </c>
      <c r="BB2565" s="3" t="s">
        <v>25951</v>
      </c>
      <c r="BC2565" s="3" t="s">
        <v>77</v>
      </c>
      <c r="BD2565" s="3" t="s">
        <v>78</v>
      </c>
      <c r="BE2565" s="3" t="s">
        <v>25949</v>
      </c>
      <c r="BF2565" s="3" t="s">
        <v>25951</v>
      </c>
      <c r="BG2565" s="3" t="s">
        <v>25952</v>
      </c>
      <c r="BH2565">
        <f t="shared" si="62"/>
        <v>0</v>
      </c>
    </row>
    <row r="2566" spans="1:60" ht="58" x14ac:dyDescent="0.35">
      <c r="A2566" s="2" t="s">
        <v>59</v>
      </c>
      <c r="B2566" s="2" t="s">
        <v>60</v>
      </c>
      <c r="C2566" s="2" t="s">
        <v>25953</v>
      </c>
      <c r="D2566" s="2" t="s">
        <v>25954</v>
      </c>
      <c r="E2566" s="2" t="s">
        <v>25955</v>
      </c>
      <c r="G2566" s="3" t="s">
        <v>64</v>
      </c>
      <c r="I2566" s="3" t="s">
        <v>64</v>
      </c>
      <c r="J2566" s="3" t="s">
        <v>64</v>
      </c>
      <c r="K2566" s="3" t="s">
        <v>65</v>
      </c>
      <c r="L2566" s="2" t="s">
        <v>25943</v>
      </c>
      <c r="M2566" s="2" t="s">
        <v>25956</v>
      </c>
      <c r="N2566" s="3" t="s">
        <v>979</v>
      </c>
      <c r="O2566" s="2" t="s">
        <v>7660</v>
      </c>
      <c r="P2566" s="3" t="s">
        <v>102</v>
      </c>
      <c r="R2566" s="3" t="s">
        <v>70</v>
      </c>
      <c r="S2566" s="4">
        <v>23</v>
      </c>
      <c r="T2566" s="4">
        <v>23</v>
      </c>
      <c r="U2566" s="5" t="s">
        <v>2534</v>
      </c>
      <c r="V2566" s="5" t="s">
        <v>2534</v>
      </c>
      <c r="W2566" s="5" t="s">
        <v>72</v>
      </c>
      <c r="X2566" s="5" t="s">
        <v>72</v>
      </c>
      <c r="Y2566" s="4">
        <v>117</v>
      </c>
      <c r="Z2566" s="4">
        <v>10</v>
      </c>
      <c r="AA2566" s="4">
        <v>86</v>
      </c>
      <c r="AB2566" s="4">
        <v>1</v>
      </c>
      <c r="AC2566" s="4">
        <v>15</v>
      </c>
      <c r="AD2566" s="4">
        <v>17</v>
      </c>
      <c r="AE2566" s="4">
        <v>116</v>
      </c>
      <c r="AF2566" s="4">
        <v>0</v>
      </c>
      <c r="AG2566" s="4">
        <v>8</v>
      </c>
      <c r="AH2566" s="4">
        <v>15</v>
      </c>
      <c r="AI2566" s="4">
        <v>81</v>
      </c>
      <c r="AJ2566" s="4">
        <v>5</v>
      </c>
      <c r="AK2566" s="4">
        <v>20</v>
      </c>
      <c r="AL2566" s="4">
        <v>9</v>
      </c>
      <c r="AM2566" s="4">
        <v>42</v>
      </c>
      <c r="AN2566" s="4">
        <v>0</v>
      </c>
      <c r="AO2566" s="4">
        <v>0</v>
      </c>
      <c r="AP2566" s="4">
        <v>5</v>
      </c>
      <c r="AQ2566" s="4">
        <v>42</v>
      </c>
      <c r="AR2566" s="3" t="s">
        <v>64</v>
      </c>
      <c r="AS2566" s="3" t="s">
        <v>64</v>
      </c>
      <c r="AT2566" s="3" t="s">
        <v>64</v>
      </c>
      <c r="AV2566" s="6" t="str">
        <f>HYPERLINK("http://mcgill.on.worldcat.org/oclc/46983753","Catalog Record")</f>
        <v>Catalog Record</v>
      </c>
      <c r="AW2566" s="6" t="str">
        <f>HYPERLINK("http://www.worldcat.org/oclc/46983753","WorldCat Record")</f>
        <v>WorldCat Record</v>
      </c>
      <c r="AX2566" s="3" t="s">
        <v>25957</v>
      </c>
      <c r="AY2566" s="3" t="s">
        <v>25958</v>
      </c>
      <c r="AZ2566" s="3" t="s">
        <v>25959</v>
      </c>
      <c r="BA2566" s="3" t="s">
        <v>25959</v>
      </c>
      <c r="BB2566" s="3" t="s">
        <v>25960</v>
      </c>
      <c r="BC2566" s="3" t="s">
        <v>77</v>
      </c>
      <c r="BD2566" s="3" t="s">
        <v>78</v>
      </c>
      <c r="BE2566" s="3" t="s">
        <v>25961</v>
      </c>
      <c r="BF2566" s="3" t="s">
        <v>25960</v>
      </c>
      <c r="BG2566" s="3" t="s">
        <v>25962</v>
      </c>
      <c r="BH2566">
        <f t="shared" si="62"/>
        <v>0</v>
      </c>
    </row>
    <row r="2567" spans="1:60" ht="58" x14ac:dyDescent="0.35">
      <c r="A2567" s="2" t="s">
        <v>59</v>
      </c>
      <c r="B2567" s="2" t="s">
        <v>60</v>
      </c>
      <c r="C2567" s="2" t="s">
        <v>25963</v>
      </c>
      <c r="D2567" s="2" t="s">
        <v>25964</v>
      </c>
      <c r="E2567" s="2" t="s">
        <v>25965</v>
      </c>
      <c r="G2567" s="3" t="s">
        <v>64</v>
      </c>
      <c r="I2567" s="3" t="s">
        <v>64</v>
      </c>
      <c r="J2567" s="3" t="s">
        <v>64</v>
      </c>
      <c r="K2567" s="3" t="s">
        <v>65</v>
      </c>
      <c r="L2567" s="2" t="s">
        <v>25340</v>
      </c>
      <c r="M2567" s="2" t="s">
        <v>20553</v>
      </c>
      <c r="N2567" s="3" t="s">
        <v>171</v>
      </c>
      <c r="P2567" s="3" t="s">
        <v>102</v>
      </c>
      <c r="R2567" s="3" t="s">
        <v>70</v>
      </c>
      <c r="S2567" s="4">
        <v>22</v>
      </c>
      <c r="T2567" s="4">
        <v>22</v>
      </c>
      <c r="U2567" s="5" t="s">
        <v>2534</v>
      </c>
      <c r="V2567" s="5" t="s">
        <v>2534</v>
      </c>
      <c r="W2567" s="5" t="s">
        <v>72</v>
      </c>
      <c r="X2567" s="5" t="s">
        <v>72</v>
      </c>
      <c r="Y2567" s="4">
        <v>225</v>
      </c>
      <c r="Z2567" s="4">
        <v>13</v>
      </c>
      <c r="AA2567" s="4">
        <v>81</v>
      </c>
      <c r="AB2567" s="4">
        <v>1</v>
      </c>
      <c r="AC2567" s="4">
        <v>14</v>
      </c>
      <c r="AD2567" s="4">
        <v>44</v>
      </c>
      <c r="AE2567" s="4">
        <v>103</v>
      </c>
      <c r="AF2567" s="4">
        <v>0</v>
      </c>
      <c r="AG2567" s="4">
        <v>8</v>
      </c>
      <c r="AH2567" s="4">
        <v>41</v>
      </c>
      <c r="AI2567" s="4">
        <v>69</v>
      </c>
      <c r="AJ2567" s="4">
        <v>7</v>
      </c>
      <c r="AK2567" s="4">
        <v>19</v>
      </c>
      <c r="AL2567" s="4">
        <v>22</v>
      </c>
      <c r="AM2567" s="4">
        <v>35</v>
      </c>
      <c r="AN2567" s="4">
        <v>5</v>
      </c>
      <c r="AO2567" s="4">
        <v>5</v>
      </c>
      <c r="AP2567" s="4">
        <v>8</v>
      </c>
      <c r="AQ2567" s="4">
        <v>40</v>
      </c>
      <c r="AR2567" s="3" t="s">
        <v>64</v>
      </c>
      <c r="AS2567" s="3" t="s">
        <v>64</v>
      </c>
      <c r="AT2567" s="3" t="s">
        <v>128</v>
      </c>
      <c r="AU2567" s="6" t="str">
        <f>HYPERLINK("http://catalog.hathitrust.org/Record/010603415","HathiTrust Record")</f>
        <v>HathiTrust Record</v>
      </c>
      <c r="AV2567" s="6" t="str">
        <f>HYPERLINK("http://mcgill.on.worldcat.org/oclc/62761664","Catalog Record")</f>
        <v>Catalog Record</v>
      </c>
      <c r="AW2567" s="6" t="str">
        <f>HYPERLINK("http://www.worldcat.org/oclc/62761664","WorldCat Record")</f>
        <v>WorldCat Record</v>
      </c>
      <c r="AX2567" s="3" t="s">
        <v>25966</v>
      </c>
      <c r="AY2567" s="3" t="s">
        <v>25967</v>
      </c>
      <c r="AZ2567" s="3" t="s">
        <v>25968</v>
      </c>
      <c r="BA2567" s="3" t="s">
        <v>25968</v>
      </c>
      <c r="BB2567" s="3" t="s">
        <v>25969</v>
      </c>
      <c r="BC2567" s="3" t="s">
        <v>77</v>
      </c>
      <c r="BD2567" s="3" t="s">
        <v>78</v>
      </c>
      <c r="BE2567" s="3" t="s">
        <v>25970</v>
      </c>
      <c r="BF2567" s="3" t="s">
        <v>25969</v>
      </c>
      <c r="BG2567" s="3" t="s">
        <v>25971</v>
      </c>
      <c r="BH2567">
        <f t="shared" si="62"/>
        <v>0</v>
      </c>
    </row>
    <row r="2568" spans="1:60" ht="58" x14ac:dyDescent="0.35">
      <c r="A2568" s="2" t="s">
        <v>59</v>
      </c>
      <c r="B2568" s="2" t="s">
        <v>60</v>
      </c>
      <c r="C2568" s="2" t="s">
        <v>25972</v>
      </c>
      <c r="D2568" s="2" t="s">
        <v>25973</v>
      </c>
      <c r="E2568" s="2" t="s">
        <v>25974</v>
      </c>
      <c r="G2568" s="3" t="s">
        <v>64</v>
      </c>
      <c r="I2568" s="3" t="s">
        <v>64</v>
      </c>
      <c r="J2568" s="3" t="s">
        <v>64</v>
      </c>
      <c r="K2568" s="3" t="s">
        <v>65</v>
      </c>
      <c r="L2568" s="2" t="s">
        <v>25975</v>
      </c>
      <c r="M2568" s="2" t="s">
        <v>25976</v>
      </c>
      <c r="N2568" s="3" t="s">
        <v>922</v>
      </c>
      <c r="P2568" s="3" t="s">
        <v>102</v>
      </c>
      <c r="R2568" s="3" t="s">
        <v>70</v>
      </c>
      <c r="S2568" s="4">
        <v>3</v>
      </c>
      <c r="T2568" s="4">
        <v>3</v>
      </c>
      <c r="U2568" s="5" t="s">
        <v>22430</v>
      </c>
      <c r="V2568" s="5" t="s">
        <v>22430</v>
      </c>
      <c r="W2568" s="5" t="s">
        <v>72</v>
      </c>
      <c r="X2568" s="5" t="s">
        <v>72</v>
      </c>
      <c r="Y2568" s="4">
        <v>106</v>
      </c>
      <c r="Z2568" s="4">
        <v>29</v>
      </c>
      <c r="AA2568" s="4">
        <v>31</v>
      </c>
      <c r="AB2568" s="4">
        <v>3</v>
      </c>
      <c r="AC2568" s="4">
        <v>4</v>
      </c>
      <c r="AD2568" s="4">
        <v>50</v>
      </c>
      <c r="AE2568" s="4">
        <v>52</v>
      </c>
      <c r="AF2568" s="4">
        <v>1</v>
      </c>
      <c r="AG2568" s="4">
        <v>2</v>
      </c>
      <c r="AH2568" s="4">
        <v>37</v>
      </c>
      <c r="AI2568" s="4">
        <v>39</v>
      </c>
      <c r="AJ2568" s="4">
        <v>15</v>
      </c>
      <c r="AK2568" s="4">
        <v>17</v>
      </c>
      <c r="AL2568" s="4">
        <v>19</v>
      </c>
      <c r="AM2568" s="4">
        <v>19</v>
      </c>
      <c r="AN2568" s="4">
        <v>0</v>
      </c>
      <c r="AO2568" s="4">
        <v>0</v>
      </c>
      <c r="AP2568" s="4">
        <v>19</v>
      </c>
      <c r="AQ2568" s="4">
        <v>21</v>
      </c>
      <c r="AR2568" s="3" t="s">
        <v>128</v>
      </c>
      <c r="AS2568" s="3" t="s">
        <v>64</v>
      </c>
      <c r="AT2568" s="3" t="s">
        <v>128</v>
      </c>
      <c r="AU2568" s="6" t="str">
        <f>HYPERLINK("http://catalog.hathitrust.org/Record/001175787","HathiTrust Record")</f>
        <v>HathiTrust Record</v>
      </c>
      <c r="AV2568" s="6" t="str">
        <f>HYPERLINK("http://mcgill.on.worldcat.org/oclc/724741","Catalog Record")</f>
        <v>Catalog Record</v>
      </c>
      <c r="AW2568" s="6" t="str">
        <f>HYPERLINK("http://www.worldcat.org/oclc/724741","WorldCat Record")</f>
        <v>WorldCat Record</v>
      </c>
      <c r="AX2568" s="3" t="s">
        <v>25977</v>
      </c>
      <c r="AY2568" s="3" t="s">
        <v>25978</v>
      </c>
      <c r="AZ2568" s="3" t="s">
        <v>25979</v>
      </c>
      <c r="BA2568" s="3" t="s">
        <v>25979</v>
      </c>
      <c r="BB2568" s="3" t="s">
        <v>25980</v>
      </c>
      <c r="BC2568" s="3" t="s">
        <v>77</v>
      </c>
      <c r="BD2568" s="3" t="s">
        <v>78</v>
      </c>
      <c r="BF2568" s="3" t="s">
        <v>25980</v>
      </c>
      <c r="BG2568" s="3" t="s">
        <v>25981</v>
      </c>
      <c r="BH2568">
        <f t="shared" si="62"/>
        <v>0</v>
      </c>
    </row>
    <row r="2569" spans="1:60" ht="58" x14ac:dyDescent="0.35">
      <c r="A2569" s="2" t="s">
        <v>59</v>
      </c>
      <c r="B2569" s="2" t="s">
        <v>60</v>
      </c>
      <c r="C2569" s="2" t="s">
        <v>25982</v>
      </c>
      <c r="D2569" s="2" t="s">
        <v>25983</v>
      </c>
      <c r="E2569" s="2" t="s">
        <v>25984</v>
      </c>
      <c r="G2569" s="3" t="s">
        <v>64</v>
      </c>
      <c r="I2569" s="3" t="s">
        <v>64</v>
      </c>
      <c r="J2569" s="3" t="s">
        <v>64</v>
      </c>
      <c r="K2569" s="3" t="s">
        <v>65</v>
      </c>
      <c r="L2569" s="2" t="s">
        <v>25370</v>
      </c>
      <c r="M2569" s="2" t="s">
        <v>25985</v>
      </c>
      <c r="N2569" s="3" t="s">
        <v>768</v>
      </c>
      <c r="P2569" s="3" t="s">
        <v>102</v>
      </c>
      <c r="Q2569" s="2" t="s">
        <v>25986</v>
      </c>
      <c r="R2569" s="3" t="s">
        <v>70</v>
      </c>
      <c r="S2569" s="4">
        <v>11</v>
      </c>
      <c r="T2569" s="4">
        <v>11</v>
      </c>
      <c r="U2569" s="5" t="s">
        <v>3493</v>
      </c>
      <c r="V2569" s="5" t="s">
        <v>3493</v>
      </c>
      <c r="W2569" s="5" t="s">
        <v>72</v>
      </c>
      <c r="X2569" s="5" t="s">
        <v>72</v>
      </c>
      <c r="Y2569" s="4">
        <v>664</v>
      </c>
      <c r="Z2569" s="4">
        <v>25</v>
      </c>
      <c r="AA2569" s="4">
        <v>27</v>
      </c>
      <c r="AB2569" s="4">
        <v>2</v>
      </c>
      <c r="AC2569" s="4">
        <v>3</v>
      </c>
      <c r="AD2569" s="4">
        <v>106</v>
      </c>
      <c r="AE2569" s="4">
        <v>106</v>
      </c>
      <c r="AF2569" s="4">
        <v>1</v>
      </c>
      <c r="AG2569" s="4">
        <v>1</v>
      </c>
      <c r="AH2569" s="4">
        <v>93</v>
      </c>
      <c r="AI2569" s="4">
        <v>93</v>
      </c>
      <c r="AJ2569" s="4">
        <v>14</v>
      </c>
      <c r="AK2569" s="4">
        <v>14</v>
      </c>
      <c r="AL2569" s="4">
        <v>52</v>
      </c>
      <c r="AM2569" s="4">
        <v>52</v>
      </c>
      <c r="AN2569" s="4">
        <v>0</v>
      </c>
      <c r="AO2569" s="4">
        <v>0</v>
      </c>
      <c r="AP2569" s="4">
        <v>13</v>
      </c>
      <c r="AQ2569" s="4">
        <v>13</v>
      </c>
      <c r="AR2569" s="3" t="s">
        <v>64</v>
      </c>
      <c r="AS2569" s="3" t="s">
        <v>64</v>
      </c>
      <c r="AT2569" s="3" t="s">
        <v>128</v>
      </c>
      <c r="AU2569" s="6" t="str">
        <f>HYPERLINK("http://catalog.hathitrust.org/Record/000174652","HathiTrust Record")</f>
        <v>HathiTrust Record</v>
      </c>
      <c r="AV2569" s="6" t="str">
        <f>HYPERLINK("http://mcgill.on.worldcat.org/oclc/3933635","Catalog Record")</f>
        <v>Catalog Record</v>
      </c>
      <c r="AW2569" s="6" t="str">
        <f>HYPERLINK("http://www.worldcat.org/oclc/3933635","WorldCat Record")</f>
        <v>WorldCat Record</v>
      </c>
      <c r="AX2569" s="3" t="s">
        <v>25987</v>
      </c>
      <c r="AY2569" s="3" t="s">
        <v>25988</v>
      </c>
      <c r="AZ2569" s="3" t="s">
        <v>25989</v>
      </c>
      <c r="BA2569" s="3" t="s">
        <v>25989</v>
      </c>
      <c r="BB2569" s="3" t="s">
        <v>25990</v>
      </c>
      <c r="BC2569" s="3" t="s">
        <v>77</v>
      </c>
      <c r="BD2569" s="3" t="s">
        <v>78</v>
      </c>
      <c r="BE2569" s="3" t="s">
        <v>25991</v>
      </c>
      <c r="BF2569" s="3" t="s">
        <v>25990</v>
      </c>
      <c r="BG2569" s="3" t="s">
        <v>25992</v>
      </c>
      <c r="BH2569">
        <f t="shared" si="62"/>
        <v>0</v>
      </c>
    </row>
    <row r="2570" spans="1:60" ht="58" x14ac:dyDescent="0.35">
      <c r="A2570" s="2" t="s">
        <v>59</v>
      </c>
      <c r="B2570" s="2" t="s">
        <v>60</v>
      </c>
      <c r="C2570" s="2" t="s">
        <v>25993</v>
      </c>
      <c r="D2570" s="2" t="s">
        <v>25994</v>
      </c>
      <c r="E2570" s="2" t="s">
        <v>25984</v>
      </c>
      <c r="G2570" s="3" t="s">
        <v>64</v>
      </c>
      <c r="I2570" s="3" t="s">
        <v>64</v>
      </c>
      <c r="J2570" s="3" t="s">
        <v>64</v>
      </c>
      <c r="K2570" s="3" t="s">
        <v>65</v>
      </c>
      <c r="L2570" s="2" t="s">
        <v>25370</v>
      </c>
      <c r="M2570" s="2" t="s">
        <v>25995</v>
      </c>
      <c r="N2570" s="3" t="s">
        <v>378</v>
      </c>
      <c r="O2570" s="2" t="s">
        <v>172</v>
      </c>
      <c r="P2570" s="3" t="s">
        <v>102</v>
      </c>
      <c r="Q2570" s="2" t="s">
        <v>25996</v>
      </c>
      <c r="R2570" s="3" t="s">
        <v>70</v>
      </c>
      <c r="S2570" s="4">
        <v>26</v>
      </c>
      <c r="T2570" s="4">
        <v>26</v>
      </c>
      <c r="U2570" s="5" t="s">
        <v>22430</v>
      </c>
      <c r="V2570" s="5" t="s">
        <v>22430</v>
      </c>
      <c r="W2570" s="5" t="s">
        <v>72</v>
      </c>
      <c r="X2570" s="5" t="s">
        <v>72</v>
      </c>
      <c r="Y2570" s="4">
        <v>625</v>
      </c>
      <c r="Z2570" s="4">
        <v>29</v>
      </c>
      <c r="AA2570" s="4">
        <v>31</v>
      </c>
      <c r="AB2570" s="4">
        <v>3</v>
      </c>
      <c r="AC2570" s="4">
        <v>5</v>
      </c>
      <c r="AD2570" s="4">
        <v>91</v>
      </c>
      <c r="AE2570" s="4">
        <v>92</v>
      </c>
      <c r="AF2570" s="4">
        <v>1</v>
      </c>
      <c r="AG2570" s="4">
        <v>2</v>
      </c>
      <c r="AH2570" s="4">
        <v>82</v>
      </c>
      <c r="AI2570" s="4">
        <v>82</v>
      </c>
      <c r="AJ2570" s="4">
        <v>12</v>
      </c>
      <c r="AK2570" s="4">
        <v>13</v>
      </c>
      <c r="AL2570" s="4">
        <v>42</v>
      </c>
      <c r="AM2570" s="4">
        <v>42</v>
      </c>
      <c r="AN2570" s="4">
        <v>0</v>
      </c>
      <c r="AO2570" s="4">
        <v>0</v>
      </c>
      <c r="AP2570" s="4">
        <v>12</v>
      </c>
      <c r="AQ2570" s="4">
        <v>12</v>
      </c>
      <c r="AR2570" s="3" t="s">
        <v>64</v>
      </c>
      <c r="AS2570" s="3" t="s">
        <v>64</v>
      </c>
      <c r="AT2570" s="3" t="s">
        <v>128</v>
      </c>
      <c r="AU2570" s="6" t="str">
        <f>HYPERLINK("http://catalog.hathitrust.org/Record/000667956","HathiTrust Record")</f>
        <v>HathiTrust Record</v>
      </c>
      <c r="AV2570" s="6" t="str">
        <f>HYPERLINK("http://mcgill.on.worldcat.org/oclc/12808038","Catalog Record")</f>
        <v>Catalog Record</v>
      </c>
      <c r="AW2570" s="6" t="str">
        <f>HYPERLINK("http://www.worldcat.org/oclc/12808038","WorldCat Record")</f>
        <v>WorldCat Record</v>
      </c>
      <c r="AX2570" s="3" t="s">
        <v>25997</v>
      </c>
      <c r="AY2570" s="3" t="s">
        <v>25998</v>
      </c>
      <c r="AZ2570" s="3" t="s">
        <v>25999</v>
      </c>
      <c r="BA2570" s="3" t="s">
        <v>25999</v>
      </c>
      <c r="BB2570" s="3" t="s">
        <v>26000</v>
      </c>
      <c r="BC2570" s="3" t="s">
        <v>77</v>
      </c>
      <c r="BD2570" s="3" t="s">
        <v>78</v>
      </c>
      <c r="BE2570" s="3" t="s">
        <v>26001</v>
      </c>
      <c r="BF2570" s="3" t="s">
        <v>26000</v>
      </c>
      <c r="BG2570" s="3" t="s">
        <v>26002</v>
      </c>
      <c r="BH2570">
        <f t="shared" si="62"/>
        <v>0</v>
      </c>
    </row>
    <row r="2571" spans="1:60" ht="58" x14ac:dyDescent="0.35">
      <c r="A2571" s="2" t="s">
        <v>59</v>
      </c>
      <c r="B2571" s="2" t="s">
        <v>60</v>
      </c>
      <c r="C2571" s="2" t="s">
        <v>26003</v>
      </c>
      <c r="D2571" s="2" t="s">
        <v>26004</v>
      </c>
      <c r="E2571" s="2" t="s">
        <v>26005</v>
      </c>
      <c r="G2571" s="3" t="s">
        <v>64</v>
      </c>
      <c r="I2571" s="3" t="s">
        <v>64</v>
      </c>
      <c r="J2571" s="3" t="s">
        <v>64</v>
      </c>
      <c r="K2571" s="3" t="s">
        <v>65</v>
      </c>
      <c r="L2571" s="2" t="s">
        <v>26006</v>
      </c>
      <c r="M2571" s="2" t="s">
        <v>20835</v>
      </c>
      <c r="N2571" s="3" t="s">
        <v>511</v>
      </c>
      <c r="P2571" s="3" t="s">
        <v>102</v>
      </c>
      <c r="Q2571" s="2" t="s">
        <v>8981</v>
      </c>
      <c r="R2571" s="3" t="s">
        <v>70</v>
      </c>
      <c r="S2571" s="4">
        <v>4</v>
      </c>
      <c r="T2571" s="4">
        <v>4</v>
      </c>
      <c r="U2571" s="5" t="s">
        <v>16241</v>
      </c>
      <c r="V2571" s="5" t="s">
        <v>16241</v>
      </c>
      <c r="W2571" s="5" t="s">
        <v>72</v>
      </c>
      <c r="X2571" s="5" t="s">
        <v>72</v>
      </c>
      <c r="Y2571" s="4">
        <v>84</v>
      </c>
      <c r="Z2571" s="4">
        <v>6</v>
      </c>
      <c r="AA2571" s="4">
        <v>23</v>
      </c>
      <c r="AB2571" s="4">
        <v>1</v>
      </c>
      <c r="AC2571" s="4">
        <v>5</v>
      </c>
      <c r="AD2571" s="4">
        <v>24</v>
      </c>
      <c r="AE2571" s="4">
        <v>56</v>
      </c>
      <c r="AF2571" s="4">
        <v>0</v>
      </c>
      <c r="AG2571" s="4">
        <v>2</v>
      </c>
      <c r="AH2571" s="4">
        <v>23</v>
      </c>
      <c r="AI2571" s="4">
        <v>48</v>
      </c>
      <c r="AJ2571" s="4">
        <v>3</v>
      </c>
      <c r="AK2571" s="4">
        <v>10</v>
      </c>
      <c r="AL2571" s="4">
        <v>17</v>
      </c>
      <c r="AM2571" s="4">
        <v>27</v>
      </c>
      <c r="AN2571" s="4">
        <v>0</v>
      </c>
      <c r="AO2571" s="4">
        <v>0</v>
      </c>
      <c r="AP2571" s="4">
        <v>4</v>
      </c>
      <c r="AQ2571" s="4">
        <v>12</v>
      </c>
      <c r="AR2571" s="3" t="s">
        <v>64</v>
      </c>
      <c r="AS2571" s="3" t="s">
        <v>64</v>
      </c>
      <c r="AT2571" s="3" t="s">
        <v>64</v>
      </c>
      <c r="AV2571" s="6" t="str">
        <f>HYPERLINK("http://mcgill.on.worldcat.org/oclc/670184569","Catalog Record")</f>
        <v>Catalog Record</v>
      </c>
      <c r="AW2571" s="6" t="str">
        <f>HYPERLINK("http://www.worldcat.org/oclc/670184569","WorldCat Record")</f>
        <v>WorldCat Record</v>
      </c>
      <c r="AX2571" s="3" t="s">
        <v>26007</v>
      </c>
      <c r="AY2571" s="3" t="s">
        <v>26008</v>
      </c>
      <c r="AZ2571" s="3" t="s">
        <v>26009</v>
      </c>
      <c r="BA2571" s="3" t="s">
        <v>26009</v>
      </c>
      <c r="BB2571" s="3" t="s">
        <v>26010</v>
      </c>
      <c r="BC2571" s="3" t="s">
        <v>77</v>
      </c>
      <c r="BD2571" s="3" t="s">
        <v>78</v>
      </c>
      <c r="BE2571" s="3" t="s">
        <v>26011</v>
      </c>
      <c r="BF2571" s="3" t="s">
        <v>26010</v>
      </c>
      <c r="BG2571" s="3" t="s">
        <v>26012</v>
      </c>
      <c r="BH2571">
        <f t="shared" si="62"/>
        <v>0</v>
      </c>
    </row>
    <row r="2572" spans="1:60" ht="116" x14ac:dyDescent="0.35">
      <c r="A2572" s="2" t="s">
        <v>59</v>
      </c>
      <c r="B2572" s="2" t="s">
        <v>60</v>
      </c>
      <c r="C2572" s="2" t="s">
        <v>26013</v>
      </c>
      <c r="D2572" s="2" t="s">
        <v>26014</v>
      </c>
      <c r="E2572" s="2" t="s">
        <v>26015</v>
      </c>
      <c r="G2572" s="3" t="s">
        <v>64</v>
      </c>
      <c r="I2572" s="3" t="s">
        <v>128</v>
      </c>
      <c r="J2572" s="3" t="s">
        <v>64</v>
      </c>
      <c r="K2572" s="3" t="s">
        <v>65</v>
      </c>
      <c r="L2572" s="2" t="s">
        <v>26016</v>
      </c>
      <c r="M2572" s="2" t="s">
        <v>26017</v>
      </c>
      <c r="N2572" s="3" t="s">
        <v>3910</v>
      </c>
      <c r="O2572" s="2" t="s">
        <v>26018</v>
      </c>
      <c r="P2572" s="3" t="s">
        <v>102</v>
      </c>
      <c r="R2572" s="3" t="s">
        <v>70</v>
      </c>
      <c r="S2572" s="4">
        <v>4</v>
      </c>
      <c r="T2572" s="4">
        <v>5</v>
      </c>
      <c r="U2572" s="5" t="s">
        <v>26019</v>
      </c>
      <c r="V2572" s="5" t="s">
        <v>4697</v>
      </c>
      <c r="W2572" s="5" t="s">
        <v>72</v>
      </c>
      <c r="X2572" s="5" t="s">
        <v>72</v>
      </c>
      <c r="Y2572" s="4">
        <v>147</v>
      </c>
      <c r="Z2572" s="4">
        <v>7</v>
      </c>
      <c r="AA2572" s="4">
        <v>10</v>
      </c>
      <c r="AB2572" s="4">
        <v>1</v>
      </c>
      <c r="AC2572" s="4">
        <v>3</v>
      </c>
      <c r="AD2572" s="4">
        <v>51</v>
      </c>
      <c r="AE2572" s="4">
        <v>52</v>
      </c>
      <c r="AF2572" s="4">
        <v>0</v>
      </c>
      <c r="AG2572" s="4">
        <v>0</v>
      </c>
      <c r="AH2572" s="4">
        <v>49</v>
      </c>
      <c r="AI2572" s="4">
        <v>50</v>
      </c>
      <c r="AJ2572" s="4">
        <v>3</v>
      </c>
      <c r="AK2572" s="4">
        <v>4</v>
      </c>
      <c r="AL2572" s="4">
        <v>29</v>
      </c>
      <c r="AM2572" s="4">
        <v>29</v>
      </c>
      <c r="AN2572" s="4">
        <v>0</v>
      </c>
      <c r="AO2572" s="4">
        <v>0</v>
      </c>
      <c r="AP2572" s="4">
        <v>4</v>
      </c>
      <c r="AQ2572" s="4">
        <v>5</v>
      </c>
      <c r="AR2572" s="3" t="s">
        <v>64</v>
      </c>
      <c r="AS2572" s="3" t="s">
        <v>128</v>
      </c>
      <c r="AT2572" s="3" t="s">
        <v>64</v>
      </c>
      <c r="AU2572" s="6" t="str">
        <f>HYPERLINK("http://catalog.hathitrust.org/Record/001161586","HathiTrust Record")</f>
        <v>HathiTrust Record</v>
      </c>
      <c r="AV2572" s="6" t="str">
        <f>HYPERLINK("http://mcgill.on.worldcat.org/oclc/3866596","Catalog Record")</f>
        <v>Catalog Record</v>
      </c>
      <c r="AW2572" s="6" t="str">
        <f>HYPERLINK("http://www.worldcat.org/oclc/3866596","WorldCat Record")</f>
        <v>WorldCat Record</v>
      </c>
      <c r="AX2572" s="3" t="s">
        <v>26020</v>
      </c>
      <c r="AY2572" s="3" t="s">
        <v>26021</v>
      </c>
      <c r="AZ2572" s="3" t="s">
        <v>26022</v>
      </c>
      <c r="BA2572" s="3" t="s">
        <v>26022</v>
      </c>
      <c r="BB2572" s="3" t="s">
        <v>26023</v>
      </c>
      <c r="BC2572" s="3" t="s">
        <v>77</v>
      </c>
      <c r="BD2572" s="3" t="s">
        <v>78</v>
      </c>
      <c r="BF2572" s="3" t="s">
        <v>26023</v>
      </c>
      <c r="BG2572" s="3" t="s">
        <v>26024</v>
      </c>
      <c r="BH2572">
        <f t="shared" si="62"/>
        <v>0</v>
      </c>
    </row>
    <row r="2573" spans="1:60" ht="58" x14ac:dyDescent="0.35">
      <c r="A2573" s="2" t="s">
        <v>59</v>
      </c>
      <c r="B2573" s="2" t="s">
        <v>60</v>
      </c>
      <c r="C2573" s="2" t="s">
        <v>26025</v>
      </c>
      <c r="D2573" s="2" t="s">
        <v>26026</v>
      </c>
      <c r="E2573" s="2" t="s">
        <v>26027</v>
      </c>
      <c r="G2573" s="3" t="s">
        <v>64</v>
      </c>
      <c r="I2573" s="3" t="s">
        <v>64</v>
      </c>
      <c r="J2573" s="3" t="s">
        <v>64</v>
      </c>
      <c r="K2573" s="3" t="s">
        <v>65</v>
      </c>
      <c r="L2573" s="2" t="s">
        <v>26028</v>
      </c>
      <c r="M2573" s="2" t="s">
        <v>23394</v>
      </c>
      <c r="N2573" s="3" t="s">
        <v>1087</v>
      </c>
      <c r="P2573" s="3" t="s">
        <v>102</v>
      </c>
      <c r="Q2573" s="2" t="s">
        <v>26029</v>
      </c>
      <c r="R2573" s="3" t="s">
        <v>70</v>
      </c>
      <c r="S2573" s="4">
        <v>14</v>
      </c>
      <c r="T2573" s="4">
        <v>14</v>
      </c>
      <c r="U2573" s="5" t="s">
        <v>26030</v>
      </c>
      <c r="V2573" s="5" t="s">
        <v>26030</v>
      </c>
      <c r="W2573" s="5" t="s">
        <v>72</v>
      </c>
      <c r="X2573" s="5" t="s">
        <v>72</v>
      </c>
      <c r="Y2573" s="4">
        <v>488</v>
      </c>
      <c r="Z2573" s="4">
        <v>15</v>
      </c>
      <c r="AA2573" s="4">
        <v>19</v>
      </c>
      <c r="AB2573" s="4">
        <v>1</v>
      </c>
      <c r="AC2573" s="4">
        <v>4</v>
      </c>
      <c r="AD2573" s="4">
        <v>61</v>
      </c>
      <c r="AE2573" s="4">
        <v>62</v>
      </c>
      <c r="AF2573" s="4">
        <v>0</v>
      </c>
      <c r="AG2573" s="4">
        <v>1</v>
      </c>
      <c r="AH2573" s="4">
        <v>54</v>
      </c>
      <c r="AI2573" s="4">
        <v>54</v>
      </c>
      <c r="AJ2573" s="4">
        <v>5</v>
      </c>
      <c r="AK2573" s="4">
        <v>6</v>
      </c>
      <c r="AL2573" s="4">
        <v>28</v>
      </c>
      <c r="AM2573" s="4">
        <v>28</v>
      </c>
      <c r="AN2573" s="4">
        <v>0</v>
      </c>
      <c r="AO2573" s="4">
        <v>0</v>
      </c>
      <c r="AP2573" s="4">
        <v>6</v>
      </c>
      <c r="AQ2573" s="4">
        <v>6</v>
      </c>
      <c r="AR2573" s="3" t="s">
        <v>64</v>
      </c>
      <c r="AS2573" s="3" t="s">
        <v>64</v>
      </c>
      <c r="AT2573" s="3" t="s">
        <v>128</v>
      </c>
      <c r="AU2573" s="6" t="str">
        <f>HYPERLINK("http://catalog.hathitrust.org/Record/002527182","HathiTrust Record")</f>
        <v>HathiTrust Record</v>
      </c>
      <c r="AV2573" s="6" t="str">
        <f>HYPERLINK("http://mcgill.on.worldcat.org/oclc/24501329","Catalog Record")</f>
        <v>Catalog Record</v>
      </c>
      <c r="AW2573" s="6" t="str">
        <f>HYPERLINK("http://www.worldcat.org/oclc/24501329","WorldCat Record")</f>
        <v>WorldCat Record</v>
      </c>
      <c r="AX2573" s="3" t="s">
        <v>26031</v>
      </c>
      <c r="AY2573" s="3" t="s">
        <v>26032</v>
      </c>
      <c r="AZ2573" s="3" t="s">
        <v>26033</v>
      </c>
      <c r="BA2573" s="3" t="s">
        <v>26033</v>
      </c>
      <c r="BB2573" s="3" t="s">
        <v>26034</v>
      </c>
      <c r="BC2573" s="3" t="s">
        <v>77</v>
      </c>
      <c r="BD2573" s="3" t="s">
        <v>78</v>
      </c>
      <c r="BE2573" s="3" t="s">
        <v>26035</v>
      </c>
      <c r="BF2573" s="3" t="s">
        <v>26034</v>
      </c>
      <c r="BG2573" s="3" t="s">
        <v>26036</v>
      </c>
      <c r="BH2573">
        <f t="shared" si="62"/>
        <v>0</v>
      </c>
    </row>
    <row r="2574" spans="1:60" ht="58" x14ac:dyDescent="0.35">
      <c r="A2574" s="2" t="s">
        <v>59</v>
      </c>
      <c r="B2574" s="2" t="s">
        <v>60</v>
      </c>
      <c r="C2574" s="2" t="s">
        <v>26037</v>
      </c>
      <c r="D2574" s="2" t="s">
        <v>26038</v>
      </c>
      <c r="E2574" s="2" t="s">
        <v>26039</v>
      </c>
      <c r="G2574" s="3" t="s">
        <v>64</v>
      </c>
      <c r="I2574" s="3" t="s">
        <v>64</v>
      </c>
      <c r="J2574" s="3" t="s">
        <v>128</v>
      </c>
      <c r="K2574" s="3" t="s">
        <v>65</v>
      </c>
      <c r="L2574" s="2" t="s">
        <v>26040</v>
      </c>
      <c r="M2574" s="2" t="s">
        <v>26041</v>
      </c>
      <c r="N2574" s="3" t="s">
        <v>481</v>
      </c>
      <c r="P2574" s="3" t="s">
        <v>102</v>
      </c>
      <c r="R2574" s="3" t="s">
        <v>70</v>
      </c>
      <c r="S2574" s="4">
        <v>4</v>
      </c>
      <c r="T2574" s="4">
        <v>4</v>
      </c>
      <c r="U2574" s="5" t="s">
        <v>26042</v>
      </c>
      <c r="V2574" s="5" t="s">
        <v>26042</v>
      </c>
      <c r="W2574" s="5" t="s">
        <v>72</v>
      </c>
      <c r="X2574" s="5" t="s">
        <v>72</v>
      </c>
      <c r="Y2574" s="4">
        <v>205</v>
      </c>
      <c r="Z2574" s="4">
        <v>9</v>
      </c>
      <c r="AA2574" s="4">
        <v>51</v>
      </c>
      <c r="AB2574" s="4">
        <v>1</v>
      </c>
      <c r="AC2574" s="4">
        <v>6</v>
      </c>
      <c r="AD2574" s="4">
        <v>68</v>
      </c>
      <c r="AE2574" s="4">
        <v>135</v>
      </c>
      <c r="AF2574" s="4">
        <v>0</v>
      </c>
      <c r="AG2574" s="4">
        <v>3</v>
      </c>
      <c r="AH2574" s="4">
        <v>60</v>
      </c>
      <c r="AI2574" s="4">
        <v>107</v>
      </c>
      <c r="AJ2574" s="4">
        <v>6</v>
      </c>
      <c r="AK2574" s="4">
        <v>21</v>
      </c>
      <c r="AL2574" s="4">
        <v>41</v>
      </c>
      <c r="AM2574" s="4">
        <v>58</v>
      </c>
      <c r="AN2574" s="4">
        <v>0</v>
      </c>
      <c r="AO2574" s="4">
        <v>0</v>
      </c>
      <c r="AP2574" s="4">
        <v>7</v>
      </c>
      <c r="AQ2574" s="4">
        <v>30</v>
      </c>
      <c r="AR2574" s="3" t="s">
        <v>64</v>
      </c>
      <c r="AS2574" s="3" t="s">
        <v>64</v>
      </c>
      <c r="AT2574" s="3" t="s">
        <v>128</v>
      </c>
      <c r="AU2574" s="6" t="str">
        <f>HYPERLINK("http://catalog.hathitrust.org/Record/001162761","HathiTrust Record")</f>
        <v>HathiTrust Record</v>
      </c>
      <c r="AV2574" s="6" t="str">
        <f>HYPERLINK("http://mcgill.on.worldcat.org/oclc/29135","Catalog Record")</f>
        <v>Catalog Record</v>
      </c>
      <c r="AW2574" s="6" t="str">
        <f>HYPERLINK("http://www.worldcat.org/oclc/29135","WorldCat Record")</f>
        <v>WorldCat Record</v>
      </c>
      <c r="AX2574" s="3" t="s">
        <v>26043</v>
      </c>
      <c r="AY2574" s="3" t="s">
        <v>26044</v>
      </c>
      <c r="AZ2574" s="3" t="s">
        <v>26045</v>
      </c>
      <c r="BA2574" s="3" t="s">
        <v>26045</v>
      </c>
      <c r="BB2574" s="3" t="s">
        <v>26046</v>
      </c>
      <c r="BC2574" s="3" t="s">
        <v>77</v>
      </c>
      <c r="BD2574" s="3" t="s">
        <v>78</v>
      </c>
      <c r="BE2574" s="3" t="s">
        <v>26047</v>
      </c>
      <c r="BF2574" s="3" t="s">
        <v>26046</v>
      </c>
      <c r="BG2574" s="3" t="s">
        <v>26048</v>
      </c>
      <c r="BH2574">
        <f t="shared" si="62"/>
        <v>0</v>
      </c>
    </row>
    <row r="2575" spans="1:60" ht="58" x14ac:dyDescent="0.35">
      <c r="A2575" s="2" t="s">
        <v>59</v>
      </c>
      <c r="B2575" s="2" t="s">
        <v>60</v>
      </c>
      <c r="C2575" s="2" t="s">
        <v>26049</v>
      </c>
      <c r="D2575" s="2" t="s">
        <v>26050</v>
      </c>
      <c r="E2575" s="2" t="s">
        <v>26051</v>
      </c>
      <c r="G2575" s="3" t="s">
        <v>64</v>
      </c>
      <c r="I2575" s="3" t="s">
        <v>128</v>
      </c>
      <c r="J2575" s="3" t="s">
        <v>128</v>
      </c>
      <c r="K2575" s="3" t="s">
        <v>65</v>
      </c>
      <c r="L2575" s="2" t="s">
        <v>26040</v>
      </c>
      <c r="M2575" s="2" t="s">
        <v>26052</v>
      </c>
      <c r="N2575" s="3" t="s">
        <v>1615</v>
      </c>
      <c r="O2575" s="2" t="s">
        <v>3455</v>
      </c>
      <c r="P2575" s="3" t="s">
        <v>102</v>
      </c>
      <c r="R2575" s="3" t="s">
        <v>70</v>
      </c>
      <c r="S2575" s="4">
        <v>40</v>
      </c>
      <c r="T2575" s="4">
        <v>77</v>
      </c>
      <c r="U2575" s="5" t="s">
        <v>24311</v>
      </c>
      <c r="V2575" s="5" t="s">
        <v>24311</v>
      </c>
      <c r="W2575" s="5" t="s">
        <v>72</v>
      </c>
      <c r="X2575" s="5" t="s">
        <v>72</v>
      </c>
      <c r="Y2575" s="4">
        <v>231</v>
      </c>
      <c r="Z2575" s="4">
        <v>9</v>
      </c>
      <c r="AA2575" s="4">
        <v>51</v>
      </c>
      <c r="AB2575" s="4">
        <v>2</v>
      </c>
      <c r="AC2575" s="4">
        <v>6</v>
      </c>
      <c r="AD2575" s="4">
        <v>36</v>
      </c>
      <c r="AE2575" s="4">
        <v>135</v>
      </c>
      <c r="AF2575" s="4">
        <v>1</v>
      </c>
      <c r="AG2575" s="4">
        <v>3</v>
      </c>
      <c r="AH2575" s="4">
        <v>34</v>
      </c>
      <c r="AI2575" s="4">
        <v>107</v>
      </c>
      <c r="AJ2575" s="4">
        <v>6</v>
      </c>
      <c r="AK2575" s="4">
        <v>21</v>
      </c>
      <c r="AL2575" s="4">
        <v>21</v>
      </c>
      <c r="AM2575" s="4">
        <v>58</v>
      </c>
      <c r="AN2575" s="4">
        <v>0</v>
      </c>
      <c r="AO2575" s="4">
        <v>0</v>
      </c>
      <c r="AP2575" s="4">
        <v>6</v>
      </c>
      <c r="AQ2575" s="4">
        <v>30</v>
      </c>
      <c r="AR2575" s="3" t="s">
        <v>64</v>
      </c>
      <c r="AS2575" s="3" t="s">
        <v>64</v>
      </c>
      <c r="AT2575" s="3" t="s">
        <v>64</v>
      </c>
      <c r="AV2575" s="6" t="str">
        <f>HYPERLINK("http://mcgill.on.worldcat.org/oclc/35581812","Catalog Record")</f>
        <v>Catalog Record</v>
      </c>
      <c r="AW2575" s="6" t="str">
        <f>HYPERLINK("http://www.worldcat.org/oclc/35581812","WorldCat Record")</f>
        <v>WorldCat Record</v>
      </c>
      <c r="AX2575" s="3" t="s">
        <v>26043</v>
      </c>
      <c r="AY2575" s="3" t="s">
        <v>26053</v>
      </c>
      <c r="AZ2575" s="3" t="s">
        <v>26054</v>
      </c>
      <c r="BA2575" s="3" t="s">
        <v>26054</v>
      </c>
      <c r="BB2575" s="3" t="s">
        <v>26055</v>
      </c>
      <c r="BC2575" s="3" t="s">
        <v>77</v>
      </c>
      <c r="BD2575" s="3" t="s">
        <v>78</v>
      </c>
      <c r="BE2575" s="3" t="s">
        <v>26056</v>
      </c>
      <c r="BF2575" s="3" t="s">
        <v>26055</v>
      </c>
      <c r="BG2575" s="3" t="s">
        <v>26057</v>
      </c>
      <c r="BH2575">
        <f t="shared" si="62"/>
        <v>0</v>
      </c>
    </row>
    <row r="2576" spans="1:60" ht="58" x14ac:dyDescent="0.35">
      <c r="A2576" s="2" t="s">
        <v>59</v>
      </c>
      <c r="B2576" s="2" t="s">
        <v>60</v>
      </c>
      <c r="C2576" s="2" t="s">
        <v>26049</v>
      </c>
      <c r="D2576" s="2" t="s">
        <v>26050</v>
      </c>
      <c r="E2576" s="2" t="s">
        <v>26051</v>
      </c>
      <c r="G2576" s="3" t="s">
        <v>64</v>
      </c>
      <c r="I2576" s="3" t="s">
        <v>128</v>
      </c>
      <c r="J2576" s="3" t="s">
        <v>128</v>
      </c>
      <c r="K2576" s="3" t="s">
        <v>65</v>
      </c>
      <c r="L2576" s="2" t="s">
        <v>26040</v>
      </c>
      <c r="M2576" s="2" t="s">
        <v>26052</v>
      </c>
      <c r="N2576" s="3" t="s">
        <v>1615</v>
      </c>
      <c r="O2576" s="2" t="s">
        <v>3455</v>
      </c>
      <c r="P2576" s="3" t="s">
        <v>102</v>
      </c>
      <c r="R2576" s="3" t="s">
        <v>70</v>
      </c>
      <c r="S2576" s="4">
        <v>37</v>
      </c>
      <c r="T2576" s="4">
        <v>77</v>
      </c>
      <c r="U2576" s="5" t="s">
        <v>26058</v>
      </c>
      <c r="V2576" s="5" t="s">
        <v>24311</v>
      </c>
      <c r="W2576" s="5" t="s">
        <v>72</v>
      </c>
      <c r="X2576" s="5" t="s">
        <v>72</v>
      </c>
      <c r="Y2576" s="4">
        <v>231</v>
      </c>
      <c r="Z2576" s="4">
        <v>9</v>
      </c>
      <c r="AA2576" s="4">
        <v>51</v>
      </c>
      <c r="AB2576" s="4">
        <v>2</v>
      </c>
      <c r="AC2576" s="4">
        <v>6</v>
      </c>
      <c r="AD2576" s="4">
        <v>36</v>
      </c>
      <c r="AE2576" s="4">
        <v>135</v>
      </c>
      <c r="AF2576" s="4">
        <v>1</v>
      </c>
      <c r="AG2576" s="4">
        <v>3</v>
      </c>
      <c r="AH2576" s="4">
        <v>34</v>
      </c>
      <c r="AI2576" s="4">
        <v>107</v>
      </c>
      <c r="AJ2576" s="4">
        <v>6</v>
      </c>
      <c r="AK2576" s="4">
        <v>21</v>
      </c>
      <c r="AL2576" s="4">
        <v>21</v>
      </c>
      <c r="AM2576" s="4">
        <v>58</v>
      </c>
      <c r="AN2576" s="4">
        <v>0</v>
      </c>
      <c r="AO2576" s="4">
        <v>0</v>
      </c>
      <c r="AP2576" s="4">
        <v>6</v>
      </c>
      <c r="AQ2576" s="4">
        <v>30</v>
      </c>
      <c r="AR2576" s="3" t="s">
        <v>64</v>
      </c>
      <c r="AS2576" s="3" t="s">
        <v>64</v>
      </c>
      <c r="AT2576" s="3" t="s">
        <v>64</v>
      </c>
      <c r="AV2576" s="6" t="str">
        <f>HYPERLINK("http://mcgill.on.worldcat.org/oclc/35581812","Catalog Record")</f>
        <v>Catalog Record</v>
      </c>
      <c r="AW2576" s="6" t="str">
        <f>HYPERLINK("http://www.worldcat.org/oclc/35581812","WorldCat Record")</f>
        <v>WorldCat Record</v>
      </c>
      <c r="AX2576" s="3" t="s">
        <v>26043</v>
      </c>
      <c r="AY2576" s="3" t="s">
        <v>26053</v>
      </c>
      <c r="AZ2576" s="3" t="s">
        <v>26054</v>
      </c>
      <c r="BA2576" s="3" t="s">
        <v>26054</v>
      </c>
      <c r="BB2576" s="3" t="s">
        <v>26059</v>
      </c>
      <c r="BC2576" s="3" t="s">
        <v>77</v>
      </c>
      <c r="BD2576" s="3" t="s">
        <v>78</v>
      </c>
      <c r="BE2576" s="3" t="s">
        <v>26056</v>
      </c>
      <c r="BF2576" s="3" t="s">
        <v>26059</v>
      </c>
      <c r="BG2576" s="3" t="s">
        <v>26060</v>
      </c>
      <c r="BH2576">
        <f t="shared" si="62"/>
        <v>0</v>
      </c>
    </row>
    <row r="2577" spans="1:60" ht="58" x14ac:dyDescent="0.35">
      <c r="A2577" s="2" t="s">
        <v>59</v>
      </c>
      <c r="B2577" s="2" t="s">
        <v>60</v>
      </c>
      <c r="C2577" s="2" t="s">
        <v>26061</v>
      </c>
      <c r="D2577" s="2" t="s">
        <v>26062</v>
      </c>
      <c r="E2577" s="2" t="s">
        <v>26063</v>
      </c>
      <c r="G2577" s="3" t="s">
        <v>64</v>
      </c>
      <c r="I2577" s="3" t="s">
        <v>64</v>
      </c>
      <c r="J2577" s="3" t="s">
        <v>64</v>
      </c>
      <c r="K2577" s="3" t="s">
        <v>65</v>
      </c>
      <c r="L2577" s="2" t="s">
        <v>26064</v>
      </c>
      <c r="M2577" s="2" t="s">
        <v>26065</v>
      </c>
      <c r="N2577" s="3" t="s">
        <v>1075</v>
      </c>
      <c r="P2577" s="3" t="s">
        <v>68</v>
      </c>
      <c r="Q2577" s="2" t="s">
        <v>25236</v>
      </c>
      <c r="R2577" s="3" t="s">
        <v>70</v>
      </c>
      <c r="S2577" s="4">
        <v>5</v>
      </c>
      <c r="T2577" s="4">
        <v>5</v>
      </c>
      <c r="U2577" s="5" t="s">
        <v>25635</v>
      </c>
      <c r="V2577" s="5" t="s">
        <v>25635</v>
      </c>
      <c r="W2577" s="5" t="s">
        <v>72</v>
      </c>
      <c r="X2577" s="5" t="s">
        <v>72</v>
      </c>
      <c r="Y2577" s="4">
        <v>34</v>
      </c>
      <c r="Z2577" s="4">
        <v>7</v>
      </c>
      <c r="AA2577" s="4">
        <v>122</v>
      </c>
      <c r="AB2577" s="4">
        <v>1</v>
      </c>
      <c r="AC2577" s="4">
        <v>28</v>
      </c>
      <c r="AD2577" s="4">
        <v>8</v>
      </c>
      <c r="AE2577" s="4">
        <v>94</v>
      </c>
      <c r="AF2577" s="4">
        <v>0</v>
      </c>
      <c r="AG2577" s="4">
        <v>9</v>
      </c>
      <c r="AH2577" s="4">
        <v>7</v>
      </c>
      <c r="AI2577" s="4">
        <v>53</v>
      </c>
      <c r="AJ2577" s="4">
        <v>5</v>
      </c>
      <c r="AK2577" s="4">
        <v>22</v>
      </c>
      <c r="AL2577" s="4">
        <v>3</v>
      </c>
      <c r="AM2577" s="4">
        <v>25</v>
      </c>
      <c r="AN2577" s="4">
        <v>0</v>
      </c>
      <c r="AO2577" s="4">
        <v>0</v>
      </c>
      <c r="AP2577" s="4">
        <v>5</v>
      </c>
      <c r="AQ2577" s="4">
        <v>49</v>
      </c>
      <c r="AR2577" s="3" t="s">
        <v>128</v>
      </c>
      <c r="AS2577" s="3" t="s">
        <v>64</v>
      </c>
      <c r="AT2577" s="3" t="s">
        <v>64</v>
      </c>
      <c r="AV2577" s="6" t="str">
        <f>HYPERLINK("http://mcgill.on.worldcat.org/oclc/854906607","Catalog Record")</f>
        <v>Catalog Record</v>
      </c>
      <c r="AW2577" s="6" t="str">
        <f>HYPERLINK("http://www.worldcat.org/oclc/854906607","WorldCat Record")</f>
        <v>WorldCat Record</v>
      </c>
      <c r="AX2577" s="3" t="s">
        <v>26066</v>
      </c>
      <c r="AY2577" s="3" t="s">
        <v>26067</v>
      </c>
      <c r="AZ2577" s="3" t="s">
        <v>26068</v>
      </c>
      <c r="BA2577" s="3" t="s">
        <v>26068</v>
      </c>
      <c r="BB2577" s="3" t="s">
        <v>26069</v>
      </c>
      <c r="BC2577" s="3" t="s">
        <v>77</v>
      </c>
      <c r="BD2577" s="3" t="s">
        <v>78</v>
      </c>
      <c r="BE2577" s="3" t="s">
        <v>26070</v>
      </c>
      <c r="BF2577" s="3" t="s">
        <v>26069</v>
      </c>
      <c r="BG2577" s="3" t="s">
        <v>26071</v>
      </c>
      <c r="BH2577">
        <f t="shared" si="62"/>
        <v>0</v>
      </c>
    </row>
    <row r="2578" spans="1:60" ht="58" x14ac:dyDescent="0.35">
      <c r="A2578" s="2" t="s">
        <v>59</v>
      </c>
      <c r="B2578" s="2" t="s">
        <v>60</v>
      </c>
      <c r="C2578" s="2" t="s">
        <v>26072</v>
      </c>
      <c r="D2578" s="2" t="s">
        <v>26073</v>
      </c>
      <c r="E2578" s="2" t="s">
        <v>26074</v>
      </c>
      <c r="G2578" s="3" t="s">
        <v>64</v>
      </c>
      <c r="I2578" s="3" t="s">
        <v>64</v>
      </c>
      <c r="J2578" s="3" t="s">
        <v>64</v>
      </c>
      <c r="K2578" s="3" t="s">
        <v>65</v>
      </c>
      <c r="L2578" s="2" t="s">
        <v>26075</v>
      </c>
      <c r="M2578" s="2" t="s">
        <v>26076</v>
      </c>
      <c r="N2578" s="3" t="s">
        <v>1763</v>
      </c>
      <c r="O2578" s="2" t="s">
        <v>26077</v>
      </c>
      <c r="P2578" s="3" t="s">
        <v>102</v>
      </c>
      <c r="R2578" s="3" t="s">
        <v>70</v>
      </c>
      <c r="S2578" s="4">
        <v>3</v>
      </c>
      <c r="T2578" s="4">
        <v>3</v>
      </c>
      <c r="U2578" s="5" t="s">
        <v>26030</v>
      </c>
      <c r="V2578" s="5" t="s">
        <v>26030</v>
      </c>
      <c r="W2578" s="5" t="s">
        <v>72</v>
      </c>
      <c r="X2578" s="5" t="s">
        <v>72</v>
      </c>
      <c r="Y2578" s="4">
        <v>186</v>
      </c>
      <c r="Z2578" s="4">
        <v>6</v>
      </c>
      <c r="AA2578" s="4">
        <v>6</v>
      </c>
      <c r="AB2578" s="4">
        <v>1</v>
      </c>
      <c r="AC2578" s="4">
        <v>1</v>
      </c>
      <c r="AD2578" s="4">
        <v>44</v>
      </c>
      <c r="AE2578" s="4">
        <v>44</v>
      </c>
      <c r="AF2578" s="4">
        <v>0</v>
      </c>
      <c r="AG2578" s="4">
        <v>0</v>
      </c>
      <c r="AH2578" s="4">
        <v>41</v>
      </c>
      <c r="AI2578" s="4">
        <v>41</v>
      </c>
      <c r="AJ2578" s="4">
        <v>3</v>
      </c>
      <c r="AK2578" s="4">
        <v>3</v>
      </c>
      <c r="AL2578" s="4">
        <v>26</v>
      </c>
      <c r="AM2578" s="4">
        <v>26</v>
      </c>
      <c r="AN2578" s="4">
        <v>0</v>
      </c>
      <c r="AO2578" s="4">
        <v>0</v>
      </c>
      <c r="AP2578" s="4">
        <v>2</v>
      </c>
      <c r="AQ2578" s="4">
        <v>2</v>
      </c>
      <c r="AR2578" s="3" t="s">
        <v>64</v>
      </c>
      <c r="AS2578" s="3" t="s">
        <v>128</v>
      </c>
      <c r="AT2578" s="3" t="s">
        <v>64</v>
      </c>
      <c r="AU2578" s="6" t="str">
        <f>HYPERLINK("http://catalog.hathitrust.org/Record/000618318","HathiTrust Record")</f>
        <v>HathiTrust Record</v>
      </c>
      <c r="AV2578" s="6" t="str">
        <f>HYPERLINK("http://mcgill.on.worldcat.org/oclc/10777785","Catalog Record")</f>
        <v>Catalog Record</v>
      </c>
      <c r="AW2578" s="6" t="str">
        <f>HYPERLINK("http://www.worldcat.org/oclc/10777785","WorldCat Record")</f>
        <v>WorldCat Record</v>
      </c>
      <c r="AX2578" s="3" t="s">
        <v>26078</v>
      </c>
      <c r="AY2578" s="3" t="s">
        <v>26079</v>
      </c>
      <c r="AZ2578" s="3" t="s">
        <v>26080</v>
      </c>
      <c r="BA2578" s="3" t="s">
        <v>26080</v>
      </c>
      <c r="BB2578" s="3" t="s">
        <v>26081</v>
      </c>
      <c r="BC2578" s="3" t="s">
        <v>25924</v>
      </c>
      <c r="BD2578" s="3" t="s">
        <v>78</v>
      </c>
      <c r="BE2578" s="3" t="s">
        <v>26082</v>
      </c>
      <c r="BF2578" s="3" t="s">
        <v>26081</v>
      </c>
      <c r="BG2578" s="3" t="s">
        <v>26083</v>
      </c>
      <c r="BH2578">
        <f t="shared" si="62"/>
        <v>0</v>
      </c>
    </row>
    <row r="2579" spans="1:60" ht="58" x14ac:dyDescent="0.35">
      <c r="A2579" s="2" t="s">
        <v>59</v>
      </c>
      <c r="B2579" s="2" t="s">
        <v>60</v>
      </c>
      <c r="C2579" s="2" t="s">
        <v>26084</v>
      </c>
      <c r="D2579" s="2" t="s">
        <v>26085</v>
      </c>
      <c r="E2579" s="2" t="s">
        <v>26086</v>
      </c>
      <c r="G2579" s="3" t="s">
        <v>64</v>
      </c>
      <c r="I2579" s="3" t="s">
        <v>64</v>
      </c>
      <c r="J2579" s="3" t="s">
        <v>64</v>
      </c>
      <c r="K2579" s="3" t="s">
        <v>65</v>
      </c>
      <c r="L2579" s="2" t="s">
        <v>26087</v>
      </c>
      <c r="M2579" s="2" t="s">
        <v>26088</v>
      </c>
      <c r="N2579" s="3" t="s">
        <v>7285</v>
      </c>
      <c r="O2579" s="2" t="s">
        <v>24484</v>
      </c>
      <c r="P2579" s="3" t="s">
        <v>102</v>
      </c>
      <c r="Q2579" s="2" t="s">
        <v>7076</v>
      </c>
      <c r="R2579" s="3" t="s">
        <v>70</v>
      </c>
      <c r="S2579" s="4">
        <v>2</v>
      </c>
      <c r="T2579" s="4">
        <v>2</v>
      </c>
      <c r="U2579" s="5" t="s">
        <v>4248</v>
      </c>
      <c r="V2579" s="5" t="s">
        <v>4248</v>
      </c>
      <c r="W2579" s="5" t="s">
        <v>72</v>
      </c>
      <c r="X2579" s="5" t="s">
        <v>72</v>
      </c>
      <c r="Y2579" s="4">
        <v>292</v>
      </c>
      <c r="Z2579" s="4">
        <v>14</v>
      </c>
      <c r="AA2579" s="4">
        <v>22</v>
      </c>
      <c r="AB2579" s="4">
        <v>1</v>
      </c>
      <c r="AC2579" s="4">
        <v>2</v>
      </c>
      <c r="AD2579" s="4">
        <v>56</v>
      </c>
      <c r="AE2579" s="4">
        <v>85</v>
      </c>
      <c r="AF2579" s="4">
        <v>0</v>
      </c>
      <c r="AG2579" s="4">
        <v>1</v>
      </c>
      <c r="AH2579" s="4">
        <v>46</v>
      </c>
      <c r="AI2579" s="4">
        <v>72</v>
      </c>
      <c r="AJ2579" s="4">
        <v>10</v>
      </c>
      <c r="AK2579" s="4">
        <v>14</v>
      </c>
      <c r="AL2579" s="4">
        <v>29</v>
      </c>
      <c r="AM2579" s="4">
        <v>42</v>
      </c>
      <c r="AN2579" s="4">
        <v>0</v>
      </c>
      <c r="AO2579" s="4">
        <v>0</v>
      </c>
      <c r="AP2579" s="4">
        <v>10</v>
      </c>
      <c r="AQ2579" s="4">
        <v>14</v>
      </c>
      <c r="AR2579" s="3" t="s">
        <v>64</v>
      </c>
      <c r="AS2579" s="3" t="s">
        <v>64</v>
      </c>
      <c r="AT2579" s="3" t="s">
        <v>128</v>
      </c>
      <c r="AU2579" s="6" t="str">
        <f>HYPERLINK("http://catalog.hathitrust.org/Record/001175789","HathiTrust Record")</f>
        <v>HathiTrust Record</v>
      </c>
      <c r="AV2579" s="6" t="str">
        <f>HYPERLINK("http://mcgill.on.worldcat.org/oclc/383542","Catalog Record")</f>
        <v>Catalog Record</v>
      </c>
      <c r="AW2579" s="6" t="str">
        <f>HYPERLINK("http://www.worldcat.org/oclc/383542","WorldCat Record")</f>
        <v>WorldCat Record</v>
      </c>
      <c r="AX2579" s="3" t="s">
        <v>26089</v>
      </c>
      <c r="AY2579" s="3" t="s">
        <v>26090</v>
      </c>
      <c r="AZ2579" s="3" t="s">
        <v>26091</v>
      </c>
      <c r="BA2579" s="3" t="s">
        <v>26091</v>
      </c>
      <c r="BB2579" s="3" t="s">
        <v>26092</v>
      </c>
      <c r="BC2579" s="3" t="s">
        <v>77</v>
      </c>
      <c r="BD2579" s="3" t="s">
        <v>78</v>
      </c>
      <c r="BE2579" s="3" t="s">
        <v>26093</v>
      </c>
      <c r="BF2579" s="3" t="s">
        <v>26092</v>
      </c>
      <c r="BG2579" s="3" t="s">
        <v>26094</v>
      </c>
      <c r="BH2579">
        <f t="shared" si="62"/>
        <v>0</v>
      </c>
    </row>
    <row r="2580" spans="1:60" ht="58" x14ac:dyDescent="0.35">
      <c r="A2580" s="2" t="s">
        <v>59</v>
      </c>
      <c r="B2580" s="2" t="s">
        <v>60</v>
      </c>
      <c r="C2580" s="2" t="s">
        <v>26095</v>
      </c>
      <c r="D2580" s="2" t="s">
        <v>26096</v>
      </c>
      <c r="E2580" s="2" t="s">
        <v>26097</v>
      </c>
      <c r="G2580" s="3" t="s">
        <v>64</v>
      </c>
      <c r="I2580" s="3" t="s">
        <v>64</v>
      </c>
      <c r="J2580" s="3" t="s">
        <v>128</v>
      </c>
      <c r="K2580" s="3" t="s">
        <v>65</v>
      </c>
      <c r="L2580" s="2" t="s">
        <v>26098</v>
      </c>
      <c r="M2580" s="2" t="s">
        <v>26099</v>
      </c>
      <c r="N2580" s="3" t="s">
        <v>481</v>
      </c>
      <c r="P2580" s="3" t="s">
        <v>102</v>
      </c>
      <c r="R2580" s="3" t="s">
        <v>70</v>
      </c>
      <c r="S2580" s="4">
        <v>8</v>
      </c>
      <c r="T2580" s="4">
        <v>8</v>
      </c>
      <c r="U2580" s="5" t="s">
        <v>4248</v>
      </c>
      <c r="V2580" s="5" t="s">
        <v>4248</v>
      </c>
      <c r="W2580" s="5" t="s">
        <v>72</v>
      </c>
      <c r="X2580" s="5" t="s">
        <v>72</v>
      </c>
      <c r="Y2580" s="4">
        <v>12</v>
      </c>
      <c r="Z2580" s="4">
        <v>7</v>
      </c>
      <c r="AA2580" s="4">
        <v>25</v>
      </c>
      <c r="AB2580" s="4">
        <v>1</v>
      </c>
      <c r="AC2580" s="4">
        <v>4</v>
      </c>
      <c r="AD2580" s="4">
        <v>4</v>
      </c>
      <c r="AE2580" s="4">
        <v>96</v>
      </c>
      <c r="AF2580" s="4">
        <v>0</v>
      </c>
      <c r="AG2580" s="4">
        <v>1</v>
      </c>
      <c r="AH2580" s="4">
        <v>3</v>
      </c>
      <c r="AI2580" s="4">
        <v>87</v>
      </c>
      <c r="AJ2580" s="4">
        <v>3</v>
      </c>
      <c r="AK2580" s="4">
        <v>12</v>
      </c>
      <c r="AL2580" s="4">
        <v>1</v>
      </c>
      <c r="AM2580" s="4">
        <v>49</v>
      </c>
      <c r="AN2580" s="4">
        <v>0</v>
      </c>
      <c r="AO2580" s="4">
        <v>0</v>
      </c>
      <c r="AP2580" s="4">
        <v>3</v>
      </c>
      <c r="AQ2580" s="4">
        <v>14</v>
      </c>
      <c r="AR2580" s="3" t="s">
        <v>64</v>
      </c>
      <c r="AS2580" s="3" t="s">
        <v>64</v>
      </c>
      <c r="AT2580" s="3" t="s">
        <v>64</v>
      </c>
      <c r="AV2580" s="6" t="str">
        <f>HYPERLINK("http://mcgill.on.worldcat.org/oclc/153199293","Catalog Record")</f>
        <v>Catalog Record</v>
      </c>
      <c r="AW2580" s="6" t="str">
        <f>HYPERLINK("http://www.worldcat.org/oclc/153199293","WorldCat Record")</f>
        <v>WorldCat Record</v>
      </c>
      <c r="AX2580" s="3" t="s">
        <v>26100</v>
      </c>
      <c r="AY2580" s="3" t="s">
        <v>26101</v>
      </c>
      <c r="AZ2580" s="3" t="s">
        <v>26102</v>
      </c>
      <c r="BA2580" s="3" t="s">
        <v>26102</v>
      </c>
      <c r="BB2580" s="3" t="s">
        <v>26103</v>
      </c>
      <c r="BC2580" s="3" t="s">
        <v>77</v>
      </c>
      <c r="BD2580" s="3" t="s">
        <v>78</v>
      </c>
      <c r="BF2580" s="3" t="s">
        <v>26103</v>
      </c>
      <c r="BG2580" s="3" t="s">
        <v>26104</v>
      </c>
      <c r="BH2580">
        <f t="shared" si="62"/>
        <v>0</v>
      </c>
    </row>
    <row r="2581" spans="1:60" ht="58" x14ac:dyDescent="0.35">
      <c r="A2581" s="2" t="s">
        <v>59</v>
      </c>
      <c r="B2581" s="2" t="s">
        <v>60</v>
      </c>
      <c r="C2581" s="2" t="s">
        <v>26105</v>
      </c>
      <c r="D2581" s="2" t="s">
        <v>26106</v>
      </c>
      <c r="E2581" s="2" t="s">
        <v>26107</v>
      </c>
      <c r="G2581" s="3" t="s">
        <v>64</v>
      </c>
      <c r="I2581" s="3" t="s">
        <v>64</v>
      </c>
      <c r="J2581" s="3" t="s">
        <v>64</v>
      </c>
      <c r="K2581" s="3" t="s">
        <v>65</v>
      </c>
      <c r="L2581" s="2" t="s">
        <v>26108</v>
      </c>
      <c r="M2581" s="2" t="s">
        <v>26109</v>
      </c>
      <c r="N2581" s="3" t="s">
        <v>5986</v>
      </c>
      <c r="P2581" s="3" t="s">
        <v>102</v>
      </c>
      <c r="Q2581" s="2" t="s">
        <v>26110</v>
      </c>
      <c r="R2581" s="3" t="s">
        <v>70</v>
      </c>
      <c r="S2581" s="4">
        <v>2</v>
      </c>
      <c r="T2581" s="4">
        <v>2</v>
      </c>
      <c r="U2581" s="5" t="s">
        <v>1088</v>
      </c>
      <c r="V2581" s="5" t="s">
        <v>1088</v>
      </c>
      <c r="W2581" s="5" t="s">
        <v>72</v>
      </c>
      <c r="X2581" s="5" t="s">
        <v>72</v>
      </c>
      <c r="Y2581" s="4">
        <v>218</v>
      </c>
      <c r="Z2581" s="4">
        <v>9</v>
      </c>
      <c r="AA2581" s="4">
        <v>15</v>
      </c>
      <c r="AB2581" s="4">
        <v>2</v>
      </c>
      <c r="AC2581" s="4">
        <v>4</v>
      </c>
      <c r="AD2581" s="4">
        <v>67</v>
      </c>
      <c r="AE2581" s="4">
        <v>88</v>
      </c>
      <c r="AF2581" s="4">
        <v>1</v>
      </c>
      <c r="AG2581" s="4">
        <v>3</v>
      </c>
      <c r="AH2581" s="4">
        <v>62</v>
      </c>
      <c r="AI2581" s="4">
        <v>82</v>
      </c>
      <c r="AJ2581" s="4">
        <v>6</v>
      </c>
      <c r="AK2581" s="4">
        <v>10</v>
      </c>
      <c r="AL2581" s="4">
        <v>37</v>
      </c>
      <c r="AM2581" s="4">
        <v>46</v>
      </c>
      <c r="AN2581" s="4">
        <v>0</v>
      </c>
      <c r="AO2581" s="4">
        <v>0</v>
      </c>
      <c r="AP2581" s="4">
        <v>6</v>
      </c>
      <c r="AQ2581" s="4">
        <v>9</v>
      </c>
      <c r="AR2581" s="3" t="s">
        <v>64</v>
      </c>
      <c r="AS2581" s="3" t="s">
        <v>64</v>
      </c>
      <c r="AT2581" s="3" t="s">
        <v>128</v>
      </c>
      <c r="AU2581" s="6" t="str">
        <f>HYPERLINK("http://catalog.hathitrust.org/Record/010313250","HathiTrust Record")</f>
        <v>HathiTrust Record</v>
      </c>
      <c r="AV2581" s="6" t="str">
        <f>HYPERLINK("http://mcgill.on.worldcat.org/oclc/576699","Catalog Record")</f>
        <v>Catalog Record</v>
      </c>
      <c r="AW2581" s="6" t="str">
        <f>HYPERLINK("http://www.worldcat.org/oclc/576699","WorldCat Record")</f>
        <v>WorldCat Record</v>
      </c>
      <c r="AX2581" s="3" t="s">
        <v>26111</v>
      </c>
      <c r="AY2581" s="3" t="s">
        <v>26112</v>
      </c>
      <c r="AZ2581" s="3" t="s">
        <v>26113</v>
      </c>
      <c r="BA2581" s="3" t="s">
        <v>26113</v>
      </c>
      <c r="BB2581" s="3" t="s">
        <v>26114</v>
      </c>
      <c r="BC2581" s="3" t="s">
        <v>77</v>
      </c>
      <c r="BD2581" s="3" t="s">
        <v>78</v>
      </c>
      <c r="BF2581" s="3" t="s">
        <v>26114</v>
      </c>
      <c r="BG2581" s="3" t="s">
        <v>26115</v>
      </c>
      <c r="BH2581">
        <f t="shared" si="62"/>
        <v>0</v>
      </c>
    </row>
    <row r="2582" spans="1:60" ht="58" x14ac:dyDescent="0.35">
      <c r="A2582" s="2" t="s">
        <v>59</v>
      </c>
      <c r="B2582" s="2" t="s">
        <v>60</v>
      </c>
      <c r="C2582" s="2" t="s">
        <v>26116</v>
      </c>
      <c r="D2582" s="2" t="s">
        <v>26117</v>
      </c>
      <c r="E2582" s="2" t="s">
        <v>26118</v>
      </c>
      <c r="G2582" s="3" t="s">
        <v>64</v>
      </c>
      <c r="I2582" s="3" t="s">
        <v>64</v>
      </c>
      <c r="J2582" s="3" t="s">
        <v>64</v>
      </c>
      <c r="K2582" s="3" t="s">
        <v>65</v>
      </c>
      <c r="L2582" s="2" t="s">
        <v>26119</v>
      </c>
      <c r="M2582" s="2" t="s">
        <v>26120</v>
      </c>
      <c r="N2582" s="3" t="s">
        <v>159</v>
      </c>
      <c r="P2582" s="3" t="s">
        <v>102</v>
      </c>
      <c r="R2582" s="3" t="s">
        <v>70</v>
      </c>
      <c r="S2582" s="4">
        <v>15</v>
      </c>
      <c r="T2582" s="4">
        <v>15</v>
      </c>
      <c r="U2582" s="5" t="s">
        <v>4248</v>
      </c>
      <c r="V2582" s="5" t="s">
        <v>4248</v>
      </c>
      <c r="W2582" s="5" t="s">
        <v>72</v>
      </c>
      <c r="X2582" s="5" t="s">
        <v>72</v>
      </c>
      <c r="Y2582" s="4">
        <v>144</v>
      </c>
      <c r="Z2582" s="4">
        <v>13</v>
      </c>
      <c r="AA2582" s="4">
        <v>16</v>
      </c>
      <c r="AB2582" s="4">
        <v>3</v>
      </c>
      <c r="AC2582" s="4">
        <v>5</v>
      </c>
      <c r="AD2582" s="4">
        <v>67</v>
      </c>
      <c r="AE2582" s="4">
        <v>73</v>
      </c>
      <c r="AF2582" s="4">
        <v>2</v>
      </c>
      <c r="AG2582" s="4">
        <v>3</v>
      </c>
      <c r="AH2582" s="4">
        <v>62</v>
      </c>
      <c r="AI2582" s="4">
        <v>66</v>
      </c>
      <c r="AJ2582" s="4">
        <v>8</v>
      </c>
      <c r="AK2582" s="4">
        <v>9</v>
      </c>
      <c r="AL2582" s="4">
        <v>35</v>
      </c>
      <c r="AM2582" s="4">
        <v>37</v>
      </c>
      <c r="AN2582" s="4">
        <v>0</v>
      </c>
      <c r="AO2582" s="4">
        <v>0</v>
      </c>
      <c r="AP2582" s="4">
        <v>9</v>
      </c>
      <c r="AQ2582" s="4">
        <v>10</v>
      </c>
      <c r="AR2582" s="3" t="s">
        <v>64</v>
      </c>
      <c r="AS2582" s="3" t="s">
        <v>64</v>
      </c>
      <c r="AT2582" s="3" t="s">
        <v>64</v>
      </c>
      <c r="AV2582" s="6" t="str">
        <f>HYPERLINK("http://mcgill.on.worldcat.org/oclc/50404371","Catalog Record")</f>
        <v>Catalog Record</v>
      </c>
      <c r="AW2582" s="6" t="str">
        <f>HYPERLINK("http://www.worldcat.org/oclc/50404371","WorldCat Record")</f>
        <v>WorldCat Record</v>
      </c>
      <c r="AX2582" s="3" t="s">
        <v>26121</v>
      </c>
      <c r="AY2582" s="3" t="s">
        <v>26122</v>
      </c>
      <c r="AZ2582" s="3" t="s">
        <v>26123</v>
      </c>
      <c r="BA2582" s="3" t="s">
        <v>26123</v>
      </c>
      <c r="BB2582" s="3" t="s">
        <v>26124</v>
      </c>
      <c r="BC2582" s="3" t="s">
        <v>77</v>
      </c>
      <c r="BD2582" s="3" t="s">
        <v>78</v>
      </c>
      <c r="BE2582" s="3" t="s">
        <v>26125</v>
      </c>
      <c r="BF2582" s="3" t="s">
        <v>26124</v>
      </c>
      <c r="BG2582" s="3" t="s">
        <v>26126</v>
      </c>
      <c r="BH2582">
        <f t="shared" si="62"/>
        <v>0</v>
      </c>
    </row>
    <row r="2583" spans="1:60" ht="58" x14ac:dyDescent="0.35">
      <c r="A2583" s="2" t="s">
        <v>59</v>
      </c>
      <c r="B2583" s="2" t="s">
        <v>60</v>
      </c>
      <c r="C2583" s="2" t="s">
        <v>26127</v>
      </c>
      <c r="D2583" s="2" t="s">
        <v>26128</v>
      </c>
      <c r="E2583" s="2" t="s">
        <v>26129</v>
      </c>
      <c r="G2583" s="3" t="s">
        <v>64</v>
      </c>
      <c r="I2583" s="3" t="s">
        <v>64</v>
      </c>
      <c r="J2583" s="3" t="s">
        <v>64</v>
      </c>
      <c r="K2583" s="3" t="s">
        <v>65</v>
      </c>
      <c r="L2583" s="2" t="s">
        <v>26130</v>
      </c>
      <c r="M2583" s="2" t="s">
        <v>26131</v>
      </c>
      <c r="N2583" s="3" t="s">
        <v>5359</v>
      </c>
      <c r="P2583" s="3" t="s">
        <v>102</v>
      </c>
      <c r="R2583" s="3" t="s">
        <v>70</v>
      </c>
      <c r="S2583" s="4">
        <v>1</v>
      </c>
      <c r="T2583" s="4">
        <v>1</v>
      </c>
      <c r="U2583" s="5" t="s">
        <v>4248</v>
      </c>
      <c r="V2583" s="5" t="s">
        <v>4248</v>
      </c>
      <c r="W2583" s="5" t="s">
        <v>72</v>
      </c>
      <c r="X2583" s="5" t="s">
        <v>72</v>
      </c>
      <c r="Y2583" s="4">
        <v>72</v>
      </c>
      <c r="Z2583" s="4">
        <v>6</v>
      </c>
      <c r="AA2583" s="4">
        <v>8</v>
      </c>
      <c r="AB2583" s="4">
        <v>1</v>
      </c>
      <c r="AC2583" s="4">
        <v>1</v>
      </c>
      <c r="AD2583" s="4">
        <v>31</v>
      </c>
      <c r="AE2583" s="4">
        <v>34</v>
      </c>
      <c r="AF2583" s="4">
        <v>0</v>
      </c>
      <c r="AG2583" s="4">
        <v>0</v>
      </c>
      <c r="AH2583" s="4">
        <v>28</v>
      </c>
      <c r="AI2583" s="4">
        <v>29</v>
      </c>
      <c r="AJ2583" s="4">
        <v>2</v>
      </c>
      <c r="AK2583" s="4">
        <v>3</v>
      </c>
      <c r="AL2583" s="4">
        <v>20</v>
      </c>
      <c r="AM2583" s="4">
        <v>20</v>
      </c>
      <c r="AN2583" s="4">
        <v>0</v>
      </c>
      <c r="AO2583" s="4">
        <v>0</v>
      </c>
      <c r="AP2583" s="4">
        <v>3</v>
      </c>
      <c r="AQ2583" s="4">
        <v>5</v>
      </c>
      <c r="AR2583" s="3" t="s">
        <v>64</v>
      </c>
      <c r="AS2583" s="3" t="s">
        <v>64</v>
      </c>
      <c r="AT2583" s="3" t="s">
        <v>64</v>
      </c>
      <c r="AU2583" s="6" t="str">
        <f>HYPERLINK("http://catalog.hathitrust.org/Record/001162894","HathiTrust Record")</f>
        <v>HathiTrust Record</v>
      </c>
      <c r="AV2583" s="6" t="str">
        <f>HYPERLINK("http://mcgill.on.worldcat.org/oclc/3784959","Catalog Record")</f>
        <v>Catalog Record</v>
      </c>
      <c r="AW2583" s="6" t="str">
        <f>HYPERLINK("http://www.worldcat.org/oclc/3784959","WorldCat Record")</f>
        <v>WorldCat Record</v>
      </c>
      <c r="AX2583" s="3" t="s">
        <v>26132</v>
      </c>
      <c r="AY2583" s="3" t="s">
        <v>26133</v>
      </c>
      <c r="AZ2583" s="3" t="s">
        <v>26134</v>
      </c>
      <c r="BA2583" s="3" t="s">
        <v>26134</v>
      </c>
      <c r="BB2583" s="3" t="s">
        <v>26135</v>
      </c>
      <c r="BC2583" s="3" t="s">
        <v>77</v>
      </c>
      <c r="BD2583" s="3" t="s">
        <v>78</v>
      </c>
      <c r="BF2583" s="3" t="s">
        <v>26135</v>
      </c>
      <c r="BG2583" s="3" t="s">
        <v>26136</v>
      </c>
      <c r="BH2583">
        <f t="shared" si="62"/>
        <v>0</v>
      </c>
    </row>
    <row r="2584" spans="1:60" ht="58" x14ac:dyDescent="0.35">
      <c r="A2584" s="2" t="s">
        <v>59</v>
      </c>
      <c r="B2584" s="2" t="s">
        <v>60</v>
      </c>
      <c r="C2584" s="2" t="s">
        <v>26137</v>
      </c>
      <c r="D2584" s="2" t="s">
        <v>26138</v>
      </c>
      <c r="E2584" s="2" t="s">
        <v>26139</v>
      </c>
      <c r="G2584" s="3" t="s">
        <v>64</v>
      </c>
      <c r="I2584" s="3" t="s">
        <v>64</v>
      </c>
      <c r="J2584" s="3" t="s">
        <v>64</v>
      </c>
      <c r="K2584" s="3" t="s">
        <v>65</v>
      </c>
      <c r="L2584" s="2" t="s">
        <v>26140</v>
      </c>
      <c r="M2584" s="2" t="s">
        <v>26141</v>
      </c>
      <c r="N2584" s="3" t="s">
        <v>364</v>
      </c>
      <c r="O2584" s="2" t="s">
        <v>3538</v>
      </c>
      <c r="P2584" s="3" t="s">
        <v>102</v>
      </c>
      <c r="R2584" s="3" t="s">
        <v>70</v>
      </c>
      <c r="S2584" s="4">
        <v>1</v>
      </c>
      <c r="T2584" s="4">
        <v>1</v>
      </c>
      <c r="U2584" s="5" t="s">
        <v>5738</v>
      </c>
      <c r="V2584" s="5" t="s">
        <v>5738</v>
      </c>
      <c r="W2584" s="5" t="s">
        <v>72</v>
      </c>
      <c r="X2584" s="5" t="s">
        <v>72</v>
      </c>
      <c r="Y2584" s="4">
        <v>63</v>
      </c>
      <c r="Z2584" s="4">
        <v>5</v>
      </c>
      <c r="AA2584" s="4">
        <v>24</v>
      </c>
      <c r="AB2584" s="4">
        <v>1</v>
      </c>
      <c r="AC2584" s="4">
        <v>4</v>
      </c>
      <c r="AD2584" s="4">
        <v>18</v>
      </c>
      <c r="AE2584" s="4">
        <v>44</v>
      </c>
      <c r="AF2584" s="4">
        <v>0</v>
      </c>
      <c r="AG2584" s="4">
        <v>1</v>
      </c>
      <c r="AH2584" s="4">
        <v>16</v>
      </c>
      <c r="AI2584" s="4">
        <v>35</v>
      </c>
      <c r="AJ2584" s="4">
        <v>3</v>
      </c>
      <c r="AK2584" s="4">
        <v>11</v>
      </c>
      <c r="AL2584" s="4">
        <v>9</v>
      </c>
      <c r="AM2584" s="4">
        <v>21</v>
      </c>
      <c r="AN2584" s="4">
        <v>0</v>
      </c>
      <c r="AO2584" s="4">
        <v>0</v>
      </c>
      <c r="AP2584" s="4">
        <v>4</v>
      </c>
      <c r="AQ2584" s="4">
        <v>14</v>
      </c>
      <c r="AR2584" s="3" t="s">
        <v>128</v>
      </c>
      <c r="AS2584" s="3" t="s">
        <v>64</v>
      </c>
      <c r="AT2584" s="3" t="s">
        <v>64</v>
      </c>
      <c r="AV2584" s="6" t="str">
        <f>HYPERLINK("http://mcgill.on.worldcat.org/oclc/677613","Catalog Record")</f>
        <v>Catalog Record</v>
      </c>
      <c r="AW2584" s="6" t="str">
        <f>HYPERLINK("http://www.worldcat.org/oclc/677613","WorldCat Record")</f>
        <v>WorldCat Record</v>
      </c>
      <c r="AX2584" s="3" t="s">
        <v>26142</v>
      </c>
      <c r="AY2584" s="3" t="s">
        <v>26143</v>
      </c>
      <c r="AZ2584" s="3" t="s">
        <v>26144</v>
      </c>
      <c r="BA2584" s="3" t="s">
        <v>26144</v>
      </c>
      <c r="BB2584" s="3" t="s">
        <v>26145</v>
      </c>
      <c r="BC2584" s="3" t="s">
        <v>77</v>
      </c>
      <c r="BD2584" s="3" t="s">
        <v>78</v>
      </c>
      <c r="BE2584" s="3" t="s">
        <v>26146</v>
      </c>
      <c r="BF2584" s="3" t="s">
        <v>26145</v>
      </c>
      <c r="BG2584" s="3" t="s">
        <v>26147</v>
      </c>
      <c r="BH2584">
        <f t="shared" si="62"/>
        <v>0</v>
      </c>
    </row>
    <row r="2585" spans="1:60" ht="58" x14ac:dyDescent="0.35">
      <c r="A2585" s="2" t="s">
        <v>59</v>
      </c>
      <c r="B2585" s="2" t="s">
        <v>60</v>
      </c>
      <c r="C2585" s="2" t="s">
        <v>26148</v>
      </c>
      <c r="D2585" s="2" t="s">
        <v>26149</v>
      </c>
      <c r="E2585" s="2" t="s">
        <v>26150</v>
      </c>
      <c r="G2585" s="3" t="s">
        <v>64</v>
      </c>
      <c r="I2585" s="3" t="s">
        <v>64</v>
      </c>
      <c r="J2585" s="3" t="s">
        <v>64</v>
      </c>
      <c r="K2585" s="3" t="s">
        <v>65</v>
      </c>
      <c r="L2585" s="2" t="s">
        <v>16584</v>
      </c>
      <c r="M2585" s="2" t="s">
        <v>26151</v>
      </c>
      <c r="N2585" s="3" t="s">
        <v>7204</v>
      </c>
      <c r="P2585" s="3" t="s">
        <v>102</v>
      </c>
      <c r="R2585" s="3" t="s">
        <v>70</v>
      </c>
      <c r="S2585" s="4">
        <v>1</v>
      </c>
      <c r="T2585" s="4">
        <v>1</v>
      </c>
      <c r="U2585" s="5" t="s">
        <v>26152</v>
      </c>
      <c r="V2585" s="5" t="s">
        <v>26152</v>
      </c>
      <c r="W2585" s="5" t="s">
        <v>72</v>
      </c>
      <c r="X2585" s="5" t="s">
        <v>72</v>
      </c>
      <c r="Y2585" s="4">
        <v>91</v>
      </c>
      <c r="Z2585" s="4">
        <v>4</v>
      </c>
      <c r="AA2585" s="4">
        <v>4</v>
      </c>
      <c r="AB2585" s="4">
        <v>1</v>
      </c>
      <c r="AC2585" s="4">
        <v>1</v>
      </c>
      <c r="AD2585" s="4">
        <v>32</v>
      </c>
      <c r="AE2585" s="4">
        <v>32</v>
      </c>
      <c r="AF2585" s="4">
        <v>0</v>
      </c>
      <c r="AG2585" s="4">
        <v>0</v>
      </c>
      <c r="AH2585" s="4">
        <v>30</v>
      </c>
      <c r="AI2585" s="4">
        <v>30</v>
      </c>
      <c r="AJ2585" s="4">
        <v>2</v>
      </c>
      <c r="AK2585" s="4">
        <v>2</v>
      </c>
      <c r="AL2585" s="4">
        <v>22</v>
      </c>
      <c r="AM2585" s="4">
        <v>22</v>
      </c>
      <c r="AN2585" s="4">
        <v>4</v>
      </c>
      <c r="AO2585" s="4">
        <v>4</v>
      </c>
      <c r="AP2585" s="4">
        <v>2</v>
      </c>
      <c r="AQ2585" s="4">
        <v>2</v>
      </c>
      <c r="AR2585" s="3" t="s">
        <v>64</v>
      </c>
      <c r="AS2585" s="3" t="s">
        <v>64</v>
      </c>
      <c r="AT2585" s="3" t="s">
        <v>64</v>
      </c>
      <c r="AU2585" s="6" t="str">
        <f>HYPERLINK("http://catalog.hathitrust.org/Record/001162919","HathiTrust Record")</f>
        <v>HathiTrust Record</v>
      </c>
      <c r="AV2585" s="6" t="str">
        <f>HYPERLINK("http://mcgill.on.worldcat.org/oclc/16740709","Catalog Record")</f>
        <v>Catalog Record</v>
      </c>
      <c r="AW2585" s="6" t="str">
        <f>HYPERLINK("http://www.worldcat.org/oclc/16740709","WorldCat Record")</f>
        <v>WorldCat Record</v>
      </c>
      <c r="AX2585" s="3" t="s">
        <v>26153</v>
      </c>
      <c r="AY2585" s="3" t="s">
        <v>26154</v>
      </c>
      <c r="AZ2585" s="3" t="s">
        <v>26155</v>
      </c>
      <c r="BA2585" s="3" t="s">
        <v>26155</v>
      </c>
      <c r="BB2585" s="3" t="s">
        <v>26156</v>
      </c>
      <c r="BC2585" s="3" t="s">
        <v>77</v>
      </c>
      <c r="BD2585" s="3" t="s">
        <v>78</v>
      </c>
      <c r="BF2585" s="3" t="s">
        <v>26156</v>
      </c>
      <c r="BG2585" s="3" t="s">
        <v>26157</v>
      </c>
      <c r="BH2585">
        <f t="shared" si="62"/>
        <v>0</v>
      </c>
    </row>
    <row r="2586" spans="1:60" ht="58" x14ac:dyDescent="0.35">
      <c r="A2586" s="2" t="s">
        <v>59</v>
      </c>
      <c r="B2586" s="2" t="s">
        <v>60</v>
      </c>
      <c r="C2586" s="2" t="s">
        <v>26158</v>
      </c>
      <c r="D2586" s="2" t="s">
        <v>26159</v>
      </c>
      <c r="E2586" s="2" t="s">
        <v>26160</v>
      </c>
      <c r="G2586" s="3" t="s">
        <v>64</v>
      </c>
      <c r="I2586" s="3" t="s">
        <v>64</v>
      </c>
      <c r="J2586" s="3" t="s">
        <v>64</v>
      </c>
      <c r="K2586" s="3" t="s">
        <v>65</v>
      </c>
      <c r="L2586" s="2" t="s">
        <v>26161</v>
      </c>
      <c r="M2586" s="2" t="s">
        <v>26162</v>
      </c>
      <c r="N2586" s="3" t="s">
        <v>7285</v>
      </c>
      <c r="P2586" s="3" t="s">
        <v>102</v>
      </c>
      <c r="R2586" s="3" t="s">
        <v>70</v>
      </c>
      <c r="S2586" s="4">
        <v>14</v>
      </c>
      <c r="T2586" s="4">
        <v>14</v>
      </c>
      <c r="U2586" s="5" t="s">
        <v>12623</v>
      </c>
      <c r="V2586" s="5" t="s">
        <v>12623</v>
      </c>
      <c r="W2586" s="5" t="s">
        <v>72</v>
      </c>
      <c r="X2586" s="5" t="s">
        <v>72</v>
      </c>
      <c r="Y2586" s="4">
        <v>427</v>
      </c>
      <c r="Z2586" s="4">
        <v>23</v>
      </c>
      <c r="AA2586" s="4">
        <v>25</v>
      </c>
      <c r="AB2586" s="4">
        <v>1</v>
      </c>
      <c r="AC2586" s="4">
        <v>3</v>
      </c>
      <c r="AD2586" s="4">
        <v>97</v>
      </c>
      <c r="AE2586" s="4">
        <v>109</v>
      </c>
      <c r="AF2586" s="4">
        <v>0</v>
      </c>
      <c r="AG2586" s="4">
        <v>2</v>
      </c>
      <c r="AH2586" s="4">
        <v>86</v>
      </c>
      <c r="AI2586" s="4">
        <v>96</v>
      </c>
      <c r="AJ2586" s="4">
        <v>16</v>
      </c>
      <c r="AK2586" s="4">
        <v>18</v>
      </c>
      <c r="AL2586" s="4">
        <v>50</v>
      </c>
      <c r="AM2586" s="4">
        <v>53</v>
      </c>
      <c r="AN2586" s="4">
        <v>0</v>
      </c>
      <c r="AO2586" s="4">
        <v>0</v>
      </c>
      <c r="AP2586" s="4">
        <v>15</v>
      </c>
      <c r="AQ2586" s="4">
        <v>16</v>
      </c>
      <c r="AR2586" s="3" t="s">
        <v>64</v>
      </c>
      <c r="AS2586" s="3" t="s">
        <v>64</v>
      </c>
      <c r="AT2586" s="3" t="s">
        <v>128</v>
      </c>
      <c r="AU2586" s="6" t="str">
        <f>HYPERLINK("http://catalog.hathitrust.org/Record/001162943","HathiTrust Record")</f>
        <v>HathiTrust Record</v>
      </c>
      <c r="AV2586" s="6" t="str">
        <f>HYPERLINK("http://mcgill.on.worldcat.org/oclc/154491","Catalog Record")</f>
        <v>Catalog Record</v>
      </c>
      <c r="AW2586" s="6" t="str">
        <f>HYPERLINK("http://www.worldcat.org/oclc/154491","WorldCat Record")</f>
        <v>WorldCat Record</v>
      </c>
      <c r="AX2586" s="3" t="s">
        <v>26163</v>
      </c>
      <c r="AY2586" s="3" t="s">
        <v>26164</v>
      </c>
      <c r="AZ2586" s="3" t="s">
        <v>26165</v>
      </c>
      <c r="BA2586" s="3" t="s">
        <v>26165</v>
      </c>
      <c r="BB2586" s="3" t="s">
        <v>26166</v>
      </c>
      <c r="BC2586" s="3" t="s">
        <v>77</v>
      </c>
      <c r="BD2586" s="3" t="s">
        <v>78</v>
      </c>
      <c r="BE2586" s="3" t="s">
        <v>26167</v>
      </c>
      <c r="BF2586" s="3" t="s">
        <v>26166</v>
      </c>
      <c r="BG2586" s="3" t="s">
        <v>26168</v>
      </c>
      <c r="BH2586">
        <f t="shared" si="62"/>
        <v>0</v>
      </c>
    </row>
    <row r="2587" spans="1:60" ht="58" x14ac:dyDescent="0.35">
      <c r="A2587" s="2" t="s">
        <v>59</v>
      </c>
      <c r="B2587" s="2" t="s">
        <v>60</v>
      </c>
      <c r="C2587" s="2" t="s">
        <v>26169</v>
      </c>
      <c r="D2587" s="2" t="s">
        <v>26170</v>
      </c>
      <c r="E2587" s="2" t="s">
        <v>26171</v>
      </c>
      <c r="G2587" s="3" t="s">
        <v>64</v>
      </c>
      <c r="I2587" s="3" t="s">
        <v>64</v>
      </c>
      <c r="J2587" s="3" t="s">
        <v>64</v>
      </c>
      <c r="K2587" s="3" t="s">
        <v>65</v>
      </c>
      <c r="L2587" s="2" t="s">
        <v>25533</v>
      </c>
      <c r="M2587" s="2" t="s">
        <v>26172</v>
      </c>
      <c r="N2587" s="3" t="s">
        <v>5986</v>
      </c>
      <c r="P2587" s="3" t="s">
        <v>102</v>
      </c>
      <c r="Q2587" s="2" t="s">
        <v>20193</v>
      </c>
      <c r="R2587" s="3" t="s">
        <v>70</v>
      </c>
      <c r="S2587" s="4">
        <v>2</v>
      </c>
      <c r="T2587" s="4">
        <v>2</v>
      </c>
      <c r="U2587" s="5" t="s">
        <v>770</v>
      </c>
      <c r="V2587" s="5" t="s">
        <v>770</v>
      </c>
      <c r="W2587" s="5" t="s">
        <v>72</v>
      </c>
      <c r="X2587" s="5" t="s">
        <v>72</v>
      </c>
      <c r="Y2587" s="4">
        <v>1</v>
      </c>
      <c r="Z2587" s="4">
        <v>1</v>
      </c>
      <c r="AA2587" s="4">
        <v>2</v>
      </c>
      <c r="AB2587" s="4">
        <v>1</v>
      </c>
      <c r="AC2587" s="4">
        <v>2</v>
      </c>
      <c r="AD2587" s="4">
        <v>0</v>
      </c>
      <c r="AE2587" s="4">
        <v>1</v>
      </c>
      <c r="AF2587" s="4">
        <v>0</v>
      </c>
      <c r="AG2587" s="4">
        <v>1</v>
      </c>
      <c r="AH2587" s="4">
        <v>0</v>
      </c>
      <c r="AI2587" s="4">
        <v>0</v>
      </c>
      <c r="AJ2587" s="4">
        <v>0</v>
      </c>
      <c r="AK2587" s="4">
        <v>1</v>
      </c>
      <c r="AL2587" s="4">
        <v>0</v>
      </c>
      <c r="AM2587" s="4">
        <v>0</v>
      </c>
      <c r="AN2587" s="4">
        <v>0</v>
      </c>
      <c r="AO2587" s="4">
        <v>0</v>
      </c>
      <c r="AP2587" s="4">
        <v>0</v>
      </c>
      <c r="AQ2587" s="4">
        <v>0</v>
      </c>
      <c r="AR2587" s="3" t="s">
        <v>64</v>
      </c>
      <c r="AS2587" s="3" t="s">
        <v>64</v>
      </c>
      <c r="AT2587" s="3" t="s">
        <v>64</v>
      </c>
      <c r="AV2587" s="6" t="str">
        <f>HYPERLINK("http://mcgill.on.worldcat.org/oclc/427337931","Catalog Record")</f>
        <v>Catalog Record</v>
      </c>
      <c r="AW2587" s="6" t="str">
        <f>HYPERLINK("http://www.worldcat.org/oclc/427337931","WorldCat Record")</f>
        <v>WorldCat Record</v>
      </c>
      <c r="AX2587" s="3" t="s">
        <v>26173</v>
      </c>
      <c r="AY2587" s="3" t="s">
        <v>26174</v>
      </c>
      <c r="AZ2587" s="3" t="s">
        <v>26175</v>
      </c>
      <c r="BA2587" s="3" t="s">
        <v>26175</v>
      </c>
      <c r="BB2587" s="3" t="s">
        <v>26176</v>
      </c>
      <c r="BC2587" s="3" t="s">
        <v>77</v>
      </c>
      <c r="BD2587" s="3" t="s">
        <v>78</v>
      </c>
      <c r="BF2587" s="3" t="s">
        <v>26176</v>
      </c>
      <c r="BG2587" s="3" t="s">
        <v>26177</v>
      </c>
      <c r="BH2587">
        <f t="shared" si="62"/>
        <v>0</v>
      </c>
    </row>
    <row r="2588" spans="1:60" ht="58" x14ac:dyDescent="0.35">
      <c r="A2588" s="2" t="s">
        <v>59</v>
      </c>
      <c r="B2588" s="2" t="s">
        <v>60</v>
      </c>
      <c r="C2588" s="2" t="s">
        <v>26178</v>
      </c>
      <c r="D2588" s="2" t="s">
        <v>26179</v>
      </c>
      <c r="E2588" s="2" t="s">
        <v>26180</v>
      </c>
      <c r="G2588" s="3" t="s">
        <v>64</v>
      </c>
      <c r="I2588" s="3" t="s">
        <v>64</v>
      </c>
      <c r="J2588" s="3" t="s">
        <v>64</v>
      </c>
      <c r="K2588" s="3" t="s">
        <v>65</v>
      </c>
      <c r="L2588" s="2" t="s">
        <v>25370</v>
      </c>
      <c r="M2588" s="2" t="s">
        <v>16093</v>
      </c>
      <c r="N2588" s="3" t="s">
        <v>511</v>
      </c>
      <c r="P2588" s="3" t="s">
        <v>102</v>
      </c>
      <c r="R2588" s="3" t="s">
        <v>70</v>
      </c>
      <c r="S2588" s="4">
        <v>6</v>
      </c>
      <c r="T2588" s="4">
        <v>6</v>
      </c>
      <c r="U2588" s="5" t="s">
        <v>26181</v>
      </c>
      <c r="V2588" s="5" t="s">
        <v>26181</v>
      </c>
      <c r="W2588" s="5" t="s">
        <v>72</v>
      </c>
      <c r="X2588" s="5" t="s">
        <v>72</v>
      </c>
      <c r="Y2588" s="4">
        <v>218</v>
      </c>
      <c r="Z2588" s="4">
        <v>14</v>
      </c>
      <c r="AA2588" s="4">
        <v>16</v>
      </c>
      <c r="AB2588" s="4">
        <v>2</v>
      </c>
      <c r="AC2588" s="4">
        <v>4</v>
      </c>
      <c r="AD2588" s="4">
        <v>64</v>
      </c>
      <c r="AE2588" s="4">
        <v>66</v>
      </c>
      <c r="AF2588" s="4">
        <v>1</v>
      </c>
      <c r="AG2588" s="4">
        <v>3</v>
      </c>
      <c r="AH2588" s="4">
        <v>57</v>
      </c>
      <c r="AI2588" s="4">
        <v>58</v>
      </c>
      <c r="AJ2588" s="4">
        <v>9</v>
      </c>
      <c r="AK2588" s="4">
        <v>11</v>
      </c>
      <c r="AL2588" s="4">
        <v>35</v>
      </c>
      <c r="AM2588" s="4">
        <v>35</v>
      </c>
      <c r="AN2588" s="4">
        <v>0</v>
      </c>
      <c r="AO2588" s="4">
        <v>0</v>
      </c>
      <c r="AP2588" s="4">
        <v>11</v>
      </c>
      <c r="AQ2588" s="4">
        <v>12</v>
      </c>
      <c r="AR2588" s="3" t="s">
        <v>64</v>
      </c>
      <c r="AS2588" s="3" t="s">
        <v>64</v>
      </c>
      <c r="AT2588" s="3" t="s">
        <v>64</v>
      </c>
      <c r="AV2588" s="6" t="str">
        <f>HYPERLINK("http://mcgill.on.worldcat.org/oclc/624025531","Catalog Record")</f>
        <v>Catalog Record</v>
      </c>
      <c r="AW2588" s="6" t="str">
        <f>HYPERLINK("http://www.worldcat.org/oclc/624025531","WorldCat Record")</f>
        <v>WorldCat Record</v>
      </c>
      <c r="AX2588" s="3" t="s">
        <v>26182</v>
      </c>
      <c r="AY2588" s="3" t="s">
        <v>26183</v>
      </c>
      <c r="AZ2588" s="3" t="s">
        <v>26184</v>
      </c>
      <c r="BA2588" s="3" t="s">
        <v>26184</v>
      </c>
      <c r="BB2588" s="3" t="s">
        <v>26185</v>
      </c>
      <c r="BC2588" s="3" t="s">
        <v>77</v>
      </c>
      <c r="BD2588" s="3" t="s">
        <v>78</v>
      </c>
      <c r="BE2588" s="3" t="s">
        <v>26186</v>
      </c>
      <c r="BF2588" s="3" t="s">
        <v>26185</v>
      </c>
      <c r="BG2588" s="3" t="s">
        <v>26187</v>
      </c>
      <c r="BH2588">
        <f t="shared" si="62"/>
        <v>0</v>
      </c>
    </row>
    <row r="2589" spans="1:60" ht="58" x14ac:dyDescent="0.35">
      <c r="A2589" s="2" t="s">
        <v>59</v>
      </c>
      <c r="B2589" s="2" t="s">
        <v>60</v>
      </c>
      <c r="C2589" s="2" t="s">
        <v>26188</v>
      </c>
      <c r="D2589" s="2" t="s">
        <v>26189</v>
      </c>
      <c r="E2589" s="2" t="s">
        <v>26190</v>
      </c>
      <c r="G2589" s="3" t="s">
        <v>64</v>
      </c>
      <c r="I2589" s="3" t="s">
        <v>64</v>
      </c>
      <c r="J2589" s="3" t="s">
        <v>64</v>
      </c>
      <c r="K2589" s="3" t="s">
        <v>65</v>
      </c>
      <c r="M2589" s="2" t="s">
        <v>26191</v>
      </c>
      <c r="N2589" s="3" t="s">
        <v>144</v>
      </c>
      <c r="P2589" s="3" t="s">
        <v>68</v>
      </c>
      <c r="R2589" s="3" t="s">
        <v>70</v>
      </c>
      <c r="S2589" s="4">
        <v>11</v>
      </c>
      <c r="T2589" s="4">
        <v>11</v>
      </c>
      <c r="U2589" s="5" t="s">
        <v>15687</v>
      </c>
      <c r="V2589" s="5" t="s">
        <v>15687</v>
      </c>
      <c r="W2589" s="5" t="s">
        <v>72</v>
      </c>
      <c r="X2589" s="5" t="s">
        <v>72</v>
      </c>
      <c r="Y2589" s="4">
        <v>4</v>
      </c>
      <c r="Z2589" s="4">
        <v>2</v>
      </c>
      <c r="AA2589" s="4">
        <v>35</v>
      </c>
      <c r="AB2589" s="4">
        <v>1</v>
      </c>
      <c r="AC2589" s="4">
        <v>27</v>
      </c>
      <c r="AD2589" s="4">
        <v>3</v>
      </c>
      <c r="AE2589" s="4">
        <v>17</v>
      </c>
      <c r="AF2589" s="4">
        <v>0</v>
      </c>
      <c r="AG2589" s="4">
        <v>9</v>
      </c>
      <c r="AH2589" s="4">
        <v>3</v>
      </c>
      <c r="AI2589" s="4">
        <v>6</v>
      </c>
      <c r="AJ2589" s="4">
        <v>1</v>
      </c>
      <c r="AK2589" s="4">
        <v>9</v>
      </c>
      <c r="AL2589" s="4">
        <v>1</v>
      </c>
      <c r="AM2589" s="4">
        <v>1</v>
      </c>
      <c r="AN2589" s="4">
        <v>0</v>
      </c>
      <c r="AO2589" s="4">
        <v>0</v>
      </c>
      <c r="AP2589" s="4">
        <v>1</v>
      </c>
      <c r="AQ2589" s="4">
        <v>12</v>
      </c>
      <c r="AR2589" s="3" t="s">
        <v>128</v>
      </c>
      <c r="AS2589" s="3" t="s">
        <v>64</v>
      </c>
      <c r="AT2589" s="3" t="s">
        <v>128</v>
      </c>
      <c r="AU2589" s="6" t="str">
        <f>HYPERLINK("http://catalog.hathitrust.org/Record/005957202","HathiTrust Record")</f>
        <v>HathiTrust Record</v>
      </c>
      <c r="AV2589" s="6" t="str">
        <f>HYPERLINK("http://mcgill.on.worldcat.org/oclc/263636038","Catalog Record")</f>
        <v>Catalog Record</v>
      </c>
      <c r="AW2589" s="6" t="str">
        <f>HYPERLINK("http://www.worldcat.org/oclc/263636038","WorldCat Record")</f>
        <v>WorldCat Record</v>
      </c>
      <c r="AX2589" s="3" t="s">
        <v>26192</v>
      </c>
      <c r="AY2589" s="3" t="s">
        <v>26193</v>
      </c>
      <c r="AZ2589" s="3" t="s">
        <v>26194</v>
      </c>
      <c r="BA2589" s="3" t="s">
        <v>26194</v>
      </c>
      <c r="BB2589" s="3" t="s">
        <v>26195</v>
      </c>
      <c r="BC2589" s="3" t="s">
        <v>77</v>
      </c>
      <c r="BD2589" s="3" t="s">
        <v>78</v>
      </c>
      <c r="BE2589" s="3" t="s">
        <v>26196</v>
      </c>
      <c r="BF2589" s="3" t="s">
        <v>26195</v>
      </c>
      <c r="BG2589" s="3" t="s">
        <v>26197</v>
      </c>
      <c r="BH2589">
        <f t="shared" si="62"/>
        <v>0</v>
      </c>
    </row>
    <row r="2590" spans="1:60" ht="58" x14ac:dyDescent="0.35">
      <c r="A2590" s="2" t="s">
        <v>59</v>
      </c>
      <c r="B2590" s="2" t="s">
        <v>60</v>
      </c>
      <c r="C2590" s="2" t="s">
        <v>26198</v>
      </c>
      <c r="D2590" s="2" t="s">
        <v>26199</v>
      </c>
      <c r="E2590" s="2" t="s">
        <v>26200</v>
      </c>
      <c r="G2590" s="3" t="s">
        <v>64</v>
      </c>
      <c r="I2590" s="3" t="s">
        <v>64</v>
      </c>
      <c r="J2590" s="3" t="s">
        <v>64</v>
      </c>
      <c r="K2590" s="3" t="s">
        <v>65</v>
      </c>
      <c r="L2590" s="2" t="s">
        <v>25340</v>
      </c>
      <c r="M2590" s="2" t="s">
        <v>26201</v>
      </c>
      <c r="N2590" s="3" t="s">
        <v>86</v>
      </c>
      <c r="O2590" s="2" t="s">
        <v>15237</v>
      </c>
      <c r="P2590" s="3" t="s">
        <v>102</v>
      </c>
      <c r="R2590" s="3" t="s">
        <v>70</v>
      </c>
      <c r="S2590" s="4">
        <v>6</v>
      </c>
      <c r="T2590" s="4">
        <v>6</v>
      </c>
      <c r="U2590" s="5" t="s">
        <v>26202</v>
      </c>
      <c r="V2590" s="5" t="s">
        <v>26202</v>
      </c>
      <c r="W2590" s="5" t="s">
        <v>72</v>
      </c>
      <c r="X2590" s="5" t="s">
        <v>72</v>
      </c>
      <c r="Y2590" s="4">
        <v>180</v>
      </c>
      <c r="Z2590" s="4">
        <v>12</v>
      </c>
      <c r="AA2590" s="4">
        <v>22</v>
      </c>
      <c r="AB2590" s="4">
        <v>1</v>
      </c>
      <c r="AC2590" s="4">
        <v>5</v>
      </c>
      <c r="AD2590" s="4">
        <v>32</v>
      </c>
      <c r="AE2590" s="4">
        <v>38</v>
      </c>
      <c r="AF2590" s="4">
        <v>0</v>
      </c>
      <c r="AG2590" s="4">
        <v>1</v>
      </c>
      <c r="AH2590" s="4">
        <v>31</v>
      </c>
      <c r="AI2590" s="4">
        <v>34</v>
      </c>
      <c r="AJ2590" s="4">
        <v>5</v>
      </c>
      <c r="AK2590" s="4">
        <v>7</v>
      </c>
      <c r="AL2590" s="4">
        <v>19</v>
      </c>
      <c r="AM2590" s="4">
        <v>22</v>
      </c>
      <c r="AN2590" s="4">
        <v>0</v>
      </c>
      <c r="AO2590" s="4">
        <v>0</v>
      </c>
      <c r="AP2590" s="4">
        <v>5</v>
      </c>
      <c r="AQ2590" s="4">
        <v>7</v>
      </c>
      <c r="AR2590" s="3" t="s">
        <v>64</v>
      </c>
      <c r="AS2590" s="3" t="s">
        <v>64</v>
      </c>
      <c r="AT2590" s="3" t="s">
        <v>64</v>
      </c>
      <c r="AV2590" s="6" t="str">
        <f>HYPERLINK("http://mcgill.on.worldcat.org/oclc/221148668","Catalog Record")</f>
        <v>Catalog Record</v>
      </c>
      <c r="AW2590" s="6" t="str">
        <f>HYPERLINK("http://www.worldcat.org/oclc/221148668","WorldCat Record")</f>
        <v>WorldCat Record</v>
      </c>
      <c r="AX2590" s="3" t="s">
        <v>26203</v>
      </c>
      <c r="AY2590" s="3" t="s">
        <v>26204</v>
      </c>
      <c r="AZ2590" s="3" t="s">
        <v>26205</v>
      </c>
      <c r="BA2590" s="3" t="s">
        <v>26205</v>
      </c>
      <c r="BB2590" s="3" t="s">
        <v>26206</v>
      </c>
      <c r="BC2590" s="3" t="s">
        <v>77</v>
      </c>
      <c r="BD2590" s="3" t="s">
        <v>78</v>
      </c>
      <c r="BE2590" s="3" t="s">
        <v>26207</v>
      </c>
      <c r="BF2590" s="3" t="s">
        <v>26206</v>
      </c>
      <c r="BG2590" s="3" t="s">
        <v>26208</v>
      </c>
      <c r="BH2590">
        <f t="shared" si="62"/>
        <v>0</v>
      </c>
    </row>
    <row r="2591" spans="1:60" ht="58" x14ac:dyDescent="0.35">
      <c r="A2591" s="2" t="s">
        <v>59</v>
      </c>
      <c r="B2591" s="2" t="s">
        <v>60</v>
      </c>
      <c r="C2591" s="2" t="s">
        <v>26209</v>
      </c>
      <c r="D2591" s="2" t="s">
        <v>26210</v>
      </c>
      <c r="E2591" s="2" t="s">
        <v>25984</v>
      </c>
      <c r="G2591" s="3" t="s">
        <v>64</v>
      </c>
      <c r="I2591" s="3" t="s">
        <v>128</v>
      </c>
      <c r="J2591" s="3" t="s">
        <v>64</v>
      </c>
      <c r="K2591" s="3" t="s">
        <v>65</v>
      </c>
      <c r="L2591" s="2" t="s">
        <v>26211</v>
      </c>
      <c r="M2591" s="2" t="s">
        <v>20049</v>
      </c>
      <c r="N2591" s="3" t="s">
        <v>434</v>
      </c>
      <c r="O2591" s="2" t="s">
        <v>14853</v>
      </c>
      <c r="P2591" s="3" t="s">
        <v>102</v>
      </c>
      <c r="Q2591" s="2" t="s">
        <v>15094</v>
      </c>
      <c r="R2591" s="3" t="s">
        <v>70</v>
      </c>
      <c r="S2591" s="4">
        <v>0</v>
      </c>
      <c r="T2591" s="4">
        <v>59</v>
      </c>
      <c r="V2591" s="5" t="s">
        <v>1264</v>
      </c>
      <c r="W2591" s="5" t="s">
        <v>72</v>
      </c>
      <c r="X2591" s="5" t="s">
        <v>72</v>
      </c>
      <c r="Y2591" s="4">
        <v>531</v>
      </c>
      <c r="Z2591" s="4">
        <v>27</v>
      </c>
      <c r="AA2591" s="4">
        <v>30</v>
      </c>
      <c r="AB2591" s="4">
        <v>2</v>
      </c>
      <c r="AC2591" s="4">
        <v>5</v>
      </c>
      <c r="AD2591" s="4">
        <v>78</v>
      </c>
      <c r="AE2591" s="4">
        <v>81</v>
      </c>
      <c r="AF2591" s="4">
        <v>0</v>
      </c>
      <c r="AG2591" s="4">
        <v>3</v>
      </c>
      <c r="AH2591" s="4">
        <v>70</v>
      </c>
      <c r="AI2591" s="4">
        <v>71</v>
      </c>
      <c r="AJ2591" s="4">
        <v>8</v>
      </c>
      <c r="AK2591" s="4">
        <v>11</v>
      </c>
      <c r="AL2591" s="4">
        <v>38</v>
      </c>
      <c r="AM2591" s="4">
        <v>38</v>
      </c>
      <c r="AN2591" s="4">
        <v>0</v>
      </c>
      <c r="AO2591" s="4">
        <v>0</v>
      </c>
      <c r="AP2591" s="4">
        <v>10</v>
      </c>
      <c r="AQ2591" s="4">
        <v>12</v>
      </c>
      <c r="AR2591" s="3" t="s">
        <v>64</v>
      </c>
      <c r="AS2591" s="3" t="s">
        <v>64</v>
      </c>
      <c r="AT2591" s="3" t="s">
        <v>64</v>
      </c>
      <c r="AV2591" s="6" t="str">
        <f>HYPERLINK("http://mcgill.on.worldcat.org/oclc/57373683","Catalog Record")</f>
        <v>Catalog Record</v>
      </c>
      <c r="AW2591" s="6" t="str">
        <f>HYPERLINK("http://www.worldcat.org/oclc/57373683","WorldCat Record")</f>
        <v>WorldCat Record</v>
      </c>
      <c r="AX2591" s="3" t="s">
        <v>26212</v>
      </c>
      <c r="AY2591" s="3" t="s">
        <v>26213</v>
      </c>
      <c r="AZ2591" s="3" t="s">
        <v>26214</v>
      </c>
      <c r="BA2591" s="3" t="s">
        <v>26214</v>
      </c>
      <c r="BB2591" s="3" t="s">
        <v>26215</v>
      </c>
      <c r="BC2591" s="3" t="s">
        <v>77</v>
      </c>
      <c r="BD2591" s="3" t="s">
        <v>78</v>
      </c>
      <c r="BE2591" s="3" t="s">
        <v>26216</v>
      </c>
      <c r="BF2591" s="3" t="s">
        <v>26215</v>
      </c>
      <c r="BG2591" s="3" t="s">
        <v>26217</v>
      </c>
      <c r="BH2591">
        <f t="shared" si="62"/>
        <v>0</v>
      </c>
    </row>
    <row r="2592" spans="1:60" ht="58" x14ac:dyDescent="0.35">
      <c r="A2592" s="2" t="s">
        <v>59</v>
      </c>
      <c r="B2592" s="2" t="s">
        <v>60</v>
      </c>
      <c r="C2592" s="2" t="s">
        <v>26209</v>
      </c>
      <c r="D2592" s="2" t="s">
        <v>26210</v>
      </c>
      <c r="E2592" s="2" t="s">
        <v>25984</v>
      </c>
      <c r="G2592" s="3" t="s">
        <v>64</v>
      </c>
      <c r="I2592" s="3" t="s">
        <v>128</v>
      </c>
      <c r="J2592" s="3" t="s">
        <v>64</v>
      </c>
      <c r="K2592" s="3" t="s">
        <v>65</v>
      </c>
      <c r="L2592" s="2" t="s">
        <v>26211</v>
      </c>
      <c r="M2592" s="2" t="s">
        <v>20049</v>
      </c>
      <c r="N2592" s="3" t="s">
        <v>434</v>
      </c>
      <c r="O2592" s="2" t="s">
        <v>14853</v>
      </c>
      <c r="P2592" s="3" t="s">
        <v>102</v>
      </c>
      <c r="Q2592" s="2" t="s">
        <v>15094</v>
      </c>
      <c r="R2592" s="3" t="s">
        <v>70</v>
      </c>
      <c r="S2592" s="4">
        <v>29</v>
      </c>
      <c r="T2592" s="4">
        <v>59</v>
      </c>
      <c r="U2592" s="5" t="s">
        <v>1264</v>
      </c>
      <c r="V2592" s="5" t="s">
        <v>1264</v>
      </c>
      <c r="W2592" s="5" t="s">
        <v>72</v>
      </c>
      <c r="X2592" s="5" t="s">
        <v>72</v>
      </c>
      <c r="Y2592" s="4">
        <v>531</v>
      </c>
      <c r="Z2592" s="4">
        <v>27</v>
      </c>
      <c r="AA2592" s="4">
        <v>30</v>
      </c>
      <c r="AB2592" s="4">
        <v>2</v>
      </c>
      <c r="AC2592" s="4">
        <v>5</v>
      </c>
      <c r="AD2592" s="4">
        <v>78</v>
      </c>
      <c r="AE2592" s="4">
        <v>81</v>
      </c>
      <c r="AF2592" s="4">
        <v>0</v>
      </c>
      <c r="AG2592" s="4">
        <v>3</v>
      </c>
      <c r="AH2592" s="4">
        <v>70</v>
      </c>
      <c r="AI2592" s="4">
        <v>71</v>
      </c>
      <c r="AJ2592" s="4">
        <v>8</v>
      </c>
      <c r="AK2592" s="4">
        <v>11</v>
      </c>
      <c r="AL2592" s="4">
        <v>38</v>
      </c>
      <c r="AM2592" s="4">
        <v>38</v>
      </c>
      <c r="AN2592" s="4">
        <v>0</v>
      </c>
      <c r="AO2592" s="4">
        <v>0</v>
      </c>
      <c r="AP2592" s="4">
        <v>10</v>
      </c>
      <c r="AQ2592" s="4">
        <v>12</v>
      </c>
      <c r="AR2592" s="3" t="s">
        <v>64</v>
      </c>
      <c r="AS2592" s="3" t="s">
        <v>64</v>
      </c>
      <c r="AT2592" s="3" t="s">
        <v>64</v>
      </c>
      <c r="AV2592" s="6" t="str">
        <f>HYPERLINK("http://mcgill.on.worldcat.org/oclc/57373683","Catalog Record")</f>
        <v>Catalog Record</v>
      </c>
      <c r="AW2592" s="6" t="str">
        <f>HYPERLINK("http://www.worldcat.org/oclc/57373683","WorldCat Record")</f>
        <v>WorldCat Record</v>
      </c>
      <c r="AX2592" s="3" t="s">
        <v>26212</v>
      </c>
      <c r="AY2592" s="3" t="s">
        <v>26213</v>
      </c>
      <c r="AZ2592" s="3" t="s">
        <v>26214</v>
      </c>
      <c r="BA2592" s="3" t="s">
        <v>26214</v>
      </c>
      <c r="BB2592" s="3" t="s">
        <v>26218</v>
      </c>
      <c r="BC2592" s="3" t="s">
        <v>77</v>
      </c>
      <c r="BD2592" s="3" t="s">
        <v>78</v>
      </c>
      <c r="BE2592" s="3" t="s">
        <v>26216</v>
      </c>
      <c r="BF2592" s="3" t="s">
        <v>26218</v>
      </c>
      <c r="BG2592" s="3" t="s">
        <v>26219</v>
      </c>
      <c r="BH2592">
        <f t="shared" si="62"/>
        <v>0</v>
      </c>
    </row>
    <row r="2593" spans="1:60" ht="58" x14ac:dyDescent="0.35">
      <c r="A2593" s="2" t="s">
        <v>59</v>
      </c>
      <c r="B2593" s="2" t="s">
        <v>60</v>
      </c>
      <c r="C2593" s="2" t="s">
        <v>26209</v>
      </c>
      <c r="D2593" s="2" t="s">
        <v>26210</v>
      </c>
      <c r="E2593" s="2" t="s">
        <v>25984</v>
      </c>
      <c r="G2593" s="3" t="s">
        <v>64</v>
      </c>
      <c r="I2593" s="3" t="s">
        <v>128</v>
      </c>
      <c r="J2593" s="3" t="s">
        <v>64</v>
      </c>
      <c r="K2593" s="3" t="s">
        <v>65</v>
      </c>
      <c r="L2593" s="2" t="s">
        <v>26211</v>
      </c>
      <c r="M2593" s="2" t="s">
        <v>20049</v>
      </c>
      <c r="N2593" s="3" t="s">
        <v>434</v>
      </c>
      <c r="O2593" s="2" t="s">
        <v>14853</v>
      </c>
      <c r="P2593" s="3" t="s">
        <v>102</v>
      </c>
      <c r="Q2593" s="2" t="s">
        <v>15094</v>
      </c>
      <c r="R2593" s="3" t="s">
        <v>70</v>
      </c>
      <c r="S2593" s="4">
        <v>30</v>
      </c>
      <c r="T2593" s="4">
        <v>59</v>
      </c>
      <c r="U2593" s="5" t="s">
        <v>15859</v>
      </c>
      <c r="V2593" s="5" t="s">
        <v>1264</v>
      </c>
      <c r="W2593" s="5" t="s">
        <v>72</v>
      </c>
      <c r="X2593" s="5" t="s">
        <v>72</v>
      </c>
      <c r="Y2593" s="4">
        <v>531</v>
      </c>
      <c r="Z2593" s="4">
        <v>27</v>
      </c>
      <c r="AA2593" s="4">
        <v>30</v>
      </c>
      <c r="AB2593" s="4">
        <v>2</v>
      </c>
      <c r="AC2593" s="4">
        <v>5</v>
      </c>
      <c r="AD2593" s="4">
        <v>78</v>
      </c>
      <c r="AE2593" s="4">
        <v>81</v>
      </c>
      <c r="AF2593" s="4">
        <v>0</v>
      </c>
      <c r="AG2593" s="4">
        <v>3</v>
      </c>
      <c r="AH2593" s="4">
        <v>70</v>
      </c>
      <c r="AI2593" s="4">
        <v>71</v>
      </c>
      <c r="AJ2593" s="4">
        <v>8</v>
      </c>
      <c r="AK2593" s="4">
        <v>11</v>
      </c>
      <c r="AL2593" s="4">
        <v>38</v>
      </c>
      <c r="AM2593" s="4">
        <v>38</v>
      </c>
      <c r="AN2593" s="4">
        <v>0</v>
      </c>
      <c r="AO2593" s="4">
        <v>0</v>
      </c>
      <c r="AP2593" s="4">
        <v>10</v>
      </c>
      <c r="AQ2593" s="4">
        <v>12</v>
      </c>
      <c r="AR2593" s="3" t="s">
        <v>64</v>
      </c>
      <c r="AS2593" s="3" t="s">
        <v>64</v>
      </c>
      <c r="AT2593" s="3" t="s">
        <v>64</v>
      </c>
      <c r="AV2593" s="6" t="str">
        <f>HYPERLINK("http://mcgill.on.worldcat.org/oclc/57373683","Catalog Record")</f>
        <v>Catalog Record</v>
      </c>
      <c r="AW2593" s="6" t="str">
        <f>HYPERLINK("http://www.worldcat.org/oclc/57373683","WorldCat Record")</f>
        <v>WorldCat Record</v>
      </c>
      <c r="AX2593" s="3" t="s">
        <v>26212</v>
      </c>
      <c r="AY2593" s="3" t="s">
        <v>26213</v>
      </c>
      <c r="AZ2593" s="3" t="s">
        <v>26214</v>
      </c>
      <c r="BA2593" s="3" t="s">
        <v>26214</v>
      </c>
      <c r="BB2593" s="3" t="s">
        <v>26220</v>
      </c>
      <c r="BC2593" s="3" t="s">
        <v>77</v>
      </c>
      <c r="BD2593" s="3" t="s">
        <v>78</v>
      </c>
      <c r="BE2593" s="3" t="s">
        <v>26216</v>
      </c>
      <c r="BF2593" s="3" t="s">
        <v>26220</v>
      </c>
      <c r="BG2593" s="3" t="s">
        <v>26221</v>
      </c>
      <c r="BH2593">
        <f t="shared" si="62"/>
        <v>0</v>
      </c>
    </row>
    <row r="2594" spans="1:60" ht="72.5" x14ac:dyDescent="0.35">
      <c r="A2594" s="2" t="s">
        <v>59</v>
      </c>
      <c r="B2594" s="2" t="s">
        <v>60</v>
      </c>
      <c r="C2594" s="2" t="s">
        <v>26222</v>
      </c>
      <c r="D2594" s="2" t="s">
        <v>26223</v>
      </c>
      <c r="E2594" s="2" t="s">
        <v>26224</v>
      </c>
      <c r="G2594" s="3" t="s">
        <v>64</v>
      </c>
      <c r="I2594" s="3" t="s">
        <v>64</v>
      </c>
      <c r="J2594" s="3" t="s">
        <v>128</v>
      </c>
      <c r="K2594" s="3" t="s">
        <v>65</v>
      </c>
      <c r="L2594" s="2" t="s">
        <v>26225</v>
      </c>
      <c r="M2594" s="2" t="s">
        <v>17391</v>
      </c>
      <c r="N2594" s="3" t="s">
        <v>86</v>
      </c>
      <c r="O2594" s="2" t="s">
        <v>26226</v>
      </c>
      <c r="P2594" s="3" t="s">
        <v>102</v>
      </c>
      <c r="R2594" s="3" t="s">
        <v>70</v>
      </c>
      <c r="S2594" s="4">
        <v>0</v>
      </c>
      <c r="T2594" s="4">
        <v>0</v>
      </c>
      <c r="W2594" s="5" t="s">
        <v>72</v>
      </c>
      <c r="X2594" s="5" t="s">
        <v>72</v>
      </c>
      <c r="Y2594" s="4">
        <v>72</v>
      </c>
      <c r="Z2594" s="4">
        <v>9</v>
      </c>
      <c r="AA2594" s="4">
        <v>43</v>
      </c>
      <c r="AB2594" s="4">
        <v>1</v>
      </c>
      <c r="AC2594" s="4">
        <v>6</v>
      </c>
      <c r="AD2594" s="4">
        <v>20</v>
      </c>
      <c r="AE2594" s="4">
        <v>76</v>
      </c>
      <c r="AF2594" s="4">
        <v>0</v>
      </c>
      <c r="AG2594" s="4">
        <v>0</v>
      </c>
      <c r="AH2594" s="4">
        <v>20</v>
      </c>
      <c r="AI2594" s="4">
        <v>71</v>
      </c>
      <c r="AJ2594" s="4">
        <v>5</v>
      </c>
      <c r="AK2594" s="4">
        <v>6</v>
      </c>
      <c r="AL2594" s="4">
        <v>9</v>
      </c>
      <c r="AM2594" s="4">
        <v>35</v>
      </c>
      <c r="AN2594" s="4">
        <v>0</v>
      </c>
      <c r="AO2594" s="4">
        <v>0</v>
      </c>
      <c r="AP2594" s="4">
        <v>5</v>
      </c>
      <c r="AQ2594" s="4">
        <v>10</v>
      </c>
      <c r="AR2594" s="3" t="s">
        <v>64</v>
      </c>
      <c r="AS2594" s="3" t="s">
        <v>64</v>
      </c>
      <c r="AT2594" s="3" t="s">
        <v>64</v>
      </c>
      <c r="AV2594" s="6" t="str">
        <f>HYPERLINK("http://mcgill.on.worldcat.org/oclc/729344521","Catalog Record")</f>
        <v>Catalog Record</v>
      </c>
      <c r="AW2594" s="6" t="str">
        <f>HYPERLINK("http://www.worldcat.org/oclc/729344521","WorldCat Record")</f>
        <v>WorldCat Record</v>
      </c>
      <c r="AX2594" s="3" t="s">
        <v>26227</v>
      </c>
      <c r="AY2594" s="3" t="s">
        <v>26228</v>
      </c>
      <c r="AZ2594" s="3" t="s">
        <v>26229</v>
      </c>
      <c r="BA2594" s="3" t="s">
        <v>26229</v>
      </c>
      <c r="BB2594" s="3" t="s">
        <v>26230</v>
      </c>
      <c r="BC2594" s="3" t="s">
        <v>77</v>
      </c>
      <c r="BD2594" s="3" t="s">
        <v>78</v>
      </c>
      <c r="BE2594" s="3" t="s">
        <v>26231</v>
      </c>
      <c r="BF2594" s="3" t="s">
        <v>26230</v>
      </c>
      <c r="BG2594" s="3" t="s">
        <v>26232</v>
      </c>
      <c r="BH2594">
        <f t="shared" si="62"/>
        <v>0</v>
      </c>
    </row>
    <row r="2595" spans="1:60" ht="58" x14ac:dyDescent="0.35">
      <c r="A2595" s="2" t="s">
        <v>1932</v>
      </c>
      <c r="B2595" s="2" t="s">
        <v>26233</v>
      </c>
      <c r="C2595" s="2" t="s">
        <v>26234</v>
      </c>
      <c r="D2595" s="2" t="s">
        <v>26235</v>
      </c>
      <c r="E2595" s="2" t="s">
        <v>26236</v>
      </c>
      <c r="F2595" s="3" t="s">
        <v>26237</v>
      </c>
      <c r="G2595" s="3" t="s">
        <v>128</v>
      </c>
      <c r="I2595" s="3" t="s">
        <v>64</v>
      </c>
      <c r="J2595" s="3" t="s">
        <v>64</v>
      </c>
      <c r="K2595" s="3" t="s">
        <v>65</v>
      </c>
      <c r="L2595" s="2" t="s">
        <v>26238</v>
      </c>
      <c r="M2595" s="2" t="s">
        <v>26239</v>
      </c>
      <c r="N2595" s="3" t="s">
        <v>1250</v>
      </c>
      <c r="O2595" s="2" t="s">
        <v>26240</v>
      </c>
      <c r="P2595" s="3" t="s">
        <v>102</v>
      </c>
      <c r="R2595" s="3" t="s">
        <v>70</v>
      </c>
      <c r="S2595" s="4">
        <v>0</v>
      </c>
      <c r="T2595" s="4">
        <v>15</v>
      </c>
      <c r="V2595" s="5" t="s">
        <v>2411</v>
      </c>
      <c r="W2595" s="5" t="s">
        <v>72</v>
      </c>
      <c r="X2595" s="5" t="s">
        <v>72</v>
      </c>
      <c r="Y2595" s="4">
        <v>107</v>
      </c>
      <c r="Z2595" s="4">
        <v>5</v>
      </c>
      <c r="AA2595" s="4">
        <v>17</v>
      </c>
      <c r="AB2595" s="4">
        <v>1</v>
      </c>
      <c r="AC2595" s="4">
        <v>2</v>
      </c>
      <c r="AD2595" s="4">
        <v>9</v>
      </c>
      <c r="AE2595" s="4">
        <v>25</v>
      </c>
      <c r="AF2595" s="4">
        <v>0</v>
      </c>
      <c r="AG2595" s="4">
        <v>0</v>
      </c>
      <c r="AH2595" s="4">
        <v>9</v>
      </c>
      <c r="AI2595" s="4">
        <v>24</v>
      </c>
      <c r="AJ2595" s="4">
        <v>1</v>
      </c>
      <c r="AK2595" s="4">
        <v>2</v>
      </c>
      <c r="AL2595" s="4">
        <v>3</v>
      </c>
      <c r="AM2595" s="4">
        <v>13</v>
      </c>
      <c r="AN2595" s="4">
        <v>0</v>
      </c>
      <c r="AO2595" s="4">
        <v>0</v>
      </c>
      <c r="AP2595" s="4">
        <v>1</v>
      </c>
      <c r="AQ2595" s="4">
        <v>3</v>
      </c>
      <c r="AR2595" s="3" t="s">
        <v>64</v>
      </c>
      <c r="AS2595" s="3" t="s">
        <v>64</v>
      </c>
      <c r="AT2595" s="3" t="s">
        <v>64</v>
      </c>
      <c r="AV2595" s="6" t="str">
        <f t="shared" ref="AV2595:AV2603" si="63">HYPERLINK("http://mcgill.on.worldcat.org/oclc/30906135","Catalog Record")</f>
        <v>Catalog Record</v>
      </c>
      <c r="AW2595" s="6" t="str">
        <f t="shared" ref="AW2595:AW2603" si="64">HYPERLINK("http://www.worldcat.org/oclc/30906135","WorldCat Record")</f>
        <v>WorldCat Record</v>
      </c>
      <c r="AX2595" s="3" t="s">
        <v>26241</v>
      </c>
      <c r="AY2595" s="3" t="s">
        <v>26242</v>
      </c>
      <c r="AZ2595" s="3" t="s">
        <v>26243</v>
      </c>
      <c r="BA2595" s="3" t="s">
        <v>26243</v>
      </c>
      <c r="BB2595" s="3" t="s">
        <v>26244</v>
      </c>
      <c r="BC2595" s="3" t="s">
        <v>77</v>
      </c>
      <c r="BD2595" s="3" t="s">
        <v>78</v>
      </c>
      <c r="BF2595" s="3" t="s">
        <v>26244</v>
      </c>
      <c r="BG2595" s="3" t="s">
        <v>26245</v>
      </c>
      <c r="BH2595">
        <f t="shared" si="62"/>
        <v>0</v>
      </c>
    </row>
    <row r="2596" spans="1:60" ht="58" x14ac:dyDescent="0.35">
      <c r="A2596" s="2" t="s">
        <v>1932</v>
      </c>
      <c r="B2596" s="2" t="s">
        <v>26233</v>
      </c>
      <c r="C2596" s="2" t="s">
        <v>26234</v>
      </c>
      <c r="D2596" s="2" t="s">
        <v>26235</v>
      </c>
      <c r="E2596" s="2" t="s">
        <v>26236</v>
      </c>
      <c r="F2596" s="3" t="s">
        <v>26246</v>
      </c>
      <c r="G2596" s="3" t="s">
        <v>128</v>
      </c>
      <c r="I2596" s="3" t="s">
        <v>64</v>
      </c>
      <c r="J2596" s="3" t="s">
        <v>64</v>
      </c>
      <c r="K2596" s="3" t="s">
        <v>65</v>
      </c>
      <c r="L2596" s="2" t="s">
        <v>26238</v>
      </c>
      <c r="M2596" s="2" t="s">
        <v>26239</v>
      </c>
      <c r="N2596" s="3" t="s">
        <v>1250</v>
      </c>
      <c r="O2596" s="2" t="s">
        <v>26240</v>
      </c>
      <c r="P2596" s="3" t="s">
        <v>102</v>
      </c>
      <c r="R2596" s="3" t="s">
        <v>70</v>
      </c>
      <c r="S2596" s="4">
        <v>0</v>
      </c>
      <c r="T2596" s="4">
        <v>15</v>
      </c>
      <c r="V2596" s="5" t="s">
        <v>2411</v>
      </c>
      <c r="W2596" s="5" t="s">
        <v>72</v>
      </c>
      <c r="X2596" s="5" t="s">
        <v>72</v>
      </c>
      <c r="Y2596" s="4">
        <v>107</v>
      </c>
      <c r="Z2596" s="4">
        <v>5</v>
      </c>
      <c r="AA2596" s="4">
        <v>17</v>
      </c>
      <c r="AB2596" s="4">
        <v>1</v>
      </c>
      <c r="AC2596" s="4">
        <v>2</v>
      </c>
      <c r="AD2596" s="4">
        <v>9</v>
      </c>
      <c r="AE2596" s="4">
        <v>25</v>
      </c>
      <c r="AF2596" s="4">
        <v>0</v>
      </c>
      <c r="AG2596" s="4">
        <v>0</v>
      </c>
      <c r="AH2596" s="4">
        <v>9</v>
      </c>
      <c r="AI2596" s="4">
        <v>24</v>
      </c>
      <c r="AJ2596" s="4">
        <v>1</v>
      </c>
      <c r="AK2596" s="4">
        <v>2</v>
      </c>
      <c r="AL2596" s="4">
        <v>3</v>
      </c>
      <c r="AM2596" s="4">
        <v>13</v>
      </c>
      <c r="AN2596" s="4">
        <v>0</v>
      </c>
      <c r="AO2596" s="4">
        <v>0</v>
      </c>
      <c r="AP2596" s="4">
        <v>1</v>
      </c>
      <c r="AQ2596" s="4">
        <v>3</v>
      </c>
      <c r="AR2596" s="3" t="s">
        <v>64</v>
      </c>
      <c r="AS2596" s="3" t="s">
        <v>64</v>
      </c>
      <c r="AT2596" s="3" t="s">
        <v>64</v>
      </c>
      <c r="AV2596" s="6" t="str">
        <f t="shared" si="63"/>
        <v>Catalog Record</v>
      </c>
      <c r="AW2596" s="6" t="str">
        <f t="shared" si="64"/>
        <v>WorldCat Record</v>
      </c>
      <c r="AX2596" s="3" t="s">
        <v>26241</v>
      </c>
      <c r="AY2596" s="3" t="s">
        <v>26242</v>
      </c>
      <c r="AZ2596" s="3" t="s">
        <v>26243</v>
      </c>
      <c r="BA2596" s="3" t="s">
        <v>26243</v>
      </c>
      <c r="BB2596" s="3" t="s">
        <v>26247</v>
      </c>
      <c r="BC2596" s="3" t="s">
        <v>77</v>
      </c>
      <c r="BD2596" s="3" t="s">
        <v>78</v>
      </c>
      <c r="BF2596" s="3" t="s">
        <v>26247</v>
      </c>
      <c r="BG2596" s="3" t="s">
        <v>26248</v>
      </c>
      <c r="BH2596">
        <f t="shared" si="62"/>
        <v>0</v>
      </c>
    </row>
    <row r="2597" spans="1:60" ht="58" x14ac:dyDescent="0.35">
      <c r="A2597" s="2" t="s">
        <v>59</v>
      </c>
      <c r="B2597" s="2" t="s">
        <v>7607</v>
      </c>
      <c r="C2597" s="2" t="s">
        <v>26234</v>
      </c>
      <c r="D2597" s="2" t="s">
        <v>26235</v>
      </c>
      <c r="E2597" s="2" t="s">
        <v>26236</v>
      </c>
      <c r="F2597" s="3" t="s">
        <v>26249</v>
      </c>
      <c r="G2597" s="3" t="s">
        <v>128</v>
      </c>
      <c r="I2597" s="3" t="s">
        <v>64</v>
      </c>
      <c r="J2597" s="3" t="s">
        <v>64</v>
      </c>
      <c r="K2597" s="3" t="s">
        <v>65</v>
      </c>
      <c r="L2597" s="2" t="s">
        <v>26238</v>
      </c>
      <c r="M2597" s="2" t="s">
        <v>26239</v>
      </c>
      <c r="N2597" s="3" t="s">
        <v>1250</v>
      </c>
      <c r="O2597" s="2" t="s">
        <v>26240</v>
      </c>
      <c r="P2597" s="3" t="s">
        <v>102</v>
      </c>
      <c r="R2597" s="3" t="s">
        <v>70</v>
      </c>
      <c r="S2597" s="4">
        <v>0</v>
      </c>
      <c r="T2597" s="4">
        <v>15</v>
      </c>
      <c r="V2597" s="5" t="s">
        <v>2411</v>
      </c>
      <c r="W2597" s="5" t="s">
        <v>72</v>
      </c>
      <c r="X2597" s="5" t="s">
        <v>72</v>
      </c>
      <c r="Y2597" s="4">
        <v>107</v>
      </c>
      <c r="Z2597" s="4">
        <v>5</v>
      </c>
      <c r="AA2597" s="4">
        <v>17</v>
      </c>
      <c r="AB2597" s="4">
        <v>1</v>
      </c>
      <c r="AC2597" s="4">
        <v>2</v>
      </c>
      <c r="AD2597" s="4">
        <v>9</v>
      </c>
      <c r="AE2597" s="4">
        <v>25</v>
      </c>
      <c r="AF2597" s="4">
        <v>0</v>
      </c>
      <c r="AG2597" s="4">
        <v>0</v>
      </c>
      <c r="AH2597" s="4">
        <v>9</v>
      </c>
      <c r="AI2597" s="4">
        <v>24</v>
      </c>
      <c r="AJ2597" s="4">
        <v>1</v>
      </c>
      <c r="AK2597" s="4">
        <v>2</v>
      </c>
      <c r="AL2597" s="4">
        <v>3</v>
      </c>
      <c r="AM2597" s="4">
        <v>13</v>
      </c>
      <c r="AN2597" s="4">
        <v>0</v>
      </c>
      <c r="AO2597" s="4">
        <v>0</v>
      </c>
      <c r="AP2597" s="4">
        <v>1</v>
      </c>
      <c r="AQ2597" s="4">
        <v>3</v>
      </c>
      <c r="AR2597" s="3" t="s">
        <v>64</v>
      </c>
      <c r="AS2597" s="3" t="s">
        <v>64</v>
      </c>
      <c r="AT2597" s="3" t="s">
        <v>64</v>
      </c>
      <c r="AV2597" s="6" t="str">
        <f t="shared" si="63"/>
        <v>Catalog Record</v>
      </c>
      <c r="AW2597" s="6" t="str">
        <f t="shared" si="64"/>
        <v>WorldCat Record</v>
      </c>
      <c r="AX2597" s="3" t="s">
        <v>26241</v>
      </c>
      <c r="AY2597" s="3" t="s">
        <v>26242</v>
      </c>
      <c r="AZ2597" s="3" t="s">
        <v>26243</v>
      </c>
      <c r="BA2597" s="3" t="s">
        <v>26243</v>
      </c>
      <c r="BB2597" s="3" t="s">
        <v>26250</v>
      </c>
      <c r="BC2597" s="3" t="s">
        <v>77</v>
      </c>
      <c r="BD2597" s="3" t="s">
        <v>78</v>
      </c>
      <c r="BF2597" s="3" t="s">
        <v>26250</v>
      </c>
      <c r="BG2597" s="3" t="s">
        <v>26251</v>
      </c>
      <c r="BH2597">
        <f t="shared" si="62"/>
        <v>0</v>
      </c>
    </row>
    <row r="2598" spans="1:60" ht="58" x14ac:dyDescent="0.35">
      <c r="A2598" s="2" t="s">
        <v>59</v>
      </c>
      <c r="B2598" s="2" t="s">
        <v>7607</v>
      </c>
      <c r="C2598" s="2" t="s">
        <v>26234</v>
      </c>
      <c r="D2598" s="2" t="s">
        <v>26235</v>
      </c>
      <c r="E2598" s="2" t="s">
        <v>26236</v>
      </c>
      <c r="F2598" s="3" t="s">
        <v>26252</v>
      </c>
      <c r="G2598" s="3" t="s">
        <v>128</v>
      </c>
      <c r="I2598" s="3" t="s">
        <v>64</v>
      </c>
      <c r="J2598" s="3" t="s">
        <v>64</v>
      </c>
      <c r="K2598" s="3" t="s">
        <v>65</v>
      </c>
      <c r="L2598" s="2" t="s">
        <v>26238</v>
      </c>
      <c r="M2598" s="2" t="s">
        <v>26239</v>
      </c>
      <c r="N2598" s="3" t="s">
        <v>1250</v>
      </c>
      <c r="O2598" s="2" t="s">
        <v>26240</v>
      </c>
      <c r="P2598" s="3" t="s">
        <v>102</v>
      </c>
      <c r="R2598" s="3" t="s">
        <v>70</v>
      </c>
      <c r="S2598" s="4">
        <v>0</v>
      </c>
      <c r="T2598" s="4">
        <v>15</v>
      </c>
      <c r="V2598" s="5" t="s">
        <v>2411</v>
      </c>
      <c r="W2598" s="5" t="s">
        <v>72</v>
      </c>
      <c r="X2598" s="5" t="s">
        <v>72</v>
      </c>
      <c r="Y2598" s="4">
        <v>107</v>
      </c>
      <c r="Z2598" s="4">
        <v>5</v>
      </c>
      <c r="AA2598" s="4">
        <v>17</v>
      </c>
      <c r="AB2598" s="4">
        <v>1</v>
      </c>
      <c r="AC2598" s="4">
        <v>2</v>
      </c>
      <c r="AD2598" s="4">
        <v>9</v>
      </c>
      <c r="AE2598" s="4">
        <v>25</v>
      </c>
      <c r="AF2598" s="4">
        <v>0</v>
      </c>
      <c r="AG2598" s="4">
        <v>0</v>
      </c>
      <c r="AH2598" s="4">
        <v>9</v>
      </c>
      <c r="AI2598" s="4">
        <v>24</v>
      </c>
      <c r="AJ2598" s="4">
        <v>1</v>
      </c>
      <c r="AK2598" s="4">
        <v>2</v>
      </c>
      <c r="AL2598" s="4">
        <v>3</v>
      </c>
      <c r="AM2598" s="4">
        <v>13</v>
      </c>
      <c r="AN2598" s="4">
        <v>0</v>
      </c>
      <c r="AO2598" s="4">
        <v>0</v>
      </c>
      <c r="AP2598" s="4">
        <v>1</v>
      </c>
      <c r="AQ2598" s="4">
        <v>3</v>
      </c>
      <c r="AR2598" s="3" t="s">
        <v>64</v>
      </c>
      <c r="AS2598" s="3" t="s">
        <v>64</v>
      </c>
      <c r="AT2598" s="3" t="s">
        <v>64</v>
      </c>
      <c r="AV2598" s="6" t="str">
        <f t="shared" si="63"/>
        <v>Catalog Record</v>
      </c>
      <c r="AW2598" s="6" t="str">
        <f t="shared" si="64"/>
        <v>WorldCat Record</v>
      </c>
      <c r="AX2598" s="3" t="s">
        <v>26241</v>
      </c>
      <c r="AY2598" s="3" t="s">
        <v>26242</v>
      </c>
      <c r="AZ2598" s="3" t="s">
        <v>26243</v>
      </c>
      <c r="BA2598" s="3" t="s">
        <v>26243</v>
      </c>
      <c r="BB2598" s="3" t="s">
        <v>26253</v>
      </c>
      <c r="BC2598" s="3" t="s">
        <v>77</v>
      </c>
      <c r="BD2598" s="3" t="s">
        <v>78</v>
      </c>
      <c r="BF2598" s="3" t="s">
        <v>26253</v>
      </c>
      <c r="BG2598" s="3" t="s">
        <v>26254</v>
      </c>
      <c r="BH2598">
        <f t="shared" si="62"/>
        <v>0</v>
      </c>
    </row>
    <row r="2599" spans="1:60" ht="58" x14ac:dyDescent="0.35">
      <c r="A2599" s="2" t="s">
        <v>59</v>
      </c>
      <c r="B2599" s="2" t="s">
        <v>7607</v>
      </c>
      <c r="C2599" s="2" t="s">
        <v>26234</v>
      </c>
      <c r="D2599" s="2" t="s">
        <v>26235</v>
      </c>
      <c r="E2599" s="2" t="s">
        <v>26236</v>
      </c>
      <c r="F2599" s="3" t="s">
        <v>26255</v>
      </c>
      <c r="G2599" s="3" t="s">
        <v>128</v>
      </c>
      <c r="I2599" s="3" t="s">
        <v>64</v>
      </c>
      <c r="J2599" s="3" t="s">
        <v>64</v>
      </c>
      <c r="K2599" s="3" t="s">
        <v>65</v>
      </c>
      <c r="L2599" s="2" t="s">
        <v>26238</v>
      </c>
      <c r="M2599" s="2" t="s">
        <v>26239</v>
      </c>
      <c r="N2599" s="3" t="s">
        <v>1250</v>
      </c>
      <c r="O2599" s="2" t="s">
        <v>26240</v>
      </c>
      <c r="P2599" s="3" t="s">
        <v>102</v>
      </c>
      <c r="R2599" s="3" t="s">
        <v>70</v>
      </c>
      <c r="S2599" s="4">
        <v>0</v>
      </c>
      <c r="T2599" s="4">
        <v>15</v>
      </c>
      <c r="V2599" s="5" t="s">
        <v>2411</v>
      </c>
      <c r="W2599" s="5" t="s">
        <v>72</v>
      </c>
      <c r="X2599" s="5" t="s">
        <v>72</v>
      </c>
      <c r="Y2599" s="4">
        <v>107</v>
      </c>
      <c r="Z2599" s="4">
        <v>5</v>
      </c>
      <c r="AA2599" s="4">
        <v>17</v>
      </c>
      <c r="AB2599" s="4">
        <v>1</v>
      </c>
      <c r="AC2599" s="4">
        <v>2</v>
      </c>
      <c r="AD2599" s="4">
        <v>9</v>
      </c>
      <c r="AE2599" s="4">
        <v>25</v>
      </c>
      <c r="AF2599" s="4">
        <v>0</v>
      </c>
      <c r="AG2599" s="4">
        <v>0</v>
      </c>
      <c r="AH2599" s="4">
        <v>9</v>
      </c>
      <c r="AI2599" s="4">
        <v>24</v>
      </c>
      <c r="AJ2599" s="4">
        <v>1</v>
      </c>
      <c r="AK2599" s="4">
        <v>2</v>
      </c>
      <c r="AL2599" s="4">
        <v>3</v>
      </c>
      <c r="AM2599" s="4">
        <v>13</v>
      </c>
      <c r="AN2599" s="4">
        <v>0</v>
      </c>
      <c r="AO2599" s="4">
        <v>0</v>
      </c>
      <c r="AP2599" s="4">
        <v>1</v>
      </c>
      <c r="AQ2599" s="4">
        <v>3</v>
      </c>
      <c r="AR2599" s="3" t="s">
        <v>64</v>
      </c>
      <c r="AS2599" s="3" t="s">
        <v>64</v>
      </c>
      <c r="AT2599" s="3" t="s">
        <v>64</v>
      </c>
      <c r="AV2599" s="6" t="str">
        <f t="shared" si="63"/>
        <v>Catalog Record</v>
      </c>
      <c r="AW2599" s="6" t="str">
        <f t="shared" si="64"/>
        <v>WorldCat Record</v>
      </c>
      <c r="AX2599" s="3" t="s">
        <v>26241</v>
      </c>
      <c r="AY2599" s="3" t="s">
        <v>26242</v>
      </c>
      <c r="AZ2599" s="3" t="s">
        <v>26243</v>
      </c>
      <c r="BA2599" s="3" t="s">
        <v>26243</v>
      </c>
      <c r="BB2599" s="3" t="s">
        <v>26256</v>
      </c>
      <c r="BC2599" s="3" t="s">
        <v>77</v>
      </c>
      <c r="BD2599" s="3" t="s">
        <v>78</v>
      </c>
      <c r="BF2599" s="3" t="s">
        <v>26256</v>
      </c>
      <c r="BG2599" s="3" t="s">
        <v>26257</v>
      </c>
      <c r="BH2599">
        <f t="shared" si="62"/>
        <v>0</v>
      </c>
    </row>
    <row r="2600" spans="1:60" ht="58" x14ac:dyDescent="0.35">
      <c r="A2600" s="2" t="s">
        <v>59</v>
      </c>
      <c r="B2600" s="2" t="s">
        <v>7607</v>
      </c>
      <c r="C2600" s="2" t="s">
        <v>26234</v>
      </c>
      <c r="D2600" s="2" t="s">
        <v>26235</v>
      </c>
      <c r="E2600" s="2" t="s">
        <v>26236</v>
      </c>
      <c r="F2600" s="3" t="s">
        <v>26258</v>
      </c>
      <c r="G2600" s="3" t="s">
        <v>128</v>
      </c>
      <c r="I2600" s="3" t="s">
        <v>64</v>
      </c>
      <c r="J2600" s="3" t="s">
        <v>64</v>
      </c>
      <c r="K2600" s="3" t="s">
        <v>65</v>
      </c>
      <c r="L2600" s="2" t="s">
        <v>26238</v>
      </c>
      <c r="M2600" s="2" t="s">
        <v>26239</v>
      </c>
      <c r="N2600" s="3" t="s">
        <v>1250</v>
      </c>
      <c r="O2600" s="2" t="s">
        <v>26240</v>
      </c>
      <c r="P2600" s="3" t="s">
        <v>102</v>
      </c>
      <c r="R2600" s="3" t="s">
        <v>70</v>
      </c>
      <c r="S2600" s="4">
        <v>0</v>
      </c>
      <c r="T2600" s="4">
        <v>15</v>
      </c>
      <c r="V2600" s="5" t="s">
        <v>2411</v>
      </c>
      <c r="W2600" s="5" t="s">
        <v>72</v>
      </c>
      <c r="X2600" s="5" t="s">
        <v>72</v>
      </c>
      <c r="Y2600" s="4">
        <v>107</v>
      </c>
      <c r="Z2600" s="4">
        <v>5</v>
      </c>
      <c r="AA2600" s="4">
        <v>17</v>
      </c>
      <c r="AB2600" s="4">
        <v>1</v>
      </c>
      <c r="AC2600" s="4">
        <v>2</v>
      </c>
      <c r="AD2600" s="4">
        <v>9</v>
      </c>
      <c r="AE2600" s="4">
        <v>25</v>
      </c>
      <c r="AF2600" s="4">
        <v>0</v>
      </c>
      <c r="AG2600" s="4">
        <v>0</v>
      </c>
      <c r="AH2600" s="4">
        <v>9</v>
      </c>
      <c r="AI2600" s="4">
        <v>24</v>
      </c>
      <c r="AJ2600" s="4">
        <v>1</v>
      </c>
      <c r="AK2600" s="4">
        <v>2</v>
      </c>
      <c r="AL2600" s="4">
        <v>3</v>
      </c>
      <c r="AM2600" s="4">
        <v>13</v>
      </c>
      <c r="AN2600" s="4">
        <v>0</v>
      </c>
      <c r="AO2600" s="4">
        <v>0</v>
      </c>
      <c r="AP2600" s="4">
        <v>1</v>
      </c>
      <c r="AQ2600" s="4">
        <v>3</v>
      </c>
      <c r="AR2600" s="3" t="s">
        <v>64</v>
      </c>
      <c r="AS2600" s="3" t="s">
        <v>64</v>
      </c>
      <c r="AT2600" s="3" t="s">
        <v>64</v>
      </c>
      <c r="AV2600" s="6" t="str">
        <f t="shared" si="63"/>
        <v>Catalog Record</v>
      </c>
      <c r="AW2600" s="6" t="str">
        <f t="shared" si="64"/>
        <v>WorldCat Record</v>
      </c>
      <c r="AX2600" s="3" t="s">
        <v>26241</v>
      </c>
      <c r="AY2600" s="3" t="s">
        <v>26242</v>
      </c>
      <c r="AZ2600" s="3" t="s">
        <v>26243</v>
      </c>
      <c r="BA2600" s="3" t="s">
        <v>26243</v>
      </c>
      <c r="BB2600" s="3" t="s">
        <v>26259</v>
      </c>
      <c r="BC2600" s="3" t="s">
        <v>77</v>
      </c>
      <c r="BD2600" s="3" t="s">
        <v>78</v>
      </c>
      <c r="BF2600" s="3" t="s">
        <v>26259</v>
      </c>
      <c r="BG2600" s="3" t="s">
        <v>26260</v>
      </c>
      <c r="BH2600">
        <f t="shared" si="62"/>
        <v>0</v>
      </c>
    </row>
    <row r="2601" spans="1:60" ht="58" x14ac:dyDescent="0.35">
      <c r="A2601" s="2" t="s">
        <v>1932</v>
      </c>
      <c r="B2601" s="2" t="s">
        <v>26233</v>
      </c>
      <c r="C2601" s="2" t="s">
        <v>26234</v>
      </c>
      <c r="D2601" s="2" t="s">
        <v>26235</v>
      </c>
      <c r="E2601" s="2" t="s">
        <v>26236</v>
      </c>
      <c r="F2601" s="3" t="s">
        <v>26261</v>
      </c>
      <c r="G2601" s="3" t="s">
        <v>128</v>
      </c>
      <c r="I2601" s="3" t="s">
        <v>64</v>
      </c>
      <c r="J2601" s="3" t="s">
        <v>64</v>
      </c>
      <c r="K2601" s="3" t="s">
        <v>65</v>
      </c>
      <c r="L2601" s="2" t="s">
        <v>26238</v>
      </c>
      <c r="M2601" s="2" t="s">
        <v>26239</v>
      </c>
      <c r="N2601" s="3" t="s">
        <v>1250</v>
      </c>
      <c r="O2601" s="2" t="s">
        <v>26240</v>
      </c>
      <c r="P2601" s="3" t="s">
        <v>102</v>
      </c>
      <c r="R2601" s="3" t="s">
        <v>70</v>
      </c>
      <c r="S2601" s="4">
        <v>0</v>
      </c>
      <c r="T2601" s="4">
        <v>15</v>
      </c>
      <c r="V2601" s="5" t="s">
        <v>2411</v>
      </c>
      <c r="W2601" s="5" t="s">
        <v>72</v>
      </c>
      <c r="X2601" s="5" t="s">
        <v>72</v>
      </c>
      <c r="Y2601" s="4">
        <v>107</v>
      </c>
      <c r="Z2601" s="4">
        <v>5</v>
      </c>
      <c r="AA2601" s="4">
        <v>17</v>
      </c>
      <c r="AB2601" s="4">
        <v>1</v>
      </c>
      <c r="AC2601" s="4">
        <v>2</v>
      </c>
      <c r="AD2601" s="4">
        <v>9</v>
      </c>
      <c r="AE2601" s="4">
        <v>25</v>
      </c>
      <c r="AF2601" s="4">
        <v>0</v>
      </c>
      <c r="AG2601" s="4">
        <v>0</v>
      </c>
      <c r="AH2601" s="4">
        <v>9</v>
      </c>
      <c r="AI2601" s="4">
        <v>24</v>
      </c>
      <c r="AJ2601" s="4">
        <v>1</v>
      </c>
      <c r="AK2601" s="4">
        <v>2</v>
      </c>
      <c r="AL2601" s="4">
        <v>3</v>
      </c>
      <c r="AM2601" s="4">
        <v>13</v>
      </c>
      <c r="AN2601" s="4">
        <v>0</v>
      </c>
      <c r="AO2601" s="4">
        <v>0</v>
      </c>
      <c r="AP2601" s="4">
        <v>1</v>
      </c>
      <c r="AQ2601" s="4">
        <v>3</v>
      </c>
      <c r="AR2601" s="3" t="s">
        <v>64</v>
      </c>
      <c r="AS2601" s="3" t="s">
        <v>64</v>
      </c>
      <c r="AT2601" s="3" t="s">
        <v>64</v>
      </c>
      <c r="AV2601" s="6" t="str">
        <f t="shared" si="63"/>
        <v>Catalog Record</v>
      </c>
      <c r="AW2601" s="6" t="str">
        <f t="shared" si="64"/>
        <v>WorldCat Record</v>
      </c>
      <c r="AX2601" s="3" t="s">
        <v>26241</v>
      </c>
      <c r="AY2601" s="3" t="s">
        <v>26242</v>
      </c>
      <c r="AZ2601" s="3" t="s">
        <v>26243</v>
      </c>
      <c r="BA2601" s="3" t="s">
        <v>26243</v>
      </c>
      <c r="BB2601" s="3" t="s">
        <v>26262</v>
      </c>
      <c r="BC2601" s="3" t="s">
        <v>77</v>
      </c>
      <c r="BD2601" s="3" t="s">
        <v>78</v>
      </c>
      <c r="BF2601" s="3" t="s">
        <v>26262</v>
      </c>
      <c r="BG2601" s="3" t="s">
        <v>26263</v>
      </c>
      <c r="BH2601">
        <f t="shared" si="62"/>
        <v>0</v>
      </c>
    </row>
    <row r="2602" spans="1:60" ht="58" x14ac:dyDescent="0.35">
      <c r="A2602" s="2" t="s">
        <v>1932</v>
      </c>
      <c r="B2602" s="2" t="s">
        <v>26233</v>
      </c>
      <c r="C2602" s="2" t="s">
        <v>26234</v>
      </c>
      <c r="D2602" s="2" t="s">
        <v>26235</v>
      </c>
      <c r="E2602" s="2" t="s">
        <v>26236</v>
      </c>
      <c r="F2602" s="3" t="s">
        <v>26264</v>
      </c>
      <c r="G2602" s="3" t="s">
        <v>128</v>
      </c>
      <c r="I2602" s="3" t="s">
        <v>64</v>
      </c>
      <c r="J2602" s="3" t="s">
        <v>64</v>
      </c>
      <c r="K2602" s="3" t="s">
        <v>65</v>
      </c>
      <c r="L2602" s="2" t="s">
        <v>26238</v>
      </c>
      <c r="M2602" s="2" t="s">
        <v>26239</v>
      </c>
      <c r="N2602" s="3" t="s">
        <v>1250</v>
      </c>
      <c r="O2602" s="2" t="s">
        <v>26240</v>
      </c>
      <c r="P2602" s="3" t="s">
        <v>102</v>
      </c>
      <c r="R2602" s="3" t="s">
        <v>70</v>
      </c>
      <c r="S2602" s="4">
        <v>0</v>
      </c>
      <c r="T2602" s="4">
        <v>15</v>
      </c>
      <c r="V2602" s="5" t="s">
        <v>2411</v>
      </c>
      <c r="W2602" s="5" t="s">
        <v>72</v>
      </c>
      <c r="X2602" s="5" t="s">
        <v>72</v>
      </c>
      <c r="Y2602" s="4">
        <v>107</v>
      </c>
      <c r="Z2602" s="4">
        <v>5</v>
      </c>
      <c r="AA2602" s="4">
        <v>17</v>
      </c>
      <c r="AB2602" s="4">
        <v>1</v>
      </c>
      <c r="AC2602" s="4">
        <v>2</v>
      </c>
      <c r="AD2602" s="4">
        <v>9</v>
      </c>
      <c r="AE2602" s="4">
        <v>25</v>
      </c>
      <c r="AF2602" s="4">
        <v>0</v>
      </c>
      <c r="AG2602" s="4">
        <v>0</v>
      </c>
      <c r="AH2602" s="4">
        <v>9</v>
      </c>
      <c r="AI2602" s="4">
        <v>24</v>
      </c>
      <c r="AJ2602" s="4">
        <v>1</v>
      </c>
      <c r="AK2602" s="4">
        <v>2</v>
      </c>
      <c r="AL2602" s="4">
        <v>3</v>
      </c>
      <c r="AM2602" s="4">
        <v>13</v>
      </c>
      <c r="AN2602" s="4">
        <v>0</v>
      </c>
      <c r="AO2602" s="4">
        <v>0</v>
      </c>
      <c r="AP2602" s="4">
        <v>1</v>
      </c>
      <c r="AQ2602" s="4">
        <v>3</v>
      </c>
      <c r="AR2602" s="3" t="s">
        <v>64</v>
      </c>
      <c r="AS2602" s="3" t="s">
        <v>64</v>
      </c>
      <c r="AT2602" s="3" t="s">
        <v>64</v>
      </c>
      <c r="AV2602" s="6" t="str">
        <f t="shared" si="63"/>
        <v>Catalog Record</v>
      </c>
      <c r="AW2602" s="6" t="str">
        <f t="shared" si="64"/>
        <v>WorldCat Record</v>
      </c>
      <c r="AX2602" s="3" t="s">
        <v>26241</v>
      </c>
      <c r="AY2602" s="3" t="s">
        <v>26242</v>
      </c>
      <c r="AZ2602" s="3" t="s">
        <v>26243</v>
      </c>
      <c r="BA2602" s="3" t="s">
        <v>26243</v>
      </c>
      <c r="BB2602" s="3" t="s">
        <v>26265</v>
      </c>
      <c r="BC2602" s="3" t="s">
        <v>77</v>
      </c>
      <c r="BD2602" s="3" t="s">
        <v>78</v>
      </c>
      <c r="BF2602" s="3" t="s">
        <v>26265</v>
      </c>
      <c r="BG2602" s="3" t="s">
        <v>26266</v>
      </c>
      <c r="BH2602">
        <f t="shared" si="62"/>
        <v>0</v>
      </c>
    </row>
    <row r="2603" spans="1:60" ht="58" x14ac:dyDescent="0.35">
      <c r="A2603" s="2" t="s">
        <v>59</v>
      </c>
      <c r="B2603" s="2" t="s">
        <v>7607</v>
      </c>
      <c r="C2603" s="2" t="s">
        <v>26234</v>
      </c>
      <c r="D2603" s="2" t="s">
        <v>26235</v>
      </c>
      <c r="E2603" s="2" t="s">
        <v>26236</v>
      </c>
      <c r="F2603" s="3" t="s">
        <v>26267</v>
      </c>
      <c r="G2603" s="3" t="s">
        <v>128</v>
      </c>
      <c r="I2603" s="3" t="s">
        <v>64</v>
      </c>
      <c r="J2603" s="3" t="s">
        <v>64</v>
      </c>
      <c r="K2603" s="3" t="s">
        <v>65</v>
      </c>
      <c r="L2603" s="2" t="s">
        <v>26238</v>
      </c>
      <c r="M2603" s="2" t="s">
        <v>26239</v>
      </c>
      <c r="N2603" s="3" t="s">
        <v>1250</v>
      </c>
      <c r="O2603" s="2" t="s">
        <v>26240</v>
      </c>
      <c r="P2603" s="3" t="s">
        <v>102</v>
      </c>
      <c r="R2603" s="3" t="s">
        <v>70</v>
      </c>
      <c r="S2603" s="4">
        <v>0</v>
      </c>
      <c r="T2603" s="4">
        <v>15</v>
      </c>
      <c r="V2603" s="5" t="s">
        <v>2411</v>
      </c>
      <c r="W2603" s="5" t="s">
        <v>72</v>
      </c>
      <c r="X2603" s="5" t="s">
        <v>72</v>
      </c>
      <c r="Y2603" s="4">
        <v>107</v>
      </c>
      <c r="Z2603" s="4">
        <v>5</v>
      </c>
      <c r="AA2603" s="4">
        <v>17</v>
      </c>
      <c r="AB2603" s="4">
        <v>1</v>
      </c>
      <c r="AC2603" s="4">
        <v>2</v>
      </c>
      <c r="AD2603" s="4">
        <v>9</v>
      </c>
      <c r="AE2603" s="4">
        <v>25</v>
      </c>
      <c r="AF2603" s="4">
        <v>0</v>
      </c>
      <c r="AG2603" s="4">
        <v>0</v>
      </c>
      <c r="AH2603" s="4">
        <v>9</v>
      </c>
      <c r="AI2603" s="4">
        <v>24</v>
      </c>
      <c r="AJ2603" s="4">
        <v>1</v>
      </c>
      <c r="AK2603" s="4">
        <v>2</v>
      </c>
      <c r="AL2603" s="4">
        <v>3</v>
      </c>
      <c r="AM2603" s="4">
        <v>13</v>
      </c>
      <c r="AN2603" s="4">
        <v>0</v>
      </c>
      <c r="AO2603" s="4">
        <v>0</v>
      </c>
      <c r="AP2603" s="4">
        <v>1</v>
      </c>
      <c r="AQ2603" s="4">
        <v>3</v>
      </c>
      <c r="AR2603" s="3" t="s">
        <v>64</v>
      </c>
      <c r="AS2603" s="3" t="s">
        <v>64</v>
      </c>
      <c r="AT2603" s="3" t="s">
        <v>64</v>
      </c>
      <c r="AV2603" s="6" t="str">
        <f t="shared" si="63"/>
        <v>Catalog Record</v>
      </c>
      <c r="AW2603" s="6" t="str">
        <f t="shared" si="64"/>
        <v>WorldCat Record</v>
      </c>
      <c r="AX2603" s="3" t="s">
        <v>26241</v>
      </c>
      <c r="AY2603" s="3" t="s">
        <v>26242</v>
      </c>
      <c r="AZ2603" s="3" t="s">
        <v>26243</v>
      </c>
      <c r="BA2603" s="3" t="s">
        <v>26243</v>
      </c>
      <c r="BB2603" s="3" t="s">
        <v>26268</v>
      </c>
      <c r="BC2603" s="3" t="s">
        <v>77</v>
      </c>
      <c r="BD2603" s="3" t="s">
        <v>78</v>
      </c>
      <c r="BF2603" s="3" t="s">
        <v>26268</v>
      </c>
      <c r="BG2603" s="3" t="s">
        <v>26269</v>
      </c>
      <c r="BH2603">
        <f t="shared" si="62"/>
        <v>0</v>
      </c>
    </row>
    <row r="2604" spans="1:60" ht="116" x14ac:dyDescent="0.35">
      <c r="A2604" s="2" t="s">
        <v>59</v>
      </c>
      <c r="B2604" s="2" t="s">
        <v>60</v>
      </c>
      <c r="C2604" s="2" t="s">
        <v>26270</v>
      </c>
      <c r="D2604" s="2" t="s">
        <v>26271</v>
      </c>
      <c r="E2604" s="2" t="s">
        <v>26272</v>
      </c>
      <c r="G2604" s="3" t="s">
        <v>64</v>
      </c>
      <c r="I2604" s="3" t="s">
        <v>64</v>
      </c>
      <c r="J2604" s="3" t="s">
        <v>64</v>
      </c>
      <c r="K2604" s="3" t="s">
        <v>65</v>
      </c>
      <c r="M2604" s="2" t="s">
        <v>26273</v>
      </c>
      <c r="N2604" s="3" t="s">
        <v>326</v>
      </c>
      <c r="O2604" s="2" t="s">
        <v>26274</v>
      </c>
      <c r="P2604" s="3" t="s">
        <v>102</v>
      </c>
      <c r="R2604" s="3" t="s">
        <v>70</v>
      </c>
      <c r="S2604" s="4">
        <v>7</v>
      </c>
      <c r="T2604" s="4">
        <v>7</v>
      </c>
      <c r="U2604" s="5" t="s">
        <v>5738</v>
      </c>
      <c r="V2604" s="5" t="s">
        <v>5738</v>
      </c>
      <c r="W2604" s="5" t="s">
        <v>72</v>
      </c>
      <c r="X2604" s="5" t="s">
        <v>72</v>
      </c>
      <c r="Y2604" s="4">
        <v>288</v>
      </c>
      <c r="Z2604" s="4">
        <v>12</v>
      </c>
      <c r="AA2604" s="4">
        <v>110</v>
      </c>
      <c r="AB2604" s="4">
        <v>2</v>
      </c>
      <c r="AC2604" s="4">
        <v>19</v>
      </c>
      <c r="AD2604" s="4">
        <v>44</v>
      </c>
      <c r="AE2604" s="4">
        <v>122</v>
      </c>
      <c r="AF2604" s="4">
        <v>0</v>
      </c>
      <c r="AG2604" s="4">
        <v>8</v>
      </c>
      <c r="AH2604" s="4">
        <v>43</v>
      </c>
      <c r="AI2604" s="4">
        <v>88</v>
      </c>
      <c r="AJ2604" s="4">
        <v>4</v>
      </c>
      <c r="AK2604" s="4">
        <v>19</v>
      </c>
      <c r="AL2604" s="4">
        <v>22</v>
      </c>
      <c r="AM2604" s="4">
        <v>44</v>
      </c>
      <c r="AN2604" s="4">
        <v>0</v>
      </c>
      <c r="AO2604" s="4">
        <v>0</v>
      </c>
      <c r="AP2604" s="4">
        <v>4</v>
      </c>
      <c r="AQ2604" s="4">
        <v>39</v>
      </c>
      <c r="AR2604" s="3" t="s">
        <v>64</v>
      </c>
      <c r="AS2604" s="3" t="s">
        <v>64</v>
      </c>
      <c r="AT2604" s="3" t="s">
        <v>64</v>
      </c>
      <c r="AV2604" s="6" t="str">
        <f>HYPERLINK("http://mcgill.on.worldcat.org/oclc/601086570","Catalog Record")</f>
        <v>Catalog Record</v>
      </c>
      <c r="AW2604" s="6" t="str">
        <f>HYPERLINK("http://www.worldcat.org/oclc/601086570","WorldCat Record")</f>
        <v>WorldCat Record</v>
      </c>
      <c r="AX2604" s="3" t="s">
        <v>26275</v>
      </c>
      <c r="AY2604" s="3" t="s">
        <v>26276</v>
      </c>
      <c r="AZ2604" s="3" t="s">
        <v>26277</v>
      </c>
      <c r="BA2604" s="3" t="s">
        <v>26277</v>
      </c>
      <c r="BB2604" s="3" t="s">
        <v>26278</v>
      </c>
      <c r="BC2604" s="3" t="s">
        <v>77</v>
      </c>
      <c r="BD2604" s="3" t="s">
        <v>78</v>
      </c>
      <c r="BE2604" s="3" t="s">
        <v>26279</v>
      </c>
      <c r="BF2604" s="3" t="s">
        <v>26278</v>
      </c>
      <c r="BG2604" s="3" t="s">
        <v>26280</v>
      </c>
      <c r="BH2604">
        <f t="shared" si="62"/>
        <v>0</v>
      </c>
    </row>
    <row r="2605" spans="1:60" ht="58" x14ac:dyDescent="0.35">
      <c r="A2605" s="2" t="s">
        <v>59</v>
      </c>
      <c r="B2605" s="2" t="s">
        <v>60</v>
      </c>
      <c r="C2605" s="2" t="s">
        <v>26281</v>
      </c>
      <c r="D2605" s="2" t="s">
        <v>26282</v>
      </c>
      <c r="E2605" s="2" t="s">
        <v>26283</v>
      </c>
      <c r="G2605" s="3" t="s">
        <v>64</v>
      </c>
      <c r="I2605" s="3" t="s">
        <v>64</v>
      </c>
      <c r="J2605" s="3" t="s">
        <v>64</v>
      </c>
      <c r="K2605" s="3" t="s">
        <v>65</v>
      </c>
      <c r="L2605" s="2" t="s">
        <v>26284</v>
      </c>
      <c r="M2605" s="2" t="s">
        <v>17071</v>
      </c>
      <c r="N2605" s="3" t="s">
        <v>144</v>
      </c>
      <c r="P2605" s="3" t="s">
        <v>102</v>
      </c>
      <c r="Q2605" s="2" t="s">
        <v>26285</v>
      </c>
      <c r="R2605" s="3" t="s">
        <v>70</v>
      </c>
      <c r="S2605" s="4">
        <v>2</v>
      </c>
      <c r="T2605" s="4">
        <v>2</v>
      </c>
      <c r="U2605" s="5" t="s">
        <v>14157</v>
      </c>
      <c r="V2605" s="5" t="s">
        <v>14157</v>
      </c>
      <c r="W2605" s="5" t="s">
        <v>72</v>
      </c>
      <c r="X2605" s="5" t="s">
        <v>72</v>
      </c>
      <c r="Y2605" s="4">
        <v>163</v>
      </c>
      <c r="Z2605" s="4">
        <v>7</v>
      </c>
      <c r="AA2605" s="4">
        <v>7</v>
      </c>
      <c r="AB2605" s="4">
        <v>1</v>
      </c>
      <c r="AC2605" s="4">
        <v>1</v>
      </c>
      <c r="AD2605" s="4">
        <v>34</v>
      </c>
      <c r="AE2605" s="4">
        <v>34</v>
      </c>
      <c r="AF2605" s="4">
        <v>0</v>
      </c>
      <c r="AG2605" s="4">
        <v>0</v>
      </c>
      <c r="AH2605" s="4">
        <v>34</v>
      </c>
      <c r="AI2605" s="4">
        <v>34</v>
      </c>
      <c r="AJ2605" s="4">
        <v>5</v>
      </c>
      <c r="AK2605" s="4">
        <v>5</v>
      </c>
      <c r="AL2605" s="4">
        <v>14</v>
      </c>
      <c r="AM2605" s="4">
        <v>14</v>
      </c>
      <c r="AN2605" s="4">
        <v>0</v>
      </c>
      <c r="AO2605" s="4">
        <v>0</v>
      </c>
      <c r="AP2605" s="4">
        <v>5</v>
      </c>
      <c r="AQ2605" s="4">
        <v>5</v>
      </c>
      <c r="AR2605" s="3" t="s">
        <v>64</v>
      </c>
      <c r="AS2605" s="3" t="s">
        <v>64</v>
      </c>
      <c r="AT2605" s="3" t="s">
        <v>128</v>
      </c>
      <c r="AU2605" s="6" t="str">
        <f>HYPERLINK("http://catalog.hathitrust.org/Record/005804186","HathiTrust Record")</f>
        <v>HathiTrust Record</v>
      </c>
      <c r="AV2605" s="6" t="str">
        <f>HYPERLINK("http://mcgill.on.worldcat.org/oclc/148798059","Catalog Record")</f>
        <v>Catalog Record</v>
      </c>
      <c r="AW2605" s="6" t="str">
        <f>HYPERLINK("http://www.worldcat.org/oclc/148798059","WorldCat Record")</f>
        <v>WorldCat Record</v>
      </c>
      <c r="AX2605" s="3" t="s">
        <v>26286</v>
      </c>
      <c r="AY2605" s="3" t="s">
        <v>26287</v>
      </c>
      <c r="AZ2605" s="3" t="s">
        <v>26288</v>
      </c>
      <c r="BA2605" s="3" t="s">
        <v>26288</v>
      </c>
      <c r="BB2605" s="3" t="s">
        <v>26289</v>
      </c>
      <c r="BC2605" s="3" t="s">
        <v>77</v>
      </c>
      <c r="BD2605" s="3" t="s">
        <v>78</v>
      </c>
      <c r="BE2605" s="3" t="s">
        <v>26290</v>
      </c>
      <c r="BF2605" s="3" t="s">
        <v>26289</v>
      </c>
      <c r="BG2605" s="3" t="s">
        <v>26291</v>
      </c>
      <c r="BH2605">
        <f t="shared" si="62"/>
        <v>0</v>
      </c>
    </row>
    <row r="2606" spans="1:60" ht="58" x14ac:dyDescent="0.35">
      <c r="A2606" s="2" t="s">
        <v>59</v>
      </c>
      <c r="B2606" s="2" t="s">
        <v>60</v>
      </c>
      <c r="C2606" s="2" t="s">
        <v>26292</v>
      </c>
      <c r="D2606" s="2" t="s">
        <v>26293</v>
      </c>
      <c r="E2606" s="2" t="s">
        <v>26294</v>
      </c>
      <c r="G2606" s="3" t="s">
        <v>64</v>
      </c>
      <c r="I2606" s="3" t="s">
        <v>64</v>
      </c>
      <c r="J2606" s="3" t="s">
        <v>64</v>
      </c>
      <c r="K2606" s="3" t="s">
        <v>65</v>
      </c>
      <c r="L2606" s="2" t="s">
        <v>26295</v>
      </c>
      <c r="M2606" s="2" t="s">
        <v>26296</v>
      </c>
      <c r="N2606" s="3" t="s">
        <v>511</v>
      </c>
      <c r="O2606" s="2" t="s">
        <v>2149</v>
      </c>
      <c r="P2606" s="3" t="s">
        <v>102</v>
      </c>
      <c r="R2606" s="3" t="s">
        <v>70</v>
      </c>
      <c r="S2606" s="4">
        <v>10</v>
      </c>
      <c r="T2606" s="4">
        <v>10</v>
      </c>
      <c r="U2606" s="5" t="s">
        <v>6672</v>
      </c>
      <c r="V2606" s="5" t="s">
        <v>6672</v>
      </c>
      <c r="W2606" s="5" t="s">
        <v>72</v>
      </c>
      <c r="X2606" s="5" t="s">
        <v>72</v>
      </c>
      <c r="Y2606" s="4">
        <v>217</v>
      </c>
      <c r="Z2606" s="4">
        <v>19</v>
      </c>
      <c r="AA2606" s="4">
        <v>28</v>
      </c>
      <c r="AB2606" s="4">
        <v>2</v>
      </c>
      <c r="AC2606" s="4">
        <v>7</v>
      </c>
      <c r="AD2606" s="4">
        <v>68</v>
      </c>
      <c r="AE2606" s="4">
        <v>85</v>
      </c>
      <c r="AF2606" s="4">
        <v>0</v>
      </c>
      <c r="AG2606" s="4">
        <v>4</v>
      </c>
      <c r="AH2606" s="4">
        <v>61</v>
      </c>
      <c r="AI2606" s="4">
        <v>73</v>
      </c>
      <c r="AJ2606" s="4">
        <v>9</v>
      </c>
      <c r="AK2606" s="4">
        <v>15</v>
      </c>
      <c r="AL2606" s="4">
        <v>40</v>
      </c>
      <c r="AM2606" s="4">
        <v>44</v>
      </c>
      <c r="AN2606" s="4">
        <v>0</v>
      </c>
      <c r="AO2606" s="4">
        <v>0</v>
      </c>
      <c r="AP2606" s="4">
        <v>10</v>
      </c>
      <c r="AQ2606" s="4">
        <v>17</v>
      </c>
      <c r="AR2606" s="3" t="s">
        <v>64</v>
      </c>
      <c r="AS2606" s="3" t="s">
        <v>64</v>
      </c>
      <c r="AT2606" s="3" t="s">
        <v>64</v>
      </c>
      <c r="AV2606" s="6" t="str">
        <f>HYPERLINK("http://mcgill.on.worldcat.org/oclc/456174098","Catalog Record")</f>
        <v>Catalog Record</v>
      </c>
      <c r="AW2606" s="6" t="str">
        <f>HYPERLINK("http://www.worldcat.org/oclc/456174098","WorldCat Record")</f>
        <v>WorldCat Record</v>
      </c>
      <c r="AX2606" s="3" t="s">
        <v>26297</v>
      </c>
      <c r="AY2606" s="3" t="s">
        <v>26298</v>
      </c>
      <c r="AZ2606" s="3" t="s">
        <v>26299</v>
      </c>
      <c r="BA2606" s="3" t="s">
        <v>26299</v>
      </c>
      <c r="BB2606" s="3" t="s">
        <v>26300</v>
      </c>
      <c r="BC2606" s="3" t="s">
        <v>77</v>
      </c>
      <c r="BD2606" s="3" t="s">
        <v>165</v>
      </c>
      <c r="BE2606" s="3" t="s">
        <v>26301</v>
      </c>
      <c r="BF2606" s="3" t="s">
        <v>26300</v>
      </c>
      <c r="BG2606" s="3" t="s">
        <v>26302</v>
      </c>
      <c r="BH2606">
        <f t="shared" si="62"/>
        <v>0</v>
      </c>
    </row>
    <row r="2607" spans="1:60" ht="116" x14ac:dyDescent="0.35">
      <c r="A2607" s="2" t="s">
        <v>59</v>
      </c>
      <c r="B2607" s="2" t="s">
        <v>60</v>
      </c>
      <c r="C2607" s="2" t="s">
        <v>26303</v>
      </c>
      <c r="D2607" s="2" t="s">
        <v>26304</v>
      </c>
      <c r="E2607" s="2" t="s">
        <v>26305</v>
      </c>
      <c r="G2607" s="3" t="s">
        <v>64</v>
      </c>
      <c r="I2607" s="3" t="s">
        <v>64</v>
      </c>
      <c r="J2607" s="3" t="s">
        <v>64</v>
      </c>
      <c r="K2607" s="3" t="s">
        <v>65</v>
      </c>
      <c r="M2607" s="2" t="s">
        <v>26306</v>
      </c>
      <c r="N2607" s="3" t="s">
        <v>434</v>
      </c>
      <c r="O2607" s="2" t="s">
        <v>26307</v>
      </c>
      <c r="P2607" s="3" t="s">
        <v>102</v>
      </c>
      <c r="Q2607" s="2" t="s">
        <v>9205</v>
      </c>
      <c r="R2607" s="3" t="s">
        <v>70</v>
      </c>
      <c r="S2607" s="4">
        <v>12</v>
      </c>
      <c r="T2607" s="4">
        <v>12</v>
      </c>
      <c r="U2607" s="5" t="s">
        <v>992</v>
      </c>
      <c r="V2607" s="5" t="s">
        <v>992</v>
      </c>
      <c r="W2607" s="5" t="s">
        <v>72</v>
      </c>
      <c r="X2607" s="5" t="s">
        <v>72</v>
      </c>
      <c r="Y2607" s="4">
        <v>111</v>
      </c>
      <c r="Z2607" s="4">
        <v>10</v>
      </c>
      <c r="AA2607" s="4">
        <v>11</v>
      </c>
      <c r="AB2607" s="4">
        <v>1</v>
      </c>
      <c r="AC2607" s="4">
        <v>2</v>
      </c>
      <c r="AD2607" s="4">
        <v>38</v>
      </c>
      <c r="AE2607" s="4">
        <v>40</v>
      </c>
      <c r="AF2607" s="4">
        <v>0</v>
      </c>
      <c r="AG2607" s="4">
        <v>1</v>
      </c>
      <c r="AH2607" s="4">
        <v>35</v>
      </c>
      <c r="AI2607" s="4">
        <v>36</v>
      </c>
      <c r="AJ2607" s="4">
        <v>7</v>
      </c>
      <c r="AK2607" s="4">
        <v>8</v>
      </c>
      <c r="AL2607" s="4">
        <v>20</v>
      </c>
      <c r="AM2607" s="4">
        <v>20</v>
      </c>
      <c r="AN2607" s="4">
        <v>0</v>
      </c>
      <c r="AO2607" s="4">
        <v>0</v>
      </c>
      <c r="AP2607" s="4">
        <v>8</v>
      </c>
      <c r="AQ2607" s="4">
        <v>8</v>
      </c>
      <c r="AR2607" s="3" t="s">
        <v>64</v>
      </c>
      <c r="AS2607" s="3" t="s">
        <v>64</v>
      </c>
      <c r="AT2607" s="3" t="s">
        <v>64</v>
      </c>
      <c r="AV2607" s="6" t="str">
        <f>HYPERLINK("http://mcgill.on.worldcat.org/oclc/60705670","Catalog Record")</f>
        <v>Catalog Record</v>
      </c>
      <c r="AW2607" s="6" t="str">
        <f>HYPERLINK("http://www.worldcat.org/oclc/60705670","WorldCat Record")</f>
        <v>WorldCat Record</v>
      </c>
      <c r="AX2607" s="3" t="s">
        <v>26308</v>
      </c>
      <c r="AY2607" s="3" t="s">
        <v>26309</v>
      </c>
      <c r="AZ2607" s="3" t="s">
        <v>26310</v>
      </c>
      <c r="BA2607" s="3" t="s">
        <v>26310</v>
      </c>
      <c r="BB2607" s="3" t="s">
        <v>26311</v>
      </c>
      <c r="BC2607" s="3" t="s">
        <v>77</v>
      </c>
      <c r="BD2607" s="3" t="s">
        <v>78</v>
      </c>
      <c r="BE2607" s="3" t="s">
        <v>26312</v>
      </c>
      <c r="BF2607" s="3" t="s">
        <v>26311</v>
      </c>
      <c r="BG2607" s="3" t="s">
        <v>26313</v>
      </c>
      <c r="BH2607">
        <f t="shared" si="62"/>
        <v>0</v>
      </c>
    </row>
    <row r="2608" spans="1:60" ht="87" x14ac:dyDescent="0.35">
      <c r="A2608" s="2" t="s">
        <v>59</v>
      </c>
      <c r="B2608" s="2" t="s">
        <v>60</v>
      </c>
      <c r="C2608" s="2" t="s">
        <v>26314</v>
      </c>
      <c r="D2608" s="2" t="s">
        <v>26315</v>
      </c>
      <c r="E2608" s="2" t="s">
        <v>26316</v>
      </c>
      <c r="G2608" s="3" t="s">
        <v>64</v>
      </c>
      <c r="I2608" s="3" t="s">
        <v>64</v>
      </c>
      <c r="J2608" s="3" t="s">
        <v>128</v>
      </c>
      <c r="K2608" s="3" t="s">
        <v>65</v>
      </c>
      <c r="L2608" s="2" t="s">
        <v>26317</v>
      </c>
      <c r="M2608" s="2" t="s">
        <v>26318</v>
      </c>
      <c r="N2608" s="3" t="s">
        <v>1031</v>
      </c>
      <c r="O2608" s="2" t="s">
        <v>7660</v>
      </c>
      <c r="P2608" s="3" t="s">
        <v>102</v>
      </c>
      <c r="R2608" s="3" t="s">
        <v>70</v>
      </c>
      <c r="S2608" s="4">
        <v>1</v>
      </c>
      <c r="T2608" s="4">
        <v>1</v>
      </c>
      <c r="U2608" s="5" t="s">
        <v>1088</v>
      </c>
      <c r="V2608" s="5" t="s">
        <v>1088</v>
      </c>
      <c r="W2608" s="5" t="s">
        <v>72</v>
      </c>
      <c r="X2608" s="5" t="s">
        <v>72</v>
      </c>
      <c r="Y2608" s="4">
        <v>6</v>
      </c>
      <c r="Z2608" s="4">
        <v>2</v>
      </c>
      <c r="AA2608" s="4">
        <v>6</v>
      </c>
      <c r="AB2608" s="4">
        <v>1</v>
      </c>
      <c r="AC2608" s="4">
        <v>1</v>
      </c>
      <c r="AD2608" s="4">
        <v>2</v>
      </c>
      <c r="AE2608" s="4">
        <v>31</v>
      </c>
      <c r="AF2608" s="4">
        <v>0</v>
      </c>
      <c r="AG2608" s="4">
        <v>0</v>
      </c>
      <c r="AH2608" s="4">
        <v>2</v>
      </c>
      <c r="AI2608" s="4">
        <v>28</v>
      </c>
      <c r="AJ2608" s="4">
        <v>1</v>
      </c>
      <c r="AK2608" s="4">
        <v>4</v>
      </c>
      <c r="AL2608" s="4">
        <v>0</v>
      </c>
      <c r="AM2608" s="4">
        <v>22</v>
      </c>
      <c r="AN2608" s="4">
        <v>0</v>
      </c>
      <c r="AO2608" s="4">
        <v>0</v>
      </c>
      <c r="AP2608" s="4">
        <v>1</v>
      </c>
      <c r="AQ2608" s="4">
        <v>4</v>
      </c>
      <c r="AR2608" s="3" t="s">
        <v>64</v>
      </c>
      <c r="AS2608" s="3" t="s">
        <v>64</v>
      </c>
      <c r="AT2608" s="3" t="s">
        <v>64</v>
      </c>
      <c r="AV2608" s="6" t="str">
        <f>HYPERLINK("http://mcgill.on.worldcat.org/oclc/427948312","Catalog Record")</f>
        <v>Catalog Record</v>
      </c>
      <c r="AW2608" s="6" t="str">
        <f>HYPERLINK("http://www.worldcat.org/oclc/427948312","WorldCat Record")</f>
        <v>WorldCat Record</v>
      </c>
      <c r="AX2608" s="3" t="s">
        <v>26319</v>
      </c>
      <c r="AY2608" s="3" t="s">
        <v>26320</v>
      </c>
      <c r="AZ2608" s="3" t="s">
        <v>26321</v>
      </c>
      <c r="BA2608" s="3" t="s">
        <v>26321</v>
      </c>
      <c r="BB2608" s="3" t="s">
        <v>26322</v>
      </c>
      <c r="BC2608" s="3" t="s">
        <v>77</v>
      </c>
      <c r="BD2608" s="3" t="s">
        <v>78</v>
      </c>
      <c r="BE2608" s="3" t="s">
        <v>26323</v>
      </c>
      <c r="BF2608" s="3" t="s">
        <v>26322</v>
      </c>
      <c r="BG2608" s="3" t="s">
        <v>26324</v>
      </c>
      <c r="BH2608">
        <f t="shared" si="62"/>
        <v>0</v>
      </c>
    </row>
    <row r="2609" spans="1:60" ht="87" x14ac:dyDescent="0.35">
      <c r="A2609" s="2" t="s">
        <v>59</v>
      </c>
      <c r="B2609" s="2" t="s">
        <v>60</v>
      </c>
      <c r="C2609" s="2" t="s">
        <v>26325</v>
      </c>
      <c r="D2609" s="2" t="s">
        <v>26326</v>
      </c>
      <c r="E2609" s="2" t="s">
        <v>26327</v>
      </c>
      <c r="G2609" s="3" t="s">
        <v>64</v>
      </c>
      <c r="I2609" s="3" t="s">
        <v>64</v>
      </c>
      <c r="J2609" s="3" t="s">
        <v>128</v>
      </c>
      <c r="K2609" s="3" t="s">
        <v>65</v>
      </c>
      <c r="L2609" s="2" t="s">
        <v>26328</v>
      </c>
      <c r="M2609" s="2" t="s">
        <v>26329</v>
      </c>
      <c r="N2609" s="3" t="s">
        <v>421</v>
      </c>
      <c r="O2609" s="2" t="s">
        <v>26330</v>
      </c>
      <c r="P2609" s="3" t="s">
        <v>102</v>
      </c>
      <c r="Q2609" s="2" t="s">
        <v>26331</v>
      </c>
      <c r="R2609" s="3" t="s">
        <v>70</v>
      </c>
      <c r="S2609" s="4">
        <v>7</v>
      </c>
      <c r="T2609" s="4">
        <v>7</v>
      </c>
      <c r="U2609" s="5" t="s">
        <v>4369</v>
      </c>
      <c r="V2609" s="5" t="s">
        <v>4369</v>
      </c>
      <c r="W2609" s="5" t="s">
        <v>20937</v>
      </c>
      <c r="X2609" s="5" t="s">
        <v>20937</v>
      </c>
      <c r="Y2609" s="4">
        <v>283</v>
      </c>
      <c r="Z2609" s="4">
        <v>8</v>
      </c>
      <c r="AA2609" s="4">
        <v>15</v>
      </c>
      <c r="AB2609" s="4">
        <v>1</v>
      </c>
      <c r="AC2609" s="4">
        <v>1</v>
      </c>
      <c r="AD2609" s="4">
        <v>68</v>
      </c>
      <c r="AE2609" s="4">
        <v>82</v>
      </c>
      <c r="AF2609" s="4">
        <v>0</v>
      </c>
      <c r="AG2609" s="4">
        <v>0</v>
      </c>
      <c r="AH2609" s="4">
        <v>63</v>
      </c>
      <c r="AI2609" s="4">
        <v>74</v>
      </c>
      <c r="AJ2609" s="4">
        <v>3</v>
      </c>
      <c r="AK2609" s="4">
        <v>8</v>
      </c>
      <c r="AL2609" s="4">
        <v>38</v>
      </c>
      <c r="AM2609" s="4">
        <v>42</v>
      </c>
      <c r="AN2609" s="4">
        <v>0</v>
      </c>
      <c r="AO2609" s="4">
        <v>0</v>
      </c>
      <c r="AP2609" s="4">
        <v>3</v>
      </c>
      <c r="AQ2609" s="4">
        <v>8</v>
      </c>
      <c r="AR2609" s="3" t="s">
        <v>64</v>
      </c>
      <c r="AS2609" s="3" t="s">
        <v>64</v>
      </c>
      <c r="AT2609" s="3" t="s">
        <v>64</v>
      </c>
      <c r="AV2609" s="6" t="str">
        <f>HYPERLINK("http://mcgill.on.worldcat.org/oclc/35174937","Catalog Record")</f>
        <v>Catalog Record</v>
      </c>
      <c r="AW2609" s="6" t="str">
        <f>HYPERLINK("http://www.worldcat.org/oclc/35174937","WorldCat Record")</f>
        <v>WorldCat Record</v>
      </c>
      <c r="AX2609" s="3" t="s">
        <v>26332</v>
      </c>
      <c r="AY2609" s="3" t="s">
        <v>26333</v>
      </c>
      <c r="AZ2609" s="3" t="s">
        <v>26334</v>
      </c>
      <c r="BA2609" s="3" t="s">
        <v>26334</v>
      </c>
      <c r="BB2609" s="3" t="s">
        <v>26335</v>
      </c>
      <c r="BC2609" s="3" t="s">
        <v>25924</v>
      </c>
      <c r="BD2609" s="3" t="s">
        <v>78</v>
      </c>
      <c r="BE2609" s="3" t="s">
        <v>26336</v>
      </c>
      <c r="BF2609" s="3" t="s">
        <v>26335</v>
      </c>
      <c r="BG2609" s="3" t="s">
        <v>26337</v>
      </c>
      <c r="BH2609">
        <f t="shared" si="62"/>
        <v>0</v>
      </c>
    </row>
    <row r="2610" spans="1:60" ht="409.5" x14ac:dyDescent="0.35">
      <c r="A2610" s="2" t="s">
        <v>59</v>
      </c>
      <c r="B2610" s="2" t="s">
        <v>60</v>
      </c>
      <c r="C2610" s="2" t="s">
        <v>26338</v>
      </c>
      <c r="D2610" s="2" t="s">
        <v>26339</v>
      </c>
      <c r="E2610" s="2" t="s">
        <v>26340</v>
      </c>
      <c r="G2610" s="3" t="s">
        <v>64</v>
      </c>
      <c r="I2610" s="3" t="s">
        <v>128</v>
      </c>
      <c r="J2610" s="3" t="s">
        <v>64</v>
      </c>
      <c r="K2610" s="3" t="s">
        <v>65</v>
      </c>
      <c r="L2610" s="2" t="s">
        <v>26341</v>
      </c>
      <c r="M2610" s="2" t="s">
        <v>14782</v>
      </c>
      <c r="N2610" s="3" t="s">
        <v>979</v>
      </c>
      <c r="O2610" s="2" t="s">
        <v>26342</v>
      </c>
      <c r="P2610" s="3" t="s">
        <v>102</v>
      </c>
      <c r="R2610" s="3" t="s">
        <v>70</v>
      </c>
      <c r="S2610" s="4">
        <v>8</v>
      </c>
      <c r="T2610" s="4">
        <v>8</v>
      </c>
      <c r="U2610" s="5" t="s">
        <v>25645</v>
      </c>
      <c r="V2610" s="5" t="s">
        <v>25645</v>
      </c>
      <c r="W2610" s="5" t="s">
        <v>72</v>
      </c>
      <c r="X2610" s="5" t="s">
        <v>20937</v>
      </c>
      <c r="Y2610" s="4">
        <v>675</v>
      </c>
      <c r="Z2610" s="4">
        <v>26</v>
      </c>
      <c r="AA2610" s="4">
        <v>29</v>
      </c>
      <c r="AB2610" s="4">
        <v>3</v>
      </c>
      <c r="AC2610" s="4">
        <v>4</v>
      </c>
      <c r="AD2610" s="4">
        <v>92</v>
      </c>
      <c r="AE2610" s="4">
        <v>109</v>
      </c>
      <c r="AF2610" s="4">
        <v>1</v>
      </c>
      <c r="AG2610" s="4">
        <v>2</v>
      </c>
      <c r="AH2610" s="4">
        <v>82</v>
      </c>
      <c r="AI2610" s="4">
        <v>96</v>
      </c>
      <c r="AJ2610" s="4">
        <v>13</v>
      </c>
      <c r="AK2610" s="4">
        <v>15</v>
      </c>
      <c r="AL2610" s="4">
        <v>41</v>
      </c>
      <c r="AM2610" s="4">
        <v>51</v>
      </c>
      <c r="AN2610" s="4">
        <v>0</v>
      </c>
      <c r="AO2610" s="4">
        <v>0</v>
      </c>
      <c r="AP2610" s="4">
        <v>14</v>
      </c>
      <c r="AQ2610" s="4">
        <v>16</v>
      </c>
      <c r="AR2610" s="3" t="s">
        <v>64</v>
      </c>
      <c r="AS2610" s="3" t="s">
        <v>64</v>
      </c>
      <c r="AT2610" s="3" t="s">
        <v>64</v>
      </c>
      <c r="AV2610" s="6" t="str">
        <f>HYPERLINK("http://mcgill.on.worldcat.org/oclc/44391503","Catalog Record")</f>
        <v>Catalog Record</v>
      </c>
      <c r="AW2610" s="6" t="str">
        <f>HYPERLINK("http://www.worldcat.org/oclc/44391503","WorldCat Record")</f>
        <v>WorldCat Record</v>
      </c>
      <c r="AX2610" s="3" t="s">
        <v>26343</v>
      </c>
      <c r="AY2610" s="3" t="s">
        <v>26344</v>
      </c>
      <c r="AZ2610" s="3" t="s">
        <v>26345</v>
      </c>
      <c r="BA2610" s="3" t="s">
        <v>26345</v>
      </c>
      <c r="BB2610" s="3" t="s">
        <v>26346</v>
      </c>
      <c r="BC2610" s="3" t="s">
        <v>77</v>
      </c>
      <c r="BD2610" s="3" t="s">
        <v>78</v>
      </c>
      <c r="BE2610" s="3" t="s">
        <v>26347</v>
      </c>
      <c r="BF2610" s="3" t="s">
        <v>26346</v>
      </c>
      <c r="BG2610" s="3" t="s">
        <v>26348</v>
      </c>
      <c r="BH2610">
        <f t="shared" si="62"/>
        <v>0</v>
      </c>
    </row>
    <row r="2611" spans="1:60" ht="58" x14ac:dyDescent="0.35">
      <c r="A2611" s="2" t="s">
        <v>59</v>
      </c>
      <c r="B2611" s="2" t="s">
        <v>60</v>
      </c>
      <c r="C2611" s="2" t="s">
        <v>26349</v>
      </c>
      <c r="D2611" s="2" t="s">
        <v>26350</v>
      </c>
      <c r="E2611" s="2" t="s">
        <v>26351</v>
      </c>
      <c r="G2611" s="3" t="s">
        <v>64</v>
      </c>
      <c r="I2611" s="3" t="s">
        <v>128</v>
      </c>
      <c r="J2611" s="3" t="s">
        <v>64</v>
      </c>
      <c r="K2611" s="3" t="s">
        <v>65</v>
      </c>
      <c r="L2611" s="2" t="s">
        <v>26352</v>
      </c>
      <c r="M2611" s="2" t="s">
        <v>26353</v>
      </c>
      <c r="N2611" s="3" t="s">
        <v>3072</v>
      </c>
      <c r="P2611" s="3" t="s">
        <v>102</v>
      </c>
      <c r="R2611" s="3" t="s">
        <v>70</v>
      </c>
      <c r="S2611" s="4">
        <v>2</v>
      </c>
      <c r="T2611" s="4">
        <v>4</v>
      </c>
      <c r="U2611" s="5" t="s">
        <v>26354</v>
      </c>
      <c r="V2611" s="5" t="s">
        <v>1655</v>
      </c>
      <c r="W2611" s="5" t="s">
        <v>72</v>
      </c>
      <c r="X2611" s="5" t="s">
        <v>72</v>
      </c>
      <c r="Y2611" s="4">
        <v>159</v>
      </c>
      <c r="Z2611" s="4">
        <v>5</v>
      </c>
      <c r="AA2611" s="4">
        <v>9</v>
      </c>
      <c r="AB2611" s="4">
        <v>1</v>
      </c>
      <c r="AC2611" s="4">
        <v>1</v>
      </c>
      <c r="AD2611" s="4">
        <v>63</v>
      </c>
      <c r="AE2611" s="4">
        <v>66</v>
      </c>
      <c r="AF2611" s="4">
        <v>0</v>
      </c>
      <c r="AG2611" s="4">
        <v>0</v>
      </c>
      <c r="AH2611" s="4">
        <v>61</v>
      </c>
      <c r="AI2611" s="4">
        <v>63</v>
      </c>
      <c r="AJ2611" s="4">
        <v>3</v>
      </c>
      <c r="AK2611" s="4">
        <v>4</v>
      </c>
      <c r="AL2611" s="4">
        <v>37</v>
      </c>
      <c r="AM2611" s="4">
        <v>38</v>
      </c>
      <c r="AN2611" s="4">
        <v>0</v>
      </c>
      <c r="AO2611" s="4">
        <v>0</v>
      </c>
      <c r="AP2611" s="4">
        <v>3</v>
      </c>
      <c r="AQ2611" s="4">
        <v>5</v>
      </c>
      <c r="AR2611" s="3" t="s">
        <v>64</v>
      </c>
      <c r="AS2611" s="3" t="s">
        <v>64</v>
      </c>
      <c r="AT2611" s="3" t="s">
        <v>128</v>
      </c>
      <c r="AU2611" s="6" t="str">
        <f>HYPERLINK("http://catalog.hathitrust.org/Record/001163057","HathiTrust Record")</f>
        <v>HathiTrust Record</v>
      </c>
      <c r="AV2611" s="6" t="str">
        <f>HYPERLINK("http://mcgill.on.worldcat.org/oclc/949234","Catalog Record")</f>
        <v>Catalog Record</v>
      </c>
      <c r="AW2611" s="6" t="str">
        <f>HYPERLINK("http://www.worldcat.org/oclc/949234","WorldCat Record")</f>
        <v>WorldCat Record</v>
      </c>
      <c r="AX2611" s="3" t="s">
        <v>26355</v>
      </c>
      <c r="AY2611" s="3" t="s">
        <v>26356</v>
      </c>
      <c r="AZ2611" s="3" t="s">
        <v>26357</v>
      </c>
      <c r="BA2611" s="3" t="s">
        <v>26357</v>
      </c>
      <c r="BB2611" s="3" t="s">
        <v>26358</v>
      </c>
      <c r="BC2611" s="3" t="s">
        <v>2891</v>
      </c>
      <c r="BD2611" s="3" t="s">
        <v>78</v>
      </c>
      <c r="BF2611" s="3" t="s">
        <v>26358</v>
      </c>
      <c r="BG2611" s="3" t="s">
        <v>26359</v>
      </c>
      <c r="BH2611">
        <f t="shared" si="62"/>
        <v>0</v>
      </c>
    </row>
    <row r="2612" spans="1:60" ht="58" x14ac:dyDescent="0.35">
      <c r="A2612" s="2" t="s">
        <v>59</v>
      </c>
      <c r="B2612" s="2" t="s">
        <v>60</v>
      </c>
      <c r="C2612" s="2" t="s">
        <v>26360</v>
      </c>
      <c r="D2612" s="2" t="s">
        <v>26361</v>
      </c>
      <c r="E2612" s="2" t="s">
        <v>26362</v>
      </c>
      <c r="G2612" s="3" t="s">
        <v>64</v>
      </c>
      <c r="I2612" s="3" t="s">
        <v>128</v>
      </c>
      <c r="J2612" s="3" t="s">
        <v>128</v>
      </c>
      <c r="K2612" s="3" t="s">
        <v>65</v>
      </c>
      <c r="M2612" s="2" t="s">
        <v>26363</v>
      </c>
      <c r="N2612" s="3" t="s">
        <v>291</v>
      </c>
      <c r="O2612" s="2" t="s">
        <v>26364</v>
      </c>
      <c r="P2612" s="3" t="s">
        <v>102</v>
      </c>
      <c r="R2612" s="3" t="s">
        <v>70</v>
      </c>
      <c r="S2612" s="4">
        <v>2</v>
      </c>
      <c r="T2612" s="4">
        <v>2</v>
      </c>
      <c r="U2612" s="5" t="s">
        <v>5519</v>
      </c>
      <c r="V2612" s="5" t="s">
        <v>5519</v>
      </c>
      <c r="W2612" s="5" t="s">
        <v>72</v>
      </c>
      <c r="X2612" s="5" t="s">
        <v>72</v>
      </c>
      <c r="Y2612" s="4">
        <v>345</v>
      </c>
      <c r="Z2612" s="4">
        <v>15</v>
      </c>
      <c r="AA2612" s="4">
        <v>52</v>
      </c>
      <c r="AB2612" s="4">
        <v>2</v>
      </c>
      <c r="AC2612" s="4">
        <v>9</v>
      </c>
      <c r="AD2612" s="4">
        <v>54</v>
      </c>
      <c r="AE2612" s="4">
        <v>115</v>
      </c>
      <c r="AF2612" s="4">
        <v>1</v>
      </c>
      <c r="AG2612" s="4">
        <v>4</v>
      </c>
      <c r="AH2612" s="4">
        <v>49</v>
      </c>
      <c r="AI2612" s="4">
        <v>88</v>
      </c>
      <c r="AJ2612" s="4">
        <v>7</v>
      </c>
      <c r="AK2612" s="4">
        <v>21</v>
      </c>
      <c r="AL2612" s="4">
        <v>25</v>
      </c>
      <c r="AM2612" s="4">
        <v>50</v>
      </c>
      <c r="AN2612" s="4">
        <v>0</v>
      </c>
      <c r="AO2612" s="4">
        <v>0</v>
      </c>
      <c r="AP2612" s="4">
        <v>10</v>
      </c>
      <c r="AQ2612" s="4">
        <v>32</v>
      </c>
      <c r="AR2612" s="3" t="s">
        <v>64</v>
      </c>
      <c r="AS2612" s="3" t="s">
        <v>64</v>
      </c>
      <c r="AT2612" s="3" t="s">
        <v>64</v>
      </c>
      <c r="AV2612" s="6" t="str">
        <f>HYPERLINK("http://mcgill.on.worldcat.org/oclc/84838047","Catalog Record")</f>
        <v>Catalog Record</v>
      </c>
      <c r="AW2612" s="6" t="str">
        <f>HYPERLINK("http://www.worldcat.org/oclc/84838047","WorldCat Record")</f>
        <v>WorldCat Record</v>
      </c>
      <c r="AX2612" s="3" t="s">
        <v>26365</v>
      </c>
      <c r="AY2612" s="3" t="s">
        <v>26366</v>
      </c>
      <c r="AZ2612" s="3" t="s">
        <v>26367</v>
      </c>
      <c r="BA2612" s="3" t="s">
        <v>26367</v>
      </c>
      <c r="BB2612" s="3" t="s">
        <v>26368</v>
      </c>
      <c r="BC2612" s="3" t="s">
        <v>77</v>
      </c>
      <c r="BD2612" s="3" t="s">
        <v>78</v>
      </c>
      <c r="BE2612" s="3" t="s">
        <v>26369</v>
      </c>
      <c r="BF2612" s="3" t="s">
        <v>26368</v>
      </c>
      <c r="BG2612" s="3" t="s">
        <v>26370</v>
      </c>
      <c r="BH2612">
        <f t="shared" si="62"/>
        <v>0</v>
      </c>
    </row>
    <row r="2613" spans="1:60" ht="72.5" x14ac:dyDescent="0.35">
      <c r="A2613" s="2" t="s">
        <v>1932</v>
      </c>
      <c r="B2613" s="2" t="s">
        <v>1933</v>
      </c>
      <c r="C2613" s="2" t="s">
        <v>26371</v>
      </c>
      <c r="D2613" s="2" t="s">
        <v>26372</v>
      </c>
      <c r="E2613" s="2" t="s">
        <v>26373</v>
      </c>
      <c r="F2613" s="3" t="s">
        <v>26374</v>
      </c>
      <c r="G2613" s="3" t="s">
        <v>128</v>
      </c>
      <c r="I2613" s="3" t="s">
        <v>64</v>
      </c>
      <c r="J2613" s="3" t="s">
        <v>64</v>
      </c>
      <c r="K2613" s="3" t="s">
        <v>65</v>
      </c>
      <c r="L2613" s="2" t="s">
        <v>21184</v>
      </c>
      <c r="M2613" s="2" t="s">
        <v>26375</v>
      </c>
      <c r="N2613" s="3" t="s">
        <v>405</v>
      </c>
      <c r="O2613" s="2" t="s">
        <v>26376</v>
      </c>
      <c r="P2613" s="3" t="s">
        <v>68</v>
      </c>
      <c r="R2613" s="3" t="s">
        <v>70</v>
      </c>
      <c r="S2613" s="4">
        <v>1</v>
      </c>
      <c r="T2613" s="4">
        <v>1</v>
      </c>
      <c r="U2613" s="5" t="s">
        <v>26377</v>
      </c>
      <c r="V2613" s="5" t="s">
        <v>26377</v>
      </c>
      <c r="W2613" s="5" t="s">
        <v>72</v>
      </c>
      <c r="X2613" s="5" t="s">
        <v>72</v>
      </c>
      <c r="Y2613" s="4">
        <v>4</v>
      </c>
      <c r="Z2613" s="4">
        <v>1</v>
      </c>
      <c r="AA2613" s="4">
        <v>4</v>
      </c>
      <c r="AB2613" s="4">
        <v>1</v>
      </c>
      <c r="AC2613" s="4">
        <v>3</v>
      </c>
      <c r="AD2613" s="4">
        <v>2</v>
      </c>
      <c r="AE2613" s="4">
        <v>5</v>
      </c>
      <c r="AF2613" s="4">
        <v>0</v>
      </c>
      <c r="AG2613" s="4">
        <v>2</v>
      </c>
      <c r="AH2613" s="4">
        <v>2</v>
      </c>
      <c r="AI2613" s="4">
        <v>4</v>
      </c>
      <c r="AJ2613" s="4">
        <v>0</v>
      </c>
      <c r="AK2613" s="4">
        <v>3</v>
      </c>
      <c r="AL2613" s="4">
        <v>0</v>
      </c>
      <c r="AM2613" s="4">
        <v>0</v>
      </c>
      <c r="AN2613" s="4">
        <v>0</v>
      </c>
      <c r="AO2613" s="4">
        <v>0</v>
      </c>
      <c r="AP2613" s="4">
        <v>0</v>
      </c>
      <c r="AQ2613" s="4">
        <v>2</v>
      </c>
      <c r="AR2613" s="3" t="s">
        <v>64</v>
      </c>
      <c r="AS2613" s="3" t="s">
        <v>64</v>
      </c>
      <c r="AT2613" s="3" t="s">
        <v>64</v>
      </c>
      <c r="AV2613" s="6" t="str">
        <f>HYPERLINK("http://mcgill.on.worldcat.org/oclc/3538265","Catalog Record")</f>
        <v>Catalog Record</v>
      </c>
      <c r="AW2613" s="6" t="str">
        <f>HYPERLINK("http://www.worldcat.org/oclc/3538265","WorldCat Record")</f>
        <v>WorldCat Record</v>
      </c>
      <c r="AX2613" s="3" t="s">
        <v>26378</v>
      </c>
      <c r="AY2613" s="3" t="s">
        <v>26379</v>
      </c>
      <c r="AZ2613" s="3" t="s">
        <v>26380</v>
      </c>
      <c r="BA2613" s="3" t="s">
        <v>26380</v>
      </c>
      <c r="BB2613" s="3" t="s">
        <v>26381</v>
      </c>
      <c r="BC2613" s="3" t="s">
        <v>77</v>
      </c>
      <c r="BD2613" s="3" t="s">
        <v>78</v>
      </c>
      <c r="BF2613" s="3" t="s">
        <v>26381</v>
      </c>
      <c r="BG2613" s="3" t="s">
        <v>26382</v>
      </c>
      <c r="BH2613">
        <f t="shared" si="62"/>
        <v>0</v>
      </c>
    </row>
    <row r="2614" spans="1:60" ht="72.5" x14ac:dyDescent="0.35">
      <c r="A2614" s="2" t="s">
        <v>1932</v>
      </c>
      <c r="B2614" s="2" t="s">
        <v>1933</v>
      </c>
      <c r="C2614" s="2" t="s">
        <v>26371</v>
      </c>
      <c r="D2614" s="2" t="s">
        <v>26372</v>
      </c>
      <c r="E2614" s="2" t="s">
        <v>26373</v>
      </c>
      <c r="F2614" s="3" t="s">
        <v>26383</v>
      </c>
      <c r="G2614" s="3" t="s">
        <v>128</v>
      </c>
      <c r="I2614" s="3" t="s">
        <v>64</v>
      </c>
      <c r="J2614" s="3" t="s">
        <v>64</v>
      </c>
      <c r="K2614" s="3" t="s">
        <v>65</v>
      </c>
      <c r="L2614" s="2" t="s">
        <v>21184</v>
      </c>
      <c r="M2614" s="2" t="s">
        <v>26375</v>
      </c>
      <c r="N2614" s="3" t="s">
        <v>405</v>
      </c>
      <c r="O2614" s="2" t="s">
        <v>26376</v>
      </c>
      <c r="P2614" s="3" t="s">
        <v>68</v>
      </c>
      <c r="R2614" s="3" t="s">
        <v>70</v>
      </c>
      <c r="S2614" s="4">
        <v>0</v>
      </c>
      <c r="T2614" s="4">
        <v>1</v>
      </c>
      <c r="V2614" s="5" t="s">
        <v>26377</v>
      </c>
      <c r="W2614" s="5" t="s">
        <v>72</v>
      </c>
      <c r="X2614" s="5" t="s">
        <v>72</v>
      </c>
      <c r="Y2614" s="4">
        <v>4</v>
      </c>
      <c r="Z2614" s="4">
        <v>1</v>
      </c>
      <c r="AA2614" s="4">
        <v>4</v>
      </c>
      <c r="AB2614" s="4">
        <v>1</v>
      </c>
      <c r="AC2614" s="4">
        <v>3</v>
      </c>
      <c r="AD2614" s="4">
        <v>2</v>
      </c>
      <c r="AE2614" s="4">
        <v>5</v>
      </c>
      <c r="AF2614" s="4">
        <v>0</v>
      </c>
      <c r="AG2614" s="4">
        <v>2</v>
      </c>
      <c r="AH2614" s="4">
        <v>2</v>
      </c>
      <c r="AI2614" s="4">
        <v>4</v>
      </c>
      <c r="AJ2614" s="4">
        <v>0</v>
      </c>
      <c r="AK2614" s="4">
        <v>3</v>
      </c>
      <c r="AL2614" s="4">
        <v>0</v>
      </c>
      <c r="AM2614" s="4">
        <v>0</v>
      </c>
      <c r="AN2614" s="4">
        <v>0</v>
      </c>
      <c r="AO2614" s="4">
        <v>0</v>
      </c>
      <c r="AP2614" s="4">
        <v>0</v>
      </c>
      <c r="AQ2614" s="4">
        <v>2</v>
      </c>
      <c r="AR2614" s="3" t="s">
        <v>64</v>
      </c>
      <c r="AS2614" s="3" t="s">
        <v>64</v>
      </c>
      <c r="AT2614" s="3" t="s">
        <v>64</v>
      </c>
      <c r="AV2614" s="6" t="str">
        <f>HYPERLINK("http://mcgill.on.worldcat.org/oclc/3538265","Catalog Record")</f>
        <v>Catalog Record</v>
      </c>
      <c r="AW2614" s="6" t="str">
        <f>HYPERLINK("http://www.worldcat.org/oclc/3538265","WorldCat Record")</f>
        <v>WorldCat Record</v>
      </c>
      <c r="AX2614" s="3" t="s">
        <v>26378</v>
      </c>
      <c r="AY2614" s="3" t="s">
        <v>26379</v>
      </c>
      <c r="AZ2614" s="3" t="s">
        <v>26380</v>
      </c>
      <c r="BA2614" s="3" t="s">
        <v>26380</v>
      </c>
      <c r="BB2614" s="3" t="s">
        <v>26384</v>
      </c>
      <c r="BC2614" s="3" t="s">
        <v>77</v>
      </c>
      <c r="BD2614" s="3" t="s">
        <v>78</v>
      </c>
      <c r="BF2614" s="3" t="s">
        <v>26384</v>
      </c>
      <c r="BG2614" s="3" t="s">
        <v>26385</v>
      </c>
      <c r="BH2614">
        <f t="shared" si="62"/>
        <v>0</v>
      </c>
    </row>
    <row r="2615" spans="1:60" ht="72.5" x14ac:dyDescent="0.35">
      <c r="A2615" s="2" t="s">
        <v>1932</v>
      </c>
      <c r="B2615" s="2" t="s">
        <v>1933</v>
      </c>
      <c r="C2615" s="2" t="s">
        <v>26371</v>
      </c>
      <c r="D2615" s="2" t="s">
        <v>26372</v>
      </c>
      <c r="E2615" s="2" t="s">
        <v>26373</v>
      </c>
      <c r="F2615" s="3" t="s">
        <v>1323</v>
      </c>
      <c r="G2615" s="3" t="s">
        <v>128</v>
      </c>
      <c r="I2615" s="3" t="s">
        <v>64</v>
      </c>
      <c r="J2615" s="3" t="s">
        <v>64</v>
      </c>
      <c r="K2615" s="3" t="s">
        <v>65</v>
      </c>
      <c r="L2615" s="2" t="s">
        <v>21184</v>
      </c>
      <c r="M2615" s="2" t="s">
        <v>26375</v>
      </c>
      <c r="N2615" s="3" t="s">
        <v>405</v>
      </c>
      <c r="O2615" s="2" t="s">
        <v>26376</v>
      </c>
      <c r="P2615" s="3" t="s">
        <v>68</v>
      </c>
      <c r="R2615" s="3" t="s">
        <v>70</v>
      </c>
      <c r="S2615" s="4">
        <v>0</v>
      </c>
      <c r="T2615" s="4">
        <v>1</v>
      </c>
      <c r="V2615" s="5" t="s">
        <v>26377</v>
      </c>
      <c r="W2615" s="5" t="s">
        <v>72</v>
      </c>
      <c r="X2615" s="5" t="s">
        <v>72</v>
      </c>
      <c r="Y2615" s="4">
        <v>4</v>
      </c>
      <c r="Z2615" s="4">
        <v>1</v>
      </c>
      <c r="AA2615" s="4">
        <v>4</v>
      </c>
      <c r="AB2615" s="4">
        <v>1</v>
      </c>
      <c r="AC2615" s="4">
        <v>3</v>
      </c>
      <c r="AD2615" s="4">
        <v>2</v>
      </c>
      <c r="AE2615" s="4">
        <v>5</v>
      </c>
      <c r="AF2615" s="4">
        <v>0</v>
      </c>
      <c r="AG2615" s="4">
        <v>2</v>
      </c>
      <c r="AH2615" s="4">
        <v>2</v>
      </c>
      <c r="AI2615" s="4">
        <v>4</v>
      </c>
      <c r="AJ2615" s="4">
        <v>0</v>
      </c>
      <c r="AK2615" s="4">
        <v>3</v>
      </c>
      <c r="AL2615" s="4">
        <v>0</v>
      </c>
      <c r="AM2615" s="4">
        <v>0</v>
      </c>
      <c r="AN2615" s="4">
        <v>0</v>
      </c>
      <c r="AO2615" s="4">
        <v>0</v>
      </c>
      <c r="AP2615" s="4">
        <v>0</v>
      </c>
      <c r="AQ2615" s="4">
        <v>2</v>
      </c>
      <c r="AR2615" s="3" t="s">
        <v>64</v>
      </c>
      <c r="AS2615" s="3" t="s">
        <v>64</v>
      </c>
      <c r="AT2615" s="3" t="s">
        <v>64</v>
      </c>
      <c r="AV2615" s="6" t="str">
        <f>HYPERLINK("http://mcgill.on.worldcat.org/oclc/3538265","Catalog Record")</f>
        <v>Catalog Record</v>
      </c>
      <c r="AW2615" s="6" t="str">
        <f>HYPERLINK("http://www.worldcat.org/oclc/3538265","WorldCat Record")</f>
        <v>WorldCat Record</v>
      </c>
      <c r="AX2615" s="3" t="s">
        <v>26378</v>
      </c>
      <c r="AY2615" s="3" t="s">
        <v>26379</v>
      </c>
      <c r="AZ2615" s="3" t="s">
        <v>26380</v>
      </c>
      <c r="BA2615" s="3" t="s">
        <v>26380</v>
      </c>
      <c r="BB2615" s="3" t="s">
        <v>26386</v>
      </c>
      <c r="BC2615" s="3" t="s">
        <v>77</v>
      </c>
      <c r="BD2615" s="3" t="s">
        <v>78</v>
      </c>
      <c r="BF2615" s="3" t="s">
        <v>26386</v>
      </c>
      <c r="BG2615" s="3" t="s">
        <v>26387</v>
      </c>
      <c r="BH2615">
        <f t="shared" si="62"/>
        <v>0</v>
      </c>
    </row>
    <row r="2616" spans="1:60" ht="72.5" x14ac:dyDescent="0.35">
      <c r="A2616" s="2" t="s">
        <v>1932</v>
      </c>
      <c r="B2616" s="2" t="s">
        <v>1933</v>
      </c>
      <c r="C2616" s="2" t="s">
        <v>26371</v>
      </c>
      <c r="D2616" s="2" t="s">
        <v>26372</v>
      </c>
      <c r="E2616" s="2" t="s">
        <v>26373</v>
      </c>
      <c r="F2616" s="3" t="s">
        <v>26388</v>
      </c>
      <c r="G2616" s="3" t="s">
        <v>128</v>
      </c>
      <c r="I2616" s="3" t="s">
        <v>64</v>
      </c>
      <c r="J2616" s="3" t="s">
        <v>64</v>
      </c>
      <c r="K2616" s="3" t="s">
        <v>65</v>
      </c>
      <c r="L2616" s="2" t="s">
        <v>21184</v>
      </c>
      <c r="M2616" s="2" t="s">
        <v>26375</v>
      </c>
      <c r="N2616" s="3" t="s">
        <v>405</v>
      </c>
      <c r="O2616" s="2" t="s">
        <v>26376</v>
      </c>
      <c r="P2616" s="3" t="s">
        <v>68</v>
      </c>
      <c r="R2616" s="3" t="s">
        <v>70</v>
      </c>
      <c r="S2616" s="4">
        <v>0</v>
      </c>
      <c r="T2616" s="4">
        <v>1</v>
      </c>
      <c r="V2616" s="5" t="s">
        <v>26377</v>
      </c>
      <c r="W2616" s="5" t="s">
        <v>72</v>
      </c>
      <c r="X2616" s="5" t="s">
        <v>72</v>
      </c>
      <c r="Y2616" s="4">
        <v>4</v>
      </c>
      <c r="Z2616" s="4">
        <v>1</v>
      </c>
      <c r="AA2616" s="4">
        <v>4</v>
      </c>
      <c r="AB2616" s="4">
        <v>1</v>
      </c>
      <c r="AC2616" s="4">
        <v>3</v>
      </c>
      <c r="AD2616" s="4">
        <v>2</v>
      </c>
      <c r="AE2616" s="4">
        <v>5</v>
      </c>
      <c r="AF2616" s="4">
        <v>0</v>
      </c>
      <c r="AG2616" s="4">
        <v>2</v>
      </c>
      <c r="AH2616" s="4">
        <v>2</v>
      </c>
      <c r="AI2616" s="4">
        <v>4</v>
      </c>
      <c r="AJ2616" s="4">
        <v>0</v>
      </c>
      <c r="AK2616" s="4">
        <v>3</v>
      </c>
      <c r="AL2616" s="4">
        <v>0</v>
      </c>
      <c r="AM2616" s="4">
        <v>0</v>
      </c>
      <c r="AN2616" s="4">
        <v>0</v>
      </c>
      <c r="AO2616" s="4">
        <v>0</v>
      </c>
      <c r="AP2616" s="4">
        <v>0</v>
      </c>
      <c r="AQ2616" s="4">
        <v>2</v>
      </c>
      <c r="AR2616" s="3" t="s">
        <v>64</v>
      </c>
      <c r="AS2616" s="3" t="s">
        <v>64</v>
      </c>
      <c r="AT2616" s="3" t="s">
        <v>64</v>
      </c>
      <c r="AV2616" s="6" t="str">
        <f>HYPERLINK("http://mcgill.on.worldcat.org/oclc/3538265","Catalog Record")</f>
        <v>Catalog Record</v>
      </c>
      <c r="AW2616" s="6" t="str">
        <f>HYPERLINK("http://www.worldcat.org/oclc/3538265","WorldCat Record")</f>
        <v>WorldCat Record</v>
      </c>
      <c r="AX2616" s="3" t="s">
        <v>26378</v>
      </c>
      <c r="AY2616" s="3" t="s">
        <v>26379</v>
      </c>
      <c r="AZ2616" s="3" t="s">
        <v>26380</v>
      </c>
      <c r="BA2616" s="3" t="s">
        <v>26380</v>
      </c>
      <c r="BB2616" s="3" t="s">
        <v>26389</v>
      </c>
      <c r="BC2616" s="3" t="s">
        <v>77</v>
      </c>
      <c r="BD2616" s="3" t="s">
        <v>78</v>
      </c>
      <c r="BF2616" s="3" t="s">
        <v>26389</v>
      </c>
      <c r="BG2616" s="3" t="s">
        <v>26390</v>
      </c>
      <c r="BH2616">
        <f t="shared" si="62"/>
        <v>0</v>
      </c>
    </row>
    <row r="2617" spans="1:60" ht="72.5" x14ac:dyDescent="0.35">
      <c r="A2617" s="2" t="s">
        <v>1932</v>
      </c>
      <c r="B2617" s="2" t="s">
        <v>1933</v>
      </c>
      <c r="C2617" s="2" t="s">
        <v>26371</v>
      </c>
      <c r="D2617" s="2" t="s">
        <v>26372</v>
      </c>
      <c r="E2617" s="2" t="s">
        <v>26373</v>
      </c>
      <c r="F2617" s="3" t="s">
        <v>26391</v>
      </c>
      <c r="G2617" s="3" t="s">
        <v>128</v>
      </c>
      <c r="I2617" s="3" t="s">
        <v>64</v>
      </c>
      <c r="J2617" s="3" t="s">
        <v>64</v>
      </c>
      <c r="K2617" s="3" t="s">
        <v>65</v>
      </c>
      <c r="L2617" s="2" t="s">
        <v>21184</v>
      </c>
      <c r="M2617" s="2" t="s">
        <v>26375</v>
      </c>
      <c r="N2617" s="3" t="s">
        <v>405</v>
      </c>
      <c r="O2617" s="2" t="s">
        <v>26376</v>
      </c>
      <c r="P2617" s="3" t="s">
        <v>68</v>
      </c>
      <c r="R2617" s="3" t="s">
        <v>70</v>
      </c>
      <c r="S2617" s="4">
        <v>0</v>
      </c>
      <c r="T2617" s="4">
        <v>1</v>
      </c>
      <c r="V2617" s="5" t="s">
        <v>26377</v>
      </c>
      <c r="W2617" s="5" t="s">
        <v>72</v>
      </c>
      <c r="X2617" s="5" t="s">
        <v>72</v>
      </c>
      <c r="Y2617" s="4">
        <v>4</v>
      </c>
      <c r="Z2617" s="4">
        <v>1</v>
      </c>
      <c r="AA2617" s="4">
        <v>4</v>
      </c>
      <c r="AB2617" s="4">
        <v>1</v>
      </c>
      <c r="AC2617" s="4">
        <v>3</v>
      </c>
      <c r="AD2617" s="4">
        <v>2</v>
      </c>
      <c r="AE2617" s="4">
        <v>5</v>
      </c>
      <c r="AF2617" s="4">
        <v>0</v>
      </c>
      <c r="AG2617" s="4">
        <v>2</v>
      </c>
      <c r="AH2617" s="4">
        <v>2</v>
      </c>
      <c r="AI2617" s="4">
        <v>4</v>
      </c>
      <c r="AJ2617" s="4">
        <v>0</v>
      </c>
      <c r="AK2617" s="4">
        <v>3</v>
      </c>
      <c r="AL2617" s="4">
        <v>0</v>
      </c>
      <c r="AM2617" s="4">
        <v>0</v>
      </c>
      <c r="AN2617" s="4">
        <v>0</v>
      </c>
      <c r="AO2617" s="4">
        <v>0</v>
      </c>
      <c r="AP2617" s="4">
        <v>0</v>
      </c>
      <c r="AQ2617" s="4">
        <v>2</v>
      </c>
      <c r="AR2617" s="3" t="s">
        <v>64</v>
      </c>
      <c r="AS2617" s="3" t="s">
        <v>64</v>
      </c>
      <c r="AT2617" s="3" t="s">
        <v>64</v>
      </c>
      <c r="AV2617" s="6" t="str">
        <f>HYPERLINK("http://mcgill.on.worldcat.org/oclc/3538265","Catalog Record")</f>
        <v>Catalog Record</v>
      </c>
      <c r="AW2617" s="6" t="str">
        <f>HYPERLINK("http://www.worldcat.org/oclc/3538265","WorldCat Record")</f>
        <v>WorldCat Record</v>
      </c>
      <c r="AX2617" s="3" t="s">
        <v>26378</v>
      </c>
      <c r="AY2617" s="3" t="s">
        <v>26379</v>
      </c>
      <c r="AZ2617" s="3" t="s">
        <v>26380</v>
      </c>
      <c r="BA2617" s="3" t="s">
        <v>26380</v>
      </c>
      <c r="BB2617" s="3" t="s">
        <v>26392</v>
      </c>
      <c r="BC2617" s="3" t="s">
        <v>77</v>
      </c>
      <c r="BD2617" s="3" t="s">
        <v>78</v>
      </c>
      <c r="BF2617" s="3" t="s">
        <v>26392</v>
      </c>
      <c r="BG2617" s="3" t="s">
        <v>26393</v>
      </c>
      <c r="BH2617">
        <f t="shared" si="62"/>
        <v>0</v>
      </c>
    </row>
    <row r="2618" spans="1:60" ht="87" x14ac:dyDescent="0.35">
      <c r="A2618" s="2" t="s">
        <v>1932</v>
      </c>
      <c r="B2618" s="2" t="s">
        <v>1933</v>
      </c>
      <c r="C2618" s="2" t="s">
        <v>26394</v>
      </c>
      <c r="D2618" s="2" t="s">
        <v>26395</v>
      </c>
      <c r="E2618" s="2" t="s">
        <v>26396</v>
      </c>
      <c r="G2618" s="3" t="s">
        <v>64</v>
      </c>
      <c r="I2618" s="3" t="s">
        <v>128</v>
      </c>
      <c r="J2618" s="3" t="s">
        <v>64</v>
      </c>
      <c r="K2618" s="3" t="s">
        <v>65</v>
      </c>
      <c r="L2618" s="2" t="s">
        <v>26397</v>
      </c>
      <c r="M2618" s="2" t="s">
        <v>26398</v>
      </c>
      <c r="N2618" s="3" t="s">
        <v>498</v>
      </c>
      <c r="P2618" s="3" t="s">
        <v>102</v>
      </c>
      <c r="Q2618" s="2" t="s">
        <v>26399</v>
      </c>
      <c r="R2618" s="3" t="s">
        <v>70</v>
      </c>
      <c r="S2618" s="4">
        <v>1</v>
      </c>
      <c r="T2618" s="4">
        <v>1</v>
      </c>
      <c r="U2618" s="5" t="s">
        <v>26400</v>
      </c>
      <c r="V2618" s="5" t="s">
        <v>26400</v>
      </c>
      <c r="W2618" s="5" t="s">
        <v>72</v>
      </c>
      <c r="X2618" s="5" t="s">
        <v>72</v>
      </c>
      <c r="Y2618" s="4">
        <v>5</v>
      </c>
      <c r="Z2618" s="4">
        <v>5</v>
      </c>
      <c r="AA2618" s="4">
        <v>6</v>
      </c>
      <c r="AB2618" s="4">
        <v>1</v>
      </c>
      <c r="AC2618" s="4">
        <v>1</v>
      </c>
      <c r="AD2618" s="4">
        <v>2</v>
      </c>
      <c r="AE2618" s="4">
        <v>2</v>
      </c>
      <c r="AF2618" s="4">
        <v>0</v>
      </c>
      <c r="AG2618" s="4">
        <v>0</v>
      </c>
      <c r="AH2618" s="4">
        <v>2</v>
      </c>
      <c r="AI2618" s="4">
        <v>2</v>
      </c>
      <c r="AJ2618" s="4">
        <v>2</v>
      </c>
      <c r="AK2618" s="4">
        <v>2</v>
      </c>
      <c r="AL2618" s="4">
        <v>1</v>
      </c>
      <c r="AM2618" s="4">
        <v>1</v>
      </c>
      <c r="AN2618" s="4">
        <v>0</v>
      </c>
      <c r="AO2618" s="4">
        <v>0</v>
      </c>
      <c r="AP2618" s="4">
        <v>2</v>
      </c>
      <c r="AQ2618" s="4">
        <v>2</v>
      </c>
      <c r="AR2618" s="3" t="s">
        <v>128</v>
      </c>
      <c r="AS2618" s="3" t="s">
        <v>64</v>
      </c>
      <c r="AT2618" s="3" t="s">
        <v>64</v>
      </c>
      <c r="AV2618" s="6" t="str">
        <f>HYPERLINK("http://mcgill.on.worldcat.org/oclc/427310134","Catalog Record")</f>
        <v>Catalog Record</v>
      </c>
      <c r="AW2618" s="6" t="str">
        <f>HYPERLINK("http://www.worldcat.org/oclc/427310134","WorldCat Record")</f>
        <v>WorldCat Record</v>
      </c>
      <c r="AX2618" s="3" t="s">
        <v>26401</v>
      </c>
      <c r="AY2618" s="3" t="s">
        <v>26402</v>
      </c>
      <c r="AZ2618" s="3" t="s">
        <v>26403</v>
      </c>
      <c r="BA2618" s="3" t="s">
        <v>26403</v>
      </c>
      <c r="BB2618" s="3" t="s">
        <v>26404</v>
      </c>
      <c r="BC2618" s="3" t="s">
        <v>77</v>
      </c>
      <c r="BD2618" s="3" t="s">
        <v>78</v>
      </c>
      <c r="BF2618" s="3" t="s">
        <v>26404</v>
      </c>
      <c r="BG2618" s="3" t="s">
        <v>26405</v>
      </c>
      <c r="BH2618">
        <f t="shared" si="62"/>
        <v>0</v>
      </c>
    </row>
    <row r="2619" spans="1:60" ht="87" x14ac:dyDescent="0.35">
      <c r="A2619" s="2" t="s">
        <v>59</v>
      </c>
      <c r="B2619" s="2" t="s">
        <v>60</v>
      </c>
      <c r="C2619" s="2" t="s">
        <v>26394</v>
      </c>
      <c r="D2619" s="2" t="s">
        <v>26395</v>
      </c>
      <c r="E2619" s="2" t="s">
        <v>26396</v>
      </c>
      <c r="G2619" s="3" t="s">
        <v>64</v>
      </c>
      <c r="I2619" s="3" t="s">
        <v>128</v>
      </c>
      <c r="J2619" s="3" t="s">
        <v>64</v>
      </c>
      <c r="K2619" s="3" t="s">
        <v>65</v>
      </c>
      <c r="L2619" s="2" t="s">
        <v>26397</v>
      </c>
      <c r="M2619" s="2" t="s">
        <v>26398</v>
      </c>
      <c r="N2619" s="3" t="s">
        <v>498</v>
      </c>
      <c r="P2619" s="3" t="s">
        <v>102</v>
      </c>
      <c r="Q2619" s="2" t="s">
        <v>26399</v>
      </c>
      <c r="R2619" s="3" t="s">
        <v>70</v>
      </c>
      <c r="S2619" s="4">
        <v>0</v>
      </c>
      <c r="T2619" s="4">
        <v>1</v>
      </c>
      <c r="V2619" s="5" t="s">
        <v>26400</v>
      </c>
      <c r="W2619" s="5" t="s">
        <v>72</v>
      </c>
      <c r="X2619" s="5" t="s">
        <v>72</v>
      </c>
      <c r="Y2619" s="4">
        <v>5</v>
      </c>
      <c r="Z2619" s="4">
        <v>5</v>
      </c>
      <c r="AA2619" s="4">
        <v>6</v>
      </c>
      <c r="AB2619" s="4">
        <v>1</v>
      </c>
      <c r="AC2619" s="4">
        <v>1</v>
      </c>
      <c r="AD2619" s="4">
        <v>2</v>
      </c>
      <c r="AE2619" s="4">
        <v>2</v>
      </c>
      <c r="AF2619" s="4">
        <v>0</v>
      </c>
      <c r="AG2619" s="4">
        <v>0</v>
      </c>
      <c r="AH2619" s="4">
        <v>2</v>
      </c>
      <c r="AI2619" s="4">
        <v>2</v>
      </c>
      <c r="AJ2619" s="4">
        <v>2</v>
      </c>
      <c r="AK2619" s="4">
        <v>2</v>
      </c>
      <c r="AL2619" s="4">
        <v>1</v>
      </c>
      <c r="AM2619" s="4">
        <v>1</v>
      </c>
      <c r="AN2619" s="4">
        <v>0</v>
      </c>
      <c r="AO2619" s="4">
        <v>0</v>
      </c>
      <c r="AP2619" s="4">
        <v>2</v>
      </c>
      <c r="AQ2619" s="4">
        <v>2</v>
      </c>
      <c r="AR2619" s="3" t="s">
        <v>128</v>
      </c>
      <c r="AS2619" s="3" t="s">
        <v>64</v>
      </c>
      <c r="AT2619" s="3" t="s">
        <v>64</v>
      </c>
      <c r="AV2619" s="6" t="str">
        <f>HYPERLINK("http://mcgill.on.worldcat.org/oclc/427310134","Catalog Record")</f>
        <v>Catalog Record</v>
      </c>
      <c r="AW2619" s="6" t="str">
        <f>HYPERLINK("http://www.worldcat.org/oclc/427310134","WorldCat Record")</f>
        <v>WorldCat Record</v>
      </c>
      <c r="AX2619" s="3" t="s">
        <v>26401</v>
      </c>
      <c r="AY2619" s="3" t="s">
        <v>26402</v>
      </c>
      <c r="AZ2619" s="3" t="s">
        <v>26403</v>
      </c>
      <c r="BA2619" s="3" t="s">
        <v>26403</v>
      </c>
      <c r="BB2619" s="3" t="s">
        <v>26406</v>
      </c>
      <c r="BC2619" s="3" t="s">
        <v>77</v>
      </c>
      <c r="BD2619" s="3" t="s">
        <v>78</v>
      </c>
      <c r="BF2619" s="3" t="s">
        <v>26406</v>
      </c>
      <c r="BG2619" s="3" t="s">
        <v>26407</v>
      </c>
      <c r="BH2619">
        <f t="shared" si="62"/>
        <v>0</v>
      </c>
    </row>
    <row r="2620" spans="1:60" ht="58" x14ac:dyDescent="0.35">
      <c r="A2620" s="2" t="s">
        <v>59</v>
      </c>
      <c r="B2620" s="2" t="s">
        <v>60</v>
      </c>
      <c r="C2620" s="2" t="s">
        <v>26408</v>
      </c>
      <c r="D2620" s="2" t="s">
        <v>26409</v>
      </c>
      <c r="E2620" s="2" t="s">
        <v>26410</v>
      </c>
      <c r="G2620" s="3" t="s">
        <v>64</v>
      </c>
      <c r="I2620" s="3" t="s">
        <v>64</v>
      </c>
      <c r="J2620" s="3" t="s">
        <v>64</v>
      </c>
      <c r="K2620" s="3" t="s">
        <v>65</v>
      </c>
      <c r="L2620" s="2" t="s">
        <v>26411</v>
      </c>
      <c r="M2620" s="2" t="s">
        <v>26412</v>
      </c>
      <c r="N2620" s="3" t="s">
        <v>326</v>
      </c>
      <c r="P2620" s="3" t="s">
        <v>102</v>
      </c>
      <c r="R2620" s="3" t="s">
        <v>70</v>
      </c>
      <c r="S2620" s="4">
        <v>0</v>
      </c>
      <c r="T2620" s="4">
        <v>0</v>
      </c>
      <c r="W2620" s="5" t="s">
        <v>72</v>
      </c>
      <c r="X2620" s="5" t="s">
        <v>72</v>
      </c>
      <c r="Y2620" s="4">
        <v>105</v>
      </c>
      <c r="Z2620" s="4">
        <v>19</v>
      </c>
      <c r="AA2620" s="4">
        <v>114</v>
      </c>
      <c r="AB2620" s="4">
        <v>1</v>
      </c>
      <c r="AC2620" s="4">
        <v>19</v>
      </c>
      <c r="AD2620" s="4">
        <v>62</v>
      </c>
      <c r="AE2620" s="4">
        <v>129</v>
      </c>
      <c r="AF2620" s="4">
        <v>0</v>
      </c>
      <c r="AG2620" s="4">
        <v>8</v>
      </c>
      <c r="AH2620" s="4">
        <v>51</v>
      </c>
      <c r="AI2620" s="4">
        <v>88</v>
      </c>
      <c r="AJ2620" s="4">
        <v>16</v>
      </c>
      <c r="AK2620" s="4">
        <v>26</v>
      </c>
      <c r="AL2620" s="4">
        <v>30</v>
      </c>
      <c r="AM2620" s="4">
        <v>46</v>
      </c>
      <c r="AN2620" s="4">
        <v>0</v>
      </c>
      <c r="AO2620" s="4">
        <v>0</v>
      </c>
      <c r="AP2620" s="4">
        <v>16</v>
      </c>
      <c r="AQ2620" s="4">
        <v>50</v>
      </c>
      <c r="AR2620" s="3" t="s">
        <v>128</v>
      </c>
      <c r="AS2620" s="3" t="s">
        <v>64</v>
      </c>
      <c r="AT2620" s="3" t="s">
        <v>64</v>
      </c>
      <c r="AV2620" s="6" t="str">
        <f>HYPERLINK("http://mcgill.on.worldcat.org/oclc/701604850","Catalog Record")</f>
        <v>Catalog Record</v>
      </c>
      <c r="AW2620" s="6" t="str">
        <f>HYPERLINK("http://www.worldcat.org/oclc/701604850","WorldCat Record")</f>
        <v>WorldCat Record</v>
      </c>
      <c r="AX2620" s="3" t="s">
        <v>26413</v>
      </c>
      <c r="AY2620" s="3" t="s">
        <v>26414</v>
      </c>
      <c r="AZ2620" s="3" t="s">
        <v>26415</v>
      </c>
      <c r="BA2620" s="3" t="s">
        <v>26415</v>
      </c>
      <c r="BB2620" s="3" t="s">
        <v>26416</v>
      </c>
      <c r="BC2620" s="3" t="s">
        <v>77</v>
      </c>
      <c r="BD2620" s="3" t="s">
        <v>78</v>
      </c>
      <c r="BE2620" s="3" t="s">
        <v>26417</v>
      </c>
      <c r="BF2620" s="3" t="s">
        <v>26416</v>
      </c>
      <c r="BG2620" s="3" t="s">
        <v>26418</v>
      </c>
      <c r="BH2620">
        <f t="shared" si="62"/>
        <v>0</v>
      </c>
    </row>
    <row r="2621" spans="1:60" ht="58" x14ac:dyDescent="0.35">
      <c r="A2621" s="2" t="s">
        <v>59</v>
      </c>
      <c r="B2621" s="2" t="s">
        <v>60</v>
      </c>
      <c r="C2621" s="2" t="s">
        <v>26419</v>
      </c>
      <c r="D2621" s="2" t="s">
        <v>26420</v>
      </c>
      <c r="E2621" s="2" t="s">
        <v>26421</v>
      </c>
      <c r="G2621" s="3" t="s">
        <v>64</v>
      </c>
      <c r="I2621" s="3" t="s">
        <v>64</v>
      </c>
      <c r="J2621" s="3" t="s">
        <v>64</v>
      </c>
      <c r="K2621" s="3" t="s">
        <v>65</v>
      </c>
      <c r="M2621" s="2" t="s">
        <v>26422</v>
      </c>
      <c r="N2621" s="3" t="s">
        <v>1075</v>
      </c>
      <c r="P2621" s="3" t="s">
        <v>102</v>
      </c>
      <c r="Q2621" s="2" t="s">
        <v>26423</v>
      </c>
      <c r="R2621" s="3" t="s">
        <v>70</v>
      </c>
      <c r="S2621" s="4">
        <v>7</v>
      </c>
      <c r="T2621" s="4">
        <v>7</v>
      </c>
      <c r="U2621" s="5" t="s">
        <v>3284</v>
      </c>
      <c r="V2621" s="5" t="s">
        <v>3284</v>
      </c>
      <c r="W2621" s="5" t="s">
        <v>72</v>
      </c>
      <c r="X2621" s="5" t="s">
        <v>72</v>
      </c>
      <c r="Y2621" s="4">
        <v>291</v>
      </c>
      <c r="Z2621" s="4">
        <v>15</v>
      </c>
      <c r="AA2621" s="4">
        <v>16</v>
      </c>
      <c r="AB2621" s="4">
        <v>5</v>
      </c>
      <c r="AC2621" s="4">
        <v>6</v>
      </c>
      <c r="AD2621" s="4">
        <v>65</v>
      </c>
      <c r="AE2621" s="4">
        <v>65</v>
      </c>
      <c r="AF2621" s="4">
        <v>1</v>
      </c>
      <c r="AG2621" s="4">
        <v>1</v>
      </c>
      <c r="AH2621" s="4">
        <v>62</v>
      </c>
      <c r="AI2621" s="4">
        <v>62</v>
      </c>
      <c r="AJ2621" s="4">
        <v>6</v>
      </c>
      <c r="AK2621" s="4">
        <v>6</v>
      </c>
      <c r="AL2621" s="4">
        <v>36</v>
      </c>
      <c r="AM2621" s="4">
        <v>36</v>
      </c>
      <c r="AN2621" s="4">
        <v>0</v>
      </c>
      <c r="AO2621" s="4">
        <v>0</v>
      </c>
      <c r="AP2621" s="4">
        <v>6</v>
      </c>
      <c r="AQ2621" s="4">
        <v>6</v>
      </c>
      <c r="AR2621" s="3" t="s">
        <v>64</v>
      </c>
      <c r="AS2621" s="3" t="s">
        <v>64</v>
      </c>
      <c r="AT2621" s="3" t="s">
        <v>64</v>
      </c>
      <c r="AV2621" s="6" t="str">
        <f>HYPERLINK("http://mcgill.on.worldcat.org/oclc/824535973","Catalog Record")</f>
        <v>Catalog Record</v>
      </c>
      <c r="AW2621" s="6" t="str">
        <f>HYPERLINK("http://www.worldcat.org/oclc/824535973","WorldCat Record")</f>
        <v>WorldCat Record</v>
      </c>
      <c r="AX2621" s="3" t="s">
        <v>26424</v>
      </c>
      <c r="AY2621" s="3" t="s">
        <v>26425</v>
      </c>
      <c r="AZ2621" s="3" t="s">
        <v>26426</v>
      </c>
      <c r="BA2621" s="3" t="s">
        <v>26426</v>
      </c>
      <c r="BB2621" s="3" t="s">
        <v>26427</v>
      </c>
      <c r="BC2621" s="3" t="s">
        <v>77</v>
      </c>
      <c r="BD2621" s="3" t="s">
        <v>165</v>
      </c>
      <c r="BE2621" s="3" t="s">
        <v>26428</v>
      </c>
      <c r="BF2621" s="3" t="s">
        <v>26427</v>
      </c>
      <c r="BG2621" s="3" t="s">
        <v>26429</v>
      </c>
      <c r="BH2621">
        <f t="shared" si="62"/>
        <v>0</v>
      </c>
    </row>
    <row r="2622" spans="1:60" ht="72.5" x14ac:dyDescent="0.35">
      <c r="A2622" s="2" t="s">
        <v>59</v>
      </c>
      <c r="B2622" s="2" t="s">
        <v>60</v>
      </c>
      <c r="C2622" s="2" t="s">
        <v>26430</v>
      </c>
      <c r="D2622" s="2" t="s">
        <v>26431</v>
      </c>
      <c r="E2622" s="2" t="s">
        <v>26432</v>
      </c>
      <c r="G2622" s="3" t="s">
        <v>64</v>
      </c>
      <c r="I2622" s="3" t="s">
        <v>64</v>
      </c>
      <c r="J2622" s="3" t="s">
        <v>64</v>
      </c>
      <c r="K2622" s="3" t="s">
        <v>65</v>
      </c>
      <c r="L2622" s="2" t="s">
        <v>26433</v>
      </c>
      <c r="M2622" s="2" t="s">
        <v>26434</v>
      </c>
      <c r="N2622" s="3" t="s">
        <v>2067</v>
      </c>
      <c r="P2622" s="3" t="s">
        <v>102</v>
      </c>
      <c r="Q2622" s="2" t="s">
        <v>26435</v>
      </c>
      <c r="R2622" s="3" t="s">
        <v>70</v>
      </c>
      <c r="S2622" s="4">
        <v>14</v>
      </c>
      <c r="T2622" s="4">
        <v>14</v>
      </c>
      <c r="U2622" s="5" t="s">
        <v>18990</v>
      </c>
      <c r="V2622" s="5" t="s">
        <v>18990</v>
      </c>
      <c r="W2622" s="5" t="s">
        <v>72</v>
      </c>
      <c r="X2622" s="5" t="s">
        <v>72</v>
      </c>
      <c r="Y2622" s="4">
        <v>243</v>
      </c>
      <c r="Z2622" s="4">
        <v>23</v>
      </c>
      <c r="AA2622" s="4">
        <v>29</v>
      </c>
      <c r="AB2622" s="4">
        <v>3</v>
      </c>
      <c r="AC2622" s="4">
        <v>7</v>
      </c>
      <c r="AD2622" s="4">
        <v>57</v>
      </c>
      <c r="AE2622" s="4">
        <v>62</v>
      </c>
      <c r="AF2622" s="4">
        <v>1</v>
      </c>
      <c r="AG2622" s="4">
        <v>4</v>
      </c>
      <c r="AH2622" s="4">
        <v>51</v>
      </c>
      <c r="AI2622" s="4">
        <v>53</v>
      </c>
      <c r="AJ2622" s="4">
        <v>10</v>
      </c>
      <c r="AK2622" s="4">
        <v>14</v>
      </c>
      <c r="AL2622" s="4">
        <v>26</v>
      </c>
      <c r="AM2622" s="4">
        <v>26</v>
      </c>
      <c r="AN2622" s="4">
        <v>0</v>
      </c>
      <c r="AO2622" s="4">
        <v>0</v>
      </c>
      <c r="AP2622" s="4">
        <v>12</v>
      </c>
      <c r="AQ2622" s="4">
        <v>15</v>
      </c>
      <c r="AR2622" s="3" t="s">
        <v>64</v>
      </c>
      <c r="AS2622" s="3" t="s">
        <v>64</v>
      </c>
      <c r="AT2622" s="3" t="s">
        <v>128</v>
      </c>
      <c r="AU2622" s="6" t="str">
        <f>HYPERLINK("http://catalog.hathitrust.org/Record/002053718","HathiTrust Record")</f>
        <v>HathiTrust Record</v>
      </c>
      <c r="AV2622" s="6" t="str">
        <f>HYPERLINK("http://mcgill.on.worldcat.org/oclc/19741811","Catalog Record")</f>
        <v>Catalog Record</v>
      </c>
      <c r="AW2622" s="6" t="str">
        <f>HYPERLINK("http://www.worldcat.org/oclc/19741811","WorldCat Record")</f>
        <v>WorldCat Record</v>
      </c>
      <c r="AX2622" s="3" t="s">
        <v>26436</v>
      </c>
      <c r="AY2622" s="3" t="s">
        <v>26437</v>
      </c>
      <c r="AZ2622" s="3" t="s">
        <v>26438</v>
      </c>
      <c r="BA2622" s="3" t="s">
        <v>26438</v>
      </c>
      <c r="BB2622" s="3" t="s">
        <v>26439</v>
      </c>
      <c r="BC2622" s="3" t="s">
        <v>77</v>
      </c>
      <c r="BD2622" s="3" t="s">
        <v>78</v>
      </c>
      <c r="BE2622" s="3" t="s">
        <v>26440</v>
      </c>
      <c r="BF2622" s="3" t="s">
        <v>26439</v>
      </c>
      <c r="BG2622" s="3" t="s">
        <v>26441</v>
      </c>
      <c r="BH2622">
        <f t="shared" si="62"/>
        <v>0</v>
      </c>
    </row>
    <row r="2623" spans="1:60" ht="58" x14ac:dyDescent="0.35">
      <c r="A2623" s="2" t="s">
        <v>59</v>
      </c>
      <c r="B2623" s="2" t="s">
        <v>60</v>
      </c>
      <c r="C2623" s="2" t="s">
        <v>26442</v>
      </c>
      <c r="D2623" s="2" t="s">
        <v>26443</v>
      </c>
      <c r="E2623" s="2" t="s">
        <v>26444</v>
      </c>
      <c r="G2623" s="3" t="s">
        <v>64</v>
      </c>
      <c r="I2623" s="3" t="s">
        <v>128</v>
      </c>
      <c r="J2623" s="3" t="s">
        <v>64</v>
      </c>
      <c r="K2623" s="3" t="s">
        <v>65</v>
      </c>
      <c r="L2623" s="2" t="s">
        <v>26445</v>
      </c>
      <c r="M2623" s="2" t="s">
        <v>26446</v>
      </c>
      <c r="N2623" s="3" t="s">
        <v>979</v>
      </c>
      <c r="O2623" s="2" t="s">
        <v>2994</v>
      </c>
      <c r="P2623" s="3" t="s">
        <v>102</v>
      </c>
      <c r="Q2623" s="2" t="s">
        <v>26447</v>
      </c>
      <c r="R2623" s="3" t="s">
        <v>70</v>
      </c>
      <c r="S2623" s="4">
        <v>3</v>
      </c>
      <c r="T2623" s="4">
        <v>33</v>
      </c>
      <c r="U2623" s="5" t="s">
        <v>26448</v>
      </c>
      <c r="V2623" s="5" t="s">
        <v>4016</v>
      </c>
      <c r="W2623" s="5" t="s">
        <v>72</v>
      </c>
      <c r="X2623" s="5" t="s">
        <v>72</v>
      </c>
      <c r="Y2623" s="4">
        <v>288</v>
      </c>
      <c r="Z2623" s="4">
        <v>15</v>
      </c>
      <c r="AA2623" s="4">
        <v>16</v>
      </c>
      <c r="AB2623" s="4">
        <v>4</v>
      </c>
      <c r="AC2623" s="4">
        <v>5</v>
      </c>
      <c r="AD2623" s="4">
        <v>63</v>
      </c>
      <c r="AE2623" s="4">
        <v>64</v>
      </c>
      <c r="AF2623" s="4">
        <v>1</v>
      </c>
      <c r="AG2623" s="4">
        <v>2</v>
      </c>
      <c r="AH2623" s="4">
        <v>58</v>
      </c>
      <c r="AI2623" s="4">
        <v>58</v>
      </c>
      <c r="AJ2623" s="4">
        <v>9</v>
      </c>
      <c r="AK2623" s="4">
        <v>10</v>
      </c>
      <c r="AL2623" s="4">
        <v>29</v>
      </c>
      <c r="AM2623" s="4">
        <v>29</v>
      </c>
      <c r="AN2623" s="4">
        <v>0</v>
      </c>
      <c r="AO2623" s="4">
        <v>0</v>
      </c>
      <c r="AP2623" s="4">
        <v>9</v>
      </c>
      <c r="AQ2623" s="4">
        <v>9</v>
      </c>
      <c r="AR2623" s="3" t="s">
        <v>64</v>
      </c>
      <c r="AS2623" s="3" t="s">
        <v>64</v>
      </c>
      <c r="AT2623" s="3" t="s">
        <v>128</v>
      </c>
      <c r="AU2623" s="6" t="str">
        <f>HYPERLINK("http://catalog.hathitrust.org/Record/004140094","HathiTrust Record")</f>
        <v>HathiTrust Record</v>
      </c>
      <c r="AV2623" s="6" t="str">
        <f>HYPERLINK("http://mcgill.on.worldcat.org/oclc/43403423","Catalog Record")</f>
        <v>Catalog Record</v>
      </c>
      <c r="AW2623" s="6" t="str">
        <f>HYPERLINK("http://www.worldcat.org/oclc/43403423","WorldCat Record")</f>
        <v>WorldCat Record</v>
      </c>
      <c r="AX2623" s="3" t="s">
        <v>26449</v>
      </c>
      <c r="AY2623" s="3" t="s">
        <v>26450</v>
      </c>
      <c r="AZ2623" s="3" t="s">
        <v>26451</v>
      </c>
      <c r="BA2623" s="3" t="s">
        <v>26451</v>
      </c>
      <c r="BB2623" s="3" t="s">
        <v>26452</v>
      </c>
      <c r="BC2623" s="3" t="s">
        <v>77</v>
      </c>
      <c r="BD2623" s="3" t="s">
        <v>78</v>
      </c>
      <c r="BE2623" s="3" t="s">
        <v>26453</v>
      </c>
      <c r="BF2623" s="3" t="s">
        <v>26452</v>
      </c>
      <c r="BG2623" s="3" t="s">
        <v>26454</v>
      </c>
      <c r="BH2623">
        <f t="shared" si="62"/>
        <v>0</v>
      </c>
    </row>
    <row r="2624" spans="1:60" ht="58" x14ac:dyDescent="0.35">
      <c r="A2624" s="2" t="s">
        <v>59</v>
      </c>
      <c r="B2624" s="2" t="s">
        <v>60</v>
      </c>
      <c r="C2624" s="2" t="s">
        <v>26442</v>
      </c>
      <c r="D2624" s="2" t="s">
        <v>26443</v>
      </c>
      <c r="E2624" s="2" t="s">
        <v>26444</v>
      </c>
      <c r="G2624" s="3" t="s">
        <v>64</v>
      </c>
      <c r="I2624" s="3" t="s">
        <v>128</v>
      </c>
      <c r="J2624" s="3" t="s">
        <v>64</v>
      </c>
      <c r="K2624" s="3" t="s">
        <v>65</v>
      </c>
      <c r="L2624" s="2" t="s">
        <v>26445</v>
      </c>
      <c r="M2624" s="2" t="s">
        <v>26446</v>
      </c>
      <c r="N2624" s="3" t="s">
        <v>979</v>
      </c>
      <c r="O2624" s="2" t="s">
        <v>2994</v>
      </c>
      <c r="P2624" s="3" t="s">
        <v>102</v>
      </c>
      <c r="Q2624" s="2" t="s">
        <v>26447</v>
      </c>
      <c r="R2624" s="3" t="s">
        <v>70</v>
      </c>
      <c r="S2624" s="4">
        <v>18</v>
      </c>
      <c r="T2624" s="4">
        <v>33</v>
      </c>
      <c r="U2624" s="5" t="s">
        <v>4016</v>
      </c>
      <c r="V2624" s="5" t="s">
        <v>4016</v>
      </c>
      <c r="W2624" s="5" t="s">
        <v>72</v>
      </c>
      <c r="X2624" s="5" t="s">
        <v>72</v>
      </c>
      <c r="Y2624" s="4">
        <v>288</v>
      </c>
      <c r="Z2624" s="4">
        <v>15</v>
      </c>
      <c r="AA2624" s="4">
        <v>16</v>
      </c>
      <c r="AB2624" s="4">
        <v>4</v>
      </c>
      <c r="AC2624" s="4">
        <v>5</v>
      </c>
      <c r="AD2624" s="4">
        <v>63</v>
      </c>
      <c r="AE2624" s="4">
        <v>64</v>
      </c>
      <c r="AF2624" s="4">
        <v>1</v>
      </c>
      <c r="AG2624" s="4">
        <v>2</v>
      </c>
      <c r="AH2624" s="4">
        <v>58</v>
      </c>
      <c r="AI2624" s="4">
        <v>58</v>
      </c>
      <c r="AJ2624" s="4">
        <v>9</v>
      </c>
      <c r="AK2624" s="4">
        <v>10</v>
      </c>
      <c r="AL2624" s="4">
        <v>29</v>
      </c>
      <c r="AM2624" s="4">
        <v>29</v>
      </c>
      <c r="AN2624" s="4">
        <v>0</v>
      </c>
      <c r="AO2624" s="4">
        <v>0</v>
      </c>
      <c r="AP2624" s="4">
        <v>9</v>
      </c>
      <c r="AQ2624" s="4">
        <v>9</v>
      </c>
      <c r="AR2624" s="3" t="s">
        <v>64</v>
      </c>
      <c r="AS2624" s="3" t="s">
        <v>64</v>
      </c>
      <c r="AT2624" s="3" t="s">
        <v>128</v>
      </c>
      <c r="AU2624" s="6" t="str">
        <f>HYPERLINK("http://catalog.hathitrust.org/Record/004140094","HathiTrust Record")</f>
        <v>HathiTrust Record</v>
      </c>
      <c r="AV2624" s="6" t="str">
        <f>HYPERLINK("http://mcgill.on.worldcat.org/oclc/43403423","Catalog Record")</f>
        <v>Catalog Record</v>
      </c>
      <c r="AW2624" s="6" t="str">
        <f>HYPERLINK("http://www.worldcat.org/oclc/43403423","WorldCat Record")</f>
        <v>WorldCat Record</v>
      </c>
      <c r="AX2624" s="3" t="s">
        <v>26449</v>
      </c>
      <c r="AY2624" s="3" t="s">
        <v>26450</v>
      </c>
      <c r="AZ2624" s="3" t="s">
        <v>26451</v>
      </c>
      <c r="BA2624" s="3" t="s">
        <v>26451</v>
      </c>
      <c r="BB2624" s="3" t="s">
        <v>26455</v>
      </c>
      <c r="BC2624" s="3" t="s">
        <v>77</v>
      </c>
      <c r="BD2624" s="3" t="s">
        <v>78</v>
      </c>
      <c r="BE2624" s="3" t="s">
        <v>26453</v>
      </c>
      <c r="BF2624" s="3" t="s">
        <v>26455</v>
      </c>
      <c r="BG2624" s="3" t="s">
        <v>26456</v>
      </c>
      <c r="BH2624">
        <f t="shared" si="62"/>
        <v>0</v>
      </c>
    </row>
    <row r="2625" spans="1:60" ht="58" x14ac:dyDescent="0.35">
      <c r="A2625" s="2" t="s">
        <v>59</v>
      </c>
      <c r="B2625" s="2" t="s">
        <v>60</v>
      </c>
      <c r="C2625" s="2" t="s">
        <v>26442</v>
      </c>
      <c r="D2625" s="2" t="s">
        <v>26443</v>
      </c>
      <c r="E2625" s="2" t="s">
        <v>26444</v>
      </c>
      <c r="G2625" s="3" t="s">
        <v>64</v>
      </c>
      <c r="I2625" s="3" t="s">
        <v>128</v>
      </c>
      <c r="J2625" s="3" t="s">
        <v>64</v>
      </c>
      <c r="K2625" s="3" t="s">
        <v>65</v>
      </c>
      <c r="L2625" s="2" t="s">
        <v>26445</v>
      </c>
      <c r="M2625" s="2" t="s">
        <v>26446</v>
      </c>
      <c r="N2625" s="3" t="s">
        <v>979</v>
      </c>
      <c r="O2625" s="2" t="s">
        <v>2994</v>
      </c>
      <c r="P2625" s="3" t="s">
        <v>102</v>
      </c>
      <c r="Q2625" s="2" t="s">
        <v>26447</v>
      </c>
      <c r="R2625" s="3" t="s">
        <v>70</v>
      </c>
      <c r="S2625" s="4">
        <v>12</v>
      </c>
      <c r="T2625" s="4">
        <v>33</v>
      </c>
      <c r="U2625" s="5" t="s">
        <v>3284</v>
      </c>
      <c r="V2625" s="5" t="s">
        <v>4016</v>
      </c>
      <c r="W2625" s="5" t="s">
        <v>72</v>
      </c>
      <c r="X2625" s="5" t="s">
        <v>72</v>
      </c>
      <c r="Y2625" s="4">
        <v>288</v>
      </c>
      <c r="Z2625" s="4">
        <v>15</v>
      </c>
      <c r="AA2625" s="4">
        <v>16</v>
      </c>
      <c r="AB2625" s="4">
        <v>4</v>
      </c>
      <c r="AC2625" s="4">
        <v>5</v>
      </c>
      <c r="AD2625" s="4">
        <v>63</v>
      </c>
      <c r="AE2625" s="4">
        <v>64</v>
      </c>
      <c r="AF2625" s="4">
        <v>1</v>
      </c>
      <c r="AG2625" s="4">
        <v>2</v>
      </c>
      <c r="AH2625" s="4">
        <v>58</v>
      </c>
      <c r="AI2625" s="4">
        <v>58</v>
      </c>
      <c r="AJ2625" s="4">
        <v>9</v>
      </c>
      <c r="AK2625" s="4">
        <v>10</v>
      </c>
      <c r="AL2625" s="4">
        <v>29</v>
      </c>
      <c r="AM2625" s="4">
        <v>29</v>
      </c>
      <c r="AN2625" s="4">
        <v>0</v>
      </c>
      <c r="AO2625" s="4">
        <v>0</v>
      </c>
      <c r="AP2625" s="4">
        <v>9</v>
      </c>
      <c r="AQ2625" s="4">
        <v>9</v>
      </c>
      <c r="AR2625" s="3" t="s">
        <v>64</v>
      </c>
      <c r="AS2625" s="3" t="s">
        <v>64</v>
      </c>
      <c r="AT2625" s="3" t="s">
        <v>128</v>
      </c>
      <c r="AU2625" s="6" t="str">
        <f>HYPERLINK("http://catalog.hathitrust.org/Record/004140094","HathiTrust Record")</f>
        <v>HathiTrust Record</v>
      </c>
      <c r="AV2625" s="6" t="str">
        <f>HYPERLINK("http://mcgill.on.worldcat.org/oclc/43403423","Catalog Record")</f>
        <v>Catalog Record</v>
      </c>
      <c r="AW2625" s="6" t="str">
        <f>HYPERLINK("http://www.worldcat.org/oclc/43403423","WorldCat Record")</f>
        <v>WorldCat Record</v>
      </c>
      <c r="AX2625" s="3" t="s">
        <v>26449</v>
      </c>
      <c r="AY2625" s="3" t="s">
        <v>26450</v>
      </c>
      <c r="AZ2625" s="3" t="s">
        <v>26451</v>
      </c>
      <c r="BA2625" s="3" t="s">
        <v>26451</v>
      </c>
      <c r="BB2625" s="3" t="s">
        <v>26457</v>
      </c>
      <c r="BC2625" s="3" t="s">
        <v>77</v>
      </c>
      <c r="BD2625" s="3" t="s">
        <v>78</v>
      </c>
      <c r="BE2625" s="3" t="s">
        <v>26453</v>
      </c>
      <c r="BF2625" s="3" t="s">
        <v>26457</v>
      </c>
      <c r="BG2625" s="3" t="s">
        <v>26458</v>
      </c>
      <c r="BH2625">
        <f t="shared" si="62"/>
        <v>0</v>
      </c>
    </row>
    <row r="2626" spans="1:60" ht="58" x14ac:dyDescent="0.35">
      <c r="A2626" s="2" t="s">
        <v>59</v>
      </c>
      <c r="B2626" s="2" t="s">
        <v>60</v>
      </c>
      <c r="C2626" s="2" t="s">
        <v>26459</v>
      </c>
      <c r="D2626" s="2" t="s">
        <v>26460</v>
      </c>
      <c r="E2626" s="2" t="s">
        <v>26461</v>
      </c>
      <c r="G2626" s="3" t="s">
        <v>64</v>
      </c>
      <c r="I2626" s="3" t="s">
        <v>64</v>
      </c>
      <c r="J2626" s="3" t="s">
        <v>64</v>
      </c>
      <c r="K2626" s="3" t="s">
        <v>65</v>
      </c>
      <c r="M2626" s="2" t="s">
        <v>26462</v>
      </c>
      <c r="N2626" s="3" t="s">
        <v>291</v>
      </c>
      <c r="P2626" s="3" t="s">
        <v>102</v>
      </c>
      <c r="R2626" s="3" t="s">
        <v>70</v>
      </c>
      <c r="S2626" s="4">
        <v>5</v>
      </c>
      <c r="T2626" s="4">
        <v>5</v>
      </c>
      <c r="U2626" s="5" t="s">
        <v>18990</v>
      </c>
      <c r="V2626" s="5" t="s">
        <v>18990</v>
      </c>
      <c r="W2626" s="5" t="s">
        <v>72</v>
      </c>
      <c r="X2626" s="5" t="s">
        <v>72</v>
      </c>
      <c r="Y2626" s="4">
        <v>57</v>
      </c>
      <c r="Z2626" s="4">
        <v>4</v>
      </c>
      <c r="AA2626" s="4">
        <v>5</v>
      </c>
      <c r="AB2626" s="4">
        <v>1</v>
      </c>
      <c r="AC2626" s="4">
        <v>1</v>
      </c>
      <c r="AD2626" s="4">
        <v>5</v>
      </c>
      <c r="AE2626" s="4">
        <v>5</v>
      </c>
      <c r="AF2626" s="4">
        <v>0</v>
      </c>
      <c r="AG2626" s="4">
        <v>0</v>
      </c>
      <c r="AH2626" s="4">
        <v>5</v>
      </c>
      <c r="AI2626" s="4">
        <v>5</v>
      </c>
      <c r="AJ2626" s="4">
        <v>2</v>
      </c>
      <c r="AK2626" s="4">
        <v>2</v>
      </c>
      <c r="AL2626" s="4">
        <v>2</v>
      </c>
      <c r="AM2626" s="4">
        <v>2</v>
      </c>
      <c r="AN2626" s="4">
        <v>0</v>
      </c>
      <c r="AO2626" s="4">
        <v>0</v>
      </c>
      <c r="AP2626" s="4">
        <v>2</v>
      </c>
      <c r="AQ2626" s="4">
        <v>2</v>
      </c>
      <c r="AR2626" s="3" t="s">
        <v>64</v>
      </c>
      <c r="AS2626" s="3" t="s">
        <v>64</v>
      </c>
      <c r="AT2626" s="3" t="s">
        <v>64</v>
      </c>
      <c r="AV2626" s="6" t="str">
        <f>HYPERLINK("http://mcgill.on.worldcat.org/oclc/182585947","Catalog Record")</f>
        <v>Catalog Record</v>
      </c>
      <c r="AW2626" s="6" t="str">
        <f>HYPERLINK("http://www.worldcat.org/oclc/182585947","WorldCat Record")</f>
        <v>WorldCat Record</v>
      </c>
      <c r="AX2626" s="3" t="s">
        <v>26463</v>
      </c>
      <c r="AY2626" s="3" t="s">
        <v>26464</v>
      </c>
      <c r="AZ2626" s="3" t="s">
        <v>26465</v>
      </c>
      <c r="BA2626" s="3" t="s">
        <v>26465</v>
      </c>
      <c r="BB2626" s="3" t="s">
        <v>26466</v>
      </c>
      <c r="BC2626" s="3" t="s">
        <v>77</v>
      </c>
      <c r="BD2626" s="3" t="s">
        <v>78</v>
      </c>
      <c r="BE2626" s="3" t="s">
        <v>26467</v>
      </c>
      <c r="BF2626" s="3" t="s">
        <v>26466</v>
      </c>
      <c r="BG2626" s="3" t="s">
        <v>26468</v>
      </c>
      <c r="BH2626">
        <f t="shared" ref="BH2626:BH2689" si="65">IF(COUNTIF($BF$1:$BF$5431,BF2626)=1,0,1)</f>
        <v>0</v>
      </c>
    </row>
    <row r="2627" spans="1:60" ht="58" x14ac:dyDescent="0.35">
      <c r="A2627" s="2" t="s">
        <v>59</v>
      </c>
      <c r="B2627" s="2" t="s">
        <v>60</v>
      </c>
      <c r="C2627" s="2" t="s">
        <v>26469</v>
      </c>
      <c r="D2627" s="2" t="s">
        <v>26470</v>
      </c>
      <c r="E2627" s="2" t="s">
        <v>26471</v>
      </c>
      <c r="G2627" s="3" t="s">
        <v>64</v>
      </c>
      <c r="I2627" s="3" t="s">
        <v>128</v>
      </c>
      <c r="J2627" s="3" t="s">
        <v>64</v>
      </c>
      <c r="K2627" s="3" t="s">
        <v>65</v>
      </c>
      <c r="L2627" s="2" t="s">
        <v>26472</v>
      </c>
      <c r="M2627" s="2" t="s">
        <v>26473</v>
      </c>
      <c r="N2627" s="3" t="s">
        <v>116</v>
      </c>
      <c r="P2627" s="3" t="s">
        <v>102</v>
      </c>
      <c r="R2627" s="3" t="s">
        <v>70</v>
      </c>
      <c r="S2627" s="4">
        <v>39</v>
      </c>
      <c r="T2627" s="4">
        <v>69</v>
      </c>
      <c r="U2627" s="5" t="s">
        <v>1964</v>
      </c>
      <c r="V2627" s="5" t="s">
        <v>1964</v>
      </c>
      <c r="W2627" s="5" t="s">
        <v>72</v>
      </c>
      <c r="X2627" s="5" t="s">
        <v>72</v>
      </c>
      <c r="Y2627" s="4">
        <v>35</v>
      </c>
      <c r="Z2627" s="4">
        <v>30</v>
      </c>
      <c r="AA2627" s="4">
        <v>32</v>
      </c>
      <c r="AB2627" s="4">
        <v>1</v>
      </c>
      <c r="AC2627" s="4">
        <v>2</v>
      </c>
      <c r="AD2627" s="4">
        <v>21</v>
      </c>
      <c r="AE2627" s="4">
        <v>22</v>
      </c>
      <c r="AF2627" s="4">
        <v>0</v>
      </c>
      <c r="AG2627" s="4">
        <v>0</v>
      </c>
      <c r="AH2627" s="4">
        <v>9</v>
      </c>
      <c r="AI2627" s="4">
        <v>9</v>
      </c>
      <c r="AJ2627" s="4">
        <v>13</v>
      </c>
      <c r="AK2627" s="4">
        <v>14</v>
      </c>
      <c r="AL2627" s="4">
        <v>3</v>
      </c>
      <c r="AM2627" s="4">
        <v>3</v>
      </c>
      <c r="AN2627" s="4">
        <v>0</v>
      </c>
      <c r="AO2627" s="4">
        <v>0</v>
      </c>
      <c r="AP2627" s="4">
        <v>18</v>
      </c>
      <c r="AQ2627" s="4">
        <v>19</v>
      </c>
      <c r="AR2627" s="3" t="s">
        <v>128</v>
      </c>
      <c r="AS2627" s="3" t="s">
        <v>64</v>
      </c>
      <c r="AT2627" s="3" t="s">
        <v>64</v>
      </c>
      <c r="AV2627" s="6" t="str">
        <f>HYPERLINK("http://mcgill.on.worldcat.org/oclc/45438770","Catalog Record")</f>
        <v>Catalog Record</v>
      </c>
      <c r="AW2627" s="6" t="str">
        <f>HYPERLINK("http://www.worldcat.org/oclc/45438770","WorldCat Record")</f>
        <v>WorldCat Record</v>
      </c>
      <c r="AX2627" s="3" t="s">
        <v>26474</v>
      </c>
      <c r="AY2627" s="3" t="s">
        <v>26475</v>
      </c>
      <c r="AZ2627" s="3" t="s">
        <v>26476</v>
      </c>
      <c r="BA2627" s="3" t="s">
        <v>26476</v>
      </c>
      <c r="BB2627" s="3" t="s">
        <v>26477</v>
      </c>
      <c r="BC2627" s="3" t="s">
        <v>77</v>
      </c>
      <c r="BD2627" s="3" t="s">
        <v>78</v>
      </c>
      <c r="BE2627" s="3" t="s">
        <v>26478</v>
      </c>
      <c r="BF2627" s="3" t="s">
        <v>26477</v>
      </c>
      <c r="BG2627" s="3" t="s">
        <v>26479</v>
      </c>
      <c r="BH2627">
        <f t="shared" si="65"/>
        <v>0</v>
      </c>
    </row>
    <row r="2628" spans="1:60" ht="58" x14ac:dyDescent="0.35">
      <c r="A2628" s="2" t="s">
        <v>59</v>
      </c>
      <c r="B2628" s="2" t="s">
        <v>60</v>
      </c>
      <c r="C2628" s="2" t="s">
        <v>26469</v>
      </c>
      <c r="D2628" s="2" t="s">
        <v>26470</v>
      </c>
      <c r="E2628" s="2" t="s">
        <v>26471</v>
      </c>
      <c r="G2628" s="3" t="s">
        <v>64</v>
      </c>
      <c r="I2628" s="3" t="s">
        <v>128</v>
      </c>
      <c r="J2628" s="3" t="s">
        <v>64</v>
      </c>
      <c r="K2628" s="3" t="s">
        <v>65</v>
      </c>
      <c r="L2628" s="2" t="s">
        <v>26472</v>
      </c>
      <c r="M2628" s="2" t="s">
        <v>26473</v>
      </c>
      <c r="N2628" s="3" t="s">
        <v>116</v>
      </c>
      <c r="P2628" s="3" t="s">
        <v>102</v>
      </c>
      <c r="R2628" s="3" t="s">
        <v>70</v>
      </c>
      <c r="S2628" s="4">
        <v>30</v>
      </c>
      <c r="T2628" s="4">
        <v>69</v>
      </c>
      <c r="U2628" s="5" t="s">
        <v>26480</v>
      </c>
      <c r="V2628" s="5" t="s">
        <v>1964</v>
      </c>
      <c r="W2628" s="5" t="s">
        <v>72</v>
      </c>
      <c r="X2628" s="5" t="s">
        <v>72</v>
      </c>
      <c r="Y2628" s="4">
        <v>35</v>
      </c>
      <c r="Z2628" s="4">
        <v>30</v>
      </c>
      <c r="AA2628" s="4">
        <v>32</v>
      </c>
      <c r="AB2628" s="4">
        <v>1</v>
      </c>
      <c r="AC2628" s="4">
        <v>2</v>
      </c>
      <c r="AD2628" s="4">
        <v>21</v>
      </c>
      <c r="AE2628" s="4">
        <v>22</v>
      </c>
      <c r="AF2628" s="4">
        <v>0</v>
      </c>
      <c r="AG2628" s="4">
        <v>0</v>
      </c>
      <c r="AH2628" s="4">
        <v>9</v>
      </c>
      <c r="AI2628" s="4">
        <v>9</v>
      </c>
      <c r="AJ2628" s="4">
        <v>13</v>
      </c>
      <c r="AK2628" s="4">
        <v>14</v>
      </c>
      <c r="AL2628" s="4">
        <v>3</v>
      </c>
      <c r="AM2628" s="4">
        <v>3</v>
      </c>
      <c r="AN2628" s="4">
        <v>0</v>
      </c>
      <c r="AO2628" s="4">
        <v>0</v>
      </c>
      <c r="AP2628" s="4">
        <v>18</v>
      </c>
      <c r="AQ2628" s="4">
        <v>19</v>
      </c>
      <c r="AR2628" s="3" t="s">
        <v>128</v>
      </c>
      <c r="AS2628" s="3" t="s">
        <v>64</v>
      </c>
      <c r="AT2628" s="3" t="s">
        <v>64</v>
      </c>
      <c r="AV2628" s="6" t="str">
        <f>HYPERLINK("http://mcgill.on.worldcat.org/oclc/45438770","Catalog Record")</f>
        <v>Catalog Record</v>
      </c>
      <c r="AW2628" s="6" t="str">
        <f>HYPERLINK("http://www.worldcat.org/oclc/45438770","WorldCat Record")</f>
        <v>WorldCat Record</v>
      </c>
      <c r="AX2628" s="3" t="s">
        <v>26474</v>
      </c>
      <c r="AY2628" s="3" t="s">
        <v>26475</v>
      </c>
      <c r="AZ2628" s="3" t="s">
        <v>26476</v>
      </c>
      <c r="BA2628" s="3" t="s">
        <v>26476</v>
      </c>
      <c r="BB2628" s="3" t="s">
        <v>26481</v>
      </c>
      <c r="BC2628" s="3" t="s">
        <v>77</v>
      </c>
      <c r="BD2628" s="3" t="s">
        <v>23905</v>
      </c>
      <c r="BE2628" s="3" t="s">
        <v>26478</v>
      </c>
      <c r="BF2628" s="3" t="s">
        <v>26481</v>
      </c>
      <c r="BG2628" s="3" t="s">
        <v>26482</v>
      </c>
      <c r="BH2628">
        <f t="shared" si="65"/>
        <v>0</v>
      </c>
    </row>
    <row r="2629" spans="1:60" ht="58" x14ac:dyDescent="0.35">
      <c r="A2629" s="2" t="s">
        <v>59</v>
      </c>
      <c r="B2629" s="2" t="s">
        <v>60</v>
      </c>
      <c r="C2629" s="2" t="s">
        <v>26483</v>
      </c>
      <c r="D2629" s="2" t="s">
        <v>26484</v>
      </c>
      <c r="E2629" s="2" t="s">
        <v>26485</v>
      </c>
      <c r="G2629" s="3" t="s">
        <v>64</v>
      </c>
      <c r="I2629" s="3" t="s">
        <v>64</v>
      </c>
      <c r="J2629" s="3" t="s">
        <v>64</v>
      </c>
      <c r="K2629" s="3" t="s">
        <v>183</v>
      </c>
      <c r="L2629" s="2" t="s">
        <v>26486</v>
      </c>
      <c r="M2629" s="2" t="s">
        <v>26487</v>
      </c>
      <c r="N2629" s="3" t="s">
        <v>1938</v>
      </c>
      <c r="P2629" s="3" t="s">
        <v>102</v>
      </c>
      <c r="Q2629" s="2" t="s">
        <v>26488</v>
      </c>
      <c r="R2629" s="3" t="s">
        <v>70</v>
      </c>
      <c r="S2629" s="4">
        <v>27</v>
      </c>
      <c r="T2629" s="4">
        <v>27</v>
      </c>
      <c r="U2629" s="5" t="s">
        <v>15479</v>
      </c>
      <c r="V2629" s="5" t="s">
        <v>15479</v>
      </c>
      <c r="W2629" s="5" t="s">
        <v>72</v>
      </c>
      <c r="X2629" s="5" t="s">
        <v>72</v>
      </c>
      <c r="Y2629" s="4">
        <v>841</v>
      </c>
      <c r="Z2629" s="4">
        <v>28</v>
      </c>
      <c r="AA2629" s="4">
        <v>32</v>
      </c>
      <c r="AB2629" s="4">
        <v>3</v>
      </c>
      <c r="AC2629" s="4">
        <v>5</v>
      </c>
      <c r="AD2629" s="4">
        <v>107</v>
      </c>
      <c r="AE2629" s="4">
        <v>109</v>
      </c>
      <c r="AF2629" s="4">
        <v>1</v>
      </c>
      <c r="AG2629" s="4">
        <v>3</v>
      </c>
      <c r="AH2629" s="4">
        <v>93</v>
      </c>
      <c r="AI2629" s="4">
        <v>94</v>
      </c>
      <c r="AJ2629" s="4">
        <v>10</v>
      </c>
      <c r="AK2629" s="4">
        <v>12</v>
      </c>
      <c r="AL2629" s="4">
        <v>52</v>
      </c>
      <c r="AM2629" s="4">
        <v>52</v>
      </c>
      <c r="AN2629" s="4">
        <v>0</v>
      </c>
      <c r="AO2629" s="4">
        <v>0</v>
      </c>
      <c r="AP2629" s="4">
        <v>15</v>
      </c>
      <c r="AQ2629" s="4">
        <v>16</v>
      </c>
      <c r="AR2629" s="3" t="s">
        <v>64</v>
      </c>
      <c r="AS2629" s="3" t="s">
        <v>128</v>
      </c>
      <c r="AT2629" s="3" t="s">
        <v>64</v>
      </c>
      <c r="AU2629" s="6" t="str">
        <f>HYPERLINK("http://catalog.hathitrust.org/Record/002746192","HathiTrust Record")</f>
        <v>HathiTrust Record</v>
      </c>
      <c r="AV2629" s="6" t="str">
        <f>HYPERLINK("http://mcgill.on.worldcat.org/oclc/22456382","Catalog Record")</f>
        <v>Catalog Record</v>
      </c>
      <c r="AW2629" s="6" t="str">
        <f>HYPERLINK("http://www.worldcat.org/oclc/22456382","WorldCat Record")</f>
        <v>WorldCat Record</v>
      </c>
      <c r="AX2629" s="3" t="s">
        <v>26489</v>
      </c>
      <c r="AY2629" s="3" t="s">
        <v>26490</v>
      </c>
      <c r="AZ2629" s="3" t="s">
        <v>26491</v>
      </c>
      <c r="BA2629" s="3" t="s">
        <v>26491</v>
      </c>
      <c r="BB2629" s="3" t="s">
        <v>26492</v>
      </c>
      <c r="BC2629" s="3" t="s">
        <v>77</v>
      </c>
      <c r="BD2629" s="3" t="s">
        <v>78</v>
      </c>
      <c r="BE2629" s="3" t="s">
        <v>26493</v>
      </c>
      <c r="BF2629" s="3" t="s">
        <v>26492</v>
      </c>
      <c r="BG2629" s="3" t="s">
        <v>26494</v>
      </c>
      <c r="BH2629">
        <f t="shared" si="65"/>
        <v>0</v>
      </c>
    </row>
    <row r="2630" spans="1:60" ht="58" x14ac:dyDescent="0.35">
      <c r="A2630" s="2" t="s">
        <v>59</v>
      </c>
      <c r="B2630" s="2" t="s">
        <v>60</v>
      </c>
      <c r="C2630" s="2" t="s">
        <v>26495</v>
      </c>
      <c r="D2630" s="2" t="s">
        <v>26496</v>
      </c>
      <c r="E2630" s="2" t="s">
        <v>26497</v>
      </c>
      <c r="G2630" s="3" t="s">
        <v>64</v>
      </c>
      <c r="I2630" s="3" t="s">
        <v>64</v>
      </c>
      <c r="J2630" s="3" t="s">
        <v>64</v>
      </c>
      <c r="K2630" s="3" t="s">
        <v>65</v>
      </c>
      <c r="L2630" s="2" t="s">
        <v>26498</v>
      </c>
      <c r="M2630" s="2" t="s">
        <v>16093</v>
      </c>
      <c r="N2630" s="3" t="s">
        <v>511</v>
      </c>
      <c r="P2630" s="3" t="s">
        <v>102</v>
      </c>
      <c r="Q2630" s="2" t="s">
        <v>15181</v>
      </c>
      <c r="R2630" s="3" t="s">
        <v>70</v>
      </c>
      <c r="S2630" s="4">
        <v>1</v>
      </c>
      <c r="T2630" s="4">
        <v>1</v>
      </c>
      <c r="U2630" s="5" t="s">
        <v>26499</v>
      </c>
      <c r="V2630" s="5" t="s">
        <v>26499</v>
      </c>
      <c r="W2630" s="5" t="s">
        <v>72</v>
      </c>
      <c r="X2630" s="5" t="s">
        <v>72</v>
      </c>
      <c r="Y2630" s="4">
        <v>109</v>
      </c>
      <c r="Z2630" s="4">
        <v>7</v>
      </c>
      <c r="AA2630" s="4">
        <v>8</v>
      </c>
      <c r="AB2630" s="4">
        <v>1</v>
      </c>
      <c r="AC2630" s="4">
        <v>2</v>
      </c>
      <c r="AD2630" s="4">
        <v>35</v>
      </c>
      <c r="AE2630" s="4">
        <v>36</v>
      </c>
      <c r="AF2630" s="4">
        <v>0</v>
      </c>
      <c r="AG2630" s="4">
        <v>1</v>
      </c>
      <c r="AH2630" s="4">
        <v>34</v>
      </c>
      <c r="AI2630" s="4">
        <v>34</v>
      </c>
      <c r="AJ2630" s="4">
        <v>5</v>
      </c>
      <c r="AK2630" s="4">
        <v>6</v>
      </c>
      <c r="AL2630" s="4">
        <v>24</v>
      </c>
      <c r="AM2630" s="4">
        <v>24</v>
      </c>
      <c r="AN2630" s="4">
        <v>0</v>
      </c>
      <c r="AO2630" s="4">
        <v>0</v>
      </c>
      <c r="AP2630" s="4">
        <v>5</v>
      </c>
      <c r="AQ2630" s="4">
        <v>5</v>
      </c>
      <c r="AR2630" s="3" t="s">
        <v>64</v>
      </c>
      <c r="AS2630" s="3" t="s">
        <v>64</v>
      </c>
      <c r="AT2630" s="3" t="s">
        <v>64</v>
      </c>
      <c r="AV2630" s="6" t="str">
        <f>HYPERLINK("http://mcgill.on.worldcat.org/oclc/548555597","Catalog Record")</f>
        <v>Catalog Record</v>
      </c>
      <c r="AW2630" s="6" t="str">
        <f>HYPERLINK("http://www.worldcat.org/oclc/548555597","WorldCat Record")</f>
        <v>WorldCat Record</v>
      </c>
      <c r="AX2630" s="3" t="s">
        <v>26500</v>
      </c>
      <c r="AY2630" s="3" t="s">
        <v>26501</v>
      </c>
      <c r="AZ2630" s="3" t="s">
        <v>26502</v>
      </c>
      <c r="BA2630" s="3" t="s">
        <v>26502</v>
      </c>
      <c r="BB2630" s="3" t="s">
        <v>26503</v>
      </c>
      <c r="BC2630" s="3" t="s">
        <v>77</v>
      </c>
      <c r="BD2630" s="3" t="s">
        <v>78</v>
      </c>
      <c r="BE2630" s="3" t="s">
        <v>26504</v>
      </c>
      <c r="BF2630" s="3" t="s">
        <v>26503</v>
      </c>
      <c r="BG2630" s="3" t="s">
        <v>26505</v>
      </c>
      <c r="BH2630">
        <f t="shared" si="65"/>
        <v>0</v>
      </c>
    </row>
    <row r="2631" spans="1:60" ht="58" x14ac:dyDescent="0.35">
      <c r="A2631" s="2" t="s">
        <v>59</v>
      </c>
      <c r="B2631" s="2" t="s">
        <v>60</v>
      </c>
      <c r="C2631" s="2" t="s">
        <v>26506</v>
      </c>
      <c r="D2631" s="2" t="s">
        <v>26507</v>
      </c>
      <c r="E2631" s="2" t="s">
        <v>26508</v>
      </c>
      <c r="G2631" s="3" t="s">
        <v>64</v>
      </c>
      <c r="I2631" s="3" t="s">
        <v>64</v>
      </c>
      <c r="J2631" s="3" t="s">
        <v>64</v>
      </c>
      <c r="K2631" s="3" t="s">
        <v>65</v>
      </c>
      <c r="L2631" s="2" t="s">
        <v>26509</v>
      </c>
      <c r="M2631" s="2" t="s">
        <v>23545</v>
      </c>
      <c r="N2631" s="3" t="s">
        <v>434</v>
      </c>
      <c r="P2631" s="3" t="s">
        <v>102</v>
      </c>
      <c r="Q2631" s="2" t="s">
        <v>26510</v>
      </c>
      <c r="R2631" s="3" t="s">
        <v>70</v>
      </c>
      <c r="S2631" s="4">
        <v>6</v>
      </c>
      <c r="T2631" s="4">
        <v>6</v>
      </c>
      <c r="U2631" s="5" t="s">
        <v>7781</v>
      </c>
      <c r="V2631" s="5" t="s">
        <v>7781</v>
      </c>
      <c r="W2631" s="5" t="s">
        <v>72</v>
      </c>
      <c r="X2631" s="5" t="s">
        <v>72</v>
      </c>
      <c r="Y2631" s="4">
        <v>508</v>
      </c>
      <c r="Z2631" s="4">
        <v>26</v>
      </c>
      <c r="AA2631" s="4">
        <v>27</v>
      </c>
      <c r="AB2631" s="4">
        <v>1</v>
      </c>
      <c r="AC2631" s="4">
        <v>2</v>
      </c>
      <c r="AD2631" s="4">
        <v>76</v>
      </c>
      <c r="AE2631" s="4">
        <v>77</v>
      </c>
      <c r="AF2631" s="4">
        <v>0</v>
      </c>
      <c r="AG2631" s="4">
        <v>1</v>
      </c>
      <c r="AH2631" s="4">
        <v>70</v>
      </c>
      <c r="AI2631" s="4">
        <v>70</v>
      </c>
      <c r="AJ2631" s="4">
        <v>9</v>
      </c>
      <c r="AK2631" s="4">
        <v>10</v>
      </c>
      <c r="AL2631" s="4">
        <v>32</v>
      </c>
      <c r="AM2631" s="4">
        <v>32</v>
      </c>
      <c r="AN2631" s="4">
        <v>0</v>
      </c>
      <c r="AO2631" s="4">
        <v>0</v>
      </c>
      <c r="AP2631" s="4">
        <v>12</v>
      </c>
      <c r="AQ2631" s="4">
        <v>12</v>
      </c>
      <c r="AR2631" s="3" t="s">
        <v>64</v>
      </c>
      <c r="AS2631" s="3" t="s">
        <v>64</v>
      </c>
      <c r="AT2631" s="3" t="s">
        <v>128</v>
      </c>
      <c r="AU2631" s="6" t="str">
        <f>HYPERLINK("http://catalog.hathitrust.org/Record/005133959","HathiTrust Record")</f>
        <v>HathiTrust Record</v>
      </c>
      <c r="AV2631" s="6" t="str">
        <f>HYPERLINK("http://mcgill.on.worldcat.org/oclc/57626098","Catalog Record")</f>
        <v>Catalog Record</v>
      </c>
      <c r="AW2631" s="6" t="str">
        <f>HYPERLINK("http://www.worldcat.org/oclc/57626098","WorldCat Record")</f>
        <v>WorldCat Record</v>
      </c>
      <c r="AX2631" s="3" t="s">
        <v>26511</v>
      </c>
      <c r="AY2631" s="3" t="s">
        <v>26512</v>
      </c>
      <c r="AZ2631" s="3" t="s">
        <v>26513</v>
      </c>
      <c r="BA2631" s="3" t="s">
        <v>26513</v>
      </c>
      <c r="BB2631" s="3" t="s">
        <v>26514</v>
      </c>
      <c r="BC2631" s="3" t="s">
        <v>77</v>
      </c>
      <c r="BD2631" s="3" t="s">
        <v>78</v>
      </c>
      <c r="BE2631" s="3" t="s">
        <v>26515</v>
      </c>
      <c r="BF2631" s="3" t="s">
        <v>26514</v>
      </c>
      <c r="BG2631" s="3" t="s">
        <v>26516</v>
      </c>
      <c r="BH2631">
        <f t="shared" si="65"/>
        <v>0</v>
      </c>
    </row>
    <row r="2632" spans="1:60" ht="58" x14ac:dyDescent="0.35">
      <c r="A2632" s="2" t="s">
        <v>59</v>
      </c>
      <c r="B2632" s="2" t="s">
        <v>60</v>
      </c>
      <c r="C2632" s="2" t="s">
        <v>26517</v>
      </c>
      <c r="D2632" s="2" t="s">
        <v>26518</v>
      </c>
      <c r="E2632" s="2" t="s">
        <v>26519</v>
      </c>
      <c r="G2632" s="3" t="s">
        <v>64</v>
      </c>
      <c r="I2632" s="3" t="s">
        <v>64</v>
      </c>
      <c r="J2632" s="3" t="s">
        <v>64</v>
      </c>
      <c r="K2632" s="3" t="s">
        <v>65</v>
      </c>
      <c r="M2632" s="2" t="s">
        <v>26520</v>
      </c>
      <c r="N2632" s="3" t="s">
        <v>326</v>
      </c>
      <c r="O2632" s="2" t="s">
        <v>18017</v>
      </c>
      <c r="P2632" s="3" t="s">
        <v>102</v>
      </c>
      <c r="R2632" s="3" t="s">
        <v>70</v>
      </c>
      <c r="S2632" s="4">
        <v>0</v>
      </c>
      <c r="T2632" s="4">
        <v>0</v>
      </c>
      <c r="W2632" s="5" t="s">
        <v>72</v>
      </c>
      <c r="X2632" s="5" t="s">
        <v>72</v>
      </c>
      <c r="Y2632" s="4">
        <v>36</v>
      </c>
      <c r="Z2632" s="4">
        <v>2</v>
      </c>
      <c r="AA2632" s="4">
        <v>5</v>
      </c>
      <c r="AB2632" s="4">
        <v>1</v>
      </c>
      <c r="AC2632" s="4">
        <v>2</v>
      </c>
      <c r="AD2632" s="4">
        <v>9</v>
      </c>
      <c r="AE2632" s="4">
        <v>27</v>
      </c>
      <c r="AF2632" s="4">
        <v>0</v>
      </c>
      <c r="AG2632" s="4">
        <v>1</v>
      </c>
      <c r="AH2632" s="4">
        <v>9</v>
      </c>
      <c r="AI2632" s="4">
        <v>26</v>
      </c>
      <c r="AJ2632" s="4">
        <v>1</v>
      </c>
      <c r="AK2632" s="4">
        <v>3</v>
      </c>
      <c r="AL2632" s="4">
        <v>6</v>
      </c>
      <c r="AM2632" s="4">
        <v>15</v>
      </c>
      <c r="AN2632" s="4">
        <v>0</v>
      </c>
      <c r="AO2632" s="4">
        <v>0</v>
      </c>
      <c r="AP2632" s="4">
        <v>1</v>
      </c>
      <c r="AQ2632" s="4">
        <v>2</v>
      </c>
      <c r="AR2632" s="3" t="s">
        <v>64</v>
      </c>
      <c r="AS2632" s="3" t="s">
        <v>64</v>
      </c>
      <c r="AT2632" s="3" t="s">
        <v>64</v>
      </c>
      <c r="AV2632" s="6" t="str">
        <f>HYPERLINK("http://mcgill.on.worldcat.org/oclc/759171961","Catalog Record")</f>
        <v>Catalog Record</v>
      </c>
      <c r="AW2632" s="6" t="str">
        <f>HYPERLINK("http://www.worldcat.org/oclc/759171961","WorldCat Record")</f>
        <v>WorldCat Record</v>
      </c>
      <c r="AX2632" s="3" t="s">
        <v>26521</v>
      </c>
      <c r="AY2632" s="3" t="s">
        <v>26522</v>
      </c>
      <c r="AZ2632" s="3" t="s">
        <v>26523</v>
      </c>
      <c r="BA2632" s="3" t="s">
        <v>26523</v>
      </c>
      <c r="BB2632" s="3" t="s">
        <v>26524</v>
      </c>
      <c r="BC2632" s="3" t="s">
        <v>77</v>
      </c>
      <c r="BD2632" s="3" t="s">
        <v>78</v>
      </c>
      <c r="BE2632" s="3" t="s">
        <v>26525</v>
      </c>
      <c r="BF2632" s="3" t="s">
        <v>26524</v>
      </c>
      <c r="BG2632" s="3" t="s">
        <v>26526</v>
      </c>
      <c r="BH2632">
        <f t="shared" si="65"/>
        <v>0</v>
      </c>
    </row>
    <row r="2633" spans="1:60" ht="58" x14ac:dyDescent="0.35">
      <c r="A2633" s="2" t="s">
        <v>59</v>
      </c>
      <c r="B2633" s="2" t="s">
        <v>60</v>
      </c>
      <c r="C2633" s="2" t="s">
        <v>26527</v>
      </c>
      <c r="D2633" s="2" t="s">
        <v>26528</v>
      </c>
      <c r="E2633" s="2" t="s">
        <v>26529</v>
      </c>
      <c r="G2633" s="3" t="s">
        <v>64</v>
      </c>
      <c r="I2633" s="3" t="s">
        <v>128</v>
      </c>
      <c r="J2633" s="3" t="s">
        <v>128</v>
      </c>
      <c r="K2633" s="3" t="s">
        <v>65</v>
      </c>
      <c r="L2633" s="2" t="s">
        <v>26530</v>
      </c>
      <c r="M2633" s="2" t="s">
        <v>18422</v>
      </c>
      <c r="N2633" s="3" t="s">
        <v>116</v>
      </c>
      <c r="O2633" s="2" t="s">
        <v>2994</v>
      </c>
      <c r="P2633" s="3" t="s">
        <v>102</v>
      </c>
      <c r="R2633" s="3" t="s">
        <v>70</v>
      </c>
      <c r="S2633" s="4">
        <v>59</v>
      </c>
      <c r="T2633" s="4">
        <v>124</v>
      </c>
      <c r="U2633" s="5" t="s">
        <v>26531</v>
      </c>
      <c r="V2633" s="5" t="s">
        <v>26532</v>
      </c>
      <c r="W2633" s="5" t="s">
        <v>72</v>
      </c>
      <c r="X2633" s="5" t="s">
        <v>72</v>
      </c>
      <c r="Y2633" s="4">
        <v>377</v>
      </c>
      <c r="Z2633" s="4">
        <v>17</v>
      </c>
      <c r="AA2633" s="4">
        <v>53</v>
      </c>
      <c r="AB2633" s="4">
        <v>3</v>
      </c>
      <c r="AC2633" s="4">
        <v>9</v>
      </c>
      <c r="AD2633" s="4">
        <v>76</v>
      </c>
      <c r="AE2633" s="4">
        <v>119</v>
      </c>
      <c r="AF2633" s="4">
        <v>2</v>
      </c>
      <c r="AG2633" s="4">
        <v>3</v>
      </c>
      <c r="AH2633" s="4">
        <v>73</v>
      </c>
      <c r="AI2633" s="4">
        <v>100</v>
      </c>
      <c r="AJ2633" s="4">
        <v>7</v>
      </c>
      <c r="AK2633" s="4">
        <v>16</v>
      </c>
      <c r="AL2633" s="4">
        <v>36</v>
      </c>
      <c r="AM2633" s="4">
        <v>51</v>
      </c>
      <c r="AN2633" s="4">
        <v>0</v>
      </c>
      <c r="AO2633" s="4">
        <v>0</v>
      </c>
      <c r="AP2633" s="4">
        <v>8</v>
      </c>
      <c r="AQ2633" s="4">
        <v>22</v>
      </c>
      <c r="AR2633" s="3" t="s">
        <v>64</v>
      </c>
      <c r="AS2633" s="3" t="s">
        <v>64</v>
      </c>
      <c r="AT2633" s="3" t="s">
        <v>128</v>
      </c>
      <c r="AU2633" s="6" t="str">
        <f>HYPERLINK("http://catalog.hathitrust.org/Record/004213831","HathiTrust Record")</f>
        <v>HathiTrust Record</v>
      </c>
      <c r="AV2633" s="6" t="str">
        <f>HYPERLINK("http://mcgill.on.worldcat.org/oclc/44133016","Catalog Record")</f>
        <v>Catalog Record</v>
      </c>
      <c r="AW2633" s="6" t="str">
        <f>HYPERLINK("http://www.worldcat.org/oclc/44133016","WorldCat Record")</f>
        <v>WorldCat Record</v>
      </c>
      <c r="AX2633" s="3" t="s">
        <v>26533</v>
      </c>
      <c r="AY2633" s="3" t="s">
        <v>26534</v>
      </c>
      <c r="AZ2633" s="3" t="s">
        <v>26535</v>
      </c>
      <c r="BA2633" s="3" t="s">
        <v>26535</v>
      </c>
      <c r="BB2633" s="3" t="s">
        <v>26536</v>
      </c>
      <c r="BC2633" s="3" t="s">
        <v>77</v>
      </c>
      <c r="BD2633" s="3" t="s">
        <v>78</v>
      </c>
      <c r="BE2633" s="3" t="s">
        <v>26537</v>
      </c>
      <c r="BF2633" s="3" t="s">
        <v>26536</v>
      </c>
      <c r="BG2633" s="3" t="s">
        <v>26538</v>
      </c>
      <c r="BH2633">
        <f t="shared" si="65"/>
        <v>0</v>
      </c>
    </row>
    <row r="2634" spans="1:60" ht="58" x14ac:dyDescent="0.35">
      <c r="A2634" s="2" t="s">
        <v>59</v>
      </c>
      <c r="B2634" s="2" t="s">
        <v>60</v>
      </c>
      <c r="C2634" s="2" t="s">
        <v>26527</v>
      </c>
      <c r="D2634" s="2" t="s">
        <v>26528</v>
      </c>
      <c r="E2634" s="2" t="s">
        <v>26529</v>
      </c>
      <c r="G2634" s="3" t="s">
        <v>64</v>
      </c>
      <c r="I2634" s="3" t="s">
        <v>128</v>
      </c>
      <c r="J2634" s="3" t="s">
        <v>128</v>
      </c>
      <c r="K2634" s="3" t="s">
        <v>65</v>
      </c>
      <c r="L2634" s="2" t="s">
        <v>26530</v>
      </c>
      <c r="M2634" s="2" t="s">
        <v>18422</v>
      </c>
      <c r="N2634" s="3" t="s">
        <v>116</v>
      </c>
      <c r="O2634" s="2" t="s">
        <v>2994</v>
      </c>
      <c r="P2634" s="3" t="s">
        <v>102</v>
      </c>
      <c r="R2634" s="3" t="s">
        <v>70</v>
      </c>
      <c r="S2634" s="4">
        <v>51</v>
      </c>
      <c r="T2634" s="4">
        <v>124</v>
      </c>
      <c r="U2634" s="5" t="s">
        <v>26539</v>
      </c>
      <c r="V2634" s="5" t="s">
        <v>26532</v>
      </c>
      <c r="W2634" s="5" t="s">
        <v>72</v>
      </c>
      <c r="X2634" s="5" t="s">
        <v>72</v>
      </c>
      <c r="Y2634" s="4">
        <v>377</v>
      </c>
      <c r="Z2634" s="4">
        <v>17</v>
      </c>
      <c r="AA2634" s="4">
        <v>53</v>
      </c>
      <c r="AB2634" s="4">
        <v>3</v>
      </c>
      <c r="AC2634" s="4">
        <v>9</v>
      </c>
      <c r="AD2634" s="4">
        <v>76</v>
      </c>
      <c r="AE2634" s="4">
        <v>119</v>
      </c>
      <c r="AF2634" s="4">
        <v>2</v>
      </c>
      <c r="AG2634" s="4">
        <v>3</v>
      </c>
      <c r="AH2634" s="4">
        <v>73</v>
      </c>
      <c r="AI2634" s="4">
        <v>100</v>
      </c>
      <c r="AJ2634" s="4">
        <v>7</v>
      </c>
      <c r="AK2634" s="4">
        <v>16</v>
      </c>
      <c r="AL2634" s="4">
        <v>36</v>
      </c>
      <c r="AM2634" s="4">
        <v>51</v>
      </c>
      <c r="AN2634" s="4">
        <v>0</v>
      </c>
      <c r="AO2634" s="4">
        <v>0</v>
      </c>
      <c r="AP2634" s="4">
        <v>8</v>
      </c>
      <c r="AQ2634" s="4">
        <v>22</v>
      </c>
      <c r="AR2634" s="3" t="s">
        <v>64</v>
      </c>
      <c r="AS2634" s="3" t="s">
        <v>64</v>
      </c>
      <c r="AT2634" s="3" t="s">
        <v>128</v>
      </c>
      <c r="AU2634" s="6" t="str">
        <f>HYPERLINK("http://catalog.hathitrust.org/Record/004213831","HathiTrust Record")</f>
        <v>HathiTrust Record</v>
      </c>
      <c r="AV2634" s="6" t="str">
        <f>HYPERLINK("http://mcgill.on.worldcat.org/oclc/44133016","Catalog Record")</f>
        <v>Catalog Record</v>
      </c>
      <c r="AW2634" s="6" t="str">
        <f>HYPERLINK("http://www.worldcat.org/oclc/44133016","WorldCat Record")</f>
        <v>WorldCat Record</v>
      </c>
      <c r="AX2634" s="3" t="s">
        <v>26533</v>
      </c>
      <c r="AY2634" s="3" t="s">
        <v>26534</v>
      </c>
      <c r="AZ2634" s="3" t="s">
        <v>26535</v>
      </c>
      <c r="BA2634" s="3" t="s">
        <v>26535</v>
      </c>
      <c r="BB2634" s="3" t="s">
        <v>26540</v>
      </c>
      <c r="BC2634" s="3" t="s">
        <v>77</v>
      </c>
      <c r="BD2634" s="3" t="s">
        <v>78</v>
      </c>
      <c r="BE2634" s="3" t="s">
        <v>26537</v>
      </c>
      <c r="BF2634" s="3" t="s">
        <v>26540</v>
      </c>
      <c r="BG2634" s="3" t="s">
        <v>26541</v>
      </c>
      <c r="BH2634">
        <f t="shared" si="65"/>
        <v>0</v>
      </c>
    </row>
    <row r="2635" spans="1:60" ht="58" x14ac:dyDescent="0.35">
      <c r="A2635" s="2" t="s">
        <v>59</v>
      </c>
      <c r="B2635" s="2" t="s">
        <v>60</v>
      </c>
      <c r="C2635" s="2" t="s">
        <v>26527</v>
      </c>
      <c r="D2635" s="2" t="s">
        <v>26528</v>
      </c>
      <c r="E2635" s="2" t="s">
        <v>26529</v>
      </c>
      <c r="G2635" s="3" t="s">
        <v>64</v>
      </c>
      <c r="I2635" s="3" t="s">
        <v>128</v>
      </c>
      <c r="J2635" s="3" t="s">
        <v>128</v>
      </c>
      <c r="K2635" s="3" t="s">
        <v>65</v>
      </c>
      <c r="L2635" s="2" t="s">
        <v>26530</v>
      </c>
      <c r="M2635" s="2" t="s">
        <v>18422</v>
      </c>
      <c r="N2635" s="3" t="s">
        <v>116</v>
      </c>
      <c r="O2635" s="2" t="s">
        <v>2994</v>
      </c>
      <c r="P2635" s="3" t="s">
        <v>102</v>
      </c>
      <c r="R2635" s="3" t="s">
        <v>70</v>
      </c>
      <c r="S2635" s="4">
        <v>14</v>
      </c>
      <c r="T2635" s="4">
        <v>124</v>
      </c>
      <c r="U2635" s="5" t="s">
        <v>26532</v>
      </c>
      <c r="V2635" s="5" t="s">
        <v>26532</v>
      </c>
      <c r="W2635" s="5" t="s">
        <v>72</v>
      </c>
      <c r="X2635" s="5" t="s">
        <v>72</v>
      </c>
      <c r="Y2635" s="4">
        <v>377</v>
      </c>
      <c r="Z2635" s="4">
        <v>17</v>
      </c>
      <c r="AA2635" s="4">
        <v>53</v>
      </c>
      <c r="AB2635" s="4">
        <v>3</v>
      </c>
      <c r="AC2635" s="4">
        <v>9</v>
      </c>
      <c r="AD2635" s="4">
        <v>76</v>
      </c>
      <c r="AE2635" s="4">
        <v>119</v>
      </c>
      <c r="AF2635" s="4">
        <v>2</v>
      </c>
      <c r="AG2635" s="4">
        <v>3</v>
      </c>
      <c r="AH2635" s="4">
        <v>73</v>
      </c>
      <c r="AI2635" s="4">
        <v>100</v>
      </c>
      <c r="AJ2635" s="4">
        <v>7</v>
      </c>
      <c r="AK2635" s="4">
        <v>16</v>
      </c>
      <c r="AL2635" s="4">
        <v>36</v>
      </c>
      <c r="AM2635" s="4">
        <v>51</v>
      </c>
      <c r="AN2635" s="4">
        <v>0</v>
      </c>
      <c r="AO2635" s="4">
        <v>0</v>
      </c>
      <c r="AP2635" s="4">
        <v>8</v>
      </c>
      <c r="AQ2635" s="4">
        <v>22</v>
      </c>
      <c r="AR2635" s="3" t="s">
        <v>64</v>
      </c>
      <c r="AS2635" s="3" t="s">
        <v>64</v>
      </c>
      <c r="AT2635" s="3" t="s">
        <v>128</v>
      </c>
      <c r="AU2635" s="6" t="str">
        <f>HYPERLINK("http://catalog.hathitrust.org/Record/004213831","HathiTrust Record")</f>
        <v>HathiTrust Record</v>
      </c>
      <c r="AV2635" s="6" t="str">
        <f>HYPERLINK("http://mcgill.on.worldcat.org/oclc/44133016","Catalog Record")</f>
        <v>Catalog Record</v>
      </c>
      <c r="AW2635" s="6" t="str">
        <f>HYPERLINK("http://www.worldcat.org/oclc/44133016","WorldCat Record")</f>
        <v>WorldCat Record</v>
      </c>
      <c r="AX2635" s="3" t="s">
        <v>26533</v>
      </c>
      <c r="AY2635" s="3" t="s">
        <v>26534</v>
      </c>
      <c r="AZ2635" s="3" t="s">
        <v>26535</v>
      </c>
      <c r="BA2635" s="3" t="s">
        <v>26535</v>
      </c>
      <c r="BB2635" s="3" t="s">
        <v>26542</v>
      </c>
      <c r="BC2635" s="3" t="s">
        <v>77</v>
      </c>
      <c r="BD2635" s="3" t="s">
        <v>78</v>
      </c>
      <c r="BE2635" s="3" t="s">
        <v>26537</v>
      </c>
      <c r="BF2635" s="3" t="s">
        <v>26542</v>
      </c>
      <c r="BG2635" s="3" t="s">
        <v>26543</v>
      </c>
      <c r="BH2635">
        <f t="shared" si="65"/>
        <v>0</v>
      </c>
    </row>
    <row r="2636" spans="1:60" ht="58" x14ac:dyDescent="0.35">
      <c r="A2636" s="2" t="s">
        <v>59</v>
      </c>
      <c r="B2636" s="2" t="s">
        <v>60</v>
      </c>
      <c r="C2636" s="2" t="s">
        <v>26544</v>
      </c>
      <c r="D2636" s="2" t="s">
        <v>26545</v>
      </c>
      <c r="E2636" s="2" t="s">
        <v>26546</v>
      </c>
      <c r="G2636" s="3" t="s">
        <v>64</v>
      </c>
      <c r="I2636" s="3" t="s">
        <v>64</v>
      </c>
      <c r="J2636" s="3" t="s">
        <v>64</v>
      </c>
      <c r="K2636" s="3" t="s">
        <v>65</v>
      </c>
      <c r="M2636" s="2" t="s">
        <v>2280</v>
      </c>
      <c r="N2636" s="3" t="s">
        <v>190</v>
      </c>
      <c r="P2636" s="3" t="s">
        <v>102</v>
      </c>
      <c r="Q2636" s="2" t="s">
        <v>26547</v>
      </c>
      <c r="R2636" s="3" t="s">
        <v>70</v>
      </c>
      <c r="S2636" s="4">
        <v>0</v>
      </c>
      <c r="T2636" s="4">
        <v>0</v>
      </c>
      <c r="W2636" s="5" t="s">
        <v>26548</v>
      </c>
      <c r="X2636" s="5" t="s">
        <v>26548</v>
      </c>
      <c r="Y2636" s="4">
        <v>40</v>
      </c>
      <c r="Z2636" s="4">
        <v>2</v>
      </c>
      <c r="AA2636" s="4">
        <v>2</v>
      </c>
      <c r="AB2636" s="4">
        <v>1</v>
      </c>
      <c r="AC2636" s="4">
        <v>1</v>
      </c>
      <c r="AD2636" s="4">
        <v>17</v>
      </c>
      <c r="AE2636" s="4">
        <v>17</v>
      </c>
      <c r="AF2636" s="4">
        <v>0</v>
      </c>
      <c r="AG2636" s="4">
        <v>0</v>
      </c>
      <c r="AH2636" s="4">
        <v>16</v>
      </c>
      <c r="AI2636" s="4">
        <v>16</v>
      </c>
      <c r="AJ2636" s="4">
        <v>1</v>
      </c>
      <c r="AK2636" s="4">
        <v>1</v>
      </c>
      <c r="AL2636" s="4">
        <v>12</v>
      </c>
      <c r="AM2636" s="4">
        <v>12</v>
      </c>
      <c r="AN2636" s="4">
        <v>0</v>
      </c>
      <c r="AO2636" s="4">
        <v>0</v>
      </c>
      <c r="AP2636" s="4">
        <v>1</v>
      </c>
      <c r="AQ2636" s="4">
        <v>1</v>
      </c>
      <c r="AR2636" s="3" t="s">
        <v>64</v>
      </c>
      <c r="AS2636" s="3" t="s">
        <v>64</v>
      </c>
      <c r="AT2636" s="3" t="s">
        <v>64</v>
      </c>
      <c r="AV2636" s="6" t="str">
        <f>HYPERLINK("http://mcgill.on.worldcat.org/oclc/1027126211","Catalog Record")</f>
        <v>Catalog Record</v>
      </c>
      <c r="AW2636" s="6" t="str">
        <f>HYPERLINK("http://www.worldcat.org/oclc/1027126211","WorldCat Record")</f>
        <v>WorldCat Record</v>
      </c>
      <c r="AX2636" s="3" t="s">
        <v>26549</v>
      </c>
      <c r="AY2636" s="3" t="s">
        <v>26550</v>
      </c>
      <c r="AZ2636" s="3" t="s">
        <v>26551</v>
      </c>
      <c r="BA2636" s="3" t="s">
        <v>26551</v>
      </c>
      <c r="BB2636" s="3" t="s">
        <v>26552</v>
      </c>
      <c r="BC2636" s="3" t="s">
        <v>77</v>
      </c>
      <c r="BD2636" s="3" t="s">
        <v>78</v>
      </c>
      <c r="BE2636" s="3" t="s">
        <v>26553</v>
      </c>
      <c r="BF2636" s="3" t="s">
        <v>26552</v>
      </c>
      <c r="BG2636" s="3" t="s">
        <v>26554</v>
      </c>
      <c r="BH2636">
        <f t="shared" si="65"/>
        <v>0</v>
      </c>
    </row>
    <row r="2637" spans="1:60" ht="58" x14ac:dyDescent="0.35">
      <c r="A2637" s="2" t="s">
        <v>59</v>
      </c>
      <c r="B2637" s="2" t="s">
        <v>60</v>
      </c>
      <c r="C2637" s="2" t="s">
        <v>26555</v>
      </c>
      <c r="D2637" s="2" t="s">
        <v>26556</v>
      </c>
      <c r="E2637" s="2" t="s">
        <v>26557</v>
      </c>
      <c r="G2637" s="3" t="s">
        <v>64</v>
      </c>
      <c r="I2637" s="3" t="s">
        <v>64</v>
      </c>
      <c r="J2637" s="3" t="s">
        <v>64</v>
      </c>
      <c r="K2637" s="3" t="s">
        <v>65</v>
      </c>
      <c r="L2637" s="2" t="s">
        <v>26558</v>
      </c>
      <c r="M2637" s="2" t="s">
        <v>15640</v>
      </c>
      <c r="N2637" s="3" t="s">
        <v>253</v>
      </c>
      <c r="P2637" s="3" t="s">
        <v>102</v>
      </c>
      <c r="R2637" s="3" t="s">
        <v>70</v>
      </c>
      <c r="S2637" s="4">
        <v>1</v>
      </c>
      <c r="T2637" s="4">
        <v>1</v>
      </c>
      <c r="U2637" s="5" t="s">
        <v>7419</v>
      </c>
      <c r="V2637" s="5" t="s">
        <v>7419</v>
      </c>
      <c r="W2637" s="5" t="s">
        <v>72</v>
      </c>
      <c r="X2637" s="5" t="s">
        <v>72</v>
      </c>
      <c r="Y2637" s="4">
        <v>293</v>
      </c>
      <c r="Z2637" s="4">
        <v>21</v>
      </c>
      <c r="AA2637" s="4">
        <v>26</v>
      </c>
      <c r="AB2637" s="4">
        <v>1</v>
      </c>
      <c r="AC2637" s="4">
        <v>6</v>
      </c>
      <c r="AD2637" s="4">
        <v>77</v>
      </c>
      <c r="AE2637" s="4">
        <v>80</v>
      </c>
      <c r="AF2637" s="4">
        <v>0</v>
      </c>
      <c r="AG2637" s="4">
        <v>3</v>
      </c>
      <c r="AH2637" s="4">
        <v>70</v>
      </c>
      <c r="AI2637" s="4">
        <v>71</v>
      </c>
      <c r="AJ2637" s="4">
        <v>12</v>
      </c>
      <c r="AK2637" s="4">
        <v>15</v>
      </c>
      <c r="AL2637" s="4">
        <v>32</v>
      </c>
      <c r="AM2637" s="4">
        <v>32</v>
      </c>
      <c r="AN2637" s="4">
        <v>0</v>
      </c>
      <c r="AO2637" s="4">
        <v>0</v>
      </c>
      <c r="AP2637" s="4">
        <v>16</v>
      </c>
      <c r="AQ2637" s="4">
        <v>18</v>
      </c>
      <c r="AR2637" s="3" t="s">
        <v>64</v>
      </c>
      <c r="AS2637" s="3" t="s">
        <v>64</v>
      </c>
      <c r="AT2637" s="3" t="s">
        <v>64</v>
      </c>
      <c r="AV2637" s="6" t="str">
        <f>HYPERLINK("http://mcgill.on.worldcat.org/oclc/885148293","Catalog Record")</f>
        <v>Catalog Record</v>
      </c>
      <c r="AW2637" s="6" t="str">
        <f>HYPERLINK("http://www.worldcat.org/oclc/885148293","WorldCat Record")</f>
        <v>WorldCat Record</v>
      </c>
      <c r="AX2637" s="3" t="s">
        <v>26559</v>
      </c>
      <c r="AY2637" s="3" t="s">
        <v>26560</v>
      </c>
      <c r="AZ2637" s="3" t="s">
        <v>26561</v>
      </c>
      <c r="BA2637" s="3" t="s">
        <v>26561</v>
      </c>
      <c r="BB2637" s="3" t="s">
        <v>26562</v>
      </c>
      <c r="BC2637" s="3" t="s">
        <v>77</v>
      </c>
      <c r="BD2637" s="3" t="s">
        <v>78</v>
      </c>
      <c r="BE2637" s="3" t="s">
        <v>26563</v>
      </c>
      <c r="BF2637" s="3" t="s">
        <v>26562</v>
      </c>
      <c r="BG2637" s="3" t="s">
        <v>26564</v>
      </c>
      <c r="BH2637">
        <f t="shared" si="65"/>
        <v>0</v>
      </c>
    </row>
    <row r="2638" spans="1:60" ht="58" x14ac:dyDescent="0.35">
      <c r="A2638" s="2" t="s">
        <v>59</v>
      </c>
      <c r="B2638" s="2" t="s">
        <v>60</v>
      </c>
      <c r="C2638" s="2" t="s">
        <v>26565</v>
      </c>
      <c r="D2638" s="2" t="s">
        <v>26566</v>
      </c>
      <c r="E2638" s="2" t="s">
        <v>26567</v>
      </c>
      <c r="G2638" s="3" t="s">
        <v>64</v>
      </c>
      <c r="I2638" s="3" t="s">
        <v>64</v>
      </c>
      <c r="J2638" s="3" t="s">
        <v>64</v>
      </c>
      <c r="K2638" s="3" t="s">
        <v>65</v>
      </c>
      <c r="M2638" s="2" t="s">
        <v>26568</v>
      </c>
      <c r="N2638" s="3" t="s">
        <v>392</v>
      </c>
      <c r="P2638" s="3" t="s">
        <v>102</v>
      </c>
      <c r="Q2638" s="2" t="s">
        <v>26569</v>
      </c>
      <c r="R2638" s="3" t="s">
        <v>70</v>
      </c>
      <c r="S2638" s="4">
        <v>2</v>
      </c>
      <c r="T2638" s="4">
        <v>2</v>
      </c>
      <c r="U2638" s="5" t="s">
        <v>24062</v>
      </c>
      <c r="V2638" s="5" t="s">
        <v>24062</v>
      </c>
      <c r="W2638" s="5" t="s">
        <v>72</v>
      </c>
      <c r="X2638" s="5" t="s">
        <v>72</v>
      </c>
      <c r="Y2638" s="4">
        <v>231</v>
      </c>
      <c r="Z2638" s="4">
        <v>11</v>
      </c>
      <c r="AA2638" s="4">
        <v>13</v>
      </c>
      <c r="AB2638" s="4">
        <v>2</v>
      </c>
      <c r="AC2638" s="4">
        <v>3</v>
      </c>
      <c r="AD2638" s="4">
        <v>77</v>
      </c>
      <c r="AE2638" s="4">
        <v>82</v>
      </c>
      <c r="AF2638" s="4">
        <v>0</v>
      </c>
      <c r="AG2638" s="4">
        <v>1</v>
      </c>
      <c r="AH2638" s="4">
        <v>70</v>
      </c>
      <c r="AI2638" s="4">
        <v>73</v>
      </c>
      <c r="AJ2638" s="4">
        <v>7</v>
      </c>
      <c r="AK2638" s="4">
        <v>9</v>
      </c>
      <c r="AL2638" s="4">
        <v>39</v>
      </c>
      <c r="AM2638" s="4">
        <v>39</v>
      </c>
      <c r="AN2638" s="4">
        <v>0</v>
      </c>
      <c r="AO2638" s="4">
        <v>0</v>
      </c>
      <c r="AP2638" s="4">
        <v>7</v>
      </c>
      <c r="AQ2638" s="4">
        <v>7</v>
      </c>
      <c r="AR2638" s="3" t="s">
        <v>64</v>
      </c>
      <c r="AS2638" s="3" t="s">
        <v>128</v>
      </c>
      <c r="AT2638" s="3" t="s">
        <v>64</v>
      </c>
      <c r="AU2638" s="6" t="str">
        <f>HYPERLINK("http://catalog.hathitrust.org/Record/003440142","HathiTrust Record")</f>
        <v>HathiTrust Record</v>
      </c>
      <c r="AV2638" s="6" t="str">
        <f>HYPERLINK("http://mcgill.on.worldcat.org/oclc/42897658","Catalog Record")</f>
        <v>Catalog Record</v>
      </c>
      <c r="AW2638" s="6" t="str">
        <f>HYPERLINK("http://www.worldcat.org/oclc/42897658","WorldCat Record")</f>
        <v>WorldCat Record</v>
      </c>
      <c r="AX2638" s="3" t="s">
        <v>26570</v>
      </c>
      <c r="AY2638" s="3" t="s">
        <v>26571</v>
      </c>
      <c r="AZ2638" s="3" t="s">
        <v>26572</v>
      </c>
      <c r="BA2638" s="3" t="s">
        <v>26572</v>
      </c>
      <c r="BB2638" s="3" t="s">
        <v>26573</v>
      </c>
      <c r="BC2638" s="3" t="s">
        <v>77</v>
      </c>
      <c r="BD2638" s="3" t="s">
        <v>78</v>
      </c>
      <c r="BF2638" s="3" t="s">
        <v>26573</v>
      </c>
      <c r="BG2638" s="3" t="s">
        <v>26574</v>
      </c>
      <c r="BH2638">
        <f t="shared" si="65"/>
        <v>0</v>
      </c>
    </row>
    <row r="2639" spans="1:60" ht="58" x14ac:dyDescent="0.35">
      <c r="A2639" s="2" t="s">
        <v>59</v>
      </c>
      <c r="B2639" s="2" t="s">
        <v>60</v>
      </c>
      <c r="C2639" s="2" t="s">
        <v>26575</v>
      </c>
      <c r="D2639" s="2" t="s">
        <v>26576</v>
      </c>
      <c r="E2639" s="2" t="s">
        <v>26577</v>
      </c>
      <c r="G2639" s="3" t="s">
        <v>64</v>
      </c>
      <c r="I2639" s="3" t="s">
        <v>64</v>
      </c>
      <c r="J2639" s="3" t="s">
        <v>128</v>
      </c>
      <c r="K2639" s="3" t="s">
        <v>65</v>
      </c>
      <c r="L2639" s="2" t="s">
        <v>26578</v>
      </c>
      <c r="M2639" s="2" t="s">
        <v>26579</v>
      </c>
      <c r="N2639" s="3" t="s">
        <v>979</v>
      </c>
      <c r="P2639" s="3" t="s">
        <v>102</v>
      </c>
      <c r="R2639" s="3" t="s">
        <v>70</v>
      </c>
      <c r="S2639" s="4">
        <v>11</v>
      </c>
      <c r="T2639" s="4">
        <v>11</v>
      </c>
      <c r="U2639" s="5" t="s">
        <v>24062</v>
      </c>
      <c r="V2639" s="5" t="s">
        <v>24062</v>
      </c>
      <c r="W2639" s="5" t="s">
        <v>72</v>
      </c>
      <c r="X2639" s="5" t="s">
        <v>72</v>
      </c>
      <c r="Y2639" s="4">
        <v>478</v>
      </c>
      <c r="Z2639" s="4">
        <v>23</v>
      </c>
      <c r="AA2639" s="4">
        <v>45</v>
      </c>
      <c r="AB2639" s="4">
        <v>2</v>
      </c>
      <c r="AC2639" s="4">
        <v>7</v>
      </c>
      <c r="AD2639" s="4">
        <v>81</v>
      </c>
      <c r="AE2639" s="4">
        <v>110</v>
      </c>
      <c r="AF2639" s="4">
        <v>0</v>
      </c>
      <c r="AG2639" s="4">
        <v>3</v>
      </c>
      <c r="AH2639" s="4">
        <v>72</v>
      </c>
      <c r="AI2639" s="4">
        <v>94</v>
      </c>
      <c r="AJ2639" s="4">
        <v>14</v>
      </c>
      <c r="AK2639" s="4">
        <v>19</v>
      </c>
      <c r="AL2639" s="4">
        <v>37</v>
      </c>
      <c r="AM2639" s="4">
        <v>45</v>
      </c>
      <c r="AN2639" s="4">
        <v>0</v>
      </c>
      <c r="AO2639" s="4">
        <v>0</v>
      </c>
      <c r="AP2639" s="4">
        <v>15</v>
      </c>
      <c r="AQ2639" s="4">
        <v>23</v>
      </c>
      <c r="AR2639" s="3" t="s">
        <v>64</v>
      </c>
      <c r="AS2639" s="3" t="s">
        <v>64</v>
      </c>
      <c r="AT2639" s="3" t="s">
        <v>128</v>
      </c>
      <c r="AU2639" s="6" t="str">
        <f>HYPERLINK("http://catalog.hathitrust.org/Record/004120873","HathiTrust Record")</f>
        <v>HathiTrust Record</v>
      </c>
      <c r="AV2639" s="6" t="str">
        <f>HYPERLINK("http://mcgill.on.worldcat.org/oclc/42680450","Catalog Record")</f>
        <v>Catalog Record</v>
      </c>
      <c r="AW2639" s="6" t="str">
        <f>HYPERLINK("http://www.worldcat.org/oclc/42680450","WorldCat Record")</f>
        <v>WorldCat Record</v>
      </c>
      <c r="AX2639" s="3" t="s">
        <v>26580</v>
      </c>
      <c r="AY2639" s="3" t="s">
        <v>26581</v>
      </c>
      <c r="AZ2639" s="3" t="s">
        <v>26582</v>
      </c>
      <c r="BA2639" s="3" t="s">
        <v>26582</v>
      </c>
      <c r="BB2639" s="3" t="s">
        <v>26583</v>
      </c>
      <c r="BC2639" s="3" t="s">
        <v>77</v>
      </c>
      <c r="BD2639" s="3" t="s">
        <v>78</v>
      </c>
      <c r="BE2639" s="3" t="s">
        <v>26584</v>
      </c>
      <c r="BF2639" s="3" t="s">
        <v>26583</v>
      </c>
      <c r="BG2639" s="3" t="s">
        <v>26585</v>
      </c>
      <c r="BH2639">
        <f t="shared" si="65"/>
        <v>0</v>
      </c>
    </row>
    <row r="2640" spans="1:60" ht="58" x14ac:dyDescent="0.35">
      <c r="A2640" s="2" t="s">
        <v>59</v>
      </c>
      <c r="B2640" s="2" t="s">
        <v>60</v>
      </c>
      <c r="C2640" s="2" t="s">
        <v>26586</v>
      </c>
      <c r="D2640" s="2" t="s">
        <v>26587</v>
      </c>
      <c r="E2640" s="2" t="s">
        <v>26588</v>
      </c>
      <c r="G2640" s="3" t="s">
        <v>64</v>
      </c>
      <c r="I2640" s="3" t="s">
        <v>64</v>
      </c>
      <c r="J2640" s="3" t="s">
        <v>64</v>
      </c>
      <c r="K2640" s="3" t="s">
        <v>65</v>
      </c>
      <c r="L2640" s="2" t="s">
        <v>26589</v>
      </c>
      <c r="M2640" s="2" t="s">
        <v>26590</v>
      </c>
      <c r="N2640" s="3" t="s">
        <v>253</v>
      </c>
      <c r="P2640" s="3" t="s">
        <v>102</v>
      </c>
      <c r="R2640" s="3" t="s">
        <v>70</v>
      </c>
      <c r="S2640" s="4">
        <v>3</v>
      </c>
      <c r="T2640" s="4">
        <v>3</v>
      </c>
      <c r="U2640" s="5" t="s">
        <v>2187</v>
      </c>
      <c r="V2640" s="5" t="s">
        <v>2187</v>
      </c>
      <c r="W2640" s="5" t="s">
        <v>72</v>
      </c>
      <c r="X2640" s="5" t="s">
        <v>72</v>
      </c>
      <c r="Y2640" s="4">
        <v>227</v>
      </c>
      <c r="Z2640" s="4">
        <v>12</v>
      </c>
      <c r="AA2640" s="4">
        <v>15</v>
      </c>
      <c r="AB2640" s="4">
        <v>1</v>
      </c>
      <c r="AC2640" s="4">
        <v>4</v>
      </c>
      <c r="AD2640" s="4">
        <v>50</v>
      </c>
      <c r="AE2640" s="4">
        <v>53</v>
      </c>
      <c r="AF2640" s="4">
        <v>0</v>
      </c>
      <c r="AG2640" s="4">
        <v>3</v>
      </c>
      <c r="AH2640" s="4">
        <v>47</v>
      </c>
      <c r="AI2640" s="4">
        <v>48</v>
      </c>
      <c r="AJ2640" s="4">
        <v>5</v>
      </c>
      <c r="AK2640" s="4">
        <v>8</v>
      </c>
      <c r="AL2640" s="4">
        <v>23</v>
      </c>
      <c r="AM2640" s="4">
        <v>23</v>
      </c>
      <c r="AN2640" s="4">
        <v>0</v>
      </c>
      <c r="AO2640" s="4">
        <v>0</v>
      </c>
      <c r="AP2640" s="4">
        <v>6</v>
      </c>
      <c r="AQ2640" s="4">
        <v>8</v>
      </c>
      <c r="AR2640" s="3" t="s">
        <v>64</v>
      </c>
      <c r="AS2640" s="3" t="s">
        <v>64</v>
      </c>
      <c r="AT2640" s="3" t="s">
        <v>64</v>
      </c>
      <c r="AV2640" s="6" t="str">
        <f>HYPERLINK("http://mcgill.on.worldcat.org/oclc/899738043","Catalog Record")</f>
        <v>Catalog Record</v>
      </c>
      <c r="AW2640" s="6" t="str">
        <f>HYPERLINK("http://www.worldcat.org/oclc/899738043","WorldCat Record")</f>
        <v>WorldCat Record</v>
      </c>
      <c r="AX2640" s="3" t="s">
        <v>26591</v>
      </c>
      <c r="AY2640" s="3" t="s">
        <v>26592</v>
      </c>
      <c r="AZ2640" s="3" t="s">
        <v>26593</v>
      </c>
      <c r="BA2640" s="3" t="s">
        <v>26593</v>
      </c>
      <c r="BB2640" s="3" t="s">
        <v>26594</v>
      </c>
      <c r="BC2640" s="3" t="s">
        <v>77</v>
      </c>
      <c r="BD2640" s="3" t="s">
        <v>78</v>
      </c>
      <c r="BE2640" s="3" t="s">
        <v>26595</v>
      </c>
      <c r="BF2640" s="3" t="s">
        <v>26594</v>
      </c>
      <c r="BG2640" s="3" t="s">
        <v>26596</v>
      </c>
      <c r="BH2640">
        <f t="shared" si="65"/>
        <v>0</v>
      </c>
    </row>
    <row r="2641" spans="1:60" ht="58" x14ac:dyDescent="0.35">
      <c r="A2641" s="2" t="s">
        <v>59</v>
      </c>
      <c r="B2641" s="2" t="s">
        <v>60</v>
      </c>
      <c r="C2641" s="2" t="s">
        <v>26597</v>
      </c>
      <c r="D2641" s="2" t="s">
        <v>26598</v>
      </c>
      <c r="E2641" s="2" t="s">
        <v>26599</v>
      </c>
      <c r="G2641" s="3" t="s">
        <v>64</v>
      </c>
      <c r="I2641" s="3" t="s">
        <v>64</v>
      </c>
      <c r="J2641" s="3" t="s">
        <v>64</v>
      </c>
      <c r="K2641" s="3" t="s">
        <v>65</v>
      </c>
      <c r="L2641" s="2" t="s">
        <v>26600</v>
      </c>
      <c r="M2641" s="2" t="s">
        <v>26601</v>
      </c>
      <c r="N2641" s="3" t="s">
        <v>768</v>
      </c>
      <c r="P2641" s="3" t="s">
        <v>102</v>
      </c>
      <c r="R2641" s="3" t="s">
        <v>70</v>
      </c>
      <c r="S2641" s="4">
        <v>11</v>
      </c>
      <c r="T2641" s="4">
        <v>11</v>
      </c>
      <c r="U2641" s="5" t="s">
        <v>7419</v>
      </c>
      <c r="V2641" s="5" t="s">
        <v>7419</v>
      </c>
      <c r="W2641" s="5" t="s">
        <v>72</v>
      </c>
      <c r="X2641" s="5" t="s">
        <v>72</v>
      </c>
      <c r="Y2641" s="4">
        <v>5</v>
      </c>
      <c r="Z2641" s="4">
        <v>1</v>
      </c>
      <c r="AA2641" s="4">
        <v>12</v>
      </c>
      <c r="AB2641" s="4">
        <v>1</v>
      </c>
      <c r="AC2641" s="4">
        <v>2</v>
      </c>
      <c r="AD2641" s="4">
        <v>0</v>
      </c>
      <c r="AE2641" s="4">
        <v>51</v>
      </c>
      <c r="AF2641" s="4">
        <v>0</v>
      </c>
      <c r="AG2641" s="4">
        <v>1</v>
      </c>
      <c r="AH2641" s="4">
        <v>0</v>
      </c>
      <c r="AI2641" s="4">
        <v>47</v>
      </c>
      <c r="AJ2641" s="4">
        <v>0</v>
      </c>
      <c r="AK2641" s="4">
        <v>9</v>
      </c>
      <c r="AL2641" s="4">
        <v>0</v>
      </c>
      <c r="AM2641" s="4">
        <v>26</v>
      </c>
      <c r="AN2641" s="4">
        <v>0</v>
      </c>
      <c r="AO2641" s="4">
        <v>0</v>
      </c>
      <c r="AP2641" s="4">
        <v>0</v>
      </c>
      <c r="AQ2641" s="4">
        <v>8</v>
      </c>
      <c r="AR2641" s="3" t="s">
        <v>64</v>
      </c>
      <c r="AS2641" s="3" t="s">
        <v>64</v>
      </c>
      <c r="AT2641" s="3" t="s">
        <v>128</v>
      </c>
      <c r="AU2641" s="6" t="str">
        <f>HYPERLINK("http://catalog.hathitrust.org/Record/000131444","HathiTrust Record")</f>
        <v>HathiTrust Record</v>
      </c>
      <c r="AV2641" s="6" t="str">
        <f>HYPERLINK("http://mcgill.on.worldcat.org/oclc/427254692","Catalog Record")</f>
        <v>Catalog Record</v>
      </c>
      <c r="AW2641" s="6" t="str">
        <f>HYPERLINK("http://www.worldcat.org/oclc/427254692","WorldCat Record")</f>
        <v>WorldCat Record</v>
      </c>
      <c r="AX2641" s="3" t="s">
        <v>26602</v>
      </c>
      <c r="AY2641" s="3" t="s">
        <v>26603</v>
      </c>
      <c r="AZ2641" s="3" t="s">
        <v>26604</v>
      </c>
      <c r="BA2641" s="3" t="s">
        <v>26604</v>
      </c>
      <c r="BB2641" s="3" t="s">
        <v>26605</v>
      </c>
      <c r="BC2641" s="3" t="s">
        <v>77</v>
      </c>
      <c r="BD2641" s="3" t="s">
        <v>78</v>
      </c>
      <c r="BE2641" s="3" t="s">
        <v>26606</v>
      </c>
      <c r="BF2641" s="3" t="s">
        <v>26605</v>
      </c>
      <c r="BG2641" s="3" t="s">
        <v>26607</v>
      </c>
      <c r="BH2641">
        <f t="shared" si="65"/>
        <v>0</v>
      </c>
    </row>
    <row r="2642" spans="1:60" ht="130.5" x14ac:dyDescent="0.35">
      <c r="A2642" s="2" t="s">
        <v>59</v>
      </c>
      <c r="B2642" s="2" t="s">
        <v>60</v>
      </c>
      <c r="C2642" s="2" t="s">
        <v>26608</v>
      </c>
      <c r="D2642" s="2" t="s">
        <v>26609</v>
      </c>
      <c r="E2642" s="2" t="s">
        <v>26610</v>
      </c>
      <c r="G2642" s="3" t="s">
        <v>64</v>
      </c>
      <c r="I2642" s="3" t="s">
        <v>64</v>
      </c>
      <c r="J2642" s="3" t="s">
        <v>128</v>
      </c>
      <c r="K2642" s="3" t="s">
        <v>65</v>
      </c>
      <c r="M2642" s="2" t="s">
        <v>16814</v>
      </c>
      <c r="N2642" s="3" t="s">
        <v>326</v>
      </c>
      <c r="O2642" s="2" t="s">
        <v>26611</v>
      </c>
      <c r="P2642" s="3" t="s">
        <v>102</v>
      </c>
      <c r="R2642" s="3" t="s">
        <v>70</v>
      </c>
      <c r="S2642" s="4">
        <v>4</v>
      </c>
      <c r="T2642" s="4">
        <v>4</v>
      </c>
      <c r="U2642" s="5" t="s">
        <v>26612</v>
      </c>
      <c r="V2642" s="5" t="s">
        <v>26612</v>
      </c>
      <c r="W2642" s="5" t="s">
        <v>72</v>
      </c>
      <c r="X2642" s="5" t="s">
        <v>72</v>
      </c>
      <c r="Y2642" s="4">
        <v>75</v>
      </c>
      <c r="Z2642" s="4">
        <v>4</v>
      </c>
      <c r="AA2642" s="4">
        <v>16</v>
      </c>
      <c r="AB2642" s="4">
        <v>1</v>
      </c>
      <c r="AC2642" s="4">
        <v>4</v>
      </c>
      <c r="AD2642" s="4">
        <v>26</v>
      </c>
      <c r="AE2642" s="4">
        <v>54</v>
      </c>
      <c r="AF2642" s="4">
        <v>0</v>
      </c>
      <c r="AG2642" s="4">
        <v>2</v>
      </c>
      <c r="AH2642" s="4">
        <v>26</v>
      </c>
      <c r="AI2642" s="4">
        <v>47</v>
      </c>
      <c r="AJ2642" s="4">
        <v>3</v>
      </c>
      <c r="AK2642" s="4">
        <v>9</v>
      </c>
      <c r="AL2642" s="4">
        <v>15</v>
      </c>
      <c r="AM2642" s="4">
        <v>25</v>
      </c>
      <c r="AN2642" s="4">
        <v>0</v>
      </c>
      <c r="AO2642" s="4">
        <v>0</v>
      </c>
      <c r="AP2642" s="4">
        <v>3</v>
      </c>
      <c r="AQ2642" s="4">
        <v>9</v>
      </c>
      <c r="AR2642" s="3" t="s">
        <v>64</v>
      </c>
      <c r="AS2642" s="3" t="s">
        <v>64</v>
      </c>
      <c r="AT2642" s="3" t="s">
        <v>64</v>
      </c>
      <c r="AV2642" s="6" t="str">
        <f>HYPERLINK("http://mcgill.on.worldcat.org/oclc/639162742","Catalog Record")</f>
        <v>Catalog Record</v>
      </c>
      <c r="AW2642" s="6" t="str">
        <f>HYPERLINK("http://www.worldcat.org/oclc/639162742","WorldCat Record")</f>
        <v>WorldCat Record</v>
      </c>
      <c r="AX2642" s="3" t="s">
        <v>26613</v>
      </c>
      <c r="AY2642" s="3" t="s">
        <v>26614</v>
      </c>
      <c r="AZ2642" s="3" t="s">
        <v>26615</v>
      </c>
      <c r="BA2642" s="3" t="s">
        <v>26615</v>
      </c>
      <c r="BB2642" s="3" t="s">
        <v>26616</v>
      </c>
      <c r="BC2642" s="3" t="s">
        <v>77</v>
      </c>
      <c r="BD2642" s="3" t="s">
        <v>78</v>
      </c>
      <c r="BE2642" s="3" t="s">
        <v>26617</v>
      </c>
      <c r="BF2642" s="3" t="s">
        <v>26616</v>
      </c>
      <c r="BG2642" s="3" t="s">
        <v>26618</v>
      </c>
      <c r="BH2642">
        <f t="shared" si="65"/>
        <v>0</v>
      </c>
    </row>
    <row r="2643" spans="1:60" ht="58" x14ac:dyDescent="0.35">
      <c r="A2643" s="2" t="s">
        <v>59</v>
      </c>
      <c r="B2643" s="2" t="s">
        <v>60</v>
      </c>
      <c r="C2643" s="2" t="s">
        <v>26619</v>
      </c>
      <c r="D2643" s="2" t="s">
        <v>26620</v>
      </c>
      <c r="E2643" s="2" t="s">
        <v>26621</v>
      </c>
      <c r="G2643" s="3" t="s">
        <v>64</v>
      </c>
      <c r="I2643" s="3" t="s">
        <v>64</v>
      </c>
      <c r="J2643" s="3" t="s">
        <v>64</v>
      </c>
      <c r="K2643" s="3" t="s">
        <v>65</v>
      </c>
      <c r="L2643" s="2" t="s">
        <v>26622</v>
      </c>
      <c r="M2643" s="2" t="s">
        <v>14772</v>
      </c>
      <c r="N2643" s="3" t="s">
        <v>1087</v>
      </c>
      <c r="P2643" s="3" t="s">
        <v>102</v>
      </c>
      <c r="Q2643" s="2" t="s">
        <v>26623</v>
      </c>
      <c r="R2643" s="3" t="s">
        <v>70</v>
      </c>
      <c r="S2643" s="4">
        <v>15</v>
      </c>
      <c r="T2643" s="4">
        <v>15</v>
      </c>
      <c r="U2643" s="5" t="s">
        <v>7419</v>
      </c>
      <c r="V2643" s="5" t="s">
        <v>7419</v>
      </c>
      <c r="W2643" s="5" t="s">
        <v>72</v>
      </c>
      <c r="X2643" s="5" t="s">
        <v>72</v>
      </c>
      <c r="Y2643" s="4">
        <v>298</v>
      </c>
      <c r="Z2643" s="4">
        <v>14</v>
      </c>
      <c r="AA2643" s="4">
        <v>18</v>
      </c>
      <c r="AB2643" s="4">
        <v>3</v>
      </c>
      <c r="AC2643" s="4">
        <v>4</v>
      </c>
      <c r="AD2643" s="4">
        <v>87</v>
      </c>
      <c r="AE2643" s="4">
        <v>92</v>
      </c>
      <c r="AF2643" s="4">
        <v>1</v>
      </c>
      <c r="AG2643" s="4">
        <v>2</v>
      </c>
      <c r="AH2643" s="4">
        <v>82</v>
      </c>
      <c r="AI2643" s="4">
        <v>85</v>
      </c>
      <c r="AJ2643" s="4">
        <v>8</v>
      </c>
      <c r="AK2643" s="4">
        <v>12</v>
      </c>
      <c r="AL2643" s="4">
        <v>44</v>
      </c>
      <c r="AM2643" s="4">
        <v>44</v>
      </c>
      <c r="AN2643" s="4">
        <v>0</v>
      </c>
      <c r="AO2643" s="4">
        <v>0</v>
      </c>
      <c r="AP2643" s="4">
        <v>7</v>
      </c>
      <c r="AQ2643" s="4">
        <v>10</v>
      </c>
      <c r="AR2643" s="3" t="s">
        <v>64</v>
      </c>
      <c r="AS2643" s="3" t="s">
        <v>64</v>
      </c>
      <c r="AT2643" s="3" t="s">
        <v>64</v>
      </c>
      <c r="AV2643" s="6" t="str">
        <f>HYPERLINK("http://mcgill.on.worldcat.org/oclc/22278590","Catalog Record")</f>
        <v>Catalog Record</v>
      </c>
      <c r="AW2643" s="6" t="str">
        <f>HYPERLINK("http://www.worldcat.org/oclc/22278590","WorldCat Record")</f>
        <v>WorldCat Record</v>
      </c>
      <c r="AX2643" s="3" t="s">
        <v>26624</v>
      </c>
      <c r="AY2643" s="3" t="s">
        <v>26625</v>
      </c>
      <c r="AZ2643" s="3" t="s">
        <v>26626</v>
      </c>
      <c r="BA2643" s="3" t="s">
        <v>26626</v>
      </c>
      <c r="BB2643" s="3" t="s">
        <v>26627</v>
      </c>
      <c r="BC2643" s="3" t="s">
        <v>77</v>
      </c>
      <c r="BD2643" s="3" t="s">
        <v>78</v>
      </c>
      <c r="BE2643" s="3" t="s">
        <v>26628</v>
      </c>
      <c r="BF2643" s="3" t="s">
        <v>26627</v>
      </c>
      <c r="BG2643" s="3" t="s">
        <v>26629</v>
      </c>
      <c r="BH2643">
        <f t="shared" si="65"/>
        <v>0</v>
      </c>
    </row>
    <row r="2644" spans="1:60" ht="58" x14ac:dyDescent="0.35">
      <c r="A2644" s="2" t="s">
        <v>59</v>
      </c>
      <c r="B2644" s="2" t="s">
        <v>60</v>
      </c>
      <c r="C2644" s="2" t="s">
        <v>26630</v>
      </c>
      <c r="D2644" s="2" t="s">
        <v>26631</v>
      </c>
      <c r="E2644" s="2" t="s">
        <v>26632</v>
      </c>
      <c r="G2644" s="3" t="s">
        <v>64</v>
      </c>
      <c r="I2644" s="3" t="s">
        <v>64</v>
      </c>
      <c r="J2644" s="3" t="s">
        <v>64</v>
      </c>
      <c r="K2644" s="3" t="s">
        <v>65</v>
      </c>
      <c r="L2644" s="2" t="s">
        <v>26633</v>
      </c>
      <c r="M2644" s="2" t="s">
        <v>15272</v>
      </c>
      <c r="N2644" s="3" t="s">
        <v>291</v>
      </c>
      <c r="P2644" s="3" t="s">
        <v>102</v>
      </c>
      <c r="Q2644" s="2" t="s">
        <v>15181</v>
      </c>
      <c r="R2644" s="3" t="s">
        <v>70</v>
      </c>
      <c r="S2644" s="4">
        <v>6</v>
      </c>
      <c r="T2644" s="4">
        <v>6</v>
      </c>
      <c r="U2644" s="5" t="s">
        <v>15435</v>
      </c>
      <c r="V2644" s="5" t="s">
        <v>15435</v>
      </c>
      <c r="W2644" s="5" t="s">
        <v>72</v>
      </c>
      <c r="X2644" s="5" t="s">
        <v>72</v>
      </c>
      <c r="Y2644" s="4">
        <v>165</v>
      </c>
      <c r="Z2644" s="4">
        <v>12</v>
      </c>
      <c r="AA2644" s="4">
        <v>40</v>
      </c>
      <c r="AB2644" s="4">
        <v>2</v>
      </c>
      <c r="AC2644" s="4">
        <v>8</v>
      </c>
      <c r="AD2644" s="4">
        <v>46</v>
      </c>
      <c r="AE2644" s="4">
        <v>61</v>
      </c>
      <c r="AF2644" s="4">
        <v>0</v>
      </c>
      <c r="AG2644" s="4">
        <v>1</v>
      </c>
      <c r="AH2644" s="4">
        <v>43</v>
      </c>
      <c r="AI2644" s="4">
        <v>54</v>
      </c>
      <c r="AJ2644" s="4">
        <v>7</v>
      </c>
      <c r="AK2644" s="4">
        <v>9</v>
      </c>
      <c r="AL2644" s="4">
        <v>22</v>
      </c>
      <c r="AM2644" s="4">
        <v>27</v>
      </c>
      <c r="AN2644" s="4">
        <v>0</v>
      </c>
      <c r="AO2644" s="4">
        <v>0</v>
      </c>
      <c r="AP2644" s="4">
        <v>8</v>
      </c>
      <c r="AQ2644" s="4">
        <v>11</v>
      </c>
      <c r="AR2644" s="3" t="s">
        <v>64</v>
      </c>
      <c r="AS2644" s="3" t="s">
        <v>64</v>
      </c>
      <c r="AT2644" s="3" t="s">
        <v>64</v>
      </c>
      <c r="AV2644" s="6" t="str">
        <f>HYPERLINK("http://mcgill.on.worldcat.org/oclc/128237845","Catalog Record")</f>
        <v>Catalog Record</v>
      </c>
      <c r="AW2644" s="6" t="str">
        <f>HYPERLINK("http://www.worldcat.org/oclc/128237845","WorldCat Record")</f>
        <v>WorldCat Record</v>
      </c>
      <c r="AX2644" s="3" t="s">
        <v>26634</v>
      </c>
      <c r="AY2644" s="3" t="s">
        <v>26635</v>
      </c>
      <c r="AZ2644" s="3" t="s">
        <v>26636</v>
      </c>
      <c r="BA2644" s="3" t="s">
        <v>26636</v>
      </c>
      <c r="BB2644" s="3" t="s">
        <v>26637</v>
      </c>
      <c r="BC2644" s="3" t="s">
        <v>77</v>
      </c>
      <c r="BD2644" s="3" t="s">
        <v>78</v>
      </c>
      <c r="BE2644" s="3" t="s">
        <v>26638</v>
      </c>
      <c r="BF2644" s="3" t="s">
        <v>26637</v>
      </c>
      <c r="BG2644" s="3" t="s">
        <v>26639</v>
      </c>
      <c r="BH2644">
        <f t="shared" si="65"/>
        <v>0</v>
      </c>
    </row>
    <row r="2645" spans="1:60" ht="116" x14ac:dyDescent="0.35">
      <c r="A2645" s="2" t="s">
        <v>59</v>
      </c>
      <c r="B2645" s="2" t="s">
        <v>60</v>
      </c>
      <c r="C2645" s="2" t="s">
        <v>26640</v>
      </c>
      <c r="D2645" s="2" t="s">
        <v>26641</v>
      </c>
      <c r="E2645" s="2" t="s">
        <v>26642</v>
      </c>
      <c r="G2645" s="3" t="s">
        <v>64</v>
      </c>
      <c r="I2645" s="3" t="s">
        <v>64</v>
      </c>
      <c r="J2645" s="3" t="s">
        <v>64</v>
      </c>
      <c r="K2645" s="3" t="s">
        <v>65</v>
      </c>
      <c r="L2645" s="2" t="s">
        <v>26643</v>
      </c>
      <c r="M2645" s="2" t="s">
        <v>26644</v>
      </c>
      <c r="N2645" s="3" t="s">
        <v>3330</v>
      </c>
      <c r="O2645" s="2" t="s">
        <v>2149</v>
      </c>
      <c r="P2645" s="3" t="s">
        <v>102</v>
      </c>
      <c r="R2645" s="3" t="s">
        <v>70</v>
      </c>
      <c r="S2645" s="4">
        <v>10</v>
      </c>
      <c r="T2645" s="4">
        <v>10</v>
      </c>
      <c r="U2645" s="5" t="s">
        <v>19908</v>
      </c>
      <c r="V2645" s="5" t="s">
        <v>19908</v>
      </c>
      <c r="W2645" s="5" t="s">
        <v>72</v>
      </c>
      <c r="X2645" s="5" t="s">
        <v>72</v>
      </c>
      <c r="Y2645" s="4">
        <v>178</v>
      </c>
      <c r="Z2645" s="4">
        <v>17</v>
      </c>
      <c r="AA2645" s="4">
        <v>18</v>
      </c>
      <c r="AB2645" s="4">
        <v>6</v>
      </c>
      <c r="AC2645" s="4">
        <v>7</v>
      </c>
      <c r="AD2645" s="4">
        <v>52</v>
      </c>
      <c r="AE2645" s="4">
        <v>53</v>
      </c>
      <c r="AF2645" s="4">
        <v>2</v>
      </c>
      <c r="AG2645" s="4">
        <v>3</v>
      </c>
      <c r="AH2645" s="4">
        <v>45</v>
      </c>
      <c r="AI2645" s="4">
        <v>46</v>
      </c>
      <c r="AJ2645" s="4">
        <v>7</v>
      </c>
      <c r="AK2645" s="4">
        <v>8</v>
      </c>
      <c r="AL2645" s="4">
        <v>24</v>
      </c>
      <c r="AM2645" s="4">
        <v>24</v>
      </c>
      <c r="AN2645" s="4">
        <v>0</v>
      </c>
      <c r="AO2645" s="4">
        <v>0</v>
      </c>
      <c r="AP2645" s="4">
        <v>7</v>
      </c>
      <c r="AQ2645" s="4">
        <v>8</v>
      </c>
      <c r="AR2645" s="3" t="s">
        <v>64</v>
      </c>
      <c r="AS2645" s="3" t="s">
        <v>64</v>
      </c>
      <c r="AT2645" s="3" t="s">
        <v>64</v>
      </c>
      <c r="AV2645" s="6" t="str">
        <f>HYPERLINK("http://mcgill.on.worldcat.org/oclc/15519596","Catalog Record")</f>
        <v>Catalog Record</v>
      </c>
      <c r="AW2645" s="6" t="str">
        <f>HYPERLINK("http://www.worldcat.org/oclc/15519596","WorldCat Record")</f>
        <v>WorldCat Record</v>
      </c>
      <c r="AX2645" s="3" t="s">
        <v>26645</v>
      </c>
      <c r="AY2645" s="3" t="s">
        <v>26646</v>
      </c>
      <c r="AZ2645" s="3" t="s">
        <v>26647</v>
      </c>
      <c r="BA2645" s="3" t="s">
        <v>26647</v>
      </c>
      <c r="BB2645" s="3" t="s">
        <v>26648</v>
      </c>
      <c r="BC2645" s="3" t="s">
        <v>77</v>
      </c>
      <c r="BD2645" s="3" t="s">
        <v>78</v>
      </c>
      <c r="BF2645" s="3" t="s">
        <v>26648</v>
      </c>
      <c r="BG2645" s="3" t="s">
        <v>26649</v>
      </c>
      <c r="BH2645">
        <f t="shared" si="65"/>
        <v>0</v>
      </c>
    </row>
    <row r="2646" spans="1:60" ht="58" x14ac:dyDescent="0.35">
      <c r="A2646" s="2" t="s">
        <v>59</v>
      </c>
      <c r="B2646" s="2" t="s">
        <v>60</v>
      </c>
      <c r="C2646" s="2" t="s">
        <v>26650</v>
      </c>
      <c r="D2646" s="2" t="s">
        <v>26651</v>
      </c>
      <c r="E2646" s="2" t="s">
        <v>26652</v>
      </c>
      <c r="G2646" s="3" t="s">
        <v>64</v>
      </c>
      <c r="I2646" s="3" t="s">
        <v>64</v>
      </c>
      <c r="J2646" s="3" t="s">
        <v>64</v>
      </c>
      <c r="K2646" s="3" t="s">
        <v>65</v>
      </c>
      <c r="L2646" s="2" t="s">
        <v>26653</v>
      </c>
      <c r="M2646" s="2" t="s">
        <v>26654</v>
      </c>
      <c r="N2646" s="3" t="s">
        <v>116</v>
      </c>
      <c r="O2646" s="2" t="s">
        <v>26655</v>
      </c>
      <c r="P2646" s="3" t="s">
        <v>102</v>
      </c>
      <c r="R2646" s="3" t="s">
        <v>70</v>
      </c>
      <c r="S2646" s="4">
        <v>36</v>
      </c>
      <c r="T2646" s="4">
        <v>36</v>
      </c>
      <c r="U2646" s="5" t="s">
        <v>8233</v>
      </c>
      <c r="V2646" s="5" t="s">
        <v>8233</v>
      </c>
      <c r="W2646" s="5" t="s">
        <v>72</v>
      </c>
      <c r="X2646" s="5" t="s">
        <v>72</v>
      </c>
      <c r="Y2646" s="4">
        <v>1790</v>
      </c>
      <c r="Z2646" s="4">
        <v>80</v>
      </c>
      <c r="AA2646" s="4">
        <v>100</v>
      </c>
      <c r="AB2646" s="4">
        <v>3</v>
      </c>
      <c r="AC2646" s="4">
        <v>7</v>
      </c>
      <c r="AD2646" s="4">
        <v>141</v>
      </c>
      <c r="AE2646" s="4">
        <v>148</v>
      </c>
      <c r="AF2646" s="4">
        <v>1</v>
      </c>
      <c r="AG2646" s="4">
        <v>3</v>
      </c>
      <c r="AH2646" s="4">
        <v>109</v>
      </c>
      <c r="AI2646" s="4">
        <v>111</v>
      </c>
      <c r="AJ2646" s="4">
        <v>22</v>
      </c>
      <c r="AK2646" s="4">
        <v>25</v>
      </c>
      <c r="AL2646" s="4">
        <v>59</v>
      </c>
      <c r="AM2646" s="4">
        <v>59</v>
      </c>
      <c r="AN2646" s="4">
        <v>0</v>
      </c>
      <c r="AO2646" s="4">
        <v>2</v>
      </c>
      <c r="AP2646" s="4">
        <v>36</v>
      </c>
      <c r="AQ2646" s="4">
        <v>41</v>
      </c>
      <c r="AR2646" s="3" t="s">
        <v>64</v>
      </c>
      <c r="AS2646" s="3" t="s">
        <v>64</v>
      </c>
      <c r="AT2646" s="3" t="s">
        <v>128</v>
      </c>
      <c r="AU2646" s="6" t="str">
        <f>HYPERLINK("http://catalog.hathitrust.org/Record/003540313","HathiTrust Record")</f>
        <v>HathiTrust Record</v>
      </c>
      <c r="AV2646" s="6" t="str">
        <f>HYPERLINK("http://mcgill.on.worldcat.org/oclc/44732234","Catalog Record")</f>
        <v>Catalog Record</v>
      </c>
      <c r="AW2646" s="6" t="str">
        <f>HYPERLINK("http://www.worldcat.org/oclc/44732234","WorldCat Record")</f>
        <v>WorldCat Record</v>
      </c>
      <c r="AX2646" s="3" t="s">
        <v>26656</v>
      </c>
      <c r="AY2646" s="3" t="s">
        <v>26657</v>
      </c>
      <c r="AZ2646" s="3" t="s">
        <v>26658</v>
      </c>
      <c r="BA2646" s="3" t="s">
        <v>26658</v>
      </c>
      <c r="BB2646" s="3" t="s">
        <v>26659</v>
      </c>
      <c r="BC2646" s="3" t="s">
        <v>77</v>
      </c>
      <c r="BD2646" s="3" t="s">
        <v>78</v>
      </c>
      <c r="BE2646" s="3" t="s">
        <v>26660</v>
      </c>
      <c r="BF2646" s="3" t="s">
        <v>26659</v>
      </c>
      <c r="BG2646" s="3" t="s">
        <v>26661</v>
      </c>
      <c r="BH2646">
        <f t="shared" si="65"/>
        <v>0</v>
      </c>
    </row>
    <row r="2647" spans="1:60" ht="58" x14ac:dyDescent="0.35">
      <c r="A2647" s="2" t="s">
        <v>59</v>
      </c>
      <c r="B2647" s="2" t="s">
        <v>60</v>
      </c>
      <c r="C2647" s="2" t="s">
        <v>26662</v>
      </c>
      <c r="D2647" s="2" t="s">
        <v>26663</v>
      </c>
      <c r="E2647" s="2" t="s">
        <v>26664</v>
      </c>
      <c r="G2647" s="3" t="s">
        <v>64</v>
      </c>
      <c r="I2647" s="3" t="s">
        <v>64</v>
      </c>
      <c r="J2647" s="3" t="s">
        <v>64</v>
      </c>
      <c r="K2647" s="3" t="s">
        <v>65</v>
      </c>
      <c r="L2647" s="2" t="s">
        <v>26665</v>
      </c>
      <c r="M2647" s="2" t="s">
        <v>26666</v>
      </c>
      <c r="N2647" s="3" t="s">
        <v>2067</v>
      </c>
      <c r="P2647" s="3" t="s">
        <v>102</v>
      </c>
      <c r="R2647" s="3" t="s">
        <v>70</v>
      </c>
      <c r="S2647" s="4">
        <v>14</v>
      </c>
      <c r="T2647" s="4">
        <v>14</v>
      </c>
      <c r="U2647" s="5" t="s">
        <v>15435</v>
      </c>
      <c r="V2647" s="5" t="s">
        <v>15435</v>
      </c>
      <c r="W2647" s="5" t="s">
        <v>72</v>
      </c>
      <c r="X2647" s="5" t="s">
        <v>72</v>
      </c>
      <c r="Y2647" s="4">
        <v>383</v>
      </c>
      <c r="Z2647" s="4">
        <v>26</v>
      </c>
      <c r="AA2647" s="4">
        <v>27</v>
      </c>
      <c r="AB2647" s="4">
        <v>3</v>
      </c>
      <c r="AC2647" s="4">
        <v>4</v>
      </c>
      <c r="AD2647" s="4">
        <v>83</v>
      </c>
      <c r="AE2647" s="4">
        <v>84</v>
      </c>
      <c r="AF2647" s="4">
        <v>1</v>
      </c>
      <c r="AG2647" s="4">
        <v>2</v>
      </c>
      <c r="AH2647" s="4">
        <v>71</v>
      </c>
      <c r="AI2647" s="4">
        <v>71</v>
      </c>
      <c r="AJ2647" s="4">
        <v>10</v>
      </c>
      <c r="AK2647" s="4">
        <v>11</v>
      </c>
      <c r="AL2647" s="4">
        <v>36</v>
      </c>
      <c r="AM2647" s="4">
        <v>36</v>
      </c>
      <c r="AN2647" s="4">
        <v>0</v>
      </c>
      <c r="AO2647" s="4">
        <v>0</v>
      </c>
      <c r="AP2647" s="4">
        <v>15</v>
      </c>
      <c r="AQ2647" s="4">
        <v>15</v>
      </c>
      <c r="AR2647" s="3" t="s">
        <v>64</v>
      </c>
      <c r="AS2647" s="3" t="s">
        <v>64</v>
      </c>
      <c r="AT2647" s="3" t="s">
        <v>128</v>
      </c>
      <c r="AU2647" s="6" t="str">
        <f>HYPERLINK("http://catalog.hathitrust.org/Record/001081012","HathiTrust Record")</f>
        <v>HathiTrust Record</v>
      </c>
      <c r="AV2647" s="6" t="str">
        <f>HYPERLINK("http://mcgill.on.worldcat.org/oclc/18779108","Catalog Record")</f>
        <v>Catalog Record</v>
      </c>
      <c r="AW2647" s="6" t="str">
        <f>HYPERLINK("http://www.worldcat.org/oclc/18779108","WorldCat Record")</f>
        <v>WorldCat Record</v>
      </c>
      <c r="AX2647" s="3" t="s">
        <v>26667</v>
      </c>
      <c r="AY2647" s="3" t="s">
        <v>26668</v>
      </c>
      <c r="AZ2647" s="3" t="s">
        <v>26669</v>
      </c>
      <c r="BA2647" s="3" t="s">
        <v>26669</v>
      </c>
      <c r="BB2647" s="3" t="s">
        <v>26670</v>
      </c>
      <c r="BC2647" s="3" t="s">
        <v>77</v>
      </c>
      <c r="BD2647" s="3" t="s">
        <v>78</v>
      </c>
      <c r="BE2647" s="3" t="s">
        <v>26671</v>
      </c>
      <c r="BF2647" s="3" t="s">
        <v>26670</v>
      </c>
      <c r="BG2647" s="3" t="s">
        <v>26672</v>
      </c>
      <c r="BH2647">
        <f t="shared" si="65"/>
        <v>0</v>
      </c>
    </row>
    <row r="2648" spans="1:60" ht="87" x14ac:dyDescent="0.35">
      <c r="A2648" s="2" t="s">
        <v>59</v>
      </c>
      <c r="B2648" s="2" t="s">
        <v>60</v>
      </c>
      <c r="C2648" s="2" t="s">
        <v>26673</v>
      </c>
      <c r="D2648" s="2" t="s">
        <v>26674</v>
      </c>
      <c r="E2648" s="2" t="s">
        <v>26675</v>
      </c>
      <c r="G2648" s="3" t="s">
        <v>64</v>
      </c>
      <c r="I2648" s="3" t="s">
        <v>64</v>
      </c>
      <c r="J2648" s="3" t="s">
        <v>64</v>
      </c>
      <c r="K2648" s="3" t="s">
        <v>65</v>
      </c>
      <c r="L2648" s="2" t="s">
        <v>26676</v>
      </c>
      <c r="M2648" s="2" t="s">
        <v>26677</v>
      </c>
      <c r="N2648" s="3" t="s">
        <v>1763</v>
      </c>
      <c r="O2648" s="2" t="s">
        <v>26678</v>
      </c>
      <c r="P2648" s="3" t="s">
        <v>102</v>
      </c>
      <c r="R2648" s="3" t="s">
        <v>70</v>
      </c>
      <c r="S2648" s="4">
        <v>7</v>
      </c>
      <c r="T2648" s="4">
        <v>7</v>
      </c>
      <c r="U2648" s="5" t="s">
        <v>15435</v>
      </c>
      <c r="V2648" s="5" t="s">
        <v>15435</v>
      </c>
      <c r="W2648" s="5" t="s">
        <v>72</v>
      </c>
      <c r="X2648" s="5" t="s">
        <v>72</v>
      </c>
      <c r="Y2648" s="4">
        <v>21</v>
      </c>
      <c r="Z2648" s="4">
        <v>3</v>
      </c>
      <c r="AA2648" s="4">
        <v>9</v>
      </c>
      <c r="AB2648" s="4">
        <v>1</v>
      </c>
      <c r="AC2648" s="4">
        <v>5</v>
      </c>
      <c r="AD2648" s="4">
        <v>15</v>
      </c>
      <c r="AE2648" s="4">
        <v>18</v>
      </c>
      <c r="AF2648" s="4">
        <v>0</v>
      </c>
      <c r="AG2648" s="4">
        <v>2</v>
      </c>
      <c r="AH2648" s="4">
        <v>13</v>
      </c>
      <c r="AI2648" s="4">
        <v>13</v>
      </c>
      <c r="AJ2648" s="4">
        <v>2</v>
      </c>
      <c r="AK2648" s="4">
        <v>5</v>
      </c>
      <c r="AL2648" s="4">
        <v>11</v>
      </c>
      <c r="AM2648" s="4">
        <v>11</v>
      </c>
      <c r="AN2648" s="4">
        <v>0</v>
      </c>
      <c r="AO2648" s="4">
        <v>0</v>
      </c>
      <c r="AP2648" s="4">
        <v>2</v>
      </c>
      <c r="AQ2648" s="4">
        <v>3</v>
      </c>
      <c r="AR2648" s="3" t="s">
        <v>128</v>
      </c>
      <c r="AS2648" s="3" t="s">
        <v>64</v>
      </c>
      <c r="AT2648" s="3" t="s">
        <v>128</v>
      </c>
      <c r="AU2648" s="6" t="str">
        <f>HYPERLINK("http://catalog.hathitrust.org/Record/000433274","HathiTrust Record")</f>
        <v>HathiTrust Record</v>
      </c>
      <c r="AV2648" s="6" t="str">
        <f>HYPERLINK("http://mcgill.on.worldcat.org/oclc/11399546","Catalog Record")</f>
        <v>Catalog Record</v>
      </c>
      <c r="AW2648" s="6" t="str">
        <f>HYPERLINK("http://www.worldcat.org/oclc/11399546","WorldCat Record")</f>
        <v>WorldCat Record</v>
      </c>
      <c r="AX2648" s="3" t="s">
        <v>26679</v>
      </c>
      <c r="AY2648" s="3" t="s">
        <v>26680</v>
      </c>
      <c r="AZ2648" s="3" t="s">
        <v>26681</v>
      </c>
      <c r="BA2648" s="3" t="s">
        <v>26681</v>
      </c>
      <c r="BB2648" s="3" t="s">
        <v>26682</v>
      </c>
      <c r="BC2648" s="3" t="s">
        <v>77</v>
      </c>
      <c r="BD2648" s="3" t="s">
        <v>78</v>
      </c>
      <c r="BE2648" s="3" t="s">
        <v>26683</v>
      </c>
      <c r="BF2648" s="3" t="s">
        <v>26682</v>
      </c>
      <c r="BG2648" s="3" t="s">
        <v>26684</v>
      </c>
      <c r="BH2648">
        <f t="shared" si="65"/>
        <v>0</v>
      </c>
    </row>
    <row r="2649" spans="1:60" ht="72.5" x14ac:dyDescent="0.35">
      <c r="A2649" s="2" t="s">
        <v>59</v>
      </c>
      <c r="B2649" s="2" t="s">
        <v>60</v>
      </c>
      <c r="C2649" s="2" t="s">
        <v>26685</v>
      </c>
      <c r="D2649" s="2" t="s">
        <v>26686</v>
      </c>
      <c r="E2649" s="2" t="s">
        <v>26687</v>
      </c>
      <c r="G2649" s="3" t="s">
        <v>64</v>
      </c>
      <c r="I2649" s="3" t="s">
        <v>128</v>
      </c>
      <c r="J2649" s="3" t="s">
        <v>128</v>
      </c>
      <c r="K2649" s="3" t="s">
        <v>65</v>
      </c>
      <c r="L2649" s="2" t="s">
        <v>26688</v>
      </c>
      <c r="M2649" s="2" t="s">
        <v>13931</v>
      </c>
      <c r="N2649" s="3" t="s">
        <v>144</v>
      </c>
      <c r="O2649" s="2" t="s">
        <v>3455</v>
      </c>
      <c r="P2649" s="3" t="s">
        <v>102</v>
      </c>
      <c r="R2649" s="3" t="s">
        <v>70</v>
      </c>
      <c r="S2649" s="4">
        <v>9</v>
      </c>
      <c r="T2649" s="4">
        <v>26</v>
      </c>
      <c r="U2649" s="5" t="s">
        <v>21717</v>
      </c>
      <c r="V2649" s="5" t="s">
        <v>15435</v>
      </c>
      <c r="W2649" s="5" t="s">
        <v>72</v>
      </c>
      <c r="X2649" s="5" t="s">
        <v>72</v>
      </c>
      <c r="Y2649" s="4">
        <v>469</v>
      </c>
      <c r="Z2649" s="4">
        <v>24</v>
      </c>
      <c r="AA2649" s="4">
        <v>58</v>
      </c>
      <c r="AB2649" s="4">
        <v>2</v>
      </c>
      <c r="AC2649" s="4">
        <v>11</v>
      </c>
      <c r="AD2649" s="4">
        <v>74</v>
      </c>
      <c r="AE2649" s="4">
        <v>131</v>
      </c>
      <c r="AF2649" s="4">
        <v>0</v>
      </c>
      <c r="AG2649" s="4">
        <v>3</v>
      </c>
      <c r="AH2649" s="4">
        <v>69</v>
      </c>
      <c r="AI2649" s="4">
        <v>109</v>
      </c>
      <c r="AJ2649" s="4">
        <v>11</v>
      </c>
      <c r="AK2649" s="4">
        <v>22</v>
      </c>
      <c r="AL2649" s="4">
        <v>31</v>
      </c>
      <c r="AM2649" s="4">
        <v>57</v>
      </c>
      <c r="AN2649" s="4">
        <v>0</v>
      </c>
      <c r="AO2649" s="4">
        <v>1</v>
      </c>
      <c r="AP2649" s="4">
        <v>13</v>
      </c>
      <c r="AQ2649" s="4">
        <v>26</v>
      </c>
      <c r="AR2649" s="3" t="s">
        <v>64</v>
      </c>
      <c r="AS2649" s="3" t="s">
        <v>64</v>
      </c>
      <c r="AT2649" s="3" t="s">
        <v>128</v>
      </c>
      <c r="AU2649" s="6" t="str">
        <f>HYPERLINK("http://catalog.hathitrust.org/Record/005951937","HathiTrust Record")</f>
        <v>HathiTrust Record</v>
      </c>
      <c r="AV2649" s="6" t="str">
        <f>HYPERLINK("http://mcgill.on.worldcat.org/oclc/227000197","Catalog Record")</f>
        <v>Catalog Record</v>
      </c>
      <c r="AW2649" s="6" t="str">
        <f>HYPERLINK("http://www.worldcat.org/oclc/227000197","WorldCat Record")</f>
        <v>WorldCat Record</v>
      </c>
      <c r="AX2649" s="3" t="s">
        <v>26689</v>
      </c>
      <c r="AY2649" s="3" t="s">
        <v>26690</v>
      </c>
      <c r="AZ2649" s="3" t="s">
        <v>26691</v>
      </c>
      <c r="BA2649" s="3" t="s">
        <v>26691</v>
      </c>
      <c r="BB2649" s="3" t="s">
        <v>26692</v>
      </c>
      <c r="BC2649" s="3" t="s">
        <v>77</v>
      </c>
      <c r="BD2649" s="3" t="s">
        <v>78</v>
      </c>
      <c r="BE2649" s="3" t="s">
        <v>26693</v>
      </c>
      <c r="BF2649" s="3" t="s">
        <v>26692</v>
      </c>
      <c r="BG2649" s="3" t="s">
        <v>26694</v>
      </c>
      <c r="BH2649">
        <f t="shared" si="65"/>
        <v>0</v>
      </c>
    </row>
    <row r="2650" spans="1:60" ht="72.5" x14ac:dyDescent="0.35">
      <c r="A2650" s="2" t="s">
        <v>59</v>
      </c>
      <c r="B2650" s="2" t="s">
        <v>60</v>
      </c>
      <c r="C2650" s="2" t="s">
        <v>26685</v>
      </c>
      <c r="D2650" s="2" t="s">
        <v>26686</v>
      </c>
      <c r="E2650" s="2" t="s">
        <v>26687</v>
      </c>
      <c r="G2650" s="3" t="s">
        <v>64</v>
      </c>
      <c r="I2650" s="3" t="s">
        <v>128</v>
      </c>
      <c r="J2650" s="3" t="s">
        <v>128</v>
      </c>
      <c r="K2650" s="3" t="s">
        <v>65</v>
      </c>
      <c r="L2650" s="2" t="s">
        <v>26688</v>
      </c>
      <c r="M2650" s="2" t="s">
        <v>13931</v>
      </c>
      <c r="N2650" s="3" t="s">
        <v>144</v>
      </c>
      <c r="O2650" s="2" t="s">
        <v>3455</v>
      </c>
      <c r="P2650" s="3" t="s">
        <v>102</v>
      </c>
      <c r="R2650" s="3" t="s">
        <v>70</v>
      </c>
      <c r="S2650" s="4">
        <v>10</v>
      </c>
      <c r="T2650" s="4">
        <v>26</v>
      </c>
      <c r="U2650" s="5" t="s">
        <v>26695</v>
      </c>
      <c r="V2650" s="5" t="s">
        <v>15435</v>
      </c>
      <c r="W2650" s="5" t="s">
        <v>72</v>
      </c>
      <c r="X2650" s="5" t="s">
        <v>72</v>
      </c>
      <c r="Y2650" s="4">
        <v>469</v>
      </c>
      <c r="Z2650" s="4">
        <v>24</v>
      </c>
      <c r="AA2650" s="4">
        <v>58</v>
      </c>
      <c r="AB2650" s="4">
        <v>2</v>
      </c>
      <c r="AC2650" s="4">
        <v>11</v>
      </c>
      <c r="AD2650" s="4">
        <v>74</v>
      </c>
      <c r="AE2650" s="4">
        <v>131</v>
      </c>
      <c r="AF2650" s="4">
        <v>0</v>
      </c>
      <c r="AG2650" s="4">
        <v>3</v>
      </c>
      <c r="AH2650" s="4">
        <v>69</v>
      </c>
      <c r="AI2650" s="4">
        <v>109</v>
      </c>
      <c r="AJ2650" s="4">
        <v>11</v>
      </c>
      <c r="AK2650" s="4">
        <v>22</v>
      </c>
      <c r="AL2650" s="4">
        <v>31</v>
      </c>
      <c r="AM2650" s="4">
        <v>57</v>
      </c>
      <c r="AN2650" s="4">
        <v>0</v>
      </c>
      <c r="AO2650" s="4">
        <v>1</v>
      </c>
      <c r="AP2650" s="4">
        <v>13</v>
      </c>
      <c r="AQ2650" s="4">
        <v>26</v>
      </c>
      <c r="AR2650" s="3" t="s">
        <v>64</v>
      </c>
      <c r="AS2650" s="3" t="s">
        <v>64</v>
      </c>
      <c r="AT2650" s="3" t="s">
        <v>128</v>
      </c>
      <c r="AU2650" s="6" t="str">
        <f>HYPERLINK("http://catalog.hathitrust.org/Record/005951937","HathiTrust Record")</f>
        <v>HathiTrust Record</v>
      </c>
      <c r="AV2650" s="6" t="str">
        <f>HYPERLINK("http://mcgill.on.worldcat.org/oclc/227000197","Catalog Record")</f>
        <v>Catalog Record</v>
      </c>
      <c r="AW2650" s="6" t="str">
        <f>HYPERLINK("http://www.worldcat.org/oclc/227000197","WorldCat Record")</f>
        <v>WorldCat Record</v>
      </c>
      <c r="AX2650" s="3" t="s">
        <v>26689</v>
      </c>
      <c r="AY2650" s="3" t="s">
        <v>26690</v>
      </c>
      <c r="AZ2650" s="3" t="s">
        <v>26691</v>
      </c>
      <c r="BA2650" s="3" t="s">
        <v>26691</v>
      </c>
      <c r="BB2650" s="3" t="s">
        <v>26696</v>
      </c>
      <c r="BC2650" s="3" t="s">
        <v>77</v>
      </c>
      <c r="BD2650" s="3" t="s">
        <v>78</v>
      </c>
      <c r="BE2650" s="3" t="s">
        <v>26693</v>
      </c>
      <c r="BF2650" s="3" t="s">
        <v>26696</v>
      </c>
      <c r="BG2650" s="3" t="s">
        <v>26697</v>
      </c>
      <c r="BH2650">
        <f t="shared" si="65"/>
        <v>0</v>
      </c>
    </row>
    <row r="2651" spans="1:60" ht="72.5" x14ac:dyDescent="0.35">
      <c r="A2651" s="2" t="s">
        <v>59</v>
      </c>
      <c r="B2651" s="2" t="s">
        <v>60</v>
      </c>
      <c r="C2651" s="2" t="s">
        <v>26685</v>
      </c>
      <c r="D2651" s="2" t="s">
        <v>26686</v>
      </c>
      <c r="E2651" s="2" t="s">
        <v>26687</v>
      </c>
      <c r="G2651" s="3" t="s">
        <v>64</v>
      </c>
      <c r="I2651" s="3" t="s">
        <v>128</v>
      </c>
      <c r="J2651" s="3" t="s">
        <v>128</v>
      </c>
      <c r="K2651" s="3" t="s">
        <v>65</v>
      </c>
      <c r="L2651" s="2" t="s">
        <v>26688</v>
      </c>
      <c r="M2651" s="2" t="s">
        <v>13931</v>
      </c>
      <c r="N2651" s="3" t="s">
        <v>144</v>
      </c>
      <c r="O2651" s="2" t="s">
        <v>3455</v>
      </c>
      <c r="P2651" s="3" t="s">
        <v>102</v>
      </c>
      <c r="R2651" s="3" t="s">
        <v>70</v>
      </c>
      <c r="S2651" s="4">
        <v>7</v>
      </c>
      <c r="T2651" s="4">
        <v>26</v>
      </c>
      <c r="U2651" s="5" t="s">
        <v>15435</v>
      </c>
      <c r="V2651" s="5" t="s">
        <v>15435</v>
      </c>
      <c r="W2651" s="5" t="s">
        <v>72</v>
      </c>
      <c r="X2651" s="5" t="s">
        <v>72</v>
      </c>
      <c r="Y2651" s="4">
        <v>469</v>
      </c>
      <c r="Z2651" s="4">
        <v>24</v>
      </c>
      <c r="AA2651" s="4">
        <v>58</v>
      </c>
      <c r="AB2651" s="4">
        <v>2</v>
      </c>
      <c r="AC2651" s="4">
        <v>11</v>
      </c>
      <c r="AD2651" s="4">
        <v>74</v>
      </c>
      <c r="AE2651" s="4">
        <v>131</v>
      </c>
      <c r="AF2651" s="4">
        <v>0</v>
      </c>
      <c r="AG2651" s="4">
        <v>3</v>
      </c>
      <c r="AH2651" s="4">
        <v>69</v>
      </c>
      <c r="AI2651" s="4">
        <v>109</v>
      </c>
      <c r="AJ2651" s="4">
        <v>11</v>
      </c>
      <c r="AK2651" s="4">
        <v>22</v>
      </c>
      <c r="AL2651" s="4">
        <v>31</v>
      </c>
      <c r="AM2651" s="4">
        <v>57</v>
      </c>
      <c r="AN2651" s="4">
        <v>0</v>
      </c>
      <c r="AO2651" s="4">
        <v>1</v>
      </c>
      <c r="AP2651" s="4">
        <v>13</v>
      </c>
      <c r="AQ2651" s="4">
        <v>26</v>
      </c>
      <c r="AR2651" s="3" t="s">
        <v>64</v>
      </c>
      <c r="AS2651" s="3" t="s">
        <v>64</v>
      </c>
      <c r="AT2651" s="3" t="s">
        <v>128</v>
      </c>
      <c r="AU2651" s="6" t="str">
        <f>HYPERLINK("http://catalog.hathitrust.org/Record/005951937","HathiTrust Record")</f>
        <v>HathiTrust Record</v>
      </c>
      <c r="AV2651" s="6" t="str">
        <f>HYPERLINK("http://mcgill.on.worldcat.org/oclc/227000197","Catalog Record")</f>
        <v>Catalog Record</v>
      </c>
      <c r="AW2651" s="6" t="str">
        <f>HYPERLINK("http://www.worldcat.org/oclc/227000197","WorldCat Record")</f>
        <v>WorldCat Record</v>
      </c>
      <c r="AX2651" s="3" t="s">
        <v>26689</v>
      </c>
      <c r="AY2651" s="3" t="s">
        <v>26690</v>
      </c>
      <c r="AZ2651" s="3" t="s">
        <v>26691</v>
      </c>
      <c r="BA2651" s="3" t="s">
        <v>26691</v>
      </c>
      <c r="BB2651" s="3" t="s">
        <v>26698</v>
      </c>
      <c r="BC2651" s="3" t="s">
        <v>77</v>
      </c>
      <c r="BD2651" s="3" t="s">
        <v>78</v>
      </c>
      <c r="BE2651" s="3" t="s">
        <v>26693</v>
      </c>
      <c r="BF2651" s="3" t="s">
        <v>26698</v>
      </c>
      <c r="BG2651" s="3" t="s">
        <v>26699</v>
      </c>
      <c r="BH2651">
        <f t="shared" si="65"/>
        <v>0</v>
      </c>
    </row>
    <row r="2652" spans="1:60" ht="58" x14ac:dyDescent="0.35">
      <c r="A2652" s="2" t="s">
        <v>59</v>
      </c>
      <c r="B2652" s="2" t="s">
        <v>60</v>
      </c>
      <c r="C2652" s="2" t="s">
        <v>26700</v>
      </c>
      <c r="D2652" s="2" t="s">
        <v>26701</v>
      </c>
      <c r="E2652" s="2" t="s">
        <v>26702</v>
      </c>
      <c r="G2652" s="3" t="s">
        <v>64</v>
      </c>
      <c r="I2652" s="3" t="s">
        <v>64</v>
      </c>
      <c r="J2652" s="3" t="s">
        <v>128</v>
      </c>
      <c r="K2652" s="3" t="s">
        <v>65</v>
      </c>
      <c r="L2652" s="2" t="s">
        <v>26703</v>
      </c>
      <c r="M2652" s="2" t="s">
        <v>26704</v>
      </c>
      <c r="N2652" s="3" t="s">
        <v>1047</v>
      </c>
      <c r="P2652" s="3" t="s">
        <v>102</v>
      </c>
      <c r="Q2652" s="2" t="s">
        <v>20193</v>
      </c>
      <c r="R2652" s="3" t="s">
        <v>70</v>
      </c>
      <c r="S2652" s="4">
        <v>3</v>
      </c>
      <c r="T2652" s="4">
        <v>3</v>
      </c>
      <c r="U2652" s="5" t="s">
        <v>7419</v>
      </c>
      <c r="V2652" s="5" t="s">
        <v>7419</v>
      </c>
      <c r="W2652" s="5" t="s">
        <v>72</v>
      </c>
      <c r="X2652" s="5" t="s">
        <v>72</v>
      </c>
      <c r="Y2652" s="4">
        <v>401</v>
      </c>
      <c r="Z2652" s="4">
        <v>17</v>
      </c>
      <c r="AA2652" s="4">
        <v>26</v>
      </c>
      <c r="AB2652" s="4">
        <v>3</v>
      </c>
      <c r="AC2652" s="4">
        <v>6</v>
      </c>
      <c r="AD2652" s="4">
        <v>78</v>
      </c>
      <c r="AE2652" s="4">
        <v>104</v>
      </c>
      <c r="AF2652" s="4">
        <v>1</v>
      </c>
      <c r="AG2652" s="4">
        <v>2</v>
      </c>
      <c r="AH2652" s="4">
        <v>71</v>
      </c>
      <c r="AI2652" s="4">
        <v>91</v>
      </c>
      <c r="AJ2652" s="4">
        <v>10</v>
      </c>
      <c r="AK2652" s="4">
        <v>14</v>
      </c>
      <c r="AL2652" s="4">
        <v>34</v>
      </c>
      <c r="AM2652" s="4">
        <v>47</v>
      </c>
      <c r="AN2652" s="4">
        <v>0</v>
      </c>
      <c r="AO2652" s="4">
        <v>0</v>
      </c>
      <c r="AP2652" s="4">
        <v>12</v>
      </c>
      <c r="AQ2652" s="4">
        <v>17</v>
      </c>
      <c r="AR2652" s="3" t="s">
        <v>64</v>
      </c>
      <c r="AS2652" s="3" t="s">
        <v>64</v>
      </c>
      <c r="AT2652" s="3" t="s">
        <v>128</v>
      </c>
      <c r="AU2652" s="6" t="str">
        <f>HYPERLINK("http://catalog.hathitrust.org/Record/000149209","HathiTrust Record")</f>
        <v>HathiTrust Record</v>
      </c>
      <c r="AV2652" s="6" t="str">
        <f>HYPERLINK("http://mcgill.on.worldcat.org/oclc/8143657","Catalog Record")</f>
        <v>Catalog Record</v>
      </c>
      <c r="AW2652" s="6" t="str">
        <f>HYPERLINK("http://www.worldcat.org/oclc/8143657","WorldCat Record")</f>
        <v>WorldCat Record</v>
      </c>
      <c r="AX2652" s="3" t="s">
        <v>26705</v>
      </c>
      <c r="AY2652" s="3" t="s">
        <v>26706</v>
      </c>
      <c r="AZ2652" s="3" t="s">
        <v>26707</v>
      </c>
      <c r="BA2652" s="3" t="s">
        <v>26707</v>
      </c>
      <c r="BB2652" s="3" t="s">
        <v>26708</v>
      </c>
      <c r="BC2652" s="3" t="s">
        <v>77</v>
      </c>
      <c r="BD2652" s="3" t="s">
        <v>78</v>
      </c>
      <c r="BE2652" s="3" t="s">
        <v>26709</v>
      </c>
      <c r="BF2652" s="3" t="s">
        <v>26708</v>
      </c>
      <c r="BG2652" s="3" t="s">
        <v>26710</v>
      </c>
      <c r="BH2652">
        <f t="shared" si="65"/>
        <v>0</v>
      </c>
    </row>
    <row r="2653" spans="1:60" ht="58" x14ac:dyDescent="0.35">
      <c r="A2653" s="2" t="s">
        <v>59</v>
      </c>
      <c r="B2653" s="2" t="s">
        <v>60</v>
      </c>
      <c r="C2653" s="2" t="s">
        <v>26711</v>
      </c>
      <c r="D2653" s="2" t="s">
        <v>26712</v>
      </c>
      <c r="E2653" s="2" t="s">
        <v>26713</v>
      </c>
      <c r="G2653" s="3" t="s">
        <v>64</v>
      </c>
      <c r="I2653" s="3" t="s">
        <v>64</v>
      </c>
      <c r="J2653" s="3" t="s">
        <v>128</v>
      </c>
      <c r="K2653" s="3" t="s">
        <v>65</v>
      </c>
      <c r="L2653" s="2" t="s">
        <v>26703</v>
      </c>
      <c r="M2653" s="2" t="s">
        <v>26714</v>
      </c>
      <c r="N2653" s="3" t="s">
        <v>3047</v>
      </c>
      <c r="O2653" s="2" t="s">
        <v>172</v>
      </c>
      <c r="P2653" s="3" t="s">
        <v>102</v>
      </c>
      <c r="R2653" s="3" t="s">
        <v>70</v>
      </c>
      <c r="S2653" s="4">
        <v>10</v>
      </c>
      <c r="T2653" s="4">
        <v>10</v>
      </c>
      <c r="U2653" s="5" t="s">
        <v>7419</v>
      </c>
      <c r="V2653" s="5" t="s">
        <v>7419</v>
      </c>
      <c r="W2653" s="5" t="s">
        <v>72</v>
      </c>
      <c r="X2653" s="5" t="s">
        <v>72</v>
      </c>
      <c r="Y2653" s="4">
        <v>398</v>
      </c>
      <c r="Z2653" s="4">
        <v>18</v>
      </c>
      <c r="AA2653" s="4">
        <v>26</v>
      </c>
      <c r="AB2653" s="4">
        <v>1</v>
      </c>
      <c r="AC2653" s="4">
        <v>6</v>
      </c>
      <c r="AD2653" s="4">
        <v>83</v>
      </c>
      <c r="AE2653" s="4">
        <v>104</v>
      </c>
      <c r="AF2653" s="4">
        <v>0</v>
      </c>
      <c r="AG2653" s="4">
        <v>2</v>
      </c>
      <c r="AH2653" s="4">
        <v>73</v>
      </c>
      <c r="AI2653" s="4">
        <v>91</v>
      </c>
      <c r="AJ2653" s="4">
        <v>10</v>
      </c>
      <c r="AK2653" s="4">
        <v>14</v>
      </c>
      <c r="AL2653" s="4">
        <v>39</v>
      </c>
      <c r="AM2653" s="4">
        <v>47</v>
      </c>
      <c r="AN2653" s="4">
        <v>0</v>
      </c>
      <c r="AO2653" s="4">
        <v>0</v>
      </c>
      <c r="AP2653" s="4">
        <v>14</v>
      </c>
      <c r="AQ2653" s="4">
        <v>17</v>
      </c>
      <c r="AR2653" s="3" t="s">
        <v>64</v>
      </c>
      <c r="AS2653" s="3" t="s">
        <v>64</v>
      </c>
      <c r="AT2653" s="3" t="s">
        <v>128</v>
      </c>
      <c r="AU2653" s="6" t="str">
        <f>HYPERLINK("http://catalog.hathitrust.org/Record/000883245","HathiTrust Record")</f>
        <v>HathiTrust Record</v>
      </c>
      <c r="AV2653" s="6" t="str">
        <f>HYPERLINK("http://mcgill.on.worldcat.org/oclc/16523487","Catalog Record")</f>
        <v>Catalog Record</v>
      </c>
      <c r="AW2653" s="6" t="str">
        <f>HYPERLINK("http://www.worldcat.org/oclc/16523487","WorldCat Record")</f>
        <v>WorldCat Record</v>
      </c>
      <c r="AX2653" s="3" t="s">
        <v>26705</v>
      </c>
      <c r="AY2653" s="3" t="s">
        <v>26715</v>
      </c>
      <c r="AZ2653" s="3" t="s">
        <v>26716</v>
      </c>
      <c r="BA2653" s="3" t="s">
        <v>26716</v>
      </c>
      <c r="BB2653" s="3" t="s">
        <v>26717</v>
      </c>
      <c r="BC2653" s="3" t="s">
        <v>77</v>
      </c>
      <c r="BD2653" s="3" t="s">
        <v>78</v>
      </c>
      <c r="BE2653" s="3" t="s">
        <v>26718</v>
      </c>
      <c r="BF2653" s="3" t="s">
        <v>26717</v>
      </c>
      <c r="BG2653" s="3" t="s">
        <v>26719</v>
      </c>
      <c r="BH2653">
        <f t="shared" si="65"/>
        <v>0</v>
      </c>
    </row>
    <row r="2654" spans="1:60" ht="58" x14ac:dyDescent="0.35">
      <c r="A2654" s="2" t="s">
        <v>59</v>
      </c>
      <c r="B2654" s="2" t="s">
        <v>60</v>
      </c>
      <c r="C2654" s="2" t="s">
        <v>26720</v>
      </c>
      <c r="D2654" s="2" t="s">
        <v>26721</v>
      </c>
      <c r="E2654" s="2" t="s">
        <v>26722</v>
      </c>
      <c r="F2654" s="3" t="s">
        <v>26723</v>
      </c>
      <c r="G2654" s="3" t="s">
        <v>64</v>
      </c>
      <c r="I2654" s="3" t="s">
        <v>64</v>
      </c>
      <c r="J2654" s="3" t="s">
        <v>64</v>
      </c>
      <c r="K2654" s="3" t="s">
        <v>65</v>
      </c>
      <c r="L2654" s="2" t="s">
        <v>26724</v>
      </c>
      <c r="M2654" s="2" t="s">
        <v>26725</v>
      </c>
      <c r="N2654" s="3" t="s">
        <v>326</v>
      </c>
      <c r="P2654" s="3" t="s">
        <v>102</v>
      </c>
      <c r="Q2654" s="2" t="s">
        <v>26726</v>
      </c>
      <c r="R2654" s="3" t="s">
        <v>70</v>
      </c>
      <c r="S2654" s="4">
        <v>8</v>
      </c>
      <c r="T2654" s="4">
        <v>8</v>
      </c>
      <c r="U2654" s="5" t="s">
        <v>15435</v>
      </c>
      <c r="V2654" s="5" t="s">
        <v>15435</v>
      </c>
      <c r="W2654" s="5" t="s">
        <v>72</v>
      </c>
      <c r="X2654" s="5" t="s">
        <v>72</v>
      </c>
      <c r="Y2654" s="4">
        <v>429</v>
      </c>
      <c r="Z2654" s="4">
        <v>32</v>
      </c>
      <c r="AA2654" s="4">
        <v>40</v>
      </c>
      <c r="AB2654" s="4">
        <v>3</v>
      </c>
      <c r="AC2654" s="4">
        <v>8</v>
      </c>
      <c r="AD2654" s="4">
        <v>65</v>
      </c>
      <c r="AE2654" s="4">
        <v>69</v>
      </c>
      <c r="AF2654" s="4">
        <v>1</v>
      </c>
      <c r="AG2654" s="4">
        <v>4</v>
      </c>
      <c r="AH2654" s="4">
        <v>54</v>
      </c>
      <c r="AI2654" s="4">
        <v>56</v>
      </c>
      <c r="AJ2654" s="4">
        <v>13</v>
      </c>
      <c r="AK2654" s="4">
        <v>17</v>
      </c>
      <c r="AL2654" s="4">
        <v>23</v>
      </c>
      <c r="AM2654" s="4">
        <v>24</v>
      </c>
      <c r="AN2654" s="4">
        <v>0</v>
      </c>
      <c r="AO2654" s="4">
        <v>0</v>
      </c>
      <c r="AP2654" s="4">
        <v>17</v>
      </c>
      <c r="AQ2654" s="4">
        <v>20</v>
      </c>
      <c r="AR2654" s="3" t="s">
        <v>64</v>
      </c>
      <c r="AS2654" s="3" t="s">
        <v>64</v>
      </c>
      <c r="AT2654" s="3" t="s">
        <v>64</v>
      </c>
      <c r="AV2654" s="6" t="str">
        <f>HYPERLINK("http://mcgill.on.worldcat.org/oclc/316058624","Catalog Record")</f>
        <v>Catalog Record</v>
      </c>
      <c r="AW2654" s="6" t="str">
        <f>HYPERLINK("http://www.worldcat.org/oclc/316058624","WorldCat Record")</f>
        <v>WorldCat Record</v>
      </c>
      <c r="AX2654" s="3" t="s">
        <v>26727</v>
      </c>
      <c r="AY2654" s="3" t="s">
        <v>26728</v>
      </c>
      <c r="AZ2654" s="3" t="s">
        <v>26729</v>
      </c>
      <c r="BA2654" s="3" t="s">
        <v>26729</v>
      </c>
      <c r="BB2654" s="3" t="s">
        <v>26730</v>
      </c>
      <c r="BC2654" s="3" t="s">
        <v>77</v>
      </c>
      <c r="BD2654" s="3" t="s">
        <v>78</v>
      </c>
      <c r="BE2654" s="3" t="s">
        <v>26731</v>
      </c>
      <c r="BF2654" s="3" t="s">
        <v>26730</v>
      </c>
      <c r="BG2654" s="3" t="s">
        <v>26732</v>
      </c>
      <c r="BH2654">
        <f t="shared" si="65"/>
        <v>0</v>
      </c>
    </row>
    <row r="2655" spans="1:60" ht="116" x14ac:dyDescent="0.35">
      <c r="A2655" s="2" t="s">
        <v>59</v>
      </c>
      <c r="B2655" s="2" t="s">
        <v>1183</v>
      </c>
      <c r="C2655" s="2" t="s">
        <v>26733</v>
      </c>
      <c r="D2655" s="2" t="s">
        <v>26734</v>
      </c>
      <c r="E2655" s="2" t="s">
        <v>26735</v>
      </c>
      <c r="G2655" s="3" t="s">
        <v>64</v>
      </c>
      <c r="I2655" s="3" t="s">
        <v>64</v>
      </c>
      <c r="J2655" s="3" t="s">
        <v>64</v>
      </c>
      <c r="K2655" s="3" t="s">
        <v>65</v>
      </c>
      <c r="M2655" s="2" t="s">
        <v>25848</v>
      </c>
      <c r="N2655" s="3" t="s">
        <v>578</v>
      </c>
      <c r="O2655" s="2" t="s">
        <v>1189</v>
      </c>
      <c r="P2655" s="3" t="s">
        <v>1190</v>
      </c>
      <c r="R2655" s="3" t="s">
        <v>70</v>
      </c>
      <c r="S2655" s="4">
        <v>0</v>
      </c>
      <c r="T2655" s="4">
        <v>0</v>
      </c>
      <c r="W2655" s="5" t="s">
        <v>72</v>
      </c>
      <c r="X2655" s="5" t="s">
        <v>72</v>
      </c>
      <c r="Y2655" s="4">
        <v>15</v>
      </c>
      <c r="Z2655" s="4">
        <v>1</v>
      </c>
      <c r="AA2655" s="4">
        <v>1</v>
      </c>
      <c r="AB2655" s="4">
        <v>1</v>
      </c>
      <c r="AC2655" s="4">
        <v>1</v>
      </c>
      <c r="AD2655" s="4">
        <v>11</v>
      </c>
      <c r="AE2655" s="4">
        <v>11</v>
      </c>
      <c r="AF2655" s="4">
        <v>0</v>
      </c>
      <c r="AG2655" s="4">
        <v>0</v>
      </c>
      <c r="AH2655" s="4">
        <v>10</v>
      </c>
      <c r="AI2655" s="4">
        <v>10</v>
      </c>
      <c r="AJ2655" s="4">
        <v>0</v>
      </c>
      <c r="AK2655" s="4">
        <v>0</v>
      </c>
      <c r="AL2655" s="4">
        <v>10</v>
      </c>
      <c r="AM2655" s="4">
        <v>10</v>
      </c>
      <c r="AN2655" s="4">
        <v>0</v>
      </c>
      <c r="AO2655" s="4">
        <v>0</v>
      </c>
      <c r="AP2655" s="4">
        <v>0</v>
      </c>
      <c r="AQ2655" s="4">
        <v>0</v>
      </c>
      <c r="AR2655" s="3" t="s">
        <v>64</v>
      </c>
      <c r="AS2655" s="3" t="s">
        <v>64</v>
      </c>
      <c r="AT2655" s="3" t="s">
        <v>64</v>
      </c>
      <c r="AV2655" s="6" t="str">
        <f>HYPERLINK("http://mcgill.on.worldcat.org/oclc/1019808425","Catalog Record")</f>
        <v>Catalog Record</v>
      </c>
      <c r="AW2655" s="6" t="str">
        <f>HYPERLINK("http://www.worldcat.org/oclc/1019808425","WorldCat Record")</f>
        <v>WorldCat Record</v>
      </c>
      <c r="AX2655" s="3" t="s">
        <v>26736</v>
      </c>
      <c r="AY2655" s="3" t="s">
        <v>26737</v>
      </c>
      <c r="AZ2655" s="3" t="s">
        <v>26738</v>
      </c>
      <c r="BA2655" s="3" t="s">
        <v>26738</v>
      </c>
      <c r="BB2655" s="3" t="s">
        <v>26739</v>
      </c>
      <c r="BC2655" s="3" t="s">
        <v>77</v>
      </c>
      <c r="BD2655" s="3" t="s">
        <v>78</v>
      </c>
      <c r="BE2655" s="3" t="s">
        <v>26740</v>
      </c>
      <c r="BF2655" s="3" t="s">
        <v>26739</v>
      </c>
      <c r="BG2655" s="3" t="s">
        <v>26741</v>
      </c>
      <c r="BH2655">
        <f t="shared" si="65"/>
        <v>0</v>
      </c>
    </row>
    <row r="2656" spans="1:60" ht="72.5" x14ac:dyDescent="0.35">
      <c r="A2656" s="2" t="s">
        <v>59</v>
      </c>
      <c r="B2656" s="2" t="s">
        <v>60</v>
      </c>
      <c r="C2656" s="2" t="s">
        <v>26742</v>
      </c>
      <c r="D2656" s="2" t="s">
        <v>26743</v>
      </c>
      <c r="E2656" s="2" t="s">
        <v>26744</v>
      </c>
      <c r="G2656" s="3" t="s">
        <v>64</v>
      </c>
      <c r="I2656" s="3" t="s">
        <v>128</v>
      </c>
      <c r="J2656" s="3" t="s">
        <v>64</v>
      </c>
      <c r="K2656" s="3" t="s">
        <v>65</v>
      </c>
      <c r="M2656" s="2" t="s">
        <v>26745</v>
      </c>
      <c r="N2656" s="3" t="s">
        <v>3330</v>
      </c>
      <c r="P2656" s="3" t="s">
        <v>102</v>
      </c>
      <c r="R2656" s="3" t="s">
        <v>70</v>
      </c>
      <c r="S2656" s="4">
        <v>5</v>
      </c>
      <c r="T2656" s="4">
        <v>5</v>
      </c>
      <c r="U2656" s="5" t="s">
        <v>911</v>
      </c>
      <c r="V2656" s="5" t="s">
        <v>911</v>
      </c>
      <c r="W2656" s="5" t="s">
        <v>72</v>
      </c>
      <c r="X2656" s="5" t="s">
        <v>20937</v>
      </c>
      <c r="Y2656" s="4">
        <v>488</v>
      </c>
      <c r="Z2656" s="4">
        <v>22</v>
      </c>
      <c r="AA2656" s="4">
        <v>27</v>
      </c>
      <c r="AB2656" s="4">
        <v>4</v>
      </c>
      <c r="AC2656" s="4">
        <v>9</v>
      </c>
      <c r="AD2656" s="4">
        <v>110</v>
      </c>
      <c r="AE2656" s="4">
        <v>113</v>
      </c>
      <c r="AF2656" s="4">
        <v>1</v>
      </c>
      <c r="AG2656" s="4">
        <v>4</v>
      </c>
      <c r="AH2656" s="4">
        <v>96</v>
      </c>
      <c r="AI2656" s="4">
        <v>97</v>
      </c>
      <c r="AJ2656" s="4">
        <v>16</v>
      </c>
      <c r="AK2656" s="4">
        <v>19</v>
      </c>
      <c r="AL2656" s="4">
        <v>51</v>
      </c>
      <c r="AM2656" s="4">
        <v>51</v>
      </c>
      <c r="AN2656" s="4">
        <v>0</v>
      </c>
      <c r="AO2656" s="4">
        <v>0</v>
      </c>
      <c r="AP2656" s="4">
        <v>15</v>
      </c>
      <c r="AQ2656" s="4">
        <v>17</v>
      </c>
      <c r="AR2656" s="3" t="s">
        <v>64</v>
      </c>
      <c r="AS2656" s="3" t="s">
        <v>64</v>
      </c>
      <c r="AT2656" s="3" t="s">
        <v>64</v>
      </c>
      <c r="AV2656" s="6" t="str">
        <f>HYPERLINK("http://mcgill.on.worldcat.org/oclc/18438557","Catalog Record")</f>
        <v>Catalog Record</v>
      </c>
      <c r="AW2656" s="6" t="str">
        <f>HYPERLINK("http://www.worldcat.org/oclc/18438557","WorldCat Record")</f>
        <v>WorldCat Record</v>
      </c>
      <c r="AX2656" s="3" t="s">
        <v>26746</v>
      </c>
      <c r="AY2656" s="3" t="s">
        <v>26747</v>
      </c>
      <c r="AZ2656" s="3" t="s">
        <v>26748</v>
      </c>
      <c r="BA2656" s="3" t="s">
        <v>26748</v>
      </c>
      <c r="BB2656" s="3" t="s">
        <v>26749</v>
      </c>
      <c r="BC2656" s="3" t="s">
        <v>77</v>
      </c>
      <c r="BD2656" s="3" t="s">
        <v>78</v>
      </c>
      <c r="BE2656" s="3" t="s">
        <v>26750</v>
      </c>
      <c r="BF2656" s="3" t="s">
        <v>26749</v>
      </c>
      <c r="BG2656" s="3" t="s">
        <v>26751</v>
      </c>
      <c r="BH2656">
        <f t="shared" si="65"/>
        <v>0</v>
      </c>
    </row>
    <row r="2657" spans="1:60" ht="72.5" x14ac:dyDescent="0.35">
      <c r="A2657" s="2" t="s">
        <v>59</v>
      </c>
      <c r="B2657" s="2" t="s">
        <v>60</v>
      </c>
      <c r="C2657" s="2" t="s">
        <v>26752</v>
      </c>
      <c r="D2657" s="2" t="s">
        <v>26753</v>
      </c>
      <c r="E2657" s="2" t="s">
        <v>26754</v>
      </c>
      <c r="G2657" s="3" t="s">
        <v>64</v>
      </c>
      <c r="I2657" s="3" t="s">
        <v>128</v>
      </c>
      <c r="J2657" s="3" t="s">
        <v>64</v>
      </c>
      <c r="K2657" s="3" t="s">
        <v>65</v>
      </c>
      <c r="M2657" s="2" t="s">
        <v>26745</v>
      </c>
      <c r="N2657" s="3" t="s">
        <v>3330</v>
      </c>
      <c r="P2657" s="3" t="s">
        <v>102</v>
      </c>
      <c r="R2657" s="3" t="s">
        <v>70</v>
      </c>
      <c r="S2657" s="4">
        <v>2</v>
      </c>
      <c r="T2657" s="4">
        <v>2</v>
      </c>
      <c r="U2657" s="5" t="s">
        <v>19257</v>
      </c>
      <c r="V2657" s="5" t="s">
        <v>19257</v>
      </c>
      <c r="W2657" s="5" t="s">
        <v>72</v>
      </c>
      <c r="X2657" s="5" t="s">
        <v>72</v>
      </c>
      <c r="Y2657" s="4">
        <v>404</v>
      </c>
      <c r="Z2657" s="4">
        <v>20</v>
      </c>
      <c r="AA2657" s="4">
        <v>22</v>
      </c>
      <c r="AB2657" s="4">
        <v>2</v>
      </c>
      <c r="AC2657" s="4">
        <v>4</v>
      </c>
      <c r="AD2657" s="4">
        <v>101</v>
      </c>
      <c r="AE2657" s="4">
        <v>103</v>
      </c>
      <c r="AF2657" s="4">
        <v>0</v>
      </c>
      <c r="AG2657" s="4">
        <v>2</v>
      </c>
      <c r="AH2657" s="4">
        <v>89</v>
      </c>
      <c r="AI2657" s="4">
        <v>89</v>
      </c>
      <c r="AJ2657" s="4">
        <v>13</v>
      </c>
      <c r="AK2657" s="4">
        <v>15</v>
      </c>
      <c r="AL2657" s="4">
        <v>50</v>
      </c>
      <c r="AM2657" s="4">
        <v>50</v>
      </c>
      <c r="AN2657" s="4">
        <v>0</v>
      </c>
      <c r="AO2657" s="4">
        <v>0</v>
      </c>
      <c r="AP2657" s="4">
        <v>15</v>
      </c>
      <c r="AQ2657" s="4">
        <v>16</v>
      </c>
      <c r="AR2657" s="3" t="s">
        <v>64</v>
      </c>
      <c r="AS2657" s="3" t="s">
        <v>64</v>
      </c>
      <c r="AT2657" s="3" t="s">
        <v>64</v>
      </c>
      <c r="AV2657" s="6" t="str">
        <f>HYPERLINK("http://mcgill.on.worldcat.org/oclc/18489177","Catalog Record")</f>
        <v>Catalog Record</v>
      </c>
      <c r="AW2657" s="6" t="str">
        <f>HYPERLINK("http://www.worldcat.org/oclc/18489177","WorldCat Record")</f>
        <v>WorldCat Record</v>
      </c>
      <c r="AX2657" s="3" t="s">
        <v>26755</v>
      </c>
      <c r="AY2657" s="3" t="s">
        <v>26756</v>
      </c>
      <c r="AZ2657" s="3" t="s">
        <v>26757</v>
      </c>
      <c r="BA2657" s="3" t="s">
        <v>26757</v>
      </c>
      <c r="BB2657" s="3" t="s">
        <v>26758</v>
      </c>
      <c r="BC2657" s="3" t="s">
        <v>77</v>
      </c>
      <c r="BD2657" s="3" t="s">
        <v>78</v>
      </c>
      <c r="BE2657" s="3" t="s">
        <v>26759</v>
      </c>
      <c r="BF2657" s="3" t="s">
        <v>26758</v>
      </c>
      <c r="BG2657" s="3" t="s">
        <v>26760</v>
      </c>
      <c r="BH2657">
        <f t="shared" si="65"/>
        <v>0</v>
      </c>
    </row>
    <row r="2658" spans="1:60" ht="72.5" x14ac:dyDescent="0.35">
      <c r="A2658" s="2" t="s">
        <v>59</v>
      </c>
      <c r="B2658" s="2" t="s">
        <v>60</v>
      </c>
      <c r="C2658" s="2" t="s">
        <v>26761</v>
      </c>
      <c r="D2658" s="2" t="s">
        <v>26762</v>
      </c>
      <c r="E2658" s="2" t="s">
        <v>26763</v>
      </c>
      <c r="G2658" s="3" t="s">
        <v>64</v>
      </c>
      <c r="I2658" s="3" t="s">
        <v>128</v>
      </c>
      <c r="J2658" s="3" t="s">
        <v>64</v>
      </c>
      <c r="K2658" s="3" t="s">
        <v>65</v>
      </c>
      <c r="M2658" s="2" t="s">
        <v>26764</v>
      </c>
      <c r="N2658" s="3" t="s">
        <v>1938</v>
      </c>
      <c r="P2658" s="3" t="s">
        <v>102</v>
      </c>
      <c r="R2658" s="3" t="s">
        <v>70</v>
      </c>
      <c r="S2658" s="4">
        <v>2</v>
      </c>
      <c r="T2658" s="4">
        <v>2</v>
      </c>
      <c r="U2658" s="5" t="s">
        <v>19257</v>
      </c>
      <c r="V2658" s="5" t="s">
        <v>19257</v>
      </c>
      <c r="W2658" s="5" t="s">
        <v>72</v>
      </c>
      <c r="X2658" s="5" t="s">
        <v>72</v>
      </c>
      <c r="Y2658" s="4">
        <v>326</v>
      </c>
      <c r="Z2658" s="4">
        <v>12</v>
      </c>
      <c r="AA2658" s="4">
        <v>14</v>
      </c>
      <c r="AB2658" s="4">
        <v>2</v>
      </c>
      <c r="AC2658" s="4">
        <v>2</v>
      </c>
      <c r="AD2658" s="4">
        <v>82</v>
      </c>
      <c r="AE2658" s="4">
        <v>83</v>
      </c>
      <c r="AF2658" s="4">
        <v>0</v>
      </c>
      <c r="AG2658" s="4">
        <v>0</v>
      </c>
      <c r="AH2658" s="4">
        <v>77</v>
      </c>
      <c r="AI2658" s="4">
        <v>78</v>
      </c>
      <c r="AJ2658" s="4">
        <v>6</v>
      </c>
      <c r="AK2658" s="4">
        <v>7</v>
      </c>
      <c r="AL2658" s="4">
        <v>39</v>
      </c>
      <c r="AM2658" s="4">
        <v>40</v>
      </c>
      <c r="AN2658" s="4">
        <v>0</v>
      </c>
      <c r="AO2658" s="4">
        <v>0</v>
      </c>
      <c r="AP2658" s="4">
        <v>8</v>
      </c>
      <c r="AQ2658" s="4">
        <v>9</v>
      </c>
      <c r="AR2658" s="3" t="s">
        <v>64</v>
      </c>
      <c r="AS2658" s="3" t="s">
        <v>64</v>
      </c>
      <c r="AT2658" s="3" t="s">
        <v>64</v>
      </c>
      <c r="AV2658" s="6" t="str">
        <f>HYPERLINK("http://mcgill.on.worldcat.org/oclc/21947905","Catalog Record")</f>
        <v>Catalog Record</v>
      </c>
      <c r="AW2658" s="6" t="str">
        <f>HYPERLINK("http://www.worldcat.org/oclc/21947905","WorldCat Record")</f>
        <v>WorldCat Record</v>
      </c>
      <c r="AX2658" s="3" t="s">
        <v>26765</v>
      </c>
      <c r="AY2658" s="3" t="s">
        <v>26766</v>
      </c>
      <c r="AZ2658" s="3" t="s">
        <v>26767</v>
      </c>
      <c r="BA2658" s="3" t="s">
        <v>26767</v>
      </c>
      <c r="BB2658" s="3" t="s">
        <v>26768</v>
      </c>
      <c r="BC2658" s="3" t="s">
        <v>77</v>
      </c>
      <c r="BD2658" s="3" t="s">
        <v>78</v>
      </c>
      <c r="BE2658" s="3" t="s">
        <v>26769</v>
      </c>
      <c r="BF2658" s="3" t="s">
        <v>26768</v>
      </c>
      <c r="BG2658" s="3" t="s">
        <v>26770</v>
      </c>
      <c r="BH2658">
        <f t="shared" si="65"/>
        <v>0</v>
      </c>
    </row>
    <row r="2659" spans="1:60" ht="58" x14ac:dyDescent="0.35">
      <c r="A2659" s="2" t="s">
        <v>59</v>
      </c>
      <c r="B2659" s="2" t="s">
        <v>60</v>
      </c>
      <c r="C2659" s="2" t="s">
        <v>26771</v>
      </c>
      <c r="D2659" s="2" t="s">
        <v>26772</v>
      </c>
      <c r="E2659" s="2" t="s">
        <v>26773</v>
      </c>
      <c r="G2659" s="3" t="s">
        <v>64</v>
      </c>
      <c r="I2659" s="3" t="s">
        <v>128</v>
      </c>
      <c r="J2659" s="3" t="s">
        <v>64</v>
      </c>
      <c r="K2659" s="3" t="s">
        <v>183</v>
      </c>
      <c r="M2659" s="2" t="s">
        <v>26774</v>
      </c>
      <c r="N2659" s="3" t="s">
        <v>1087</v>
      </c>
      <c r="O2659" s="2" t="s">
        <v>172</v>
      </c>
      <c r="P2659" s="3" t="s">
        <v>102</v>
      </c>
      <c r="R2659" s="3" t="s">
        <v>70</v>
      </c>
      <c r="S2659" s="4">
        <v>9</v>
      </c>
      <c r="T2659" s="4">
        <v>9</v>
      </c>
      <c r="U2659" s="5" t="s">
        <v>19257</v>
      </c>
      <c r="V2659" s="5" t="s">
        <v>19257</v>
      </c>
      <c r="W2659" s="5" t="s">
        <v>72</v>
      </c>
      <c r="X2659" s="5" t="s">
        <v>72</v>
      </c>
      <c r="Y2659" s="4">
        <v>698</v>
      </c>
      <c r="Z2659" s="4">
        <v>24</v>
      </c>
      <c r="AA2659" s="4">
        <v>27</v>
      </c>
      <c r="AB2659" s="4">
        <v>2</v>
      </c>
      <c r="AC2659" s="4">
        <v>5</v>
      </c>
      <c r="AD2659" s="4">
        <v>109</v>
      </c>
      <c r="AE2659" s="4">
        <v>112</v>
      </c>
      <c r="AF2659" s="4">
        <v>0</v>
      </c>
      <c r="AG2659" s="4">
        <v>2</v>
      </c>
      <c r="AH2659" s="4">
        <v>98</v>
      </c>
      <c r="AI2659" s="4">
        <v>99</v>
      </c>
      <c r="AJ2659" s="4">
        <v>13</v>
      </c>
      <c r="AK2659" s="4">
        <v>15</v>
      </c>
      <c r="AL2659" s="4">
        <v>54</v>
      </c>
      <c r="AM2659" s="4">
        <v>54</v>
      </c>
      <c r="AN2659" s="4">
        <v>0</v>
      </c>
      <c r="AO2659" s="4">
        <v>0</v>
      </c>
      <c r="AP2659" s="4">
        <v>15</v>
      </c>
      <c r="AQ2659" s="4">
        <v>16</v>
      </c>
      <c r="AR2659" s="3" t="s">
        <v>64</v>
      </c>
      <c r="AS2659" s="3" t="s">
        <v>128</v>
      </c>
      <c r="AT2659" s="3" t="s">
        <v>64</v>
      </c>
      <c r="AU2659" s="6" t="str">
        <f>HYPERLINK("http://catalog.hathitrust.org/Record/002570058","HathiTrust Record")</f>
        <v>HathiTrust Record</v>
      </c>
      <c r="AV2659" s="6" t="str">
        <f>HYPERLINK("http://mcgill.on.worldcat.org/oclc/23141521","Catalog Record")</f>
        <v>Catalog Record</v>
      </c>
      <c r="AW2659" s="6" t="str">
        <f>HYPERLINK("http://www.worldcat.org/oclc/23141521","WorldCat Record")</f>
        <v>WorldCat Record</v>
      </c>
      <c r="AX2659" s="3" t="s">
        <v>26775</v>
      </c>
      <c r="AY2659" s="3" t="s">
        <v>26776</v>
      </c>
      <c r="AZ2659" s="3" t="s">
        <v>26777</v>
      </c>
      <c r="BA2659" s="3" t="s">
        <v>26777</v>
      </c>
      <c r="BB2659" s="3" t="s">
        <v>26778</v>
      </c>
      <c r="BC2659" s="3" t="s">
        <v>77</v>
      </c>
      <c r="BD2659" s="3" t="s">
        <v>78</v>
      </c>
      <c r="BE2659" s="3" t="s">
        <v>26779</v>
      </c>
      <c r="BF2659" s="3" t="s">
        <v>26778</v>
      </c>
      <c r="BG2659" s="3" t="s">
        <v>26780</v>
      </c>
      <c r="BH2659">
        <f t="shared" si="65"/>
        <v>0</v>
      </c>
    </row>
    <row r="2660" spans="1:60" ht="58" x14ac:dyDescent="0.35">
      <c r="A2660" s="2" t="s">
        <v>59</v>
      </c>
      <c r="B2660" s="2" t="s">
        <v>60</v>
      </c>
      <c r="C2660" s="2" t="s">
        <v>26781</v>
      </c>
      <c r="D2660" s="2" t="s">
        <v>26782</v>
      </c>
      <c r="E2660" s="2" t="s">
        <v>26783</v>
      </c>
      <c r="G2660" s="3" t="s">
        <v>64</v>
      </c>
      <c r="I2660" s="3" t="s">
        <v>128</v>
      </c>
      <c r="J2660" s="3" t="s">
        <v>128</v>
      </c>
      <c r="K2660" s="3" t="s">
        <v>65</v>
      </c>
      <c r="M2660" s="2" t="s">
        <v>26784</v>
      </c>
      <c r="N2660" s="3" t="s">
        <v>1263</v>
      </c>
      <c r="P2660" s="3" t="s">
        <v>102</v>
      </c>
      <c r="R2660" s="3" t="s">
        <v>70</v>
      </c>
      <c r="S2660" s="4">
        <v>8</v>
      </c>
      <c r="T2660" s="4">
        <v>8</v>
      </c>
      <c r="U2660" s="5" t="s">
        <v>19257</v>
      </c>
      <c r="V2660" s="5" t="s">
        <v>19257</v>
      </c>
      <c r="W2660" s="5" t="s">
        <v>72</v>
      </c>
      <c r="X2660" s="5" t="s">
        <v>72</v>
      </c>
      <c r="Y2660" s="4">
        <v>301</v>
      </c>
      <c r="Z2660" s="4">
        <v>13</v>
      </c>
      <c r="AA2660" s="4">
        <v>22</v>
      </c>
      <c r="AB2660" s="4">
        <v>1</v>
      </c>
      <c r="AC2660" s="4">
        <v>4</v>
      </c>
      <c r="AD2660" s="4">
        <v>70</v>
      </c>
      <c r="AE2660" s="4">
        <v>98</v>
      </c>
      <c r="AF2660" s="4">
        <v>0</v>
      </c>
      <c r="AG2660" s="4">
        <v>1</v>
      </c>
      <c r="AH2660" s="4">
        <v>63</v>
      </c>
      <c r="AI2660" s="4">
        <v>90</v>
      </c>
      <c r="AJ2660" s="4">
        <v>8</v>
      </c>
      <c r="AK2660" s="4">
        <v>13</v>
      </c>
      <c r="AL2660" s="4">
        <v>35</v>
      </c>
      <c r="AM2660" s="4">
        <v>46</v>
      </c>
      <c r="AN2660" s="4">
        <v>0</v>
      </c>
      <c r="AO2660" s="4">
        <v>0</v>
      </c>
      <c r="AP2660" s="4">
        <v>7</v>
      </c>
      <c r="AQ2660" s="4">
        <v>11</v>
      </c>
      <c r="AR2660" s="3" t="s">
        <v>64</v>
      </c>
      <c r="AS2660" s="3" t="s">
        <v>64</v>
      </c>
      <c r="AT2660" s="3" t="s">
        <v>128</v>
      </c>
      <c r="AU2660" s="6" t="str">
        <f>HYPERLINK("http://catalog.hathitrust.org/Record/002799883","HathiTrust Record")</f>
        <v>HathiTrust Record</v>
      </c>
      <c r="AV2660" s="6" t="str">
        <f>HYPERLINK("http://mcgill.on.worldcat.org/oclc/28369026","Catalog Record")</f>
        <v>Catalog Record</v>
      </c>
      <c r="AW2660" s="6" t="str">
        <f>HYPERLINK("http://www.worldcat.org/oclc/28369026","WorldCat Record")</f>
        <v>WorldCat Record</v>
      </c>
      <c r="AX2660" s="3" t="s">
        <v>26785</v>
      </c>
      <c r="AY2660" s="3" t="s">
        <v>26786</v>
      </c>
      <c r="AZ2660" s="3" t="s">
        <v>26787</v>
      </c>
      <c r="BA2660" s="3" t="s">
        <v>26787</v>
      </c>
      <c r="BB2660" s="3" t="s">
        <v>26788</v>
      </c>
      <c r="BC2660" s="3" t="s">
        <v>77</v>
      </c>
      <c r="BD2660" s="3" t="s">
        <v>78</v>
      </c>
      <c r="BE2660" s="3" t="s">
        <v>26789</v>
      </c>
      <c r="BF2660" s="3" t="s">
        <v>26788</v>
      </c>
      <c r="BG2660" s="3" t="s">
        <v>26790</v>
      </c>
      <c r="BH2660">
        <f t="shared" si="65"/>
        <v>0</v>
      </c>
    </row>
    <row r="2661" spans="1:60" ht="58" x14ac:dyDescent="0.35">
      <c r="A2661" s="2" t="s">
        <v>59</v>
      </c>
      <c r="B2661" s="2" t="s">
        <v>60</v>
      </c>
      <c r="C2661" s="2" t="s">
        <v>26791</v>
      </c>
      <c r="D2661" s="2" t="s">
        <v>26792</v>
      </c>
      <c r="E2661" s="2" t="s">
        <v>26793</v>
      </c>
      <c r="G2661" s="3" t="s">
        <v>64</v>
      </c>
      <c r="I2661" s="3" t="s">
        <v>128</v>
      </c>
      <c r="J2661" s="3" t="s">
        <v>64</v>
      </c>
      <c r="K2661" s="3" t="s">
        <v>65</v>
      </c>
      <c r="L2661" s="2" t="s">
        <v>26794</v>
      </c>
      <c r="M2661" s="2" t="s">
        <v>26795</v>
      </c>
      <c r="N2661" s="3" t="s">
        <v>364</v>
      </c>
      <c r="P2661" s="3" t="s">
        <v>102</v>
      </c>
      <c r="Q2661" s="2" t="s">
        <v>26796</v>
      </c>
      <c r="R2661" s="3" t="s">
        <v>70</v>
      </c>
      <c r="S2661" s="4">
        <v>0</v>
      </c>
      <c r="T2661" s="4">
        <v>1</v>
      </c>
      <c r="V2661" s="5" t="s">
        <v>1655</v>
      </c>
      <c r="W2661" s="5" t="s">
        <v>72</v>
      </c>
      <c r="X2661" s="5" t="s">
        <v>72</v>
      </c>
      <c r="Y2661" s="4">
        <v>91</v>
      </c>
      <c r="Z2661" s="4">
        <v>8</v>
      </c>
      <c r="AA2661" s="4">
        <v>8</v>
      </c>
      <c r="AB2661" s="4">
        <v>1</v>
      </c>
      <c r="AC2661" s="4">
        <v>1</v>
      </c>
      <c r="AD2661" s="4">
        <v>50</v>
      </c>
      <c r="AE2661" s="4">
        <v>50</v>
      </c>
      <c r="AF2661" s="4">
        <v>0</v>
      </c>
      <c r="AG2661" s="4">
        <v>0</v>
      </c>
      <c r="AH2661" s="4">
        <v>46</v>
      </c>
      <c r="AI2661" s="4">
        <v>46</v>
      </c>
      <c r="AJ2661" s="4">
        <v>5</v>
      </c>
      <c r="AK2661" s="4">
        <v>5</v>
      </c>
      <c r="AL2661" s="4">
        <v>33</v>
      </c>
      <c r="AM2661" s="4">
        <v>33</v>
      </c>
      <c r="AN2661" s="4">
        <v>0</v>
      </c>
      <c r="AO2661" s="4">
        <v>0</v>
      </c>
      <c r="AP2661" s="4">
        <v>5</v>
      </c>
      <c r="AQ2661" s="4">
        <v>5</v>
      </c>
      <c r="AR2661" s="3" t="s">
        <v>64</v>
      </c>
      <c r="AS2661" s="3" t="s">
        <v>64</v>
      </c>
      <c r="AT2661" s="3" t="s">
        <v>128</v>
      </c>
      <c r="AU2661" s="6" t="str">
        <f>HYPERLINK("http://catalog.hathitrust.org/Record/001163153","HathiTrust Record")</f>
        <v>HathiTrust Record</v>
      </c>
      <c r="AV2661" s="6" t="str">
        <f>HYPERLINK("http://mcgill.on.worldcat.org/oclc/754489","Catalog Record")</f>
        <v>Catalog Record</v>
      </c>
      <c r="AW2661" s="6" t="str">
        <f>HYPERLINK("http://www.worldcat.org/oclc/754489","WorldCat Record")</f>
        <v>WorldCat Record</v>
      </c>
      <c r="AX2661" s="3" t="s">
        <v>26797</v>
      </c>
      <c r="AY2661" s="3" t="s">
        <v>26798</v>
      </c>
      <c r="AZ2661" s="3" t="s">
        <v>26799</v>
      </c>
      <c r="BA2661" s="3" t="s">
        <v>26799</v>
      </c>
      <c r="BB2661" s="3" t="s">
        <v>26800</v>
      </c>
      <c r="BC2661" s="3" t="s">
        <v>77</v>
      </c>
      <c r="BD2661" s="3" t="s">
        <v>78</v>
      </c>
      <c r="BE2661" s="3" t="s">
        <v>26801</v>
      </c>
      <c r="BF2661" s="3" t="s">
        <v>26800</v>
      </c>
      <c r="BG2661" s="3" t="s">
        <v>26802</v>
      </c>
      <c r="BH2661">
        <f t="shared" si="65"/>
        <v>0</v>
      </c>
    </row>
    <row r="2662" spans="1:60" ht="58" x14ac:dyDescent="0.35">
      <c r="A2662" s="2" t="s">
        <v>59</v>
      </c>
      <c r="B2662" s="2" t="s">
        <v>60</v>
      </c>
      <c r="C2662" s="2" t="s">
        <v>26803</v>
      </c>
      <c r="D2662" s="2" t="s">
        <v>26804</v>
      </c>
      <c r="E2662" s="2" t="s">
        <v>26805</v>
      </c>
      <c r="G2662" s="3" t="s">
        <v>64</v>
      </c>
      <c r="I2662" s="3" t="s">
        <v>128</v>
      </c>
      <c r="J2662" s="3" t="s">
        <v>64</v>
      </c>
      <c r="K2662" s="3" t="s">
        <v>65</v>
      </c>
      <c r="L2662" s="2" t="s">
        <v>26806</v>
      </c>
      <c r="M2662" s="2" t="s">
        <v>26807</v>
      </c>
      <c r="N2662" s="3" t="s">
        <v>4872</v>
      </c>
      <c r="P2662" s="3" t="s">
        <v>102</v>
      </c>
      <c r="Q2662" s="2" t="s">
        <v>26808</v>
      </c>
      <c r="R2662" s="3" t="s">
        <v>70</v>
      </c>
      <c r="S2662" s="4">
        <v>2</v>
      </c>
      <c r="T2662" s="4">
        <v>2</v>
      </c>
      <c r="U2662" s="5" t="s">
        <v>14133</v>
      </c>
      <c r="V2662" s="5" t="s">
        <v>14133</v>
      </c>
      <c r="W2662" s="5" t="s">
        <v>72</v>
      </c>
      <c r="X2662" s="5" t="s">
        <v>72</v>
      </c>
      <c r="Y2662" s="4">
        <v>499</v>
      </c>
      <c r="Z2662" s="4">
        <v>25</v>
      </c>
      <c r="AA2662" s="4">
        <v>29</v>
      </c>
      <c r="AB2662" s="4">
        <v>2</v>
      </c>
      <c r="AC2662" s="4">
        <v>6</v>
      </c>
      <c r="AD2662" s="4">
        <v>98</v>
      </c>
      <c r="AE2662" s="4">
        <v>101</v>
      </c>
      <c r="AF2662" s="4">
        <v>1</v>
      </c>
      <c r="AG2662" s="4">
        <v>4</v>
      </c>
      <c r="AH2662" s="4">
        <v>87</v>
      </c>
      <c r="AI2662" s="4">
        <v>88</v>
      </c>
      <c r="AJ2662" s="4">
        <v>16</v>
      </c>
      <c r="AK2662" s="4">
        <v>19</v>
      </c>
      <c r="AL2662" s="4">
        <v>43</v>
      </c>
      <c r="AM2662" s="4">
        <v>43</v>
      </c>
      <c r="AN2662" s="4">
        <v>0</v>
      </c>
      <c r="AO2662" s="4">
        <v>0</v>
      </c>
      <c r="AP2662" s="4">
        <v>20</v>
      </c>
      <c r="AQ2662" s="4">
        <v>22</v>
      </c>
      <c r="AR2662" s="3" t="s">
        <v>64</v>
      </c>
      <c r="AS2662" s="3" t="s">
        <v>64</v>
      </c>
      <c r="AT2662" s="3" t="s">
        <v>128</v>
      </c>
      <c r="AU2662" s="6" t="str">
        <f>HYPERLINK("http://catalog.hathitrust.org/Record/001633735","HathiTrust Record")</f>
        <v>HathiTrust Record</v>
      </c>
      <c r="AV2662" s="6" t="str">
        <f>HYPERLINK("http://mcgill.on.worldcat.org/oclc/426910","Catalog Record")</f>
        <v>Catalog Record</v>
      </c>
      <c r="AW2662" s="6" t="str">
        <f>HYPERLINK("http://www.worldcat.org/oclc/426910","WorldCat Record")</f>
        <v>WorldCat Record</v>
      </c>
      <c r="AX2662" s="3" t="s">
        <v>26809</v>
      </c>
      <c r="AY2662" s="3" t="s">
        <v>26810</v>
      </c>
      <c r="AZ2662" s="3" t="s">
        <v>26811</v>
      </c>
      <c r="BA2662" s="3" t="s">
        <v>26811</v>
      </c>
      <c r="BB2662" s="3" t="s">
        <v>26812</v>
      </c>
      <c r="BC2662" s="3" t="s">
        <v>77</v>
      </c>
      <c r="BD2662" s="3" t="s">
        <v>78</v>
      </c>
      <c r="BF2662" s="3" t="s">
        <v>26812</v>
      </c>
      <c r="BG2662" s="3" t="s">
        <v>26813</v>
      </c>
      <c r="BH2662">
        <f t="shared" si="65"/>
        <v>0</v>
      </c>
    </row>
    <row r="2663" spans="1:60" ht="58" x14ac:dyDescent="0.35">
      <c r="A2663" s="2" t="s">
        <v>59</v>
      </c>
      <c r="B2663" s="2" t="s">
        <v>60</v>
      </c>
      <c r="C2663" s="2" t="s">
        <v>26814</v>
      </c>
      <c r="D2663" s="2" t="s">
        <v>26815</v>
      </c>
      <c r="E2663" s="2" t="s">
        <v>26816</v>
      </c>
      <c r="G2663" s="3" t="s">
        <v>64</v>
      </c>
      <c r="I2663" s="3" t="s">
        <v>64</v>
      </c>
      <c r="J2663" s="3" t="s">
        <v>64</v>
      </c>
      <c r="K2663" s="3" t="s">
        <v>65</v>
      </c>
      <c r="L2663" s="2" t="s">
        <v>26817</v>
      </c>
      <c r="M2663" s="2" t="s">
        <v>26818</v>
      </c>
      <c r="N2663" s="3" t="s">
        <v>116</v>
      </c>
      <c r="P2663" s="3" t="s">
        <v>102</v>
      </c>
      <c r="R2663" s="3" t="s">
        <v>70</v>
      </c>
      <c r="S2663" s="4">
        <v>22</v>
      </c>
      <c r="T2663" s="4">
        <v>22</v>
      </c>
      <c r="U2663" s="5" t="s">
        <v>18743</v>
      </c>
      <c r="V2663" s="5" t="s">
        <v>18743</v>
      </c>
      <c r="W2663" s="5" t="s">
        <v>72</v>
      </c>
      <c r="X2663" s="5" t="s">
        <v>72</v>
      </c>
      <c r="Y2663" s="4">
        <v>132</v>
      </c>
      <c r="Z2663" s="4">
        <v>12</v>
      </c>
      <c r="AA2663" s="4">
        <v>76</v>
      </c>
      <c r="AB2663" s="4">
        <v>3</v>
      </c>
      <c r="AC2663" s="4">
        <v>15</v>
      </c>
      <c r="AD2663" s="4">
        <v>26</v>
      </c>
      <c r="AE2663" s="4">
        <v>99</v>
      </c>
      <c r="AF2663" s="4">
        <v>1</v>
      </c>
      <c r="AG2663" s="4">
        <v>8</v>
      </c>
      <c r="AH2663" s="4">
        <v>23</v>
      </c>
      <c r="AI2663" s="4">
        <v>66</v>
      </c>
      <c r="AJ2663" s="4">
        <v>7</v>
      </c>
      <c r="AK2663" s="4">
        <v>20</v>
      </c>
      <c r="AL2663" s="4">
        <v>12</v>
      </c>
      <c r="AM2663" s="4">
        <v>32</v>
      </c>
      <c r="AN2663" s="4">
        <v>0</v>
      </c>
      <c r="AO2663" s="4">
        <v>0</v>
      </c>
      <c r="AP2663" s="4">
        <v>6</v>
      </c>
      <c r="AQ2663" s="4">
        <v>38</v>
      </c>
      <c r="AR2663" s="3" t="s">
        <v>64</v>
      </c>
      <c r="AS2663" s="3" t="s">
        <v>64</v>
      </c>
      <c r="AT2663" s="3" t="s">
        <v>128</v>
      </c>
      <c r="AU2663" s="6" t="str">
        <f>HYPERLINK("http://catalog.hathitrust.org/Record/006955279","HathiTrust Record")</f>
        <v>HathiTrust Record</v>
      </c>
      <c r="AV2663" s="6" t="str">
        <f>HYPERLINK("http://mcgill.on.worldcat.org/oclc/47708802","Catalog Record")</f>
        <v>Catalog Record</v>
      </c>
      <c r="AW2663" s="6" t="str">
        <f>HYPERLINK("http://www.worldcat.org/oclc/47708802","WorldCat Record")</f>
        <v>WorldCat Record</v>
      </c>
      <c r="AX2663" s="3" t="s">
        <v>26819</v>
      </c>
      <c r="AY2663" s="3" t="s">
        <v>26820</v>
      </c>
      <c r="AZ2663" s="3" t="s">
        <v>26821</v>
      </c>
      <c r="BA2663" s="3" t="s">
        <v>26821</v>
      </c>
      <c r="BB2663" s="3" t="s">
        <v>26822</v>
      </c>
      <c r="BC2663" s="3" t="s">
        <v>77</v>
      </c>
      <c r="BD2663" s="3" t="s">
        <v>78</v>
      </c>
      <c r="BE2663" s="3" t="s">
        <v>26823</v>
      </c>
      <c r="BF2663" s="3" t="s">
        <v>26822</v>
      </c>
      <c r="BG2663" s="3" t="s">
        <v>26824</v>
      </c>
      <c r="BH2663">
        <f t="shared" si="65"/>
        <v>0</v>
      </c>
    </row>
    <row r="2664" spans="1:60" ht="58" x14ac:dyDescent="0.35">
      <c r="A2664" s="2" t="s">
        <v>59</v>
      </c>
      <c r="B2664" s="2" t="s">
        <v>60</v>
      </c>
      <c r="C2664" s="2" t="s">
        <v>26825</v>
      </c>
      <c r="D2664" s="2" t="s">
        <v>26826</v>
      </c>
      <c r="E2664" s="2" t="s">
        <v>26827</v>
      </c>
      <c r="G2664" s="3" t="s">
        <v>64</v>
      </c>
      <c r="I2664" s="3" t="s">
        <v>64</v>
      </c>
      <c r="J2664" s="3" t="s">
        <v>64</v>
      </c>
      <c r="K2664" s="3" t="s">
        <v>65</v>
      </c>
      <c r="L2664" s="2" t="s">
        <v>26828</v>
      </c>
      <c r="M2664" s="2" t="s">
        <v>26829</v>
      </c>
      <c r="N2664" s="3" t="s">
        <v>1750</v>
      </c>
      <c r="P2664" s="3" t="s">
        <v>102</v>
      </c>
      <c r="Q2664" s="2" t="s">
        <v>14685</v>
      </c>
      <c r="R2664" s="3" t="s">
        <v>70</v>
      </c>
      <c r="S2664" s="4">
        <v>32</v>
      </c>
      <c r="T2664" s="4">
        <v>32</v>
      </c>
      <c r="U2664" s="5" t="s">
        <v>26532</v>
      </c>
      <c r="V2664" s="5" t="s">
        <v>26532</v>
      </c>
      <c r="W2664" s="5" t="s">
        <v>72</v>
      </c>
      <c r="X2664" s="5" t="s">
        <v>72</v>
      </c>
      <c r="Y2664" s="4">
        <v>462</v>
      </c>
      <c r="Z2664" s="4">
        <v>24</v>
      </c>
      <c r="AA2664" s="4">
        <v>28</v>
      </c>
      <c r="AB2664" s="4">
        <v>2</v>
      </c>
      <c r="AC2664" s="4">
        <v>6</v>
      </c>
      <c r="AD2664" s="4">
        <v>103</v>
      </c>
      <c r="AE2664" s="4">
        <v>107</v>
      </c>
      <c r="AF2664" s="4">
        <v>1</v>
      </c>
      <c r="AG2664" s="4">
        <v>4</v>
      </c>
      <c r="AH2664" s="4">
        <v>90</v>
      </c>
      <c r="AI2664" s="4">
        <v>92</v>
      </c>
      <c r="AJ2664" s="4">
        <v>20</v>
      </c>
      <c r="AK2664" s="4">
        <v>23</v>
      </c>
      <c r="AL2664" s="4">
        <v>45</v>
      </c>
      <c r="AM2664" s="4">
        <v>45</v>
      </c>
      <c r="AN2664" s="4">
        <v>0</v>
      </c>
      <c r="AO2664" s="4">
        <v>0</v>
      </c>
      <c r="AP2664" s="4">
        <v>18</v>
      </c>
      <c r="AQ2664" s="4">
        <v>20</v>
      </c>
      <c r="AR2664" s="3" t="s">
        <v>64</v>
      </c>
      <c r="AS2664" s="3" t="s">
        <v>64</v>
      </c>
      <c r="AT2664" s="3" t="s">
        <v>128</v>
      </c>
      <c r="AU2664" s="6" t="str">
        <f>HYPERLINK("http://catalog.hathitrust.org/Record/000045181","HathiTrust Record")</f>
        <v>HathiTrust Record</v>
      </c>
      <c r="AV2664" s="6" t="str">
        <f>HYPERLINK("http://mcgill.on.worldcat.org/oclc/1529256","Catalog Record")</f>
        <v>Catalog Record</v>
      </c>
      <c r="AW2664" s="6" t="str">
        <f>HYPERLINK("http://www.worldcat.org/oclc/1529256","WorldCat Record")</f>
        <v>WorldCat Record</v>
      </c>
      <c r="AX2664" s="3" t="s">
        <v>26830</v>
      </c>
      <c r="AY2664" s="3" t="s">
        <v>26831</v>
      </c>
      <c r="AZ2664" s="3" t="s">
        <v>26832</v>
      </c>
      <c r="BA2664" s="3" t="s">
        <v>26832</v>
      </c>
      <c r="BB2664" s="3" t="s">
        <v>26833</v>
      </c>
      <c r="BC2664" s="3" t="s">
        <v>77</v>
      </c>
      <c r="BD2664" s="3" t="s">
        <v>78</v>
      </c>
      <c r="BE2664" s="3" t="s">
        <v>26834</v>
      </c>
      <c r="BF2664" s="3" t="s">
        <v>26833</v>
      </c>
      <c r="BG2664" s="3" t="s">
        <v>26835</v>
      </c>
      <c r="BH2664">
        <f t="shared" si="65"/>
        <v>0</v>
      </c>
    </row>
    <row r="2665" spans="1:60" ht="58" x14ac:dyDescent="0.35">
      <c r="A2665" s="2" t="s">
        <v>59</v>
      </c>
      <c r="B2665" s="2" t="s">
        <v>60</v>
      </c>
      <c r="C2665" s="2" t="s">
        <v>26836</v>
      </c>
      <c r="D2665" s="2" t="s">
        <v>26837</v>
      </c>
      <c r="E2665" s="2" t="s">
        <v>26838</v>
      </c>
      <c r="G2665" s="3" t="s">
        <v>64</v>
      </c>
      <c r="I2665" s="3" t="s">
        <v>128</v>
      </c>
      <c r="J2665" s="3" t="s">
        <v>128</v>
      </c>
      <c r="K2665" s="3" t="s">
        <v>65</v>
      </c>
      <c r="L2665" s="2" t="s">
        <v>26530</v>
      </c>
      <c r="M2665" s="2" t="s">
        <v>26839</v>
      </c>
      <c r="N2665" s="3" t="s">
        <v>1938</v>
      </c>
      <c r="O2665" s="2" t="s">
        <v>172</v>
      </c>
      <c r="P2665" s="3" t="s">
        <v>102</v>
      </c>
      <c r="R2665" s="3" t="s">
        <v>70</v>
      </c>
      <c r="S2665" s="4">
        <v>23</v>
      </c>
      <c r="T2665" s="4">
        <v>57</v>
      </c>
      <c r="U2665" s="5" t="s">
        <v>26539</v>
      </c>
      <c r="V2665" s="5" t="s">
        <v>26539</v>
      </c>
      <c r="W2665" s="5" t="s">
        <v>72</v>
      </c>
      <c r="X2665" s="5" t="s">
        <v>72</v>
      </c>
      <c r="Y2665" s="4">
        <v>306</v>
      </c>
      <c r="Z2665" s="4">
        <v>20</v>
      </c>
      <c r="AA2665" s="4">
        <v>53</v>
      </c>
      <c r="AB2665" s="4">
        <v>2</v>
      </c>
      <c r="AC2665" s="4">
        <v>9</v>
      </c>
      <c r="AD2665" s="4">
        <v>68</v>
      </c>
      <c r="AE2665" s="4">
        <v>119</v>
      </c>
      <c r="AF2665" s="4">
        <v>1</v>
      </c>
      <c r="AG2665" s="4">
        <v>3</v>
      </c>
      <c r="AH2665" s="4">
        <v>61</v>
      </c>
      <c r="AI2665" s="4">
        <v>100</v>
      </c>
      <c r="AJ2665" s="4">
        <v>9</v>
      </c>
      <c r="AK2665" s="4">
        <v>16</v>
      </c>
      <c r="AL2665" s="4">
        <v>28</v>
      </c>
      <c r="AM2665" s="4">
        <v>51</v>
      </c>
      <c r="AN2665" s="4">
        <v>0</v>
      </c>
      <c r="AO2665" s="4">
        <v>0</v>
      </c>
      <c r="AP2665" s="4">
        <v>10</v>
      </c>
      <c r="AQ2665" s="4">
        <v>22</v>
      </c>
      <c r="AR2665" s="3" t="s">
        <v>64</v>
      </c>
      <c r="AS2665" s="3" t="s">
        <v>64</v>
      </c>
      <c r="AT2665" s="3" t="s">
        <v>128</v>
      </c>
      <c r="AU2665" s="6" t="str">
        <f>HYPERLINK("http://catalog.hathitrust.org/Record/002210235","HathiTrust Record")</f>
        <v>HathiTrust Record</v>
      </c>
      <c r="AV2665" s="6" t="str">
        <f>HYPERLINK("http://mcgill.on.worldcat.org/oclc/21333025","Catalog Record")</f>
        <v>Catalog Record</v>
      </c>
      <c r="AW2665" s="6" t="str">
        <f>HYPERLINK("http://www.worldcat.org/oclc/21333025","WorldCat Record")</f>
        <v>WorldCat Record</v>
      </c>
      <c r="AX2665" s="3" t="s">
        <v>26533</v>
      </c>
      <c r="AY2665" s="3" t="s">
        <v>26840</v>
      </c>
      <c r="AZ2665" s="3" t="s">
        <v>26841</v>
      </c>
      <c r="BA2665" s="3" t="s">
        <v>26841</v>
      </c>
      <c r="BB2665" s="3" t="s">
        <v>26842</v>
      </c>
      <c r="BC2665" s="3" t="s">
        <v>77</v>
      </c>
      <c r="BD2665" s="3" t="s">
        <v>78</v>
      </c>
      <c r="BE2665" s="3" t="s">
        <v>26843</v>
      </c>
      <c r="BF2665" s="3" t="s">
        <v>26842</v>
      </c>
      <c r="BG2665" s="3" t="s">
        <v>26844</v>
      </c>
      <c r="BH2665">
        <f t="shared" si="65"/>
        <v>0</v>
      </c>
    </row>
    <row r="2666" spans="1:60" ht="58" x14ac:dyDescent="0.35">
      <c r="A2666" s="2" t="s">
        <v>59</v>
      </c>
      <c r="B2666" s="2" t="s">
        <v>60</v>
      </c>
      <c r="C2666" s="2" t="s">
        <v>26836</v>
      </c>
      <c r="D2666" s="2" t="s">
        <v>26837</v>
      </c>
      <c r="E2666" s="2" t="s">
        <v>26838</v>
      </c>
      <c r="G2666" s="3" t="s">
        <v>64</v>
      </c>
      <c r="I2666" s="3" t="s">
        <v>128</v>
      </c>
      <c r="J2666" s="3" t="s">
        <v>128</v>
      </c>
      <c r="K2666" s="3" t="s">
        <v>65</v>
      </c>
      <c r="L2666" s="2" t="s">
        <v>26530</v>
      </c>
      <c r="M2666" s="2" t="s">
        <v>26839</v>
      </c>
      <c r="N2666" s="3" t="s">
        <v>1938</v>
      </c>
      <c r="O2666" s="2" t="s">
        <v>172</v>
      </c>
      <c r="P2666" s="3" t="s">
        <v>102</v>
      </c>
      <c r="R2666" s="3" t="s">
        <v>70</v>
      </c>
      <c r="S2666" s="4">
        <v>34</v>
      </c>
      <c r="T2666" s="4">
        <v>57</v>
      </c>
      <c r="U2666" s="5" t="s">
        <v>26845</v>
      </c>
      <c r="V2666" s="5" t="s">
        <v>26539</v>
      </c>
      <c r="W2666" s="5" t="s">
        <v>72</v>
      </c>
      <c r="X2666" s="5" t="s">
        <v>72</v>
      </c>
      <c r="Y2666" s="4">
        <v>306</v>
      </c>
      <c r="Z2666" s="4">
        <v>20</v>
      </c>
      <c r="AA2666" s="4">
        <v>53</v>
      </c>
      <c r="AB2666" s="4">
        <v>2</v>
      </c>
      <c r="AC2666" s="4">
        <v>9</v>
      </c>
      <c r="AD2666" s="4">
        <v>68</v>
      </c>
      <c r="AE2666" s="4">
        <v>119</v>
      </c>
      <c r="AF2666" s="4">
        <v>1</v>
      </c>
      <c r="AG2666" s="4">
        <v>3</v>
      </c>
      <c r="AH2666" s="4">
        <v>61</v>
      </c>
      <c r="AI2666" s="4">
        <v>100</v>
      </c>
      <c r="AJ2666" s="4">
        <v>9</v>
      </c>
      <c r="AK2666" s="4">
        <v>16</v>
      </c>
      <c r="AL2666" s="4">
        <v>28</v>
      </c>
      <c r="AM2666" s="4">
        <v>51</v>
      </c>
      <c r="AN2666" s="4">
        <v>0</v>
      </c>
      <c r="AO2666" s="4">
        <v>0</v>
      </c>
      <c r="AP2666" s="4">
        <v>10</v>
      </c>
      <c r="AQ2666" s="4">
        <v>22</v>
      </c>
      <c r="AR2666" s="3" t="s">
        <v>64</v>
      </c>
      <c r="AS2666" s="3" t="s">
        <v>64</v>
      </c>
      <c r="AT2666" s="3" t="s">
        <v>128</v>
      </c>
      <c r="AU2666" s="6" t="str">
        <f>HYPERLINK("http://catalog.hathitrust.org/Record/002210235","HathiTrust Record")</f>
        <v>HathiTrust Record</v>
      </c>
      <c r="AV2666" s="6" t="str">
        <f>HYPERLINK("http://mcgill.on.worldcat.org/oclc/21333025","Catalog Record")</f>
        <v>Catalog Record</v>
      </c>
      <c r="AW2666" s="6" t="str">
        <f>HYPERLINK("http://www.worldcat.org/oclc/21333025","WorldCat Record")</f>
        <v>WorldCat Record</v>
      </c>
      <c r="AX2666" s="3" t="s">
        <v>26533</v>
      </c>
      <c r="AY2666" s="3" t="s">
        <v>26840</v>
      </c>
      <c r="AZ2666" s="3" t="s">
        <v>26841</v>
      </c>
      <c r="BA2666" s="3" t="s">
        <v>26841</v>
      </c>
      <c r="BB2666" s="3" t="s">
        <v>26846</v>
      </c>
      <c r="BC2666" s="3" t="s">
        <v>77</v>
      </c>
      <c r="BD2666" s="3" t="s">
        <v>78</v>
      </c>
      <c r="BE2666" s="3" t="s">
        <v>26843</v>
      </c>
      <c r="BF2666" s="3" t="s">
        <v>26846</v>
      </c>
      <c r="BG2666" s="3" t="s">
        <v>26847</v>
      </c>
      <c r="BH2666">
        <f t="shared" si="65"/>
        <v>0</v>
      </c>
    </row>
    <row r="2667" spans="1:60" ht="58" x14ac:dyDescent="0.35">
      <c r="A2667" s="2" t="s">
        <v>59</v>
      </c>
      <c r="B2667" s="2" t="s">
        <v>60</v>
      </c>
      <c r="C2667" s="2" t="s">
        <v>26848</v>
      </c>
      <c r="D2667" s="2" t="s">
        <v>26849</v>
      </c>
      <c r="E2667" s="2" t="s">
        <v>26529</v>
      </c>
      <c r="G2667" s="3" t="s">
        <v>64</v>
      </c>
      <c r="H2667" s="3" t="s">
        <v>183</v>
      </c>
      <c r="I2667" s="3" t="s">
        <v>64</v>
      </c>
      <c r="J2667" s="3" t="s">
        <v>128</v>
      </c>
      <c r="K2667" s="3" t="s">
        <v>65</v>
      </c>
      <c r="L2667" s="2" t="s">
        <v>26530</v>
      </c>
      <c r="M2667" s="2" t="s">
        <v>19876</v>
      </c>
      <c r="N2667" s="3" t="s">
        <v>1075</v>
      </c>
      <c r="O2667" s="2" t="s">
        <v>14853</v>
      </c>
      <c r="P2667" s="3" t="s">
        <v>102</v>
      </c>
      <c r="R2667" s="3" t="s">
        <v>70</v>
      </c>
      <c r="S2667" s="4">
        <v>1</v>
      </c>
      <c r="T2667" s="4">
        <v>1</v>
      </c>
      <c r="U2667" s="5" t="s">
        <v>26532</v>
      </c>
      <c r="V2667" s="5" t="s">
        <v>26532</v>
      </c>
      <c r="W2667" s="5" t="s">
        <v>20794</v>
      </c>
      <c r="X2667" s="5" t="s">
        <v>20794</v>
      </c>
      <c r="Y2667" s="4">
        <v>132</v>
      </c>
      <c r="Z2667" s="4">
        <v>11</v>
      </c>
      <c r="AA2667" s="4">
        <v>53</v>
      </c>
      <c r="AB2667" s="4">
        <v>1</v>
      </c>
      <c r="AC2667" s="4">
        <v>9</v>
      </c>
      <c r="AD2667" s="4">
        <v>28</v>
      </c>
      <c r="AE2667" s="4">
        <v>119</v>
      </c>
      <c r="AF2667" s="4">
        <v>0</v>
      </c>
      <c r="AG2667" s="4">
        <v>3</v>
      </c>
      <c r="AH2667" s="4">
        <v>27</v>
      </c>
      <c r="AI2667" s="4">
        <v>100</v>
      </c>
      <c r="AJ2667" s="4">
        <v>4</v>
      </c>
      <c r="AK2667" s="4">
        <v>16</v>
      </c>
      <c r="AL2667" s="4">
        <v>15</v>
      </c>
      <c r="AM2667" s="4">
        <v>51</v>
      </c>
      <c r="AN2667" s="4">
        <v>0</v>
      </c>
      <c r="AO2667" s="4">
        <v>0</v>
      </c>
      <c r="AP2667" s="4">
        <v>4</v>
      </c>
      <c r="AQ2667" s="4">
        <v>22</v>
      </c>
      <c r="AR2667" s="3" t="s">
        <v>64</v>
      </c>
      <c r="AS2667" s="3" t="s">
        <v>64</v>
      </c>
      <c r="AT2667" s="3" t="s">
        <v>64</v>
      </c>
      <c r="AV2667" s="6" t="str">
        <f>HYPERLINK("http://mcgill.on.worldcat.org/oclc/835117059","Catalog Record")</f>
        <v>Catalog Record</v>
      </c>
      <c r="AW2667" s="6" t="str">
        <f>HYPERLINK("http://www.worldcat.org/oclc/835117059","WorldCat Record")</f>
        <v>WorldCat Record</v>
      </c>
      <c r="AX2667" s="3" t="s">
        <v>26533</v>
      </c>
      <c r="AY2667" s="3" t="s">
        <v>26850</v>
      </c>
      <c r="AZ2667" s="3" t="s">
        <v>26851</v>
      </c>
      <c r="BA2667" s="3" t="s">
        <v>26851</v>
      </c>
      <c r="BB2667" s="3" t="s">
        <v>26852</v>
      </c>
      <c r="BC2667" s="3" t="s">
        <v>77</v>
      </c>
      <c r="BD2667" s="3" t="s">
        <v>78</v>
      </c>
      <c r="BE2667" s="3" t="s">
        <v>26853</v>
      </c>
      <c r="BF2667" s="3" t="s">
        <v>26852</v>
      </c>
      <c r="BG2667" s="3" t="s">
        <v>26854</v>
      </c>
      <c r="BH2667">
        <f t="shared" si="65"/>
        <v>0</v>
      </c>
    </row>
    <row r="2668" spans="1:60" ht="72.5" x14ac:dyDescent="0.35">
      <c r="A2668" s="2" t="s">
        <v>59</v>
      </c>
      <c r="B2668" s="2" t="s">
        <v>60</v>
      </c>
      <c r="C2668" s="2" t="s">
        <v>26855</v>
      </c>
      <c r="D2668" s="2" t="s">
        <v>26856</v>
      </c>
      <c r="E2668" s="2" t="s">
        <v>26857</v>
      </c>
      <c r="G2668" s="3" t="s">
        <v>64</v>
      </c>
      <c r="I2668" s="3" t="s">
        <v>64</v>
      </c>
      <c r="J2668" s="3" t="s">
        <v>64</v>
      </c>
      <c r="K2668" s="3" t="s">
        <v>65</v>
      </c>
      <c r="L2668" s="2" t="s">
        <v>26858</v>
      </c>
      <c r="M2668" s="2" t="s">
        <v>26859</v>
      </c>
      <c r="N2668" s="3" t="s">
        <v>3072</v>
      </c>
      <c r="O2668" s="2" t="s">
        <v>26860</v>
      </c>
      <c r="P2668" s="3" t="s">
        <v>102</v>
      </c>
      <c r="R2668" s="3" t="s">
        <v>70</v>
      </c>
      <c r="S2668" s="4">
        <v>3</v>
      </c>
      <c r="T2668" s="4">
        <v>3</v>
      </c>
      <c r="U2668" s="5" t="s">
        <v>445</v>
      </c>
      <c r="V2668" s="5" t="s">
        <v>445</v>
      </c>
      <c r="W2668" s="5" t="s">
        <v>72</v>
      </c>
      <c r="X2668" s="5" t="s">
        <v>72</v>
      </c>
      <c r="Y2668" s="4">
        <v>158</v>
      </c>
      <c r="Z2668" s="4">
        <v>3</v>
      </c>
      <c r="AA2668" s="4">
        <v>10</v>
      </c>
      <c r="AB2668" s="4">
        <v>1</v>
      </c>
      <c r="AC2668" s="4">
        <v>1</v>
      </c>
      <c r="AD2668" s="4">
        <v>38</v>
      </c>
      <c r="AE2668" s="4">
        <v>79</v>
      </c>
      <c r="AF2668" s="4">
        <v>0</v>
      </c>
      <c r="AG2668" s="4">
        <v>0</v>
      </c>
      <c r="AH2668" s="4">
        <v>37</v>
      </c>
      <c r="AI2668" s="4">
        <v>75</v>
      </c>
      <c r="AJ2668" s="4">
        <v>1</v>
      </c>
      <c r="AK2668" s="4">
        <v>4</v>
      </c>
      <c r="AL2668" s="4">
        <v>26</v>
      </c>
      <c r="AM2668" s="4">
        <v>46</v>
      </c>
      <c r="AN2668" s="4">
        <v>0</v>
      </c>
      <c r="AO2668" s="4">
        <v>0</v>
      </c>
      <c r="AP2668" s="4">
        <v>1</v>
      </c>
      <c r="AQ2668" s="4">
        <v>5</v>
      </c>
      <c r="AR2668" s="3" t="s">
        <v>64</v>
      </c>
      <c r="AS2668" s="3" t="s">
        <v>64</v>
      </c>
      <c r="AT2668" s="3" t="s">
        <v>64</v>
      </c>
      <c r="AV2668" s="6" t="str">
        <f>HYPERLINK("http://mcgill.on.worldcat.org/oclc/416583","Catalog Record")</f>
        <v>Catalog Record</v>
      </c>
      <c r="AW2668" s="6" t="str">
        <f>HYPERLINK("http://www.worldcat.org/oclc/416583","WorldCat Record")</f>
        <v>WorldCat Record</v>
      </c>
      <c r="AX2668" s="3" t="s">
        <v>26861</v>
      </c>
      <c r="AY2668" s="3" t="s">
        <v>26862</v>
      </c>
      <c r="AZ2668" s="3" t="s">
        <v>26863</v>
      </c>
      <c r="BA2668" s="3" t="s">
        <v>26863</v>
      </c>
      <c r="BB2668" s="3" t="s">
        <v>26864</v>
      </c>
      <c r="BC2668" s="3" t="s">
        <v>77</v>
      </c>
      <c r="BD2668" s="3" t="s">
        <v>165</v>
      </c>
      <c r="BF2668" s="3" t="s">
        <v>26864</v>
      </c>
      <c r="BG2668" s="3" t="s">
        <v>26865</v>
      </c>
      <c r="BH2668">
        <f t="shared" si="65"/>
        <v>0</v>
      </c>
    </row>
    <row r="2669" spans="1:60" ht="58" x14ac:dyDescent="0.35">
      <c r="A2669" s="2" t="s">
        <v>59</v>
      </c>
      <c r="B2669" s="2" t="s">
        <v>60</v>
      </c>
      <c r="C2669" s="2" t="s">
        <v>26866</v>
      </c>
      <c r="D2669" s="2" t="s">
        <v>26867</v>
      </c>
      <c r="E2669" s="2" t="s">
        <v>26868</v>
      </c>
      <c r="F2669" s="3" t="s">
        <v>525</v>
      </c>
      <c r="G2669" s="3" t="s">
        <v>128</v>
      </c>
      <c r="I2669" s="3" t="s">
        <v>64</v>
      </c>
      <c r="J2669" s="3" t="s">
        <v>64</v>
      </c>
      <c r="K2669" s="3" t="s">
        <v>65</v>
      </c>
      <c r="M2669" s="2" t="s">
        <v>26869</v>
      </c>
      <c r="N2669" s="3" t="s">
        <v>434</v>
      </c>
      <c r="P2669" s="3" t="s">
        <v>102</v>
      </c>
      <c r="R2669" s="3" t="s">
        <v>70</v>
      </c>
      <c r="S2669" s="4">
        <v>4</v>
      </c>
      <c r="T2669" s="4">
        <v>8</v>
      </c>
      <c r="U2669" s="5" t="s">
        <v>26870</v>
      </c>
      <c r="V2669" s="5" t="s">
        <v>26871</v>
      </c>
      <c r="W2669" s="5" t="s">
        <v>72</v>
      </c>
      <c r="X2669" s="5" t="s">
        <v>72</v>
      </c>
      <c r="Y2669" s="4">
        <v>97</v>
      </c>
      <c r="Z2669" s="4">
        <v>13</v>
      </c>
      <c r="AA2669" s="4">
        <v>15</v>
      </c>
      <c r="AB2669" s="4">
        <v>3</v>
      </c>
      <c r="AC2669" s="4">
        <v>4</v>
      </c>
      <c r="AD2669" s="4">
        <v>24</v>
      </c>
      <c r="AE2669" s="4">
        <v>27</v>
      </c>
      <c r="AF2669" s="4">
        <v>1</v>
      </c>
      <c r="AG2669" s="4">
        <v>2</v>
      </c>
      <c r="AH2669" s="4">
        <v>23</v>
      </c>
      <c r="AI2669" s="4">
        <v>25</v>
      </c>
      <c r="AJ2669" s="4">
        <v>4</v>
      </c>
      <c r="AK2669" s="4">
        <v>5</v>
      </c>
      <c r="AL2669" s="4">
        <v>13</v>
      </c>
      <c r="AM2669" s="4">
        <v>15</v>
      </c>
      <c r="AN2669" s="4">
        <v>0</v>
      </c>
      <c r="AO2669" s="4">
        <v>0</v>
      </c>
      <c r="AP2669" s="4">
        <v>4</v>
      </c>
      <c r="AQ2669" s="4">
        <v>4</v>
      </c>
      <c r="AR2669" s="3" t="s">
        <v>64</v>
      </c>
      <c r="AS2669" s="3" t="s">
        <v>64</v>
      </c>
      <c r="AT2669" s="3" t="s">
        <v>64</v>
      </c>
      <c r="AV2669" s="6" t="str">
        <f>HYPERLINK("http://mcgill.on.worldcat.org/oclc/64571715","Catalog Record")</f>
        <v>Catalog Record</v>
      </c>
      <c r="AW2669" s="6" t="str">
        <f>HYPERLINK("http://www.worldcat.org/oclc/64571715","WorldCat Record")</f>
        <v>WorldCat Record</v>
      </c>
      <c r="AX2669" s="3" t="s">
        <v>26872</v>
      </c>
      <c r="AY2669" s="3" t="s">
        <v>26873</v>
      </c>
      <c r="AZ2669" s="3" t="s">
        <v>26874</v>
      </c>
      <c r="BA2669" s="3" t="s">
        <v>26874</v>
      </c>
      <c r="BB2669" s="3" t="s">
        <v>26875</v>
      </c>
      <c r="BC2669" s="3" t="s">
        <v>77</v>
      </c>
      <c r="BD2669" s="3" t="s">
        <v>78</v>
      </c>
      <c r="BE2669" s="3" t="s">
        <v>26876</v>
      </c>
      <c r="BF2669" s="3" t="s">
        <v>26875</v>
      </c>
      <c r="BG2669" s="3" t="s">
        <v>26877</v>
      </c>
      <c r="BH2669">
        <f t="shared" si="65"/>
        <v>0</v>
      </c>
    </row>
    <row r="2670" spans="1:60" ht="58" x14ac:dyDescent="0.35">
      <c r="A2670" s="2" t="s">
        <v>59</v>
      </c>
      <c r="B2670" s="2" t="s">
        <v>60</v>
      </c>
      <c r="C2670" s="2" t="s">
        <v>26866</v>
      </c>
      <c r="D2670" s="2" t="s">
        <v>26867</v>
      </c>
      <c r="E2670" s="2" t="s">
        <v>26868</v>
      </c>
      <c r="F2670" s="3" t="s">
        <v>529</v>
      </c>
      <c r="G2670" s="3" t="s">
        <v>128</v>
      </c>
      <c r="I2670" s="3" t="s">
        <v>64</v>
      </c>
      <c r="J2670" s="3" t="s">
        <v>64</v>
      </c>
      <c r="K2670" s="3" t="s">
        <v>65</v>
      </c>
      <c r="M2670" s="2" t="s">
        <v>26869</v>
      </c>
      <c r="N2670" s="3" t="s">
        <v>434</v>
      </c>
      <c r="P2670" s="3" t="s">
        <v>102</v>
      </c>
      <c r="R2670" s="3" t="s">
        <v>70</v>
      </c>
      <c r="S2670" s="4">
        <v>4</v>
      </c>
      <c r="T2670" s="4">
        <v>8</v>
      </c>
      <c r="U2670" s="5" t="s">
        <v>26871</v>
      </c>
      <c r="V2670" s="5" t="s">
        <v>26871</v>
      </c>
      <c r="W2670" s="5" t="s">
        <v>72</v>
      </c>
      <c r="X2670" s="5" t="s">
        <v>72</v>
      </c>
      <c r="Y2670" s="4">
        <v>97</v>
      </c>
      <c r="Z2670" s="4">
        <v>13</v>
      </c>
      <c r="AA2670" s="4">
        <v>15</v>
      </c>
      <c r="AB2670" s="4">
        <v>3</v>
      </c>
      <c r="AC2670" s="4">
        <v>4</v>
      </c>
      <c r="AD2670" s="4">
        <v>24</v>
      </c>
      <c r="AE2670" s="4">
        <v>27</v>
      </c>
      <c r="AF2670" s="4">
        <v>1</v>
      </c>
      <c r="AG2670" s="4">
        <v>2</v>
      </c>
      <c r="AH2670" s="4">
        <v>23</v>
      </c>
      <c r="AI2670" s="4">
        <v>25</v>
      </c>
      <c r="AJ2670" s="4">
        <v>4</v>
      </c>
      <c r="AK2670" s="4">
        <v>5</v>
      </c>
      <c r="AL2670" s="4">
        <v>13</v>
      </c>
      <c r="AM2670" s="4">
        <v>15</v>
      </c>
      <c r="AN2670" s="4">
        <v>0</v>
      </c>
      <c r="AO2670" s="4">
        <v>0</v>
      </c>
      <c r="AP2670" s="4">
        <v>4</v>
      </c>
      <c r="AQ2670" s="4">
        <v>4</v>
      </c>
      <c r="AR2670" s="3" t="s">
        <v>64</v>
      </c>
      <c r="AS2670" s="3" t="s">
        <v>64</v>
      </c>
      <c r="AT2670" s="3" t="s">
        <v>64</v>
      </c>
      <c r="AV2670" s="6" t="str">
        <f>HYPERLINK("http://mcgill.on.worldcat.org/oclc/64571715","Catalog Record")</f>
        <v>Catalog Record</v>
      </c>
      <c r="AW2670" s="6" t="str">
        <f>HYPERLINK("http://www.worldcat.org/oclc/64571715","WorldCat Record")</f>
        <v>WorldCat Record</v>
      </c>
      <c r="AX2670" s="3" t="s">
        <v>26872</v>
      </c>
      <c r="AY2670" s="3" t="s">
        <v>26873</v>
      </c>
      <c r="AZ2670" s="3" t="s">
        <v>26874</v>
      </c>
      <c r="BA2670" s="3" t="s">
        <v>26874</v>
      </c>
      <c r="BB2670" s="3" t="s">
        <v>26878</v>
      </c>
      <c r="BC2670" s="3" t="s">
        <v>77</v>
      </c>
      <c r="BD2670" s="3" t="s">
        <v>78</v>
      </c>
      <c r="BE2670" s="3" t="s">
        <v>26876</v>
      </c>
      <c r="BF2670" s="3" t="s">
        <v>26878</v>
      </c>
      <c r="BG2670" s="3" t="s">
        <v>26879</v>
      </c>
      <c r="BH2670">
        <f t="shared" si="65"/>
        <v>0</v>
      </c>
    </row>
    <row r="2671" spans="1:60" ht="58" x14ac:dyDescent="0.35">
      <c r="A2671" s="2" t="s">
        <v>59</v>
      </c>
      <c r="B2671" s="2" t="s">
        <v>60</v>
      </c>
      <c r="C2671" s="2" t="s">
        <v>26880</v>
      </c>
      <c r="D2671" s="2" t="s">
        <v>26881</v>
      </c>
      <c r="E2671" s="2" t="s">
        <v>26882</v>
      </c>
      <c r="G2671" s="3" t="s">
        <v>64</v>
      </c>
      <c r="I2671" s="3" t="s">
        <v>64</v>
      </c>
      <c r="J2671" s="3" t="s">
        <v>64</v>
      </c>
      <c r="K2671" s="3" t="s">
        <v>65</v>
      </c>
      <c r="M2671" s="2" t="s">
        <v>26883</v>
      </c>
      <c r="N2671" s="3" t="s">
        <v>86</v>
      </c>
      <c r="P2671" s="3" t="s">
        <v>102</v>
      </c>
      <c r="R2671" s="3" t="s">
        <v>70</v>
      </c>
      <c r="S2671" s="4">
        <v>1</v>
      </c>
      <c r="T2671" s="4">
        <v>1</v>
      </c>
      <c r="U2671" s="5" t="s">
        <v>26884</v>
      </c>
      <c r="V2671" s="5" t="s">
        <v>26884</v>
      </c>
      <c r="W2671" s="5" t="s">
        <v>72</v>
      </c>
      <c r="X2671" s="5" t="s">
        <v>72</v>
      </c>
      <c r="Y2671" s="4">
        <v>54</v>
      </c>
      <c r="Z2671" s="4">
        <v>6</v>
      </c>
      <c r="AA2671" s="4">
        <v>8</v>
      </c>
      <c r="AB2671" s="4">
        <v>1</v>
      </c>
      <c r="AC2671" s="4">
        <v>3</v>
      </c>
      <c r="AD2671" s="4">
        <v>25</v>
      </c>
      <c r="AE2671" s="4">
        <v>26</v>
      </c>
      <c r="AF2671" s="4">
        <v>0</v>
      </c>
      <c r="AG2671" s="4">
        <v>1</v>
      </c>
      <c r="AH2671" s="4">
        <v>24</v>
      </c>
      <c r="AI2671" s="4">
        <v>24</v>
      </c>
      <c r="AJ2671" s="4">
        <v>4</v>
      </c>
      <c r="AK2671" s="4">
        <v>5</v>
      </c>
      <c r="AL2671" s="4">
        <v>13</v>
      </c>
      <c r="AM2671" s="4">
        <v>13</v>
      </c>
      <c r="AN2671" s="4">
        <v>0</v>
      </c>
      <c r="AO2671" s="4">
        <v>0</v>
      </c>
      <c r="AP2671" s="4">
        <v>4</v>
      </c>
      <c r="AQ2671" s="4">
        <v>4</v>
      </c>
      <c r="AR2671" s="3" t="s">
        <v>64</v>
      </c>
      <c r="AS2671" s="3" t="s">
        <v>64</v>
      </c>
      <c r="AT2671" s="3" t="s">
        <v>64</v>
      </c>
      <c r="AV2671" s="6" t="str">
        <f>HYPERLINK("http://mcgill.on.worldcat.org/oclc/785511214","Catalog Record")</f>
        <v>Catalog Record</v>
      </c>
      <c r="AW2671" s="6" t="str">
        <f>HYPERLINK("http://www.worldcat.org/oclc/785511214","WorldCat Record")</f>
        <v>WorldCat Record</v>
      </c>
      <c r="AX2671" s="3" t="s">
        <v>26885</v>
      </c>
      <c r="AY2671" s="3" t="s">
        <v>26886</v>
      </c>
      <c r="AZ2671" s="3" t="s">
        <v>26887</v>
      </c>
      <c r="BA2671" s="3" t="s">
        <v>26887</v>
      </c>
      <c r="BB2671" s="3" t="s">
        <v>26888</v>
      </c>
      <c r="BC2671" s="3" t="s">
        <v>77</v>
      </c>
      <c r="BD2671" s="3" t="s">
        <v>78</v>
      </c>
      <c r="BE2671" s="3" t="s">
        <v>26889</v>
      </c>
      <c r="BF2671" s="3" t="s">
        <v>26888</v>
      </c>
      <c r="BG2671" s="3" t="s">
        <v>26890</v>
      </c>
      <c r="BH2671">
        <f t="shared" si="65"/>
        <v>0</v>
      </c>
    </row>
    <row r="2672" spans="1:60" ht="58" x14ac:dyDescent="0.35">
      <c r="A2672" s="2" t="s">
        <v>59</v>
      </c>
      <c r="B2672" s="2" t="s">
        <v>60</v>
      </c>
      <c r="C2672" s="2" t="s">
        <v>26891</v>
      </c>
      <c r="D2672" s="2" t="s">
        <v>26892</v>
      </c>
      <c r="E2672" s="2" t="s">
        <v>26893</v>
      </c>
      <c r="G2672" s="3" t="s">
        <v>64</v>
      </c>
      <c r="I2672" s="3" t="s">
        <v>64</v>
      </c>
      <c r="J2672" s="3" t="s">
        <v>64</v>
      </c>
      <c r="K2672" s="3" t="s">
        <v>65</v>
      </c>
      <c r="L2672" s="2" t="s">
        <v>26894</v>
      </c>
      <c r="M2672" s="2" t="s">
        <v>24922</v>
      </c>
      <c r="N2672" s="3" t="s">
        <v>86</v>
      </c>
      <c r="P2672" s="3" t="s">
        <v>102</v>
      </c>
      <c r="Q2672" s="2" t="s">
        <v>8981</v>
      </c>
      <c r="R2672" s="3" t="s">
        <v>70</v>
      </c>
      <c r="S2672" s="4">
        <v>5</v>
      </c>
      <c r="T2672" s="4">
        <v>5</v>
      </c>
      <c r="U2672" s="5" t="s">
        <v>24769</v>
      </c>
      <c r="V2672" s="5" t="s">
        <v>24769</v>
      </c>
      <c r="W2672" s="5" t="s">
        <v>72</v>
      </c>
      <c r="X2672" s="5" t="s">
        <v>72</v>
      </c>
      <c r="Y2672" s="4">
        <v>99</v>
      </c>
      <c r="Z2672" s="4">
        <v>12</v>
      </c>
      <c r="AA2672" s="4">
        <v>46</v>
      </c>
      <c r="AB2672" s="4">
        <v>1</v>
      </c>
      <c r="AC2672" s="4">
        <v>7</v>
      </c>
      <c r="AD2672" s="4">
        <v>35</v>
      </c>
      <c r="AE2672" s="4">
        <v>79</v>
      </c>
      <c r="AF2672" s="4">
        <v>0</v>
      </c>
      <c r="AG2672" s="4">
        <v>3</v>
      </c>
      <c r="AH2672" s="4">
        <v>30</v>
      </c>
      <c r="AI2672" s="4">
        <v>64</v>
      </c>
      <c r="AJ2672" s="4">
        <v>7</v>
      </c>
      <c r="AK2672" s="4">
        <v>13</v>
      </c>
      <c r="AL2672" s="4">
        <v>18</v>
      </c>
      <c r="AM2672" s="4">
        <v>33</v>
      </c>
      <c r="AN2672" s="4">
        <v>0</v>
      </c>
      <c r="AO2672" s="4">
        <v>0</v>
      </c>
      <c r="AP2672" s="4">
        <v>8</v>
      </c>
      <c r="AQ2672" s="4">
        <v>19</v>
      </c>
      <c r="AR2672" s="3" t="s">
        <v>64</v>
      </c>
      <c r="AS2672" s="3" t="s">
        <v>64</v>
      </c>
      <c r="AT2672" s="3" t="s">
        <v>64</v>
      </c>
      <c r="AV2672" s="6" t="str">
        <f>HYPERLINK("http://mcgill.on.worldcat.org/oclc/814446383","Catalog Record")</f>
        <v>Catalog Record</v>
      </c>
      <c r="AW2672" s="6" t="str">
        <f>HYPERLINK("http://www.worldcat.org/oclc/814446383","WorldCat Record")</f>
        <v>WorldCat Record</v>
      </c>
      <c r="AX2672" s="3" t="s">
        <v>26895</v>
      </c>
      <c r="AY2672" s="3" t="s">
        <v>26896</v>
      </c>
      <c r="AZ2672" s="3" t="s">
        <v>26897</v>
      </c>
      <c r="BA2672" s="3" t="s">
        <v>26897</v>
      </c>
      <c r="BB2672" s="3" t="s">
        <v>26898</v>
      </c>
      <c r="BC2672" s="3" t="s">
        <v>77</v>
      </c>
      <c r="BD2672" s="3" t="s">
        <v>78</v>
      </c>
      <c r="BE2672" s="3" t="s">
        <v>26899</v>
      </c>
      <c r="BF2672" s="3" t="s">
        <v>26898</v>
      </c>
      <c r="BG2672" s="3" t="s">
        <v>26900</v>
      </c>
      <c r="BH2672">
        <f t="shared" si="65"/>
        <v>0</v>
      </c>
    </row>
    <row r="2673" spans="1:60" ht="58" x14ac:dyDescent="0.35">
      <c r="A2673" s="2" t="s">
        <v>59</v>
      </c>
      <c r="B2673" s="2" t="s">
        <v>60</v>
      </c>
      <c r="C2673" s="2" t="s">
        <v>26901</v>
      </c>
      <c r="D2673" s="2" t="s">
        <v>26902</v>
      </c>
      <c r="E2673" s="2" t="s">
        <v>26903</v>
      </c>
      <c r="G2673" s="3" t="s">
        <v>64</v>
      </c>
      <c r="I2673" s="3" t="s">
        <v>64</v>
      </c>
      <c r="J2673" s="3" t="s">
        <v>64</v>
      </c>
      <c r="K2673" s="3" t="s">
        <v>65</v>
      </c>
      <c r="L2673" s="2" t="s">
        <v>26904</v>
      </c>
      <c r="M2673" s="2" t="s">
        <v>8980</v>
      </c>
      <c r="N2673" s="3" t="s">
        <v>511</v>
      </c>
      <c r="P2673" s="3" t="s">
        <v>102</v>
      </c>
      <c r="Q2673" s="2" t="s">
        <v>8981</v>
      </c>
      <c r="R2673" s="3" t="s">
        <v>70</v>
      </c>
      <c r="S2673" s="4">
        <v>3</v>
      </c>
      <c r="T2673" s="4">
        <v>3</v>
      </c>
      <c r="U2673" s="5" t="s">
        <v>26905</v>
      </c>
      <c r="V2673" s="5" t="s">
        <v>26905</v>
      </c>
      <c r="W2673" s="5" t="s">
        <v>72</v>
      </c>
      <c r="X2673" s="5" t="s">
        <v>72</v>
      </c>
      <c r="Y2673" s="4">
        <v>88</v>
      </c>
      <c r="Z2673" s="4">
        <v>6</v>
      </c>
      <c r="AA2673" s="4">
        <v>79</v>
      </c>
      <c r="AB2673" s="4">
        <v>1</v>
      </c>
      <c r="AC2673" s="4">
        <v>14</v>
      </c>
      <c r="AD2673" s="4">
        <v>24</v>
      </c>
      <c r="AE2673" s="4">
        <v>103</v>
      </c>
      <c r="AF2673" s="4">
        <v>0</v>
      </c>
      <c r="AG2673" s="4">
        <v>8</v>
      </c>
      <c r="AH2673" s="4">
        <v>23</v>
      </c>
      <c r="AI2673" s="4">
        <v>69</v>
      </c>
      <c r="AJ2673" s="4">
        <v>4</v>
      </c>
      <c r="AK2673" s="4">
        <v>19</v>
      </c>
      <c r="AL2673" s="4">
        <v>16</v>
      </c>
      <c r="AM2673" s="4">
        <v>33</v>
      </c>
      <c r="AN2673" s="4">
        <v>0</v>
      </c>
      <c r="AO2673" s="4">
        <v>0</v>
      </c>
      <c r="AP2673" s="4">
        <v>4</v>
      </c>
      <c r="AQ2673" s="4">
        <v>40</v>
      </c>
      <c r="AR2673" s="3" t="s">
        <v>64</v>
      </c>
      <c r="AS2673" s="3" t="s">
        <v>64</v>
      </c>
      <c r="AT2673" s="3" t="s">
        <v>64</v>
      </c>
      <c r="AV2673" s="6" t="str">
        <f>HYPERLINK("http://mcgill.on.worldcat.org/oclc/461278353","Catalog Record")</f>
        <v>Catalog Record</v>
      </c>
      <c r="AW2673" s="6" t="str">
        <f>HYPERLINK("http://www.worldcat.org/oclc/461278353","WorldCat Record")</f>
        <v>WorldCat Record</v>
      </c>
      <c r="AX2673" s="3" t="s">
        <v>26906</v>
      </c>
      <c r="AY2673" s="3" t="s">
        <v>26907</v>
      </c>
      <c r="AZ2673" s="3" t="s">
        <v>26908</v>
      </c>
      <c r="BA2673" s="3" t="s">
        <v>26908</v>
      </c>
      <c r="BB2673" s="3" t="s">
        <v>26909</v>
      </c>
      <c r="BC2673" s="3" t="s">
        <v>77</v>
      </c>
      <c r="BD2673" s="3" t="s">
        <v>78</v>
      </c>
      <c r="BE2673" s="3" t="s">
        <v>26910</v>
      </c>
      <c r="BF2673" s="3" t="s">
        <v>26909</v>
      </c>
      <c r="BG2673" s="3" t="s">
        <v>26911</v>
      </c>
      <c r="BH2673">
        <f t="shared" si="65"/>
        <v>0</v>
      </c>
    </row>
    <row r="2674" spans="1:60" ht="58" x14ac:dyDescent="0.35">
      <c r="A2674" s="2" t="s">
        <v>59</v>
      </c>
      <c r="B2674" s="2" t="s">
        <v>60</v>
      </c>
      <c r="C2674" s="2" t="s">
        <v>26912</v>
      </c>
      <c r="D2674" s="2" t="s">
        <v>26913</v>
      </c>
      <c r="E2674" s="2" t="s">
        <v>26914</v>
      </c>
      <c r="G2674" s="3" t="s">
        <v>64</v>
      </c>
      <c r="I2674" s="3" t="s">
        <v>64</v>
      </c>
      <c r="J2674" s="3" t="s">
        <v>128</v>
      </c>
      <c r="K2674" s="3" t="s">
        <v>65</v>
      </c>
      <c r="L2674" s="2" t="s">
        <v>20510</v>
      </c>
      <c r="M2674" s="2" t="s">
        <v>26915</v>
      </c>
      <c r="N2674" s="3" t="s">
        <v>153</v>
      </c>
      <c r="O2674" s="2" t="s">
        <v>172</v>
      </c>
      <c r="P2674" s="3" t="s">
        <v>102</v>
      </c>
      <c r="R2674" s="3" t="s">
        <v>70</v>
      </c>
      <c r="S2674" s="4">
        <v>50</v>
      </c>
      <c r="T2674" s="4">
        <v>50</v>
      </c>
      <c r="U2674" s="5" t="s">
        <v>1326</v>
      </c>
      <c r="V2674" s="5" t="s">
        <v>1326</v>
      </c>
      <c r="W2674" s="5" t="s">
        <v>72</v>
      </c>
      <c r="X2674" s="5" t="s">
        <v>72</v>
      </c>
      <c r="Y2674" s="4">
        <v>164</v>
      </c>
      <c r="Z2674" s="4">
        <v>12</v>
      </c>
      <c r="AA2674" s="4">
        <v>30</v>
      </c>
      <c r="AB2674" s="4">
        <v>1</v>
      </c>
      <c r="AC2674" s="4">
        <v>6</v>
      </c>
      <c r="AD2674" s="4">
        <v>58</v>
      </c>
      <c r="AE2674" s="4">
        <v>104</v>
      </c>
      <c r="AF2674" s="4">
        <v>0</v>
      </c>
      <c r="AG2674" s="4">
        <v>3</v>
      </c>
      <c r="AH2674" s="4">
        <v>55</v>
      </c>
      <c r="AI2674" s="4">
        <v>92</v>
      </c>
      <c r="AJ2674" s="4">
        <v>8</v>
      </c>
      <c r="AK2674" s="4">
        <v>16</v>
      </c>
      <c r="AL2674" s="4">
        <v>33</v>
      </c>
      <c r="AM2674" s="4">
        <v>49</v>
      </c>
      <c r="AN2674" s="4">
        <v>0</v>
      </c>
      <c r="AO2674" s="4">
        <v>5</v>
      </c>
      <c r="AP2674" s="4">
        <v>9</v>
      </c>
      <c r="AQ2674" s="4">
        <v>17</v>
      </c>
      <c r="AR2674" s="3" t="s">
        <v>64</v>
      </c>
      <c r="AS2674" s="3" t="s">
        <v>128</v>
      </c>
      <c r="AT2674" s="3" t="s">
        <v>64</v>
      </c>
      <c r="AU2674" s="6" t="str">
        <f>HYPERLINK("http://catalog.hathitrust.org/Record/008953551","HathiTrust Record")</f>
        <v>HathiTrust Record</v>
      </c>
      <c r="AV2674" s="6" t="str">
        <f>HYPERLINK("http://mcgill.on.worldcat.org/oclc/40272834","Catalog Record")</f>
        <v>Catalog Record</v>
      </c>
      <c r="AW2674" s="6" t="str">
        <f>HYPERLINK("http://www.worldcat.org/oclc/40272834","WorldCat Record")</f>
        <v>WorldCat Record</v>
      </c>
      <c r="AX2674" s="3" t="s">
        <v>26916</v>
      </c>
      <c r="AY2674" s="3" t="s">
        <v>26917</v>
      </c>
      <c r="AZ2674" s="3" t="s">
        <v>26918</v>
      </c>
      <c r="BA2674" s="3" t="s">
        <v>26918</v>
      </c>
      <c r="BB2674" s="3" t="s">
        <v>26919</v>
      </c>
      <c r="BC2674" s="3" t="s">
        <v>77</v>
      </c>
      <c r="BD2674" s="3" t="s">
        <v>78</v>
      </c>
      <c r="BE2674" s="3" t="s">
        <v>26920</v>
      </c>
      <c r="BF2674" s="3" t="s">
        <v>26919</v>
      </c>
      <c r="BG2674" s="3" t="s">
        <v>26921</v>
      </c>
      <c r="BH2674">
        <f t="shared" si="65"/>
        <v>0</v>
      </c>
    </row>
    <row r="2675" spans="1:60" ht="58" x14ac:dyDescent="0.35">
      <c r="A2675" s="2" t="s">
        <v>59</v>
      </c>
      <c r="B2675" s="2" t="s">
        <v>60</v>
      </c>
      <c r="C2675" s="2" t="s">
        <v>26922</v>
      </c>
      <c r="D2675" s="2" t="s">
        <v>26923</v>
      </c>
      <c r="E2675" s="2" t="s">
        <v>26914</v>
      </c>
      <c r="G2675" s="3" t="s">
        <v>64</v>
      </c>
      <c r="I2675" s="3" t="s">
        <v>64</v>
      </c>
      <c r="J2675" s="3" t="s">
        <v>128</v>
      </c>
      <c r="K2675" s="3" t="s">
        <v>65</v>
      </c>
      <c r="L2675" s="2" t="s">
        <v>20510</v>
      </c>
      <c r="M2675" s="2" t="s">
        <v>26924</v>
      </c>
      <c r="N2675" s="3" t="s">
        <v>101</v>
      </c>
      <c r="O2675" s="2" t="s">
        <v>2994</v>
      </c>
      <c r="P2675" s="3" t="s">
        <v>102</v>
      </c>
      <c r="R2675" s="3" t="s">
        <v>70</v>
      </c>
      <c r="S2675" s="4">
        <v>14</v>
      </c>
      <c r="T2675" s="4">
        <v>14</v>
      </c>
      <c r="U2675" s="5" t="s">
        <v>26531</v>
      </c>
      <c r="V2675" s="5" t="s">
        <v>26531</v>
      </c>
      <c r="W2675" s="5" t="s">
        <v>72</v>
      </c>
      <c r="X2675" s="5" t="s">
        <v>72</v>
      </c>
      <c r="Y2675" s="4">
        <v>100</v>
      </c>
      <c r="Z2675" s="4">
        <v>9</v>
      </c>
      <c r="AA2675" s="4">
        <v>30</v>
      </c>
      <c r="AB2675" s="4">
        <v>2</v>
      </c>
      <c r="AC2675" s="4">
        <v>6</v>
      </c>
      <c r="AD2675" s="4">
        <v>25</v>
      </c>
      <c r="AE2675" s="4">
        <v>104</v>
      </c>
      <c r="AF2675" s="4">
        <v>0</v>
      </c>
      <c r="AG2675" s="4">
        <v>3</v>
      </c>
      <c r="AH2675" s="4">
        <v>23</v>
      </c>
      <c r="AI2675" s="4">
        <v>92</v>
      </c>
      <c r="AJ2675" s="4">
        <v>4</v>
      </c>
      <c r="AK2675" s="4">
        <v>16</v>
      </c>
      <c r="AL2675" s="4">
        <v>15</v>
      </c>
      <c r="AM2675" s="4">
        <v>49</v>
      </c>
      <c r="AN2675" s="4">
        <v>0</v>
      </c>
      <c r="AO2675" s="4">
        <v>5</v>
      </c>
      <c r="AP2675" s="4">
        <v>4</v>
      </c>
      <c r="AQ2675" s="4">
        <v>17</v>
      </c>
      <c r="AR2675" s="3" t="s">
        <v>64</v>
      </c>
      <c r="AS2675" s="3" t="s">
        <v>64</v>
      </c>
      <c r="AT2675" s="3" t="s">
        <v>64</v>
      </c>
      <c r="AV2675" s="6" t="str">
        <f>HYPERLINK("http://mcgill.on.worldcat.org/oclc/52815380","Catalog Record")</f>
        <v>Catalog Record</v>
      </c>
      <c r="AW2675" s="6" t="str">
        <f>HYPERLINK("http://www.worldcat.org/oclc/52815380","WorldCat Record")</f>
        <v>WorldCat Record</v>
      </c>
      <c r="AX2675" s="3" t="s">
        <v>26916</v>
      </c>
      <c r="AY2675" s="3" t="s">
        <v>26925</v>
      </c>
      <c r="AZ2675" s="3" t="s">
        <v>26926</v>
      </c>
      <c r="BA2675" s="3" t="s">
        <v>26926</v>
      </c>
      <c r="BB2675" s="3" t="s">
        <v>26927</v>
      </c>
      <c r="BC2675" s="3" t="s">
        <v>77</v>
      </c>
      <c r="BD2675" s="3" t="s">
        <v>78</v>
      </c>
      <c r="BE2675" s="3" t="s">
        <v>26928</v>
      </c>
      <c r="BF2675" s="3" t="s">
        <v>26927</v>
      </c>
      <c r="BG2675" s="3" t="s">
        <v>26929</v>
      </c>
      <c r="BH2675">
        <f t="shared" si="65"/>
        <v>0</v>
      </c>
    </row>
    <row r="2676" spans="1:60" ht="58" x14ac:dyDescent="0.35">
      <c r="A2676" s="2" t="s">
        <v>59</v>
      </c>
      <c r="B2676" s="2" t="s">
        <v>60</v>
      </c>
      <c r="C2676" s="2" t="s">
        <v>26930</v>
      </c>
      <c r="D2676" s="2" t="s">
        <v>26931</v>
      </c>
      <c r="E2676" s="2" t="s">
        <v>26932</v>
      </c>
      <c r="G2676" s="3" t="s">
        <v>64</v>
      </c>
      <c r="I2676" s="3" t="s">
        <v>64</v>
      </c>
      <c r="J2676" s="3" t="s">
        <v>64</v>
      </c>
      <c r="K2676" s="3" t="s">
        <v>65</v>
      </c>
      <c r="L2676" s="2" t="s">
        <v>26933</v>
      </c>
      <c r="M2676" s="2" t="s">
        <v>26934</v>
      </c>
      <c r="N2676" s="3" t="s">
        <v>551</v>
      </c>
      <c r="P2676" s="3" t="s">
        <v>68</v>
      </c>
      <c r="Q2676" s="2" t="s">
        <v>26935</v>
      </c>
      <c r="R2676" s="3" t="s">
        <v>70</v>
      </c>
      <c r="S2676" s="4">
        <v>2</v>
      </c>
      <c r="T2676" s="4">
        <v>2</v>
      </c>
      <c r="U2676" s="5" t="s">
        <v>423</v>
      </c>
      <c r="V2676" s="5" t="s">
        <v>423</v>
      </c>
      <c r="W2676" s="5" t="s">
        <v>72</v>
      </c>
      <c r="X2676" s="5" t="s">
        <v>72</v>
      </c>
      <c r="Y2676" s="4">
        <v>15</v>
      </c>
      <c r="Z2676" s="4">
        <v>4</v>
      </c>
      <c r="AA2676" s="4">
        <v>9</v>
      </c>
      <c r="AB2676" s="4">
        <v>2</v>
      </c>
      <c r="AC2676" s="4">
        <v>6</v>
      </c>
      <c r="AD2676" s="4">
        <v>6</v>
      </c>
      <c r="AE2676" s="4">
        <v>10</v>
      </c>
      <c r="AF2676" s="4">
        <v>0</v>
      </c>
      <c r="AG2676" s="4">
        <v>3</v>
      </c>
      <c r="AH2676" s="4">
        <v>6</v>
      </c>
      <c r="AI2676" s="4">
        <v>8</v>
      </c>
      <c r="AJ2676" s="4">
        <v>1</v>
      </c>
      <c r="AK2676" s="4">
        <v>5</v>
      </c>
      <c r="AL2676" s="4">
        <v>4</v>
      </c>
      <c r="AM2676" s="4">
        <v>4</v>
      </c>
      <c r="AN2676" s="4">
        <v>0</v>
      </c>
      <c r="AO2676" s="4">
        <v>0</v>
      </c>
      <c r="AP2676" s="4">
        <v>1</v>
      </c>
      <c r="AQ2676" s="4">
        <v>4</v>
      </c>
      <c r="AR2676" s="3" t="s">
        <v>64</v>
      </c>
      <c r="AS2676" s="3" t="s">
        <v>64</v>
      </c>
      <c r="AT2676" s="3" t="s">
        <v>64</v>
      </c>
      <c r="AV2676" s="6" t="str">
        <f>HYPERLINK("http://mcgill.on.worldcat.org/oclc/515401561","Catalog Record")</f>
        <v>Catalog Record</v>
      </c>
      <c r="AW2676" s="6" t="str">
        <f>HYPERLINK("http://www.worldcat.org/oclc/515401561","WorldCat Record")</f>
        <v>WorldCat Record</v>
      </c>
      <c r="AX2676" s="3" t="s">
        <v>26936</v>
      </c>
      <c r="AY2676" s="3" t="s">
        <v>26937</v>
      </c>
      <c r="AZ2676" s="3" t="s">
        <v>26938</v>
      </c>
      <c r="BA2676" s="3" t="s">
        <v>26938</v>
      </c>
      <c r="BB2676" s="3" t="s">
        <v>26939</v>
      </c>
      <c r="BC2676" s="3" t="s">
        <v>77</v>
      </c>
      <c r="BD2676" s="3" t="s">
        <v>78</v>
      </c>
      <c r="BE2676" s="3" t="s">
        <v>26940</v>
      </c>
      <c r="BF2676" s="3" t="s">
        <v>26939</v>
      </c>
      <c r="BG2676" s="3" t="s">
        <v>26941</v>
      </c>
      <c r="BH2676">
        <f t="shared" si="65"/>
        <v>0</v>
      </c>
    </row>
    <row r="2677" spans="1:60" ht="58" x14ac:dyDescent="0.35">
      <c r="A2677" s="2" t="s">
        <v>59</v>
      </c>
      <c r="B2677" s="2" t="s">
        <v>60</v>
      </c>
      <c r="C2677" s="2" t="s">
        <v>26942</v>
      </c>
      <c r="D2677" s="2" t="s">
        <v>26943</v>
      </c>
      <c r="E2677" s="2" t="s">
        <v>26944</v>
      </c>
      <c r="G2677" s="3" t="s">
        <v>64</v>
      </c>
      <c r="I2677" s="3" t="s">
        <v>64</v>
      </c>
      <c r="J2677" s="3" t="s">
        <v>128</v>
      </c>
      <c r="K2677" s="3" t="s">
        <v>65</v>
      </c>
      <c r="L2677" s="2" t="s">
        <v>26945</v>
      </c>
      <c r="M2677" s="2" t="s">
        <v>26946</v>
      </c>
      <c r="N2677" s="3" t="s">
        <v>1250</v>
      </c>
      <c r="P2677" s="3" t="s">
        <v>102</v>
      </c>
      <c r="Q2677" s="2" t="s">
        <v>11620</v>
      </c>
      <c r="R2677" s="3" t="s">
        <v>70</v>
      </c>
      <c r="S2677" s="4">
        <v>47</v>
      </c>
      <c r="T2677" s="4">
        <v>47</v>
      </c>
      <c r="U2677" s="5" t="s">
        <v>26947</v>
      </c>
      <c r="V2677" s="5" t="s">
        <v>26947</v>
      </c>
      <c r="W2677" s="5" t="s">
        <v>72</v>
      </c>
      <c r="X2677" s="5" t="s">
        <v>72</v>
      </c>
      <c r="Y2677" s="4">
        <v>469</v>
      </c>
      <c r="Z2677" s="4">
        <v>23</v>
      </c>
      <c r="AA2677" s="4">
        <v>47</v>
      </c>
      <c r="AB2677" s="4">
        <v>2</v>
      </c>
      <c r="AC2677" s="4">
        <v>7</v>
      </c>
      <c r="AD2677" s="4">
        <v>95</v>
      </c>
      <c r="AE2677" s="4">
        <v>116</v>
      </c>
      <c r="AF2677" s="4">
        <v>1</v>
      </c>
      <c r="AG2677" s="4">
        <v>3</v>
      </c>
      <c r="AH2677" s="4">
        <v>82</v>
      </c>
      <c r="AI2677" s="4">
        <v>97</v>
      </c>
      <c r="AJ2677" s="4">
        <v>14</v>
      </c>
      <c r="AK2677" s="4">
        <v>20</v>
      </c>
      <c r="AL2677" s="4">
        <v>43</v>
      </c>
      <c r="AM2677" s="4">
        <v>51</v>
      </c>
      <c r="AN2677" s="4">
        <v>0</v>
      </c>
      <c r="AO2677" s="4">
        <v>0</v>
      </c>
      <c r="AP2677" s="4">
        <v>16</v>
      </c>
      <c r="AQ2677" s="4">
        <v>25</v>
      </c>
      <c r="AR2677" s="3" t="s">
        <v>64</v>
      </c>
      <c r="AS2677" s="3" t="s">
        <v>64</v>
      </c>
      <c r="AT2677" s="3" t="s">
        <v>128</v>
      </c>
      <c r="AU2677" s="6" t="str">
        <f>HYPERLINK("http://catalog.hathitrust.org/Record/002860281","HathiTrust Record")</f>
        <v>HathiTrust Record</v>
      </c>
      <c r="AV2677" s="6" t="str">
        <f>HYPERLINK("http://mcgill.on.worldcat.org/oclc/28221838","Catalog Record")</f>
        <v>Catalog Record</v>
      </c>
      <c r="AW2677" s="6" t="str">
        <f>HYPERLINK("http://www.worldcat.org/oclc/28221838","WorldCat Record")</f>
        <v>WorldCat Record</v>
      </c>
      <c r="AX2677" s="3" t="s">
        <v>26948</v>
      </c>
      <c r="AY2677" s="3" t="s">
        <v>26949</v>
      </c>
      <c r="AZ2677" s="3" t="s">
        <v>26950</v>
      </c>
      <c r="BA2677" s="3" t="s">
        <v>26950</v>
      </c>
      <c r="BB2677" s="3" t="s">
        <v>26951</v>
      </c>
      <c r="BC2677" s="3" t="s">
        <v>77</v>
      </c>
      <c r="BD2677" s="3" t="s">
        <v>78</v>
      </c>
      <c r="BE2677" s="3" t="s">
        <v>26952</v>
      </c>
      <c r="BF2677" s="3" t="s">
        <v>26951</v>
      </c>
      <c r="BG2677" s="3" t="s">
        <v>26953</v>
      </c>
      <c r="BH2677">
        <f t="shared" si="65"/>
        <v>0</v>
      </c>
    </row>
    <row r="2678" spans="1:60" ht="58" x14ac:dyDescent="0.35">
      <c r="A2678" s="2" t="s">
        <v>59</v>
      </c>
      <c r="B2678" s="2" t="s">
        <v>60</v>
      </c>
      <c r="C2678" s="2" t="s">
        <v>26954</v>
      </c>
      <c r="D2678" s="2" t="s">
        <v>26955</v>
      </c>
      <c r="E2678" s="2" t="s">
        <v>26944</v>
      </c>
      <c r="G2678" s="3" t="s">
        <v>64</v>
      </c>
      <c r="I2678" s="3" t="s">
        <v>64</v>
      </c>
      <c r="J2678" s="3" t="s">
        <v>128</v>
      </c>
      <c r="K2678" s="3" t="s">
        <v>65</v>
      </c>
      <c r="L2678" s="2" t="s">
        <v>26945</v>
      </c>
      <c r="M2678" s="2" t="s">
        <v>26956</v>
      </c>
      <c r="N2678" s="3" t="s">
        <v>434</v>
      </c>
      <c r="O2678" s="2" t="s">
        <v>172</v>
      </c>
      <c r="P2678" s="3" t="s">
        <v>102</v>
      </c>
      <c r="Q2678" s="2" t="s">
        <v>11620</v>
      </c>
      <c r="R2678" s="3" t="s">
        <v>70</v>
      </c>
      <c r="S2678" s="4">
        <v>22</v>
      </c>
      <c r="T2678" s="4">
        <v>22</v>
      </c>
      <c r="U2678" s="5" t="s">
        <v>18743</v>
      </c>
      <c r="V2678" s="5" t="s">
        <v>18743</v>
      </c>
      <c r="W2678" s="5" t="s">
        <v>72</v>
      </c>
      <c r="X2678" s="5" t="s">
        <v>72</v>
      </c>
      <c r="Y2678" s="4">
        <v>368</v>
      </c>
      <c r="Z2678" s="4">
        <v>28</v>
      </c>
      <c r="AA2678" s="4">
        <v>47</v>
      </c>
      <c r="AB2678" s="4">
        <v>1</v>
      </c>
      <c r="AC2678" s="4">
        <v>7</v>
      </c>
      <c r="AD2678" s="4">
        <v>74</v>
      </c>
      <c r="AE2678" s="4">
        <v>116</v>
      </c>
      <c r="AF2678" s="4">
        <v>0</v>
      </c>
      <c r="AG2678" s="4">
        <v>3</v>
      </c>
      <c r="AH2678" s="4">
        <v>65</v>
      </c>
      <c r="AI2678" s="4">
        <v>97</v>
      </c>
      <c r="AJ2678" s="4">
        <v>13</v>
      </c>
      <c r="AK2678" s="4">
        <v>20</v>
      </c>
      <c r="AL2678" s="4">
        <v>37</v>
      </c>
      <c r="AM2678" s="4">
        <v>51</v>
      </c>
      <c r="AN2678" s="4">
        <v>0</v>
      </c>
      <c r="AO2678" s="4">
        <v>0</v>
      </c>
      <c r="AP2678" s="4">
        <v>16</v>
      </c>
      <c r="AQ2678" s="4">
        <v>25</v>
      </c>
      <c r="AR2678" s="3" t="s">
        <v>64</v>
      </c>
      <c r="AS2678" s="3" t="s">
        <v>64</v>
      </c>
      <c r="AT2678" s="3" t="s">
        <v>64</v>
      </c>
      <c r="AV2678" s="6" t="str">
        <f>HYPERLINK("http://mcgill.on.worldcat.org/oclc/57670073","Catalog Record")</f>
        <v>Catalog Record</v>
      </c>
      <c r="AW2678" s="6" t="str">
        <f>HYPERLINK("http://www.worldcat.org/oclc/57670073","WorldCat Record")</f>
        <v>WorldCat Record</v>
      </c>
      <c r="AX2678" s="3" t="s">
        <v>26948</v>
      </c>
      <c r="AY2678" s="3" t="s">
        <v>26957</v>
      </c>
      <c r="AZ2678" s="3" t="s">
        <v>26958</v>
      </c>
      <c r="BA2678" s="3" t="s">
        <v>26958</v>
      </c>
      <c r="BB2678" s="3" t="s">
        <v>26959</v>
      </c>
      <c r="BC2678" s="3" t="s">
        <v>77</v>
      </c>
      <c r="BD2678" s="3" t="s">
        <v>78</v>
      </c>
      <c r="BE2678" s="3" t="s">
        <v>26960</v>
      </c>
      <c r="BF2678" s="3" t="s">
        <v>26959</v>
      </c>
      <c r="BG2678" s="3" t="s">
        <v>26961</v>
      </c>
      <c r="BH2678">
        <f t="shared" si="65"/>
        <v>0</v>
      </c>
    </row>
    <row r="2679" spans="1:60" ht="58" x14ac:dyDescent="0.35">
      <c r="A2679" s="2" t="s">
        <v>59</v>
      </c>
      <c r="B2679" s="2" t="s">
        <v>60</v>
      </c>
      <c r="C2679" s="2" t="s">
        <v>26962</v>
      </c>
      <c r="D2679" s="2" t="s">
        <v>26963</v>
      </c>
      <c r="E2679" s="2" t="s">
        <v>26964</v>
      </c>
      <c r="G2679" s="3" t="s">
        <v>64</v>
      </c>
      <c r="I2679" s="3" t="s">
        <v>128</v>
      </c>
      <c r="J2679" s="3" t="s">
        <v>64</v>
      </c>
      <c r="K2679" s="3" t="s">
        <v>65</v>
      </c>
      <c r="M2679" s="2" t="s">
        <v>26965</v>
      </c>
      <c r="N2679" s="3" t="s">
        <v>421</v>
      </c>
      <c r="P2679" s="3" t="s">
        <v>102</v>
      </c>
      <c r="Q2679" s="2" t="s">
        <v>26966</v>
      </c>
      <c r="R2679" s="3" t="s">
        <v>70</v>
      </c>
      <c r="S2679" s="4">
        <v>3</v>
      </c>
      <c r="T2679" s="4">
        <v>31</v>
      </c>
      <c r="U2679" s="5" t="s">
        <v>26967</v>
      </c>
      <c r="V2679" s="5" t="s">
        <v>26968</v>
      </c>
      <c r="W2679" s="5" t="s">
        <v>72</v>
      </c>
      <c r="X2679" s="5" t="s">
        <v>72</v>
      </c>
      <c r="Y2679" s="4">
        <v>265</v>
      </c>
      <c r="Z2679" s="4">
        <v>13</v>
      </c>
      <c r="AA2679" s="4">
        <v>15</v>
      </c>
      <c r="AB2679" s="4">
        <v>2</v>
      </c>
      <c r="AC2679" s="4">
        <v>4</v>
      </c>
      <c r="AD2679" s="4">
        <v>66</v>
      </c>
      <c r="AE2679" s="4">
        <v>68</v>
      </c>
      <c r="AF2679" s="4">
        <v>1</v>
      </c>
      <c r="AG2679" s="4">
        <v>3</v>
      </c>
      <c r="AH2679" s="4">
        <v>60</v>
      </c>
      <c r="AI2679" s="4">
        <v>61</v>
      </c>
      <c r="AJ2679" s="4">
        <v>10</v>
      </c>
      <c r="AK2679" s="4">
        <v>12</v>
      </c>
      <c r="AL2679" s="4">
        <v>32</v>
      </c>
      <c r="AM2679" s="4">
        <v>32</v>
      </c>
      <c r="AN2679" s="4">
        <v>0</v>
      </c>
      <c r="AO2679" s="4">
        <v>0</v>
      </c>
      <c r="AP2679" s="4">
        <v>11</v>
      </c>
      <c r="AQ2679" s="4">
        <v>13</v>
      </c>
      <c r="AR2679" s="3" t="s">
        <v>64</v>
      </c>
      <c r="AS2679" s="3" t="s">
        <v>64</v>
      </c>
      <c r="AT2679" s="3" t="s">
        <v>64</v>
      </c>
      <c r="AV2679" s="6" t="str">
        <f>HYPERLINK("http://mcgill.on.worldcat.org/oclc/36798066","Catalog Record")</f>
        <v>Catalog Record</v>
      </c>
      <c r="AW2679" s="6" t="str">
        <f>HYPERLINK("http://www.worldcat.org/oclc/36798066","WorldCat Record")</f>
        <v>WorldCat Record</v>
      </c>
      <c r="AX2679" s="3" t="s">
        <v>26969</v>
      </c>
      <c r="AY2679" s="3" t="s">
        <v>26970</v>
      </c>
      <c r="AZ2679" s="3" t="s">
        <v>26971</v>
      </c>
      <c r="BA2679" s="3" t="s">
        <v>26971</v>
      </c>
      <c r="BB2679" s="3" t="s">
        <v>26972</v>
      </c>
      <c r="BC2679" s="3" t="s">
        <v>77</v>
      </c>
      <c r="BD2679" s="3" t="s">
        <v>78</v>
      </c>
      <c r="BE2679" s="3" t="s">
        <v>26973</v>
      </c>
      <c r="BF2679" s="3" t="s">
        <v>26972</v>
      </c>
      <c r="BG2679" s="3" t="s">
        <v>26974</v>
      </c>
      <c r="BH2679">
        <f t="shared" si="65"/>
        <v>0</v>
      </c>
    </row>
    <row r="2680" spans="1:60" ht="58" x14ac:dyDescent="0.35">
      <c r="A2680" s="2" t="s">
        <v>59</v>
      </c>
      <c r="B2680" s="2" t="s">
        <v>60</v>
      </c>
      <c r="C2680" s="2" t="s">
        <v>26962</v>
      </c>
      <c r="D2680" s="2" t="s">
        <v>26963</v>
      </c>
      <c r="E2680" s="2" t="s">
        <v>26964</v>
      </c>
      <c r="G2680" s="3" t="s">
        <v>64</v>
      </c>
      <c r="I2680" s="3" t="s">
        <v>128</v>
      </c>
      <c r="J2680" s="3" t="s">
        <v>64</v>
      </c>
      <c r="K2680" s="3" t="s">
        <v>65</v>
      </c>
      <c r="M2680" s="2" t="s">
        <v>26965</v>
      </c>
      <c r="N2680" s="3" t="s">
        <v>421</v>
      </c>
      <c r="P2680" s="3" t="s">
        <v>102</v>
      </c>
      <c r="Q2680" s="2" t="s">
        <v>26966</v>
      </c>
      <c r="R2680" s="3" t="s">
        <v>70</v>
      </c>
      <c r="S2680" s="4">
        <v>28</v>
      </c>
      <c r="T2680" s="4">
        <v>31</v>
      </c>
      <c r="U2680" s="5" t="s">
        <v>26968</v>
      </c>
      <c r="V2680" s="5" t="s">
        <v>26968</v>
      </c>
      <c r="W2680" s="5" t="s">
        <v>72</v>
      </c>
      <c r="X2680" s="5" t="s">
        <v>72</v>
      </c>
      <c r="Y2680" s="4">
        <v>265</v>
      </c>
      <c r="Z2680" s="4">
        <v>13</v>
      </c>
      <c r="AA2680" s="4">
        <v>15</v>
      </c>
      <c r="AB2680" s="4">
        <v>2</v>
      </c>
      <c r="AC2680" s="4">
        <v>4</v>
      </c>
      <c r="AD2680" s="4">
        <v>66</v>
      </c>
      <c r="AE2680" s="4">
        <v>68</v>
      </c>
      <c r="AF2680" s="4">
        <v>1</v>
      </c>
      <c r="AG2680" s="4">
        <v>3</v>
      </c>
      <c r="AH2680" s="4">
        <v>60</v>
      </c>
      <c r="AI2680" s="4">
        <v>61</v>
      </c>
      <c r="AJ2680" s="4">
        <v>10</v>
      </c>
      <c r="AK2680" s="4">
        <v>12</v>
      </c>
      <c r="AL2680" s="4">
        <v>32</v>
      </c>
      <c r="AM2680" s="4">
        <v>32</v>
      </c>
      <c r="AN2680" s="4">
        <v>0</v>
      </c>
      <c r="AO2680" s="4">
        <v>0</v>
      </c>
      <c r="AP2680" s="4">
        <v>11</v>
      </c>
      <c r="AQ2680" s="4">
        <v>13</v>
      </c>
      <c r="AR2680" s="3" t="s">
        <v>64</v>
      </c>
      <c r="AS2680" s="3" t="s">
        <v>64</v>
      </c>
      <c r="AT2680" s="3" t="s">
        <v>64</v>
      </c>
      <c r="AV2680" s="6" t="str">
        <f>HYPERLINK("http://mcgill.on.worldcat.org/oclc/36798066","Catalog Record")</f>
        <v>Catalog Record</v>
      </c>
      <c r="AW2680" s="6" t="str">
        <f>HYPERLINK("http://www.worldcat.org/oclc/36798066","WorldCat Record")</f>
        <v>WorldCat Record</v>
      </c>
      <c r="AX2680" s="3" t="s">
        <v>26969</v>
      </c>
      <c r="AY2680" s="3" t="s">
        <v>26970</v>
      </c>
      <c r="AZ2680" s="3" t="s">
        <v>26971</v>
      </c>
      <c r="BA2680" s="3" t="s">
        <v>26971</v>
      </c>
      <c r="BB2680" s="3" t="s">
        <v>26975</v>
      </c>
      <c r="BC2680" s="3" t="s">
        <v>77</v>
      </c>
      <c r="BD2680" s="3" t="s">
        <v>165</v>
      </c>
      <c r="BE2680" s="3" t="s">
        <v>26973</v>
      </c>
      <c r="BF2680" s="3" t="s">
        <v>26975</v>
      </c>
      <c r="BG2680" s="3" t="s">
        <v>26976</v>
      </c>
      <c r="BH2680">
        <f t="shared" si="65"/>
        <v>0</v>
      </c>
    </row>
    <row r="2681" spans="1:60" ht="58" x14ac:dyDescent="0.35">
      <c r="A2681" s="2" t="s">
        <v>59</v>
      </c>
      <c r="B2681" s="2" t="s">
        <v>60</v>
      </c>
      <c r="C2681" s="2" t="s">
        <v>26977</v>
      </c>
      <c r="D2681" s="2" t="s">
        <v>26978</v>
      </c>
      <c r="E2681" s="2" t="s">
        <v>26979</v>
      </c>
      <c r="G2681" s="3" t="s">
        <v>64</v>
      </c>
      <c r="I2681" s="3" t="s">
        <v>64</v>
      </c>
      <c r="J2681" s="3" t="s">
        <v>64</v>
      </c>
      <c r="K2681" s="3" t="s">
        <v>65</v>
      </c>
      <c r="L2681" s="2" t="s">
        <v>15028</v>
      </c>
      <c r="M2681" s="2" t="s">
        <v>26980</v>
      </c>
      <c r="N2681" s="3" t="s">
        <v>1047</v>
      </c>
      <c r="P2681" s="3" t="s">
        <v>102</v>
      </c>
      <c r="Q2681" s="2" t="s">
        <v>17211</v>
      </c>
      <c r="R2681" s="3" t="s">
        <v>70</v>
      </c>
      <c r="S2681" s="4">
        <v>22</v>
      </c>
      <c r="T2681" s="4">
        <v>22</v>
      </c>
      <c r="U2681" s="5" t="s">
        <v>2924</v>
      </c>
      <c r="V2681" s="5" t="s">
        <v>2924</v>
      </c>
      <c r="W2681" s="5" t="s">
        <v>72</v>
      </c>
      <c r="X2681" s="5" t="s">
        <v>72</v>
      </c>
      <c r="Y2681" s="4">
        <v>231</v>
      </c>
      <c r="Z2681" s="4">
        <v>10</v>
      </c>
      <c r="AA2681" s="4">
        <v>17</v>
      </c>
      <c r="AB2681" s="4">
        <v>1</v>
      </c>
      <c r="AC2681" s="4">
        <v>2</v>
      </c>
      <c r="AD2681" s="4">
        <v>59</v>
      </c>
      <c r="AE2681" s="4">
        <v>74</v>
      </c>
      <c r="AF2681" s="4">
        <v>0</v>
      </c>
      <c r="AG2681" s="4">
        <v>1</v>
      </c>
      <c r="AH2681" s="4">
        <v>54</v>
      </c>
      <c r="AI2681" s="4">
        <v>65</v>
      </c>
      <c r="AJ2681" s="4">
        <v>8</v>
      </c>
      <c r="AK2681" s="4">
        <v>12</v>
      </c>
      <c r="AL2681" s="4">
        <v>34</v>
      </c>
      <c r="AM2681" s="4">
        <v>37</v>
      </c>
      <c r="AN2681" s="4">
        <v>0</v>
      </c>
      <c r="AO2681" s="4">
        <v>3</v>
      </c>
      <c r="AP2681" s="4">
        <v>7</v>
      </c>
      <c r="AQ2681" s="4">
        <v>11</v>
      </c>
      <c r="AR2681" s="3" t="s">
        <v>64</v>
      </c>
      <c r="AS2681" s="3" t="s">
        <v>64</v>
      </c>
      <c r="AT2681" s="3" t="s">
        <v>128</v>
      </c>
      <c r="AU2681" s="6" t="str">
        <f>HYPERLINK("http://catalog.hathitrust.org/Record/000223788","HathiTrust Record")</f>
        <v>HathiTrust Record</v>
      </c>
      <c r="AV2681" s="6" t="str">
        <f>HYPERLINK("http://mcgill.on.worldcat.org/oclc/8406934","Catalog Record")</f>
        <v>Catalog Record</v>
      </c>
      <c r="AW2681" s="6" t="str">
        <f>HYPERLINK("http://www.worldcat.org/oclc/8406934","WorldCat Record")</f>
        <v>WorldCat Record</v>
      </c>
      <c r="AX2681" s="3" t="s">
        <v>26981</v>
      </c>
      <c r="AY2681" s="3" t="s">
        <v>26982</v>
      </c>
      <c r="AZ2681" s="3" t="s">
        <v>26983</v>
      </c>
      <c r="BA2681" s="3" t="s">
        <v>26983</v>
      </c>
      <c r="BB2681" s="3" t="s">
        <v>26984</v>
      </c>
      <c r="BC2681" s="3" t="s">
        <v>77</v>
      </c>
      <c r="BD2681" s="3" t="s">
        <v>78</v>
      </c>
      <c r="BE2681" s="3" t="s">
        <v>26985</v>
      </c>
      <c r="BF2681" s="3" t="s">
        <v>26984</v>
      </c>
      <c r="BG2681" s="3" t="s">
        <v>26986</v>
      </c>
      <c r="BH2681">
        <f t="shared" si="65"/>
        <v>0</v>
      </c>
    </row>
    <row r="2682" spans="1:60" ht="58" x14ac:dyDescent="0.35">
      <c r="A2682" s="2" t="s">
        <v>59</v>
      </c>
      <c r="B2682" s="2" t="s">
        <v>60</v>
      </c>
      <c r="C2682" s="2" t="s">
        <v>26987</v>
      </c>
      <c r="D2682" s="2" t="s">
        <v>26988</v>
      </c>
      <c r="E2682" s="2" t="s">
        <v>26989</v>
      </c>
      <c r="G2682" s="3" t="s">
        <v>64</v>
      </c>
      <c r="I2682" s="3" t="s">
        <v>64</v>
      </c>
      <c r="J2682" s="3" t="s">
        <v>64</v>
      </c>
      <c r="K2682" s="3" t="s">
        <v>65</v>
      </c>
      <c r="L2682" s="2" t="s">
        <v>26990</v>
      </c>
      <c r="M2682" s="2" t="s">
        <v>26991</v>
      </c>
      <c r="N2682" s="3" t="s">
        <v>1275</v>
      </c>
      <c r="O2682" s="2" t="s">
        <v>2149</v>
      </c>
      <c r="P2682" s="3" t="s">
        <v>102</v>
      </c>
      <c r="R2682" s="3" t="s">
        <v>70</v>
      </c>
      <c r="S2682" s="4">
        <v>10</v>
      </c>
      <c r="T2682" s="4">
        <v>10</v>
      </c>
      <c r="U2682" s="5" t="s">
        <v>1493</v>
      </c>
      <c r="V2682" s="5" t="s">
        <v>1493</v>
      </c>
      <c r="W2682" s="5" t="s">
        <v>72</v>
      </c>
      <c r="X2682" s="5" t="s">
        <v>72</v>
      </c>
      <c r="Y2682" s="4">
        <v>35</v>
      </c>
      <c r="Z2682" s="4">
        <v>5</v>
      </c>
      <c r="AA2682" s="4">
        <v>6</v>
      </c>
      <c r="AB2682" s="4">
        <v>1</v>
      </c>
      <c r="AC2682" s="4">
        <v>2</v>
      </c>
      <c r="AD2682" s="4">
        <v>10</v>
      </c>
      <c r="AE2682" s="4">
        <v>11</v>
      </c>
      <c r="AF2682" s="4">
        <v>0</v>
      </c>
      <c r="AG2682" s="4">
        <v>1</v>
      </c>
      <c r="AH2682" s="4">
        <v>10</v>
      </c>
      <c r="AI2682" s="4">
        <v>10</v>
      </c>
      <c r="AJ2682" s="4">
        <v>3</v>
      </c>
      <c r="AK2682" s="4">
        <v>4</v>
      </c>
      <c r="AL2682" s="4">
        <v>7</v>
      </c>
      <c r="AM2682" s="4">
        <v>7</v>
      </c>
      <c r="AN2682" s="4">
        <v>0</v>
      </c>
      <c r="AO2682" s="4">
        <v>0</v>
      </c>
      <c r="AP2682" s="4">
        <v>3</v>
      </c>
      <c r="AQ2682" s="4">
        <v>3</v>
      </c>
      <c r="AR2682" s="3" t="s">
        <v>64</v>
      </c>
      <c r="AS2682" s="3" t="s">
        <v>64</v>
      </c>
      <c r="AT2682" s="3" t="s">
        <v>64</v>
      </c>
      <c r="AV2682" s="6" t="str">
        <f>HYPERLINK("http://mcgill.on.worldcat.org/oclc/56545702","Catalog Record")</f>
        <v>Catalog Record</v>
      </c>
      <c r="AW2682" s="6" t="str">
        <f>HYPERLINK("http://www.worldcat.org/oclc/56545702","WorldCat Record")</f>
        <v>WorldCat Record</v>
      </c>
      <c r="AX2682" s="3" t="s">
        <v>26992</v>
      </c>
      <c r="AY2682" s="3" t="s">
        <v>26993</v>
      </c>
      <c r="AZ2682" s="3" t="s">
        <v>26994</v>
      </c>
      <c r="BA2682" s="3" t="s">
        <v>26994</v>
      </c>
      <c r="BB2682" s="3" t="s">
        <v>26995</v>
      </c>
      <c r="BC2682" s="3" t="s">
        <v>77</v>
      </c>
      <c r="BD2682" s="3" t="s">
        <v>78</v>
      </c>
      <c r="BE2682" s="3" t="s">
        <v>26996</v>
      </c>
      <c r="BF2682" s="3" t="s">
        <v>26995</v>
      </c>
      <c r="BG2682" s="3" t="s">
        <v>26997</v>
      </c>
      <c r="BH2682">
        <f t="shared" si="65"/>
        <v>0</v>
      </c>
    </row>
    <row r="2683" spans="1:60" ht="58" x14ac:dyDescent="0.35">
      <c r="A2683" s="2" t="s">
        <v>59</v>
      </c>
      <c r="B2683" s="2" t="s">
        <v>60</v>
      </c>
      <c r="C2683" s="2" t="s">
        <v>26998</v>
      </c>
      <c r="D2683" s="2" t="s">
        <v>26999</v>
      </c>
      <c r="E2683" s="2" t="s">
        <v>27000</v>
      </c>
      <c r="G2683" s="3" t="s">
        <v>64</v>
      </c>
      <c r="I2683" s="3" t="s">
        <v>64</v>
      </c>
      <c r="J2683" s="3" t="s">
        <v>64</v>
      </c>
      <c r="K2683" s="3" t="s">
        <v>65</v>
      </c>
      <c r="L2683" s="2" t="s">
        <v>27001</v>
      </c>
      <c r="M2683" s="2" t="s">
        <v>27002</v>
      </c>
      <c r="N2683" s="3" t="s">
        <v>551</v>
      </c>
      <c r="P2683" s="3" t="s">
        <v>102</v>
      </c>
      <c r="Q2683" s="2" t="s">
        <v>27003</v>
      </c>
      <c r="R2683" s="3" t="s">
        <v>70</v>
      </c>
      <c r="S2683" s="4">
        <v>26</v>
      </c>
      <c r="T2683" s="4">
        <v>26</v>
      </c>
      <c r="U2683" s="5" t="s">
        <v>27004</v>
      </c>
      <c r="V2683" s="5" t="s">
        <v>27004</v>
      </c>
      <c r="W2683" s="5" t="s">
        <v>72</v>
      </c>
      <c r="X2683" s="5" t="s">
        <v>72</v>
      </c>
      <c r="Y2683" s="4">
        <v>182</v>
      </c>
      <c r="Z2683" s="4">
        <v>18</v>
      </c>
      <c r="AA2683" s="4">
        <v>19</v>
      </c>
      <c r="AB2683" s="4">
        <v>2</v>
      </c>
      <c r="AC2683" s="4">
        <v>3</v>
      </c>
      <c r="AD2683" s="4">
        <v>43</v>
      </c>
      <c r="AE2683" s="4">
        <v>44</v>
      </c>
      <c r="AF2683" s="4">
        <v>0</v>
      </c>
      <c r="AG2683" s="4">
        <v>1</v>
      </c>
      <c r="AH2683" s="4">
        <v>35</v>
      </c>
      <c r="AI2683" s="4">
        <v>36</v>
      </c>
      <c r="AJ2683" s="4">
        <v>8</v>
      </c>
      <c r="AK2683" s="4">
        <v>9</v>
      </c>
      <c r="AL2683" s="4">
        <v>19</v>
      </c>
      <c r="AM2683" s="4">
        <v>19</v>
      </c>
      <c r="AN2683" s="4">
        <v>0</v>
      </c>
      <c r="AO2683" s="4">
        <v>0</v>
      </c>
      <c r="AP2683" s="4">
        <v>11</v>
      </c>
      <c r="AQ2683" s="4">
        <v>12</v>
      </c>
      <c r="AR2683" s="3" t="s">
        <v>64</v>
      </c>
      <c r="AS2683" s="3" t="s">
        <v>64</v>
      </c>
      <c r="AT2683" s="3" t="s">
        <v>128</v>
      </c>
      <c r="AU2683" s="6" t="str">
        <f>HYPERLINK("http://catalog.hathitrust.org/Record/005963561","HathiTrust Record")</f>
        <v>HathiTrust Record</v>
      </c>
      <c r="AV2683" s="6" t="str">
        <f>HYPERLINK("http://mcgill.on.worldcat.org/oclc/310398752","Catalog Record")</f>
        <v>Catalog Record</v>
      </c>
      <c r="AW2683" s="6" t="str">
        <f>HYPERLINK("http://www.worldcat.org/oclc/310398752","WorldCat Record")</f>
        <v>WorldCat Record</v>
      </c>
      <c r="AX2683" s="3" t="s">
        <v>27005</v>
      </c>
      <c r="AY2683" s="3" t="s">
        <v>27006</v>
      </c>
      <c r="AZ2683" s="3" t="s">
        <v>27007</v>
      </c>
      <c r="BA2683" s="3" t="s">
        <v>27007</v>
      </c>
      <c r="BB2683" s="3" t="s">
        <v>27008</v>
      </c>
      <c r="BC2683" s="3" t="s">
        <v>77</v>
      </c>
      <c r="BD2683" s="3" t="s">
        <v>165</v>
      </c>
      <c r="BE2683" s="3" t="s">
        <v>27009</v>
      </c>
      <c r="BF2683" s="3" t="s">
        <v>27008</v>
      </c>
      <c r="BG2683" s="3" t="s">
        <v>27010</v>
      </c>
      <c r="BH2683">
        <f t="shared" si="65"/>
        <v>0</v>
      </c>
    </row>
    <row r="2684" spans="1:60" ht="58" x14ac:dyDescent="0.35">
      <c r="A2684" s="2" t="s">
        <v>59</v>
      </c>
      <c r="B2684" s="2" t="s">
        <v>60</v>
      </c>
      <c r="C2684" s="2" t="s">
        <v>27011</v>
      </c>
      <c r="D2684" s="2" t="s">
        <v>27012</v>
      </c>
      <c r="E2684" s="2" t="s">
        <v>27013</v>
      </c>
      <c r="G2684" s="3" t="s">
        <v>64</v>
      </c>
      <c r="I2684" s="3" t="s">
        <v>64</v>
      </c>
      <c r="J2684" s="3" t="s">
        <v>64</v>
      </c>
      <c r="K2684" s="3" t="s">
        <v>65</v>
      </c>
      <c r="L2684" s="2" t="s">
        <v>27014</v>
      </c>
      <c r="M2684" s="2" t="s">
        <v>27015</v>
      </c>
      <c r="N2684" s="3" t="s">
        <v>7935</v>
      </c>
      <c r="P2684" s="3" t="s">
        <v>102</v>
      </c>
      <c r="R2684" s="3" t="s">
        <v>70</v>
      </c>
      <c r="S2684" s="4">
        <v>9</v>
      </c>
      <c r="T2684" s="4">
        <v>9</v>
      </c>
      <c r="U2684" s="5" t="s">
        <v>539</v>
      </c>
      <c r="V2684" s="5" t="s">
        <v>539</v>
      </c>
      <c r="W2684" s="5" t="s">
        <v>72</v>
      </c>
      <c r="X2684" s="5" t="s">
        <v>72</v>
      </c>
      <c r="Y2684" s="4">
        <v>68</v>
      </c>
      <c r="Z2684" s="4">
        <v>1</v>
      </c>
      <c r="AA2684" s="4">
        <v>8</v>
      </c>
      <c r="AB2684" s="4">
        <v>1</v>
      </c>
      <c r="AC2684" s="4">
        <v>2</v>
      </c>
      <c r="AD2684" s="4">
        <v>31</v>
      </c>
      <c r="AE2684" s="4">
        <v>48</v>
      </c>
      <c r="AF2684" s="4">
        <v>0</v>
      </c>
      <c r="AG2684" s="4">
        <v>1</v>
      </c>
      <c r="AH2684" s="4">
        <v>30</v>
      </c>
      <c r="AI2684" s="4">
        <v>44</v>
      </c>
      <c r="AJ2684" s="4">
        <v>0</v>
      </c>
      <c r="AK2684" s="4">
        <v>5</v>
      </c>
      <c r="AL2684" s="4">
        <v>18</v>
      </c>
      <c r="AM2684" s="4">
        <v>26</v>
      </c>
      <c r="AN2684" s="4">
        <v>0</v>
      </c>
      <c r="AO2684" s="4">
        <v>0</v>
      </c>
      <c r="AP2684" s="4">
        <v>0</v>
      </c>
      <c r="AQ2684" s="4">
        <v>5</v>
      </c>
      <c r="AR2684" s="3" t="s">
        <v>64</v>
      </c>
      <c r="AS2684" s="3" t="s">
        <v>128</v>
      </c>
      <c r="AT2684" s="3" t="s">
        <v>64</v>
      </c>
      <c r="AU2684" s="6" t="str">
        <f>HYPERLINK("http://catalog.hathitrust.org/Record/001163204","HathiTrust Record")</f>
        <v>HathiTrust Record</v>
      </c>
      <c r="AV2684" s="6" t="str">
        <f>HYPERLINK("http://mcgill.on.worldcat.org/oclc/3555189","Catalog Record")</f>
        <v>Catalog Record</v>
      </c>
      <c r="AW2684" s="6" t="str">
        <f>HYPERLINK("http://www.worldcat.org/oclc/3555189","WorldCat Record")</f>
        <v>WorldCat Record</v>
      </c>
      <c r="AX2684" s="3" t="s">
        <v>27016</v>
      </c>
      <c r="AY2684" s="3" t="s">
        <v>27017</v>
      </c>
      <c r="AZ2684" s="3" t="s">
        <v>27018</v>
      </c>
      <c r="BA2684" s="3" t="s">
        <v>27018</v>
      </c>
      <c r="BB2684" s="3" t="s">
        <v>27019</v>
      </c>
      <c r="BC2684" s="3" t="s">
        <v>77</v>
      </c>
      <c r="BD2684" s="3" t="s">
        <v>78</v>
      </c>
      <c r="BF2684" s="3" t="s">
        <v>27019</v>
      </c>
      <c r="BG2684" s="3" t="s">
        <v>27020</v>
      </c>
      <c r="BH2684">
        <f t="shared" si="65"/>
        <v>0</v>
      </c>
    </row>
    <row r="2685" spans="1:60" ht="58" x14ac:dyDescent="0.35">
      <c r="A2685" s="2" t="s">
        <v>59</v>
      </c>
      <c r="B2685" s="2" t="s">
        <v>60</v>
      </c>
      <c r="C2685" s="2" t="s">
        <v>27021</v>
      </c>
      <c r="D2685" s="2" t="s">
        <v>27022</v>
      </c>
      <c r="E2685" s="2" t="s">
        <v>27023</v>
      </c>
      <c r="G2685" s="3" t="s">
        <v>64</v>
      </c>
      <c r="I2685" s="3" t="s">
        <v>128</v>
      </c>
      <c r="J2685" s="3" t="s">
        <v>64</v>
      </c>
      <c r="K2685" s="3" t="s">
        <v>65</v>
      </c>
      <c r="L2685" s="2" t="s">
        <v>27024</v>
      </c>
      <c r="M2685" s="2" t="s">
        <v>27025</v>
      </c>
      <c r="N2685" s="3" t="s">
        <v>979</v>
      </c>
      <c r="O2685" s="2" t="s">
        <v>172</v>
      </c>
      <c r="P2685" s="3" t="s">
        <v>102</v>
      </c>
      <c r="R2685" s="3" t="s">
        <v>70</v>
      </c>
      <c r="S2685" s="4">
        <v>7</v>
      </c>
      <c r="T2685" s="4">
        <v>14</v>
      </c>
      <c r="U2685" s="5" t="s">
        <v>27026</v>
      </c>
      <c r="V2685" s="5" t="s">
        <v>17303</v>
      </c>
      <c r="W2685" s="5" t="s">
        <v>72</v>
      </c>
      <c r="X2685" s="5" t="s">
        <v>72</v>
      </c>
      <c r="Y2685" s="4">
        <v>112</v>
      </c>
      <c r="Z2685" s="4">
        <v>5</v>
      </c>
      <c r="AA2685" s="4">
        <v>5</v>
      </c>
      <c r="AB2685" s="4">
        <v>1</v>
      </c>
      <c r="AC2685" s="4">
        <v>1</v>
      </c>
      <c r="AD2685" s="4">
        <v>35</v>
      </c>
      <c r="AE2685" s="4">
        <v>35</v>
      </c>
      <c r="AF2685" s="4">
        <v>0</v>
      </c>
      <c r="AG2685" s="4">
        <v>0</v>
      </c>
      <c r="AH2685" s="4">
        <v>34</v>
      </c>
      <c r="AI2685" s="4">
        <v>34</v>
      </c>
      <c r="AJ2685" s="4">
        <v>2</v>
      </c>
      <c r="AK2685" s="4">
        <v>2</v>
      </c>
      <c r="AL2685" s="4">
        <v>19</v>
      </c>
      <c r="AM2685" s="4">
        <v>19</v>
      </c>
      <c r="AN2685" s="4">
        <v>0</v>
      </c>
      <c r="AO2685" s="4">
        <v>0</v>
      </c>
      <c r="AP2685" s="4">
        <v>2</v>
      </c>
      <c r="AQ2685" s="4">
        <v>2</v>
      </c>
      <c r="AR2685" s="3" t="s">
        <v>64</v>
      </c>
      <c r="AS2685" s="3" t="s">
        <v>64</v>
      </c>
      <c r="AT2685" s="3" t="s">
        <v>64</v>
      </c>
      <c r="AV2685" s="6" t="str">
        <f>HYPERLINK("http://mcgill.on.worldcat.org/oclc/44267580","Catalog Record")</f>
        <v>Catalog Record</v>
      </c>
      <c r="AW2685" s="6" t="str">
        <f>HYPERLINK("http://www.worldcat.org/oclc/44267580","WorldCat Record")</f>
        <v>WorldCat Record</v>
      </c>
      <c r="AX2685" s="3" t="s">
        <v>27027</v>
      </c>
      <c r="AY2685" s="3" t="s">
        <v>27028</v>
      </c>
      <c r="AZ2685" s="3" t="s">
        <v>27029</v>
      </c>
      <c r="BA2685" s="3" t="s">
        <v>27029</v>
      </c>
      <c r="BB2685" s="3" t="s">
        <v>27030</v>
      </c>
      <c r="BC2685" s="3" t="s">
        <v>77</v>
      </c>
      <c r="BD2685" s="3" t="s">
        <v>78</v>
      </c>
      <c r="BE2685" s="3" t="s">
        <v>27031</v>
      </c>
      <c r="BF2685" s="3" t="s">
        <v>27030</v>
      </c>
      <c r="BG2685" s="3" t="s">
        <v>27032</v>
      </c>
      <c r="BH2685">
        <f t="shared" si="65"/>
        <v>0</v>
      </c>
    </row>
    <row r="2686" spans="1:60" ht="58" x14ac:dyDescent="0.35">
      <c r="A2686" s="2" t="s">
        <v>59</v>
      </c>
      <c r="B2686" s="2" t="s">
        <v>60</v>
      </c>
      <c r="C2686" s="2" t="s">
        <v>27021</v>
      </c>
      <c r="D2686" s="2" t="s">
        <v>27022</v>
      </c>
      <c r="E2686" s="2" t="s">
        <v>27023</v>
      </c>
      <c r="G2686" s="3" t="s">
        <v>64</v>
      </c>
      <c r="I2686" s="3" t="s">
        <v>128</v>
      </c>
      <c r="J2686" s="3" t="s">
        <v>64</v>
      </c>
      <c r="K2686" s="3" t="s">
        <v>65</v>
      </c>
      <c r="L2686" s="2" t="s">
        <v>27024</v>
      </c>
      <c r="M2686" s="2" t="s">
        <v>27025</v>
      </c>
      <c r="N2686" s="3" t="s">
        <v>979</v>
      </c>
      <c r="O2686" s="2" t="s">
        <v>172</v>
      </c>
      <c r="P2686" s="3" t="s">
        <v>102</v>
      </c>
      <c r="R2686" s="3" t="s">
        <v>70</v>
      </c>
      <c r="S2686" s="4">
        <v>7</v>
      </c>
      <c r="T2686" s="4">
        <v>14</v>
      </c>
      <c r="U2686" s="5" t="s">
        <v>17303</v>
      </c>
      <c r="V2686" s="5" t="s">
        <v>17303</v>
      </c>
      <c r="W2686" s="5" t="s">
        <v>72</v>
      </c>
      <c r="X2686" s="5" t="s">
        <v>72</v>
      </c>
      <c r="Y2686" s="4">
        <v>112</v>
      </c>
      <c r="Z2686" s="4">
        <v>5</v>
      </c>
      <c r="AA2686" s="4">
        <v>5</v>
      </c>
      <c r="AB2686" s="4">
        <v>1</v>
      </c>
      <c r="AC2686" s="4">
        <v>1</v>
      </c>
      <c r="AD2686" s="4">
        <v>35</v>
      </c>
      <c r="AE2686" s="4">
        <v>35</v>
      </c>
      <c r="AF2686" s="4">
        <v>0</v>
      </c>
      <c r="AG2686" s="4">
        <v>0</v>
      </c>
      <c r="AH2686" s="4">
        <v>34</v>
      </c>
      <c r="AI2686" s="4">
        <v>34</v>
      </c>
      <c r="AJ2686" s="4">
        <v>2</v>
      </c>
      <c r="AK2686" s="4">
        <v>2</v>
      </c>
      <c r="AL2686" s="4">
        <v>19</v>
      </c>
      <c r="AM2686" s="4">
        <v>19</v>
      </c>
      <c r="AN2686" s="4">
        <v>0</v>
      </c>
      <c r="AO2686" s="4">
        <v>0</v>
      </c>
      <c r="AP2686" s="4">
        <v>2</v>
      </c>
      <c r="AQ2686" s="4">
        <v>2</v>
      </c>
      <c r="AR2686" s="3" t="s">
        <v>64</v>
      </c>
      <c r="AS2686" s="3" t="s">
        <v>64</v>
      </c>
      <c r="AT2686" s="3" t="s">
        <v>64</v>
      </c>
      <c r="AV2686" s="6" t="str">
        <f>HYPERLINK("http://mcgill.on.worldcat.org/oclc/44267580","Catalog Record")</f>
        <v>Catalog Record</v>
      </c>
      <c r="AW2686" s="6" t="str">
        <f>HYPERLINK("http://www.worldcat.org/oclc/44267580","WorldCat Record")</f>
        <v>WorldCat Record</v>
      </c>
      <c r="AX2686" s="3" t="s">
        <v>27027</v>
      </c>
      <c r="AY2686" s="3" t="s">
        <v>27028</v>
      </c>
      <c r="AZ2686" s="3" t="s">
        <v>27029</v>
      </c>
      <c r="BA2686" s="3" t="s">
        <v>27029</v>
      </c>
      <c r="BB2686" s="3" t="s">
        <v>27033</v>
      </c>
      <c r="BC2686" s="3" t="s">
        <v>77</v>
      </c>
      <c r="BD2686" s="3" t="s">
        <v>78</v>
      </c>
      <c r="BE2686" s="3" t="s">
        <v>27031</v>
      </c>
      <c r="BF2686" s="3" t="s">
        <v>27033</v>
      </c>
      <c r="BG2686" s="3" t="s">
        <v>27034</v>
      </c>
      <c r="BH2686">
        <f t="shared" si="65"/>
        <v>0</v>
      </c>
    </row>
    <row r="2687" spans="1:60" ht="58" x14ac:dyDescent="0.35">
      <c r="A2687" s="2" t="s">
        <v>59</v>
      </c>
      <c r="B2687" s="2" t="s">
        <v>60</v>
      </c>
      <c r="C2687" s="2" t="s">
        <v>27035</v>
      </c>
      <c r="D2687" s="2" t="s">
        <v>27036</v>
      </c>
      <c r="E2687" s="2" t="s">
        <v>27037</v>
      </c>
      <c r="G2687" s="3" t="s">
        <v>64</v>
      </c>
      <c r="I2687" s="3" t="s">
        <v>64</v>
      </c>
      <c r="J2687" s="3" t="s">
        <v>128</v>
      </c>
      <c r="K2687" s="3" t="s">
        <v>65</v>
      </c>
      <c r="L2687" s="2" t="s">
        <v>27038</v>
      </c>
      <c r="M2687" s="2" t="s">
        <v>27039</v>
      </c>
      <c r="N2687" s="3" t="s">
        <v>3549</v>
      </c>
      <c r="P2687" s="3" t="s">
        <v>102</v>
      </c>
      <c r="R2687" s="3" t="s">
        <v>70</v>
      </c>
      <c r="S2687" s="4">
        <v>8</v>
      </c>
      <c r="T2687" s="4">
        <v>8</v>
      </c>
      <c r="U2687" s="5" t="s">
        <v>17821</v>
      </c>
      <c r="V2687" s="5" t="s">
        <v>17821</v>
      </c>
      <c r="W2687" s="5" t="s">
        <v>72</v>
      </c>
      <c r="X2687" s="5" t="s">
        <v>72</v>
      </c>
      <c r="Y2687" s="4">
        <v>229</v>
      </c>
      <c r="Z2687" s="4">
        <v>8</v>
      </c>
      <c r="AA2687" s="4">
        <v>11</v>
      </c>
      <c r="AB2687" s="4">
        <v>1</v>
      </c>
      <c r="AC2687" s="4">
        <v>1</v>
      </c>
      <c r="AD2687" s="4">
        <v>71</v>
      </c>
      <c r="AE2687" s="4">
        <v>89</v>
      </c>
      <c r="AF2687" s="4">
        <v>0</v>
      </c>
      <c r="AG2687" s="4">
        <v>0</v>
      </c>
      <c r="AH2687" s="4">
        <v>69</v>
      </c>
      <c r="AI2687" s="4">
        <v>84</v>
      </c>
      <c r="AJ2687" s="4">
        <v>5</v>
      </c>
      <c r="AK2687" s="4">
        <v>8</v>
      </c>
      <c r="AL2687" s="4">
        <v>41</v>
      </c>
      <c r="AM2687" s="4">
        <v>53</v>
      </c>
      <c r="AN2687" s="4">
        <v>5</v>
      </c>
      <c r="AO2687" s="4">
        <v>5</v>
      </c>
      <c r="AP2687" s="4">
        <v>5</v>
      </c>
      <c r="AQ2687" s="4">
        <v>7</v>
      </c>
      <c r="AR2687" s="3" t="s">
        <v>64</v>
      </c>
      <c r="AS2687" s="3" t="s">
        <v>64</v>
      </c>
      <c r="AT2687" s="3" t="s">
        <v>128</v>
      </c>
      <c r="AU2687" s="6" t="str">
        <f>HYPERLINK("http://catalog.hathitrust.org/Record/001163211","HathiTrust Record")</f>
        <v>HathiTrust Record</v>
      </c>
      <c r="AV2687" s="6" t="str">
        <f>HYPERLINK("http://mcgill.on.worldcat.org/oclc/1336969","Catalog Record")</f>
        <v>Catalog Record</v>
      </c>
      <c r="AW2687" s="6" t="str">
        <f>HYPERLINK("http://www.worldcat.org/oclc/1336969","WorldCat Record")</f>
        <v>WorldCat Record</v>
      </c>
      <c r="AX2687" s="3" t="s">
        <v>27040</v>
      </c>
      <c r="AY2687" s="3" t="s">
        <v>27041</v>
      </c>
      <c r="AZ2687" s="3" t="s">
        <v>27042</v>
      </c>
      <c r="BA2687" s="3" t="s">
        <v>27042</v>
      </c>
      <c r="BB2687" s="3" t="s">
        <v>27043</v>
      </c>
      <c r="BC2687" s="3" t="s">
        <v>77</v>
      </c>
      <c r="BD2687" s="3" t="s">
        <v>78</v>
      </c>
      <c r="BF2687" s="3" t="s">
        <v>27043</v>
      </c>
      <c r="BG2687" s="3" t="s">
        <v>27044</v>
      </c>
      <c r="BH2687">
        <f t="shared" si="65"/>
        <v>0</v>
      </c>
    </row>
    <row r="2688" spans="1:60" ht="58" x14ac:dyDescent="0.35">
      <c r="A2688" s="2" t="s">
        <v>59</v>
      </c>
      <c r="B2688" s="2" t="s">
        <v>60</v>
      </c>
      <c r="C2688" s="2" t="s">
        <v>27045</v>
      </c>
      <c r="D2688" s="2" t="s">
        <v>27046</v>
      </c>
      <c r="E2688" s="2" t="s">
        <v>27047</v>
      </c>
      <c r="G2688" s="3" t="s">
        <v>64</v>
      </c>
      <c r="I2688" s="3" t="s">
        <v>64</v>
      </c>
      <c r="J2688" s="3" t="s">
        <v>128</v>
      </c>
      <c r="K2688" s="3" t="s">
        <v>65</v>
      </c>
      <c r="L2688" s="2" t="s">
        <v>27038</v>
      </c>
      <c r="M2688" s="2" t="s">
        <v>27048</v>
      </c>
      <c r="N2688" s="3" t="s">
        <v>4872</v>
      </c>
      <c r="P2688" s="3" t="s">
        <v>102</v>
      </c>
      <c r="R2688" s="3" t="s">
        <v>70</v>
      </c>
      <c r="S2688" s="4">
        <v>5</v>
      </c>
      <c r="T2688" s="4">
        <v>5</v>
      </c>
      <c r="U2688" s="5" t="s">
        <v>21196</v>
      </c>
      <c r="V2688" s="5" t="s">
        <v>21196</v>
      </c>
      <c r="W2688" s="5" t="s">
        <v>72</v>
      </c>
      <c r="X2688" s="5" t="s">
        <v>72</v>
      </c>
      <c r="Y2688" s="4">
        <v>38</v>
      </c>
      <c r="Z2688" s="4">
        <v>1</v>
      </c>
      <c r="AA2688" s="4">
        <v>11</v>
      </c>
      <c r="AB2688" s="4">
        <v>1</v>
      </c>
      <c r="AC2688" s="4">
        <v>1</v>
      </c>
      <c r="AD2688" s="4">
        <v>11</v>
      </c>
      <c r="AE2688" s="4">
        <v>89</v>
      </c>
      <c r="AF2688" s="4">
        <v>0</v>
      </c>
      <c r="AG2688" s="4">
        <v>0</v>
      </c>
      <c r="AH2688" s="4">
        <v>11</v>
      </c>
      <c r="AI2688" s="4">
        <v>84</v>
      </c>
      <c r="AJ2688" s="4">
        <v>0</v>
      </c>
      <c r="AK2688" s="4">
        <v>8</v>
      </c>
      <c r="AL2688" s="4">
        <v>8</v>
      </c>
      <c r="AM2688" s="4">
        <v>53</v>
      </c>
      <c r="AN2688" s="4">
        <v>0</v>
      </c>
      <c r="AO2688" s="4">
        <v>5</v>
      </c>
      <c r="AP2688" s="4">
        <v>0</v>
      </c>
      <c r="AQ2688" s="4">
        <v>7</v>
      </c>
      <c r="AR2688" s="3" t="s">
        <v>64</v>
      </c>
      <c r="AS2688" s="3" t="s">
        <v>64</v>
      </c>
      <c r="AT2688" s="3" t="s">
        <v>64</v>
      </c>
      <c r="AV2688" s="6" t="str">
        <f>HYPERLINK("http://mcgill.on.worldcat.org/oclc/1172554","Catalog Record")</f>
        <v>Catalog Record</v>
      </c>
      <c r="AW2688" s="6" t="str">
        <f>HYPERLINK("http://www.worldcat.org/oclc/1172554","WorldCat Record")</f>
        <v>WorldCat Record</v>
      </c>
      <c r="AX2688" s="3" t="s">
        <v>27040</v>
      </c>
      <c r="AY2688" s="3" t="s">
        <v>27049</v>
      </c>
      <c r="AZ2688" s="3" t="s">
        <v>27050</v>
      </c>
      <c r="BA2688" s="3" t="s">
        <v>27050</v>
      </c>
      <c r="BB2688" s="3" t="s">
        <v>27051</v>
      </c>
      <c r="BC2688" s="3" t="s">
        <v>77</v>
      </c>
      <c r="BD2688" s="3" t="s">
        <v>78</v>
      </c>
      <c r="BF2688" s="3" t="s">
        <v>27051</v>
      </c>
      <c r="BG2688" s="3" t="s">
        <v>27052</v>
      </c>
      <c r="BH2688">
        <f t="shared" si="65"/>
        <v>0</v>
      </c>
    </row>
    <row r="2689" spans="1:60" ht="58" x14ac:dyDescent="0.35">
      <c r="A2689" s="2" t="s">
        <v>59</v>
      </c>
      <c r="B2689" s="2" t="s">
        <v>60</v>
      </c>
      <c r="C2689" s="2" t="s">
        <v>27053</v>
      </c>
      <c r="D2689" s="2" t="s">
        <v>27054</v>
      </c>
      <c r="E2689" s="2" t="s">
        <v>27055</v>
      </c>
      <c r="G2689" s="3" t="s">
        <v>64</v>
      </c>
      <c r="I2689" s="3" t="s">
        <v>64</v>
      </c>
      <c r="J2689" s="3" t="s">
        <v>128</v>
      </c>
      <c r="K2689" s="3" t="s">
        <v>65</v>
      </c>
      <c r="L2689" s="2" t="s">
        <v>27056</v>
      </c>
      <c r="M2689" s="2" t="s">
        <v>27057</v>
      </c>
      <c r="N2689" s="3" t="s">
        <v>304</v>
      </c>
      <c r="O2689" s="2" t="s">
        <v>745</v>
      </c>
      <c r="P2689" s="3" t="s">
        <v>102</v>
      </c>
      <c r="R2689" s="3" t="s">
        <v>70</v>
      </c>
      <c r="S2689" s="4">
        <v>4</v>
      </c>
      <c r="T2689" s="4">
        <v>4</v>
      </c>
      <c r="U2689" s="5" t="s">
        <v>19981</v>
      </c>
      <c r="V2689" s="5" t="s">
        <v>19981</v>
      </c>
      <c r="W2689" s="5" t="s">
        <v>72</v>
      </c>
      <c r="X2689" s="5" t="s">
        <v>72</v>
      </c>
      <c r="Y2689" s="4">
        <v>287</v>
      </c>
      <c r="Z2689" s="4">
        <v>10</v>
      </c>
      <c r="AA2689" s="4">
        <v>16</v>
      </c>
      <c r="AB2689" s="4">
        <v>1</v>
      </c>
      <c r="AC2689" s="4">
        <v>2</v>
      </c>
      <c r="AD2689" s="4">
        <v>77</v>
      </c>
      <c r="AE2689" s="4">
        <v>105</v>
      </c>
      <c r="AF2689" s="4">
        <v>0</v>
      </c>
      <c r="AG2689" s="4">
        <v>1</v>
      </c>
      <c r="AH2689" s="4">
        <v>69</v>
      </c>
      <c r="AI2689" s="4">
        <v>96</v>
      </c>
      <c r="AJ2689" s="4">
        <v>7</v>
      </c>
      <c r="AK2689" s="4">
        <v>11</v>
      </c>
      <c r="AL2689" s="4">
        <v>44</v>
      </c>
      <c r="AM2689" s="4">
        <v>56</v>
      </c>
      <c r="AN2689" s="4">
        <v>0</v>
      </c>
      <c r="AO2689" s="4">
        <v>5</v>
      </c>
      <c r="AP2689" s="4">
        <v>6</v>
      </c>
      <c r="AQ2689" s="4">
        <v>10</v>
      </c>
      <c r="AR2689" s="3" t="s">
        <v>64</v>
      </c>
      <c r="AS2689" s="3" t="s">
        <v>128</v>
      </c>
      <c r="AT2689" s="3" t="s">
        <v>64</v>
      </c>
      <c r="AU2689" s="6" t="str">
        <f>HYPERLINK("http://catalog.hathitrust.org/Record/001163217","HathiTrust Record")</f>
        <v>HathiTrust Record</v>
      </c>
      <c r="AV2689" s="6" t="str">
        <f>HYPERLINK("http://mcgill.on.worldcat.org/oclc/574357","Catalog Record")</f>
        <v>Catalog Record</v>
      </c>
      <c r="AW2689" s="6" t="str">
        <f>HYPERLINK("http://www.worldcat.org/oclc/574357","WorldCat Record")</f>
        <v>WorldCat Record</v>
      </c>
      <c r="AX2689" s="3" t="s">
        <v>27058</v>
      </c>
      <c r="AY2689" s="3" t="s">
        <v>27059</v>
      </c>
      <c r="AZ2689" s="3" t="s">
        <v>27060</v>
      </c>
      <c r="BA2689" s="3" t="s">
        <v>27060</v>
      </c>
      <c r="BB2689" s="3" t="s">
        <v>27061</v>
      </c>
      <c r="BC2689" s="3" t="s">
        <v>77</v>
      </c>
      <c r="BD2689" s="3" t="s">
        <v>78</v>
      </c>
      <c r="BF2689" s="3" t="s">
        <v>27061</v>
      </c>
      <c r="BG2689" s="3" t="s">
        <v>27062</v>
      </c>
      <c r="BH2689">
        <f t="shared" si="65"/>
        <v>0</v>
      </c>
    </row>
    <row r="2690" spans="1:60" ht="58" x14ac:dyDescent="0.35">
      <c r="A2690" s="2" t="s">
        <v>59</v>
      </c>
      <c r="B2690" s="2" t="s">
        <v>60</v>
      </c>
      <c r="C2690" s="2" t="s">
        <v>27063</v>
      </c>
      <c r="D2690" s="2" t="s">
        <v>27064</v>
      </c>
      <c r="E2690" s="2" t="s">
        <v>27065</v>
      </c>
      <c r="G2690" s="3" t="s">
        <v>64</v>
      </c>
      <c r="I2690" s="3" t="s">
        <v>64</v>
      </c>
      <c r="J2690" s="3" t="s">
        <v>64</v>
      </c>
      <c r="K2690" s="3" t="s">
        <v>65</v>
      </c>
      <c r="L2690" s="2" t="s">
        <v>26040</v>
      </c>
      <c r="M2690" s="2" t="s">
        <v>27066</v>
      </c>
      <c r="N2690" s="3" t="s">
        <v>1017</v>
      </c>
      <c r="O2690" s="2" t="s">
        <v>27067</v>
      </c>
      <c r="P2690" s="3" t="s">
        <v>102</v>
      </c>
      <c r="R2690" s="3" t="s">
        <v>70</v>
      </c>
      <c r="S2690" s="4">
        <v>1</v>
      </c>
      <c r="T2690" s="4">
        <v>1</v>
      </c>
      <c r="U2690" s="5" t="s">
        <v>19981</v>
      </c>
      <c r="V2690" s="5" t="s">
        <v>19981</v>
      </c>
      <c r="W2690" s="5" t="s">
        <v>72</v>
      </c>
      <c r="X2690" s="5" t="s">
        <v>72</v>
      </c>
      <c r="Y2690" s="4">
        <v>121</v>
      </c>
      <c r="Z2690" s="4">
        <v>11</v>
      </c>
      <c r="AA2690" s="4">
        <v>31</v>
      </c>
      <c r="AB2690" s="4">
        <v>2</v>
      </c>
      <c r="AC2690" s="4">
        <v>4</v>
      </c>
      <c r="AD2690" s="4">
        <v>45</v>
      </c>
      <c r="AE2690" s="4">
        <v>99</v>
      </c>
      <c r="AF2690" s="4">
        <v>0</v>
      </c>
      <c r="AG2690" s="4">
        <v>1</v>
      </c>
      <c r="AH2690" s="4">
        <v>40</v>
      </c>
      <c r="AI2690" s="4">
        <v>87</v>
      </c>
      <c r="AJ2690" s="4">
        <v>6</v>
      </c>
      <c r="AK2690" s="4">
        <v>16</v>
      </c>
      <c r="AL2690" s="4">
        <v>24</v>
      </c>
      <c r="AM2690" s="4">
        <v>46</v>
      </c>
      <c r="AN2690" s="4">
        <v>0</v>
      </c>
      <c r="AO2690" s="4">
        <v>0</v>
      </c>
      <c r="AP2690" s="4">
        <v>5</v>
      </c>
      <c r="AQ2690" s="4">
        <v>17</v>
      </c>
      <c r="AR2690" s="3" t="s">
        <v>64</v>
      </c>
      <c r="AS2690" s="3" t="s">
        <v>64</v>
      </c>
      <c r="AT2690" s="3" t="s">
        <v>128</v>
      </c>
      <c r="AU2690" s="6" t="str">
        <f>HYPERLINK("http://catalog.hathitrust.org/Record/001163223","HathiTrust Record")</f>
        <v>HathiTrust Record</v>
      </c>
      <c r="AV2690" s="6" t="str">
        <f>HYPERLINK("http://mcgill.on.worldcat.org/oclc/124880","Catalog Record")</f>
        <v>Catalog Record</v>
      </c>
      <c r="AW2690" s="6" t="str">
        <f>HYPERLINK("http://www.worldcat.org/oclc/124880","WorldCat Record")</f>
        <v>WorldCat Record</v>
      </c>
      <c r="AX2690" s="3" t="s">
        <v>27068</v>
      </c>
      <c r="AY2690" s="3" t="s">
        <v>27069</v>
      </c>
      <c r="AZ2690" s="3" t="s">
        <v>27070</v>
      </c>
      <c r="BA2690" s="3" t="s">
        <v>27070</v>
      </c>
      <c r="BB2690" s="3" t="s">
        <v>27071</v>
      </c>
      <c r="BC2690" s="3" t="s">
        <v>77</v>
      </c>
      <c r="BD2690" s="3" t="s">
        <v>78</v>
      </c>
      <c r="BE2690" s="3" t="s">
        <v>27072</v>
      </c>
      <c r="BF2690" s="3" t="s">
        <v>27071</v>
      </c>
      <c r="BG2690" s="3" t="s">
        <v>27073</v>
      </c>
      <c r="BH2690">
        <f t="shared" ref="BH2690:BH2753" si="66">IF(COUNTIF($BF$1:$BF$5431,BF2690)=1,0,1)</f>
        <v>0</v>
      </c>
    </row>
    <row r="2691" spans="1:60" ht="58" x14ac:dyDescent="0.35">
      <c r="A2691" s="2" t="s">
        <v>59</v>
      </c>
      <c r="B2691" s="2" t="s">
        <v>60</v>
      </c>
      <c r="C2691" s="2" t="s">
        <v>27074</v>
      </c>
      <c r="D2691" s="2" t="s">
        <v>27075</v>
      </c>
      <c r="E2691" s="2" t="s">
        <v>27076</v>
      </c>
      <c r="G2691" s="3" t="s">
        <v>64</v>
      </c>
      <c r="I2691" s="3" t="s">
        <v>64</v>
      </c>
      <c r="J2691" s="3" t="s">
        <v>64</v>
      </c>
      <c r="K2691" s="3" t="s">
        <v>65</v>
      </c>
      <c r="L2691" s="2" t="s">
        <v>27077</v>
      </c>
      <c r="M2691" s="2" t="s">
        <v>27078</v>
      </c>
      <c r="N2691" s="3" t="s">
        <v>378</v>
      </c>
      <c r="P2691" s="3" t="s">
        <v>102</v>
      </c>
      <c r="R2691" s="3" t="s">
        <v>70</v>
      </c>
      <c r="S2691" s="4">
        <v>2</v>
      </c>
      <c r="T2691" s="4">
        <v>2</v>
      </c>
      <c r="U2691" s="5" t="s">
        <v>19981</v>
      </c>
      <c r="V2691" s="5" t="s">
        <v>19981</v>
      </c>
      <c r="W2691" s="5" t="s">
        <v>72</v>
      </c>
      <c r="X2691" s="5" t="s">
        <v>72</v>
      </c>
      <c r="Y2691" s="4">
        <v>119</v>
      </c>
      <c r="Z2691" s="4">
        <v>10</v>
      </c>
      <c r="AA2691" s="4">
        <v>12</v>
      </c>
      <c r="AB2691" s="4">
        <v>1</v>
      </c>
      <c r="AC2691" s="4">
        <v>3</v>
      </c>
      <c r="AD2691" s="4">
        <v>33</v>
      </c>
      <c r="AE2691" s="4">
        <v>35</v>
      </c>
      <c r="AF2691" s="4">
        <v>0</v>
      </c>
      <c r="AG2691" s="4">
        <v>2</v>
      </c>
      <c r="AH2691" s="4">
        <v>30</v>
      </c>
      <c r="AI2691" s="4">
        <v>31</v>
      </c>
      <c r="AJ2691" s="4">
        <v>7</v>
      </c>
      <c r="AK2691" s="4">
        <v>9</v>
      </c>
      <c r="AL2691" s="4">
        <v>17</v>
      </c>
      <c r="AM2691" s="4">
        <v>17</v>
      </c>
      <c r="AN2691" s="4">
        <v>5</v>
      </c>
      <c r="AO2691" s="4">
        <v>5</v>
      </c>
      <c r="AP2691" s="4">
        <v>6</v>
      </c>
      <c r="AQ2691" s="4">
        <v>7</v>
      </c>
      <c r="AR2691" s="3" t="s">
        <v>64</v>
      </c>
      <c r="AS2691" s="3" t="s">
        <v>64</v>
      </c>
      <c r="AT2691" s="3" t="s">
        <v>128</v>
      </c>
      <c r="AU2691" s="6" t="str">
        <f>HYPERLINK("http://catalog.hathitrust.org/Record/006187394","HathiTrust Record")</f>
        <v>HathiTrust Record</v>
      </c>
      <c r="AV2691" s="6" t="str">
        <f>HYPERLINK("http://mcgill.on.worldcat.org/oclc/15134371","Catalog Record")</f>
        <v>Catalog Record</v>
      </c>
      <c r="AW2691" s="6" t="str">
        <f>HYPERLINK("http://www.worldcat.org/oclc/15134371","WorldCat Record")</f>
        <v>WorldCat Record</v>
      </c>
      <c r="AX2691" s="3" t="s">
        <v>27079</v>
      </c>
      <c r="AY2691" s="3" t="s">
        <v>27080</v>
      </c>
      <c r="AZ2691" s="3" t="s">
        <v>27081</v>
      </c>
      <c r="BA2691" s="3" t="s">
        <v>27081</v>
      </c>
      <c r="BB2691" s="3" t="s">
        <v>27082</v>
      </c>
      <c r="BC2691" s="3" t="s">
        <v>77</v>
      </c>
      <c r="BD2691" s="3" t="s">
        <v>78</v>
      </c>
      <c r="BE2691" s="3" t="s">
        <v>27083</v>
      </c>
      <c r="BF2691" s="3" t="s">
        <v>27082</v>
      </c>
      <c r="BG2691" s="3" t="s">
        <v>27084</v>
      </c>
      <c r="BH2691">
        <f t="shared" si="66"/>
        <v>0</v>
      </c>
    </row>
    <row r="2692" spans="1:60" ht="101.5" x14ac:dyDescent="0.35">
      <c r="A2692" s="2" t="s">
        <v>59</v>
      </c>
      <c r="B2692" s="2" t="s">
        <v>60</v>
      </c>
      <c r="C2692" s="2" t="s">
        <v>27085</v>
      </c>
      <c r="D2692" s="2" t="s">
        <v>27086</v>
      </c>
      <c r="E2692" s="2" t="s">
        <v>27087</v>
      </c>
      <c r="G2692" s="3" t="s">
        <v>64</v>
      </c>
      <c r="I2692" s="3" t="s">
        <v>64</v>
      </c>
      <c r="J2692" s="3" t="s">
        <v>64</v>
      </c>
      <c r="K2692" s="3" t="s">
        <v>65</v>
      </c>
      <c r="L2692" s="2" t="s">
        <v>27088</v>
      </c>
      <c r="N2692" s="3" t="s">
        <v>6324</v>
      </c>
      <c r="O2692" s="2" t="s">
        <v>27089</v>
      </c>
      <c r="P2692" s="3" t="s">
        <v>102</v>
      </c>
      <c r="R2692" s="3" t="s">
        <v>70</v>
      </c>
      <c r="S2692" s="4">
        <v>1</v>
      </c>
      <c r="T2692" s="4">
        <v>1</v>
      </c>
      <c r="U2692" s="5" t="s">
        <v>19981</v>
      </c>
      <c r="V2692" s="5" t="s">
        <v>19981</v>
      </c>
      <c r="W2692" s="5" t="s">
        <v>72</v>
      </c>
      <c r="X2692" s="5" t="s">
        <v>72</v>
      </c>
      <c r="Y2692" s="4">
        <v>14</v>
      </c>
      <c r="Z2692" s="4">
        <v>1</v>
      </c>
      <c r="AA2692" s="4">
        <v>2</v>
      </c>
      <c r="AB2692" s="4">
        <v>1</v>
      </c>
      <c r="AC2692" s="4">
        <v>1</v>
      </c>
      <c r="AD2692" s="4">
        <v>7</v>
      </c>
      <c r="AE2692" s="4">
        <v>11</v>
      </c>
      <c r="AF2692" s="4">
        <v>0</v>
      </c>
      <c r="AG2692" s="4">
        <v>0</v>
      </c>
      <c r="AH2692" s="4">
        <v>6</v>
      </c>
      <c r="AI2692" s="4">
        <v>9</v>
      </c>
      <c r="AJ2692" s="4">
        <v>0</v>
      </c>
      <c r="AK2692" s="4">
        <v>1</v>
      </c>
      <c r="AL2692" s="4">
        <v>6</v>
      </c>
      <c r="AM2692" s="4">
        <v>9</v>
      </c>
      <c r="AN2692" s="4">
        <v>0</v>
      </c>
      <c r="AO2692" s="4">
        <v>0</v>
      </c>
      <c r="AP2692" s="4">
        <v>0</v>
      </c>
      <c r="AQ2692" s="4">
        <v>0</v>
      </c>
      <c r="AR2692" s="3" t="s">
        <v>64</v>
      </c>
      <c r="AS2692" s="3" t="s">
        <v>64</v>
      </c>
      <c r="AT2692" s="3" t="s">
        <v>64</v>
      </c>
      <c r="AV2692" s="6" t="str">
        <f>HYPERLINK("http://mcgill.on.worldcat.org/oclc/11225710","Catalog Record")</f>
        <v>Catalog Record</v>
      </c>
      <c r="AW2692" s="6" t="str">
        <f>HYPERLINK("http://www.worldcat.org/oclc/11225710","WorldCat Record")</f>
        <v>WorldCat Record</v>
      </c>
      <c r="AX2692" s="3" t="s">
        <v>27090</v>
      </c>
      <c r="AY2692" s="3" t="s">
        <v>27091</v>
      </c>
      <c r="AZ2692" s="3" t="s">
        <v>27092</v>
      </c>
      <c r="BA2692" s="3" t="s">
        <v>27092</v>
      </c>
      <c r="BB2692" s="3" t="s">
        <v>27093</v>
      </c>
      <c r="BC2692" s="3" t="s">
        <v>77</v>
      </c>
      <c r="BD2692" s="3" t="s">
        <v>78</v>
      </c>
      <c r="BF2692" s="3" t="s">
        <v>27093</v>
      </c>
      <c r="BG2692" s="3" t="s">
        <v>27094</v>
      </c>
      <c r="BH2692">
        <f t="shared" si="66"/>
        <v>0</v>
      </c>
    </row>
    <row r="2693" spans="1:60" ht="130.5" x14ac:dyDescent="0.35">
      <c r="A2693" s="2" t="s">
        <v>59</v>
      </c>
      <c r="B2693" s="2" t="s">
        <v>60</v>
      </c>
      <c r="C2693" s="2" t="s">
        <v>27095</v>
      </c>
      <c r="D2693" s="2" t="s">
        <v>27096</v>
      </c>
      <c r="E2693" s="2" t="s">
        <v>27097</v>
      </c>
      <c r="G2693" s="3" t="s">
        <v>64</v>
      </c>
      <c r="I2693" s="3" t="s">
        <v>64</v>
      </c>
      <c r="J2693" s="3" t="s">
        <v>64</v>
      </c>
      <c r="K2693" s="3" t="s">
        <v>65</v>
      </c>
      <c r="L2693" s="2" t="s">
        <v>27098</v>
      </c>
      <c r="M2693" s="2" t="s">
        <v>27099</v>
      </c>
      <c r="N2693" s="3" t="s">
        <v>456</v>
      </c>
      <c r="O2693" s="2" t="s">
        <v>27100</v>
      </c>
      <c r="P2693" s="3" t="s">
        <v>102</v>
      </c>
      <c r="Q2693" s="2" t="s">
        <v>27101</v>
      </c>
      <c r="R2693" s="3" t="s">
        <v>70</v>
      </c>
      <c r="S2693" s="4">
        <v>1</v>
      </c>
      <c r="T2693" s="4">
        <v>1</v>
      </c>
      <c r="U2693" s="5" t="s">
        <v>19981</v>
      </c>
      <c r="V2693" s="5" t="s">
        <v>19981</v>
      </c>
      <c r="W2693" s="5" t="s">
        <v>72</v>
      </c>
      <c r="X2693" s="5" t="s">
        <v>72</v>
      </c>
      <c r="Y2693" s="4">
        <v>234</v>
      </c>
      <c r="Z2693" s="4">
        <v>8</v>
      </c>
      <c r="AA2693" s="4">
        <v>16</v>
      </c>
      <c r="AB2693" s="4">
        <v>2</v>
      </c>
      <c r="AC2693" s="4">
        <v>3</v>
      </c>
      <c r="AD2693" s="4">
        <v>80</v>
      </c>
      <c r="AE2693" s="4">
        <v>90</v>
      </c>
      <c r="AF2693" s="4">
        <v>1</v>
      </c>
      <c r="AG2693" s="4">
        <v>2</v>
      </c>
      <c r="AH2693" s="4">
        <v>71</v>
      </c>
      <c r="AI2693" s="4">
        <v>77</v>
      </c>
      <c r="AJ2693" s="4">
        <v>6</v>
      </c>
      <c r="AK2693" s="4">
        <v>12</v>
      </c>
      <c r="AL2693" s="4">
        <v>50</v>
      </c>
      <c r="AM2693" s="4">
        <v>52</v>
      </c>
      <c r="AN2693" s="4">
        <v>0</v>
      </c>
      <c r="AO2693" s="4">
        <v>0</v>
      </c>
      <c r="AP2693" s="4">
        <v>7</v>
      </c>
      <c r="AQ2693" s="4">
        <v>12</v>
      </c>
      <c r="AR2693" s="3" t="s">
        <v>64</v>
      </c>
      <c r="AS2693" s="3" t="s">
        <v>64</v>
      </c>
      <c r="AT2693" s="3" t="s">
        <v>128</v>
      </c>
      <c r="AU2693" s="6" t="str">
        <f>HYPERLINK("http://catalog.hathitrust.org/Record/001474850","HathiTrust Record")</f>
        <v>HathiTrust Record</v>
      </c>
      <c r="AV2693" s="6" t="str">
        <f>HYPERLINK("http://mcgill.on.worldcat.org/oclc/537265","Catalog Record")</f>
        <v>Catalog Record</v>
      </c>
      <c r="AW2693" s="6" t="str">
        <f>HYPERLINK("http://www.worldcat.org/oclc/537265","WorldCat Record")</f>
        <v>WorldCat Record</v>
      </c>
      <c r="AX2693" s="3" t="s">
        <v>27102</v>
      </c>
      <c r="AY2693" s="3" t="s">
        <v>27103</v>
      </c>
      <c r="AZ2693" s="3" t="s">
        <v>27104</v>
      </c>
      <c r="BA2693" s="3" t="s">
        <v>27104</v>
      </c>
      <c r="BB2693" s="3" t="s">
        <v>27105</v>
      </c>
      <c r="BC2693" s="3" t="s">
        <v>77</v>
      </c>
      <c r="BD2693" s="3" t="s">
        <v>78</v>
      </c>
      <c r="BF2693" s="3" t="s">
        <v>27105</v>
      </c>
      <c r="BG2693" s="3" t="s">
        <v>27106</v>
      </c>
      <c r="BH2693">
        <f t="shared" si="66"/>
        <v>0</v>
      </c>
    </row>
    <row r="2694" spans="1:60" ht="58" x14ac:dyDescent="0.35">
      <c r="A2694" s="2" t="s">
        <v>59</v>
      </c>
      <c r="B2694" s="2" t="s">
        <v>60</v>
      </c>
      <c r="C2694" s="2" t="s">
        <v>27107</v>
      </c>
      <c r="D2694" s="2" t="s">
        <v>27108</v>
      </c>
      <c r="E2694" s="2" t="s">
        <v>27109</v>
      </c>
      <c r="G2694" s="3" t="s">
        <v>64</v>
      </c>
      <c r="I2694" s="3" t="s">
        <v>64</v>
      </c>
      <c r="J2694" s="3" t="s">
        <v>64</v>
      </c>
      <c r="K2694" s="3" t="s">
        <v>65</v>
      </c>
      <c r="L2694" s="2" t="s">
        <v>27110</v>
      </c>
      <c r="M2694" s="2" t="s">
        <v>27111</v>
      </c>
      <c r="N2694" s="3" t="s">
        <v>67</v>
      </c>
      <c r="P2694" s="3" t="s">
        <v>102</v>
      </c>
      <c r="Q2694" s="2" t="s">
        <v>27112</v>
      </c>
      <c r="R2694" s="3" t="s">
        <v>70</v>
      </c>
      <c r="S2694" s="4">
        <v>0</v>
      </c>
      <c r="T2694" s="4">
        <v>0</v>
      </c>
      <c r="W2694" s="5" t="s">
        <v>72</v>
      </c>
      <c r="X2694" s="5" t="s">
        <v>72</v>
      </c>
      <c r="Y2694" s="4">
        <v>32</v>
      </c>
      <c r="Z2694" s="4">
        <v>1</v>
      </c>
      <c r="AA2694" s="4">
        <v>35</v>
      </c>
      <c r="AB2694" s="4">
        <v>1</v>
      </c>
      <c r="AC2694" s="4">
        <v>11</v>
      </c>
      <c r="AD2694" s="4">
        <v>5</v>
      </c>
      <c r="AE2694" s="4">
        <v>62</v>
      </c>
      <c r="AF2694" s="4">
        <v>0</v>
      </c>
      <c r="AG2694" s="4">
        <v>7</v>
      </c>
      <c r="AH2694" s="4">
        <v>5</v>
      </c>
      <c r="AI2694" s="4">
        <v>47</v>
      </c>
      <c r="AJ2694" s="4">
        <v>0</v>
      </c>
      <c r="AK2694" s="4">
        <v>10</v>
      </c>
      <c r="AL2694" s="4">
        <v>4</v>
      </c>
      <c r="AM2694" s="4">
        <v>26</v>
      </c>
      <c r="AN2694" s="4">
        <v>0</v>
      </c>
      <c r="AO2694" s="4">
        <v>0</v>
      </c>
      <c r="AP2694" s="4">
        <v>0</v>
      </c>
      <c r="AQ2694" s="4">
        <v>17</v>
      </c>
      <c r="AR2694" s="3" t="s">
        <v>64</v>
      </c>
      <c r="AS2694" s="3" t="s">
        <v>64</v>
      </c>
      <c r="AT2694" s="3" t="s">
        <v>64</v>
      </c>
      <c r="AV2694" s="6" t="str">
        <f>HYPERLINK("http://mcgill.on.worldcat.org/oclc/899233041","Catalog Record")</f>
        <v>Catalog Record</v>
      </c>
      <c r="AW2694" s="6" t="str">
        <f>HYPERLINK("http://www.worldcat.org/oclc/899233041","WorldCat Record")</f>
        <v>WorldCat Record</v>
      </c>
      <c r="AX2694" s="3" t="s">
        <v>27113</v>
      </c>
      <c r="AY2694" s="3" t="s">
        <v>27114</v>
      </c>
      <c r="AZ2694" s="3" t="s">
        <v>27115</v>
      </c>
      <c r="BA2694" s="3" t="s">
        <v>27115</v>
      </c>
      <c r="BB2694" s="3" t="s">
        <v>27116</v>
      </c>
      <c r="BC2694" s="3" t="s">
        <v>77</v>
      </c>
      <c r="BD2694" s="3" t="s">
        <v>78</v>
      </c>
      <c r="BE2694" s="3" t="s">
        <v>27117</v>
      </c>
      <c r="BF2694" s="3" t="s">
        <v>27116</v>
      </c>
      <c r="BG2694" s="3" t="s">
        <v>27118</v>
      </c>
      <c r="BH2694">
        <f t="shared" si="66"/>
        <v>0</v>
      </c>
    </row>
    <row r="2695" spans="1:60" ht="58" x14ac:dyDescent="0.35">
      <c r="A2695" s="2" t="s">
        <v>59</v>
      </c>
      <c r="B2695" s="2" t="s">
        <v>60</v>
      </c>
      <c r="C2695" s="2" t="s">
        <v>27119</v>
      </c>
      <c r="D2695" s="2" t="s">
        <v>27120</v>
      </c>
      <c r="E2695" s="2" t="s">
        <v>27121</v>
      </c>
      <c r="G2695" s="3" t="s">
        <v>64</v>
      </c>
      <c r="I2695" s="3" t="s">
        <v>64</v>
      </c>
      <c r="J2695" s="3" t="s">
        <v>64</v>
      </c>
      <c r="K2695" s="3" t="s">
        <v>65</v>
      </c>
      <c r="M2695" s="2" t="s">
        <v>27122</v>
      </c>
      <c r="N2695" s="3" t="s">
        <v>5986</v>
      </c>
      <c r="P2695" s="3" t="s">
        <v>102</v>
      </c>
      <c r="Q2695" s="2" t="s">
        <v>27123</v>
      </c>
      <c r="R2695" s="3" t="s">
        <v>70</v>
      </c>
      <c r="S2695" s="4">
        <v>6</v>
      </c>
      <c r="T2695" s="4">
        <v>6</v>
      </c>
      <c r="U2695" s="5" t="s">
        <v>14872</v>
      </c>
      <c r="V2695" s="5" t="s">
        <v>14872</v>
      </c>
      <c r="W2695" s="5" t="s">
        <v>72</v>
      </c>
      <c r="X2695" s="5" t="s">
        <v>72</v>
      </c>
      <c r="Y2695" s="4">
        <v>41</v>
      </c>
      <c r="Z2695" s="4">
        <v>4</v>
      </c>
      <c r="AA2695" s="4">
        <v>4</v>
      </c>
      <c r="AB2695" s="4">
        <v>2</v>
      </c>
      <c r="AC2695" s="4">
        <v>2</v>
      </c>
      <c r="AD2695" s="4">
        <v>19</v>
      </c>
      <c r="AE2695" s="4">
        <v>22</v>
      </c>
      <c r="AF2695" s="4">
        <v>1</v>
      </c>
      <c r="AG2695" s="4">
        <v>1</v>
      </c>
      <c r="AH2695" s="4">
        <v>17</v>
      </c>
      <c r="AI2695" s="4">
        <v>20</v>
      </c>
      <c r="AJ2695" s="4">
        <v>3</v>
      </c>
      <c r="AK2695" s="4">
        <v>3</v>
      </c>
      <c r="AL2695" s="4">
        <v>11</v>
      </c>
      <c r="AM2695" s="4">
        <v>11</v>
      </c>
      <c r="AN2695" s="4">
        <v>0</v>
      </c>
      <c r="AO2695" s="4">
        <v>0</v>
      </c>
      <c r="AP2695" s="4">
        <v>3</v>
      </c>
      <c r="AQ2695" s="4">
        <v>3</v>
      </c>
      <c r="AR2695" s="3" t="s">
        <v>64</v>
      </c>
      <c r="AS2695" s="3" t="s">
        <v>128</v>
      </c>
      <c r="AT2695" s="3" t="s">
        <v>64</v>
      </c>
      <c r="AU2695" s="6" t="str">
        <f>HYPERLINK("http://catalog.hathitrust.org/Record/011421938","HathiTrust Record")</f>
        <v>HathiTrust Record</v>
      </c>
      <c r="AV2695" s="6" t="str">
        <f>HYPERLINK("http://mcgill.on.worldcat.org/oclc/5819367","Catalog Record")</f>
        <v>Catalog Record</v>
      </c>
      <c r="AW2695" s="6" t="str">
        <f>HYPERLINK("http://www.worldcat.org/oclc/5819367","WorldCat Record")</f>
        <v>WorldCat Record</v>
      </c>
      <c r="AX2695" s="3" t="s">
        <v>27124</v>
      </c>
      <c r="AY2695" s="3" t="s">
        <v>27125</v>
      </c>
      <c r="AZ2695" s="3" t="s">
        <v>27126</v>
      </c>
      <c r="BA2695" s="3" t="s">
        <v>27126</v>
      </c>
      <c r="BB2695" s="3" t="s">
        <v>27127</v>
      </c>
      <c r="BC2695" s="3" t="s">
        <v>77</v>
      </c>
      <c r="BD2695" s="3" t="s">
        <v>78</v>
      </c>
      <c r="BF2695" s="3" t="s">
        <v>27127</v>
      </c>
      <c r="BG2695" s="3" t="s">
        <v>27128</v>
      </c>
      <c r="BH2695">
        <f t="shared" si="66"/>
        <v>0</v>
      </c>
    </row>
    <row r="2696" spans="1:60" ht="87" x14ac:dyDescent="0.35">
      <c r="A2696" s="2" t="s">
        <v>59</v>
      </c>
      <c r="B2696" s="2" t="s">
        <v>60</v>
      </c>
      <c r="C2696" s="2" t="s">
        <v>27129</v>
      </c>
      <c r="D2696" s="2" t="s">
        <v>27130</v>
      </c>
      <c r="E2696" s="2" t="s">
        <v>27131</v>
      </c>
      <c r="G2696" s="3" t="s">
        <v>64</v>
      </c>
      <c r="I2696" s="3" t="s">
        <v>64</v>
      </c>
      <c r="J2696" s="3" t="s">
        <v>64</v>
      </c>
      <c r="K2696" s="3" t="s">
        <v>65</v>
      </c>
      <c r="L2696" s="2" t="s">
        <v>27132</v>
      </c>
      <c r="M2696" s="2" t="s">
        <v>27133</v>
      </c>
      <c r="N2696" s="3" t="s">
        <v>1031</v>
      </c>
      <c r="P2696" s="3" t="s">
        <v>102</v>
      </c>
      <c r="Q2696" s="2" t="s">
        <v>27134</v>
      </c>
      <c r="R2696" s="3" t="s">
        <v>70</v>
      </c>
      <c r="S2696" s="4">
        <v>18</v>
      </c>
      <c r="T2696" s="4">
        <v>18</v>
      </c>
      <c r="U2696" s="5" t="s">
        <v>27135</v>
      </c>
      <c r="V2696" s="5" t="s">
        <v>27135</v>
      </c>
      <c r="W2696" s="5" t="s">
        <v>72</v>
      </c>
      <c r="X2696" s="5" t="s">
        <v>72</v>
      </c>
      <c r="Y2696" s="4">
        <v>91</v>
      </c>
      <c r="Z2696" s="4">
        <v>8</v>
      </c>
      <c r="AA2696" s="4">
        <v>9</v>
      </c>
      <c r="AB2696" s="4">
        <v>2</v>
      </c>
      <c r="AC2696" s="4">
        <v>3</v>
      </c>
      <c r="AD2696" s="4">
        <v>39</v>
      </c>
      <c r="AE2696" s="4">
        <v>40</v>
      </c>
      <c r="AF2696" s="4">
        <v>1</v>
      </c>
      <c r="AG2696" s="4">
        <v>2</v>
      </c>
      <c r="AH2696" s="4">
        <v>35</v>
      </c>
      <c r="AI2696" s="4">
        <v>35</v>
      </c>
      <c r="AJ2696" s="4">
        <v>5</v>
      </c>
      <c r="AK2696" s="4">
        <v>6</v>
      </c>
      <c r="AL2696" s="4">
        <v>20</v>
      </c>
      <c r="AM2696" s="4">
        <v>20</v>
      </c>
      <c r="AN2696" s="4">
        <v>0</v>
      </c>
      <c r="AO2696" s="4">
        <v>0</v>
      </c>
      <c r="AP2696" s="4">
        <v>4</v>
      </c>
      <c r="AQ2696" s="4">
        <v>4</v>
      </c>
      <c r="AR2696" s="3" t="s">
        <v>64</v>
      </c>
      <c r="AS2696" s="3" t="s">
        <v>64</v>
      </c>
      <c r="AT2696" s="3" t="s">
        <v>128</v>
      </c>
      <c r="AU2696" s="6" t="str">
        <f>HYPERLINK("http://catalog.hathitrust.org/Record/002589973","HathiTrust Record")</f>
        <v>HathiTrust Record</v>
      </c>
      <c r="AV2696" s="6" t="str">
        <f>HYPERLINK("http://mcgill.on.worldcat.org/oclc/25676211","Catalog Record")</f>
        <v>Catalog Record</v>
      </c>
      <c r="AW2696" s="6" t="str">
        <f>HYPERLINK("http://www.worldcat.org/oclc/25676211","WorldCat Record")</f>
        <v>WorldCat Record</v>
      </c>
      <c r="AX2696" s="3" t="s">
        <v>27136</v>
      </c>
      <c r="AY2696" s="3" t="s">
        <v>27137</v>
      </c>
      <c r="AZ2696" s="3" t="s">
        <v>27138</v>
      </c>
      <c r="BA2696" s="3" t="s">
        <v>27138</v>
      </c>
      <c r="BB2696" s="3" t="s">
        <v>27139</v>
      </c>
      <c r="BC2696" s="3" t="s">
        <v>77</v>
      </c>
      <c r="BD2696" s="3" t="s">
        <v>78</v>
      </c>
      <c r="BE2696" s="3" t="s">
        <v>27140</v>
      </c>
      <c r="BF2696" s="3" t="s">
        <v>27139</v>
      </c>
      <c r="BG2696" s="3" t="s">
        <v>27141</v>
      </c>
      <c r="BH2696">
        <f t="shared" si="66"/>
        <v>0</v>
      </c>
    </row>
    <row r="2697" spans="1:60" ht="58" x14ac:dyDescent="0.35">
      <c r="A2697" s="2" t="s">
        <v>59</v>
      </c>
      <c r="B2697" s="2" t="s">
        <v>60</v>
      </c>
      <c r="C2697" s="2" t="s">
        <v>27142</v>
      </c>
      <c r="D2697" s="2" t="s">
        <v>27143</v>
      </c>
      <c r="E2697" s="2" t="s">
        <v>27144</v>
      </c>
      <c r="G2697" s="3" t="s">
        <v>64</v>
      </c>
      <c r="I2697" s="3" t="s">
        <v>64</v>
      </c>
      <c r="J2697" s="3" t="s">
        <v>64</v>
      </c>
      <c r="K2697" s="3" t="s">
        <v>65</v>
      </c>
      <c r="L2697" s="2" t="s">
        <v>27145</v>
      </c>
      <c r="M2697" s="2" t="s">
        <v>27146</v>
      </c>
      <c r="N2697" s="3" t="s">
        <v>434</v>
      </c>
      <c r="P2697" s="3" t="s">
        <v>102</v>
      </c>
      <c r="Q2697" s="2" t="s">
        <v>8981</v>
      </c>
      <c r="R2697" s="3" t="s">
        <v>70</v>
      </c>
      <c r="S2697" s="4">
        <v>24</v>
      </c>
      <c r="T2697" s="4">
        <v>24</v>
      </c>
      <c r="U2697" s="5" t="s">
        <v>27135</v>
      </c>
      <c r="V2697" s="5" t="s">
        <v>27135</v>
      </c>
      <c r="W2697" s="5" t="s">
        <v>72</v>
      </c>
      <c r="X2697" s="5" t="s">
        <v>72</v>
      </c>
      <c r="Y2697" s="4">
        <v>151</v>
      </c>
      <c r="Z2697" s="4">
        <v>9</v>
      </c>
      <c r="AA2697" s="4">
        <v>17</v>
      </c>
      <c r="AB2697" s="4">
        <v>1</v>
      </c>
      <c r="AC2697" s="4">
        <v>5</v>
      </c>
      <c r="AD2697" s="4">
        <v>24</v>
      </c>
      <c r="AE2697" s="4">
        <v>43</v>
      </c>
      <c r="AF2697" s="4">
        <v>0</v>
      </c>
      <c r="AG2697" s="4">
        <v>2</v>
      </c>
      <c r="AH2697" s="4">
        <v>22</v>
      </c>
      <c r="AI2697" s="4">
        <v>35</v>
      </c>
      <c r="AJ2697" s="4">
        <v>5</v>
      </c>
      <c r="AK2697" s="4">
        <v>8</v>
      </c>
      <c r="AL2697" s="4">
        <v>12</v>
      </c>
      <c r="AM2697" s="4">
        <v>21</v>
      </c>
      <c r="AN2697" s="4">
        <v>0</v>
      </c>
      <c r="AO2697" s="4">
        <v>0</v>
      </c>
      <c r="AP2697" s="4">
        <v>6</v>
      </c>
      <c r="AQ2697" s="4">
        <v>9</v>
      </c>
      <c r="AR2697" s="3" t="s">
        <v>64</v>
      </c>
      <c r="AS2697" s="3" t="s">
        <v>64</v>
      </c>
      <c r="AT2697" s="3" t="s">
        <v>128</v>
      </c>
      <c r="AU2697" s="6" t="str">
        <f>HYPERLINK("http://catalog.hathitrust.org/Record/004945521","HathiTrust Record")</f>
        <v>HathiTrust Record</v>
      </c>
      <c r="AV2697" s="6" t="str">
        <f>HYPERLINK("http://mcgill.on.worldcat.org/oclc/56642663","Catalog Record")</f>
        <v>Catalog Record</v>
      </c>
      <c r="AW2697" s="6" t="str">
        <f>HYPERLINK("http://www.worldcat.org/oclc/56642663","WorldCat Record")</f>
        <v>WorldCat Record</v>
      </c>
      <c r="AX2697" s="3" t="s">
        <v>27147</v>
      </c>
      <c r="AY2697" s="3" t="s">
        <v>27148</v>
      </c>
      <c r="AZ2697" s="3" t="s">
        <v>27149</v>
      </c>
      <c r="BA2697" s="3" t="s">
        <v>27149</v>
      </c>
      <c r="BB2697" s="3" t="s">
        <v>27150</v>
      </c>
      <c r="BC2697" s="3" t="s">
        <v>77</v>
      </c>
      <c r="BD2697" s="3" t="s">
        <v>78</v>
      </c>
      <c r="BE2697" s="3" t="s">
        <v>27151</v>
      </c>
      <c r="BF2697" s="3" t="s">
        <v>27150</v>
      </c>
      <c r="BG2697" s="3" t="s">
        <v>27152</v>
      </c>
      <c r="BH2697">
        <f t="shared" si="66"/>
        <v>0</v>
      </c>
    </row>
    <row r="2698" spans="1:60" ht="58" x14ac:dyDescent="0.35">
      <c r="A2698" s="2" t="s">
        <v>59</v>
      </c>
      <c r="B2698" s="2" t="s">
        <v>60</v>
      </c>
      <c r="C2698" s="2" t="s">
        <v>27153</v>
      </c>
      <c r="D2698" s="2" t="s">
        <v>27154</v>
      </c>
      <c r="E2698" s="2" t="s">
        <v>27155</v>
      </c>
      <c r="G2698" s="3" t="s">
        <v>64</v>
      </c>
      <c r="I2698" s="3" t="s">
        <v>64</v>
      </c>
      <c r="J2698" s="3" t="s">
        <v>64</v>
      </c>
      <c r="K2698" s="3" t="s">
        <v>65</v>
      </c>
      <c r="L2698" s="2" t="s">
        <v>27156</v>
      </c>
      <c r="M2698" s="2" t="s">
        <v>17210</v>
      </c>
      <c r="N2698" s="3" t="s">
        <v>3721</v>
      </c>
      <c r="P2698" s="3" t="s">
        <v>102</v>
      </c>
      <c r="Q2698" s="2" t="s">
        <v>17211</v>
      </c>
      <c r="R2698" s="3" t="s">
        <v>70</v>
      </c>
      <c r="S2698" s="4">
        <v>11</v>
      </c>
      <c r="T2698" s="4">
        <v>11</v>
      </c>
      <c r="U2698" s="5" t="s">
        <v>27157</v>
      </c>
      <c r="V2698" s="5" t="s">
        <v>27157</v>
      </c>
      <c r="W2698" s="5" t="s">
        <v>72</v>
      </c>
      <c r="X2698" s="5" t="s">
        <v>72</v>
      </c>
      <c r="Y2698" s="4">
        <v>237</v>
      </c>
      <c r="Z2698" s="4">
        <v>12</v>
      </c>
      <c r="AA2698" s="4">
        <v>13</v>
      </c>
      <c r="AB2698" s="4">
        <v>3</v>
      </c>
      <c r="AC2698" s="4">
        <v>4</v>
      </c>
      <c r="AD2698" s="4">
        <v>39</v>
      </c>
      <c r="AE2698" s="4">
        <v>40</v>
      </c>
      <c r="AF2698" s="4">
        <v>1</v>
      </c>
      <c r="AG2698" s="4">
        <v>2</v>
      </c>
      <c r="AH2698" s="4">
        <v>33</v>
      </c>
      <c r="AI2698" s="4">
        <v>33</v>
      </c>
      <c r="AJ2698" s="4">
        <v>8</v>
      </c>
      <c r="AK2698" s="4">
        <v>9</v>
      </c>
      <c r="AL2698" s="4">
        <v>19</v>
      </c>
      <c r="AM2698" s="4">
        <v>19</v>
      </c>
      <c r="AN2698" s="4">
        <v>0</v>
      </c>
      <c r="AO2698" s="4">
        <v>0</v>
      </c>
      <c r="AP2698" s="4">
        <v>8</v>
      </c>
      <c r="AQ2698" s="4">
        <v>8</v>
      </c>
      <c r="AR2698" s="3" t="s">
        <v>64</v>
      </c>
      <c r="AS2698" s="3" t="s">
        <v>64</v>
      </c>
      <c r="AT2698" s="3" t="s">
        <v>128</v>
      </c>
      <c r="AU2698" s="6" t="str">
        <f>HYPERLINK("http://catalog.hathitrust.org/Record/002425778","HathiTrust Record")</f>
        <v>HathiTrust Record</v>
      </c>
      <c r="AV2698" s="6" t="str">
        <f>HYPERLINK("http://mcgill.on.worldcat.org/oclc/6334798","Catalog Record")</f>
        <v>Catalog Record</v>
      </c>
      <c r="AW2698" s="6" t="str">
        <f>HYPERLINK("http://www.worldcat.org/oclc/6334798","WorldCat Record")</f>
        <v>WorldCat Record</v>
      </c>
      <c r="AX2698" s="3" t="s">
        <v>27158</v>
      </c>
      <c r="AY2698" s="3" t="s">
        <v>27159</v>
      </c>
      <c r="AZ2698" s="3" t="s">
        <v>27160</v>
      </c>
      <c r="BA2698" s="3" t="s">
        <v>27160</v>
      </c>
      <c r="BB2698" s="3" t="s">
        <v>27161</v>
      </c>
      <c r="BC2698" s="3" t="s">
        <v>77</v>
      </c>
      <c r="BD2698" s="3" t="s">
        <v>78</v>
      </c>
      <c r="BE2698" s="3" t="s">
        <v>27162</v>
      </c>
      <c r="BF2698" s="3" t="s">
        <v>27161</v>
      </c>
      <c r="BG2698" s="3" t="s">
        <v>27163</v>
      </c>
      <c r="BH2698">
        <f t="shared" si="66"/>
        <v>0</v>
      </c>
    </row>
    <row r="2699" spans="1:60" ht="58" x14ac:dyDescent="0.35">
      <c r="A2699" s="2" t="s">
        <v>59</v>
      </c>
      <c r="B2699" s="2" t="s">
        <v>60</v>
      </c>
      <c r="C2699" s="2" t="s">
        <v>27164</v>
      </c>
      <c r="D2699" s="2" t="s">
        <v>27165</v>
      </c>
      <c r="E2699" s="2" t="s">
        <v>27166</v>
      </c>
      <c r="G2699" s="3" t="s">
        <v>64</v>
      </c>
      <c r="I2699" s="3" t="s">
        <v>64</v>
      </c>
      <c r="J2699" s="3" t="s">
        <v>64</v>
      </c>
      <c r="K2699" s="3" t="s">
        <v>65</v>
      </c>
      <c r="M2699" s="2" t="s">
        <v>27167</v>
      </c>
      <c r="N2699" s="3" t="s">
        <v>979</v>
      </c>
      <c r="P2699" s="3" t="s">
        <v>102</v>
      </c>
      <c r="R2699" s="3" t="s">
        <v>70</v>
      </c>
      <c r="S2699" s="4">
        <v>19</v>
      </c>
      <c r="T2699" s="4">
        <v>19</v>
      </c>
      <c r="U2699" s="5" t="s">
        <v>27168</v>
      </c>
      <c r="V2699" s="5" t="s">
        <v>27168</v>
      </c>
      <c r="W2699" s="5" t="s">
        <v>72</v>
      </c>
      <c r="X2699" s="5" t="s">
        <v>72</v>
      </c>
      <c r="Y2699" s="4">
        <v>247</v>
      </c>
      <c r="Z2699" s="4">
        <v>14</v>
      </c>
      <c r="AA2699" s="4">
        <v>21</v>
      </c>
      <c r="AB2699" s="4">
        <v>1</v>
      </c>
      <c r="AC2699" s="4">
        <v>5</v>
      </c>
      <c r="AD2699" s="4">
        <v>59</v>
      </c>
      <c r="AE2699" s="4">
        <v>61</v>
      </c>
      <c r="AF2699" s="4">
        <v>0</v>
      </c>
      <c r="AG2699" s="4">
        <v>1</v>
      </c>
      <c r="AH2699" s="4">
        <v>55</v>
      </c>
      <c r="AI2699" s="4">
        <v>56</v>
      </c>
      <c r="AJ2699" s="4">
        <v>8</v>
      </c>
      <c r="AK2699" s="4">
        <v>10</v>
      </c>
      <c r="AL2699" s="4">
        <v>29</v>
      </c>
      <c r="AM2699" s="4">
        <v>29</v>
      </c>
      <c r="AN2699" s="4">
        <v>0</v>
      </c>
      <c r="AO2699" s="4">
        <v>0</v>
      </c>
      <c r="AP2699" s="4">
        <v>9</v>
      </c>
      <c r="AQ2699" s="4">
        <v>10</v>
      </c>
      <c r="AR2699" s="3" t="s">
        <v>64</v>
      </c>
      <c r="AS2699" s="3" t="s">
        <v>64</v>
      </c>
      <c r="AT2699" s="3" t="s">
        <v>128</v>
      </c>
      <c r="AU2699" s="6" t="str">
        <f>HYPERLINK("http://catalog.hathitrust.org/Record/004279479","HathiTrust Record")</f>
        <v>HathiTrust Record</v>
      </c>
      <c r="AV2699" s="6" t="str">
        <f>HYPERLINK("http://mcgill.on.worldcat.org/oclc/42383488","Catalog Record")</f>
        <v>Catalog Record</v>
      </c>
      <c r="AW2699" s="6" t="str">
        <f>HYPERLINK("http://www.worldcat.org/oclc/42383488","WorldCat Record")</f>
        <v>WorldCat Record</v>
      </c>
      <c r="AX2699" s="3" t="s">
        <v>27169</v>
      </c>
      <c r="AY2699" s="3" t="s">
        <v>27170</v>
      </c>
      <c r="AZ2699" s="3" t="s">
        <v>27171</v>
      </c>
      <c r="BA2699" s="3" t="s">
        <v>27171</v>
      </c>
      <c r="BB2699" s="3" t="s">
        <v>27172</v>
      </c>
      <c r="BC2699" s="3" t="s">
        <v>77</v>
      </c>
      <c r="BD2699" s="3" t="s">
        <v>78</v>
      </c>
      <c r="BE2699" s="3" t="s">
        <v>27173</v>
      </c>
      <c r="BF2699" s="3" t="s">
        <v>27172</v>
      </c>
      <c r="BG2699" s="3" t="s">
        <v>27174</v>
      </c>
      <c r="BH2699">
        <f t="shared" si="66"/>
        <v>0</v>
      </c>
    </row>
    <row r="2700" spans="1:60" ht="58" x14ac:dyDescent="0.35">
      <c r="A2700" s="2" t="s">
        <v>59</v>
      </c>
      <c r="B2700" s="2" t="s">
        <v>60</v>
      </c>
      <c r="C2700" s="2" t="s">
        <v>27175</v>
      </c>
      <c r="D2700" s="2" t="s">
        <v>27176</v>
      </c>
      <c r="E2700" s="2" t="s">
        <v>27177</v>
      </c>
      <c r="G2700" s="3" t="s">
        <v>64</v>
      </c>
      <c r="I2700" s="3" t="s">
        <v>64</v>
      </c>
      <c r="J2700" s="3" t="s">
        <v>128</v>
      </c>
      <c r="K2700" s="3" t="s">
        <v>65</v>
      </c>
      <c r="L2700" s="2" t="s">
        <v>27178</v>
      </c>
      <c r="M2700" s="2" t="s">
        <v>27179</v>
      </c>
      <c r="N2700" s="3" t="s">
        <v>3330</v>
      </c>
      <c r="P2700" s="3" t="s">
        <v>102</v>
      </c>
      <c r="R2700" s="3" t="s">
        <v>70</v>
      </c>
      <c r="S2700" s="4">
        <v>13</v>
      </c>
      <c r="T2700" s="4">
        <v>13</v>
      </c>
      <c r="U2700" s="5" t="s">
        <v>13344</v>
      </c>
      <c r="V2700" s="5" t="s">
        <v>13344</v>
      </c>
      <c r="W2700" s="5" t="s">
        <v>72</v>
      </c>
      <c r="X2700" s="5" t="s">
        <v>72</v>
      </c>
      <c r="Y2700" s="4">
        <v>277</v>
      </c>
      <c r="Z2700" s="4">
        <v>17</v>
      </c>
      <c r="AA2700" s="4">
        <v>30</v>
      </c>
      <c r="AB2700" s="4">
        <v>2</v>
      </c>
      <c r="AC2700" s="4">
        <v>8</v>
      </c>
      <c r="AD2700" s="4">
        <v>55</v>
      </c>
      <c r="AE2700" s="4">
        <v>72</v>
      </c>
      <c r="AF2700" s="4">
        <v>0</v>
      </c>
      <c r="AG2700" s="4">
        <v>3</v>
      </c>
      <c r="AH2700" s="4">
        <v>48</v>
      </c>
      <c r="AI2700" s="4">
        <v>61</v>
      </c>
      <c r="AJ2700" s="4">
        <v>8</v>
      </c>
      <c r="AK2700" s="4">
        <v>13</v>
      </c>
      <c r="AL2700" s="4">
        <v>25</v>
      </c>
      <c r="AM2700" s="4">
        <v>28</v>
      </c>
      <c r="AN2700" s="4">
        <v>0</v>
      </c>
      <c r="AO2700" s="4">
        <v>0</v>
      </c>
      <c r="AP2700" s="4">
        <v>11</v>
      </c>
      <c r="AQ2700" s="4">
        <v>17</v>
      </c>
      <c r="AR2700" s="3" t="s">
        <v>64</v>
      </c>
      <c r="AS2700" s="3" t="s">
        <v>64</v>
      </c>
      <c r="AT2700" s="3" t="s">
        <v>128</v>
      </c>
      <c r="AU2700" s="6" t="str">
        <f>HYPERLINK("http://catalog.hathitrust.org/Record/000903307","HathiTrust Record")</f>
        <v>HathiTrust Record</v>
      </c>
      <c r="AV2700" s="6" t="str">
        <f>HYPERLINK("http://mcgill.on.worldcat.org/oclc/16472616","Catalog Record")</f>
        <v>Catalog Record</v>
      </c>
      <c r="AW2700" s="6" t="str">
        <f>HYPERLINK("http://www.worldcat.org/oclc/16472616","WorldCat Record")</f>
        <v>WorldCat Record</v>
      </c>
      <c r="AX2700" s="3" t="s">
        <v>27180</v>
      </c>
      <c r="AY2700" s="3" t="s">
        <v>27181</v>
      </c>
      <c r="AZ2700" s="3" t="s">
        <v>27182</v>
      </c>
      <c r="BA2700" s="3" t="s">
        <v>27182</v>
      </c>
      <c r="BB2700" s="3" t="s">
        <v>27183</v>
      </c>
      <c r="BC2700" s="3" t="s">
        <v>77</v>
      </c>
      <c r="BD2700" s="3" t="s">
        <v>78</v>
      </c>
      <c r="BE2700" s="3" t="s">
        <v>27184</v>
      </c>
      <c r="BF2700" s="3" t="s">
        <v>27183</v>
      </c>
      <c r="BG2700" s="3" t="s">
        <v>27185</v>
      </c>
      <c r="BH2700">
        <f t="shared" si="66"/>
        <v>0</v>
      </c>
    </row>
    <row r="2701" spans="1:60" ht="58" x14ac:dyDescent="0.35">
      <c r="A2701" s="2" t="s">
        <v>59</v>
      </c>
      <c r="B2701" s="2" t="s">
        <v>60</v>
      </c>
      <c r="C2701" s="2" t="s">
        <v>27186</v>
      </c>
      <c r="D2701" s="2" t="s">
        <v>27187</v>
      </c>
      <c r="E2701" s="2" t="s">
        <v>27177</v>
      </c>
      <c r="G2701" s="3" t="s">
        <v>64</v>
      </c>
      <c r="I2701" s="3" t="s">
        <v>64</v>
      </c>
      <c r="J2701" s="3" t="s">
        <v>128</v>
      </c>
      <c r="K2701" s="3" t="s">
        <v>65</v>
      </c>
      <c r="L2701" s="2" t="s">
        <v>27178</v>
      </c>
      <c r="M2701" s="2" t="s">
        <v>27188</v>
      </c>
      <c r="N2701" s="3" t="s">
        <v>159</v>
      </c>
      <c r="O2701" s="2" t="s">
        <v>172</v>
      </c>
      <c r="P2701" s="3" t="s">
        <v>102</v>
      </c>
      <c r="R2701" s="3" t="s">
        <v>70</v>
      </c>
      <c r="S2701" s="4">
        <v>20</v>
      </c>
      <c r="T2701" s="4">
        <v>20</v>
      </c>
      <c r="U2701" s="5" t="s">
        <v>6045</v>
      </c>
      <c r="V2701" s="5" t="s">
        <v>6045</v>
      </c>
      <c r="W2701" s="5" t="s">
        <v>72</v>
      </c>
      <c r="X2701" s="5" t="s">
        <v>72</v>
      </c>
      <c r="Y2701" s="4">
        <v>181</v>
      </c>
      <c r="Z2701" s="4">
        <v>10</v>
      </c>
      <c r="AA2701" s="4">
        <v>30</v>
      </c>
      <c r="AB2701" s="4">
        <v>2</v>
      </c>
      <c r="AC2701" s="4">
        <v>8</v>
      </c>
      <c r="AD2701" s="4">
        <v>39</v>
      </c>
      <c r="AE2701" s="4">
        <v>72</v>
      </c>
      <c r="AF2701" s="4">
        <v>1</v>
      </c>
      <c r="AG2701" s="4">
        <v>3</v>
      </c>
      <c r="AH2701" s="4">
        <v>35</v>
      </c>
      <c r="AI2701" s="4">
        <v>61</v>
      </c>
      <c r="AJ2701" s="4">
        <v>5</v>
      </c>
      <c r="AK2701" s="4">
        <v>13</v>
      </c>
      <c r="AL2701" s="4">
        <v>16</v>
      </c>
      <c r="AM2701" s="4">
        <v>28</v>
      </c>
      <c r="AN2701" s="4">
        <v>0</v>
      </c>
      <c r="AO2701" s="4">
        <v>0</v>
      </c>
      <c r="AP2701" s="4">
        <v>7</v>
      </c>
      <c r="AQ2701" s="4">
        <v>17</v>
      </c>
      <c r="AR2701" s="3" t="s">
        <v>64</v>
      </c>
      <c r="AS2701" s="3" t="s">
        <v>64</v>
      </c>
      <c r="AT2701" s="3" t="s">
        <v>128</v>
      </c>
      <c r="AU2701" s="6" t="str">
        <f>HYPERLINK("http://catalog.hathitrust.org/Record/004263251","HathiTrust Record")</f>
        <v>HathiTrust Record</v>
      </c>
      <c r="AV2701" s="6" t="str">
        <f>HYPERLINK("http://mcgill.on.worldcat.org/oclc/49833186","Catalog Record")</f>
        <v>Catalog Record</v>
      </c>
      <c r="AW2701" s="6" t="str">
        <f>HYPERLINK("http://www.worldcat.org/oclc/49833186","WorldCat Record")</f>
        <v>WorldCat Record</v>
      </c>
      <c r="AX2701" s="3" t="s">
        <v>27180</v>
      </c>
      <c r="AY2701" s="3" t="s">
        <v>27189</v>
      </c>
      <c r="AZ2701" s="3" t="s">
        <v>27190</v>
      </c>
      <c r="BA2701" s="3" t="s">
        <v>27190</v>
      </c>
      <c r="BB2701" s="3" t="s">
        <v>27191</v>
      </c>
      <c r="BC2701" s="3" t="s">
        <v>77</v>
      </c>
      <c r="BD2701" s="3" t="s">
        <v>78</v>
      </c>
      <c r="BE2701" s="3" t="s">
        <v>27192</v>
      </c>
      <c r="BF2701" s="3" t="s">
        <v>27191</v>
      </c>
      <c r="BG2701" s="3" t="s">
        <v>27193</v>
      </c>
      <c r="BH2701">
        <f t="shared" si="66"/>
        <v>0</v>
      </c>
    </row>
    <row r="2702" spans="1:60" ht="58" x14ac:dyDescent="0.35">
      <c r="A2702" s="2" t="s">
        <v>59</v>
      </c>
      <c r="B2702" s="2" t="s">
        <v>60</v>
      </c>
      <c r="C2702" s="2" t="s">
        <v>27194</v>
      </c>
      <c r="D2702" s="2" t="s">
        <v>27195</v>
      </c>
      <c r="E2702" s="2" t="s">
        <v>27196</v>
      </c>
      <c r="G2702" s="3" t="s">
        <v>64</v>
      </c>
      <c r="I2702" s="3" t="s">
        <v>64</v>
      </c>
      <c r="J2702" s="3" t="s">
        <v>64</v>
      </c>
      <c r="K2702" s="3" t="s">
        <v>65</v>
      </c>
      <c r="L2702" s="2" t="s">
        <v>27197</v>
      </c>
      <c r="M2702" s="2" t="s">
        <v>19592</v>
      </c>
      <c r="N2702" s="3" t="s">
        <v>86</v>
      </c>
      <c r="P2702" s="3" t="s">
        <v>102</v>
      </c>
      <c r="Q2702" s="2" t="s">
        <v>8981</v>
      </c>
      <c r="R2702" s="3" t="s">
        <v>70</v>
      </c>
      <c r="S2702" s="4">
        <v>5</v>
      </c>
      <c r="T2702" s="4">
        <v>5</v>
      </c>
      <c r="U2702" s="5" t="s">
        <v>27157</v>
      </c>
      <c r="V2702" s="5" t="s">
        <v>27157</v>
      </c>
      <c r="W2702" s="5" t="s">
        <v>72</v>
      </c>
      <c r="X2702" s="5" t="s">
        <v>72</v>
      </c>
      <c r="Y2702" s="4">
        <v>114</v>
      </c>
      <c r="Z2702" s="4">
        <v>10</v>
      </c>
      <c r="AA2702" s="4">
        <v>82</v>
      </c>
      <c r="AB2702" s="4">
        <v>1</v>
      </c>
      <c r="AC2702" s="4">
        <v>15</v>
      </c>
      <c r="AD2702" s="4">
        <v>33</v>
      </c>
      <c r="AE2702" s="4">
        <v>109</v>
      </c>
      <c r="AF2702" s="4">
        <v>0</v>
      </c>
      <c r="AG2702" s="4">
        <v>8</v>
      </c>
      <c r="AH2702" s="4">
        <v>29</v>
      </c>
      <c r="AI2702" s="4">
        <v>75</v>
      </c>
      <c r="AJ2702" s="4">
        <v>6</v>
      </c>
      <c r="AK2702" s="4">
        <v>19</v>
      </c>
      <c r="AL2702" s="4">
        <v>21</v>
      </c>
      <c r="AM2702" s="4">
        <v>40</v>
      </c>
      <c r="AN2702" s="4">
        <v>0</v>
      </c>
      <c r="AO2702" s="4">
        <v>0</v>
      </c>
      <c r="AP2702" s="4">
        <v>7</v>
      </c>
      <c r="AQ2702" s="4">
        <v>40</v>
      </c>
      <c r="AR2702" s="3" t="s">
        <v>64</v>
      </c>
      <c r="AS2702" s="3" t="s">
        <v>64</v>
      </c>
      <c r="AT2702" s="3" t="s">
        <v>64</v>
      </c>
      <c r="AV2702" s="6" t="str">
        <f>HYPERLINK("http://mcgill.on.worldcat.org/oclc/769450339","Catalog Record")</f>
        <v>Catalog Record</v>
      </c>
      <c r="AW2702" s="6" t="str">
        <f>HYPERLINK("http://www.worldcat.org/oclc/769450339","WorldCat Record")</f>
        <v>WorldCat Record</v>
      </c>
      <c r="AX2702" s="3" t="s">
        <v>27198</v>
      </c>
      <c r="AY2702" s="3" t="s">
        <v>27199</v>
      </c>
      <c r="AZ2702" s="3" t="s">
        <v>27200</v>
      </c>
      <c r="BA2702" s="3" t="s">
        <v>27200</v>
      </c>
      <c r="BB2702" s="3" t="s">
        <v>27201</v>
      </c>
      <c r="BC2702" s="3" t="s">
        <v>77</v>
      </c>
      <c r="BD2702" s="3" t="s">
        <v>78</v>
      </c>
      <c r="BE2702" s="3" t="s">
        <v>27202</v>
      </c>
      <c r="BF2702" s="3" t="s">
        <v>27201</v>
      </c>
      <c r="BG2702" s="3" t="s">
        <v>27203</v>
      </c>
      <c r="BH2702">
        <f t="shared" si="66"/>
        <v>0</v>
      </c>
    </row>
    <row r="2703" spans="1:60" ht="58" x14ac:dyDescent="0.35">
      <c r="A2703" s="2" t="s">
        <v>59</v>
      </c>
      <c r="B2703" s="2" t="s">
        <v>60</v>
      </c>
      <c r="C2703" s="2" t="s">
        <v>27204</v>
      </c>
      <c r="D2703" s="2" t="s">
        <v>27205</v>
      </c>
      <c r="E2703" s="2" t="s">
        <v>27206</v>
      </c>
      <c r="G2703" s="3" t="s">
        <v>64</v>
      </c>
      <c r="I2703" s="3" t="s">
        <v>128</v>
      </c>
      <c r="J2703" s="3" t="s">
        <v>64</v>
      </c>
      <c r="K2703" s="3" t="s">
        <v>65</v>
      </c>
      <c r="L2703" s="2" t="s">
        <v>27207</v>
      </c>
      <c r="M2703" s="2" t="s">
        <v>27208</v>
      </c>
      <c r="N2703" s="3" t="s">
        <v>291</v>
      </c>
      <c r="P2703" s="3" t="s">
        <v>102</v>
      </c>
      <c r="Q2703" s="2" t="s">
        <v>27209</v>
      </c>
      <c r="R2703" s="3" t="s">
        <v>70</v>
      </c>
      <c r="S2703" s="4">
        <v>43</v>
      </c>
      <c r="T2703" s="4">
        <v>98</v>
      </c>
      <c r="U2703" s="5" t="s">
        <v>27210</v>
      </c>
      <c r="V2703" s="5" t="s">
        <v>8379</v>
      </c>
      <c r="W2703" s="5" t="s">
        <v>72</v>
      </c>
      <c r="X2703" s="5" t="s">
        <v>72</v>
      </c>
      <c r="Y2703" s="4">
        <v>223</v>
      </c>
      <c r="Z2703" s="4">
        <v>17</v>
      </c>
      <c r="AA2703" s="4">
        <v>84</v>
      </c>
      <c r="AB2703" s="4">
        <v>2</v>
      </c>
      <c r="AC2703" s="4">
        <v>15</v>
      </c>
      <c r="AD2703" s="4">
        <v>34</v>
      </c>
      <c r="AE2703" s="4">
        <v>102</v>
      </c>
      <c r="AF2703" s="4">
        <v>0</v>
      </c>
      <c r="AG2703" s="4">
        <v>8</v>
      </c>
      <c r="AH2703" s="4">
        <v>29</v>
      </c>
      <c r="AI2703" s="4">
        <v>69</v>
      </c>
      <c r="AJ2703" s="4">
        <v>8</v>
      </c>
      <c r="AK2703" s="4">
        <v>19</v>
      </c>
      <c r="AL2703" s="4">
        <v>15</v>
      </c>
      <c r="AM2703" s="4">
        <v>31</v>
      </c>
      <c r="AN2703" s="4">
        <v>0</v>
      </c>
      <c r="AO2703" s="4">
        <v>0</v>
      </c>
      <c r="AP2703" s="4">
        <v>9</v>
      </c>
      <c r="AQ2703" s="4">
        <v>39</v>
      </c>
      <c r="AR2703" s="3" t="s">
        <v>64</v>
      </c>
      <c r="AS2703" s="3" t="s">
        <v>64</v>
      </c>
      <c r="AT2703" s="3" t="s">
        <v>64</v>
      </c>
      <c r="AV2703" s="6" t="str">
        <f>HYPERLINK("http://mcgill.on.worldcat.org/oclc/70264473","Catalog Record")</f>
        <v>Catalog Record</v>
      </c>
      <c r="AW2703" s="6" t="str">
        <f>HYPERLINK("http://www.worldcat.org/oclc/70264473","WorldCat Record")</f>
        <v>WorldCat Record</v>
      </c>
      <c r="AX2703" s="3" t="s">
        <v>27211</v>
      </c>
      <c r="AY2703" s="3" t="s">
        <v>27212</v>
      </c>
      <c r="AZ2703" s="3" t="s">
        <v>27213</v>
      </c>
      <c r="BA2703" s="3" t="s">
        <v>27213</v>
      </c>
      <c r="BB2703" s="3" t="s">
        <v>27214</v>
      </c>
      <c r="BC2703" s="3" t="s">
        <v>77</v>
      </c>
      <c r="BD2703" s="3" t="s">
        <v>165</v>
      </c>
      <c r="BE2703" s="3" t="s">
        <v>27215</v>
      </c>
      <c r="BF2703" s="3" t="s">
        <v>27214</v>
      </c>
      <c r="BG2703" s="3" t="s">
        <v>27216</v>
      </c>
      <c r="BH2703">
        <f t="shared" si="66"/>
        <v>0</v>
      </c>
    </row>
    <row r="2704" spans="1:60" ht="58" x14ac:dyDescent="0.35">
      <c r="A2704" s="2" t="s">
        <v>59</v>
      </c>
      <c r="B2704" s="2" t="s">
        <v>60</v>
      </c>
      <c r="C2704" s="2" t="s">
        <v>27217</v>
      </c>
      <c r="D2704" s="2" t="s">
        <v>27218</v>
      </c>
      <c r="E2704" s="2" t="s">
        <v>27219</v>
      </c>
      <c r="G2704" s="3" t="s">
        <v>64</v>
      </c>
      <c r="I2704" s="3" t="s">
        <v>128</v>
      </c>
      <c r="J2704" s="3" t="s">
        <v>64</v>
      </c>
      <c r="K2704" s="3" t="s">
        <v>65</v>
      </c>
      <c r="L2704" s="2" t="s">
        <v>27220</v>
      </c>
      <c r="M2704" s="2" t="s">
        <v>27221</v>
      </c>
      <c r="N2704" s="3" t="s">
        <v>17785</v>
      </c>
      <c r="P2704" s="3" t="s">
        <v>102</v>
      </c>
      <c r="R2704" s="3" t="s">
        <v>70</v>
      </c>
      <c r="S2704" s="4">
        <v>3</v>
      </c>
      <c r="T2704" s="4">
        <v>4</v>
      </c>
      <c r="U2704" s="5" t="s">
        <v>7748</v>
      </c>
      <c r="V2704" s="5" t="s">
        <v>7748</v>
      </c>
      <c r="W2704" s="5" t="s">
        <v>72</v>
      </c>
      <c r="X2704" s="5" t="s">
        <v>72</v>
      </c>
      <c r="Y2704" s="4">
        <v>291</v>
      </c>
      <c r="Z2704" s="4">
        <v>12</v>
      </c>
      <c r="AA2704" s="4">
        <v>15</v>
      </c>
      <c r="AB2704" s="4">
        <v>2</v>
      </c>
      <c r="AC2704" s="4">
        <v>3</v>
      </c>
      <c r="AD2704" s="4">
        <v>85</v>
      </c>
      <c r="AE2704" s="4">
        <v>91</v>
      </c>
      <c r="AF2704" s="4">
        <v>0</v>
      </c>
      <c r="AG2704" s="4">
        <v>1</v>
      </c>
      <c r="AH2704" s="4">
        <v>79</v>
      </c>
      <c r="AI2704" s="4">
        <v>83</v>
      </c>
      <c r="AJ2704" s="4">
        <v>6</v>
      </c>
      <c r="AK2704" s="4">
        <v>8</v>
      </c>
      <c r="AL2704" s="4">
        <v>48</v>
      </c>
      <c r="AM2704" s="4">
        <v>50</v>
      </c>
      <c r="AN2704" s="4">
        <v>0</v>
      </c>
      <c r="AO2704" s="4">
        <v>0</v>
      </c>
      <c r="AP2704" s="4">
        <v>7</v>
      </c>
      <c r="AQ2704" s="4">
        <v>9</v>
      </c>
      <c r="AR2704" s="3" t="s">
        <v>64</v>
      </c>
      <c r="AS2704" s="3" t="s">
        <v>128</v>
      </c>
      <c r="AT2704" s="3" t="s">
        <v>64</v>
      </c>
      <c r="AU2704" s="6" t="str">
        <f>HYPERLINK("http://catalog.hathitrust.org/Record/001388383","HathiTrust Record")</f>
        <v>HathiTrust Record</v>
      </c>
      <c r="AV2704" s="6" t="str">
        <f>HYPERLINK("http://mcgill.on.worldcat.org/oclc/1076932","Catalog Record")</f>
        <v>Catalog Record</v>
      </c>
      <c r="AW2704" s="6" t="str">
        <f>HYPERLINK("http://www.worldcat.org/oclc/1076932","WorldCat Record")</f>
        <v>WorldCat Record</v>
      </c>
      <c r="AX2704" s="3" t="s">
        <v>27222</v>
      </c>
      <c r="AY2704" s="3" t="s">
        <v>27223</v>
      </c>
      <c r="AZ2704" s="3" t="s">
        <v>27224</v>
      </c>
      <c r="BA2704" s="3" t="s">
        <v>27224</v>
      </c>
      <c r="BB2704" s="3" t="s">
        <v>27225</v>
      </c>
      <c r="BC2704" s="3" t="s">
        <v>77</v>
      </c>
      <c r="BD2704" s="3" t="s">
        <v>78</v>
      </c>
      <c r="BF2704" s="3" t="s">
        <v>27225</v>
      </c>
      <c r="BG2704" s="3" t="s">
        <v>27226</v>
      </c>
      <c r="BH2704">
        <f t="shared" si="66"/>
        <v>0</v>
      </c>
    </row>
    <row r="2705" spans="1:60" ht="58" x14ac:dyDescent="0.35">
      <c r="A2705" s="2" t="s">
        <v>59</v>
      </c>
      <c r="B2705" s="2" t="s">
        <v>60</v>
      </c>
      <c r="C2705" s="2" t="s">
        <v>27217</v>
      </c>
      <c r="D2705" s="2" t="s">
        <v>27218</v>
      </c>
      <c r="E2705" s="2" t="s">
        <v>27227</v>
      </c>
      <c r="G2705" s="3" t="s">
        <v>64</v>
      </c>
      <c r="I2705" s="3" t="s">
        <v>64</v>
      </c>
      <c r="J2705" s="3" t="s">
        <v>64</v>
      </c>
      <c r="K2705" s="3" t="s">
        <v>65</v>
      </c>
      <c r="L2705" s="2" t="s">
        <v>27220</v>
      </c>
      <c r="M2705" s="2" t="s">
        <v>27228</v>
      </c>
      <c r="N2705" s="3" t="s">
        <v>24283</v>
      </c>
      <c r="P2705" s="3" t="s">
        <v>102</v>
      </c>
      <c r="Q2705" s="2" t="s">
        <v>27229</v>
      </c>
      <c r="R2705" s="3" t="s">
        <v>70</v>
      </c>
      <c r="S2705" s="4">
        <v>4</v>
      </c>
      <c r="T2705" s="4">
        <v>4</v>
      </c>
      <c r="U2705" s="5" t="s">
        <v>7748</v>
      </c>
      <c r="V2705" s="5" t="s">
        <v>7748</v>
      </c>
      <c r="W2705" s="5" t="s">
        <v>72</v>
      </c>
      <c r="X2705" s="5" t="s">
        <v>72</v>
      </c>
      <c r="Y2705" s="4">
        <v>168</v>
      </c>
      <c r="Z2705" s="4">
        <v>6</v>
      </c>
      <c r="AA2705" s="4">
        <v>22</v>
      </c>
      <c r="AB2705" s="4">
        <v>1</v>
      </c>
      <c r="AC2705" s="4">
        <v>3</v>
      </c>
      <c r="AD2705" s="4">
        <v>48</v>
      </c>
      <c r="AE2705" s="4">
        <v>94</v>
      </c>
      <c r="AF2705" s="4">
        <v>0</v>
      </c>
      <c r="AG2705" s="4">
        <v>1</v>
      </c>
      <c r="AH2705" s="4">
        <v>46</v>
      </c>
      <c r="AI2705" s="4">
        <v>84</v>
      </c>
      <c r="AJ2705" s="4">
        <v>3</v>
      </c>
      <c r="AK2705" s="4">
        <v>13</v>
      </c>
      <c r="AL2705" s="4">
        <v>30</v>
      </c>
      <c r="AM2705" s="4">
        <v>44</v>
      </c>
      <c r="AN2705" s="4">
        <v>0</v>
      </c>
      <c r="AO2705" s="4">
        <v>0</v>
      </c>
      <c r="AP2705" s="4">
        <v>2</v>
      </c>
      <c r="AQ2705" s="4">
        <v>13</v>
      </c>
      <c r="AR2705" s="3" t="s">
        <v>64</v>
      </c>
      <c r="AS2705" s="3" t="s">
        <v>128</v>
      </c>
      <c r="AT2705" s="3" t="s">
        <v>64</v>
      </c>
      <c r="AU2705" s="6" t="str">
        <f>HYPERLINK("http://catalog.hathitrust.org/Record/001759824","HathiTrust Record")</f>
        <v>HathiTrust Record</v>
      </c>
      <c r="AV2705" s="6" t="str">
        <f>HYPERLINK("http://mcgill.on.worldcat.org/oclc/1316367","Catalog Record")</f>
        <v>Catalog Record</v>
      </c>
      <c r="AW2705" s="6" t="str">
        <f>HYPERLINK("http://www.worldcat.org/oclc/1316367","WorldCat Record")</f>
        <v>WorldCat Record</v>
      </c>
      <c r="AX2705" s="3" t="s">
        <v>27230</v>
      </c>
      <c r="AY2705" s="3" t="s">
        <v>27231</v>
      </c>
      <c r="AZ2705" s="3" t="s">
        <v>27232</v>
      </c>
      <c r="BA2705" s="3" t="s">
        <v>27232</v>
      </c>
      <c r="BB2705" s="3" t="s">
        <v>27233</v>
      </c>
      <c r="BC2705" s="3" t="s">
        <v>77</v>
      </c>
      <c r="BD2705" s="3" t="s">
        <v>78</v>
      </c>
      <c r="BF2705" s="3" t="s">
        <v>27233</v>
      </c>
      <c r="BG2705" s="3" t="s">
        <v>27234</v>
      </c>
      <c r="BH2705">
        <f t="shared" si="66"/>
        <v>0</v>
      </c>
    </row>
    <row r="2706" spans="1:60" ht="58" x14ac:dyDescent="0.35">
      <c r="A2706" s="2" t="s">
        <v>59</v>
      </c>
      <c r="B2706" s="2" t="s">
        <v>60</v>
      </c>
      <c r="C2706" s="2" t="s">
        <v>27235</v>
      </c>
      <c r="D2706" s="2" t="s">
        <v>27236</v>
      </c>
      <c r="E2706" s="2" t="s">
        <v>27237</v>
      </c>
      <c r="G2706" s="3" t="s">
        <v>64</v>
      </c>
      <c r="I2706" s="3" t="s">
        <v>64</v>
      </c>
      <c r="J2706" s="3" t="s">
        <v>64</v>
      </c>
      <c r="K2706" s="3" t="s">
        <v>65</v>
      </c>
      <c r="L2706" s="2" t="s">
        <v>27238</v>
      </c>
      <c r="M2706" s="2" t="s">
        <v>27239</v>
      </c>
      <c r="N2706" s="3" t="s">
        <v>5986</v>
      </c>
      <c r="P2706" s="3" t="s">
        <v>102</v>
      </c>
      <c r="R2706" s="3" t="s">
        <v>70</v>
      </c>
      <c r="S2706" s="4">
        <v>10</v>
      </c>
      <c r="T2706" s="4">
        <v>10</v>
      </c>
      <c r="U2706" s="5" t="s">
        <v>4300</v>
      </c>
      <c r="V2706" s="5" t="s">
        <v>4300</v>
      </c>
      <c r="W2706" s="5" t="s">
        <v>72</v>
      </c>
      <c r="X2706" s="5" t="s">
        <v>72</v>
      </c>
      <c r="Y2706" s="4">
        <v>90</v>
      </c>
      <c r="Z2706" s="4">
        <v>9</v>
      </c>
      <c r="AA2706" s="4">
        <v>16</v>
      </c>
      <c r="AB2706" s="4">
        <v>1</v>
      </c>
      <c r="AC2706" s="4">
        <v>4</v>
      </c>
      <c r="AD2706" s="4">
        <v>19</v>
      </c>
      <c r="AE2706" s="4">
        <v>74</v>
      </c>
      <c r="AF2706" s="4">
        <v>0</v>
      </c>
      <c r="AG2706" s="4">
        <v>2</v>
      </c>
      <c r="AH2706" s="4">
        <v>14</v>
      </c>
      <c r="AI2706" s="4">
        <v>66</v>
      </c>
      <c r="AJ2706" s="4">
        <v>6</v>
      </c>
      <c r="AK2706" s="4">
        <v>11</v>
      </c>
      <c r="AL2706" s="4">
        <v>7</v>
      </c>
      <c r="AM2706" s="4">
        <v>36</v>
      </c>
      <c r="AN2706" s="4">
        <v>0</v>
      </c>
      <c r="AO2706" s="4">
        <v>0</v>
      </c>
      <c r="AP2706" s="4">
        <v>6</v>
      </c>
      <c r="AQ2706" s="4">
        <v>10</v>
      </c>
      <c r="AR2706" s="3" t="s">
        <v>64</v>
      </c>
      <c r="AS2706" s="3" t="s">
        <v>64</v>
      </c>
      <c r="AT2706" s="3" t="s">
        <v>64</v>
      </c>
      <c r="AV2706" s="6" t="str">
        <f>HYPERLINK("http://mcgill.on.worldcat.org/oclc/2188329","Catalog Record")</f>
        <v>Catalog Record</v>
      </c>
      <c r="AW2706" s="6" t="str">
        <f>HYPERLINK("http://www.worldcat.org/oclc/2188329","WorldCat Record")</f>
        <v>WorldCat Record</v>
      </c>
      <c r="AX2706" s="3" t="s">
        <v>27240</v>
      </c>
      <c r="AY2706" s="3" t="s">
        <v>27241</v>
      </c>
      <c r="AZ2706" s="3" t="s">
        <v>27242</v>
      </c>
      <c r="BA2706" s="3" t="s">
        <v>27242</v>
      </c>
      <c r="BB2706" s="3" t="s">
        <v>27243</v>
      </c>
      <c r="BC2706" s="3" t="s">
        <v>77</v>
      </c>
      <c r="BD2706" s="3" t="s">
        <v>78</v>
      </c>
      <c r="BF2706" s="3" t="s">
        <v>27243</v>
      </c>
      <c r="BG2706" s="3" t="s">
        <v>27244</v>
      </c>
      <c r="BH2706">
        <f t="shared" si="66"/>
        <v>0</v>
      </c>
    </row>
    <row r="2707" spans="1:60" ht="58" x14ac:dyDescent="0.35">
      <c r="A2707" s="2" t="s">
        <v>59</v>
      </c>
      <c r="B2707" s="2" t="s">
        <v>60</v>
      </c>
      <c r="C2707" s="2" t="s">
        <v>27245</v>
      </c>
      <c r="D2707" s="2" t="s">
        <v>27246</v>
      </c>
      <c r="E2707" s="2" t="s">
        <v>27247</v>
      </c>
      <c r="G2707" s="3" t="s">
        <v>64</v>
      </c>
      <c r="I2707" s="3" t="s">
        <v>64</v>
      </c>
      <c r="J2707" s="3" t="s">
        <v>64</v>
      </c>
      <c r="K2707" s="3" t="s">
        <v>65</v>
      </c>
      <c r="L2707" s="2" t="s">
        <v>27248</v>
      </c>
      <c r="M2707" s="2" t="s">
        <v>27249</v>
      </c>
      <c r="N2707" s="3" t="s">
        <v>4548</v>
      </c>
      <c r="P2707" s="3" t="s">
        <v>102</v>
      </c>
      <c r="Q2707" s="2" t="s">
        <v>27250</v>
      </c>
      <c r="R2707" s="3" t="s">
        <v>70</v>
      </c>
      <c r="S2707" s="4">
        <v>5</v>
      </c>
      <c r="T2707" s="4">
        <v>5</v>
      </c>
      <c r="U2707" s="5" t="s">
        <v>4300</v>
      </c>
      <c r="V2707" s="5" t="s">
        <v>4300</v>
      </c>
      <c r="W2707" s="5" t="s">
        <v>72</v>
      </c>
      <c r="X2707" s="5" t="s">
        <v>72</v>
      </c>
      <c r="Y2707" s="4">
        <v>218</v>
      </c>
      <c r="Z2707" s="4">
        <v>17</v>
      </c>
      <c r="AA2707" s="4">
        <v>19</v>
      </c>
      <c r="AB2707" s="4">
        <v>1</v>
      </c>
      <c r="AC2707" s="4">
        <v>2</v>
      </c>
      <c r="AD2707" s="4">
        <v>77</v>
      </c>
      <c r="AE2707" s="4">
        <v>79</v>
      </c>
      <c r="AF2707" s="4">
        <v>0</v>
      </c>
      <c r="AG2707" s="4">
        <v>1</v>
      </c>
      <c r="AH2707" s="4">
        <v>70</v>
      </c>
      <c r="AI2707" s="4">
        <v>71</v>
      </c>
      <c r="AJ2707" s="4">
        <v>13</v>
      </c>
      <c r="AK2707" s="4">
        <v>14</v>
      </c>
      <c r="AL2707" s="4">
        <v>38</v>
      </c>
      <c r="AM2707" s="4">
        <v>38</v>
      </c>
      <c r="AN2707" s="4">
        <v>0</v>
      </c>
      <c r="AO2707" s="4">
        <v>0</v>
      </c>
      <c r="AP2707" s="4">
        <v>14</v>
      </c>
      <c r="AQ2707" s="4">
        <v>14</v>
      </c>
      <c r="AR2707" s="3" t="s">
        <v>64</v>
      </c>
      <c r="AS2707" s="3" t="s">
        <v>64</v>
      </c>
      <c r="AT2707" s="3" t="s">
        <v>128</v>
      </c>
      <c r="AU2707" s="6" t="str">
        <f>HYPERLINK("http://catalog.hathitrust.org/Record/001674370","HathiTrust Record")</f>
        <v>HathiTrust Record</v>
      </c>
      <c r="AV2707" s="6" t="str">
        <f>HYPERLINK("http://mcgill.on.worldcat.org/oclc/669706","Catalog Record")</f>
        <v>Catalog Record</v>
      </c>
      <c r="AW2707" s="6" t="str">
        <f>HYPERLINK("http://www.worldcat.org/oclc/669706","WorldCat Record")</f>
        <v>WorldCat Record</v>
      </c>
      <c r="AX2707" s="3" t="s">
        <v>27251</v>
      </c>
      <c r="AY2707" s="3" t="s">
        <v>27252</v>
      </c>
      <c r="AZ2707" s="3" t="s">
        <v>27253</v>
      </c>
      <c r="BA2707" s="3" t="s">
        <v>27253</v>
      </c>
      <c r="BB2707" s="3" t="s">
        <v>27254</v>
      </c>
      <c r="BC2707" s="3" t="s">
        <v>77</v>
      </c>
      <c r="BD2707" s="3" t="s">
        <v>78</v>
      </c>
      <c r="BF2707" s="3" t="s">
        <v>27254</v>
      </c>
      <c r="BG2707" s="3" t="s">
        <v>27255</v>
      </c>
      <c r="BH2707">
        <f t="shared" si="66"/>
        <v>0</v>
      </c>
    </row>
    <row r="2708" spans="1:60" ht="58" x14ac:dyDescent="0.35">
      <c r="A2708" s="2" t="s">
        <v>59</v>
      </c>
      <c r="B2708" s="2" t="s">
        <v>60</v>
      </c>
      <c r="C2708" s="2" t="s">
        <v>27256</v>
      </c>
      <c r="D2708" s="2" t="s">
        <v>27257</v>
      </c>
      <c r="E2708" s="2" t="s">
        <v>27258</v>
      </c>
      <c r="G2708" s="3" t="s">
        <v>128</v>
      </c>
      <c r="I2708" s="3" t="s">
        <v>64</v>
      </c>
      <c r="J2708" s="3" t="s">
        <v>64</v>
      </c>
      <c r="K2708" s="3" t="s">
        <v>65</v>
      </c>
      <c r="L2708" s="2" t="s">
        <v>14452</v>
      </c>
      <c r="M2708" s="2" t="s">
        <v>27259</v>
      </c>
      <c r="N2708" s="3" t="s">
        <v>5262</v>
      </c>
      <c r="O2708" s="2" t="s">
        <v>27260</v>
      </c>
      <c r="P2708" s="3" t="s">
        <v>102</v>
      </c>
      <c r="Q2708" s="2" t="s">
        <v>27261</v>
      </c>
      <c r="R2708" s="3" t="s">
        <v>70</v>
      </c>
      <c r="S2708" s="4">
        <v>3</v>
      </c>
      <c r="T2708" s="4">
        <v>3</v>
      </c>
      <c r="U2708" s="5" t="s">
        <v>27262</v>
      </c>
      <c r="V2708" s="5" t="s">
        <v>27262</v>
      </c>
      <c r="W2708" s="5" t="s">
        <v>72</v>
      </c>
      <c r="X2708" s="5" t="s">
        <v>72</v>
      </c>
      <c r="Y2708" s="4">
        <v>49</v>
      </c>
      <c r="Z2708" s="4">
        <v>5</v>
      </c>
      <c r="AA2708" s="4">
        <v>7</v>
      </c>
      <c r="AB2708" s="4">
        <v>1</v>
      </c>
      <c r="AC2708" s="4">
        <v>1</v>
      </c>
      <c r="AD2708" s="4">
        <v>20</v>
      </c>
      <c r="AE2708" s="4">
        <v>35</v>
      </c>
      <c r="AF2708" s="4">
        <v>0</v>
      </c>
      <c r="AG2708" s="4">
        <v>0</v>
      </c>
      <c r="AH2708" s="4">
        <v>20</v>
      </c>
      <c r="AI2708" s="4">
        <v>34</v>
      </c>
      <c r="AJ2708" s="4">
        <v>3</v>
      </c>
      <c r="AK2708" s="4">
        <v>4</v>
      </c>
      <c r="AL2708" s="4">
        <v>12</v>
      </c>
      <c r="AM2708" s="4">
        <v>19</v>
      </c>
      <c r="AN2708" s="4">
        <v>0</v>
      </c>
      <c r="AO2708" s="4">
        <v>0</v>
      </c>
      <c r="AP2708" s="4">
        <v>3</v>
      </c>
      <c r="AQ2708" s="4">
        <v>3</v>
      </c>
      <c r="AR2708" s="3" t="s">
        <v>64</v>
      </c>
      <c r="AS2708" s="3" t="s">
        <v>64</v>
      </c>
      <c r="AT2708" s="3" t="s">
        <v>64</v>
      </c>
      <c r="AV2708" s="6" t="str">
        <f>HYPERLINK("http://mcgill.on.worldcat.org/oclc/2295015","Catalog Record")</f>
        <v>Catalog Record</v>
      </c>
      <c r="AW2708" s="6" t="str">
        <f>HYPERLINK("http://www.worldcat.org/oclc/2295015","WorldCat Record")</f>
        <v>WorldCat Record</v>
      </c>
      <c r="AX2708" s="3" t="s">
        <v>27263</v>
      </c>
      <c r="AY2708" s="3" t="s">
        <v>27264</v>
      </c>
      <c r="AZ2708" s="3" t="s">
        <v>27265</v>
      </c>
      <c r="BA2708" s="3" t="s">
        <v>27265</v>
      </c>
      <c r="BB2708" s="3" t="s">
        <v>27266</v>
      </c>
      <c r="BC2708" s="3" t="s">
        <v>77</v>
      </c>
      <c r="BD2708" s="3" t="s">
        <v>78</v>
      </c>
      <c r="BF2708" s="3" t="s">
        <v>27266</v>
      </c>
      <c r="BG2708" s="3" t="s">
        <v>27267</v>
      </c>
      <c r="BH2708">
        <f t="shared" si="66"/>
        <v>0</v>
      </c>
    </row>
    <row r="2709" spans="1:60" ht="58" x14ac:dyDescent="0.35">
      <c r="A2709" s="2" t="s">
        <v>59</v>
      </c>
      <c r="B2709" s="2" t="s">
        <v>60</v>
      </c>
      <c r="C2709" s="2" t="s">
        <v>27268</v>
      </c>
      <c r="D2709" s="2" t="s">
        <v>27269</v>
      </c>
      <c r="E2709" s="2" t="s">
        <v>27270</v>
      </c>
      <c r="G2709" s="3" t="s">
        <v>64</v>
      </c>
      <c r="I2709" s="3" t="s">
        <v>64</v>
      </c>
      <c r="J2709" s="3" t="s">
        <v>64</v>
      </c>
      <c r="K2709" s="3" t="s">
        <v>65</v>
      </c>
      <c r="L2709" s="2" t="s">
        <v>27271</v>
      </c>
      <c r="M2709" s="2" t="s">
        <v>27272</v>
      </c>
      <c r="N2709" s="3" t="s">
        <v>1763</v>
      </c>
      <c r="O2709" s="2" t="s">
        <v>27273</v>
      </c>
      <c r="P2709" s="3" t="s">
        <v>102</v>
      </c>
      <c r="R2709" s="3" t="s">
        <v>70</v>
      </c>
      <c r="S2709" s="4">
        <v>7</v>
      </c>
      <c r="T2709" s="4">
        <v>7</v>
      </c>
      <c r="U2709" s="5" t="s">
        <v>27262</v>
      </c>
      <c r="V2709" s="5" t="s">
        <v>27262</v>
      </c>
      <c r="W2709" s="5" t="s">
        <v>72</v>
      </c>
      <c r="X2709" s="5" t="s">
        <v>72</v>
      </c>
      <c r="Y2709" s="4">
        <v>6</v>
      </c>
      <c r="Z2709" s="4">
        <v>1</v>
      </c>
      <c r="AA2709" s="4">
        <v>5</v>
      </c>
      <c r="AB2709" s="4">
        <v>1</v>
      </c>
      <c r="AC2709" s="4">
        <v>1</v>
      </c>
      <c r="AD2709" s="4">
        <v>0</v>
      </c>
      <c r="AE2709" s="4">
        <v>5</v>
      </c>
      <c r="AF2709" s="4">
        <v>0</v>
      </c>
      <c r="AG2709" s="4">
        <v>0</v>
      </c>
      <c r="AH2709" s="4">
        <v>0</v>
      </c>
      <c r="AI2709" s="4">
        <v>5</v>
      </c>
      <c r="AJ2709" s="4">
        <v>0</v>
      </c>
      <c r="AK2709" s="4">
        <v>3</v>
      </c>
      <c r="AL2709" s="4">
        <v>0</v>
      </c>
      <c r="AM2709" s="4">
        <v>2</v>
      </c>
      <c r="AN2709" s="4">
        <v>0</v>
      </c>
      <c r="AO2709" s="4">
        <v>0</v>
      </c>
      <c r="AP2709" s="4">
        <v>0</v>
      </c>
      <c r="AQ2709" s="4">
        <v>3</v>
      </c>
      <c r="AR2709" s="3" t="s">
        <v>64</v>
      </c>
      <c r="AS2709" s="3" t="s">
        <v>64</v>
      </c>
      <c r="AT2709" s="3" t="s">
        <v>64</v>
      </c>
      <c r="AV2709" s="6" t="str">
        <f>HYPERLINK("http://mcgill.on.worldcat.org/oclc/59743517","Catalog Record")</f>
        <v>Catalog Record</v>
      </c>
      <c r="AW2709" s="6" t="str">
        <f>HYPERLINK("http://www.worldcat.org/oclc/59743517","WorldCat Record")</f>
        <v>WorldCat Record</v>
      </c>
      <c r="AX2709" s="3" t="s">
        <v>27274</v>
      </c>
      <c r="AY2709" s="3" t="s">
        <v>27275</v>
      </c>
      <c r="AZ2709" s="3" t="s">
        <v>27276</v>
      </c>
      <c r="BA2709" s="3" t="s">
        <v>27276</v>
      </c>
      <c r="BB2709" s="3" t="s">
        <v>27277</v>
      </c>
      <c r="BC2709" s="3" t="s">
        <v>77</v>
      </c>
      <c r="BD2709" s="3" t="s">
        <v>78</v>
      </c>
      <c r="BF2709" s="3" t="s">
        <v>27277</v>
      </c>
      <c r="BG2709" s="3" t="s">
        <v>27278</v>
      </c>
      <c r="BH2709">
        <f t="shared" si="66"/>
        <v>0</v>
      </c>
    </row>
    <row r="2710" spans="1:60" ht="58" x14ac:dyDescent="0.35">
      <c r="A2710" s="2" t="s">
        <v>59</v>
      </c>
      <c r="B2710" s="2" t="s">
        <v>60</v>
      </c>
      <c r="C2710" s="2" t="s">
        <v>27279</v>
      </c>
      <c r="D2710" s="2" t="s">
        <v>27280</v>
      </c>
      <c r="E2710" s="2" t="s">
        <v>27281</v>
      </c>
      <c r="G2710" s="3" t="s">
        <v>64</v>
      </c>
      <c r="I2710" s="3" t="s">
        <v>64</v>
      </c>
      <c r="J2710" s="3" t="s">
        <v>64</v>
      </c>
      <c r="K2710" s="3" t="s">
        <v>65</v>
      </c>
      <c r="L2710" s="2" t="s">
        <v>27282</v>
      </c>
      <c r="M2710" s="2" t="s">
        <v>27283</v>
      </c>
      <c r="N2710" s="3" t="s">
        <v>1763</v>
      </c>
      <c r="P2710" s="3" t="s">
        <v>102</v>
      </c>
      <c r="R2710" s="3" t="s">
        <v>70</v>
      </c>
      <c r="S2710" s="4">
        <v>8</v>
      </c>
      <c r="T2710" s="4">
        <v>8</v>
      </c>
      <c r="U2710" s="5" t="s">
        <v>4300</v>
      </c>
      <c r="V2710" s="5" t="s">
        <v>4300</v>
      </c>
      <c r="W2710" s="5" t="s">
        <v>72</v>
      </c>
      <c r="X2710" s="5" t="s">
        <v>72</v>
      </c>
      <c r="Y2710" s="4">
        <v>38</v>
      </c>
      <c r="Z2710" s="4">
        <v>3</v>
      </c>
      <c r="AA2710" s="4">
        <v>7</v>
      </c>
      <c r="AB2710" s="4">
        <v>1</v>
      </c>
      <c r="AC2710" s="4">
        <v>2</v>
      </c>
      <c r="AD2710" s="4">
        <v>19</v>
      </c>
      <c r="AE2710" s="4">
        <v>21</v>
      </c>
      <c r="AF2710" s="4">
        <v>0</v>
      </c>
      <c r="AG2710" s="4">
        <v>1</v>
      </c>
      <c r="AH2710" s="4">
        <v>18</v>
      </c>
      <c r="AI2710" s="4">
        <v>19</v>
      </c>
      <c r="AJ2710" s="4">
        <v>1</v>
      </c>
      <c r="AK2710" s="4">
        <v>3</v>
      </c>
      <c r="AL2710" s="4">
        <v>5</v>
      </c>
      <c r="AM2710" s="4">
        <v>6</v>
      </c>
      <c r="AN2710" s="4">
        <v>0</v>
      </c>
      <c r="AO2710" s="4">
        <v>0</v>
      </c>
      <c r="AP2710" s="4">
        <v>2</v>
      </c>
      <c r="AQ2710" s="4">
        <v>3</v>
      </c>
      <c r="AR2710" s="3" t="s">
        <v>64</v>
      </c>
      <c r="AS2710" s="3" t="s">
        <v>64</v>
      </c>
      <c r="AT2710" s="3" t="s">
        <v>64</v>
      </c>
      <c r="AV2710" s="6" t="str">
        <f>HYPERLINK("http://mcgill.on.worldcat.org/oclc/11513761","Catalog Record")</f>
        <v>Catalog Record</v>
      </c>
      <c r="AW2710" s="6" t="str">
        <f>HYPERLINK("http://www.worldcat.org/oclc/11513761","WorldCat Record")</f>
        <v>WorldCat Record</v>
      </c>
      <c r="AX2710" s="3" t="s">
        <v>27284</v>
      </c>
      <c r="AY2710" s="3" t="s">
        <v>27285</v>
      </c>
      <c r="AZ2710" s="3" t="s">
        <v>27286</v>
      </c>
      <c r="BA2710" s="3" t="s">
        <v>27286</v>
      </c>
      <c r="BB2710" s="3" t="s">
        <v>27287</v>
      </c>
      <c r="BC2710" s="3" t="s">
        <v>77</v>
      </c>
      <c r="BD2710" s="3" t="s">
        <v>78</v>
      </c>
      <c r="BF2710" s="3" t="s">
        <v>27287</v>
      </c>
      <c r="BG2710" s="3" t="s">
        <v>27288</v>
      </c>
      <c r="BH2710">
        <f t="shared" si="66"/>
        <v>0</v>
      </c>
    </row>
    <row r="2711" spans="1:60" ht="58" x14ac:dyDescent="0.35">
      <c r="A2711" s="2" t="s">
        <v>59</v>
      </c>
      <c r="B2711" s="2" t="s">
        <v>60</v>
      </c>
      <c r="C2711" s="2" t="s">
        <v>27289</v>
      </c>
      <c r="D2711" s="2" t="s">
        <v>27290</v>
      </c>
      <c r="E2711" s="2" t="s">
        <v>27291</v>
      </c>
      <c r="G2711" s="3" t="s">
        <v>64</v>
      </c>
      <c r="I2711" s="3" t="s">
        <v>64</v>
      </c>
      <c r="J2711" s="3" t="s">
        <v>64</v>
      </c>
      <c r="K2711" s="3" t="s">
        <v>65</v>
      </c>
      <c r="L2711" s="2" t="s">
        <v>25675</v>
      </c>
      <c r="M2711" s="2" t="s">
        <v>27292</v>
      </c>
      <c r="N2711" s="3" t="s">
        <v>434</v>
      </c>
      <c r="P2711" s="3" t="s">
        <v>102</v>
      </c>
      <c r="R2711" s="3" t="s">
        <v>70</v>
      </c>
      <c r="S2711" s="4">
        <v>13</v>
      </c>
      <c r="T2711" s="4">
        <v>13</v>
      </c>
      <c r="U2711" s="5" t="s">
        <v>25351</v>
      </c>
      <c r="V2711" s="5" t="s">
        <v>25351</v>
      </c>
      <c r="W2711" s="5" t="s">
        <v>72</v>
      </c>
      <c r="X2711" s="5" t="s">
        <v>72</v>
      </c>
      <c r="Y2711" s="4">
        <v>138</v>
      </c>
      <c r="Z2711" s="4">
        <v>11</v>
      </c>
      <c r="AA2711" s="4">
        <v>78</v>
      </c>
      <c r="AB2711" s="4">
        <v>1</v>
      </c>
      <c r="AC2711" s="4">
        <v>14</v>
      </c>
      <c r="AD2711" s="4">
        <v>12</v>
      </c>
      <c r="AE2711" s="4">
        <v>84</v>
      </c>
      <c r="AF2711" s="4">
        <v>0</v>
      </c>
      <c r="AG2711" s="4">
        <v>8</v>
      </c>
      <c r="AH2711" s="4">
        <v>11</v>
      </c>
      <c r="AI2711" s="4">
        <v>54</v>
      </c>
      <c r="AJ2711" s="4">
        <v>3</v>
      </c>
      <c r="AK2711" s="4">
        <v>15</v>
      </c>
      <c r="AL2711" s="4">
        <v>5</v>
      </c>
      <c r="AM2711" s="4">
        <v>26</v>
      </c>
      <c r="AN2711" s="4">
        <v>0</v>
      </c>
      <c r="AO2711" s="4">
        <v>0</v>
      </c>
      <c r="AP2711" s="4">
        <v>3</v>
      </c>
      <c r="AQ2711" s="4">
        <v>35</v>
      </c>
      <c r="AR2711" s="3" t="s">
        <v>64</v>
      </c>
      <c r="AS2711" s="3" t="s">
        <v>64</v>
      </c>
      <c r="AT2711" s="3" t="s">
        <v>64</v>
      </c>
      <c r="AV2711" s="6" t="str">
        <f>HYPERLINK("http://mcgill.on.worldcat.org/oclc/64330751","Catalog Record")</f>
        <v>Catalog Record</v>
      </c>
      <c r="AW2711" s="6" t="str">
        <f>HYPERLINK("http://www.worldcat.org/oclc/64330751","WorldCat Record")</f>
        <v>WorldCat Record</v>
      </c>
      <c r="AX2711" s="3" t="s">
        <v>27293</v>
      </c>
      <c r="AY2711" s="3" t="s">
        <v>27294</v>
      </c>
      <c r="AZ2711" s="3" t="s">
        <v>27295</v>
      </c>
      <c r="BA2711" s="3" t="s">
        <v>27295</v>
      </c>
      <c r="BB2711" s="3" t="s">
        <v>27296</v>
      </c>
      <c r="BC2711" s="3" t="s">
        <v>77</v>
      </c>
      <c r="BD2711" s="3" t="s">
        <v>78</v>
      </c>
      <c r="BE2711" s="3" t="s">
        <v>27297</v>
      </c>
      <c r="BF2711" s="3" t="s">
        <v>27296</v>
      </c>
      <c r="BG2711" s="3" t="s">
        <v>27298</v>
      </c>
      <c r="BH2711">
        <f t="shared" si="66"/>
        <v>0</v>
      </c>
    </row>
    <row r="2712" spans="1:60" ht="72.5" x14ac:dyDescent="0.35">
      <c r="A2712" s="2" t="s">
        <v>59</v>
      </c>
      <c r="B2712" s="2" t="s">
        <v>60</v>
      </c>
      <c r="C2712" s="2" t="s">
        <v>27299</v>
      </c>
      <c r="D2712" s="2" t="s">
        <v>27300</v>
      </c>
      <c r="E2712" s="2" t="s">
        <v>27301</v>
      </c>
      <c r="G2712" s="3" t="s">
        <v>64</v>
      </c>
      <c r="I2712" s="3" t="s">
        <v>64</v>
      </c>
      <c r="J2712" s="3" t="s">
        <v>64</v>
      </c>
      <c r="K2712" s="3" t="s">
        <v>65</v>
      </c>
      <c r="L2712" s="2" t="s">
        <v>25370</v>
      </c>
      <c r="M2712" s="2" t="s">
        <v>27302</v>
      </c>
      <c r="N2712" s="3" t="s">
        <v>3428</v>
      </c>
      <c r="P2712" s="3" t="s">
        <v>68</v>
      </c>
      <c r="R2712" s="3" t="s">
        <v>70</v>
      </c>
      <c r="S2712" s="4">
        <v>7</v>
      </c>
      <c r="T2712" s="4">
        <v>7</v>
      </c>
      <c r="U2712" s="5" t="s">
        <v>15687</v>
      </c>
      <c r="V2712" s="5" t="s">
        <v>15687</v>
      </c>
      <c r="W2712" s="5" t="s">
        <v>72</v>
      </c>
      <c r="X2712" s="5" t="s">
        <v>72</v>
      </c>
      <c r="Y2712" s="4">
        <v>54</v>
      </c>
      <c r="Z2712" s="4">
        <v>15</v>
      </c>
      <c r="AA2712" s="4">
        <v>17</v>
      </c>
      <c r="AB2712" s="4">
        <v>7</v>
      </c>
      <c r="AC2712" s="4">
        <v>7</v>
      </c>
      <c r="AD2712" s="4">
        <v>8</v>
      </c>
      <c r="AE2712" s="4">
        <v>9</v>
      </c>
      <c r="AF2712" s="4">
        <v>5</v>
      </c>
      <c r="AG2712" s="4">
        <v>5</v>
      </c>
      <c r="AH2712" s="4">
        <v>3</v>
      </c>
      <c r="AI2712" s="4">
        <v>4</v>
      </c>
      <c r="AJ2712" s="4">
        <v>7</v>
      </c>
      <c r="AK2712" s="4">
        <v>8</v>
      </c>
      <c r="AL2712" s="4">
        <v>0</v>
      </c>
      <c r="AM2712" s="4">
        <v>1</v>
      </c>
      <c r="AN2712" s="4">
        <v>0</v>
      </c>
      <c r="AO2712" s="4">
        <v>0</v>
      </c>
      <c r="AP2712" s="4">
        <v>6</v>
      </c>
      <c r="AQ2712" s="4">
        <v>7</v>
      </c>
      <c r="AR2712" s="3" t="s">
        <v>128</v>
      </c>
      <c r="AS2712" s="3" t="s">
        <v>64</v>
      </c>
      <c r="AT2712" s="3" t="s">
        <v>64</v>
      </c>
      <c r="AV2712" s="6" t="str">
        <f>HYPERLINK("http://mcgill.on.worldcat.org/oclc/35940011","Catalog Record")</f>
        <v>Catalog Record</v>
      </c>
      <c r="AW2712" s="6" t="str">
        <f>HYPERLINK("http://www.worldcat.org/oclc/35940011","WorldCat Record")</f>
        <v>WorldCat Record</v>
      </c>
      <c r="AX2712" s="3" t="s">
        <v>27303</v>
      </c>
      <c r="AY2712" s="3" t="s">
        <v>27304</v>
      </c>
      <c r="AZ2712" s="3" t="s">
        <v>27305</v>
      </c>
      <c r="BA2712" s="3" t="s">
        <v>27305</v>
      </c>
      <c r="BB2712" s="3" t="s">
        <v>27306</v>
      </c>
      <c r="BC2712" s="3" t="s">
        <v>77</v>
      </c>
      <c r="BD2712" s="3" t="s">
        <v>78</v>
      </c>
      <c r="BE2712" s="3" t="s">
        <v>27307</v>
      </c>
      <c r="BF2712" s="3" t="s">
        <v>27306</v>
      </c>
      <c r="BG2712" s="3" t="s">
        <v>27308</v>
      </c>
      <c r="BH2712">
        <f t="shared" si="66"/>
        <v>0</v>
      </c>
    </row>
    <row r="2713" spans="1:60" ht="58" x14ac:dyDescent="0.35">
      <c r="A2713" s="2" t="s">
        <v>59</v>
      </c>
      <c r="B2713" s="2" t="s">
        <v>60</v>
      </c>
      <c r="C2713" s="2" t="s">
        <v>27309</v>
      </c>
      <c r="D2713" s="2" t="s">
        <v>27310</v>
      </c>
      <c r="E2713" s="2" t="s">
        <v>27311</v>
      </c>
      <c r="G2713" s="3" t="s">
        <v>64</v>
      </c>
      <c r="I2713" s="3" t="s">
        <v>64</v>
      </c>
      <c r="J2713" s="3" t="s">
        <v>64</v>
      </c>
      <c r="K2713" s="3" t="s">
        <v>65</v>
      </c>
      <c r="L2713" s="2" t="s">
        <v>27282</v>
      </c>
      <c r="M2713" s="2" t="s">
        <v>27312</v>
      </c>
      <c r="N2713" s="3" t="s">
        <v>291</v>
      </c>
      <c r="P2713" s="3" t="s">
        <v>102</v>
      </c>
      <c r="Q2713" s="2" t="s">
        <v>8981</v>
      </c>
      <c r="R2713" s="3" t="s">
        <v>70</v>
      </c>
      <c r="S2713" s="4">
        <v>8</v>
      </c>
      <c r="T2713" s="4">
        <v>8</v>
      </c>
      <c r="U2713" s="5" t="s">
        <v>27313</v>
      </c>
      <c r="V2713" s="5" t="s">
        <v>27313</v>
      </c>
      <c r="W2713" s="5" t="s">
        <v>72</v>
      </c>
      <c r="X2713" s="5" t="s">
        <v>72</v>
      </c>
      <c r="Y2713" s="4">
        <v>95</v>
      </c>
      <c r="Z2713" s="4">
        <v>9</v>
      </c>
      <c r="AA2713" s="4">
        <v>37</v>
      </c>
      <c r="AB2713" s="4">
        <v>1</v>
      </c>
      <c r="AC2713" s="4">
        <v>9</v>
      </c>
      <c r="AD2713" s="4">
        <v>17</v>
      </c>
      <c r="AE2713" s="4">
        <v>72</v>
      </c>
      <c r="AF2713" s="4">
        <v>0</v>
      </c>
      <c r="AG2713" s="4">
        <v>4</v>
      </c>
      <c r="AH2713" s="4">
        <v>14</v>
      </c>
      <c r="AI2713" s="4">
        <v>58</v>
      </c>
      <c r="AJ2713" s="4">
        <v>6</v>
      </c>
      <c r="AK2713" s="4">
        <v>13</v>
      </c>
      <c r="AL2713" s="4">
        <v>7</v>
      </c>
      <c r="AM2713" s="4">
        <v>30</v>
      </c>
      <c r="AN2713" s="4">
        <v>0</v>
      </c>
      <c r="AO2713" s="4">
        <v>0</v>
      </c>
      <c r="AP2713" s="4">
        <v>7</v>
      </c>
      <c r="AQ2713" s="4">
        <v>18</v>
      </c>
      <c r="AR2713" s="3" t="s">
        <v>64</v>
      </c>
      <c r="AS2713" s="3" t="s">
        <v>64</v>
      </c>
      <c r="AT2713" s="3" t="s">
        <v>128</v>
      </c>
      <c r="AU2713" s="6" t="str">
        <f>HYPERLINK("http://catalog.hathitrust.org/Record/005622472","HathiTrust Record")</f>
        <v>HathiTrust Record</v>
      </c>
      <c r="AV2713" s="6" t="str">
        <f>HYPERLINK("http://mcgill.on.worldcat.org/oclc/71542630","Catalog Record")</f>
        <v>Catalog Record</v>
      </c>
      <c r="AW2713" s="6" t="str">
        <f>HYPERLINK("http://www.worldcat.org/oclc/71542630","WorldCat Record")</f>
        <v>WorldCat Record</v>
      </c>
      <c r="AX2713" s="3" t="s">
        <v>27314</v>
      </c>
      <c r="AY2713" s="3" t="s">
        <v>27315</v>
      </c>
      <c r="AZ2713" s="3" t="s">
        <v>27316</v>
      </c>
      <c r="BA2713" s="3" t="s">
        <v>27316</v>
      </c>
      <c r="BB2713" s="3" t="s">
        <v>27317</v>
      </c>
      <c r="BC2713" s="3" t="s">
        <v>77</v>
      </c>
      <c r="BD2713" s="3" t="s">
        <v>78</v>
      </c>
      <c r="BE2713" s="3" t="s">
        <v>27318</v>
      </c>
      <c r="BF2713" s="3" t="s">
        <v>27317</v>
      </c>
      <c r="BG2713" s="3" t="s">
        <v>27319</v>
      </c>
      <c r="BH2713">
        <f t="shared" si="66"/>
        <v>0</v>
      </c>
    </row>
    <row r="2714" spans="1:60" ht="58" x14ac:dyDescent="0.35">
      <c r="A2714" s="2" t="s">
        <v>59</v>
      </c>
      <c r="B2714" s="2" t="s">
        <v>60</v>
      </c>
      <c r="C2714" s="2" t="s">
        <v>27320</v>
      </c>
      <c r="D2714" s="2" t="s">
        <v>27321</v>
      </c>
      <c r="E2714" s="2" t="s">
        <v>27322</v>
      </c>
      <c r="G2714" s="3" t="s">
        <v>64</v>
      </c>
      <c r="I2714" s="3" t="s">
        <v>64</v>
      </c>
      <c r="J2714" s="3" t="s">
        <v>64</v>
      </c>
      <c r="K2714" s="3" t="s">
        <v>65</v>
      </c>
      <c r="L2714" s="2" t="s">
        <v>27323</v>
      </c>
      <c r="M2714" s="2" t="s">
        <v>20049</v>
      </c>
      <c r="N2714" s="3" t="s">
        <v>434</v>
      </c>
      <c r="O2714" s="2" t="s">
        <v>27324</v>
      </c>
      <c r="P2714" s="3" t="s">
        <v>102</v>
      </c>
      <c r="R2714" s="3" t="s">
        <v>70</v>
      </c>
      <c r="S2714" s="4">
        <v>17</v>
      </c>
      <c r="T2714" s="4">
        <v>17</v>
      </c>
      <c r="U2714" s="5" t="s">
        <v>25351</v>
      </c>
      <c r="V2714" s="5" t="s">
        <v>25351</v>
      </c>
      <c r="W2714" s="5" t="s">
        <v>72</v>
      </c>
      <c r="X2714" s="5" t="s">
        <v>72</v>
      </c>
      <c r="Y2714" s="4">
        <v>247</v>
      </c>
      <c r="Z2714" s="4">
        <v>7</v>
      </c>
      <c r="AA2714" s="4">
        <v>12</v>
      </c>
      <c r="AB2714" s="4">
        <v>1</v>
      </c>
      <c r="AC2714" s="4">
        <v>2</v>
      </c>
      <c r="AD2714" s="4">
        <v>35</v>
      </c>
      <c r="AE2714" s="4">
        <v>42</v>
      </c>
      <c r="AF2714" s="4">
        <v>0</v>
      </c>
      <c r="AG2714" s="4">
        <v>1</v>
      </c>
      <c r="AH2714" s="4">
        <v>34</v>
      </c>
      <c r="AI2714" s="4">
        <v>40</v>
      </c>
      <c r="AJ2714" s="4">
        <v>2</v>
      </c>
      <c r="AK2714" s="4">
        <v>5</v>
      </c>
      <c r="AL2714" s="4">
        <v>18</v>
      </c>
      <c r="AM2714" s="4">
        <v>20</v>
      </c>
      <c r="AN2714" s="4">
        <v>0</v>
      </c>
      <c r="AO2714" s="4">
        <v>0</v>
      </c>
      <c r="AP2714" s="4">
        <v>2</v>
      </c>
      <c r="AQ2714" s="4">
        <v>4</v>
      </c>
      <c r="AR2714" s="3" t="s">
        <v>64</v>
      </c>
      <c r="AS2714" s="3" t="s">
        <v>64</v>
      </c>
      <c r="AT2714" s="3" t="s">
        <v>128</v>
      </c>
      <c r="AU2714" s="6" t="str">
        <f>HYPERLINK("http://catalog.hathitrust.org/Record/005021215","HathiTrust Record")</f>
        <v>HathiTrust Record</v>
      </c>
      <c r="AV2714" s="6" t="str">
        <f>HYPERLINK("http://mcgill.on.worldcat.org/oclc/57373681","Catalog Record")</f>
        <v>Catalog Record</v>
      </c>
      <c r="AW2714" s="6" t="str">
        <f>HYPERLINK("http://www.worldcat.org/oclc/57373681","WorldCat Record")</f>
        <v>WorldCat Record</v>
      </c>
      <c r="AX2714" s="3" t="s">
        <v>27325</v>
      </c>
      <c r="AY2714" s="3" t="s">
        <v>27326</v>
      </c>
      <c r="AZ2714" s="3" t="s">
        <v>27327</v>
      </c>
      <c r="BA2714" s="3" t="s">
        <v>27327</v>
      </c>
      <c r="BB2714" s="3" t="s">
        <v>27328</v>
      </c>
      <c r="BC2714" s="3" t="s">
        <v>77</v>
      </c>
      <c r="BD2714" s="3" t="s">
        <v>78</v>
      </c>
      <c r="BE2714" s="3" t="s">
        <v>27329</v>
      </c>
      <c r="BF2714" s="3" t="s">
        <v>27328</v>
      </c>
      <c r="BG2714" s="3" t="s">
        <v>27330</v>
      </c>
      <c r="BH2714">
        <f t="shared" si="66"/>
        <v>0</v>
      </c>
    </row>
    <row r="2715" spans="1:60" ht="58" x14ac:dyDescent="0.35">
      <c r="A2715" s="2" t="s">
        <v>59</v>
      </c>
      <c r="B2715" s="2" t="s">
        <v>60</v>
      </c>
      <c r="C2715" s="2" t="s">
        <v>27334</v>
      </c>
      <c r="D2715" s="2" t="s">
        <v>27335</v>
      </c>
      <c r="E2715" s="2" t="s">
        <v>27336</v>
      </c>
      <c r="G2715" s="3" t="s">
        <v>64</v>
      </c>
      <c r="I2715" s="3" t="s">
        <v>64</v>
      </c>
      <c r="J2715" s="3" t="s">
        <v>64</v>
      </c>
      <c r="K2715" s="3" t="s">
        <v>65</v>
      </c>
      <c r="L2715" s="2" t="s">
        <v>14452</v>
      </c>
      <c r="M2715" s="2" t="s">
        <v>27337</v>
      </c>
      <c r="N2715" s="3" t="s">
        <v>2923</v>
      </c>
      <c r="P2715" s="3" t="s">
        <v>102</v>
      </c>
      <c r="Q2715" s="2" t="s">
        <v>27338</v>
      </c>
      <c r="R2715" s="3" t="s">
        <v>70</v>
      </c>
      <c r="S2715" s="4">
        <v>2</v>
      </c>
      <c r="T2715" s="4">
        <v>2</v>
      </c>
      <c r="U2715" s="5" t="s">
        <v>1088</v>
      </c>
      <c r="V2715" s="5" t="s">
        <v>1088</v>
      </c>
      <c r="W2715" s="5" t="s">
        <v>72</v>
      </c>
      <c r="X2715" s="5" t="s">
        <v>72</v>
      </c>
      <c r="Y2715" s="4">
        <v>69</v>
      </c>
      <c r="Z2715" s="4">
        <v>4</v>
      </c>
      <c r="AA2715" s="4">
        <v>4</v>
      </c>
      <c r="AB2715" s="4">
        <v>1</v>
      </c>
      <c r="AC2715" s="4">
        <v>1</v>
      </c>
      <c r="AD2715" s="4">
        <v>31</v>
      </c>
      <c r="AE2715" s="4">
        <v>31</v>
      </c>
      <c r="AF2715" s="4">
        <v>0</v>
      </c>
      <c r="AG2715" s="4">
        <v>0</v>
      </c>
      <c r="AH2715" s="4">
        <v>30</v>
      </c>
      <c r="AI2715" s="4">
        <v>30</v>
      </c>
      <c r="AJ2715" s="4">
        <v>2</v>
      </c>
      <c r="AK2715" s="4">
        <v>2</v>
      </c>
      <c r="AL2715" s="4">
        <v>19</v>
      </c>
      <c r="AM2715" s="4">
        <v>19</v>
      </c>
      <c r="AN2715" s="4">
        <v>0</v>
      </c>
      <c r="AO2715" s="4">
        <v>0</v>
      </c>
      <c r="AP2715" s="4">
        <v>2</v>
      </c>
      <c r="AQ2715" s="4">
        <v>2</v>
      </c>
      <c r="AR2715" s="3" t="s">
        <v>64</v>
      </c>
      <c r="AS2715" s="3" t="s">
        <v>64</v>
      </c>
      <c r="AT2715" s="3" t="s">
        <v>128</v>
      </c>
      <c r="AU2715" s="6" t="str">
        <f>HYPERLINK("http://catalog.hathitrust.org/Record/001163366","HathiTrust Record")</f>
        <v>HathiTrust Record</v>
      </c>
      <c r="AV2715" s="6" t="str">
        <f>HYPERLINK("http://mcgill.on.worldcat.org/oclc/3623198","Catalog Record")</f>
        <v>Catalog Record</v>
      </c>
      <c r="AW2715" s="6" t="str">
        <f>HYPERLINK("http://www.worldcat.org/oclc/3623198","WorldCat Record")</f>
        <v>WorldCat Record</v>
      </c>
      <c r="AX2715" s="3" t="s">
        <v>27339</v>
      </c>
      <c r="AY2715" s="3" t="s">
        <v>27340</v>
      </c>
      <c r="AZ2715" s="3" t="s">
        <v>27341</v>
      </c>
      <c r="BA2715" s="3" t="s">
        <v>27341</v>
      </c>
      <c r="BB2715" s="3" t="s">
        <v>27342</v>
      </c>
      <c r="BC2715" s="3" t="s">
        <v>77</v>
      </c>
      <c r="BD2715" s="3" t="s">
        <v>78</v>
      </c>
      <c r="BF2715" s="3" t="s">
        <v>27342</v>
      </c>
      <c r="BG2715" s="3" t="s">
        <v>27343</v>
      </c>
      <c r="BH2715">
        <f t="shared" si="66"/>
        <v>0</v>
      </c>
    </row>
    <row r="2716" spans="1:60" ht="58" x14ac:dyDescent="0.35">
      <c r="A2716" s="2" t="s">
        <v>59</v>
      </c>
      <c r="B2716" s="2" t="s">
        <v>60</v>
      </c>
      <c r="C2716" s="2" t="s">
        <v>27344</v>
      </c>
      <c r="D2716" s="2" t="s">
        <v>27345</v>
      </c>
      <c r="E2716" s="2" t="s">
        <v>27346</v>
      </c>
      <c r="G2716" s="3" t="s">
        <v>64</v>
      </c>
      <c r="I2716" s="3" t="s">
        <v>64</v>
      </c>
      <c r="J2716" s="3" t="s">
        <v>64</v>
      </c>
      <c r="K2716" s="3" t="s">
        <v>65</v>
      </c>
      <c r="L2716" s="2" t="s">
        <v>27347</v>
      </c>
      <c r="M2716" s="2" t="s">
        <v>27348</v>
      </c>
      <c r="N2716" s="3" t="s">
        <v>10653</v>
      </c>
      <c r="P2716" s="3" t="s">
        <v>102</v>
      </c>
      <c r="R2716" s="3" t="s">
        <v>70</v>
      </c>
      <c r="S2716" s="4">
        <v>1</v>
      </c>
      <c r="T2716" s="4">
        <v>1</v>
      </c>
      <c r="U2716" s="5" t="s">
        <v>7748</v>
      </c>
      <c r="V2716" s="5" t="s">
        <v>7748</v>
      </c>
      <c r="W2716" s="5" t="s">
        <v>72</v>
      </c>
      <c r="X2716" s="5" t="s">
        <v>72</v>
      </c>
      <c r="Y2716" s="4">
        <v>2</v>
      </c>
      <c r="Z2716" s="4">
        <v>2</v>
      </c>
      <c r="AA2716" s="4">
        <v>2</v>
      </c>
      <c r="AB2716" s="4">
        <v>1</v>
      </c>
      <c r="AC2716" s="4">
        <v>1</v>
      </c>
      <c r="AD2716" s="4">
        <v>0</v>
      </c>
      <c r="AE2716" s="4">
        <v>0</v>
      </c>
      <c r="AF2716" s="4">
        <v>0</v>
      </c>
      <c r="AG2716" s="4">
        <v>0</v>
      </c>
      <c r="AH2716" s="4">
        <v>0</v>
      </c>
      <c r="AI2716" s="4">
        <v>0</v>
      </c>
      <c r="AJ2716" s="4">
        <v>0</v>
      </c>
      <c r="AK2716" s="4">
        <v>0</v>
      </c>
      <c r="AL2716" s="4">
        <v>0</v>
      </c>
      <c r="AM2716" s="4">
        <v>0</v>
      </c>
      <c r="AN2716" s="4">
        <v>0</v>
      </c>
      <c r="AO2716" s="4">
        <v>0</v>
      </c>
      <c r="AP2716" s="4">
        <v>0</v>
      </c>
      <c r="AQ2716" s="4">
        <v>0</v>
      </c>
      <c r="AR2716" s="3" t="s">
        <v>64</v>
      </c>
      <c r="AS2716" s="3" t="s">
        <v>64</v>
      </c>
      <c r="AT2716" s="3" t="s">
        <v>64</v>
      </c>
      <c r="AV2716" s="6" t="str">
        <f>HYPERLINK("http://mcgill.on.worldcat.org/oclc/317480210","Catalog Record")</f>
        <v>Catalog Record</v>
      </c>
      <c r="AW2716" s="6" t="str">
        <f>HYPERLINK("http://www.worldcat.org/oclc/317480210","WorldCat Record")</f>
        <v>WorldCat Record</v>
      </c>
      <c r="AX2716" s="3" t="s">
        <v>27349</v>
      </c>
      <c r="AY2716" s="3" t="s">
        <v>27350</v>
      </c>
      <c r="AZ2716" s="3" t="s">
        <v>27351</v>
      </c>
      <c r="BA2716" s="3" t="s">
        <v>27351</v>
      </c>
      <c r="BB2716" s="3" t="s">
        <v>27352</v>
      </c>
      <c r="BC2716" s="3" t="s">
        <v>77</v>
      </c>
      <c r="BD2716" s="3" t="s">
        <v>78</v>
      </c>
      <c r="BF2716" s="3" t="s">
        <v>27352</v>
      </c>
      <c r="BG2716" s="3" t="s">
        <v>27353</v>
      </c>
      <c r="BH2716">
        <f t="shared" si="66"/>
        <v>0</v>
      </c>
    </row>
    <row r="2717" spans="1:60" ht="58" x14ac:dyDescent="0.35">
      <c r="A2717" s="2" t="s">
        <v>59</v>
      </c>
      <c r="B2717" s="2" t="s">
        <v>60</v>
      </c>
      <c r="C2717" s="2" t="s">
        <v>27354</v>
      </c>
      <c r="D2717" s="2" t="s">
        <v>27355</v>
      </c>
      <c r="E2717" s="2" t="s">
        <v>27356</v>
      </c>
      <c r="G2717" s="3" t="s">
        <v>64</v>
      </c>
      <c r="I2717" s="3" t="s">
        <v>64</v>
      </c>
      <c r="J2717" s="3" t="s">
        <v>64</v>
      </c>
      <c r="K2717" s="3" t="s">
        <v>183</v>
      </c>
      <c r="L2717" s="2" t="s">
        <v>27347</v>
      </c>
      <c r="M2717" s="2" t="s">
        <v>27357</v>
      </c>
      <c r="N2717" s="3" t="s">
        <v>4872</v>
      </c>
      <c r="O2717" s="2" t="s">
        <v>25720</v>
      </c>
      <c r="P2717" s="3" t="s">
        <v>102</v>
      </c>
      <c r="R2717" s="3" t="s">
        <v>70</v>
      </c>
      <c r="S2717" s="4">
        <v>9</v>
      </c>
      <c r="T2717" s="4">
        <v>9</v>
      </c>
      <c r="U2717" s="5" t="s">
        <v>20338</v>
      </c>
      <c r="V2717" s="5" t="s">
        <v>20338</v>
      </c>
      <c r="W2717" s="5" t="s">
        <v>72</v>
      </c>
      <c r="X2717" s="5" t="s">
        <v>72</v>
      </c>
      <c r="Y2717" s="4">
        <v>115</v>
      </c>
      <c r="Z2717" s="4">
        <v>7</v>
      </c>
      <c r="AA2717" s="4">
        <v>9</v>
      </c>
      <c r="AB2717" s="4">
        <v>1</v>
      </c>
      <c r="AC2717" s="4">
        <v>1</v>
      </c>
      <c r="AD2717" s="4">
        <v>35</v>
      </c>
      <c r="AE2717" s="4">
        <v>41</v>
      </c>
      <c r="AF2717" s="4">
        <v>0</v>
      </c>
      <c r="AG2717" s="4">
        <v>0</v>
      </c>
      <c r="AH2717" s="4">
        <v>32</v>
      </c>
      <c r="AI2717" s="4">
        <v>37</v>
      </c>
      <c r="AJ2717" s="4">
        <v>4</v>
      </c>
      <c r="AK2717" s="4">
        <v>5</v>
      </c>
      <c r="AL2717" s="4">
        <v>14</v>
      </c>
      <c r="AM2717" s="4">
        <v>15</v>
      </c>
      <c r="AN2717" s="4">
        <v>0</v>
      </c>
      <c r="AO2717" s="4">
        <v>0</v>
      </c>
      <c r="AP2717" s="4">
        <v>5</v>
      </c>
      <c r="AQ2717" s="4">
        <v>7</v>
      </c>
      <c r="AR2717" s="3" t="s">
        <v>64</v>
      </c>
      <c r="AS2717" s="3" t="s">
        <v>64</v>
      </c>
      <c r="AT2717" s="3" t="s">
        <v>64</v>
      </c>
      <c r="AV2717" s="6" t="str">
        <f>HYPERLINK("http://mcgill.on.worldcat.org/oclc/575898","Catalog Record")</f>
        <v>Catalog Record</v>
      </c>
      <c r="AW2717" s="6" t="str">
        <f>HYPERLINK("http://www.worldcat.org/oclc/575898","WorldCat Record")</f>
        <v>WorldCat Record</v>
      </c>
      <c r="AX2717" s="3" t="s">
        <v>27358</v>
      </c>
      <c r="AY2717" s="3" t="s">
        <v>27359</v>
      </c>
      <c r="AZ2717" s="3" t="s">
        <v>27360</v>
      </c>
      <c r="BA2717" s="3" t="s">
        <v>27360</v>
      </c>
      <c r="BB2717" s="3" t="s">
        <v>27361</v>
      </c>
      <c r="BC2717" s="3" t="s">
        <v>77</v>
      </c>
      <c r="BD2717" s="3" t="s">
        <v>78</v>
      </c>
      <c r="BF2717" s="3" t="s">
        <v>27361</v>
      </c>
      <c r="BG2717" s="3" t="s">
        <v>27362</v>
      </c>
      <c r="BH2717">
        <f t="shared" si="66"/>
        <v>0</v>
      </c>
    </row>
    <row r="2718" spans="1:60" ht="58" x14ac:dyDescent="0.35">
      <c r="A2718" s="2" t="s">
        <v>59</v>
      </c>
      <c r="B2718" s="2" t="s">
        <v>60</v>
      </c>
      <c r="C2718" s="2" t="s">
        <v>27363</v>
      </c>
      <c r="D2718" s="2" t="s">
        <v>27364</v>
      </c>
      <c r="E2718" s="2" t="s">
        <v>27365</v>
      </c>
      <c r="G2718" s="3" t="s">
        <v>64</v>
      </c>
      <c r="I2718" s="3" t="s">
        <v>64</v>
      </c>
      <c r="J2718" s="3" t="s">
        <v>64</v>
      </c>
      <c r="K2718" s="3" t="s">
        <v>65</v>
      </c>
      <c r="L2718" s="2" t="s">
        <v>27366</v>
      </c>
      <c r="M2718" s="2" t="s">
        <v>27367</v>
      </c>
      <c r="N2718" s="3" t="s">
        <v>1640</v>
      </c>
      <c r="O2718" s="2" t="s">
        <v>25720</v>
      </c>
      <c r="P2718" s="3" t="s">
        <v>102</v>
      </c>
      <c r="Q2718" s="2" t="s">
        <v>27368</v>
      </c>
      <c r="R2718" s="3" t="s">
        <v>70</v>
      </c>
      <c r="S2718" s="4">
        <v>3</v>
      </c>
      <c r="T2718" s="4">
        <v>3</v>
      </c>
      <c r="U2718" s="5" t="s">
        <v>20338</v>
      </c>
      <c r="V2718" s="5" t="s">
        <v>20338</v>
      </c>
      <c r="W2718" s="5" t="s">
        <v>72</v>
      </c>
      <c r="X2718" s="5" t="s">
        <v>72</v>
      </c>
      <c r="Y2718" s="4">
        <v>2</v>
      </c>
      <c r="Z2718" s="4">
        <v>1</v>
      </c>
      <c r="AA2718" s="4">
        <v>6</v>
      </c>
      <c r="AB2718" s="4">
        <v>1</v>
      </c>
      <c r="AC2718" s="4">
        <v>1</v>
      </c>
      <c r="AD2718" s="4">
        <v>0</v>
      </c>
      <c r="AE2718" s="4">
        <v>15</v>
      </c>
      <c r="AF2718" s="4">
        <v>0</v>
      </c>
      <c r="AG2718" s="4">
        <v>0</v>
      </c>
      <c r="AH2718" s="4">
        <v>0</v>
      </c>
      <c r="AI2718" s="4">
        <v>15</v>
      </c>
      <c r="AJ2718" s="4">
        <v>0</v>
      </c>
      <c r="AK2718" s="4">
        <v>4</v>
      </c>
      <c r="AL2718" s="4">
        <v>0</v>
      </c>
      <c r="AM2718" s="4">
        <v>10</v>
      </c>
      <c r="AN2718" s="4">
        <v>0</v>
      </c>
      <c r="AO2718" s="4">
        <v>0</v>
      </c>
      <c r="AP2718" s="4">
        <v>0</v>
      </c>
      <c r="AQ2718" s="4">
        <v>4</v>
      </c>
      <c r="AR2718" s="3" t="s">
        <v>64</v>
      </c>
      <c r="AS2718" s="3" t="s">
        <v>64</v>
      </c>
      <c r="AT2718" s="3" t="s">
        <v>64</v>
      </c>
      <c r="AV2718" s="6" t="str">
        <f>HYPERLINK("http://mcgill.on.worldcat.org/oclc/427324284","Catalog Record")</f>
        <v>Catalog Record</v>
      </c>
      <c r="AW2718" s="6" t="str">
        <f>HYPERLINK("http://www.worldcat.org/oclc/427324284","WorldCat Record")</f>
        <v>WorldCat Record</v>
      </c>
      <c r="AX2718" s="3" t="s">
        <v>27369</v>
      </c>
      <c r="AY2718" s="3" t="s">
        <v>27370</v>
      </c>
      <c r="AZ2718" s="3" t="s">
        <v>27371</v>
      </c>
      <c r="BA2718" s="3" t="s">
        <v>27371</v>
      </c>
      <c r="BB2718" s="3" t="s">
        <v>27372</v>
      </c>
      <c r="BC2718" s="3" t="s">
        <v>77</v>
      </c>
      <c r="BD2718" s="3" t="s">
        <v>78</v>
      </c>
      <c r="BF2718" s="3" t="s">
        <v>27372</v>
      </c>
      <c r="BG2718" s="3" t="s">
        <v>27373</v>
      </c>
      <c r="BH2718">
        <f t="shared" si="66"/>
        <v>0</v>
      </c>
    </row>
    <row r="2719" spans="1:60" ht="58" x14ac:dyDescent="0.35">
      <c r="A2719" s="2" t="s">
        <v>59</v>
      </c>
      <c r="B2719" s="2" t="s">
        <v>60</v>
      </c>
      <c r="C2719" s="2" t="s">
        <v>27374</v>
      </c>
      <c r="D2719" s="2" t="s">
        <v>27375</v>
      </c>
      <c r="E2719" s="2" t="s">
        <v>27376</v>
      </c>
      <c r="G2719" s="3" t="s">
        <v>64</v>
      </c>
      <c r="I2719" s="3" t="s">
        <v>64</v>
      </c>
      <c r="J2719" s="3" t="s">
        <v>128</v>
      </c>
      <c r="K2719" s="3" t="s">
        <v>65</v>
      </c>
      <c r="L2719" s="2" t="s">
        <v>27366</v>
      </c>
      <c r="M2719" s="2" t="s">
        <v>27377</v>
      </c>
      <c r="N2719" s="3" t="s">
        <v>13113</v>
      </c>
      <c r="P2719" s="3" t="s">
        <v>102</v>
      </c>
      <c r="R2719" s="3" t="s">
        <v>70</v>
      </c>
      <c r="S2719" s="4">
        <v>2</v>
      </c>
      <c r="T2719" s="4">
        <v>2</v>
      </c>
      <c r="U2719" s="5" t="s">
        <v>380</v>
      </c>
      <c r="V2719" s="5" t="s">
        <v>380</v>
      </c>
      <c r="W2719" s="5" t="s">
        <v>72</v>
      </c>
      <c r="X2719" s="5" t="s">
        <v>72</v>
      </c>
      <c r="Y2719" s="4">
        <v>60</v>
      </c>
      <c r="Z2719" s="4">
        <v>5</v>
      </c>
      <c r="AA2719" s="4">
        <v>19</v>
      </c>
      <c r="AB2719" s="4">
        <v>1</v>
      </c>
      <c r="AC2719" s="4">
        <v>1</v>
      </c>
      <c r="AD2719" s="4">
        <v>26</v>
      </c>
      <c r="AE2719" s="4">
        <v>38</v>
      </c>
      <c r="AF2719" s="4">
        <v>0</v>
      </c>
      <c r="AG2719" s="4">
        <v>0</v>
      </c>
      <c r="AH2719" s="4">
        <v>25</v>
      </c>
      <c r="AI2719" s="4">
        <v>32</v>
      </c>
      <c r="AJ2719" s="4">
        <v>2</v>
      </c>
      <c r="AK2719" s="4">
        <v>5</v>
      </c>
      <c r="AL2719" s="4">
        <v>19</v>
      </c>
      <c r="AM2719" s="4">
        <v>22</v>
      </c>
      <c r="AN2719" s="4">
        <v>0</v>
      </c>
      <c r="AO2719" s="4">
        <v>0</v>
      </c>
      <c r="AP2719" s="4">
        <v>1</v>
      </c>
      <c r="AQ2719" s="4">
        <v>8</v>
      </c>
      <c r="AR2719" s="3" t="s">
        <v>64</v>
      </c>
      <c r="AS2719" s="3" t="s">
        <v>64</v>
      </c>
      <c r="AT2719" s="3" t="s">
        <v>64</v>
      </c>
      <c r="AU2719" s="6" t="str">
        <f>HYPERLINK("http://catalog.hathitrust.org/Record/001759898","HathiTrust Record")</f>
        <v>HathiTrust Record</v>
      </c>
      <c r="AV2719" s="6" t="str">
        <f>HYPERLINK("http://mcgill.on.worldcat.org/oclc/1386459","Catalog Record")</f>
        <v>Catalog Record</v>
      </c>
      <c r="AW2719" s="6" t="str">
        <f>HYPERLINK("http://www.worldcat.org/oclc/1386459","WorldCat Record")</f>
        <v>WorldCat Record</v>
      </c>
      <c r="AX2719" s="3" t="s">
        <v>27378</v>
      </c>
      <c r="AY2719" s="3" t="s">
        <v>27379</v>
      </c>
      <c r="AZ2719" s="3" t="s">
        <v>27380</v>
      </c>
      <c r="BA2719" s="3" t="s">
        <v>27380</v>
      </c>
      <c r="BB2719" s="3" t="s">
        <v>27381</v>
      </c>
      <c r="BC2719" s="3" t="s">
        <v>77</v>
      </c>
      <c r="BD2719" s="3" t="s">
        <v>78</v>
      </c>
      <c r="BF2719" s="3" t="s">
        <v>27381</v>
      </c>
      <c r="BG2719" s="3" t="s">
        <v>27382</v>
      </c>
      <c r="BH2719">
        <f t="shared" si="66"/>
        <v>0</v>
      </c>
    </row>
    <row r="2720" spans="1:60" ht="101.5" x14ac:dyDescent="0.35">
      <c r="A2720" s="2" t="s">
        <v>59</v>
      </c>
      <c r="B2720" s="2" t="s">
        <v>60</v>
      </c>
      <c r="C2720" s="2" t="s">
        <v>27383</v>
      </c>
      <c r="D2720" s="2" t="s">
        <v>27384</v>
      </c>
      <c r="E2720" s="2" t="s">
        <v>27385</v>
      </c>
      <c r="G2720" s="3" t="s">
        <v>64</v>
      </c>
      <c r="I2720" s="3" t="s">
        <v>64</v>
      </c>
      <c r="J2720" s="3" t="s">
        <v>128</v>
      </c>
      <c r="K2720" s="3" t="s">
        <v>65</v>
      </c>
      <c r="L2720" s="2" t="s">
        <v>27366</v>
      </c>
      <c r="M2720" s="2" t="s">
        <v>27386</v>
      </c>
      <c r="N2720" s="3" t="s">
        <v>266</v>
      </c>
      <c r="O2720" s="2" t="s">
        <v>27387</v>
      </c>
      <c r="P2720" s="3" t="s">
        <v>102</v>
      </c>
      <c r="Q2720" s="2" t="s">
        <v>10072</v>
      </c>
      <c r="R2720" s="3" t="s">
        <v>70</v>
      </c>
      <c r="S2720" s="4">
        <v>20</v>
      </c>
      <c r="T2720" s="4">
        <v>20</v>
      </c>
      <c r="U2720" s="5" t="s">
        <v>380</v>
      </c>
      <c r="V2720" s="5" t="s">
        <v>380</v>
      </c>
      <c r="W2720" s="5" t="s">
        <v>72</v>
      </c>
      <c r="X2720" s="5" t="s">
        <v>72</v>
      </c>
      <c r="Y2720" s="4">
        <v>223</v>
      </c>
      <c r="Z2720" s="4">
        <v>15</v>
      </c>
      <c r="AA2720" s="4">
        <v>24</v>
      </c>
      <c r="AB2720" s="4">
        <v>1</v>
      </c>
      <c r="AC2720" s="4">
        <v>2</v>
      </c>
      <c r="AD2720" s="4">
        <v>64</v>
      </c>
      <c r="AE2720" s="4">
        <v>97</v>
      </c>
      <c r="AF2720" s="4">
        <v>0</v>
      </c>
      <c r="AG2720" s="4">
        <v>1</v>
      </c>
      <c r="AH2720" s="4">
        <v>57</v>
      </c>
      <c r="AI2720" s="4">
        <v>84</v>
      </c>
      <c r="AJ2720" s="4">
        <v>7</v>
      </c>
      <c r="AK2720" s="4">
        <v>14</v>
      </c>
      <c r="AL2720" s="4">
        <v>36</v>
      </c>
      <c r="AM2720" s="4">
        <v>50</v>
      </c>
      <c r="AN2720" s="4">
        <v>0</v>
      </c>
      <c r="AO2720" s="4">
        <v>0</v>
      </c>
      <c r="AP2720" s="4">
        <v>10</v>
      </c>
      <c r="AQ2720" s="4">
        <v>16</v>
      </c>
      <c r="AR2720" s="3" t="s">
        <v>64</v>
      </c>
      <c r="AS2720" s="3" t="s">
        <v>64</v>
      </c>
      <c r="AT2720" s="3" t="s">
        <v>128</v>
      </c>
      <c r="AU2720" s="6" t="str">
        <f>HYPERLINK("http://catalog.hathitrust.org/Record/001163384","HathiTrust Record")</f>
        <v>HathiTrust Record</v>
      </c>
      <c r="AV2720" s="6" t="str">
        <f>HYPERLINK("http://mcgill.on.worldcat.org/oclc/373395","Catalog Record")</f>
        <v>Catalog Record</v>
      </c>
      <c r="AW2720" s="6" t="str">
        <f>HYPERLINK("http://www.worldcat.org/oclc/373395","WorldCat Record")</f>
        <v>WorldCat Record</v>
      </c>
      <c r="AX2720" s="3" t="s">
        <v>27388</v>
      </c>
      <c r="AY2720" s="3" t="s">
        <v>27389</v>
      </c>
      <c r="AZ2720" s="3" t="s">
        <v>27390</v>
      </c>
      <c r="BA2720" s="3" t="s">
        <v>27390</v>
      </c>
      <c r="BB2720" s="3" t="s">
        <v>27391</v>
      </c>
      <c r="BC2720" s="3" t="s">
        <v>77</v>
      </c>
      <c r="BD2720" s="3" t="s">
        <v>78</v>
      </c>
      <c r="BF2720" s="3" t="s">
        <v>27391</v>
      </c>
      <c r="BG2720" s="3" t="s">
        <v>27392</v>
      </c>
      <c r="BH2720">
        <f t="shared" si="66"/>
        <v>0</v>
      </c>
    </row>
    <row r="2721" spans="1:60" ht="58" x14ac:dyDescent="0.35">
      <c r="A2721" s="2" t="s">
        <v>59</v>
      </c>
      <c r="B2721" s="2" t="s">
        <v>60</v>
      </c>
      <c r="C2721" s="2" t="s">
        <v>27393</v>
      </c>
      <c r="D2721" s="2" t="s">
        <v>27394</v>
      </c>
      <c r="E2721" s="2" t="s">
        <v>27395</v>
      </c>
      <c r="G2721" s="3" t="s">
        <v>64</v>
      </c>
      <c r="I2721" s="3" t="s">
        <v>128</v>
      </c>
      <c r="J2721" s="3" t="s">
        <v>64</v>
      </c>
      <c r="K2721" s="3" t="s">
        <v>65</v>
      </c>
      <c r="L2721" s="2" t="s">
        <v>25370</v>
      </c>
      <c r="M2721" s="2" t="s">
        <v>15093</v>
      </c>
      <c r="N2721" s="3" t="s">
        <v>392</v>
      </c>
      <c r="O2721" s="2" t="s">
        <v>3455</v>
      </c>
      <c r="P2721" s="3" t="s">
        <v>102</v>
      </c>
      <c r="Q2721" s="2" t="s">
        <v>15094</v>
      </c>
      <c r="R2721" s="3" t="s">
        <v>70</v>
      </c>
      <c r="S2721" s="4">
        <v>25</v>
      </c>
      <c r="T2721" s="4">
        <v>68</v>
      </c>
      <c r="U2721" s="5" t="s">
        <v>27396</v>
      </c>
      <c r="V2721" s="5" t="s">
        <v>27396</v>
      </c>
      <c r="W2721" s="5" t="s">
        <v>72</v>
      </c>
      <c r="X2721" s="5" t="s">
        <v>72</v>
      </c>
      <c r="Y2721" s="4">
        <v>750</v>
      </c>
      <c r="Z2721" s="4">
        <v>41</v>
      </c>
      <c r="AA2721" s="4">
        <v>49</v>
      </c>
      <c r="AB2721" s="4">
        <v>5</v>
      </c>
      <c r="AC2721" s="4">
        <v>10</v>
      </c>
      <c r="AD2721" s="4">
        <v>92</v>
      </c>
      <c r="AE2721" s="4">
        <v>98</v>
      </c>
      <c r="AF2721" s="4">
        <v>1</v>
      </c>
      <c r="AG2721" s="4">
        <v>5</v>
      </c>
      <c r="AH2721" s="4">
        <v>83</v>
      </c>
      <c r="AI2721" s="4">
        <v>86</v>
      </c>
      <c r="AJ2721" s="4">
        <v>12</v>
      </c>
      <c r="AK2721" s="4">
        <v>15</v>
      </c>
      <c r="AL2721" s="4">
        <v>40</v>
      </c>
      <c r="AM2721" s="4">
        <v>42</v>
      </c>
      <c r="AN2721" s="4">
        <v>0</v>
      </c>
      <c r="AO2721" s="4">
        <v>0</v>
      </c>
      <c r="AP2721" s="4">
        <v>15</v>
      </c>
      <c r="AQ2721" s="4">
        <v>18</v>
      </c>
      <c r="AR2721" s="3" t="s">
        <v>64</v>
      </c>
      <c r="AS2721" s="3" t="s">
        <v>64</v>
      </c>
      <c r="AT2721" s="3" t="s">
        <v>128</v>
      </c>
      <c r="AU2721" s="6" t="str">
        <f>HYPERLINK("http://catalog.hathitrust.org/Record/004579616","HathiTrust Record")</f>
        <v>HathiTrust Record</v>
      </c>
      <c r="AV2721" s="6" t="str">
        <f>HYPERLINK("http://mcgill.on.worldcat.org/oclc/41211262","Catalog Record")</f>
        <v>Catalog Record</v>
      </c>
      <c r="AW2721" s="6" t="str">
        <f>HYPERLINK("http://www.worldcat.org/oclc/41211262","WorldCat Record")</f>
        <v>WorldCat Record</v>
      </c>
      <c r="AX2721" s="3" t="s">
        <v>27397</v>
      </c>
      <c r="AY2721" s="3" t="s">
        <v>27398</v>
      </c>
      <c r="AZ2721" s="3" t="s">
        <v>27399</v>
      </c>
      <c r="BA2721" s="3" t="s">
        <v>27399</v>
      </c>
      <c r="BB2721" s="3" t="s">
        <v>27400</v>
      </c>
      <c r="BC2721" s="3" t="s">
        <v>77</v>
      </c>
      <c r="BD2721" s="3" t="s">
        <v>78</v>
      </c>
      <c r="BE2721" s="3" t="s">
        <v>27401</v>
      </c>
      <c r="BF2721" s="3" t="s">
        <v>27400</v>
      </c>
      <c r="BG2721" s="3" t="s">
        <v>27402</v>
      </c>
      <c r="BH2721">
        <f t="shared" si="66"/>
        <v>0</v>
      </c>
    </row>
    <row r="2722" spans="1:60" ht="58" x14ac:dyDescent="0.35">
      <c r="A2722" s="2" t="s">
        <v>59</v>
      </c>
      <c r="B2722" s="2" t="s">
        <v>60</v>
      </c>
      <c r="C2722" s="2" t="s">
        <v>27393</v>
      </c>
      <c r="D2722" s="2" t="s">
        <v>27394</v>
      </c>
      <c r="E2722" s="2" t="s">
        <v>27395</v>
      </c>
      <c r="G2722" s="3" t="s">
        <v>64</v>
      </c>
      <c r="I2722" s="3" t="s">
        <v>128</v>
      </c>
      <c r="J2722" s="3" t="s">
        <v>64</v>
      </c>
      <c r="K2722" s="3" t="s">
        <v>65</v>
      </c>
      <c r="L2722" s="2" t="s">
        <v>25370</v>
      </c>
      <c r="M2722" s="2" t="s">
        <v>15093</v>
      </c>
      <c r="N2722" s="3" t="s">
        <v>392</v>
      </c>
      <c r="O2722" s="2" t="s">
        <v>3455</v>
      </c>
      <c r="P2722" s="3" t="s">
        <v>102</v>
      </c>
      <c r="Q2722" s="2" t="s">
        <v>15094</v>
      </c>
      <c r="R2722" s="3" t="s">
        <v>70</v>
      </c>
      <c r="S2722" s="4">
        <v>23</v>
      </c>
      <c r="T2722" s="4">
        <v>68</v>
      </c>
      <c r="U2722" s="5" t="s">
        <v>15859</v>
      </c>
      <c r="V2722" s="5" t="s">
        <v>27396</v>
      </c>
      <c r="W2722" s="5" t="s">
        <v>72</v>
      </c>
      <c r="X2722" s="5" t="s">
        <v>72</v>
      </c>
      <c r="Y2722" s="4">
        <v>750</v>
      </c>
      <c r="Z2722" s="4">
        <v>41</v>
      </c>
      <c r="AA2722" s="4">
        <v>49</v>
      </c>
      <c r="AB2722" s="4">
        <v>5</v>
      </c>
      <c r="AC2722" s="4">
        <v>10</v>
      </c>
      <c r="AD2722" s="4">
        <v>92</v>
      </c>
      <c r="AE2722" s="4">
        <v>98</v>
      </c>
      <c r="AF2722" s="4">
        <v>1</v>
      </c>
      <c r="AG2722" s="4">
        <v>5</v>
      </c>
      <c r="AH2722" s="4">
        <v>83</v>
      </c>
      <c r="AI2722" s="4">
        <v>86</v>
      </c>
      <c r="AJ2722" s="4">
        <v>12</v>
      </c>
      <c r="AK2722" s="4">
        <v>15</v>
      </c>
      <c r="AL2722" s="4">
        <v>40</v>
      </c>
      <c r="AM2722" s="4">
        <v>42</v>
      </c>
      <c r="AN2722" s="4">
        <v>0</v>
      </c>
      <c r="AO2722" s="4">
        <v>0</v>
      </c>
      <c r="AP2722" s="4">
        <v>15</v>
      </c>
      <c r="AQ2722" s="4">
        <v>18</v>
      </c>
      <c r="AR2722" s="3" t="s">
        <v>64</v>
      </c>
      <c r="AS2722" s="3" t="s">
        <v>64</v>
      </c>
      <c r="AT2722" s="3" t="s">
        <v>128</v>
      </c>
      <c r="AU2722" s="6" t="str">
        <f>HYPERLINK("http://catalog.hathitrust.org/Record/004579616","HathiTrust Record")</f>
        <v>HathiTrust Record</v>
      </c>
      <c r="AV2722" s="6" t="str">
        <f>HYPERLINK("http://mcgill.on.worldcat.org/oclc/41211262","Catalog Record")</f>
        <v>Catalog Record</v>
      </c>
      <c r="AW2722" s="6" t="str">
        <f>HYPERLINK("http://www.worldcat.org/oclc/41211262","WorldCat Record")</f>
        <v>WorldCat Record</v>
      </c>
      <c r="AX2722" s="3" t="s">
        <v>27397</v>
      </c>
      <c r="AY2722" s="3" t="s">
        <v>27398</v>
      </c>
      <c r="AZ2722" s="3" t="s">
        <v>27399</v>
      </c>
      <c r="BA2722" s="3" t="s">
        <v>27399</v>
      </c>
      <c r="BB2722" s="3" t="s">
        <v>27403</v>
      </c>
      <c r="BC2722" s="3" t="s">
        <v>77</v>
      </c>
      <c r="BD2722" s="3" t="s">
        <v>78</v>
      </c>
      <c r="BE2722" s="3" t="s">
        <v>27401</v>
      </c>
      <c r="BF2722" s="3" t="s">
        <v>27403</v>
      </c>
      <c r="BG2722" s="3" t="s">
        <v>27404</v>
      </c>
      <c r="BH2722">
        <f t="shared" si="66"/>
        <v>0</v>
      </c>
    </row>
    <row r="2723" spans="1:60" ht="58" x14ac:dyDescent="0.35">
      <c r="A2723" s="2" t="s">
        <v>59</v>
      </c>
      <c r="B2723" s="2" t="s">
        <v>60</v>
      </c>
      <c r="C2723" s="2" t="s">
        <v>27393</v>
      </c>
      <c r="D2723" s="2" t="s">
        <v>27394</v>
      </c>
      <c r="E2723" s="2" t="s">
        <v>27395</v>
      </c>
      <c r="G2723" s="3" t="s">
        <v>64</v>
      </c>
      <c r="I2723" s="3" t="s">
        <v>128</v>
      </c>
      <c r="J2723" s="3" t="s">
        <v>64</v>
      </c>
      <c r="K2723" s="3" t="s">
        <v>65</v>
      </c>
      <c r="L2723" s="2" t="s">
        <v>25370</v>
      </c>
      <c r="M2723" s="2" t="s">
        <v>15093</v>
      </c>
      <c r="N2723" s="3" t="s">
        <v>392</v>
      </c>
      <c r="O2723" s="2" t="s">
        <v>3455</v>
      </c>
      <c r="P2723" s="3" t="s">
        <v>102</v>
      </c>
      <c r="Q2723" s="2" t="s">
        <v>15094</v>
      </c>
      <c r="R2723" s="3" t="s">
        <v>70</v>
      </c>
      <c r="S2723" s="4">
        <v>20</v>
      </c>
      <c r="T2723" s="4">
        <v>68</v>
      </c>
      <c r="U2723" s="5" t="s">
        <v>7052</v>
      </c>
      <c r="V2723" s="5" t="s">
        <v>27396</v>
      </c>
      <c r="W2723" s="5" t="s">
        <v>72</v>
      </c>
      <c r="X2723" s="5" t="s">
        <v>72</v>
      </c>
      <c r="Y2723" s="4">
        <v>750</v>
      </c>
      <c r="Z2723" s="4">
        <v>41</v>
      </c>
      <c r="AA2723" s="4">
        <v>49</v>
      </c>
      <c r="AB2723" s="4">
        <v>5</v>
      </c>
      <c r="AC2723" s="4">
        <v>10</v>
      </c>
      <c r="AD2723" s="4">
        <v>92</v>
      </c>
      <c r="AE2723" s="4">
        <v>98</v>
      </c>
      <c r="AF2723" s="4">
        <v>1</v>
      </c>
      <c r="AG2723" s="4">
        <v>5</v>
      </c>
      <c r="AH2723" s="4">
        <v>83</v>
      </c>
      <c r="AI2723" s="4">
        <v>86</v>
      </c>
      <c r="AJ2723" s="4">
        <v>12</v>
      </c>
      <c r="AK2723" s="4">
        <v>15</v>
      </c>
      <c r="AL2723" s="4">
        <v>40</v>
      </c>
      <c r="AM2723" s="4">
        <v>42</v>
      </c>
      <c r="AN2723" s="4">
        <v>0</v>
      </c>
      <c r="AO2723" s="4">
        <v>0</v>
      </c>
      <c r="AP2723" s="4">
        <v>15</v>
      </c>
      <c r="AQ2723" s="4">
        <v>18</v>
      </c>
      <c r="AR2723" s="3" t="s">
        <v>64</v>
      </c>
      <c r="AS2723" s="3" t="s">
        <v>64</v>
      </c>
      <c r="AT2723" s="3" t="s">
        <v>128</v>
      </c>
      <c r="AU2723" s="6" t="str">
        <f>HYPERLINK("http://catalog.hathitrust.org/Record/004579616","HathiTrust Record")</f>
        <v>HathiTrust Record</v>
      </c>
      <c r="AV2723" s="6" t="str">
        <f>HYPERLINK("http://mcgill.on.worldcat.org/oclc/41211262","Catalog Record")</f>
        <v>Catalog Record</v>
      </c>
      <c r="AW2723" s="6" t="str">
        <f>HYPERLINK("http://www.worldcat.org/oclc/41211262","WorldCat Record")</f>
        <v>WorldCat Record</v>
      </c>
      <c r="AX2723" s="3" t="s">
        <v>27397</v>
      </c>
      <c r="AY2723" s="3" t="s">
        <v>27398</v>
      </c>
      <c r="AZ2723" s="3" t="s">
        <v>27399</v>
      </c>
      <c r="BA2723" s="3" t="s">
        <v>27399</v>
      </c>
      <c r="BB2723" s="3" t="s">
        <v>27405</v>
      </c>
      <c r="BC2723" s="3" t="s">
        <v>77</v>
      </c>
      <c r="BD2723" s="3" t="s">
        <v>78</v>
      </c>
      <c r="BE2723" s="3" t="s">
        <v>27401</v>
      </c>
      <c r="BF2723" s="3" t="s">
        <v>27405</v>
      </c>
      <c r="BG2723" s="3" t="s">
        <v>27406</v>
      </c>
      <c r="BH2723">
        <f t="shared" si="66"/>
        <v>0</v>
      </c>
    </row>
    <row r="2724" spans="1:60" ht="58" x14ac:dyDescent="0.35">
      <c r="A2724" s="2" t="s">
        <v>59</v>
      </c>
      <c r="B2724" s="2" t="s">
        <v>60</v>
      </c>
      <c r="C2724" s="2" t="s">
        <v>27407</v>
      </c>
      <c r="D2724" s="2" t="s">
        <v>27408</v>
      </c>
      <c r="E2724" s="2" t="s">
        <v>27409</v>
      </c>
      <c r="G2724" s="3" t="s">
        <v>64</v>
      </c>
      <c r="I2724" s="3" t="s">
        <v>128</v>
      </c>
      <c r="J2724" s="3" t="s">
        <v>64</v>
      </c>
      <c r="K2724" s="3" t="s">
        <v>65</v>
      </c>
      <c r="L2724" s="2" t="s">
        <v>27410</v>
      </c>
      <c r="M2724" s="2" t="s">
        <v>27411</v>
      </c>
      <c r="N2724" s="3" t="s">
        <v>3761</v>
      </c>
      <c r="P2724" s="3" t="s">
        <v>102</v>
      </c>
      <c r="R2724" s="3" t="s">
        <v>70</v>
      </c>
      <c r="S2724" s="4">
        <v>62</v>
      </c>
      <c r="T2724" s="4">
        <v>97</v>
      </c>
      <c r="U2724" s="5" t="s">
        <v>27412</v>
      </c>
      <c r="V2724" s="5" t="s">
        <v>27412</v>
      </c>
      <c r="W2724" s="5" t="s">
        <v>72</v>
      </c>
      <c r="X2724" s="5" t="s">
        <v>72</v>
      </c>
      <c r="Y2724" s="4">
        <v>152</v>
      </c>
      <c r="Z2724" s="4">
        <v>6</v>
      </c>
      <c r="AA2724" s="4">
        <v>16</v>
      </c>
      <c r="AB2724" s="4">
        <v>1</v>
      </c>
      <c r="AC2724" s="4">
        <v>4</v>
      </c>
      <c r="AD2724" s="4">
        <v>43</v>
      </c>
      <c r="AE2724" s="4">
        <v>62</v>
      </c>
      <c r="AF2724" s="4">
        <v>0</v>
      </c>
      <c r="AG2724" s="4">
        <v>2</v>
      </c>
      <c r="AH2724" s="4">
        <v>42</v>
      </c>
      <c r="AI2724" s="4">
        <v>57</v>
      </c>
      <c r="AJ2724" s="4">
        <v>3</v>
      </c>
      <c r="AK2724" s="4">
        <v>10</v>
      </c>
      <c r="AL2724" s="4">
        <v>28</v>
      </c>
      <c r="AM2724" s="4">
        <v>34</v>
      </c>
      <c r="AN2724" s="4">
        <v>0</v>
      </c>
      <c r="AO2724" s="4">
        <v>0</v>
      </c>
      <c r="AP2724" s="4">
        <v>3</v>
      </c>
      <c r="AQ2724" s="4">
        <v>8</v>
      </c>
      <c r="AR2724" s="3" t="s">
        <v>64</v>
      </c>
      <c r="AS2724" s="3" t="s">
        <v>64</v>
      </c>
      <c r="AT2724" s="3" t="s">
        <v>128</v>
      </c>
      <c r="AU2724" s="6" t="str">
        <f>HYPERLINK("http://catalog.hathitrust.org/Record/001759931","HathiTrust Record")</f>
        <v>HathiTrust Record</v>
      </c>
      <c r="AV2724" s="6" t="str">
        <f>HYPERLINK("http://mcgill.on.worldcat.org/oclc/14595034","Catalog Record")</f>
        <v>Catalog Record</v>
      </c>
      <c r="AW2724" s="6" t="str">
        <f>HYPERLINK("http://www.worldcat.org/oclc/14595034","WorldCat Record")</f>
        <v>WorldCat Record</v>
      </c>
      <c r="AX2724" s="3" t="s">
        <v>27413</v>
      </c>
      <c r="AY2724" s="3" t="s">
        <v>27414</v>
      </c>
      <c r="AZ2724" s="3" t="s">
        <v>27415</v>
      </c>
      <c r="BA2724" s="3" t="s">
        <v>27415</v>
      </c>
      <c r="BB2724" s="3" t="s">
        <v>27416</v>
      </c>
      <c r="BC2724" s="3" t="s">
        <v>77</v>
      </c>
      <c r="BD2724" s="3" t="s">
        <v>78</v>
      </c>
      <c r="BE2724" s="3" t="s">
        <v>27417</v>
      </c>
      <c r="BF2724" s="3" t="s">
        <v>27416</v>
      </c>
      <c r="BG2724" s="3" t="s">
        <v>27418</v>
      </c>
      <c r="BH2724">
        <f t="shared" si="66"/>
        <v>0</v>
      </c>
    </row>
    <row r="2725" spans="1:60" ht="58" x14ac:dyDescent="0.35">
      <c r="A2725" s="2" t="s">
        <v>59</v>
      </c>
      <c r="B2725" s="2" t="s">
        <v>60</v>
      </c>
      <c r="C2725" s="2" t="s">
        <v>27407</v>
      </c>
      <c r="D2725" s="2" t="s">
        <v>27408</v>
      </c>
      <c r="E2725" s="2" t="s">
        <v>27409</v>
      </c>
      <c r="G2725" s="3" t="s">
        <v>64</v>
      </c>
      <c r="I2725" s="3" t="s">
        <v>128</v>
      </c>
      <c r="J2725" s="3" t="s">
        <v>64</v>
      </c>
      <c r="K2725" s="3" t="s">
        <v>65</v>
      </c>
      <c r="L2725" s="2" t="s">
        <v>27410</v>
      </c>
      <c r="M2725" s="2" t="s">
        <v>27411</v>
      </c>
      <c r="N2725" s="3" t="s">
        <v>3761</v>
      </c>
      <c r="P2725" s="3" t="s">
        <v>102</v>
      </c>
      <c r="R2725" s="3" t="s">
        <v>70</v>
      </c>
      <c r="S2725" s="4">
        <v>35</v>
      </c>
      <c r="T2725" s="4">
        <v>97</v>
      </c>
      <c r="U2725" s="5" t="s">
        <v>27333</v>
      </c>
      <c r="V2725" s="5" t="s">
        <v>27412</v>
      </c>
      <c r="W2725" s="5" t="s">
        <v>72</v>
      </c>
      <c r="X2725" s="5" t="s">
        <v>72</v>
      </c>
      <c r="Y2725" s="4">
        <v>152</v>
      </c>
      <c r="Z2725" s="4">
        <v>6</v>
      </c>
      <c r="AA2725" s="4">
        <v>16</v>
      </c>
      <c r="AB2725" s="4">
        <v>1</v>
      </c>
      <c r="AC2725" s="4">
        <v>4</v>
      </c>
      <c r="AD2725" s="4">
        <v>43</v>
      </c>
      <c r="AE2725" s="4">
        <v>62</v>
      </c>
      <c r="AF2725" s="4">
        <v>0</v>
      </c>
      <c r="AG2725" s="4">
        <v>2</v>
      </c>
      <c r="AH2725" s="4">
        <v>42</v>
      </c>
      <c r="AI2725" s="4">
        <v>57</v>
      </c>
      <c r="AJ2725" s="4">
        <v>3</v>
      </c>
      <c r="AK2725" s="4">
        <v>10</v>
      </c>
      <c r="AL2725" s="4">
        <v>28</v>
      </c>
      <c r="AM2725" s="4">
        <v>34</v>
      </c>
      <c r="AN2725" s="4">
        <v>0</v>
      </c>
      <c r="AO2725" s="4">
        <v>0</v>
      </c>
      <c r="AP2725" s="4">
        <v>3</v>
      </c>
      <c r="AQ2725" s="4">
        <v>8</v>
      </c>
      <c r="AR2725" s="3" t="s">
        <v>64</v>
      </c>
      <c r="AS2725" s="3" t="s">
        <v>64</v>
      </c>
      <c r="AT2725" s="3" t="s">
        <v>128</v>
      </c>
      <c r="AU2725" s="6" t="str">
        <f>HYPERLINK("http://catalog.hathitrust.org/Record/001759931","HathiTrust Record")</f>
        <v>HathiTrust Record</v>
      </c>
      <c r="AV2725" s="6" t="str">
        <f>HYPERLINK("http://mcgill.on.worldcat.org/oclc/14595034","Catalog Record")</f>
        <v>Catalog Record</v>
      </c>
      <c r="AW2725" s="6" t="str">
        <f>HYPERLINK("http://www.worldcat.org/oclc/14595034","WorldCat Record")</f>
        <v>WorldCat Record</v>
      </c>
      <c r="AX2725" s="3" t="s">
        <v>27413</v>
      </c>
      <c r="AY2725" s="3" t="s">
        <v>27414</v>
      </c>
      <c r="AZ2725" s="3" t="s">
        <v>27415</v>
      </c>
      <c r="BA2725" s="3" t="s">
        <v>27415</v>
      </c>
      <c r="BB2725" s="3" t="s">
        <v>27419</v>
      </c>
      <c r="BC2725" s="3" t="s">
        <v>77</v>
      </c>
      <c r="BD2725" s="3" t="s">
        <v>78</v>
      </c>
      <c r="BE2725" s="3" t="s">
        <v>27417</v>
      </c>
      <c r="BF2725" s="3" t="s">
        <v>27419</v>
      </c>
      <c r="BG2725" s="3" t="s">
        <v>27420</v>
      </c>
      <c r="BH2725">
        <f t="shared" si="66"/>
        <v>0</v>
      </c>
    </row>
    <row r="2726" spans="1:60" ht="58" x14ac:dyDescent="0.35">
      <c r="A2726" s="2" t="s">
        <v>59</v>
      </c>
      <c r="B2726" s="2" t="s">
        <v>60</v>
      </c>
      <c r="C2726" s="2" t="s">
        <v>27421</v>
      </c>
      <c r="D2726" s="2" t="s">
        <v>27422</v>
      </c>
      <c r="E2726" s="2" t="s">
        <v>27423</v>
      </c>
      <c r="G2726" s="3" t="s">
        <v>64</v>
      </c>
      <c r="I2726" s="3" t="s">
        <v>64</v>
      </c>
      <c r="J2726" s="3" t="s">
        <v>64</v>
      </c>
      <c r="K2726" s="3" t="s">
        <v>65</v>
      </c>
      <c r="L2726" s="2" t="s">
        <v>14637</v>
      </c>
      <c r="M2726" s="2" t="s">
        <v>27424</v>
      </c>
      <c r="N2726" s="3" t="s">
        <v>5986</v>
      </c>
      <c r="P2726" s="3" t="s">
        <v>102</v>
      </c>
      <c r="Q2726" s="2" t="s">
        <v>27425</v>
      </c>
      <c r="R2726" s="3" t="s">
        <v>70</v>
      </c>
      <c r="S2726" s="4">
        <v>60</v>
      </c>
      <c r="T2726" s="4">
        <v>60</v>
      </c>
      <c r="U2726" s="5" t="s">
        <v>27426</v>
      </c>
      <c r="V2726" s="5" t="s">
        <v>27426</v>
      </c>
      <c r="W2726" s="5" t="s">
        <v>72</v>
      </c>
      <c r="X2726" s="5" t="s">
        <v>72</v>
      </c>
      <c r="Y2726" s="4">
        <v>210</v>
      </c>
      <c r="Z2726" s="4">
        <v>15</v>
      </c>
      <c r="AA2726" s="4">
        <v>16</v>
      </c>
      <c r="AB2726" s="4">
        <v>1</v>
      </c>
      <c r="AC2726" s="4">
        <v>2</v>
      </c>
      <c r="AD2726" s="4">
        <v>77</v>
      </c>
      <c r="AE2726" s="4">
        <v>78</v>
      </c>
      <c r="AF2726" s="4">
        <v>0</v>
      </c>
      <c r="AG2726" s="4">
        <v>1</v>
      </c>
      <c r="AH2726" s="4">
        <v>71</v>
      </c>
      <c r="AI2726" s="4">
        <v>71</v>
      </c>
      <c r="AJ2726" s="4">
        <v>12</v>
      </c>
      <c r="AK2726" s="4">
        <v>13</v>
      </c>
      <c r="AL2726" s="4">
        <v>40</v>
      </c>
      <c r="AM2726" s="4">
        <v>40</v>
      </c>
      <c r="AN2726" s="4">
        <v>0</v>
      </c>
      <c r="AO2726" s="4">
        <v>0</v>
      </c>
      <c r="AP2726" s="4">
        <v>11</v>
      </c>
      <c r="AQ2726" s="4">
        <v>11</v>
      </c>
      <c r="AR2726" s="3" t="s">
        <v>64</v>
      </c>
      <c r="AS2726" s="3" t="s">
        <v>64</v>
      </c>
      <c r="AT2726" s="3" t="s">
        <v>128</v>
      </c>
      <c r="AU2726" s="6" t="str">
        <f>HYPERLINK("http://catalog.hathitrust.org/Record/001674371","HathiTrust Record")</f>
        <v>HathiTrust Record</v>
      </c>
      <c r="AV2726" s="6" t="str">
        <f>HYPERLINK("http://mcgill.on.worldcat.org/oclc/576989","Catalog Record")</f>
        <v>Catalog Record</v>
      </c>
      <c r="AW2726" s="6" t="str">
        <f>HYPERLINK("http://www.worldcat.org/oclc/576989","WorldCat Record")</f>
        <v>WorldCat Record</v>
      </c>
      <c r="AX2726" s="3" t="s">
        <v>27427</v>
      </c>
      <c r="AY2726" s="3" t="s">
        <v>27428</v>
      </c>
      <c r="AZ2726" s="3" t="s">
        <v>27429</v>
      </c>
      <c r="BA2726" s="3" t="s">
        <v>27429</v>
      </c>
      <c r="BB2726" s="3" t="s">
        <v>27430</v>
      </c>
      <c r="BC2726" s="3" t="s">
        <v>77</v>
      </c>
      <c r="BD2726" s="3" t="s">
        <v>78</v>
      </c>
      <c r="BF2726" s="3" t="s">
        <v>27430</v>
      </c>
      <c r="BG2726" s="3" t="s">
        <v>27431</v>
      </c>
      <c r="BH2726">
        <f t="shared" si="66"/>
        <v>0</v>
      </c>
    </row>
    <row r="2727" spans="1:60" ht="72.5" x14ac:dyDescent="0.35">
      <c r="A2727" s="2" t="s">
        <v>59</v>
      </c>
      <c r="B2727" s="2" t="s">
        <v>60</v>
      </c>
      <c r="C2727" s="2" t="s">
        <v>27432</v>
      </c>
      <c r="D2727" s="2" t="s">
        <v>27433</v>
      </c>
      <c r="E2727" s="2" t="s">
        <v>27434</v>
      </c>
      <c r="G2727" s="3" t="s">
        <v>64</v>
      </c>
      <c r="I2727" s="3" t="s">
        <v>64</v>
      </c>
      <c r="J2727" s="3" t="s">
        <v>64</v>
      </c>
      <c r="K2727" s="3" t="s">
        <v>65</v>
      </c>
      <c r="L2727" s="2" t="s">
        <v>27435</v>
      </c>
      <c r="M2727" s="2" t="s">
        <v>27436</v>
      </c>
      <c r="N2727" s="3" t="s">
        <v>326</v>
      </c>
      <c r="P2727" s="3" t="s">
        <v>68</v>
      </c>
      <c r="Q2727" s="2" t="s">
        <v>25236</v>
      </c>
      <c r="R2727" s="3" t="s">
        <v>70</v>
      </c>
      <c r="S2727" s="4">
        <v>0</v>
      </c>
      <c r="T2727" s="4">
        <v>0</v>
      </c>
      <c r="W2727" s="5" t="s">
        <v>72</v>
      </c>
      <c r="X2727" s="5" t="s">
        <v>72</v>
      </c>
      <c r="Y2727" s="4">
        <v>55</v>
      </c>
      <c r="Z2727" s="4">
        <v>24</v>
      </c>
      <c r="AA2727" s="4">
        <v>27</v>
      </c>
      <c r="AB2727" s="4">
        <v>14</v>
      </c>
      <c r="AC2727" s="4">
        <v>15</v>
      </c>
      <c r="AD2727" s="4">
        <v>10</v>
      </c>
      <c r="AE2727" s="4">
        <v>20</v>
      </c>
      <c r="AF2727" s="4">
        <v>5</v>
      </c>
      <c r="AG2727" s="4">
        <v>5</v>
      </c>
      <c r="AH2727" s="4">
        <v>3</v>
      </c>
      <c r="AI2727" s="4">
        <v>12</v>
      </c>
      <c r="AJ2727" s="4">
        <v>8</v>
      </c>
      <c r="AK2727" s="4">
        <v>9</v>
      </c>
      <c r="AL2727" s="4">
        <v>0</v>
      </c>
      <c r="AM2727" s="4">
        <v>6</v>
      </c>
      <c r="AN2727" s="4">
        <v>0</v>
      </c>
      <c r="AO2727" s="4">
        <v>0</v>
      </c>
      <c r="AP2727" s="4">
        <v>7</v>
      </c>
      <c r="AQ2727" s="4">
        <v>9</v>
      </c>
      <c r="AR2727" s="3" t="s">
        <v>128</v>
      </c>
      <c r="AS2727" s="3" t="s">
        <v>64</v>
      </c>
      <c r="AT2727" s="3" t="s">
        <v>64</v>
      </c>
      <c r="AV2727" s="6" t="str">
        <f>HYPERLINK("http://mcgill.on.worldcat.org/oclc/702800274","Catalog Record")</f>
        <v>Catalog Record</v>
      </c>
      <c r="AW2727" s="6" t="str">
        <f>HYPERLINK("http://www.worldcat.org/oclc/702800274","WorldCat Record")</f>
        <v>WorldCat Record</v>
      </c>
      <c r="AX2727" s="3" t="s">
        <v>27437</v>
      </c>
      <c r="AY2727" s="3" t="s">
        <v>27438</v>
      </c>
      <c r="AZ2727" s="3" t="s">
        <v>27439</v>
      </c>
      <c r="BA2727" s="3" t="s">
        <v>27439</v>
      </c>
      <c r="BB2727" s="3" t="s">
        <v>27440</v>
      </c>
      <c r="BC2727" s="3" t="s">
        <v>77</v>
      </c>
      <c r="BD2727" s="3" t="s">
        <v>78</v>
      </c>
      <c r="BE2727" s="3" t="s">
        <v>27441</v>
      </c>
      <c r="BF2727" s="3" t="s">
        <v>27440</v>
      </c>
      <c r="BG2727" s="3" t="s">
        <v>27442</v>
      </c>
      <c r="BH2727">
        <f t="shared" si="66"/>
        <v>0</v>
      </c>
    </row>
    <row r="2728" spans="1:60" ht="58" x14ac:dyDescent="0.35">
      <c r="A2728" s="2" t="s">
        <v>59</v>
      </c>
      <c r="B2728" s="2" t="s">
        <v>60</v>
      </c>
      <c r="C2728" s="2" t="s">
        <v>27443</v>
      </c>
      <c r="D2728" s="2" t="s">
        <v>27444</v>
      </c>
      <c r="E2728" s="2" t="s">
        <v>27445</v>
      </c>
      <c r="G2728" s="3" t="s">
        <v>64</v>
      </c>
      <c r="I2728" s="3" t="s">
        <v>64</v>
      </c>
      <c r="J2728" s="3" t="s">
        <v>128</v>
      </c>
      <c r="K2728" s="3" t="s">
        <v>65</v>
      </c>
      <c r="L2728" s="2" t="s">
        <v>27446</v>
      </c>
      <c r="M2728" s="2" t="s">
        <v>27447</v>
      </c>
      <c r="N2728" s="3" t="s">
        <v>3330</v>
      </c>
      <c r="O2728" s="2" t="s">
        <v>172</v>
      </c>
      <c r="P2728" s="3" t="s">
        <v>102</v>
      </c>
      <c r="Q2728" s="2" t="s">
        <v>27448</v>
      </c>
      <c r="R2728" s="3" t="s">
        <v>70</v>
      </c>
      <c r="S2728" s="4">
        <v>4</v>
      </c>
      <c r="T2728" s="4">
        <v>4</v>
      </c>
      <c r="U2728" s="5" t="s">
        <v>25521</v>
      </c>
      <c r="V2728" s="5" t="s">
        <v>25521</v>
      </c>
      <c r="W2728" s="5" t="s">
        <v>72</v>
      </c>
      <c r="X2728" s="5" t="s">
        <v>72</v>
      </c>
      <c r="Y2728" s="4">
        <v>45</v>
      </c>
      <c r="Z2728" s="4">
        <v>4</v>
      </c>
      <c r="AA2728" s="4">
        <v>11</v>
      </c>
      <c r="AB2728" s="4">
        <v>1</v>
      </c>
      <c r="AC2728" s="4">
        <v>1</v>
      </c>
      <c r="AD2728" s="4">
        <v>18</v>
      </c>
      <c r="AE2728" s="4">
        <v>46</v>
      </c>
      <c r="AF2728" s="4">
        <v>0</v>
      </c>
      <c r="AG2728" s="4">
        <v>0</v>
      </c>
      <c r="AH2728" s="4">
        <v>18</v>
      </c>
      <c r="AI2728" s="4">
        <v>42</v>
      </c>
      <c r="AJ2728" s="4">
        <v>2</v>
      </c>
      <c r="AK2728" s="4">
        <v>7</v>
      </c>
      <c r="AL2728" s="4">
        <v>11</v>
      </c>
      <c r="AM2728" s="4">
        <v>25</v>
      </c>
      <c r="AN2728" s="4">
        <v>0</v>
      </c>
      <c r="AO2728" s="4">
        <v>0</v>
      </c>
      <c r="AP2728" s="4">
        <v>2</v>
      </c>
      <c r="AQ2728" s="4">
        <v>8</v>
      </c>
      <c r="AR2728" s="3" t="s">
        <v>64</v>
      </c>
      <c r="AS2728" s="3" t="s">
        <v>64</v>
      </c>
      <c r="AT2728" s="3" t="s">
        <v>128</v>
      </c>
      <c r="AU2728" s="6" t="str">
        <f>HYPERLINK("http://catalog.hathitrust.org/Record/001541591","HathiTrust Record")</f>
        <v>HathiTrust Record</v>
      </c>
      <c r="AV2728" s="6" t="str">
        <f>HYPERLINK("http://mcgill.on.worldcat.org/oclc/15283897","Catalog Record")</f>
        <v>Catalog Record</v>
      </c>
      <c r="AW2728" s="6" t="str">
        <f>HYPERLINK("http://www.worldcat.org/oclc/15283897","WorldCat Record")</f>
        <v>WorldCat Record</v>
      </c>
      <c r="AX2728" s="3" t="s">
        <v>27449</v>
      </c>
      <c r="AY2728" s="3" t="s">
        <v>27450</v>
      </c>
      <c r="AZ2728" s="3" t="s">
        <v>27451</v>
      </c>
      <c r="BA2728" s="3" t="s">
        <v>27451</v>
      </c>
      <c r="BB2728" s="3" t="s">
        <v>27452</v>
      </c>
      <c r="BC2728" s="3" t="s">
        <v>77</v>
      </c>
      <c r="BD2728" s="3" t="s">
        <v>78</v>
      </c>
      <c r="BE2728" s="3" t="s">
        <v>27453</v>
      </c>
      <c r="BF2728" s="3" t="s">
        <v>27452</v>
      </c>
      <c r="BG2728" s="3" t="s">
        <v>27454</v>
      </c>
      <c r="BH2728">
        <f t="shared" si="66"/>
        <v>0</v>
      </c>
    </row>
    <row r="2729" spans="1:60" ht="58" x14ac:dyDescent="0.35">
      <c r="A2729" s="2" t="s">
        <v>59</v>
      </c>
      <c r="B2729" s="2" t="s">
        <v>60</v>
      </c>
      <c r="C2729" s="2" t="s">
        <v>27455</v>
      </c>
      <c r="D2729" s="2" t="s">
        <v>27456</v>
      </c>
      <c r="E2729" s="2" t="s">
        <v>27457</v>
      </c>
      <c r="G2729" s="3" t="s">
        <v>64</v>
      </c>
      <c r="I2729" s="3" t="s">
        <v>64</v>
      </c>
      <c r="J2729" s="3" t="s">
        <v>64</v>
      </c>
      <c r="K2729" s="3" t="s">
        <v>65</v>
      </c>
      <c r="L2729" s="2" t="s">
        <v>27458</v>
      </c>
      <c r="M2729" s="2" t="s">
        <v>27459</v>
      </c>
      <c r="N2729" s="3" t="s">
        <v>1250</v>
      </c>
      <c r="P2729" s="3" t="s">
        <v>102</v>
      </c>
      <c r="R2729" s="3" t="s">
        <v>70</v>
      </c>
      <c r="S2729" s="4">
        <v>15</v>
      </c>
      <c r="T2729" s="4">
        <v>15</v>
      </c>
      <c r="U2729" s="5" t="s">
        <v>26202</v>
      </c>
      <c r="V2729" s="5" t="s">
        <v>26202</v>
      </c>
      <c r="W2729" s="5" t="s">
        <v>72</v>
      </c>
      <c r="X2729" s="5" t="s">
        <v>72</v>
      </c>
      <c r="Y2729" s="4">
        <v>166</v>
      </c>
      <c r="Z2729" s="4">
        <v>9</v>
      </c>
      <c r="AA2729" s="4">
        <v>10</v>
      </c>
      <c r="AB2729" s="4">
        <v>1</v>
      </c>
      <c r="AC2729" s="4">
        <v>1</v>
      </c>
      <c r="AD2729" s="4">
        <v>67</v>
      </c>
      <c r="AE2729" s="4">
        <v>67</v>
      </c>
      <c r="AF2729" s="4">
        <v>0</v>
      </c>
      <c r="AG2729" s="4">
        <v>0</v>
      </c>
      <c r="AH2729" s="4">
        <v>63</v>
      </c>
      <c r="AI2729" s="4">
        <v>63</v>
      </c>
      <c r="AJ2729" s="4">
        <v>6</v>
      </c>
      <c r="AK2729" s="4">
        <v>6</v>
      </c>
      <c r="AL2729" s="4">
        <v>35</v>
      </c>
      <c r="AM2729" s="4">
        <v>35</v>
      </c>
      <c r="AN2729" s="4">
        <v>0</v>
      </c>
      <c r="AO2729" s="4">
        <v>0</v>
      </c>
      <c r="AP2729" s="4">
        <v>5</v>
      </c>
      <c r="AQ2729" s="4">
        <v>5</v>
      </c>
      <c r="AR2729" s="3" t="s">
        <v>64</v>
      </c>
      <c r="AS2729" s="3" t="s">
        <v>64</v>
      </c>
      <c r="AT2729" s="3" t="s">
        <v>128</v>
      </c>
      <c r="AU2729" s="6" t="str">
        <f>HYPERLINK("http://catalog.hathitrust.org/Record/002810349","HathiTrust Record")</f>
        <v>HathiTrust Record</v>
      </c>
      <c r="AV2729" s="6" t="str">
        <f>HYPERLINK("http://mcgill.on.worldcat.org/oclc/29548985","Catalog Record")</f>
        <v>Catalog Record</v>
      </c>
      <c r="AW2729" s="6" t="str">
        <f>HYPERLINK("http://www.worldcat.org/oclc/29548985","WorldCat Record")</f>
        <v>WorldCat Record</v>
      </c>
      <c r="AX2729" s="3" t="s">
        <v>27460</v>
      </c>
      <c r="AY2729" s="3" t="s">
        <v>27461</v>
      </c>
      <c r="AZ2729" s="3" t="s">
        <v>27462</v>
      </c>
      <c r="BA2729" s="3" t="s">
        <v>27462</v>
      </c>
      <c r="BB2729" s="3" t="s">
        <v>27463</v>
      </c>
      <c r="BC2729" s="3" t="s">
        <v>77</v>
      </c>
      <c r="BD2729" s="3" t="s">
        <v>78</v>
      </c>
      <c r="BE2729" s="3" t="s">
        <v>27464</v>
      </c>
      <c r="BF2729" s="3" t="s">
        <v>27463</v>
      </c>
      <c r="BG2729" s="3" t="s">
        <v>27465</v>
      </c>
      <c r="BH2729">
        <f t="shared" si="66"/>
        <v>0</v>
      </c>
    </row>
    <row r="2730" spans="1:60" ht="58" x14ac:dyDescent="0.35">
      <c r="A2730" s="2" t="s">
        <v>59</v>
      </c>
      <c r="B2730" s="2" t="s">
        <v>60</v>
      </c>
      <c r="C2730" s="2" t="s">
        <v>27466</v>
      </c>
      <c r="D2730" s="2" t="s">
        <v>27467</v>
      </c>
      <c r="E2730" s="2" t="s">
        <v>27468</v>
      </c>
      <c r="G2730" s="3" t="s">
        <v>64</v>
      </c>
      <c r="I2730" s="3" t="s">
        <v>128</v>
      </c>
      <c r="J2730" s="3" t="s">
        <v>64</v>
      </c>
      <c r="K2730" s="3" t="s">
        <v>65</v>
      </c>
      <c r="L2730" s="2" t="s">
        <v>27469</v>
      </c>
      <c r="M2730" s="2" t="s">
        <v>27470</v>
      </c>
      <c r="N2730" s="3" t="s">
        <v>3721</v>
      </c>
      <c r="P2730" s="3" t="s">
        <v>102</v>
      </c>
      <c r="Q2730" s="2" t="s">
        <v>15490</v>
      </c>
      <c r="R2730" s="3" t="s">
        <v>70</v>
      </c>
      <c r="S2730" s="4">
        <v>11</v>
      </c>
      <c r="T2730" s="4">
        <v>20</v>
      </c>
      <c r="U2730" s="5" t="s">
        <v>5859</v>
      </c>
      <c r="V2730" s="5" t="s">
        <v>5859</v>
      </c>
      <c r="W2730" s="5" t="s">
        <v>72</v>
      </c>
      <c r="X2730" s="5" t="s">
        <v>72</v>
      </c>
      <c r="Y2730" s="4">
        <v>520</v>
      </c>
      <c r="Z2730" s="4">
        <v>30</v>
      </c>
      <c r="AA2730" s="4">
        <v>35</v>
      </c>
      <c r="AB2730" s="4">
        <v>2</v>
      </c>
      <c r="AC2730" s="4">
        <v>6</v>
      </c>
      <c r="AD2730" s="4">
        <v>120</v>
      </c>
      <c r="AE2730" s="4">
        <v>125</v>
      </c>
      <c r="AF2730" s="4">
        <v>1</v>
      </c>
      <c r="AG2730" s="4">
        <v>5</v>
      </c>
      <c r="AH2730" s="4">
        <v>103</v>
      </c>
      <c r="AI2730" s="4">
        <v>105</v>
      </c>
      <c r="AJ2730" s="4">
        <v>19</v>
      </c>
      <c r="AK2730" s="4">
        <v>22</v>
      </c>
      <c r="AL2730" s="4">
        <v>57</v>
      </c>
      <c r="AM2730" s="4">
        <v>57</v>
      </c>
      <c r="AN2730" s="4">
        <v>0</v>
      </c>
      <c r="AO2730" s="4">
        <v>0</v>
      </c>
      <c r="AP2730" s="4">
        <v>21</v>
      </c>
      <c r="AQ2730" s="4">
        <v>24</v>
      </c>
      <c r="AR2730" s="3" t="s">
        <v>64</v>
      </c>
      <c r="AS2730" s="3" t="s">
        <v>64</v>
      </c>
      <c r="AT2730" s="3" t="s">
        <v>128</v>
      </c>
      <c r="AU2730" s="6" t="str">
        <f>HYPERLINK("http://catalog.hathitrust.org/Record/000019934","HathiTrust Record")</f>
        <v>HathiTrust Record</v>
      </c>
      <c r="AV2730" s="6" t="str">
        <f>HYPERLINK("http://mcgill.on.worldcat.org/oclc/3912630","Catalog Record")</f>
        <v>Catalog Record</v>
      </c>
      <c r="AW2730" s="6" t="str">
        <f>HYPERLINK("http://www.worldcat.org/oclc/3912630","WorldCat Record")</f>
        <v>WorldCat Record</v>
      </c>
      <c r="AX2730" s="3" t="s">
        <v>27471</v>
      </c>
      <c r="AY2730" s="3" t="s">
        <v>27472</v>
      </c>
      <c r="AZ2730" s="3" t="s">
        <v>27473</v>
      </c>
      <c r="BA2730" s="3" t="s">
        <v>27473</v>
      </c>
      <c r="BB2730" s="3" t="s">
        <v>27474</v>
      </c>
      <c r="BC2730" s="3" t="s">
        <v>77</v>
      </c>
      <c r="BD2730" s="3" t="s">
        <v>78</v>
      </c>
      <c r="BE2730" s="3" t="s">
        <v>27475</v>
      </c>
      <c r="BF2730" s="3" t="s">
        <v>27474</v>
      </c>
      <c r="BG2730" s="3" t="s">
        <v>27476</v>
      </c>
      <c r="BH2730">
        <f t="shared" si="66"/>
        <v>0</v>
      </c>
    </row>
    <row r="2731" spans="1:60" ht="58" x14ac:dyDescent="0.35">
      <c r="A2731" s="2" t="s">
        <v>1040</v>
      </c>
      <c r="B2731" s="2" t="s">
        <v>60</v>
      </c>
      <c r="C2731" s="2" t="s">
        <v>27466</v>
      </c>
      <c r="D2731" s="2" t="s">
        <v>27467</v>
      </c>
      <c r="E2731" s="2" t="s">
        <v>27468</v>
      </c>
      <c r="G2731" s="3" t="s">
        <v>64</v>
      </c>
      <c r="I2731" s="3" t="s">
        <v>128</v>
      </c>
      <c r="J2731" s="3" t="s">
        <v>64</v>
      </c>
      <c r="K2731" s="3" t="s">
        <v>65</v>
      </c>
      <c r="L2731" s="2" t="s">
        <v>27469</v>
      </c>
      <c r="M2731" s="2" t="s">
        <v>27470</v>
      </c>
      <c r="N2731" s="3" t="s">
        <v>3721</v>
      </c>
      <c r="P2731" s="3" t="s">
        <v>102</v>
      </c>
      <c r="Q2731" s="2" t="s">
        <v>15490</v>
      </c>
      <c r="R2731" s="3" t="s">
        <v>70</v>
      </c>
      <c r="S2731" s="4">
        <v>9</v>
      </c>
      <c r="T2731" s="4">
        <v>20</v>
      </c>
      <c r="U2731" s="5" t="s">
        <v>27477</v>
      </c>
      <c r="V2731" s="5" t="s">
        <v>5859</v>
      </c>
      <c r="W2731" s="5" t="s">
        <v>72</v>
      </c>
      <c r="X2731" s="5" t="s">
        <v>72</v>
      </c>
      <c r="Y2731" s="4">
        <v>520</v>
      </c>
      <c r="Z2731" s="4">
        <v>30</v>
      </c>
      <c r="AA2731" s="4">
        <v>35</v>
      </c>
      <c r="AB2731" s="4">
        <v>2</v>
      </c>
      <c r="AC2731" s="4">
        <v>6</v>
      </c>
      <c r="AD2731" s="4">
        <v>120</v>
      </c>
      <c r="AE2731" s="4">
        <v>125</v>
      </c>
      <c r="AF2731" s="4">
        <v>1</v>
      </c>
      <c r="AG2731" s="4">
        <v>5</v>
      </c>
      <c r="AH2731" s="4">
        <v>103</v>
      </c>
      <c r="AI2731" s="4">
        <v>105</v>
      </c>
      <c r="AJ2731" s="4">
        <v>19</v>
      </c>
      <c r="AK2731" s="4">
        <v>22</v>
      </c>
      <c r="AL2731" s="4">
        <v>57</v>
      </c>
      <c r="AM2731" s="4">
        <v>57</v>
      </c>
      <c r="AN2731" s="4">
        <v>0</v>
      </c>
      <c r="AO2731" s="4">
        <v>0</v>
      </c>
      <c r="AP2731" s="4">
        <v>21</v>
      </c>
      <c r="AQ2731" s="4">
        <v>24</v>
      </c>
      <c r="AR2731" s="3" t="s">
        <v>64</v>
      </c>
      <c r="AS2731" s="3" t="s">
        <v>64</v>
      </c>
      <c r="AT2731" s="3" t="s">
        <v>128</v>
      </c>
      <c r="AU2731" s="6" t="str">
        <f>HYPERLINK("http://catalog.hathitrust.org/Record/000019934","HathiTrust Record")</f>
        <v>HathiTrust Record</v>
      </c>
      <c r="AV2731" s="6" t="str">
        <f>HYPERLINK("http://mcgill.on.worldcat.org/oclc/3912630","Catalog Record")</f>
        <v>Catalog Record</v>
      </c>
      <c r="AW2731" s="6" t="str">
        <f>HYPERLINK("http://www.worldcat.org/oclc/3912630","WorldCat Record")</f>
        <v>WorldCat Record</v>
      </c>
      <c r="AX2731" s="3" t="s">
        <v>27471</v>
      </c>
      <c r="AY2731" s="3" t="s">
        <v>27472</v>
      </c>
      <c r="AZ2731" s="3" t="s">
        <v>27473</v>
      </c>
      <c r="BA2731" s="3" t="s">
        <v>27473</v>
      </c>
      <c r="BB2731" s="3" t="s">
        <v>27478</v>
      </c>
      <c r="BC2731" s="3" t="s">
        <v>77</v>
      </c>
      <c r="BD2731" s="3" t="s">
        <v>78</v>
      </c>
      <c r="BE2731" s="3" t="s">
        <v>27475</v>
      </c>
      <c r="BF2731" s="3" t="s">
        <v>27478</v>
      </c>
      <c r="BG2731" s="3" t="s">
        <v>27479</v>
      </c>
      <c r="BH2731">
        <f t="shared" si="66"/>
        <v>0</v>
      </c>
    </row>
    <row r="2732" spans="1:60" ht="58" x14ac:dyDescent="0.35">
      <c r="A2732" s="2" t="s">
        <v>59</v>
      </c>
      <c r="B2732" s="2" t="s">
        <v>60</v>
      </c>
      <c r="C2732" s="2" t="s">
        <v>27503</v>
      </c>
      <c r="D2732" s="2" t="s">
        <v>27504</v>
      </c>
      <c r="E2732" s="2" t="s">
        <v>27505</v>
      </c>
      <c r="G2732" s="3" t="s">
        <v>64</v>
      </c>
      <c r="I2732" s="3" t="s">
        <v>64</v>
      </c>
      <c r="J2732" s="3" t="s">
        <v>64</v>
      </c>
      <c r="K2732" s="3" t="s">
        <v>65</v>
      </c>
      <c r="M2732" s="2" t="s">
        <v>27506</v>
      </c>
      <c r="N2732" s="3" t="s">
        <v>2067</v>
      </c>
      <c r="P2732" s="3" t="s">
        <v>102</v>
      </c>
      <c r="R2732" s="3" t="s">
        <v>70</v>
      </c>
      <c r="S2732" s="4">
        <v>4</v>
      </c>
      <c r="T2732" s="4">
        <v>4</v>
      </c>
      <c r="U2732" s="5" t="s">
        <v>27507</v>
      </c>
      <c r="V2732" s="5" t="s">
        <v>27507</v>
      </c>
      <c r="W2732" s="5" t="s">
        <v>72</v>
      </c>
      <c r="X2732" s="5" t="s">
        <v>72</v>
      </c>
      <c r="Y2732" s="4">
        <v>63</v>
      </c>
      <c r="Z2732" s="4">
        <v>5</v>
      </c>
      <c r="AA2732" s="4">
        <v>7</v>
      </c>
      <c r="AB2732" s="4">
        <v>1</v>
      </c>
      <c r="AC2732" s="4">
        <v>2</v>
      </c>
      <c r="AD2732" s="4">
        <v>29</v>
      </c>
      <c r="AE2732" s="4">
        <v>34</v>
      </c>
      <c r="AF2732" s="4">
        <v>0</v>
      </c>
      <c r="AG2732" s="4">
        <v>1</v>
      </c>
      <c r="AH2732" s="4">
        <v>27</v>
      </c>
      <c r="AI2732" s="4">
        <v>31</v>
      </c>
      <c r="AJ2732" s="4">
        <v>3</v>
      </c>
      <c r="AK2732" s="4">
        <v>4</v>
      </c>
      <c r="AL2732" s="4">
        <v>17</v>
      </c>
      <c r="AM2732" s="4">
        <v>18</v>
      </c>
      <c r="AN2732" s="4">
        <v>0</v>
      </c>
      <c r="AO2732" s="4">
        <v>0</v>
      </c>
      <c r="AP2732" s="4">
        <v>3</v>
      </c>
      <c r="AQ2732" s="4">
        <v>3</v>
      </c>
      <c r="AR2732" s="3" t="s">
        <v>64</v>
      </c>
      <c r="AS2732" s="3" t="s">
        <v>64</v>
      </c>
      <c r="AT2732" s="3" t="s">
        <v>128</v>
      </c>
      <c r="AU2732" s="6" t="str">
        <f>HYPERLINK("http://catalog.hathitrust.org/Record/007055444","HathiTrust Record")</f>
        <v>HathiTrust Record</v>
      </c>
      <c r="AV2732" s="6" t="str">
        <f>HYPERLINK("http://mcgill.on.worldcat.org/oclc/24078942","Catalog Record")</f>
        <v>Catalog Record</v>
      </c>
      <c r="AW2732" s="6" t="str">
        <f>HYPERLINK("http://www.worldcat.org/oclc/24078942","WorldCat Record")</f>
        <v>WorldCat Record</v>
      </c>
      <c r="AX2732" s="3" t="s">
        <v>27508</v>
      </c>
      <c r="AY2732" s="3" t="s">
        <v>27509</v>
      </c>
      <c r="AZ2732" s="3" t="s">
        <v>27510</v>
      </c>
      <c r="BA2732" s="3" t="s">
        <v>27510</v>
      </c>
      <c r="BB2732" s="3" t="s">
        <v>27511</v>
      </c>
      <c r="BC2732" s="3" t="s">
        <v>77</v>
      </c>
      <c r="BD2732" s="3" t="s">
        <v>78</v>
      </c>
      <c r="BF2732" s="3" t="s">
        <v>27511</v>
      </c>
      <c r="BG2732" s="3" t="s">
        <v>27512</v>
      </c>
      <c r="BH2732">
        <f t="shared" si="66"/>
        <v>0</v>
      </c>
    </row>
    <row r="2733" spans="1:60" ht="72.5" x14ac:dyDescent="0.35">
      <c r="A2733" s="2" t="s">
        <v>59</v>
      </c>
      <c r="B2733" s="2" t="s">
        <v>60</v>
      </c>
      <c r="C2733" s="2" t="s">
        <v>27513</v>
      </c>
      <c r="D2733" s="2" t="s">
        <v>27514</v>
      </c>
      <c r="E2733" s="2" t="s">
        <v>27515</v>
      </c>
      <c r="G2733" s="3" t="s">
        <v>64</v>
      </c>
      <c r="I2733" s="3" t="s">
        <v>64</v>
      </c>
      <c r="J2733" s="3" t="s">
        <v>64</v>
      </c>
      <c r="K2733" s="3" t="s">
        <v>65</v>
      </c>
      <c r="L2733" s="2" t="s">
        <v>27516</v>
      </c>
      <c r="M2733" s="2" t="s">
        <v>27517</v>
      </c>
      <c r="N2733" s="3" t="s">
        <v>101</v>
      </c>
      <c r="P2733" s="3" t="s">
        <v>102</v>
      </c>
      <c r="Q2733" s="2" t="s">
        <v>27518</v>
      </c>
      <c r="R2733" s="3" t="s">
        <v>70</v>
      </c>
      <c r="S2733" s="4">
        <v>5</v>
      </c>
      <c r="T2733" s="4">
        <v>5</v>
      </c>
      <c r="U2733" s="5" t="s">
        <v>27519</v>
      </c>
      <c r="V2733" s="5" t="s">
        <v>27519</v>
      </c>
      <c r="W2733" s="5" t="s">
        <v>72</v>
      </c>
      <c r="X2733" s="5" t="s">
        <v>72</v>
      </c>
      <c r="Y2733" s="4">
        <v>64</v>
      </c>
      <c r="Z2733" s="4">
        <v>4</v>
      </c>
      <c r="AA2733" s="4">
        <v>4</v>
      </c>
      <c r="AB2733" s="4">
        <v>1</v>
      </c>
      <c r="AC2733" s="4">
        <v>1</v>
      </c>
      <c r="AD2733" s="4">
        <v>16</v>
      </c>
      <c r="AE2733" s="4">
        <v>16</v>
      </c>
      <c r="AF2733" s="4">
        <v>0</v>
      </c>
      <c r="AG2733" s="4">
        <v>0</v>
      </c>
      <c r="AH2733" s="4">
        <v>14</v>
      </c>
      <c r="AI2733" s="4">
        <v>14</v>
      </c>
      <c r="AJ2733" s="4">
        <v>2</v>
      </c>
      <c r="AK2733" s="4">
        <v>2</v>
      </c>
      <c r="AL2733" s="4">
        <v>9</v>
      </c>
      <c r="AM2733" s="4">
        <v>9</v>
      </c>
      <c r="AN2733" s="4">
        <v>0</v>
      </c>
      <c r="AO2733" s="4">
        <v>0</v>
      </c>
      <c r="AP2733" s="4">
        <v>3</v>
      </c>
      <c r="AQ2733" s="4">
        <v>3</v>
      </c>
      <c r="AR2733" s="3" t="s">
        <v>64</v>
      </c>
      <c r="AS2733" s="3" t="s">
        <v>64</v>
      </c>
      <c r="AT2733" s="3" t="s">
        <v>64</v>
      </c>
      <c r="AV2733" s="6" t="str">
        <f>HYPERLINK("http://mcgill.on.worldcat.org/oclc/53337653","Catalog Record")</f>
        <v>Catalog Record</v>
      </c>
      <c r="AW2733" s="6" t="str">
        <f>HYPERLINK("http://www.worldcat.org/oclc/53337653","WorldCat Record")</f>
        <v>WorldCat Record</v>
      </c>
      <c r="AX2733" s="3" t="s">
        <v>27520</v>
      </c>
      <c r="AY2733" s="3" t="s">
        <v>27521</v>
      </c>
      <c r="AZ2733" s="3" t="s">
        <v>27522</v>
      </c>
      <c r="BA2733" s="3" t="s">
        <v>27522</v>
      </c>
      <c r="BB2733" s="3" t="s">
        <v>27523</v>
      </c>
      <c r="BC2733" s="3" t="s">
        <v>77</v>
      </c>
      <c r="BD2733" s="3" t="s">
        <v>78</v>
      </c>
      <c r="BE2733" s="3" t="s">
        <v>27524</v>
      </c>
      <c r="BF2733" s="3" t="s">
        <v>27523</v>
      </c>
      <c r="BG2733" s="3" t="s">
        <v>27525</v>
      </c>
      <c r="BH2733">
        <f t="shared" si="66"/>
        <v>0</v>
      </c>
    </row>
    <row r="2734" spans="1:60" ht="58" x14ac:dyDescent="0.35">
      <c r="A2734" s="2" t="s">
        <v>59</v>
      </c>
      <c r="B2734" s="2" t="s">
        <v>60</v>
      </c>
      <c r="C2734" s="2" t="s">
        <v>27526</v>
      </c>
      <c r="D2734" s="2" t="s">
        <v>27527</v>
      </c>
      <c r="E2734" s="2" t="s">
        <v>27528</v>
      </c>
      <c r="F2734" s="3" t="s">
        <v>489</v>
      </c>
      <c r="G2734" s="3" t="s">
        <v>128</v>
      </c>
      <c r="I2734" s="3" t="s">
        <v>128</v>
      </c>
      <c r="J2734" s="3" t="s">
        <v>64</v>
      </c>
      <c r="K2734" s="3" t="s">
        <v>65</v>
      </c>
      <c r="L2734" s="2" t="s">
        <v>27529</v>
      </c>
      <c r="M2734" s="2" t="s">
        <v>27530</v>
      </c>
      <c r="N2734" s="3" t="s">
        <v>5986</v>
      </c>
      <c r="P2734" s="3" t="s">
        <v>102</v>
      </c>
      <c r="R2734" s="3" t="s">
        <v>70</v>
      </c>
      <c r="S2734" s="4">
        <v>3</v>
      </c>
      <c r="T2734" s="4">
        <v>8</v>
      </c>
      <c r="U2734" s="5" t="s">
        <v>27531</v>
      </c>
      <c r="V2734" s="5" t="s">
        <v>27531</v>
      </c>
      <c r="W2734" s="5" t="s">
        <v>72</v>
      </c>
      <c r="X2734" s="5" t="s">
        <v>72</v>
      </c>
      <c r="Y2734" s="4">
        <v>93</v>
      </c>
      <c r="Z2734" s="4">
        <v>6</v>
      </c>
      <c r="AA2734" s="4">
        <v>10</v>
      </c>
      <c r="AB2734" s="4">
        <v>1</v>
      </c>
      <c r="AC2734" s="4">
        <v>2</v>
      </c>
      <c r="AD2734" s="4">
        <v>40</v>
      </c>
      <c r="AE2734" s="4">
        <v>46</v>
      </c>
      <c r="AF2734" s="4">
        <v>0</v>
      </c>
      <c r="AG2734" s="4">
        <v>1</v>
      </c>
      <c r="AH2734" s="4">
        <v>36</v>
      </c>
      <c r="AI2734" s="4">
        <v>41</v>
      </c>
      <c r="AJ2734" s="4">
        <v>4</v>
      </c>
      <c r="AK2734" s="4">
        <v>7</v>
      </c>
      <c r="AL2734" s="4">
        <v>24</v>
      </c>
      <c r="AM2734" s="4">
        <v>27</v>
      </c>
      <c r="AN2734" s="4">
        <v>0</v>
      </c>
      <c r="AO2734" s="4">
        <v>0</v>
      </c>
      <c r="AP2734" s="4">
        <v>4</v>
      </c>
      <c r="AQ2734" s="4">
        <v>6</v>
      </c>
      <c r="AR2734" s="3" t="s">
        <v>64</v>
      </c>
      <c r="AS2734" s="3" t="s">
        <v>64</v>
      </c>
      <c r="AT2734" s="3" t="s">
        <v>128</v>
      </c>
      <c r="AU2734" s="6" t="str">
        <f>HYPERLINK("http://catalog.hathitrust.org/Record/000226713","HathiTrust Record")</f>
        <v>HathiTrust Record</v>
      </c>
      <c r="AV2734" s="6" t="str">
        <f>HYPERLINK("http://mcgill.on.worldcat.org/oclc/3911240","Catalog Record")</f>
        <v>Catalog Record</v>
      </c>
      <c r="AW2734" s="6" t="str">
        <f>HYPERLINK("http://www.worldcat.org/oclc/3911240","WorldCat Record")</f>
        <v>WorldCat Record</v>
      </c>
      <c r="AX2734" s="3" t="s">
        <v>27532</v>
      </c>
      <c r="AY2734" s="3" t="s">
        <v>27533</v>
      </c>
      <c r="AZ2734" s="3" t="s">
        <v>27534</v>
      </c>
      <c r="BA2734" s="3" t="s">
        <v>27534</v>
      </c>
      <c r="BB2734" s="3" t="s">
        <v>27535</v>
      </c>
      <c r="BC2734" s="3" t="s">
        <v>77</v>
      </c>
      <c r="BD2734" s="3" t="s">
        <v>78</v>
      </c>
      <c r="BF2734" s="3" t="s">
        <v>27535</v>
      </c>
      <c r="BG2734" s="3" t="s">
        <v>27536</v>
      </c>
      <c r="BH2734">
        <f t="shared" si="66"/>
        <v>0</v>
      </c>
    </row>
    <row r="2735" spans="1:60" ht="58" x14ac:dyDescent="0.35">
      <c r="A2735" s="2" t="s">
        <v>59</v>
      </c>
      <c r="B2735" s="2" t="s">
        <v>60</v>
      </c>
      <c r="C2735" s="2" t="s">
        <v>27526</v>
      </c>
      <c r="D2735" s="2" t="s">
        <v>27527</v>
      </c>
      <c r="E2735" s="2" t="s">
        <v>27528</v>
      </c>
      <c r="G2735" s="3" t="s">
        <v>128</v>
      </c>
      <c r="I2735" s="3" t="s">
        <v>128</v>
      </c>
      <c r="J2735" s="3" t="s">
        <v>64</v>
      </c>
      <c r="K2735" s="3" t="s">
        <v>65</v>
      </c>
      <c r="L2735" s="2" t="s">
        <v>27529</v>
      </c>
      <c r="M2735" s="2" t="s">
        <v>27530</v>
      </c>
      <c r="N2735" s="3" t="s">
        <v>5986</v>
      </c>
      <c r="P2735" s="3" t="s">
        <v>102</v>
      </c>
      <c r="R2735" s="3" t="s">
        <v>70</v>
      </c>
      <c r="S2735" s="4">
        <v>5</v>
      </c>
      <c r="T2735" s="4">
        <v>8</v>
      </c>
      <c r="U2735" s="5" t="s">
        <v>27531</v>
      </c>
      <c r="V2735" s="5" t="s">
        <v>27531</v>
      </c>
      <c r="W2735" s="5" t="s">
        <v>72</v>
      </c>
      <c r="X2735" s="5" t="s">
        <v>72</v>
      </c>
      <c r="Y2735" s="4">
        <v>93</v>
      </c>
      <c r="Z2735" s="4">
        <v>6</v>
      </c>
      <c r="AA2735" s="4">
        <v>10</v>
      </c>
      <c r="AB2735" s="4">
        <v>1</v>
      </c>
      <c r="AC2735" s="4">
        <v>2</v>
      </c>
      <c r="AD2735" s="4">
        <v>40</v>
      </c>
      <c r="AE2735" s="4">
        <v>46</v>
      </c>
      <c r="AF2735" s="4">
        <v>0</v>
      </c>
      <c r="AG2735" s="4">
        <v>1</v>
      </c>
      <c r="AH2735" s="4">
        <v>36</v>
      </c>
      <c r="AI2735" s="4">
        <v>41</v>
      </c>
      <c r="AJ2735" s="4">
        <v>4</v>
      </c>
      <c r="AK2735" s="4">
        <v>7</v>
      </c>
      <c r="AL2735" s="4">
        <v>24</v>
      </c>
      <c r="AM2735" s="4">
        <v>27</v>
      </c>
      <c r="AN2735" s="4">
        <v>0</v>
      </c>
      <c r="AO2735" s="4">
        <v>0</v>
      </c>
      <c r="AP2735" s="4">
        <v>4</v>
      </c>
      <c r="AQ2735" s="4">
        <v>6</v>
      </c>
      <c r="AR2735" s="3" t="s">
        <v>64</v>
      </c>
      <c r="AS2735" s="3" t="s">
        <v>64</v>
      </c>
      <c r="AT2735" s="3" t="s">
        <v>128</v>
      </c>
      <c r="AU2735" s="6" t="str">
        <f>HYPERLINK("http://catalog.hathitrust.org/Record/000226713","HathiTrust Record")</f>
        <v>HathiTrust Record</v>
      </c>
      <c r="AV2735" s="6" t="str">
        <f>HYPERLINK("http://mcgill.on.worldcat.org/oclc/3911240","Catalog Record")</f>
        <v>Catalog Record</v>
      </c>
      <c r="AW2735" s="6" t="str">
        <f>HYPERLINK("http://www.worldcat.org/oclc/3911240","WorldCat Record")</f>
        <v>WorldCat Record</v>
      </c>
      <c r="AX2735" s="3" t="s">
        <v>27532</v>
      </c>
      <c r="AY2735" s="3" t="s">
        <v>27533</v>
      </c>
      <c r="AZ2735" s="3" t="s">
        <v>27534</v>
      </c>
      <c r="BA2735" s="3" t="s">
        <v>27534</v>
      </c>
      <c r="BB2735" s="3" t="s">
        <v>27537</v>
      </c>
      <c r="BC2735" s="3" t="s">
        <v>77</v>
      </c>
      <c r="BD2735" s="3" t="s">
        <v>78</v>
      </c>
      <c r="BF2735" s="3" t="s">
        <v>27537</v>
      </c>
      <c r="BG2735" s="3" t="s">
        <v>27538</v>
      </c>
      <c r="BH2735">
        <f t="shared" si="66"/>
        <v>0</v>
      </c>
    </row>
    <row r="2736" spans="1:60" ht="58" x14ac:dyDescent="0.35">
      <c r="A2736" s="2" t="s">
        <v>59</v>
      </c>
      <c r="B2736" s="2" t="s">
        <v>60</v>
      </c>
      <c r="C2736" s="2" t="s">
        <v>27526</v>
      </c>
      <c r="D2736" s="2" t="s">
        <v>27527</v>
      </c>
      <c r="E2736" s="2" t="s">
        <v>27539</v>
      </c>
      <c r="F2736" s="3" t="s">
        <v>529</v>
      </c>
      <c r="G2736" s="3" t="s">
        <v>128</v>
      </c>
      <c r="I2736" s="3" t="s">
        <v>64</v>
      </c>
      <c r="J2736" s="3" t="s">
        <v>64</v>
      </c>
      <c r="K2736" s="3" t="s">
        <v>65</v>
      </c>
      <c r="L2736" s="2" t="s">
        <v>27540</v>
      </c>
      <c r="N2736" s="3" t="s">
        <v>3761</v>
      </c>
      <c r="P2736" s="3" t="s">
        <v>102</v>
      </c>
      <c r="Q2736" s="2" t="s">
        <v>27541</v>
      </c>
      <c r="R2736" s="3" t="s">
        <v>70</v>
      </c>
      <c r="S2736" s="4">
        <v>1</v>
      </c>
      <c r="T2736" s="4">
        <v>4</v>
      </c>
      <c r="U2736" s="5" t="s">
        <v>19060</v>
      </c>
      <c r="V2736" s="5" t="s">
        <v>19060</v>
      </c>
      <c r="W2736" s="5" t="s">
        <v>72</v>
      </c>
      <c r="X2736" s="5" t="s">
        <v>72</v>
      </c>
      <c r="Y2736" s="4">
        <v>6</v>
      </c>
      <c r="Z2736" s="4">
        <v>1</v>
      </c>
      <c r="AA2736" s="4">
        <v>9</v>
      </c>
      <c r="AB2736" s="4">
        <v>1</v>
      </c>
      <c r="AC2736" s="4">
        <v>2</v>
      </c>
      <c r="AD2736" s="4">
        <v>0</v>
      </c>
      <c r="AE2736" s="4">
        <v>43</v>
      </c>
      <c r="AF2736" s="4">
        <v>0</v>
      </c>
      <c r="AG2736" s="4">
        <v>1</v>
      </c>
      <c r="AH2736" s="4">
        <v>0</v>
      </c>
      <c r="AI2736" s="4">
        <v>39</v>
      </c>
      <c r="AJ2736" s="4">
        <v>0</v>
      </c>
      <c r="AK2736" s="4">
        <v>6</v>
      </c>
      <c r="AL2736" s="4">
        <v>0</v>
      </c>
      <c r="AM2736" s="4">
        <v>26</v>
      </c>
      <c r="AN2736" s="4">
        <v>0</v>
      </c>
      <c r="AO2736" s="4">
        <v>0</v>
      </c>
      <c r="AP2736" s="4">
        <v>0</v>
      </c>
      <c r="AQ2736" s="4">
        <v>4</v>
      </c>
      <c r="AR2736" s="3" t="s">
        <v>64</v>
      </c>
      <c r="AS2736" s="3" t="s">
        <v>64</v>
      </c>
      <c r="AT2736" s="3" t="s">
        <v>64</v>
      </c>
      <c r="AV2736" s="6" t="str">
        <f>HYPERLINK("http://mcgill.on.worldcat.org/oclc/54319455","Catalog Record")</f>
        <v>Catalog Record</v>
      </c>
      <c r="AW2736" s="6" t="str">
        <f>HYPERLINK("http://www.worldcat.org/oclc/54319455","WorldCat Record")</f>
        <v>WorldCat Record</v>
      </c>
      <c r="AX2736" s="3" t="s">
        <v>27542</v>
      </c>
      <c r="AY2736" s="3" t="s">
        <v>27543</v>
      </c>
      <c r="AZ2736" s="3" t="s">
        <v>27544</v>
      </c>
      <c r="BA2736" s="3" t="s">
        <v>27544</v>
      </c>
      <c r="BB2736" s="3" t="s">
        <v>27545</v>
      </c>
      <c r="BC2736" s="3" t="s">
        <v>77</v>
      </c>
      <c r="BD2736" s="3" t="s">
        <v>78</v>
      </c>
      <c r="BF2736" s="3" t="s">
        <v>27545</v>
      </c>
      <c r="BG2736" s="3" t="s">
        <v>27546</v>
      </c>
      <c r="BH2736">
        <f t="shared" si="66"/>
        <v>0</v>
      </c>
    </row>
    <row r="2737" spans="1:60" ht="58" x14ac:dyDescent="0.35">
      <c r="A2737" s="2" t="s">
        <v>59</v>
      </c>
      <c r="B2737" s="2" t="s">
        <v>60</v>
      </c>
      <c r="C2737" s="2" t="s">
        <v>27526</v>
      </c>
      <c r="D2737" s="2" t="s">
        <v>27527</v>
      </c>
      <c r="E2737" s="2" t="s">
        <v>27539</v>
      </c>
      <c r="F2737" s="3" t="s">
        <v>27547</v>
      </c>
      <c r="G2737" s="3" t="s">
        <v>128</v>
      </c>
      <c r="I2737" s="3" t="s">
        <v>64</v>
      </c>
      <c r="J2737" s="3" t="s">
        <v>64</v>
      </c>
      <c r="K2737" s="3" t="s">
        <v>65</v>
      </c>
      <c r="L2737" s="2" t="s">
        <v>27540</v>
      </c>
      <c r="N2737" s="3" t="s">
        <v>3761</v>
      </c>
      <c r="P2737" s="3" t="s">
        <v>102</v>
      </c>
      <c r="Q2737" s="2" t="s">
        <v>27541</v>
      </c>
      <c r="R2737" s="3" t="s">
        <v>70</v>
      </c>
      <c r="S2737" s="4">
        <v>2</v>
      </c>
      <c r="T2737" s="4">
        <v>4</v>
      </c>
      <c r="U2737" s="5" t="s">
        <v>19060</v>
      </c>
      <c r="V2737" s="5" t="s">
        <v>19060</v>
      </c>
      <c r="W2737" s="5" t="s">
        <v>72</v>
      </c>
      <c r="X2737" s="5" t="s">
        <v>72</v>
      </c>
      <c r="Y2737" s="4">
        <v>6</v>
      </c>
      <c r="Z2737" s="4">
        <v>1</v>
      </c>
      <c r="AA2737" s="4">
        <v>9</v>
      </c>
      <c r="AB2737" s="4">
        <v>1</v>
      </c>
      <c r="AC2737" s="4">
        <v>2</v>
      </c>
      <c r="AD2737" s="4">
        <v>0</v>
      </c>
      <c r="AE2737" s="4">
        <v>43</v>
      </c>
      <c r="AF2737" s="4">
        <v>0</v>
      </c>
      <c r="AG2737" s="4">
        <v>1</v>
      </c>
      <c r="AH2737" s="4">
        <v>0</v>
      </c>
      <c r="AI2737" s="4">
        <v>39</v>
      </c>
      <c r="AJ2737" s="4">
        <v>0</v>
      </c>
      <c r="AK2737" s="4">
        <v>6</v>
      </c>
      <c r="AL2737" s="4">
        <v>0</v>
      </c>
      <c r="AM2737" s="4">
        <v>26</v>
      </c>
      <c r="AN2737" s="4">
        <v>0</v>
      </c>
      <c r="AO2737" s="4">
        <v>0</v>
      </c>
      <c r="AP2737" s="4">
        <v>0</v>
      </c>
      <c r="AQ2737" s="4">
        <v>4</v>
      </c>
      <c r="AR2737" s="3" t="s">
        <v>64</v>
      </c>
      <c r="AS2737" s="3" t="s">
        <v>64</v>
      </c>
      <c r="AT2737" s="3" t="s">
        <v>64</v>
      </c>
      <c r="AV2737" s="6" t="str">
        <f>HYPERLINK("http://mcgill.on.worldcat.org/oclc/54319455","Catalog Record")</f>
        <v>Catalog Record</v>
      </c>
      <c r="AW2737" s="6" t="str">
        <f>HYPERLINK("http://www.worldcat.org/oclc/54319455","WorldCat Record")</f>
        <v>WorldCat Record</v>
      </c>
      <c r="AX2737" s="3" t="s">
        <v>27542</v>
      </c>
      <c r="AY2737" s="3" t="s">
        <v>27543</v>
      </c>
      <c r="AZ2737" s="3" t="s">
        <v>27544</v>
      </c>
      <c r="BA2737" s="3" t="s">
        <v>27544</v>
      </c>
      <c r="BB2737" s="3" t="s">
        <v>27548</v>
      </c>
      <c r="BC2737" s="3" t="s">
        <v>77</v>
      </c>
      <c r="BD2737" s="3" t="s">
        <v>78</v>
      </c>
      <c r="BF2737" s="3" t="s">
        <v>27548</v>
      </c>
      <c r="BG2737" s="3" t="s">
        <v>27549</v>
      </c>
      <c r="BH2737">
        <f t="shared" si="66"/>
        <v>0</v>
      </c>
    </row>
    <row r="2738" spans="1:60" ht="58" x14ac:dyDescent="0.35">
      <c r="A2738" s="2" t="s">
        <v>59</v>
      </c>
      <c r="B2738" s="2" t="s">
        <v>60</v>
      </c>
      <c r="C2738" s="2" t="s">
        <v>27526</v>
      </c>
      <c r="D2738" s="2" t="s">
        <v>27527</v>
      </c>
      <c r="E2738" s="2" t="s">
        <v>27539</v>
      </c>
      <c r="F2738" s="3" t="s">
        <v>27550</v>
      </c>
      <c r="G2738" s="3" t="s">
        <v>128</v>
      </c>
      <c r="I2738" s="3" t="s">
        <v>64</v>
      </c>
      <c r="J2738" s="3" t="s">
        <v>64</v>
      </c>
      <c r="K2738" s="3" t="s">
        <v>65</v>
      </c>
      <c r="L2738" s="2" t="s">
        <v>27540</v>
      </c>
      <c r="N2738" s="3" t="s">
        <v>3761</v>
      </c>
      <c r="P2738" s="3" t="s">
        <v>102</v>
      </c>
      <c r="Q2738" s="2" t="s">
        <v>27541</v>
      </c>
      <c r="R2738" s="3" t="s">
        <v>70</v>
      </c>
      <c r="S2738" s="4">
        <v>1</v>
      </c>
      <c r="T2738" s="4">
        <v>4</v>
      </c>
      <c r="U2738" s="5" t="s">
        <v>19060</v>
      </c>
      <c r="V2738" s="5" t="s">
        <v>19060</v>
      </c>
      <c r="W2738" s="5" t="s">
        <v>72</v>
      </c>
      <c r="X2738" s="5" t="s">
        <v>72</v>
      </c>
      <c r="Y2738" s="4">
        <v>6</v>
      </c>
      <c r="Z2738" s="4">
        <v>1</v>
      </c>
      <c r="AA2738" s="4">
        <v>9</v>
      </c>
      <c r="AB2738" s="4">
        <v>1</v>
      </c>
      <c r="AC2738" s="4">
        <v>2</v>
      </c>
      <c r="AD2738" s="4">
        <v>0</v>
      </c>
      <c r="AE2738" s="4">
        <v>43</v>
      </c>
      <c r="AF2738" s="4">
        <v>0</v>
      </c>
      <c r="AG2738" s="4">
        <v>1</v>
      </c>
      <c r="AH2738" s="4">
        <v>0</v>
      </c>
      <c r="AI2738" s="4">
        <v>39</v>
      </c>
      <c r="AJ2738" s="4">
        <v>0</v>
      </c>
      <c r="AK2738" s="4">
        <v>6</v>
      </c>
      <c r="AL2738" s="4">
        <v>0</v>
      </c>
      <c r="AM2738" s="4">
        <v>26</v>
      </c>
      <c r="AN2738" s="4">
        <v>0</v>
      </c>
      <c r="AO2738" s="4">
        <v>0</v>
      </c>
      <c r="AP2738" s="4">
        <v>0</v>
      </c>
      <c r="AQ2738" s="4">
        <v>4</v>
      </c>
      <c r="AR2738" s="3" t="s">
        <v>64</v>
      </c>
      <c r="AS2738" s="3" t="s">
        <v>64</v>
      </c>
      <c r="AT2738" s="3" t="s">
        <v>64</v>
      </c>
      <c r="AV2738" s="6" t="str">
        <f>HYPERLINK("http://mcgill.on.worldcat.org/oclc/54319455","Catalog Record")</f>
        <v>Catalog Record</v>
      </c>
      <c r="AW2738" s="6" t="str">
        <f>HYPERLINK("http://www.worldcat.org/oclc/54319455","WorldCat Record")</f>
        <v>WorldCat Record</v>
      </c>
      <c r="AX2738" s="3" t="s">
        <v>27542</v>
      </c>
      <c r="AY2738" s="3" t="s">
        <v>27543</v>
      </c>
      <c r="AZ2738" s="3" t="s">
        <v>27544</v>
      </c>
      <c r="BA2738" s="3" t="s">
        <v>27544</v>
      </c>
      <c r="BB2738" s="3" t="s">
        <v>27551</v>
      </c>
      <c r="BC2738" s="3" t="s">
        <v>77</v>
      </c>
      <c r="BD2738" s="3" t="s">
        <v>78</v>
      </c>
      <c r="BF2738" s="3" t="s">
        <v>27551</v>
      </c>
      <c r="BG2738" s="3" t="s">
        <v>27552</v>
      </c>
      <c r="BH2738">
        <f t="shared" si="66"/>
        <v>0</v>
      </c>
    </row>
    <row r="2739" spans="1:60" ht="58" x14ac:dyDescent="0.35">
      <c r="A2739" s="2" t="s">
        <v>59</v>
      </c>
      <c r="B2739" s="2" t="s">
        <v>60</v>
      </c>
      <c r="C2739" s="2" t="s">
        <v>27553</v>
      </c>
      <c r="D2739" s="2" t="s">
        <v>27554</v>
      </c>
      <c r="E2739" s="2" t="s">
        <v>27555</v>
      </c>
      <c r="G2739" s="3" t="s">
        <v>64</v>
      </c>
      <c r="I2739" s="3" t="s">
        <v>64</v>
      </c>
      <c r="J2739" s="3" t="s">
        <v>64</v>
      </c>
      <c r="K2739" s="3" t="s">
        <v>65</v>
      </c>
      <c r="L2739" s="2" t="s">
        <v>27556</v>
      </c>
      <c r="M2739" s="2" t="s">
        <v>27557</v>
      </c>
      <c r="N2739" s="3" t="s">
        <v>3761</v>
      </c>
      <c r="P2739" s="3" t="s">
        <v>102</v>
      </c>
      <c r="R2739" s="3" t="s">
        <v>70</v>
      </c>
      <c r="S2739" s="4">
        <v>1</v>
      </c>
      <c r="T2739" s="4">
        <v>1</v>
      </c>
      <c r="U2739" s="5" t="s">
        <v>19060</v>
      </c>
      <c r="V2739" s="5" t="s">
        <v>19060</v>
      </c>
      <c r="W2739" s="5" t="s">
        <v>72</v>
      </c>
      <c r="X2739" s="5" t="s">
        <v>72</v>
      </c>
      <c r="Y2739" s="4">
        <v>38</v>
      </c>
      <c r="Z2739" s="4">
        <v>4</v>
      </c>
      <c r="AA2739" s="4">
        <v>4</v>
      </c>
      <c r="AB2739" s="4">
        <v>1</v>
      </c>
      <c r="AC2739" s="4">
        <v>1</v>
      </c>
      <c r="AD2739" s="4">
        <v>25</v>
      </c>
      <c r="AE2739" s="4">
        <v>25</v>
      </c>
      <c r="AF2739" s="4">
        <v>0</v>
      </c>
      <c r="AG2739" s="4">
        <v>0</v>
      </c>
      <c r="AH2739" s="4">
        <v>22</v>
      </c>
      <c r="AI2739" s="4">
        <v>22</v>
      </c>
      <c r="AJ2739" s="4">
        <v>3</v>
      </c>
      <c r="AK2739" s="4">
        <v>3</v>
      </c>
      <c r="AL2739" s="4">
        <v>18</v>
      </c>
      <c r="AM2739" s="4">
        <v>18</v>
      </c>
      <c r="AN2739" s="4">
        <v>0</v>
      </c>
      <c r="AO2739" s="4">
        <v>0</v>
      </c>
      <c r="AP2739" s="4">
        <v>2</v>
      </c>
      <c r="AQ2739" s="4">
        <v>2</v>
      </c>
      <c r="AR2739" s="3" t="s">
        <v>64</v>
      </c>
      <c r="AS2739" s="3" t="s">
        <v>64</v>
      </c>
      <c r="AT2739" s="3" t="s">
        <v>128</v>
      </c>
      <c r="AU2739" s="6" t="str">
        <f>HYPERLINK("http://catalog.hathitrust.org/Record/001175849","HathiTrust Record")</f>
        <v>HathiTrust Record</v>
      </c>
      <c r="AV2739" s="6" t="str">
        <f>HYPERLINK("http://mcgill.on.worldcat.org/oclc/3908698","Catalog Record")</f>
        <v>Catalog Record</v>
      </c>
      <c r="AW2739" s="6" t="str">
        <f>HYPERLINK("http://www.worldcat.org/oclc/3908698","WorldCat Record")</f>
        <v>WorldCat Record</v>
      </c>
      <c r="AX2739" s="3" t="s">
        <v>27558</v>
      </c>
      <c r="AY2739" s="3" t="s">
        <v>27559</v>
      </c>
      <c r="AZ2739" s="3" t="s">
        <v>27560</v>
      </c>
      <c r="BA2739" s="3" t="s">
        <v>27560</v>
      </c>
      <c r="BB2739" s="3" t="s">
        <v>27561</v>
      </c>
      <c r="BC2739" s="3" t="s">
        <v>77</v>
      </c>
      <c r="BD2739" s="3" t="s">
        <v>78</v>
      </c>
      <c r="BF2739" s="3" t="s">
        <v>27561</v>
      </c>
      <c r="BG2739" s="3" t="s">
        <v>27562</v>
      </c>
      <c r="BH2739">
        <f t="shared" si="66"/>
        <v>0</v>
      </c>
    </row>
    <row r="2740" spans="1:60" ht="58" x14ac:dyDescent="0.35">
      <c r="A2740" s="2" t="s">
        <v>59</v>
      </c>
      <c r="B2740" s="2" t="s">
        <v>60</v>
      </c>
      <c r="C2740" s="2" t="s">
        <v>27563</v>
      </c>
      <c r="D2740" s="2" t="s">
        <v>27564</v>
      </c>
      <c r="E2740" s="2" t="s">
        <v>27565</v>
      </c>
      <c r="G2740" s="3" t="s">
        <v>64</v>
      </c>
      <c r="I2740" s="3" t="s">
        <v>64</v>
      </c>
      <c r="J2740" s="3" t="s">
        <v>64</v>
      </c>
      <c r="K2740" s="3" t="s">
        <v>65</v>
      </c>
      <c r="L2740" s="2" t="s">
        <v>27556</v>
      </c>
      <c r="M2740" s="2" t="s">
        <v>27566</v>
      </c>
      <c r="N2740" s="3" t="s">
        <v>131</v>
      </c>
      <c r="P2740" s="3" t="s">
        <v>102</v>
      </c>
      <c r="R2740" s="3" t="s">
        <v>70</v>
      </c>
      <c r="S2740" s="4">
        <v>1</v>
      </c>
      <c r="T2740" s="4">
        <v>1</v>
      </c>
      <c r="U2740" s="5" t="s">
        <v>19060</v>
      </c>
      <c r="V2740" s="5" t="s">
        <v>19060</v>
      </c>
      <c r="W2740" s="5" t="s">
        <v>72</v>
      </c>
      <c r="X2740" s="5" t="s">
        <v>72</v>
      </c>
      <c r="Y2740" s="4">
        <v>112</v>
      </c>
      <c r="Z2740" s="4">
        <v>5</v>
      </c>
      <c r="AA2740" s="4">
        <v>10</v>
      </c>
      <c r="AB2740" s="4">
        <v>1</v>
      </c>
      <c r="AC2740" s="4">
        <v>2</v>
      </c>
      <c r="AD2740" s="4">
        <v>52</v>
      </c>
      <c r="AE2740" s="4">
        <v>57</v>
      </c>
      <c r="AF2740" s="4">
        <v>0</v>
      </c>
      <c r="AG2740" s="4">
        <v>1</v>
      </c>
      <c r="AH2740" s="4">
        <v>49</v>
      </c>
      <c r="AI2740" s="4">
        <v>52</v>
      </c>
      <c r="AJ2740" s="4">
        <v>3</v>
      </c>
      <c r="AK2740" s="4">
        <v>7</v>
      </c>
      <c r="AL2740" s="4">
        <v>34</v>
      </c>
      <c r="AM2740" s="4">
        <v>36</v>
      </c>
      <c r="AN2740" s="4">
        <v>0</v>
      </c>
      <c r="AO2740" s="4">
        <v>0</v>
      </c>
      <c r="AP2740" s="4">
        <v>3</v>
      </c>
      <c r="AQ2740" s="4">
        <v>5</v>
      </c>
      <c r="AR2740" s="3" t="s">
        <v>64</v>
      </c>
      <c r="AS2740" s="3" t="s">
        <v>64</v>
      </c>
      <c r="AT2740" s="3" t="s">
        <v>128</v>
      </c>
      <c r="AU2740" s="6" t="str">
        <f>HYPERLINK("http://catalog.hathitrust.org/Record/001163177","HathiTrust Record")</f>
        <v>HathiTrust Record</v>
      </c>
      <c r="AV2740" s="6" t="str">
        <f>HYPERLINK("http://mcgill.on.worldcat.org/oclc/3619689","Catalog Record")</f>
        <v>Catalog Record</v>
      </c>
      <c r="AW2740" s="6" t="str">
        <f>HYPERLINK("http://www.worldcat.org/oclc/3619689","WorldCat Record")</f>
        <v>WorldCat Record</v>
      </c>
      <c r="AX2740" s="3" t="s">
        <v>27567</v>
      </c>
      <c r="AY2740" s="3" t="s">
        <v>27568</v>
      </c>
      <c r="AZ2740" s="3" t="s">
        <v>27569</v>
      </c>
      <c r="BA2740" s="3" t="s">
        <v>27569</v>
      </c>
      <c r="BB2740" s="3" t="s">
        <v>27570</v>
      </c>
      <c r="BC2740" s="3" t="s">
        <v>77</v>
      </c>
      <c r="BD2740" s="3" t="s">
        <v>78</v>
      </c>
      <c r="BF2740" s="3" t="s">
        <v>27570</v>
      </c>
      <c r="BG2740" s="3" t="s">
        <v>27571</v>
      </c>
      <c r="BH2740">
        <f t="shared" si="66"/>
        <v>0</v>
      </c>
    </row>
    <row r="2741" spans="1:60" ht="58" x14ac:dyDescent="0.35">
      <c r="A2741" s="2" t="s">
        <v>59</v>
      </c>
      <c r="B2741" s="2" t="s">
        <v>60</v>
      </c>
      <c r="C2741" s="2" t="s">
        <v>27572</v>
      </c>
      <c r="D2741" s="2" t="s">
        <v>27573</v>
      </c>
      <c r="E2741" s="2" t="s">
        <v>27574</v>
      </c>
      <c r="G2741" s="3" t="s">
        <v>64</v>
      </c>
      <c r="I2741" s="3" t="s">
        <v>64</v>
      </c>
      <c r="J2741" s="3" t="s">
        <v>64</v>
      </c>
      <c r="K2741" s="3" t="s">
        <v>65</v>
      </c>
      <c r="M2741" s="2" t="s">
        <v>27575</v>
      </c>
      <c r="N2741" s="3" t="s">
        <v>153</v>
      </c>
      <c r="P2741" s="3" t="s">
        <v>102</v>
      </c>
      <c r="R2741" s="3" t="s">
        <v>70</v>
      </c>
      <c r="S2741" s="4">
        <v>7</v>
      </c>
      <c r="T2741" s="4">
        <v>7</v>
      </c>
      <c r="U2741" s="5" t="s">
        <v>8725</v>
      </c>
      <c r="V2741" s="5" t="s">
        <v>8725</v>
      </c>
      <c r="W2741" s="5" t="s">
        <v>72</v>
      </c>
      <c r="X2741" s="5" t="s">
        <v>72</v>
      </c>
      <c r="Y2741" s="4">
        <v>157</v>
      </c>
      <c r="Z2741" s="4">
        <v>13</v>
      </c>
      <c r="AA2741" s="4">
        <v>18</v>
      </c>
      <c r="AB2741" s="4">
        <v>1</v>
      </c>
      <c r="AC2741" s="4">
        <v>4</v>
      </c>
      <c r="AD2741" s="4">
        <v>75</v>
      </c>
      <c r="AE2741" s="4">
        <v>79</v>
      </c>
      <c r="AF2741" s="4">
        <v>0</v>
      </c>
      <c r="AG2741" s="4">
        <v>0</v>
      </c>
      <c r="AH2741" s="4">
        <v>69</v>
      </c>
      <c r="AI2741" s="4">
        <v>72</v>
      </c>
      <c r="AJ2741" s="4">
        <v>11</v>
      </c>
      <c r="AK2741" s="4">
        <v>13</v>
      </c>
      <c r="AL2741" s="4">
        <v>34</v>
      </c>
      <c r="AM2741" s="4">
        <v>36</v>
      </c>
      <c r="AN2741" s="4">
        <v>0</v>
      </c>
      <c r="AO2741" s="4">
        <v>0</v>
      </c>
      <c r="AP2741" s="4">
        <v>11</v>
      </c>
      <c r="AQ2741" s="4">
        <v>13</v>
      </c>
      <c r="AR2741" s="3" t="s">
        <v>64</v>
      </c>
      <c r="AS2741" s="3" t="s">
        <v>64</v>
      </c>
      <c r="AT2741" s="3" t="s">
        <v>64</v>
      </c>
      <c r="AV2741" s="6" t="str">
        <f>HYPERLINK("http://mcgill.on.worldcat.org/oclc/36549057","Catalog Record")</f>
        <v>Catalog Record</v>
      </c>
      <c r="AW2741" s="6" t="str">
        <f>HYPERLINK("http://www.worldcat.org/oclc/36549057","WorldCat Record")</f>
        <v>WorldCat Record</v>
      </c>
      <c r="AX2741" s="3" t="s">
        <v>27576</v>
      </c>
      <c r="AY2741" s="3" t="s">
        <v>27577</v>
      </c>
      <c r="AZ2741" s="3" t="s">
        <v>27578</v>
      </c>
      <c r="BA2741" s="3" t="s">
        <v>27578</v>
      </c>
      <c r="BB2741" s="3" t="s">
        <v>27579</v>
      </c>
      <c r="BC2741" s="3" t="s">
        <v>77</v>
      </c>
      <c r="BD2741" s="3" t="s">
        <v>78</v>
      </c>
      <c r="BE2741" s="3" t="s">
        <v>27580</v>
      </c>
      <c r="BF2741" s="3" t="s">
        <v>27579</v>
      </c>
      <c r="BG2741" s="3" t="s">
        <v>27581</v>
      </c>
      <c r="BH2741">
        <f t="shared" si="66"/>
        <v>0</v>
      </c>
    </row>
    <row r="2742" spans="1:60" ht="72.5" x14ac:dyDescent="0.35">
      <c r="A2742" s="2" t="s">
        <v>59</v>
      </c>
      <c r="B2742" s="2" t="s">
        <v>60</v>
      </c>
      <c r="C2742" s="2" t="s">
        <v>27582</v>
      </c>
      <c r="D2742" s="2" t="s">
        <v>27583</v>
      </c>
      <c r="E2742" s="2" t="s">
        <v>27584</v>
      </c>
      <c r="F2742" s="3" t="s">
        <v>27585</v>
      </c>
      <c r="G2742" s="3" t="s">
        <v>128</v>
      </c>
      <c r="I2742" s="3" t="s">
        <v>64</v>
      </c>
      <c r="J2742" s="3" t="s">
        <v>64</v>
      </c>
      <c r="K2742" s="3" t="s">
        <v>65</v>
      </c>
      <c r="M2742" s="2" t="s">
        <v>27586</v>
      </c>
      <c r="N2742" s="3" t="s">
        <v>266</v>
      </c>
      <c r="P2742" s="3" t="s">
        <v>102</v>
      </c>
      <c r="R2742" s="3" t="s">
        <v>70</v>
      </c>
      <c r="S2742" s="4">
        <v>3</v>
      </c>
      <c r="T2742" s="4">
        <v>6</v>
      </c>
      <c r="U2742" s="5" t="s">
        <v>8491</v>
      </c>
      <c r="V2742" s="5" t="s">
        <v>8491</v>
      </c>
      <c r="W2742" s="5" t="s">
        <v>72</v>
      </c>
      <c r="X2742" s="5" t="s">
        <v>72</v>
      </c>
      <c r="Y2742" s="4">
        <v>3</v>
      </c>
      <c r="Z2742" s="4">
        <v>3</v>
      </c>
      <c r="AA2742" s="4">
        <v>5</v>
      </c>
      <c r="AB2742" s="4">
        <v>2</v>
      </c>
      <c r="AC2742" s="4">
        <v>2</v>
      </c>
      <c r="AD2742" s="4">
        <v>1</v>
      </c>
      <c r="AE2742" s="4">
        <v>4</v>
      </c>
      <c r="AF2742" s="4">
        <v>0</v>
      </c>
      <c r="AG2742" s="4">
        <v>0</v>
      </c>
      <c r="AH2742" s="4">
        <v>1</v>
      </c>
      <c r="AI2742" s="4">
        <v>4</v>
      </c>
      <c r="AJ2742" s="4">
        <v>1</v>
      </c>
      <c r="AK2742" s="4">
        <v>2</v>
      </c>
      <c r="AL2742" s="4">
        <v>0</v>
      </c>
      <c r="AM2742" s="4">
        <v>3</v>
      </c>
      <c r="AN2742" s="4">
        <v>0</v>
      </c>
      <c r="AO2742" s="4">
        <v>0</v>
      </c>
      <c r="AP2742" s="4">
        <v>1</v>
      </c>
      <c r="AQ2742" s="4">
        <v>2</v>
      </c>
      <c r="AR2742" s="3" t="s">
        <v>64</v>
      </c>
      <c r="AS2742" s="3" t="s">
        <v>64</v>
      </c>
      <c r="AT2742" s="3" t="s">
        <v>64</v>
      </c>
      <c r="AV2742" s="6" t="str">
        <f>HYPERLINK("http://mcgill.on.worldcat.org/oclc/61580526","Catalog Record")</f>
        <v>Catalog Record</v>
      </c>
      <c r="AW2742" s="6" t="str">
        <f>HYPERLINK("http://www.worldcat.org/oclc/61580526","WorldCat Record")</f>
        <v>WorldCat Record</v>
      </c>
      <c r="AX2742" s="3" t="s">
        <v>27587</v>
      </c>
      <c r="AY2742" s="3" t="s">
        <v>27588</v>
      </c>
      <c r="AZ2742" s="3" t="s">
        <v>27589</v>
      </c>
      <c r="BA2742" s="3" t="s">
        <v>27589</v>
      </c>
      <c r="BB2742" s="3" t="s">
        <v>27590</v>
      </c>
      <c r="BC2742" s="3" t="s">
        <v>77</v>
      </c>
      <c r="BD2742" s="3" t="s">
        <v>165</v>
      </c>
      <c r="BF2742" s="3" t="s">
        <v>27590</v>
      </c>
      <c r="BG2742" s="3" t="s">
        <v>27591</v>
      </c>
      <c r="BH2742">
        <f t="shared" si="66"/>
        <v>0</v>
      </c>
    </row>
    <row r="2743" spans="1:60" ht="72.5" x14ac:dyDescent="0.35">
      <c r="A2743" s="2" t="s">
        <v>59</v>
      </c>
      <c r="B2743" s="2" t="s">
        <v>60</v>
      </c>
      <c r="C2743" s="2" t="s">
        <v>27582</v>
      </c>
      <c r="D2743" s="2" t="s">
        <v>27583</v>
      </c>
      <c r="E2743" s="2" t="s">
        <v>27584</v>
      </c>
      <c r="F2743" s="3" t="s">
        <v>27592</v>
      </c>
      <c r="G2743" s="3" t="s">
        <v>128</v>
      </c>
      <c r="I2743" s="3" t="s">
        <v>64</v>
      </c>
      <c r="J2743" s="3" t="s">
        <v>64</v>
      </c>
      <c r="K2743" s="3" t="s">
        <v>65</v>
      </c>
      <c r="M2743" s="2" t="s">
        <v>27586</v>
      </c>
      <c r="N2743" s="3" t="s">
        <v>266</v>
      </c>
      <c r="P2743" s="3" t="s">
        <v>102</v>
      </c>
      <c r="R2743" s="3" t="s">
        <v>70</v>
      </c>
      <c r="S2743" s="4">
        <v>3</v>
      </c>
      <c r="T2743" s="4">
        <v>6</v>
      </c>
      <c r="U2743" s="5" t="s">
        <v>8491</v>
      </c>
      <c r="V2743" s="5" t="s">
        <v>8491</v>
      </c>
      <c r="W2743" s="5" t="s">
        <v>72</v>
      </c>
      <c r="X2743" s="5" t="s">
        <v>72</v>
      </c>
      <c r="Y2743" s="4">
        <v>3</v>
      </c>
      <c r="Z2743" s="4">
        <v>3</v>
      </c>
      <c r="AA2743" s="4">
        <v>5</v>
      </c>
      <c r="AB2743" s="4">
        <v>2</v>
      </c>
      <c r="AC2743" s="4">
        <v>2</v>
      </c>
      <c r="AD2743" s="4">
        <v>1</v>
      </c>
      <c r="AE2743" s="4">
        <v>4</v>
      </c>
      <c r="AF2743" s="4">
        <v>0</v>
      </c>
      <c r="AG2743" s="4">
        <v>0</v>
      </c>
      <c r="AH2743" s="4">
        <v>1</v>
      </c>
      <c r="AI2743" s="4">
        <v>4</v>
      </c>
      <c r="AJ2743" s="4">
        <v>1</v>
      </c>
      <c r="AK2743" s="4">
        <v>2</v>
      </c>
      <c r="AL2743" s="4">
        <v>0</v>
      </c>
      <c r="AM2743" s="4">
        <v>3</v>
      </c>
      <c r="AN2743" s="4">
        <v>0</v>
      </c>
      <c r="AO2743" s="4">
        <v>0</v>
      </c>
      <c r="AP2743" s="4">
        <v>1</v>
      </c>
      <c r="AQ2743" s="4">
        <v>2</v>
      </c>
      <c r="AR2743" s="3" t="s">
        <v>64</v>
      </c>
      <c r="AS2743" s="3" t="s">
        <v>64</v>
      </c>
      <c r="AT2743" s="3" t="s">
        <v>64</v>
      </c>
      <c r="AV2743" s="6" t="str">
        <f>HYPERLINK("http://mcgill.on.worldcat.org/oclc/61580526","Catalog Record")</f>
        <v>Catalog Record</v>
      </c>
      <c r="AW2743" s="6" t="str">
        <f>HYPERLINK("http://www.worldcat.org/oclc/61580526","WorldCat Record")</f>
        <v>WorldCat Record</v>
      </c>
      <c r="AX2743" s="3" t="s">
        <v>27587</v>
      </c>
      <c r="AY2743" s="3" t="s">
        <v>27588</v>
      </c>
      <c r="AZ2743" s="3" t="s">
        <v>27589</v>
      </c>
      <c r="BA2743" s="3" t="s">
        <v>27589</v>
      </c>
      <c r="BB2743" s="3" t="s">
        <v>27593</v>
      </c>
      <c r="BC2743" s="3" t="s">
        <v>77</v>
      </c>
      <c r="BD2743" s="3" t="s">
        <v>165</v>
      </c>
      <c r="BF2743" s="3" t="s">
        <v>27593</v>
      </c>
      <c r="BG2743" s="3" t="s">
        <v>27594</v>
      </c>
      <c r="BH2743">
        <f t="shared" si="66"/>
        <v>0</v>
      </c>
    </row>
    <row r="2744" spans="1:60" ht="58" x14ac:dyDescent="0.35">
      <c r="A2744" s="2" t="s">
        <v>59</v>
      </c>
      <c r="B2744" s="2" t="s">
        <v>60</v>
      </c>
      <c r="C2744" s="2" t="s">
        <v>27595</v>
      </c>
      <c r="D2744" s="2" t="s">
        <v>27596</v>
      </c>
      <c r="E2744" s="2" t="s">
        <v>27597</v>
      </c>
      <c r="G2744" s="3" t="s">
        <v>64</v>
      </c>
      <c r="I2744" s="3" t="s">
        <v>64</v>
      </c>
      <c r="J2744" s="3" t="s">
        <v>64</v>
      </c>
      <c r="K2744" s="3" t="s">
        <v>65</v>
      </c>
      <c r="L2744" s="2" t="s">
        <v>27598</v>
      </c>
      <c r="M2744" s="2" t="s">
        <v>27599</v>
      </c>
      <c r="N2744" s="3" t="s">
        <v>481</v>
      </c>
      <c r="P2744" s="3" t="s">
        <v>102</v>
      </c>
      <c r="Q2744" s="2" t="s">
        <v>27600</v>
      </c>
      <c r="R2744" s="3" t="s">
        <v>70</v>
      </c>
      <c r="S2744" s="4">
        <v>1</v>
      </c>
      <c r="T2744" s="4">
        <v>1</v>
      </c>
      <c r="U2744" s="5" t="s">
        <v>27601</v>
      </c>
      <c r="V2744" s="5" t="s">
        <v>27601</v>
      </c>
      <c r="W2744" s="5" t="s">
        <v>72</v>
      </c>
      <c r="X2744" s="5" t="s">
        <v>72</v>
      </c>
      <c r="Y2744" s="4">
        <v>6</v>
      </c>
      <c r="Z2744" s="4">
        <v>3</v>
      </c>
      <c r="AA2744" s="4">
        <v>6</v>
      </c>
      <c r="AB2744" s="4">
        <v>1</v>
      </c>
      <c r="AC2744" s="4">
        <v>1</v>
      </c>
      <c r="AD2744" s="4">
        <v>2</v>
      </c>
      <c r="AE2744" s="4">
        <v>15</v>
      </c>
      <c r="AF2744" s="4">
        <v>0</v>
      </c>
      <c r="AG2744" s="4">
        <v>0</v>
      </c>
      <c r="AH2744" s="4">
        <v>2</v>
      </c>
      <c r="AI2744" s="4">
        <v>15</v>
      </c>
      <c r="AJ2744" s="4">
        <v>1</v>
      </c>
      <c r="AK2744" s="4">
        <v>3</v>
      </c>
      <c r="AL2744" s="4">
        <v>1</v>
      </c>
      <c r="AM2744" s="4">
        <v>10</v>
      </c>
      <c r="AN2744" s="4">
        <v>0</v>
      </c>
      <c r="AO2744" s="4">
        <v>0</v>
      </c>
      <c r="AP2744" s="4">
        <v>1</v>
      </c>
      <c r="AQ2744" s="4">
        <v>3</v>
      </c>
      <c r="AR2744" s="3" t="s">
        <v>64</v>
      </c>
      <c r="AS2744" s="3" t="s">
        <v>64</v>
      </c>
      <c r="AT2744" s="3" t="s">
        <v>64</v>
      </c>
      <c r="AV2744" s="6" t="str">
        <f>HYPERLINK("http://mcgill.on.worldcat.org/oclc/70473388","Catalog Record")</f>
        <v>Catalog Record</v>
      </c>
      <c r="AW2744" s="6" t="str">
        <f>HYPERLINK("http://www.worldcat.org/oclc/70473388","WorldCat Record")</f>
        <v>WorldCat Record</v>
      </c>
      <c r="AX2744" s="3" t="s">
        <v>27602</v>
      </c>
      <c r="AY2744" s="3" t="s">
        <v>27603</v>
      </c>
      <c r="AZ2744" s="3" t="s">
        <v>27604</v>
      </c>
      <c r="BA2744" s="3" t="s">
        <v>27604</v>
      </c>
      <c r="BB2744" s="3" t="s">
        <v>27605</v>
      </c>
      <c r="BC2744" s="3" t="s">
        <v>77</v>
      </c>
      <c r="BD2744" s="3" t="s">
        <v>78</v>
      </c>
      <c r="BF2744" s="3" t="s">
        <v>27605</v>
      </c>
      <c r="BG2744" s="3" t="s">
        <v>27606</v>
      </c>
      <c r="BH2744">
        <f t="shared" si="66"/>
        <v>0</v>
      </c>
    </row>
    <row r="2745" spans="1:60" ht="72.5" x14ac:dyDescent="0.35">
      <c r="A2745" s="2" t="s">
        <v>59</v>
      </c>
      <c r="B2745" s="2" t="s">
        <v>60</v>
      </c>
      <c r="C2745" s="2" t="s">
        <v>27607</v>
      </c>
      <c r="D2745" s="2" t="s">
        <v>27608</v>
      </c>
      <c r="E2745" s="2" t="s">
        <v>27609</v>
      </c>
      <c r="G2745" s="3" t="s">
        <v>64</v>
      </c>
      <c r="I2745" s="3" t="s">
        <v>64</v>
      </c>
      <c r="J2745" s="3" t="s">
        <v>64</v>
      </c>
      <c r="K2745" s="3" t="s">
        <v>65</v>
      </c>
      <c r="L2745" s="2" t="s">
        <v>27610</v>
      </c>
      <c r="M2745" s="2" t="s">
        <v>27611</v>
      </c>
      <c r="N2745" s="3" t="s">
        <v>153</v>
      </c>
      <c r="P2745" s="3" t="s">
        <v>102</v>
      </c>
      <c r="Q2745" s="2" t="s">
        <v>27612</v>
      </c>
      <c r="R2745" s="3" t="s">
        <v>70</v>
      </c>
      <c r="S2745" s="4">
        <v>2</v>
      </c>
      <c r="T2745" s="4">
        <v>2</v>
      </c>
      <c r="U2745" s="5" t="s">
        <v>7052</v>
      </c>
      <c r="V2745" s="5" t="s">
        <v>7052</v>
      </c>
      <c r="W2745" s="5" t="s">
        <v>72</v>
      </c>
      <c r="X2745" s="5" t="s">
        <v>72</v>
      </c>
      <c r="Y2745" s="4">
        <v>110</v>
      </c>
      <c r="Z2745" s="4">
        <v>16</v>
      </c>
      <c r="AA2745" s="4">
        <v>84</v>
      </c>
      <c r="AB2745" s="4">
        <v>4</v>
      </c>
      <c r="AC2745" s="4">
        <v>16</v>
      </c>
      <c r="AD2745" s="4">
        <v>38</v>
      </c>
      <c r="AE2745" s="4">
        <v>110</v>
      </c>
      <c r="AF2745" s="4">
        <v>1</v>
      </c>
      <c r="AG2745" s="4">
        <v>8</v>
      </c>
      <c r="AH2745" s="4">
        <v>32</v>
      </c>
      <c r="AI2745" s="4">
        <v>75</v>
      </c>
      <c r="AJ2745" s="4">
        <v>11</v>
      </c>
      <c r="AK2745" s="4">
        <v>21</v>
      </c>
      <c r="AL2745" s="4">
        <v>20</v>
      </c>
      <c r="AM2745" s="4">
        <v>37</v>
      </c>
      <c r="AN2745" s="4">
        <v>0</v>
      </c>
      <c r="AO2745" s="4">
        <v>0</v>
      </c>
      <c r="AP2745" s="4">
        <v>11</v>
      </c>
      <c r="AQ2745" s="4">
        <v>41</v>
      </c>
      <c r="AR2745" s="3" t="s">
        <v>64</v>
      </c>
      <c r="AS2745" s="3" t="s">
        <v>64</v>
      </c>
      <c r="AT2745" s="3" t="s">
        <v>128</v>
      </c>
      <c r="AU2745" s="6" t="str">
        <f>HYPERLINK("http://catalog.hathitrust.org/Record/006955314","HathiTrust Record")</f>
        <v>HathiTrust Record</v>
      </c>
      <c r="AV2745" s="6" t="str">
        <f>HYPERLINK("http://mcgill.on.worldcat.org/oclc/39964684","Catalog Record")</f>
        <v>Catalog Record</v>
      </c>
      <c r="AW2745" s="6" t="str">
        <f>HYPERLINK("http://www.worldcat.org/oclc/39964684","WorldCat Record")</f>
        <v>WorldCat Record</v>
      </c>
      <c r="AX2745" s="3" t="s">
        <v>27613</v>
      </c>
      <c r="AY2745" s="3" t="s">
        <v>27614</v>
      </c>
      <c r="AZ2745" s="3" t="s">
        <v>27615</v>
      </c>
      <c r="BA2745" s="3" t="s">
        <v>27615</v>
      </c>
      <c r="BB2745" s="3" t="s">
        <v>27616</v>
      </c>
      <c r="BC2745" s="3" t="s">
        <v>77</v>
      </c>
      <c r="BD2745" s="3" t="s">
        <v>78</v>
      </c>
      <c r="BE2745" s="3" t="s">
        <v>27617</v>
      </c>
      <c r="BF2745" s="3" t="s">
        <v>27616</v>
      </c>
      <c r="BG2745" s="3" t="s">
        <v>27618</v>
      </c>
      <c r="BH2745">
        <f t="shared" si="66"/>
        <v>0</v>
      </c>
    </row>
    <row r="2746" spans="1:60" ht="58" x14ac:dyDescent="0.35">
      <c r="A2746" s="2" t="s">
        <v>59</v>
      </c>
      <c r="B2746" s="2" t="s">
        <v>60</v>
      </c>
      <c r="C2746" s="2" t="s">
        <v>27619</v>
      </c>
      <c r="D2746" s="2" t="s">
        <v>27620</v>
      </c>
      <c r="E2746" s="2" t="s">
        <v>27621</v>
      </c>
      <c r="G2746" s="3" t="s">
        <v>64</v>
      </c>
      <c r="I2746" s="3" t="s">
        <v>64</v>
      </c>
      <c r="J2746" s="3" t="s">
        <v>64</v>
      </c>
      <c r="K2746" s="3" t="s">
        <v>65</v>
      </c>
      <c r="M2746" s="2" t="s">
        <v>27622</v>
      </c>
      <c r="N2746" s="3" t="s">
        <v>874</v>
      </c>
      <c r="P2746" s="3" t="s">
        <v>102</v>
      </c>
      <c r="R2746" s="3" t="s">
        <v>70</v>
      </c>
      <c r="S2746" s="4">
        <v>14</v>
      </c>
      <c r="T2746" s="4">
        <v>14</v>
      </c>
      <c r="U2746" s="5" t="s">
        <v>26968</v>
      </c>
      <c r="V2746" s="5" t="s">
        <v>26968</v>
      </c>
      <c r="W2746" s="5" t="s">
        <v>72</v>
      </c>
      <c r="X2746" s="5" t="s">
        <v>72</v>
      </c>
      <c r="Y2746" s="4">
        <v>177</v>
      </c>
      <c r="Z2746" s="4">
        <v>14</v>
      </c>
      <c r="AA2746" s="4">
        <v>15</v>
      </c>
      <c r="AB2746" s="4">
        <v>3</v>
      </c>
      <c r="AC2746" s="4">
        <v>4</v>
      </c>
      <c r="AD2746" s="4">
        <v>68</v>
      </c>
      <c r="AE2746" s="4">
        <v>69</v>
      </c>
      <c r="AF2746" s="4">
        <v>1</v>
      </c>
      <c r="AG2746" s="4">
        <v>2</v>
      </c>
      <c r="AH2746" s="4">
        <v>62</v>
      </c>
      <c r="AI2746" s="4">
        <v>63</v>
      </c>
      <c r="AJ2746" s="4">
        <v>10</v>
      </c>
      <c r="AK2746" s="4">
        <v>11</v>
      </c>
      <c r="AL2746" s="4">
        <v>36</v>
      </c>
      <c r="AM2746" s="4">
        <v>36</v>
      </c>
      <c r="AN2746" s="4">
        <v>0</v>
      </c>
      <c r="AO2746" s="4">
        <v>0</v>
      </c>
      <c r="AP2746" s="4">
        <v>9</v>
      </c>
      <c r="AQ2746" s="4">
        <v>10</v>
      </c>
      <c r="AR2746" s="3" t="s">
        <v>64</v>
      </c>
      <c r="AS2746" s="3" t="s">
        <v>64</v>
      </c>
      <c r="AT2746" s="3" t="s">
        <v>128</v>
      </c>
      <c r="AU2746" s="6" t="str">
        <f>HYPERLINK("http://catalog.hathitrust.org/Record/000225653","HathiTrust Record")</f>
        <v>HathiTrust Record</v>
      </c>
      <c r="AV2746" s="6" t="str">
        <f>HYPERLINK("http://mcgill.on.worldcat.org/oclc/8116818","Catalog Record")</f>
        <v>Catalog Record</v>
      </c>
      <c r="AW2746" s="6" t="str">
        <f>HYPERLINK("http://www.worldcat.org/oclc/8116818","WorldCat Record")</f>
        <v>WorldCat Record</v>
      </c>
      <c r="AX2746" s="3" t="s">
        <v>27623</v>
      </c>
      <c r="AY2746" s="3" t="s">
        <v>27624</v>
      </c>
      <c r="AZ2746" s="3" t="s">
        <v>27625</v>
      </c>
      <c r="BA2746" s="3" t="s">
        <v>27625</v>
      </c>
      <c r="BB2746" s="3" t="s">
        <v>27626</v>
      </c>
      <c r="BC2746" s="3" t="s">
        <v>77</v>
      </c>
      <c r="BD2746" s="3" t="s">
        <v>165</v>
      </c>
      <c r="BE2746" s="3" t="s">
        <v>27627</v>
      </c>
      <c r="BF2746" s="3" t="s">
        <v>27626</v>
      </c>
      <c r="BG2746" s="3" t="s">
        <v>27628</v>
      </c>
      <c r="BH2746">
        <f t="shared" si="66"/>
        <v>0</v>
      </c>
    </row>
    <row r="2747" spans="1:60" ht="58" x14ac:dyDescent="0.35">
      <c r="A2747" s="2" t="s">
        <v>59</v>
      </c>
      <c r="B2747" s="2" t="s">
        <v>60</v>
      </c>
      <c r="C2747" s="2" t="s">
        <v>27629</v>
      </c>
      <c r="D2747" s="2" t="s">
        <v>27630</v>
      </c>
      <c r="E2747" s="2" t="s">
        <v>27631</v>
      </c>
      <c r="G2747" s="3" t="s">
        <v>64</v>
      </c>
      <c r="I2747" s="3" t="s">
        <v>64</v>
      </c>
      <c r="J2747" s="3" t="s">
        <v>64</v>
      </c>
      <c r="K2747" s="3" t="s">
        <v>65</v>
      </c>
      <c r="L2747" s="2" t="s">
        <v>27632</v>
      </c>
      <c r="M2747" s="2" t="s">
        <v>27633</v>
      </c>
      <c r="N2747" s="3" t="s">
        <v>511</v>
      </c>
      <c r="P2747" s="3" t="s">
        <v>102</v>
      </c>
      <c r="R2747" s="3" t="s">
        <v>70</v>
      </c>
      <c r="S2747" s="4">
        <v>1</v>
      </c>
      <c r="T2747" s="4">
        <v>1</v>
      </c>
      <c r="U2747" s="5" t="s">
        <v>27634</v>
      </c>
      <c r="V2747" s="5" t="s">
        <v>27634</v>
      </c>
      <c r="W2747" s="5" t="s">
        <v>72</v>
      </c>
      <c r="X2747" s="5" t="s">
        <v>72</v>
      </c>
      <c r="Y2747" s="4">
        <v>37</v>
      </c>
      <c r="Z2747" s="4">
        <v>1</v>
      </c>
      <c r="AA2747" s="4">
        <v>79</v>
      </c>
      <c r="AB2747" s="4">
        <v>1</v>
      </c>
      <c r="AC2747" s="4">
        <v>14</v>
      </c>
      <c r="AD2747" s="4">
        <v>3</v>
      </c>
      <c r="AE2747" s="4">
        <v>86</v>
      </c>
      <c r="AF2747" s="4">
        <v>0</v>
      </c>
      <c r="AG2747" s="4">
        <v>8</v>
      </c>
      <c r="AH2747" s="4">
        <v>3</v>
      </c>
      <c r="AI2747" s="4">
        <v>54</v>
      </c>
      <c r="AJ2747" s="4">
        <v>0</v>
      </c>
      <c r="AK2747" s="4">
        <v>19</v>
      </c>
      <c r="AL2747" s="4">
        <v>2</v>
      </c>
      <c r="AM2747" s="4">
        <v>25</v>
      </c>
      <c r="AN2747" s="4">
        <v>0</v>
      </c>
      <c r="AO2747" s="4">
        <v>0</v>
      </c>
      <c r="AP2747" s="4">
        <v>0</v>
      </c>
      <c r="AQ2747" s="4">
        <v>40</v>
      </c>
      <c r="AR2747" s="3" t="s">
        <v>64</v>
      </c>
      <c r="AS2747" s="3" t="s">
        <v>64</v>
      </c>
      <c r="AT2747" s="3" t="s">
        <v>64</v>
      </c>
      <c r="AV2747" s="6" t="str">
        <f>HYPERLINK("http://mcgill.on.worldcat.org/oclc/461279417","Catalog Record")</f>
        <v>Catalog Record</v>
      </c>
      <c r="AW2747" s="6" t="str">
        <f>HYPERLINK("http://www.worldcat.org/oclc/461279417","WorldCat Record")</f>
        <v>WorldCat Record</v>
      </c>
      <c r="AX2747" s="3" t="s">
        <v>27635</v>
      </c>
      <c r="AY2747" s="3" t="s">
        <v>27636</v>
      </c>
      <c r="AZ2747" s="3" t="s">
        <v>27637</v>
      </c>
      <c r="BA2747" s="3" t="s">
        <v>27637</v>
      </c>
      <c r="BB2747" s="3" t="s">
        <v>27638</v>
      </c>
      <c r="BC2747" s="3" t="s">
        <v>77</v>
      </c>
      <c r="BD2747" s="3" t="s">
        <v>78</v>
      </c>
      <c r="BE2747" s="3" t="s">
        <v>27639</v>
      </c>
      <c r="BF2747" s="3" t="s">
        <v>27638</v>
      </c>
      <c r="BG2747" s="3" t="s">
        <v>27640</v>
      </c>
      <c r="BH2747">
        <f t="shared" si="66"/>
        <v>0</v>
      </c>
    </row>
    <row r="2748" spans="1:60" ht="58" x14ac:dyDescent="0.35">
      <c r="A2748" s="2" t="s">
        <v>59</v>
      </c>
      <c r="B2748" s="2" t="s">
        <v>60</v>
      </c>
      <c r="C2748" s="2" t="s">
        <v>27641</v>
      </c>
      <c r="D2748" s="2" t="s">
        <v>27642</v>
      </c>
      <c r="E2748" s="2" t="s">
        <v>27643</v>
      </c>
      <c r="G2748" s="3" t="s">
        <v>64</v>
      </c>
      <c r="I2748" s="3" t="s">
        <v>64</v>
      </c>
      <c r="J2748" s="3" t="s">
        <v>64</v>
      </c>
      <c r="K2748" s="3" t="s">
        <v>65</v>
      </c>
      <c r="L2748" s="2" t="s">
        <v>27644</v>
      </c>
      <c r="M2748" s="2" t="s">
        <v>27645</v>
      </c>
      <c r="N2748" s="3" t="s">
        <v>498</v>
      </c>
      <c r="P2748" s="3" t="s">
        <v>102</v>
      </c>
      <c r="Q2748" s="2" t="s">
        <v>15490</v>
      </c>
      <c r="R2748" s="3" t="s">
        <v>70</v>
      </c>
      <c r="S2748" s="4">
        <v>2</v>
      </c>
      <c r="T2748" s="4">
        <v>2</v>
      </c>
      <c r="U2748" s="5" t="s">
        <v>27646</v>
      </c>
      <c r="V2748" s="5" t="s">
        <v>27646</v>
      </c>
      <c r="W2748" s="5" t="s">
        <v>72</v>
      </c>
      <c r="X2748" s="5" t="s">
        <v>72</v>
      </c>
      <c r="Y2748" s="4">
        <v>385</v>
      </c>
      <c r="Z2748" s="4">
        <v>21</v>
      </c>
      <c r="AA2748" s="4">
        <v>23</v>
      </c>
      <c r="AB2748" s="4">
        <v>1</v>
      </c>
      <c r="AC2748" s="4">
        <v>2</v>
      </c>
      <c r="AD2748" s="4">
        <v>93</v>
      </c>
      <c r="AE2748" s="4">
        <v>96</v>
      </c>
      <c r="AF2748" s="4">
        <v>0</v>
      </c>
      <c r="AG2748" s="4">
        <v>1</v>
      </c>
      <c r="AH2748" s="4">
        <v>81</v>
      </c>
      <c r="AI2748" s="4">
        <v>83</v>
      </c>
      <c r="AJ2748" s="4">
        <v>16</v>
      </c>
      <c r="AK2748" s="4">
        <v>18</v>
      </c>
      <c r="AL2748" s="4">
        <v>43</v>
      </c>
      <c r="AM2748" s="4">
        <v>43</v>
      </c>
      <c r="AN2748" s="4">
        <v>0</v>
      </c>
      <c r="AO2748" s="4">
        <v>0</v>
      </c>
      <c r="AP2748" s="4">
        <v>17</v>
      </c>
      <c r="AQ2748" s="4">
        <v>18</v>
      </c>
      <c r="AR2748" s="3" t="s">
        <v>64</v>
      </c>
      <c r="AS2748" s="3" t="s">
        <v>64</v>
      </c>
      <c r="AT2748" s="3" t="s">
        <v>128</v>
      </c>
      <c r="AU2748" s="6" t="str">
        <f>HYPERLINK("http://catalog.hathitrust.org/Record/000329790","HathiTrust Record")</f>
        <v>HathiTrust Record</v>
      </c>
      <c r="AV2748" s="6" t="str">
        <f>HYPERLINK("http://mcgill.on.worldcat.org/oclc/805974","Catalog Record")</f>
        <v>Catalog Record</v>
      </c>
      <c r="AW2748" s="6" t="str">
        <f>HYPERLINK("http://www.worldcat.org/oclc/805974","WorldCat Record")</f>
        <v>WorldCat Record</v>
      </c>
      <c r="AX2748" s="3" t="s">
        <v>27647</v>
      </c>
      <c r="AY2748" s="3" t="s">
        <v>27648</v>
      </c>
      <c r="AZ2748" s="3" t="s">
        <v>27649</v>
      </c>
      <c r="BA2748" s="3" t="s">
        <v>27649</v>
      </c>
      <c r="BB2748" s="3" t="s">
        <v>27650</v>
      </c>
      <c r="BC2748" s="3" t="s">
        <v>77</v>
      </c>
      <c r="BD2748" s="3" t="s">
        <v>78</v>
      </c>
      <c r="BE2748" s="3" t="s">
        <v>27651</v>
      </c>
      <c r="BF2748" s="3" t="s">
        <v>27650</v>
      </c>
      <c r="BG2748" s="3" t="s">
        <v>27652</v>
      </c>
      <c r="BH2748">
        <f t="shared" si="66"/>
        <v>0</v>
      </c>
    </row>
    <row r="2749" spans="1:60" ht="58" x14ac:dyDescent="0.35">
      <c r="A2749" s="2" t="s">
        <v>59</v>
      </c>
      <c r="B2749" s="2" t="s">
        <v>60</v>
      </c>
      <c r="C2749" s="2" t="s">
        <v>27653</v>
      </c>
      <c r="D2749" s="2" t="s">
        <v>27654</v>
      </c>
      <c r="E2749" s="2" t="s">
        <v>27655</v>
      </c>
      <c r="G2749" s="3" t="s">
        <v>64</v>
      </c>
      <c r="I2749" s="3" t="s">
        <v>64</v>
      </c>
      <c r="J2749" s="3" t="s">
        <v>128</v>
      </c>
      <c r="K2749" s="3" t="s">
        <v>65</v>
      </c>
      <c r="L2749" s="2" t="s">
        <v>20510</v>
      </c>
      <c r="M2749" s="2" t="s">
        <v>27470</v>
      </c>
      <c r="N2749" s="3" t="s">
        <v>3721</v>
      </c>
      <c r="O2749" s="2" t="s">
        <v>745</v>
      </c>
      <c r="P2749" s="3" t="s">
        <v>102</v>
      </c>
      <c r="Q2749" s="2" t="s">
        <v>15490</v>
      </c>
      <c r="R2749" s="3" t="s">
        <v>70</v>
      </c>
      <c r="S2749" s="4">
        <v>8</v>
      </c>
      <c r="T2749" s="4">
        <v>8</v>
      </c>
      <c r="U2749" s="5" t="s">
        <v>3659</v>
      </c>
      <c r="V2749" s="5" t="s">
        <v>3659</v>
      </c>
      <c r="W2749" s="5" t="s">
        <v>72</v>
      </c>
      <c r="X2749" s="5" t="s">
        <v>72</v>
      </c>
      <c r="Y2749" s="4">
        <v>429</v>
      </c>
      <c r="Z2749" s="4">
        <v>23</v>
      </c>
      <c r="AA2749" s="4">
        <v>39</v>
      </c>
      <c r="AB2749" s="4">
        <v>3</v>
      </c>
      <c r="AC2749" s="4">
        <v>9</v>
      </c>
      <c r="AD2749" s="4">
        <v>89</v>
      </c>
      <c r="AE2749" s="4">
        <v>121</v>
      </c>
      <c r="AF2749" s="4">
        <v>1</v>
      </c>
      <c r="AG2749" s="4">
        <v>5</v>
      </c>
      <c r="AH2749" s="4">
        <v>79</v>
      </c>
      <c r="AI2749" s="4">
        <v>100</v>
      </c>
      <c r="AJ2749" s="4">
        <v>15</v>
      </c>
      <c r="AK2749" s="4">
        <v>24</v>
      </c>
      <c r="AL2749" s="4">
        <v>48</v>
      </c>
      <c r="AM2749" s="4">
        <v>54</v>
      </c>
      <c r="AN2749" s="4">
        <v>0</v>
      </c>
      <c r="AO2749" s="4">
        <v>0</v>
      </c>
      <c r="AP2749" s="4">
        <v>17</v>
      </c>
      <c r="AQ2749" s="4">
        <v>27</v>
      </c>
      <c r="AR2749" s="3" t="s">
        <v>64</v>
      </c>
      <c r="AS2749" s="3" t="s">
        <v>64</v>
      </c>
      <c r="AT2749" s="3" t="s">
        <v>128</v>
      </c>
      <c r="AU2749" s="6" t="str">
        <f>HYPERLINK("http://catalog.hathitrust.org/Record/000256199","HathiTrust Record")</f>
        <v>HathiTrust Record</v>
      </c>
      <c r="AV2749" s="6" t="str">
        <f>HYPERLINK("http://mcgill.on.worldcat.org/oclc/4495358","Catalog Record")</f>
        <v>Catalog Record</v>
      </c>
      <c r="AW2749" s="6" t="str">
        <f>HYPERLINK("http://www.worldcat.org/oclc/4495358","WorldCat Record")</f>
        <v>WorldCat Record</v>
      </c>
      <c r="AX2749" s="3" t="s">
        <v>27656</v>
      </c>
      <c r="AY2749" s="3" t="s">
        <v>27657</v>
      </c>
      <c r="AZ2749" s="3" t="s">
        <v>27658</v>
      </c>
      <c r="BA2749" s="3" t="s">
        <v>27658</v>
      </c>
      <c r="BB2749" s="3" t="s">
        <v>27659</v>
      </c>
      <c r="BC2749" s="3" t="s">
        <v>77</v>
      </c>
      <c r="BD2749" s="3" t="s">
        <v>165</v>
      </c>
      <c r="BE2749" s="3" t="s">
        <v>27660</v>
      </c>
      <c r="BF2749" s="3" t="s">
        <v>27659</v>
      </c>
      <c r="BG2749" s="3" t="s">
        <v>27661</v>
      </c>
      <c r="BH2749">
        <f t="shared" si="66"/>
        <v>0</v>
      </c>
    </row>
    <row r="2750" spans="1:60" ht="58" x14ac:dyDescent="0.35">
      <c r="A2750" s="2" t="s">
        <v>59</v>
      </c>
      <c r="B2750" s="2" t="s">
        <v>60</v>
      </c>
      <c r="C2750" s="2" t="s">
        <v>27662</v>
      </c>
      <c r="D2750" s="2" t="s">
        <v>27663</v>
      </c>
      <c r="E2750" s="2" t="s">
        <v>27664</v>
      </c>
      <c r="G2750" s="3" t="s">
        <v>64</v>
      </c>
      <c r="I2750" s="3" t="s">
        <v>64</v>
      </c>
      <c r="J2750" s="3" t="s">
        <v>128</v>
      </c>
      <c r="K2750" s="3" t="s">
        <v>65</v>
      </c>
      <c r="L2750" s="2" t="s">
        <v>27665</v>
      </c>
      <c r="M2750" s="2" t="s">
        <v>27666</v>
      </c>
      <c r="N2750" s="3" t="s">
        <v>1031</v>
      </c>
      <c r="P2750" s="3" t="s">
        <v>102</v>
      </c>
      <c r="Q2750" s="2" t="s">
        <v>14685</v>
      </c>
      <c r="R2750" s="3" t="s">
        <v>70</v>
      </c>
      <c r="S2750" s="4">
        <v>34</v>
      </c>
      <c r="T2750" s="4">
        <v>34</v>
      </c>
      <c r="U2750" s="5" t="s">
        <v>27667</v>
      </c>
      <c r="V2750" s="5" t="s">
        <v>27667</v>
      </c>
      <c r="W2750" s="5" t="s">
        <v>72</v>
      </c>
      <c r="X2750" s="5" t="s">
        <v>72</v>
      </c>
      <c r="Y2750" s="4">
        <v>259</v>
      </c>
      <c r="Z2750" s="4">
        <v>17</v>
      </c>
      <c r="AA2750" s="4">
        <v>33</v>
      </c>
      <c r="AB2750" s="4">
        <v>2</v>
      </c>
      <c r="AC2750" s="4">
        <v>8</v>
      </c>
      <c r="AD2750" s="4">
        <v>74</v>
      </c>
      <c r="AE2750" s="4">
        <v>101</v>
      </c>
      <c r="AF2750" s="4">
        <v>1</v>
      </c>
      <c r="AG2750" s="4">
        <v>4</v>
      </c>
      <c r="AH2750" s="4">
        <v>68</v>
      </c>
      <c r="AI2750" s="4">
        <v>88</v>
      </c>
      <c r="AJ2750" s="4">
        <v>13</v>
      </c>
      <c r="AK2750" s="4">
        <v>20</v>
      </c>
      <c r="AL2750" s="4">
        <v>36</v>
      </c>
      <c r="AM2750" s="4">
        <v>45</v>
      </c>
      <c r="AN2750" s="4">
        <v>0</v>
      </c>
      <c r="AO2750" s="4">
        <v>0</v>
      </c>
      <c r="AP2750" s="4">
        <v>12</v>
      </c>
      <c r="AQ2750" s="4">
        <v>20</v>
      </c>
      <c r="AR2750" s="3" t="s">
        <v>64</v>
      </c>
      <c r="AS2750" s="3" t="s">
        <v>64</v>
      </c>
      <c r="AT2750" s="3" t="s">
        <v>128</v>
      </c>
      <c r="AU2750" s="6" t="str">
        <f>HYPERLINK("http://catalog.hathitrust.org/Record/002527069","HathiTrust Record")</f>
        <v>HathiTrust Record</v>
      </c>
      <c r="AV2750" s="6" t="str">
        <f>HYPERLINK("http://mcgill.on.worldcat.org/oclc/24108613","Catalog Record")</f>
        <v>Catalog Record</v>
      </c>
      <c r="AW2750" s="6" t="str">
        <f>HYPERLINK("http://www.worldcat.org/oclc/24108613","WorldCat Record")</f>
        <v>WorldCat Record</v>
      </c>
      <c r="AX2750" s="3" t="s">
        <v>27668</v>
      </c>
      <c r="AY2750" s="3" t="s">
        <v>27669</v>
      </c>
      <c r="AZ2750" s="3" t="s">
        <v>27670</v>
      </c>
      <c r="BA2750" s="3" t="s">
        <v>27670</v>
      </c>
      <c r="BB2750" s="3" t="s">
        <v>27671</v>
      </c>
      <c r="BC2750" s="3" t="s">
        <v>77</v>
      </c>
      <c r="BD2750" s="3" t="s">
        <v>78</v>
      </c>
      <c r="BE2750" s="3" t="s">
        <v>27672</v>
      </c>
      <c r="BF2750" s="3" t="s">
        <v>27671</v>
      </c>
      <c r="BG2750" s="3" t="s">
        <v>27673</v>
      </c>
      <c r="BH2750">
        <f t="shared" si="66"/>
        <v>0</v>
      </c>
    </row>
    <row r="2751" spans="1:60" ht="116" x14ac:dyDescent="0.35">
      <c r="A2751" s="2" t="s">
        <v>59</v>
      </c>
      <c r="B2751" s="2" t="s">
        <v>60</v>
      </c>
      <c r="C2751" s="2" t="s">
        <v>27674</v>
      </c>
      <c r="D2751" s="2" t="s">
        <v>27675</v>
      </c>
      <c r="E2751" s="2" t="s">
        <v>27676</v>
      </c>
      <c r="G2751" s="3" t="s">
        <v>64</v>
      </c>
      <c r="I2751" s="3" t="s">
        <v>128</v>
      </c>
      <c r="J2751" s="3" t="s">
        <v>128</v>
      </c>
      <c r="K2751" s="3" t="s">
        <v>65</v>
      </c>
      <c r="L2751" s="2" t="s">
        <v>27665</v>
      </c>
      <c r="M2751" s="2" t="s">
        <v>27677</v>
      </c>
      <c r="N2751" s="3" t="s">
        <v>979</v>
      </c>
      <c r="O2751" s="2" t="s">
        <v>27678</v>
      </c>
      <c r="P2751" s="3" t="s">
        <v>102</v>
      </c>
      <c r="Q2751" s="2" t="s">
        <v>14685</v>
      </c>
      <c r="R2751" s="3" t="s">
        <v>70</v>
      </c>
      <c r="S2751" s="4">
        <v>190</v>
      </c>
      <c r="T2751" s="4">
        <v>378</v>
      </c>
      <c r="U2751" s="5" t="s">
        <v>27679</v>
      </c>
      <c r="V2751" s="5" t="s">
        <v>27680</v>
      </c>
      <c r="W2751" s="5" t="s">
        <v>72</v>
      </c>
      <c r="X2751" s="5" t="s">
        <v>72</v>
      </c>
      <c r="Y2751" s="4">
        <v>203</v>
      </c>
      <c r="Z2751" s="4">
        <v>10</v>
      </c>
      <c r="AA2751" s="4">
        <v>33</v>
      </c>
      <c r="AB2751" s="4">
        <v>1</v>
      </c>
      <c r="AC2751" s="4">
        <v>8</v>
      </c>
      <c r="AD2751" s="4">
        <v>57</v>
      </c>
      <c r="AE2751" s="4">
        <v>101</v>
      </c>
      <c r="AF2751" s="4">
        <v>0</v>
      </c>
      <c r="AG2751" s="4">
        <v>4</v>
      </c>
      <c r="AH2751" s="4">
        <v>53</v>
      </c>
      <c r="AI2751" s="4">
        <v>88</v>
      </c>
      <c r="AJ2751" s="4">
        <v>5</v>
      </c>
      <c r="AK2751" s="4">
        <v>20</v>
      </c>
      <c r="AL2751" s="4">
        <v>28</v>
      </c>
      <c r="AM2751" s="4">
        <v>45</v>
      </c>
      <c r="AN2751" s="4">
        <v>0</v>
      </c>
      <c r="AO2751" s="4">
        <v>0</v>
      </c>
      <c r="AP2751" s="4">
        <v>6</v>
      </c>
      <c r="AQ2751" s="4">
        <v>20</v>
      </c>
      <c r="AR2751" s="3" t="s">
        <v>64</v>
      </c>
      <c r="AS2751" s="3" t="s">
        <v>64</v>
      </c>
      <c r="AT2751" s="3" t="s">
        <v>64</v>
      </c>
      <c r="AV2751" s="6" t="str">
        <f>HYPERLINK("http://mcgill.on.worldcat.org/oclc/42622196","Catalog Record")</f>
        <v>Catalog Record</v>
      </c>
      <c r="AW2751" s="6" t="str">
        <f>HYPERLINK("http://www.worldcat.org/oclc/42622196","WorldCat Record")</f>
        <v>WorldCat Record</v>
      </c>
      <c r="AX2751" s="3" t="s">
        <v>27668</v>
      </c>
      <c r="AY2751" s="3" t="s">
        <v>27681</v>
      </c>
      <c r="AZ2751" s="3" t="s">
        <v>27682</v>
      </c>
      <c r="BA2751" s="3" t="s">
        <v>27682</v>
      </c>
      <c r="BB2751" s="3" t="s">
        <v>27683</v>
      </c>
      <c r="BC2751" s="3" t="s">
        <v>77</v>
      </c>
      <c r="BD2751" s="3" t="s">
        <v>78</v>
      </c>
      <c r="BE2751" s="3" t="s">
        <v>27684</v>
      </c>
      <c r="BF2751" s="3" t="s">
        <v>27683</v>
      </c>
      <c r="BG2751" s="3" t="s">
        <v>27685</v>
      </c>
      <c r="BH2751">
        <f t="shared" si="66"/>
        <v>0</v>
      </c>
    </row>
    <row r="2752" spans="1:60" ht="116" x14ac:dyDescent="0.35">
      <c r="A2752" s="2" t="s">
        <v>59</v>
      </c>
      <c r="B2752" s="2" t="s">
        <v>60</v>
      </c>
      <c r="C2752" s="2" t="s">
        <v>27674</v>
      </c>
      <c r="D2752" s="2" t="s">
        <v>27675</v>
      </c>
      <c r="E2752" s="2" t="s">
        <v>27676</v>
      </c>
      <c r="G2752" s="3" t="s">
        <v>64</v>
      </c>
      <c r="I2752" s="3" t="s">
        <v>128</v>
      </c>
      <c r="J2752" s="3" t="s">
        <v>128</v>
      </c>
      <c r="K2752" s="3" t="s">
        <v>65</v>
      </c>
      <c r="L2752" s="2" t="s">
        <v>27665</v>
      </c>
      <c r="M2752" s="2" t="s">
        <v>27677</v>
      </c>
      <c r="N2752" s="3" t="s">
        <v>979</v>
      </c>
      <c r="O2752" s="2" t="s">
        <v>27678</v>
      </c>
      <c r="P2752" s="3" t="s">
        <v>102</v>
      </c>
      <c r="Q2752" s="2" t="s">
        <v>14685</v>
      </c>
      <c r="R2752" s="3" t="s">
        <v>70</v>
      </c>
      <c r="S2752" s="4">
        <v>188</v>
      </c>
      <c r="T2752" s="4">
        <v>378</v>
      </c>
      <c r="U2752" s="5" t="s">
        <v>27680</v>
      </c>
      <c r="V2752" s="5" t="s">
        <v>27680</v>
      </c>
      <c r="W2752" s="5" t="s">
        <v>72</v>
      </c>
      <c r="X2752" s="5" t="s">
        <v>72</v>
      </c>
      <c r="Y2752" s="4">
        <v>203</v>
      </c>
      <c r="Z2752" s="4">
        <v>10</v>
      </c>
      <c r="AA2752" s="4">
        <v>33</v>
      </c>
      <c r="AB2752" s="4">
        <v>1</v>
      </c>
      <c r="AC2752" s="4">
        <v>8</v>
      </c>
      <c r="AD2752" s="4">
        <v>57</v>
      </c>
      <c r="AE2752" s="4">
        <v>101</v>
      </c>
      <c r="AF2752" s="4">
        <v>0</v>
      </c>
      <c r="AG2752" s="4">
        <v>4</v>
      </c>
      <c r="AH2752" s="4">
        <v>53</v>
      </c>
      <c r="AI2752" s="4">
        <v>88</v>
      </c>
      <c r="AJ2752" s="4">
        <v>5</v>
      </c>
      <c r="AK2752" s="4">
        <v>20</v>
      </c>
      <c r="AL2752" s="4">
        <v>28</v>
      </c>
      <c r="AM2752" s="4">
        <v>45</v>
      </c>
      <c r="AN2752" s="4">
        <v>0</v>
      </c>
      <c r="AO2752" s="4">
        <v>0</v>
      </c>
      <c r="AP2752" s="4">
        <v>6</v>
      </c>
      <c r="AQ2752" s="4">
        <v>20</v>
      </c>
      <c r="AR2752" s="3" t="s">
        <v>64</v>
      </c>
      <c r="AS2752" s="3" t="s">
        <v>64</v>
      </c>
      <c r="AT2752" s="3" t="s">
        <v>64</v>
      </c>
      <c r="AV2752" s="6" t="str">
        <f>HYPERLINK("http://mcgill.on.worldcat.org/oclc/42622196","Catalog Record")</f>
        <v>Catalog Record</v>
      </c>
      <c r="AW2752" s="6" t="str">
        <f>HYPERLINK("http://www.worldcat.org/oclc/42622196","WorldCat Record")</f>
        <v>WorldCat Record</v>
      </c>
      <c r="AX2752" s="3" t="s">
        <v>27668</v>
      </c>
      <c r="AY2752" s="3" t="s">
        <v>27681</v>
      </c>
      <c r="AZ2752" s="3" t="s">
        <v>27682</v>
      </c>
      <c r="BA2752" s="3" t="s">
        <v>27682</v>
      </c>
      <c r="BB2752" s="3" t="s">
        <v>27686</v>
      </c>
      <c r="BC2752" s="3" t="s">
        <v>77</v>
      </c>
      <c r="BD2752" s="3" t="s">
        <v>78</v>
      </c>
      <c r="BE2752" s="3" t="s">
        <v>27684</v>
      </c>
      <c r="BF2752" s="3" t="s">
        <v>27686</v>
      </c>
      <c r="BG2752" s="3" t="s">
        <v>27687</v>
      </c>
      <c r="BH2752">
        <f t="shared" si="66"/>
        <v>0</v>
      </c>
    </row>
    <row r="2753" spans="1:60" ht="58" x14ac:dyDescent="0.35">
      <c r="A2753" s="2" t="s">
        <v>59</v>
      </c>
      <c r="B2753" s="2" t="s">
        <v>60</v>
      </c>
      <c r="C2753" s="2" t="s">
        <v>27688</v>
      </c>
      <c r="D2753" s="2" t="s">
        <v>27689</v>
      </c>
      <c r="E2753" s="2" t="s">
        <v>27690</v>
      </c>
      <c r="G2753" s="3" t="s">
        <v>64</v>
      </c>
      <c r="I2753" s="3" t="s">
        <v>64</v>
      </c>
      <c r="J2753" s="3" t="s">
        <v>64</v>
      </c>
      <c r="K2753" s="3" t="s">
        <v>65</v>
      </c>
      <c r="L2753" s="2" t="s">
        <v>27691</v>
      </c>
      <c r="M2753" s="2" t="s">
        <v>27692</v>
      </c>
      <c r="N2753" s="3" t="s">
        <v>1004</v>
      </c>
      <c r="P2753" s="3" t="s">
        <v>102</v>
      </c>
      <c r="Q2753" s="2" t="s">
        <v>27693</v>
      </c>
      <c r="R2753" s="3" t="s">
        <v>70</v>
      </c>
      <c r="S2753" s="4">
        <v>17</v>
      </c>
      <c r="T2753" s="4">
        <v>17</v>
      </c>
      <c r="U2753" s="5" t="s">
        <v>4779</v>
      </c>
      <c r="V2753" s="5" t="s">
        <v>4779</v>
      </c>
      <c r="W2753" s="5" t="s">
        <v>72</v>
      </c>
      <c r="X2753" s="5" t="s">
        <v>72</v>
      </c>
      <c r="Y2753" s="4">
        <v>440</v>
      </c>
      <c r="Z2753" s="4">
        <v>20</v>
      </c>
      <c r="AA2753" s="4">
        <v>27</v>
      </c>
      <c r="AB2753" s="4">
        <v>2</v>
      </c>
      <c r="AC2753" s="4">
        <v>5</v>
      </c>
      <c r="AD2753" s="4">
        <v>87</v>
      </c>
      <c r="AE2753" s="4">
        <v>100</v>
      </c>
      <c r="AF2753" s="4">
        <v>1</v>
      </c>
      <c r="AG2753" s="4">
        <v>4</v>
      </c>
      <c r="AH2753" s="4">
        <v>75</v>
      </c>
      <c r="AI2753" s="4">
        <v>85</v>
      </c>
      <c r="AJ2753" s="4">
        <v>13</v>
      </c>
      <c r="AK2753" s="4">
        <v>19</v>
      </c>
      <c r="AL2753" s="4">
        <v>43</v>
      </c>
      <c r="AM2753" s="4">
        <v>45</v>
      </c>
      <c r="AN2753" s="4">
        <v>0</v>
      </c>
      <c r="AO2753" s="4">
        <v>0</v>
      </c>
      <c r="AP2753" s="4">
        <v>15</v>
      </c>
      <c r="AQ2753" s="4">
        <v>21</v>
      </c>
      <c r="AR2753" s="3" t="s">
        <v>64</v>
      </c>
      <c r="AS2753" s="3" t="s">
        <v>64</v>
      </c>
      <c r="AT2753" s="3" t="s">
        <v>128</v>
      </c>
      <c r="AU2753" s="6" t="str">
        <f>HYPERLINK("http://catalog.hathitrust.org/Record/000190320","HathiTrust Record")</f>
        <v>HathiTrust Record</v>
      </c>
      <c r="AV2753" s="6" t="str">
        <f>HYPERLINK("http://mcgill.on.worldcat.org/oclc/8034654","Catalog Record")</f>
        <v>Catalog Record</v>
      </c>
      <c r="AW2753" s="6" t="str">
        <f>HYPERLINK("http://www.worldcat.org/oclc/8034654","WorldCat Record")</f>
        <v>WorldCat Record</v>
      </c>
      <c r="AX2753" s="3" t="s">
        <v>27694</v>
      </c>
      <c r="AY2753" s="3" t="s">
        <v>27695</v>
      </c>
      <c r="AZ2753" s="3" t="s">
        <v>27696</v>
      </c>
      <c r="BA2753" s="3" t="s">
        <v>27696</v>
      </c>
      <c r="BB2753" s="3" t="s">
        <v>27697</v>
      </c>
      <c r="BC2753" s="3" t="s">
        <v>77</v>
      </c>
      <c r="BD2753" s="3" t="s">
        <v>78</v>
      </c>
      <c r="BE2753" s="3" t="s">
        <v>27698</v>
      </c>
      <c r="BF2753" s="3" t="s">
        <v>27697</v>
      </c>
      <c r="BG2753" s="3" t="s">
        <v>27699</v>
      </c>
      <c r="BH2753">
        <f t="shared" si="66"/>
        <v>0</v>
      </c>
    </row>
    <row r="2754" spans="1:60" ht="101.5" x14ac:dyDescent="0.35">
      <c r="A2754" s="2" t="s">
        <v>59</v>
      </c>
      <c r="B2754" s="2" t="s">
        <v>60</v>
      </c>
      <c r="C2754" s="2" t="s">
        <v>27700</v>
      </c>
      <c r="D2754" s="2" t="s">
        <v>27701</v>
      </c>
      <c r="E2754" s="2" t="s">
        <v>27702</v>
      </c>
      <c r="G2754" s="3" t="s">
        <v>64</v>
      </c>
      <c r="I2754" s="3" t="s">
        <v>64</v>
      </c>
      <c r="J2754" s="3" t="s">
        <v>64</v>
      </c>
      <c r="K2754" s="3" t="s">
        <v>65</v>
      </c>
      <c r="M2754" s="2" t="s">
        <v>27703</v>
      </c>
      <c r="N2754" s="3" t="s">
        <v>1750</v>
      </c>
      <c r="P2754" s="3" t="s">
        <v>68</v>
      </c>
      <c r="R2754" s="3" t="s">
        <v>70</v>
      </c>
      <c r="S2754" s="4">
        <v>1</v>
      </c>
      <c r="T2754" s="4">
        <v>1</v>
      </c>
      <c r="U2754" s="5" t="s">
        <v>3262</v>
      </c>
      <c r="V2754" s="5" t="s">
        <v>3262</v>
      </c>
      <c r="W2754" s="5" t="s">
        <v>72</v>
      </c>
      <c r="X2754" s="5" t="s">
        <v>72</v>
      </c>
      <c r="Y2754" s="4">
        <v>1</v>
      </c>
      <c r="Z2754" s="4">
        <v>1</v>
      </c>
      <c r="AA2754" s="4">
        <v>1</v>
      </c>
      <c r="AB2754" s="4">
        <v>1</v>
      </c>
      <c r="AC2754" s="4">
        <v>1</v>
      </c>
      <c r="AD2754" s="4">
        <v>0</v>
      </c>
      <c r="AE2754" s="4">
        <v>0</v>
      </c>
      <c r="AF2754" s="4">
        <v>0</v>
      </c>
      <c r="AG2754" s="4">
        <v>0</v>
      </c>
      <c r="AH2754" s="4">
        <v>0</v>
      </c>
      <c r="AI2754" s="4">
        <v>0</v>
      </c>
      <c r="AJ2754" s="4">
        <v>0</v>
      </c>
      <c r="AK2754" s="4">
        <v>0</v>
      </c>
      <c r="AL2754" s="4">
        <v>0</v>
      </c>
      <c r="AM2754" s="4">
        <v>0</v>
      </c>
      <c r="AN2754" s="4">
        <v>0</v>
      </c>
      <c r="AO2754" s="4">
        <v>0</v>
      </c>
      <c r="AP2754" s="4">
        <v>0</v>
      </c>
      <c r="AQ2754" s="4">
        <v>0</v>
      </c>
      <c r="AR2754" s="3" t="s">
        <v>128</v>
      </c>
      <c r="AS2754" s="3" t="s">
        <v>64</v>
      </c>
      <c r="AT2754" s="3" t="s">
        <v>64</v>
      </c>
      <c r="AV2754" s="6" t="str">
        <f>HYPERLINK("http://mcgill.on.worldcat.org/oclc/4692902","Catalog Record")</f>
        <v>Catalog Record</v>
      </c>
      <c r="AW2754" s="6" t="str">
        <f>HYPERLINK("http://www.worldcat.org/oclc/4692902","WorldCat Record")</f>
        <v>WorldCat Record</v>
      </c>
      <c r="AX2754" s="3" t="s">
        <v>27704</v>
      </c>
      <c r="AY2754" s="3" t="s">
        <v>27705</v>
      </c>
      <c r="AZ2754" s="3" t="s">
        <v>27706</v>
      </c>
      <c r="BA2754" s="3" t="s">
        <v>27706</v>
      </c>
      <c r="BB2754" s="3" t="s">
        <v>27707</v>
      </c>
      <c r="BC2754" s="3" t="s">
        <v>77</v>
      </c>
      <c r="BD2754" s="3" t="s">
        <v>78</v>
      </c>
      <c r="BE2754" s="3" t="s">
        <v>27708</v>
      </c>
      <c r="BF2754" s="3" t="s">
        <v>27707</v>
      </c>
      <c r="BG2754" s="3" t="s">
        <v>27709</v>
      </c>
      <c r="BH2754">
        <f t="shared" ref="BH2754:BH2817" si="67">IF(COUNTIF($BF$1:$BF$5431,BF2754)=1,0,1)</f>
        <v>0</v>
      </c>
    </row>
    <row r="2755" spans="1:60" ht="58" x14ac:dyDescent="0.35">
      <c r="A2755" s="2" t="s">
        <v>59</v>
      </c>
      <c r="B2755" s="2" t="s">
        <v>60</v>
      </c>
      <c r="C2755" s="2" t="s">
        <v>27710</v>
      </c>
      <c r="D2755" s="2" t="s">
        <v>27711</v>
      </c>
      <c r="E2755" s="2" t="s">
        <v>27712</v>
      </c>
      <c r="G2755" s="3" t="s">
        <v>64</v>
      </c>
      <c r="I2755" s="3" t="s">
        <v>64</v>
      </c>
      <c r="J2755" s="3" t="s">
        <v>64</v>
      </c>
      <c r="K2755" s="3" t="s">
        <v>65</v>
      </c>
      <c r="M2755" s="2" t="s">
        <v>27713</v>
      </c>
      <c r="N2755" s="3" t="s">
        <v>768</v>
      </c>
      <c r="P2755" s="3" t="s">
        <v>102</v>
      </c>
      <c r="R2755" s="3" t="s">
        <v>70</v>
      </c>
      <c r="S2755" s="4">
        <v>1</v>
      </c>
      <c r="T2755" s="4">
        <v>1</v>
      </c>
      <c r="U2755" s="5" t="s">
        <v>16039</v>
      </c>
      <c r="V2755" s="5" t="s">
        <v>16039</v>
      </c>
      <c r="W2755" s="5" t="s">
        <v>72</v>
      </c>
      <c r="X2755" s="5" t="s">
        <v>72</v>
      </c>
      <c r="Y2755" s="4">
        <v>97</v>
      </c>
      <c r="Z2755" s="4">
        <v>4</v>
      </c>
      <c r="AA2755" s="4">
        <v>13</v>
      </c>
      <c r="AB2755" s="4">
        <v>1</v>
      </c>
      <c r="AC2755" s="4">
        <v>2</v>
      </c>
      <c r="AD2755" s="4">
        <v>43</v>
      </c>
      <c r="AE2755" s="4">
        <v>57</v>
      </c>
      <c r="AF2755" s="4">
        <v>0</v>
      </c>
      <c r="AG2755" s="4">
        <v>1</v>
      </c>
      <c r="AH2755" s="4">
        <v>40</v>
      </c>
      <c r="AI2755" s="4">
        <v>51</v>
      </c>
      <c r="AJ2755" s="4">
        <v>3</v>
      </c>
      <c r="AK2755" s="4">
        <v>9</v>
      </c>
      <c r="AL2755" s="4">
        <v>21</v>
      </c>
      <c r="AM2755" s="4">
        <v>28</v>
      </c>
      <c r="AN2755" s="4">
        <v>0</v>
      </c>
      <c r="AO2755" s="4">
        <v>0</v>
      </c>
      <c r="AP2755" s="4">
        <v>2</v>
      </c>
      <c r="AQ2755" s="4">
        <v>7</v>
      </c>
      <c r="AR2755" s="3" t="s">
        <v>64</v>
      </c>
      <c r="AS2755" s="3" t="s">
        <v>64</v>
      </c>
      <c r="AT2755" s="3" t="s">
        <v>64</v>
      </c>
      <c r="AV2755" s="6" t="str">
        <f>HYPERLINK("http://mcgill.on.worldcat.org/oclc/4345601","Catalog Record")</f>
        <v>Catalog Record</v>
      </c>
      <c r="AW2755" s="6" t="str">
        <f>HYPERLINK("http://www.worldcat.org/oclc/4345601","WorldCat Record")</f>
        <v>WorldCat Record</v>
      </c>
      <c r="AX2755" s="3" t="s">
        <v>27714</v>
      </c>
      <c r="AY2755" s="3" t="s">
        <v>27715</v>
      </c>
      <c r="AZ2755" s="3" t="s">
        <v>27716</v>
      </c>
      <c r="BA2755" s="3" t="s">
        <v>27716</v>
      </c>
      <c r="BB2755" s="3" t="s">
        <v>27717</v>
      </c>
      <c r="BC2755" s="3" t="s">
        <v>77</v>
      </c>
      <c r="BD2755" s="3" t="s">
        <v>78</v>
      </c>
      <c r="BF2755" s="3" t="s">
        <v>27717</v>
      </c>
      <c r="BG2755" s="3" t="s">
        <v>27718</v>
      </c>
      <c r="BH2755">
        <f t="shared" si="67"/>
        <v>0</v>
      </c>
    </row>
    <row r="2756" spans="1:60" ht="58" x14ac:dyDescent="0.35">
      <c r="A2756" s="2" t="s">
        <v>59</v>
      </c>
      <c r="B2756" s="2" t="s">
        <v>60</v>
      </c>
      <c r="C2756" s="2" t="s">
        <v>27719</v>
      </c>
      <c r="D2756" s="2" t="s">
        <v>27720</v>
      </c>
      <c r="E2756" s="2" t="s">
        <v>27721</v>
      </c>
      <c r="G2756" s="3" t="s">
        <v>64</v>
      </c>
      <c r="I2756" s="3" t="s">
        <v>64</v>
      </c>
      <c r="J2756" s="3" t="s">
        <v>128</v>
      </c>
      <c r="K2756" s="3" t="s">
        <v>65</v>
      </c>
      <c r="L2756" s="2" t="s">
        <v>27722</v>
      </c>
      <c r="M2756" s="2" t="s">
        <v>27723</v>
      </c>
      <c r="N2756" s="3" t="s">
        <v>3721</v>
      </c>
      <c r="O2756" s="2" t="s">
        <v>172</v>
      </c>
      <c r="P2756" s="3" t="s">
        <v>102</v>
      </c>
      <c r="R2756" s="3" t="s">
        <v>70</v>
      </c>
      <c r="S2756" s="4">
        <v>8</v>
      </c>
      <c r="T2756" s="4">
        <v>8</v>
      </c>
      <c r="U2756" s="5" t="s">
        <v>8491</v>
      </c>
      <c r="V2756" s="5" t="s">
        <v>8491</v>
      </c>
      <c r="W2756" s="5" t="s">
        <v>72</v>
      </c>
      <c r="X2756" s="5" t="s">
        <v>72</v>
      </c>
      <c r="Y2756" s="4">
        <v>329</v>
      </c>
      <c r="Z2756" s="4">
        <v>15</v>
      </c>
      <c r="AA2756" s="4">
        <v>31</v>
      </c>
      <c r="AB2756" s="4">
        <v>1</v>
      </c>
      <c r="AC2756" s="4">
        <v>2</v>
      </c>
      <c r="AD2756" s="4">
        <v>76</v>
      </c>
      <c r="AE2756" s="4">
        <v>105</v>
      </c>
      <c r="AF2756" s="4">
        <v>0</v>
      </c>
      <c r="AG2756" s="4">
        <v>1</v>
      </c>
      <c r="AH2756" s="4">
        <v>68</v>
      </c>
      <c r="AI2756" s="4">
        <v>88</v>
      </c>
      <c r="AJ2756" s="4">
        <v>11</v>
      </c>
      <c r="AK2756" s="4">
        <v>20</v>
      </c>
      <c r="AL2756" s="4">
        <v>34</v>
      </c>
      <c r="AM2756" s="4">
        <v>44</v>
      </c>
      <c r="AN2756" s="4">
        <v>0</v>
      </c>
      <c r="AO2756" s="4">
        <v>0</v>
      </c>
      <c r="AP2756" s="4">
        <v>10</v>
      </c>
      <c r="AQ2756" s="4">
        <v>24</v>
      </c>
      <c r="AR2756" s="3" t="s">
        <v>64</v>
      </c>
      <c r="AS2756" s="3" t="s">
        <v>64</v>
      </c>
      <c r="AT2756" s="3" t="s">
        <v>128</v>
      </c>
      <c r="AU2756" s="6" t="str">
        <f>HYPERLINK("http://catalog.hathitrust.org/Record/000256025","HathiTrust Record")</f>
        <v>HathiTrust Record</v>
      </c>
      <c r="AV2756" s="6" t="str">
        <f>HYPERLINK("http://mcgill.on.worldcat.org/oclc/4494554","Catalog Record")</f>
        <v>Catalog Record</v>
      </c>
      <c r="AW2756" s="6" t="str">
        <f>HYPERLINK("http://www.worldcat.org/oclc/4494554","WorldCat Record")</f>
        <v>WorldCat Record</v>
      </c>
      <c r="AX2756" s="3" t="s">
        <v>27724</v>
      </c>
      <c r="AY2756" s="3" t="s">
        <v>27725</v>
      </c>
      <c r="AZ2756" s="3" t="s">
        <v>27726</v>
      </c>
      <c r="BA2756" s="3" t="s">
        <v>27726</v>
      </c>
      <c r="BB2756" s="3" t="s">
        <v>27727</v>
      </c>
      <c r="BC2756" s="3" t="s">
        <v>77</v>
      </c>
      <c r="BD2756" s="3" t="s">
        <v>165</v>
      </c>
      <c r="BE2756" s="3" t="s">
        <v>27728</v>
      </c>
      <c r="BF2756" s="3" t="s">
        <v>27727</v>
      </c>
      <c r="BG2756" s="3" t="s">
        <v>27729</v>
      </c>
      <c r="BH2756">
        <f t="shared" si="67"/>
        <v>0</v>
      </c>
    </row>
    <row r="2757" spans="1:60" ht="58" x14ac:dyDescent="0.35">
      <c r="A2757" s="2" t="s">
        <v>59</v>
      </c>
      <c r="B2757" s="2" t="s">
        <v>60</v>
      </c>
      <c r="C2757" s="2" t="s">
        <v>27730</v>
      </c>
      <c r="D2757" s="2" t="s">
        <v>27731</v>
      </c>
      <c r="E2757" s="2" t="s">
        <v>27732</v>
      </c>
      <c r="G2757" s="3" t="s">
        <v>64</v>
      </c>
      <c r="I2757" s="3" t="s">
        <v>64</v>
      </c>
      <c r="J2757" s="3" t="s">
        <v>64</v>
      </c>
      <c r="K2757" s="3" t="s">
        <v>65</v>
      </c>
      <c r="M2757" s="2" t="s">
        <v>9037</v>
      </c>
      <c r="N2757" s="3" t="s">
        <v>1075</v>
      </c>
      <c r="P2757" s="3" t="s">
        <v>102</v>
      </c>
      <c r="R2757" s="3" t="s">
        <v>70</v>
      </c>
      <c r="S2757" s="4">
        <v>6</v>
      </c>
      <c r="T2757" s="4">
        <v>6</v>
      </c>
      <c r="U2757" s="5" t="s">
        <v>5146</v>
      </c>
      <c r="V2757" s="5" t="s">
        <v>5146</v>
      </c>
      <c r="W2757" s="5" t="s">
        <v>72</v>
      </c>
      <c r="X2757" s="5" t="s">
        <v>72</v>
      </c>
      <c r="Y2757" s="4">
        <v>147</v>
      </c>
      <c r="Z2757" s="4">
        <v>9</v>
      </c>
      <c r="AA2757" s="4">
        <v>101</v>
      </c>
      <c r="AB2757" s="4">
        <v>2</v>
      </c>
      <c r="AC2757" s="4">
        <v>17</v>
      </c>
      <c r="AD2757" s="4">
        <v>10</v>
      </c>
      <c r="AE2757" s="4">
        <v>121</v>
      </c>
      <c r="AF2757" s="4">
        <v>1</v>
      </c>
      <c r="AG2757" s="4">
        <v>8</v>
      </c>
      <c r="AH2757" s="4">
        <v>8</v>
      </c>
      <c r="AI2757" s="4">
        <v>85</v>
      </c>
      <c r="AJ2757" s="4">
        <v>5</v>
      </c>
      <c r="AK2757" s="4">
        <v>24</v>
      </c>
      <c r="AL2757" s="4">
        <v>5</v>
      </c>
      <c r="AM2757" s="4">
        <v>45</v>
      </c>
      <c r="AN2757" s="4">
        <v>0</v>
      </c>
      <c r="AO2757" s="4">
        <v>0</v>
      </c>
      <c r="AP2757" s="4">
        <v>5</v>
      </c>
      <c r="AQ2757" s="4">
        <v>44</v>
      </c>
      <c r="AR2757" s="3" t="s">
        <v>64</v>
      </c>
      <c r="AS2757" s="3" t="s">
        <v>64</v>
      </c>
      <c r="AT2757" s="3" t="s">
        <v>64</v>
      </c>
      <c r="AV2757" s="6" t="str">
        <f>HYPERLINK("http://mcgill.on.worldcat.org/oclc/857546905","Catalog Record")</f>
        <v>Catalog Record</v>
      </c>
      <c r="AW2757" s="6" t="str">
        <f>HYPERLINK("http://www.worldcat.org/oclc/857546905","WorldCat Record")</f>
        <v>WorldCat Record</v>
      </c>
      <c r="AX2757" s="3" t="s">
        <v>27733</v>
      </c>
      <c r="AY2757" s="3" t="s">
        <v>27734</v>
      </c>
      <c r="AZ2757" s="3" t="s">
        <v>27735</v>
      </c>
      <c r="BA2757" s="3" t="s">
        <v>27735</v>
      </c>
      <c r="BB2757" s="3" t="s">
        <v>27736</v>
      </c>
      <c r="BC2757" s="3" t="s">
        <v>77</v>
      </c>
      <c r="BD2757" s="3" t="s">
        <v>78</v>
      </c>
      <c r="BE2757" s="3" t="s">
        <v>27737</v>
      </c>
      <c r="BF2757" s="3" t="s">
        <v>27736</v>
      </c>
      <c r="BG2757" s="3" t="s">
        <v>27738</v>
      </c>
      <c r="BH2757">
        <f t="shared" si="67"/>
        <v>0</v>
      </c>
    </row>
    <row r="2758" spans="1:60" ht="72.5" x14ac:dyDescent="0.35">
      <c r="A2758" s="2" t="s">
        <v>59</v>
      </c>
      <c r="B2758" s="2" t="s">
        <v>60</v>
      </c>
      <c r="C2758" s="2" t="s">
        <v>27739</v>
      </c>
      <c r="D2758" s="2" t="s">
        <v>27740</v>
      </c>
      <c r="E2758" s="2" t="s">
        <v>27741</v>
      </c>
      <c r="G2758" s="3" t="s">
        <v>64</v>
      </c>
      <c r="I2758" s="3" t="s">
        <v>64</v>
      </c>
      <c r="J2758" s="3" t="s">
        <v>64</v>
      </c>
      <c r="K2758" s="3" t="s">
        <v>65</v>
      </c>
      <c r="M2758" s="2" t="s">
        <v>27742</v>
      </c>
      <c r="N2758" s="3" t="s">
        <v>1075</v>
      </c>
      <c r="P2758" s="3" t="s">
        <v>102</v>
      </c>
      <c r="R2758" s="3" t="s">
        <v>70</v>
      </c>
      <c r="S2758" s="4">
        <v>2</v>
      </c>
      <c r="T2758" s="4">
        <v>2</v>
      </c>
      <c r="U2758" s="5" t="s">
        <v>17037</v>
      </c>
      <c r="V2758" s="5" t="s">
        <v>17037</v>
      </c>
      <c r="W2758" s="5" t="s">
        <v>72</v>
      </c>
      <c r="X2758" s="5" t="s">
        <v>72</v>
      </c>
      <c r="Y2758" s="4">
        <v>54</v>
      </c>
      <c r="Z2758" s="4">
        <v>3</v>
      </c>
      <c r="AA2758" s="4">
        <v>9</v>
      </c>
      <c r="AB2758" s="4">
        <v>1</v>
      </c>
      <c r="AC2758" s="4">
        <v>3</v>
      </c>
      <c r="AD2758" s="4">
        <v>13</v>
      </c>
      <c r="AE2758" s="4">
        <v>24</v>
      </c>
      <c r="AF2758" s="4">
        <v>0</v>
      </c>
      <c r="AG2758" s="4">
        <v>0</v>
      </c>
      <c r="AH2758" s="4">
        <v>12</v>
      </c>
      <c r="AI2758" s="4">
        <v>20</v>
      </c>
      <c r="AJ2758" s="4">
        <v>2</v>
      </c>
      <c r="AK2758" s="4">
        <v>5</v>
      </c>
      <c r="AL2758" s="4">
        <v>8</v>
      </c>
      <c r="AM2758" s="4">
        <v>12</v>
      </c>
      <c r="AN2758" s="4">
        <v>0</v>
      </c>
      <c r="AO2758" s="4">
        <v>0</v>
      </c>
      <c r="AP2758" s="4">
        <v>2</v>
      </c>
      <c r="AQ2758" s="4">
        <v>6</v>
      </c>
      <c r="AR2758" s="3" t="s">
        <v>64</v>
      </c>
      <c r="AS2758" s="3" t="s">
        <v>64</v>
      </c>
      <c r="AT2758" s="3" t="s">
        <v>64</v>
      </c>
      <c r="AV2758" s="6" t="str">
        <f>HYPERLINK("http://mcgill.on.worldcat.org/oclc/779606944","Catalog Record")</f>
        <v>Catalog Record</v>
      </c>
      <c r="AW2758" s="6" t="str">
        <f>HYPERLINK("http://www.worldcat.org/oclc/779606944","WorldCat Record")</f>
        <v>WorldCat Record</v>
      </c>
      <c r="AX2758" s="3" t="s">
        <v>27743</v>
      </c>
      <c r="AY2758" s="3" t="s">
        <v>27744</v>
      </c>
      <c r="AZ2758" s="3" t="s">
        <v>27745</v>
      </c>
      <c r="BA2758" s="3" t="s">
        <v>27745</v>
      </c>
      <c r="BB2758" s="3" t="s">
        <v>27746</v>
      </c>
      <c r="BC2758" s="3" t="s">
        <v>77</v>
      </c>
      <c r="BD2758" s="3" t="s">
        <v>78</v>
      </c>
      <c r="BE2758" s="3" t="s">
        <v>27747</v>
      </c>
      <c r="BF2758" s="3" t="s">
        <v>27746</v>
      </c>
      <c r="BG2758" s="3" t="s">
        <v>27748</v>
      </c>
      <c r="BH2758">
        <f t="shared" si="67"/>
        <v>0</v>
      </c>
    </row>
    <row r="2759" spans="1:60" ht="58" x14ac:dyDescent="0.35">
      <c r="A2759" s="2" t="s">
        <v>59</v>
      </c>
      <c r="B2759" s="2" t="s">
        <v>60</v>
      </c>
      <c r="C2759" s="2" t="s">
        <v>27749</v>
      </c>
      <c r="D2759" s="2" t="s">
        <v>27750</v>
      </c>
      <c r="E2759" s="2" t="s">
        <v>27751</v>
      </c>
      <c r="G2759" s="3" t="s">
        <v>64</v>
      </c>
      <c r="I2759" s="3" t="s">
        <v>64</v>
      </c>
      <c r="J2759" s="3" t="s">
        <v>64</v>
      </c>
      <c r="K2759" s="3" t="s">
        <v>65</v>
      </c>
      <c r="M2759" s="2" t="s">
        <v>18816</v>
      </c>
      <c r="N2759" s="3" t="s">
        <v>326</v>
      </c>
      <c r="P2759" s="3" t="s">
        <v>102</v>
      </c>
      <c r="R2759" s="3" t="s">
        <v>70</v>
      </c>
      <c r="S2759" s="4">
        <v>0</v>
      </c>
      <c r="T2759" s="4">
        <v>0</v>
      </c>
      <c r="W2759" s="5" t="s">
        <v>72</v>
      </c>
      <c r="X2759" s="5" t="s">
        <v>72</v>
      </c>
      <c r="Y2759" s="4">
        <v>260</v>
      </c>
      <c r="Z2759" s="4">
        <v>16</v>
      </c>
      <c r="AA2759" s="4">
        <v>20</v>
      </c>
      <c r="AB2759" s="4">
        <v>1</v>
      </c>
      <c r="AC2759" s="4">
        <v>5</v>
      </c>
      <c r="AD2759" s="4">
        <v>80</v>
      </c>
      <c r="AE2759" s="4">
        <v>82</v>
      </c>
      <c r="AF2759" s="4">
        <v>0</v>
      </c>
      <c r="AG2759" s="4">
        <v>2</v>
      </c>
      <c r="AH2759" s="4">
        <v>74</v>
      </c>
      <c r="AI2759" s="4">
        <v>75</v>
      </c>
      <c r="AJ2759" s="4">
        <v>13</v>
      </c>
      <c r="AK2759" s="4">
        <v>15</v>
      </c>
      <c r="AL2759" s="4">
        <v>39</v>
      </c>
      <c r="AM2759" s="4">
        <v>39</v>
      </c>
      <c r="AN2759" s="4">
        <v>0</v>
      </c>
      <c r="AO2759" s="4">
        <v>0</v>
      </c>
      <c r="AP2759" s="4">
        <v>14</v>
      </c>
      <c r="AQ2759" s="4">
        <v>15</v>
      </c>
      <c r="AR2759" s="3" t="s">
        <v>64</v>
      </c>
      <c r="AS2759" s="3" t="s">
        <v>64</v>
      </c>
      <c r="AT2759" s="3" t="s">
        <v>64</v>
      </c>
      <c r="AV2759" s="6" t="str">
        <f>HYPERLINK("http://mcgill.on.worldcat.org/oclc/716068728","Catalog Record")</f>
        <v>Catalog Record</v>
      </c>
      <c r="AW2759" s="6" t="str">
        <f>HYPERLINK("http://www.worldcat.org/oclc/716068728","WorldCat Record")</f>
        <v>WorldCat Record</v>
      </c>
      <c r="AX2759" s="3" t="s">
        <v>27752</v>
      </c>
      <c r="AY2759" s="3" t="s">
        <v>27753</v>
      </c>
      <c r="AZ2759" s="3" t="s">
        <v>27754</v>
      </c>
      <c r="BA2759" s="3" t="s">
        <v>27754</v>
      </c>
      <c r="BB2759" s="3" t="s">
        <v>27755</v>
      </c>
      <c r="BC2759" s="3" t="s">
        <v>77</v>
      </c>
      <c r="BD2759" s="3" t="s">
        <v>78</v>
      </c>
      <c r="BE2759" s="3" t="s">
        <v>27756</v>
      </c>
      <c r="BF2759" s="3" t="s">
        <v>27755</v>
      </c>
      <c r="BG2759" s="3" t="s">
        <v>27757</v>
      </c>
      <c r="BH2759">
        <f t="shared" si="67"/>
        <v>0</v>
      </c>
    </row>
    <row r="2760" spans="1:60" ht="58" x14ac:dyDescent="0.35">
      <c r="A2760" s="2" t="s">
        <v>59</v>
      </c>
      <c r="B2760" s="2" t="s">
        <v>60</v>
      </c>
      <c r="C2760" s="2" t="s">
        <v>27758</v>
      </c>
      <c r="D2760" s="2" t="s">
        <v>27759</v>
      </c>
      <c r="E2760" s="2" t="s">
        <v>27760</v>
      </c>
      <c r="G2760" s="3" t="s">
        <v>64</v>
      </c>
      <c r="I2760" s="3" t="s">
        <v>64</v>
      </c>
      <c r="J2760" s="3" t="s">
        <v>64</v>
      </c>
      <c r="K2760" s="3" t="s">
        <v>65</v>
      </c>
      <c r="M2760" s="2" t="s">
        <v>27761</v>
      </c>
      <c r="N2760" s="3" t="s">
        <v>67</v>
      </c>
      <c r="P2760" s="3" t="s">
        <v>102</v>
      </c>
      <c r="R2760" s="3" t="s">
        <v>70</v>
      </c>
      <c r="S2760" s="4">
        <v>0</v>
      </c>
      <c r="T2760" s="4">
        <v>0</v>
      </c>
      <c r="W2760" s="5" t="s">
        <v>72</v>
      </c>
      <c r="X2760" s="5" t="s">
        <v>72</v>
      </c>
      <c r="Y2760" s="4">
        <v>41</v>
      </c>
      <c r="Z2760" s="4">
        <v>3</v>
      </c>
      <c r="AA2760" s="4">
        <v>5</v>
      </c>
      <c r="AB2760" s="4">
        <v>1</v>
      </c>
      <c r="AC2760" s="4">
        <v>3</v>
      </c>
      <c r="AD2760" s="4">
        <v>10</v>
      </c>
      <c r="AE2760" s="4">
        <v>10</v>
      </c>
      <c r="AF2760" s="4">
        <v>0</v>
      </c>
      <c r="AG2760" s="4">
        <v>0</v>
      </c>
      <c r="AH2760" s="4">
        <v>9</v>
      </c>
      <c r="AI2760" s="4">
        <v>9</v>
      </c>
      <c r="AJ2760" s="4">
        <v>2</v>
      </c>
      <c r="AK2760" s="4">
        <v>2</v>
      </c>
      <c r="AL2760" s="4">
        <v>5</v>
      </c>
      <c r="AM2760" s="4">
        <v>5</v>
      </c>
      <c r="AN2760" s="4">
        <v>0</v>
      </c>
      <c r="AO2760" s="4">
        <v>0</v>
      </c>
      <c r="AP2760" s="4">
        <v>2</v>
      </c>
      <c r="AQ2760" s="4">
        <v>2</v>
      </c>
      <c r="AR2760" s="3" t="s">
        <v>64</v>
      </c>
      <c r="AS2760" s="3" t="s">
        <v>64</v>
      </c>
      <c r="AT2760" s="3" t="s">
        <v>64</v>
      </c>
      <c r="AV2760" s="6" t="str">
        <f>HYPERLINK("http://mcgill.on.worldcat.org/oclc/875239612","Catalog Record")</f>
        <v>Catalog Record</v>
      </c>
      <c r="AW2760" s="6" t="str">
        <f>HYPERLINK("http://www.worldcat.org/oclc/875239612","WorldCat Record")</f>
        <v>WorldCat Record</v>
      </c>
      <c r="AX2760" s="3" t="s">
        <v>27762</v>
      </c>
      <c r="AY2760" s="3" t="s">
        <v>27763</v>
      </c>
      <c r="AZ2760" s="3" t="s">
        <v>27764</v>
      </c>
      <c r="BA2760" s="3" t="s">
        <v>27764</v>
      </c>
      <c r="BB2760" s="3" t="s">
        <v>27765</v>
      </c>
      <c r="BC2760" s="3" t="s">
        <v>77</v>
      </c>
      <c r="BD2760" s="3" t="s">
        <v>78</v>
      </c>
      <c r="BE2760" s="3" t="s">
        <v>27766</v>
      </c>
      <c r="BF2760" s="3" t="s">
        <v>27765</v>
      </c>
      <c r="BG2760" s="3" t="s">
        <v>27767</v>
      </c>
      <c r="BH2760">
        <f t="shared" si="67"/>
        <v>0</v>
      </c>
    </row>
    <row r="2761" spans="1:60" ht="58" x14ac:dyDescent="0.35">
      <c r="A2761" s="2" t="s">
        <v>59</v>
      </c>
      <c r="B2761" s="2" t="s">
        <v>60</v>
      </c>
      <c r="C2761" s="2" t="s">
        <v>27768</v>
      </c>
      <c r="D2761" s="2" t="s">
        <v>27769</v>
      </c>
      <c r="E2761" s="2" t="s">
        <v>27770</v>
      </c>
      <c r="G2761" s="3" t="s">
        <v>64</v>
      </c>
      <c r="I2761" s="3" t="s">
        <v>64</v>
      </c>
      <c r="J2761" s="3" t="s">
        <v>64</v>
      </c>
      <c r="K2761" s="3" t="s">
        <v>65</v>
      </c>
      <c r="L2761" s="2" t="s">
        <v>26643</v>
      </c>
      <c r="M2761" s="2" t="s">
        <v>16038</v>
      </c>
      <c r="N2761" s="3" t="s">
        <v>153</v>
      </c>
      <c r="P2761" s="3" t="s">
        <v>102</v>
      </c>
      <c r="R2761" s="3" t="s">
        <v>70</v>
      </c>
      <c r="S2761" s="4">
        <v>1</v>
      </c>
      <c r="T2761" s="4">
        <v>1</v>
      </c>
      <c r="U2761" s="5" t="s">
        <v>17037</v>
      </c>
      <c r="V2761" s="5" t="s">
        <v>17037</v>
      </c>
      <c r="W2761" s="5" t="s">
        <v>72</v>
      </c>
      <c r="X2761" s="5" t="s">
        <v>72</v>
      </c>
      <c r="Y2761" s="4">
        <v>474</v>
      </c>
      <c r="Z2761" s="4">
        <v>23</v>
      </c>
      <c r="AA2761" s="4">
        <v>104</v>
      </c>
      <c r="AB2761" s="4">
        <v>1</v>
      </c>
      <c r="AC2761" s="4">
        <v>18</v>
      </c>
      <c r="AD2761" s="4">
        <v>99</v>
      </c>
      <c r="AE2761" s="4">
        <v>140</v>
      </c>
      <c r="AF2761" s="4">
        <v>0</v>
      </c>
      <c r="AG2761" s="4">
        <v>8</v>
      </c>
      <c r="AH2761" s="4">
        <v>91</v>
      </c>
      <c r="AI2761" s="4">
        <v>104</v>
      </c>
      <c r="AJ2761" s="4">
        <v>12</v>
      </c>
      <c r="AK2761" s="4">
        <v>22</v>
      </c>
      <c r="AL2761" s="4">
        <v>45</v>
      </c>
      <c r="AM2761" s="4">
        <v>51</v>
      </c>
      <c r="AN2761" s="4">
        <v>0</v>
      </c>
      <c r="AO2761" s="4">
        <v>0</v>
      </c>
      <c r="AP2761" s="4">
        <v>13</v>
      </c>
      <c r="AQ2761" s="4">
        <v>44</v>
      </c>
      <c r="AR2761" s="3" t="s">
        <v>64</v>
      </c>
      <c r="AS2761" s="3" t="s">
        <v>64</v>
      </c>
      <c r="AT2761" s="3" t="s">
        <v>64</v>
      </c>
      <c r="AV2761" s="6" t="str">
        <f>HYPERLINK("http://mcgill.on.worldcat.org/oclc/38550045","Catalog Record")</f>
        <v>Catalog Record</v>
      </c>
      <c r="AW2761" s="6" t="str">
        <f>HYPERLINK("http://www.worldcat.org/oclc/38550045","WorldCat Record")</f>
        <v>WorldCat Record</v>
      </c>
      <c r="AX2761" s="3" t="s">
        <v>27771</v>
      </c>
      <c r="AY2761" s="3" t="s">
        <v>27772</v>
      </c>
      <c r="AZ2761" s="3" t="s">
        <v>27773</v>
      </c>
      <c r="BA2761" s="3" t="s">
        <v>27773</v>
      </c>
      <c r="BB2761" s="3" t="s">
        <v>27774</v>
      </c>
      <c r="BC2761" s="3" t="s">
        <v>77</v>
      </c>
      <c r="BD2761" s="3" t="s">
        <v>78</v>
      </c>
      <c r="BE2761" s="3" t="s">
        <v>27775</v>
      </c>
      <c r="BF2761" s="3" t="s">
        <v>27774</v>
      </c>
      <c r="BG2761" s="3" t="s">
        <v>27776</v>
      </c>
      <c r="BH2761">
        <f t="shared" si="67"/>
        <v>0</v>
      </c>
    </row>
    <row r="2762" spans="1:60" ht="58" x14ac:dyDescent="0.35">
      <c r="A2762" s="2" t="s">
        <v>59</v>
      </c>
      <c r="B2762" s="2" t="s">
        <v>60</v>
      </c>
      <c r="C2762" s="2" t="s">
        <v>27777</v>
      </c>
      <c r="D2762" s="2" t="s">
        <v>27778</v>
      </c>
      <c r="E2762" s="2" t="s">
        <v>27779</v>
      </c>
      <c r="F2762" s="3" t="s">
        <v>7669</v>
      </c>
      <c r="G2762" s="3" t="s">
        <v>64</v>
      </c>
      <c r="I2762" s="3" t="s">
        <v>64</v>
      </c>
      <c r="J2762" s="3" t="s">
        <v>64</v>
      </c>
      <c r="K2762" s="3" t="s">
        <v>65</v>
      </c>
      <c r="L2762" s="2" t="s">
        <v>27780</v>
      </c>
      <c r="M2762" s="2" t="s">
        <v>27781</v>
      </c>
      <c r="N2762" s="3" t="s">
        <v>291</v>
      </c>
      <c r="P2762" s="3" t="s">
        <v>102</v>
      </c>
      <c r="R2762" s="3" t="s">
        <v>70</v>
      </c>
      <c r="S2762" s="4">
        <v>9</v>
      </c>
      <c r="T2762" s="4">
        <v>9</v>
      </c>
      <c r="U2762" s="5" t="s">
        <v>14294</v>
      </c>
      <c r="V2762" s="5" t="s">
        <v>14294</v>
      </c>
      <c r="W2762" s="5" t="s">
        <v>72</v>
      </c>
      <c r="X2762" s="5" t="s">
        <v>72</v>
      </c>
      <c r="Y2762" s="4">
        <v>64</v>
      </c>
      <c r="Z2762" s="4">
        <v>10</v>
      </c>
      <c r="AA2762" s="4">
        <v>11</v>
      </c>
      <c r="AB2762" s="4">
        <v>2</v>
      </c>
      <c r="AC2762" s="4">
        <v>3</v>
      </c>
      <c r="AD2762" s="4">
        <v>10</v>
      </c>
      <c r="AE2762" s="4">
        <v>11</v>
      </c>
      <c r="AF2762" s="4">
        <v>0</v>
      </c>
      <c r="AG2762" s="4">
        <v>1</v>
      </c>
      <c r="AH2762" s="4">
        <v>7</v>
      </c>
      <c r="AI2762" s="4">
        <v>7</v>
      </c>
      <c r="AJ2762" s="4">
        <v>5</v>
      </c>
      <c r="AK2762" s="4">
        <v>6</v>
      </c>
      <c r="AL2762" s="4">
        <v>3</v>
      </c>
      <c r="AM2762" s="4">
        <v>3</v>
      </c>
      <c r="AN2762" s="4">
        <v>0</v>
      </c>
      <c r="AO2762" s="4">
        <v>0</v>
      </c>
      <c r="AP2762" s="4">
        <v>5</v>
      </c>
      <c r="AQ2762" s="4">
        <v>5</v>
      </c>
      <c r="AR2762" s="3" t="s">
        <v>64</v>
      </c>
      <c r="AS2762" s="3" t="s">
        <v>64</v>
      </c>
      <c r="AT2762" s="3" t="s">
        <v>64</v>
      </c>
      <c r="AV2762" s="6" t="str">
        <f>HYPERLINK("http://mcgill.on.worldcat.org/oclc/173807161","Catalog Record")</f>
        <v>Catalog Record</v>
      </c>
      <c r="AW2762" s="6" t="str">
        <f>HYPERLINK("http://www.worldcat.org/oclc/173807161","WorldCat Record")</f>
        <v>WorldCat Record</v>
      </c>
      <c r="AX2762" s="3" t="s">
        <v>27782</v>
      </c>
      <c r="AY2762" s="3" t="s">
        <v>27783</v>
      </c>
      <c r="AZ2762" s="3" t="s">
        <v>27784</v>
      </c>
      <c r="BA2762" s="3" t="s">
        <v>27784</v>
      </c>
      <c r="BB2762" s="3" t="s">
        <v>27785</v>
      </c>
      <c r="BC2762" s="3" t="s">
        <v>77</v>
      </c>
      <c r="BD2762" s="3" t="s">
        <v>78</v>
      </c>
      <c r="BE2762" s="3" t="s">
        <v>27786</v>
      </c>
      <c r="BF2762" s="3" t="s">
        <v>27785</v>
      </c>
      <c r="BG2762" s="3" t="s">
        <v>27787</v>
      </c>
      <c r="BH2762">
        <f t="shared" si="67"/>
        <v>0</v>
      </c>
    </row>
    <row r="2763" spans="1:60" ht="58" x14ac:dyDescent="0.35">
      <c r="A2763" s="2" t="s">
        <v>59</v>
      </c>
      <c r="B2763" s="2" t="s">
        <v>60</v>
      </c>
      <c r="C2763" s="2" t="s">
        <v>27788</v>
      </c>
      <c r="D2763" s="2" t="s">
        <v>27789</v>
      </c>
      <c r="E2763" s="2" t="s">
        <v>27790</v>
      </c>
      <c r="G2763" s="3" t="s">
        <v>64</v>
      </c>
      <c r="I2763" s="3" t="s">
        <v>64</v>
      </c>
      <c r="J2763" s="3" t="s">
        <v>64</v>
      </c>
      <c r="K2763" s="3" t="s">
        <v>65</v>
      </c>
      <c r="L2763" s="2" t="s">
        <v>27791</v>
      </c>
      <c r="M2763" s="2" t="s">
        <v>27792</v>
      </c>
      <c r="N2763" s="3" t="s">
        <v>1031</v>
      </c>
      <c r="P2763" s="3" t="s">
        <v>102</v>
      </c>
      <c r="R2763" s="3" t="s">
        <v>70</v>
      </c>
      <c r="S2763" s="4">
        <v>24</v>
      </c>
      <c r="T2763" s="4">
        <v>24</v>
      </c>
      <c r="U2763" s="5" t="s">
        <v>4369</v>
      </c>
      <c r="V2763" s="5" t="s">
        <v>4369</v>
      </c>
      <c r="W2763" s="5" t="s">
        <v>72</v>
      </c>
      <c r="X2763" s="5" t="s">
        <v>72</v>
      </c>
      <c r="Y2763" s="4">
        <v>106</v>
      </c>
      <c r="Z2763" s="4">
        <v>9</v>
      </c>
      <c r="AA2763" s="4">
        <v>10</v>
      </c>
      <c r="AB2763" s="4">
        <v>1</v>
      </c>
      <c r="AC2763" s="4">
        <v>1</v>
      </c>
      <c r="AD2763" s="4">
        <v>30</v>
      </c>
      <c r="AE2763" s="4">
        <v>34</v>
      </c>
      <c r="AF2763" s="4">
        <v>0</v>
      </c>
      <c r="AG2763" s="4">
        <v>0</v>
      </c>
      <c r="AH2763" s="4">
        <v>27</v>
      </c>
      <c r="AI2763" s="4">
        <v>31</v>
      </c>
      <c r="AJ2763" s="4">
        <v>6</v>
      </c>
      <c r="AK2763" s="4">
        <v>6</v>
      </c>
      <c r="AL2763" s="4">
        <v>14</v>
      </c>
      <c r="AM2763" s="4">
        <v>17</v>
      </c>
      <c r="AN2763" s="4">
        <v>0</v>
      </c>
      <c r="AO2763" s="4">
        <v>0</v>
      </c>
      <c r="AP2763" s="4">
        <v>7</v>
      </c>
      <c r="AQ2763" s="4">
        <v>7</v>
      </c>
      <c r="AR2763" s="3" t="s">
        <v>64</v>
      </c>
      <c r="AS2763" s="3" t="s">
        <v>64</v>
      </c>
      <c r="AT2763" s="3" t="s">
        <v>128</v>
      </c>
      <c r="AU2763" s="6" t="str">
        <f>HYPERLINK("http://catalog.hathitrust.org/Record/002704799","HathiTrust Record")</f>
        <v>HathiTrust Record</v>
      </c>
      <c r="AV2763" s="6" t="str">
        <f>HYPERLINK("http://mcgill.on.worldcat.org/oclc/27224225","Catalog Record")</f>
        <v>Catalog Record</v>
      </c>
      <c r="AW2763" s="6" t="str">
        <f>HYPERLINK("http://www.worldcat.org/oclc/27224225","WorldCat Record")</f>
        <v>WorldCat Record</v>
      </c>
      <c r="AX2763" s="3" t="s">
        <v>27793</v>
      </c>
      <c r="AY2763" s="3" t="s">
        <v>27794</v>
      </c>
      <c r="AZ2763" s="3" t="s">
        <v>27795</v>
      </c>
      <c r="BA2763" s="3" t="s">
        <v>27795</v>
      </c>
      <c r="BB2763" s="3" t="s">
        <v>27796</v>
      </c>
      <c r="BC2763" s="3" t="s">
        <v>77</v>
      </c>
      <c r="BD2763" s="3" t="s">
        <v>78</v>
      </c>
      <c r="BE2763" s="3" t="s">
        <v>27797</v>
      </c>
      <c r="BF2763" s="3" t="s">
        <v>27796</v>
      </c>
      <c r="BG2763" s="3" t="s">
        <v>27798</v>
      </c>
      <c r="BH2763">
        <f t="shared" si="67"/>
        <v>0</v>
      </c>
    </row>
    <row r="2764" spans="1:60" ht="58" x14ac:dyDescent="0.35">
      <c r="A2764" s="2" t="s">
        <v>59</v>
      </c>
      <c r="B2764" s="2" t="s">
        <v>60</v>
      </c>
      <c r="C2764" s="2" t="s">
        <v>27799</v>
      </c>
      <c r="D2764" s="2" t="s">
        <v>27800</v>
      </c>
      <c r="E2764" s="2" t="s">
        <v>27801</v>
      </c>
      <c r="G2764" s="3" t="s">
        <v>64</v>
      </c>
      <c r="I2764" s="3" t="s">
        <v>64</v>
      </c>
      <c r="J2764" s="3" t="s">
        <v>64</v>
      </c>
      <c r="K2764" s="3" t="s">
        <v>65</v>
      </c>
      <c r="M2764" s="2" t="s">
        <v>27802</v>
      </c>
      <c r="N2764" s="3" t="s">
        <v>1938</v>
      </c>
      <c r="P2764" s="3" t="s">
        <v>102</v>
      </c>
      <c r="R2764" s="3" t="s">
        <v>70</v>
      </c>
      <c r="S2764" s="4">
        <v>9</v>
      </c>
      <c r="T2764" s="4">
        <v>9</v>
      </c>
      <c r="U2764" s="5" t="s">
        <v>4369</v>
      </c>
      <c r="V2764" s="5" t="s">
        <v>4369</v>
      </c>
      <c r="W2764" s="5" t="s">
        <v>72</v>
      </c>
      <c r="X2764" s="5" t="s">
        <v>72</v>
      </c>
      <c r="Y2764" s="4">
        <v>226</v>
      </c>
      <c r="Z2764" s="4">
        <v>22</v>
      </c>
      <c r="AA2764" s="4">
        <v>22</v>
      </c>
      <c r="AB2764" s="4">
        <v>2</v>
      </c>
      <c r="AC2764" s="4">
        <v>2</v>
      </c>
      <c r="AD2764" s="4">
        <v>62</v>
      </c>
      <c r="AE2764" s="4">
        <v>62</v>
      </c>
      <c r="AF2764" s="4">
        <v>1</v>
      </c>
      <c r="AG2764" s="4">
        <v>1</v>
      </c>
      <c r="AH2764" s="4">
        <v>55</v>
      </c>
      <c r="AI2764" s="4">
        <v>55</v>
      </c>
      <c r="AJ2764" s="4">
        <v>11</v>
      </c>
      <c r="AK2764" s="4">
        <v>11</v>
      </c>
      <c r="AL2764" s="4">
        <v>27</v>
      </c>
      <c r="AM2764" s="4">
        <v>27</v>
      </c>
      <c r="AN2764" s="4">
        <v>0</v>
      </c>
      <c r="AO2764" s="4">
        <v>0</v>
      </c>
      <c r="AP2764" s="4">
        <v>13</v>
      </c>
      <c r="AQ2764" s="4">
        <v>13</v>
      </c>
      <c r="AR2764" s="3" t="s">
        <v>64</v>
      </c>
      <c r="AS2764" s="3" t="s">
        <v>64</v>
      </c>
      <c r="AT2764" s="3" t="s">
        <v>128</v>
      </c>
      <c r="AU2764" s="6" t="str">
        <f>HYPERLINK("http://catalog.hathitrust.org/Record/002453231","HathiTrust Record")</f>
        <v>HathiTrust Record</v>
      </c>
      <c r="AV2764" s="6" t="str">
        <f>HYPERLINK("http://mcgill.on.worldcat.org/oclc/21675338","Catalog Record")</f>
        <v>Catalog Record</v>
      </c>
      <c r="AW2764" s="6" t="str">
        <f>HYPERLINK("http://www.worldcat.org/oclc/21675338","WorldCat Record")</f>
        <v>WorldCat Record</v>
      </c>
      <c r="AX2764" s="3" t="s">
        <v>27803</v>
      </c>
      <c r="AY2764" s="3" t="s">
        <v>27804</v>
      </c>
      <c r="AZ2764" s="3" t="s">
        <v>27805</v>
      </c>
      <c r="BA2764" s="3" t="s">
        <v>27805</v>
      </c>
      <c r="BB2764" s="3" t="s">
        <v>27806</v>
      </c>
      <c r="BC2764" s="3" t="s">
        <v>77</v>
      </c>
      <c r="BD2764" s="3" t="s">
        <v>78</v>
      </c>
      <c r="BE2764" s="3" t="s">
        <v>27807</v>
      </c>
      <c r="BF2764" s="3" t="s">
        <v>27806</v>
      </c>
      <c r="BG2764" s="3" t="s">
        <v>27808</v>
      </c>
      <c r="BH2764">
        <f t="shared" si="67"/>
        <v>0</v>
      </c>
    </row>
    <row r="2765" spans="1:60" ht="72.5" x14ac:dyDescent="0.35">
      <c r="A2765" s="2" t="s">
        <v>59</v>
      </c>
      <c r="B2765" s="2" t="s">
        <v>60</v>
      </c>
      <c r="C2765" s="2" t="s">
        <v>27809</v>
      </c>
      <c r="D2765" s="2" t="s">
        <v>27810</v>
      </c>
      <c r="E2765" s="2" t="s">
        <v>27811</v>
      </c>
      <c r="G2765" s="3" t="s">
        <v>64</v>
      </c>
      <c r="I2765" s="3" t="s">
        <v>64</v>
      </c>
      <c r="J2765" s="3" t="s">
        <v>128</v>
      </c>
      <c r="K2765" s="3" t="s">
        <v>65</v>
      </c>
      <c r="L2765" s="2" t="s">
        <v>27812</v>
      </c>
      <c r="M2765" s="2" t="s">
        <v>23525</v>
      </c>
      <c r="N2765" s="3" t="s">
        <v>1263</v>
      </c>
      <c r="P2765" s="3" t="s">
        <v>102</v>
      </c>
      <c r="Q2765" s="2" t="s">
        <v>27813</v>
      </c>
      <c r="R2765" s="3" t="s">
        <v>70</v>
      </c>
      <c r="S2765" s="4">
        <v>26</v>
      </c>
      <c r="T2765" s="4">
        <v>26</v>
      </c>
      <c r="U2765" s="5" t="s">
        <v>27814</v>
      </c>
      <c r="V2765" s="5" t="s">
        <v>27814</v>
      </c>
      <c r="W2765" s="5" t="s">
        <v>72</v>
      </c>
      <c r="X2765" s="5" t="s">
        <v>72</v>
      </c>
      <c r="Y2765" s="4">
        <v>224</v>
      </c>
      <c r="Z2765" s="4">
        <v>16</v>
      </c>
      <c r="AA2765" s="4">
        <v>27</v>
      </c>
      <c r="AB2765" s="4">
        <v>2</v>
      </c>
      <c r="AC2765" s="4">
        <v>5</v>
      </c>
      <c r="AD2765" s="4">
        <v>63</v>
      </c>
      <c r="AE2765" s="4">
        <v>97</v>
      </c>
      <c r="AF2765" s="4">
        <v>1</v>
      </c>
      <c r="AG2765" s="4">
        <v>2</v>
      </c>
      <c r="AH2765" s="4">
        <v>57</v>
      </c>
      <c r="AI2765" s="4">
        <v>86</v>
      </c>
      <c r="AJ2765" s="4">
        <v>9</v>
      </c>
      <c r="AK2765" s="4">
        <v>10</v>
      </c>
      <c r="AL2765" s="4">
        <v>29</v>
      </c>
      <c r="AM2765" s="4">
        <v>43</v>
      </c>
      <c r="AN2765" s="4">
        <v>0</v>
      </c>
      <c r="AO2765" s="4">
        <v>0</v>
      </c>
      <c r="AP2765" s="4">
        <v>11</v>
      </c>
      <c r="AQ2765" s="4">
        <v>15</v>
      </c>
      <c r="AR2765" s="3" t="s">
        <v>64</v>
      </c>
      <c r="AS2765" s="3" t="s">
        <v>64</v>
      </c>
      <c r="AT2765" s="3" t="s">
        <v>128</v>
      </c>
      <c r="AU2765" s="6" t="str">
        <f>HYPERLINK("http://catalog.hathitrust.org/Record/002808186","HathiTrust Record")</f>
        <v>HathiTrust Record</v>
      </c>
      <c r="AV2765" s="6" t="str">
        <f>HYPERLINK("http://mcgill.on.worldcat.org/oclc/28257554","Catalog Record")</f>
        <v>Catalog Record</v>
      </c>
      <c r="AW2765" s="6" t="str">
        <f>HYPERLINK("http://www.worldcat.org/oclc/28257554","WorldCat Record")</f>
        <v>WorldCat Record</v>
      </c>
      <c r="AX2765" s="3" t="s">
        <v>27815</v>
      </c>
      <c r="AY2765" s="3" t="s">
        <v>27816</v>
      </c>
      <c r="AZ2765" s="3" t="s">
        <v>27817</v>
      </c>
      <c r="BA2765" s="3" t="s">
        <v>27817</v>
      </c>
      <c r="BB2765" s="3" t="s">
        <v>27818</v>
      </c>
      <c r="BC2765" s="3" t="s">
        <v>77</v>
      </c>
      <c r="BD2765" s="3" t="s">
        <v>78</v>
      </c>
      <c r="BE2765" s="3" t="s">
        <v>27819</v>
      </c>
      <c r="BF2765" s="3" t="s">
        <v>27818</v>
      </c>
      <c r="BG2765" s="3" t="s">
        <v>27820</v>
      </c>
      <c r="BH2765">
        <f t="shared" si="67"/>
        <v>0</v>
      </c>
    </row>
    <row r="2766" spans="1:60" ht="58" x14ac:dyDescent="0.35">
      <c r="A2766" s="2" t="s">
        <v>59</v>
      </c>
      <c r="B2766" s="2" t="s">
        <v>60</v>
      </c>
      <c r="C2766" s="2" t="s">
        <v>27821</v>
      </c>
      <c r="D2766" s="2" t="s">
        <v>27822</v>
      </c>
      <c r="E2766" s="2" t="s">
        <v>27823</v>
      </c>
      <c r="G2766" s="3" t="s">
        <v>64</v>
      </c>
      <c r="I2766" s="3" t="s">
        <v>64</v>
      </c>
      <c r="J2766" s="3" t="s">
        <v>64</v>
      </c>
      <c r="K2766" s="3" t="s">
        <v>65</v>
      </c>
      <c r="L2766" s="2" t="s">
        <v>27824</v>
      </c>
      <c r="M2766" s="2" t="s">
        <v>27825</v>
      </c>
      <c r="N2766" s="3" t="s">
        <v>291</v>
      </c>
      <c r="P2766" s="3" t="s">
        <v>102</v>
      </c>
      <c r="R2766" s="3" t="s">
        <v>70</v>
      </c>
      <c r="S2766" s="4">
        <v>4</v>
      </c>
      <c r="T2766" s="4">
        <v>4</v>
      </c>
      <c r="U2766" s="5" t="s">
        <v>19908</v>
      </c>
      <c r="V2766" s="5" t="s">
        <v>19908</v>
      </c>
      <c r="W2766" s="5" t="s">
        <v>72</v>
      </c>
      <c r="X2766" s="5" t="s">
        <v>72</v>
      </c>
      <c r="Y2766" s="4">
        <v>183</v>
      </c>
      <c r="Z2766" s="4">
        <v>17</v>
      </c>
      <c r="AA2766" s="4">
        <v>101</v>
      </c>
      <c r="AB2766" s="4">
        <v>3</v>
      </c>
      <c r="AC2766" s="4">
        <v>19</v>
      </c>
      <c r="AD2766" s="4">
        <v>54</v>
      </c>
      <c r="AE2766" s="4">
        <v>117</v>
      </c>
      <c r="AF2766" s="4">
        <v>0</v>
      </c>
      <c r="AG2766" s="4">
        <v>8</v>
      </c>
      <c r="AH2766" s="4">
        <v>51</v>
      </c>
      <c r="AI2766" s="4">
        <v>80</v>
      </c>
      <c r="AJ2766" s="4">
        <v>11</v>
      </c>
      <c r="AK2766" s="4">
        <v>24</v>
      </c>
      <c r="AL2766" s="4">
        <v>29</v>
      </c>
      <c r="AM2766" s="4">
        <v>39</v>
      </c>
      <c r="AN2766" s="4">
        <v>0</v>
      </c>
      <c r="AO2766" s="4">
        <v>0</v>
      </c>
      <c r="AP2766" s="4">
        <v>11</v>
      </c>
      <c r="AQ2766" s="4">
        <v>45</v>
      </c>
      <c r="AR2766" s="3" t="s">
        <v>64</v>
      </c>
      <c r="AS2766" s="3" t="s">
        <v>64</v>
      </c>
      <c r="AT2766" s="3" t="s">
        <v>64</v>
      </c>
      <c r="AV2766" s="6" t="str">
        <f>HYPERLINK("http://mcgill.on.worldcat.org/oclc/182552863","Catalog Record")</f>
        <v>Catalog Record</v>
      </c>
      <c r="AW2766" s="6" t="str">
        <f>HYPERLINK("http://www.worldcat.org/oclc/182552863","WorldCat Record")</f>
        <v>WorldCat Record</v>
      </c>
      <c r="AX2766" s="3" t="s">
        <v>27826</v>
      </c>
      <c r="AY2766" s="3" t="s">
        <v>27827</v>
      </c>
      <c r="AZ2766" s="3" t="s">
        <v>27828</v>
      </c>
      <c r="BA2766" s="3" t="s">
        <v>27828</v>
      </c>
      <c r="BB2766" s="3" t="s">
        <v>27829</v>
      </c>
      <c r="BC2766" s="3" t="s">
        <v>77</v>
      </c>
      <c r="BD2766" s="3" t="s">
        <v>78</v>
      </c>
      <c r="BE2766" s="3" t="s">
        <v>27830</v>
      </c>
      <c r="BF2766" s="3" t="s">
        <v>27829</v>
      </c>
      <c r="BG2766" s="3" t="s">
        <v>27831</v>
      </c>
      <c r="BH2766">
        <f t="shared" si="67"/>
        <v>0</v>
      </c>
    </row>
    <row r="2767" spans="1:60" ht="58" x14ac:dyDescent="0.35">
      <c r="A2767" s="2" t="s">
        <v>59</v>
      </c>
      <c r="B2767" s="2" t="s">
        <v>60</v>
      </c>
      <c r="C2767" s="2" t="s">
        <v>27832</v>
      </c>
      <c r="D2767" s="2" t="s">
        <v>27833</v>
      </c>
      <c r="E2767" s="2" t="s">
        <v>27834</v>
      </c>
      <c r="G2767" s="3" t="s">
        <v>64</v>
      </c>
      <c r="I2767" s="3" t="s">
        <v>64</v>
      </c>
      <c r="J2767" s="3" t="s">
        <v>64</v>
      </c>
      <c r="K2767" s="3" t="s">
        <v>65</v>
      </c>
      <c r="L2767" s="2" t="s">
        <v>27835</v>
      </c>
      <c r="M2767" s="2" t="s">
        <v>27836</v>
      </c>
      <c r="N2767" s="3" t="s">
        <v>1750</v>
      </c>
      <c r="P2767" s="3" t="s">
        <v>102</v>
      </c>
      <c r="R2767" s="3" t="s">
        <v>70</v>
      </c>
      <c r="S2767" s="4">
        <v>4</v>
      </c>
      <c r="T2767" s="4">
        <v>4</v>
      </c>
      <c r="U2767" s="5" t="s">
        <v>26202</v>
      </c>
      <c r="V2767" s="5" t="s">
        <v>26202</v>
      </c>
      <c r="W2767" s="5" t="s">
        <v>72</v>
      </c>
      <c r="X2767" s="5" t="s">
        <v>72</v>
      </c>
      <c r="Y2767" s="4">
        <v>153</v>
      </c>
      <c r="Z2767" s="4">
        <v>14</v>
      </c>
      <c r="AA2767" s="4">
        <v>14</v>
      </c>
      <c r="AB2767" s="4">
        <v>3</v>
      </c>
      <c r="AC2767" s="4">
        <v>3</v>
      </c>
      <c r="AD2767" s="4">
        <v>49</v>
      </c>
      <c r="AE2767" s="4">
        <v>50</v>
      </c>
      <c r="AF2767" s="4">
        <v>1</v>
      </c>
      <c r="AG2767" s="4">
        <v>1</v>
      </c>
      <c r="AH2767" s="4">
        <v>44</v>
      </c>
      <c r="AI2767" s="4">
        <v>45</v>
      </c>
      <c r="AJ2767" s="4">
        <v>9</v>
      </c>
      <c r="AK2767" s="4">
        <v>9</v>
      </c>
      <c r="AL2767" s="4">
        <v>27</v>
      </c>
      <c r="AM2767" s="4">
        <v>27</v>
      </c>
      <c r="AN2767" s="4">
        <v>0</v>
      </c>
      <c r="AO2767" s="4">
        <v>0</v>
      </c>
      <c r="AP2767" s="4">
        <v>8</v>
      </c>
      <c r="AQ2767" s="4">
        <v>8</v>
      </c>
      <c r="AR2767" s="3" t="s">
        <v>64</v>
      </c>
      <c r="AS2767" s="3" t="s">
        <v>128</v>
      </c>
      <c r="AT2767" s="3" t="s">
        <v>64</v>
      </c>
      <c r="AU2767" s="6" t="str">
        <f>HYPERLINK("http://catalog.hathitrust.org/Record/002993527","HathiTrust Record")</f>
        <v>HathiTrust Record</v>
      </c>
      <c r="AV2767" s="6" t="str">
        <f>HYPERLINK("http://mcgill.on.worldcat.org/oclc/2021210","Catalog Record")</f>
        <v>Catalog Record</v>
      </c>
      <c r="AW2767" s="6" t="str">
        <f>HYPERLINK("http://www.worldcat.org/oclc/2021210","WorldCat Record")</f>
        <v>WorldCat Record</v>
      </c>
      <c r="AX2767" s="3" t="s">
        <v>27837</v>
      </c>
      <c r="AY2767" s="3" t="s">
        <v>27838</v>
      </c>
      <c r="AZ2767" s="3" t="s">
        <v>27839</v>
      </c>
      <c r="BA2767" s="3" t="s">
        <v>27839</v>
      </c>
      <c r="BB2767" s="3" t="s">
        <v>27840</v>
      </c>
      <c r="BC2767" s="3" t="s">
        <v>77</v>
      </c>
      <c r="BD2767" s="3" t="s">
        <v>78</v>
      </c>
      <c r="BE2767" s="3" t="s">
        <v>27841</v>
      </c>
      <c r="BF2767" s="3" t="s">
        <v>27840</v>
      </c>
      <c r="BG2767" s="3" t="s">
        <v>27842</v>
      </c>
      <c r="BH2767">
        <f t="shared" si="67"/>
        <v>0</v>
      </c>
    </row>
    <row r="2768" spans="1:60" ht="58" x14ac:dyDescent="0.35">
      <c r="A2768" s="2" t="s">
        <v>59</v>
      </c>
      <c r="B2768" s="2" t="s">
        <v>60</v>
      </c>
      <c r="C2768" s="2" t="s">
        <v>27843</v>
      </c>
      <c r="D2768" s="2" t="s">
        <v>27844</v>
      </c>
      <c r="E2768" s="2" t="s">
        <v>27845</v>
      </c>
      <c r="G2768" s="3" t="s">
        <v>64</v>
      </c>
      <c r="I2768" s="3" t="s">
        <v>64</v>
      </c>
      <c r="J2768" s="3" t="s">
        <v>64</v>
      </c>
      <c r="K2768" s="3" t="s">
        <v>65</v>
      </c>
      <c r="L2768" s="2" t="s">
        <v>27846</v>
      </c>
      <c r="M2768" s="2" t="s">
        <v>27847</v>
      </c>
      <c r="N2768" s="3" t="s">
        <v>1047</v>
      </c>
      <c r="P2768" s="3" t="s">
        <v>102</v>
      </c>
      <c r="R2768" s="3" t="s">
        <v>70</v>
      </c>
      <c r="S2768" s="4">
        <v>8</v>
      </c>
      <c r="T2768" s="4">
        <v>8</v>
      </c>
      <c r="U2768" s="5" t="s">
        <v>26202</v>
      </c>
      <c r="V2768" s="5" t="s">
        <v>26202</v>
      </c>
      <c r="W2768" s="5" t="s">
        <v>72</v>
      </c>
      <c r="X2768" s="5" t="s">
        <v>72</v>
      </c>
      <c r="Y2768" s="4">
        <v>125</v>
      </c>
      <c r="Z2768" s="4">
        <v>11</v>
      </c>
      <c r="AA2768" s="4">
        <v>13</v>
      </c>
      <c r="AB2768" s="4">
        <v>2</v>
      </c>
      <c r="AC2768" s="4">
        <v>3</v>
      </c>
      <c r="AD2768" s="4">
        <v>40</v>
      </c>
      <c r="AE2768" s="4">
        <v>41</v>
      </c>
      <c r="AF2768" s="4">
        <v>0</v>
      </c>
      <c r="AG2768" s="4">
        <v>0</v>
      </c>
      <c r="AH2768" s="4">
        <v>35</v>
      </c>
      <c r="AI2768" s="4">
        <v>36</v>
      </c>
      <c r="AJ2768" s="4">
        <v>7</v>
      </c>
      <c r="AK2768" s="4">
        <v>7</v>
      </c>
      <c r="AL2768" s="4">
        <v>24</v>
      </c>
      <c r="AM2768" s="4">
        <v>24</v>
      </c>
      <c r="AN2768" s="4">
        <v>0</v>
      </c>
      <c r="AO2768" s="4">
        <v>0</v>
      </c>
      <c r="AP2768" s="4">
        <v>6</v>
      </c>
      <c r="AQ2768" s="4">
        <v>7</v>
      </c>
      <c r="AR2768" s="3" t="s">
        <v>64</v>
      </c>
      <c r="AS2768" s="3" t="s">
        <v>64</v>
      </c>
      <c r="AT2768" s="3" t="s">
        <v>128</v>
      </c>
      <c r="AU2768" s="6" t="str">
        <f>HYPERLINK("http://catalog.hathitrust.org/Record/000578235","HathiTrust Record")</f>
        <v>HathiTrust Record</v>
      </c>
      <c r="AV2768" s="6" t="str">
        <f>HYPERLINK("http://mcgill.on.worldcat.org/oclc/8661012","Catalog Record")</f>
        <v>Catalog Record</v>
      </c>
      <c r="AW2768" s="6" t="str">
        <f>HYPERLINK("http://www.worldcat.org/oclc/8661012","WorldCat Record")</f>
        <v>WorldCat Record</v>
      </c>
      <c r="AX2768" s="3" t="s">
        <v>27848</v>
      </c>
      <c r="AY2768" s="3" t="s">
        <v>27849</v>
      </c>
      <c r="AZ2768" s="3" t="s">
        <v>27850</v>
      </c>
      <c r="BA2768" s="3" t="s">
        <v>27850</v>
      </c>
      <c r="BB2768" s="3" t="s">
        <v>27851</v>
      </c>
      <c r="BC2768" s="3" t="s">
        <v>77</v>
      </c>
      <c r="BD2768" s="3" t="s">
        <v>78</v>
      </c>
      <c r="BE2768" s="3" t="s">
        <v>27852</v>
      </c>
      <c r="BF2768" s="3" t="s">
        <v>27851</v>
      </c>
      <c r="BG2768" s="3" t="s">
        <v>27853</v>
      </c>
      <c r="BH2768">
        <f t="shared" si="67"/>
        <v>0</v>
      </c>
    </row>
    <row r="2769" spans="1:60" ht="58" x14ac:dyDescent="0.35">
      <c r="A2769" s="2" t="s">
        <v>59</v>
      </c>
      <c r="B2769" s="2" t="s">
        <v>60</v>
      </c>
      <c r="C2769" s="2" t="s">
        <v>27854</v>
      </c>
      <c r="D2769" s="2" t="s">
        <v>27855</v>
      </c>
      <c r="E2769" s="2" t="s">
        <v>27856</v>
      </c>
      <c r="G2769" s="3" t="s">
        <v>64</v>
      </c>
      <c r="I2769" s="3" t="s">
        <v>64</v>
      </c>
      <c r="J2769" s="3" t="s">
        <v>128</v>
      </c>
      <c r="K2769" s="3" t="s">
        <v>65</v>
      </c>
      <c r="L2769" s="2" t="s">
        <v>27857</v>
      </c>
      <c r="M2769" s="2" t="s">
        <v>17338</v>
      </c>
      <c r="N2769" s="3" t="s">
        <v>1087</v>
      </c>
      <c r="P2769" s="3" t="s">
        <v>102</v>
      </c>
      <c r="R2769" s="3" t="s">
        <v>70</v>
      </c>
      <c r="S2769" s="4">
        <v>18</v>
      </c>
      <c r="T2769" s="4">
        <v>18</v>
      </c>
      <c r="U2769" s="5" t="s">
        <v>26202</v>
      </c>
      <c r="V2769" s="5" t="s">
        <v>26202</v>
      </c>
      <c r="W2769" s="5" t="s">
        <v>72</v>
      </c>
      <c r="X2769" s="5" t="s">
        <v>72</v>
      </c>
      <c r="Y2769" s="4">
        <v>667</v>
      </c>
      <c r="Z2769" s="4">
        <v>28</v>
      </c>
      <c r="AA2769" s="4">
        <v>76</v>
      </c>
      <c r="AB2769" s="4">
        <v>3</v>
      </c>
      <c r="AC2769" s="4">
        <v>10</v>
      </c>
      <c r="AD2769" s="4">
        <v>93</v>
      </c>
      <c r="AE2769" s="4">
        <v>127</v>
      </c>
      <c r="AF2769" s="4">
        <v>1</v>
      </c>
      <c r="AG2769" s="4">
        <v>2</v>
      </c>
      <c r="AH2769" s="4">
        <v>79</v>
      </c>
      <c r="AI2769" s="4">
        <v>103</v>
      </c>
      <c r="AJ2769" s="4">
        <v>13</v>
      </c>
      <c r="AK2769" s="4">
        <v>19</v>
      </c>
      <c r="AL2769" s="4">
        <v>40</v>
      </c>
      <c r="AM2769" s="4">
        <v>56</v>
      </c>
      <c r="AN2769" s="4">
        <v>0</v>
      </c>
      <c r="AO2769" s="4">
        <v>0</v>
      </c>
      <c r="AP2769" s="4">
        <v>18</v>
      </c>
      <c r="AQ2769" s="4">
        <v>25</v>
      </c>
      <c r="AR2769" s="3" t="s">
        <v>64</v>
      </c>
      <c r="AS2769" s="3" t="s">
        <v>128</v>
      </c>
      <c r="AT2769" s="3" t="s">
        <v>64</v>
      </c>
      <c r="AU2769" s="6" t="str">
        <f>HYPERLINK("http://catalog.hathitrust.org/Record/100001300","HathiTrust Record")</f>
        <v>HathiTrust Record</v>
      </c>
      <c r="AV2769" s="6" t="str">
        <f>HYPERLINK("http://mcgill.on.worldcat.org/oclc/22381638","Catalog Record")</f>
        <v>Catalog Record</v>
      </c>
      <c r="AW2769" s="6" t="str">
        <f>HYPERLINK("http://www.worldcat.org/oclc/22381638","WorldCat Record")</f>
        <v>WorldCat Record</v>
      </c>
      <c r="AX2769" s="3" t="s">
        <v>27858</v>
      </c>
      <c r="AY2769" s="3" t="s">
        <v>27859</v>
      </c>
      <c r="AZ2769" s="3" t="s">
        <v>27860</v>
      </c>
      <c r="BA2769" s="3" t="s">
        <v>27860</v>
      </c>
      <c r="BB2769" s="3" t="s">
        <v>27861</v>
      </c>
      <c r="BC2769" s="3" t="s">
        <v>77</v>
      </c>
      <c r="BD2769" s="3" t="s">
        <v>78</v>
      </c>
      <c r="BE2769" s="3" t="s">
        <v>27862</v>
      </c>
      <c r="BF2769" s="3" t="s">
        <v>27861</v>
      </c>
      <c r="BG2769" s="3" t="s">
        <v>27863</v>
      </c>
      <c r="BH2769">
        <f t="shared" si="67"/>
        <v>0</v>
      </c>
    </row>
    <row r="2770" spans="1:60" ht="58" x14ac:dyDescent="0.35">
      <c r="A2770" s="2" t="s">
        <v>59</v>
      </c>
      <c r="B2770" s="2" t="s">
        <v>60</v>
      </c>
      <c r="C2770" s="2" t="s">
        <v>27864</v>
      </c>
      <c r="D2770" s="2" t="s">
        <v>27865</v>
      </c>
      <c r="E2770" s="2" t="s">
        <v>27866</v>
      </c>
      <c r="G2770" s="3" t="s">
        <v>64</v>
      </c>
      <c r="I2770" s="3" t="s">
        <v>64</v>
      </c>
      <c r="J2770" s="3" t="s">
        <v>64</v>
      </c>
      <c r="K2770" s="3" t="s">
        <v>65</v>
      </c>
      <c r="L2770" s="2" t="s">
        <v>27867</v>
      </c>
      <c r="M2770" s="2" t="s">
        <v>27868</v>
      </c>
      <c r="N2770" s="3" t="s">
        <v>1275</v>
      </c>
      <c r="P2770" s="3" t="s">
        <v>102</v>
      </c>
      <c r="R2770" s="3" t="s">
        <v>70</v>
      </c>
      <c r="S2770" s="4">
        <v>5</v>
      </c>
      <c r="T2770" s="4">
        <v>5</v>
      </c>
      <c r="U2770" s="5" t="s">
        <v>12192</v>
      </c>
      <c r="V2770" s="5" t="s">
        <v>12192</v>
      </c>
      <c r="W2770" s="5" t="s">
        <v>72</v>
      </c>
      <c r="X2770" s="5" t="s">
        <v>72</v>
      </c>
      <c r="Y2770" s="4">
        <v>95</v>
      </c>
      <c r="Z2770" s="4">
        <v>4</v>
      </c>
      <c r="AA2770" s="4">
        <v>16</v>
      </c>
      <c r="AB2770" s="4">
        <v>1</v>
      </c>
      <c r="AC2770" s="4">
        <v>5</v>
      </c>
      <c r="AD2770" s="4">
        <v>38</v>
      </c>
      <c r="AE2770" s="4">
        <v>51</v>
      </c>
      <c r="AF2770" s="4">
        <v>0</v>
      </c>
      <c r="AG2770" s="4">
        <v>1</v>
      </c>
      <c r="AH2770" s="4">
        <v>38</v>
      </c>
      <c r="AI2770" s="4">
        <v>48</v>
      </c>
      <c r="AJ2770" s="4">
        <v>2</v>
      </c>
      <c r="AK2770" s="4">
        <v>9</v>
      </c>
      <c r="AL2770" s="4">
        <v>20</v>
      </c>
      <c r="AM2770" s="4">
        <v>24</v>
      </c>
      <c r="AN2770" s="4">
        <v>0</v>
      </c>
      <c r="AO2770" s="4">
        <v>0</v>
      </c>
      <c r="AP2770" s="4">
        <v>2</v>
      </c>
      <c r="AQ2770" s="4">
        <v>8</v>
      </c>
      <c r="AR2770" s="3" t="s">
        <v>64</v>
      </c>
      <c r="AS2770" s="3" t="s">
        <v>64</v>
      </c>
      <c r="AT2770" s="3" t="s">
        <v>64</v>
      </c>
      <c r="AV2770" s="6" t="str">
        <f>HYPERLINK("http://mcgill.on.worldcat.org/oclc/54694654","Catalog Record")</f>
        <v>Catalog Record</v>
      </c>
      <c r="AW2770" s="6" t="str">
        <f>HYPERLINK("http://www.worldcat.org/oclc/54694654","WorldCat Record")</f>
        <v>WorldCat Record</v>
      </c>
      <c r="AX2770" s="3" t="s">
        <v>27869</v>
      </c>
      <c r="AY2770" s="3" t="s">
        <v>27870</v>
      </c>
      <c r="AZ2770" s="3" t="s">
        <v>27871</v>
      </c>
      <c r="BA2770" s="3" t="s">
        <v>27871</v>
      </c>
      <c r="BB2770" s="3" t="s">
        <v>27872</v>
      </c>
      <c r="BC2770" s="3" t="s">
        <v>77</v>
      </c>
      <c r="BD2770" s="3" t="s">
        <v>78</v>
      </c>
      <c r="BE2770" s="3" t="s">
        <v>27873</v>
      </c>
      <c r="BF2770" s="3" t="s">
        <v>27872</v>
      </c>
      <c r="BG2770" s="3" t="s">
        <v>27874</v>
      </c>
      <c r="BH2770">
        <f t="shared" si="67"/>
        <v>0</v>
      </c>
    </row>
    <row r="2771" spans="1:60" ht="58" x14ac:dyDescent="0.35">
      <c r="A2771" s="2" t="s">
        <v>1040</v>
      </c>
      <c r="B2771" s="2" t="s">
        <v>60</v>
      </c>
      <c r="C2771" s="2" t="s">
        <v>27875</v>
      </c>
      <c r="D2771" s="2" t="s">
        <v>27876</v>
      </c>
      <c r="E2771" s="2" t="s">
        <v>27877</v>
      </c>
      <c r="G2771" s="3" t="s">
        <v>64</v>
      </c>
      <c r="I2771" s="3" t="s">
        <v>128</v>
      </c>
      <c r="J2771" s="3" t="s">
        <v>64</v>
      </c>
      <c r="K2771" s="3" t="s">
        <v>65</v>
      </c>
      <c r="L2771" s="2" t="s">
        <v>27878</v>
      </c>
      <c r="M2771" s="2" t="s">
        <v>27879</v>
      </c>
      <c r="N2771" s="3" t="s">
        <v>171</v>
      </c>
      <c r="O2771" s="2" t="s">
        <v>172</v>
      </c>
      <c r="P2771" s="3" t="s">
        <v>102</v>
      </c>
      <c r="R2771" s="3" t="s">
        <v>70</v>
      </c>
      <c r="S2771" s="4">
        <v>6</v>
      </c>
      <c r="T2771" s="4">
        <v>6</v>
      </c>
      <c r="U2771" s="5" t="s">
        <v>17738</v>
      </c>
      <c r="V2771" s="5" t="s">
        <v>17738</v>
      </c>
      <c r="W2771" s="5" t="s">
        <v>72</v>
      </c>
      <c r="X2771" s="5" t="s">
        <v>72</v>
      </c>
      <c r="Y2771" s="4">
        <v>186</v>
      </c>
      <c r="Z2771" s="4">
        <v>12</v>
      </c>
      <c r="AA2771" s="4">
        <v>24</v>
      </c>
      <c r="AB2771" s="4">
        <v>1</v>
      </c>
      <c r="AC2771" s="4">
        <v>4</v>
      </c>
      <c r="AD2771" s="4">
        <v>36</v>
      </c>
      <c r="AE2771" s="4">
        <v>77</v>
      </c>
      <c r="AF2771" s="4">
        <v>0</v>
      </c>
      <c r="AG2771" s="4">
        <v>3</v>
      </c>
      <c r="AH2771" s="4">
        <v>34</v>
      </c>
      <c r="AI2771" s="4">
        <v>67</v>
      </c>
      <c r="AJ2771" s="4">
        <v>9</v>
      </c>
      <c r="AK2771" s="4">
        <v>17</v>
      </c>
      <c r="AL2771" s="4">
        <v>12</v>
      </c>
      <c r="AM2771" s="4">
        <v>31</v>
      </c>
      <c r="AN2771" s="4">
        <v>0</v>
      </c>
      <c r="AO2771" s="4">
        <v>0</v>
      </c>
      <c r="AP2771" s="4">
        <v>8</v>
      </c>
      <c r="AQ2771" s="4">
        <v>18</v>
      </c>
      <c r="AR2771" s="3" t="s">
        <v>64</v>
      </c>
      <c r="AS2771" s="3" t="s">
        <v>64</v>
      </c>
      <c r="AT2771" s="3" t="s">
        <v>64</v>
      </c>
      <c r="AV2771" s="6" t="str">
        <f>HYPERLINK("http://mcgill.on.worldcat.org/oclc/70335653","Catalog Record")</f>
        <v>Catalog Record</v>
      </c>
      <c r="AW2771" s="6" t="str">
        <f>HYPERLINK("http://www.worldcat.org/oclc/70335653","WorldCat Record")</f>
        <v>WorldCat Record</v>
      </c>
      <c r="AX2771" s="3" t="s">
        <v>27880</v>
      </c>
      <c r="AY2771" s="3" t="s">
        <v>27881</v>
      </c>
      <c r="AZ2771" s="3" t="s">
        <v>27882</v>
      </c>
      <c r="BA2771" s="3" t="s">
        <v>27882</v>
      </c>
      <c r="BB2771" s="3" t="s">
        <v>27883</v>
      </c>
      <c r="BC2771" s="3" t="s">
        <v>77</v>
      </c>
      <c r="BD2771" s="3" t="s">
        <v>78</v>
      </c>
      <c r="BE2771" s="3" t="s">
        <v>27884</v>
      </c>
      <c r="BF2771" s="3" t="s">
        <v>27883</v>
      </c>
      <c r="BG2771" s="3" t="s">
        <v>27885</v>
      </c>
      <c r="BH2771">
        <f t="shared" si="67"/>
        <v>0</v>
      </c>
    </row>
    <row r="2772" spans="1:60" ht="58" x14ac:dyDescent="0.35">
      <c r="A2772" s="2" t="s">
        <v>59</v>
      </c>
      <c r="B2772" s="2" t="s">
        <v>60</v>
      </c>
      <c r="C2772" s="2" t="s">
        <v>27886</v>
      </c>
      <c r="D2772" s="2" t="s">
        <v>27887</v>
      </c>
      <c r="E2772" s="2" t="s">
        <v>27888</v>
      </c>
      <c r="G2772" s="3" t="s">
        <v>64</v>
      </c>
      <c r="I2772" s="3" t="s">
        <v>64</v>
      </c>
      <c r="J2772" s="3" t="s">
        <v>64</v>
      </c>
      <c r="K2772" s="3" t="s">
        <v>65</v>
      </c>
      <c r="M2772" s="2" t="s">
        <v>27889</v>
      </c>
      <c r="N2772" s="3" t="s">
        <v>326</v>
      </c>
      <c r="P2772" s="3" t="s">
        <v>102</v>
      </c>
      <c r="R2772" s="3" t="s">
        <v>70</v>
      </c>
      <c r="S2772" s="4">
        <v>0</v>
      </c>
      <c r="T2772" s="4">
        <v>0</v>
      </c>
      <c r="W2772" s="5" t="s">
        <v>72</v>
      </c>
      <c r="X2772" s="5" t="s">
        <v>72</v>
      </c>
      <c r="Y2772" s="4">
        <v>104</v>
      </c>
      <c r="Z2772" s="4">
        <v>11</v>
      </c>
      <c r="AA2772" s="4">
        <v>75</v>
      </c>
      <c r="AB2772" s="4">
        <v>1</v>
      </c>
      <c r="AC2772" s="4">
        <v>14</v>
      </c>
      <c r="AD2772" s="4">
        <v>24</v>
      </c>
      <c r="AE2772" s="4">
        <v>84</v>
      </c>
      <c r="AF2772" s="4">
        <v>0</v>
      </c>
      <c r="AG2772" s="4">
        <v>8</v>
      </c>
      <c r="AH2772" s="4">
        <v>21</v>
      </c>
      <c r="AI2772" s="4">
        <v>53</v>
      </c>
      <c r="AJ2772" s="4">
        <v>9</v>
      </c>
      <c r="AK2772" s="4">
        <v>20</v>
      </c>
      <c r="AL2772" s="4">
        <v>10</v>
      </c>
      <c r="AM2772" s="4">
        <v>23</v>
      </c>
      <c r="AN2772" s="4">
        <v>0</v>
      </c>
      <c r="AO2772" s="4">
        <v>0</v>
      </c>
      <c r="AP2772" s="4">
        <v>9</v>
      </c>
      <c r="AQ2772" s="4">
        <v>40</v>
      </c>
      <c r="AR2772" s="3" t="s">
        <v>64</v>
      </c>
      <c r="AS2772" s="3" t="s">
        <v>64</v>
      </c>
      <c r="AT2772" s="3" t="s">
        <v>64</v>
      </c>
      <c r="AV2772" s="6" t="str">
        <f>HYPERLINK("http://mcgill.on.worldcat.org/oclc/729661807","Catalog Record")</f>
        <v>Catalog Record</v>
      </c>
      <c r="AW2772" s="6" t="str">
        <f>HYPERLINK("http://www.worldcat.org/oclc/729661807","WorldCat Record")</f>
        <v>WorldCat Record</v>
      </c>
      <c r="AX2772" s="3" t="s">
        <v>27890</v>
      </c>
      <c r="AY2772" s="3" t="s">
        <v>27891</v>
      </c>
      <c r="AZ2772" s="3" t="s">
        <v>27892</v>
      </c>
      <c r="BA2772" s="3" t="s">
        <v>27892</v>
      </c>
      <c r="BB2772" s="3" t="s">
        <v>27893</v>
      </c>
      <c r="BC2772" s="3" t="s">
        <v>77</v>
      </c>
      <c r="BD2772" s="3" t="s">
        <v>78</v>
      </c>
      <c r="BE2772" s="3" t="s">
        <v>27894</v>
      </c>
      <c r="BF2772" s="3" t="s">
        <v>27893</v>
      </c>
      <c r="BG2772" s="3" t="s">
        <v>27895</v>
      </c>
      <c r="BH2772">
        <f t="shared" si="67"/>
        <v>0</v>
      </c>
    </row>
    <row r="2773" spans="1:60" ht="58" x14ac:dyDescent="0.35">
      <c r="A2773" s="2" t="s">
        <v>59</v>
      </c>
      <c r="B2773" s="2" t="s">
        <v>60</v>
      </c>
      <c r="C2773" s="2" t="s">
        <v>27896</v>
      </c>
      <c r="D2773" s="2" t="s">
        <v>27897</v>
      </c>
      <c r="E2773" s="2" t="s">
        <v>27898</v>
      </c>
      <c r="G2773" s="3" t="s">
        <v>64</v>
      </c>
      <c r="I2773" s="3" t="s">
        <v>64</v>
      </c>
      <c r="J2773" s="3" t="s">
        <v>64</v>
      </c>
      <c r="K2773" s="3" t="s">
        <v>65</v>
      </c>
      <c r="L2773" s="2" t="s">
        <v>25943</v>
      </c>
      <c r="M2773" s="2" t="s">
        <v>27899</v>
      </c>
      <c r="N2773" s="3" t="s">
        <v>3527</v>
      </c>
      <c r="P2773" s="3" t="s">
        <v>102</v>
      </c>
      <c r="R2773" s="3" t="s">
        <v>70</v>
      </c>
      <c r="S2773" s="4">
        <v>1</v>
      </c>
      <c r="T2773" s="4">
        <v>1</v>
      </c>
      <c r="U2773" s="5" t="s">
        <v>19060</v>
      </c>
      <c r="V2773" s="5" t="s">
        <v>19060</v>
      </c>
      <c r="W2773" s="5" t="s">
        <v>72</v>
      </c>
      <c r="X2773" s="5" t="s">
        <v>72</v>
      </c>
      <c r="Y2773" s="4">
        <v>2</v>
      </c>
      <c r="Z2773" s="4">
        <v>1</v>
      </c>
      <c r="AA2773" s="4">
        <v>1</v>
      </c>
      <c r="AB2773" s="4">
        <v>1</v>
      </c>
      <c r="AC2773" s="4">
        <v>1</v>
      </c>
      <c r="AD2773" s="4">
        <v>0</v>
      </c>
      <c r="AE2773" s="4">
        <v>0</v>
      </c>
      <c r="AF2773" s="4">
        <v>0</v>
      </c>
      <c r="AG2773" s="4">
        <v>0</v>
      </c>
      <c r="AH2773" s="4">
        <v>0</v>
      </c>
      <c r="AI2773" s="4">
        <v>0</v>
      </c>
      <c r="AJ2773" s="4">
        <v>0</v>
      </c>
      <c r="AK2773" s="4">
        <v>0</v>
      </c>
      <c r="AL2773" s="4">
        <v>0</v>
      </c>
      <c r="AM2773" s="4">
        <v>0</v>
      </c>
      <c r="AN2773" s="4">
        <v>0</v>
      </c>
      <c r="AO2773" s="4">
        <v>0</v>
      </c>
      <c r="AP2773" s="4">
        <v>0</v>
      </c>
      <c r="AQ2773" s="4">
        <v>0</v>
      </c>
      <c r="AR2773" s="3" t="s">
        <v>64</v>
      </c>
      <c r="AS2773" s="3" t="s">
        <v>64</v>
      </c>
      <c r="AT2773" s="3" t="s">
        <v>64</v>
      </c>
      <c r="AV2773" s="6" t="str">
        <f>HYPERLINK("http://mcgill.on.worldcat.org/oclc/61610083","Catalog Record")</f>
        <v>Catalog Record</v>
      </c>
      <c r="AW2773" s="6" t="str">
        <f>HYPERLINK("http://www.worldcat.org/oclc/61610083","WorldCat Record")</f>
        <v>WorldCat Record</v>
      </c>
      <c r="AX2773" s="3" t="s">
        <v>27900</v>
      </c>
      <c r="AY2773" s="3" t="s">
        <v>27901</v>
      </c>
      <c r="AZ2773" s="3" t="s">
        <v>27902</v>
      </c>
      <c r="BA2773" s="3" t="s">
        <v>27902</v>
      </c>
      <c r="BB2773" s="3" t="s">
        <v>27903</v>
      </c>
      <c r="BC2773" s="3" t="s">
        <v>77</v>
      </c>
      <c r="BD2773" s="3" t="s">
        <v>78</v>
      </c>
      <c r="BF2773" s="3" t="s">
        <v>27903</v>
      </c>
      <c r="BG2773" s="3" t="s">
        <v>27904</v>
      </c>
      <c r="BH2773">
        <f t="shared" si="67"/>
        <v>0</v>
      </c>
    </row>
    <row r="2774" spans="1:60" ht="58" x14ac:dyDescent="0.35">
      <c r="A2774" s="2" t="s">
        <v>59</v>
      </c>
      <c r="B2774" s="2" t="s">
        <v>60</v>
      </c>
      <c r="C2774" s="2" t="s">
        <v>27905</v>
      </c>
      <c r="D2774" s="2" t="s">
        <v>27906</v>
      </c>
      <c r="E2774" s="2" t="s">
        <v>27907</v>
      </c>
      <c r="G2774" s="3" t="s">
        <v>64</v>
      </c>
      <c r="I2774" s="3" t="s">
        <v>64</v>
      </c>
      <c r="J2774" s="3" t="s">
        <v>64</v>
      </c>
      <c r="K2774" s="3" t="s">
        <v>65</v>
      </c>
      <c r="L2774" s="2" t="s">
        <v>27908</v>
      </c>
      <c r="M2774" s="2" t="s">
        <v>19276</v>
      </c>
      <c r="N2774" s="3" t="s">
        <v>101</v>
      </c>
      <c r="P2774" s="3" t="s">
        <v>102</v>
      </c>
      <c r="R2774" s="3" t="s">
        <v>70</v>
      </c>
      <c r="S2774" s="4">
        <v>14</v>
      </c>
      <c r="T2774" s="4">
        <v>14</v>
      </c>
      <c r="U2774" s="5" t="s">
        <v>4397</v>
      </c>
      <c r="V2774" s="5" t="s">
        <v>4397</v>
      </c>
      <c r="W2774" s="5" t="s">
        <v>72</v>
      </c>
      <c r="X2774" s="5" t="s">
        <v>72</v>
      </c>
      <c r="Y2774" s="4">
        <v>172</v>
      </c>
      <c r="Z2774" s="4">
        <v>12</v>
      </c>
      <c r="AA2774" s="4">
        <v>13</v>
      </c>
      <c r="AB2774" s="4">
        <v>2</v>
      </c>
      <c r="AC2774" s="4">
        <v>3</v>
      </c>
      <c r="AD2774" s="4">
        <v>56</v>
      </c>
      <c r="AE2774" s="4">
        <v>57</v>
      </c>
      <c r="AF2774" s="4">
        <v>1</v>
      </c>
      <c r="AG2774" s="4">
        <v>2</v>
      </c>
      <c r="AH2774" s="4">
        <v>52</v>
      </c>
      <c r="AI2774" s="4">
        <v>52</v>
      </c>
      <c r="AJ2774" s="4">
        <v>8</v>
      </c>
      <c r="AK2774" s="4">
        <v>9</v>
      </c>
      <c r="AL2774" s="4">
        <v>24</v>
      </c>
      <c r="AM2774" s="4">
        <v>24</v>
      </c>
      <c r="AN2774" s="4">
        <v>0</v>
      </c>
      <c r="AO2774" s="4">
        <v>0</v>
      </c>
      <c r="AP2774" s="4">
        <v>9</v>
      </c>
      <c r="AQ2774" s="4">
        <v>9</v>
      </c>
      <c r="AR2774" s="3" t="s">
        <v>64</v>
      </c>
      <c r="AS2774" s="3" t="s">
        <v>64</v>
      </c>
      <c r="AT2774" s="3" t="s">
        <v>64</v>
      </c>
      <c r="AV2774" s="6" t="str">
        <f>HYPERLINK("http://mcgill.on.worldcat.org/oclc/51607673","Catalog Record")</f>
        <v>Catalog Record</v>
      </c>
      <c r="AW2774" s="6" t="str">
        <f>HYPERLINK("http://www.worldcat.org/oclc/51607673","WorldCat Record")</f>
        <v>WorldCat Record</v>
      </c>
      <c r="AX2774" s="3" t="s">
        <v>27909</v>
      </c>
      <c r="AY2774" s="3" t="s">
        <v>27910</v>
      </c>
      <c r="AZ2774" s="3" t="s">
        <v>27911</v>
      </c>
      <c r="BA2774" s="3" t="s">
        <v>27911</v>
      </c>
      <c r="BB2774" s="3" t="s">
        <v>27912</v>
      </c>
      <c r="BC2774" s="3" t="s">
        <v>77</v>
      </c>
      <c r="BD2774" s="3" t="s">
        <v>78</v>
      </c>
      <c r="BE2774" s="3" t="s">
        <v>27913</v>
      </c>
      <c r="BF2774" s="3" t="s">
        <v>27912</v>
      </c>
      <c r="BG2774" s="3" t="s">
        <v>27914</v>
      </c>
      <c r="BH2774">
        <f t="shared" si="67"/>
        <v>0</v>
      </c>
    </row>
    <row r="2775" spans="1:60" ht="58" x14ac:dyDescent="0.35">
      <c r="A2775" s="2" t="s">
        <v>59</v>
      </c>
      <c r="B2775" s="2" t="s">
        <v>60</v>
      </c>
      <c r="C2775" s="2" t="s">
        <v>27915</v>
      </c>
      <c r="D2775" s="2" t="s">
        <v>27916</v>
      </c>
      <c r="E2775" s="2" t="s">
        <v>27917</v>
      </c>
      <c r="G2775" s="3" t="s">
        <v>64</v>
      </c>
      <c r="I2775" s="3" t="s">
        <v>64</v>
      </c>
      <c r="J2775" s="3" t="s">
        <v>64</v>
      </c>
      <c r="K2775" s="3" t="s">
        <v>65</v>
      </c>
      <c r="M2775" s="2" t="s">
        <v>27918</v>
      </c>
      <c r="N2775" s="3" t="s">
        <v>1075</v>
      </c>
      <c r="P2775" s="3" t="s">
        <v>102</v>
      </c>
      <c r="R2775" s="3" t="s">
        <v>70</v>
      </c>
      <c r="S2775" s="4">
        <v>0</v>
      </c>
      <c r="T2775" s="4">
        <v>0</v>
      </c>
      <c r="W2775" s="5" t="s">
        <v>72</v>
      </c>
      <c r="X2775" s="5" t="s">
        <v>72</v>
      </c>
      <c r="Y2775" s="4">
        <v>40</v>
      </c>
      <c r="Z2775" s="4">
        <v>6</v>
      </c>
      <c r="AA2775" s="4">
        <v>14</v>
      </c>
      <c r="AB2775" s="4">
        <v>1</v>
      </c>
      <c r="AC2775" s="4">
        <v>5</v>
      </c>
      <c r="AD2775" s="4">
        <v>15</v>
      </c>
      <c r="AE2775" s="4">
        <v>20</v>
      </c>
      <c r="AF2775" s="4">
        <v>0</v>
      </c>
      <c r="AG2775" s="4">
        <v>1</v>
      </c>
      <c r="AH2775" s="4">
        <v>12</v>
      </c>
      <c r="AI2775" s="4">
        <v>14</v>
      </c>
      <c r="AJ2775" s="4">
        <v>4</v>
      </c>
      <c r="AK2775" s="4">
        <v>7</v>
      </c>
      <c r="AL2775" s="4">
        <v>6</v>
      </c>
      <c r="AM2775" s="4">
        <v>7</v>
      </c>
      <c r="AN2775" s="4">
        <v>0</v>
      </c>
      <c r="AO2775" s="4">
        <v>0</v>
      </c>
      <c r="AP2775" s="4">
        <v>5</v>
      </c>
      <c r="AQ2775" s="4">
        <v>8</v>
      </c>
      <c r="AR2775" s="3" t="s">
        <v>64</v>
      </c>
      <c r="AS2775" s="3" t="s">
        <v>64</v>
      </c>
      <c r="AT2775" s="3" t="s">
        <v>64</v>
      </c>
      <c r="AV2775" s="6" t="str">
        <f>HYPERLINK("http://mcgill.on.worldcat.org/oclc/795759699","Catalog Record")</f>
        <v>Catalog Record</v>
      </c>
      <c r="AW2775" s="6" t="str">
        <f>HYPERLINK("http://www.worldcat.org/oclc/795759699","WorldCat Record")</f>
        <v>WorldCat Record</v>
      </c>
      <c r="AX2775" s="3" t="s">
        <v>27919</v>
      </c>
      <c r="AY2775" s="3" t="s">
        <v>27920</v>
      </c>
      <c r="AZ2775" s="3" t="s">
        <v>27921</v>
      </c>
      <c r="BA2775" s="3" t="s">
        <v>27921</v>
      </c>
      <c r="BB2775" s="3" t="s">
        <v>27922</v>
      </c>
      <c r="BC2775" s="3" t="s">
        <v>77</v>
      </c>
      <c r="BD2775" s="3" t="s">
        <v>78</v>
      </c>
      <c r="BE2775" s="3" t="s">
        <v>27923</v>
      </c>
      <c r="BF2775" s="3" t="s">
        <v>27922</v>
      </c>
      <c r="BG2775" s="3" t="s">
        <v>27924</v>
      </c>
      <c r="BH2775">
        <f t="shared" si="67"/>
        <v>0</v>
      </c>
    </row>
    <row r="2776" spans="1:60" ht="58" x14ac:dyDescent="0.35">
      <c r="A2776" s="2" t="s">
        <v>1932</v>
      </c>
      <c r="B2776" s="2" t="s">
        <v>1933</v>
      </c>
      <c r="C2776" s="2" t="s">
        <v>27925</v>
      </c>
      <c r="D2776" s="2" t="s">
        <v>27926</v>
      </c>
      <c r="E2776" s="2" t="s">
        <v>27927</v>
      </c>
      <c r="G2776" s="3" t="s">
        <v>64</v>
      </c>
      <c r="I2776" s="3" t="s">
        <v>64</v>
      </c>
      <c r="J2776" s="3" t="s">
        <v>64</v>
      </c>
      <c r="K2776" s="3" t="s">
        <v>65</v>
      </c>
      <c r="L2776" s="2" t="s">
        <v>27928</v>
      </c>
      <c r="M2776" s="2" t="s">
        <v>27929</v>
      </c>
      <c r="N2776" s="3" t="s">
        <v>392</v>
      </c>
      <c r="P2776" s="3" t="s">
        <v>102</v>
      </c>
      <c r="Q2776" s="2" t="s">
        <v>14132</v>
      </c>
      <c r="R2776" s="3" t="s">
        <v>70</v>
      </c>
      <c r="S2776" s="4">
        <v>1</v>
      </c>
      <c r="T2776" s="4">
        <v>1</v>
      </c>
      <c r="U2776" s="5" t="s">
        <v>27930</v>
      </c>
      <c r="V2776" s="5" t="s">
        <v>27930</v>
      </c>
      <c r="W2776" s="5" t="s">
        <v>72</v>
      </c>
      <c r="X2776" s="5" t="s">
        <v>72</v>
      </c>
      <c r="Y2776" s="4">
        <v>85</v>
      </c>
      <c r="Z2776" s="4">
        <v>4</v>
      </c>
      <c r="AA2776" s="4">
        <v>4</v>
      </c>
      <c r="AB2776" s="4">
        <v>1</v>
      </c>
      <c r="AC2776" s="4">
        <v>1</v>
      </c>
      <c r="AD2776" s="4">
        <v>41</v>
      </c>
      <c r="AE2776" s="4">
        <v>41</v>
      </c>
      <c r="AF2776" s="4">
        <v>0</v>
      </c>
      <c r="AG2776" s="4">
        <v>0</v>
      </c>
      <c r="AH2776" s="4">
        <v>41</v>
      </c>
      <c r="AI2776" s="4">
        <v>41</v>
      </c>
      <c r="AJ2776" s="4">
        <v>2</v>
      </c>
      <c r="AK2776" s="4">
        <v>2</v>
      </c>
      <c r="AL2776" s="4">
        <v>25</v>
      </c>
      <c r="AM2776" s="4">
        <v>25</v>
      </c>
      <c r="AN2776" s="4">
        <v>0</v>
      </c>
      <c r="AO2776" s="4">
        <v>0</v>
      </c>
      <c r="AP2776" s="4">
        <v>2</v>
      </c>
      <c r="AQ2776" s="4">
        <v>2</v>
      </c>
      <c r="AR2776" s="3" t="s">
        <v>64</v>
      </c>
      <c r="AS2776" s="3" t="s">
        <v>64</v>
      </c>
      <c r="AT2776" s="3" t="s">
        <v>128</v>
      </c>
      <c r="AU2776" s="6" t="str">
        <f>HYPERLINK("http://catalog.hathitrust.org/Record/004051687","HathiTrust Record")</f>
        <v>HathiTrust Record</v>
      </c>
      <c r="AV2776" s="6" t="str">
        <f>HYPERLINK("http://mcgill.on.worldcat.org/oclc/42022214","Catalog Record")</f>
        <v>Catalog Record</v>
      </c>
      <c r="AW2776" s="6" t="str">
        <f>HYPERLINK("http://www.worldcat.org/oclc/42022214","WorldCat Record")</f>
        <v>WorldCat Record</v>
      </c>
      <c r="AX2776" s="3" t="s">
        <v>27931</v>
      </c>
      <c r="AY2776" s="3" t="s">
        <v>27932</v>
      </c>
      <c r="AZ2776" s="3" t="s">
        <v>27933</v>
      </c>
      <c r="BA2776" s="3" t="s">
        <v>27933</v>
      </c>
      <c r="BB2776" s="3" t="s">
        <v>27934</v>
      </c>
      <c r="BC2776" s="3" t="s">
        <v>77</v>
      </c>
      <c r="BD2776" s="3" t="s">
        <v>78</v>
      </c>
      <c r="BE2776" s="3" t="s">
        <v>27935</v>
      </c>
      <c r="BF2776" s="3" t="s">
        <v>27934</v>
      </c>
      <c r="BG2776" s="3" t="s">
        <v>27936</v>
      </c>
      <c r="BH2776">
        <f t="shared" si="67"/>
        <v>0</v>
      </c>
    </row>
    <row r="2777" spans="1:60" ht="87" x14ac:dyDescent="0.35">
      <c r="A2777" s="2" t="s">
        <v>59</v>
      </c>
      <c r="B2777" s="2" t="s">
        <v>60</v>
      </c>
      <c r="C2777" s="2" t="s">
        <v>27937</v>
      </c>
      <c r="D2777" s="2" t="s">
        <v>27938</v>
      </c>
      <c r="E2777" s="2" t="s">
        <v>27939</v>
      </c>
      <c r="G2777" s="3" t="s">
        <v>64</v>
      </c>
      <c r="I2777" s="3" t="s">
        <v>64</v>
      </c>
      <c r="J2777" s="3" t="s">
        <v>64</v>
      </c>
      <c r="K2777" s="3" t="s">
        <v>65</v>
      </c>
      <c r="M2777" s="2" t="s">
        <v>27940</v>
      </c>
      <c r="N2777" s="3" t="s">
        <v>86</v>
      </c>
      <c r="P2777" s="3" t="s">
        <v>102</v>
      </c>
      <c r="Q2777" s="2" t="s">
        <v>27941</v>
      </c>
      <c r="R2777" s="3" t="s">
        <v>70</v>
      </c>
      <c r="S2777" s="4">
        <v>0</v>
      </c>
      <c r="T2777" s="4">
        <v>0</v>
      </c>
      <c r="W2777" s="5" t="s">
        <v>72</v>
      </c>
      <c r="X2777" s="5" t="s">
        <v>72</v>
      </c>
      <c r="Y2777" s="4">
        <v>48</v>
      </c>
      <c r="Z2777" s="4">
        <v>5</v>
      </c>
      <c r="AA2777" s="4">
        <v>5</v>
      </c>
      <c r="AB2777" s="4">
        <v>1</v>
      </c>
      <c r="AC2777" s="4">
        <v>1</v>
      </c>
      <c r="AD2777" s="4">
        <v>25</v>
      </c>
      <c r="AE2777" s="4">
        <v>25</v>
      </c>
      <c r="AF2777" s="4">
        <v>0</v>
      </c>
      <c r="AG2777" s="4">
        <v>0</v>
      </c>
      <c r="AH2777" s="4">
        <v>24</v>
      </c>
      <c r="AI2777" s="4">
        <v>24</v>
      </c>
      <c r="AJ2777" s="4">
        <v>3</v>
      </c>
      <c r="AK2777" s="4">
        <v>3</v>
      </c>
      <c r="AL2777" s="4">
        <v>18</v>
      </c>
      <c r="AM2777" s="4">
        <v>18</v>
      </c>
      <c r="AN2777" s="4">
        <v>0</v>
      </c>
      <c r="AO2777" s="4">
        <v>0</v>
      </c>
      <c r="AP2777" s="4">
        <v>3</v>
      </c>
      <c r="AQ2777" s="4">
        <v>3</v>
      </c>
      <c r="AR2777" s="3" t="s">
        <v>64</v>
      </c>
      <c r="AS2777" s="3" t="s">
        <v>64</v>
      </c>
      <c r="AT2777" s="3" t="s">
        <v>64</v>
      </c>
      <c r="AV2777" s="6" t="str">
        <f>HYPERLINK("http://mcgill.on.worldcat.org/oclc/815043215","Catalog Record")</f>
        <v>Catalog Record</v>
      </c>
      <c r="AW2777" s="6" t="str">
        <f>HYPERLINK("http://www.worldcat.org/oclc/815043215","WorldCat Record")</f>
        <v>WorldCat Record</v>
      </c>
      <c r="AX2777" s="3" t="s">
        <v>27942</v>
      </c>
      <c r="AY2777" s="3" t="s">
        <v>27943</v>
      </c>
      <c r="AZ2777" s="3" t="s">
        <v>27944</v>
      </c>
      <c r="BA2777" s="3" t="s">
        <v>27944</v>
      </c>
      <c r="BB2777" s="3" t="s">
        <v>27945</v>
      </c>
      <c r="BC2777" s="3" t="s">
        <v>77</v>
      </c>
      <c r="BD2777" s="3" t="s">
        <v>78</v>
      </c>
      <c r="BE2777" s="3" t="s">
        <v>27946</v>
      </c>
      <c r="BF2777" s="3" t="s">
        <v>27945</v>
      </c>
      <c r="BG2777" s="3" t="s">
        <v>27947</v>
      </c>
      <c r="BH2777">
        <f t="shared" si="67"/>
        <v>0</v>
      </c>
    </row>
    <row r="2778" spans="1:60" ht="58" x14ac:dyDescent="0.35">
      <c r="A2778" s="2" t="s">
        <v>59</v>
      </c>
      <c r="B2778" s="2" t="s">
        <v>60</v>
      </c>
      <c r="C2778" s="2" t="s">
        <v>27948</v>
      </c>
      <c r="D2778" s="2" t="s">
        <v>27949</v>
      </c>
      <c r="E2778" s="2" t="s">
        <v>27950</v>
      </c>
      <c r="G2778" s="3" t="s">
        <v>64</v>
      </c>
      <c r="I2778" s="3" t="s">
        <v>64</v>
      </c>
      <c r="J2778" s="3" t="s">
        <v>64</v>
      </c>
      <c r="K2778" s="3" t="s">
        <v>65</v>
      </c>
      <c r="L2778" s="2" t="s">
        <v>27951</v>
      </c>
      <c r="M2778" s="2" t="s">
        <v>15272</v>
      </c>
      <c r="N2778" s="3" t="s">
        <v>291</v>
      </c>
      <c r="P2778" s="3" t="s">
        <v>102</v>
      </c>
      <c r="R2778" s="3" t="s">
        <v>70</v>
      </c>
      <c r="S2778" s="4">
        <v>5</v>
      </c>
      <c r="T2778" s="4">
        <v>5</v>
      </c>
      <c r="U2778" s="5" t="s">
        <v>8491</v>
      </c>
      <c r="V2778" s="5" t="s">
        <v>8491</v>
      </c>
      <c r="W2778" s="5" t="s">
        <v>72</v>
      </c>
      <c r="X2778" s="5" t="s">
        <v>72</v>
      </c>
      <c r="Y2778" s="4">
        <v>341</v>
      </c>
      <c r="Z2778" s="4">
        <v>26</v>
      </c>
      <c r="AA2778" s="4">
        <v>28</v>
      </c>
      <c r="AB2778" s="4">
        <v>1</v>
      </c>
      <c r="AC2778" s="4">
        <v>3</v>
      </c>
      <c r="AD2778" s="4">
        <v>50</v>
      </c>
      <c r="AE2778" s="4">
        <v>51</v>
      </c>
      <c r="AF2778" s="4">
        <v>0</v>
      </c>
      <c r="AG2778" s="4">
        <v>1</v>
      </c>
      <c r="AH2778" s="4">
        <v>45</v>
      </c>
      <c r="AI2778" s="4">
        <v>46</v>
      </c>
      <c r="AJ2778" s="4">
        <v>7</v>
      </c>
      <c r="AK2778" s="4">
        <v>8</v>
      </c>
      <c r="AL2778" s="4">
        <v>22</v>
      </c>
      <c r="AM2778" s="4">
        <v>22</v>
      </c>
      <c r="AN2778" s="4">
        <v>0</v>
      </c>
      <c r="AO2778" s="4">
        <v>0</v>
      </c>
      <c r="AP2778" s="4">
        <v>10</v>
      </c>
      <c r="AQ2778" s="4">
        <v>11</v>
      </c>
      <c r="AR2778" s="3" t="s">
        <v>64</v>
      </c>
      <c r="AS2778" s="3" t="s">
        <v>64</v>
      </c>
      <c r="AT2778" s="3" t="s">
        <v>64</v>
      </c>
      <c r="AV2778" s="6" t="str">
        <f>HYPERLINK("http://mcgill.on.worldcat.org/oclc/73741931","Catalog Record")</f>
        <v>Catalog Record</v>
      </c>
      <c r="AW2778" s="6" t="str">
        <f>HYPERLINK("http://www.worldcat.org/oclc/73741931","WorldCat Record")</f>
        <v>WorldCat Record</v>
      </c>
      <c r="AX2778" s="3" t="s">
        <v>27952</v>
      </c>
      <c r="AY2778" s="3" t="s">
        <v>27953</v>
      </c>
      <c r="AZ2778" s="3" t="s">
        <v>27954</v>
      </c>
      <c r="BA2778" s="3" t="s">
        <v>27954</v>
      </c>
      <c r="BB2778" s="3" t="s">
        <v>27955</v>
      </c>
      <c r="BC2778" s="3" t="s">
        <v>77</v>
      </c>
      <c r="BD2778" s="3" t="s">
        <v>78</v>
      </c>
      <c r="BE2778" s="3" t="s">
        <v>27956</v>
      </c>
      <c r="BF2778" s="3" t="s">
        <v>27955</v>
      </c>
      <c r="BG2778" s="3" t="s">
        <v>27957</v>
      </c>
      <c r="BH2778">
        <f t="shared" si="67"/>
        <v>0</v>
      </c>
    </row>
    <row r="2779" spans="1:60" ht="58" x14ac:dyDescent="0.35">
      <c r="A2779" s="2" t="s">
        <v>59</v>
      </c>
      <c r="B2779" s="2" t="s">
        <v>60</v>
      </c>
      <c r="C2779" s="2" t="s">
        <v>27958</v>
      </c>
      <c r="D2779" s="2" t="s">
        <v>27959</v>
      </c>
      <c r="E2779" s="2" t="s">
        <v>27960</v>
      </c>
      <c r="G2779" s="3" t="s">
        <v>64</v>
      </c>
      <c r="I2779" s="3" t="s">
        <v>64</v>
      </c>
      <c r="J2779" s="3" t="s">
        <v>64</v>
      </c>
      <c r="K2779" s="3" t="s">
        <v>65</v>
      </c>
      <c r="L2779" s="2" t="s">
        <v>27961</v>
      </c>
      <c r="M2779" s="2" t="s">
        <v>14430</v>
      </c>
      <c r="N2779" s="3" t="s">
        <v>768</v>
      </c>
      <c r="P2779" s="3" t="s">
        <v>102</v>
      </c>
      <c r="R2779" s="3" t="s">
        <v>70</v>
      </c>
      <c r="S2779" s="4">
        <v>17</v>
      </c>
      <c r="T2779" s="4">
        <v>17</v>
      </c>
      <c r="U2779" s="5" t="s">
        <v>4758</v>
      </c>
      <c r="V2779" s="5" t="s">
        <v>4758</v>
      </c>
      <c r="W2779" s="5" t="s">
        <v>72</v>
      </c>
      <c r="X2779" s="5" t="s">
        <v>72</v>
      </c>
      <c r="Y2779" s="4">
        <v>282</v>
      </c>
      <c r="Z2779" s="4">
        <v>23</v>
      </c>
      <c r="AA2779" s="4">
        <v>24</v>
      </c>
      <c r="AB2779" s="4">
        <v>2</v>
      </c>
      <c r="AC2779" s="4">
        <v>3</v>
      </c>
      <c r="AD2779" s="4">
        <v>86</v>
      </c>
      <c r="AE2779" s="4">
        <v>87</v>
      </c>
      <c r="AF2779" s="4">
        <v>1</v>
      </c>
      <c r="AG2779" s="4">
        <v>2</v>
      </c>
      <c r="AH2779" s="4">
        <v>77</v>
      </c>
      <c r="AI2779" s="4">
        <v>77</v>
      </c>
      <c r="AJ2779" s="4">
        <v>18</v>
      </c>
      <c r="AK2779" s="4">
        <v>19</v>
      </c>
      <c r="AL2779" s="4">
        <v>38</v>
      </c>
      <c r="AM2779" s="4">
        <v>38</v>
      </c>
      <c r="AN2779" s="4">
        <v>0</v>
      </c>
      <c r="AO2779" s="4">
        <v>0</v>
      </c>
      <c r="AP2779" s="4">
        <v>17</v>
      </c>
      <c r="AQ2779" s="4">
        <v>17</v>
      </c>
      <c r="AR2779" s="3" t="s">
        <v>64</v>
      </c>
      <c r="AS2779" s="3" t="s">
        <v>64</v>
      </c>
      <c r="AT2779" s="3" t="s">
        <v>128</v>
      </c>
      <c r="AU2779" s="6" t="str">
        <f>HYPERLINK("http://catalog.hathitrust.org/Record/000750814","HathiTrust Record")</f>
        <v>HathiTrust Record</v>
      </c>
      <c r="AV2779" s="6" t="str">
        <f>HYPERLINK("http://mcgill.on.worldcat.org/oclc/3380191","Catalog Record")</f>
        <v>Catalog Record</v>
      </c>
      <c r="AW2779" s="6" t="str">
        <f>HYPERLINK("http://www.worldcat.org/oclc/3380191","WorldCat Record")</f>
        <v>WorldCat Record</v>
      </c>
      <c r="AX2779" s="3" t="s">
        <v>27962</v>
      </c>
      <c r="AY2779" s="3" t="s">
        <v>27963</v>
      </c>
      <c r="AZ2779" s="3" t="s">
        <v>27964</v>
      </c>
      <c r="BA2779" s="3" t="s">
        <v>27964</v>
      </c>
      <c r="BB2779" s="3" t="s">
        <v>27965</v>
      </c>
      <c r="BC2779" s="3" t="s">
        <v>77</v>
      </c>
      <c r="BD2779" s="3" t="s">
        <v>78</v>
      </c>
      <c r="BE2779" s="3" t="s">
        <v>27966</v>
      </c>
      <c r="BF2779" s="3" t="s">
        <v>27965</v>
      </c>
      <c r="BG2779" s="3" t="s">
        <v>27967</v>
      </c>
      <c r="BH2779">
        <f t="shared" si="67"/>
        <v>0</v>
      </c>
    </row>
    <row r="2780" spans="1:60" ht="58" x14ac:dyDescent="0.35">
      <c r="A2780" s="2" t="s">
        <v>59</v>
      </c>
      <c r="B2780" s="2" t="s">
        <v>60</v>
      </c>
      <c r="C2780" s="2" t="s">
        <v>27968</v>
      </c>
      <c r="D2780" s="2" t="s">
        <v>27969</v>
      </c>
      <c r="E2780" s="2" t="s">
        <v>27970</v>
      </c>
      <c r="G2780" s="3" t="s">
        <v>64</v>
      </c>
      <c r="H2780" s="3" t="s">
        <v>183</v>
      </c>
      <c r="I2780" s="3" t="s">
        <v>64</v>
      </c>
      <c r="J2780" s="3" t="s">
        <v>64</v>
      </c>
      <c r="K2780" s="3" t="s">
        <v>65</v>
      </c>
      <c r="L2780" s="2" t="s">
        <v>27971</v>
      </c>
      <c r="M2780" s="2" t="s">
        <v>27972</v>
      </c>
      <c r="N2780" s="3" t="s">
        <v>253</v>
      </c>
      <c r="O2780" s="2" t="s">
        <v>3787</v>
      </c>
      <c r="P2780" s="3" t="s">
        <v>102</v>
      </c>
      <c r="R2780" s="3" t="s">
        <v>70</v>
      </c>
      <c r="S2780" s="4">
        <v>0</v>
      </c>
      <c r="T2780" s="4">
        <v>0</v>
      </c>
      <c r="W2780" s="5" t="s">
        <v>826</v>
      </c>
      <c r="X2780" s="5" t="s">
        <v>826</v>
      </c>
      <c r="Y2780" s="4">
        <v>115</v>
      </c>
      <c r="Z2780" s="4">
        <v>4</v>
      </c>
      <c r="AA2780" s="4">
        <v>14</v>
      </c>
      <c r="AB2780" s="4">
        <v>2</v>
      </c>
      <c r="AC2780" s="4">
        <v>4</v>
      </c>
      <c r="AD2780" s="4">
        <v>12</v>
      </c>
      <c r="AE2780" s="4">
        <v>55</v>
      </c>
      <c r="AF2780" s="4">
        <v>0</v>
      </c>
      <c r="AG2780" s="4">
        <v>0</v>
      </c>
      <c r="AH2780" s="4">
        <v>12</v>
      </c>
      <c r="AI2780" s="4">
        <v>52</v>
      </c>
      <c r="AJ2780" s="4">
        <v>1</v>
      </c>
      <c r="AK2780" s="4">
        <v>5</v>
      </c>
      <c r="AL2780" s="4">
        <v>6</v>
      </c>
      <c r="AM2780" s="4">
        <v>28</v>
      </c>
      <c r="AN2780" s="4">
        <v>0</v>
      </c>
      <c r="AO2780" s="4">
        <v>0</v>
      </c>
      <c r="AP2780" s="4">
        <v>1</v>
      </c>
      <c r="AQ2780" s="4">
        <v>6</v>
      </c>
      <c r="AR2780" s="3" t="s">
        <v>64</v>
      </c>
      <c r="AS2780" s="3" t="s">
        <v>64</v>
      </c>
      <c r="AT2780" s="3" t="s">
        <v>64</v>
      </c>
      <c r="AV2780" s="6" t="str">
        <f>HYPERLINK("http://mcgill.on.worldcat.org/oclc/862053049","Catalog Record")</f>
        <v>Catalog Record</v>
      </c>
      <c r="AW2780" s="6" t="str">
        <f>HYPERLINK("http://www.worldcat.org/oclc/862053049","WorldCat Record")</f>
        <v>WorldCat Record</v>
      </c>
      <c r="AX2780" s="3" t="s">
        <v>27973</v>
      </c>
      <c r="AY2780" s="3" t="s">
        <v>27974</v>
      </c>
      <c r="AZ2780" s="3" t="s">
        <v>27975</v>
      </c>
      <c r="BA2780" s="3" t="s">
        <v>27975</v>
      </c>
      <c r="BB2780" s="3" t="s">
        <v>27976</v>
      </c>
      <c r="BC2780" s="3" t="s">
        <v>77</v>
      </c>
      <c r="BD2780" s="3" t="s">
        <v>78</v>
      </c>
      <c r="BE2780" s="3" t="s">
        <v>27977</v>
      </c>
      <c r="BF2780" s="3" t="s">
        <v>27976</v>
      </c>
      <c r="BG2780" s="3" t="s">
        <v>27978</v>
      </c>
      <c r="BH2780">
        <f t="shared" si="67"/>
        <v>0</v>
      </c>
    </row>
    <row r="2781" spans="1:60" ht="58" x14ac:dyDescent="0.35">
      <c r="A2781" s="2" t="s">
        <v>59</v>
      </c>
      <c r="B2781" s="2" t="s">
        <v>60</v>
      </c>
      <c r="C2781" s="2" t="s">
        <v>27979</v>
      </c>
      <c r="D2781" s="2" t="s">
        <v>27980</v>
      </c>
      <c r="E2781" s="2" t="s">
        <v>27981</v>
      </c>
      <c r="G2781" s="3" t="s">
        <v>64</v>
      </c>
      <c r="I2781" s="3" t="s">
        <v>64</v>
      </c>
      <c r="J2781" s="3" t="s">
        <v>64</v>
      </c>
      <c r="K2781" s="3" t="s">
        <v>65</v>
      </c>
      <c r="L2781" s="2" t="s">
        <v>27982</v>
      </c>
      <c r="M2781" s="2" t="s">
        <v>27983</v>
      </c>
      <c r="N2781" s="3" t="s">
        <v>511</v>
      </c>
      <c r="P2781" s="3" t="s">
        <v>102</v>
      </c>
      <c r="R2781" s="3" t="s">
        <v>70</v>
      </c>
      <c r="S2781" s="4">
        <v>0</v>
      </c>
      <c r="T2781" s="4">
        <v>0</v>
      </c>
      <c r="W2781" s="5" t="s">
        <v>72</v>
      </c>
      <c r="X2781" s="5" t="s">
        <v>72</v>
      </c>
      <c r="Y2781" s="4">
        <v>58</v>
      </c>
      <c r="Z2781" s="4">
        <v>2</v>
      </c>
      <c r="AA2781" s="4">
        <v>11</v>
      </c>
      <c r="AB2781" s="4">
        <v>1</v>
      </c>
      <c r="AC2781" s="4">
        <v>5</v>
      </c>
      <c r="AD2781" s="4">
        <v>23</v>
      </c>
      <c r="AE2781" s="4">
        <v>32</v>
      </c>
      <c r="AF2781" s="4">
        <v>0</v>
      </c>
      <c r="AG2781" s="4">
        <v>1</v>
      </c>
      <c r="AH2781" s="4">
        <v>23</v>
      </c>
      <c r="AI2781" s="4">
        <v>30</v>
      </c>
      <c r="AJ2781" s="4">
        <v>1</v>
      </c>
      <c r="AK2781" s="4">
        <v>4</v>
      </c>
      <c r="AL2781" s="4">
        <v>13</v>
      </c>
      <c r="AM2781" s="4">
        <v>16</v>
      </c>
      <c r="AN2781" s="4">
        <v>0</v>
      </c>
      <c r="AO2781" s="4">
        <v>0</v>
      </c>
      <c r="AP2781" s="4">
        <v>1</v>
      </c>
      <c r="AQ2781" s="4">
        <v>4</v>
      </c>
      <c r="AR2781" s="3" t="s">
        <v>64</v>
      </c>
      <c r="AS2781" s="3" t="s">
        <v>64</v>
      </c>
      <c r="AT2781" s="3" t="s">
        <v>64</v>
      </c>
      <c r="AV2781" s="6" t="str">
        <f>HYPERLINK("http://mcgill.on.worldcat.org/oclc/463972046","Catalog Record")</f>
        <v>Catalog Record</v>
      </c>
      <c r="AW2781" s="6" t="str">
        <f>HYPERLINK("http://www.worldcat.org/oclc/463972046","WorldCat Record")</f>
        <v>WorldCat Record</v>
      </c>
      <c r="AX2781" s="3" t="s">
        <v>27984</v>
      </c>
      <c r="AY2781" s="3" t="s">
        <v>27985</v>
      </c>
      <c r="AZ2781" s="3" t="s">
        <v>27986</v>
      </c>
      <c r="BA2781" s="3" t="s">
        <v>27986</v>
      </c>
      <c r="BB2781" s="3" t="s">
        <v>27987</v>
      </c>
      <c r="BC2781" s="3" t="s">
        <v>77</v>
      </c>
      <c r="BD2781" s="3" t="s">
        <v>78</v>
      </c>
      <c r="BE2781" s="3" t="s">
        <v>27988</v>
      </c>
      <c r="BF2781" s="3" t="s">
        <v>27987</v>
      </c>
      <c r="BG2781" s="3" t="s">
        <v>27989</v>
      </c>
      <c r="BH2781">
        <f t="shared" si="67"/>
        <v>0</v>
      </c>
    </row>
    <row r="2782" spans="1:60" ht="58" x14ac:dyDescent="0.35">
      <c r="A2782" s="2" t="s">
        <v>1932</v>
      </c>
      <c r="B2782" s="2" t="s">
        <v>7461</v>
      </c>
      <c r="C2782" s="2" t="s">
        <v>27990</v>
      </c>
      <c r="D2782" s="2" t="s">
        <v>27991</v>
      </c>
      <c r="E2782" s="2" t="s">
        <v>27992</v>
      </c>
      <c r="G2782" s="3" t="s">
        <v>64</v>
      </c>
      <c r="I2782" s="3" t="s">
        <v>128</v>
      </c>
      <c r="J2782" s="3" t="s">
        <v>64</v>
      </c>
      <c r="K2782" s="3" t="s">
        <v>65</v>
      </c>
      <c r="L2782" s="2" t="s">
        <v>27993</v>
      </c>
      <c r="M2782" s="2" t="s">
        <v>27994</v>
      </c>
      <c r="N2782" s="3" t="s">
        <v>922</v>
      </c>
      <c r="P2782" s="3" t="s">
        <v>102</v>
      </c>
      <c r="R2782" s="3" t="s">
        <v>70</v>
      </c>
      <c r="S2782" s="4">
        <v>0</v>
      </c>
      <c r="T2782" s="4">
        <v>6</v>
      </c>
      <c r="V2782" s="5" t="s">
        <v>2055</v>
      </c>
      <c r="W2782" s="5" t="s">
        <v>72</v>
      </c>
      <c r="X2782" s="5" t="s">
        <v>72</v>
      </c>
      <c r="Y2782" s="4">
        <v>607</v>
      </c>
      <c r="Z2782" s="4">
        <v>30</v>
      </c>
      <c r="AA2782" s="4">
        <v>38</v>
      </c>
      <c r="AB2782" s="4">
        <v>3</v>
      </c>
      <c r="AC2782" s="4">
        <v>6</v>
      </c>
      <c r="AD2782" s="4">
        <v>104</v>
      </c>
      <c r="AE2782" s="4">
        <v>117</v>
      </c>
      <c r="AF2782" s="4">
        <v>0</v>
      </c>
      <c r="AG2782" s="4">
        <v>3</v>
      </c>
      <c r="AH2782" s="4">
        <v>90</v>
      </c>
      <c r="AI2782" s="4">
        <v>99</v>
      </c>
      <c r="AJ2782" s="4">
        <v>14</v>
      </c>
      <c r="AK2782" s="4">
        <v>20</v>
      </c>
      <c r="AL2782" s="4">
        <v>50</v>
      </c>
      <c r="AM2782" s="4">
        <v>52</v>
      </c>
      <c r="AN2782" s="4">
        <v>0</v>
      </c>
      <c r="AO2782" s="4">
        <v>0</v>
      </c>
      <c r="AP2782" s="4">
        <v>15</v>
      </c>
      <c r="AQ2782" s="4">
        <v>22</v>
      </c>
      <c r="AR2782" s="3" t="s">
        <v>64</v>
      </c>
      <c r="AS2782" s="3" t="s">
        <v>64</v>
      </c>
      <c r="AT2782" s="3" t="s">
        <v>128</v>
      </c>
      <c r="AU2782" s="6" t="str">
        <f>HYPERLINK("http://catalog.hathitrust.org/Record/001175978","HathiTrust Record")</f>
        <v>HathiTrust Record</v>
      </c>
      <c r="AV2782" s="6" t="str">
        <f>HYPERLINK("http://mcgill.on.worldcat.org/oclc/2780328","Catalog Record")</f>
        <v>Catalog Record</v>
      </c>
      <c r="AW2782" s="6" t="str">
        <f>HYPERLINK("http://www.worldcat.org/oclc/2780328","WorldCat Record")</f>
        <v>WorldCat Record</v>
      </c>
      <c r="AX2782" s="3" t="s">
        <v>27995</v>
      </c>
      <c r="AY2782" s="3" t="s">
        <v>27996</v>
      </c>
      <c r="AZ2782" s="3" t="s">
        <v>27997</v>
      </c>
      <c r="BA2782" s="3" t="s">
        <v>27997</v>
      </c>
      <c r="BB2782" s="3" t="s">
        <v>27998</v>
      </c>
      <c r="BC2782" s="3" t="s">
        <v>77</v>
      </c>
      <c r="BD2782" s="3" t="s">
        <v>78</v>
      </c>
      <c r="BF2782" s="3" t="s">
        <v>27998</v>
      </c>
      <c r="BG2782" s="3" t="s">
        <v>27999</v>
      </c>
      <c r="BH2782">
        <f t="shared" si="67"/>
        <v>0</v>
      </c>
    </row>
    <row r="2783" spans="1:60" ht="58" x14ac:dyDescent="0.35">
      <c r="A2783" s="2" t="s">
        <v>59</v>
      </c>
      <c r="B2783" s="2" t="s">
        <v>60</v>
      </c>
      <c r="C2783" s="2" t="s">
        <v>28000</v>
      </c>
      <c r="D2783" s="2" t="s">
        <v>28001</v>
      </c>
      <c r="E2783" s="2" t="s">
        <v>27992</v>
      </c>
      <c r="G2783" s="3" t="s">
        <v>64</v>
      </c>
      <c r="I2783" s="3" t="s">
        <v>128</v>
      </c>
      <c r="J2783" s="3" t="s">
        <v>64</v>
      </c>
      <c r="K2783" s="3" t="s">
        <v>65</v>
      </c>
      <c r="L2783" s="2" t="s">
        <v>27993</v>
      </c>
      <c r="M2783" s="2" t="s">
        <v>27994</v>
      </c>
      <c r="N2783" s="3" t="s">
        <v>922</v>
      </c>
      <c r="P2783" s="3" t="s">
        <v>102</v>
      </c>
      <c r="R2783" s="3" t="s">
        <v>70</v>
      </c>
      <c r="S2783" s="4">
        <v>6</v>
      </c>
      <c r="T2783" s="4">
        <v>6</v>
      </c>
      <c r="U2783" s="5" t="s">
        <v>2055</v>
      </c>
      <c r="V2783" s="5" t="s">
        <v>2055</v>
      </c>
      <c r="W2783" s="5" t="s">
        <v>72</v>
      </c>
      <c r="X2783" s="5" t="s">
        <v>72</v>
      </c>
      <c r="Y2783" s="4">
        <v>607</v>
      </c>
      <c r="Z2783" s="4">
        <v>30</v>
      </c>
      <c r="AA2783" s="4">
        <v>38</v>
      </c>
      <c r="AB2783" s="4">
        <v>3</v>
      </c>
      <c r="AC2783" s="4">
        <v>6</v>
      </c>
      <c r="AD2783" s="4">
        <v>104</v>
      </c>
      <c r="AE2783" s="4">
        <v>117</v>
      </c>
      <c r="AF2783" s="4">
        <v>0</v>
      </c>
      <c r="AG2783" s="4">
        <v>3</v>
      </c>
      <c r="AH2783" s="4">
        <v>90</v>
      </c>
      <c r="AI2783" s="4">
        <v>99</v>
      </c>
      <c r="AJ2783" s="4">
        <v>14</v>
      </c>
      <c r="AK2783" s="4">
        <v>20</v>
      </c>
      <c r="AL2783" s="4">
        <v>50</v>
      </c>
      <c r="AM2783" s="4">
        <v>52</v>
      </c>
      <c r="AN2783" s="4">
        <v>0</v>
      </c>
      <c r="AO2783" s="4">
        <v>0</v>
      </c>
      <c r="AP2783" s="4">
        <v>15</v>
      </c>
      <c r="AQ2783" s="4">
        <v>22</v>
      </c>
      <c r="AR2783" s="3" t="s">
        <v>64</v>
      </c>
      <c r="AS2783" s="3" t="s">
        <v>64</v>
      </c>
      <c r="AT2783" s="3" t="s">
        <v>128</v>
      </c>
      <c r="AU2783" s="6" t="str">
        <f>HYPERLINK("http://catalog.hathitrust.org/Record/001175978","HathiTrust Record")</f>
        <v>HathiTrust Record</v>
      </c>
      <c r="AV2783" s="6" t="str">
        <f>HYPERLINK("http://mcgill.on.worldcat.org/oclc/2780328","Catalog Record")</f>
        <v>Catalog Record</v>
      </c>
      <c r="AW2783" s="6" t="str">
        <f>HYPERLINK("http://www.worldcat.org/oclc/2780328","WorldCat Record")</f>
        <v>WorldCat Record</v>
      </c>
      <c r="AX2783" s="3" t="s">
        <v>27995</v>
      </c>
      <c r="AY2783" s="3" t="s">
        <v>27996</v>
      </c>
      <c r="AZ2783" s="3" t="s">
        <v>27997</v>
      </c>
      <c r="BA2783" s="3" t="s">
        <v>27997</v>
      </c>
      <c r="BB2783" s="3" t="s">
        <v>28002</v>
      </c>
      <c r="BC2783" s="3" t="s">
        <v>77</v>
      </c>
      <c r="BD2783" s="3" t="s">
        <v>78</v>
      </c>
      <c r="BF2783" s="3" t="s">
        <v>28002</v>
      </c>
      <c r="BG2783" s="3" t="s">
        <v>28003</v>
      </c>
      <c r="BH2783">
        <f t="shared" si="67"/>
        <v>0</v>
      </c>
    </row>
    <row r="2784" spans="1:60" ht="58" x14ac:dyDescent="0.35">
      <c r="A2784" s="2" t="s">
        <v>59</v>
      </c>
      <c r="B2784" s="2" t="s">
        <v>60</v>
      </c>
      <c r="C2784" s="2" t="s">
        <v>28004</v>
      </c>
      <c r="D2784" s="2" t="s">
        <v>28005</v>
      </c>
      <c r="E2784" s="2" t="s">
        <v>28006</v>
      </c>
      <c r="G2784" s="3" t="s">
        <v>64</v>
      </c>
      <c r="I2784" s="3" t="s">
        <v>64</v>
      </c>
      <c r="J2784" s="3" t="s">
        <v>64</v>
      </c>
      <c r="K2784" s="3" t="s">
        <v>65</v>
      </c>
      <c r="L2784" s="2" t="s">
        <v>28007</v>
      </c>
      <c r="M2784" s="2" t="s">
        <v>28008</v>
      </c>
      <c r="N2784" s="3" t="s">
        <v>434</v>
      </c>
      <c r="P2784" s="3" t="s">
        <v>102</v>
      </c>
      <c r="Q2784" s="2" t="s">
        <v>28009</v>
      </c>
      <c r="R2784" s="3" t="s">
        <v>70</v>
      </c>
      <c r="S2784" s="4">
        <v>6</v>
      </c>
      <c r="T2784" s="4">
        <v>6</v>
      </c>
      <c r="U2784" s="5" t="s">
        <v>14431</v>
      </c>
      <c r="V2784" s="5" t="s">
        <v>14431</v>
      </c>
      <c r="W2784" s="5" t="s">
        <v>72</v>
      </c>
      <c r="X2784" s="5" t="s">
        <v>72</v>
      </c>
      <c r="Y2784" s="4">
        <v>684</v>
      </c>
      <c r="Z2784" s="4">
        <v>31</v>
      </c>
      <c r="AA2784" s="4">
        <v>114</v>
      </c>
      <c r="AB2784" s="4">
        <v>4</v>
      </c>
      <c r="AC2784" s="4">
        <v>20</v>
      </c>
      <c r="AD2784" s="4">
        <v>93</v>
      </c>
      <c r="AE2784" s="4">
        <v>131</v>
      </c>
      <c r="AF2784" s="4">
        <v>1</v>
      </c>
      <c r="AG2784" s="4">
        <v>8</v>
      </c>
      <c r="AH2784" s="4">
        <v>82</v>
      </c>
      <c r="AI2784" s="4">
        <v>95</v>
      </c>
      <c r="AJ2784" s="4">
        <v>11</v>
      </c>
      <c r="AK2784" s="4">
        <v>21</v>
      </c>
      <c r="AL2784" s="4">
        <v>40</v>
      </c>
      <c r="AM2784" s="4">
        <v>44</v>
      </c>
      <c r="AN2784" s="4">
        <v>0</v>
      </c>
      <c r="AO2784" s="4">
        <v>0</v>
      </c>
      <c r="AP2784" s="4">
        <v>13</v>
      </c>
      <c r="AQ2784" s="4">
        <v>42</v>
      </c>
      <c r="AR2784" s="3" t="s">
        <v>64</v>
      </c>
      <c r="AS2784" s="3" t="s">
        <v>64</v>
      </c>
      <c r="AT2784" s="3" t="s">
        <v>128</v>
      </c>
      <c r="AU2784" s="6" t="str">
        <f>HYPERLINK("http://catalog.hathitrust.org/Record/005137654","HathiTrust Record")</f>
        <v>HathiTrust Record</v>
      </c>
      <c r="AV2784" s="6" t="str">
        <f>HYPERLINK("http://mcgill.on.worldcat.org/oclc/53013454","Catalog Record")</f>
        <v>Catalog Record</v>
      </c>
      <c r="AW2784" s="6" t="str">
        <f>HYPERLINK("http://www.worldcat.org/oclc/53013454","WorldCat Record")</f>
        <v>WorldCat Record</v>
      </c>
      <c r="AX2784" s="3" t="s">
        <v>28010</v>
      </c>
      <c r="AY2784" s="3" t="s">
        <v>28011</v>
      </c>
      <c r="AZ2784" s="3" t="s">
        <v>28012</v>
      </c>
      <c r="BA2784" s="3" t="s">
        <v>28012</v>
      </c>
      <c r="BB2784" s="3" t="s">
        <v>28013</v>
      </c>
      <c r="BC2784" s="3" t="s">
        <v>77</v>
      </c>
      <c r="BD2784" s="3" t="s">
        <v>165</v>
      </c>
      <c r="BE2784" s="3" t="s">
        <v>28014</v>
      </c>
      <c r="BF2784" s="3" t="s">
        <v>28013</v>
      </c>
      <c r="BG2784" s="3" t="s">
        <v>28015</v>
      </c>
      <c r="BH2784">
        <f t="shared" si="67"/>
        <v>0</v>
      </c>
    </row>
    <row r="2785" spans="1:60" ht="58" x14ac:dyDescent="0.35">
      <c r="A2785" s="2" t="s">
        <v>59</v>
      </c>
      <c r="B2785" s="2" t="s">
        <v>60</v>
      </c>
      <c r="C2785" s="2" t="s">
        <v>28016</v>
      </c>
      <c r="D2785" s="2" t="s">
        <v>28017</v>
      </c>
      <c r="E2785" s="2" t="s">
        <v>28018</v>
      </c>
      <c r="G2785" s="3" t="s">
        <v>64</v>
      </c>
      <c r="I2785" s="3" t="s">
        <v>64</v>
      </c>
      <c r="J2785" s="3" t="s">
        <v>64</v>
      </c>
      <c r="K2785" s="3" t="s">
        <v>65</v>
      </c>
      <c r="M2785" s="2" t="s">
        <v>28019</v>
      </c>
      <c r="N2785" s="3" t="s">
        <v>874</v>
      </c>
      <c r="P2785" s="3" t="s">
        <v>102</v>
      </c>
      <c r="Q2785" s="2" t="s">
        <v>28020</v>
      </c>
      <c r="R2785" s="3" t="s">
        <v>70</v>
      </c>
      <c r="S2785" s="4">
        <v>5</v>
      </c>
      <c r="T2785" s="4">
        <v>5</v>
      </c>
      <c r="U2785" s="5" t="s">
        <v>2055</v>
      </c>
      <c r="V2785" s="5" t="s">
        <v>2055</v>
      </c>
      <c r="W2785" s="5" t="s">
        <v>72</v>
      </c>
      <c r="X2785" s="5" t="s">
        <v>72</v>
      </c>
      <c r="Y2785" s="4">
        <v>177</v>
      </c>
      <c r="Z2785" s="4">
        <v>10</v>
      </c>
      <c r="AA2785" s="4">
        <v>10</v>
      </c>
      <c r="AB2785" s="4">
        <v>2</v>
      </c>
      <c r="AC2785" s="4">
        <v>2</v>
      </c>
      <c r="AD2785" s="4">
        <v>64</v>
      </c>
      <c r="AE2785" s="4">
        <v>65</v>
      </c>
      <c r="AF2785" s="4">
        <v>0</v>
      </c>
      <c r="AG2785" s="4">
        <v>0</v>
      </c>
      <c r="AH2785" s="4">
        <v>58</v>
      </c>
      <c r="AI2785" s="4">
        <v>59</v>
      </c>
      <c r="AJ2785" s="4">
        <v>5</v>
      </c>
      <c r="AK2785" s="4">
        <v>5</v>
      </c>
      <c r="AL2785" s="4">
        <v>33</v>
      </c>
      <c r="AM2785" s="4">
        <v>33</v>
      </c>
      <c r="AN2785" s="4">
        <v>0</v>
      </c>
      <c r="AO2785" s="4">
        <v>0</v>
      </c>
      <c r="AP2785" s="4">
        <v>6</v>
      </c>
      <c r="AQ2785" s="4">
        <v>6</v>
      </c>
      <c r="AR2785" s="3" t="s">
        <v>64</v>
      </c>
      <c r="AS2785" s="3" t="s">
        <v>128</v>
      </c>
      <c r="AT2785" s="3" t="s">
        <v>64</v>
      </c>
      <c r="AU2785" s="6" t="str">
        <f>HYPERLINK("http://catalog.hathitrust.org/Record/000708110","HathiTrust Record")</f>
        <v>HathiTrust Record</v>
      </c>
      <c r="AV2785" s="6" t="str">
        <f>HYPERLINK("http://mcgill.on.worldcat.org/oclc/7128985","Catalog Record")</f>
        <v>Catalog Record</v>
      </c>
      <c r="AW2785" s="6" t="str">
        <f>HYPERLINK("http://www.worldcat.org/oclc/7128985","WorldCat Record")</f>
        <v>WorldCat Record</v>
      </c>
      <c r="AX2785" s="3" t="s">
        <v>28021</v>
      </c>
      <c r="AY2785" s="3" t="s">
        <v>28022</v>
      </c>
      <c r="AZ2785" s="3" t="s">
        <v>28023</v>
      </c>
      <c r="BA2785" s="3" t="s">
        <v>28023</v>
      </c>
      <c r="BB2785" s="3" t="s">
        <v>28024</v>
      </c>
      <c r="BC2785" s="3" t="s">
        <v>77</v>
      </c>
      <c r="BD2785" s="3" t="s">
        <v>78</v>
      </c>
      <c r="BF2785" s="3" t="s">
        <v>28024</v>
      </c>
      <c r="BG2785" s="3" t="s">
        <v>28025</v>
      </c>
      <c r="BH2785">
        <f t="shared" si="67"/>
        <v>0</v>
      </c>
    </row>
    <row r="2786" spans="1:60" ht="58" x14ac:dyDescent="0.35">
      <c r="A2786" s="2" t="s">
        <v>59</v>
      </c>
      <c r="B2786" s="2" t="s">
        <v>60</v>
      </c>
      <c r="C2786" s="2" t="s">
        <v>28026</v>
      </c>
      <c r="D2786" s="2" t="s">
        <v>28027</v>
      </c>
      <c r="E2786" s="2" t="s">
        <v>28028</v>
      </c>
      <c r="G2786" s="3" t="s">
        <v>64</v>
      </c>
      <c r="I2786" s="3" t="s">
        <v>64</v>
      </c>
      <c r="J2786" s="3" t="s">
        <v>64</v>
      </c>
      <c r="K2786" s="3" t="s">
        <v>65</v>
      </c>
      <c r="M2786" s="2" t="s">
        <v>28029</v>
      </c>
      <c r="N2786" s="3" t="s">
        <v>1938</v>
      </c>
      <c r="P2786" s="3" t="s">
        <v>102</v>
      </c>
      <c r="R2786" s="3" t="s">
        <v>70</v>
      </c>
      <c r="S2786" s="4">
        <v>11</v>
      </c>
      <c r="T2786" s="4">
        <v>11</v>
      </c>
      <c r="U2786" s="5" t="s">
        <v>3074</v>
      </c>
      <c r="V2786" s="5" t="s">
        <v>3074</v>
      </c>
      <c r="W2786" s="5" t="s">
        <v>72</v>
      </c>
      <c r="X2786" s="5" t="s">
        <v>72</v>
      </c>
      <c r="Y2786" s="4">
        <v>101</v>
      </c>
      <c r="Z2786" s="4">
        <v>41</v>
      </c>
      <c r="AA2786" s="4">
        <v>44</v>
      </c>
      <c r="AB2786" s="4">
        <v>3</v>
      </c>
      <c r="AC2786" s="4">
        <v>3</v>
      </c>
      <c r="AD2786" s="4">
        <v>42</v>
      </c>
      <c r="AE2786" s="4">
        <v>43</v>
      </c>
      <c r="AF2786" s="4">
        <v>1</v>
      </c>
      <c r="AG2786" s="4">
        <v>1</v>
      </c>
      <c r="AH2786" s="4">
        <v>30</v>
      </c>
      <c r="AI2786" s="4">
        <v>31</v>
      </c>
      <c r="AJ2786" s="4">
        <v>16</v>
      </c>
      <c r="AK2786" s="4">
        <v>17</v>
      </c>
      <c r="AL2786" s="4">
        <v>16</v>
      </c>
      <c r="AM2786" s="4">
        <v>16</v>
      </c>
      <c r="AN2786" s="4">
        <v>0</v>
      </c>
      <c r="AO2786" s="4">
        <v>0</v>
      </c>
      <c r="AP2786" s="4">
        <v>21</v>
      </c>
      <c r="AQ2786" s="4">
        <v>22</v>
      </c>
      <c r="AR2786" s="3" t="s">
        <v>128</v>
      </c>
      <c r="AS2786" s="3" t="s">
        <v>64</v>
      </c>
      <c r="AT2786" s="3" t="s">
        <v>128</v>
      </c>
      <c r="AU2786" s="6" t="str">
        <f>HYPERLINK("http://catalog.hathitrust.org/Record/012280966","HathiTrust Record")</f>
        <v>HathiTrust Record</v>
      </c>
      <c r="AV2786" s="6" t="str">
        <f>HYPERLINK("http://mcgill.on.worldcat.org/oclc/22507490","Catalog Record")</f>
        <v>Catalog Record</v>
      </c>
      <c r="AW2786" s="6" t="str">
        <f>HYPERLINK("http://www.worldcat.org/oclc/22507490","WorldCat Record")</f>
        <v>WorldCat Record</v>
      </c>
      <c r="AX2786" s="3" t="s">
        <v>28030</v>
      </c>
      <c r="AY2786" s="3" t="s">
        <v>28031</v>
      </c>
      <c r="AZ2786" s="3" t="s">
        <v>28032</v>
      </c>
      <c r="BA2786" s="3" t="s">
        <v>28032</v>
      </c>
      <c r="BB2786" s="3" t="s">
        <v>28033</v>
      </c>
      <c r="BC2786" s="3" t="s">
        <v>77</v>
      </c>
      <c r="BD2786" s="3" t="s">
        <v>165</v>
      </c>
      <c r="BE2786" s="3" t="s">
        <v>28034</v>
      </c>
      <c r="BF2786" s="3" t="s">
        <v>28033</v>
      </c>
      <c r="BG2786" s="3" t="s">
        <v>28035</v>
      </c>
      <c r="BH2786">
        <f t="shared" si="67"/>
        <v>0</v>
      </c>
    </row>
    <row r="2787" spans="1:60" ht="58" x14ac:dyDescent="0.35">
      <c r="A2787" s="2" t="s">
        <v>59</v>
      </c>
      <c r="B2787" s="2" t="s">
        <v>60</v>
      </c>
      <c r="C2787" s="2" t="s">
        <v>28036</v>
      </c>
      <c r="D2787" s="2" t="s">
        <v>28037</v>
      </c>
      <c r="E2787" s="2" t="s">
        <v>28038</v>
      </c>
      <c r="G2787" s="3" t="s">
        <v>64</v>
      </c>
      <c r="I2787" s="3" t="s">
        <v>64</v>
      </c>
      <c r="J2787" s="3" t="s">
        <v>128</v>
      </c>
      <c r="K2787" s="3" t="s">
        <v>65</v>
      </c>
      <c r="L2787" s="2" t="s">
        <v>3908</v>
      </c>
      <c r="M2787" s="2" t="s">
        <v>28039</v>
      </c>
      <c r="N2787" s="3" t="s">
        <v>28040</v>
      </c>
      <c r="O2787" s="2" t="s">
        <v>28041</v>
      </c>
      <c r="P2787" s="3" t="s">
        <v>102</v>
      </c>
      <c r="Q2787" s="2" t="s">
        <v>28042</v>
      </c>
      <c r="R2787" s="3" t="s">
        <v>70</v>
      </c>
      <c r="S2787" s="4">
        <v>5</v>
      </c>
      <c r="T2787" s="4">
        <v>5</v>
      </c>
      <c r="U2787" s="5" t="s">
        <v>7748</v>
      </c>
      <c r="V2787" s="5" t="s">
        <v>7748</v>
      </c>
      <c r="W2787" s="5" t="s">
        <v>72</v>
      </c>
      <c r="X2787" s="5" t="s">
        <v>72</v>
      </c>
      <c r="Y2787" s="4">
        <v>133</v>
      </c>
      <c r="Z2787" s="4">
        <v>9</v>
      </c>
      <c r="AA2787" s="4">
        <v>119</v>
      </c>
      <c r="AB2787" s="4">
        <v>2</v>
      </c>
      <c r="AC2787" s="4">
        <v>17</v>
      </c>
      <c r="AD2787" s="4">
        <v>45</v>
      </c>
      <c r="AE2787" s="4">
        <v>148</v>
      </c>
      <c r="AF2787" s="4">
        <v>0</v>
      </c>
      <c r="AG2787" s="4">
        <v>6</v>
      </c>
      <c r="AH2787" s="4">
        <v>41</v>
      </c>
      <c r="AI2787" s="4">
        <v>112</v>
      </c>
      <c r="AJ2787" s="4">
        <v>6</v>
      </c>
      <c r="AK2787" s="4">
        <v>24</v>
      </c>
      <c r="AL2787" s="4">
        <v>23</v>
      </c>
      <c r="AM2787" s="4">
        <v>62</v>
      </c>
      <c r="AN2787" s="4">
        <v>0</v>
      </c>
      <c r="AO2787" s="4">
        <v>0</v>
      </c>
      <c r="AP2787" s="4">
        <v>5</v>
      </c>
      <c r="AQ2787" s="4">
        <v>40</v>
      </c>
      <c r="AR2787" s="3" t="s">
        <v>64</v>
      </c>
      <c r="AS2787" s="3" t="s">
        <v>128</v>
      </c>
      <c r="AT2787" s="3" t="s">
        <v>64</v>
      </c>
      <c r="AU2787" s="6" t="str">
        <f>HYPERLINK("http://catalog.hathitrust.org/Record/100484500","HathiTrust Record")</f>
        <v>HathiTrust Record</v>
      </c>
      <c r="AV2787" s="6" t="str">
        <f>HYPERLINK("http://mcgill.on.worldcat.org/oclc/10273513","Catalog Record")</f>
        <v>Catalog Record</v>
      </c>
      <c r="AW2787" s="6" t="str">
        <f>HYPERLINK("http://www.worldcat.org/oclc/10273513","WorldCat Record")</f>
        <v>WorldCat Record</v>
      </c>
      <c r="AX2787" s="3" t="s">
        <v>28043</v>
      </c>
      <c r="AY2787" s="3" t="s">
        <v>28044</v>
      </c>
      <c r="AZ2787" s="3" t="s">
        <v>28045</v>
      </c>
      <c r="BA2787" s="3" t="s">
        <v>28045</v>
      </c>
      <c r="BB2787" s="3" t="s">
        <v>28046</v>
      </c>
      <c r="BC2787" s="3" t="s">
        <v>77</v>
      </c>
      <c r="BD2787" s="3" t="s">
        <v>78</v>
      </c>
      <c r="BF2787" s="3" t="s">
        <v>28046</v>
      </c>
      <c r="BG2787" s="3" t="s">
        <v>28047</v>
      </c>
      <c r="BH2787">
        <f t="shared" si="67"/>
        <v>0</v>
      </c>
    </row>
    <row r="2788" spans="1:60" ht="58" x14ac:dyDescent="0.35">
      <c r="A2788" s="2" t="s">
        <v>59</v>
      </c>
      <c r="B2788" s="2" t="s">
        <v>60</v>
      </c>
      <c r="C2788" s="2" t="s">
        <v>28048</v>
      </c>
      <c r="D2788" s="2" t="s">
        <v>28049</v>
      </c>
      <c r="E2788" s="2" t="s">
        <v>28050</v>
      </c>
      <c r="G2788" s="3" t="s">
        <v>64</v>
      </c>
      <c r="I2788" s="3" t="s">
        <v>64</v>
      </c>
      <c r="J2788" s="3" t="s">
        <v>64</v>
      </c>
      <c r="K2788" s="3" t="s">
        <v>65</v>
      </c>
      <c r="M2788" s="2" t="s">
        <v>28051</v>
      </c>
      <c r="N2788" s="3" t="s">
        <v>1263</v>
      </c>
      <c r="P2788" s="3" t="s">
        <v>102</v>
      </c>
      <c r="Q2788" s="2" t="s">
        <v>28052</v>
      </c>
      <c r="R2788" s="3" t="s">
        <v>70</v>
      </c>
      <c r="S2788" s="4">
        <v>8</v>
      </c>
      <c r="T2788" s="4">
        <v>8</v>
      </c>
      <c r="U2788" s="5" t="s">
        <v>28053</v>
      </c>
      <c r="V2788" s="5" t="s">
        <v>28053</v>
      </c>
      <c r="W2788" s="5" t="s">
        <v>72</v>
      </c>
      <c r="X2788" s="5" t="s">
        <v>72</v>
      </c>
      <c r="Y2788" s="4">
        <v>211</v>
      </c>
      <c r="Z2788" s="4">
        <v>9</v>
      </c>
      <c r="AA2788" s="4">
        <v>15</v>
      </c>
      <c r="AB2788" s="4">
        <v>1</v>
      </c>
      <c r="AC2788" s="4">
        <v>1</v>
      </c>
      <c r="AD2788" s="4">
        <v>69</v>
      </c>
      <c r="AE2788" s="4">
        <v>83</v>
      </c>
      <c r="AF2788" s="4">
        <v>0</v>
      </c>
      <c r="AG2788" s="4">
        <v>0</v>
      </c>
      <c r="AH2788" s="4">
        <v>61</v>
      </c>
      <c r="AI2788" s="4">
        <v>75</v>
      </c>
      <c r="AJ2788" s="4">
        <v>8</v>
      </c>
      <c r="AK2788" s="4">
        <v>12</v>
      </c>
      <c r="AL2788" s="4">
        <v>33</v>
      </c>
      <c r="AM2788" s="4">
        <v>39</v>
      </c>
      <c r="AN2788" s="4">
        <v>0</v>
      </c>
      <c r="AO2788" s="4">
        <v>0</v>
      </c>
      <c r="AP2788" s="4">
        <v>7</v>
      </c>
      <c r="AQ2788" s="4">
        <v>11</v>
      </c>
      <c r="AR2788" s="3" t="s">
        <v>64</v>
      </c>
      <c r="AS2788" s="3" t="s">
        <v>128</v>
      </c>
      <c r="AT2788" s="3" t="s">
        <v>64</v>
      </c>
      <c r="AU2788" s="6" t="str">
        <f>HYPERLINK("http://catalog.hathitrust.org/Record/002645802","HathiTrust Record")</f>
        <v>HathiTrust Record</v>
      </c>
      <c r="AV2788" s="6" t="str">
        <f>HYPERLINK("http://mcgill.on.worldcat.org/oclc/28250076","Catalog Record")</f>
        <v>Catalog Record</v>
      </c>
      <c r="AW2788" s="6" t="str">
        <f>HYPERLINK("http://www.worldcat.org/oclc/28250076","WorldCat Record")</f>
        <v>WorldCat Record</v>
      </c>
      <c r="AX2788" s="3" t="s">
        <v>28054</v>
      </c>
      <c r="AY2788" s="3" t="s">
        <v>28055</v>
      </c>
      <c r="AZ2788" s="3" t="s">
        <v>28056</v>
      </c>
      <c r="BA2788" s="3" t="s">
        <v>28056</v>
      </c>
      <c r="BB2788" s="3" t="s">
        <v>28057</v>
      </c>
      <c r="BC2788" s="3" t="s">
        <v>77</v>
      </c>
      <c r="BD2788" s="3" t="s">
        <v>78</v>
      </c>
      <c r="BF2788" s="3" t="s">
        <v>28057</v>
      </c>
      <c r="BG2788" s="3" t="s">
        <v>28058</v>
      </c>
      <c r="BH2788">
        <f t="shared" si="67"/>
        <v>0</v>
      </c>
    </row>
    <row r="2789" spans="1:60" ht="58" x14ac:dyDescent="0.35">
      <c r="A2789" s="2" t="s">
        <v>59</v>
      </c>
      <c r="B2789" s="2" t="s">
        <v>60</v>
      </c>
      <c r="C2789" s="2" t="s">
        <v>28059</v>
      </c>
      <c r="D2789" s="2" t="s">
        <v>28060</v>
      </c>
      <c r="E2789" s="2" t="s">
        <v>28061</v>
      </c>
      <c r="G2789" s="3" t="s">
        <v>64</v>
      </c>
      <c r="I2789" s="3" t="s">
        <v>64</v>
      </c>
      <c r="J2789" s="3" t="s">
        <v>64</v>
      </c>
      <c r="K2789" s="3" t="s">
        <v>65</v>
      </c>
      <c r="M2789" s="2" t="s">
        <v>4537</v>
      </c>
      <c r="N2789" s="3" t="s">
        <v>1004</v>
      </c>
      <c r="P2789" s="3" t="s">
        <v>102</v>
      </c>
      <c r="R2789" s="3" t="s">
        <v>70</v>
      </c>
      <c r="S2789" s="4">
        <v>7</v>
      </c>
      <c r="T2789" s="4">
        <v>7</v>
      </c>
      <c r="U2789" s="5" t="s">
        <v>2055</v>
      </c>
      <c r="V2789" s="5" t="s">
        <v>2055</v>
      </c>
      <c r="W2789" s="5" t="s">
        <v>72</v>
      </c>
      <c r="X2789" s="5" t="s">
        <v>72</v>
      </c>
      <c r="Y2789" s="4">
        <v>590</v>
      </c>
      <c r="Z2789" s="4">
        <v>39</v>
      </c>
      <c r="AA2789" s="4">
        <v>41</v>
      </c>
      <c r="AB2789" s="4">
        <v>2</v>
      </c>
      <c r="AC2789" s="4">
        <v>4</v>
      </c>
      <c r="AD2789" s="4">
        <v>115</v>
      </c>
      <c r="AE2789" s="4">
        <v>117</v>
      </c>
      <c r="AF2789" s="4">
        <v>0</v>
      </c>
      <c r="AG2789" s="4">
        <v>2</v>
      </c>
      <c r="AH2789" s="4">
        <v>103</v>
      </c>
      <c r="AI2789" s="4">
        <v>104</v>
      </c>
      <c r="AJ2789" s="4">
        <v>15</v>
      </c>
      <c r="AK2789" s="4">
        <v>17</v>
      </c>
      <c r="AL2789" s="4">
        <v>55</v>
      </c>
      <c r="AM2789" s="4">
        <v>55</v>
      </c>
      <c r="AN2789" s="4">
        <v>0</v>
      </c>
      <c r="AO2789" s="4">
        <v>0</v>
      </c>
      <c r="AP2789" s="4">
        <v>16</v>
      </c>
      <c r="AQ2789" s="4">
        <v>17</v>
      </c>
      <c r="AR2789" s="3" t="s">
        <v>64</v>
      </c>
      <c r="AS2789" s="3" t="s">
        <v>64</v>
      </c>
      <c r="AT2789" s="3" t="s">
        <v>128</v>
      </c>
      <c r="AU2789" s="6" t="str">
        <f>HYPERLINK("http://catalog.hathitrust.org/Record/000194511","HathiTrust Record")</f>
        <v>HathiTrust Record</v>
      </c>
      <c r="AV2789" s="6" t="str">
        <f>HYPERLINK("http://mcgill.on.worldcat.org/oclc/8762922","Catalog Record")</f>
        <v>Catalog Record</v>
      </c>
      <c r="AW2789" s="6" t="str">
        <f>HYPERLINK("http://www.worldcat.org/oclc/8762922","WorldCat Record")</f>
        <v>WorldCat Record</v>
      </c>
      <c r="AX2789" s="3" t="s">
        <v>28062</v>
      </c>
      <c r="AY2789" s="3" t="s">
        <v>28063</v>
      </c>
      <c r="AZ2789" s="3" t="s">
        <v>28064</v>
      </c>
      <c r="BA2789" s="3" t="s">
        <v>28064</v>
      </c>
      <c r="BB2789" s="3" t="s">
        <v>28065</v>
      </c>
      <c r="BC2789" s="3" t="s">
        <v>77</v>
      </c>
      <c r="BD2789" s="3" t="s">
        <v>78</v>
      </c>
      <c r="BE2789" s="3" t="s">
        <v>28066</v>
      </c>
      <c r="BF2789" s="3" t="s">
        <v>28065</v>
      </c>
      <c r="BG2789" s="3" t="s">
        <v>28067</v>
      </c>
      <c r="BH2789">
        <f t="shared" si="67"/>
        <v>0</v>
      </c>
    </row>
    <row r="2790" spans="1:60" ht="58" x14ac:dyDescent="0.35">
      <c r="A2790" s="2" t="s">
        <v>59</v>
      </c>
      <c r="B2790" s="2" t="s">
        <v>60</v>
      </c>
      <c r="C2790" s="2" t="s">
        <v>28068</v>
      </c>
      <c r="D2790" s="2" t="s">
        <v>28069</v>
      </c>
      <c r="E2790" s="2" t="s">
        <v>28070</v>
      </c>
      <c r="G2790" s="3" t="s">
        <v>64</v>
      </c>
      <c r="I2790" s="3" t="s">
        <v>64</v>
      </c>
      <c r="J2790" s="3" t="s">
        <v>64</v>
      </c>
      <c r="K2790" s="3" t="s">
        <v>65</v>
      </c>
      <c r="M2790" s="2" t="s">
        <v>15949</v>
      </c>
      <c r="N2790" s="3" t="s">
        <v>874</v>
      </c>
      <c r="P2790" s="3" t="s">
        <v>102</v>
      </c>
      <c r="Q2790" s="2" t="s">
        <v>28071</v>
      </c>
      <c r="R2790" s="3" t="s">
        <v>70</v>
      </c>
      <c r="S2790" s="4">
        <v>10</v>
      </c>
      <c r="T2790" s="4">
        <v>10</v>
      </c>
      <c r="U2790" s="5" t="s">
        <v>28072</v>
      </c>
      <c r="V2790" s="5" t="s">
        <v>28072</v>
      </c>
      <c r="W2790" s="5" t="s">
        <v>72</v>
      </c>
      <c r="X2790" s="5" t="s">
        <v>72</v>
      </c>
      <c r="Y2790" s="4">
        <v>43</v>
      </c>
      <c r="Z2790" s="4">
        <v>4</v>
      </c>
      <c r="AA2790" s="4">
        <v>4</v>
      </c>
      <c r="AB2790" s="4">
        <v>1</v>
      </c>
      <c r="AC2790" s="4">
        <v>1</v>
      </c>
      <c r="AD2790" s="4">
        <v>12</v>
      </c>
      <c r="AE2790" s="4">
        <v>12</v>
      </c>
      <c r="AF2790" s="4">
        <v>0</v>
      </c>
      <c r="AG2790" s="4">
        <v>0</v>
      </c>
      <c r="AH2790" s="4">
        <v>12</v>
      </c>
      <c r="AI2790" s="4">
        <v>12</v>
      </c>
      <c r="AJ2790" s="4">
        <v>3</v>
      </c>
      <c r="AK2790" s="4">
        <v>3</v>
      </c>
      <c r="AL2790" s="4">
        <v>5</v>
      </c>
      <c r="AM2790" s="4">
        <v>5</v>
      </c>
      <c r="AN2790" s="4">
        <v>0</v>
      </c>
      <c r="AO2790" s="4">
        <v>0</v>
      </c>
      <c r="AP2790" s="4">
        <v>3</v>
      </c>
      <c r="AQ2790" s="4">
        <v>3</v>
      </c>
      <c r="AR2790" s="3" t="s">
        <v>64</v>
      </c>
      <c r="AS2790" s="3" t="s">
        <v>64</v>
      </c>
      <c r="AT2790" s="3" t="s">
        <v>64</v>
      </c>
      <c r="AV2790" s="6" t="str">
        <f>HYPERLINK("http://mcgill.on.worldcat.org/oclc/8008445","Catalog Record")</f>
        <v>Catalog Record</v>
      </c>
      <c r="AW2790" s="6" t="str">
        <f>HYPERLINK("http://www.worldcat.org/oclc/8008445","WorldCat Record")</f>
        <v>WorldCat Record</v>
      </c>
      <c r="AX2790" s="3" t="s">
        <v>28073</v>
      </c>
      <c r="AY2790" s="3" t="s">
        <v>28074</v>
      </c>
      <c r="AZ2790" s="3" t="s">
        <v>28075</v>
      </c>
      <c r="BA2790" s="3" t="s">
        <v>28075</v>
      </c>
      <c r="BB2790" s="3" t="s">
        <v>28076</v>
      </c>
      <c r="BC2790" s="3" t="s">
        <v>77</v>
      </c>
      <c r="BD2790" s="3" t="s">
        <v>78</v>
      </c>
      <c r="BF2790" s="3" t="s">
        <v>28076</v>
      </c>
      <c r="BG2790" s="3" t="s">
        <v>28077</v>
      </c>
      <c r="BH2790">
        <f t="shared" si="67"/>
        <v>0</v>
      </c>
    </row>
    <row r="2791" spans="1:60" ht="58" x14ac:dyDescent="0.35">
      <c r="A2791" s="2" t="s">
        <v>59</v>
      </c>
      <c r="B2791" s="2" t="s">
        <v>60</v>
      </c>
      <c r="C2791" s="2" t="s">
        <v>28078</v>
      </c>
      <c r="D2791" s="2" t="s">
        <v>28079</v>
      </c>
      <c r="E2791" s="2" t="s">
        <v>28080</v>
      </c>
      <c r="G2791" s="3" t="s">
        <v>64</v>
      </c>
      <c r="I2791" s="3" t="s">
        <v>64</v>
      </c>
      <c r="J2791" s="3" t="s">
        <v>64</v>
      </c>
      <c r="K2791" s="3" t="s">
        <v>65</v>
      </c>
      <c r="L2791" s="2" t="s">
        <v>28081</v>
      </c>
      <c r="M2791" s="2" t="s">
        <v>17291</v>
      </c>
      <c r="N2791" s="3" t="s">
        <v>326</v>
      </c>
      <c r="P2791" s="3" t="s">
        <v>102</v>
      </c>
      <c r="Q2791" s="2" t="s">
        <v>8981</v>
      </c>
      <c r="R2791" s="3" t="s">
        <v>70</v>
      </c>
      <c r="S2791" s="4">
        <v>0</v>
      </c>
      <c r="T2791" s="4">
        <v>0</v>
      </c>
      <c r="W2791" s="5" t="s">
        <v>72</v>
      </c>
      <c r="X2791" s="5" t="s">
        <v>72</v>
      </c>
      <c r="Y2791" s="4">
        <v>156</v>
      </c>
      <c r="Z2791" s="4">
        <v>20</v>
      </c>
      <c r="AA2791" s="4">
        <v>36</v>
      </c>
      <c r="AB2791" s="4">
        <v>2</v>
      </c>
      <c r="AC2791" s="4">
        <v>7</v>
      </c>
      <c r="AD2791" s="4">
        <v>48</v>
      </c>
      <c r="AE2791" s="4">
        <v>71</v>
      </c>
      <c r="AF2791" s="4">
        <v>1</v>
      </c>
      <c r="AG2791" s="4">
        <v>3</v>
      </c>
      <c r="AH2791" s="4">
        <v>43</v>
      </c>
      <c r="AI2791" s="4">
        <v>59</v>
      </c>
      <c r="AJ2791" s="4">
        <v>12</v>
      </c>
      <c r="AK2791" s="4">
        <v>17</v>
      </c>
      <c r="AL2791" s="4">
        <v>21</v>
      </c>
      <c r="AM2791" s="4">
        <v>31</v>
      </c>
      <c r="AN2791" s="4">
        <v>0</v>
      </c>
      <c r="AO2791" s="4">
        <v>0</v>
      </c>
      <c r="AP2791" s="4">
        <v>15</v>
      </c>
      <c r="AQ2791" s="4">
        <v>22</v>
      </c>
      <c r="AR2791" s="3" t="s">
        <v>64</v>
      </c>
      <c r="AS2791" s="3" t="s">
        <v>64</v>
      </c>
      <c r="AT2791" s="3" t="s">
        <v>64</v>
      </c>
      <c r="AV2791" s="6" t="str">
        <f>HYPERLINK("http://mcgill.on.worldcat.org/oclc/746133447","Catalog Record")</f>
        <v>Catalog Record</v>
      </c>
      <c r="AW2791" s="6" t="str">
        <f>HYPERLINK("http://www.worldcat.org/oclc/746133447","WorldCat Record")</f>
        <v>WorldCat Record</v>
      </c>
      <c r="AX2791" s="3" t="s">
        <v>28082</v>
      </c>
      <c r="AY2791" s="3" t="s">
        <v>28083</v>
      </c>
      <c r="AZ2791" s="3" t="s">
        <v>28084</v>
      </c>
      <c r="BA2791" s="3" t="s">
        <v>28084</v>
      </c>
      <c r="BB2791" s="3" t="s">
        <v>28085</v>
      </c>
      <c r="BC2791" s="3" t="s">
        <v>77</v>
      </c>
      <c r="BD2791" s="3" t="s">
        <v>78</v>
      </c>
      <c r="BE2791" s="3" t="s">
        <v>28086</v>
      </c>
      <c r="BF2791" s="3" t="s">
        <v>28085</v>
      </c>
      <c r="BG2791" s="3" t="s">
        <v>28087</v>
      </c>
      <c r="BH2791">
        <f t="shared" si="67"/>
        <v>0</v>
      </c>
    </row>
    <row r="2792" spans="1:60" ht="58" x14ac:dyDescent="0.35">
      <c r="A2792" s="2" t="s">
        <v>59</v>
      </c>
      <c r="B2792" s="2" t="s">
        <v>60</v>
      </c>
      <c r="C2792" s="2" t="s">
        <v>28088</v>
      </c>
      <c r="D2792" s="2" t="s">
        <v>28089</v>
      </c>
      <c r="E2792" s="2" t="s">
        <v>28090</v>
      </c>
      <c r="G2792" s="3" t="s">
        <v>64</v>
      </c>
      <c r="I2792" s="3" t="s">
        <v>128</v>
      </c>
      <c r="J2792" s="3" t="s">
        <v>128</v>
      </c>
      <c r="K2792" s="3" t="s">
        <v>65</v>
      </c>
      <c r="L2792" s="2" t="s">
        <v>28091</v>
      </c>
      <c r="M2792" s="2" t="s">
        <v>28092</v>
      </c>
      <c r="N2792" s="3" t="s">
        <v>266</v>
      </c>
      <c r="P2792" s="3" t="s">
        <v>102</v>
      </c>
      <c r="R2792" s="3" t="s">
        <v>70</v>
      </c>
      <c r="S2792" s="4">
        <v>4</v>
      </c>
      <c r="T2792" s="4">
        <v>4</v>
      </c>
      <c r="U2792" s="5" t="s">
        <v>8065</v>
      </c>
      <c r="V2792" s="5" t="s">
        <v>8065</v>
      </c>
      <c r="W2792" s="5" t="s">
        <v>72</v>
      </c>
      <c r="X2792" s="5" t="s">
        <v>72</v>
      </c>
      <c r="Y2792" s="4">
        <v>787</v>
      </c>
      <c r="Z2792" s="4">
        <v>41</v>
      </c>
      <c r="AA2792" s="4">
        <v>75</v>
      </c>
      <c r="AB2792" s="4">
        <v>2</v>
      </c>
      <c r="AC2792" s="4">
        <v>11</v>
      </c>
      <c r="AD2792" s="4">
        <v>116</v>
      </c>
      <c r="AE2792" s="4">
        <v>143</v>
      </c>
      <c r="AF2792" s="4">
        <v>0</v>
      </c>
      <c r="AG2792" s="4">
        <v>4</v>
      </c>
      <c r="AH2792" s="4">
        <v>96</v>
      </c>
      <c r="AI2792" s="4">
        <v>109</v>
      </c>
      <c r="AJ2792" s="4">
        <v>14</v>
      </c>
      <c r="AK2792" s="4">
        <v>24</v>
      </c>
      <c r="AL2792" s="4">
        <v>54</v>
      </c>
      <c r="AM2792" s="4">
        <v>62</v>
      </c>
      <c r="AN2792" s="4">
        <v>0</v>
      </c>
      <c r="AO2792" s="4">
        <v>0</v>
      </c>
      <c r="AP2792" s="4">
        <v>21</v>
      </c>
      <c r="AQ2792" s="4">
        <v>33</v>
      </c>
      <c r="AR2792" s="3" t="s">
        <v>64</v>
      </c>
      <c r="AS2792" s="3" t="s">
        <v>64</v>
      </c>
      <c r="AT2792" s="3" t="s">
        <v>128</v>
      </c>
      <c r="AU2792" s="6" t="str">
        <f>HYPERLINK("http://catalog.hathitrust.org/Record/001163823","HathiTrust Record")</f>
        <v>HathiTrust Record</v>
      </c>
      <c r="AV2792" s="6" t="str">
        <f>HYPERLINK("http://mcgill.on.worldcat.org/oclc/574784","Catalog Record")</f>
        <v>Catalog Record</v>
      </c>
      <c r="AW2792" s="6" t="str">
        <f>HYPERLINK("http://www.worldcat.org/oclc/574784","WorldCat Record")</f>
        <v>WorldCat Record</v>
      </c>
      <c r="AX2792" s="3" t="s">
        <v>28093</v>
      </c>
      <c r="AY2792" s="3" t="s">
        <v>28094</v>
      </c>
      <c r="AZ2792" s="3" t="s">
        <v>28095</v>
      </c>
      <c r="BA2792" s="3" t="s">
        <v>28095</v>
      </c>
      <c r="BB2792" s="3" t="s">
        <v>28096</v>
      </c>
      <c r="BC2792" s="3" t="s">
        <v>77</v>
      </c>
      <c r="BD2792" s="3" t="s">
        <v>78</v>
      </c>
      <c r="BF2792" s="3" t="s">
        <v>28096</v>
      </c>
      <c r="BG2792" s="3" t="s">
        <v>28097</v>
      </c>
      <c r="BH2792">
        <f t="shared" si="67"/>
        <v>0</v>
      </c>
    </row>
    <row r="2793" spans="1:60" ht="58" x14ac:dyDescent="0.35">
      <c r="A2793" s="2" t="s">
        <v>59</v>
      </c>
      <c r="B2793" s="2" t="s">
        <v>60</v>
      </c>
      <c r="C2793" s="2" t="s">
        <v>28098</v>
      </c>
      <c r="D2793" s="2" t="s">
        <v>28099</v>
      </c>
      <c r="E2793" s="2" t="s">
        <v>28100</v>
      </c>
      <c r="F2793" s="3" t="s">
        <v>529</v>
      </c>
      <c r="G2793" s="3" t="s">
        <v>128</v>
      </c>
      <c r="I2793" s="3" t="s">
        <v>128</v>
      </c>
      <c r="J2793" s="3" t="s">
        <v>64</v>
      </c>
      <c r="K2793" s="3" t="s">
        <v>65</v>
      </c>
      <c r="L2793" s="2" t="s">
        <v>28091</v>
      </c>
      <c r="M2793" s="2" t="s">
        <v>28101</v>
      </c>
      <c r="N2793" s="3" t="s">
        <v>1004</v>
      </c>
      <c r="P2793" s="3" t="s">
        <v>102</v>
      </c>
      <c r="R2793" s="3" t="s">
        <v>70</v>
      </c>
      <c r="S2793" s="4">
        <v>5</v>
      </c>
      <c r="T2793" s="4">
        <v>10</v>
      </c>
      <c r="U2793" s="5" t="s">
        <v>28072</v>
      </c>
      <c r="V2793" s="5" t="s">
        <v>28072</v>
      </c>
      <c r="W2793" s="5" t="s">
        <v>72</v>
      </c>
      <c r="X2793" s="5" t="s">
        <v>72</v>
      </c>
      <c r="Y2793" s="4">
        <v>624</v>
      </c>
      <c r="Z2793" s="4">
        <v>36</v>
      </c>
      <c r="AA2793" s="4">
        <v>39</v>
      </c>
      <c r="AB2793" s="4">
        <v>3</v>
      </c>
      <c r="AC2793" s="4">
        <v>6</v>
      </c>
      <c r="AD2793" s="4">
        <v>118</v>
      </c>
      <c r="AE2793" s="4">
        <v>120</v>
      </c>
      <c r="AF2793" s="4">
        <v>0</v>
      </c>
      <c r="AG2793" s="4">
        <v>2</v>
      </c>
      <c r="AH2793" s="4">
        <v>104</v>
      </c>
      <c r="AI2793" s="4">
        <v>105</v>
      </c>
      <c r="AJ2793" s="4">
        <v>18</v>
      </c>
      <c r="AK2793" s="4">
        <v>20</v>
      </c>
      <c r="AL2793" s="4">
        <v>52</v>
      </c>
      <c r="AM2793" s="4">
        <v>52</v>
      </c>
      <c r="AN2793" s="4">
        <v>0</v>
      </c>
      <c r="AO2793" s="4">
        <v>0</v>
      </c>
      <c r="AP2793" s="4">
        <v>18</v>
      </c>
      <c r="AQ2793" s="4">
        <v>19</v>
      </c>
      <c r="AR2793" s="3" t="s">
        <v>64</v>
      </c>
      <c r="AS2793" s="3" t="s">
        <v>64</v>
      </c>
      <c r="AT2793" s="3" t="s">
        <v>128</v>
      </c>
      <c r="AU2793" s="6" t="str">
        <f>HYPERLINK("http://catalog.hathitrust.org/Record/000770503","HathiTrust Record")</f>
        <v>HathiTrust Record</v>
      </c>
      <c r="AV2793" s="6" t="str">
        <f>HYPERLINK("http://mcgill.on.worldcat.org/oclc/8727608","Catalog Record")</f>
        <v>Catalog Record</v>
      </c>
      <c r="AW2793" s="6" t="str">
        <f>HYPERLINK("http://www.worldcat.org/oclc/8727608","WorldCat Record")</f>
        <v>WorldCat Record</v>
      </c>
      <c r="AX2793" s="3" t="s">
        <v>28102</v>
      </c>
      <c r="AY2793" s="3" t="s">
        <v>28103</v>
      </c>
      <c r="AZ2793" s="3" t="s">
        <v>28104</v>
      </c>
      <c r="BA2793" s="3" t="s">
        <v>28104</v>
      </c>
      <c r="BB2793" s="3" t="s">
        <v>28105</v>
      </c>
      <c r="BC2793" s="3" t="s">
        <v>77</v>
      </c>
      <c r="BD2793" s="3" t="s">
        <v>78</v>
      </c>
      <c r="BE2793" s="3" t="s">
        <v>28106</v>
      </c>
      <c r="BF2793" s="3" t="s">
        <v>28105</v>
      </c>
      <c r="BG2793" s="3" t="s">
        <v>28107</v>
      </c>
      <c r="BH2793">
        <f t="shared" si="67"/>
        <v>0</v>
      </c>
    </row>
    <row r="2794" spans="1:60" ht="58" x14ac:dyDescent="0.35">
      <c r="A2794" s="2" t="s">
        <v>59</v>
      </c>
      <c r="B2794" s="2" t="s">
        <v>60</v>
      </c>
      <c r="C2794" s="2" t="s">
        <v>28098</v>
      </c>
      <c r="D2794" s="2" t="s">
        <v>28099</v>
      </c>
      <c r="E2794" s="2" t="s">
        <v>28100</v>
      </c>
      <c r="F2794" s="3" t="s">
        <v>525</v>
      </c>
      <c r="G2794" s="3" t="s">
        <v>128</v>
      </c>
      <c r="I2794" s="3" t="s">
        <v>128</v>
      </c>
      <c r="J2794" s="3" t="s">
        <v>64</v>
      </c>
      <c r="K2794" s="3" t="s">
        <v>65</v>
      </c>
      <c r="L2794" s="2" t="s">
        <v>28091</v>
      </c>
      <c r="M2794" s="2" t="s">
        <v>28101</v>
      </c>
      <c r="N2794" s="3" t="s">
        <v>1004</v>
      </c>
      <c r="P2794" s="3" t="s">
        <v>102</v>
      </c>
      <c r="R2794" s="3" t="s">
        <v>70</v>
      </c>
      <c r="S2794" s="4">
        <v>5</v>
      </c>
      <c r="T2794" s="4">
        <v>10</v>
      </c>
      <c r="U2794" s="5" t="s">
        <v>28072</v>
      </c>
      <c r="V2794" s="5" t="s">
        <v>28072</v>
      </c>
      <c r="W2794" s="5" t="s">
        <v>72</v>
      </c>
      <c r="X2794" s="5" t="s">
        <v>72</v>
      </c>
      <c r="Y2794" s="4">
        <v>624</v>
      </c>
      <c r="Z2794" s="4">
        <v>36</v>
      </c>
      <c r="AA2794" s="4">
        <v>39</v>
      </c>
      <c r="AB2794" s="4">
        <v>3</v>
      </c>
      <c r="AC2794" s="4">
        <v>6</v>
      </c>
      <c r="AD2794" s="4">
        <v>118</v>
      </c>
      <c r="AE2794" s="4">
        <v>120</v>
      </c>
      <c r="AF2794" s="4">
        <v>0</v>
      </c>
      <c r="AG2794" s="4">
        <v>2</v>
      </c>
      <c r="AH2794" s="4">
        <v>104</v>
      </c>
      <c r="AI2794" s="4">
        <v>105</v>
      </c>
      <c r="AJ2794" s="4">
        <v>18</v>
      </c>
      <c r="AK2794" s="4">
        <v>20</v>
      </c>
      <c r="AL2794" s="4">
        <v>52</v>
      </c>
      <c r="AM2794" s="4">
        <v>52</v>
      </c>
      <c r="AN2794" s="4">
        <v>0</v>
      </c>
      <c r="AO2794" s="4">
        <v>0</v>
      </c>
      <c r="AP2794" s="4">
        <v>18</v>
      </c>
      <c r="AQ2794" s="4">
        <v>19</v>
      </c>
      <c r="AR2794" s="3" t="s">
        <v>64</v>
      </c>
      <c r="AS2794" s="3" t="s">
        <v>64</v>
      </c>
      <c r="AT2794" s="3" t="s">
        <v>128</v>
      </c>
      <c r="AU2794" s="6" t="str">
        <f>HYPERLINK("http://catalog.hathitrust.org/Record/000770503","HathiTrust Record")</f>
        <v>HathiTrust Record</v>
      </c>
      <c r="AV2794" s="6" t="str">
        <f>HYPERLINK("http://mcgill.on.worldcat.org/oclc/8727608","Catalog Record")</f>
        <v>Catalog Record</v>
      </c>
      <c r="AW2794" s="6" t="str">
        <f>HYPERLINK("http://www.worldcat.org/oclc/8727608","WorldCat Record")</f>
        <v>WorldCat Record</v>
      </c>
      <c r="AX2794" s="3" t="s">
        <v>28102</v>
      </c>
      <c r="AY2794" s="3" t="s">
        <v>28103</v>
      </c>
      <c r="AZ2794" s="3" t="s">
        <v>28104</v>
      </c>
      <c r="BA2794" s="3" t="s">
        <v>28104</v>
      </c>
      <c r="BB2794" s="3" t="s">
        <v>28108</v>
      </c>
      <c r="BC2794" s="3" t="s">
        <v>77</v>
      </c>
      <c r="BD2794" s="3" t="s">
        <v>78</v>
      </c>
      <c r="BE2794" s="3" t="s">
        <v>28106</v>
      </c>
      <c r="BF2794" s="3" t="s">
        <v>28108</v>
      </c>
      <c r="BG2794" s="3" t="s">
        <v>28109</v>
      </c>
      <c r="BH2794">
        <f t="shared" si="67"/>
        <v>0</v>
      </c>
    </row>
    <row r="2795" spans="1:60" ht="58" x14ac:dyDescent="0.35">
      <c r="A2795" s="2" t="s">
        <v>59</v>
      </c>
      <c r="B2795" s="2" t="s">
        <v>60</v>
      </c>
      <c r="C2795" s="2" t="s">
        <v>28110</v>
      </c>
      <c r="D2795" s="2" t="s">
        <v>28111</v>
      </c>
      <c r="E2795" s="2" t="s">
        <v>28112</v>
      </c>
      <c r="G2795" s="3" t="s">
        <v>64</v>
      </c>
      <c r="I2795" s="3" t="s">
        <v>64</v>
      </c>
      <c r="J2795" s="3" t="s">
        <v>64</v>
      </c>
      <c r="K2795" s="3" t="s">
        <v>65</v>
      </c>
      <c r="L2795" s="2" t="s">
        <v>28113</v>
      </c>
      <c r="M2795" s="2" t="s">
        <v>28114</v>
      </c>
      <c r="N2795" s="3" t="s">
        <v>1087</v>
      </c>
      <c r="P2795" s="3" t="s">
        <v>102</v>
      </c>
      <c r="R2795" s="3" t="s">
        <v>70</v>
      </c>
      <c r="S2795" s="4">
        <v>22</v>
      </c>
      <c r="T2795" s="4">
        <v>22</v>
      </c>
      <c r="U2795" s="5" t="s">
        <v>28072</v>
      </c>
      <c r="V2795" s="5" t="s">
        <v>28072</v>
      </c>
      <c r="W2795" s="5" t="s">
        <v>72</v>
      </c>
      <c r="X2795" s="5" t="s">
        <v>72</v>
      </c>
      <c r="Y2795" s="4">
        <v>607</v>
      </c>
      <c r="Z2795" s="4">
        <v>43</v>
      </c>
      <c r="AA2795" s="4">
        <v>45</v>
      </c>
      <c r="AB2795" s="4">
        <v>4</v>
      </c>
      <c r="AC2795" s="4">
        <v>6</v>
      </c>
      <c r="AD2795" s="4">
        <v>116</v>
      </c>
      <c r="AE2795" s="4">
        <v>118</v>
      </c>
      <c r="AF2795" s="4">
        <v>1</v>
      </c>
      <c r="AG2795" s="4">
        <v>3</v>
      </c>
      <c r="AH2795" s="4">
        <v>99</v>
      </c>
      <c r="AI2795" s="4">
        <v>100</v>
      </c>
      <c r="AJ2795" s="4">
        <v>18</v>
      </c>
      <c r="AK2795" s="4">
        <v>20</v>
      </c>
      <c r="AL2795" s="4">
        <v>51</v>
      </c>
      <c r="AM2795" s="4">
        <v>51</v>
      </c>
      <c r="AN2795" s="4">
        <v>0</v>
      </c>
      <c r="AO2795" s="4">
        <v>0</v>
      </c>
      <c r="AP2795" s="4">
        <v>24</v>
      </c>
      <c r="AQ2795" s="4">
        <v>25</v>
      </c>
      <c r="AR2795" s="3" t="s">
        <v>64</v>
      </c>
      <c r="AS2795" s="3" t="s">
        <v>64</v>
      </c>
      <c r="AT2795" s="3" t="s">
        <v>64</v>
      </c>
      <c r="AV2795" s="6" t="str">
        <f>HYPERLINK("http://mcgill.on.worldcat.org/oclc/23766001","Catalog Record")</f>
        <v>Catalog Record</v>
      </c>
      <c r="AW2795" s="6" t="str">
        <f>HYPERLINK("http://www.worldcat.org/oclc/23766001","WorldCat Record")</f>
        <v>WorldCat Record</v>
      </c>
      <c r="AX2795" s="3" t="s">
        <v>28115</v>
      </c>
      <c r="AY2795" s="3" t="s">
        <v>28116</v>
      </c>
      <c r="AZ2795" s="3" t="s">
        <v>28117</v>
      </c>
      <c r="BA2795" s="3" t="s">
        <v>28117</v>
      </c>
      <c r="BB2795" s="3" t="s">
        <v>28118</v>
      </c>
      <c r="BC2795" s="3" t="s">
        <v>77</v>
      </c>
      <c r="BD2795" s="3" t="s">
        <v>78</v>
      </c>
      <c r="BE2795" s="3" t="s">
        <v>28119</v>
      </c>
      <c r="BF2795" s="3" t="s">
        <v>28118</v>
      </c>
      <c r="BG2795" s="3" t="s">
        <v>28120</v>
      </c>
      <c r="BH2795">
        <f t="shared" si="67"/>
        <v>0</v>
      </c>
    </row>
    <row r="2796" spans="1:60" ht="58" x14ac:dyDescent="0.35">
      <c r="A2796" s="2" t="s">
        <v>59</v>
      </c>
      <c r="B2796" s="2" t="s">
        <v>60</v>
      </c>
      <c r="C2796" s="2" t="s">
        <v>28121</v>
      </c>
      <c r="D2796" s="2" t="s">
        <v>28122</v>
      </c>
      <c r="E2796" s="2" t="s">
        <v>28123</v>
      </c>
      <c r="G2796" s="3" t="s">
        <v>64</v>
      </c>
      <c r="I2796" s="3" t="s">
        <v>64</v>
      </c>
      <c r="J2796" s="3" t="s">
        <v>64</v>
      </c>
      <c r="K2796" s="3" t="s">
        <v>65</v>
      </c>
      <c r="L2796" s="2" t="s">
        <v>376</v>
      </c>
      <c r="M2796" s="2" t="s">
        <v>28124</v>
      </c>
      <c r="N2796" s="3" t="s">
        <v>1615</v>
      </c>
      <c r="O2796" s="2" t="s">
        <v>172</v>
      </c>
      <c r="P2796" s="3" t="s">
        <v>102</v>
      </c>
      <c r="R2796" s="3" t="s">
        <v>70</v>
      </c>
      <c r="S2796" s="4">
        <v>7</v>
      </c>
      <c r="T2796" s="4">
        <v>7</v>
      </c>
      <c r="U2796" s="5" t="s">
        <v>28053</v>
      </c>
      <c r="V2796" s="5" t="s">
        <v>28053</v>
      </c>
      <c r="W2796" s="5" t="s">
        <v>72</v>
      </c>
      <c r="X2796" s="5" t="s">
        <v>72</v>
      </c>
      <c r="Y2796" s="4">
        <v>161</v>
      </c>
      <c r="Z2796" s="4">
        <v>8</v>
      </c>
      <c r="AA2796" s="4">
        <v>13</v>
      </c>
      <c r="AB2796" s="4">
        <v>1</v>
      </c>
      <c r="AC2796" s="4">
        <v>1</v>
      </c>
      <c r="AD2796" s="4">
        <v>48</v>
      </c>
      <c r="AE2796" s="4">
        <v>79</v>
      </c>
      <c r="AF2796" s="4">
        <v>0</v>
      </c>
      <c r="AG2796" s="4">
        <v>0</v>
      </c>
      <c r="AH2796" s="4">
        <v>44</v>
      </c>
      <c r="AI2796" s="4">
        <v>74</v>
      </c>
      <c r="AJ2796" s="4">
        <v>6</v>
      </c>
      <c r="AK2796" s="4">
        <v>9</v>
      </c>
      <c r="AL2796" s="4">
        <v>30</v>
      </c>
      <c r="AM2796" s="4">
        <v>41</v>
      </c>
      <c r="AN2796" s="4">
        <v>0</v>
      </c>
      <c r="AO2796" s="4">
        <v>0</v>
      </c>
      <c r="AP2796" s="4">
        <v>6</v>
      </c>
      <c r="AQ2796" s="4">
        <v>9</v>
      </c>
      <c r="AR2796" s="3" t="s">
        <v>64</v>
      </c>
      <c r="AS2796" s="3" t="s">
        <v>64</v>
      </c>
      <c r="AT2796" s="3" t="s">
        <v>64</v>
      </c>
      <c r="AV2796" s="6" t="str">
        <f>HYPERLINK("http://mcgill.on.worldcat.org/oclc/36148643","Catalog Record")</f>
        <v>Catalog Record</v>
      </c>
      <c r="AW2796" s="6" t="str">
        <f>HYPERLINK("http://www.worldcat.org/oclc/36148643","WorldCat Record")</f>
        <v>WorldCat Record</v>
      </c>
      <c r="AX2796" s="3" t="s">
        <v>28125</v>
      </c>
      <c r="AY2796" s="3" t="s">
        <v>28126</v>
      </c>
      <c r="AZ2796" s="3" t="s">
        <v>28127</v>
      </c>
      <c r="BA2796" s="3" t="s">
        <v>28127</v>
      </c>
      <c r="BB2796" s="3" t="s">
        <v>28128</v>
      </c>
      <c r="BC2796" s="3" t="s">
        <v>77</v>
      </c>
      <c r="BD2796" s="3" t="s">
        <v>78</v>
      </c>
      <c r="BE2796" s="3" t="s">
        <v>28129</v>
      </c>
      <c r="BF2796" s="3" t="s">
        <v>28128</v>
      </c>
      <c r="BG2796" s="3" t="s">
        <v>28130</v>
      </c>
      <c r="BH2796">
        <f t="shared" si="67"/>
        <v>0</v>
      </c>
    </row>
    <row r="2797" spans="1:60" ht="58" x14ac:dyDescent="0.35">
      <c r="A2797" s="2" t="s">
        <v>59</v>
      </c>
      <c r="B2797" s="2" t="s">
        <v>60</v>
      </c>
      <c r="C2797" s="2" t="s">
        <v>28131</v>
      </c>
      <c r="D2797" s="2" t="s">
        <v>28132</v>
      </c>
      <c r="E2797" s="2" t="s">
        <v>28133</v>
      </c>
      <c r="G2797" s="3" t="s">
        <v>64</v>
      </c>
      <c r="I2797" s="3" t="s">
        <v>64</v>
      </c>
      <c r="J2797" s="3" t="s">
        <v>128</v>
      </c>
      <c r="K2797" s="3" t="s">
        <v>65</v>
      </c>
      <c r="L2797" s="2" t="s">
        <v>28134</v>
      </c>
      <c r="M2797" s="2" t="s">
        <v>15824</v>
      </c>
      <c r="N2797" s="3" t="s">
        <v>291</v>
      </c>
      <c r="P2797" s="3" t="s">
        <v>102</v>
      </c>
      <c r="Q2797" s="2" t="s">
        <v>28135</v>
      </c>
      <c r="R2797" s="3" t="s">
        <v>70</v>
      </c>
      <c r="S2797" s="4">
        <v>12</v>
      </c>
      <c r="T2797" s="4">
        <v>12</v>
      </c>
      <c r="U2797" s="5" t="s">
        <v>1846</v>
      </c>
      <c r="V2797" s="5" t="s">
        <v>1846</v>
      </c>
      <c r="W2797" s="5" t="s">
        <v>72</v>
      </c>
      <c r="X2797" s="5" t="s">
        <v>72</v>
      </c>
      <c r="Y2797" s="4">
        <v>323</v>
      </c>
      <c r="Z2797" s="4">
        <v>20</v>
      </c>
      <c r="AA2797" s="4">
        <v>86</v>
      </c>
      <c r="AB2797" s="4">
        <v>1</v>
      </c>
      <c r="AC2797" s="4">
        <v>16</v>
      </c>
      <c r="AD2797" s="4">
        <v>65</v>
      </c>
      <c r="AE2797" s="4">
        <v>120</v>
      </c>
      <c r="AF2797" s="4">
        <v>0</v>
      </c>
      <c r="AG2797" s="4">
        <v>8</v>
      </c>
      <c r="AH2797" s="4">
        <v>58</v>
      </c>
      <c r="AI2797" s="4">
        <v>86</v>
      </c>
      <c r="AJ2797" s="4">
        <v>10</v>
      </c>
      <c r="AK2797" s="4">
        <v>21</v>
      </c>
      <c r="AL2797" s="4">
        <v>32</v>
      </c>
      <c r="AM2797" s="4">
        <v>46</v>
      </c>
      <c r="AN2797" s="4">
        <v>0</v>
      </c>
      <c r="AO2797" s="4">
        <v>0</v>
      </c>
      <c r="AP2797" s="4">
        <v>13</v>
      </c>
      <c r="AQ2797" s="4">
        <v>42</v>
      </c>
      <c r="AR2797" s="3" t="s">
        <v>64</v>
      </c>
      <c r="AS2797" s="3" t="s">
        <v>64</v>
      </c>
      <c r="AT2797" s="3" t="s">
        <v>64</v>
      </c>
      <c r="AV2797" s="6" t="str">
        <f>HYPERLINK("http://mcgill.on.worldcat.org/oclc/71285625","Catalog Record")</f>
        <v>Catalog Record</v>
      </c>
      <c r="AW2797" s="6" t="str">
        <f>HYPERLINK("http://www.worldcat.org/oclc/71285625","WorldCat Record")</f>
        <v>WorldCat Record</v>
      </c>
      <c r="AX2797" s="3" t="s">
        <v>28136</v>
      </c>
      <c r="AY2797" s="3" t="s">
        <v>28137</v>
      </c>
      <c r="AZ2797" s="3" t="s">
        <v>28138</v>
      </c>
      <c r="BA2797" s="3" t="s">
        <v>28138</v>
      </c>
      <c r="BB2797" s="3" t="s">
        <v>28139</v>
      </c>
      <c r="BC2797" s="3" t="s">
        <v>77</v>
      </c>
      <c r="BD2797" s="3" t="s">
        <v>78</v>
      </c>
      <c r="BE2797" s="3" t="s">
        <v>28140</v>
      </c>
      <c r="BF2797" s="3" t="s">
        <v>28139</v>
      </c>
      <c r="BG2797" s="3" t="s">
        <v>28141</v>
      </c>
      <c r="BH2797">
        <f t="shared" si="67"/>
        <v>0</v>
      </c>
    </row>
    <row r="2798" spans="1:60" ht="58" x14ac:dyDescent="0.35">
      <c r="A2798" s="2" t="s">
        <v>59</v>
      </c>
      <c r="B2798" s="2" t="s">
        <v>60</v>
      </c>
      <c r="C2798" s="2" t="s">
        <v>28142</v>
      </c>
      <c r="D2798" s="2" t="s">
        <v>28143</v>
      </c>
      <c r="E2798" s="2" t="s">
        <v>28144</v>
      </c>
      <c r="G2798" s="3" t="s">
        <v>64</v>
      </c>
      <c r="I2798" s="3" t="s">
        <v>64</v>
      </c>
      <c r="J2798" s="3" t="s">
        <v>128</v>
      </c>
      <c r="K2798" s="3" t="s">
        <v>65</v>
      </c>
      <c r="L2798" s="2" t="s">
        <v>28145</v>
      </c>
      <c r="M2798" s="2" t="s">
        <v>9037</v>
      </c>
      <c r="N2798" s="3" t="s">
        <v>1075</v>
      </c>
      <c r="O2798" s="2" t="s">
        <v>3787</v>
      </c>
      <c r="P2798" s="3" t="s">
        <v>102</v>
      </c>
      <c r="Q2798" s="2" t="s">
        <v>28135</v>
      </c>
      <c r="R2798" s="3" t="s">
        <v>70</v>
      </c>
      <c r="S2798" s="4">
        <v>6</v>
      </c>
      <c r="T2798" s="4">
        <v>6</v>
      </c>
      <c r="U2798" s="5" t="s">
        <v>28146</v>
      </c>
      <c r="V2798" s="5" t="s">
        <v>28146</v>
      </c>
      <c r="W2798" s="5" t="s">
        <v>72</v>
      </c>
      <c r="X2798" s="5" t="s">
        <v>72</v>
      </c>
      <c r="Y2798" s="4">
        <v>209</v>
      </c>
      <c r="Z2798" s="4">
        <v>14</v>
      </c>
      <c r="AA2798" s="4">
        <v>86</v>
      </c>
      <c r="AB2798" s="4">
        <v>1</v>
      </c>
      <c r="AC2798" s="4">
        <v>16</v>
      </c>
      <c r="AD2798" s="4">
        <v>33</v>
      </c>
      <c r="AE2798" s="4">
        <v>120</v>
      </c>
      <c r="AF2798" s="4">
        <v>0</v>
      </c>
      <c r="AG2798" s="4">
        <v>8</v>
      </c>
      <c r="AH2798" s="4">
        <v>29</v>
      </c>
      <c r="AI2798" s="4">
        <v>86</v>
      </c>
      <c r="AJ2798" s="4">
        <v>8</v>
      </c>
      <c r="AK2798" s="4">
        <v>21</v>
      </c>
      <c r="AL2798" s="4">
        <v>17</v>
      </c>
      <c r="AM2798" s="4">
        <v>46</v>
      </c>
      <c r="AN2798" s="4">
        <v>0</v>
      </c>
      <c r="AO2798" s="4">
        <v>0</v>
      </c>
      <c r="AP2798" s="4">
        <v>10</v>
      </c>
      <c r="AQ2798" s="4">
        <v>42</v>
      </c>
      <c r="AR2798" s="3" t="s">
        <v>64</v>
      </c>
      <c r="AS2798" s="3" t="s">
        <v>64</v>
      </c>
      <c r="AT2798" s="3" t="s">
        <v>64</v>
      </c>
      <c r="AV2798" s="6" t="str">
        <f>HYPERLINK("http://mcgill.on.worldcat.org/oclc/828418555","Catalog Record")</f>
        <v>Catalog Record</v>
      </c>
      <c r="AW2798" s="6" t="str">
        <f>HYPERLINK("http://www.worldcat.org/oclc/828418555","WorldCat Record")</f>
        <v>WorldCat Record</v>
      </c>
      <c r="AX2798" s="3" t="s">
        <v>28136</v>
      </c>
      <c r="AY2798" s="3" t="s">
        <v>28147</v>
      </c>
      <c r="AZ2798" s="3" t="s">
        <v>28148</v>
      </c>
      <c r="BA2798" s="3" t="s">
        <v>28148</v>
      </c>
      <c r="BB2798" s="3" t="s">
        <v>28149</v>
      </c>
      <c r="BC2798" s="3" t="s">
        <v>77</v>
      </c>
      <c r="BD2798" s="3" t="s">
        <v>78</v>
      </c>
      <c r="BE2798" s="3" t="s">
        <v>28150</v>
      </c>
      <c r="BF2798" s="3" t="s">
        <v>28149</v>
      </c>
      <c r="BG2798" s="3" t="s">
        <v>28151</v>
      </c>
      <c r="BH2798">
        <f t="shared" si="67"/>
        <v>0</v>
      </c>
    </row>
    <row r="2799" spans="1:60" ht="116" x14ac:dyDescent="0.35">
      <c r="A2799" s="2" t="s">
        <v>59</v>
      </c>
      <c r="B2799" s="2" t="s">
        <v>60</v>
      </c>
      <c r="C2799" s="2" t="s">
        <v>28152</v>
      </c>
      <c r="D2799" s="2" t="s">
        <v>28153</v>
      </c>
      <c r="E2799" s="2" t="s">
        <v>28154</v>
      </c>
      <c r="G2799" s="3" t="s">
        <v>64</v>
      </c>
      <c r="I2799" s="3" t="s">
        <v>64</v>
      </c>
      <c r="J2799" s="3" t="s">
        <v>64</v>
      </c>
      <c r="K2799" s="3" t="s">
        <v>65</v>
      </c>
      <c r="L2799" s="2" t="s">
        <v>28155</v>
      </c>
      <c r="M2799" s="2" t="s">
        <v>28156</v>
      </c>
      <c r="N2799" s="3" t="s">
        <v>511</v>
      </c>
      <c r="O2799" s="2" t="s">
        <v>28157</v>
      </c>
      <c r="P2799" s="3" t="s">
        <v>944</v>
      </c>
      <c r="R2799" s="3" t="s">
        <v>70</v>
      </c>
      <c r="S2799" s="4">
        <v>1</v>
      </c>
      <c r="T2799" s="4">
        <v>1</v>
      </c>
      <c r="U2799" s="5" t="s">
        <v>28158</v>
      </c>
      <c r="V2799" s="5" t="s">
        <v>28158</v>
      </c>
      <c r="W2799" s="5" t="s">
        <v>72</v>
      </c>
      <c r="X2799" s="5" t="s">
        <v>72</v>
      </c>
      <c r="Y2799" s="4">
        <v>6</v>
      </c>
      <c r="Z2799" s="4">
        <v>1</v>
      </c>
      <c r="AA2799" s="4">
        <v>1</v>
      </c>
      <c r="AB2799" s="4">
        <v>1</v>
      </c>
      <c r="AC2799" s="4">
        <v>1</v>
      </c>
      <c r="AD2799" s="4">
        <v>0</v>
      </c>
      <c r="AE2799" s="4">
        <v>0</v>
      </c>
      <c r="AF2799" s="4">
        <v>0</v>
      </c>
      <c r="AG2799" s="4">
        <v>0</v>
      </c>
      <c r="AH2799" s="4">
        <v>0</v>
      </c>
      <c r="AI2799" s="4">
        <v>0</v>
      </c>
      <c r="AJ2799" s="4">
        <v>0</v>
      </c>
      <c r="AK2799" s="4">
        <v>0</v>
      </c>
      <c r="AL2799" s="4">
        <v>0</v>
      </c>
      <c r="AM2799" s="4">
        <v>0</v>
      </c>
      <c r="AN2799" s="4">
        <v>0</v>
      </c>
      <c r="AO2799" s="4">
        <v>0</v>
      </c>
      <c r="AP2799" s="4">
        <v>0</v>
      </c>
      <c r="AQ2799" s="4">
        <v>0</v>
      </c>
      <c r="AR2799" s="3" t="s">
        <v>64</v>
      </c>
      <c r="AS2799" s="3" t="s">
        <v>64</v>
      </c>
      <c r="AT2799" s="3" t="s">
        <v>64</v>
      </c>
      <c r="AV2799" s="6" t="str">
        <f>HYPERLINK("http://mcgill.on.worldcat.org/oclc/679932025","Catalog Record")</f>
        <v>Catalog Record</v>
      </c>
      <c r="AW2799" s="6" t="str">
        <f>HYPERLINK("http://www.worldcat.org/oclc/679932025","WorldCat Record")</f>
        <v>WorldCat Record</v>
      </c>
      <c r="AX2799" s="3" t="s">
        <v>28159</v>
      </c>
      <c r="AY2799" s="3" t="s">
        <v>28160</v>
      </c>
      <c r="AZ2799" s="3" t="s">
        <v>28161</v>
      </c>
      <c r="BA2799" s="3" t="s">
        <v>28161</v>
      </c>
      <c r="BB2799" s="3" t="s">
        <v>28162</v>
      </c>
      <c r="BC2799" s="3" t="s">
        <v>77</v>
      </c>
      <c r="BD2799" s="3" t="s">
        <v>78</v>
      </c>
      <c r="BE2799" s="3" t="s">
        <v>28163</v>
      </c>
      <c r="BF2799" s="3" t="s">
        <v>28162</v>
      </c>
      <c r="BG2799" s="3" t="s">
        <v>28164</v>
      </c>
      <c r="BH2799">
        <f t="shared" si="67"/>
        <v>0</v>
      </c>
    </row>
    <row r="2800" spans="1:60" ht="58" x14ac:dyDescent="0.35">
      <c r="A2800" s="2" t="s">
        <v>59</v>
      </c>
      <c r="B2800" s="2" t="s">
        <v>60</v>
      </c>
      <c r="C2800" s="2" t="s">
        <v>28165</v>
      </c>
      <c r="D2800" s="2" t="s">
        <v>28166</v>
      </c>
      <c r="E2800" s="2" t="s">
        <v>28167</v>
      </c>
      <c r="G2800" s="3" t="s">
        <v>64</v>
      </c>
      <c r="I2800" s="3" t="s">
        <v>64</v>
      </c>
      <c r="J2800" s="3" t="s">
        <v>64</v>
      </c>
      <c r="K2800" s="3" t="s">
        <v>65</v>
      </c>
      <c r="L2800" s="2" t="s">
        <v>7978</v>
      </c>
      <c r="M2800" s="2" t="s">
        <v>28168</v>
      </c>
      <c r="N2800" s="3" t="s">
        <v>1004</v>
      </c>
      <c r="P2800" s="3" t="s">
        <v>102</v>
      </c>
      <c r="R2800" s="3" t="s">
        <v>70</v>
      </c>
      <c r="S2800" s="4">
        <v>9</v>
      </c>
      <c r="T2800" s="4">
        <v>9</v>
      </c>
      <c r="U2800" s="5" t="s">
        <v>7981</v>
      </c>
      <c r="V2800" s="5" t="s">
        <v>7981</v>
      </c>
      <c r="W2800" s="5" t="s">
        <v>72</v>
      </c>
      <c r="X2800" s="5" t="s">
        <v>72</v>
      </c>
      <c r="Y2800" s="4">
        <v>1342</v>
      </c>
      <c r="Z2800" s="4">
        <v>62</v>
      </c>
      <c r="AA2800" s="4">
        <v>74</v>
      </c>
      <c r="AB2800" s="4">
        <v>2</v>
      </c>
      <c r="AC2800" s="4">
        <v>7</v>
      </c>
      <c r="AD2800" s="4">
        <v>111</v>
      </c>
      <c r="AE2800" s="4">
        <v>116</v>
      </c>
      <c r="AF2800" s="4">
        <v>0</v>
      </c>
      <c r="AG2800" s="4">
        <v>3</v>
      </c>
      <c r="AH2800" s="4">
        <v>96</v>
      </c>
      <c r="AI2800" s="4">
        <v>97</v>
      </c>
      <c r="AJ2800" s="4">
        <v>16</v>
      </c>
      <c r="AK2800" s="4">
        <v>19</v>
      </c>
      <c r="AL2800" s="4">
        <v>52</v>
      </c>
      <c r="AM2800" s="4">
        <v>52</v>
      </c>
      <c r="AN2800" s="4">
        <v>0</v>
      </c>
      <c r="AO2800" s="4">
        <v>0</v>
      </c>
      <c r="AP2800" s="4">
        <v>18</v>
      </c>
      <c r="AQ2800" s="4">
        <v>22</v>
      </c>
      <c r="AR2800" s="3" t="s">
        <v>64</v>
      </c>
      <c r="AS2800" s="3" t="s">
        <v>64</v>
      </c>
      <c r="AT2800" s="3" t="s">
        <v>128</v>
      </c>
      <c r="AU2800" s="6" t="str">
        <f>HYPERLINK("http://catalog.hathitrust.org/Record/000289974","HathiTrust Record")</f>
        <v>HathiTrust Record</v>
      </c>
      <c r="AV2800" s="6" t="str">
        <f>HYPERLINK("http://mcgill.on.worldcat.org/oclc/10229100","Catalog Record")</f>
        <v>Catalog Record</v>
      </c>
      <c r="AW2800" s="6" t="str">
        <f>HYPERLINK("http://www.worldcat.org/oclc/10229100","WorldCat Record")</f>
        <v>WorldCat Record</v>
      </c>
      <c r="AX2800" s="3" t="s">
        <v>28169</v>
      </c>
      <c r="AY2800" s="3" t="s">
        <v>28170</v>
      </c>
      <c r="AZ2800" s="3" t="s">
        <v>28171</v>
      </c>
      <c r="BA2800" s="3" t="s">
        <v>28171</v>
      </c>
      <c r="BB2800" s="3" t="s">
        <v>28172</v>
      </c>
      <c r="BC2800" s="3" t="s">
        <v>77</v>
      </c>
      <c r="BD2800" s="3" t="s">
        <v>165</v>
      </c>
      <c r="BE2800" s="3" t="s">
        <v>28173</v>
      </c>
      <c r="BF2800" s="3" t="s">
        <v>28172</v>
      </c>
      <c r="BG2800" s="3" t="s">
        <v>28174</v>
      </c>
      <c r="BH2800">
        <f t="shared" si="67"/>
        <v>0</v>
      </c>
    </row>
    <row r="2801" spans="1:60" ht="58" x14ac:dyDescent="0.35">
      <c r="A2801" s="2" t="s">
        <v>59</v>
      </c>
      <c r="B2801" s="2" t="s">
        <v>60</v>
      </c>
      <c r="C2801" s="2" t="s">
        <v>28175</v>
      </c>
      <c r="D2801" s="2" t="s">
        <v>28176</v>
      </c>
      <c r="E2801" s="2" t="s">
        <v>28177</v>
      </c>
      <c r="G2801" s="3" t="s">
        <v>64</v>
      </c>
      <c r="I2801" s="3" t="s">
        <v>64</v>
      </c>
      <c r="J2801" s="3" t="s">
        <v>64</v>
      </c>
      <c r="K2801" s="3" t="s">
        <v>65</v>
      </c>
      <c r="L2801" s="2" t="s">
        <v>28178</v>
      </c>
      <c r="M2801" s="2" t="s">
        <v>28179</v>
      </c>
      <c r="N2801" s="3" t="s">
        <v>874</v>
      </c>
      <c r="O2801" s="2" t="s">
        <v>172</v>
      </c>
      <c r="P2801" s="3" t="s">
        <v>102</v>
      </c>
      <c r="R2801" s="3" t="s">
        <v>70</v>
      </c>
      <c r="S2801" s="4">
        <v>3</v>
      </c>
      <c r="T2801" s="4">
        <v>3</v>
      </c>
      <c r="U2801" s="5" t="s">
        <v>7981</v>
      </c>
      <c r="V2801" s="5" t="s">
        <v>7981</v>
      </c>
      <c r="W2801" s="5" t="s">
        <v>72</v>
      </c>
      <c r="X2801" s="5" t="s">
        <v>72</v>
      </c>
      <c r="Y2801" s="4">
        <v>145</v>
      </c>
      <c r="Z2801" s="4">
        <v>11</v>
      </c>
      <c r="AA2801" s="4">
        <v>15</v>
      </c>
      <c r="AB2801" s="4">
        <v>2</v>
      </c>
      <c r="AC2801" s="4">
        <v>4</v>
      </c>
      <c r="AD2801" s="4">
        <v>44</v>
      </c>
      <c r="AE2801" s="4">
        <v>72</v>
      </c>
      <c r="AF2801" s="4">
        <v>0</v>
      </c>
      <c r="AG2801" s="4">
        <v>1</v>
      </c>
      <c r="AH2801" s="4">
        <v>38</v>
      </c>
      <c r="AI2801" s="4">
        <v>61</v>
      </c>
      <c r="AJ2801" s="4">
        <v>5</v>
      </c>
      <c r="AK2801" s="4">
        <v>7</v>
      </c>
      <c r="AL2801" s="4">
        <v>27</v>
      </c>
      <c r="AM2801" s="4">
        <v>42</v>
      </c>
      <c r="AN2801" s="4">
        <v>0</v>
      </c>
      <c r="AO2801" s="4">
        <v>0</v>
      </c>
      <c r="AP2801" s="4">
        <v>5</v>
      </c>
      <c r="AQ2801" s="4">
        <v>6</v>
      </c>
      <c r="AR2801" s="3" t="s">
        <v>64</v>
      </c>
      <c r="AS2801" s="3" t="s">
        <v>64</v>
      </c>
      <c r="AT2801" s="3" t="s">
        <v>64</v>
      </c>
      <c r="AV2801" s="6" t="str">
        <f>HYPERLINK("http://mcgill.on.worldcat.org/oclc/7507449","Catalog Record")</f>
        <v>Catalog Record</v>
      </c>
      <c r="AW2801" s="6" t="str">
        <f>HYPERLINK("http://www.worldcat.org/oclc/7507449","WorldCat Record")</f>
        <v>WorldCat Record</v>
      </c>
      <c r="AX2801" s="3" t="s">
        <v>28180</v>
      </c>
      <c r="AY2801" s="3" t="s">
        <v>28181</v>
      </c>
      <c r="AZ2801" s="3" t="s">
        <v>28182</v>
      </c>
      <c r="BA2801" s="3" t="s">
        <v>28182</v>
      </c>
      <c r="BB2801" s="3" t="s">
        <v>28183</v>
      </c>
      <c r="BC2801" s="3" t="s">
        <v>77</v>
      </c>
      <c r="BD2801" s="3" t="s">
        <v>165</v>
      </c>
      <c r="BE2801" s="3" t="s">
        <v>28184</v>
      </c>
      <c r="BF2801" s="3" t="s">
        <v>28183</v>
      </c>
      <c r="BG2801" s="3" t="s">
        <v>28185</v>
      </c>
      <c r="BH2801">
        <f t="shared" si="67"/>
        <v>0</v>
      </c>
    </row>
    <row r="2802" spans="1:60" ht="58" x14ac:dyDescent="0.35">
      <c r="A2802" s="2" t="s">
        <v>59</v>
      </c>
      <c r="B2802" s="2" t="s">
        <v>60</v>
      </c>
      <c r="C2802" s="2" t="s">
        <v>28186</v>
      </c>
      <c r="D2802" s="2" t="s">
        <v>28187</v>
      </c>
      <c r="E2802" s="2" t="s">
        <v>28188</v>
      </c>
      <c r="G2802" s="3" t="s">
        <v>64</v>
      </c>
      <c r="I2802" s="3" t="s">
        <v>64</v>
      </c>
      <c r="J2802" s="3" t="s">
        <v>64</v>
      </c>
      <c r="K2802" s="3" t="s">
        <v>65</v>
      </c>
      <c r="L2802" s="2" t="s">
        <v>28189</v>
      </c>
      <c r="M2802" s="2" t="s">
        <v>20150</v>
      </c>
      <c r="N2802" s="3" t="s">
        <v>116</v>
      </c>
      <c r="P2802" s="3" t="s">
        <v>102</v>
      </c>
      <c r="Q2802" s="2" t="s">
        <v>28190</v>
      </c>
      <c r="R2802" s="3" t="s">
        <v>70</v>
      </c>
      <c r="S2802" s="4">
        <v>9</v>
      </c>
      <c r="T2802" s="4">
        <v>9</v>
      </c>
      <c r="U2802" s="5" t="s">
        <v>28053</v>
      </c>
      <c r="V2802" s="5" t="s">
        <v>28053</v>
      </c>
      <c r="W2802" s="5" t="s">
        <v>72</v>
      </c>
      <c r="X2802" s="5" t="s">
        <v>72</v>
      </c>
      <c r="Y2802" s="4">
        <v>465</v>
      </c>
      <c r="Z2802" s="4">
        <v>20</v>
      </c>
      <c r="AA2802" s="4">
        <v>98</v>
      </c>
      <c r="AB2802" s="4">
        <v>1</v>
      </c>
      <c r="AC2802" s="4">
        <v>18</v>
      </c>
      <c r="AD2802" s="4">
        <v>96</v>
      </c>
      <c r="AE2802" s="4">
        <v>135</v>
      </c>
      <c r="AF2802" s="4">
        <v>0</v>
      </c>
      <c r="AG2802" s="4">
        <v>8</v>
      </c>
      <c r="AH2802" s="4">
        <v>90</v>
      </c>
      <c r="AI2802" s="4">
        <v>101</v>
      </c>
      <c r="AJ2802" s="4">
        <v>13</v>
      </c>
      <c r="AK2802" s="4">
        <v>21</v>
      </c>
      <c r="AL2802" s="4">
        <v>45</v>
      </c>
      <c r="AM2802" s="4">
        <v>50</v>
      </c>
      <c r="AN2802" s="4">
        <v>0</v>
      </c>
      <c r="AO2802" s="4">
        <v>0</v>
      </c>
      <c r="AP2802" s="4">
        <v>12</v>
      </c>
      <c r="AQ2802" s="4">
        <v>41</v>
      </c>
      <c r="AR2802" s="3" t="s">
        <v>64</v>
      </c>
      <c r="AS2802" s="3" t="s">
        <v>64</v>
      </c>
      <c r="AT2802" s="3" t="s">
        <v>64</v>
      </c>
      <c r="AV2802" s="6" t="str">
        <f>HYPERLINK("http://mcgill.on.worldcat.org/oclc/45620876","Catalog Record")</f>
        <v>Catalog Record</v>
      </c>
      <c r="AW2802" s="6" t="str">
        <f>HYPERLINK("http://www.worldcat.org/oclc/45620876","WorldCat Record")</f>
        <v>WorldCat Record</v>
      </c>
      <c r="AX2802" s="3" t="s">
        <v>28191</v>
      </c>
      <c r="AY2802" s="3" t="s">
        <v>28192</v>
      </c>
      <c r="AZ2802" s="3" t="s">
        <v>28193</v>
      </c>
      <c r="BA2802" s="3" t="s">
        <v>28193</v>
      </c>
      <c r="BB2802" s="3" t="s">
        <v>28194</v>
      </c>
      <c r="BC2802" s="3" t="s">
        <v>77</v>
      </c>
      <c r="BD2802" s="3" t="s">
        <v>78</v>
      </c>
      <c r="BE2802" s="3" t="s">
        <v>28195</v>
      </c>
      <c r="BF2802" s="3" t="s">
        <v>28194</v>
      </c>
      <c r="BG2802" s="3" t="s">
        <v>28196</v>
      </c>
      <c r="BH2802">
        <f t="shared" si="67"/>
        <v>0</v>
      </c>
    </row>
    <row r="2803" spans="1:60" ht="87" x14ac:dyDescent="0.35">
      <c r="A2803" s="2" t="s">
        <v>59</v>
      </c>
      <c r="B2803" s="2" t="s">
        <v>60</v>
      </c>
      <c r="C2803" s="2" t="s">
        <v>28197</v>
      </c>
      <c r="D2803" s="2" t="s">
        <v>28198</v>
      </c>
      <c r="E2803" s="2" t="s">
        <v>28199</v>
      </c>
      <c r="G2803" s="3" t="s">
        <v>64</v>
      </c>
      <c r="I2803" s="3" t="s">
        <v>64</v>
      </c>
      <c r="J2803" s="3" t="s">
        <v>64</v>
      </c>
      <c r="K2803" s="3" t="s">
        <v>65</v>
      </c>
      <c r="L2803" s="2" t="s">
        <v>28200</v>
      </c>
      <c r="M2803" s="2" t="s">
        <v>28201</v>
      </c>
      <c r="N2803" s="3" t="s">
        <v>1004</v>
      </c>
      <c r="P2803" s="3" t="s">
        <v>102</v>
      </c>
      <c r="R2803" s="3" t="s">
        <v>70</v>
      </c>
      <c r="S2803" s="4">
        <v>17</v>
      </c>
      <c r="T2803" s="4">
        <v>17</v>
      </c>
      <c r="U2803" s="5" t="s">
        <v>14431</v>
      </c>
      <c r="V2803" s="5" t="s">
        <v>14431</v>
      </c>
      <c r="W2803" s="5" t="s">
        <v>72</v>
      </c>
      <c r="X2803" s="5" t="s">
        <v>72</v>
      </c>
      <c r="Y2803" s="4">
        <v>1102</v>
      </c>
      <c r="Z2803" s="4">
        <v>38</v>
      </c>
      <c r="AA2803" s="4">
        <v>43</v>
      </c>
      <c r="AB2803" s="4">
        <v>3</v>
      </c>
      <c r="AC2803" s="4">
        <v>8</v>
      </c>
      <c r="AD2803" s="4">
        <v>121</v>
      </c>
      <c r="AE2803" s="4">
        <v>125</v>
      </c>
      <c r="AF2803" s="4">
        <v>0</v>
      </c>
      <c r="AG2803" s="4">
        <v>4</v>
      </c>
      <c r="AH2803" s="4">
        <v>107</v>
      </c>
      <c r="AI2803" s="4">
        <v>108</v>
      </c>
      <c r="AJ2803" s="4">
        <v>13</v>
      </c>
      <c r="AK2803" s="4">
        <v>17</v>
      </c>
      <c r="AL2803" s="4">
        <v>61</v>
      </c>
      <c r="AM2803" s="4">
        <v>61</v>
      </c>
      <c r="AN2803" s="4">
        <v>0</v>
      </c>
      <c r="AO2803" s="4">
        <v>0</v>
      </c>
      <c r="AP2803" s="4">
        <v>14</v>
      </c>
      <c r="AQ2803" s="4">
        <v>17</v>
      </c>
      <c r="AR2803" s="3" t="s">
        <v>64</v>
      </c>
      <c r="AS2803" s="3" t="s">
        <v>64</v>
      </c>
      <c r="AT2803" s="3" t="s">
        <v>128</v>
      </c>
      <c r="AU2803" s="6" t="str">
        <f>HYPERLINK("http://catalog.hathitrust.org/Record/000197016","HathiTrust Record")</f>
        <v>HathiTrust Record</v>
      </c>
      <c r="AV2803" s="6" t="str">
        <f>HYPERLINK("http://mcgill.on.worldcat.org/oclc/9350547","Catalog Record")</f>
        <v>Catalog Record</v>
      </c>
      <c r="AW2803" s="6" t="str">
        <f>HYPERLINK("http://www.worldcat.org/oclc/9350547","WorldCat Record")</f>
        <v>WorldCat Record</v>
      </c>
      <c r="AX2803" s="3" t="s">
        <v>28202</v>
      </c>
      <c r="AY2803" s="3" t="s">
        <v>28203</v>
      </c>
      <c r="AZ2803" s="3" t="s">
        <v>28204</v>
      </c>
      <c r="BA2803" s="3" t="s">
        <v>28204</v>
      </c>
      <c r="BB2803" s="3" t="s">
        <v>28205</v>
      </c>
      <c r="BC2803" s="3" t="s">
        <v>77</v>
      </c>
      <c r="BD2803" s="3" t="s">
        <v>165</v>
      </c>
      <c r="BE2803" s="3" t="s">
        <v>28206</v>
      </c>
      <c r="BF2803" s="3" t="s">
        <v>28205</v>
      </c>
      <c r="BG2803" s="3" t="s">
        <v>28207</v>
      </c>
      <c r="BH2803">
        <f t="shared" si="67"/>
        <v>0</v>
      </c>
    </row>
    <row r="2804" spans="1:60" ht="72.5" x14ac:dyDescent="0.35">
      <c r="A2804" s="2" t="s">
        <v>59</v>
      </c>
      <c r="B2804" s="2" t="s">
        <v>60</v>
      </c>
      <c r="C2804" s="2" t="s">
        <v>28208</v>
      </c>
      <c r="D2804" s="2" t="s">
        <v>28209</v>
      </c>
      <c r="E2804" s="2" t="s">
        <v>28210</v>
      </c>
      <c r="G2804" s="3" t="s">
        <v>64</v>
      </c>
      <c r="I2804" s="3" t="s">
        <v>64</v>
      </c>
      <c r="J2804" s="3" t="s">
        <v>64</v>
      </c>
      <c r="K2804" s="3" t="s">
        <v>65</v>
      </c>
      <c r="L2804" s="2" t="s">
        <v>28211</v>
      </c>
      <c r="M2804" s="2" t="s">
        <v>15651</v>
      </c>
      <c r="N2804" s="3" t="s">
        <v>326</v>
      </c>
      <c r="O2804" s="2" t="s">
        <v>28212</v>
      </c>
      <c r="P2804" s="3" t="s">
        <v>102</v>
      </c>
      <c r="Q2804" s="2" t="s">
        <v>28213</v>
      </c>
      <c r="R2804" s="3" t="s">
        <v>70</v>
      </c>
      <c r="S2804" s="4">
        <v>3</v>
      </c>
      <c r="T2804" s="4">
        <v>3</v>
      </c>
      <c r="U2804" s="5" t="s">
        <v>14431</v>
      </c>
      <c r="V2804" s="5" t="s">
        <v>14431</v>
      </c>
      <c r="W2804" s="5" t="s">
        <v>72</v>
      </c>
      <c r="X2804" s="5" t="s">
        <v>72</v>
      </c>
      <c r="Y2804" s="4">
        <v>349</v>
      </c>
      <c r="Z2804" s="4">
        <v>16</v>
      </c>
      <c r="AA2804" s="4">
        <v>42</v>
      </c>
      <c r="AB2804" s="4">
        <v>2</v>
      </c>
      <c r="AC2804" s="4">
        <v>7</v>
      </c>
      <c r="AD2804" s="4">
        <v>42</v>
      </c>
      <c r="AE2804" s="4">
        <v>93</v>
      </c>
      <c r="AF2804" s="4">
        <v>0</v>
      </c>
      <c r="AG2804" s="4">
        <v>3</v>
      </c>
      <c r="AH2804" s="4">
        <v>38</v>
      </c>
      <c r="AI2804" s="4">
        <v>84</v>
      </c>
      <c r="AJ2804" s="4">
        <v>7</v>
      </c>
      <c r="AK2804" s="4">
        <v>14</v>
      </c>
      <c r="AL2804" s="4">
        <v>22</v>
      </c>
      <c r="AM2804" s="4">
        <v>41</v>
      </c>
      <c r="AN2804" s="4">
        <v>0</v>
      </c>
      <c r="AO2804" s="4">
        <v>0</v>
      </c>
      <c r="AP2804" s="4">
        <v>7</v>
      </c>
      <c r="AQ2804" s="4">
        <v>15</v>
      </c>
      <c r="AR2804" s="3" t="s">
        <v>64</v>
      </c>
      <c r="AS2804" s="3" t="s">
        <v>64</v>
      </c>
      <c r="AT2804" s="3" t="s">
        <v>64</v>
      </c>
      <c r="AV2804" s="6" t="str">
        <f>HYPERLINK("http://mcgill.on.worldcat.org/oclc/731009521","Catalog Record")</f>
        <v>Catalog Record</v>
      </c>
      <c r="AW2804" s="6" t="str">
        <f>HYPERLINK("http://www.worldcat.org/oclc/731009521","WorldCat Record")</f>
        <v>WorldCat Record</v>
      </c>
      <c r="AX2804" s="3" t="s">
        <v>28214</v>
      </c>
      <c r="AY2804" s="3" t="s">
        <v>28215</v>
      </c>
      <c r="AZ2804" s="3" t="s">
        <v>28216</v>
      </c>
      <c r="BA2804" s="3" t="s">
        <v>28216</v>
      </c>
      <c r="BB2804" s="3" t="s">
        <v>28217</v>
      </c>
      <c r="BC2804" s="3" t="s">
        <v>77</v>
      </c>
      <c r="BD2804" s="3" t="s">
        <v>165</v>
      </c>
      <c r="BE2804" s="3" t="s">
        <v>28218</v>
      </c>
      <c r="BF2804" s="3" t="s">
        <v>28217</v>
      </c>
      <c r="BG2804" s="3" t="s">
        <v>28219</v>
      </c>
      <c r="BH2804">
        <f t="shared" si="67"/>
        <v>0</v>
      </c>
    </row>
    <row r="2805" spans="1:60" ht="58" x14ac:dyDescent="0.35">
      <c r="A2805" s="2" t="s">
        <v>59</v>
      </c>
      <c r="B2805" s="2" t="s">
        <v>60</v>
      </c>
      <c r="C2805" s="2" t="s">
        <v>28220</v>
      </c>
      <c r="D2805" s="2" t="s">
        <v>28221</v>
      </c>
      <c r="E2805" s="2" t="s">
        <v>28222</v>
      </c>
      <c r="G2805" s="3" t="s">
        <v>64</v>
      </c>
      <c r="I2805" s="3" t="s">
        <v>64</v>
      </c>
      <c r="J2805" s="3" t="s">
        <v>64</v>
      </c>
      <c r="K2805" s="3" t="s">
        <v>65</v>
      </c>
      <c r="L2805" s="2" t="s">
        <v>28223</v>
      </c>
      <c r="M2805" s="2" t="s">
        <v>28224</v>
      </c>
      <c r="N2805" s="3" t="s">
        <v>3761</v>
      </c>
      <c r="O2805" s="2" t="s">
        <v>28225</v>
      </c>
      <c r="P2805" s="3" t="s">
        <v>102</v>
      </c>
      <c r="R2805" s="3" t="s">
        <v>70</v>
      </c>
      <c r="S2805" s="4">
        <v>7</v>
      </c>
      <c r="T2805" s="4">
        <v>7</v>
      </c>
      <c r="U2805" s="5" t="s">
        <v>28053</v>
      </c>
      <c r="V2805" s="5" t="s">
        <v>28053</v>
      </c>
      <c r="W2805" s="5" t="s">
        <v>72</v>
      </c>
      <c r="X2805" s="5" t="s">
        <v>72</v>
      </c>
      <c r="Y2805" s="4">
        <v>780</v>
      </c>
      <c r="Z2805" s="4">
        <v>29</v>
      </c>
      <c r="AA2805" s="4">
        <v>29</v>
      </c>
      <c r="AB2805" s="4">
        <v>1</v>
      </c>
      <c r="AC2805" s="4">
        <v>1</v>
      </c>
      <c r="AD2805" s="4">
        <v>107</v>
      </c>
      <c r="AE2805" s="4">
        <v>107</v>
      </c>
      <c r="AF2805" s="4">
        <v>0</v>
      </c>
      <c r="AG2805" s="4">
        <v>0</v>
      </c>
      <c r="AH2805" s="4">
        <v>89</v>
      </c>
      <c r="AI2805" s="4">
        <v>89</v>
      </c>
      <c r="AJ2805" s="4">
        <v>12</v>
      </c>
      <c r="AK2805" s="4">
        <v>12</v>
      </c>
      <c r="AL2805" s="4">
        <v>54</v>
      </c>
      <c r="AM2805" s="4">
        <v>54</v>
      </c>
      <c r="AN2805" s="4">
        <v>0</v>
      </c>
      <c r="AO2805" s="4">
        <v>2</v>
      </c>
      <c r="AP2805" s="4">
        <v>17</v>
      </c>
      <c r="AQ2805" s="4">
        <v>17</v>
      </c>
      <c r="AR2805" s="3" t="s">
        <v>64</v>
      </c>
      <c r="AS2805" s="3" t="s">
        <v>64</v>
      </c>
      <c r="AT2805" s="3" t="s">
        <v>128</v>
      </c>
      <c r="AU2805" s="6" t="str">
        <f>HYPERLINK("http://catalog.hathitrust.org/Record/000420147","HathiTrust Record")</f>
        <v>HathiTrust Record</v>
      </c>
      <c r="AV2805" s="6" t="str">
        <f>HYPERLINK("http://mcgill.on.worldcat.org/oclc/486270","Catalog Record")</f>
        <v>Catalog Record</v>
      </c>
      <c r="AW2805" s="6" t="str">
        <f>HYPERLINK("http://www.worldcat.org/oclc/486270","WorldCat Record")</f>
        <v>WorldCat Record</v>
      </c>
      <c r="AX2805" s="3" t="s">
        <v>28226</v>
      </c>
      <c r="AY2805" s="3" t="s">
        <v>28227</v>
      </c>
      <c r="AZ2805" s="3" t="s">
        <v>28228</v>
      </c>
      <c r="BA2805" s="3" t="s">
        <v>28228</v>
      </c>
      <c r="BB2805" s="3" t="s">
        <v>28229</v>
      </c>
      <c r="BC2805" s="3" t="s">
        <v>77</v>
      </c>
      <c r="BD2805" s="3" t="s">
        <v>78</v>
      </c>
      <c r="BF2805" s="3" t="s">
        <v>28229</v>
      </c>
      <c r="BG2805" s="3" t="s">
        <v>28230</v>
      </c>
      <c r="BH2805">
        <f t="shared" si="67"/>
        <v>0</v>
      </c>
    </row>
    <row r="2806" spans="1:60" ht="58" x14ac:dyDescent="0.35">
      <c r="A2806" s="2" t="s">
        <v>59</v>
      </c>
      <c r="B2806" s="2" t="s">
        <v>60</v>
      </c>
      <c r="C2806" s="2" t="s">
        <v>28231</v>
      </c>
      <c r="D2806" s="2" t="s">
        <v>28232</v>
      </c>
      <c r="E2806" s="2" t="s">
        <v>28233</v>
      </c>
      <c r="G2806" s="3" t="s">
        <v>64</v>
      </c>
      <c r="I2806" s="3" t="s">
        <v>64</v>
      </c>
      <c r="J2806" s="3" t="s">
        <v>64</v>
      </c>
      <c r="K2806" s="3" t="s">
        <v>65</v>
      </c>
      <c r="M2806" s="2" t="s">
        <v>28234</v>
      </c>
      <c r="N2806" s="3" t="s">
        <v>1275</v>
      </c>
      <c r="P2806" s="3" t="s">
        <v>102</v>
      </c>
      <c r="R2806" s="3" t="s">
        <v>70</v>
      </c>
      <c r="S2806" s="4">
        <v>8</v>
      </c>
      <c r="T2806" s="4">
        <v>8</v>
      </c>
      <c r="U2806" s="5" t="s">
        <v>21750</v>
      </c>
      <c r="V2806" s="5" t="s">
        <v>21750</v>
      </c>
      <c r="W2806" s="5" t="s">
        <v>72</v>
      </c>
      <c r="X2806" s="5" t="s">
        <v>72</v>
      </c>
      <c r="Y2806" s="4">
        <v>268</v>
      </c>
      <c r="Z2806" s="4">
        <v>21</v>
      </c>
      <c r="AA2806" s="4">
        <v>27</v>
      </c>
      <c r="AB2806" s="4">
        <v>2</v>
      </c>
      <c r="AC2806" s="4">
        <v>6</v>
      </c>
      <c r="AD2806" s="4">
        <v>62</v>
      </c>
      <c r="AE2806" s="4">
        <v>66</v>
      </c>
      <c r="AF2806" s="4">
        <v>1</v>
      </c>
      <c r="AG2806" s="4">
        <v>2</v>
      </c>
      <c r="AH2806" s="4">
        <v>57</v>
      </c>
      <c r="AI2806" s="4">
        <v>59</v>
      </c>
      <c r="AJ2806" s="4">
        <v>10</v>
      </c>
      <c r="AK2806" s="4">
        <v>12</v>
      </c>
      <c r="AL2806" s="4">
        <v>27</v>
      </c>
      <c r="AM2806" s="4">
        <v>28</v>
      </c>
      <c r="AN2806" s="4">
        <v>0</v>
      </c>
      <c r="AO2806" s="4">
        <v>0</v>
      </c>
      <c r="AP2806" s="4">
        <v>11</v>
      </c>
      <c r="AQ2806" s="4">
        <v>13</v>
      </c>
      <c r="AR2806" s="3" t="s">
        <v>64</v>
      </c>
      <c r="AS2806" s="3" t="s">
        <v>64</v>
      </c>
      <c r="AT2806" s="3" t="s">
        <v>64</v>
      </c>
      <c r="AV2806" s="6" t="str">
        <f>HYPERLINK("http://mcgill.on.worldcat.org/oclc/51931373","Catalog Record")</f>
        <v>Catalog Record</v>
      </c>
      <c r="AW2806" s="6" t="str">
        <f>HYPERLINK("http://www.worldcat.org/oclc/51931373","WorldCat Record")</f>
        <v>WorldCat Record</v>
      </c>
      <c r="AX2806" s="3" t="s">
        <v>28235</v>
      </c>
      <c r="AY2806" s="3" t="s">
        <v>28236</v>
      </c>
      <c r="AZ2806" s="3" t="s">
        <v>28237</v>
      </c>
      <c r="BA2806" s="3" t="s">
        <v>28237</v>
      </c>
      <c r="BB2806" s="3" t="s">
        <v>28238</v>
      </c>
      <c r="BC2806" s="3" t="s">
        <v>77</v>
      </c>
      <c r="BD2806" s="3" t="s">
        <v>78</v>
      </c>
      <c r="BE2806" s="3" t="s">
        <v>28239</v>
      </c>
      <c r="BF2806" s="3" t="s">
        <v>28238</v>
      </c>
      <c r="BG2806" s="3" t="s">
        <v>28240</v>
      </c>
      <c r="BH2806">
        <f t="shared" si="67"/>
        <v>0</v>
      </c>
    </row>
    <row r="2807" spans="1:60" ht="72.5" x14ac:dyDescent="0.35">
      <c r="A2807" s="2" t="s">
        <v>59</v>
      </c>
      <c r="B2807" s="2" t="s">
        <v>1025</v>
      </c>
      <c r="C2807" s="2" t="s">
        <v>28241</v>
      </c>
      <c r="D2807" s="2" t="s">
        <v>28242</v>
      </c>
      <c r="E2807" s="2" t="s">
        <v>28243</v>
      </c>
      <c r="G2807" s="3" t="s">
        <v>64</v>
      </c>
      <c r="I2807" s="3" t="s">
        <v>128</v>
      </c>
      <c r="J2807" s="3" t="s">
        <v>128</v>
      </c>
      <c r="K2807" s="3" t="s">
        <v>65</v>
      </c>
      <c r="L2807" s="2" t="s">
        <v>28244</v>
      </c>
      <c r="M2807" s="2" t="s">
        <v>25995</v>
      </c>
      <c r="N2807" s="3" t="s">
        <v>378</v>
      </c>
      <c r="O2807" s="2" t="s">
        <v>172</v>
      </c>
      <c r="P2807" s="3" t="s">
        <v>102</v>
      </c>
      <c r="R2807" s="3" t="s">
        <v>70</v>
      </c>
      <c r="S2807" s="4">
        <v>0</v>
      </c>
      <c r="T2807" s="4">
        <v>9</v>
      </c>
      <c r="V2807" s="5" t="s">
        <v>28245</v>
      </c>
      <c r="W2807" s="5" t="s">
        <v>72</v>
      </c>
      <c r="X2807" s="5" t="s">
        <v>72</v>
      </c>
      <c r="Y2807" s="4">
        <v>903</v>
      </c>
      <c r="Z2807" s="4">
        <v>49</v>
      </c>
      <c r="AA2807" s="4">
        <v>64</v>
      </c>
      <c r="AB2807" s="4">
        <v>2</v>
      </c>
      <c r="AC2807" s="4">
        <v>8</v>
      </c>
      <c r="AD2807" s="4">
        <v>120</v>
      </c>
      <c r="AE2807" s="4">
        <v>136</v>
      </c>
      <c r="AF2807" s="4">
        <v>0</v>
      </c>
      <c r="AG2807" s="4">
        <v>2</v>
      </c>
      <c r="AH2807" s="4">
        <v>103</v>
      </c>
      <c r="AI2807" s="4">
        <v>114</v>
      </c>
      <c r="AJ2807" s="4">
        <v>17</v>
      </c>
      <c r="AK2807" s="4">
        <v>22</v>
      </c>
      <c r="AL2807" s="4">
        <v>58</v>
      </c>
      <c r="AM2807" s="4">
        <v>64</v>
      </c>
      <c r="AN2807" s="4">
        <v>1</v>
      </c>
      <c r="AO2807" s="4">
        <v>1</v>
      </c>
      <c r="AP2807" s="4">
        <v>18</v>
      </c>
      <c r="AQ2807" s="4">
        <v>23</v>
      </c>
      <c r="AR2807" s="3" t="s">
        <v>64</v>
      </c>
      <c r="AS2807" s="3" t="s">
        <v>64</v>
      </c>
      <c r="AT2807" s="3" t="s">
        <v>128</v>
      </c>
      <c r="AU2807" s="6" t="str">
        <f>HYPERLINK("http://catalog.hathitrust.org/Record/000488902","HathiTrust Record")</f>
        <v>HathiTrust Record</v>
      </c>
      <c r="AV2807" s="6" t="str">
        <f>HYPERLINK("http://mcgill.on.worldcat.org/oclc/14188887","Catalog Record")</f>
        <v>Catalog Record</v>
      </c>
      <c r="AW2807" s="6" t="str">
        <f>HYPERLINK("http://www.worldcat.org/oclc/14188887","WorldCat Record")</f>
        <v>WorldCat Record</v>
      </c>
      <c r="AX2807" s="3" t="s">
        <v>28246</v>
      </c>
      <c r="AY2807" s="3" t="s">
        <v>28247</v>
      </c>
      <c r="AZ2807" s="3" t="s">
        <v>28248</v>
      </c>
      <c r="BA2807" s="3" t="s">
        <v>28248</v>
      </c>
      <c r="BB2807" s="3" t="s">
        <v>28249</v>
      </c>
      <c r="BC2807" s="3" t="s">
        <v>77</v>
      </c>
      <c r="BD2807" s="3" t="s">
        <v>78</v>
      </c>
      <c r="BE2807" s="3" t="s">
        <v>28250</v>
      </c>
      <c r="BF2807" s="3" t="s">
        <v>28249</v>
      </c>
      <c r="BG2807" s="3" t="s">
        <v>28251</v>
      </c>
      <c r="BH2807">
        <f t="shared" si="67"/>
        <v>0</v>
      </c>
    </row>
    <row r="2808" spans="1:60" ht="72.5" x14ac:dyDescent="0.35">
      <c r="A2808" s="2" t="s">
        <v>59</v>
      </c>
      <c r="B2808" s="2" t="s">
        <v>60</v>
      </c>
      <c r="C2808" s="2" t="s">
        <v>28241</v>
      </c>
      <c r="D2808" s="2" t="s">
        <v>28242</v>
      </c>
      <c r="E2808" s="2" t="s">
        <v>28243</v>
      </c>
      <c r="G2808" s="3" t="s">
        <v>64</v>
      </c>
      <c r="I2808" s="3" t="s">
        <v>128</v>
      </c>
      <c r="J2808" s="3" t="s">
        <v>128</v>
      </c>
      <c r="K2808" s="3" t="s">
        <v>65</v>
      </c>
      <c r="L2808" s="2" t="s">
        <v>28244</v>
      </c>
      <c r="M2808" s="2" t="s">
        <v>25995</v>
      </c>
      <c r="N2808" s="3" t="s">
        <v>378</v>
      </c>
      <c r="O2808" s="2" t="s">
        <v>172</v>
      </c>
      <c r="P2808" s="3" t="s">
        <v>102</v>
      </c>
      <c r="R2808" s="3" t="s">
        <v>70</v>
      </c>
      <c r="S2808" s="4">
        <v>9</v>
      </c>
      <c r="T2808" s="4">
        <v>9</v>
      </c>
      <c r="U2808" s="5" t="s">
        <v>28245</v>
      </c>
      <c r="V2808" s="5" t="s">
        <v>28245</v>
      </c>
      <c r="W2808" s="5" t="s">
        <v>72</v>
      </c>
      <c r="X2808" s="5" t="s">
        <v>72</v>
      </c>
      <c r="Y2808" s="4">
        <v>903</v>
      </c>
      <c r="Z2808" s="4">
        <v>49</v>
      </c>
      <c r="AA2808" s="4">
        <v>64</v>
      </c>
      <c r="AB2808" s="4">
        <v>2</v>
      </c>
      <c r="AC2808" s="4">
        <v>8</v>
      </c>
      <c r="AD2808" s="4">
        <v>120</v>
      </c>
      <c r="AE2808" s="4">
        <v>136</v>
      </c>
      <c r="AF2808" s="4">
        <v>0</v>
      </c>
      <c r="AG2808" s="4">
        <v>2</v>
      </c>
      <c r="AH2808" s="4">
        <v>103</v>
      </c>
      <c r="AI2808" s="4">
        <v>114</v>
      </c>
      <c r="AJ2808" s="4">
        <v>17</v>
      </c>
      <c r="AK2808" s="4">
        <v>22</v>
      </c>
      <c r="AL2808" s="4">
        <v>58</v>
      </c>
      <c r="AM2808" s="4">
        <v>64</v>
      </c>
      <c r="AN2808" s="4">
        <v>1</v>
      </c>
      <c r="AO2808" s="4">
        <v>1</v>
      </c>
      <c r="AP2808" s="4">
        <v>18</v>
      </c>
      <c r="AQ2808" s="4">
        <v>23</v>
      </c>
      <c r="AR2808" s="3" t="s">
        <v>64</v>
      </c>
      <c r="AS2808" s="3" t="s">
        <v>64</v>
      </c>
      <c r="AT2808" s="3" t="s">
        <v>128</v>
      </c>
      <c r="AU2808" s="6" t="str">
        <f>HYPERLINK("http://catalog.hathitrust.org/Record/000488902","HathiTrust Record")</f>
        <v>HathiTrust Record</v>
      </c>
      <c r="AV2808" s="6" t="str">
        <f>HYPERLINK("http://mcgill.on.worldcat.org/oclc/14188887","Catalog Record")</f>
        <v>Catalog Record</v>
      </c>
      <c r="AW2808" s="6" t="str">
        <f>HYPERLINK("http://www.worldcat.org/oclc/14188887","WorldCat Record")</f>
        <v>WorldCat Record</v>
      </c>
      <c r="AX2808" s="3" t="s">
        <v>28246</v>
      </c>
      <c r="AY2808" s="3" t="s">
        <v>28247</v>
      </c>
      <c r="AZ2808" s="3" t="s">
        <v>28248</v>
      </c>
      <c r="BA2808" s="3" t="s">
        <v>28248</v>
      </c>
      <c r="BB2808" s="3" t="s">
        <v>28252</v>
      </c>
      <c r="BC2808" s="3" t="s">
        <v>77</v>
      </c>
      <c r="BD2808" s="3" t="s">
        <v>165</v>
      </c>
      <c r="BE2808" s="3" t="s">
        <v>28250</v>
      </c>
      <c r="BF2808" s="3" t="s">
        <v>28252</v>
      </c>
      <c r="BG2808" s="3" t="s">
        <v>28253</v>
      </c>
      <c r="BH2808">
        <f t="shared" si="67"/>
        <v>0</v>
      </c>
    </row>
    <row r="2809" spans="1:60" ht="58" x14ac:dyDescent="0.35">
      <c r="A2809" s="2" t="s">
        <v>59</v>
      </c>
      <c r="B2809" s="2" t="s">
        <v>60</v>
      </c>
      <c r="C2809" s="2" t="s">
        <v>28254</v>
      </c>
      <c r="D2809" s="2" t="s">
        <v>28255</v>
      </c>
      <c r="E2809" s="2" t="s">
        <v>28256</v>
      </c>
      <c r="G2809" s="3" t="s">
        <v>64</v>
      </c>
      <c r="I2809" s="3" t="s">
        <v>64</v>
      </c>
      <c r="J2809" s="3" t="s">
        <v>64</v>
      </c>
      <c r="K2809" s="3" t="s">
        <v>65</v>
      </c>
      <c r="M2809" s="2" t="s">
        <v>14782</v>
      </c>
      <c r="N2809" s="3" t="s">
        <v>979</v>
      </c>
      <c r="P2809" s="3" t="s">
        <v>102</v>
      </c>
      <c r="R2809" s="3" t="s">
        <v>70</v>
      </c>
      <c r="S2809" s="4">
        <v>28</v>
      </c>
      <c r="T2809" s="4">
        <v>28</v>
      </c>
      <c r="U2809" s="5" t="s">
        <v>18167</v>
      </c>
      <c r="V2809" s="5" t="s">
        <v>18167</v>
      </c>
      <c r="W2809" s="5" t="s">
        <v>72</v>
      </c>
      <c r="X2809" s="5" t="s">
        <v>72</v>
      </c>
      <c r="Y2809" s="4">
        <v>693</v>
      </c>
      <c r="Z2809" s="4">
        <v>32</v>
      </c>
      <c r="AA2809" s="4">
        <v>111</v>
      </c>
      <c r="AB2809" s="4">
        <v>3</v>
      </c>
      <c r="AC2809" s="4">
        <v>18</v>
      </c>
      <c r="AD2809" s="4">
        <v>117</v>
      </c>
      <c r="AE2809" s="4">
        <v>150</v>
      </c>
      <c r="AF2809" s="4">
        <v>1</v>
      </c>
      <c r="AG2809" s="4">
        <v>8</v>
      </c>
      <c r="AH2809" s="4">
        <v>99</v>
      </c>
      <c r="AI2809" s="4">
        <v>110</v>
      </c>
      <c r="AJ2809" s="4">
        <v>16</v>
      </c>
      <c r="AK2809" s="4">
        <v>23</v>
      </c>
      <c r="AL2809" s="4">
        <v>52</v>
      </c>
      <c r="AM2809" s="4">
        <v>54</v>
      </c>
      <c r="AN2809" s="4">
        <v>0</v>
      </c>
      <c r="AO2809" s="4">
        <v>0</v>
      </c>
      <c r="AP2809" s="4">
        <v>21</v>
      </c>
      <c r="AQ2809" s="4">
        <v>46</v>
      </c>
      <c r="AR2809" s="3" t="s">
        <v>64</v>
      </c>
      <c r="AS2809" s="3" t="s">
        <v>64</v>
      </c>
      <c r="AT2809" s="3" t="s">
        <v>64</v>
      </c>
      <c r="AV2809" s="6" t="str">
        <f>HYPERLINK("http://mcgill.on.worldcat.org/oclc/42882873","Catalog Record")</f>
        <v>Catalog Record</v>
      </c>
      <c r="AW2809" s="6" t="str">
        <f>HYPERLINK("http://www.worldcat.org/oclc/42882873","WorldCat Record")</f>
        <v>WorldCat Record</v>
      </c>
      <c r="AX2809" s="3" t="s">
        <v>28257</v>
      </c>
      <c r="AY2809" s="3" t="s">
        <v>28258</v>
      </c>
      <c r="AZ2809" s="3" t="s">
        <v>28259</v>
      </c>
      <c r="BA2809" s="3" t="s">
        <v>28259</v>
      </c>
      <c r="BB2809" s="3" t="s">
        <v>28260</v>
      </c>
      <c r="BC2809" s="3" t="s">
        <v>77</v>
      </c>
      <c r="BD2809" s="3" t="s">
        <v>78</v>
      </c>
      <c r="BE2809" s="3" t="s">
        <v>28261</v>
      </c>
      <c r="BF2809" s="3" t="s">
        <v>28260</v>
      </c>
      <c r="BG2809" s="3" t="s">
        <v>28262</v>
      </c>
      <c r="BH2809">
        <f t="shared" si="67"/>
        <v>0</v>
      </c>
    </row>
    <row r="2810" spans="1:60" ht="58" x14ac:dyDescent="0.35">
      <c r="A2810" s="2" t="s">
        <v>59</v>
      </c>
      <c r="B2810" s="2" t="s">
        <v>60</v>
      </c>
      <c r="C2810" s="2" t="s">
        <v>28263</v>
      </c>
      <c r="D2810" s="2" t="s">
        <v>28264</v>
      </c>
      <c r="E2810" s="2" t="s">
        <v>28265</v>
      </c>
      <c r="G2810" s="3" t="s">
        <v>64</v>
      </c>
      <c r="I2810" s="3" t="s">
        <v>64</v>
      </c>
      <c r="J2810" s="3" t="s">
        <v>64</v>
      </c>
      <c r="K2810" s="3" t="s">
        <v>65</v>
      </c>
      <c r="L2810" s="2" t="s">
        <v>28266</v>
      </c>
      <c r="M2810" s="2" t="s">
        <v>28267</v>
      </c>
      <c r="N2810" s="3" t="s">
        <v>1263</v>
      </c>
      <c r="P2810" s="3" t="s">
        <v>102</v>
      </c>
      <c r="Q2810" s="2" t="s">
        <v>28268</v>
      </c>
      <c r="R2810" s="3" t="s">
        <v>70</v>
      </c>
      <c r="S2810" s="4">
        <v>15</v>
      </c>
      <c r="T2810" s="4">
        <v>15</v>
      </c>
      <c r="U2810" s="5" t="s">
        <v>28053</v>
      </c>
      <c r="V2810" s="5" t="s">
        <v>28053</v>
      </c>
      <c r="W2810" s="5" t="s">
        <v>72</v>
      </c>
      <c r="X2810" s="5" t="s">
        <v>72</v>
      </c>
      <c r="Y2810" s="4">
        <v>214</v>
      </c>
      <c r="Z2810" s="4">
        <v>15</v>
      </c>
      <c r="AA2810" s="4">
        <v>16</v>
      </c>
      <c r="AB2810" s="4">
        <v>2</v>
      </c>
      <c r="AC2810" s="4">
        <v>3</v>
      </c>
      <c r="AD2810" s="4">
        <v>56</v>
      </c>
      <c r="AE2810" s="4">
        <v>59</v>
      </c>
      <c r="AF2810" s="4">
        <v>0</v>
      </c>
      <c r="AG2810" s="4">
        <v>1</v>
      </c>
      <c r="AH2810" s="4">
        <v>51</v>
      </c>
      <c r="AI2810" s="4">
        <v>53</v>
      </c>
      <c r="AJ2810" s="4">
        <v>9</v>
      </c>
      <c r="AK2810" s="4">
        <v>10</v>
      </c>
      <c r="AL2810" s="4">
        <v>29</v>
      </c>
      <c r="AM2810" s="4">
        <v>30</v>
      </c>
      <c r="AN2810" s="4">
        <v>0</v>
      </c>
      <c r="AO2810" s="4">
        <v>0</v>
      </c>
      <c r="AP2810" s="4">
        <v>8</v>
      </c>
      <c r="AQ2810" s="4">
        <v>8</v>
      </c>
      <c r="AR2810" s="3" t="s">
        <v>64</v>
      </c>
      <c r="AS2810" s="3" t="s">
        <v>64</v>
      </c>
      <c r="AT2810" s="3" t="s">
        <v>128</v>
      </c>
      <c r="AU2810" s="6" t="str">
        <f>HYPERLINK("http://catalog.hathitrust.org/Record/002648281","HathiTrust Record")</f>
        <v>HathiTrust Record</v>
      </c>
      <c r="AV2810" s="6" t="str">
        <f>HYPERLINK("http://mcgill.on.worldcat.org/oclc/27902004","Catalog Record")</f>
        <v>Catalog Record</v>
      </c>
      <c r="AW2810" s="6" t="str">
        <f>HYPERLINK("http://www.worldcat.org/oclc/27902004","WorldCat Record")</f>
        <v>WorldCat Record</v>
      </c>
      <c r="AX2810" s="3" t="s">
        <v>28269</v>
      </c>
      <c r="AY2810" s="3" t="s">
        <v>28270</v>
      </c>
      <c r="AZ2810" s="3" t="s">
        <v>28271</v>
      </c>
      <c r="BA2810" s="3" t="s">
        <v>28271</v>
      </c>
      <c r="BB2810" s="3" t="s">
        <v>28272</v>
      </c>
      <c r="BC2810" s="3" t="s">
        <v>77</v>
      </c>
      <c r="BD2810" s="3" t="s">
        <v>78</v>
      </c>
      <c r="BE2810" s="3" t="s">
        <v>28273</v>
      </c>
      <c r="BF2810" s="3" t="s">
        <v>28272</v>
      </c>
      <c r="BG2810" s="3" t="s">
        <v>28274</v>
      </c>
      <c r="BH2810">
        <f t="shared" si="67"/>
        <v>0</v>
      </c>
    </row>
    <row r="2811" spans="1:60" ht="58" x14ac:dyDescent="0.35">
      <c r="A2811" s="2" t="s">
        <v>59</v>
      </c>
      <c r="B2811" s="2" t="s">
        <v>60</v>
      </c>
      <c r="C2811" s="2" t="s">
        <v>28275</v>
      </c>
      <c r="D2811" s="2" t="s">
        <v>28276</v>
      </c>
      <c r="E2811" s="2" t="s">
        <v>28277</v>
      </c>
      <c r="G2811" s="3" t="s">
        <v>64</v>
      </c>
      <c r="I2811" s="3" t="s">
        <v>64</v>
      </c>
      <c r="J2811" s="3" t="s">
        <v>64</v>
      </c>
      <c r="K2811" s="3" t="s">
        <v>65</v>
      </c>
      <c r="M2811" s="2" t="s">
        <v>28278</v>
      </c>
      <c r="N2811" s="3" t="s">
        <v>67</v>
      </c>
      <c r="P2811" s="3" t="s">
        <v>102</v>
      </c>
      <c r="R2811" s="3" t="s">
        <v>70</v>
      </c>
      <c r="S2811" s="4">
        <v>7</v>
      </c>
      <c r="T2811" s="4">
        <v>7</v>
      </c>
      <c r="U2811" s="5" t="s">
        <v>28072</v>
      </c>
      <c r="V2811" s="5" t="s">
        <v>28072</v>
      </c>
      <c r="W2811" s="5" t="s">
        <v>72</v>
      </c>
      <c r="X2811" s="5" t="s">
        <v>72</v>
      </c>
      <c r="Y2811" s="4">
        <v>337</v>
      </c>
      <c r="Z2811" s="4">
        <v>10</v>
      </c>
      <c r="AA2811" s="4">
        <v>31</v>
      </c>
      <c r="AB2811" s="4">
        <v>1</v>
      </c>
      <c r="AC2811" s="4">
        <v>14</v>
      </c>
      <c r="AD2811" s="4">
        <v>37</v>
      </c>
      <c r="AE2811" s="4">
        <v>59</v>
      </c>
      <c r="AF2811" s="4">
        <v>0</v>
      </c>
      <c r="AG2811" s="4">
        <v>6</v>
      </c>
      <c r="AH2811" s="4">
        <v>34</v>
      </c>
      <c r="AI2811" s="4">
        <v>46</v>
      </c>
      <c r="AJ2811" s="4">
        <v>3</v>
      </c>
      <c r="AK2811" s="4">
        <v>14</v>
      </c>
      <c r="AL2811" s="4">
        <v>20</v>
      </c>
      <c r="AM2811" s="4">
        <v>25</v>
      </c>
      <c r="AN2811" s="4">
        <v>0</v>
      </c>
      <c r="AO2811" s="4">
        <v>0</v>
      </c>
      <c r="AP2811" s="4">
        <v>4</v>
      </c>
      <c r="AQ2811" s="4">
        <v>14</v>
      </c>
      <c r="AR2811" s="3" t="s">
        <v>64</v>
      </c>
      <c r="AS2811" s="3" t="s">
        <v>64</v>
      </c>
      <c r="AT2811" s="3" t="s">
        <v>64</v>
      </c>
      <c r="AV2811" s="6" t="str">
        <f>HYPERLINK("http://mcgill.on.worldcat.org/oclc/863789556","Catalog Record")</f>
        <v>Catalog Record</v>
      </c>
      <c r="AW2811" s="6" t="str">
        <f>HYPERLINK("http://www.worldcat.org/oclc/863789556","WorldCat Record")</f>
        <v>WorldCat Record</v>
      </c>
      <c r="AX2811" s="3" t="s">
        <v>28279</v>
      </c>
      <c r="AY2811" s="3" t="s">
        <v>28280</v>
      </c>
      <c r="AZ2811" s="3" t="s">
        <v>28281</v>
      </c>
      <c r="BA2811" s="3" t="s">
        <v>28281</v>
      </c>
      <c r="BB2811" s="3" t="s">
        <v>28282</v>
      </c>
      <c r="BC2811" s="3" t="s">
        <v>77</v>
      </c>
      <c r="BD2811" s="3" t="s">
        <v>78</v>
      </c>
      <c r="BE2811" s="3" t="s">
        <v>28283</v>
      </c>
      <c r="BF2811" s="3" t="s">
        <v>28282</v>
      </c>
      <c r="BG2811" s="3" t="s">
        <v>28284</v>
      </c>
      <c r="BH2811">
        <f t="shared" si="67"/>
        <v>0</v>
      </c>
    </row>
    <row r="2812" spans="1:60" ht="58" x14ac:dyDescent="0.35">
      <c r="A2812" s="2" t="s">
        <v>59</v>
      </c>
      <c r="B2812" s="2" t="s">
        <v>60</v>
      </c>
      <c r="C2812" s="2" t="s">
        <v>28285</v>
      </c>
      <c r="D2812" s="2" t="s">
        <v>28286</v>
      </c>
      <c r="E2812" s="2" t="s">
        <v>28287</v>
      </c>
      <c r="G2812" s="3" t="s">
        <v>64</v>
      </c>
      <c r="I2812" s="3" t="s">
        <v>64</v>
      </c>
      <c r="J2812" s="3" t="s">
        <v>64</v>
      </c>
      <c r="K2812" s="3" t="s">
        <v>65</v>
      </c>
      <c r="M2812" s="2" t="s">
        <v>20553</v>
      </c>
      <c r="N2812" s="3" t="s">
        <v>171</v>
      </c>
      <c r="P2812" s="3" t="s">
        <v>102</v>
      </c>
      <c r="R2812" s="3" t="s">
        <v>70</v>
      </c>
      <c r="S2812" s="4">
        <v>22</v>
      </c>
      <c r="T2812" s="4">
        <v>22</v>
      </c>
      <c r="U2812" s="5" t="s">
        <v>28053</v>
      </c>
      <c r="V2812" s="5" t="s">
        <v>28053</v>
      </c>
      <c r="W2812" s="5" t="s">
        <v>72</v>
      </c>
      <c r="X2812" s="5" t="s">
        <v>72</v>
      </c>
      <c r="Y2812" s="4">
        <v>743</v>
      </c>
      <c r="Z2812" s="4">
        <v>20</v>
      </c>
      <c r="AA2812" s="4">
        <v>22</v>
      </c>
      <c r="AB2812" s="4">
        <v>3</v>
      </c>
      <c r="AC2812" s="4">
        <v>4</v>
      </c>
      <c r="AD2812" s="4">
        <v>86</v>
      </c>
      <c r="AE2812" s="4">
        <v>88</v>
      </c>
      <c r="AF2812" s="4">
        <v>0</v>
      </c>
      <c r="AG2812" s="4">
        <v>1</v>
      </c>
      <c r="AH2812" s="4">
        <v>81</v>
      </c>
      <c r="AI2812" s="4">
        <v>82</v>
      </c>
      <c r="AJ2812" s="4">
        <v>12</v>
      </c>
      <c r="AK2812" s="4">
        <v>13</v>
      </c>
      <c r="AL2812" s="4">
        <v>40</v>
      </c>
      <c r="AM2812" s="4">
        <v>40</v>
      </c>
      <c r="AN2812" s="4">
        <v>0</v>
      </c>
      <c r="AO2812" s="4">
        <v>0</v>
      </c>
      <c r="AP2812" s="4">
        <v>11</v>
      </c>
      <c r="AQ2812" s="4">
        <v>11</v>
      </c>
      <c r="AR2812" s="3" t="s">
        <v>64</v>
      </c>
      <c r="AS2812" s="3" t="s">
        <v>64</v>
      </c>
      <c r="AT2812" s="3" t="s">
        <v>64</v>
      </c>
      <c r="AV2812" s="6" t="str">
        <f>HYPERLINK("http://mcgill.on.worldcat.org/oclc/806166586","Catalog Record")</f>
        <v>Catalog Record</v>
      </c>
      <c r="AW2812" s="6" t="str">
        <f>HYPERLINK("http://www.worldcat.org/oclc/806166586","WorldCat Record")</f>
        <v>WorldCat Record</v>
      </c>
      <c r="AX2812" s="3" t="s">
        <v>28288</v>
      </c>
      <c r="AY2812" s="3" t="s">
        <v>28289</v>
      </c>
      <c r="AZ2812" s="3" t="s">
        <v>28290</v>
      </c>
      <c r="BA2812" s="3" t="s">
        <v>28290</v>
      </c>
      <c r="BB2812" s="3" t="s">
        <v>28291</v>
      </c>
      <c r="BC2812" s="3" t="s">
        <v>77</v>
      </c>
      <c r="BD2812" s="3" t="s">
        <v>78</v>
      </c>
      <c r="BE2812" s="3" t="s">
        <v>28292</v>
      </c>
      <c r="BF2812" s="3" t="s">
        <v>28291</v>
      </c>
      <c r="BG2812" s="3" t="s">
        <v>28293</v>
      </c>
      <c r="BH2812">
        <f t="shared" si="67"/>
        <v>0</v>
      </c>
    </row>
    <row r="2813" spans="1:60" ht="58" x14ac:dyDescent="0.35">
      <c r="A2813" s="2" t="s">
        <v>59</v>
      </c>
      <c r="B2813" s="2" t="s">
        <v>60</v>
      </c>
      <c r="C2813" s="2" t="s">
        <v>28294</v>
      </c>
      <c r="D2813" s="2" t="s">
        <v>28295</v>
      </c>
      <c r="E2813" s="2" t="s">
        <v>28296</v>
      </c>
      <c r="G2813" s="3" t="s">
        <v>64</v>
      </c>
      <c r="I2813" s="3" t="s">
        <v>64</v>
      </c>
      <c r="J2813" s="3" t="s">
        <v>64</v>
      </c>
      <c r="K2813" s="3" t="s">
        <v>65</v>
      </c>
      <c r="M2813" s="2" t="s">
        <v>28297</v>
      </c>
      <c r="N2813" s="3" t="s">
        <v>253</v>
      </c>
      <c r="P2813" s="3" t="s">
        <v>102</v>
      </c>
      <c r="R2813" s="3" t="s">
        <v>70</v>
      </c>
      <c r="S2813" s="4">
        <v>1</v>
      </c>
      <c r="T2813" s="4">
        <v>1</v>
      </c>
      <c r="U2813" s="5" t="s">
        <v>16184</v>
      </c>
      <c r="V2813" s="5" t="s">
        <v>16184</v>
      </c>
      <c r="W2813" s="5" t="s">
        <v>72</v>
      </c>
      <c r="X2813" s="5" t="s">
        <v>72</v>
      </c>
      <c r="Y2813" s="4">
        <v>289</v>
      </c>
      <c r="Z2813" s="4">
        <v>18</v>
      </c>
      <c r="AA2813" s="4">
        <v>25</v>
      </c>
      <c r="AB2813" s="4">
        <v>1</v>
      </c>
      <c r="AC2813" s="4">
        <v>5</v>
      </c>
      <c r="AD2813" s="4">
        <v>67</v>
      </c>
      <c r="AE2813" s="4">
        <v>73</v>
      </c>
      <c r="AF2813" s="4">
        <v>0</v>
      </c>
      <c r="AG2813" s="4">
        <v>2</v>
      </c>
      <c r="AH2813" s="4">
        <v>54</v>
      </c>
      <c r="AI2813" s="4">
        <v>58</v>
      </c>
      <c r="AJ2813" s="4">
        <v>10</v>
      </c>
      <c r="AK2813" s="4">
        <v>14</v>
      </c>
      <c r="AL2813" s="4">
        <v>30</v>
      </c>
      <c r="AM2813" s="4">
        <v>33</v>
      </c>
      <c r="AN2813" s="4">
        <v>0</v>
      </c>
      <c r="AO2813" s="4">
        <v>0</v>
      </c>
      <c r="AP2813" s="4">
        <v>13</v>
      </c>
      <c r="AQ2813" s="4">
        <v>16</v>
      </c>
      <c r="AR2813" s="3" t="s">
        <v>64</v>
      </c>
      <c r="AS2813" s="3" t="s">
        <v>64</v>
      </c>
      <c r="AT2813" s="3" t="s">
        <v>64</v>
      </c>
      <c r="AV2813" s="6" t="str">
        <f>HYPERLINK("http://mcgill.on.worldcat.org/oclc/869140987","Catalog Record")</f>
        <v>Catalog Record</v>
      </c>
      <c r="AW2813" s="6" t="str">
        <f>HYPERLINK("http://www.worldcat.org/oclc/869140987","WorldCat Record")</f>
        <v>WorldCat Record</v>
      </c>
      <c r="AX2813" s="3" t="s">
        <v>28298</v>
      </c>
      <c r="AY2813" s="3" t="s">
        <v>28299</v>
      </c>
      <c r="AZ2813" s="3" t="s">
        <v>28300</v>
      </c>
      <c r="BA2813" s="3" t="s">
        <v>28300</v>
      </c>
      <c r="BB2813" s="3" t="s">
        <v>28301</v>
      </c>
      <c r="BC2813" s="3" t="s">
        <v>77</v>
      </c>
      <c r="BD2813" s="3" t="s">
        <v>78</v>
      </c>
      <c r="BE2813" s="3" t="s">
        <v>28302</v>
      </c>
      <c r="BF2813" s="3" t="s">
        <v>28301</v>
      </c>
      <c r="BG2813" s="3" t="s">
        <v>28303</v>
      </c>
      <c r="BH2813">
        <f t="shared" si="67"/>
        <v>0</v>
      </c>
    </row>
    <row r="2814" spans="1:60" ht="58" x14ac:dyDescent="0.35">
      <c r="A2814" s="2" t="s">
        <v>59</v>
      </c>
      <c r="B2814" s="2" t="s">
        <v>60</v>
      </c>
      <c r="C2814" s="2" t="s">
        <v>28304</v>
      </c>
      <c r="D2814" s="2" t="s">
        <v>28305</v>
      </c>
      <c r="E2814" s="2" t="s">
        <v>28306</v>
      </c>
      <c r="G2814" s="3" t="s">
        <v>64</v>
      </c>
      <c r="I2814" s="3" t="s">
        <v>64</v>
      </c>
      <c r="J2814" s="3" t="s">
        <v>64</v>
      </c>
      <c r="K2814" s="3" t="s">
        <v>65</v>
      </c>
      <c r="L2814" s="2" t="s">
        <v>28307</v>
      </c>
      <c r="M2814" s="2" t="s">
        <v>28308</v>
      </c>
      <c r="N2814" s="3" t="s">
        <v>159</v>
      </c>
      <c r="O2814" s="2" t="s">
        <v>2149</v>
      </c>
      <c r="P2814" s="3" t="s">
        <v>102</v>
      </c>
      <c r="R2814" s="3" t="s">
        <v>70</v>
      </c>
      <c r="S2814" s="4">
        <v>7</v>
      </c>
      <c r="T2814" s="4">
        <v>7</v>
      </c>
      <c r="U2814" s="5" t="s">
        <v>14431</v>
      </c>
      <c r="V2814" s="5" t="s">
        <v>14431</v>
      </c>
      <c r="W2814" s="5" t="s">
        <v>72</v>
      </c>
      <c r="X2814" s="5" t="s">
        <v>72</v>
      </c>
      <c r="Y2814" s="4">
        <v>781</v>
      </c>
      <c r="Z2814" s="4">
        <v>39</v>
      </c>
      <c r="AA2814" s="4">
        <v>43</v>
      </c>
      <c r="AB2814" s="4">
        <v>2</v>
      </c>
      <c r="AC2814" s="4">
        <v>3</v>
      </c>
      <c r="AD2814" s="4">
        <v>58</v>
      </c>
      <c r="AE2814" s="4">
        <v>58</v>
      </c>
      <c r="AF2814" s="4">
        <v>0</v>
      </c>
      <c r="AG2814" s="4">
        <v>0</v>
      </c>
      <c r="AH2814" s="4">
        <v>53</v>
      </c>
      <c r="AI2814" s="4">
        <v>53</v>
      </c>
      <c r="AJ2814" s="4">
        <v>9</v>
      </c>
      <c r="AK2814" s="4">
        <v>9</v>
      </c>
      <c r="AL2814" s="4">
        <v>22</v>
      </c>
      <c r="AM2814" s="4">
        <v>22</v>
      </c>
      <c r="AN2814" s="4">
        <v>0</v>
      </c>
      <c r="AO2814" s="4">
        <v>0</v>
      </c>
      <c r="AP2814" s="4">
        <v>12</v>
      </c>
      <c r="AQ2814" s="4">
        <v>12</v>
      </c>
      <c r="AR2814" s="3" t="s">
        <v>64</v>
      </c>
      <c r="AS2814" s="3" t="s">
        <v>64</v>
      </c>
      <c r="AT2814" s="3" t="s">
        <v>64</v>
      </c>
      <c r="AV2814" s="6" t="str">
        <f>HYPERLINK("http://mcgill.on.worldcat.org/oclc/50198774","Catalog Record")</f>
        <v>Catalog Record</v>
      </c>
      <c r="AW2814" s="6" t="str">
        <f>HYPERLINK("http://www.worldcat.org/oclc/50198774","WorldCat Record")</f>
        <v>WorldCat Record</v>
      </c>
      <c r="AX2814" s="3" t="s">
        <v>28309</v>
      </c>
      <c r="AY2814" s="3" t="s">
        <v>28310</v>
      </c>
      <c r="AZ2814" s="3" t="s">
        <v>28311</v>
      </c>
      <c r="BA2814" s="3" t="s">
        <v>28311</v>
      </c>
      <c r="BB2814" s="3" t="s">
        <v>28312</v>
      </c>
      <c r="BC2814" s="3" t="s">
        <v>77</v>
      </c>
      <c r="BD2814" s="3" t="s">
        <v>165</v>
      </c>
      <c r="BE2814" s="3" t="s">
        <v>28313</v>
      </c>
      <c r="BF2814" s="3" t="s">
        <v>28312</v>
      </c>
      <c r="BG2814" s="3" t="s">
        <v>28314</v>
      </c>
      <c r="BH2814">
        <f t="shared" si="67"/>
        <v>0</v>
      </c>
    </row>
    <row r="2815" spans="1:60" ht="58" x14ac:dyDescent="0.35">
      <c r="A2815" s="2" t="s">
        <v>59</v>
      </c>
      <c r="B2815" s="2" t="s">
        <v>60</v>
      </c>
      <c r="C2815" s="2" t="s">
        <v>28315</v>
      </c>
      <c r="D2815" s="2" t="s">
        <v>28316</v>
      </c>
      <c r="E2815" s="2" t="s">
        <v>28317</v>
      </c>
      <c r="F2815" s="3" t="s">
        <v>20707</v>
      </c>
      <c r="G2815" s="3" t="s">
        <v>64</v>
      </c>
      <c r="I2815" s="3" t="s">
        <v>64</v>
      </c>
      <c r="J2815" s="3" t="s">
        <v>64</v>
      </c>
      <c r="K2815" s="3" t="s">
        <v>65</v>
      </c>
      <c r="L2815" s="2" t="s">
        <v>6468</v>
      </c>
      <c r="M2815" s="2" t="s">
        <v>4826</v>
      </c>
      <c r="N2815" s="3" t="s">
        <v>511</v>
      </c>
      <c r="P2815" s="3" t="s">
        <v>102</v>
      </c>
      <c r="Q2815" s="2" t="s">
        <v>28318</v>
      </c>
      <c r="R2815" s="3" t="s">
        <v>70</v>
      </c>
      <c r="S2815" s="4">
        <v>0</v>
      </c>
      <c r="T2815" s="4">
        <v>0</v>
      </c>
      <c r="W2815" s="5" t="s">
        <v>72</v>
      </c>
      <c r="X2815" s="5" t="s">
        <v>72</v>
      </c>
      <c r="Y2815" s="4">
        <v>19</v>
      </c>
      <c r="Z2815" s="4">
        <v>4</v>
      </c>
      <c r="AA2815" s="4">
        <v>5</v>
      </c>
      <c r="AB2815" s="4">
        <v>1</v>
      </c>
      <c r="AC2815" s="4">
        <v>1</v>
      </c>
      <c r="AD2815" s="4">
        <v>9</v>
      </c>
      <c r="AE2815" s="4">
        <v>25</v>
      </c>
      <c r="AF2815" s="4">
        <v>0</v>
      </c>
      <c r="AG2815" s="4">
        <v>0</v>
      </c>
      <c r="AH2815" s="4">
        <v>9</v>
      </c>
      <c r="AI2815" s="4">
        <v>24</v>
      </c>
      <c r="AJ2815" s="4">
        <v>2</v>
      </c>
      <c r="AK2815" s="4">
        <v>3</v>
      </c>
      <c r="AL2815" s="4">
        <v>5</v>
      </c>
      <c r="AM2815" s="4">
        <v>15</v>
      </c>
      <c r="AN2815" s="4">
        <v>0</v>
      </c>
      <c r="AO2815" s="4">
        <v>5</v>
      </c>
      <c r="AP2815" s="4">
        <v>2</v>
      </c>
      <c r="AQ2815" s="4">
        <v>3</v>
      </c>
      <c r="AR2815" s="3" t="s">
        <v>64</v>
      </c>
      <c r="AS2815" s="3" t="s">
        <v>64</v>
      </c>
      <c r="AT2815" s="3" t="s">
        <v>128</v>
      </c>
      <c r="AU2815" s="6" t="str">
        <f>HYPERLINK("http://catalog.hathitrust.org/Record/102067238","HathiTrust Record")</f>
        <v>HathiTrust Record</v>
      </c>
      <c r="AV2815" s="6" t="str">
        <f>HYPERLINK("http://mcgill.on.worldcat.org/oclc/754908026","Catalog Record")</f>
        <v>Catalog Record</v>
      </c>
      <c r="AW2815" s="6" t="str">
        <f>HYPERLINK("http://www.worldcat.org/oclc/754908026","WorldCat Record")</f>
        <v>WorldCat Record</v>
      </c>
      <c r="AX2815" s="3" t="s">
        <v>28319</v>
      </c>
      <c r="AY2815" s="3" t="s">
        <v>28320</v>
      </c>
      <c r="AZ2815" s="3" t="s">
        <v>28321</v>
      </c>
      <c r="BA2815" s="3" t="s">
        <v>28321</v>
      </c>
      <c r="BB2815" s="3" t="s">
        <v>28322</v>
      </c>
      <c r="BC2815" s="3" t="s">
        <v>77</v>
      </c>
      <c r="BD2815" s="3" t="s">
        <v>78</v>
      </c>
      <c r="BE2815" s="3" t="s">
        <v>28323</v>
      </c>
      <c r="BF2815" s="3" t="s">
        <v>28322</v>
      </c>
      <c r="BG2815" s="3" t="s">
        <v>28324</v>
      </c>
      <c r="BH2815">
        <f t="shared" si="67"/>
        <v>0</v>
      </c>
    </row>
    <row r="2816" spans="1:60" ht="58" x14ac:dyDescent="0.35">
      <c r="A2816" s="2" t="s">
        <v>59</v>
      </c>
      <c r="B2816" s="2" t="s">
        <v>60</v>
      </c>
      <c r="C2816" s="2" t="s">
        <v>28325</v>
      </c>
      <c r="D2816" s="2" t="s">
        <v>28326</v>
      </c>
      <c r="E2816" s="2" t="s">
        <v>28327</v>
      </c>
      <c r="G2816" s="3" t="s">
        <v>64</v>
      </c>
      <c r="I2816" s="3" t="s">
        <v>64</v>
      </c>
      <c r="J2816" s="3" t="s">
        <v>64</v>
      </c>
      <c r="K2816" s="3" t="s">
        <v>65</v>
      </c>
      <c r="M2816" s="2" t="s">
        <v>28328</v>
      </c>
      <c r="N2816" s="3" t="s">
        <v>1075</v>
      </c>
      <c r="P2816" s="3" t="s">
        <v>102</v>
      </c>
      <c r="R2816" s="3" t="s">
        <v>70</v>
      </c>
      <c r="S2816" s="4">
        <v>0</v>
      </c>
      <c r="T2816" s="4">
        <v>0</v>
      </c>
      <c r="W2816" s="5" t="s">
        <v>72</v>
      </c>
      <c r="X2816" s="5" t="s">
        <v>72</v>
      </c>
      <c r="Y2816" s="4">
        <v>30</v>
      </c>
      <c r="Z2816" s="4">
        <v>3</v>
      </c>
      <c r="AA2816" s="4">
        <v>4</v>
      </c>
      <c r="AB2816" s="4">
        <v>1</v>
      </c>
      <c r="AC2816" s="4">
        <v>2</v>
      </c>
      <c r="AD2816" s="4">
        <v>11</v>
      </c>
      <c r="AE2816" s="4">
        <v>11</v>
      </c>
      <c r="AF2816" s="4">
        <v>0</v>
      </c>
      <c r="AG2816" s="4">
        <v>0</v>
      </c>
      <c r="AH2816" s="4">
        <v>10</v>
      </c>
      <c r="AI2816" s="4">
        <v>10</v>
      </c>
      <c r="AJ2816" s="4">
        <v>2</v>
      </c>
      <c r="AK2816" s="4">
        <v>2</v>
      </c>
      <c r="AL2816" s="4">
        <v>5</v>
      </c>
      <c r="AM2816" s="4">
        <v>5</v>
      </c>
      <c r="AN2816" s="4">
        <v>0</v>
      </c>
      <c r="AO2816" s="4">
        <v>0</v>
      </c>
      <c r="AP2816" s="4">
        <v>2</v>
      </c>
      <c r="AQ2816" s="4">
        <v>2</v>
      </c>
      <c r="AR2816" s="3" t="s">
        <v>64</v>
      </c>
      <c r="AS2816" s="3" t="s">
        <v>64</v>
      </c>
      <c r="AT2816" s="3" t="s">
        <v>64</v>
      </c>
      <c r="AV2816" s="6" t="str">
        <f>HYPERLINK("http://mcgill.on.worldcat.org/oclc/861324281","Catalog Record")</f>
        <v>Catalog Record</v>
      </c>
      <c r="AW2816" s="6" t="str">
        <f>HYPERLINK("http://www.worldcat.org/oclc/861324281","WorldCat Record")</f>
        <v>WorldCat Record</v>
      </c>
      <c r="AX2816" s="3" t="s">
        <v>28329</v>
      </c>
      <c r="AY2816" s="3" t="s">
        <v>28330</v>
      </c>
      <c r="AZ2816" s="3" t="s">
        <v>28331</v>
      </c>
      <c r="BA2816" s="3" t="s">
        <v>28331</v>
      </c>
      <c r="BB2816" s="3" t="s">
        <v>28332</v>
      </c>
      <c r="BC2816" s="3" t="s">
        <v>77</v>
      </c>
      <c r="BD2816" s="3" t="s">
        <v>78</v>
      </c>
      <c r="BE2816" s="3" t="s">
        <v>28333</v>
      </c>
      <c r="BF2816" s="3" t="s">
        <v>28332</v>
      </c>
      <c r="BG2816" s="3" t="s">
        <v>28334</v>
      </c>
      <c r="BH2816">
        <f t="shared" si="67"/>
        <v>0</v>
      </c>
    </row>
    <row r="2817" spans="1:60" ht="58" x14ac:dyDescent="0.35">
      <c r="A2817" s="2" t="s">
        <v>59</v>
      </c>
      <c r="B2817" s="2" t="s">
        <v>60</v>
      </c>
      <c r="C2817" s="2" t="s">
        <v>28335</v>
      </c>
      <c r="D2817" s="2" t="s">
        <v>28336</v>
      </c>
      <c r="E2817" s="2" t="s">
        <v>28337</v>
      </c>
      <c r="G2817" s="3" t="s">
        <v>64</v>
      </c>
      <c r="I2817" s="3" t="s">
        <v>128</v>
      </c>
      <c r="J2817" s="3" t="s">
        <v>128</v>
      </c>
      <c r="K2817" s="3" t="s">
        <v>65</v>
      </c>
      <c r="L2817" s="2" t="s">
        <v>21312</v>
      </c>
      <c r="M2817" s="2" t="s">
        <v>25719</v>
      </c>
      <c r="N2817" s="3" t="s">
        <v>898</v>
      </c>
      <c r="P2817" s="3" t="s">
        <v>102</v>
      </c>
      <c r="R2817" s="3" t="s">
        <v>70</v>
      </c>
      <c r="S2817" s="4">
        <v>14</v>
      </c>
      <c r="T2817" s="4">
        <v>14</v>
      </c>
      <c r="U2817" s="5" t="s">
        <v>14431</v>
      </c>
      <c r="V2817" s="5" t="s">
        <v>14431</v>
      </c>
      <c r="W2817" s="5" t="s">
        <v>72</v>
      </c>
      <c r="X2817" s="5" t="s">
        <v>72</v>
      </c>
      <c r="Y2817" s="4">
        <v>902</v>
      </c>
      <c r="Z2817" s="4">
        <v>44</v>
      </c>
      <c r="AA2817" s="4">
        <v>55</v>
      </c>
      <c r="AB2817" s="4">
        <v>2</v>
      </c>
      <c r="AC2817" s="4">
        <v>6</v>
      </c>
      <c r="AD2817" s="4">
        <v>129</v>
      </c>
      <c r="AE2817" s="4">
        <v>141</v>
      </c>
      <c r="AF2817" s="4">
        <v>0</v>
      </c>
      <c r="AG2817" s="4">
        <v>3</v>
      </c>
      <c r="AH2817" s="4">
        <v>109</v>
      </c>
      <c r="AI2817" s="4">
        <v>116</v>
      </c>
      <c r="AJ2817" s="4">
        <v>16</v>
      </c>
      <c r="AK2817" s="4">
        <v>20</v>
      </c>
      <c r="AL2817" s="4">
        <v>58</v>
      </c>
      <c r="AM2817" s="4">
        <v>61</v>
      </c>
      <c r="AN2817" s="4">
        <v>0</v>
      </c>
      <c r="AO2817" s="4">
        <v>0</v>
      </c>
      <c r="AP2817" s="4">
        <v>24</v>
      </c>
      <c r="AQ2817" s="4">
        <v>29</v>
      </c>
      <c r="AR2817" s="3" t="s">
        <v>64</v>
      </c>
      <c r="AS2817" s="3" t="s">
        <v>64</v>
      </c>
      <c r="AT2817" s="3" t="s">
        <v>128</v>
      </c>
      <c r="AU2817" s="6" t="str">
        <f>HYPERLINK("http://catalog.hathitrust.org/Record/000712164","HathiTrust Record")</f>
        <v>HathiTrust Record</v>
      </c>
      <c r="AV2817" s="6" t="str">
        <f>HYPERLINK("http://mcgill.on.worldcat.org/oclc/6085917","Catalog Record")</f>
        <v>Catalog Record</v>
      </c>
      <c r="AW2817" s="6" t="str">
        <f>HYPERLINK("http://www.worldcat.org/oclc/6085917","WorldCat Record")</f>
        <v>WorldCat Record</v>
      </c>
      <c r="AX2817" s="3" t="s">
        <v>28338</v>
      </c>
      <c r="AY2817" s="3" t="s">
        <v>28339</v>
      </c>
      <c r="AZ2817" s="3" t="s">
        <v>28340</v>
      </c>
      <c r="BA2817" s="3" t="s">
        <v>28340</v>
      </c>
      <c r="BB2817" s="3" t="s">
        <v>28341</v>
      </c>
      <c r="BC2817" s="3" t="s">
        <v>77</v>
      </c>
      <c r="BD2817" s="3" t="s">
        <v>78</v>
      </c>
      <c r="BE2817" s="3" t="s">
        <v>28342</v>
      </c>
      <c r="BF2817" s="3" t="s">
        <v>28341</v>
      </c>
      <c r="BG2817" s="3" t="s">
        <v>28343</v>
      </c>
      <c r="BH2817">
        <f t="shared" si="67"/>
        <v>0</v>
      </c>
    </row>
    <row r="2818" spans="1:60" ht="58" x14ac:dyDescent="0.35">
      <c r="A2818" s="2" t="s">
        <v>59</v>
      </c>
      <c r="B2818" s="2" t="s">
        <v>60</v>
      </c>
      <c r="C2818" s="2" t="s">
        <v>28344</v>
      </c>
      <c r="D2818" s="2" t="s">
        <v>28345</v>
      </c>
      <c r="E2818" s="2" t="s">
        <v>28337</v>
      </c>
      <c r="G2818" s="3" t="s">
        <v>64</v>
      </c>
      <c r="I2818" s="3" t="s">
        <v>64</v>
      </c>
      <c r="J2818" s="3" t="s">
        <v>128</v>
      </c>
      <c r="K2818" s="3" t="s">
        <v>65</v>
      </c>
      <c r="L2818" s="2" t="s">
        <v>21312</v>
      </c>
      <c r="M2818" s="2" t="s">
        <v>28346</v>
      </c>
      <c r="N2818" s="3" t="s">
        <v>3428</v>
      </c>
      <c r="O2818" s="2" t="s">
        <v>172</v>
      </c>
      <c r="P2818" s="3" t="s">
        <v>102</v>
      </c>
      <c r="R2818" s="3" t="s">
        <v>70</v>
      </c>
      <c r="S2818" s="4">
        <v>20</v>
      </c>
      <c r="T2818" s="4">
        <v>20</v>
      </c>
      <c r="U2818" s="5" t="s">
        <v>28053</v>
      </c>
      <c r="V2818" s="5" t="s">
        <v>28053</v>
      </c>
      <c r="W2818" s="5" t="s">
        <v>72</v>
      </c>
      <c r="X2818" s="5" t="s">
        <v>72</v>
      </c>
      <c r="Y2818" s="4">
        <v>469</v>
      </c>
      <c r="Z2818" s="4">
        <v>16</v>
      </c>
      <c r="AA2818" s="4">
        <v>55</v>
      </c>
      <c r="AB2818" s="4">
        <v>1</v>
      </c>
      <c r="AC2818" s="4">
        <v>6</v>
      </c>
      <c r="AD2818" s="4">
        <v>83</v>
      </c>
      <c r="AE2818" s="4">
        <v>141</v>
      </c>
      <c r="AF2818" s="4">
        <v>0</v>
      </c>
      <c r="AG2818" s="4">
        <v>3</v>
      </c>
      <c r="AH2818" s="4">
        <v>77</v>
      </c>
      <c r="AI2818" s="4">
        <v>116</v>
      </c>
      <c r="AJ2818" s="4">
        <v>9</v>
      </c>
      <c r="AK2818" s="4">
        <v>20</v>
      </c>
      <c r="AL2818" s="4">
        <v>40</v>
      </c>
      <c r="AM2818" s="4">
        <v>61</v>
      </c>
      <c r="AN2818" s="4">
        <v>0</v>
      </c>
      <c r="AO2818" s="4">
        <v>0</v>
      </c>
      <c r="AP2818" s="4">
        <v>9</v>
      </c>
      <c r="AQ2818" s="4">
        <v>29</v>
      </c>
      <c r="AR2818" s="3" t="s">
        <v>64</v>
      </c>
      <c r="AS2818" s="3" t="s">
        <v>64</v>
      </c>
      <c r="AT2818" s="3" t="s">
        <v>128</v>
      </c>
      <c r="AU2818" s="6" t="str">
        <f>HYPERLINK("http://catalog.hathitrust.org/Record/002972858","HathiTrust Record")</f>
        <v>HathiTrust Record</v>
      </c>
      <c r="AV2818" s="6" t="str">
        <f>HYPERLINK("http://mcgill.on.worldcat.org/oclc/30437466","Catalog Record")</f>
        <v>Catalog Record</v>
      </c>
      <c r="AW2818" s="6" t="str">
        <f>HYPERLINK("http://www.worldcat.org/oclc/30437466","WorldCat Record")</f>
        <v>WorldCat Record</v>
      </c>
      <c r="AX2818" s="3" t="s">
        <v>28338</v>
      </c>
      <c r="AY2818" s="3" t="s">
        <v>28347</v>
      </c>
      <c r="AZ2818" s="3" t="s">
        <v>28348</v>
      </c>
      <c r="BA2818" s="3" t="s">
        <v>28348</v>
      </c>
      <c r="BB2818" s="3" t="s">
        <v>28349</v>
      </c>
      <c r="BC2818" s="3" t="s">
        <v>77</v>
      </c>
      <c r="BD2818" s="3" t="s">
        <v>78</v>
      </c>
      <c r="BE2818" s="3" t="s">
        <v>28350</v>
      </c>
      <c r="BF2818" s="3" t="s">
        <v>28349</v>
      </c>
      <c r="BG2818" s="3" t="s">
        <v>28351</v>
      </c>
      <c r="BH2818">
        <f t="shared" ref="BH2818:BH2881" si="68">IF(COUNTIF($BF$1:$BF$5431,BF2818)=1,0,1)</f>
        <v>0</v>
      </c>
    </row>
    <row r="2819" spans="1:60" ht="72.5" x14ac:dyDescent="0.35">
      <c r="A2819" s="2" t="s">
        <v>59</v>
      </c>
      <c r="B2819" s="2" t="s">
        <v>60</v>
      </c>
      <c r="C2819" s="2" t="s">
        <v>28352</v>
      </c>
      <c r="D2819" s="2" t="s">
        <v>28353</v>
      </c>
      <c r="E2819" s="2" t="s">
        <v>28354</v>
      </c>
      <c r="G2819" s="3" t="s">
        <v>64</v>
      </c>
      <c r="I2819" s="3" t="s">
        <v>64</v>
      </c>
      <c r="J2819" s="3" t="s">
        <v>64</v>
      </c>
      <c r="K2819" s="3" t="s">
        <v>65</v>
      </c>
      <c r="L2819" s="2" t="s">
        <v>28355</v>
      </c>
      <c r="M2819" s="2" t="s">
        <v>28356</v>
      </c>
      <c r="N2819" s="3" t="s">
        <v>1615</v>
      </c>
      <c r="P2819" s="3" t="s">
        <v>102</v>
      </c>
      <c r="R2819" s="3" t="s">
        <v>70</v>
      </c>
      <c r="S2819" s="4">
        <v>14</v>
      </c>
      <c r="T2819" s="4">
        <v>14</v>
      </c>
      <c r="U2819" s="5" t="s">
        <v>9239</v>
      </c>
      <c r="V2819" s="5" t="s">
        <v>9239</v>
      </c>
      <c r="W2819" s="5" t="s">
        <v>72</v>
      </c>
      <c r="X2819" s="5" t="s">
        <v>72</v>
      </c>
      <c r="Y2819" s="4">
        <v>309</v>
      </c>
      <c r="Z2819" s="4">
        <v>19</v>
      </c>
      <c r="AA2819" s="4">
        <v>23</v>
      </c>
      <c r="AB2819" s="4">
        <v>2</v>
      </c>
      <c r="AC2819" s="4">
        <v>4</v>
      </c>
      <c r="AD2819" s="4">
        <v>95</v>
      </c>
      <c r="AE2819" s="4">
        <v>101</v>
      </c>
      <c r="AF2819" s="4">
        <v>1</v>
      </c>
      <c r="AG2819" s="4">
        <v>3</v>
      </c>
      <c r="AH2819" s="4">
        <v>87</v>
      </c>
      <c r="AI2819" s="4">
        <v>91</v>
      </c>
      <c r="AJ2819" s="4">
        <v>12</v>
      </c>
      <c r="AK2819" s="4">
        <v>15</v>
      </c>
      <c r="AL2819" s="4">
        <v>47</v>
      </c>
      <c r="AM2819" s="4">
        <v>49</v>
      </c>
      <c r="AN2819" s="4">
        <v>0</v>
      </c>
      <c r="AO2819" s="4">
        <v>0</v>
      </c>
      <c r="AP2819" s="4">
        <v>13</v>
      </c>
      <c r="AQ2819" s="4">
        <v>14</v>
      </c>
      <c r="AR2819" s="3" t="s">
        <v>64</v>
      </c>
      <c r="AS2819" s="3" t="s">
        <v>64</v>
      </c>
      <c r="AT2819" s="3" t="s">
        <v>128</v>
      </c>
      <c r="AU2819" s="6" t="str">
        <f>HYPERLINK("http://catalog.hathitrust.org/Record/003115683","HathiTrust Record")</f>
        <v>HathiTrust Record</v>
      </c>
      <c r="AV2819" s="6" t="str">
        <f>HYPERLINK("http://mcgill.on.worldcat.org/oclc/34985577","Catalog Record")</f>
        <v>Catalog Record</v>
      </c>
      <c r="AW2819" s="6" t="str">
        <f>HYPERLINK("http://www.worldcat.org/oclc/34985577","WorldCat Record")</f>
        <v>WorldCat Record</v>
      </c>
      <c r="AX2819" s="3" t="s">
        <v>28357</v>
      </c>
      <c r="AY2819" s="3" t="s">
        <v>28358</v>
      </c>
      <c r="AZ2819" s="3" t="s">
        <v>28359</v>
      </c>
      <c r="BA2819" s="3" t="s">
        <v>28359</v>
      </c>
      <c r="BB2819" s="3" t="s">
        <v>28360</v>
      </c>
      <c r="BC2819" s="3" t="s">
        <v>77</v>
      </c>
      <c r="BD2819" s="3" t="s">
        <v>78</v>
      </c>
      <c r="BE2819" s="3" t="s">
        <v>28361</v>
      </c>
      <c r="BF2819" s="3" t="s">
        <v>28360</v>
      </c>
      <c r="BG2819" s="3" t="s">
        <v>28362</v>
      </c>
      <c r="BH2819">
        <f t="shared" si="68"/>
        <v>0</v>
      </c>
    </row>
    <row r="2820" spans="1:60" ht="58" x14ac:dyDescent="0.35">
      <c r="A2820" s="2" t="s">
        <v>59</v>
      </c>
      <c r="B2820" s="2" t="s">
        <v>60</v>
      </c>
      <c r="C2820" s="2" t="s">
        <v>28363</v>
      </c>
      <c r="D2820" s="2" t="s">
        <v>28364</v>
      </c>
      <c r="E2820" s="2" t="s">
        <v>28365</v>
      </c>
      <c r="G2820" s="3" t="s">
        <v>64</v>
      </c>
      <c r="I2820" s="3" t="s">
        <v>64</v>
      </c>
      <c r="J2820" s="3" t="s">
        <v>64</v>
      </c>
      <c r="K2820" s="3" t="s">
        <v>65</v>
      </c>
      <c r="L2820" s="2" t="s">
        <v>28366</v>
      </c>
      <c r="M2820" s="2" t="s">
        <v>28367</v>
      </c>
      <c r="N2820" s="3" t="s">
        <v>116</v>
      </c>
      <c r="P2820" s="3" t="s">
        <v>102</v>
      </c>
      <c r="R2820" s="3" t="s">
        <v>70</v>
      </c>
      <c r="S2820" s="4">
        <v>1</v>
      </c>
      <c r="T2820" s="4">
        <v>1</v>
      </c>
      <c r="U2820" s="5" t="s">
        <v>28072</v>
      </c>
      <c r="V2820" s="5" t="s">
        <v>28072</v>
      </c>
      <c r="W2820" s="5" t="s">
        <v>72</v>
      </c>
      <c r="X2820" s="5" t="s">
        <v>72</v>
      </c>
      <c r="Y2820" s="4">
        <v>244</v>
      </c>
      <c r="Z2820" s="4">
        <v>12</v>
      </c>
      <c r="AA2820" s="4">
        <v>13</v>
      </c>
      <c r="AB2820" s="4">
        <v>1</v>
      </c>
      <c r="AC2820" s="4">
        <v>1</v>
      </c>
      <c r="AD2820" s="4">
        <v>84</v>
      </c>
      <c r="AE2820" s="4">
        <v>85</v>
      </c>
      <c r="AF2820" s="4">
        <v>0</v>
      </c>
      <c r="AG2820" s="4">
        <v>0</v>
      </c>
      <c r="AH2820" s="4">
        <v>80</v>
      </c>
      <c r="AI2820" s="4">
        <v>81</v>
      </c>
      <c r="AJ2820" s="4">
        <v>7</v>
      </c>
      <c r="AK2820" s="4">
        <v>8</v>
      </c>
      <c r="AL2820" s="4">
        <v>47</v>
      </c>
      <c r="AM2820" s="4">
        <v>47</v>
      </c>
      <c r="AN2820" s="4">
        <v>0</v>
      </c>
      <c r="AO2820" s="4">
        <v>0</v>
      </c>
      <c r="AP2820" s="4">
        <v>7</v>
      </c>
      <c r="AQ2820" s="4">
        <v>8</v>
      </c>
      <c r="AR2820" s="3" t="s">
        <v>64</v>
      </c>
      <c r="AS2820" s="3" t="s">
        <v>64</v>
      </c>
      <c r="AT2820" s="3" t="s">
        <v>64</v>
      </c>
      <c r="AV2820" s="6" t="str">
        <f>HYPERLINK("http://mcgill.on.worldcat.org/oclc/42680309","Catalog Record")</f>
        <v>Catalog Record</v>
      </c>
      <c r="AW2820" s="6" t="str">
        <f>HYPERLINK("http://www.worldcat.org/oclc/42680309","WorldCat Record")</f>
        <v>WorldCat Record</v>
      </c>
      <c r="AX2820" s="3" t="s">
        <v>28368</v>
      </c>
      <c r="AY2820" s="3" t="s">
        <v>28369</v>
      </c>
      <c r="AZ2820" s="3" t="s">
        <v>28370</v>
      </c>
      <c r="BA2820" s="3" t="s">
        <v>28370</v>
      </c>
      <c r="BB2820" s="3" t="s">
        <v>28371</v>
      </c>
      <c r="BC2820" s="3" t="s">
        <v>77</v>
      </c>
      <c r="BD2820" s="3" t="s">
        <v>78</v>
      </c>
      <c r="BE2820" s="3" t="s">
        <v>28372</v>
      </c>
      <c r="BF2820" s="3" t="s">
        <v>28371</v>
      </c>
      <c r="BG2820" s="3" t="s">
        <v>28373</v>
      </c>
      <c r="BH2820">
        <f t="shared" si="68"/>
        <v>0</v>
      </c>
    </row>
    <row r="2821" spans="1:60" ht="58" x14ac:dyDescent="0.35">
      <c r="A2821" s="2" t="s">
        <v>59</v>
      </c>
      <c r="B2821" s="2" t="s">
        <v>60</v>
      </c>
      <c r="C2821" s="2" t="s">
        <v>28374</v>
      </c>
      <c r="D2821" s="2" t="s">
        <v>28375</v>
      </c>
      <c r="E2821" s="2" t="s">
        <v>28376</v>
      </c>
      <c r="G2821" s="3" t="s">
        <v>64</v>
      </c>
      <c r="I2821" s="3" t="s">
        <v>64</v>
      </c>
      <c r="J2821" s="3" t="s">
        <v>64</v>
      </c>
      <c r="K2821" s="3" t="s">
        <v>65</v>
      </c>
      <c r="M2821" s="2" t="s">
        <v>28377</v>
      </c>
      <c r="N2821" s="3" t="s">
        <v>1263</v>
      </c>
      <c r="P2821" s="3" t="s">
        <v>102</v>
      </c>
      <c r="R2821" s="3" t="s">
        <v>70</v>
      </c>
      <c r="S2821" s="4">
        <v>18</v>
      </c>
      <c r="T2821" s="4">
        <v>18</v>
      </c>
      <c r="U2821" s="5" t="s">
        <v>9239</v>
      </c>
      <c r="V2821" s="5" t="s">
        <v>9239</v>
      </c>
      <c r="W2821" s="5" t="s">
        <v>72</v>
      </c>
      <c r="X2821" s="5" t="s">
        <v>72</v>
      </c>
      <c r="Y2821" s="4">
        <v>381</v>
      </c>
      <c r="Z2821" s="4">
        <v>20</v>
      </c>
      <c r="AA2821" s="4">
        <v>23</v>
      </c>
      <c r="AB2821" s="4">
        <v>2</v>
      </c>
      <c r="AC2821" s="4">
        <v>5</v>
      </c>
      <c r="AD2821" s="4">
        <v>99</v>
      </c>
      <c r="AE2821" s="4">
        <v>102</v>
      </c>
      <c r="AF2821" s="4">
        <v>0</v>
      </c>
      <c r="AG2821" s="4">
        <v>3</v>
      </c>
      <c r="AH2821" s="4">
        <v>92</v>
      </c>
      <c r="AI2821" s="4">
        <v>93</v>
      </c>
      <c r="AJ2821" s="4">
        <v>11</v>
      </c>
      <c r="AK2821" s="4">
        <v>14</v>
      </c>
      <c r="AL2821" s="4">
        <v>49</v>
      </c>
      <c r="AM2821" s="4">
        <v>49</v>
      </c>
      <c r="AN2821" s="4">
        <v>0</v>
      </c>
      <c r="AO2821" s="4">
        <v>0</v>
      </c>
      <c r="AP2821" s="4">
        <v>10</v>
      </c>
      <c r="AQ2821" s="4">
        <v>12</v>
      </c>
      <c r="AR2821" s="3" t="s">
        <v>64</v>
      </c>
      <c r="AS2821" s="3" t="s">
        <v>64</v>
      </c>
      <c r="AT2821" s="3" t="s">
        <v>128</v>
      </c>
      <c r="AU2821" s="6" t="str">
        <f>HYPERLINK("http://catalog.hathitrust.org/Record/002714390","HathiTrust Record")</f>
        <v>HathiTrust Record</v>
      </c>
      <c r="AV2821" s="6" t="str">
        <f>HYPERLINK("http://mcgill.on.worldcat.org/oclc/27011721","Catalog Record")</f>
        <v>Catalog Record</v>
      </c>
      <c r="AW2821" s="6" t="str">
        <f>HYPERLINK("http://www.worldcat.org/oclc/27011721","WorldCat Record")</f>
        <v>WorldCat Record</v>
      </c>
      <c r="AX2821" s="3" t="s">
        <v>28378</v>
      </c>
      <c r="AY2821" s="3" t="s">
        <v>28379</v>
      </c>
      <c r="AZ2821" s="3" t="s">
        <v>28380</v>
      </c>
      <c r="BA2821" s="3" t="s">
        <v>28380</v>
      </c>
      <c r="BB2821" s="3" t="s">
        <v>28381</v>
      </c>
      <c r="BC2821" s="3" t="s">
        <v>77</v>
      </c>
      <c r="BD2821" s="3" t="s">
        <v>78</v>
      </c>
      <c r="BE2821" s="3" t="s">
        <v>28382</v>
      </c>
      <c r="BF2821" s="3" t="s">
        <v>28381</v>
      </c>
      <c r="BG2821" s="3" t="s">
        <v>28383</v>
      </c>
      <c r="BH2821">
        <f t="shared" si="68"/>
        <v>0</v>
      </c>
    </row>
    <row r="2822" spans="1:60" ht="58" x14ac:dyDescent="0.35">
      <c r="A2822" s="2" t="s">
        <v>59</v>
      </c>
      <c r="B2822" s="2" t="s">
        <v>60</v>
      </c>
      <c r="C2822" s="2" t="s">
        <v>28384</v>
      </c>
      <c r="D2822" s="2" t="s">
        <v>28385</v>
      </c>
      <c r="E2822" s="2" t="s">
        <v>28386</v>
      </c>
      <c r="G2822" s="3" t="s">
        <v>64</v>
      </c>
      <c r="I2822" s="3" t="s">
        <v>64</v>
      </c>
      <c r="J2822" s="3" t="s">
        <v>64</v>
      </c>
      <c r="K2822" s="3" t="s">
        <v>65</v>
      </c>
      <c r="L2822" s="2" t="s">
        <v>28387</v>
      </c>
      <c r="M2822" s="2" t="s">
        <v>28388</v>
      </c>
      <c r="N2822" s="3" t="s">
        <v>1075</v>
      </c>
      <c r="P2822" s="3" t="s">
        <v>102</v>
      </c>
      <c r="R2822" s="3" t="s">
        <v>70</v>
      </c>
      <c r="S2822" s="4">
        <v>3</v>
      </c>
      <c r="T2822" s="4">
        <v>3</v>
      </c>
      <c r="U2822" s="5" t="s">
        <v>9239</v>
      </c>
      <c r="V2822" s="5" t="s">
        <v>9239</v>
      </c>
      <c r="W2822" s="5" t="s">
        <v>72</v>
      </c>
      <c r="X2822" s="5" t="s">
        <v>72</v>
      </c>
      <c r="Y2822" s="4">
        <v>135</v>
      </c>
      <c r="Z2822" s="4">
        <v>8</v>
      </c>
      <c r="AA2822" s="4">
        <v>89</v>
      </c>
      <c r="AB2822" s="4">
        <v>1</v>
      </c>
      <c r="AC2822" s="4">
        <v>15</v>
      </c>
      <c r="AD2822" s="4">
        <v>6</v>
      </c>
      <c r="AE2822" s="4">
        <v>110</v>
      </c>
      <c r="AF2822" s="4">
        <v>0</v>
      </c>
      <c r="AG2822" s="4">
        <v>8</v>
      </c>
      <c r="AH2822" s="4">
        <v>3</v>
      </c>
      <c r="AI2822" s="4">
        <v>78</v>
      </c>
      <c r="AJ2822" s="4">
        <v>2</v>
      </c>
      <c r="AK2822" s="4">
        <v>19</v>
      </c>
      <c r="AL2822" s="4">
        <v>4</v>
      </c>
      <c r="AM2822" s="4">
        <v>40</v>
      </c>
      <c r="AN2822" s="4">
        <v>0</v>
      </c>
      <c r="AO2822" s="4">
        <v>0</v>
      </c>
      <c r="AP2822" s="4">
        <v>3</v>
      </c>
      <c r="AQ2822" s="4">
        <v>39</v>
      </c>
      <c r="AR2822" s="3" t="s">
        <v>64</v>
      </c>
      <c r="AS2822" s="3" t="s">
        <v>64</v>
      </c>
      <c r="AT2822" s="3" t="s">
        <v>64</v>
      </c>
      <c r="AV2822" s="6" t="str">
        <f>HYPERLINK("http://mcgill.on.worldcat.org/oclc/843146781","Catalog Record")</f>
        <v>Catalog Record</v>
      </c>
      <c r="AW2822" s="6" t="str">
        <f>HYPERLINK("http://www.worldcat.org/oclc/843146781","WorldCat Record")</f>
        <v>WorldCat Record</v>
      </c>
      <c r="AX2822" s="3" t="s">
        <v>28389</v>
      </c>
      <c r="AY2822" s="3" t="s">
        <v>28390</v>
      </c>
      <c r="AZ2822" s="3" t="s">
        <v>28391</v>
      </c>
      <c r="BA2822" s="3" t="s">
        <v>28391</v>
      </c>
      <c r="BB2822" s="3" t="s">
        <v>28392</v>
      </c>
      <c r="BC2822" s="3" t="s">
        <v>77</v>
      </c>
      <c r="BD2822" s="3" t="s">
        <v>165</v>
      </c>
      <c r="BE2822" s="3" t="s">
        <v>28393</v>
      </c>
      <c r="BF2822" s="3" t="s">
        <v>28392</v>
      </c>
      <c r="BG2822" s="3" t="s">
        <v>28394</v>
      </c>
      <c r="BH2822">
        <f t="shared" si="68"/>
        <v>0</v>
      </c>
    </row>
    <row r="2823" spans="1:60" ht="58" x14ac:dyDescent="0.35">
      <c r="A2823" s="2" t="s">
        <v>59</v>
      </c>
      <c r="B2823" s="2" t="s">
        <v>60</v>
      </c>
      <c r="C2823" s="2" t="s">
        <v>28395</v>
      </c>
      <c r="D2823" s="2" t="s">
        <v>28396</v>
      </c>
      <c r="E2823" s="2" t="s">
        <v>28397</v>
      </c>
      <c r="G2823" s="3" t="s">
        <v>64</v>
      </c>
      <c r="I2823" s="3" t="s">
        <v>64</v>
      </c>
      <c r="J2823" s="3" t="s">
        <v>64</v>
      </c>
      <c r="K2823" s="3" t="s">
        <v>65</v>
      </c>
      <c r="L2823" s="2" t="s">
        <v>28398</v>
      </c>
      <c r="M2823" s="2" t="s">
        <v>28399</v>
      </c>
      <c r="N2823" s="3" t="s">
        <v>159</v>
      </c>
      <c r="P2823" s="3" t="s">
        <v>102</v>
      </c>
      <c r="R2823" s="3" t="s">
        <v>70</v>
      </c>
      <c r="S2823" s="4">
        <v>16</v>
      </c>
      <c r="T2823" s="4">
        <v>16</v>
      </c>
      <c r="U2823" s="5" t="s">
        <v>9239</v>
      </c>
      <c r="V2823" s="5" t="s">
        <v>9239</v>
      </c>
      <c r="W2823" s="5" t="s">
        <v>72</v>
      </c>
      <c r="X2823" s="5" t="s">
        <v>72</v>
      </c>
      <c r="Y2823" s="4">
        <v>36</v>
      </c>
      <c r="Z2823" s="4">
        <v>4</v>
      </c>
      <c r="AA2823" s="4">
        <v>12</v>
      </c>
      <c r="AB2823" s="4">
        <v>1</v>
      </c>
      <c r="AC2823" s="4">
        <v>2</v>
      </c>
      <c r="AD2823" s="4">
        <v>12</v>
      </c>
      <c r="AE2823" s="4">
        <v>44</v>
      </c>
      <c r="AF2823" s="4">
        <v>0</v>
      </c>
      <c r="AG2823" s="4">
        <v>1</v>
      </c>
      <c r="AH2823" s="4">
        <v>12</v>
      </c>
      <c r="AI2823" s="4">
        <v>41</v>
      </c>
      <c r="AJ2823" s="4">
        <v>0</v>
      </c>
      <c r="AK2823" s="4">
        <v>6</v>
      </c>
      <c r="AL2823" s="4">
        <v>6</v>
      </c>
      <c r="AM2823" s="4">
        <v>20</v>
      </c>
      <c r="AN2823" s="4">
        <v>0</v>
      </c>
      <c r="AO2823" s="4">
        <v>0</v>
      </c>
      <c r="AP2823" s="4">
        <v>0</v>
      </c>
      <c r="AQ2823" s="4">
        <v>4</v>
      </c>
      <c r="AR2823" s="3" t="s">
        <v>64</v>
      </c>
      <c r="AS2823" s="3" t="s">
        <v>64</v>
      </c>
      <c r="AT2823" s="3" t="s">
        <v>128</v>
      </c>
      <c r="AU2823" s="6" t="str">
        <f>HYPERLINK("http://catalog.hathitrust.org/Record/003817371","HathiTrust Record")</f>
        <v>HathiTrust Record</v>
      </c>
      <c r="AV2823" s="6" t="str">
        <f>HYPERLINK("http://mcgill.on.worldcat.org/oclc/50484427","Catalog Record")</f>
        <v>Catalog Record</v>
      </c>
      <c r="AW2823" s="6" t="str">
        <f>HYPERLINK("http://www.worldcat.org/oclc/50484427","WorldCat Record")</f>
        <v>WorldCat Record</v>
      </c>
      <c r="AX2823" s="3" t="s">
        <v>28400</v>
      </c>
      <c r="AY2823" s="3" t="s">
        <v>28401</v>
      </c>
      <c r="AZ2823" s="3" t="s">
        <v>28402</v>
      </c>
      <c r="BA2823" s="3" t="s">
        <v>28402</v>
      </c>
      <c r="BB2823" s="3" t="s">
        <v>28403</v>
      </c>
      <c r="BC2823" s="3" t="s">
        <v>77</v>
      </c>
      <c r="BD2823" s="3" t="s">
        <v>78</v>
      </c>
      <c r="BE2823" s="3" t="s">
        <v>28404</v>
      </c>
      <c r="BF2823" s="3" t="s">
        <v>28403</v>
      </c>
      <c r="BG2823" s="3" t="s">
        <v>28405</v>
      </c>
      <c r="BH2823">
        <f t="shared" si="68"/>
        <v>0</v>
      </c>
    </row>
    <row r="2824" spans="1:60" ht="58" x14ac:dyDescent="0.35">
      <c r="A2824" s="2" t="s">
        <v>59</v>
      </c>
      <c r="B2824" s="2" t="s">
        <v>60</v>
      </c>
      <c r="C2824" s="2" t="s">
        <v>28406</v>
      </c>
      <c r="D2824" s="2" t="s">
        <v>28407</v>
      </c>
      <c r="E2824" s="2" t="s">
        <v>28408</v>
      </c>
      <c r="G2824" s="3" t="s">
        <v>64</v>
      </c>
      <c r="I2824" s="3" t="s">
        <v>64</v>
      </c>
      <c r="J2824" s="3" t="s">
        <v>64</v>
      </c>
      <c r="K2824" s="3" t="s">
        <v>65</v>
      </c>
      <c r="L2824" s="2" t="s">
        <v>28266</v>
      </c>
      <c r="M2824" s="2" t="s">
        <v>28409</v>
      </c>
      <c r="N2824" s="3" t="s">
        <v>511</v>
      </c>
      <c r="P2824" s="3" t="s">
        <v>102</v>
      </c>
      <c r="Q2824" s="2" t="s">
        <v>28410</v>
      </c>
      <c r="R2824" s="3" t="s">
        <v>70</v>
      </c>
      <c r="S2824" s="4">
        <v>11</v>
      </c>
      <c r="T2824" s="4">
        <v>11</v>
      </c>
      <c r="U2824" s="5" t="s">
        <v>9239</v>
      </c>
      <c r="V2824" s="5" t="s">
        <v>9239</v>
      </c>
      <c r="W2824" s="5" t="s">
        <v>72</v>
      </c>
      <c r="X2824" s="5" t="s">
        <v>72</v>
      </c>
      <c r="Y2824" s="4">
        <v>94</v>
      </c>
      <c r="Z2824" s="4">
        <v>2</v>
      </c>
      <c r="AA2824" s="4">
        <v>26</v>
      </c>
      <c r="AB2824" s="4">
        <v>1</v>
      </c>
      <c r="AC2824" s="4">
        <v>5</v>
      </c>
      <c r="AD2824" s="4">
        <v>2</v>
      </c>
      <c r="AE2824" s="4">
        <v>88</v>
      </c>
      <c r="AF2824" s="4">
        <v>0</v>
      </c>
      <c r="AG2824" s="4">
        <v>2</v>
      </c>
      <c r="AH2824" s="4">
        <v>2</v>
      </c>
      <c r="AI2824" s="4">
        <v>78</v>
      </c>
      <c r="AJ2824" s="4">
        <v>1</v>
      </c>
      <c r="AK2824" s="4">
        <v>17</v>
      </c>
      <c r="AL2824" s="4">
        <v>1</v>
      </c>
      <c r="AM2824" s="4">
        <v>41</v>
      </c>
      <c r="AN2824" s="4">
        <v>0</v>
      </c>
      <c r="AO2824" s="4">
        <v>0</v>
      </c>
      <c r="AP2824" s="4">
        <v>1</v>
      </c>
      <c r="AQ2824" s="4">
        <v>17</v>
      </c>
      <c r="AR2824" s="3" t="s">
        <v>64</v>
      </c>
      <c r="AS2824" s="3" t="s">
        <v>64</v>
      </c>
      <c r="AT2824" s="3" t="s">
        <v>64</v>
      </c>
      <c r="AV2824" s="6" t="str">
        <f>HYPERLINK("http://mcgill.on.worldcat.org/oclc/718479084","Catalog Record")</f>
        <v>Catalog Record</v>
      </c>
      <c r="AW2824" s="6" t="str">
        <f>HYPERLINK("http://www.worldcat.org/oclc/718479084","WorldCat Record")</f>
        <v>WorldCat Record</v>
      </c>
      <c r="AX2824" s="3" t="s">
        <v>28411</v>
      </c>
      <c r="AY2824" s="3" t="s">
        <v>28412</v>
      </c>
      <c r="AZ2824" s="3" t="s">
        <v>28413</v>
      </c>
      <c r="BA2824" s="3" t="s">
        <v>28413</v>
      </c>
      <c r="BB2824" s="3" t="s">
        <v>28414</v>
      </c>
      <c r="BC2824" s="3" t="s">
        <v>77</v>
      </c>
      <c r="BD2824" s="3" t="s">
        <v>1956</v>
      </c>
      <c r="BE2824" s="3" t="s">
        <v>28415</v>
      </c>
      <c r="BF2824" s="3" t="s">
        <v>28414</v>
      </c>
      <c r="BG2824" s="3" t="s">
        <v>28416</v>
      </c>
      <c r="BH2824">
        <f t="shared" si="68"/>
        <v>0</v>
      </c>
    </row>
    <row r="2825" spans="1:60" ht="58" x14ac:dyDescent="0.35">
      <c r="A2825" s="2" t="s">
        <v>59</v>
      </c>
      <c r="B2825" s="2" t="s">
        <v>60</v>
      </c>
      <c r="C2825" s="2" t="s">
        <v>28417</v>
      </c>
      <c r="D2825" s="2" t="s">
        <v>28418</v>
      </c>
      <c r="E2825" s="2" t="s">
        <v>28419</v>
      </c>
      <c r="G2825" s="3" t="s">
        <v>64</v>
      </c>
      <c r="I2825" s="3" t="s">
        <v>64</v>
      </c>
      <c r="J2825" s="3" t="s">
        <v>64</v>
      </c>
      <c r="K2825" s="3" t="s">
        <v>65</v>
      </c>
      <c r="L2825" s="2" t="s">
        <v>28420</v>
      </c>
      <c r="M2825" s="2" t="s">
        <v>14817</v>
      </c>
      <c r="N2825" s="3" t="s">
        <v>979</v>
      </c>
      <c r="P2825" s="3" t="s">
        <v>102</v>
      </c>
      <c r="Q2825" s="2" t="s">
        <v>28421</v>
      </c>
      <c r="R2825" s="3" t="s">
        <v>70</v>
      </c>
      <c r="S2825" s="4">
        <v>20</v>
      </c>
      <c r="T2825" s="4">
        <v>20</v>
      </c>
      <c r="U2825" s="5" t="s">
        <v>9239</v>
      </c>
      <c r="V2825" s="5" t="s">
        <v>9239</v>
      </c>
      <c r="W2825" s="5" t="s">
        <v>72</v>
      </c>
      <c r="X2825" s="5" t="s">
        <v>72</v>
      </c>
      <c r="Y2825" s="4">
        <v>738</v>
      </c>
      <c r="Z2825" s="4">
        <v>27</v>
      </c>
      <c r="AA2825" s="4">
        <v>27</v>
      </c>
      <c r="AB2825" s="4">
        <v>3</v>
      </c>
      <c r="AC2825" s="4">
        <v>3</v>
      </c>
      <c r="AD2825" s="4">
        <v>108</v>
      </c>
      <c r="AE2825" s="4">
        <v>108</v>
      </c>
      <c r="AF2825" s="4">
        <v>1</v>
      </c>
      <c r="AG2825" s="4">
        <v>1</v>
      </c>
      <c r="AH2825" s="4">
        <v>98</v>
      </c>
      <c r="AI2825" s="4">
        <v>98</v>
      </c>
      <c r="AJ2825" s="4">
        <v>9</v>
      </c>
      <c r="AK2825" s="4">
        <v>9</v>
      </c>
      <c r="AL2825" s="4">
        <v>55</v>
      </c>
      <c r="AM2825" s="4">
        <v>55</v>
      </c>
      <c r="AN2825" s="4">
        <v>0</v>
      </c>
      <c r="AO2825" s="4">
        <v>0</v>
      </c>
      <c r="AP2825" s="4">
        <v>13</v>
      </c>
      <c r="AQ2825" s="4">
        <v>13</v>
      </c>
      <c r="AR2825" s="3" t="s">
        <v>64</v>
      </c>
      <c r="AS2825" s="3" t="s">
        <v>64</v>
      </c>
      <c r="AT2825" s="3" t="s">
        <v>64</v>
      </c>
      <c r="AV2825" s="6" t="str">
        <f>HYPERLINK("http://mcgill.on.worldcat.org/oclc/43662247","Catalog Record")</f>
        <v>Catalog Record</v>
      </c>
      <c r="AW2825" s="6" t="str">
        <f>HYPERLINK("http://www.worldcat.org/oclc/43662247","WorldCat Record")</f>
        <v>WorldCat Record</v>
      </c>
      <c r="AX2825" s="3" t="s">
        <v>28422</v>
      </c>
      <c r="AY2825" s="3" t="s">
        <v>28423</v>
      </c>
      <c r="AZ2825" s="3" t="s">
        <v>28424</v>
      </c>
      <c r="BA2825" s="3" t="s">
        <v>28424</v>
      </c>
      <c r="BB2825" s="3" t="s">
        <v>28425</v>
      </c>
      <c r="BC2825" s="3" t="s">
        <v>77</v>
      </c>
      <c r="BD2825" s="3" t="s">
        <v>78</v>
      </c>
      <c r="BE2825" s="3" t="s">
        <v>28426</v>
      </c>
      <c r="BF2825" s="3" t="s">
        <v>28425</v>
      </c>
      <c r="BG2825" s="3" t="s">
        <v>28427</v>
      </c>
      <c r="BH2825">
        <f t="shared" si="68"/>
        <v>0</v>
      </c>
    </row>
    <row r="2826" spans="1:60" ht="58" x14ac:dyDescent="0.35">
      <c r="A2826" s="2" t="s">
        <v>59</v>
      </c>
      <c r="B2826" s="2" t="s">
        <v>60</v>
      </c>
      <c r="C2826" s="2" t="s">
        <v>28428</v>
      </c>
      <c r="D2826" s="2" t="s">
        <v>28429</v>
      </c>
      <c r="E2826" s="2" t="s">
        <v>28430</v>
      </c>
      <c r="G2826" s="3" t="s">
        <v>64</v>
      </c>
      <c r="I2826" s="3" t="s">
        <v>64</v>
      </c>
      <c r="J2826" s="3" t="s">
        <v>128</v>
      </c>
      <c r="K2826" s="3" t="s">
        <v>65</v>
      </c>
      <c r="L2826" s="2" t="s">
        <v>28431</v>
      </c>
      <c r="M2826" s="2" t="s">
        <v>28432</v>
      </c>
      <c r="N2826" s="3" t="s">
        <v>116</v>
      </c>
      <c r="P2826" s="3" t="s">
        <v>102</v>
      </c>
      <c r="R2826" s="3" t="s">
        <v>70</v>
      </c>
      <c r="S2826" s="4">
        <v>5</v>
      </c>
      <c r="T2826" s="4">
        <v>5</v>
      </c>
      <c r="U2826" s="5" t="s">
        <v>28433</v>
      </c>
      <c r="V2826" s="5" t="s">
        <v>28433</v>
      </c>
      <c r="W2826" s="5" t="s">
        <v>72</v>
      </c>
      <c r="X2826" s="5" t="s">
        <v>72</v>
      </c>
      <c r="Y2826" s="4">
        <v>316</v>
      </c>
      <c r="Z2826" s="4">
        <v>31</v>
      </c>
      <c r="AA2826" s="4">
        <v>38</v>
      </c>
      <c r="AB2826" s="4">
        <v>6</v>
      </c>
      <c r="AC2826" s="4">
        <v>9</v>
      </c>
      <c r="AD2826" s="4">
        <v>81</v>
      </c>
      <c r="AE2826" s="4">
        <v>91</v>
      </c>
      <c r="AF2826" s="4">
        <v>1</v>
      </c>
      <c r="AG2826" s="4">
        <v>3</v>
      </c>
      <c r="AH2826" s="4">
        <v>70</v>
      </c>
      <c r="AI2826" s="4">
        <v>75</v>
      </c>
      <c r="AJ2826" s="4">
        <v>15</v>
      </c>
      <c r="AK2826" s="4">
        <v>18</v>
      </c>
      <c r="AL2826" s="4">
        <v>38</v>
      </c>
      <c r="AM2826" s="4">
        <v>41</v>
      </c>
      <c r="AN2826" s="4">
        <v>0</v>
      </c>
      <c r="AO2826" s="4">
        <v>0</v>
      </c>
      <c r="AP2826" s="4">
        <v>15</v>
      </c>
      <c r="AQ2826" s="4">
        <v>19</v>
      </c>
      <c r="AR2826" s="3" t="s">
        <v>64</v>
      </c>
      <c r="AS2826" s="3" t="s">
        <v>64</v>
      </c>
      <c r="AT2826" s="3" t="s">
        <v>128</v>
      </c>
      <c r="AU2826" s="6" t="str">
        <f>HYPERLINK("http://catalog.hathitrust.org/Record/005132656","HathiTrust Record")</f>
        <v>HathiTrust Record</v>
      </c>
      <c r="AV2826" s="6" t="str">
        <f>HYPERLINK("http://mcgill.on.worldcat.org/oclc/48617179","Catalog Record")</f>
        <v>Catalog Record</v>
      </c>
      <c r="AW2826" s="6" t="str">
        <f>HYPERLINK("http://www.worldcat.org/oclc/48617179","WorldCat Record")</f>
        <v>WorldCat Record</v>
      </c>
      <c r="AX2826" s="3" t="s">
        <v>28434</v>
      </c>
      <c r="AY2826" s="3" t="s">
        <v>28435</v>
      </c>
      <c r="AZ2826" s="3" t="s">
        <v>28436</v>
      </c>
      <c r="BA2826" s="3" t="s">
        <v>28436</v>
      </c>
      <c r="BB2826" s="3" t="s">
        <v>28437</v>
      </c>
      <c r="BC2826" s="3" t="s">
        <v>77</v>
      </c>
      <c r="BD2826" s="3" t="s">
        <v>78</v>
      </c>
      <c r="BE2826" s="3" t="s">
        <v>28438</v>
      </c>
      <c r="BF2826" s="3" t="s">
        <v>28437</v>
      </c>
      <c r="BG2826" s="3" t="s">
        <v>28439</v>
      </c>
      <c r="BH2826">
        <f t="shared" si="68"/>
        <v>0</v>
      </c>
    </row>
    <row r="2827" spans="1:60" ht="58" x14ac:dyDescent="0.35">
      <c r="A2827" s="2" t="s">
        <v>59</v>
      </c>
      <c r="B2827" s="2" t="s">
        <v>60</v>
      </c>
      <c r="C2827" s="2" t="s">
        <v>28440</v>
      </c>
      <c r="D2827" s="2" t="s">
        <v>28441</v>
      </c>
      <c r="E2827" s="2" t="s">
        <v>28430</v>
      </c>
      <c r="G2827" s="3" t="s">
        <v>64</v>
      </c>
      <c r="I2827" s="3" t="s">
        <v>64</v>
      </c>
      <c r="J2827" s="3" t="s">
        <v>128</v>
      </c>
      <c r="K2827" s="3" t="s">
        <v>65</v>
      </c>
      <c r="L2827" s="2" t="s">
        <v>28431</v>
      </c>
      <c r="M2827" s="2" t="s">
        <v>28442</v>
      </c>
      <c r="N2827" s="3" t="s">
        <v>101</v>
      </c>
      <c r="P2827" s="3" t="s">
        <v>102</v>
      </c>
      <c r="R2827" s="3" t="s">
        <v>70</v>
      </c>
      <c r="S2827" s="4">
        <v>22</v>
      </c>
      <c r="T2827" s="4">
        <v>22</v>
      </c>
      <c r="U2827" s="5" t="s">
        <v>9239</v>
      </c>
      <c r="V2827" s="5" t="s">
        <v>9239</v>
      </c>
      <c r="W2827" s="5" t="s">
        <v>72</v>
      </c>
      <c r="X2827" s="5" t="s">
        <v>72</v>
      </c>
      <c r="Y2827" s="4">
        <v>23</v>
      </c>
      <c r="Z2827" s="4">
        <v>5</v>
      </c>
      <c r="AA2827" s="4">
        <v>38</v>
      </c>
      <c r="AB2827" s="4">
        <v>1</v>
      </c>
      <c r="AC2827" s="4">
        <v>9</v>
      </c>
      <c r="AD2827" s="4">
        <v>9</v>
      </c>
      <c r="AE2827" s="4">
        <v>91</v>
      </c>
      <c r="AF2827" s="4">
        <v>0</v>
      </c>
      <c r="AG2827" s="4">
        <v>3</v>
      </c>
      <c r="AH2827" s="4">
        <v>6</v>
      </c>
      <c r="AI2827" s="4">
        <v>75</v>
      </c>
      <c r="AJ2827" s="4">
        <v>1</v>
      </c>
      <c r="AK2827" s="4">
        <v>18</v>
      </c>
      <c r="AL2827" s="4">
        <v>3</v>
      </c>
      <c r="AM2827" s="4">
        <v>41</v>
      </c>
      <c r="AN2827" s="4">
        <v>0</v>
      </c>
      <c r="AO2827" s="4">
        <v>0</v>
      </c>
      <c r="AP2827" s="4">
        <v>3</v>
      </c>
      <c r="AQ2827" s="4">
        <v>19</v>
      </c>
      <c r="AR2827" s="3" t="s">
        <v>64</v>
      </c>
      <c r="AS2827" s="3" t="s">
        <v>64</v>
      </c>
      <c r="AT2827" s="3" t="s">
        <v>64</v>
      </c>
      <c r="AV2827" s="6" t="str">
        <f>HYPERLINK("http://mcgill.on.worldcat.org/oclc/54540239","Catalog Record")</f>
        <v>Catalog Record</v>
      </c>
      <c r="AW2827" s="6" t="str">
        <f>HYPERLINK("http://www.worldcat.org/oclc/54540239","WorldCat Record")</f>
        <v>WorldCat Record</v>
      </c>
      <c r="AX2827" s="3" t="s">
        <v>28434</v>
      </c>
      <c r="AY2827" s="3" t="s">
        <v>28443</v>
      </c>
      <c r="AZ2827" s="3" t="s">
        <v>28444</v>
      </c>
      <c r="BA2827" s="3" t="s">
        <v>28444</v>
      </c>
      <c r="BB2827" s="3" t="s">
        <v>28445</v>
      </c>
      <c r="BC2827" s="3" t="s">
        <v>77</v>
      </c>
      <c r="BD2827" s="3" t="s">
        <v>78</v>
      </c>
      <c r="BF2827" s="3" t="s">
        <v>28445</v>
      </c>
      <c r="BG2827" s="3" t="s">
        <v>28446</v>
      </c>
      <c r="BH2827">
        <f t="shared" si="68"/>
        <v>0</v>
      </c>
    </row>
    <row r="2828" spans="1:60" ht="58" x14ac:dyDescent="0.35">
      <c r="A2828" s="2" t="s">
        <v>59</v>
      </c>
      <c r="B2828" s="2" t="s">
        <v>60</v>
      </c>
      <c r="C2828" s="2" t="s">
        <v>28447</v>
      </c>
      <c r="D2828" s="2" t="s">
        <v>28448</v>
      </c>
      <c r="E2828" s="2" t="s">
        <v>28449</v>
      </c>
      <c r="G2828" s="3" t="s">
        <v>64</v>
      </c>
      <c r="I2828" s="3" t="s">
        <v>64</v>
      </c>
      <c r="J2828" s="3" t="s">
        <v>64</v>
      </c>
      <c r="K2828" s="3" t="s">
        <v>65</v>
      </c>
      <c r="L2828" s="2" t="s">
        <v>28450</v>
      </c>
      <c r="M2828" s="2" t="s">
        <v>18422</v>
      </c>
      <c r="N2828" s="3" t="s">
        <v>116</v>
      </c>
      <c r="P2828" s="3" t="s">
        <v>102</v>
      </c>
      <c r="R2828" s="3" t="s">
        <v>70</v>
      </c>
      <c r="S2828" s="4">
        <v>19</v>
      </c>
      <c r="T2828" s="4">
        <v>19</v>
      </c>
      <c r="U2828" s="5" t="s">
        <v>9239</v>
      </c>
      <c r="V2828" s="5" t="s">
        <v>9239</v>
      </c>
      <c r="W2828" s="5" t="s">
        <v>72</v>
      </c>
      <c r="X2828" s="5" t="s">
        <v>72</v>
      </c>
      <c r="Y2828" s="4">
        <v>432</v>
      </c>
      <c r="Z2828" s="4">
        <v>20</v>
      </c>
      <c r="AA2828" s="4">
        <v>23</v>
      </c>
      <c r="AB2828" s="4">
        <v>3</v>
      </c>
      <c r="AC2828" s="4">
        <v>6</v>
      </c>
      <c r="AD2828" s="4">
        <v>100</v>
      </c>
      <c r="AE2828" s="4">
        <v>103</v>
      </c>
      <c r="AF2828" s="4">
        <v>1</v>
      </c>
      <c r="AG2828" s="4">
        <v>3</v>
      </c>
      <c r="AH2828" s="4">
        <v>91</v>
      </c>
      <c r="AI2828" s="4">
        <v>93</v>
      </c>
      <c r="AJ2828" s="4">
        <v>15</v>
      </c>
      <c r="AK2828" s="4">
        <v>17</v>
      </c>
      <c r="AL2828" s="4">
        <v>49</v>
      </c>
      <c r="AM2828" s="4">
        <v>49</v>
      </c>
      <c r="AN2828" s="4">
        <v>0</v>
      </c>
      <c r="AO2828" s="4">
        <v>0</v>
      </c>
      <c r="AP2828" s="4">
        <v>15</v>
      </c>
      <c r="AQ2828" s="4">
        <v>16</v>
      </c>
      <c r="AR2828" s="3" t="s">
        <v>64</v>
      </c>
      <c r="AS2828" s="3" t="s">
        <v>64</v>
      </c>
      <c r="AT2828" s="3" t="s">
        <v>64</v>
      </c>
      <c r="AV2828" s="6" t="str">
        <f>HYPERLINK("http://mcgill.on.worldcat.org/oclc/48073880","Catalog Record")</f>
        <v>Catalog Record</v>
      </c>
      <c r="AW2828" s="6" t="str">
        <f>HYPERLINK("http://www.worldcat.org/oclc/48073880","WorldCat Record")</f>
        <v>WorldCat Record</v>
      </c>
      <c r="AX2828" s="3" t="s">
        <v>28451</v>
      </c>
      <c r="AY2828" s="3" t="s">
        <v>28452</v>
      </c>
      <c r="AZ2828" s="3" t="s">
        <v>28453</v>
      </c>
      <c r="BA2828" s="3" t="s">
        <v>28453</v>
      </c>
      <c r="BB2828" s="3" t="s">
        <v>28454</v>
      </c>
      <c r="BC2828" s="3" t="s">
        <v>77</v>
      </c>
      <c r="BD2828" s="3" t="s">
        <v>78</v>
      </c>
      <c r="BE2828" s="3" t="s">
        <v>28455</v>
      </c>
      <c r="BF2828" s="3" t="s">
        <v>28454</v>
      </c>
      <c r="BG2828" s="3" t="s">
        <v>28456</v>
      </c>
      <c r="BH2828">
        <f t="shared" si="68"/>
        <v>0</v>
      </c>
    </row>
    <row r="2829" spans="1:60" ht="58" x14ac:dyDescent="0.35">
      <c r="A2829" s="2" t="s">
        <v>59</v>
      </c>
      <c r="B2829" s="2" t="s">
        <v>60</v>
      </c>
      <c r="C2829" s="2" t="s">
        <v>28457</v>
      </c>
      <c r="D2829" s="2" t="s">
        <v>28458</v>
      </c>
      <c r="E2829" s="2" t="s">
        <v>28459</v>
      </c>
      <c r="G2829" s="3" t="s">
        <v>64</v>
      </c>
      <c r="I2829" s="3" t="s">
        <v>64</v>
      </c>
      <c r="J2829" s="3" t="s">
        <v>64</v>
      </c>
      <c r="K2829" s="3" t="s">
        <v>65</v>
      </c>
      <c r="L2829" s="2" t="s">
        <v>28460</v>
      </c>
      <c r="M2829" s="2" t="s">
        <v>28461</v>
      </c>
      <c r="N2829" s="3" t="s">
        <v>326</v>
      </c>
      <c r="P2829" s="3" t="s">
        <v>102</v>
      </c>
      <c r="Q2829" s="2" t="s">
        <v>28462</v>
      </c>
      <c r="R2829" s="3" t="s">
        <v>70</v>
      </c>
      <c r="S2829" s="4">
        <v>5</v>
      </c>
      <c r="T2829" s="4">
        <v>5</v>
      </c>
      <c r="U2829" s="5" t="s">
        <v>28463</v>
      </c>
      <c r="V2829" s="5" t="s">
        <v>28463</v>
      </c>
      <c r="W2829" s="5" t="s">
        <v>72</v>
      </c>
      <c r="X2829" s="5" t="s">
        <v>72</v>
      </c>
      <c r="Y2829" s="4">
        <v>247</v>
      </c>
      <c r="Z2829" s="4">
        <v>20</v>
      </c>
      <c r="AA2829" s="4">
        <v>22</v>
      </c>
      <c r="AB2829" s="4">
        <v>1</v>
      </c>
      <c r="AC2829" s="4">
        <v>1</v>
      </c>
      <c r="AD2829" s="4">
        <v>92</v>
      </c>
      <c r="AE2829" s="4">
        <v>100</v>
      </c>
      <c r="AF2829" s="4">
        <v>0</v>
      </c>
      <c r="AG2829" s="4">
        <v>0</v>
      </c>
      <c r="AH2829" s="4">
        <v>83</v>
      </c>
      <c r="AI2829" s="4">
        <v>90</v>
      </c>
      <c r="AJ2829" s="4">
        <v>14</v>
      </c>
      <c r="AK2829" s="4">
        <v>16</v>
      </c>
      <c r="AL2829" s="4">
        <v>41</v>
      </c>
      <c r="AM2829" s="4">
        <v>45</v>
      </c>
      <c r="AN2829" s="4">
        <v>0</v>
      </c>
      <c r="AO2829" s="4">
        <v>0</v>
      </c>
      <c r="AP2829" s="4">
        <v>18</v>
      </c>
      <c r="AQ2829" s="4">
        <v>20</v>
      </c>
      <c r="AR2829" s="3" t="s">
        <v>64</v>
      </c>
      <c r="AS2829" s="3" t="s">
        <v>64</v>
      </c>
      <c r="AT2829" s="3" t="s">
        <v>64</v>
      </c>
      <c r="AV2829" s="6" t="str">
        <f>HYPERLINK("http://mcgill.on.worldcat.org/oclc/758824047","Catalog Record")</f>
        <v>Catalog Record</v>
      </c>
      <c r="AW2829" s="6" t="str">
        <f>HYPERLINK("http://www.worldcat.org/oclc/758824047","WorldCat Record")</f>
        <v>WorldCat Record</v>
      </c>
      <c r="AX2829" s="3" t="s">
        <v>28464</v>
      </c>
      <c r="AY2829" s="3" t="s">
        <v>28465</v>
      </c>
      <c r="AZ2829" s="3" t="s">
        <v>28466</v>
      </c>
      <c r="BA2829" s="3" t="s">
        <v>28466</v>
      </c>
      <c r="BB2829" s="3" t="s">
        <v>28467</v>
      </c>
      <c r="BC2829" s="3" t="s">
        <v>77</v>
      </c>
      <c r="BD2829" s="3" t="s">
        <v>78</v>
      </c>
      <c r="BE2829" s="3" t="s">
        <v>28468</v>
      </c>
      <c r="BF2829" s="3" t="s">
        <v>28467</v>
      </c>
      <c r="BG2829" s="3" t="s">
        <v>28469</v>
      </c>
      <c r="BH2829">
        <f t="shared" si="68"/>
        <v>0</v>
      </c>
    </row>
    <row r="2830" spans="1:60" ht="58" x14ac:dyDescent="0.35">
      <c r="A2830" s="2" t="s">
        <v>59</v>
      </c>
      <c r="B2830" s="2" t="s">
        <v>60</v>
      </c>
      <c r="C2830" s="2" t="s">
        <v>28470</v>
      </c>
      <c r="D2830" s="2" t="s">
        <v>28471</v>
      </c>
      <c r="E2830" s="2" t="s">
        <v>28472</v>
      </c>
      <c r="G2830" s="3" t="s">
        <v>64</v>
      </c>
      <c r="I2830" s="3" t="s">
        <v>64</v>
      </c>
      <c r="J2830" s="3" t="s">
        <v>64</v>
      </c>
      <c r="K2830" s="3" t="s">
        <v>65</v>
      </c>
      <c r="M2830" s="2" t="s">
        <v>28473</v>
      </c>
      <c r="N2830" s="3" t="s">
        <v>326</v>
      </c>
      <c r="P2830" s="3" t="s">
        <v>102</v>
      </c>
      <c r="Q2830" s="2" t="s">
        <v>28474</v>
      </c>
      <c r="R2830" s="3" t="s">
        <v>70</v>
      </c>
      <c r="S2830" s="4">
        <v>5</v>
      </c>
      <c r="T2830" s="4">
        <v>5</v>
      </c>
      <c r="U2830" s="5" t="s">
        <v>28475</v>
      </c>
      <c r="V2830" s="5" t="s">
        <v>28475</v>
      </c>
      <c r="W2830" s="5" t="s">
        <v>72</v>
      </c>
      <c r="X2830" s="5" t="s">
        <v>72</v>
      </c>
      <c r="Y2830" s="4">
        <v>65</v>
      </c>
      <c r="Z2830" s="4">
        <v>6</v>
      </c>
      <c r="AA2830" s="4">
        <v>87</v>
      </c>
      <c r="AB2830" s="4">
        <v>1</v>
      </c>
      <c r="AC2830" s="4">
        <v>17</v>
      </c>
      <c r="AD2830" s="4">
        <v>20</v>
      </c>
      <c r="AE2830" s="4">
        <v>105</v>
      </c>
      <c r="AF2830" s="4">
        <v>0</v>
      </c>
      <c r="AG2830" s="4">
        <v>8</v>
      </c>
      <c r="AH2830" s="4">
        <v>18</v>
      </c>
      <c r="AI2830" s="4">
        <v>70</v>
      </c>
      <c r="AJ2830" s="4">
        <v>4</v>
      </c>
      <c r="AK2830" s="4">
        <v>21</v>
      </c>
      <c r="AL2830" s="4">
        <v>14</v>
      </c>
      <c r="AM2830" s="4">
        <v>36</v>
      </c>
      <c r="AN2830" s="4">
        <v>0</v>
      </c>
      <c r="AO2830" s="4">
        <v>0</v>
      </c>
      <c r="AP2830" s="4">
        <v>4</v>
      </c>
      <c r="AQ2830" s="4">
        <v>42</v>
      </c>
      <c r="AR2830" s="3" t="s">
        <v>64</v>
      </c>
      <c r="AS2830" s="3" t="s">
        <v>64</v>
      </c>
      <c r="AT2830" s="3" t="s">
        <v>64</v>
      </c>
      <c r="AV2830" s="6" t="str">
        <f>HYPERLINK("http://mcgill.on.worldcat.org/oclc/751544048","Catalog Record")</f>
        <v>Catalog Record</v>
      </c>
      <c r="AW2830" s="6" t="str">
        <f>HYPERLINK("http://www.worldcat.org/oclc/751544048","WorldCat Record")</f>
        <v>WorldCat Record</v>
      </c>
      <c r="AX2830" s="3" t="s">
        <v>28476</v>
      </c>
      <c r="AY2830" s="3" t="s">
        <v>28477</v>
      </c>
      <c r="AZ2830" s="3" t="s">
        <v>28478</v>
      </c>
      <c r="BA2830" s="3" t="s">
        <v>28478</v>
      </c>
      <c r="BB2830" s="3" t="s">
        <v>28479</v>
      </c>
      <c r="BC2830" s="3" t="s">
        <v>77</v>
      </c>
      <c r="BD2830" s="3" t="s">
        <v>78</v>
      </c>
      <c r="BE2830" s="3" t="s">
        <v>28480</v>
      </c>
      <c r="BF2830" s="3" t="s">
        <v>28479</v>
      </c>
      <c r="BG2830" s="3" t="s">
        <v>28481</v>
      </c>
      <c r="BH2830">
        <f t="shared" si="68"/>
        <v>0</v>
      </c>
    </row>
    <row r="2831" spans="1:60" ht="58" x14ac:dyDescent="0.35">
      <c r="A2831" s="2" t="s">
        <v>59</v>
      </c>
      <c r="B2831" s="2" t="s">
        <v>60</v>
      </c>
      <c r="C2831" s="2" t="s">
        <v>28482</v>
      </c>
      <c r="D2831" s="2" t="s">
        <v>28483</v>
      </c>
      <c r="E2831" s="2" t="s">
        <v>28484</v>
      </c>
      <c r="G2831" s="3" t="s">
        <v>64</v>
      </c>
      <c r="I2831" s="3" t="s">
        <v>64</v>
      </c>
      <c r="J2831" s="3" t="s">
        <v>64</v>
      </c>
      <c r="K2831" s="3" t="s">
        <v>65</v>
      </c>
      <c r="L2831" s="2" t="s">
        <v>28485</v>
      </c>
      <c r="M2831" s="2" t="s">
        <v>28486</v>
      </c>
      <c r="N2831" s="3" t="s">
        <v>537</v>
      </c>
      <c r="O2831" s="2" t="s">
        <v>21483</v>
      </c>
      <c r="P2831" s="3" t="s">
        <v>102</v>
      </c>
      <c r="Q2831" s="2" t="s">
        <v>28487</v>
      </c>
      <c r="R2831" s="3" t="s">
        <v>70</v>
      </c>
      <c r="S2831" s="4">
        <v>1</v>
      </c>
      <c r="T2831" s="4">
        <v>1</v>
      </c>
      <c r="U2831" s="5" t="s">
        <v>5611</v>
      </c>
      <c r="V2831" s="5" t="s">
        <v>5611</v>
      </c>
      <c r="W2831" s="5" t="s">
        <v>72</v>
      </c>
      <c r="X2831" s="5" t="s">
        <v>72</v>
      </c>
      <c r="Y2831" s="4">
        <v>135</v>
      </c>
      <c r="Z2831" s="4">
        <v>4</v>
      </c>
      <c r="AA2831" s="4">
        <v>7</v>
      </c>
      <c r="AB2831" s="4">
        <v>2</v>
      </c>
      <c r="AC2831" s="4">
        <v>3</v>
      </c>
      <c r="AD2831" s="4">
        <v>25</v>
      </c>
      <c r="AE2831" s="4">
        <v>33</v>
      </c>
      <c r="AF2831" s="4">
        <v>0</v>
      </c>
      <c r="AG2831" s="4">
        <v>0</v>
      </c>
      <c r="AH2831" s="4">
        <v>25</v>
      </c>
      <c r="AI2831" s="4">
        <v>32</v>
      </c>
      <c r="AJ2831" s="4">
        <v>1</v>
      </c>
      <c r="AK2831" s="4">
        <v>2</v>
      </c>
      <c r="AL2831" s="4">
        <v>17</v>
      </c>
      <c r="AM2831" s="4">
        <v>21</v>
      </c>
      <c r="AN2831" s="4">
        <v>0</v>
      </c>
      <c r="AO2831" s="4">
        <v>0</v>
      </c>
      <c r="AP2831" s="4">
        <v>1</v>
      </c>
      <c r="AQ2831" s="4">
        <v>2</v>
      </c>
      <c r="AR2831" s="3" t="s">
        <v>64</v>
      </c>
      <c r="AS2831" s="3" t="s">
        <v>64</v>
      </c>
      <c r="AT2831" s="3" t="s">
        <v>64</v>
      </c>
      <c r="AV2831" s="6" t="str">
        <f>HYPERLINK("http://mcgill.on.worldcat.org/oclc/956446260","Catalog Record")</f>
        <v>Catalog Record</v>
      </c>
      <c r="AW2831" s="6" t="str">
        <f>HYPERLINK("http://www.worldcat.org/oclc/956446260","WorldCat Record")</f>
        <v>WorldCat Record</v>
      </c>
      <c r="AX2831" s="3" t="s">
        <v>28488</v>
      </c>
      <c r="AY2831" s="3" t="s">
        <v>28489</v>
      </c>
      <c r="AZ2831" s="3" t="s">
        <v>28490</v>
      </c>
      <c r="BA2831" s="3" t="s">
        <v>28490</v>
      </c>
      <c r="BB2831" s="3" t="s">
        <v>28491</v>
      </c>
      <c r="BC2831" s="3" t="s">
        <v>77</v>
      </c>
      <c r="BD2831" s="3" t="s">
        <v>78</v>
      </c>
      <c r="BE2831" s="3" t="s">
        <v>28492</v>
      </c>
      <c r="BF2831" s="3" t="s">
        <v>28491</v>
      </c>
      <c r="BG2831" s="3" t="s">
        <v>28493</v>
      </c>
      <c r="BH2831">
        <f t="shared" si="68"/>
        <v>0</v>
      </c>
    </row>
    <row r="2832" spans="1:60" ht="87" x14ac:dyDescent="0.35">
      <c r="A2832" s="2" t="s">
        <v>59</v>
      </c>
      <c r="B2832" s="2" t="s">
        <v>60</v>
      </c>
      <c r="C2832" s="2" t="s">
        <v>28494</v>
      </c>
      <c r="D2832" s="2" t="s">
        <v>28495</v>
      </c>
      <c r="E2832" s="2" t="s">
        <v>28496</v>
      </c>
      <c r="G2832" s="3" t="s">
        <v>64</v>
      </c>
      <c r="I2832" s="3" t="s">
        <v>64</v>
      </c>
      <c r="J2832" s="3" t="s">
        <v>64</v>
      </c>
      <c r="K2832" s="3" t="s">
        <v>65</v>
      </c>
      <c r="M2832" s="2" t="s">
        <v>28497</v>
      </c>
      <c r="N2832" s="3" t="s">
        <v>434</v>
      </c>
      <c r="P2832" s="3" t="s">
        <v>68</v>
      </c>
      <c r="R2832" s="3" t="s">
        <v>70</v>
      </c>
      <c r="S2832" s="4">
        <v>14</v>
      </c>
      <c r="T2832" s="4">
        <v>14</v>
      </c>
      <c r="U2832" s="5" t="s">
        <v>9239</v>
      </c>
      <c r="V2832" s="5" t="s">
        <v>9239</v>
      </c>
      <c r="W2832" s="5" t="s">
        <v>72</v>
      </c>
      <c r="X2832" s="5" t="s">
        <v>72</v>
      </c>
      <c r="Y2832" s="4">
        <v>10</v>
      </c>
      <c r="Z2832" s="4">
        <v>10</v>
      </c>
      <c r="AA2832" s="4">
        <v>16</v>
      </c>
      <c r="AB2832" s="4">
        <v>8</v>
      </c>
      <c r="AC2832" s="4">
        <v>11</v>
      </c>
      <c r="AD2832" s="4">
        <v>2</v>
      </c>
      <c r="AE2832" s="4">
        <v>8</v>
      </c>
      <c r="AF2832" s="4">
        <v>2</v>
      </c>
      <c r="AG2832" s="4">
        <v>3</v>
      </c>
      <c r="AH2832" s="4">
        <v>0</v>
      </c>
      <c r="AI2832" s="4">
        <v>3</v>
      </c>
      <c r="AJ2832" s="4">
        <v>1</v>
      </c>
      <c r="AK2832" s="4">
        <v>4</v>
      </c>
      <c r="AL2832" s="4">
        <v>0</v>
      </c>
      <c r="AM2832" s="4">
        <v>2</v>
      </c>
      <c r="AN2832" s="4">
        <v>0</v>
      </c>
      <c r="AO2832" s="4">
        <v>0</v>
      </c>
      <c r="AP2832" s="4">
        <v>2</v>
      </c>
      <c r="AQ2832" s="4">
        <v>2</v>
      </c>
      <c r="AR2832" s="3" t="s">
        <v>128</v>
      </c>
      <c r="AS2832" s="3" t="s">
        <v>64</v>
      </c>
      <c r="AT2832" s="3" t="s">
        <v>64</v>
      </c>
      <c r="AV2832" s="6" t="str">
        <f>HYPERLINK("http://mcgill.on.worldcat.org/oclc/427640245","Catalog Record")</f>
        <v>Catalog Record</v>
      </c>
      <c r="AW2832" s="6" t="str">
        <f>HYPERLINK("http://www.worldcat.org/oclc/427640245","WorldCat Record")</f>
        <v>WorldCat Record</v>
      </c>
      <c r="AX2832" s="3" t="s">
        <v>28498</v>
      </c>
      <c r="AY2832" s="3" t="s">
        <v>28499</v>
      </c>
      <c r="AZ2832" s="3" t="s">
        <v>28500</v>
      </c>
      <c r="BA2832" s="3" t="s">
        <v>28500</v>
      </c>
      <c r="BB2832" s="3" t="s">
        <v>28501</v>
      </c>
      <c r="BC2832" s="3" t="s">
        <v>77</v>
      </c>
      <c r="BD2832" s="3" t="s">
        <v>78</v>
      </c>
      <c r="BE2832" s="3" t="s">
        <v>28502</v>
      </c>
      <c r="BF2832" s="3" t="s">
        <v>28501</v>
      </c>
      <c r="BG2832" s="3" t="s">
        <v>28503</v>
      </c>
      <c r="BH2832">
        <f t="shared" si="68"/>
        <v>0</v>
      </c>
    </row>
    <row r="2833" spans="1:60" ht="58" x14ac:dyDescent="0.35">
      <c r="A2833" s="2" t="s">
        <v>59</v>
      </c>
      <c r="B2833" s="2" t="s">
        <v>60</v>
      </c>
      <c r="C2833" s="2" t="s">
        <v>28504</v>
      </c>
      <c r="D2833" s="2" t="s">
        <v>28505</v>
      </c>
      <c r="E2833" s="2" t="s">
        <v>28506</v>
      </c>
      <c r="G2833" s="3" t="s">
        <v>64</v>
      </c>
      <c r="I2833" s="3" t="s">
        <v>64</v>
      </c>
      <c r="J2833" s="3" t="s">
        <v>64</v>
      </c>
      <c r="K2833" s="3" t="s">
        <v>65</v>
      </c>
      <c r="M2833" s="2" t="s">
        <v>15333</v>
      </c>
      <c r="N2833" s="3" t="s">
        <v>67</v>
      </c>
      <c r="P2833" s="3" t="s">
        <v>102</v>
      </c>
      <c r="R2833" s="3" t="s">
        <v>70</v>
      </c>
      <c r="S2833" s="4">
        <v>1</v>
      </c>
      <c r="T2833" s="4">
        <v>1</v>
      </c>
      <c r="U2833" s="5" t="s">
        <v>9239</v>
      </c>
      <c r="V2833" s="5" t="s">
        <v>9239</v>
      </c>
      <c r="W2833" s="5" t="s">
        <v>72</v>
      </c>
      <c r="X2833" s="5" t="s">
        <v>72</v>
      </c>
      <c r="Y2833" s="4">
        <v>160</v>
      </c>
      <c r="Z2833" s="4">
        <v>13</v>
      </c>
      <c r="AA2833" s="4">
        <v>81</v>
      </c>
      <c r="AB2833" s="4">
        <v>1</v>
      </c>
      <c r="AC2833" s="4">
        <v>16</v>
      </c>
      <c r="AD2833" s="4">
        <v>42</v>
      </c>
      <c r="AE2833" s="4">
        <v>103</v>
      </c>
      <c r="AF2833" s="4">
        <v>0</v>
      </c>
      <c r="AG2833" s="4">
        <v>8</v>
      </c>
      <c r="AH2833" s="4">
        <v>35</v>
      </c>
      <c r="AI2833" s="4">
        <v>69</v>
      </c>
      <c r="AJ2833" s="4">
        <v>9</v>
      </c>
      <c r="AK2833" s="4">
        <v>20</v>
      </c>
      <c r="AL2833" s="4">
        <v>27</v>
      </c>
      <c r="AM2833" s="4">
        <v>40</v>
      </c>
      <c r="AN2833" s="4">
        <v>0</v>
      </c>
      <c r="AO2833" s="4">
        <v>0</v>
      </c>
      <c r="AP2833" s="4">
        <v>9</v>
      </c>
      <c r="AQ2833" s="4">
        <v>38</v>
      </c>
      <c r="AR2833" s="3" t="s">
        <v>64</v>
      </c>
      <c r="AS2833" s="3" t="s">
        <v>64</v>
      </c>
      <c r="AT2833" s="3" t="s">
        <v>64</v>
      </c>
      <c r="AV2833" s="6" t="str">
        <f>HYPERLINK("http://mcgill.on.worldcat.org/oclc/873828881","Catalog Record")</f>
        <v>Catalog Record</v>
      </c>
      <c r="AW2833" s="6" t="str">
        <f>HYPERLINK("http://www.worldcat.org/oclc/873828881","WorldCat Record")</f>
        <v>WorldCat Record</v>
      </c>
      <c r="AX2833" s="3" t="s">
        <v>28507</v>
      </c>
      <c r="AY2833" s="3" t="s">
        <v>28508</v>
      </c>
      <c r="AZ2833" s="3" t="s">
        <v>28509</v>
      </c>
      <c r="BA2833" s="3" t="s">
        <v>28509</v>
      </c>
      <c r="BB2833" s="3" t="s">
        <v>28510</v>
      </c>
      <c r="BC2833" s="3" t="s">
        <v>77</v>
      </c>
      <c r="BD2833" s="3" t="s">
        <v>78</v>
      </c>
      <c r="BE2833" s="3" t="s">
        <v>28511</v>
      </c>
      <c r="BF2833" s="3" t="s">
        <v>28510</v>
      </c>
      <c r="BG2833" s="3" t="s">
        <v>28512</v>
      </c>
      <c r="BH2833">
        <f t="shared" si="68"/>
        <v>0</v>
      </c>
    </row>
    <row r="2834" spans="1:60" ht="58" x14ac:dyDescent="0.35">
      <c r="A2834" s="2" t="s">
        <v>59</v>
      </c>
      <c r="B2834" s="2" t="s">
        <v>60</v>
      </c>
      <c r="C2834" s="2" t="s">
        <v>28513</v>
      </c>
      <c r="D2834" s="2" t="s">
        <v>28514</v>
      </c>
      <c r="E2834" s="2" t="s">
        <v>28515</v>
      </c>
      <c r="G2834" s="3" t="s">
        <v>64</v>
      </c>
      <c r="I2834" s="3" t="s">
        <v>64</v>
      </c>
      <c r="J2834" s="3" t="s">
        <v>64</v>
      </c>
      <c r="K2834" s="3" t="s">
        <v>65</v>
      </c>
      <c r="M2834" s="2" t="s">
        <v>18474</v>
      </c>
      <c r="N2834" s="3" t="s">
        <v>1075</v>
      </c>
      <c r="P2834" s="3" t="s">
        <v>102</v>
      </c>
      <c r="R2834" s="3" t="s">
        <v>70</v>
      </c>
      <c r="S2834" s="4">
        <v>1</v>
      </c>
      <c r="T2834" s="4">
        <v>1</v>
      </c>
      <c r="U2834" s="5" t="s">
        <v>14098</v>
      </c>
      <c r="V2834" s="5" t="s">
        <v>14098</v>
      </c>
      <c r="W2834" s="5" t="s">
        <v>72</v>
      </c>
      <c r="X2834" s="5" t="s">
        <v>72</v>
      </c>
      <c r="Y2834" s="4">
        <v>55</v>
      </c>
      <c r="Z2834" s="4">
        <v>8</v>
      </c>
      <c r="AA2834" s="4">
        <v>9</v>
      </c>
      <c r="AB2834" s="4">
        <v>1</v>
      </c>
      <c r="AC2834" s="4">
        <v>2</v>
      </c>
      <c r="AD2834" s="4">
        <v>21</v>
      </c>
      <c r="AE2834" s="4">
        <v>21</v>
      </c>
      <c r="AF2834" s="4">
        <v>0</v>
      </c>
      <c r="AG2834" s="4">
        <v>0</v>
      </c>
      <c r="AH2834" s="4">
        <v>18</v>
      </c>
      <c r="AI2834" s="4">
        <v>18</v>
      </c>
      <c r="AJ2834" s="4">
        <v>6</v>
      </c>
      <c r="AK2834" s="4">
        <v>6</v>
      </c>
      <c r="AL2834" s="4">
        <v>10</v>
      </c>
      <c r="AM2834" s="4">
        <v>10</v>
      </c>
      <c r="AN2834" s="4">
        <v>0</v>
      </c>
      <c r="AO2834" s="4">
        <v>0</v>
      </c>
      <c r="AP2834" s="4">
        <v>7</v>
      </c>
      <c r="AQ2834" s="4">
        <v>7</v>
      </c>
      <c r="AR2834" s="3" t="s">
        <v>64</v>
      </c>
      <c r="AS2834" s="3" t="s">
        <v>64</v>
      </c>
      <c r="AT2834" s="3" t="s">
        <v>64</v>
      </c>
      <c r="AV2834" s="6" t="str">
        <f>HYPERLINK("http://mcgill.on.worldcat.org/oclc/858845674","Catalog Record")</f>
        <v>Catalog Record</v>
      </c>
      <c r="AW2834" s="6" t="str">
        <f>HYPERLINK("http://www.worldcat.org/oclc/858845674","WorldCat Record")</f>
        <v>WorldCat Record</v>
      </c>
      <c r="AX2834" s="3" t="s">
        <v>28516</v>
      </c>
      <c r="AY2834" s="3" t="s">
        <v>28517</v>
      </c>
      <c r="AZ2834" s="3" t="s">
        <v>28518</v>
      </c>
      <c r="BA2834" s="3" t="s">
        <v>28518</v>
      </c>
      <c r="BB2834" s="3" t="s">
        <v>28519</v>
      </c>
      <c r="BC2834" s="3" t="s">
        <v>77</v>
      </c>
      <c r="BD2834" s="3" t="s">
        <v>78</v>
      </c>
      <c r="BE2834" s="3" t="s">
        <v>28520</v>
      </c>
      <c r="BF2834" s="3" t="s">
        <v>28519</v>
      </c>
      <c r="BG2834" s="3" t="s">
        <v>28521</v>
      </c>
      <c r="BH2834">
        <f t="shared" si="68"/>
        <v>0</v>
      </c>
    </row>
    <row r="2835" spans="1:60" ht="58" x14ac:dyDescent="0.35">
      <c r="A2835" s="2" t="s">
        <v>59</v>
      </c>
      <c r="B2835" s="2" t="s">
        <v>60</v>
      </c>
      <c r="C2835" s="2" t="s">
        <v>28522</v>
      </c>
      <c r="D2835" s="2" t="s">
        <v>28523</v>
      </c>
      <c r="E2835" s="2" t="s">
        <v>28524</v>
      </c>
      <c r="G2835" s="3" t="s">
        <v>64</v>
      </c>
      <c r="I2835" s="3" t="s">
        <v>64</v>
      </c>
      <c r="J2835" s="3" t="s">
        <v>64</v>
      </c>
      <c r="K2835" s="3" t="s">
        <v>65</v>
      </c>
      <c r="L2835" s="2" t="s">
        <v>28525</v>
      </c>
      <c r="M2835" s="2" t="s">
        <v>28526</v>
      </c>
      <c r="N2835" s="3" t="s">
        <v>253</v>
      </c>
      <c r="P2835" s="3" t="s">
        <v>102</v>
      </c>
      <c r="Q2835" s="2" t="s">
        <v>8981</v>
      </c>
      <c r="R2835" s="3" t="s">
        <v>70</v>
      </c>
      <c r="S2835" s="4">
        <v>2</v>
      </c>
      <c r="T2835" s="4">
        <v>2</v>
      </c>
      <c r="U2835" s="5" t="s">
        <v>9239</v>
      </c>
      <c r="V2835" s="5" t="s">
        <v>9239</v>
      </c>
      <c r="W2835" s="5" t="s">
        <v>72</v>
      </c>
      <c r="X2835" s="5" t="s">
        <v>72</v>
      </c>
      <c r="Y2835" s="4">
        <v>88</v>
      </c>
      <c r="Z2835" s="4">
        <v>5</v>
      </c>
      <c r="AA2835" s="4">
        <v>36</v>
      </c>
      <c r="AB2835" s="4">
        <v>1</v>
      </c>
      <c r="AC2835" s="4">
        <v>8</v>
      </c>
      <c r="AD2835" s="4">
        <v>27</v>
      </c>
      <c r="AE2835" s="4">
        <v>84</v>
      </c>
      <c r="AF2835" s="4">
        <v>0</v>
      </c>
      <c r="AG2835" s="4">
        <v>4</v>
      </c>
      <c r="AH2835" s="4">
        <v>24</v>
      </c>
      <c r="AI2835" s="4">
        <v>66</v>
      </c>
      <c r="AJ2835" s="4">
        <v>4</v>
      </c>
      <c r="AK2835" s="4">
        <v>13</v>
      </c>
      <c r="AL2835" s="4">
        <v>20</v>
      </c>
      <c r="AM2835" s="4">
        <v>40</v>
      </c>
      <c r="AN2835" s="4">
        <v>0</v>
      </c>
      <c r="AO2835" s="4">
        <v>0</v>
      </c>
      <c r="AP2835" s="4">
        <v>4</v>
      </c>
      <c r="AQ2835" s="4">
        <v>20</v>
      </c>
      <c r="AR2835" s="3" t="s">
        <v>64</v>
      </c>
      <c r="AS2835" s="3" t="s">
        <v>64</v>
      </c>
      <c r="AT2835" s="3" t="s">
        <v>64</v>
      </c>
      <c r="AV2835" s="6" t="str">
        <f>HYPERLINK("http://mcgill.on.worldcat.org/oclc/891121655","Catalog Record")</f>
        <v>Catalog Record</v>
      </c>
      <c r="AW2835" s="6" t="str">
        <f>HYPERLINK("http://www.worldcat.org/oclc/891121655","WorldCat Record")</f>
        <v>WorldCat Record</v>
      </c>
      <c r="AX2835" s="3" t="s">
        <v>28527</v>
      </c>
      <c r="AY2835" s="3" t="s">
        <v>28528</v>
      </c>
      <c r="AZ2835" s="3" t="s">
        <v>28529</v>
      </c>
      <c r="BA2835" s="3" t="s">
        <v>28529</v>
      </c>
      <c r="BB2835" s="3" t="s">
        <v>28530</v>
      </c>
      <c r="BC2835" s="3" t="s">
        <v>77</v>
      </c>
      <c r="BD2835" s="3" t="s">
        <v>165</v>
      </c>
      <c r="BE2835" s="3" t="s">
        <v>28531</v>
      </c>
      <c r="BF2835" s="3" t="s">
        <v>28530</v>
      </c>
      <c r="BG2835" s="3" t="s">
        <v>28532</v>
      </c>
      <c r="BH2835">
        <f t="shared" si="68"/>
        <v>0</v>
      </c>
    </row>
    <row r="2836" spans="1:60" ht="58" x14ac:dyDescent="0.35">
      <c r="A2836" s="2" t="s">
        <v>59</v>
      </c>
      <c r="B2836" s="2" t="s">
        <v>60</v>
      </c>
      <c r="C2836" s="2" t="s">
        <v>28533</v>
      </c>
      <c r="D2836" s="2" t="s">
        <v>28534</v>
      </c>
      <c r="E2836" s="2" t="s">
        <v>28535</v>
      </c>
      <c r="G2836" s="3" t="s">
        <v>64</v>
      </c>
      <c r="I2836" s="3" t="s">
        <v>64</v>
      </c>
      <c r="J2836" s="3" t="s">
        <v>64</v>
      </c>
      <c r="K2836" s="3" t="s">
        <v>65</v>
      </c>
      <c r="M2836" s="2" t="s">
        <v>28536</v>
      </c>
      <c r="N2836" s="3" t="s">
        <v>537</v>
      </c>
      <c r="O2836" s="2" t="s">
        <v>28537</v>
      </c>
      <c r="P2836" s="3" t="s">
        <v>102</v>
      </c>
      <c r="R2836" s="3" t="s">
        <v>70</v>
      </c>
      <c r="S2836" s="4">
        <v>0</v>
      </c>
      <c r="T2836" s="4">
        <v>0</v>
      </c>
      <c r="W2836" s="5" t="s">
        <v>72</v>
      </c>
      <c r="X2836" s="5" t="s">
        <v>72</v>
      </c>
      <c r="Y2836" s="4">
        <v>41</v>
      </c>
      <c r="Z2836" s="4">
        <v>5</v>
      </c>
      <c r="AA2836" s="4">
        <v>71</v>
      </c>
      <c r="AB2836" s="4">
        <v>1</v>
      </c>
      <c r="AC2836" s="4">
        <v>14</v>
      </c>
      <c r="AD2836" s="4">
        <v>15</v>
      </c>
      <c r="AE2836" s="4">
        <v>77</v>
      </c>
      <c r="AF2836" s="4">
        <v>0</v>
      </c>
      <c r="AG2836" s="4">
        <v>8</v>
      </c>
      <c r="AH2836" s="4">
        <v>13</v>
      </c>
      <c r="AI2836" s="4">
        <v>48</v>
      </c>
      <c r="AJ2836" s="4">
        <v>3</v>
      </c>
      <c r="AK2836" s="4">
        <v>16</v>
      </c>
      <c r="AL2836" s="4">
        <v>6</v>
      </c>
      <c r="AM2836" s="4">
        <v>22</v>
      </c>
      <c r="AN2836" s="4">
        <v>0</v>
      </c>
      <c r="AO2836" s="4">
        <v>0</v>
      </c>
      <c r="AP2836" s="4">
        <v>3</v>
      </c>
      <c r="AQ2836" s="4">
        <v>35</v>
      </c>
      <c r="AR2836" s="3" t="s">
        <v>64</v>
      </c>
      <c r="AS2836" s="3" t="s">
        <v>64</v>
      </c>
      <c r="AT2836" s="3" t="s">
        <v>64</v>
      </c>
      <c r="AV2836" s="6" t="str">
        <f>HYPERLINK("http://mcgill.on.worldcat.org/oclc/941435337","Catalog Record")</f>
        <v>Catalog Record</v>
      </c>
      <c r="AW2836" s="6" t="str">
        <f>HYPERLINK("http://www.worldcat.org/oclc/941435337","WorldCat Record")</f>
        <v>WorldCat Record</v>
      </c>
      <c r="AX2836" s="3" t="s">
        <v>28538</v>
      </c>
      <c r="AY2836" s="3" t="s">
        <v>28539</v>
      </c>
      <c r="AZ2836" s="3" t="s">
        <v>28540</v>
      </c>
      <c r="BA2836" s="3" t="s">
        <v>28540</v>
      </c>
      <c r="BB2836" s="3" t="s">
        <v>28541</v>
      </c>
      <c r="BC2836" s="3" t="s">
        <v>77</v>
      </c>
      <c r="BD2836" s="3" t="s">
        <v>78</v>
      </c>
      <c r="BE2836" s="3" t="s">
        <v>28542</v>
      </c>
      <c r="BF2836" s="3" t="s">
        <v>28541</v>
      </c>
      <c r="BG2836" s="3" t="s">
        <v>28543</v>
      </c>
      <c r="BH2836">
        <f t="shared" si="68"/>
        <v>0</v>
      </c>
    </row>
    <row r="2837" spans="1:60" ht="58" x14ac:dyDescent="0.35">
      <c r="A2837" s="2" t="s">
        <v>59</v>
      </c>
      <c r="B2837" s="2" t="s">
        <v>60</v>
      </c>
      <c r="C2837" s="2" t="s">
        <v>28544</v>
      </c>
      <c r="D2837" s="2" t="s">
        <v>28545</v>
      </c>
      <c r="E2837" s="2" t="s">
        <v>28546</v>
      </c>
      <c r="G2837" s="3" t="s">
        <v>64</v>
      </c>
      <c r="I2837" s="3" t="s">
        <v>64</v>
      </c>
      <c r="J2837" s="3" t="s">
        <v>64</v>
      </c>
      <c r="K2837" s="3" t="s">
        <v>65</v>
      </c>
      <c r="M2837" s="2" t="s">
        <v>28547</v>
      </c>
      <c r="N2837" s="3" t="s">
        <v>86</v>
      </c>
      <c r="P2837" s="3" t="s">
        <v>102</v>
      </c>
      <c r="R2837" s="3" t="s">
        <v>70</v>
      </c>
      <c r="S2837" s="4">
        <v>3</v>
      </c>
      <c r="T2837" s="4">
        <v>3</v>
      </c>
      <c r="U2837" s="5" t="s">
        <v>28053</v>
      </c>
      <c r="V2837" s="5" t="s">
        <v>28053</v>
      </c>
      <c r="W2837" s="5" t="s">
        <v>72</v>
      </c>
      <c r="X2837" s="5" t="s">
        <v>72</v>
      </c>
      <c r="Y2837" s="4">
        <v>113</v>
      </c>
      <c r="Z2837" s="4">
        <v>10</v>
      </c>
      <c r="AA2837" s="4">
        <v>10</v>
      </c>
      <c r="AB2837" s="4">
        <v>1</v>
      </c>
      <c r="AC2837" s="4">
        <v>1</v>
      </c>
      <c r="AD2837" s="4">
        <v>46</v>
      </c>
      <c r="AE2837" s="4">
        <v>46</v>
      </c>
      <c r="AF2837" s="4">
        <v>0</v>
      </c>
      <c r="AG2837" s="4">
        <v>0</v>
      </c>
      <c r="AH2837" s="4">
        <v>44</v>
      </c>
      <c r="AI2837" s="4">
        <v>44</v>
      </c>
      <c r="AJ2837" s="4">
        <v>6</v>
      </c>
      <c r="AK2837" s="4">
        <v>6</v>
      </c>
      <c r="AL2837" s="4">
        <v>30</v>
      </c>
      <c r="AM2837" s="4">
        <v>30</v>
      </c>
      <c r="AN2837" s="4">
        <v>0</v>
      </c>
      <c r="AO2837" s="4">
        <v>0</v>
      </c>
      <c r="AP2837" s="4">
        <v>6</v>
      </c>
      <c r="AQ2837" s="4">
        <v>6</v>
      </c>
      <c r="AR2837" s="3" t="s">
        <v>64</v>
      </c>
      <c r="AS2837" s="3" t="s">
        <v>64</v>
      </c>
      <c r="AT2837" s="3" t="s">
        <v>64</v>
      </c>
      <c r="AV2837" s="6" t="str">
        <f>HYPERLINK("http://mcgill.on.worldcat.org/oclc/778856745","Catalog Record")</f>
        <v>Catalog Record</v>
      </c>
      <c r="AW2837" s="6" t="str">
        <f>HYPERLINK("http://www.worldcat.org/oclc/778856745","WorldCat Record")</f>
        <v>WorldCat Record</v>
      </c>
      <c r="AX2837" s="3" t="s">
        <v>28548</v>
      </c>
      <c r="AY2837" s="3" t="s">
        <v>28549</v>
      </c>
      <c r="AZ2837" s="3" t="s">
        <v>28550</v>
      </c>
      <c r="BA2837" s="3" t="s">
        <v>28550</v>
      </c>
      <c r="BB2837" s="3" t="s">
        <v>28551</v>
      </c>
      <c r="BC2837" s="3" t="s">
        <v>77</v>
      </c>
      <c r="BD2837" s="3" t="s">
        <v>78</v>
      </c>
      <c r="BE2837" s="3" t="s">
        <v>28552</v>
      </c>
      <c r="BF2837" s="3" t="s">
        <v>28551</v>
      </c>
      <c r="BG2837" s="3" t="s">
        <v>28553</v>
      </c>
      <c r="BH2837">
        <f t="shared" si="68"/>
        <v>0</v>
      </c>
    </row>
    <row r="2838" spans="1:60" ht="58" x14ac:dyDescent="0.35">
      <c r="A2838" s="2" t="s">
        <v>59</v>
      </c>
      <c r="B2838" s="2" t="s">
        <v>60</v>
      </c>
      <c r="C2838" s="2" t="s">
        <v>28554</v>
      </c>
      <c r="D2838" s="2" t="s">
        <v>28555</v>
      </c>
      <c r="E2838" s="2" t="s">
        <v>28556</v>
      </c>
      <c r="G2838" s="3" t="s">
        <v>64</v>
      </c>
      <c r="I2838" s="3" t="s">
        <v>64</v>
      </c>
      <c r="J2838" s="3" t="s">
        <v>64</v>
      </c>
      <c r="K2838" s="3" t="s">
        <v>65</v>
      </c>
      <c r="L2838" s="2" t="s">
        <v>28557</v>
      </c>
      <c r="M2838" s="2" t="s">
        <v>28558</v>
      </c>
      <c r="N2838" s="3" t="s">
        <v>326</v>
      </c>
      <c r="P2838" s="3" t="s">
        <v>102</v>
      </c>
      <c r="R2838" s="3" t="s">
        <v>70</v>
      </c>
      <c r="S2838" s="4">
        <v>13</v>
      </c>
      <c r="T2838" s="4">
        <v>13</v>
      </c>
      <c r="U2838" s="5" t="s">
        <v>28559</v>
      </c>
      <c r="V2838" s="5" t="s">
        <v>28559</v>
      </c>
      <c r="W2838" s="5" t="s">
        <v>72</v>
      </c>
      <c r="X2838" s="5" t="s">
        <v>72</v>
      </c>
      <c r="Y2838" s="4">
        <v>292</v>
      </c>
      <c r="Z2838" s="4">
        <v>20</v>
      </c>
      <c r="AA2838" s="4">
        <v>82</v>
      </c>
      <c r="AB2838" s="4">
        <v>2</v>
      </c>
      <c r="AC2838" s="4">
        <v>14</v>
      </c>
      <c r="AD2838" s="4">
        <v>57</v>
      </c>
      <c r="AE2838" s="4">
        <v>109</v>
      </c>
      <c r="AF2838" s="4">
        <v>1</v>
      </c>
      <c r="AG2838" s="4">
        <v>8</v>
      </c>
      <c r="AH2838" s="4">
        <v>53</v>
      </c>
      <c r="AI2838" s="4">
        <v>76</v>
      </c>
      <c r="AJ2838" s="4">
        <v>12</v>
      </c>
      <c r="AK2838" s="4">
        <v>22</v>
      </c>
      <c r="AL2838" s="4">
        <v>30</v>
      </c>
      <c r="AM2838" s="4">
        <v>38</v>
      </c>
      <c r="AN2838" s="4">
        <v>0</v>
      </c>
      <c r="AO2838" s="4">
        <v>0</v>
      </c>
      <c r="AP2838" s="4">
        <v>12</v>
      </c>
      <c r="AQ2838" s="4">
        <v>42</v>
      </c>
      <c r="AR2838" s="3" t="s">
        <v>64</v>
      </c>
      <c r="AS2838" s="3" t="s">
        <v>64</v>
      </c>
      <c r="AT2838" s="3" t="s">
        <v>64</v>
      </c>
      <c r="AV2838" s="6" t="str">
        <f>HYPERLINK("http://mcgill.on.worldcat.org/oclc/519248700","Catalog Record")</f>
        <v>Catalog Record</v>
      </c>
      <c r="AW2838" s="6" t="str">
        <f>HYPERLINK("http://www.worldcat.org/oclc/519248700","WorldCat Record")</f>
        <v>WorldCat Record</v>
      </c>
      <c r="AX2838" s="3" t="s">
        <v>28560</v>
      </c>
      <c r="AY2838" s="3" t="s">
        <v>28561</v>
      </c>
      <c r="AZ2838" s="3" t="s">
        <v>28562</v>
      </c>
      <c r="BA2838" s="3" t="s">
        <v>28562</v>
      </c>
      <c r="BB2838" s="3" t="s">
        <v>28563</v>
      </c>
      <c r="BC2838" s="3" t="s">
        <v>77</v>
      </c>
      <c r="BD2838" s="3" t="s">
        <v>78</v>
      </c>
      <c r="BE2838" s="3" t="s">
        <v>28564</v>
      </c>
      <c r="BF2838" s="3" t="s">
        <v>28563</v>
      </c>
      <c r="BG2838" s="3" t="s">
        <v>28565</v>
      </c>
      <c r="BH2838">
        <f t="shared" si="68"/>
        <v>0</v>
      </c>
    </row>
    <row r="2839" spans="1:60" ht="58" x14ac:dyDescent="0.35">
      <c r="A2839" s="2" t="s">
        <v>59</v>
      </c>
      <c r="B2839" s="2" t="s">
        <v>60</v>
      </c>
      <c r="C2839" s="2" t="s">
        <v>28566</v>
      </c>
      <c r="D2839" s="2" t="s">
        <v>28567</v>
      </c>
      <c r="E2839" s="2" t="s">
        <v>28568</v>
      </c>
      <c r="G2839" s="3" t="s">
        <v>64</v>
      </c>
      <c r="I2839" s="3" t="s">
        <v>64</v>
      </c>
      <c r="J2839" s="3" t="s">
        <v>64</v>
      </c>
      <c r="K2839" s="3" t="s">
        <v>65</v>
      </c>
      <c r="L2839" s="2" t="s">
        <v>28569</v>
      </c>
      <c r="M2839" s="2" t="s">
        <v>14552</v>
      </c>
      <c r="N2839" s="3" t="s">
        <v>537</v>
      </c>
      <c r="P2839" s="3" t="s">
        <v>102</v>
      </c>
      <c r="R2839" s="3" t="s">
        <v>70</v>
      </c>
      <c r="S2839" s="4">
        <v>1</v>
      </c>
      <c r="T2839" s="4">
        <v>1</v>
      </c>
      <c r="U2839" s="5" t="s">
        <v>28559</v>
      </c>
      <c r="V2839" s="5" t="s">
        <v>28559</v>
      </c>
      <c r="W2839" s="5" t="s">
        <v>72</v>
      </c>
      <c r="X2839" s="5" t="s">
        <v>72</v>
      </c>
      <c r="Y2839" s="4">
        <v>233</v>
      </c>
      <c r="Z2839" s="4">
        <v>11</v>
      </c>
      <c r="AA2839" s="4">
        <v>77</v>
      </c>
      <c r="AB2839" s="4">
        <v>1</v>
      </c>
      <c r="AC2839" s="4">
        <v>16</v>
      </c>
      <c r="AD2839" s="4">
        <v>33</v>
      </c>
      <c r="AE2839" s="4">
        <v>98</v>
      </c>
      <c r="AF2839" s="4">
        <v>0</v>
      </c>
      <c r="AG2839" s="4">
        <v>8</v>
      </c>
      <c r="AH2839" s="4">
        <v>32</v>
      </c>
      <c r="AI2839" s="4">
        <v>71</v>
      </c>
      <c r="AJ2839" s="4">
        <v>3</v>
      </c>
      <c r="AK2839" s="4">
        <v>16</v>
      </c>
      <c r="AL2839" s="4">
        <v>13</v>
      </c>
      <c r="AM2839" s="4">
        <v>35</v>
      </c>
      <c r="AN2839" s="4">
        <v>0</v>
      </c>
      <c r="AO2839" s="4">
        <v>0</v>
      </c>
      <c r="AP2839" s="4">
        <v>4</v>
      </c>
      <c r="AQ2839" s="4">
        <v>32</v>
      </c>
      <c r="AR2839" s="3" t="s">
        <v>64</v>
      </c>
      <c r="AS2839" s="3" t="s">
        <v>64</v>
      </c>
      <c r="AT2839" s="3" t="s">
        <v>64</v>
      </c>
      <c r="AV2839" s="6" t="str">
        <f>HYPERLINK("http://mcgill.on.worldcat.org/oclc/928750254","Catalog Record")</f>
        <v>Catalog Record</v>
      </c>
      <c r="AW2839" s="6" t="str">
        <f>HYPERLINK("http://www.worldcat.org/oclc/928750254","WorldCat Record")</f>
        <v>WorldCat Record</v>
      </c>
      <c r="AX2839" s="3" t="s">
        <v>28570</v>
      </c>
      <c r="AY2839" s="3" t="s">
        <v>28571</v>
      </c>
      <c r="AZ2839" s="3" t="s">
        <v>28572</v>
      </c>
      <c r="BA2839" s="3" t="s">
        <v>28572</v>
      </c>
      <c r="BB2839" s="3" t="s">
        <v>28573</v>
      </c>
      <c r="BC2839" s="3" t="s">
        <v>77</v>
      </c>
      <c r="BD2839" s="3" t="s">
        <v>78</v>
      </c>
      <c r="BE2839" s="3" t="s">
        <v>28574</v>
      </c>
      <c r="BF2839" s="3" t="s">
        <v>28573</v>
      </c>
      <c r="BG2839" s="3" t="s">
        <v>28575</v>
      </c>
      <c r="BH2839">
        <f t="shared" si="68"/>
        <v>0</v>
      </c>
    </row>
    <row r="2840" spans="1:60" ht="58" x14ac:dyDescent="0.35">
      <c r="A2840" s="2" t="s">
        <v>59</v>
      </c>
      <c r="B2840" s="2" t="s">
        <v>60</v>
      </c>
      <c r="C2840" s="2" t="s">
        <v>28576</v>
      </c>
      <c r="D2840" s="2" t="s">
        <v>28577</v>
      </c>
      <c r="E2840" s="2" t="s">
        <v>28578</v>
      </c>
      <c r="G2840" s="3" t="s">
        <v>64</v>
      </c>
      <c r="I2840" s="3" t="s">
        <v>64</v>
      </c>
      <c r="J2840" s="3" t="s">
        <v>64</v>
      </c>
      <c r="K2840" s="3" t="s">
        <v>65</v>
      </c>
      <c r="M2840" s="2" t="s">
        <v>28579</v>
      </c>
      <c r="N2840" s="3" t="s">
        <v>511</v>
      </c>
      <c r="O2840" s="2" t="s">
        <v>21773</v>
      </c>
      <c r="P2840" s="3" t="s">
        <v>102</v>
      </c>
      <c r="R2840" s="3" t="s">
        <v>70</v>
      </c>
      <c r="S2840" s="4">
        <v>2</v>
      </c>
      <c r="T2840" s="4">
        <v>2</v>
      </c>
      <c r="U2840" s="5" t="s">
        <v>28559</v>
      </c>
      <c r="V2840" s="5" t="s">
        <v>28559</v>
      </c>
      <c r="W2840" s="5" t="s">
        <v>72</v>
      </c>
      <c r="X2840" s="5" t="s">
        <v>72</v>
      </c>
      <c r="Y2840" s="4">
        <v>104</v>
      </c>
      <c r="Z2840" s="4">
        <v>14</v>
      </c>
      <c r="AA2840" s="4">
        <v>81</v>
      </c>
      <c r="AB2840" s="4">
        <v>2</v>
      </c>
      <c r="AC2840" s="4">
        <v>17</v>
      </c>
      <c r="AD2840" s="4">
        <v>40</v>
      </c>
      <c r="AE2840" s="4">
        <v>104</v>
      </c>
      <c r="AF2840" s="4">
        <v>0</v>
      </c>
      <c r="AG2840" s="4">
        <v>8</v>
      </c>
      <c r="AH2840" s="4">
        <v>33</v>
      </c>
      <c r="AI2840" s="4">
        <v>72</v>
      </c>
      <c r="AJ2840" s="4">
        <v>11</v>
      </c>
      <c r="AK2840" s="4">
        <v>20</v>
      </c>
      <c r="AL2840" s="4">
        <v>17</v>
      </c>
      <c r="AM2840" s="4">
        <v>38</v>
      </c>
      <c r="AN2840" s="4">
        <v>0</v>
      </c>
      <c r="AO2840" s="4">
        <v>0</v>
      </c>
      <c r="AP2840" s="4">
        <v>12</v>
      </c>
      <c r="AQ2840" s="4">
        <v>39</v>
      </c>
      <c r="AR2840" s="3" t="s">
        <v>64</v>
      </c>
      <c r="AS2840" s="3" t="s">
        <v>64</v>
      </c>
      <c r="AT2840" s="3" t="s">
        <v>64</v>
      </c>
      <c r="AV2840" s="6" t="str">
        <f>HYPERLINK("http://mcgill.on.worldcat.org/oclc/691074619","Catalog Record")</f>
        <v>Catalog Record</v>
      </c>
      <c r="AW2840" s="6" t="str">
        <f>HYPERLINK("http://www.worldcat.org/oclc/691074619","WorldCat Record")</f>
        <v>WorldCat Record</v>
      </c>
      <c r="AX2840" s="3" t="s">
        <v>28580</v>
      </c>
      <c r="AY2840" s="3" t="s">
        <v>28581</v>
      </c>
      <c r="AZ2840" s="3" t="s">
        <v>28582</v>
      </c>
      <c r="BA2840" s="3" t="s">
        <v>28582</v>
      </c>
      <c r="BB2840" s="3" t="s">
        <v>28583</v>
      </c>
      <c r="BC2840" s="3" t="s">
        <v>77</v>
      </c>
      <c r="BD2840" s="3" t="s">
        <v>78</v>
      </c>
      <c r="BE2840" s="3" t="s">
        <v>28584</v>
      </c>
      <c r="BF2840" s="3" t="s">
        <v>28583</v>
      </c>
      <c r="BG2840" s="3" t="s">
        <v>28585</v>
      </c>
      <c r="BH2840">
        <f t="shared" si="68"/>
        <v>0</v>
      </c>
    </row>
    <row r="2841" spans="1:60" ht="58" x14ac:dyDescent="0.35">
      <c r="A2841" s="2" t="s">
        <v>59</v>
      </c>
      <c r="B2841" s="2" t="s">
        <v>60</v>
      </c>
      <c r="C2841" s="2" t="s">
        <v>28586</v>
      </c>
      <c r="D2841" s="2" t="s">
        <v>28587</v>
      </c>
      <c r="E2841" s="2" t="s">
        <v>28588</v>
      </c>
      <c r="G2841" s="3" t="s">
        <v>64</v>
      </c>
      <c r="H2841" s="3" t="s">
        <v>183</v>
      </c>
      <c r="I2841" s="3" t="s">
        <v>64</v>
      </c>
      <c r="J2841" s="3" t="s">
        <v>64</v>
      </c>
      <c r="K2841" s="3" t="s">
        <v>65</v>
      </c>
      <c r="L2841" s="2" t="s">
        <v>28589</v>
      </c>
      <c r="M2841" s="2" t="s">
        <v>28590</v>
      </c>
      <c r="N2841" s="3" t="s">
        <v>190</v>
      </c>
      <c r="P2841" s="3" t="s">
        <v>102</v>
      </c>
      <c r="R2841" s="3" t="s">
        <v>70</v>
      </c>
      <c r="S2841" s="4">
        <v>3</v>
      </c>
      <c r="T2841" s="4">
        <v>3</v>
      </c>
      <c r="U2841" s="5" t="s">
        <v>28591</v>
      </c>
      <c r="V2841" s="5" t="s">
        <v>28591</v>
      </c>
      <c r="W2841" s="5" t="s">
        <v>18743</v>
      </c>
      <c r="X2841" s="5" t="s">
        <v>18743</v>
      </c>
      <c r="Y2841" s="4">
        <v>133</v>
      </c>
      <c r="Z2841" s="4">
        <v>10</v>
      </c>
      <c r="AA2841" s="4">
        <v>21</v>
      </c>
      <c r="AB2841" s="4">
        <v>1</v>
      </c>
      <c r="AC2841" s="4">
        <v>6</v>
      </c>
      <c r="AD2841" s="4">
        <v>45</v>
      </c>
      <c r="AE2841" s="4">
        <v>66</v>
      </c>
      <c r="AF2841" s="4">
        <v>0</v>
      </c>
      <c r="AG2841" s="4">
        <v>3</v>
      </c>
      <c r="AH2841" s="4">
        <v>41</v>
      </c>
      <c r="AI2841" s="4">
        <v>55</v>
      </c>
      <c r="AJ2841" s="4">
        <v>2</v>
      </c>
      <c r="AK2841" s="4">
        <v>9</v>
      </c>
      <c r="AL2841" s="4">
        <v>26</v>
      </c>
      <c r="AM2841" s="4">
        <v>33</v>
      </c>
      <c r="AN2841" s="4">
        <v>0</v>
      </c>
      <c r="AO2841" s="4">
        <v>0</v>
      </c>
      <c r="AP2841" s="4">
        <v>5</v>
      </c>
      <c r="AQ2841" s="4">
        <v>13</v>
      </c>
      <c r="AR2841" s="3" t="s">
        <v>64</v>
      </c>
      <c r="AS2841" s="3" t="s">
        <v>64</v>
      </c>
      <c r="AT2841" s="3" t="s">
        <v>64</v>
      </c>
      <c r="AV2841" s="6" t="str">
        <f>HYPERLINK("http://mcgill.on.worldcat.org/oclc/1029788824","Catalog Record")</f>
        <v>Catalog Record</v>
      </c>
      <c r="AW2841" s="6" t="str">
        <f>HYPERLINK("http://www.worldcat.org/oclc/1029788824","WorldCat Record")</f>
        <v>WorldCat Record</v>
      </c>
      <c r="AX2841" s="3" t="s">
        <v>28592</v>
      </c>
      <c r="AY2841" s="3" t="s">
        <v>28593</v>
      </c>
      <c r="AZ2841" s="3" t="s">
        <v>28594</v>
      </c>
      <c r="BA2841" s="3" t="s">
        <v>28594</v>
      </c>
      <c r="BB2841" s="3" t="s">
        <v>28595</v>
      </c>
      <c r="BC2841" s="3" t="s">
        <v>77</v>
      </c>
      <c r="BD2841" s="3" t="s">
        <v>165</v>
      </c>
      <c r="BE2841" s="3" t="s">
        <v>28596</v>
      </c>
      <c r="BF2841" s="3" t="s">
        <v>28595</v>
      </c>
      <c r="BG2841" s="3" t="s">
        <v>28597</v>
      </c>
      <c r="BH2841">
        <f t="shared" si="68"/>
        <v>0</v>
      </c>
    </row>
    <row r="2842" spans="1:60" ht="87" x14ac:dyDescent="0.35">
      <c r="A2842" s="2" t="s">
        <v>59</v>
      </c>
      <c r="B2842" s="2" t="s">
        <v>60</v>
      </c>
      <c r="C2842" s="2" t="s">
        <v>28598</v>
      </c>
      <c r="D2842" s="2" t="s">
        <v>28599</v>
      </c>
      <c r="E2842" s="2" t="s">
        <v>28600</v>
      </c>
      <c r="G2842" s="3" t="s">
        <v>64</v>
      </c>
      <c r="I2842" s="3" t="s">
        <v>64</v>
      </c>
      <c r="J2842" s="3" t="s">
        <v>64</v>
      </c>
      <c r="K2842" s="3" t="s">
        <v>65</v>
      </c>
      <c r="M2842" s="2" t="s">
        <v>28601</v>
      </c>
      <c r="N2842" s="3" t="s">
        <v>2067</v>
      </c>
      <c r="P2842" s="3" t="s">
        <v>102</v>
      </c>
      <c r="R2842" s="3" t="s">
        <v>70</v>
      </c>
      <c r="S2842" s="4">
        <v>6</v>
      </c>
      <c r="T2842" s="4">
        <v>6</v>
      </c>
      <c r="U2842" s="5" t="s">
        <v>2222</v>
      </c>
      <c r="V2842" s="5" t="s">
        <v>2222</v>
      </c>
      <c r="W2842" s="5" t="s">
        <v>72</v>
      </c>
      <c r="X2842" s="5" t="s">
        <v>72</v>
      </c>
      <c r="Y2842" s="4">
        <v>182</v>
      </c>
      <c r="Z2842" s="4">
        <v>18</v>
      </c>
      <c r="AA2842" s="4">
        <v>18</v>
      </c>
      <c r="AB2842" s="4">
        <v>3</v>
      </c>
      <c r="AC2842" s="4">
        <v>3</v>
      </c>
      <c r="AD2842" s="4">
        <v>62</v>
      </c>
      <c r="AE2842" s="4">
        <v>63</v>
      </c>
      <c r="AF2842" s="4">
        <v>2</v>
      </c>
      <c r="AG2842" s="4">
        <v>2</v>
      </c>
      <c r="AH2842" s="4">
        <v>54</v>
      </c>
      <c r="AI2842" s="4">
        <v>55</v>
      </c>
      <c r="AJ2842" s="4">
        <v>12</v>
      </c>
      <c r="AK2842" s="4">
        <v>12</v>
      </c>
      <c r="AL2842" s="4">
        <v>28</v>
      </c>
      <c r="AM2842" s="4">
        <v>28</v>
      </c>
      <c r="AN2842" s="4">
        <v>5</v>
      </c>
      <c r="AO2842" s="4">
        <v>5</v>
      </c>
      <c r="AP2842" s="4">
        <v>13</v>
      </c>
      <c r="AQ2842" s="4">
        <v>13</v>
      </c>
      <c r="AR2842" s="3" t="s">
        <v>64</v>
      </c>
      <c r="AS2842" s="3" t="s">
        <v>64</v>
      </c>
      <c r="AT2842" s="3" t="s">
        <v>128</v>
      </c>
      <c r="AU2842" s="6" t="str">
        <f>HYPERLINK("http://catalog.hathitrust.org/Record/102202752","HathiTrust Record")</f>
        <v>HathiTrust Record</v>
      </c>
      <c r="AV2842" s="6" t="str">
        <f>HYPERLINK("http://mcgill.on.worldcat.org/oclc/20234995","Catalog Record")</f>
        <v>Catalog Record</v>
      </c>
      <c r="AW2842" s="6" t="str">
        <f>HYPERLINK("http://www.worldcat.org/oclc/20234995","WorldCat Record")</f>
        <v>WorldCat Record</v>
      </c>
      <c r="AX2842" s="3" t="s">
        <v>28602</v>
      </c>
      <c r="AY2842" s="3" t="s">
        <v>28603</v>
      </c>
      <c r="AZ2842" s="3" t="s">
        <v>28604</v>
      </c>
      <c r="BA2842" s="3" t="s">
        <v>28604</v>
      </c>
      <c r="BB2842" s="3" t="s">
        <v>28605</v>
      </c>
      <c r="BC2842" s="3" t="s">
        <v>77</v>
      </c>
      <c r="BD2842" s="3" t="s">
        <v>78</v>
      </c>
      <c r="BE2842" s="3" t="s">
        <v>28606</v>
      </c>
      <c r="BF2842" s="3" t="s">
        <v>28605</v>
      </c>
      <c r="BG2842" s="3" t="s">
        <v>28607</v>
      </c>
      <c r="BH2842">
        <f t="shared" si="68"/>
        <v>0</v>
      </c>
    </row>
    <row r="2843" spans="1:60" ht="58" x14ac:dyDescent="0.35">
      <c r="A2843" s="2" t="s">
        <v>59</v>
      </c>
      <c r="B2843" s="2" t="s">
        <v>60</v>
      </c>
      <c r="C2843" s="2" t="s">
        <v>28608</v>
      </c>
      <c r="D2843" s="2" t="s">
        <v>28609</v>
      </c>
      <c r="E2843" s="2" t="s">
        <v>28610</v>
      </c>
      <c r="G2843" s="3" t="s">
        <v>64</v>
      </c>
      <c r="I2843" s="3" t="s">
        <v>64</v>
      </c>
      <c r="J2843" s="3" t="s">
        <v>64</v>
      </c>
      <c r="K2843" s="3" t="s">
        <v>65</v>
      </c>
      <c r="L2843" s="2" t="s">
        <v>28611</v>
      </c>
      <c r="M2843" s="2" t="s">
        <v>28612</v>
      </c>
      <c r="N2843" s="3" t="s">
        <v>578</v>
      </c>
      <c r="P2843" s="3" t="s">
        <v>102</v>
      </c>
      <c r="Q2843" s="2" t="s">
        <v>28613</v>
      </c>
      <c r="R2843" s="3" t="s">
        <v>70</v>
      </c>
      <c r="S2843" s="4">
        <v>0</v>
      </c>
      <c r="T2843" s="4">
        <v>0</v>
      </c>
      <c r="W2843" s="5" t="s">
        <v>72</v>
      </c>
      <c r="X2843" s="5" t="s">
        <v>72</v>
      </c>
      <c r="Y2843" s="4">
        <v>54</v>
      </c>
      <c r="Z2843" s="4">
        <v>2</v>
      </c>
      <c r="AA2843" s="4">
        <v>10</v>
      </c>
      <c r="AB2843" s="4">
        <v>1</v>
      </c>
      <c r="AC2843" s="4">
        <v>5</v>
      </c>
      <c r="AD2843" s="4">
        <v>21</v>
      </c>
      <c r="AE2843" s="4">
        <v>38</v>
      </c>
      <c r="AF2843" s="4">
        <v>0</v>
      </c>
      <c r="AG2843" s="4">
        <v>1</v>
      </c>
      <c r="AH2843" s="4">
        <v>19</v>
      </c>
      <c r="AI2843" s="4">
        <v>33</v>
      </c>
      <c r="AJ2843" s="4">
        <v>1</v>
      </c>
      <c r="AK2843" s="4">
        <v>5</v>
      </c>
      <c r="AL2843" s="4">
        <v>15</v>
      </c>
      <c r="AM2843" s="4">
        <v>22</v>
      </c>
      <c r="AN2843" s="4">
        <v>0</v>
      </c>
      <c r="AO2843" s="4">
        <v>0</v>
      </c>
      <c r="AP2843" s="4">
        <v>1</v>
      </c>
      <c r="AQ2843" s="4">
        <v>6</v>
      </c>
      <c r="AR2843" s="3" t="s">
        <v>64</v>
      </c>
      <c r="AS2843" s="3" t="s">
        <v>64</v>
      </c>
      <c r="AT2843" s="3" t="s">
        <v>64</v>
      </c>
      <c r="AV2843" s="6" t="str">
        <f>HYPERLINK("http://mcgill.on.worldcat.org/oclc/949987899","Catalog Record")</f>
        <v>Catalog Record</v>
      </c>
      <c r="AW2843" s="6" t="str">
        <f>HYPERLINK("http://www.worldcat.org/oclc/949987899","WorldCat Record")</f>
        <v>WorldCat Record</v>
      </c>
      <c r="AX2843" s="3" t="s">
        <v>28614</v>
      </c>
      <c r="AY2843" s="3" t="s">
        <v>28615</v>
      </c>
      <c r="AZ2843" s="3" t="s">
        <v>28616</v>
      </c>
      <c r="BA2843" s="3" t="s">
        <v>28616</v>
      </c>
      <c r="BB2843" s="3" t="s">
        <v>28617</v>
      </c>
      <c r="BC2843" s="3" t="s">
        <v>77</v>
      </c>
      <c r="BD2843" s="3" t="s">
        <v>78</v>
      </c>
      <c r="BE2843" s="3" t="s">
        <v>28618</v>
      </c>
      <c r="BF2843" s="3" t="s">
        <v>28617</v>
      </c>
      <c r="BG2843" s="3" t="s">
        <v>28619</v>
      </c>
      <c r="BH2843">
        <f t="shared" si="68"/>
        <v>0</v>
      </c>
    </row>
    <row r="2844" spans="1:60" ht="58" x14ac:dyDescent="0.35">
      <c r="A2844" s="2" t="s">
        <v>59</v>
      </c>
      <c r="B2844" s="2" t="s">
        <v>60</v>
      </c>
      <c r="C2844" s="2" t="s">
        <v>28620</v>
      </c>
      <c r="D2844" s="2" t="s">
        <v>28621</v>
      </c>
      <c r="E2844" s="2" t="s">
        <v>28622</v>
      </c>
      <c r="G2844" s="3" t="s">
        <v>64</v>
      </c>
      <c r="I2844" s="3" t="s">
        <v>64</v>
      </c>
      <c r="J2844" s="3" t="s">
        <v>64</v>
      </c>
      <c r="K2844" s="3" t="s">
        <v>65</v>
      </c>
      <c r="L2844" s="2" t="s">
        <v>28623</v>
      </c>
      <c r="M2844" s="2" t="s">
        <v>28624</v>
      </c>
      <c r="N2844" s="3" t="s">
        <v>86</v>
      </c>
      <c r="P2844" s="3" t="s">
        <v>102</v>
      </c>
      <c r="Q2844" s="2" t="s">
        <v>28625</v>
      </c>
      <c r="R2844" s="3" t="s">
        <v>70</v>
      </c>
      <c r="S2844" s="4">
        <v>6</v>
      </c>
      <c r="T2844" s="4">
        <v>6</v>
      </c>
      <c r="U2844" s="5" t="s">
        <v>154</v>
      </c>
      <c r="V2844" s="5" t="s">
        <v>154</v>
      </c>
      <c r="W2844" s="5" t="s">
        <v>72</v>
      </c>
      <c r="X2844" s="5" t="s">
        <v>72</v>
      </c>
      <c r="Y2844" s="4">
        <v>147</v>
      </c>
      <c r="Z2844" s="4">
        <v>18</v>
      </c>
      <c r="AA2844" s="4">
        <v>55</v>
      </c>
      <c r="AB2844" s="4">
        <v>2</v>
      </c>
      <c r="AC2844" s="4">
        <v>6</v>
      </c>
      <c r="AD2844" s="4">
        <v>47</v>
      </c>
      <c r="AE2844" s="4">
        <v>79</v>
      </c>
      <c r="AF2844" s="4">
        <v>1</v>
      </c>
      <c r="AG2844" s="4">
        <v>2</v>
      </c>
      <c r="AH2844" s="4">
        <v>41</v>
      </c>
      <c r="AI2844" s="4">
        <v>60</v>
      </c>
      <c r="AJ2844" s="4">
        <v>14</v>
      </c>
      <c r="AK2844" s="4">
        <v>23</v>
      </c>
      <c r="AL2844" s="4">
        <v>22</v>
      </c>
      <c r="AM2844" s="4">
        <v>34</v>
      </c>
      <c r="AN2844" s="4">
        <v>0</v>
      </c>
      <c r="AO2844" s="4">
        <v>0</v>
      </c>
      <c r="AP2844" s="4">
        <v>14</v>
      </c>
      <c r="AQ2844" s="4">
        <v>27</v>
      </c>
      <c r="AR2844" s="3" t="s">
        <v>64</v>
      </c>
      <c r="AS2844" s="3" t="s">
        <v>64</v>
      </c>
      <c r="AT2844" s="3" t="s">
        <v>64</v>
      </c>
      <c r="AV2844" s="6" t="str">
        <f>HYPERLINK("http://mcgill.on.worldcat.org/oclc/748328687","Catalog Record")</f>
        <v>Catalog Record</v>
      </c>
      <c r="AW2844" s="6" t="str">
        <f>HYPERLINK("http://www.worldcat.org/oclc/748328687","WorldCat Record")</f>
        <v>WorldCat Record</v>
      </c>
      <c r="AX2844" s="3" t="s">
        <v>28626</v>
      </c>
      <c r="AY2844" s="3" t="s">
        <v>28627</v>
      </c>
      <c r="AZ2844" s="3" t="s">
        <v>28628</v>
      </c>
      <c r="BA2844" s="3" t="s">
        <v>28628</v>
      </c>
      <c r="BB2844" s="3" t="s">
        <v>28629</v>
      </c>
      <c r="BC2844" s="3" t="s">
        <v>77</v>
      </c>
      <c r="BD2844" s="3" t="s">
        <v>165</v>
      </c>
      <c r="BE2844" s="3" t="s">
        <v>28630</v>
      </c>
      <c r="BF2844" s="3" t="s">
        <v>28629</v>
      </c>
      <c r="BG2844" s="3" t="s">
        <v>28631</v>
      </c>
      <c r="BH2844">
        <f t="shared" si="68"/>
        <v>0</v>
      </c>
    </row>
    <row r="2845" spans="1:60" ht="87" x14ac:dyDescent="0.35">
      <c r="A2845" s="2" t="s">
        <v>59</v>
      </c>
      <c r="B2845" s="2" t="s">
        <v>60</v>
      </c>
      <c r="C2845" s="2" t="s">
        <v>28632</v>
      </c>
      <c r="D2845" s="2" t="s">
        <v>28633</v>
      </c>
      <c r="E2845" s="2" t="s">
        <v>28634</v>
      </c>
      <c r="G2845" s="3" t="s">
        <v>64</v>
      </c>
      <c r="I2845" s="3" t="s">
        <v>64</v>
      </c>
      <c r="J2845" s="3" t="s">
        <v>64</v>
      </c>
      <c r="K2845" s="3" t="s">
        <v>65</v>
      </c>
      <c r="L2845" s="2" t="s">
        <v>28635</v>
      </c>
      <c r="M2845" s="2" t="s">
        <v>28636</v>
      </c>
      <c r="N2845" s="3" t="s">
        <v>1263</v>
      </c>
      <c r="O2845" s="2" t="s">
        <v>2149</v>
      </c>
      <c r="P2845" s="3" t="s">
        <v>102</v>
      </c>
      <c r="R2845" s="3" t="s">
        <v>70</v>
      </c>
      <c r="S2845" s="4">
        <v>7</v>
      </c>
      <c r="T2845" s="4">
        <v>7</v>
      </c>
      <c r="U2845" s="5" t="s">
        <v>7352</v>
      </c>
      <c r="V2845" s="5" t="s">
        <v>7352</v>
      </c>
      <c r="W2845" s="5" t="s">
        <v>72</v>
      </c>
      <c r="X2845" s="5" t="s">
        <v>72</v>
      </c>
      <c r="Y2845" s="4">
        <v>50</v>
      </c>
      <c r="Z2845" s="4">
        <v>8</v>
      </c>
      <c r="AA2845" s="4">
        <v>10</v>
      </c>
      <c r="AB2845" s="4">
        <v>1</v>
      </c>
      <c r="AC2845" s="4">
        <v>1</v>
      </c>
      <c r="AD2845" s="4">
        <v>15</v>
      </c>
      <c r="AE2845" s="4">
        <v>29</v>
      </c>
      <c r="AF2845" s="4">
        <v>0</v>
      </c>
      <c r="AG2845" s="4">
        <v>0</v>
      </c>
      <c r="AH2845" s="4">
        <v>14</v>
      </c>
      <c r="AI2845" s="4">
        <v>27</v>
      </c>
      <c r="AJ2845" s="4">
        <v>2</v>
      </c>
      <c r="AK2845" s="4">
        <v>4</v>
      </c>
      <c r="AL2845" s="4">
        <v>11</v>
      </c>
      <c r="AM2845" s="4">
        <v>17</v>
      </c>
      <c r="AN2845" s="4">
        <v>0</v>
      </c>
      <c r="AO2845" s="4">
        <v>0</v>
      </c>
      <c r="AP2845" s="4">
        <v>2</v>
      </c>
      <c r="AQ2845" s="4">
        <v>4</v>
      </c>
      <c r="AR2845" s="3" t="s">
        <v>64</v>
      </c>
      <c r="AS2845" s="3" t="s">
        <v>64</v>
      </c>
      <c r="AT2845" s="3" t="s">
        <v>128</v>
      </c>
      <c r="AU2845" s="6" t="str">
        <f>HYPERLINK("http://catalog.hathitrust.org/Record/009211046","HathiTrust Record")</f>
        <v>HathiTrust Record</v>
      </c>
      <c r="AV2845" s="6" t="str">
        <f>HYPERLINK("http://mcgill.on.worldcat.org/oclc/28967298","Catalog Record")</f>
        <v>Catalog Record</v>
      </c>
      <c r="AW2845" s="6" t="str">
        <f>HYPERLINK("http://www.worldcat.org/oclc/28967298","WorldCat Record")</f>
        <v>WorldCat Record</v>
      </c>
      <c r="AX2845" s="3" t="s">
        <v>28637</v>
      </c>
      <c r="AY2845" s="3" t="s">
        <v>28638</v>
      </c>
      <c r="AZ2845" s="3" t="s">
        <v>28639</v>
      </c>
      <c r="BA2845" s="3" t="s">
        <v>28639</v>
      </c>
      <c r="BB2845" s="3" t="s">
        <v>28640</v>
      </c>
      <c r="BC2845" s="3" t="s">
        <v>25924</v>
      </c>
      <c r="BD2845" s="3" t="s">
        <v>78</v>
      </c>
      <c r="BE2845" s="3" t="s">
        <v>28641</v>
      </c>
      <c r="BF2845" s="3" t="s">
        <v>28640</v>
      </c>
      <c r="BG2845" s="3" t="s">
        <v>28642</v>
      </c>
      <c r="BH2845">
        <f t="shared" si="68"/>
        <v>0</v>
      </c>
    </row>
    <row r="2846" spans="1:60" ht="58" x14ac:dyDescent="0.35">
      <c r="A2846" s="2" t="s">
        <v>59</v>
      </c>
      <c r="B2846" s="2" t="s">
        <v>60</v>
      </c>
      <c r="C2846" s="2" t="s">
        <v>28643</v>
      </c>
      <c r="D2846" s="2" t="s">
        <v>28644</v>
      </c>
      <c r="E2846" s="2" t="s">
        <v>28645</v>
      </c>
      <c r="G2846" s="3" t="s">
        <v>64</v>
      </c>
      <c r="I2846" s="3" t="s">
        <v>64</v>
      </c>
      <c r="J2846" s="3" t="s">
        <v>64</v>
      </c>
      <c r="K2846" s="3" t="s">
        <v>65</v>
      </c>
      <c r="M2846" s="2" t="s">
        <v>28646</v>
      </c>
      <c r="N2846" s="3" t="s">
        <v>86</v>
      </c>
      <c r="P2846" s="3" t="s">
        <v>102</v>
      </c>
      <c r="R2846" s="3" t="s">
        <v>70</v>
      </c>
      <c r="S2846" s="4">
        <v>0</v>
      </c>
      <c r="T2846" s="4">
        <v>0</v>
      </c>
      <c r="W2846" s="5" t="s">
        <v>72</v>
      </c>
      <c r="X2846" s="5" t="s">
        <v>72</v>
      </c>
      <c r="Y2846" s="4">
        <v>29</v>
      </c>
      <c r="Z2846" s="4">
        <v>6</v>
      </c>
      <c r="AA2846" s="4">
        <v>7</v>
      </c>
      <c r="AB2846" s="4">
        <v>1</v>
      </c>
      <c r="AC2846" s="4">
        <v>2</v>
      </c>
      <c r="AD2846" s="4">
        <v>11</v>
      </c>
      <c r="AE2846" s="4">
        <v>11</v>
      </c>
      <c r="AF2846" s="4">
        <v>0</v>
      </c>
      <c r="AG2846" s="4">
        <v>0</v>
      </c>
      <c r="AH2846" s="4">
        <v>9</v>
      </c>
      <c r="AI2846" s="4">
        <v>9</v>
      </c>
      <c r="AJ2846" s="4">
        <v>4</v>
      </c>
      <c r="AK2846" s="4">
        <v>4</v>
      </c>
      <c r="AL2846" s="4">
        <v>6</v>
      </c>
      <c r="AM2846" s="4">
        <v>6</v>
      </c>
      <c r="AN2846" s="4">
        <v>0</v>
      </c>
      <c r="AO2846" s="4">
        <v>0</v>
      </c>
      <c r="AP2846" s="4">
        <v>4</v>
      </c>
      <c r="AQ2846" s="4">
        <v>4</v>
      </c>
      <c r="AR2846" s="3" t="s">
        <v>64</v>
      </c>
      <c r="AS2846" s="3" t="s">
        <v>64</v>
      </c>
      <c r="AT2846" s="3" t="s">
        <v>64</v>
      </c>
      <c r="AV2846" s="6" t="str">
        <f>HYPERLINK("http://mcgill.on.worldcat.org/oclc/826378984","Catalog Record")</f>
        <v>Catalog Record</v>
      </c>
      <c r="AW2846" s="6" t="str">
        <f>HYPERLINK("http://www.worldcat.org/oclc/826378984","WorldCat Record")</f>
        <v>WorldCat Record</v>
      </c>
      <c r="AX2846" s="3" t="s">
        <v>28647</v>
      </c>
      <c r="AY2846" s="3" t="s">
        <v>28648</v>
      </c>
      <c r="AZ2846" s="3" t="s">
        <v>28649</v>
      </c>
      <c r="BA2846" s="3" t="s">
        <v>28649</v>
      </c>
      <c r="BB2846" s="3" t="s">
        <v>28650</v>
      </c>
      <c r="BC2846" s="3" t="s">
        <v>77</v>
      </c>
      <c r="BD2846" s="3" t="s">
        <v>78</v>
      </c>
      <c r="BE2846" s="3" t="s">
        <v>28651</v>
      </c>
      <c r="BF2846" s="3" t="s">
        <v>28650</v>
      </c>
      <c r="BG2846" s="3" t="s">
        <v>28652</v>
      </c>
      <c r="BH2846">
        <f t="shared" si="68"/>
        <v>0</v>
      </c>
    </row>
    <row r="2847" spans="1:60" ht="72.5" x14ac:dyDescent="0.35">
      <c r="A2847" s="2" t="s">
        <v>59</v>
      </c>
      <c r="B2847" s="2" t="s">
        <v>60</v>
      </c>
      <c r="C2847" s="2" t="s">
        <v>28653</v>
      </c>
      <c r="D2847" s="2" t="s">
        <v>28654</v>
      </c>
      <c r="E2847" s="2" t="s">
        <v>28655</v>
      </c>
      <c r="G2847" s="3" t="s">
        <v>128</v>
      </c>
      <c r="I2847" s="3" t="s">
        <v>128</v>
      </c>
      <c r="J2847" s="3" t="s">
        <v>64</v>
      </c>
      <c r="K2847" s="3" t="s">
        <v>65</v>
      </c>
      <c r="M2847" s="2" t="s">
        <v>28656</v>
      </c>
      <c r="N2847" s="3" t="s">
        <v>3047</v>
      </c>
      <c r="O2847" s="2" t="s">
        <v>28657</v>
      </c>
      <c r="P2847" s="3" t="s">
        <v>102</v>
      </c>
      <c r="R2847" s="3" t="s">
        <v>70</v>
      </c>
      <c r="S2847" s="4">
        <v>0</v>
      </c>
      <c r="T2847" s="4">
        <v>7</v>
      </c>
      <c r="V2847" s="5" t="s">
        <v>2055</v>
      </c>
      <c r="W2847" s="5" t="s">
        <v>72</v>
      </c>
      <c r="X2847" s="5" t="s">
        <v>72</v>
      </c>
      <c r="Y2847" s="4">
        <v>219</v>
      </c>
      <c r="Z2847" s="4">
        <v>12</v>
      </c>
      <c r="AA2847" s="4">
        <v>19</v>
      </c>
      <c r="AB2847" s="4">
        <v>2</v>
      </c>
      <c r="AC2847" s="4">
        <v>5</v>
      </c>
      <c r="AD2847" s="4">
        <v>77</v>
      </c>
      <c r="AE2847" s="4">
        <v>97</v>
      </c>
      <c r="AF2847" s="4">
        <v>0</v>
      </c>
      <c r="AG2847" s="4">
        <v>3</v>
      </c>
      <c r="AH2847" s="4">
        <v>72</v>
      </c>
      <c r="AI2847" s="4">
        <v>85</v>
      </c>
      <c r="AJ2847" s="4">
        <v>7</v>
      </c>
      <c r="AK2847" s="4">
        <v>14</v>
      </c>
      <c r="AL2847" s="4">
        <v>39</v>
      </c>
      <c r="AM2847" s="4">
        <v>48</v>
      </c>
      <c r="AN2847" s="4">
        <v>0</v>
      </c>
      <c r="AO2847" s="4">
        <v>0</v>
      </c>
      <c r="AP2847" s="4">
        <v>6</v>
      </c>
      <c r="AQ2847" s="4">
        <v>10</v>
      </c>
      <c r="AR2847" s="3" t="s">
        <v>64</v>
      </c>
      <c r="AS2847" s="3" t="s">
        <v>64</v>
      </c>
      <c r="AT2847" s="3" t="s">
        <v>64</v>
      </c>
      <c r="AV2847" s="6" t="str">
        <f>HYPERLINK("http://mcgill.on.worldcat.org/oclc/16352703","Catalog Record")</f>
        <v>Catalog Record</v>
      </c>
      <c r="AW2847" s="6" t="str">
        <f>HYPERLINK("http://www.worldcat.org/oclc/16352703","WorldCat Record")</f>
        <v>WorldCat Record</v>
      </c>
      <c r="AX2847" s="3" t="s">
        <v>28658</v>
      </c>
      <c r="AY2847" s="3" t="s">
        <v>28659</v>
      </c>
      <c r="AZ2847" s="3" t="s">
        <v>28660</v>
      </c>
      <c r="BA2847" s="3" t="s">
        <v>28660</v>
      </c>
      <c r="BB2847" s="3" t="s">
        <v>28661</v>
      </c>
      <c r="BC2847" s="3" t="s">
        <v>77</v>
      </c>
      <c r="BD2847" s="3" t="s">
        <v>78</v>
      </c>
      <c r="BF2847" s="3" t="s">
        <v>28661</v>
      </c>
      <c r="BG2847" s="3" t="s">
        <v>28662</v>
      </c>
      <c r="BH2847">
        <f t="shared" si="68"/>
        <v>0</v>
      </c>
    </row>
    <row r="2848" spans="1:60" ht="72.5" x14ac:dyDescent="0.35">
      <c r="A2848" s="2" t="s">
        <v>59</v>
      </c>
      <c r="B2848" s="2" t="s">
        <v>60</v>
      </c>
      <c r="C2848" s="2" t="s">
        <v>28663</v>
      </c>
      <c r="D2848" s="2" t="s">
        <v>28664</v>
      </c>
      <c r="E2848" s="2" t="s">
        <v>28655</v>
      </c>
      <c r="F2848" s="3" t="s">
        <v>28665</v>
      </c>
      <c r="G2848" s="3" t="s">
        <v>128</v>
      </c>
      <c r="I2848" s="3" t="s">
        <v>128</v>
      </c>
      <c r="J2848" s="3" t="s">
        <v>64</v>
      </c>
      <c r="K2848" s="3" t="s">
        <v>65</v>
      </c>
      <c r="M2848" s="2" t="s">
        <v>28656</v>
      </c>
      <c r="N2848" s="3" t="s">
        <v>3047</v>
      </c>
      <c r="O2848" s="2" t="s">
        <v>28657</v>
      </c>
      <c r="P2848" s="3" t="s">
        <v>102</v>
      </c>
      <c r="R2848" s="3" t="s">
        <v>70</v>
      </c>
      <c r="S2848" s="4">
        <v>0</v>
      </c>
      <c r="T2848" s="4">
        <v>7</v>
      </c>
      <c r="V2848" s="5" t="s">
        <v>2055</v>
      </c>
      <c r="W2848" s="5" t="s">
        <v>72</v>
      </c>
      <c r="X2848" s="5" t="s">
        <v>72</v>
      </c>
      <c r="Y2848" s="4">
        <v>219</v>
      </c>
      <c r="Z2848" s="4">
        <v>12</v>
      </c>
      <c r="AA2848" s="4">
        <v>19</v>
      </c>
      <c r="AB2848" s="4">
        <v>2</v>
      </c>
      <c r="AC2848" s="4">
        <v>5</v>
      </c>
      <c r="AD2848" s="4">
        <v>77</v>
      </c>
      <c r="AE2848" s="4">
        <v>97</v>
      </c>
      <c r="AF2848" s="4">
        <v>0</v>
      </c>
      <c r="AG2848" s="4">
        <v>3</v>
      </c>
      <c r="AH2848" s="4">
        <v>72</v>
      </c>
      <c r="AI2848" s="4">
        <v>85</v>
      </c>
      <c r="AJ2848" s="4">
        <v>7</v>
      </c>
      <c r="AK2848" s="4">
        <v>14</v>
      </c>
      <c r="AL2848" s="4">
        <v>39</v>
      </c>
      <c r="AM2848" s="4">
        <v>48</v>
      </c>
      <c r="AN2848" s="4">
        <v>0</v>
      </c>
      <c r="AO2848" s="4">
        <v>0</v>
      </c>
      <c r="AP2848" s="4">
        <v>6</v>
      </c>
      <c r="AQ2848" s="4">
        <v>10</v>
      </c>
      <c r="AR2848" s="3" t="s">
        <v>64</v>
      </c>
      <c r="AS2848" s="3" t="s">
        <v>64</v>
      </c>
      <c r="AT2848" s="3" t="s">
        <v>64</v>
      </c>
      <c r="AV2848" s="6" t="str">
        <f>HYPERLINK("http://mcgill.on.worldcat.org/oclc/16352703","Catalog Record")</f>
        <v>Catalog Record</v>
      </c>
      <c r="AW2848" s="6" t="str">
        <f>HYPERLINK("http://www.worldcat.org/oclc/16352703","WorldCat Record")</f>
        <v>WorldCat Record</v>
      </c>
      <c r="AX2848" s="3" t="s">
        <v>28658</v>
      </c>
      <c r="AY2848" s="3" t="s">
        <v>28659</v>
      </c>
      <c r="AZ2848" s="3" t="s">
        <v>28660</v>
      </c>
      <c r="BA2848" s="3" t="s">
        <v>28660</v>
      </c>
      <c r="BB2848" s="3" t="s">
        <v>28666</v>
      </c>
      <c r="BC2848" s="3" t="s">
        <v>77</v>
      </c>
      <c r="BD2848" s="3" t="s">
        <v>78</v>
      </c>
      <c r="BF2848" s="3" t="s">
        <v>28666</v>
      </c>
      <c r="BG2848" s="3" t="s">
        <v>28667</v>
      </c>
      <c r="BH2848">
        <f t="shared" si="68"/>
        <v>0</v>
      </c>
    </row>
    <row r="2849" spans="1:60" ht="72.5" x14ac:dyDescent="0.35">
      <c r="A2849" s="2" t="s">
        <v>59</v>
      </c>
      <c r="B2849" s="2" t="s">
        <v>60</v>
      </c>
      <c r="C2849" s="2" t="s">
        <v>28663</v>
      </c>
      <c r="D2849" s="2" t="s">
        <v>28664</v>
      </c>
      <c r="E2849" s="2" t="s">
        <v>28655</v>
      </c>
      <c r="F2849" s="3" t="s">
        <v>28668</v>
      </c>
      <c r="G2849" s="3" t="s">
        <v>128</v>
      </c>
      <c r="I2849" s="3" t="s">
        <v>128</v>
      </c>
      <c r="J2849" s="3" t="s">
        <v>64</v>
      </c>
      <c r="K2849" s="3" t="s">
        <v>65</v>
      </c>
      <c r="M2849" s="2" t="s">
        <v>28656</v>
      </c>
      <c r="N2849" s="3" t="s">
        <v>3047</v>
      </c>
      <c r="O2849" s="2" t="s">
        <v>28657</v>
      </c>
      <c r="P2849" s="3" t="s">
        <v>102</v>
      </c>
      <c r="R2849" s="3" t="s">
        <v>70</v>
      </c>
      <c r="S2849" s="4">
        <v>7</v>
      </c>
      <c r="T2849" s="4">
        <v>7</v>
      </c>
      <c r="U2849" s="5" t="s">
        <v>2055</v>
      </c>
      <c r="V2849" s="5" t="s">
        <v>2055</v>
      </c>
      <c r="W2849" s="5" t="s">
        <v>72</v>
      </c>
      <c r="X2849" s="5" t="s">
        <v>72</v>
      </c>
      <c r="Y2849" s="4">
        <v>219</v>
      </c>
      <c r="Z2849" s="4">
        <v>12</v>
      </c>
      <c r="AA2849" s="4">
        <v>19</v>
      </c>
      <c r="AB2849" s="4">
        <v>2</v>
      </c>
      <c r="AC2849" s="4">
        <v>5</v>
      </c>
      <c r="AD2849" s="4">
        <v>77</v>
      </c>
      <c r="AE2849" s="4">
        <v>97</v>
      </c>
      <c r="AF2849" s="4">
        <v>0</v>
      </c>
      <c r="AG2849" s="4">
        <v>3</v>
      </c>
      <c r="AH2849" s="4">
        <v>72</v>
      </c>
      <c r="AI2849" s="4">
        <v>85</v>
      </c>
      <c r="AJ2849" s="4">
        <v>7</v>
      </c>
      <c r="AK2849" s="4">
        <v>14</v>
      </c>
      <c r="AL2849" s="4">
        <v>39</v>
      </c>
      <c r="AM2849" s="4">
        <v>48</v>
      </c>
      <c r="AN2849" s="4">
        <v>0</v>
      </c>
      <c r="AO2849" s="4">
        <v>0</v>
      </c>
      <c r="AP2849" s="4">
        <v>6</v>
      </c>
      <c r="AQ2849" s="4">
        <v>10</v>
      </c>
      <c r="AR2849" s="3" t="s">
        <v>64</v>
      </c>
      <c r="AS2849" s="3" t="s">
        <v>64</v>
      </c>
      <c r="AT2849" s="3" t="s">
        <v>64</v>
      </c>
      <c r="AV2849" s="6" t="str">
        <f>HYPERLINK("http://mcgill.on.worldcat.org/oclc/16352703","Catalog Record")</f>
        <v>Catalog Record</v>
      </c>
      <c r="AW2849" s="6" t="str">
        <f>HYPERLINK("http://www.worldcat.org/oclc/16352703","WorldCat Record")</f>
        <v>WorldCat Record</v>
      </c>
      <c r="AX2849" s="3" t="s">
        <v>28658</v>
      </c>
      <c r="AY2849" s="3" t="s">
        <v>28659</v>
      </c>
      <c r="AZ2849" s="3" t="s">
        <v>28660</v>
      </c>
      <c r="BA2849" s="3" t="s">
        <v>28660</v>
      </c>
      <c r="BB2849" s="3" t="s">
        <v>28669</v>
      </c>
      <c r="BC2849" s="3" t="s">
        <v>77</v>
      </c>
      <c r="BD2849" s="3" t="s">
        <v>78</v>
      </c>
      <c r="BF2849" s="3" t="s">
        <v>28669</v>
      </c>
      <c r="BG2849" s="3" t="s">
        <v>28670</v>
      </c>
      <c r="BH2849">
        <f t="shared" si="68"/>
        <v>0</v>
      </c>
    </row>
    <row r="2850" spans="1:60" ht="72.5" x14ac:dyDescent="0.35">
      <c r="A2850" s="2" t="s">
        <v>59</v>
      </c>
      <c r="B2850" s="2" t="s">
        <v>60</v>
      </c>
      <c r="C2850" s="2" t="s">
        <v>28671</v>
      </c>
      <c r="D2850" s="2" t="s">
        <v>28672</v>
      </c>
      <c r="E2850" s="2" t="s">
        <v>28673</v>
      </c>
      <c r="G2850" s="3" t="s">
        <v>64</v>
      </c>
      <c r="I2850" s="3" t="s">
        <v>64</v>
      </c>
      <c r="J2850" s="3" t="s">
        <v>64</v>
      </c>
      <c r="K2850" s="3" t="s">
        <v>65</v>
      </c>
      <c r="M2850" s="2" t="s">
        <v>14033</v>
      </c>
      <c r="N2850" s="3" t="s">
        <v>434</v>
      </c>
      <c r="P2850" s="3" t="s">
        <v>102</v>
      </c>
      <c r="R2850" s="3" t="s">
        <v>70</v>
      </c>
      <c r="S2850" s="4">
        <v>17</v>
      </c>
      <c r="T2850" s="4">
        <v>17</v>
      </c>
      <c r="U2850" s="5" t="s">
        <v>4936</v>
      </c>
      <c r="V2850" s="5" t="s">
        <v>4936</v>
      </c>
      <c r="W2850" s="5" t="s">
        <v>72</v>
      </c>
      <c r="X2850" s="5" t="s">
        <v>72</v>
      </c>
      <c r="Y2850" s="4">
        <v>251</v>
      </c>
      <c r="Z2850" s="4">
        <v>18</v>
      </c>
      <c r="AA2850" s="4">
        <v>19</v>
      </c>
      <c r="AB2850" s="4">
        <v>2</v>
      </c>
      <c r="AC2850" s="4">
        <v>3</v>
      </c>
      <c r="AD2850" s="4">
        <v>83</v>
      </c>
      <c r="AE2850" s="4">
        <v>84</v>
      </c>
      <c r="AF2850" s="4">
        <v>1</v>
      </c>
      <c r="AG2850" s="4">
        <v>2</v>
      </c>
      <c r="AH2850" s="4">
        <v>77</v>
      </c>
      <c r="AI2850" s="4">
        <v>77</v>
      </c>
      <c r="AJ2850" s="4">
        <v>12</v>
      </c>
      <c r="AK2850" s="4">
        <v>13</v>
      </c>
      <c r="AL2850" s="4">
        <v>38</v>
      </c>
      <c r="AM2850" s="4">
        <v>38</v>
      </c>
      <c r="AN2850" s="4">
        <v>0</v>
      </c>
      <c r="AO2850" s="4">
        <v>0</v>
      </c>
      <c r="AP2850" s="4">
        <v>14</v>
      </c>
      <c r="AQ2850" s="4">
        <v>14</v>
      </c>
      <c r="AR2850" s="3" t="s">
        <v>64</v>
      </c>
      <c r="AS2850" s="3" t="s">
        <v>64</v>
      </c>
      <c r="AT2850" s="3" t="s">
        <v>64</v>
      </c>
      <c r="AV2850" s="6" t="str">
        <f>HYPERLINK("http://mcgill.on.worldcat.org/oclc/56192216","Catalog Record")</f>
        <v>Catalog Record</v>
      </c>
      <c r="AW2850" s="6" t="str">
        <f>HYPERLINK("http://www.worldcat.org/oclc/56192216","WorldCat Record")</f>
        <v>WorldCat Record</v>
      </c>
      <c r="AX2850" s="3" t="s">
        <v>28674</v>
      </c>
      <c r="AY2850" s="3" t="s">
        <v>28675</v>
      </c>
      <c r="AZ2850" s="3" t="s">
        <v>28676</v>
      </c>
      <c r="BA2850" s="3" t="s">
        <v>28676</v>
      </c>
      <c r="BB2850" s="3" t="s">
        <v>28677</v>
      </c>
      <c r="BC2850" s="3" t="s">
        <v>77</v>
      </c>
      <c r="BD2850" s="3" t="s">
        <v>78</v>
      </c>
      <c r="BE2850" s="3" t="s">
        <v>28678</v>
      </c>
      <c r="BF2850" s="3" t="s">
        <v>28677</v>
      </c>
      <c r="BG2850" s="3" t="s">
        <v>28679</v>
      </c>
      <c r="BH2850">
        <f t="shared" si="68"/>
        <v>0</v>
      </c>
    </row>
    <row r="2851" spans="1:60" ht="58" x14ac:dyDescent="0.35">
      <c r="A2851" s="2" t="s">
        <v>59</v>
      </c>
      <c r="B2851" s="2" t="s">
        <v>60</v>
      </c>
      <c r="C2851" s="2" t="s">
        <v>28680</v>
      </c>
      <c r="D2851" s="2" t="s">
        <v>28681</v>
      </c>
      <c r="E2851" s="2" t="s">
        <v>28682</v>
      </c>
      <c r="G2851" s="3" t="s">
        <v>64</v>
      </c>
      <c r="I2851" s="3" t="s">
        <v>64</v>
      </c>
      <c r="J2851" s="3" t="s">
        <v>64</v>
      </c>
      <c r="K2851" s="3" t="s">
        <v>65</v>
      </c>
      <c r="L2851" s="2" t="s">
        <v>28683</v>
      </c>
      <c r="M2851" s="2" t="s">
        <v>19276</v>
      </c>
      <c r="N2851" s="3" t="s">
        <v>101</v>
      </c>
      <c r="P2851" s="3" t="s">
        <v>102</v>
      </c>
      <c r="R2851" s="3" t="s">
        <v>70</v>
      </c>
      <c r="S2851" s="4">
        <v>8</v>
      </c>
      <c r="T2851" s="4">
        <v>8</v>
      </c>
      <c r="U2851" s="5" t="s">
        <v>28053</v>
      </c>
      <c r="V2851" s="5" t="s">
        <v>28053</v>
      </c>
      <c r="W2851" s="5" t="s">
        <v>72</v>
      </c>
      <c r="X2851" s="5" t="s">
        <v>72</v>
      </c>
      <c r="Y2851" s="4">
        <v>220</v>
      </c>
      <c r="Z2851" s="4">
        <v>15</v>
      </c>
      <c r="AA2851" s="4">
        <v>15</v>
      </c>
      <c r="AB2851" s="4">
        <v>1</v>
      </c>
      <c r="AC2851" s="4">
        <v>1</v>
      </c>
      <c r="AD2851" s="4">
        <v>62</v>
      </c>
      <c r="AE2851" s="4">
        <v>62</v>
      </c>
      <c r="AF2851" s="4">
        <v>0</v>
      </c>
      <c r="AG2851" s="4">
        <v>0</v>
      </c>
      <c r="AH2851" s="4">
        <v>57</v>
      </c>
      <c r="AI2851" s="4">
        <v>57</v>
      </c>
      <c r="AJ2851" s="4">
        <v>8</v>
      </c>
      <c r="AK2851" s="4">
        <v>8</v>
      </c>
      <c r="AL2851" s="4">
        <v>27</v>
      </c>
      <c r="AM2851" s="4">
        <v>27</v>
      </c>
      <c r="AN2851" s="4">
        <v>0</v>
      </c>
      <c r="AO2851" s="4">
        <v>0</v>
      </c>
      <c r="AP2851" s="4">
        <v>11</v>
      </c>
      <c r="AQ2851" s="4">
        <v>11</v>
      </c>
      <c r="AR2851" s="3" t="s">
        <v>64</v>
      </c>
      <c r="AS2851" s="3" t="s">
        <v>64</v>
      </c>
      <c r="AT2851" s="3" t="s">
        <v>128</v>
      </c>
      <c r="AU2851" s="6" t="str">
        <f>HYPERLINK("http://catalog.hathitrust.org/Record/004292793","HathiTrust Record")</f>
        <v>HathiTrust Record</v>
      </c>
      <c r="AV2851" s="6" t="str">
        <f>HYPERLINK("http://mcgill.on.worldcat.org/oclc/50417372","Catalog Record")</f>
        <v>Catalog Record</v>
      </c>
      <c r="AW2851" s="6" t="str">
        <f>HYPERLINK("http://www.worldcat.org/oclc/50417372","WorldCat Record")</f>
        <v>WorldCat Record</v>
      </c>
      <c r="AX2851" s="3" t="s">
        <v>28684</v>
      </c>
      <c r="AY2851" s="3" t="s">
        <v>28685</v>
      </c>
      <c r="AZ2851" s="3" t="s">
        <v>28686</v>
      </c>
      <c r="BA2851" s="3" t="s">
        <v>28686</v>
      </c>
      <c r="BB2851" s="3" t="s">
        <v>28687</v>
      </c>
      <c r="BC2851" s="3" t="s">
        <v>77</v>
      </c>
      <c r="BD2851" s="3" t="s">
        <v>78</v>
      </c>
      <c r="BE2851" s="3" t="s">
        <v>28688</v>
      </c>
      <c r="BF2851" s="3" t="s">
        <v>28687</v>
      </c>
      <c r="BG2851" s="3" t="s">
        <v>28689</v>
      </c>
      <c r="BH2851">
        <f t="shared" si="68"/>
        <v>0</v>
      </c>
    </row>
    <row r="2852" spans="1:60" ht="58" x14ac:dyDescent="0.35">
      <c r="A2852" s="2" t="s">
        <v>59</v>
      </c>
      <c r="B2852" s="2" t="s">
        <v>60</v>
      </c>
      <c r="C2852" s="2" t="s">
        <v>28690</v>
      </c>
      <c r="D2852" s="2" t="s">
        <v>28691</v>
      </c>
      <c r="E2852" s="2" t="s">
        <v>28692</v>
      </c>
      <c r="G2852" s="3" t="s">
        <v>64</v>
      </c>
      <c r="I2852" s="3" t="s">
        <v>64</v>
      </c>
      <c r="J2852" s="3" t="s">
        <v>64</v>
      </c>
      <c r="K2852" s="3" t="s">
        <v>65</v>
      </c>
      <c r="L2852" s="2" t="s">
        <v>28387</v>
      </c>
      <c r="M2852" s="2" t="s">
        <v>20553</v>
      </c>
      <c r="N2852" s="3" t="s">
        <v>171</v>
      </c>
      <c r="P2852" s="3" t="s">
        <v>102</v>
      </c>
      <c r="R2852" s="3" t="s">
        <v>70</v>
      </c>
      <c r="S2852" s="4">
        <v>4</v>
      </c>
      <c r="T2852" s="4">
        <v>4</v>
      </c>
      <c r="U2852" s="5" t="s">
        <v>9239</v>
      </c>
      <c r="V2852" s="5" t="s">
        <v>9239</v>
      </c>
      <c r="W2852" s="5" t="s">
        <v>72</v>
      </c>
      <c r="X2852" s="5" t="s">
        <v>72</v>
      </c>
      <c r="Y2852" s="4">
        <v>461</v>
      </c>
      <c r="Z2852" s="4">
        <v>24</v>
      </c>
      <c r="AA2852" s="4">
        <v>28</v>
      </c>
      <c r="AB2852" s="4">
        <v>4</v>
      </c>
      <c r="AC2852" s="4">
        <v>7</v>
      </c>
      <c r="AD2852" s="4">
        <v>76</v>
      </c>
      <c r="AE2852" s="4">
        <v>79</v>
      </c>
      <c r="AF2852" s="4">
        <v>1</v>
      </c>
      <c r="AG2852" s="4">
        <v>2</v>
      </c>
      <c r="AH2852" s="4">
        <v>66</v>
      </c>
      <c r="AI2852" s="4">
        <v>67</v>
      </c>
      <c r="AJ2852" s="4">
        <v>11</v>
      </c>
      <c r="AK2852" s="4">
        <v>13</v>
      </c>
      <c r="AL2852" s="4">
        <v>37</v>
      </c>
      <c r="AM2852" s="4">
        <v>37</v>
      </c>
      <c r="AN2852" s="4">
        <v>0</v>
      </c>
      <c r="AO2852" s="4">
        <v>0</v>
      </c>
      <c r="AP2852" s="4">
        <v>14</v>
      </c>
      <c r="AQ2852" s="4">
        <v>15</v>
      </c>
      <c r="AR2852" s="3" t="s">
        <v>64</v>
      </c>
      <c r="AS2852" s="3" t="s">
        <v>64</v>
      </c>
      <c r="AT2852" s="3" t="s">
        <v>128</v>
      </c>
      <c r="AU2852" s="6" t="str">
        <f>HYPERLINK("http://catalog.hathitrust.org/Record/005262558","HathiTrust Record")</f>
        <v>HathiTrust Record</v>
      </c>
      <c r="AV2852" s="6" t="str">
        <f>HYPERLINK("http://mcgill.on.worldcat.org/oclc/61441361","Catalog Record")</f>
        <v>Catalog Record</v>
      </c>
      <c r="AW2852" s="6" t="str">
        <f>HYPERLINK("http://www.worldcat.org/oclc/61441361","WorldCat Record")</f>
        <v>WorldCat Record</v>
      </c>
      <c r="AX2852" s="3" t="s">
        <v>28693</v>
      </c>
      <c r="AY2852" s="3" t="s">
        <v>28694</v>
      </c>
      <c r="AZ2852" s="3" t="s">
        <v>28695</v>
      </c>
      <c r="BA2852" s="3" t="s">
        <v>28695</v>
      </c>
      <c r="BB2852" s="3" t="s">
        <v>28696</v>
      </c>
      <c r="BC2852" s="3" t="s">
        <v>77</v>
      </c>
      <c r="BD2852" s="3" t="s">
        <v>78</v>
      </c>
      <c r="BE2852" s="3" t="s">
        <v>28697</v>
      </c>
      <c r="BF2852" s="3" t="s">
        <v>28696</v>
      </c>
      <c r="BG2852" s="3" t="s">
        <v>28698</v>
      </c>
      <c r="BH2852">
        <f t="shared" si="68"/>
        <v>0</v>
      </c>
    </row>
    <row r="2853" spans="1:60" ht="58" x14ac:dyDescent="0.35">
      <c r="A2853" s="2" t="s">
        <v>59</v>
      </c>
      <c r="B2853" s="2" t="s">
        <v>60</v>
      </c>
      <c r="C2853" s="2" t="s">
        <v>28699</v>
      </c>
      <c r="D2853" s="2" t="s">
        <v>28700</v>
      </c>
      <c r="E2853" s="2" t="s">
        <v>28701</v>
      </c>
      <c r="G2853" s="3" t="s">
        <v>64</v>
      </c>
      <c r="I2853" s="3" t="s">
        <v>64</v>
      </c>
      <c r="J2853" s="3" t="s">
        <v>64</v>
      </c>
      <c r="K2853" s="3" t="s">
        <v>65</v>
      </c>
      <c r="L2853" s="2" t="s">
        <v>28702</v>
      </c>
      <c r="M2853" s="2" t="s">
        <v>28703</v>
      </c>
      <c r="N2853" s="3" t="s">
        <v>578</v>
      </c>
      <c r="P2853" s="3" t="s">
        <v>102</v>
      </c>
      <c r="R2853" s="3" t="s">
        <v>70</v>
      </c>
      <c r="S2853" s="4">
        <v>3</v>
      </c>
      <c r="T2853" s="4">
        <v>3</v>
      </c>
      <c r="U2853" s="5" t="s">
        <v>2837</v>
      </c>
      <c r="V2853" s="5" t="s">
        <v>2837</v>
      </c>
      <c r="W2853" s="5" t="s">
        <v>72</v>
      </c>
      <c r="X2853" s="5" t="s">
        <v>72</v>
      </c>
      <c r="Y2853" s="4">
        <v>1078</v>
      </c>
      <c r="Z2853" s="4">
        <v>22</v>
      </c>
      <c r="AA2853" s="4">
        <v>26</v>
      </c>
      <c r="AB2853" s="4">
        <v>4</v>
      </c>
      <c r="AC2853" s="4">
        <v>5</v>
      </c>
      <c r="AD2853" s="4">
        <v>66</v>
      </c>
      <c r="AE2853" s="4">
        <v>71</v>
      </c>
      <c r="AF2853" s="4">
        <v>0</v>
      </c>
      <c r="AG2853" s="4">
        <v>0</v>
      </c>
      <c r="AH2853" s="4">
        <v>60</v>
      </c>
      <c r="AI2853" s="4">
        <v>65</v>
      </c>
      <c r="AJ2853" s="4">
        <v>6</v>
      </c>
      <c r="AK2853" s="4">
        <v>6</v>
      </c>
      <c r="AL2853" s="4">
        <v>41</v>
      </c>
      <c r="AM2853" s="4">
        <v>44</v>
      </c>
      <c r="AN2853" s="4">
        <v>0</v>
      </c>
      <c r="AO2853" s="4">
        <v>0</v>
      </c>
      <c r="AP2853" s="4">
        <v>7</v>
      </c>
      <c r="AQ2853" s="4">
        <v>7</v>
      </c>
      <c r="AR2853" s="3" t="s">
        <v>64</v>
      </c>
      <c r="AS2853" s="3" t="s">
        <v>64</v>
      </c>
      <c r="AT2853" s="3" t="s">
        <v>64</v>
      </c>
      <c r="AV2853" s="6" t="str">
        <f>HYPERLINK("http://mcgill.on.worldcat.org/oclc/970663324","Catalog Record")</f>
        <v>Catalog Record</v>
      </c>
      <c r="AW2853" s="6" t="str">
        <f>HYPERLINK("http://www.worldcat.org/oclc/970663324","WorldCat Record")</f>
        <v>WorldCat Record</v>
      </c>
      <c r="AX2853" s="3" t="s">
        <v>28704</v>
      </c>
      <c r="AY2853" s="3" t="s">
        <v>28705</v>
      </c>
      <c r="AZ2853" s="3" t="s">
        <v>28706</v>
      </c>
      <c r="BA2853" s="3" t="s">
        <v>28706</v>
      </c>
      <c r="BB2853" s="3" t="s">
        <v>28707</v>
      </c>
      <c r="BC2853" s="3" t="s">
        <v>77</v>
      </c>
      <c r="BD2853" s="3" t="s">
        <v>78</v>
      </c>
      <c r="BE2853" s="3" t="s">
        <v>28708</v>
      </c>
      <c r="BF2853" s="3" t="s">
        <v>28707</v>
      </c>
      <c r="BG2853" s="3" t="s">
        <v>28709</v>
      </c>
      <c r="BH2853">
        <f t="shared" si="68"/>
        <v>0</v>
      </c>
    </row>
    <row r="2854" spans="1:60" ht="58" x14ac:dyDescent="0.35">
      <c r="A2854" s="2" t="s">
        <v>59</v>
      </c>
      <c r="B2854" s="2" t="s">
        <v>60</v>
      </c>
      <c r="C2854" s="2" t="s">
        <v>28710</v>
      </c>
      <c r="D2854" s="2" t="s">
        <v>28711</v>
      </c>
      <c r="E2854" s="2" t="s">
        <v>28712</v>
      </c>
      <c r="G2854" s="3" t="s">
        <v>64</v>
      </c>
      <c r="I2854" s="3" t="s">
        <v>64</v>
      </c>
      <c r="J2854" s="3" t="s">
        <v>64</v>
      </c>
      <c r="K2854" s="3" t="s">
        <v>65</v>
      </c>
      <c r="L2854" s="2" t="s">
        <v>28713</v>
      </c>
      <c r="M2854" s="2" t="s">
        <v>14235</v>
      </c>
      <c r="N2854" s="3" t="s">
        <v>511</v>
      </c>
      <c r="P2854" s="3" t="s">
        <v>102</v>
      </c>
      <c r="R2854" s="3" t="s">
        <v>70</v>
      </c>
      <c r="S2854" s="4">
        <v>7</v>
      </c>
      <c r="T2854" s="4">
        <v>7</v>
      </c>
      <c r="U2854" s="5" t="s">
        <v>28714</v>
      </c>
      <c r="V2854" s="5" t="s">
        <v>28714</v>
      </c>
      <c r="W2854" s="5" t="s">
        <v>72</v>
      </c>
      <c r="X2854" s="5" t="s">
        <v>72</v>
      </c>
      <c r="Y2854" s="4">
        <v>583</v>
      </c>
      <c r="Z2854" s="4">
        <v>41</v>
      </c>
      <c r="AA2854" s="4">
        <v>119</v>
      </c>
      <c r="AB2854" s="4">
        <v>6</v>
      </c>
      <c r="AC2854" s="4">
        <v>20</v>
      </c>
      <c r="AD2854" s="4">
        <v>86</v>
      </c>
      <c r="AE2854" s="4">
        <v>131</v>
      </c>
      <c r="AF2854" s="4">
        <v>1</v>
      </c>
      <c r="AG2854" s="4">
        <v>8</v>
      </c>
      <c r="AH2854" s="4">
        <v>76</v>
      </c>
      <c r="AI2854" s="4">
        <v>92</v>
      </c>
      <c r="AJ2854" s="4">
        <v>12</v>
      </c>
      <c r="AK2854" s="4">
        <v>22</v>
      </c>
      <c r="AL2854" s="4">
        <v>34</v>
      </c>
      <c r="AM2854" s="4">
        <v>45</v>
      </c>
      <c r="AN2854" s="4">
        <v>0</v>
      </c>
      <c r="AO2854" s="4">
        <v>0</v>
      </c>
      <c r="AP2854" s="4">
        <v>18</v>
      </c>
      <c r="AQ2854" s="4">
        <v>47</v>
      </c>
      <c r="AR2854" s="3" t="s">
        <v>64</v>
      </c>
      <c r="AS2854" s="3" t="s">
        <v>64</v>
      </c>
      <c r="AT2854" s="3" t="s">
        <v>64</v>
      </c>
      <c r="AV2854" s="6" t="str">
        <f>HYPERLINK("http://mcgill.on.worldcat.org/oclc/310096818","Catalog Record")</f>
        <v>Catalog Record</v>
      </c>
      <c r="AW2854" s="6" t="str">
        <f>HYPERLINK("http://www.worldcat.org/oclc/310096818","WorldCat Record")</f>
        <v>WorldCat Record</v>
      </c>
      <c r="AX2854" s="3" t="s">
        <v>28715</v>
      </c>
      <c r="AY2854" s="3" t="s">
        <v>28716</v>
      </c>
      <c r="AZ2854" s="3" t="s">
        <v>28717</v>
      </c>
      <c r="BA2854" s="3" t="s">
        <v>28717</v>
      </c>
      <c r="BB2854" s="3" t="s">
        <v>28718</v>
      </c>
      <c r="BC2854" s="3" t="s">
        <v>77</v>
      </c>
      <c r="BD2854" s="3" t="s">
        <v>78</v>
      </c>
      <c r="BE2854" s="3" t="s">
        <v>28719</v>
      </c>
      <c r="BF2854" s="3" t="s">
        <v>28718</v>
      </c>
      <c r="BG2854" s="3" t="s">
        <v>28720</v>
      </c>
      <c r="BH2854">
        <f t="shared" si="68"/>
        <v>0</v>
      </c>
    </row>
    <row r="2855" spans="1:60" ht="58" x14ac:dyDescent="0.35">
      <c r="A2855" s="2" t="s">
        <v>59</v>
      </c>
      <c r="B2855" s="2" t="s">
        <v>60</v>
      </c>
      <c r="C2855" s="2" t="s">
        <v>28721</v>
      </c>
      <c r="D2855" s="2" t="s">
        <v>28722</v>
      </c>
      <c r="E2855" s="2" t="s">
        <v>28723</v>
      </c>
      <c r="G2855" s="3" t="s">
        <v>64</v>
      </c>
      <c r="I2855" s="3" t="s">
        <v>64</v>
      </c>
      <c r="J2855" s="3" t="s">
        <v>128</v>
      </c>
      <c r="K2855" s="3" t="s">
        <v>65</v>
      </c>
      <c r="L2855" s="2" t="s">
        <v>28724</v>
      </c>
      <c r="M2855" s="2" t="s">
        <v>16093</v>
      </c>
      <c r="N2855" s="3" t="s">
        <v>511</v>
      </c>
      <c r="O2855" s="2" t="s">
        <v>172</v>
      </c>
      <c r="P2855" s="3" t="s">
        <v>102</v>
      </c>
      <c r="Q2855" s="2" t="s">
        <v>17587</v>
      </c>
      <c r="R2855" s="3" t="s">
        <v>70</v>
      </c>
      <c r="S2855" s="4">
        <v>10</v>
      </c>
      <c r="T2855" s="4">
        <v>10</v>
      </c>
      <c r="U2855" s="5" t="s">
        <v>28725</v>
      </c>
      <c r="V2855" s="5" t="s">
        <v>28725</v>
      </c>
      <c r="W2855" s="5" t="s">
        <v>72</v>
      </c>
      <c r="X2855" s="5" t="s">
        <v>72</v>
      </c>
      <c r="Y2855" s="4">
        <v>203</v>
      </c>
      <c r="Z2855" s="4">
        <v>13</v>
      </c>
      <c r="AA2855" s="4">
        <v>109</v>
      </c>
      <c r="AB2855" s="4">
        <v>4</v>
      </c>
      <c r="AC2855" s="4">
        <v>17</v>
      </c>
      <c r="AD2855" s="4">
        <v>49</v>
      </c>
      <c r="AE2855" s="4">
        <v>141</v>
      </c>
      <c r="AF2855" s="4">
        <v>2</v>
      </c>
      <c r="AG2855" s="4">
        <v>8</v>
      </c>
      <c r="AH2855" s="4">
        <v>43</v>
      </c>
      <c r="AI2855" s="4">
        <v>103</v>
      </c>
      <c r="AJ2855" s="4">
        <v>8</v>
      </c>
      <c r="AK2855" s="4">
        <v>23</v>
      </c>
      <c r="AL2855" s="4">
        <v>25</v>
      </c>
      <c r="AM2855" s="4">
        <v>52</v>
      </c>
      <c r="AN2855" s="4">
        <v>0</v>
      </c>
      <c r="AO2855" s="4">
        <v>0</v>
      </c>
      <c r="AP2855" s="4">
        <v>10</v>
      </c>
      <c r="AQ2855" s="4">
        <v>45</v>
      </c>
      <c r="AR2855" s="3" t="s">
        <v>64</v>
      </c>
      <c r="AS2855" s="3" t="s">
        <v>64</v>
      </c>
      <c r="AT2855" s="3" t="s">
        <v>64</v>
      </c>
      <c r="AV2855" s="6" t="str">
        <f>HYPERLINK("http://mcgill.on.worldcat.org/oclc/456421164","Catalog Record")</f>
        <v>Catalog Record</v>
      </c>
      <c r="AW2855" s="6" t="str">
        <f>HYPERLINK("http://www.worldcat.org/oclc/456421164","WorldCat Record")</f>
        <v>WorldCat Record</v>
      </c>
      <c r="AX2855" s="3" t="s">
        <v>28726</v>
      </c>
      <c r="AY2855" s="3" t="s">
        <v>28727</v>
      </c>
      <c r="AZ2855" s="3" t="s">
        <v>28728</v>
      </c>
      <c r="BA2855" s="3" t="s">
        <v>28728</v>
      </c>
      <c r="BB2855" s="3" t="s">
        <v>28729</v>
      </c>
      <c r="BC2855" s="3" t="s">
        <v>77</v>
      </c>
      <c r="BD2855" s="3" t="s">
        <v>165</v>
      </c>
      <c r="BE2855" s="3" t="s">
        <v>28730</v>
      </c>
      <c r="BF2855" s="3" t="s">
        <v>28729</v>
      </c>
      <c r="BG2855" s="3" t="s">
        <v>28731</v>
      </c>
      <c r="BH2855">
        <f t="shared" si="68"/>
        <v>0</v>
      </c>
    </row>
    <row r="2856" spans="1:60" ht="58" x14ac:dyDescent="0.35">
      <c r="A2856" s="2" t="s">
        <v>59</v>
      </c>
      <c r="B2856" s="2" t="s">
        <v>60</v>
      </c>
      <c r="C2856" s="2" t="s">
        <v>28732</v>
      </c>
      <c r="D2856" s="2" t="s">
        <v>28733</v>
      </c>
      <c r="E2856" s="2" t="s">
        <v>28734</v>
      </c>
      <c r="G2856" s="3" t="s">
        <v>64</v>
      </c>
      <c r="I2856" s="3" t="s">
        <v>64</v>
      </c>
      <c r="J2856" s="3" t="s">
        <v>64</v>
      </c>
      <c r="K2856" s="3" t="s">
        <v>65</v>
      </c>
      <c r="L2856" s="2" t="s">
        <v>28735</v>
      </c>
      <c r="M2856" s="2" t="s">
        <v>28736</v>
      </c>
      <c r="N2856" s="3" t="s">
        <v>3047</v>
      </c>
      <c r="P2856" s="3" t="s">
        <v>102</v>
      </c>
      <c r="R2856" s="3" t="s">
        <v>70</v>
      </c>
      <c r="S2856" s="4">
        <v>9</v>
      </c>
      <c r="T2856" s="4">
        <v>9</v>
      </c>
      <c r="U2856" s="5" t="s">
        <v>28714</v>
      </c>
      <c r="V2856" s="5" t="s">
        <v>28714</v>
      </c>
      <c r="W2856" s="5" t="s">
        <v>72</v>
      </c>
      <c r="X2856" s="5" t="s">
        <v>72</v>
      </c>
      <c r="Y2856" s="4">
        <v>335</v>
      </c>
      <c r="Z2856" s="4">
        <v>18</v>
      </c>
      <c r="AA2856" s="4">
        <v>19</v>
      </c>
      <c r="AB2856" s="4">
        <v>1</v>
      </c>
      <c r="AC2856" s="4">
        <v>2</v>
      </c>
      <c r="AD2856" s="4">
        <v>68</v>
      </c>
      <c r="AE2856" s="4">
        <v>69</v>
      </c>
      <c r="AF2856" s="4">
        <v>0</v>
      </c>
      <c r="AG2856" s="4">
        <v>1</v>
      </c>
      <c r="AH2856" s="4">
        <v>60</v>
      </c>
      <c r="AI2856" s="4">
        <v>60</v>
      </c>
      <c r="AJ2856" s="4">
        <v>9</v>
      </c>
      <c r="AK2856" s="4">
        <v>10</v>
      </c>
      <c r="AL2856" s="4">
        <v>31</v>
      </c>
      <c r="AM2856" s="4">
        <v>31</v>
      </c>
      <c r="AN2856" s="4">
        <v>1</v>
      </c>
      <c r="AO2856" s="4">
        <v>1</v>
      </c>
      <c r="AP2856" s="4">
        <v>11</v>
      </c>
      <c r="AQ2856" s="4">
        <v>11</v>
      </c>
      <c r="AR2856" s="3" t="s">
        <v>64</v>
      </c>
      <c r="AS2856" s="3" t="s">
        <v>64</v>
      </c>
      <c r="AT2856" s="3" t="s">
        <v>128</v>
      </c>
      <c r="AU2856" s="6" t="str">
        <f>HYPERLINK("http://catalog.hathitrust.org/Record/001082582","HathiTrust Record")</f>
        <v>HathiTrust Record</v>
      </c>
      <c r="AV2856" s="6" t="str">
        <f>HYPERLINK("http://mcgill.on.worldcat.org/oclc/17104108","Catalog Record")</f>
        <v>Catalog Record</v>
      </c>
      <c r="AW2856" s="6" t="str">
        <f>HYPERLINK("http://www.worldcat.org/oclc/17104108","WorldCat Record")</f>
        <v>WorldCat Record</v>
      </c>
      <c r="AX2856" s="3" t="s">
        <v>28737</v>
      </c>
      <c r="AY2856" s="3" t="s">
        <v>28738</v>
      </c>
      <c r="AZ2856" s="3" t="s">
        <v>28739</v>
      </c>
      <c r="BA2856" s="3" t="s">
        <v>28739</v>
      </c>
      <c r="BB2856" s="3" t="s">
        <v>28740</v>
      </c>
      <c r="BC2856" s="3" t="s">
        <v>77</v>
      </c>
      <c r="BD2856" s="3" t="s">
        <v>78</v>
      </c>
      <c r="BE2856" s="3" t="s">
        <v>28741</v>
      </c>
      <c r="BF2856" s="3" t="s">
        <v>28740</v>
      </c>
      <c r="BG2856" s="3" t="s">
        <v>28742</v>
      </c>
      <c r="BH2856">
        <f t="shared" si="68"/>
        <v>0</v>
      </c>
    </row>
    <row r="2857" spans="1:60" ht="58" x14ac:dyDescent="0.35">
      <c r="A2857" s="2" t="s">
        <v>59</v>
      </c>
      <c r="B2857" s="2" t="s">
        <v>60</v>
      </c>
      <c r="C2857" s="2" t="s">
        <v>28743</v>
      </c>
      <c r="D2857" s="2" t="s">
        <v>28744</v>
      </c>
      <c r="E2857" s="2" t="s">
        <v>28745</v>
      </c>
      <c r="G2857" s="3" t="s">
        <v>64</v>
      </c>
      <c r="I2857" s="3" t="s">
        <v>64</v>
      </c>
      <c r="J2857" s="3" t="s">
        <v>64</v>
      </c>
      <c r="K2857" s="3" t="s">
        <v>65</v>
      </c>
      <c r="L2857" s="2" t="s">
        <v>28735</v>
      </c>
      <c r="M2857" s="2" t="s">
        <v>28746</v>
      </c>
      <c r="N2857" s="3" t="s">
        <v>392</v>
      </c>
      <c r="P2857" s="3" t="s">
        <v>102</v>
      </c>
      <c r="R2857" s="3" t="s">
        <v>70</v>
      </c>
      <c r="S2857" s="4">
        <v>4</v>
      </c>
      <c r="T2857" s="4">
        <v>4</v>
      </c>
      <c r="U2857" s="5" t="s">
        <v>28714</v>
      </c>
      <c r="V2857" s="5" t="s">
        <v>28714</v>
      </c>
      <c r="W2857" s="5" t="s">
        <v>72</v>
      </c>
      <c r="X2857" s="5" t="s">
        <v>72</v>
      </c>
      <c r="Y2857" s="4">
        <v>499</v>
      </c>
      <c r="Z2857" s="4">
        <v>33</v>
      </c>
      <c r="AA2857" s="4">
        <v>51</v>
      </c>
      <c r="AB2857" s="4">
        <v>4</v>
      </c>
      <c r="AC2857" s="4">
        <v>6</v>
      </c>
      <c r="AD2857" s="4">
        <v>87</v>
      </c>
      <c r="AE2857" s="4">
        <v>96</v>
      </c>
      <c r="AF2857" s="4">
        <v>1</v>
      </c>
      <c r="AG2857" s="4">
        <v>2</v>
      </c>
      <c r="AH2857" s="4">
        <v>75</v>
      </c>
      <c r="AI2857" s="4">
        <v>80</v>
      </c>
      <c r="AJ2857" s="4">
        <v>10</v>
      </c>
      <c r="AK2857" s="4">
        <v>14</v>
      </c>
      <c r="AL2857" s="4">
        <v>42</v>
      </c>
      <c r="AM2857" s="4">
        <v>44</v>
      </c>
      <c r="AN2857" s="4">
        <v>0</v>
      </c>
      <c r="AO2857" s="4">
        <v>0</v>
      </c>
      <c r="AP2857" s="4">
        <v>13</v>
      </c>
      <c r="AQ2857" s="4">
        <v>18</v>
      </c>
      <c r="AR2857" s="3" t="s">
        <v>64</v>
      </c>
      <c r="AS2857" s="3" t="s">
        <v>64</v>
      </c>
      <c r="AT2857" s="3" t="s">
        <v>64</v>
      </c>
      <c r="AV2857" s="6" t="str">
        <f>HYPERLINK("http://mcgill.on.worldcat.org/oclc/40403681","Catalog Record")</f>
        <v>Catalog Record</v>
      </c>
      <c r="AW2857" s="6" t="str">
        <f>HYPERLINK("http://www.worldcat.org/oclc/40403681","WorldCat Record")</f>
        <v>WorldCat Record</v>
      </c>
      <c r="AX2857" s="3" t="s">
        <v>28747</v>
      </c>
      <c r="AY2857" s="3" t="s">
        <v>28748</v>
      </c>
      <c r="AZ2857" s="3" t="s">
        <v>28749</v>
      </c>
      <c r="BA2857" s="3" t="s">
        <v>28749</v>
      </c>
      <c r="BB2857" s="3" t="s">
        <v>28750</v>
      </c>
      <c r="BC2857" s="3" t="s">
        <v>77</v>
      </c>
      <c r="BD2857" s="3" t="s">
        <v>78</v>
      </c>
      <c r="BE2857" s="3" t="s">
        <v>28751</v>
      </c>
      <c r="BF2857" s="3" t="s">
        <v>28750</v>
      </c>
      <c r="BG2857" s="3" t="s">
        <v>28752</v>
      </c>
      <c r="BH2857">
        <f t="shared" si="68"/>
        <v>0</v>
      </c>
    </row>
    <row r="2858" spans="1:60" ht="58" x14ac:dyDescent="0.35">
      <c r="A2858" s="2" t="s">
        <v>59</v>
      </c>
      <c r="B2858" s="2" t="s">
        <v>60</v>
      </c>
      <c r="C2858" s="2" t="s">
        <v>28753</v>
      </c>
      <c r="D2858" s="2" t="s">
        <v>28754</v>
      </c>
      <c r="E2858" s="2" t="s">
        <v>28755</v>
      </c>
      <c r="G2858" s="3" t="s">
        <v>64</v>
      </c>
      <c r="I2858" s="3" t="s">
        <v>64</v>
      </c>
      <c r="J2858" s="3" t="s">
        <v>64</v>
      </c>
      <c r="K2858" s="3" t="s">
        <v>65</v>
      </c>
      <c r="L2858" s="2" t="s">
        <v>28756</v>
      </c>
      <c r="M2858" s="2" t="s">
        <v>14882</v>
      </c>
      <c r="N2858" s="3" t="s">
        <v>171</v>
      </c>
      <c r="P2858" s="3" t="s">
        <v>102</v>
      </c>
      <c r="R2858" s="3" t="s">
        <v>70</v>
      </c>
      <c r="S2858" s="4">
        <v>4</v>
      </c>
      <c r="T2858" s="4">
        <v>4</v>
      </c>
      <c r="U2858" s="5" t="s">
        <v>28714</v>
      </c>
      <c r="V2858" s="5" t="s">
        <v>28714</v>
      </c>
      <c r="W2858" s="5" t="s">
        <v>72</v>
      </c>
      <c r="X2858" s="5" t="s">
        <v>72</v>
      </c>
      <c r="Y2858" s="4">
        <v>415</v>
      </c>
      <c r="Z2858" s="4">
        <v>17</v>
      </c>
      <c r="AA2858" s="4">
        <v>103</v>
      </c>
      <c r="AB2858" s="4">
        <v>1</v>
      </c>
      <c r="AC2858" s="4">
        <v>17</v>
      </c>
      <c r="AD2858" s="4">
        <v>54</v>
      </c>
      <c r="AE2858" s="4">
        <v>114</v>
      </c>
      <c r="AF2858" s="4">
        <v>0</v>
      </c>
      <c r="AG2858" s="4">
        <v>8</v>
      </c>
      <c r="AH2858" s="4">
        <v>52</v>
      </c>
      <c r="AI2858" s="4">
        <v>80</v>
      </c>
      <c r="AJ2858" s="4">
        <v>7</v>
      </c>
      <c r="AK2858" s="4">
        <v>19</v>
      </c>
      <c r="AL2858" s="4">
        <v>21</v>
      </c>
      <c r="AM2858" s="4">
        <v>37</v>
      </c>
      <c r="AN2858" s="4">
        <v>0</v>
      </c>
      <c r="AO2858" s="4">
        <v>0</v>
      </c>
      <c r="AP2858" s="4">
        <v>8</v>
      </c>
      <c r="AQ2858" s="4">
        <v>41</v>
      </c>
      <c r="AR2858" s="3" t="s">
        <v>64</v>
      </c>
      <c r="AS2858" s="3" t="s">
        <v>64</v>
      </c>
      <c r="AT2858" s="3" t="s">
        <v>64</v>
      </c>
      <c r="AV2858" s="6" t="str">
        <f>HYPERLINK("http://mcgill.on.worldcat.org/oclc/65197748","Catalog Record")</f>
        <v>Catalog Record</v>
      </c>
      <c r="AW2858" s="6" t="str">
        <f>HYPERLINK("http://www.worldcat.org/oclc/65197748","WorldCat Record")</f>
        <v>WorldCat Record</v>
      </c>
      <c r="AX2858" s="3" t="s">
        <v>28757</v>
      </c>
      <c r="AY2858" s="3" t="s">
        <v>28758</v>
      </c>
      <c r="AZ2858" s="3" t="s">
        <v>28759</v>
      </c>
      <c r="BA2858" s="3" t="s">
        <v>28759</v>
      </c>
      <c r="BB2858" s="3" t="s">
        <v>28760</v>
      </c>
      <c r="BC2858" s="3" t="s">
        <v>77</v>
      </c>
      <c r="BD2858" s="3" t="s">
        <v>78</v>
      </c>
      <c r="BE2858" s="3" t="s">
        <v>28761</v>
      </c>
      <c r="BF2858" s="3" t="s">
        <v>28760</v>
      </c>
      <c r="BG2858" s="3" t="s">
        <v>28762</v>
      </c>
      <c r="BH2858">
        <f t="shared" si="68"/>
        <v>0</v>
      </c>
    </row>
    <row r="2859" spans="1:60" ht="58" x14ac:dyDescent="0.35">
      <c r="A2859" s="2" t="s">
        <v>59</v>
      </c>
      <c r="B2859" s="2" t="s">
        <v>60</v>
      </c>
      <c r="C2859" s="2" t="s">
        <v>28763</v>
      </c>
      <c r="D2859" s="2" t="s">
        <v>28764</v>
      </c>
      <c r="E2859" s="2" t="s">
        <v>28765</v>
      </c>
      <c r="G2859" s="3" t="s">
        <v>64</v>
      </c>
      <c r="I2859" s="3" t="s">
        <v>64</v>
      </c>
      <c r="J2859" s="3" t="s">
        <v>64</v>
      </c>
      <c r="K2859" s="3" t="s">
        <v>65</v>
      </c>
      <c r="M2859" s="2" t="s">
        <v>28766</v>
      </c>
      <c r="N2859" s="3" t="s">
        <v>1075</v>
      </c>
      <c r="O2859" s="2" t="s">
        <v>28767</v>
      </c>
      <c r="P2859" s="3" t="s">
        <v>68</v>
      </c>
      <c r="Q2859" s="2" t="s">
        <v>18640</v>
      </c>
      <c r="R2859" s="3" t="s">
        <v>70</v>
      </c>
      <c r="S2859" s="4">
        <v>3</v>
      </c>
      <c r="T2859" s="4">
        <v>3</v>
      </c>
      <c r="U2859" s="5" t="s">
        <v>9096</v>
      </c>
      <c r="V2859" s="5" t="s">
        <v>9096</v>
      </c>
      <c r="W2859" s="5" t="s">
        <v>72</v>
      </c>
      <c r="X2859" s="5" t="s">
        <v>72</v>
      </c>
      <c r="Y2859" s="4">
        <v>2</v>
      </c>
      <c r="Z2859" s="4">
        <v>1</v>
      </c>
      <c r="AA2859" s="4">
        <v>26</v>
      </c>
      <c r="AB2859" s="4">
        <v>1</v>
      </c>
      <c r="AC2859" s="4">
        <v>14</v>
      </c>
      <c r="AD2859" s="4">
        <v>0</v>
      </c>
      <c r="AE2859" s="4">
        <v>14</v>
      </c>
      <c r="AF2859" s="4">
        <v>0</v>
      </c>
      <c r="AG2859" s="4">
        <v>5</v>
      </c>
      <c r="AH2859" s="4">
        <v>0</v>
      </c>
      <c r="AI2859" s="4">
        <v>7</v>
      </c>
      <c r="AJ2859" s="4">
        <v>0</v>
      </c>
      <c r="AK2859" s="4">
        <v>9</v>
      </c>
      <c r="AL2859" s="4">
        <v>0</v>
      </c>
      <c r="AM2859" s="4">
        <v>3</v>
      </c>
      <c r="AN2859" s="4">
        <v>0</v>
      </c>
      <c r="AO2859" s="4">
        <v>0</v>
      </c>
      <c r="AP2859" s="4">
        <v>0</v>
      </c>
      <c r="AQ2859" s="4">
        <v>8</v>
      </c>
      <c r="AR2859" s="3" t="s">
        <v>64</v>
      </c>
      <c r="AS2859" s="3" t="s">
        <v>64</v>
      </c>
      <c r="AT2859" s="3" t="s">
        <v>64</v>
      </c>
      <c r="AV2859" s="6" t="str">
        <f>HYPERLINK("http://mcgill.on.worldcat.org/oclc/872139790","Catalog Record")</f>
        <v>Catalog Record</v>
      </c>
      <c r="AW2859" s="6" t="str">
        <f>HYPERLINK("http://www.worldcat.org/oclc/872139790","WorldCat Record")</f>
        <v>WorldCat Record</v>
      </c>
      <c r="AX2859" s="3" t="s">
        <v>28768</v>
      </c>
      <c r="AY2859" s="3" t="s">
        <v>28769</v>
      </c>
      <c r="AZ2859" s="3" t="s">
        <v>28770</v>
      </c>
      <c r="BA2859" s="3" t="s">
        <v>28770</v>
      </c>
      <c r="BB2859" s="3" t="s">
        <v>28771</v>
      </c>
      <c r="BC2859" s="3" t="s">
        <v>77</v>
      </c>
      <c r="BD2859" s="3" t="s">
        <v>78</v>
      </c>
      <c r="BE2859" s="3" t="s">
        <v>28772</v>
      </c>
      <c r="BF2859" s="3" t="s">
        <v>28771</v>
      </c>
      <c r="BG2859" s="3" t="s">
        <v>28773</v>
      </c>
      <c r="BH2859">
        <f t="shared" si="68"/>
        <v>0</v>
      </c>
    </row>
    <row r="2860" spans="1:60" ht="58" x14ac:dyDescent="0.35">
      <c r="A2860" s="2" t="s">
        <v>59</v>
      </c>
      <c r="B2860" s="2" t="s">
        <v>60</v>
      </c>
      <c r="C2860" s="2" t="s">
        <v>28774</v>
      </c>
      <c r="D2860" s="2" t="s">
        <v>28775</v>
      </c>
      <c r="E2860" s="2" t="s">
        <v>28776</v>
      </c>
      <c r="G2860" s="3" t="s">
        <v>64</v>
      </c>
      <c r="I2860" s="3" t="s">
        <v>64</v>
      </c>
      <c r="J2860" s="3" t="s">
        <v>128</v>
      </c>
      <c r="K2860" s="3" t="s">
        <v>65</v>
      </c>
      <c r="L2860" s="2" t="s">
        <v>28777</v>
      </c>
      <c r="M2860" s="2" t="s">
        <v>26666</v>
      </c>
      <c r="N2860" s="3" t="s">
        <v>2067</v>
      </c>
      <c r="O2860" s="2" t="s">
        <v>2994</v>
      </c>
      <c r="P2860" s="3" t="s">
        <v>102</v>
      </c>
      <c r="R2860" s="3" t="s">
        <v>70</v>
      </c>
      <c r="S2860" s="4">
        <v>5</v>
      </c>
      <c r="T2860" s="4">
        <v>5</v>
      </c>
      <c r="U2860" s="5" t="s">
        <v>4397</v>
      </c>
      <c r="V2860" s="5" t="s">
        <v>4397</v>
      </c>
      <c r="W2860" s="5" t="s">
        <v>72</v>
      </c>
      <c r="X2860" s="5" t="s">
        <v>72</v>
      </c>
      <c r="Y2860" s="4">
        <v>857</v>
      </c>
      <c r="Z2860" s="4">
        <v>42</v>
      </c>
      <c r="AA2860" s="4">
        <v>122</v>
      </c>
      <c r="AB2860" s="4">
        <v>5</v>
      </c>
      <c r="AC2860" s="4">
        <v>15</v>
      </c>
      <c r="AD2860" s="4">
        <v>106</v>
      </c>
      <c r="AE2860" s="4">
        <v>161</v>
      </c>
      <c r="AF2860" s="4">
        <v>1</v>
      </c>
      <c r="AG2860" s="4">
        <v>5</v>
      </c>
      <c r="AH2860" s="4">
        <v>88</v>
      </c>
      <c r="AI2860" s="4">
        <v>120</v>
      </c>
      <c r="AJ2860" s="4">
        <v>17</v>
      </c>
      <c r="AK2860" s="4">
        <v>28</v>
      </c>
      <c r="AL2860" s="4">
        <v>46</v>
      </c>
      <c r="AM2860" s="4">
        <v>61</v>
      </c>
      <c r="AN2860" s="4">
        <v>1</v>
      </c>
      <c r="AO2860" s="4">
        <v>1</v>
      </c>
      <c r="AP2860" s="4">
        <v>23</v>
      </c>
      <c r="AQ2860" s="4">
        <v>47</v>
      </c>
      <c r="AR2860" s="3" t="s">
        <v>64</v>
      </c>
      <c r="AS2860" s="3" t="s">
        <v>64</v>
      </c>
      <c r="AT2860" s="3" t="s">
        <v>128</v>
      </c>
      <c r="AU2860" s="6" t="str">
        <f>HYPERLINK("http://catalog.hathitrust.org/Record/001841179","HathiTrust Record")</f>
        <v>HathiTrust Record</v>
      </c>
      <c r="AV2860" s="6" t="str">
        <f>HYPERLINK("http://mcgill.on.worldcat.org/oclc/20294676","Catalog Record")</f>
        <v>Catalog Record</v>
      </c>
      <c r="AW2860" s="6" t="str">
        <f>HYPERLINK("http://www.worldcat.org/oclc/20294676","WorldCat Record")</f>
        <v>WorldCat Record</v>
      </c>
      <c r="AX2860" s="3" t="s">
        <v>28778</v>
      </c>
      <c r="AY2860" s="3" t="s">
        <v>28779</v>
      </c>
      <c r="AZ2860" s="3" t="s">
        <v>28780</v>
      </c>
      <c r="BA2860" s="3" t="s">
        <v>28780</v>
      </c>
      <c r="BB2860" s="3" t="s">
        <v>28781</v>
      </c>
      <c r="BC2860" s="3" t="s">
        <v>77</v>
      </c>
      <c r="BD2860" s="3" t="s">
        <v>78</v>
      </c>
      <c r="BE2860" s="3" t="s">
        <v>28782</v>
      </c>
      <c r="BF2860" s="3" t="s">
        <v>28781</v>
      </c>
      <c r="BG2860" s="3" t="s">
        <v>28783</v>
      </c>
      <c r="BH2860">
        <f t="shared" si="68"/>
        <v>0</v>
      </c>
    </row>
    <row r="2861" spans="1:60" ht="58" x14ac:dyDescent="0.35">
      <c r="A2861" s="2" t="s">
        <v>59</v>
      </c>
      <c r="B2861" s="2" t="s">
        <v>60</v>
      </c>
      <c r="C2861" s="2" t="s">
        <v>28784</v>
      </c>
      <c r="D2861" s="2" t="s">
        <v>28785</v>
      </c>
      <c r="E2861" s="2" t="s">
        <v>28776</v>
      </c>
      <c r="G2861" s="3" t="s">
        <v>64</v>
      </c>
      <c r="I2861" s="3" t="s">
        <v>64</v>
      </c>
      <c r="J2861" s="3" t="s">
        <v>128</v>
      </c>
      <c r="K2861" s="3" t="s">
        <v>65</v>
      </c>
      <c r="L2861" s="2" t="s">
        <v>28777</v>
      </c>
      <c r="M2861" s="2" t="s">
        <v>28786</v>
      </c>
      <c r="N2861" s="3" t="s">
        <v>421</v>
      </c>
      <c r="O2861" s="2" t="s">
        <v>7660</v>
      </c>
      <c r="P2861" s="3" t="s">
        <v>102</v>
      </c>
      <c r="R2861" s="3" t="s">
        <v>70</v>
      </c>
      <c r="S2861" s="4">
        <v>15</v>
      </c>
      <c r="T2861" s="4">
        <v>15</v>
      </c>
      <c r="U2861" s="5" t="s">
        <v>16039</v>
      </c>
      <c r="V2861" s="5" t="s">
        <v>16039</v>
      </c>
      <c r="W2861" s="5" t="s">
        <v>72</v>
      </c>
      <c r="X2861" s="5" t="s">
        <v>72</v>
      </c>
      <c r="Y2861" s="4">
        <v>1097</v>
      </c>
      <c r="Z2861" s="4">
        <v>52</v>
      </c>
      <c r="AA2861" s="4">
        <v>122</v>
      </c>
      <c r="AB2861" s="4">
        <v>4</v>
      </c>
      <c r="AC2861" s="4">
        <v>15</v>
      </c>
      <c r="AD2861" s="4">
        <v>110</v>
      </c>
      <c r="AE2861" s="4">
        <v>161</v>
      </c>
      <c r="AF2861" s="4">
        <v>1</v>
      </c>
      <c r="AG2861" s="4">
        <v>5</v>
      </c>
      <c r="AH2861" s="4">
        <v>92</v>
      </c>
      <c r="AI2861" s="4">
        <v>120</v>
      </c>
      <c r="AJ2861" s="4">
        <v>18</v>
      </c>
      <c r="AK2861" s="4">
        <v>28</v>
      </c>
      <c r="AL2861" s="4">
        <v>46</v>
      </c>
      <c r="AM2861" s="4">
        <v>61</v>
      </c>
      <c r="AN2861" s="4">
        <v>0</v>
      </c>
      <c r="AO2861" s="4">
        <v>1</v>
      </c>
      <c r="AP2861" s="4">
        <v>26</v>
      </c>
      <c r="AQ2861" s="4">
        <v>47</v>
      </c>
      <c r="AR2861" s="3" t="s">
        <v>64</v>
      </c>
      <c r="AS2861" s="3" t="s">
        <v>64</v>
      </c>
      <c r="AT2861" s="3" t="s">
        <v>64</v>
      </c>
      <c r="AV2861" s="6" t="str">
        <f>HYPERLINK("http://mcgill.on.worldcat.org/oclc/36252524","Catalog Record")</f>
        <v>Catalog Record</v>
      </c>
      <c r="AW2861" s="6" t="str">
        <f>HYPERLINK("http://www.worldcat.org/oclc/36252524","WorldCat Record")</f>
        <v>WorldCat Record</v>
      </c>
      <c r="AX2861" s="3" t="s">
        <v>28778</v>
      </c>
      <c r="AY2861" s="3" t="s">
        <v>28787</v>
      </c>
      <c r="AZ2861" s="3" t="s">
        <v>28788</v>
      </c>
      <c r="BA2861" s="3" t="s">
        <v>28788</v>
      </c>
      <c r="BB2861" s="3" t="s">
        <v>28789</v>
      </c>
      <c r="BC2861" s="3" t="s">
        <v>77</v>
      </c>
      <c r="BD2861" s="3" t="s">
        <v>78</v>
      </c>
      <c r="BE2861" s="3" t="s">
        <v>28790</v>
      </c>
      <c r="BF2861" s="3" t="s">
        <v>28789</v>
      </c>
      <c r="BG2861" s="3" t="s">
        <v>28791</v>
      </c>
      <c r="BH2861">
        <f t="shared" si="68"/>
        <v>0</v>
      </c>
    </row>
    <row r="2862" spans="1:60" ht="58" x14ac:dyDescent="0.35">
      <c r="A2862" s="2" t="s">
        <v>59</v>
      </c>
      <c r="B2862" s="2" t="s">
        <v>60</v>
      </c>
      <c r="C2862" s="2" t="s">
        <v>28792</v>
      </c>
      <c r="D2862" s="2" t="s">
        <v>28793</v>
      </c>
      <c r="E2862" s="2" t="s">
        <v>28794</v>
      </c>
      <c r="G2862" s="3" t="s">
        <v>64</v>
      </c>
      <c r="I2862" s="3" t="s">
        <v>64</v>
      </c>
      <c r="J2862" s="3" t="s">
        <v>64</v>
      </c>
      <c r="K2862" s="3" t="s">
        <v>65</v>
      </c>
      <c r="L2862" s="2" t="s">
        <v>28795</v>
      </c>
      <c r="M2862" s="2" t="s">
        <v>15640</v>
      </c>
      <c r="N2862" s="3" t="s">
        <v>253</v>
      </c>
      <c r="P2862" s="3" t="s">
        <v>102</v>
      </c>
      <c r="R2862" s="3" t="s">
        <v>70</v>
      </c>
      <c r="S2862" s="4">
        <v>0</v>
      </c>
      <c r="T2862" s="4">
        <v>0</v>
      </c>
      <c r="W2862" s="5" t="s">
        <v>72</v>
      </c>
      <c r="X2862" s="5" t="s">
        <v>72</v>
      </c>
      <c r="Y2862" s="4">
        <v>874</v>
      </c>
      <c r="Z2862" s="4">
        <v>25</v>
      </c>
      <c r="AA2862" s="4">
        <v>120</v>
      </c>
      <c r="AB2862" s="4">
        <v>1</v>
      </c>
      <c r="AC2862" s="4">
        <v>16</v>
      </c>
      <c r="AD2862" s="4">
        <v>56</v>
      </c>
      <c r="AE2862" s="4">
        <v>121</v>
      </c>
      <c r="AF2862" s="4">
        <v>0</v>
      </c>
      <c r="AG2862" s="4">
        <v>8</v>
      </c>
      <c r="AH2862" s="4">
        <v>54</v>
      </c>
      <c r="AI2862" s="4">
        <v>80</v>
      </c>
      <c r="AJ2862" s="4">
        <v>4</v>
      </c>
      <c r="AK2862" s="4">
        <v>21</v>
      </c>
      <c r="AL2862" s="4">
        <v>24</v>
      </c>
      <c r="AM2862" s="4">
        <v>40</v>
      </c>
      <c r="AN2862" s="4">
        <v>0</v>
      </c>
      <c r="AO2862" s="4">
        <v>0</v>
      </c>
      <c r="AP2862" s="4">
        <v>6</v>
      </c>
      <c r="AQ2862" s="4">
        <v>44</v>
      </c>
      <c r="AR2862" s="3" t="s">
        <v>64</v>
      </c>
      <c r="AS2862" s="3" t="s">
        <v>64</v>
      </c>
      <c r="AT2862" s="3" t="s">
        <v>64</v>
      </c>
      <c r="AV2862" s="6" t="str">
        <f>HYPERLINK("http://mcgill.on.worldcat.org/oclc/908107263","Catalog Record")</f>
        <v>Catalog Record</v>
      </c>
      <c r="AW2862" s="6" t="str">
        <f>HYPERLINK("http://www.worldcat.org/oclc/908107263","WorldCat Record")</f>
        <v>WorldCat Record</v>
      </c>
      <c r="AX2862" s="3" t="s">
        <v>28796</v>
      </c>
      <c r="AY2862" s="3" t="s">
        <v>28797</v>
      </c>
      <c r="AZ2862" s="3" t="s">
        <v>28798</v>
      </c>
      <c r="BA2862" s="3" t="s">
        <v>28798</v>
      </c>
      <c r="BB2862" s="3" t="s">
        <v>28799</v>
      </c>
      <c r="BC2862" s="3" t="s">
        <v>77</v>
      </c>
      <c r="BD2862" s="3" t="s">
        <v>78</v>
      </c>
      <c r="BE2862" s="3" t="s">
        <v>28800</v>
      </c>
      <c r="BF2862" s="3" t="s">
        <v>28799</v>
      </c>
      <c r="BG2862" s="3" t="s">
        <v>28801</v>
      </c>
      <c r="BH2862">
        <f t="shared" si="68"/>
        <v>0</v>
      </c>
    </row>
    <row r="2863" spans="1:60" ht="58" x14ac:dyDescent="0.35">
      <c r="A2863" s="2" t="s">
        <v>59</v>
      </c>
      <c r="B2863" s="2" t="s">
        <v>60</v>
      </c>
      <c r="C2863" s="2" t="s">
        <v>28802</v>
      </c>
      <c r="D2863" s="2" t="s">
        <v>28803</v>
      </c>
      <c r="E2863" s="2" t="s">
        <v>28804</v>
      </c>
      <c r="G2863" s="3" t="s">
        <v>64</v>
      </c>
      <c r="I2863" s="3" t="s">
        <v>64</v>
      </c>
      <c r="J2863" s="3" t="s">
        <v>64</v>
      </c>
      <c r="K2863" s="3" t="s">
        <v>65</v>
      </c>
      <c r="L2863" s="2" t="s">
        <v>16955</v>
      </c>
      <c r="M2863" s="2" t="s">
        <v>17908</v>
      </c>
      <c r="N2863" s="3" t="s">
        <v>67</v>
      </c>
      <c r="O2863" s="2" t="s">
        <v>28805</v>
      </c>
      <c r="P2863" s="3" t="s">
        <v>102</v>
      </c>
      <c r="R2863" s="3" t="s">
        <v>70</v>
      </c>
      <c r="S2863" s="4">
        <v>0</v>
      </c>
      <c r="T2863" s="4">
        <v>0</v>
      </c>
      <c r="W2863" s="5" t="s">
        <v>72</v>
      </c>
      <c r="X2863" s="5" t="s">
        <v>72</v>
      </c>
      <c r="Y2863" s="4">
        <v>24</v>
      </c>
      <c r="Z2863" s="4">
        <v>3</v>
      </c>
      <c r="AA2863" s="4">
        <v>5</v>
      </c>
      <c r="AB2863" s="4">
        <v>1</v>
      </c>
      <c r="AC2863" s="4">
        <v>3</v>
      </c>
      <c r="AD2863" s="4">
        <v>7</v>
      </c>
      <c r="AE2863" s="4">
        <v>8</v>
      </c>
      <c r="AF2863" s="4">
        <v>0</v>
      </c>
      <c r="AG2863" s="4">
        <v>1</v>
      </c>
      <c r="AH2863" s="4">
        <v>7</v>
      </c>
      <c r="AI2863" s="4">
        <v>7</v>
      </c>
      <c r="AJ2863" s="4">
        <v>1</v>
      </c>
      <c r="AK2863" s="4">
        <v>2</v>
      </c>
      <c r="AL2863" s="4">
        <v>2</v>
      </c>
      <c r="AM2863" s="4">
        <v>2</v>
      </c>
      <c r="AN2863" s="4">
        <v>0</v>
      </c>
      <c r="AO2863" s="4">
        <v>0</v>
      </c>
      <c r="AP2863" s="4">
        <v>1</v>
      </c>
      <c r="AQ2863" s="4">
        <v>1</v>
      </c>
      <c r="AR2863" s="3" t="s">
        <v>64</v>
      </c>
      <c r="AS2863" s="3" t="s">
        <v>64</v>
      </c>
      <c r="AT2863" s="3" t="s">
        <v>64</v>
      </c>
      <c r="AV2863" s="6" t="str">
        <f>HYPERLINK("http://mcgill.on.worldcat.org/oclc/871062826","Catalog Record")</f>
        <v>Catalog Record</v>
      </c>
      <c r="AW2863" s="6" t="str">
        <f>HYPERLINK("http://www.worldcat.org/oclc/871062826","WorldCat Record")</f>
        <v>WorldCat Record</v>
      </c>
      <c r="AX2863" s="3" t="s">
        <v>28806</v>
      </c>
      <c r="AY2863" s="3" t="s">
        <v>28807</v>
      </c>
      <c r="AZ2863" s="3" t="s">
        <v>28808</v>
      </c>
      <c r="BA2863" s="3" t="s">
        <v>28808</v>
      </c>
      <c r="BB2863" s="3" t="s">
        <v>28809</v>
      </c>
      <c r="BC2863" s="3" t="s">
        <v>77</v>
      </c>
      <c r="BD2863" s="3" t="s">
        <v>78</v>
      </c>
      <c r="BE2863" s="3" t="s">
        <v>28810</v>
      </c>
      <c r="BF2863" s="3" t="s">
        <v>28809</v>
      </c>
      <c r="BG2863" s="3" t="s">
        <v>28811</v>
      </c>
      <c r="BH2863">
        <f t="shared" si="68"/>
        <v>0</v>
      </c>
    </row>
    <row r="2864" spans="1:60" ht="58" x14ac:dyDescent="0.35">
      <c r="A2864" s="2" t="s">
        <v>59</v>
      </c>
      <c r="B2864" s="2" t="s">
        <v>60</v>
      </c>
      <c r="C2864" s="2" t="s">
        <v>28812</v>
      </c>
      <c r="D2864" s="2" t="s">
        <v>28813</v>
      </c>
      <c r="E2864" s="2" t="s">
        <v>28814</v>
      </c>
      <c r="G2864" s="3" t="s">
        <v>64</v>
      </c>
      <c r="I2864" s="3" t="s">
        <v>64</v>
      </c>
      <c r="J2864" s="3" t="s">
        <v>64</v>
      </c>
      <c r="K2864" s="3" t="s">
        <v>65</v>
      </c>
      <c r="M2864" s="2" t="s">
        <v>28815</v>
      </c>
      <c r="N2864" s="3" t="s">
        <v>86</v>
      </c>
      <c r="O2864" s="2" t="s">
        <v>28816</v>
      </c>
      <c r="P2864" s="3" t="s">
        <v>102</v>
      </c>
      <c r="R2864" s="3" t="s">
        <v>70</v>
      </c>
      <c r="S2864" s="4">
        <v>0</v>
      </c>
      <c r="T2864" s="4">
        <v>0</v>
      </c>
      <c r="W2864" s="5" t="s">
        <v>72</v>
      </c>
      <c r="X2864" s="5" t="s">
        <v>72</v>
      </c>
      <c r="Y2864" s="4">
        <v>40</v>
      </c>
      <c r="Z2864" s="4">
        <v>8</v>
      </c>
      <c r="AA2864" s="4">
        <v>19</v>
      </c>
      <c r="AB2864" s="4">
        <v>1</v>
      </c>
      <c r="AC2864" s="4">
        <v>5</v>
      </c>
      <c r="AD2864" s="4">
        <v>13</v>
      </c>
      <c r="AE2864" s="4">
        <v>35</v>
      </c>
      <c r="AF2864" s="4">
        <v>0</v>
      </c>
      <c r="AG2864" s="4">
        <v>3</v>
      </c>
      <c r="AH2864" s="4">
        <v>11</v>
      </c>
      <c r="AI2864" s="4">
        <v>26</v>
      </c>
      <c r="AJ2864" s="4">
        <v>6</v>
      </c>
      <c r="AK2864" s="4">
        <v>8</v>
      </c>
      <c r="AL2864" s="4">
        <v>5</v>
      </c>
      <c r="AM2864" s="4">
        <v>12</v>
      </c>
      <c r="AN2864" s="4">
        <v>0</v>
      </c>
      <c r="AO2864" s="4">
        <v>0</v>
      </c>
      <c r="AP2864" s="4">
        <v>6</v>
      </c>
      <c r="AQ2864" s="4">
        <v>12</v>
      </c>
      <c r="AR2864" s="3" t="s">
        <v>64</v>
      </c>
      <c r="AS2864" s="3" t="s">
        <v>64</v>
      </c>
      <c r="AT2864" s="3" t="s">
        <v>64</v>
      </c>
      <c r="AV2864" s="6" t="str">
        <f>HYPERLINK("http://mcgill.on.worldcat.org/oclc/805050520","Catalog Record")</f>
        <v>Catalog Record</v>
      </c>
      <c r="AW2864" s="6" t="str">
        <f>HYPERLINK("http://www.worldcat.org/oclc/805050520","WorldCat Record")</f>
        <v>WorldCat Record</v>
      </c>
      <c r="AX2864" s="3" t="s">
        <v>28817</v>
      </c>
      <c r="AY2864" s="3" t="s">
        <v>28818</v>
      </c>
      <c r="AZ2864" s="3" t="s">
        <v>28819</v>
      </c>
      <c r="BA2864" s="3" t="s">
        <v>28819</v>
      </c>
      <c r="BB2864" s="3" t="s">
        <v>28820</v>
      </c>
      <c r="BC2864" s="3" t="s">
        <v>77</v>
      </c>
      <c r="BD2864" s="3" t="s">
        <v>78</v>
      </c>
      <c r="BE2864" s="3" t="s">
        <v>28821</v>
      </c>
      <c r="BF2864" s="3" t="s">
        <v>28820</v>
      </c>
      <c r="BG2864" s="3" t="s">
        <v>28822</v>
      </c>
      <c r="BH2864">
        <f t="shared" si="68"/>
        <v>0</v>
      </c>
    </row>
    <row r="2865" spans="1:60" ht="58" x14ac:dyDescent="0.35">
      <c r="A2865" s="2" t="s">
        <v>59</v>
      </c>
      <c r="B2865" s="2" t="s">
        <v>60</v>
      </c>
      <c r="C2865" s="2" t="s">
        <v>28823</v>
      </c>
      <c r="D2865" s="2" t="s">
        <v>28824</v>
      </c>
      <c r="E2865" s="2" t="s">
        <v>28825</v>
      </c>
      <c r="G2865" s="3" t="s">
        <v>64</v>
      </c>
      <c r="I2865" s="3" t="s">
        <v>64</v>
      </c>
      <c r="J2865" s="3" t="s">
        <v>128</v>
      </c>
      <c r="K2865" s="3" t="s">
        <v>65</v>
      </c>
      <c r="L2865" s="2" t="s">
        <v>28826</v>
      </c>
      <c r="M2865" s="2" t="s">
        <v>28827</v>
      </c>
      <c r="N2865" s="3" t="s">
        <v>144</v>
      </c>
      <c r="O2865" s="2" t="s">
        <v>3468</v>
      </c>
      <c r="P2865" s="3" t="s">
        <v>102</v>
      </c>
      <c r="R2865" s="3" t="s">
        <v>70</v>
      </c>
      <c r="S2865" s="4">
        <v>9</v>
      </c>
      <c r="T2865" s="4">
        <v>9</v>
      </c>
      <c r="U2865" s="5" t="s">
        <v>28828</v>
      </c>
      <c r="V2865" s="5" t="s">
        <v>28828</v>
      </c>
      <c r="W2865" s="5" t="s">
        <v>72</v>
      </c>
      <c r="X2865" s="5" t="s">
        <v>72</v>
      </c>
      <c r="Y2865" s="4">
        <v>198</v>
      </c>
      <c r="Z2865" s="4">
        <v>10</v>
      </c>
      <c r="AA2865" s="4">
        <v>47</v>
      </c>
      <c r="AB2865" s="4">
        <v>1</v>
      </c>
      <c r="AC2865" s="4">
        <v>10</v>
      </c>
      <c r="AD2865" s="4">
        <v>31</v>
      </c>
      <c r="AE2865" s="4">
        <v>86</v>
      </c>
      <c r="AF2865" s="4">
        <v>0</v>
      </c>
      <c r="AG2865" s="4">
        <v>3</v>
      </c>
      <c r="AH2865" s="4">
        <v>28</v>
      </c>
      <c r="AI2865" s="4">
        <v>75</v>
      </c>
      <c r="AJ2865" s="4">
        <v>4</v>
      </c>
      <c r="AK2865" s="4">
        <v>10</v>
      </c>
      <c r="AL2865" s="4">
        <v>17</v>
      </c>
      <c r="AM2865" s="4">
        <v>41</v>
      </c>
      <c r="AN2865" s="4">
        <v>0</v>
      </c>
      <c r="AO2865" s="4">
        <v>0</v>
      </c>
      <c r="AP2865" s="4">
        <v>5</v>
      </c>
      <c r="AQ2865" s="4">
        <v>15</v>
      </c>
      <c r="AR2865" s="3" t="s">
        <v>64</v>
      </c>
      <c r="AS2865" s="3" t="s">
        <v>64</v>
      </c>
      <c r="AT2865" s="3" t="s">
        <v>64</v>
      </c>
      <c r="AV2865" s="6" t="str">
        <f>HYPERLINK("http://mcgill.on.worldcat.org/oclc/191317857","Catalog Record")</f>
        <v>Catalog Record</v>
      </c>
      <c r="AW2865" s="6" t="str">
        <f>HYPERLINK("http://www.worldcat.org/oclc/191317857","WorldCat Record")</f>
        <v>WorldCat Record</v>
      </c>
      <c r="AX2865" s="3" t="s">
        <v>28829</v>
      </c>
      <c r="AY2865" s="3" t="s">
        <v>28830</v>
      </c>
      <c r="AZ2865" s="3" t="s">
        <v>28831</v>
      </c>
      <c r="BA2865" s="3" t="s">
        <v>28831</v>
      </c>
      <c r="BB2865" s="3" t="s">
        <v>28832</v>
      </c>
      <c r="BC2865" s="3" t="s">
        <v>77</v>
      </c>
      <c r="BD2865" s="3" t="s">
        <v>78</v>
      </c>
      <c r="BE2865" s="3" t="s">
        <v>28833</v>
      </c>
      <c r="BF2865" s="3" t="s">
        <v>28832</v>
      </c>
      <c r="BG2865" s="3" t="s">
        <v>28834</v>
      </c>
      <c r="BH2865">
        <f t="shared" si="68"/>
        <v>0</v>
      </c>
    </row>
    <row r="2866" spans="1:60" ht="58" x14ac:dyDescent="0.35">
      <c r="A2866" s="2" t="s">
        <v>59</v>
      </c>
      <c r="B2866" s="2" t="s">
        <v>60</v>
      </c>
      <c r="C2866" s="2" t="s">
        <v>28835</v>
      </c>
      <c r="D2866" s="2" t="s">
        <v>28836</v>
      </c>
      <c r="E2866" s="2" t="s">
        <v>28837</v>
      </c>
      <c r="G2866" s="3" t="s">
        <v>64</v>
      </c>
      <c r="I2866" s="3" t="s">
        <v>64</v>
      </c>
      <c r="J2866" s="3" t="s">
        <v>64</v>
      </c>
      <c r="K2866" s="3" t="s">
        <v>65</v>
      </c>
      <c r="L2866" s="2" t="s">
        <v>28838</v>
      </c>
      <c r="M2866" s="2" t="s">
        <v>28839</v>
      </c>
      <c r="N2866" s="3" t="s">
        <v>144</v>
      </c>
      <c r="P2866" s="3" t="s">
        <v>102</v>
      </c>
      <c r="R2866" s="3" t="s">
        <v>70</v>
      </c>
      <c r="S2866" s="4">
        <v>7</v>
      </c>
      <c r="T2866" s="4">
        <v>7</v>
      </c>
      <c r="U2866" s="5" t="s">
        <v>28840</v>
      </c>
      <c r="V2866" s="5" t="s">
        <v>28840</v>
      </c>
      <c r="W2866" s="5" t="s">
        <v>72</v>
      </c>
      <c r="X2866" s="5" t="s">
        <v>72</v>
      </c>
      <c r="Y2866" s="4">
        <v>1448</v>
      </c>
      <c r="Z2866" s="4">
        <v>75</v>
      </c>
      <c r="AA2866" s="4">
        <v>93</v>
      </c>
      <c r="AB2866" s="4">
        <v>4</v>
      </c>
      <c r="AC2866" s="4">
        <v>16</v>
      </c>
      <c r="AD2866" s="4">
        <v>119</v>
      </c>
      <c r="AE2866" s="4">
        <v>142</v>
      </c>
      <c r="AF2866" s="4">
        <v>2</v>
      </c>
      <c r="AG2866" s="4">
        <v>9</v>
      </c>
      <c r="AH2866" s="4">
        <v>92</v>
      </c>
      <c r="AI2866" s="4">
        <v>105</v>
      </c>
      <c r="AJ2866" s="4">
        <v>19</v>
      </c>
      <c r="AK2866" s="4">
        <v>24</v>
      </c>
      <c r="AL2866" s="4">
        <v>50</v>
      </c>
      <c r="AM2866" s="4">
        <v>59</v>
      </c>
      <c r="AN2866" s="4">
        <v>0</v>
      </c>
      <c r="AO2866" s="4">
        <v>0</v>
      </c>
      <c r="AP2866" s="4">
        <v>35</v>
      </c>
      <c r="AQ2866" s="4">
        <v>46</v>
      </c>
      <c r="AR2866" s="3" t="s">
        <v>64</v>
      </c>
      <c r="AS2866" s="3" t="s">
        <v>64</v>
      </c>
      <c r="AT2866" s="3" t="s">
        <v>128</v>
      </c>
      <c r="AU2866" s="6" t="str">
        <f>HYPERLINK("http://catalog.hathitrust.org/Record/005849874","HathiTrust Record")</f>
        <v>HathiTrust Record</v>
      </c>
      <c r="AV2866" s="6" t="str">
        <f>HYPERLINK("http://mcgill.on.worldcat.org/oclc/222249478","Catalog Record")</f>
        <v>Catalog Record</v>
      </c>
      <c r="AW2866" s="6" t="str">
        <f>HYPERLINK("http://www.worldcat.org/oclc/222249478","WorldCat Record")</f>
        <v>WorldCat Record</v>
      </c>
      <c r="AX2866" s="3" t="s">
        <v>28841</v>
      </c>
      <c r="AY2866" s="3" t="s">
        <v>28842</v>
      </c>
      <c r="AZ2866" s="3" t="s">
        <v>28843</v>
      </c>
      <c r="BA2866" s="3" t="s">
        <v>28843</v>
      </c>
      <c r="BB2866" s="3" t="s">
        <v>28844</v>
      </c>
      <c r="BC2866" s="3" t="s">
        <v>77</v>
      </c>
      <c r="BD2866" s="3" t="s">
        <v>78</v>
      </c>
      <c r="BE2866" s="3" t="s">
        <v>28845</v>
      </c>
      <c r="BF2866" s="3" t="s">
        <v>28844</v>
      </c>
      <c r="BG2866" s="3" t="s">
        <v>28846</v>
      </c>
      <c r="BH2866">
        <f t="shared" si="68"/>
        <v>0</v>
      </c>
    </row>
    <row r="2867" spans="1:60" ht="58" x14ac:dyDescent="0.35">
      <c r="A2867" s="2" t="s">
        <v>59</v>
      </c>
      <c r="B2867" s="2" t="s">
        <v>60</v>
      </c>
      <c r="C2867" s="2" t="s">
        <v>28847</v>
      </c>
      <c r="D2867" s="2" t="s">
        <v>28848</v>
      </c>
      <c r="E2867" s="2" t="s">
        <v>28849</v>
      </c>
      <c r="G2867" s="3" t="s">
        <v>64</v>
      </c>
      <c r="I2867" s="3" t="s">
        <v>64</v>
      </c>
      <c r="J2867" s="3" t="s">
        <v>128</v>
      </c>
      <c r="K2867" s="3" t="s">
        <v>65</v>
      </c>
      <c r="L2867" s="2" t="s">
        <v>28850</v>
      </c>
      <c r="M2867" s="2" t="s">
        <v>17762</v>
      </c>
      <c r="N2867" s="3" t="s">
        <v>326</v>
      </c>
      <c r="O2867" s="2" t="s">
        <v>3455</v>
      </c>
      <c r="P2867" s="3" t="s">
        <v>102</v>
      </c>
      <c r="R2867" s="3" t="s">
        <v>70</v>
      </c>
      <c r="S2867" s="4">
        <v>4</v>
      </c>
      <c r="T2867" s="4">
        <v>4</v>
      </c>
      <c r="U2867" s="5" t="s">
        <v>11358</v>
      </c>
      <c r="V2867" s="5" t="s">
        <v>11358</v>
      </c>
      <c r="W2867" s="5" t="s">
        <v>72</v>
      </c>
      <c r="X2867" s="5" t="s">
        <v>72</v>
      </c>
      <c r="Y2867" s="4">
        <v>556</v>
      </c>
      <c r="Z2867" s="4">
        <v>16</v>
      </c>
      <c r="AA2867" s="4">
        <v>46</v>
      </c>
      <c r="AB2867" s="4">
        <v>2</v>
      </c>
      <c r="AC2867" s="4">
        <v>4</v>
      </c>
      <c r="AD2867" s="4">
        <v>54</v>
      </c>
      <c r="AE2867" s="4">
        <v>118</v>
      </c>
      <c r="AF2867" s="4">
        <v>1</v>
      </c>
      <c r="AG2867" s="4">
        <v>3</v>
      </c>
      <c r="AH2867" s="4">
        <v>50</v>
      </c>
      <c r="AI2867" s="4">
        <v>98</v>
      </c>
      <c r="AJ2867" s="4">
        <v>7</v>
      </c>
      <c r="AK2867" s="4">
        <v>16</v>
      </c>
      <c r="AL2867" s="4">
        <v>28</v>
      </c>
      <c r="AM2867" s="4">
        <v>51</v>
      </c>
      <c r="AN2867" s="4">
        <v>0</v>
      </c>
      <c r="AO2867" s="4">
        <v>0</v>
      </c>
      <c r="AP2867" s="4">
        <v>10</v>
      </c>
      <c r="AQ2867" s="4">
        <v>24</v>
      </c>
      <c r="AR2867" s="3" t="s">
        <v>64</v>
      </c>
      <c r="AS2867" s="3" t="s">
        <v>64</v>
      </c>
      <c r="AT2867" s="3" t="s">
        <v>64</v>
      </c>
      <c r="AV2867" s="6" t="str">
        <f>HYPERLINK("http://mcgill.on.worldcat.org/oclc/671736391","Catalog Record")</f>
        <v>Catalog Record</v>
      </c>
      <c r="AW2867" s="6" t="str">
        <f>HYPERLINK("http://www.worldcat.org/oclc/671736391","WorldCat Record")</f>
        <v>WorldCat Record</v>
      </c>
      <c r="AX2867" s="3" t="s">
        <v>28851</v>
      </c>
      <c r="AY2867" s="3" t="s">
        <v>28852</v>
      </c>
      <c r="AZ2867" s="3" t="s">
        <v>28853</v>
      </c>
      <c r="BA2867" s="3" t="s">
        <v>28853</v>
      </c>
      <c r="BB2867" s="3" t="s">
        <v>28854</v>
      </c>
      <c r="BC2867" s="3" t="s">
        <v>77</v>
      </c>
      <c r="BD2867" s="3" t="s">
        <v>165</v>
      </c>
      <c r="BE2867" s="3" t="s">
        <v>28855</v>
      </c>
      <c r="BF2867" s="3" t="s">
        <v>28854</v>
      </c>
      <c r="BG2867" s="3" t="s">
        <v>28856</v>
      </c>
      <c r="BH2867">
        <f t="shared" si="68"/>
        <v>0</v>
      </c>
    </row>
    <row r="2868" spans="1:60" ht="58" x14ac:dyDescent="0.35">
      <c r="A2868" s="2" t="s">
        <v>59</v>
      </c>
      <c r="B2868" s="2" t="s">
        <v>60</v>
      </c>
      <c r="C2868" s="2" t="s">
        <v>28857</v>
      </c>
      <c r="D2868" s="2" t="s">
        <v>28858</v>
      </c>
      <c r="E2868" s="2" t="s">
        <v>28859</v>
      </c>
      <c r="G2868" s="3" t="s">
        <v>64</v>
      </c>
      <c r="I2868" s="3" t="s">
        <v>64</v>
      </c>
      <c r="J2868" s="3" t="s">
        <v>64</v>
      </c>
      <c r="K2868" s="3" t="s">
        <v>65</v>
      </c>
      <c r="L2868" s="2" t="s">
        <v>28860</v>
      </c>
      <c r="M2868" s="2" t="s">
        <v>28861</v>
      </c>
      <c r="N2868" s="3" t="s">
        <v>171</v>
      </c>
      <c r="P2868" s="3" t="s">
        <v>102</v>
      </c>
      <c r="R2868" s="3" t="s">
        <v>70</v>
      </c>
      <c r="S2868" s="4">
        <v>8</v>
      </c>
      <c r="T2868" s="4">
        <v>8</v>
      </c>
      <c r="U2868" s="5" t="s">
        <v>28862</v>
      </c>
      <c r="V2868" s="5" t="s">
        <v>28862</v>
      </c>
      <c r="W2868" s="5" t="s">
        <v>72</v>
      </c>
      <c r="X2868" s="5" t="s">
        <v>72</v>
      </c>
      <c r="Y2868" s="4">
        <v>349</v>
      </c>
      <c r="Z2868" s="4">
        <v>23</v>
      </c>
      <c r="AA2868" s="4">
        <v>28</v>
      </c>
      <c r="AB2868" s="4">
        <v>2</v>
      </c>
      <c r="AC2868" s="4">
        <v>7</v>
      </c>
      <c r="AD2868" s="4">
        <v>58</v>
      </c>
      <c r="AE2868" s="4">
        <v>61</v>
      </c>
      <c r="AF2868" s="4">
        <v>0</v>
      </c>
      <c r="AG2868" s="4">
        <v>2</v>
      </c>
      <c r="AH2868" s="4">
        <v>54</v>
      </c>
      <c r="AI2868" s="4">
        <v>56</v>
      </c>
      <c r="AJ2868" s="4">
        <v>9</v>
      </c>
      <c r="AK2868" s="4">
        <v>11</v>
      </c>
      <c r="AL2868" s="4">
        <v>24</v>
      </c>
      <c r="AM2868" s="4">
        <v>25</v>
      </c>
      <c r="AN2868" s="4">
        <v>0</v>
      </c>
      <c r="AO2868" s="4">
        <v>0</v>
      </c>
      <c r="AP2868" s="4">
        <v>10</v>
      </c>
      <c r="AQ2868" s="4">
        <v>11</v>
      </c>
      <c r="AR2868" s="3" t="s">
        <v>64</v>
      </c>
      <c r="AS2868" s="3" t="s">
        <v>64</v>
      </c>
      <c r="AT2868" s="3" t="s">
        <v>128</v>
      </c>
      <c r="AU2868" s="6" t="str">
        <f>HYPERLINK("http://catalog.hathitrust.org/Record/005344412","HathiTrust Record")</f>
        <v>HathiTrust Record</v>
      </c>
      <c r="AV2868" s="6" t="str">
        <f>HYPERLINK("http://mcgill.on.worldcat.org/oclc/62535948","Catalog Record")</f>
        <v>Catalog Record</v>
      </c>
      <c r="AW2868" s="6" t="str">
        <f>HYPERLINK("http://www.worldcat.org/oclc/62535948","WorldCat Record")</f>
        <v>WorldCat Record</v>
      </c>
      <c r="AX2868" s="3" t="s">
        <v>28863</v>
      </c>
      <c r="AY2868" s="3" t="s">
        <v>28864</v>
      </c>
      <c r="AZ2868" s="3" t="s">
        <v>28865</v>
      </c>
      <c r="BA2868" s="3" t="s">
        <v>28865</v>
      </c>
      <c r="BB2868" s="3" t="s">
        <v>28866</v>
      </c>
      <c r="BC2868" s="3" t="s">
        <v>77</v>
      </c>
      <c r="BD2868" s="3" t="s">
        <v>78</v>
      </c>
      <c r="BE2868" s="3" t="s">
        <v>28867</v>
      </c>
      <c r="BF2868" s="3" t="s">
        <v>28866</v>
      </c>
      <c r="BG2868" s="3" t="s">
        <v>28868</v>
      </c>
      <c r="BH2868">
        <f t="shared" si="68"/>
        <v>0</v>
      </c>
    </row>
    <row r="2869" spans="1:60" ht="174" x14ac:dyDescent="0.35">
      <c r="A2869" s="2" t="s">
        <v>59</v>
      </c>
      <c r="B2869" s="2" t="s">
        <v>60</v>
      </c>
      <c r="C2869" s="2" t="s">
        <v>28869</v>
      </c>
      <c r="D2869" s="2" t="s">
        <v>28870</v>
      </c>
      <c r="E2869" s="2" t="s">
        <v>28871</v>
      </c>
      <c r="G2869" s="3" t="s">
        <v>64</v>
      </c>
      <c r="I2869" s="3" t="s">
        <v>64</v>
      </c>
      <c r="J2869" s="3" t="s">
        <v>64</v>
      </c>
      <c r="K2869" s="3" t="s">
        <v>65</v>
      </c>
      <c r="L2869" s="2" t="s">
        <v>19719</v>
      </c>
      <c r="M2869" s="2" t="s">
        <v>25466</v>
      </c>
      <c r="N2869" s="3" t="s">
        <v>253</v>
      </c>
      <c r="O2869" s="2" t="s">
        <v>28872</v>
      </c>
      <c r="P2869" s="3" t="s">
        <v>102</v>
      </c>
      <c r="Q2869" s="2" t="s">
        <v>15094</v>
      </c>
      <c r="R2869" s="3" t="s">
        <v>70</v>
      </c>
      <c r="S2869" s="4">
        <v>1</v>
      </c>
      <c r="T2869" s="4">
        <v>1</v>
      </c>
      <c r="U2869" s="5" t="s">
        <v>2091</v>
      </c>
      <c r="V2869" s="5" t="s">
        <v>2091</v>
      </c>
      <c r="W2869" s="5" t="s">
        <v>72</v>
      </c>
      <c r="X2869" s="5" t="s">
        <v>72</v>
      </c>
      <c r="Y2869" s="4">
        <v>137</v>
      </c>
      <c r="Z2869" s="4">
        <v>7</v>
      </c>
      <c r="AA2869" s="4">
        <v>38</v>
      </c>
      <c r="AB2869" s="4">
        <v>1</v>
      </c>
      <c r="AC2869" s="4">
        <v>4</v>
      </c>
      <c r="AD2869" s="4">
        <v>10</v>
      </c>
      <c r="AE2869" s="4">
        <v>27</v>
      </c>
      <c r="AF2869" s="4">
        <v>0</v>
      </c>
      <c r="AG2869" s="4">
        <v>0</v>
      </c>
      <c r="AH2869" s="4">
        <v>10</v>
      </c>
      <c r="AI2869" s="4">
        <v>19</v>
      </c>
      <c r="AJ2869" s="4">
        <v>3</v>
      </c>
      <c r="AK2869" s="4">
        <v>5</v>
      </c>
      <c r="AL2869" s="4">
        <v>5</v>
      </c>
      <c r="AM2869" s="4">
        <v>11</v>
      </c>
      <c r="AN2869" s="4">
        <v>0</v>
      </c>
      <c r="AO2869" s="4">
        <v>0</v>
      </c>
      <c r="AP2869" s="4">
        <v>3</v>
      </c>
      <c r="AQ2869" s="4">
        <v>10</v>
      </c>
      <c r="AR2869" s="3" t="s">
        <v>64</v>
      </c>
      <c r="AS2869" s="3" t="s">
        <v>64</v>
      </c>
      <c r="AT2869" s="3" t="s">
        <v>64</v>
      </c>
      <c r="AV2869" s="6" t="str">
        <f>HYPERLINK("http://mcgill.on.worldcat.org/oclc/900031399","Catalog Record")</f>
        <v>Catalog Record</v>
      </c>
      <c r="AW2869" s="6" t="str">
        <f>HYPERLINK("http://www.worldcat.org/oclc/900031399","WorldCat Record")</f>
        <v>WorldCat Record</v>
      </c>
      <c r="AX2869" s="3" t="s">
        <v>28873</v>
      </c>
      <c r="AY2869" s="3" t="s">
        <v>28874</v>
      </c>
      <c r="AZ2869" s="3" t="s">
        <v>28875</v>
      </c>
      <c r="BA2869" s="3" t="s">
        <v>28875</v>
      </c>
      <c r="BB2869" s="3" t="s">
        <v>28876</v>
      </c>
      <c r="BC2869" s="3" t="s">
        <v>77</v>
      </c>
      <c r="BD2869" s="3" t="s">
        <v>78</v>
      </c>
      <c r="BE2869" s="3" t="s">
        <v>28877</v>
      </c>
      <c r="BF2869" s="3" t="s">
        <v>28876</v>
      </c>
      <c r="BG2869" s="3" t="s">
        <v>28878</v>
      </c>
      <c r="BH2869">
        <f t="shared" si="68"/>
        <v>0</v>
      </c>
    </row>
    <row r="2870" spans="1:60" ht="58" x14ac:dyDescent="0.35">
      <c r="A2870" s="2" t="s">
        <v>59</v>
      </c>
      <c r="B2870" s="2" t="s">
        <v>60</v>
      </c>
      <c r="C2870" s="2" t="s">
        <v>28879</v>
      </c>
      <c r="D2870" s="2" t="s">
        <v>28880</v>
      </c>
      <c r="E2870" s="2" t="s">
        <v>28881</v>
      </c>
      <c r="G2870" s="3" t="s">
        <v>64</v>
      </c>
      <c r="I2870" s="3" t="s">
        <v>64</v>
      </c>
      <c r="J2870" s="3" t="s">
        <v>128</v>
      </c>
      <c r="K2870" s="3" t="s">
        <v>65</v>
      </c>
      <c r="L2870" s="2" t="s">
        <v>28882</v>
      </c>
      <c r="M2870" s="2" t="s">
        <v>28883</v>
      </c>
      <c r="N2870" s="3" t="s">
        <v>171</v>
      </c>
      <c r="O2870" s="2" t="s">
        <v>3455</v>
      </c>
      <c r="P2870" s="3" t="s">
        <v>102</v>
      </c>
      <c r="R2870" s="3" t="s">
        <v>70</v>
      </c>
      <c r="S2870" s="4">
        <v>6</v>
      </c>
      <c r="T2870" s="4">
        <v>6</v>
      </c>
      <c r="U2870" s="5" t="s">
        <v>28884</v>
      </c>
      <c r="V2870" s="5" t="s">
        <v>28884</v>
      </c>
      <c r="W2870" s="5" t="s">
        <v>72</v>
      </c>
      <c r="X2870" s="5" t="s">
        <v>72</v>
      </c>
      <c r="Y2870" s="4">
        <v>232</v>
      </c>
      <c r="Z2870" s="4">
        <v>9</v>
      </c>
      <c r="AA2870" s="4">
        <v>26</v>
      </c>
      <c r="AB2870" s="4">
        <v>1</v>
      </c>
      <c r="AC2870" s="4">
        <v>5</v>
      </c>
      <c r="AD2870" s="4">
        <v>30</v>
      </c>
      <c r="AE2870" s="4">
        <v>73</v>
      </c>
      <c r="AF2870" s="4">
        <v>0</v>
      </c>
      <c r="AG2870" s="4">
        <v>3</v>
      </c>
      <c r="AH2870" s="4">
        <v>27</v>
      </c>
      <c r="AI2870" s="4">
        <v>64</v>
      </c>
      <c r="AJ2870" s="4">
        <v>6</v>
      </c>
      <c r="AK2870" s="4">
        <v>17</v>
      </c>
      <c r="AL2870" s="4">
        <v>15</v>
      </c>
      <c r="AM2870" s="4">
        <v>33</v>
      </c>
      <c r="AN2870" s="4">
        <v>0</v>
      </c>
      <c r="AO2870" s="4">
        <v>0</v>
      </c>
      <c r="AP2870" s="4">
        <v>7</v>
      </c>
      <c r="AQ2870" s="4">
        <v>17</v>
      </c>
      <c r="AR2870" s="3" t="s">
        <v>64</v>
      </c>
      <c r="AS2870" s="3" t="s">
        <v>64</v>
      </c>
      <c r="AT2870" s="3" t="s">
        <v>128</v>
      </c>
      <c r="AU2870" s="6" t="str">
        <f>HYPERLINK("http://catalog.hathitrust.org/Record/005238179","HathiTrust Record")</f>
        <v>HathiTrust Record</v>
      </c>
      <c r="AV2870" s="6" t="str">
        <f>HYPERLINK("http://mcgill.on.worldcat.org/oclc/64315435","Catalog Record")</f>
        <v>Catalog Record</v>
      </c>
      <c r="AW2870" s="6" t="str">
        <f>HYPERLINK("http://www.worldcat.org/oclc/64315435","WorldCat Record")</f>
        <v>WorldCat Record</v>
      </c>
      <c r="AX2870" s="3" t="s">
        <v>28885</v>
      </c>
      <c r="AY2870" s="3" t="s">
        <v>28886</v>
      </c>
      <c r="AZ2870" s="3" t="s">
        <v>28887</v>
      </c>
      <c r="BA2870" s="3" t="s">
        <v>28887</v>
      </c>
      <c r="BB2870" s="3" t="s">
        <v>28888</v>
      </c>
      <c r="BC2870" s="3" t="s">
        <v>77</v>
      </c>
      <c r="BD2870" s="3" t="s">
        <v>78</v>
      </c>
      <c r="BE2870" s="3" t="s">
        <v>28889</v>
      </c>
      <c r="BF2870" s="3" t="s">
        <v>28888</v>
      </c>
      <c r="BG2870" s="3" t="s">
        <v>28890</v>
      </c>
      <c r="BH2870">
        <f t="shared" si="68"/>
        <v>0</v>
      </c>
    </row>
    <row r="2871" spans="1:60" ht="58" x14ac:dyDescent="0.35">
      <c r="A2871" s="2" t="s">
        <v>59</v>
      </c>
      <c r="B2871" s="2" t="s">
        <v>60</v>
      </c>
      <c r="C2871" s="2" t="s">
        <v>28891</v>
      </c>
      <c r="D2871" s="2" t="s">
        <v>28892</v>
      </c>
      <c r="E2871" s="2" t="s">
        <v>28893</v>
      </c>
      <c r="G2871" s="3" t="s">
        <v>64</v>
      </c>
      <c r="I2871" s="3" t="s">
        <v>64</v>
      </c>
      <c r="J2871" s="3" t="s">
        <v>128</v>
      </c>
      <c r="K2871" s="3" t="s">
        <v>65</v>
      </c>
      <c r="L2871" s="2" t="s">
        <v>28894</v>
      </c>
      <c r="M2871" s="2" t="s">
        <v>22793</v>
      </c>
      <c r="N2871" s="3" t="s">
        <v>171</v>
      </c>
      <c r="P2871" s="3" t="s">
        <v>102</v>
      </c>
      <c r="R2871" s="3" t="s">
        <v>70</v>
      </c>
      <c r="S2871" s="4">
        <v>10</v>
      </c>
      <c r="T2871" s="4">
        <v>10</v>
      </c>
      <c r="U2871" s="5" t="s">
        <v>28895</v>
      </c>
      <c r="V2871" s="5" t="s">
        <v>28895</v>
      </c>
      <c r="W2871" s="5" t="s">
        <v>72</v>
      </c>
      <c r="X2871" s="5" t="s">
        <v>72</v>
      </c>
      <c r="Y2871" s="4">
        <v>387</v>
      </c>
      <c r="Z2871" s="4">
        <v>23</v>
      </c>
      <c r="AA2871" s="4">
        <v>48</v>
      </c>
      <c r="AB2871" s="4">
        <v>2</v>
      </c>
      <c r="AC2871" s="4">
        <v>7</v>
      </c>
      <c r="AD2871" s="4">
        <v>64</v>
      </c>
      <c r="AE2871" s="4">
        <v>95</v>
      </c>
      <c r="AF2871" s="4">
        <v>0</v>
      </c>
      <c r="AG2871" s="4">
        <v>3</v>
      </c>
      <c r="AH2871" s="4">
        <v>59</v>
      </c>
      <c r="AI2871" s="4">
        <v>81</v>
      </c>
      <c r="AJ2871" s="4">
        <v>9</v>
      </c>
      <c r="AK2871" s="4">
        <v>18</v>
      </c>
      <c r="AL2871" s="4">
        <v>31</v>
      </c>
      <c r="AM2871" s="4">
        <v>42</v>
      </c>
      <c r="AN2871" s="4">
        <v>0</v>
      </c>
      <c r="AO2871" s="4">
        <v>0</v>
      </c>
      <c r="AP2871" s="4">
        <v>11</v>
      </c>
      <c r="AQ2871" s="4">
        <v>22</v>
      </c>
      <c r="AR2871" s="3" t="s">
        <v>64</v>
      </c>
      <c r="AS2871" s="3" t="s">
        <v>64</v>
      </c>
      <c r="AT2871" s="3" t="s">
        <v>128</v>
      </c>
      <c r="AU2871" s="6" t="str">
        <f>HYPERLINK("http://catalog.hathitrust.org/Record/005251534","HathiTrust Record")</f>
        <v>HathiTrust Record</v>
      </c>
      <c r="AV2871" s="6" t="str">
        <f>HYPERLINK("http://mcgill.on.worldcat.org/oclc/67921859","Catalog Record")</f>
        <v>Catalog Record</v>
      </c>
      <c r="AW2871" s="6" t="str">
        <f>HYPERLINK("http://www.worldcat.org/oclc/67921859","WorldCat Record")</f>
        <v>WorldCat Record</v>
      </c>
      <c r="AX2871" s="3" t="s">
        <v>28896</v>
      </c>
      <c r="AY2871" s="3" t="s">
        <v>28897</v>
      </c>
      <c r="AZ2871" s="3" t="s">
        <v>28898</v>
      </c>
      <c r="BA2871" s="3" t="s">
        <v>28898</v>
      </c>
      <c r="BB2871" s="3" t="s">
        <v>28899</v>
      </c>
      <c r="BC2871" s="3" t="s">
        <v>77</v>
      </c>
      <c r="BD2871" s="3" t="s">
        <v>78</v>
      </c>
      <c r="BE2871" s="3" t="s">
        <v>28900</v>
      </c>
      <c r="BF2871" s="3" t="s">
        <v>28899</v>
      </c>
      <c r="BG2871" s="3" t="s">
        <v>28901</v>
      </c>
      <c r="BH2871">
        <f t="shared" si="68"/>
        <v>0</v>
      </c>
    </row>
    <row r="2872" spans="1:60" ht="58" x14ac:dyDescent="0.35">
      <c r="A2872" s="2" t="s">
        <v>59</v>
      </c>
      <c r="B2872" s="2" t="s">
        <v>60</v>
      </c>
      <c r="C2872" s="2" t="s">
        <v>28902</v>
      </c>
      <c r="D2872" s="2" t="s">
        <v>28903</v>
      </c>
      <c r="E2872" s="2" t="s">
        <v>28893</v>
      </c>
      <c r="G2872" s="3" t="s">
        <v>64</v>
      </c>
      <c r="I2872" s="3" t="s">
        <v>64</v>
      </c>
      <c r="J2872" s="3" t="s">
        <v>128</v>
      </c>
      <c r="K2872" s="3" t="s">
        <v>65</v>
      </c>
      <c r="L2872" s="2" t="s">
        <v>28894</v>
      </c>
      <c r="M2872" s="2" t="s">
        <v>28904</v>
      </c>
      <c r="N2872" s="3" t="s">
        <v>326</v>
      </c>
      <c r="O2872" s="2" t="s">
        <v>28905</v>
      </c>
      <c r="P2872" s="3" t="s">
        <v>102</v>
      </c>
      <c r="R2872" s="3" t="s">
        <v>70</v>
      </c>
      <c r="S2872" s="4">
        <v>2</v>
      </c>
      <c r="T2872" s="4">
        <v>2</v>
      </c>
      <c r="U2872" s="5" t="s">
        <v>28906</v>
      </c>
      <c r="V2872" s="5" t="s">
        <v>28906</v>
      </c>
      <c r="W2872" s="5" t="s">
        <v>72</v>
      </c>
      <c r="X2872" s="5" t="s">
        <v>72</v>
      </c>
      <c r="Y2872" s="4">
        <v>40</v>
      </c>
      <c r="Z2872" s="4">
        <v>2</v>
      </c>
      <c r="AA2872" s="4">
        <v>48</v>
      </c>
      <c r="AB2872" s="4">
        <v>1</v>
      </c>
      <c r="AC2872" s="4">
        <v>7</v>
      </c>
      <c r="AD2872" s="4">
        <v>2</v>
      </c>
      <c r="AE2872" s="4">
        <v>95</v>
      </c>
      <c r="AF2872" s="4">
        <v>0</v>
      </c>
      <c r="AG2872" s="4">
        <v>3</v>
      </c>
      <c r="AH2872" s="4">
        <v>1</v>
      </c>
      <c r="AI2872" s="4">
        <v>81</v>
      </c>
      <c r="AJ2872" s="4">
        <v>1</v>
      </c>
      <c r="AK2872" s="4">
        <v>18</v>
      </c>
      <c r="AL2872" s="4">
        <v>1</v>
      </c>
      <c r="AM2872" s="4">
        <v>42</v>
      </c>
      <c r="AN2872" s="4">
        <v>0</v>
      </c>
      <c r="AO2872" s="4">
        <v>0</v>
      </c>
      <c r="AP2872" s="4">
        <v>1</v>
      </c>
      <c r="AQ2872" s="4">
        <v>22</v>
      </c>
      <c r="AR2872" s="3" t="s">
        <v>64</v>
      </c>
      <c r="AS2872" s="3" t="s">
        <v>64</v>
      </c>
      <c r="AT2872" s="3" t="s">
        <v>64</v>
      </c>
      <c r="AV2872" s="6" t="str">
        <f>HYPERLINK("http://mcgill.on.worldcat.org/oclc/747743145","Catalog Record")</f>
        <v>Catalog Record</v>
      </c>
      <c r="AW2872" s="6" t="str">
        <f>HYPERLINK("http://www.worldcat.org/oclc/747743145","WorldCat Record")</f>
        <v>WorldCat Record</v>
      </c>
      <c r="AX2872" s="3" t="s">
        <v>28896</v>
      </c>
      <c r="AY2872" s="3" t="s">
        <v>28907</v>
      </c>
      <c r="AZ2872" s="3" t="s">
        <v>28908</v>
      </c>
      <c r="BA2872" s="3" t="s">
        <v>28908</v>
      </c>
      <c r="BB2872" s="3" t="s">
        <v>28909</v>
      </c>
      <c r="BC2872" s="3" t="s">
        <v>77</v>
      </c>
      <c r="BD2872" s="3" t="s">
        <v>78</v>
      </c>
      <c r="BE2872" s="3" t="s">
        <v>28910</v>
      </c>
      <c r="BF2872" s="3" t="s">
        <v>28909</v>
      </c>
      <c r="BG2872" s="3" t="s">
        <v>28911</v>
      </c>
      <c r="BH2872">
        <f t="shared" si="68"/>
        <v>0</v>
      </c>
    </row>
    <row r="2873" spans="1:60" ht="58" x14ac:dyDescent="0.35">
      <c r="A2873" s="2" t="s">
        <v>59</v>
      </c>
      <c r="B2873" s="2" t="s">
        <v>60</v>
      </c>
      <c r="C2873" s="2" t="s">
        <v>28912</v>
      </c>
      <c r="D2873" s="2" t="s">
        <v>28913</v>
      </c>
      <c r="E2873" s="2" t="s">
        <v>28893</v>
      </c>
      <c r="G2873" s="3" t="s">
        <v>64</v>
      </c>
      <c r="I2873" s="3" t="s">
        <v>64</v>
      </c>
      <c r="J2873" s="3" t="s">
        <v>128</v>
      </c>
      <c r="K2873" s="3" t="s">
        <v>65</v>
      </c>
      <c r="L2873" s="2" t="s">
        <v>28894</v>
      </c>
      <c r="M2873" s="2" t="s">
        <v>28914</v>
      </c>
      <c r="N2873" s="3" t="s">
        <v>1075</v>
      </c>
      <c r="O2873" s="2" t="s">
        <v>2994</v>
      </c>
      <c r="P2873" s="3" t="s">
        <v>102</v>
      </c>
      <c r="R2873" s="3" t="s">
        <v>70</v>
      </c>
      <c r="S2873" s="4">
        <v>6</v>
      </c>
      <c r="T2873" s="4">
        <v>6</v>
      </c>
      <c r="U2873" s="5" t="s">
        <v>23007</v>
      </c>
      <c r="V2873" s="5" t="s">
        <v>23007</v>
      </c>
      <c r="W2873" s="5" t="s">
        <v>72</v>
      </c>
      <c r="X2873" s="5" t="s">
        <v>72</v>
      </c>
      <c r="Y2873" s="4">
        <v>20</v>
      </c>
      <c r="Z2873" s="4">
        <v>1</v>
      </c>
      <c r="AA2873" s="4">
        <v>48</v>
      </c>
      <c r="AB2873" s="4">
        <v>1</v>
      </c>
      <c r="AC2873" s="4">
        <v>7</v>
      </c>
      <c r="AD2873" s="4">
        <v>0</v>
      </c>
      <c r="AE2873" s="4">
        <v>95</v>
      </c>
      <c r="AF2873" s="4">
        <v>0</v>
      </c>
      <c r="AG2873" s="4">
        <v>3</v>
      </c>
      <c r="AH2873" s="4">
        <v>0</v>
      </c>
      <c r="AI2873" s="4">
        <v>81</v>
      </c>
      <c r="AJ2873" s="4">
        <v>0</v>
      </c>
      <c r="AK2873" s="4">
        <v>18</v>
      </c>
      <c r="AL2873" s="4">
        <v>0</v>
      </c>
      <c r="AM2873" s="4">
        <v>42</v>
      </c>
      <c r="AN2873" s="4">
        <v>0</v>
      </c>
      <c r="AO2873" s="4">
        <v>0</v>
      </c>
      <c r="AP2873" s="4">
        <v>0</v>
      </c>
      <c r="AQ2873" s="4">
        <v>22</v>
      </c>
      <c r="AR2873" s="3" t="s">
        <v>64</v>
      </c>
      <c r="AS2873" s="3" t="s">
        <v>64</v>
      </c>
      <c r="AT2873" s="3" t="s">
        <v>64</v>
      </c>
      <c r="AV2873" s="6" t="str">
        <f>HYPERLINK("http://mcgill.on.worldcat.org/oclc/781500579","Catalog Record")</f>
        <v>Catalog Record</v>
      </c>
      <c r="AW2873" s="6" t="str">
        <f>HYPERLINK("http://www.worldcat.org/oclc/781500579","WorldCat Record")</f>
        <v>WorldCat Record</v>
      </c>
      <c r="AX2873" s="3" t="s">
        <v>28896</v>
      </c>
      <c r="AY2873" s="3" t="s">
        <v>28915</v>
      </c>
      <c r="AZ2873" s="3" t="s">
        <v>28916</v>
      </c>
      <c r="BA2873" s="3" t="s">
        <v>28916</v>
      </c>
      <c r="BB2873" s="3" t="s">
        <v>28917</v>
      </c>
      <c r="BC2873" s="3" t="s">
        <v>77</v>
      </c>
      <c r="BD2873" s="3" t="s">
        <v>165</v>
      </c>
      <c r="BE2873" s="3" t="s">
        <v>28918</v>
      </c>
      <c r="BF2873" s="3" t="s">
        <v>28917</v>
      </c>
      <c r="BG2873" s="3" t="s">
        <v>28919</v>
      </c>
      <c r="BH2873">
        <f t="shared" si="68"/>
        <v>0</v>
      </c>
    </row>
    <row r="2874" spans="1:60" ht="58" x14ac:dyDescent="0.35">
      <c r="A2874" s="2" t="s">
        <v>59</v>
      </c>
      <c r="B2874" s="2" t="s">
        <v>60</v>
      </c>
      <c r="C2874" s="2" t="s">
        <v>28912</v>
      </c>
      <c r="D2874" s="2" t="s">
        <v>28913</v>
      </c>
      <c r="E2874" s="2" t="s">
        <v>28920</v>
      </c>
      <c r="G2874" s="3" t="s">
        <v>64</v>
      </c>
      <c r="I2874" s="3" t="s">
        <v>64</v>
      </c>
      <c r="J2874" s="3" t="s">
        <v>128</v>
      </c>
      <c r="K2874" s="3" t="s">
        <v>65</v>
      </c>
      <c r="L2874" s="2" t="s">
        <v>28894</v>
      </c>
      <c r="M2874" s="2" t="s">
        <v>14793</v>
      </c>
      <c r="N2874" s="3" t="s">
        <v>1075</v>
      </c>
      <c r="O2874" s="2" t="s">
        <v>15120</v>
      </c>
      <c r="P2874" s="3" t="s">
        <v>102</v>
      </c>
      <c r="R2874" s="3" t="s">
        <v>70</v>
      </c>
      <c r="S2874" s="4">
        <v>8</v>
      </c>
      <c r="T2874" s="4">
        <v>8</v>
      </c>
      <c r="U2874" s="5" t="s">
        <v>26968</v>
      </c>
      <c r="V2874" s="5" t="s">
        <v>26968</v>
      </c>
      <c r="W2874" s="5" t="s">
        <v>72</v>
      </c>
      <c r="X2874" s="5" t="s">
        <v>72</v>
      </c>
      <c r="Y2874" s="4">
        <v>255</v>
      </c>
      <c r="Z2874" s="4">
        <v>17</v>
      </c>
      <c r="AA2874" s="4">
        <v>92</v>
      </c>
      <c r="AB2874" s="4">
        <v>1</v>
      </c>
      <c r="AC2874" s="4">
        <v>16</v>
      </c>
      <c r="AD2874" s="4">
        <v>32</v>
      </c>
      <c r="AE2874" s="4">
        <v>109</v>
      </c>
      <c r="AF2874" s="4">
        <v>0</v>
      </c>
      <c r="AG2874" s="4">
        <v>8</v>
      </c>
      <c r="AH2874" s="4">
        <v>28</v>
      </c>
      <c r="AI2874" s="4">
        <v>76</v>
      </c>
      <c r="AJ2874" s="4">
        <v>6</v>
      </c>
      <c r="AK2874" s="4">
        <v>18</v>
      </c>
      <c r="AL2874" s="4">
        <v>15</v>
      </c>
      <c r="AM2874" s="4">
        <v>37</v>
      </c>
      <c r="AN2874" s="4">
        <v>0</v>
      </c>
      <c r="AO2874" s="4">
        <v>0</v>
      </c>
      <c r="AP2874" s="4">
        <v>8</v>
      </c>
      <c r="AQ2874" s="4">
        <v>40</v>
      </c>
      <c r="AR2874" s="3" t="s">
        <v>64</v>
      </c>
      <c r="AS2874" s="3" t="s">
        <v>64</v>
      </c>
      <c r="AT2874" s="3" t="s">
        <v>64</v>
      </c>
      <c r="AV2874" s="6" t="str">
        <f>HYPERLINK("http://mcgill.on.worldcat.org/oclc/805701771","Catalog Record")</f>
        <v>Catalog Record</v>
      </c>
      <c r="AW2874" s="6" t="str">
        <f>HYPERLINK("http://www.worldcat.org/oclc/805701771","WorldCat Record")</f>
        <v>WorldCat Record</v>
      </c>
      <c r="AX2874" s="3" t="s">
        <v>28921</v>
      </c>
      <c r="AY2874" s="3" t="s">
        <v>28922</v>
      </c>
      <c r="AZ2874" s="3" t="s">
        <v>28923</v>
      </c>
      <c r="BA2874" s="3" t="s">
        <v>28923</v>
      </c>
      <c r="BB2874" s="3" t="s">
        <v>28924</v>
      </c>
      <c r="BC2874" s="3" t="s">
        <v>77</v>
      </c>
      <c r="BD2874" s="3" t="s">
        <v>78</v>
      </c>
      <c r="BE2874" s="3" t="s">
        <v>28925</v>
      </c>
      <c r="BF2874" s="3" t="s">
        <v>28924</v>
      </c>
      <c r="BG2874" s="3" t="s">
        <v>28926</v>
      </c>
      <c r="BH2874">
        <f t="shared" si="68"/>
        <v>0</v>
      </c>
    </row>
    <row r="2875" spans="1:60" ht="58" x14ac:dyDescent="0.35">
      <c r="A2875" s="2" t="s">
        <v>59</v>
      </c>
      <c r="B2875" s="2" t="s">
        <v>60</v>
      </c>
      <c r="C2875" s="2" t="s">
        <v>28927</v>
      </c>
      <c r="D2875" s="2" t="s">
        <v>28928</v>
      </c>
      <c r="E2875" s="2" t="s">
        <v>28929</v>
      </c>
      <c r="G2875" s="3" t="s">
        <v>64</v>
      </c>
      <c r="I2875" s="3" t="s">
        <v>64</v>
      </c>
      <c r="J2875" s="3" t="s">
        <v>128</v>
      </c>
      <c r="K2875" s="3" t="s">
        <v>65</v>
      </c>
      <c r="L2875" s="2" t="s">
        <v>28930</v>
      </c>
      <c r="M2875" s="2" t="s">
        <v>23642</v>
      </c>
      <c r="N2875" s="3" t="s">
        <v>190</v>
      </c>
      <c r="O2875" s="2" t="s">
        <v>14853</v>
      </c>
      <c r="P2875" s="3" t="s">
        <v>102</v>
      </c>
      <c r="R2875" s="3" t="s">
        <v>70</v>
      </c>
      <c r="S2875" s="4">
        <v>3</v>
      </c>
      <c r="T2875" s="4">
        <v>3</v>
      </c>
      <c r="U2875" s="5" t="s">
        <v>23007</v>
      </c>
      <c r="V2875" s="5" t="s">
        <v>23007</v>
      </c>
      <c r="W2875" s="5" t="s">
        <v>72</v>
      </c>
      <c r="X2875" s="5" t="s">
        <v>72</v>
      </c>
      <c r="Y2875" s="4">
        <v>203</v>
      </c>
      <c r="Z2875" s="4">
        <v>11</v>
      </c>
      <c r="AA2875" s="4">
        <v>92</v>
      </c>
      <c r="AB2875" s="4">
        <v>1</v>
      </c>
      <c r="AC2875" s="4">
        <v>16</v>
      </c>
      <c r="AD2875" s="4">
        <v>32</v>
      </c>
      <c r="AE2875" s="4">
        <v>109</v>
      </c>
      <c r="AF2875" s="4">
        <v>0</v>
      </c>
      <c r="AG2875" s="4">
        <v>8</v>
      </c>
      <c r="AH2875" s="4">
        <v>31</v>
      </c>
      <c r="AI2875" s="4">
        <v>76</v>
      </c>
      <c r="AJ2875" s="4">
        <v>2</v>
      </c>
      <c r="AK2875" s="4">
        <v>18</v>
      </c>
      <c r="AL2875" s="4">
        <v>16</v>
      </c>
      <c r="AM2875" s="4">
        <v>37</v>
      </c>
      <c r="AN2875" s="4">
        <v>0</v>
      </c>
      <c r="AO2875" s="4">
        <v>0</v>
      </c>
      <c r="AP2875" s="4">
        <v>3</v>
      </c>
      <c r="AQ2875" s="4">
        <v>40</v>
      </c>
      <c r="AR2875" s="3" t="s">
        <v>64</v>
      </c>
      <c r="AS2875" s="3" t="s">
        <v>64</v>
      </c>
      <c r="AT2875" s="3" t="s">
        <v>64</v>
      </c>
      <c r="AV2875" s="6" t="str">
        <f>HYPERLINK("http://mcgill.on.worldcat.org/oclc/1037884864","Catalog Record")</f>
        <v>Catalog Record</v>
      </c>
      <c r="AW2875" s="6" t="str">
        <f>HYPERLINK("http://www.worldcat.org/oclc/1037884864","WorldCat Record")</f>
        <v>WorldCat Record</v>
      </c>
      <c r="AX2875" s="3" t="s">
        <v>28921</v>
      </c>
      <c r="AY2875" s="3" t="s">
        <v>28931</v>
      </c>
      <c r="AZ2875" s="3" t="s">
        <v>28932</v>
      </c>
      <c r="BA2875" s="3" t="s">
        <v>28932</v>
      </c>
      <c r="BB2875" s="3" t="s">
        <v>28933</v>
      </c>
      <c r="BC2875" s="3" t="s">
        <v>77</v>
      </c>
      <c r="BD2875" s="3" t="s">
        <v>165</v>
      </c>
      <c r="BE2875" s="3" t="s">
        <v>28934</v>
      </c>
      <c r="BF2875" s="3" t="s">
        <v>28933</v>
      </c>
      <c r="BG2875" s="3" t="s">
        <v>28935</v>
      </c>
      <c r="BH2875">
        <f t="shared" si="68"/>
        <v>0</v>
      </c>
    </row>
    <row r="2876" spans="1:60" ht="58" x14ac:dyDescent="0.35">
      <c r="A2876" s="2" t="s">
        <v>59</v>
      </c>
      <c r="B2876" s="2" t="s">
        <v>60</v>
      </c>
      <c r="C2876" s="2" t="s">
        <v>28936</v>
      </c>
      <c r="D2876" s="2" t="s">
        <v>28937</v>
      </c>
      <c r="E2876" s="2" t="s">
        <v>28938</v>
      </c>
      <c r="G2876" s="3" t="s">
        <v>64</v>
      </c>
      <c r="I2876" s="3" t="s">
        <v>64</v>
      </c>
      <c r="J2876" s="3" t="s">
        <v>64</v>
      </c>
      <c r="K2876" s="3" t="s">
        <v>65</v>
      </c>
      <c r="M2876" s="2" t="s">
        <v>28939</v>
      </c>
      <c r="N2876" s="3" t="s">
        <v>291</v>
      </c>
      <c r="P2876" s="3" t="s">
        <v>102</v>
      </c>
      <c r="R2876" s="3" t="s">
        <v>70</v>
      </c>
      <c r="S2876" s="4">
        <v>5</v>
      </c>
      <c r="T2876" s="4">
        <v>5</v>
      </c>
      <c r="U2876" s="5" t="s">
        <v>394</v>
      </c>
      <c r="V2876" s="5" t="s">
        <v>394</v>
      </c>
      <c r="W2876" s="5" t="s">
        <v>72</v>
      </c>
      <c r="X2876" s="5" t="s">
        <v>72</v>
      </c>
      <c r="Y2876" s="4">
        <v>46</v>
      </c>
      <c r="Z2876" s="4">
        <v>7</v>
      </c>
      <c r="AA2876" s="4">
        <v>80</v>
      </c>
      <c r="AB2876" s="4">
        <v>1</v>
      </c>
      <c r="AC2876" s="4">
        <v>14</v>
      </c>
      <c r="AD2876" s="4">
        <v>23</v>
      </c>
      <c r="AE2876" s="4">
        <v>89</v>
      </c>
      <c r="AF2876" s="4">
        <v>0</v>
      </c>
      <c r="AG2876" s="4">
        <v>8</v>
      </c>
      <c r="AH2876" s="4">
        <v>22</v>
      </c>
      <c r="AI2876" s="4">
        <v>59</v>
      </c>
      <c r="AJ2876" s="4">
        <v>5</v>
      </c>
      <c r="AK2876" s="4">
        <v>19</v>
      </c>
      <c r="AL2876" s="4">
        <v>16</v>
      </c>
      <c r="AM2876" s="4">
        <v>29</v>
      </c>
      <c r="AN2876" s="4">
        <v>0</v>
      </c>
      <c r="AO2876" s="4">
        <v>0</v>
      </c>
      <c r="AP2876" s="4">
        <v>5</v>
      </c>
      <c r="AQ2876" s="4">
        <v>39</v>
      </c>
      <c r="AR2876" s="3" t="s">
        <v>64</v>
      </c>
      <c r="AS2876" s="3" t="s">
        <v>64</v>
      </c>
      <c r="AT2876" s="3" t="s">
        <v>64</v>
      </c>
      <c r="AV2876" s="6" t="str">
        <f>HYPERLINK("http://mcgill.on.worldcat.org/oclc/187979329","Catalog Record")</f>
        <v>Catalog Record</v>
      </c>
      <c r="AW2876" s="6" t="str">
        <f>HYPERLINK("http://www.worldcat.org/oclc/187979329","WorldCat Record")</f>
        <v>WorldCat Record</v>
      </c>
      <c r="AX2876" s="3" t="s">
        <v>28940</v>
      </c>
      <c r="AY2876" s="3" t="s">
        <v>28941</v>
      </c>
      <c r="AZ2876" s="3" t="s">
        <v>28942</v>
      </c>
      <c r="BA2876" s="3" t="s">
        <v>28942</v>
      </c>
      <c r="BB2876" s="3" t="s">
        <v>28943</v>
      </c>
      <c r="BC2876" s="3" t="s">
        <v>77</v>
      </c>
      <c r="BD2876" s="3" t="s">
        <v>78</v>
      </c>
      <c r="BE2876" s="3" t="s">
        <v>28944</v>
      </c>
      <c r="BF2876" s="3" t="s">
        <v>28943</v>
      </c>
      <c r="BG2876" s="3" t="s">
        <v>28945</v>
      </c>
      <c r="BH2876">
        <f t="shared" si="68"/>
        <v>0</v>
      </c>
    </row>
    <row r="2877" spans="1:60" ht="58" x14ac:dyDescent="0.35">
      <c r="A2877" s="2" t="s">
        <v>59</v>
      </c>
      <c r="B2877" s="2" t="s">
        <v>60</v>
      </c>
      <c r="C2877" s="2" t="s">
        <v>28946</v>
      </c>
      <c r="D2877" s="2" t="s">
        <v>28947</v>
      </c>
      <c r="E2877" s="2" t="s">
        <v>28948</v>
      </c>
      <c r="G2877" s="3" t="s">
        <v>64</v>
      </c>
      <c r="I2877" s="3" t="s">
        <v>64</v>
      </c>
      <c r="J2877" s="3" t="s">
        <v>64</v>
      </c>
      <c r="K2877" s="3" t="s">
        <v>65</v>
      </c>
      <c r="M2877" s="2" t="s">
        <v>28949</v>
      </c>
      <c r="N2877" s="3" t="s">
        <v>578</v>
      </c>
      <c r="P2877" s="3" t="s">
        <v>68</v>
      </c>
      <c r="Q2877" s="2" t="s">
        <v>23837</v>
      </c>
      <c r="R2877" s="3" t="s">
        <v>70</v>
      </c>
      <c r="S2877" s="4">
        <v>1</v>
      </c>
      <c r="T2877" s="4">
        <v>1</v>
      </c>
      <c r="U2877" s="5" t="s">
        <v>28950</v>
      </c>
      <c r="V2877" s="5" t="s">
        <v>28950</v>
      </c>
      <c r="W2877" s="5" t="s">
        <v>72</v>
      </c>
      <c r="X2877" s="5" t="s">
        <v>72</v>
      </c>
      <c r="Y2877" s="4">
        <v>3</v>
      </c>
      <c r="Z2877" s="4">
        <v>1</v>
      </c>
      <c r="AA2877" s="4">
        <v>5</v>
      </c>
      <c r="AB2877" s="4">
        <v>1</v>
      </c>
      <c r="AC2877" s="4">
        <v>4</v>
      </c>
      <c r="AD2877" s="4">
        <v>0</v>
      </c>
      <c r="AE2877" s="4">
        <v>5</v>
      </c>
      <c r="AF2877" s="4">
        <v>0</v>
      </c>
      <c r="AG2877" s="4">
        <v>2</v>
      </c>
      <c r="AH2877" s="4">
        <v>0</v>
      </c>
      <c r="AI2877" s="4">
        <v>3</v>
      </c>
      <c r="AJ2877" s="4">
        <v>0</v>
      </c>
      <c r="AK2877" s="4">
        <v>3</v>
      </c>
      <c r="AL2877" s="4">
        <v>0</v>
      </c>
      <c r="AM2877" s="4">
        <v>1</v>
      </c>
      <c r="AN2877" s="4">
        <v>0</v>
      </c>
      <c r="AO2877" s="4">
        <v>0</v>
      </c>
      <c r="AP2877" s="4">
        <v>0</v>
      </c>
      <c r="AQ2877" s="4">
        <v>2</v>
      </c>
      <c r="AR2877" s="3" t="s">
        <v>64</v>
      </c>
      <c r="AS2877" s="3" t="s">
        <v>64</v>
      </c>
      <c r="AT2877" s="3" t="s">
        <v>64</v>
      </c>
      <c r="AV2877" s="6" t="str">
        <f>HYPERLINK("http://mcgill.on.worldcat.org/oclc/989769084","Catalog Record")</f>
        <v>Catalog Record</v>
      </c>
      <c r="AW2877" s="6" t="str">
        <f>HYPERLINK("http://www.worldcat.org/oclc/989769084","WorldCat Record")</f>
        <v>WorldCat Record</v>
      </c>
      <c r="AX2877" s="3" t="s">
        <v>28951</v>
      </c>
      <c r="AY2877" s="3" t="s">
        <v>28952</v>
      </c>
      <c r="AZ2877" s="3" t="s">
        <v>28953</v>
      </c>
      <c r="BA2877" s="3" t="s">
        <v>28953</v>
      </c>
      <c r="BB2877" s="3" t="s">
        <v>28954</v>
      </c>
      <c r="BC2877" s="3" t="s">
        <v>77</v>
      </c>
      <c r="BD2877" s="3" t="s">
        <v>78</v>
      </c>
      <c r="BE2877" s="3" t="s">
        <v>28955</v>
      </c>
      <c r="BF2877" s="3" t="s">
        <v>28954</v>
      </c>
      <c r="BG2877" s="3" t="s">
        <v>28956</v>
      </c>
      <c r="BH2877">
        <f t="shared" si="68"/>
        <v>0</v>
      </c>
    </row>
    <row r="2878" spans="1:60" ht="58" x14ac:dyDescent="0.35">
      <c r="A2878" s="2" t="s">
        <v>59</v>
      </c>
      <c r="B2878" s="2" t="s">
        <v>60</v>
      </c>
      <c r="C2878" s="2" t="s">
        <v>28957</v>
      </c>
      <c r="D2878" s="2" t="s">
        <v>28958</v>
      </c>
      <c r="E2878" s="2" t="s">
        <v>28959</v>
      </c>
      <c r="G2878" s="3" t="s">
        <v>64</v>
      </c>
      <c r="I2878" s="3" t="s">
        <v>64</v>
      </c>
      <c r="J2878" s="3" t="s">
        <v>64</v>
      </c>
      <c r="K2878" s="3" t="s">
        <v>65</v>
      </c>
      <c r="M2878" s="2" t="s">
        <v>28960</v>
      </c>
      <c r="N2878" s="3" t="s">
        <v>67</v>
      </c>
      <c r="P2878" s="3" t="s">
        <v>102</v>
      </c>
      <c r="Q2878" s="2" t="s">
        <v>28961</v>
      </c>
      <c r="R2878" s="3" t="s">
        <v>70</v>
      </c>
      <c r="S2878" s="4">
        <v>5</v>
      </c>
      <c r="T2878" s="4">
        <v>5</v>
      </c>
      <c r="U2878" s="5" t="s">
        <v>2725</v>
      </c>
      <c r="V2878" s="5" t="s">
        <v>2725</v>
      </c>
      <c r="W2878" s="5" t="s">
        <v>72</v>
      </c>
      <c r="X2878" s="5" t="s">
        <v>72</v>
      </c>
      <c r="Y2878" s="4">
        <v>412</v>
      </c>
      <c r="Z2878" s="4">
        <v>9</v>
      </c>
      <c r="AA2878" s="4">
        <v>44</v>
      </c>
      <c r="AB2878" s="4">
        <v>1</v>
      </c>
      <c r="AC2878" s="4">
        <v>5</v>
      </c>
      <c r="AD2878" s="4">
        <v>51</v>
      </c>
      <c r="AE2878" s="4">
        <v>81</v>
      </c>
      <c r="AF2878" s="4">
        <v>0</v>
      </c>
      <c r="AG2878" s="4">
        <v>1</v>
      </c>
      <c r="AH2878" s="4">
        <v>46</v>
      </c>
      <c r="AI2878" s="4">
        <v>65</v>
      </c>
      <c r="AJ2878" s="4">
        <v>6</v>
      </c>
      <c r="AK2878" s="4">
        <v>14</v>
      </c>
      <c r="AL2878" s="4">
        <v>21</v>
      </c>
      <c r="AM2878" s="4">
        <v>31</v>
      </c>
      <c r="AN2878" s="4">
        <v>0</v>
      </c>
      <c r="AO2878" s="4">
        <v>0</v>
      </c>
      <c r="AP2878" s="4">
        <v>8</v>
      </c>
      <c r="AQ2878" s="4">
        <v>23</v>
      </c>
      <c r="AR2878" s="3" t="s">
        <v>64</v>
      </c>
      <c r="AS2878" s="3" t="s">
        <v>64</v>
      </c>
      <c r="AT2878" s="3" t="s">
        <v>64</v>
      </c>
      <c r="AV2878" s="6" t="str">
        <f>HYPERLINK("http://mcgill.on.worldcat.org/oclc/889005296","Catalog Record")</f>
        <v>Catalog Record</v>
      </c>
      <c r="AW2878" s="6" t="str">
        <f>HYPERLINK("http://www.worldcat.org/oclc/889005296","WorldCat Record")</f>
        <v>WorldCat Record</v>
      </c>
      <c r="AX2878" s="3" t="s">
        <v>28962</v>
      </c>
      <c r="AY2878" s="3" t="s">
        <v>28963</v>
      </c>
      <c r="AZ2878" s="3" t="s">
        <v>28964</v>
      </c>
      <c r="BA2878" s="3" t="s">
        <v>28964</v>
      </c>
      <c r="BB2878" s="3" t="s">
        <v>28965</v>
      </c>
      <c r="BC2878" s="3" t="s">
        <v>77</v>
      </c>
      <c r="BD2878" s="3" t="s">
        <v>165</v>
      </c>
      <c r="BE2878" s="3" t="s">
        <v>28966</v>
      </c>
      <c r="BF2878" s="3" t="s">
        <v>28965</v>
      </c>
      <c r="BG2878" s="3" t="s">
        <v>28967</v>
      </c>
      <c r="BH2878">
        <f t="shared" si="68"/>
        <v>0</v>
      </c>
    </row>
    <row r="2879" spans="1:60" ht="58" x14ac:dyDescent="0.35">
      <c r="A2879" s="2" t="s">
        <v>59</v>
      </c>
      <c r="B2879" s="2" t="s">
        <v>60</v>
      </c>
      <c r="C2879" s="2" t="s">
        <v>28968</v>
      </c>
      <c r="D2879" s="2" t="s">
        <v>28969</v>
      </c>
      <c r="E2879" s="2" t="s">
        <v>28970</v>
      </c>
      <c r="G2879" s="3" t="s">
        <v>64</v>
      </c>
      <c r="I2879" s="3" t="s">
        <v>64</v>
      </c>
      <c r="J2879" s="3" t="s">
        <v>64</v>
      </c>
      <c r="K2879" s="3" t="s">
        <v>65</v>
      </c>
      <c r="M2879" s="2" t="s">
        <v>27633</v>
      </c>
      <c r="N2879" s="3" t="s">
        <v>511</v>
      </c>
      <c r="P2879" s="3" t="s">
        <v>102</v>
      </c>
      <c r="R2879" s="3" t="s">
        <v>70</v>
      </c>
      <c r="S2879" s="4">
        <v>7</v>
      </c>
      <c r="T2879" s="4">
        <v>7</v>
      </c>
      <c r="U2879" s="5" t="s">
        <v>4792</v>
      </c>
      <c r="V2879" s="5" t="s">
        <v>4792</v>
      </c>
      <c r="W2879" s="5" t="s">
        <v>72</v>
      </c>
      <c r="X2879" s="5" t="s">
        <v>72</v>
      </c>
      <c r="Y2879" s="4">
        <v>377</v>
      </c>
      <c r="Z2879" s="4">
        <v>23</v>
      </c>
      <c r="AA2879" s="4">
        <v>89</v>
      </c>
      <c r="AB2879" s="4">
        <v>2</v>
      </c>
      <c r="AC2879" s="4">
        <v>17</v>
      </c>
      <c r="AD2879" s="4">
        <v>68</v>
      </c>
      <c r="AE2879" s="4">
        <v>117</v>
      </c>
      <c r="AF2879" s="4">
        <v>1</v>
      </c>
      <c r="AG2879" s="4">
        <v>8</v>
      </c>
      <c r="AH2879" s="4">
        <v>60</v>
      </c>
      <c r="AI2879" s="4">
        <v>82</v>
      </c>
      <c r="AJ2879" s="4">
        <v>14</v>
      </c>
      <c r="AK2879" s="4">
        <v>23</v>
      </c>
      <c r="AL2879" s="4">
        <v>36</v>
      </c>
      <c r="AM2879" s="4">
        <v>43</v>
      </c>
      <c r="AN2879" s="4">
        <v>0</v>
      </c>
      <c r="AO2879" s="4">
        <v>0</v>
      </c>
      <c r="AP2879" s="4">
        <v>17</v>
      </c>
      <c r="AQ2879" s="4">
        <v>45</v>
      </c>
      <c r="AR2879" s="3" t="s">
        <v>64</v>
      </c>
      <c r="AS2879" s="3" t="s">
        <v>64</v>
      </c>
      <c r="AT2879" s="3" t="s">
        <v>64</v>
      </c>
      <c r="AV2879" s="6" t="str">
        <f>HYPERLINK("http://mcgill.on.worldcat.org/oclc/320316051","Catalog Record")</f>
        <v>Catalog Record</v>
      </c>
      <c r="AW2879" s="6" t="str">
        <f>HYPERLINK("http://www.worldcat.org/oclc/320316051","WorldCat Record")</f>
        <v>WorldCat Record</v>
      </c>
      <c r="AX2879" s="3" t="s">
        <v>28971</v>
      </c>
      <c r="AY2879" s="3" t="s">
        <v>28972</v>
      </c>
      <c r="AZ2879" s="3" t="s">
        <v>28973</v>
      </c>
      <c r="BA2879" s="3" t="s">
        <v>28973</v>
      </c>
      <c r="BB2879" s="3" t="s">
        <v>28974</v>
      </c>
      <c r="BC2879" s="3" t="s">
        <v>77</v>
      </c>
      <c r="BD2879" s="3" t="s">
        <v>78</v>
      </c>
      <c r="BE2879" s="3" t="s">
        <v>28975</v>
      </c>
      <c r="BF2879" s="3" t="s">
        <v>28974</v>
      </c>
      <c r="BG2879" s="3" t="s">
        <v>28976</v>
      </c>
      <c r="BH2879">
        <f t="shared" si="68"/>
        <v>0</v>
      </c>
    </row>
    <row r="2880" spans="1:60" ht="58" x14ac:dyDescent="0.35">
      <c r="A2880" s="2" t="s">
        <v>59</v>
      </c>
      <c r="B2880" s="2" t="s">
        <v>60</v>
      </c>
      <c r="C2880" s="2" t="s">
        <v>28977</v>
      </c>
      <c r="D2880" s="2" t="s">
        <v>28978</v>
      </c>
      <c r="E2880" s="2" t="s">
        <v>28979</v>
      </c>
      <c r="G2880" s="3" t="s">
        <v>64</v>
      </c>
      <c r="I2880" s="3" t="s">
        <v>64</v>
      </c>
      <c r="J2880" s="3" t="s">
        <v>64</v>
      </c>
      <c r="K2880" s="3" t="s">
        <v>65</v>
      </c>
      <c r="M2880" s="2" t="s">
        <v>28980</v>
      </c>
      <c r="N2880" s="3" t="s">
        <v>578</v>
      </c>
      <c r="P2880" s="3" t="s">
        <v>102</v>
      </c>
      <c r="Q2880" s="2" t="s">
        <v>28981</v>
      </c>
      <c r="R2880" s="3" t="s">
        <v>70</v>
      </c>
      <c r="S2880" s="4">
        <v>6</v>
      </c>
      <c r="T2880" s="4">
        <v>6</v>
      </c>
      <c r="U2880" s="5" t="s">
        <v>28982</v>
      </c>
      <c r="V2880" s="5" t="s">
        <v>28982</v>
      </c>
      <c r="W2880" s="5" t="s">
        <v>72</v>
      </c>
      <c r="X2880" s="5" t="s">
        <v>72</v>
      </c>
      <c r="Y2880" s="4">
        <v>202</v>
      </c>
      <c r="Z2880" s="4">
        <v>20</v>
      </c>
      <c r="AA2880" s="4">
        <v>22</v>
      </c>
      <c r="AB2880" s="4">
        <v>2</v>
      </c>
      <c r="AC2880" s="4">
        <v>4</v>
      </c>
      <c r="AD2880" s="4">
        <v>72</v>
      </c>
      <c r="AE2880" s="4">
        <v>75</v>
      </c>
      <c r="AF2880" s="4">
        <v>1</v>
      </c>
      <c r="AG2880" s="4">
        <v>1</v>
      </c>
      <c r="AH2880" s="4">
        <v>57</v>
      </c>
      <c r="AI2880" s="4">
        <v>60</v>
      </c>
      <c r="AJ2880" s="4">
        <v>13</v>
      </c>
      <c r="AK2880" s="4">
        <v>13</v>
      </c>
      <c r="AL2880" s="4">
        <v>41</v>
      </c>
      <c r="AM2880" s="4">
        <v>42</v>
      </c>
      <c r="AN2880" s="4">
        <v>0</v>
      </c>
      <c r="AO2880" s="4">
        <v>0</v>
      </c>
      <c r="AP2880" s="4">
        <v>17</v>
      </c>
      <c r="AQ2880" s="4">
        <v>17</v>
      </c>
      <c r="AR2880" s="3" t="s">
        <v>64</v>
      </c>
      <c r="AS2880" s="3" t="s">
        <v>64</v>
      </c>
      <c r="AT2880" s="3" t="s">
        <v>64</v>
      </c>
      <c r="AV2880" s="6" t="str">
        <f>HYPERLINK("http://mcgill.on.worldcat.org/oclc/992334866","Catalog Record")</f>
        <v>Catalog Record</v>
      </c>
      <c r="AW2880" s="6" t="str">
        <f>HYPERLINK("http://www.worldcat.org/oclc/992334866","WorldCat Record")</f>
        <v>WorldCat Record</v>
      </c>
      <c r="AX2880" s="3" t="s">
        <v>28983</v>
      </c>
      <c r="AY2880" s="3" t="s">
        <v>28984</v>
      </c>
      <c r="AZ2880" s="3" t="s">
        <v>28985</v>
      </c>
      <c r="BA2880" s="3" t="s">
        <v>28985</v>
      </c>
      <c r="BB2880" s="3" t="s">
        <v>28986</v>
      </c>
      <c r="BC2880" s="3" t="s">
        <v>77</v>
      </c>
      <c r="BD2880" s="3" t="s">
        <v>78</v>
      </c>
      <c r="BE2880" s="3" t="s">
        <v>28987</v>
      </c>
      <c r="BF2880" s="3" t="s">
        <v>28986</v>
      </c>
      <c r="BG2880" s="3" t="s">
        <v>28988</v>
      </c>
      <c r="BH2880">
        <f t="shared" si="68"/>
        <v>0</v>
      </c>
    </row>
    <row r="2881" spans="1:60" ht="58" x14ac:dyDescent="0.35">
      <c r="A2881" s="2" t="s">
        <v>59</v>
      </c>
      <c r="B2881" s="2" t="s">
        <v>60</v>
      </c>
      <c r="C2881" s="2" t="s">
        <v>28989</v>
      </c>
      <c r="D2881" s="2" t="s">
        <v>28990</v>
      </c>
      <c r="E2881" s="2" t="s">
        <v>28991</v>
      </c>
      <c r="G2881" s="3" t="s">
        <v>64</v>
      </c>
      <c r="I2881" s="3" t="s">
        <v>64</v>
      </c>
      <c r="J2881" s="3" t="s">
        <v>64</v>
      </c>
      <c r="K2881" s="3" t="s">
        <v>65</v>
      </c>
      <c r="M2881" s="2" t="s">
        <v>28992</v>
      </c>
      <c r="N2881" s="3" t="s">
        <v>1031</v>
      </c>
      <c r="P2881" s="3" t="s">
        <v>102</v>
      </c>
      <c r="Q2881" s="2" t="s">
        <v>13989</v>
      </c>
      <c r="R2881" s="3" t="s">
        <v>70</v>
      </c>
      <c r="S2881" s="4">
        <v>10</v>
      </c>
      <c r="T2881" s="4">
        <v>10</v>
      </c>
      <c r="U2881" s="5" t="s">
        <v>12782</v>
      </c>
      <c r="V2881" s="5" t="s">
        <v>12782</v>
      </c>
      <c r="W2881" s="5" t="s">
        <v>72</v>
      </c>
      <c r="X2881" s="5" t="s">
        <v>72</v>
      </c>
      <c r="Y2881" s="4">
        <v>201</v>
      </c>
      <c r="Z2881" s="4">
        <v>10</v>
      </c>
      <c r="AA2881" s="4">
        <v>12</v>
      </c>
      <c r="AB2881" s="4">
        <v>1</v>
      </c>
      <c r="AC2881" s="4">
        <v>3</v>
      </c>
      <c r="AD2881" s="4">
        <v>75</v>
      </c>
      <c r="AE2881" s="4">
        <v>76</v>
      </c>
      <c r="AF2881" s="4">
        <v>0</v>
      </c>
      <c r="AG2881" s="4">
        <v>1</v>
      </c>
      <c r="AH2881" s="4">
        <v>72</v>
      </c>
      <c r="AI2881" s="4">
        <v>72</v>
      </c>
      <c r="AJ2881" s="4">
        <v>8</v>
      </c>
      <c r="AK2881" s="4">
        <v>9</v>
      </c>
      <c r="AL2881" s="4">
        <v>38</v>
      </c>
      <c r="AM2881" s="4">
        <v>38</v>
      </c>
      <c r="AN2881" s="4">
        <v>0</v>
      </c>
      <c r="AO2881" s="4">
        <v>0</v>
      </c>
      <c r="AP2881" s="4">
        <v>8</v>
      </c>
      <c r="AQ2881" s="4">
        <v>8</v>
      </c>
      <c r="AR2881" s="3" t="s">
        <v>64</v>
      </c>
      <c r="AS2881" s="3" t="s">
        <v>64</v>
      </c>
      <c r="AT2881" s="3" t="s">
        <v>128</v>
      </c>
      <c r="AU2881" s="6" t="str">
        <f>HYPERLINK("http://catalog.hathitrust.org/Record/002640572","HathiTrust Record")</f>
        <v>HathiTrust Record</v>
      </c>
      <c r="AV2881" s="6" t="str">
        <f>HYPERLINK("http://mcgill.on.worldcat.org/oclc/26261114","Catalog Record")</f>
        <v>Catalog Record</v>
      </c>
      <c r="AW2881" s="6" t="str">
        <f>HYPERLINK("http://www.worldcat.org/oclc/26261114","WorldCat Record")</f>
        <v>WorldCat Record</v>
      </c>
      <c r="AX2881" s="3" t="s">
        <v>28993</v>
      </c>
      <c r="AY2881" s="3" t="s">
        <v>28994</v>
      </c>
      <c r="AZ2881" s="3" t="s">
        <v>28995</v>
      </c>
      <c r="BA2881" s="3" t="s">
        <v>28995</v>
      </c>
      <c r="BB2881" s="3" t="s">
        <v>28996</v>
      </c>
      <c r="BC2881" s="3" t="s">
        <v>77</v>
      </c>
      <c r="BD2881" s="3" t="s">
        <v>78</v>
      </c>
      <c r="BE2881" s="3" t="s">
        <v>28997</v>
      </c>
      <c r="BF2881" s="3" t="s">
        <v>28996</v>
      </c>
      <c r="BG2881" s="3" t="s">
        <v>28998</v>
      </c>
      <c r="BH2881">
        <f t="shared" si="68"/>
        <v>0</v>
      </c>
    </row>
    <row r="2882" spans="1:60" ht="58" x14ac:dyDescent="0.35">
      <c r="A2882" s="2" t="s">
        <v>59</v>
      </c>
      <c r="B2882" s="2" t="s">
        <v>60</v>
      </c>
      <c r="C2882" s="2" t="s">
        <v>28999</v>
      </c>
      <c r="D2882" s="2" t="s">
        <v>29000</v>
      </c>
      <c r="E2882" s="2" t="s">
        <v>29001</v>
      </c>
      <c r="G2882" s="3" t="s">
        <v>64</v>
      </c>
      <c r="I2882" s="3" t="s">
        <v>64</v>
      </c>
      <c r="J2882" s="3" t="s">
        <v>64</v>
      </c>
      <c r="K2882" s="3" t="s">
        <v>65</v>
      </c>
      <c r="L2882" s="2" t="s">
        <v>29002</v>
      </c>
      <c r="M2882" s="2" t="s">
        <v>22397</v>
      </c>
      <c r="N2882" s="3" t="s">
        <v>511</v>
      </c>
      <c r="P2882" s="3" t="s">
        <v>102</v>
      </c>
      <c r="Q2882" s="2" t="s">
        <v>8981</v>
      </c>
      <c r="R2882" s="3" t="s">
        <v>70</v>
      </c>
      <c r="S2882" s="4">
        <v>1</v>
      </c>
      <c r="T2882" s="4">
        <v>1</v>
      </c>
      <c r="U2882" s="5" t="s">
        <v>317</v>
      </c>
      <c r="V2882" s="5" t="s">
        <v>317</v>
      </c>
      <c r="W2882" s="5" t="s">
        <v>72</v>
      </c>
      <c r="X2882" s="5" t="s">
        <v>72</v>
      </c>
      <c r="Y2882" s="4">
        <v>173</v>
      </c>
      <c r="Z2882" s="4">
        <v>17</v>
      </c>
      <c r="AA2882" s="4">
        <v>31</v>
      </c>
      <c r="AB2882" s="4">
        <v>2</v>
      </c>
      <c r="AC2882" s="4">
        <v>7</v>
      </c>
      <c r="AD2882" s="4">
        <v>26</v>
      </c>
      <c r="AE2882" s="4">
        <v>53</v>
      </c>
      <c r="AF2882" s="4">
        <v>0</v>
      </c>
      <c r="AG2882" s="4">
        <v>3</v>
      </c>
      <c r="AH2882" s="4">
        <v>20</v>
      </c>
      <c r="AI2882" s="4">
        <v>40</v>
      </c>
      <c r="AJ2882" s="4">
        <v>7</v>
      </c>
      <c r="AK2882" s="4">
        <v>12</v>
      </c>
      <c r="AL2882" s="4">
        <v>11</v>
      </c>
      <c r="AM2882" s="4">
        <v>20</v>
      </c>
      <c r="AN2882" s="4">
        <v>0</v>
      </c>
      <c r="AO2882" s="4">
        <v>0</v>
      </c>
      <c r="AP2882" s="4">
        <v>10</v>
      </c>
      <c r="AQ2882" s="4">
        <v>16</v>
      </c>
      <c r="AR2882" s="3" t="s">
        <v>64</v>
      </c>
      <c r="AS2882" s="3" t="s">
        <v>64</v>
      </c>
      <c r="AT2882" s="3" t="s">
        <v>64</v>
      </c>
      <c r="AV2882" s="6" t="str">
        <f>HYPERLINK("http://mcgill.on.worldcat.org/oclc/503046677","Catalog Record")</f>
        <v>Catalog Record</v>
      </c>
      <c r="AW2882" s="6" t="str">
        <f>HYPERLINK("http://www.worldcat.org/oclc/503046677","WorldCat Record")</f>
        <v>WorldCat Record</v>
      </c>
      <c r="AX2882" s="3" t="s">
        <v>29003</v>
      </c>
      <c r="AY2882" s="3" t="s">
        <v>29004</v>
      </c>
      <c r="AZ2882" s="3" t="s">
        <v>29005</v>
      </c>
      <c r="BA2882" s="3" t="s">
        <v>29005</v>
      </c>
      <c r="BB2882" s="3" t="s">
        <v>29006</v>
      </c>
      <c r="BC2882" s="3" t="s">
        <v>77</v>
      </c>
      <c r="BD2882" s="3" t="s">
        <v>78</v>
      </c>
      <c r="BE2882" s="3" t="s">
        <v>29007</v>
      </c>
      <c r="BF2882" s="3" t="s">
        <v>29006</v>
      </c>
      <c r="BG2882" s="3" t="s">
        <v>29008</v>
      </c>
      <c r="BH2882">
        <f t="shared" ref="BH2882:BH2945" si="69">IF(COUNTIF($BF$1:$BF$5431,BF2882)=1,0,1)</f>
        <v>0</v>
      </c>
    </row>
    <row r="2883" spans="1:60" ht="58" x14ac:dyDescent="0.35">
      <c r="A2883" s="2" t="s">
        <v>59</v>
      </c>
      <c r="B2883" s="2" t="s">
        <v>60</v>
      </c>
      <c r="C2883" s="2" t="s">
        <v>29009</v>
      </c>
      <c r="D2883" s="2" t="s">
        <v>29010</v>
      </c>
      <c r="E2883" s="2" t="s">
        <v>29011</v>
      </c>
      <c r="G2883" s="3" t="s">
        <v>64</v>
      </c>
      <c r="I2883" s="3" t="s">
        <v>64</v>
      </c>
      <c r="J2883" s="3" t="s">
        <v>128</v>
      </c>
      <c r="K2883" s="3" t="s">
        <v>65</v>
      </c>
      <c r="L2883" s="2" t="s">
        <v>20464</v>
      </c>
      <c r="M2883" s="2" t="s">
        <v>14235</v>
      </c>
      <c r="N2883" s="3" t="s">
        <v>511</v>
      </c>
      <c r="O2883" s="2" t="s">
        <v>3787</v>
      </c>
      <c r="P2883" s="3" t="s">
        <v>102</v>
      </c>
      <c r="R2883" s="3" t="s">
        <v>70</v>
      </c>
      <c r="S2883" s="4">
        <v>4</v>
      </c>
      <c r="T2883" s="4">
        <v>4</v>
      </c>
      <c r="U2883" s="5" t="s">
        <v>20621</v>
      </c>
      <c r="V2883" s="5" t="s">
        <v>20621</v>
      </c>
      <c r="W2883" s="5" t="s">
        <v>72</v>
      </c>
      <c r="X2883" s="5" t="s">
        <v>72</v>
      </c>
      <c r="Y2883" s="4">
        <v>717</v>
      </c>
      <c r="Z2883" s="4">
        <v>38</v>
      </c>
      <c r="AA2883" s="4">
        <v>151</v>
      </c>
      <c r="AB2883" s="4">
        <v>4</v>
      </c>
      <c r="AC2883" s="4">
        <v>21</v>
      </c>
      <c r="AD2883" s="4">
        <v>100</v>
      </c>
      <c r="AE2883" s="4">
        <v>168</v>
      </c>
      <c r="AF2883" s="4">
        <v>2</v>
      </c>
      <c r="AG2883" s="4">
        <v>8</v>
      </c>
      <c r="AH2883" s="4">
        <v>87</v>
      </c>
      <c r="AI2883" s="4">
        <v>117</v>
      </c>
      <c r="AJ2883" s="4">
        <v>14</v>
      </c>
      <c r="AK2883" s="4">
        <v>29</v>
      </c>
      <c r="AL2883" s="4">
        <v>41</v>
      </c>
      <c r="AM2883" s="4">
        <v>62</v>
      </c>
      <c r="AN2883" s="4">
        <v>0</v>
      </c>
      <c r="AO2883" s="4">
        <v>0</v>
      </c>
      <c r="AP2883" s="4">
        <v>20</v>
      </c>
      <c r="AQ2883" s="4">
        <v>57</v>
      </c>
      <c r="AR2883" s="3" t="s">
        <v>64</v>
      </c>
      <c r="AS2883" s="3" t="s">
        <v>64</v>
      </c>
      <c r="AT2883" s="3" t="s">
        <v>64</v>
      </c>
      <c r="AV2883" s="6" t="str">
        <f>HYPERLINK("http://mcgill.on.worldcat.org/oclc/452290002","Catalog Record")</f>
        <v>Catalog Record</v>
      </c>
      <c r="AW2883" s="6" t="str">
        <f>HYPERLINK("http://www.worldcat.org/oclc/452290002","WorldCat Record")</f>
        <v>WorldCat Record</v>
      </c>
      <c r="AX2883" s="3" t="s">
        <v>29012</v>
      </c>
      <c r="AY2883" s="3" t="s">
        <v>29013</v>
      </c>
      <c r="AZ2883" s="3" t="s">
        <v>29014</v>
      </c>
      <c r="BA2883" s="3" t="s">
        <v>29014</v>
      </c>
      <c r="BB2883" s="3" t="s">
        <v>29015</v>
      </c>
      <c r="BC2883" s="3" t="s">
        <v>77</v>
      </c>
      <c r="BD2883" s="3" t="s">
        <v>78</v>
      </c>
      <c r="BE2883" s="3" t="s">
        <v>29016</v>
      </c>
      <c r="BF2883" s="3" t="s">
        <v>29015</v>
      </c>
      <c r="BG2883" s="3" t="s">
        <v>29017</v>
      </c>
      <c r="BH2883">
        <f t="shared" si="69"/>
        <v>0</v>
      </c>
    </row>
    <row r="2884" spans="1:60" ht="58" x14ac:dyDescent="0.35">
      <c r="A2884" s="2" t="s">
        <v>59</v>
      </c>
      <c r="B2884" s="2" t="s">
        <v>60</v>
      </c>
      <c r="C2884" s="2" t="s">
        <v>29018</v>
      </c>
      <c r="D2884" s="2" t="s">
        <v>29019</v>
      </c>
      <c r="E2884" s="2" t="s">
        <v>29020</v>
      </c>
      <c r="G2884" s="3" t="s">
        <v>64</v>
      </c>
      <c r="I2884" s="3" t="s">
        <v>64</v>
      </c>
      <c r="J2884" s="3" t="s">
        <v>128</v>
      </c>
      <c r="K2884" s="3" t="s">
        <v>65</v>
      </c>
      <c r="L2884" s="2" t="s">
        <v>20464</v>
      </c>
      <c r="M2884" s="2" t="s">
        <v>15640</v>
      </c>
      <c r="N2884" s="3" t="s">
        <v>253</v>
      </c>
      <c r="O2884" s="2" t="s">
        <v>15120</v>
      </c>
      <c r="P2884" s="3" t="s">
        <v>102</v>
      </c>
      <c r="R2884" s="3" t="s">
        <v>70</v>
      </c>
      <c r="S2884" s="4">
        <v>2</v>
      </c>
      <c r="T2884" s="4">
        <v>2</v>
      </c>
      <c r="U2884" s="5" t="s">
        <v>11674</v>
      </c>
      <c r="V2884" s="5" t="s">
        <v>11674</v>
      </c>
      <c r="W2884" s="5" t="s">
        <v>72</v>
      </c>
      <c r="X2884" s="5" t="s">
        <v>72</v>
      </c>
      <c r="Y2884" s="4">
        <v>385</v>
      </c>
      <c r="Z2884" s="4">
        <v>17</v>
      </c>
      <c r="AA2884" s="4">
        <v>151</v>
      </c>
      <c r="AB2884" s="4">
        <v>1</v>
      </c>
      <c r="AC2884" s="4">
        <v>21</v>
      </c>
      <c r="AD2884" s="4">
        <v>42</v>
      </c>
      <c r="AE2884" s="4">
        <v>168</v>
      </c>
      <c r="AF2884" s="4">
        <v>0</v>
      </c>
      <c r="AG2884" s="4">
        <v>8</v>
      </c>
      <c r="AH2884" s="4">
        <v>39</v>
      </c>
      <c r="AI2884" s="4">
        <v>117</v>
      </c>
      <c r="AJ2884" s="4">
        <v>3</v>
      </c>
      <c r="AK2884" s="4">
        <v>29</v>
      </c>
      <c r="AL2884" s="4">
        <v>18</v>
      </c>
      <c r="AM2884" s="4">
        <v>62</v>
      </c>
      <c r="AN2884" s="4">
        <v>0</v>
      </c>
      <c r="AO2884" s="4">
        <v>0</v>
      </c>
      <c r="AP2884" s="4">
        <v>5</v>
      </c>
      <c r="AQ2884" s="4">
        <v>57</v>
      </c>
      <c r="AR2884" s="3" t="s">
        <v>64</v>
      </c>
      <c r="AS2884" s="3" t="s">
        <v>64</v>
      </c>
      <c r="AT2884" s="3" t="s">
        <v>64</v>
      </c>
      <c r="AV2884" s="6" t="str">
        <f>HYPERLINK("http://mcgill.on.worldcat.org/oclc/902599179","Catalog Record")</f>
        <v>Catalog Record</v>
      </c>
      <c r="AW2884" s="6" t="str">
        <f>HYPERLINK("http://www.worldcat.org/oclc/902599179","WorldCat Record")</f>
        <v>WorldCat Record</v>
      </c>
      <c r="AX2884" s="3" t="s">
        <v>29012</v>
      </c>
      <c r="AY2884" s="3" t="s">
        <v>29021</v>
      </c>
      <c r="AZ2884" s="3" t="s">
        <v>29022</v>
      </c>
      <c r="BA2884" s="3" t="s">
        <v>29022</v>
      </c>
      <c r="BB2884" s="3" t="s">
        <v>29023</v>
      </c>
      <c r="BC2884" s="3" t="s">
        <v>77</v>
      </c>
      <c r="BD2884" s="3" t="s">
        <v>78</v>
      </c>
      <c r="BE2884" s="3" t="s">
        <v>29024</v>
      </c>
      <c r="BF2884" s="3" t="s">
        <v>29023</v>
      </c>
      <c r="BG2884" s="3" t="s">
        <v>29025</v>
      </c>
      <c r="BH2884">
        <f t="shared" si="69"/>
        <v>0</v>
      </c>
    </row>
    <row r="2885" spans="1:60" ht="58" x14ac:dyDescent="0.35">
      <c r="A2885" s="2" t="s">
        <v>59</v>
      </c>
      <c r="B2885" s="2" t="s">
        <v>60</v>
      </c>
      <c r="C2885" s="2" t="s">
        <v>29026</v>
      </c>
      <c r="D2885" s="2" t="s">
        <v>29027</v>
      </c>
      <c r="E2885" s="2" t="s">
        <v>29028</v>
      </c>
      <c r="G2885" s="3" t="s">
        <v>64</v>
      </c>
      <c r="I2885" s="3" t="s">
        <v>64</v>
      </c>
      <c r="J2885" s="3" t="s">
        <v>128</v>
      </c>
      <c r="K2885" s="3" t="s">
        <v>65</v>
      </c>
      <c r="L2885" s="2" t="s">
        <v>29029</v>
      </c>
      <c r="M2885" s="2" t="s">
        <v>26714</v>
      </c>
      <c r="N2885" s="3" t="s">
        <v>3047</v>
      </c>
      <c r="P2885" s="3" t="s">
        <v>102</v>
      </c>
      <c r="R2885" s="3" t="s">
        <v>70</v>
      </c>
      <c r="S2885" s="4">
        <v>13</v>
      </c>
      <c r="T2885" s="4">
        <v>13</v>
      </c>
      <c r="U2885" s="5" t="s">
        <v>6727</v>
      </c>
      <c r="V2885" s="5" t="s">
        <v>6727</v>
      </c>
      <c r="W2885" s="5" t="s">
        <v>72</v>
      </c>
      <c r="X2885" s="5" t="s">
        <v>72</v>
      </c>
      <c r="Y2885" s="4">
        <v>595</v>
      </c>
      <c r="Z2885" s="4">
        <v>35</v>
      </c>
      <c r="AA2885" s="4">
        <v>54</v>
      </c>
      <c r="AB2885" s="4">
        <v>3</v>
      </c>
      <c r="AC2885" s="4">
        <v>5</v>
      </c>
      <c r="AD2885" s="4">
        <v>105</v>
      </c>
      <c r="AE2885" s="4">
        <v>128</v>
      </c>
      <c r="AF2885" s="4">
        <v>1</v>
      </c>
      <c r="AG2885" s="4">
        <v>3</v>
      </c>
      <c r="AH2885" s="4">
        <v>89</v>
      </c>
      <c r="AI2885" s="4">
        <v>105</v>
      </c>
      <c r="AJ2885" s="4">
        <v>16</v>
      </c>
      <c r="AK2885" s="4">
        <v>22</v>
      </c>
      <c r="AL2885" s="4">
        <v>46</v>
      </c>
      <c r="AM2885" s="4">
        <v>54</v>
      </c>
      <c r="AN2885" s="4">
        <v>0</v>
      </c>
      <c r="AO2885" s="4">
        <v>0</v>
      </c>
      <c r="AP2885" s="4">
        <v>20</v>
      </c>
      <c r="AQ2885" s="4">
        <v>26</v>
      </c>
      <c r="AR2885" s="3" t="s">
        <v>64</v>
      </c>
      <c r="AS2885" s="3" t="s">
        <v>64</v>
      </c>
      <c r="AT2885" s="3" t="s">
        <v>128</v>
      </c>
      <c r="AU2885" s="6" t="str">
        <f>HYPERLINK("http://catalog.hathitrust.org/Record/002432353","HathiTrust Record")</f>
        <v>HathiTrust Record</v>
      </c>
      <c r="AV2885" s="6" t="str">
        <f>HYPERLINK("http://mcgill.on.worldcat.org/oclc/15659713","Catalog Record")</f>
        <v>Catalog Record</v>
      </c>
      <c r="AW2885" s="6" t="str">
        <f>HYPERLINK("http://www.worldcat.org/oclc/15659713","WorldCat Record")</f>
        <v>WorldCat Record</v>
      </c>
      <c r="AX2885" s="3" t="s">
        <v>29030</v>
      </c>
      <c r="AY2885" s="3" t="s">
        <v>29031</v>
      </c>
      <c r="AZ2885" s="3" t="s">
        <v>29032</v>
      </c>
      <c r="BA2885" s="3" t="s">
        <v>29032</v>
      </c>
      <c r="BB2885" s="3" t="s">
        <v>29033</v>
      </c>
      <c r="BC2885" s="3" t="s">
        <v>77</v>
      </c>
      <c r="BD2885" s="3" t="s">
        <v>78</v>
      </c>
      <c r="BE2885" s="3" t="s">
        <v>29034</v>
      </c>
      <c r="BF2885" s="3" t="s">
        <v>29033</v>
      </c>
      <c r="BG2885" s="3" t="s">
        <v>29035</v>
      </c>
      <c r="BH2885">
        <f t="shared" si="69"/>
        <v>0</v>
      </c>
    </row>
    <row r="2886" spans="1:60" ht="58" x14ac:dyDescent="0.35">
      <c r="A2886" s="2" t="s">
        <v>59</v>
      </c>
      <c r="B2886" s="2" t="s">
        <v>60</v>
      </c>
      <c r="C2886" s="2" t="s">
        <v>29036</v>
      </c>
      <c r="D2886" s="2" t="s">
        <v>29037</v>
      </c>
      <c r="E2886" s="2" t="s">
        <v>29038</v>
      </c>
      <c r="G2886" s="3" t="s">
        <v>64</v>
      </c>
      <c r="I2886" s="3" t="s">
        <v>64</v>
      </c>
      <c r="J2886" s="3" t="s">
        <v>128</v>
      </c>
      <c r="K2886" s="3" t="s">
        <v>65</v>
      </c>
      <c r="L2886" s="2" t="s">
        <v>29029</v>
      </c>
      <c r="M2886" s="2" t="s">
        <v>28786</v>
      </c>
      <c r="N2886" s="3" t="s">
        <v>421</v>
      </c>
      <c r="O2886" s="2" t="s">
        <v>172</v>
      </c>
      <c r="P2886" s="3" t="s">
        <v>102</v>
      </c>
      <c r="R2886" s="3" t="s">
        <v>70</v>
      </c>
      <c r="S2886" s="4">
        <v>20</v>
      </c>
      <c r="T2886" s="4">
        <v>20</v>
      </c>
      <c r="U2886" s="5" t="s">
        <v>14294</v>
      </c>
      <c r="V2886" s="5" t="s">
        <v>14294</v>
      </c>
      <c r="W2886" s="5" t="s">
        <v>72</v>
      </c>
      <c r="X2886" s="5" t="s">
        <v>72</v>
      </c>
      <c r="Y2886" s="4">
        <v>614</v>
      </c>
      <c r="Z2886" s="4">
        <v>30</v>
      </c>
      <c r="AA2886" s="4">
        <v>54</v>
      </c>
      <c r="AB2886" s="4">
        <v>1</v>
      </c>
      <c r="AC2886" s="4">
        <v>5</v>
      </c>
      <c r="AD2886" s="4">
        <v>91</v>
      </c>
      <c r="AE2886" s="4">
        <v>128</v>
      </c>
      <c r="AF2886" s="4">
        <v>0</v>
      </c>
      <c r="AG2886" s="4">
        <v>3</v>
      </c>
      <c r="AH2886" s="4">
        <v>81</v>
      </c>
      <c r="AI2886" s="4">
        <v>105</v>
      </c>
      <c r="AJ2886" s="4">
        <v>13</v>
      </c>
      <c r="AK2886" s="4">
        <v>22</v>
      </c>
      <c r="AL2886" s="4">
        <v>45</v>
      </c>
      <c r="AM2886" s="4">
        <v>54</v>
      </c>
      <c r="AN2886" s="4">
        <v>0</v>
      </c>
      <c r="AO2886" s="4">
        <v>0</v>
      </c>
      <c r="AP2886" s="4">
        <v>13</v>
      </c>
      <c r="AQ2886" s="4">
        <v>26</v>
      </c>
      <c r="AR2886" s="3" t="s">
        <v>64</v>
      </c>
      <c r="AS2886" s="3" t="s">
        <v>64</v>
      </c>
      <c r="AT2886" s="3" t="s">
        <v>128</v>
      </c>
      <c r="AU2886" s="6" t="str">
        <f>HYPERLINK("http://catalog.hathitrust.org/Record/003252614","HathiTrust Record")</f>
        <v>HathiTrust Record</v>
      </c>
      <c r="AV2886" s="6" t="str">
        <f>HYPERLINK("http://mcgill.on.worldcat.org/oclc/36241032","Catalog Record")</f>
        <v>Catalog Record</v>
      </c>
      <c r="AW2886" s="6" t="str">
        <f>HYPERLINK("http://www.worldcat.org/oclc/36241032","WorldCat Record")</f>
        <v>WorldCat Record</v>
      </c>
      <c r="AX2886" s="3" t="s">
        <v>29030</v>
      </c>
      <c r="AY2886" s="3" t="s">
        <v>29039</v>
      </c>
      <c r="AZ2886" s="3" t="s">
        <v>29040</v>
      </c>
      <c r="BA2886" s="3" t="s">
        <v>29040</v>
      </c>
      <c r="BB2886" s="3" t="s">
        <v>29041</v>
      </c>
      <c r="BC2886" s="3" t="s">
        <v>77</v>
      </c>
      <c r="BD2886" s="3" t="s">
        <v>78</v>
      </c>
      <c r="BE2886" s="3" t="s">
        <v>29042</v>
      </c>
      <c r="BF2886" s="3" t="s">
        <v>29041</v>
      </c>
      <c r="BG2886" s="3" t="s">
        <v>29043</v>
      </c>
      <c r="BH2886">
        <f t="shared" si="69"/>
        <v>0</v>
      </c>
    </row>
    <row r="2887" spans="1:60" ht="58" x14ac:dyDescent="0.35">
      <c r="A2887" s="2" t="s">
        <v>59</v>
      </c>
      <c r="B2887" s="2" t="s">
        <v>60</v>
      </c>
      <c r="C2887" s="2" t="s">
        <v>29044</v>
      </c>
      <c r="D2887" s="2" t="s">
        <v>29045</v>
      </c>
      <c r="E2887" s="2" t="s">
        <v>29046</v>
      </c>
      <c r="F2887" s="3" t="s">
        <v>529</v>
      </c>
      <c r="G2887" s="3" t="s">
        <v>128</v>
      </c>
      <c r="I2887" s="3" t="s">
        <v>128</v>
      </c>
      <c r="J2887" s="3" t="s">
        <v>128</v>
      </c>
      <c r="K2887" s="3" t="s">
        <v>65</v>
      </c>
      <c r="L2887" s="2" t="s">
        <v>29047</v>
      </c>
      <c r="M2887" s="2" t="s">
        <v>29048</v>
      </c>
      <c r="N2887" s="3" t="s">
        <v>159</v>
      </c>
      <c r="O2887" s="2" t="s">
        <v>24637</v>
      </c>
      <c r="P2887" s="3" t="s">
        <v>102</v>
      </c>
      <c r="R2887" s="3" t="s">
        <v>70</v>
      </c>
      <c r="S2887" s="4">
        <v>1</v>
      </c>
      <c r="T2887" s="4">
        <v>293</v>
      </c>
      <c r="U2887" s="5" t="s">
        <v>29049</v>
      </c>
      <c r="V2887" s="5" t="s">
        <v>12623</v>
      </c>
      <c r="W2887" s="5" t="s">
        <v>72</v>
      </c>
      <c r="X2887" s="5" t="s">
        <v>72</v>
      </c>
      <c r="Y2887" s="4">
        <v>603</v>
      </c>
      <c r="Z2887" s="4">
        <v>33</v>
      </c>
      <c r="AA2887" s="4">
        <v>101</v>
      </c>
      <c r="AB2887" s="4">
        <v>3</v>
      </c>
      <c r="AC2887" s="4">
        <v>13</v>
      </c>
      <c r="AD2887" s="4">
        <v>90</v>
      </c>
      <c r="AE2887" s="4">
        <v>148</v>
      </c>
      <c r="AF2887" s="4">
        <v>1</v>
      </c>
      <c r="AG2887" s="4">
        <v>7</v>
      </c>
      <c r="AH2887" s="4">
        <v>78</v>
      </c>
      <c r="AI2887" s="4">
        <v>116</v>
      </c>
      <c r="AJ2887" s="4">
        <v>10</v>
      </c>
      <c r="AK2887" s="4">
        <v>24</v>
      </c>
      <c r="AL2887" s="4">
        <v>39</v>
      </c>
      <c r="AM2887" s="4">
        <v>59</v>
      </c>
      <c r="AN2887" s="4">
        <v>0</v>
      </c>
      <c r="AO2887" s="4">
        <v>0</v>
      </c>
      <c r="AP2887" s="4">
        <v>17</v>
      </c>
      <c r="AQ2887" s="4">
        <v>39</v>
      </c>
      <c r="AR2887" s="3" t="s">
        <v>64</v>
      </c>
      <c r="AS2887" s="3" t="s">
        <v>64</v>
      </c>
      <c r="AT2887" s="3" t="s">
        <v>128</v>
      </c>
      <c r="AU2887" s="6" t="str">
        <f t="shared" ref="AU2887:AU2896" si="70">HYPERLINK("http://catalog.hathitrust.org/Record/004233949","HathiTrust Record")</f>
        <v>HathiTrust Record</v>
      </c>
      <c r="AV2887" s="6" t="str">
        <f t="shared" ref="AV2887:AV2896" si="71">HYPERLINK("http://mcgill.on.worldcat.org/oclc/45639112","Catalog Record")</f>
        <v>Catalog Record</v>
      </c>
      <c r="AW2887" s="6" t="str">
        <f t="shared" ref="AW2887:AW2896" si="72">HYPERLINK("http://www.worldcat.org/oclc/45639112","WorldCat Record")</f>
        <v>WorldCat Record</v>
      </c>
      <c r="AX2887" s="3" t="s">
        <v>29050</v>
      </c>
      <c r="AY2887" s="3" t="s">
        <v>29051</v>
      </c>
      <c r="AZ2887" s="3" t="s">
        <v>29052</v>
      </c>
      <c r="BA2887" s="3" t="s">
        <v>29052</v>
      </c>
      <c r="BB2887" s="3" t="s">
        <v>29053</v>
      </c>
      <c r="BC2887" s="3" t="s">
        <v>77</v>
      </c>
      <c r="BD2887" s="3" t="s">
        <v>78</v>
      </c>
      <c r="BE2887" s="3" t="s">
        <v>29054</v>
      </c>
      <c r="BF2887" s="3" t="s">
        <v>29053</v>
      </c>
      <c r="BG2887" s="3" t="s">
        <v>29055</v>
      </c>
      <c r="BH2887">
        <f t="shared" si="69"/>
        <v>0</v>
      </c>
    </row>
    <row r="2888" spans="1:60" ht="58" x14ac:dyDescent="0.35">
      <c r="A2888" s="2" t="s">
        <v>59</v>
      </c>
      <c r="B2888" s="2" t="s">
        <v>60</v>
      </c>
      <c r="C2888" s="2" t="s">
        <v>29044</v>
      </c>
      <c r="D2888" s="2" t="s">
        <v>29045</v>
      </c>
      <c r="E2888" s="2" t="s">
        <v>29046</v>
      </c>
      <c r="F2888" s="3" t="s">
        <v>529</v>
      </c>
      <c r="G2888" s="3" t="s">
        <v>128</v>
      </c>
      <c r="I2888" s="3" t="s">
        <v>128</v>
      </c>
      <c r="J2888" s="3" t="s">
        <v>128</v>
      </c>
      <c r="K2888" s="3" t="s">
        <v>65</v>
      </c>
      <c r="L2888" s="2" t="s">
        <v>29047</v>
      </c>
      <c r="M2888" s="2" t="s">
        <v>29048</v>
      </c>
      <c r="N2888" s="3" t="s">
        <v>159</v>
      </c>
      <c r="O2888" s="2" t="s">
        <v>24637</v>
      </c>
      <c r="P2888" s="3" t="s">
        <v>102</v>
      </c>
      <c r="R2888" s="3" t="s">
        <v>70</v>
      </c>
      <c r="S2888" s="4">
        <v>37</v>
      </c>
      <c r="T2888" s="4">
        <v>293</v>
      </c>
      <c r="U2888" s="5" t="s">
        <v>12009</v>
      </c>
      <c r="V2888" s="5" t="s">
        <v>12623</v>
      </c>
      <c r="W2888" s="5" t="s">
        <v>72</v>
      </c>
      <c r="X2888" s="5" t="s">
        <v>72</v>
      </c>
      <c r="Y2888" s="4">
        <v>603</v>
      </c>
      <c r="Z2888" s="4">
        <v>33</v>
      </c>
      <c r="AA2888" s="4">
        <v>101</v>
      </c>
      <c r="AB2888" s="4">
        <v>3</v>
      </c>
      <c r="AC2888" s="4">
        <v>13</v>
      </c>
      <c r="AD2888" s="4">
        <v>90</v>
      </c>
      <c r="AE2888" s="4">
        <v>148</v>
      </c>
      <c r="AF2888" s="4">
        <v>1</v>
      </c>
      <c r="AG2888" s="4">
        <v>7</v>
      </c>
      <c r="AH2888" s="4">
        <v>78</v>
      </c>
      <c r="AI2888" s="4">
        <v>116</v>
      </c>
      <c r="AJ2888" s="4">
        <v>10</v>
      </c>
      <c r="AK2888" s="4">
        <v>24</v>
      </c>
      <c r="AL2888" s="4">
        <v>39</v>
      </c>
      <c r="AM2888" s="4">
        <v>59</v>
      </c>
      <c r="AN2888" s="4">
        <v>0</v>
      </c>
      <c r="AO2888" s="4">
        <v>0</v>
      </c>
      <c r="AP2888" s="4">
        <v>17</v>
      </c>
      <c r="AQ2888" s="4">
        <v>39</v>
      </c>
      <c r="AR2888" s="3" t="s">
        <v>64</v>
      </c>
      <c r="AS2888" s="3" t="s">
        <v>64</v>
      </c>
      <c r="AT2888" s="3" t="s">
        <v>128</v>
      </c>
      <c r="AU2888" s="6" t="str">
        <f t="shared" si="70"/>
        <v>HathiTrust Record</v>
      </c>
      <c r="AV2888" s="6" t="str">
        <f t="shared" si="71"/>
        <v>Catalog Record</v>
      </c>
      <c r="AW2888" s="6" t="str">
        <f t="shared" si="72"/>
        <v>WorldCat Record</v>
      </c>
      <c r="AX2888" s="3" t="s">
        <v>29050</v>
      </c>
      <c r="AY2888" s="3" t="s">
        <v>29051</v>
      </c>
      <c r="AZ2888" s="3" t="s">
        <v>29052</v>
      </c>
      <c r="BA2888" s="3" t="s">
        <v>29052</v>
      </c>
      <c r="BB2888" s="3" t="s">
        <v>29056</v>
      </c>
      <c r="BC2888" s="3" t="s">
        <v>77</v>
      </c>
      <c r="BD2888" s="3" t="s">
        <v>78</v>
      </c>
      <c r="BE2888" s="3" t="s">
        <v>29054</v>
      </c>
      <c r="BF2888" s="3" t="s">
        <v>29056</v>
      </c>
      <c r="BG2888" s="3" t="s">
        <v>29057</v>
      </c>
      <c r="BH2888">
        <f t="shared" si="69"/>
        <v>0</v>
      </c>
    </row>
    <row r="2889" spans="1:60" ht="58" x14ac:dyDescent="0.35">
      <c r="A2889" s="2" t="s">
        <v>59</v>
      </c>
      <c r="B2889" s="2" t="s">
        <v>60</v>
      </c>
      <c r="C2889" s="2" t="s">
        <v>29044</v>
      </c>
      <c r="D2889" s="2" t="s">
        <v>29045</v>
      </c>
      <c r="E2889" s="2" t="s">
        <v>29046</v>
      </c>
      <c r="F2889" s="3" t="s">
        <v>1323</v>
      </c>
      <c r="G2889" s="3" t="s">
        <v>128</v>
      </c>
      <c r="I2889" s="3" t="s">
        <v>128</v>
      </c>
      <c r="J2889" s="3" t="s">
        <v>128</v>
      </c>
      <c r="K2889" s="3" t="s">
        <v>65</v>
      </c>
      <c r="L2889" s="2" t="s">
        <v>29047</v>
      </c>
      <c r="M2889" s="2" t="s">
        <v>29048</v>
      </c>
      <c r="N2889" s="3" t="s">
        <v>159</v>
      </c>
      <c r="O2889" s="2" t="s">
        <v>24637</v>
      </c>
      <c r="P2889" s="3" t="s">
        <v>102</v>
      </c>
      <c r="R2889" s="3" t="s">
        <v>70</v>
      </c>
      <c r="S2889" s="4">
        <v>40</v>
      </c>
      <c r="T2889" s="4">
        <v>293</v>
      </c>
      <c r="U2889" s="5" t="s">
        <v>29058</v>
      </c>
      <c r="V2889" s="5" t="s">
        <v>12623</v>
      </c>
      <c r="W2889" s="5" t="s">
        <v>72</v>
      </c>
      <c r="X2889" s="5" t="s">
        <v>72</v>
      </c>
      <c r="Y2889" s="4">
        <v>603</v>
      </c>
      <c r="Z2889" s="4">
        <v>33</v>
      </c>
      <c r="AA2889" s="4">
        <v>101</v>
      </c>
      <c r="AB2889" s="4">
        <v>3</v>
      </c>
      <c r="AC2889" s="4">
        <v>13</v>
      </c>
      <c r="AD2889" s="4">
        <v>90</v>
      </c>
      <c r="AE2889" s="4">
        <v>148</v>
      </c>
      <c r="AF2889" s="4">
        <v>1</v>
      </c>
      <c r="AG2889" s="4">
        <v>7</v>
      </c>
      <c r="AH2889" s="4">
        <v>78</v>
      </c>
      <c r="AI2889" s="4">
        <v>116</v>
      </c>
      <c r="AJ2889" s="4">
        <v>10</v>
      </c>
      <c r="AK2889" s="4">
        <v>24</v>
      </c>
      <c r="AL2889" s="4">
        <v>39</v>
      </c>
      <c r="AM2889" s="4">
        <v>59</v>
      </c>
      <c r="AN2889" s="4">
        <v>0</v>
      </c>
      <c r="AO2889" s="4">
        <v>0</v>
      </c>
      <c r="AP2889" s="4">
        <v>17</v>
      </c>
      <c r="AQ2889" s="4">
        <v>39</v>
      </c>
      <c r="AR2889" s="3" t="s">
        <v>64</v>
      </c>
      <c r="AS2889" s="3" t="s">
        <v>64</v>
      </c>
      <c r="AT2889" s="3" t="s">
        <v>128</v>
      </c>
      <c r="AU2889" s="6" t="str">
        <f t="shared" si="70"/>
        <v>HathiTrust Record</v>
      </c>
      <c r="AV2889" s="6" t="str">
        <f t="shared" si="71"/>
        <v>Catalog Record</v>
      </c>
      <c r="AW2889" s="6" t="str">
        <f t="shared" si="72"/>
        <v>WorldCat Record</v>
      </c>
      <c r="AX2889" s="3" t="s">
        <v>29050</v>
      </c>
      <c r="AY2889" s="3" t="s">
        <v>29051</v>
      </c>
      <c r="AZ2889" s="3" t="s">
        <v>29052</v>
      </c>
      <c r="BA2889" s="3" t="s">
        <v>29052</v>
      </c>
      <c r="BB2889" s="3" t="s">
        <v>29059</v>
      </c>
      <c r="BC2889" s="3" t="s">
        <v>77</v>
      </c>
      <c r="BD2889" s="3" t="s">
        <v>78</v>
      </c>
      <c r="BE2889" s="3" t="s">
        <v>29054</v>
      </c>
      <c r="BF2889" s="3" t="s">
        <v>29059</v>
      </c>
      <c r="BG2889" s="3" t="s">
        <v>29060</v>
      </c>
      <c r="BH2889">
        <f t="shared" si="69"/>
        <v>0</v>
      </c>
    </row>
    <row r="2890" spans="1:60" ht="58" x14ac:dyDescent="0.35">
      <c r="A2890" s="2" t="s">
        <v>59</v>
      </c>
      <c r="B2890" s="2" t="s">
        <v>60</v>
      </c>
      <c r="C2890" s="2" t="s">
        <v>29044</v>
      </c>
      <c r="D2890" s="2" t="s">
        <v>29045</v>
      </c>
      <c r="E2890" s="2" t="s">
        <v>29046</v>
      </c>
      <c r="F2890" s="3" t="s">
        <v>525</v>
      </c>
      <c r="G2890" s="3" t="s">
        <v>128</v>
      </c>
      <c r="I2890" s="3" t="s">
        <v>128</v>
      </c>
      <c r="J2890" s="3" t="s">
        <v>128</v>
      </c>
      <c r="K2890" s="3" t="s">
        <v>65</v>
      </c>
      <c r="L2890" s="2" t="s">
        <v>29047</v>
      </c>
      <c r="M2890" s="2" t="s">
        <v>29048</v>
      </c>
      <c r="N2890" s="3" t="s">
        <v>159</v>
      </c>
      <c r="O2890" s="2" t="s">
        <v>24637</v>
      </c>
      <c r="P2890" s="3" t="s">
        <v>102</v>
      </c>
      <c r="R2890" s="3" t="s">
        <v>70</v>
      </c>
      <c r="S2890" s="4">
        <v>28</v>
      </c>
      <c r="T2890" s="4">
        <v>293</v>
      </c>
      <c r="U2890" s="5" t="s">
        <v>12009</v>
      </c>
      <c r="V2890" s="5" t="s">
        <v>12623</v>
      </c>
      <c r="W2890" s="5" t="s">
        <v>72</v>
      </c>
      <c r="X2890" s="5" t="s">
        <v>72</v>
      </c>
      <c r="Y2890" s="4">
        <v>603</v>
      </c>
      <c r="Z2890" s="4">
        <v>33</v>
      </c>
      <c r="AA2890" s="4">
        <v>101</v>
      </c>
      <c r="AB2890" s="4">
        <v>3</v>
      </c>
      <c r="AC2890" s="4">
        <v>13</v>
      </c>
      <c r="AD2890" s="4">
        <v>90</v>
      </c>
      <c r="AE2890" s="4">
        <v>148</v>
      </c>
      <c r="AF2890" s="4">
        <v>1</v>
      </c>
      <c r="AG2890" s="4">
        <v>7</v>
      </c>
      <c r="AH2890" s="4">
        <v>78</v>
      </c>
      <c r="AI2890" s="4">
        <v>116</v>
      </c>
      <c r="AJ2890" s="4">
        <v>10</v>
      </c>
      <c r="AK2890" s="4">
        <v>24</v>
      </c>
      <c r="AL2890" s="4">
        <v>39</v>
      </c>
      <c r="AM2890" s="4">
        <v>59</v>
      </c>
      <c r="AN2890" s="4">
        <v>0</v>
      </c>
      <c r="AO2890" s="4">
        <v>0</v>
      </c>
      <c r="AP2890" s="4">
        <v>17</v>
      </c>
      <c r="AQ2890" s="4">
        <v>39</v>
      </c>
      <c r="AR2890" s="3" t="s">
        <v>64</v>
      </c>
      <c r="AS2890" s="3" t="s">
        <v>64</v>
      </c>
      <c r="AT2890" s="3" t="s">
        <v>128</v>
      </c>
      <c r="AU2890" s="6" t="str">
        <f t="shared" si="70"/>
        <v>HathiTrust Record</v>
      </c>
      <c r="AV2890" s="6" t="str">
        <f t="shared" si="71"/>
        <v>Catalog Record</v>
      </c>
      <c r="AW2890" s="6" t="str">
        <f t="shared" si="72"/>
        <v>WorldCat Record</v>
      </c>
      <c r="AX2890" s="3" t="s">
        <v>29050</v>
      </c>
      <c r="AY2890" s="3" t="s">
        <v>29051</v>
      </c>
      <c r="AZ2890" s="3" t="s">
        <v>29052</v>
      </c>
      <c r="BA2890" s="3" t="s">
        <v>29052</v>
      </c>
      <c r="BB2890" s="3" t="s">
        <v>29061</v>
      </c>
      <c r="BC2890" s="3" t="s">
        <v>77</v>
      </c>
      <c r="BD2890" s="3" t="s">
        <v>78</v>
      </c>
      <c r="BE2890" s="3" t="s">
        <v>29054</v>
      </c>
      <c r="BF2890" s="3" t="s">
        <v>29061</v>
      </c>
      <c r="BG2890" s="3" t="s">
        <v>29062</v>
      </c>
      <c r="BH2890">
        <f t="shared" si="69"/>
        <v>0</v>
      </c>
    </row>
    <row r="2891" spans="1:60" ht="58" x14ac:dyDescent="0.35">
      <c r="A2891" s="2" t="s">
        <v>59</v>
      </c>
      <c r="B2891" s="2" t="s">
        <v>60</v>
      </c>
      <c r="C2891" s="2" t="s">
        <v>29044</v>
      </c>
      <c r="D2891" s="2" t="s">
        <v>29045</v>
      </c>
      <c r="E2891" s="2" t="s">
        <v>29046</v>
      </c>
      <c r="F2891" s="3" t="s">
        <v>525</v>
      </c>
      <c r="G2891" s="3" t="s">
        <v>128</v>
      </c>
      <c r="I2891" s="3" t="s">
        <v>128</v>
      </c>
      <c r="J2891" s="3" t="s">
        <v>128</v>
      </c>
      <c r="K2891" s="3" t="s">
        <v>65</v>
      </c>
      <c r="L2891" s="2" t="s">
        <v>29047</v>
      </c>
      <c r="M2891" s="2" t="s">
        <v>29048</v>
      </c>
      <c r="N2891" s="3" t="s">
        <v>159</v>
      </c>
      <c r="O2891" s="2" t="s">
        <v>24637</v>
      </c>
      <c r="P2891" s="3" t="s">
        <v>102</v>
      </c>
      <c r="R2891" s="3" t="s">
        <v>70</v>
      </c>
      <c r="S2891" s="4">
        <v>13</v>
      </c>
      <c r="T2891" s="4">
        <v>293</v>
      </c>
      <c r="U2891" s="5" t="s">
        <v>9131</v>
      </c>
      <c r="V2891" s="5" t="s">
        <v>12623</v>
      </c>
      <c r="W2891" s="5" t="s">
        <v>72</v>
      </c>
      <c r="X2891" s="5" t="s">
        <v>72</v>
      </c>
      <c r="Y2891" s="4">
        <v>603</v>
      </c>
      <c r="Z2891" s="4">
        <v>33</v>
      </c>
      <c r="AA2891" s="4">
        <v>101</v>
      </c>
      <c r="AB2891" s="4">
        <v>3</v>
      </c>
      <c r="AC2891" s="4">
        <v>13</v>
      </c>
      <c r="AD2891" s="4">
        <v>90</v>
      </c>
      <c r="AE2891" s="4">
        <v>148</v>
      </c>
      <c r="AF2891" s="4">
        <v>1</v>
      </c>
      <c r="AG2891" s="4">
        <v>7</v>
      </c>
      <c r="AH2891" s="4">
        <v>78</v>
      </c>
      <c r="AI2891" s="4">
        <v>116</v>
      </c>
      <c r="AJ2891" s="4">
        <v>10</v>
      </c>
      <c r="AK2891" s="4">
        <v>24</v>
      </c>
      <c r="AL2891" s="4">
        <v>39</v>
      </c>
      <c r="AM2891" s="4">
        <v>59</v>
      </c>
      <c r="AN2891" s="4">
        <v>0</v>
      </c>
      <c r="AO2891" s="4">
        <v>0</v>
      </c>
      <c r="AP2891" s="4">
        <v>17</v>
      </c>
      <c r="AQ2891" s="4">
        <v>39</v>
      </c>
      <c r="AR2891" s="3" t="s">
        <v>64</v>
      </c>
      <c r="AS2891" s="3" t="s">
        <v>64</v>
      </c>
      <c r="AT2891" s="3" t="s">
        <v>128</v>
      </c>
      <c r="AU2891" s="6" t="str">
        <f t="shared" si="70"/>
        <v>HathiTrust Record</v>
      </c>
      <c r="AV2891" s="6" t="str">
        <f t="shared" si="71"/>
        <v>Catalog Record</v>
      </c>
      <c r="AW2891" s="6" t="str">
        <f t="shared" si="72"/>
        <v>WorldCat Record</v>
      </c>
      <c r="AX2891" s="3" t="s">
        <v>29050</v>
      </c>
      <c r="AY2891" s="3" t="s">
        <v>29051</v>
      </c>
      <c r="AZ2891" s="3" t="s">
        <v>29052</v>
      </c>
      <c r="BA2891" s="3" t="s">
        <v>29052</v>
      </c>
      <c r="BB2891" s="3" t="s">
        <v>29063</v>
      </c>
      <c r="BC2891" s="3" t="s">
        <v>77</v>
      </c>
      <c r="BD2891" s="3" t="s">
        <v>78</v>
      </c>
      <c r="BE2891" s="3" t="s">
        <v>29054</v>
      </c>
      <c r="BF2891" s="3" t="s">
        <v>29063</v>
      </c>
      <c r="BG2891" s="3" t="s">
        <v>29064</v>
      </c>
      <c r="BH2891">
        <f t="shared" si="69"/>
        <v>0</v>
      </c>
    </row>
    <row r="2892" spans="1:60" ht="58" x14ac:dyDescent="0.35">
      <c r="A2892" s="2" t="s">
        <v>59</v>
      </c>
      <c r="B2892" s="2" t="s">
        <v>60</v>
      </c>
      <c r="C2892" s="2" t="s">
        <v>29044</v>
      </c>
      <c r="D2892" s="2" t="s">
        <v>29045</v>
      </c>
      <c r="E2892" s="2" t="s">
        <v>29046</v>
      </c>
      <c r="F2892" s="3" t="s">
        <v>529</v>
      </c>
      <c r="G2892" s="3" t="s">
        <v>128</v>
      </c>
      <c r="I2892" s="3" t="s">
        <v>128</v>
      </c>
      <c r="J2892" s="3" t="s">
        <v>128</v>
      </c>
      <c r="K2892" s="3" t="s">
        <v>65</v>
      </c>
      <c r="L2892" s="2" t="s">
        <v>29047</v>
      </c>
      <c r="M2892" s="2" t="s">
        <v>29048</v>
      </c>
      <c r="N2892" s="3" t="s">
        <v>159</v>
      </c>
      <c r="O2892" s="2" t="s">
        <v>24637</v>
      </c>
      <c r="P2892" s="3" t="s">
        <v>102</v>
      </c>
      <c r="R2892" s="3" t="s">
        <v>70</v>
      </c>
      <c r="S2892" s="4">
        <v>53</v>
      </c>
      <c r="T2892" s="4">
        <v>293</v>
      </c>
      <c r="U2892" s="5" t="s">
        <v>1313</v>
      </c>
      <c r="V2892" s="5" t="s">
        <v>12623</v>
      </c>
      <c r="W2892" s="5" t="s">
        <v>72</v>
      </c>
      <c r="X2892" s="5" t="s">
        <v>72</v>
      </c>
      <c r="Y2892" s="4">
        <v>603</v>
      </c>
      <c r="Z2892" s="4">
        <v>33</v>
      </c>
      <c r="AA2892" s="4">
        <v>101</v>
      </c>
      <c r="AB2892" s="4">
        <v>3</v>
      </c>
      <c r="AC2892" s="4">
        <v>13</v>
      </c>
      <c r="AD2892" s="4">
        <v>90</v>
      </c>
      <c r="AE2892" s="4">
        <v>148</v>
      </c>
      <c r="AF2892" s="4">
        <v>1</v>
      </c>
      <c r="AG2892" s="4">
        <v>7</v>
      </c>
      <c r="AH2892" s="4">
        <v>78</v>
      </c>
      <c r="AI2892" s="4">
        <v>116</v>
      </c>
      <c r="AJ2892" s="4">
        <v>10</v>
      </c>
      <c r="AK2892" s="4">
        <v>24</v>
      </c>
      <c r="AL2892" s="4">
        <v>39</v>
      </c>
      <c r="AM2892" s="4">
        <v>59</v>
      </c>
      <c r="AN2892" s="4">
        <v>0</v>
      </c>
      <c r="AO2892" s="4">
        <v>0</v>
      </c>
      <c r="AP2892" s="4">
        <v>17</v>
      </c>
      <c r="AQ2892" s="4">
        <v>39</v>
      </c>
      <c r="AR2892" s="3" t="s">
        <v>64</v>
      </c>
      <c r="AS2892" s="3" t="s">
        <v>64</v>
      </c>
      <c r="AT2892" s="3" t="s">
        <v>128</v>
      </c>
      <c r="AU2892" s="6" t="str">
        <f t="shared" si="70"/>
        <v>HathiTrust Record</v>
      </c>
      <c r="AV2892" s="6" t="str">
        <f t="shared" si="71"/>
        <v>Catalog Record</v>
      </c>
      <c r="AW2892" s="6" t="str">
        <f t="shared" si="72"/>
        <v>WorldCat Record</v>
      </c>
      <c r="AX2892" s="3" t="s">
        <v>29050</v>
      </c>
      <c r="AY2892" s="3" t="s">
        <v>29051</v>
      </c>
      <c r="AZ2892" s="3" t="s">
        <v>29052</v>
      </c>
      <c r="BA2892" s="3" t="s">
        <v>29052</v>
      </c>
      <c r="BB2892" s="3" t="s">
        <v>29065</v>
      </c>
      <c r="BC2892" s="3" t="s">
        <v>77</v>
      </c>
      <c r="BD2892" s="3" t="s">
        <v>78</v>
      </c>
      <c r="BE2892" s="3" t="s">
        <v>29054</v>
      </c>
      <c r="BF2892" s="3" t="s">
        <v>29065</v>
      </c>
      <c r="BG2892" s="3" t="s">
        <v>29066</v>
      </c>
      <c r="BH2892">
        <f t="shared" si="69"/>
        <v>0</v>
      </c>
    </row>
    <row r="2893" spans="1:60" ht="58" x14ac:dyDescent="0.35">
      <c r="A2893" s="2" t="s">
        <v>59</v>
      </c>
      <c r="B2893" s="2" t="s">
        <v>60</v>
      </c>
      <c r="C2893" s="2" t="s">
        <v>29044</v>
      </c>
      <c r="D2893" s="2" t="s">
        <v>29045</v>
      </c>
      <c r="E2893" s="2" t="s">
        <v>29046</v>
      </c>
      <c r="F2893" s="3" t="s">
        <v>529</v>
      </c>
      <c r="G2893" s="3" t="s">
        <v>128</v>
      </c>
      <c r="I2893" s="3" t="s">
        <v>128</v>
      </c>
      <c r="J2893" s="3" t="s">
        <v>128</v>
      </c>
      <c r="K2893" s="3" t="s">
        <v>65</v>
      </c>
      <c r="L2893" s="2" t="s">
        <v>29047</v>
      </c>
      <c r="M2893" s="2" t="s">
        <v>29048</v>
      </c>
      <c r="N2893" s="3" t="s">
        <v>159</v>
      </c>
      <c r="O2893" s="2" t="s">
        <v>24637</v>
      </c>
      <c r="P2893" s="3" t="s">
        <v>102</v>
      </c>
      <c r="R2893" s="3" t="s">
        <v>70</v>
      </c>
      <c r="S2893" s="4">
        <v>18</v>
      </c>
      <c r="T2893" s="4">
        <v>293</v>
      </c>
      <c r="U2893" s="5" t="s">
        <v>9131</v>
      </c>
      <c r="V2893" s="5" t="s">
        <v>12623</v>
      </c>
      <c r="W2893" s="5" t="s">
        <v>72</v>
      </c>
      <c r="X2893" s="5" t="s">
        <v>72</v>
      </c>
      <c r="Y2893" s="4">
        <v>603</v>
      </c>
      <c r="Z2893" s="4">
        <v>33</v>
      </c>
      <c r="AA2893" s="4">
        <v>101</v>
      </c>
      <c r="AB2893" s="4">
        <v>3</v>
      </c>
      <c r="AC2893" s="4">
        <v>13</v>
      </c>
      <c r="AD2893" s="4">
        <v>90</v>
      </c>
      <c r="AE2893" s="4">
        <v>148</v>
      </c>
      <c r="AF2893" s="4">
        <v>1</v>
      </c>
      <c r="AG2893" s="4">
        <v>7</v>
      </c>
      <c r="AH2893" s="4">
        <v>78</v>
      </c>
      <c r="AI2893" s="4">
        <v>116</v>
      </c>
      <c r="AJ2893" s="4">
        <v>10</v>
      </c>
      <c r="AK2893" s="4">
        <v>24</v>
      </c>
      <c r="AL2893" s="4">
        <v>39</v>
      </c>
      <c r="AM2893" s="4">
        <v>59</v>
      </c>
      <c r="AN2893" s="4">
        <v>0</v>
      </c>
      <c r="AO2893" s="4">
        <v>0</v>
      </c>
      <c r="AP2893" s="4">
        <v>17</v>
      </c>
      <c r="AQ2893" s="4">
        <v>39</v>
      </c>
      <c r="AR2893" s="3" t="s">
        <v>64</v>
      </c>
      <c r="AS2893" s="3" t="s">
        <v>64</v>
      </c>
      <c r="AT2893" s="3" t="s">
        <v>128</v>
      </c>
      <c r="AU2893" s="6" t="str">
        <f t="shared" si="70"/>
        <v>HathiTrust Record</v>
      </c>
      <c r="AV2893" s="6" t="str">
        <f t="shared" si="71"/>
        <v>Catalog Record</v>
      </c>
      <c r="AW2893" s="6" t="str">
        <f t="shared" si="72"/>
        <v>WorldCat Record</v>
      </c>
      <c r="AX2893" s="3" t="s">
        <v>29050</v>
      </c>
      <c r="AY2893" s="3" t="s">
        <v>29051</v>
      </c>
      <c r="AZ2893" s="3" t="s">
        <v>29052</v>
      </c>
      <c r="BA2893" s="3" t="s">
        <v>29052</v>
      </c>
      <c r="BB2893" s="3" t="s">
        <v>29067</v>
      </c>
      <c r="BC2893" s="3" t="s">
        <v>77</v>
      </c>
      <c r="BD2893" s="3" t="s">
        <v>78</v>
      </c>
      <c r="BE2893" s="3" t="s">
        <v>29054</v>
      </c>
      <c r="BF2893" s="3" t="s">
        <v>29067</v>
      </c>
      <c r="BG2893" s="3" t="s">
        <v>29068</v>
      </c>
      <c r="BH2893">
        <f t="shared" si="69"/>
        <v>0</v>
      </c>
    </row>
    <row r="2894" spans="1:60" ht="58" x14ac:dyDescent="0.35">
      <c r="A2894" s="2" t="s">
        <v>59</v>
      </c>
      <c r="B2894" s="2" t="s">
        <v>60</v>
      </c>
      <c r="C2894" s="2" t="s">
        <v>29044</v>
      </c>
      <c r="D2894" s="2" t="s">
        <v>29045</v>
      </c>
      <c r="E2894" s="2" t="s">
        <v>29046</v>
      </c>
      <c r="F2894" s="3" t="s">
        <v>525</v>
      </c>
      <c r="G2894" s="3" t="s">
        <v>128</v>
      </c>
      <c r="I2894" s="3" t="s">
        <v>128</v>
      </c>
      <c r="J2894" s="3" t="s">
        <v>128</v>
      </c>
      <c r="K2894" s="3" t="s">
        <v>65</v>
      </c>
      <c r="L2894" s="2" t="s">
        <v>29047</v>
      </c>
      <c r="M2894" s="2" t="s">
        <v>29048</v>
      </c>
      <c r="N2894" s="3" t="s">
        <v>159</v>
      </c>
      <c r="O2894" s="2" t="s">
        <v>24637</v>
      </c>
      <c r="P2894" s="3" t="s">
        <v>102</v>
      </c>
      <c r="R2894" s="3" t="s">
        <v>70</v>
      </c>
      <c r="S2894" s="4">
        <v>1</v>
      </c>
      <c r="T2894" s="4">
        <v>293</v>
      </c>
      <c r="U2894" s="5" t="s">
        <v>29069</v>
      </c>
      <c r="V2894" s="5" t="s">
        <v>12623</v>
      </c>
      <c r="W2894" s="5" t="s">
        <v>72</v>
      </c>
      <c r="X2894" s="5" t="s">
        <v>72</v>
      </c>
      <c r="Y2894" s="4">
        <v>603</v>
      </c>
      <c r="Z2894" s="4">
        <v>33</v>
      </c>
      <c r="AA2894" s="4">
        <v>101</v>
      </c>
      <c r="AB2894" s="4">
        <v>3</v>
      </c>
      <c r="AC2894" s="4">
        <v>13</v>
      </c>
      <c r="AD2894" s="4">
        <v>90</v>
      </c>
      <c r="AE2894" s="4">
        <v>148</v>
      </c>
      <c r="AF2894" s="4">
        <v>1</v>
      </c>
      <c r="AG2894" s="4">
        <v>7</v>
      </c>
      <c r="AH2894" s="4">
        <v>78</v>
      </c>
      <c r="AI2894" s="4">
        <v>116</v>
      </c>
      <c r="AJ2894" s="4">
        <v>10</v>
      </c>
      <c r="AK2894" s="4">
        <v>24</v>
      </c>
      <c r="AL2894" s="4">
        <v>39</v>
      </c>
      <c r="AM2894" s="4">
        <v>59</v>
      </c>
      <c r="AN2894" s="4">
        <v>0</v>
      </c>
      <c r="AO2894" s="4">
        <v>0</v>
      </c>
      <c r="AP2894" s="4">
        <v>17</v>
      </c>
      <c r="AQ2894" s="4">
        <v>39</v>
      </c>
      <c r="AR2894" s="3" t="s">
        <v>64</v>
      </c>
      <c r="AS2894" s="3" t="s">
        <v>64</v>
      </c>
      <c r="AT2894" s="3" t="s">
        <v>128</v>
      </c>
      <c r="AU2894" s="6" t="str">
        <f t="shared" si="70"/>
        <v>HathiTrust Record</v>
      </c>
      <c r="AV2894" s="6" t="str">
        <f t="shared" si="71"/>
        <v>Catalog Record</v>
      </c>
      <c r="AW2894" s="6" t="str">
        <f t="shared" si="72"/>
        <v>WorldCat Record</v>
      </c>
      <c r="AX2894" s="3" t="s">
        <v>29050</v>
      </c>
      <c r="AY2894" s="3" t="s">
        <v>29051</v>
      </c>
      <c r="AZ2894" s="3" t="s">
        <v>29052</v>
      </c>
      <c r="BA2894" s="3" t="s">
        <v>29052</v>
      </c>
      <c r="BB2894" s="3" t="s">
        <v>29070</v>
      </c>
      <c r="BC2894" s="3" t="s">
        <v>77</v>
      </c>
      <c r="BD2894" s="3" t="s">
        <v>78</v>
      </c>
      <c r="BE2894" s="3" t="s">
        <v>29054</v>
      </c>
      <c r="BF2894" s="3" t="s">
        <v>29070</v>
      </c>
      <c r="BG2894" s="3" t="s">
        <v>29071</v>
      </c>
      <c r="BH2894">
        <f t="shared" si="69"/>
        <v>0</v>
      </c>
    </row>
    <row r="2895" spans="1:60" ht="58" x14ac:dyDescent="0.35">
      <c r="A2895" s="2" t="s">
        <v>59</v>
      </c>
      <c r="B2895" s="2" t="s">
        <v>60</v>
      </c>
      <c r="C2895" s="2" t="s">
        <v>29044</v>
      </c>
      <c r="D2895" s="2" t="s">
        <v>29045</v>
      </c>
      <c r="E2895" s="2" t="s">
        <v>29046</v>
      </c>
      <c r="F2895" s="3" t="s">
        <v>1323</v>
      </c>
      <c r="G2895" s="3" t="s">
        <v>128</v>
      </c>
      <c r="I2895" s="3" t="s">
        <v>128</v>
      </c>
      <c r="J2895" s="3" t="s">
        <v>128</v>
      </c>
      <c r="K2895" s="3" t="s">
        <v>65</v>
      </c>
      <c r="L2895" s="2" t="s">
        <v>29047</v>
      </c>
      <c r="M2895" s="2" t="s">
        <v>29048</v>
      </c>
      <c r="N2895" s="3" t="s">
        <v>159</v>
      </c>
      <c r="O2895" s="2" t="s">
        <v>24637</v>
      </c>
      <c r="P2895" s="3" t="s">
        <v>102</v>
      </c>
      <c r="R2895" s="3" t="s">
        <v>70</v>
      </c>
      <c r="S2895" s="4">
        <v>88</v>
      </c>
      <c r="T2895" s="4">
        <v>293</v>
      </c>
      <c r="U2895" s="5" t="s">
        <v>12623</v>
      </c>
      <c r="V2895" s="5" t="s">
        <v>12623</v>
      </c>
      <c r="W2895" s="5" t="s">
        <v>72</v>
      </c>
      <c r="X2895" s="5" t="s">
        <v>72</v>
      </c>
      <c r="Y2895" s="4">
        <v>603</v>
      </c>
      <c r="Z2895" s="4">
        <v>33</v>
      </c>
      <c r="AA2895" s="4">
        <v>101</v>
      </c>
      <c r="AB2895" s="4">
        <v>3</v>
      </c>
      <c r="AC2895" s="4">
        <v>13</v>
      </c>
      <c r="AD2895" s="4">
        <v>90</v>
      </c>
      <c r="AE2895" s="4">
        <v>148</v>
      </c>
      <c r="AF2895" s="4">
        <v>1</v>
      </c>
      <c r="AG2895" s="4">
        <v>7</v>
      </c>
      <c r="AH2895" s="4">
        <v>78</v>
      </c>
      <c r="AI2895" s="4">
        <v>116</v>
      </c>
      <c r="AJ2895" s="4">
        <v>10</v>
      </c>
      <c r="AK2895" s="4">
        <v>24</v>
      </c>
      <c r="AL2895" s="4">
        <v>39</v>
      </c>
      <c r="AM2895" s="4">
        <v>59</v>
      </c>
      <c r="AN2895" s="4">
        <v>0</v>
      </c>
      <c r="AO2895" s="4">
        <v>0</v>
      </c>
      <c r="AP2895" s="4">
        <v>17</v>
      </c>
      <c r="AQ2895" s="4">
        <v>39</v>
      </c>
      <c r="AR2895" s="3" t="s">
        <v>64</v>
      </c>
      <c r="AS2895" s="3" t="s">
        <v>64</v>
      </c>
      <c r="AT2895" s="3" t="s">
        <v>128</v>
      </c>
      <c r="AU2895" s="6" t="str">
        <f t="shared" si="70"/>
        <v>HathiTrust Record</v>
      </c>
      <c r="AV2895" s="6" t="str">
        <f t="shared" si="71"/>
        <v>Catalog Record</v>
      </c>
      <c r="AW2895" s="6" t="str">
        <f t="shared" si="72"/>
        <v>WorldCat Record</v>
      </c>
      <c r="AX2895" s="3" t="s">
        <v>29050</v>
      </c>
      <c r="AY2895" s="3" t="s">
        <v>29051</v>
      </c>
      <c r="AZ2895" s="3" t="s">
        <v>29052</v>
      </c>
      <c r="BA2895" s="3" t="s">
        <v>29052</v>
      </c>
      <c r="BB2895" s="3" t="s">
        <v>29072</v>
      </c>
      <c r="BC2895" s="3" t="s">
        <v>77</v>
      </c>
      <c r="BD2895" s="3" t="s">
        <v>78</v>
      </c>
      <c r="BE2895" s="3" t="s">
        <v>29054</v>
      </c>
      <c r="BF2895" s="3" t="s">
        <v>29072</v>
      </c>
      <c r="BG2895" s="3" t="s">
        <v>29073</v>
      </c>
      <c r="BH2895">
        <f t="shared" si="69"/>
        <v>0</v>
      </c>
    </row>
    <row r="2896" spans="1:60" ht="58" x14ac:dyDescent="0.35">
      <c r="A2896" s="2" t="s">
        <v>59</v>
      </c>
      <c r="B2896" s="2" t="s">
        <v>60</v>
      </c>
      <c r="C2896" s="2" t="s">
        <v>29044</v>
      </c>
      <c r="D2896" s="2" t="s">
        <v>29045</v>
      </c>
      <c r="E2896" s="2" t="s">
        <v>29046</v>
      </c>
      <c r="F2896" s="3" t="s">
        <v>529</v>
      </c>
      <c r="G2896" s="3" t="s">
        <v>128</v>
      </c>
      <c r="I2896" s="3" t="s">
        <v>128</v>
      </c>
      <c r="J2896" s="3" t="s">
        <v>128</v>
      </c>
      <c r="K2896" s="3" t="s">
        <v>65</v>
      </c>
      <c r="L2896" s="2" t="s">
        <v>29047</v>
      </c>
      <c r="M2896" s="2" t="s">
        <v>29048</v>
      </c>
      <c r="N2896" s="3" t="s">
        <v>159</v>
      </c>
      <c r="O2896" s="2" t="s">
        <v>24637</v>
      </c>
      <c r="P2896" s="3" t="s">
        <v>102</v>
      </c>
      <c r="R2896" s="3" t="s">
        <v>70</v>
      </c>
      <c r="S2896" s="4">
        <v>14</v>
      </c>
      <c r="T2896" s="4">
        <v>293</v>
      </c>
      <c r="U2896" s="5" t="s">
        <v>29074</v>
      </c>
      <c r="V2896" s="5" t="s">
        <v>12623</v>
      </c>
      <c r="W2896" s="5" t="s">
        <v>72</v>
      </c>
      <c r="X2896" s="5" t="s">
        <v>72</v>
      </c>
      <c r="Y2896" s="4">
        <v>603</v>
      </c>
      <c r="Z2896" s="4">
        <v>33</v>
      </c>
      <c r="AA2896" s="4">
        <v>101</v>
      </c>
      <c r="AB2896" s="4">
        <v>3</v>
      </c>
      <c r="AC2896" s="4">
        <v>13</v>
      </c>
      <c r="AD2896" s="4">
        <v>90</v>
      </c>
      <c r="AE2896" s="4">
        <v>148</v>
      </c>
      <c r="AF2896" s="4">
        <v>1</v>
      </c>
      <c r="AG2896" s="4">
        <v>7</v>
      </c>
      <c r="AH2896" s="4">
        <v>78</v>
      </c>
      <c r="AI2896" s="4">
        <v>116</v>
      </c>
      <c r="AJ2896" s="4">
        <v>10</v>
      </c>
      <c r="AK2896" s="4">
        <v>24</v>
      </c>
      <c r="AL2896" s="4">
        <v>39</v>
      </c>
      <c r="AM2896" s="4">
        <v>59</v>
      </c>
      <c r="AN2896" s="4">
        <v>0</v>
      </c>
      <c r="AO2896" s="4">
        <v>0</v>
      </c>
      <c r="AP2896" s="4">
        <v>17</v>
      </c>
      <c r="AQ2896" s="4">
        <v>39</v>
      </c>
      <c r="AR2896" s="3" t="s">
        <v>64</v>
      </c>
      <c r="AS2896" s="3" t="s">
        <v>64</v>
      </c>
      <c r="AT2896" s="3" t="s">
        <v>128</v>
      </c>
      <c r="AU2896" s="6" t="str">
        <f t="shared" si="70"/>
        <v>HathiTrust Record</v>
      </c>
      <c r="AV2896" s="6" t="str">
        <f t="shared" si="71"/>
        <v>Catalog Record</v>
      </c>
      <c r="AW2896" s="6" t="str">
        <f t="shared" si="72"/>
        <v>WorldCat Record</v>
      </c>
      <c r="AX2896" s="3" t="s">
        <v>29050</v>
      </c>
      <c r="AY2896" s="3" t="s">
        <v>29051</v>
      </c>
      <c r="AZ2896" s="3" t="s">
        <v>29052</v>
      </c>
      <c r="BA2896" s="3" t="s">
        <v>29052</v>
      </c>
      <c r="BB2896" s="3" t="s">
        <v>29075</v>
      </c>
      <c r="BC2896" s="3" t="s">
        <v>77</v>
      </c>
      <c r="BD2896" s="3" t="s">
        <v>78</v>
      </c>
      <c r="BE2896" s="3" t="s">
        <v>29054</v>
      </c>
      <c r="BF2896" s="3" t="s">
        <v>29075</v>
      </c>
      <c r="BG2896" s="3" t="s">
        <v>29076</v>
      </c>
      <c r="BH2896">
        <f t="shared" si="69"/>
        <v>0</v>
      </c>
    </row>
    <row r="2897" spans="1:60" ht="58" x14ac:dyDescent="0.35">
      <c r="A2897" s="2" t="s">
        <v>59</v>
      </c>
      <c r="B2897" s="2" t="s">
        <v>60</v>
      </c>
      <c r="C2897" s="2" t="s">
        <v>29077</v>
      </c>
      <c r="D2897" s="2" t="s">
        <v>29078</v>
      </c>
      <c r="E2897" s="2" t="s">
        <v>29079</v>
      </c>
      <c r="G2897" s="3" t="s">
        <v>64</v>
      </c>
      <c r="I2897" s="3" t="s">
        <v>64</v>
      </c>
      <c r="J2897" s="3" t="s">
        <v>64</v>
      </c>
      <c r="K2897" s="3" t="s">
        <v>65</v>
      </c>
      <c r="L2897" s="2" t="s">
        <v>29080</v>
      </c>
      <c r="M2897" s="2" t="s">
        <v>16980</v>
      </c>
      <c r="N2897" s="3" t="s">
        <v>326</v>
      </c>
      <c r="P2897" s="3" t="s">
        <v>102</v>
      </c>
      <c r="Q2897" s="2" t="s">
        <v>8981</v>
      </c>
      <c r="R2897" s="3" t="s">
        <v>70</v>
      </c>
      <c r="S2897" s="4">
        <v>3</v>
      </c>
      <c r="T2897" s="4">
        <v>3</v>
      </c>
      <c r="U2897" s="5" t="s">
        <v>27332</v>
      </c>
      <c r="V2897" s="5" t="s">
        <v>27332</v>
      </c>
      <c r="W2897" s="5" t="s">
        <v>72</v>
      </c>
      <c r="X2897" s="5" t="s">
        <v>72</v>
      </c>
      <c r="Y2897" s="4">
        <v>205</v>
      </c>
      <c r="Z2897" s="4">
        <v>20</v>
      </c>
      <c r="AA2897" s="4">
        <v>34</v>
      </c>
      <c r="AB2897" s="4">
        <v>1</v>
      </c>
      <c r="AC2897" s="4">
        <v>5</v>
      </c>
      <c r="AD2897" s="4">
        <v>75</v>
      </c>
      <c r="AE2897" s="4">
        <v>93</v>
      </c>
      <c r="AF2897" s="4">
        <v>0</v>
      </c>
      <c r="AG2897" s="4">
        <v>2</v>
      </c>
      <c r="AH2897" s="4">
        <v>65</v>
      </c>
      <c r="AI2897" s="4">
        <v>79</v>
      </c>
      <c r="AJ2897" s="4">
        <v>13</v>
      </c>
      <c r="AK2897" s="4">
        <v>17</v>
      </c>
      <c r="AL2897" s="4">
        <v>38</v>
      </c>
      <c r="AM2897" s="4">
        <v>47</v>
      </c>
      <c r="AN2897" s="4">
        <v>0</v>
      </c>
      <c r="AO2897" s="4">
        <v>0</v>
      </c>
      <c r="AP2897" s="4">
        <v>17</v>
      </c>
      <c r="AQ2897" s="4">
        <v>22</v>
      </c>
      <c r="AR2897" s="3" t="s">
        <v>64</v>
      </c>
      <c r="AS2897" s="3" t="s">
        <v>64</v>
      </c>
      <c r="AT2897" s="3" t="s">
        <v>64</v>
      </c>
      <c r="AV2897" s="6" t="str">
        <f>HYPERLINK("http://mcgill.on.worldcat.org/oclc/503046636","Catalog Record")</f>
        <v>Catalog Record</v>
      </c>
      <c r="AW2897" s="6" t="str">
        <f>HYPERLINK("http://www.worldcat.org/oclc/503046636","WorldCat Record")</f>
        <v>WorldCat Record</v>
      </c>
      <c r="AX2897" s="3" t="s">
        <v>29081</v>
      </c>
      <c r="AY2897" s="3" t="s">
        <v>29082</v>
      </c>
      <c r="AZ2897" s="3" t="s">
        <v>29083</v>
      </c>
      <c r="BA2897" s="3" t="s">
        <v>29083</v>
      </c>
      <c r="BB2897" s="3" t="s">
        <v>29084</v>
      </c>
      <c r="BC2897" s="3" t="s">
        <v>77</v>
      </c>
      <c r="BD2897" s="3" t="s">
        <v>78</v>
      </c>
      <c r="BE2897" s="3" t="s">
        <v>29085</v>
      </c>
      <c r="BF2897" s="3" t="s">
        <v>29084</v>
      </c>
      <c r="BG2897" s="3" t="s">
        <v>29086</v>
      </c>
      <c r="BH2897">
        <f t="shared" si="69"/>
        <v>0</v>
      </c>
    </row>
    <row r="2898" spans="1:60" ht="58" x14ac:dyDescent="0.35">
      <c r="A2898" s="2" t="s">
        <v>59</v>
      </c>
      <c r="B2898" s="2" t="s">
        <v>60</v>
      </c>
      <c r="C2898" s="2" t="s">
        <v>29087</v>
      </c>
      <c r="D2898" s="2" t="s">
        <v>29088</v>
      </c>
      <c r="E2898" s="2" t="s">
        <v>29089</v>
      </c>
      <c r="G2898" s="3" t="s">
        <v>64</v>
      </c>
      <c r="I2898" s="3" t="s">
        <v>128</v>
      </c>
      <c r="J2898" s="3" t="s">
        <v>64</v>
      </c>
      <c r="K2898" s="3" t="s">
        <v>65</v>
      </c>
      <c r="L2898" s="2" t="s">
        <v>29090</v>
      </c>
      <c r="M2898" s="2" t="s">
        <v>15858</v>
      </c>
      <c r="N2898" s="3" t="s">
        <v>1275</v>
      </c>
      <c r="O2898" s="2" t="s">
        <v>172</v>
      </c>
      <c r="P2898" s="3" t="s">
        <v>102</v>
      </c>
      <c r="R2898" s="3" t="s">
        <v>70</v>
      </c>
      <c r="S2898" s="4">
        <v>40</v>
      </c>
      <c r="T2898" s="4">
        <v>65</v>
      </c>
      <c r="U2898" s="5" t="s">
        <v>29091</v>
      </c>
      <c r="V2898" s="5" t="s">
        <v>29091</v>
      </c>
      <c r="W2898" s="5" t="s">
        <v>72</v>
      </c>
      <c r="X2898" s="5" t="s">
        <v>72</v>
      </c>
      <c r="Y2898" s="4">
        <v>570</v>
      </c>
      <c r="Z2898" s="4">
        <v>34</v>
      </c>
      <c r="AA2898" s="4">
        <v>41</v>
      </c>
      <c r="AB2898" s="4">
        <v>3</v>
      </c>
      <c r="AC2898" s="4">
        <v>6</v>
      </c>
      <c r="AD2898" s="4">
        <v>95</v>
      </c>
      <c r="AE2898" s="4">
        <v>103</v>
      </c>
      <c r="AF2898" s="4">
        <v>1</v>
      </c>
      <c r="AG2898" s="4">
        <v>3</v>
      </c>
      <c r="AH2898" s="4">
        <v>84</v>
      </c>
      <c r="AI2898" s="4">
        <v>88</v>
      </c>
      <c r="AJ2898" s="4">
        <v>15</v>
      </c>
      <c r="AK2898" s="4">
        <v>19</v>
      </c>
      <c r="AL2898" s="4">
        <v>43</v>
      </c>
      <c r="AM2898" s="4">
        <v>46</v>
      </c>
      <c r="AN2898" s="4">
        <v>0</v>
      </c>
      <c r="AO2898" s="4">
        <v>0</v>
      </c>
      <c r="AP2898" s="4">
        <v>21</v>
      </c>
      <c r="AQ2898" s="4">
        <v>24</v>
      </c>
      <c r="AR2898" s="3" t="s">
        <v>64</v>
      </c>
      <c r="AS2898" s="3" t="s">
        <v>64</v>
      </c>
      <c r="AT2898" s="3" t="s">
        <v>128</v>
      </c>
      <c r="AU2898" s="6" t="str">
        <f>HYPERLINK("http://catalog.hathitrust.org/Record/004355333","HathiTrust Record")</f>
        <v>HathiTrust Record</v>
      </c>
      <c r="AV2898" s="6" t="str">
        <f>HYPERLINK("http://mcgill.on.worldcat.org/oclc/52813993","Catalog Record")</f>
        <v>Catalog Record</v>
      </c>
      <c r="AW2898" s="6" t="str">
        <f>HYPERLINK("http://www.worldcat.org/oclc/52813993","WorldCat Record")</f>
        <v>WorldCat Record</v>
      </c>
      <c r="AX2898" s="3" t="s">
        <v>29092</v>
      </c>
      <c r="AY2898" s="3" t="s">
        <v>29093</v>
      </c>
      <c r="AZ2898" s="3" t="s">
        <v>29094</v>
      </c>
      <c r="BA2898" s="3" t="s">
        <v>29094</v>
      </c>
      <c r="BB2898" s="3" t="s">
        <v>29095</v>
      </c>
      <c r="BC2898" s="3" t="s">
        <v>77</v>
      </c>
      <c r="BD2898" s="3" t="s">
        <v>165</v>
      </c>
      <c r="BE2898" s="3" t="s">
        <v>29096</v>
      </c>
      <c r="BF2898" s="3" t="s">
        <v>29095</v>
      </c>
      <c r="BG2898" s="3" t="s">
        <v>29097</v>
      </c>
      <c r="BH2898">
        <f t="shared" si="69"/>
        <v>0</v>
      </c>
    </row>
    <row r="2899" spans="1:60" ht="58" x14ac:dyDescent="0.35">
      <c r="A2899" s="2" t="s">
        <v>59</v>
      </c>
      <c r="B2899" s="2" t="s">
        <v>60</v>
      </c>
      <c r="C2899" s="2" t="s">
        <v>29087</v>
      </c>
      <c r="D2899" s="2" t="s">
        <v>29088</v>
      </c>
      <c r="E2899" s="2" t="s">
        <v>29089</v>
      </c>
      <c r="G2899" s="3" t="s">
        <v>64</v>
      </c>
      <c r="I2899" s="3" t="s">
        <v>128</v>
      </c>
      <c r="J2899" s="3" t="s">
        <v>64</v>
      </c>
      <c r="K2899" s="3" t="s">
        <v>65</v>
      </c>
      <c r="L2899" s="2" t="s">
        <v>29090</v>
      </c>
      <c r="M2899" s="2" t="s">
        <v>15858</v>
      </c>
      <c r="N2899" s="3" t="s">
        <v>1275</v>
      </c>
      <c r="O2899" s="2" t="s">
        <v>172</v>
      </c>
      <c r="P2899" s="3" t="s">
        <v>102</v>
      </c>
      <c r="R2899" s="3" t="s">
        <v>70</v>
      </c>
      <c r="S2899" s="4">
        <v>25</v>
      </c>
      <c r="T2899" s="4">
        <v>65</v>
      </c>
      <c r="U2899" s="5" t="s">
        <v>29098</v>
      </c>
      <c r="V2899" s="5" t="s">
        <v>29091</v>
      </c>
      <c r="W2899" s="5" t="s">
        <v>72</v>
      </c>
      <c r="X2899" s="5" t="s">
        <v>72</v>
      </c>
      <c r="Y2899" s="4">
        <v>570</v>
      </c>
      <c r="Z2899" s="4">
        <v>34</v>
      </c>
      <c r="AA2899" s="4">
        <v>41</v>
      </c>
      <c r="AB2899" s="4">
        <v>3</v>
      </c>
      <c r="AC2899" s="4">
        <v>6</v>
      </c>
      <c r="AD2899" s="4">
        <v>95</v>
      </c>
      <c r="AE2899" s="4">
        <v>103</v>
      </c>
      <c r="AF2899" s="4">
        <v>1</v>
      </c>
      <c r="AG2899" s="4">
        <v>3</v>
      </c>
      <c r="AH2899" s="4">
        <v>84</v>
      </c>
      <c r="AI2899" s="4">
        <v>88</v>
      </c>
      <c r="AJ2899" s="4">
        <v>15</v>
      </c>
      <c r="AK2899" s="4">
        <v>19</v>
      </c>
      <c r="AL2899" s="4">
        <v>43</v>
      </c>
      <c r="AM2899" s="4">
        <v>46</v>
      </c>
      <c r="AN2899" s="4">
        <v>0</v>
      </c>
      <c r="AO2899" s="4">
        <v>0</v>
      </c>
      <c r="AP2899" s="4">
        <v>21</v>
      </c>
      <c r="AQ2899" s="4">
        <v>24</v>
      </c>
      <c r="AR2899" s="3" t="s">
        <v>64</v>
      </c>
      <c r="AS2899" s="3" t="s">
        <v>64</v>
      </c>
      <c r="AT2899" s="3" t="s">
        <v>128</v>
      </c>
      <c r="AU2899" s="6" t="str">
        <f>HYPERLINK("http://catalog.hathitrust.org/Record/004355333","HathiTrust Record")</f>
        <v>HathiTrust Record</v>
      </c>
      <c r="AV2899" s="6" t="str">
        <f>HYPERLINK("http://mcgill.on.worldcat.org/oclc/52813993","Catalog Record")</f>
        <v>Catalog Record</v>
      </c>
      <c r="AW2899" s="6" t="str">
        <f>HYPERLINK("http://www.worldcat.org/oclc/52813993","WorldCat Record")</f>
        <v>WorldCat Record</v>
      </c>
      <c r="AX2899" s="3" t="s">
        <v>29092</v>
      </c>
      <c r="AY2899" s="3" t="s">
        <v>29093</v>
      </c>
      <c r="AZ2899" s="3" t="s">
        <v>29094</v>
      </c>
      <c r="BA2899" s="3" t="s">
        <v>29094</v>
      </c>
      <c r="BB2899" s="3" t="s">
        <v>29099</v>
      </c>
      <c r="BC2899" s="3" t="s">
        <v>77</v>
      </c>
      <c r="BD2899" s="3" t="s">
        <v>78</v>
      </c>
      <c r="BE2899" s="3" t="s">
        <v>29096</v>
      </c>
      <c r="BF2899" s="3" t="s">
        <v>29099</v>
      </c>
      <c r="BG2899" s="3" t="s">
        <v>29100</v>
      </c>
      <c r="BH2899">
        <f t="shared" si="69"/>
        <v>0</v>
      </c>
    </row>
    <row r="2900" spans="1:60" ht="58" x14ac:dyDescent="0.35">
      <c r="A2900" s="2" t="s">
        <v>59</v>
      </c>
      <c r="B2900" s="2" t="s">
        <v>60</v>
      </c>
      <c r="C2900" s="2" t="s">
        <v>29101</v>
      </c>
      <c r="D2900" s="2" t="s">
        <v>29102</v>
      </c>
      <c r="E2900" s="2" t="s">
        <v>29103</v>
      </c>
      <c r="G2900" s="3" t="s">
        <v>64</v>
      </c>
      <c r="I2900" s="3" t="s">
        <v>64</v>
      </c>
      <c r="J2900" s="3" t="s">
        <v>64</v>
      </c>
      <c r="K2900" s="3" t="s">
        <v>65</v>
      </c>
      <c r="M2900" s="2" t="s">
        <v>29104</v>
      </c>
      <c r="N2900" s="3" t="s">
        <v>86</v>
      </c>
      <c r="P2900" s="3" t="s">
        <v>102</v>
      </c>
      <c r="R2900" s="3" t="s">
        <v>70</v>
      </c>
      <c r="S2900" s="4">
        <v>6</v>
      </c>
      <c r="T2900" s="4">
        <v>6</v>
      </c>
      <c r="U2900" s="5" t="s">
        <v>29105</v>
      </c>
      <c r="V2900" s="5" t="s">
        <v>29105</v>
      </c>
      <c r="W2900" s="5" t="s">
        <v>72</v>
      </c>
      <c r="X2900" s="5" t="s">
        <v>72</v>
      </c>
      <c r="Y2900" s="4">
        <v>228</v>
      </c>
      <c r="Z2900" s="4">
        <v>18</v>
      </c>
      <c r="AA2900" s="4">
        <v>21</v>
      </c>
      <c r="AB2900" s="4">
        <v>1</v>
      </c>
      <c r="AC2900" s="4">
        <v>4</v>
      </c>
      <c r="AD2900" s="4">
        <v>59</v>
      </c>
      <c r="AE2900" s="4">
        <v>61</v>
      </c>
      <c r="AF2900" s="4">
        <v>0</v>
      </c>
      <c r="AG2900" s="4">
        <v>2</v>
      </c>
      <c r="AH2900" s="4">
        <v>54</v>
      </c>
      <c r="AI2900" s="4">
        <v>55</v>
      </c>
      <c r="AJ2900" s="4">
        <v>10</v>
      </c>
      <c r="AK2900" s="4">
        <v>12</v>
      </c>
      <c r="AL2900" s="4">
        <v>30</v>
      </c>
      <c r="AM2900" s="4">
        <v>30</v>
      </c>
      <c r="AN2900" s="4">
        <v>0</v>
      </c>
      <c r="AO2900" s="4">
        <v>0</v>
      </c>
      <c r="AP2900" s="4">
        <v>13</v>
      </c>
      <c r="AQ2900" s="4">
        <v>14</v>
      </c>
      <c r="AR2900" s="3" t="s">
        <v>64</v>
      </c>
      <c r="AS2900" s="3" t="s">
        <v>64</v>
      </c>
      <c r="AT2900" s="3" t="s">
        <v>64</v>
      </c>
      <c r="AV2900" s="6" t="str">
        <f>HYPERLINK("http://mcgill.on.worldcat.org/oclc/759584867","Catalog Record")</f>
        <v>Catalog Record</v>
      </c>
      <c r="AW2900" s="6" t="str">
        <f>HYPERLINK("http://www.worldcat.org/oclc/759584867","WorldCat Record")</f>
        <v>WorldCat Record</v>
      </c>
      <c r="AX2900" s="3" t="s">
        <v>29106</v>
      </c>
      <c r="AY2900" s="3" t="s">
        <v>29107</v>
      </c>
      <c r="AZ2900" s="3" t="s">
        <v>29108</v>
      </c>
      <c r="BA2900" s="3" t="s">
        <v>29108</v>
      </c>
      <c r="BB2900" s="3" t="s">
        <v>29109</v>
      </c>
      <c r="BC2900" s="3" t="s">
        <v>77</v>
      </c>
      <c r="BD2900" s="3" t="s">
        <v>78</v>
      </c>
      <c r="BE2900" s="3" t="s">
        <v>29110</v>
      </c>
      <c r="BF2900" s="3" t="s">
        <v>29109</v>
      </c>
      <c r="BG2900" s="3" t="s">
        <v>29111</v>
      </c>
      <c r="BH2900">
        <f t="shared" si="69"/>
        <v>0</v>
      </c>
    </row>
    <row r="2901" spans="1:60" ht="58" x14ac:dyDescent="0.35">
      <c r="A2901" s="2" t="s">
        <v>59</v>
      </c>
      <c r="B2901" s="2" t="s">
        <v>60</v>
      </c>
      <c r="C2901" s="2" t="s">
        <v>29112</v>
      </c>
      <c r="D2901" s="2" t="s">
        <v>29113</v>
      </c>
      <c r="E2901" s="2" t="s">
        <v>29114</v>
      </c>
      <c r="G2901" s="3" t="s">
        <v>64</v>
      </c>
      <c r="I2901" s="3" t="s">
        <v>64</v>
      </c>
      <c r="J2901" s="3" t="s">
        <v>64</v>
      </c>
      <c r="K2901" s="3" t="s">
        <v>65</v>
      </c>
      <c r="L2901" s="2" t="s">
        <v>29115</v>
      </c>
      <c r="M2901" s="2" t="s">
        <v>29116</v>
      </c>
      <c r="N2901" s="3" t="s">
        <v>86</v>
      </c>
      <c r="P2901" s="3" t="s">
        <v>102</v>
      </c>
      <c r="R2901" s="3" t="s">
        <v>70</v>
      </c>
      <c r="S2901" s="4">
        <v>1</v>
      </c>
      <c r="T2901" s="4">
        <v>1</v>
      </c>
      <c r="U2901" s="5" t="s">
        <v>13078</v>
      </c>
      <c r="V2901" s="5" t="s">
        <v>13078</v>
      </c>
      <c r="W2901" s="5" t="s">
        <v>72</v>
      </c>
      <c r="X2901" s="5" t="s">
        <v>72</v>
      </c>
      <c r="Y2901" s="4">
        <v>38</v>
      </c>
      <c r="Z2901" s="4">
        <v>1</v>
      </c>
      <c r="AA2901" s="4">
        <v>3</v>
      </c>
      <c r="AB2901" s="4">
        <v>1</v>
      </c>
      <c r="AC2901" s="4">
        <v>2</v>
      </c>
      <c r="AD2901" s="4">
        <v>4</v>
      </c>
      <c r="AE2901" s="4">
        <v>7</v>
      </c>
      <c r="AF2901" s="4">
        <v>0</v>
      </c>
      <c r="AG2901" s="4">
        <v>1</v>
      </c>
      <c r="AH2901" s="4">
        <v>4</v>
      </c>
      <c r="AI2901" s="4">
        <v>5</v>
      </c>
      <c r="AJ2901" s="4">
        <v>0</v>
      </c>
      <c r="AK2901" s="4">
        <v>2</v>
      </c>
      <c r="AL2901" s="4">
        <v>4</v>
      </c>
      <c r="AM2901" s="4">
        <v>4</v>
      </c>
      <c r="AN2901" s="4">
        <v>0</v>
      </c>
      <c r="AO2901" s="4">
        <v>0</v>
      </c>
      <c r="AP2901" s="4">
        <v>0</v>
      </c>
      <c r="AQ2901" s="4">
        <v>1</v>
      </c>
      <c r="AR2901" s="3" t="s">
        <v>64</v>
      </c>
      <c r="AS2901" s="3" t="s">
        <v>64</v>
      </c>
      <c r="AT2901" s="3" t="s">
        <v>64</v>
      </c>
      <c r="AV2901" s="6" t="str">
        <f>HYPERLINK("http://mcgill.on.worldcat.org/oclc/767513818","Catalog Record")</f>
        <v>Catalog Record</v>
      </c>
      <c r="AW2901" s="6" t="str">
        <f>HYPERLINK("http://www.worldcat.org/oclc/767513818","WorldCat Record")</f>
        <v>WorldCat Record</v>
      </c>
      <c r="AX2901" s="3" t="s">
        <v>29117</v>
      </c>
      <c r="AY2901" s="3" t="s">
        <v>29118</v>
      </c>
      <c r="AZ2901" s="3" t="s">
        <v>29119</v>
      </c>
      <c r="BA2901" s="3" t="s">
        <v>29119</v>
      </c>
      <c r="BB2901" s="3" t="s">
        <v>29120</v>
      </c>
      <c r="BC2901" s="3" t="s">
        <v>77</v>
      </c>
      <c r="BD2901" s="3" t="s">
        <v>78</v>
      </c>
      <c r="BE2901" s="3" t="s">
        <v>29121</v>
      </c>
      <c r="BF2901" s="3" t="s">
        <v>29120</v>
      </c>
      <c r="BG2901" s="3" t="s">
        <v>29122</v>
      </c>
      <c r="BH2901">
        <f t="shared" si="69"/>
        <v>0</v>
      </c>
    </row>
    <row r="2902" spans="1:60" ht="58" x14ac:dyDescent="0.35">
      <c r="A2902" s="2" t="s">
        <v>59</v>
      </c>
      <c r="B2902" s="2" t="s">
        <v>60</v>
      </c>
      <c r="C2902" s="2" t="s">
        <v>29123</v>
      </c>
      <c r="D2902" s="2" t="s">
        <v>29124</v>
      </c>
      <c r="E2902" s="2" t="s">
        <v>29125</v>
      </c>
      <c r="G2902" s="3" t="s">
        <v>64</v>
      </c>
      <c r="I2902" s="3" t="s">
        <v>128</v>
      </c>
      <c r="J2902" s="3" t="s">
        <v>64</v>
      </c>
      <c r="K2902" s="3" t="s">
        <v>65</v>
      </c>
      <c r="L2902" s="2" t="s">
        <v>29126</v>
      </c>
      <c r="M2902" s="2" t="s">
        <v>29127</v>
      </c>
      <c r="N2902" s="3" t="s">
        <v>1263</v>
      </c>
      <c r="P2902" s="3" t="s">
        <v>102</v>
      </c>
      <c r="R2902" s="3" t="s">
        <v>70</v>
      </c>
      <c r="S2902" s="4">
        <v>21</v>
      </c>
      <c r="T2902" s="4">
        <v>21</v>
      </c>
      <c r="U2902" s="5" t="s">
        <v>29128</v>
      </c>
      <c r="V2902" s="5" t="s">
        <v>29128</v>
      </c>
      <c r="W2902" s="5" t="s">
        <v>72</v>
      </c>
      <c r="X2902" s="5" t="s">
        <v>72</v>
      </c>
      <c r="Y2902" s="4">
        <v>794</v>
      </c>
      <c r="Z2902" s="4">
        <v>31</v>
      </c>
      <c r="AA2902" s="4">
        <v>36</v>
      </c>
      <c r="AB2902" s="4">
        <v>2</v>
      </c>
      <c r="AC2902" s="4">
        <v>5</v>
      </c>
      <c r="AD2902" s="4">
        <v>122</v>
      </c>
      <c r="AE2902" s="4">
        <v>126</v>
      </c>
      <c r="AF2902" s="4">
        <v>1</v>
      </c>
      <c r="AG2902" s="4">
        <v>3</v>
      </c>
      <c r="AH2902" s="4">
        <v>100</v>
      </c>
      <c r="AI2902" s="4">
        <v>101</v>
      </c>
      <c r="AJ2902" s="4">
        <v>19</v>
      </c>
      <c r="AK2902" s="4">
        <v>22</v>
      </c>
      <c r="AL2902" s="4">
        <v>56</v>
      </c>
      <c r="AM2902" s="4">
        <v>56</v>
      </c>
      <c r="AN2902" s="4">
        <v>0</v>
      </c>
      <c r="AO2902" s="4">
        <v>0</v>
      </c>
      <c r="AP2902" s="4">
        <v>22</v>
      </c>
      <c r="AQ2902" s="4">
        <v>25</v>
      </c>
      <c r="AR2902" s="3" t="s">
        <v>64</v>
      </c>
      <c r="AS2902" s="3" t="s">
        <v>64</v>
      </c>
      <c r="AT2902" s="3" t="s">
        <v>64</v>
      </c>
      <c r="AV2902" s="6" t="str">
        <f>HYPERLINK("http://mcgill.on.worldcat.org/oclc/26721660","Catalog Record")</f>
        <v>Catalog Record</v>
      </c>
      <c r="AW2902" s="6" t="str">
        <f>HYPERLINK("http://www.worldcat.org/oclc/26721660","WorldCat Record")</f>
        <v>WorldCat Record</v>
      </c>
      <c r="AX2902" s="3" t="s">
        <v>29129</v>
      </c>
      <c r="AY2902" s="3" t="s">
        <v>29130</v>
      </c>
      <c r="AZ2902" s="3" t="s">
        <v>29131</v>
      </c>
      <c r="BA2902" s="3" t="s">
        <v>29131</v>
      </c>
      <c r="BB2902" s="3" t="s">
        <v>29132</v>
      </c>
      <c r="BC2902" s="3" t="s">
        <v>77</v>
      </c>
      <c r="BD2902" s="3" t="s">
        <v>78</v>
      </c>
      <c r="BE2902" s="3" t="s">
        <v>29133</v>
      </c>
      <c r="BF2902" s="3" t="s">
        <v>29132</v>
      </c>
      <c r="BG2902" s="3" t="s">
        <v>29134</v>
      </c>
      <c r="BH2902">
        <f t="shared" si="69"/>
        <v>0</v>
      </c>
    </row>
    <row r="2903" spans="1:60" ht="58" x14ac:dyDescent="0.35">
      <c r="A2903" s="2" t="s">
        <v>59</v>
      </c>
      <c r="B2903" s="2" t="s">
        <v>60</v>
      </c>
      <c r="C2903" s="2" t="s">
        <v>29123</v>
      </c>
      <c r="D2903" s="2" t="s">
        <v>29124</v>
      </c>
      <c r="E2903" s="2" t="s">
        <v>29125</v>
      </c>
      <c r="G2903" s="3" t="s">
        <v>64</v>
      </c>
      <c r="I2903" s="3" t="s">
        <v>128</v>
      </c>
      <c r="J2903" s="3" t="s">
        <v>64</v>
      </c>
      <c r="K2903" s="3" t="s">
        <v>65</v>
      </c>
      <c r="L2903" s="2" t="s">
        <v>29126</v>
      </c>
      <c r="M2903" s="2" t="s">
        <v>29127</v>
      </c>
      <c r="N2903" s="3" t="s">
        <v>1263</v>
      </c>
      <c r="P2903" s="3" t="s">
        <v>102</v>
      </c>
      <c r="R2903" s="3" t="s">
        <v>70</v>
      </c>
      <c r="S2903" s="4">
        <v>0</v>
      </c>
      <c r="T2903" s="4">
        <v>21</v>
      </c>
      <c r="V2903" s="5" t="s">
        <v>29128</v>
      </c>
      <c r="W2903" s="5" t="s">
        <v>72</v>
      </c>
      <c r="X2903" s="5" t="s">
        <v>72</v>
      </c>
      <c r="Y2903" s="4">
        <v>794</v>
      </c>
      <c r="Z2903" s="4">
        <v>31</v>
      </c>
      <c r="AA2903" s="4">
        <v>36</v>
      </c>
      <c r="AB2903" s="4">
        <v>2</v>
      </c>
      <c r="AC2903" s="4">
        <v>5</v>
      </c>
      <c r="AD2903" s="4">
        <v>122</v>
      </c>
      <c r="AE2903" s="4">
        <v>126</v>
      </c>
      <c r="AF2903" s="4">
        <v>1</v>
      </c>
      <c r="AG2903" s="4">
        <v>3</v>
      </c>
      <c r="AH2903" s="4">
        <v>100</v>
      </c>
      <c r="AI2903" s="4">
        <v>101</v>
      </c>
      <c r="AJ2903" s="4">
        <v>19</v>
      </c>
      <c r="AK2903" s="4">
        <v>22</v>
      </c>
      <c r="AL2903" s="4">
        <v>56</v>
      </c>
      <c r="AM2903" s="4">
        <v>56</v>
      </c>
      <c r="AN2903" s="4">
        <v>0</v>
      </c>
      <c r="AO2903" s="4">
        <v>0</v>
      </c>
      <c r="AP2903" s="4">
        <v>22</v>
      </c>
      <c r="AQ2903" s="4">
        <v>25</v>
      </c>
      <c r="AR2903" s="3" t="s">
        <v>64</v>
      </c>
      <c r="AS2903" s="3" t="s">
        <v>64</v>
      </c>
      <c r="AT2903" s="3" t="s">
        <v>64</v>
      </c>
      <c r="AV2903" s="6" t="str">
        <f>HYPERLINK("http://mcgill.on.worldcat.org/oclc/26721660","Catalog Record")</f>
        <v>Catalog Record</v>
      </c>
      <c r="AW2903" s="6" t="str">
        <f>HYPERLINK("http://www.worldcat.org/oclc/26721660","WorldCat Record")</f>
        <v>WorldCat Record</v>
      </c>
      <c r="AX2903" s="3" t="s">
        <v>29129</v>
      </c>
      <c r="AY2903" s="3" t="s">
        <v>29130</v>
      </c>
      <c r="AZ2903" s="3" t="s">
        <v>29131</v>
      </c>
      <c r="BA2903" s="3" t="s">
        <v>29131</v>
      </c>
      <c r="BB2903" s="3" t="s">
        <v>29135</v>
      </c>
      <c r="BC2903" s="3" t="s">
        <v>77</v>
      </c>
      <c r="BD2903" s="3" t="s">
        <v>78</v>
      </c>
      <c r="BE2903" s="3" t="s">
        <v>29133</v>
      </c>
      <c r="BF2903" s="3" t="s">
        <v>29135</v>
      </c>
      <c r="BG2903" s="3" t="s">
        <v>29136</v>
      </c>
      <c r="BH2903">
        <f t="shared" si="69"/>
        <v>0</v>
      </c>
    </row>
    <row r="2904" spans="1:60" ht="58" x14ac:dyDescent="0.35">
      <c r="A2904" s="2" t="s">
        <v>59</v>
      </c>
      <c r="B2904" s="2" t="s">
        <v>60</v>
      </c>
      <c r="C2904" s="2" t="s">
        <v>29137</v>
      </c>
      <c r="D2904" s="2" t="s">
        <v>29138</v>
      </c>
      <c r="E2904" s="2" t="s">
        <v>29139</v>
      </c>
      <c r="G2904" s="3" t="s">
        <v>64</v>
      </c>
      <c r="I2904" s="3" t="s">
        <v>64</v>
      </c>
      <c r="J2904" s="3" t="s">
        <v>64</v>
      </c>
      <c r="K2904" s="3" t="s">
        <v>65</v>
      </c>
      <c r="L2904" s="2" t="s">
        <v>22148</v>
      </c>
      <c r="M2904" s="2" t="s">
        <v>15788</v>
      </c>
      <c r="N2904" s="3" t="s">
        <v>67</v>
      </c>
      <c r="P2904" s="3" t="s">
        <v>102</v>
      </c>
      <c r="R2904" s="3" t="s">
        <v>70</v>
      </c>
      <c r="S2904" s="4">
        <v>2</v>
      </c>
      <c r="T2904" s="4">
        <v>2</v>
      </c>
      <c r="U2904" s="5" t="s">
        <v>16007</v>
      </c>
      <c r="V2904" s="5" t="s">
        <v>16007</v>
      </c>
      <c r="W2904" s="5" t="s">
        <v>72</v>
      </c>
      <c r="X2904" s="5" t="s">
        <v>72</v>
      </c>
      <c r="Y2904" s="4">
        <v>564</v>
      </c>
      <c r="Z2904" s="4">
        <v>34</v>
      </c>
      <c r="AA2904" s="4">
        <v>41</v>
      </c>
      <c r="AB2904" s="4">
        <v>3</v>
      </c>
      <c r="AC2904" s="4">
        <v>9</v>
      </c>
      <c r="AD2904" s="4">
        <v>85</v>
      </c>
      <c r="AE2904" s="4">
        <v>90</v>
      </c>
      <c r="AF2904" s="4">
        <v>1</v>
      </c>
      <c r="AG2904" s="4">
        <v>5</v>
      </c>
      <c r="AH2904" s="4">
        <v>73</v>
      </c>
      <c r="AI2904" s="4">
        <v>75</v>
      </c>
      <c r="AJ2904" s="4">
        <v>14</v>
      </c>
      <c r="AK2904" s="4">
        <v>19</v>
      </c>
      <c r="AL2904" s="4">
        <v>39</v>
      </c>
      <c r="AM2904" s="4">
        <v>39</v>
      </c>
      <c r="AN2904" s="4">
        <v>0</v>
      </c>
      <c r="AO2904" s="4">
        <v>0</v>
      </c>
      <c r="AP2904" s="4">
        <v>17</v>
      </c>
      <c r="AQ2904" s="4">
        <v>21</v>
      </c>
      <c r="AR2904" s="3" t="s">
        <v>64</v>
      </c>
      <c r="AS2904" s="3" t="s">
        <v>64</v>
      </c>
      <c r="AT2904" s="3" t="s">
        <v>64</v>
      </c>
      <c r="AV2904" s="6" t="str">
        <f>HYPERLINK("http://mcgill.on.worldcat.org/oclc/883305115","Catalog Record")</f>
        <v>Catalog Record</v>
      </c>
      <c r="AW2904" s="6" t="str">
        <f>HYPERLINK("http://www.worldcat.org/oclc/883305115","WorldCat Record")</f>
        <v>WorldCat Record</v>
      </c>
      <c r="AX2904" s="3" t="s">
        <v>29140</v>
      </c>
      <c r="AY2904" s="3" t="s">
        <v>29141</v>
      </c>
      <c r="AZ2904" s="3" t="s">
        <v>29142</v>
      </c>
      <c r="BA2904" s="3" t="s">
        <v>29142</v>
      </c>
      <c r="BB2904" s="3" t="s">
        <v>29143</v>
      </c>
      <c r="BC2904" s="3" t="s">
        <v>77</v>
      </c>
      <c r="BD2904" s="3" t="s">
        <v>78</v>
      </c>
      <c r="BE2904" s="3" t="s">
        <v>29144</v>
      </c>
      <c r="BF2904" s="3" t="s">
        <v>29143</v>
      </c>
      <c r="BG2904" s="3" t="s">
        <v>29145</v>
      </c>
      <c r="BH2904">
        <f t="shared" si="69"/>
        <v>0</v>
      </c>
    </row>
    <row r="2905" spans="1:60" ht="58" x14ac:dyDescent="0.35">
      <c r="A2905" s="2" t="s">
        <v>59</v>
      </c>
      <c r="B2905" s="2" t="s">
        <v>60</v>
      </c>
      <c r="C2905" s="2" t="s">
        <v>29146</v>
      </c>
      <c r="D2905" s="2" t="s">
        <v>29147</v>
      </c>
      <c r="E2905" s="2" t="s">
        <v>29148</v>
      </c>
      <c r="G2905" s="3" t="s">
        <v>64</v>
      </c>
      <c r="I2905" s="3" t="s">
        <v>64</v>
      </c>
      <c r="J2905" s="3" t="s">
        <v>64</v>
      </c>
      <c r="K2905" s="3" t="s">
        <v>65</v>
      </c>
      <c r="L2905" s="2" t="s">
        <v>29149</v>
      </c>
      <c r="M2905" s="2" t="s">
        <v>17565</v>
      </c>
      <c r="N2905" s="3" t="s">
        <v>86</v>
      </c>
      <c r="P2905" s="3" t="s">
        <v>102</v>
      </c>
      <c r="Q2905" s="2" t="s">
        <v>18390</v>
      </c>
      <c r="R2905" s="3" t="s">
        <v>70</v>
      </c>
      <c r="S2905" s="4">
        <v>6</v>
      </c>
      <c r="T2905" s="4">
        <v>6</v>
      </c>
      <c r="U2905" s="5" t="s">
        <v>29150</v>
      </c>
      <c r="V2905" s="5" t="s">
        <v>29150</v>
      </c>
      <c r="W2905" s="5" t="s">
        <v>72</v>
      </c>
      <c r="X2905" s="5" t="s">
        <v>72</v>
      </c>
      <c r="Y2905" s="4">
        <v>405</v>
      </c>
      <c r="Z2905" s="4">
        <v>29</v>
      </c>
      <c r="AA2905" s="4">
        <v>126</v>
      </c>
      <c r="AB2905" s="4">
        <v>1</v>
      </c>
      <c r="AC2905" s="4">
        <v>17</v>
      </c>
      <c r="AD2905" s="4">
        <v>64</v>
      </c>
      <c r="AE2905" s="4">
        <v>128</v>
      </c>
      <c r="AF2905" s="4">
        <v>0</v>
      </c>
      <c r="AG2905" s="4">
        <v>8</v>
      </c>
      <c r="AH2905" s="4">
        <v>55</v>
      </c>
      <c r="AI2905" s="4">
        <v>86</v>
      </c>
      <c r="AJ2905" s="4">
        <v>9</v>
      </c>
      <c r="AK2905" s="4">
        <v>22</v>
      </c>
      <c r="AL2905" s="4">
        <v>23</v>
      </c>
      <c r="AM2905" s="4">
        <v>42</v>
      </c>
      <c r="AN2905" s="4">
        <v>0</v>
      </c>
      <c r="AO2905" s="4">
        <v>0</v>
      </c>
      <c r="AP2905" s="4">
        <v>15</v>
      </c>
      <c r="AQ2905" s="4">
        <v>48</v>
      </c>
      <c r="AR2905" s="3" t="s">
        <v>64</v>
      </c>
      <c r="AS2905" s="3" t="s">
        <v>64</v>
      </c>
      <c r="AT2905" s="3" t="s">
        <v>64</v>
      </c>
      <c r="AV2905" s="6" t="str">
        <f>HYPERLINK("http://mcgill.on.worldcat.org/oclc/666224031","Catalog Record")</f>
        <v>Catalog Record</v>
      </c>
      <c r="AW2905" s="6" t="str">
        <f>HYPERLINK("http://www.worldcat.org/oclc/666224031","WorldCat Record")</f>
        <v>WorldCat Record</v>
      </c>
      <c r="AX2905" s="3" t="s">
        <v>29151</v>
      </c>
      <c r="AY2905" s="3" t="s">
        <v>29152</v>
      </c>
      <c r="AZ2905" s="3" t="s">
        <v>29153</v>
      </c>
      <c r="BA2905" s="3" t="s">
        <v>29153</v>
      </c>
      <c r="BB2905" s="3" t="s">
        <v>29154</v>
      </c>
      <c r="BC2905" s="3" t="s">
        <v>77</v>
      </c>
      <c r="BD2905" s="3" t="s">
        <v>78</v>
      </c>
      <c r="BE2905" s="3" t="s">
        <v>29155</v>
      </c>
      <c r="BF2905" s="3" t="s">
        <v>29154</v>
      </c>
      <c r="BG2905" s="3" t="s">
        <v>29156</v>
      </c>
      <c r="BH2905">
        <f t="shared" si="69"/>
        <v>0</v>
      </c>
    </row>
    <row r="2906" spans="1:60" ht="58" x14ac:dyDescent="0.35">
      <c r="A2906" s="2" t="s">
        <v>59</v>
      </c>
      <c r="B2906" s="2" t="s">
        <v>60</v>
      </c>
      <c r="C2906" s="2" t="s">
        <v>29157</v>
      </c>
      <c r="D2906" s="2" t="s">
        <v>29158</v>
      </c>
      <c r="E2906" s="2" t="s">
        <v>29159</v>
      </c>
      <c r="G2906" s="3" t="s">
        <v>64</v>
      </c>
      <c r="I2906" s="3" t="s">
        <v>64</v>
      </c>
      <c r="J2906" s="3" t="s">
        <v>64</v>
      </c>
      <c r="K2906" s="3" t="s">
        <v>65</v>
      </c>
      <c r="L2906" s="2" t="s">
        <v>29160</v>
      </c>
      <c r="M2906" s="2" t="s">
        <v>14044</v>
      </c>
      <c r="N2906" s="3" t="s">
        <v>326</v>
      </c>
      <c r="P2906" s="3" t="s">
        <v>102</v>
      </c>
      <c r="R2906" s="3" t="s">
        <v>70</v>
      </c>
      <c r="S2906" s="4">
        <v>4</v>
      </c>
      <c r="T2906" s="4">
        <v>4</v>
      </c>
      <c r="U2906" s="5" t="s">
        <v>13078</v>
      </c>
      <c r="V2906" s="5" t="s">
        <v>13078</v>
      </c>
      <c r="W2906" s="5" t="s">
        <v>72</v>
      </c>
      <c r="X2906" s="5" t="s">
        <v>72</v>
      </c>
      <c r="Y2906" s="4">
        <v>577</v>
      </c>
      <c r="Z2906" s="4">
        <v>30</v>
      </c>
      <c r="AA2906" s="4">
        <v>109</v>
      </c>
      <c r="AB2906" s="4">
        <v>3</v>
      </c>
      <c r="AC2906" s="4">
        <v>19</v>
      </c>
      <c r="AD2906" s="4">
        <v>92</v>
      </c>
      <c r="AE2906" s="4">
        <v>140</v>
      </c>
      <c r="AF2906" s="4">
        <v>1</v>
      </c>
      <c r="AG2906" s="4">
        <v>9</v>
      </c>
      <c r="AH2906" s="4">
        <v>83</v>
      </c>
      <c r="AI2906" s="4">
        <v>100</v>
      </c>
      <c r="AJ2906" s="4">
        <v>11</v>
      </c>
      <c r="AK2906" s="4">
        <v>22</v>
      </c>
      <c r="AL2906" s="4">
        <v>43</v>
      </c>
      <c r="AM2906" s="4">
        <v>51</v>
      </c>
      <c r="AN2906" s="4">
        <v>0</v>
      </c>
      <c r="AO2906" s="4">
        <v>0</v>
      </c>
      <c r="AP2906" s="4">
        <v>15</v>
      </c>
      <c r="AQ2906" s="4">
        <v>47</v>
      </c>
      <c r="AR2906" s="3" t="s">
        <v>64</v>
      </c>
      <c r="AS2906" s="3" t="s">
        <v>64</v>
      </c>
      <c r="AT2906" s="3" t="s">
        <v>64</v>
      </c>
      <c r="AV2906" s="6" t="str">
        <f>HYPERLINK("http://mcgill.on.worldcat.org/oclc/666224114","Catalog Record")</f>
        <v>Catalog Record</v>
      </c>
      <c r="AW2906" s="6" t="str">
        <f>HYPERLINK("http://www.worldcat.org/oclc/666224114","WorldCat Record")</f>
        <v>WorldCat Record</v>
      </c>
      <c r="AX2906" s="3" t="s">
        <v>29161</v>
      </c>
      <c r="AY2906" s="3" t="s">
        <v>29162</v>
      </c>
      <c r="AZ2906" s="3" t="s">
        <v>29163</v>
      </c>
      <c r="BA2906" s="3" t="s">
        <v>29163</v>
      </c>
      <c r="BB2906" s="3" t="s">
        <v>29164</v>
      </c>
      <c r="BC2906" s="3" t="s">
        <v>77</v>
      </c>
      <c r="BD2906" s="3" t="s">
        <v>78</v>
      </c>
      <c r="BE2906" s="3" t="s">
        <v>29165</v>
      </c>
      <c r="BF2906" s="3" t="s">
        <v>29164</v>
      </c>
      <c r="BG2906" s="3" t="s">
        <v>29166</v>
      </c>
      <c r="BH2906">
        <f t="shared" si="69"/>
        <v>0</v>
      </c>
    </row>
    <row r="2907" spans="1:60" ht="58" x14ac:dyDescent="0.35">
      <c r="A2907" s="2" t="s">
        <v>59</v>
      </c>
      <c r="B2907" s="2" t="s">
        <v>60</v>
      </c>
      <c r="C2907" s="2" t="s">
        <v>29167</v>
      </c>
      <c r="D2907" s="2" t="s">
        <v>29168</v>
      </c>
      <c r="E2907" s="2" t="s">
        <v>29169</v>
      </c>
      <c r="G2907" s="3" t="s">
        <v>64</v>
      </c>
      <c r="I2907" s="3" t="s">
        <v>64</v>
      </c>
      <c r="J2907" s="3" t="s">
        <v>64</v>
      </c>
      <c r="K2907" s="3" t="s">
        <v>65</v>
      </c>
      <c r="L2907" s="2" t="s">
        <v>29170</v>
      </c>
      <c r="M2907" s="2" t="s">
        <v>21980</v>
      </c>
      <c r="N2907" s="3" t="s">
        <v>392</v>
      </c>
      <c r="P2907" s="3" t="s">
        <v>102</v>
      </c>
      <c r="Q2907" s="2" t="s">
        <v>21484</v>
      </c>
      <c r="R2907" s="3" t="s">
        <v>70</v>
      </c>
      <c r="S2907" s="4">
        <v>5</v>
      </c>
      <c r="T2907" s="4">
        <v>5</v>
      </c>
      <c r="U2907" s="5" t="s">
        <v>29150</v>
      </c>
      <c r="V2907" s="5" t="s">
        <v>29150</v>
      </c>
      <c r="W2907" s="5" t="s">
        <v>72</v>
      </c>
      <c r="X2907" s="5" t="s">
        <v>72</v>
      </c>
      <c r="Y2907" s="4">
        <v>802</v>
      </c>
      <c r="Z2907" s="4">
        <v>40</v>
      </c>
      <c r="AA2907" s="4">
        <v>119</v>
      </c>
      <c r="AB2907" s="4">
        <v>2</v>
      </c>
      <c r="AC2907" s="4">
        <v>18</v>
      </c>
      <c r="AD2907" s="4">
        <v>98</v>
      </c>
      <c r="AE2907" s="4">
        <v>140</v>
      </c>
      <c r="AF2907" s="4">
        <v>1</v>
      </c>
      <c r="AG2907" s="4">
        <v>8</v>
      </c>
      <c r="AH2907" s="4">
        <v>85</v>
      </c>
      <c r="AI2907" s="4">
        <v>102</v>
      </c>
      <c r="AJ2907" s="4">
        <v>13</v>
      </c>
      <c r="AK2907" s="4">
        <v>23</v>
      </c>
      <c r="AL2907" s="4">
        <v>40</v>
      </c>
      <c r="AM2907" s="4">
        <v>49</v>
      </c>
      <c r="AN2907" s="4">
        <v>0</v>
      </c>
      <c r="AO2907" s="4">
        <v>0</v>
      </c>
      <c r="AP2907" s="4">
        <v>17</v>
      </c>
      <c r="AQ2907" s="4">
        <v>45</v>
      </c>
      <c r="AR2907" s="3" t="s">
        <v>64</v>
      </c>
      <c r="AS2907" s="3" t="s">
        <v>64</v>
      </c>
      <c r="AT2907" s="3" t="s">
        <v>64</v>
      </c>
      <c r="AV2907" s="6" t="str">
        <f>HYPERLINK("http://mcgill.on.worldcat.org/oclc/39800553","Catalog Record")</f>
        <v>Catalog Record</v>
      </c>
      <c r="AW2907" s="6" t="str">
        <f>HYPERLINK("http://www.worldcat.org/oclc/39800553","WorldCat Record")</f>
        <v>WorldCat Record</v>
      </c>
      <c r="AX2907" s="3" t="s">
        <v>29171</v>
      </c>
      <c r="AY2907" s="3" t="s">
        <v>29172</v>
      </c>
      <c r="AZ2907" s="3" t="s">
        <v>29173</v>
      </c>
      <c r="BA2907" s="3" t="s">
        <v>29173</v>
      </c>
      <c r="BB2907" s="3" t="s">
        <v>29174</v>
      </c>
      <c r="BC2907" s="3" t="s">
        <v>77</v>
      </c>
      <c r="BD2907" s="3" t="s">
        <v>78</v>
      </c>
      <c r="BE2907" s="3" t="s">
        <v>29175</v>
      </c>
      <c r="BF2907" s="3" t="s">
        <v>29174</v>
      </c>
      <c r="BG2907" s="3" t="s">
        <v>29176</v>
      </c>
      <c r="BH2907">
        <f t="shared" si="69"/>
        <v>0</v>
      </c>
    </row>
    <row r="2908" spans="1:60" ht="58" x14ac:dyDescent="0.35">
      <c r="A2908" s="2" t="s">
        <v>59</v>
      </c>
      <c r="B2908" s="2" t="s">
        <v>60</v>
      </c>
      <c r="C2908" s="2" t="s">
        <v>29177</v>
      </c>
      <c r="D2908" s="2" t="s">
        <v>29178</v>
      </c>
      <c r="E2908" s="2" t="s">
        <v>29179</v>
      </c>
      <c r="G2908" s="3" t="s">
        <v>64</v>
      </c>
      <c r="I2908" s="3" t="s">
        <v>64</v>
      </c>
      <c r="J2908" s="3" t="s">
        <v>64</v>
      </c>
      <c r="K2908" s="3" t="s">
        <v>65</v>
      </c>
      <c r="L2908" s="2" t="s">
        <v>29180</v>
      </c>
      <c r="M2908" s="2" t="s">
        <v>9226</v>
      </c>
      <c r="N2908" s="3" t="s">
        <v>511</v>
      </c>
      <c r="P2908" s="3" t="s">
        <v>102</v>
      </c>
      <c r="Q2908" s="2" t="s">
        <v>8981</v>
      </c>
      <c r="R2908" s="3" t="s">
        <v>70</v>
      </c>
      <c r="S2908" s="4">
        <v>0</v>
      </c>
      <c r="T2908" s="4">
        <v>0</v>
      </c>
      <c r="W2908" s="5" t="s">
        <v>72</v>
      </c>
      <c r="X2908" s="5" t="s">
        <v>72</v>
      </c>
      <c r="Y2908" s="4">
        <v>102</v>
      </c>
      <c r="Z2908" s="4">
        <v>10</v>
      </c>
      <c r="AA2908" s="4">
        <v>22</v>
      </c>
      <c r="AB2908" s="4">
        <v>1</v>
      </c>
      <c r="AC2908" s="4">
        <v>5</v>
      </c>
      <c r="AD2908" s="4">
        <v>26</v>
      </c>
      <c r="AE2908" s="4">
        <v>54</v>
      </c>
      <c r="AF2908" s="4">
        <v>0</v>
      </c>
      <c r="AG2908" s="4">
        <v>2</v>
      </c>
      <c r="AH2908" s="4">
        <v>25</v>
      </c>
      <c r="AI2908" s="4">
        <v>47</v>
      </c>
      <c r="AJ2908" s="4">
        <v>6</v>
      </c>
      <c r="AK2908" s="4">
        <v>11</v>
      </c>
      <c r="AL2908" s="4">
        <v>16</v>
      </c>
      <c r="AM2908" s="4">
        <v>26</v>
      </c>
      <c r="AN2908" s="4">
        <v>0</v>
      </c>
      <c r="AO2908" s="4">
        <v>0</v>
      </c>
      <c r="AP2908" s="4">
        <v>6</v>
      </c>
      <c r="AQ2908" s="4">
        <v>12</v>
      </c>
      <c r="AR2908" s="3" t="s">
        <v>64</v>
      </c>
      <c r="AS2908" s="3" t="s">
        <v>64</v>
      </c>
      <c r="AT2908" s="3" t="s">
        <v>64</v>
      </c>
      <c r="AV2908" s="6" t="str">
        <f>HYPERLINK("http://mcgill.on.worldcat.org/oclc/696923579","Catalog Record")</f>
        <v>Catalog Record</v>
      </c>
      <c r="AW2908" s="6" t="str">
        <f>HYPERLINK("http://www.worldcat.org/oclc/696923579","WorldCat Record")</f>
        <v>WorldCat Record</v>
      </c>
      <c r="AX2908" s="3" t="s">
        <v>29181</v>
      </c>
      <c r="AY2908" s="3" t="s">
        <v>29182</v>
      </c>
      <c r="AZ2908" s="3" t="s">
        <v>29183</v>
      </c>
      <c r="BA2908" s="3" t="s">
        <v>29183</v>
      </c>
      <c r="BB2908" s="3" t="s">
        <v>29184</v>
      </c>
      <c r="BC2908" s="3" t="s">
        <v>77</v>
      </c>
      <c r="BD2908" s="3" t="s">
        <v>78</v>
      </c>
      <c r="BE2908" s="3" t="s">
        <v>29185</v>
      </c>
      <c r="BF2908" s="3" t="s">
        <v>29184</v>
      </c>
      <c r="BG2908" s="3" t="s">
        <v>29186</v>
      </c>
      <c r="BH2908">
        <f t="shared" si="69"/>
        <v>0</v>
      </c>
    </row>
    <row r="2909" spans="1:60" ht="58" x14ac:dyDescent="0.35">
      <c r="A2909" s="2" t="s">
        <v>59</v>
      </c>
      <c r="B2909" s="2" t="s">
        <v>60</v>
      </c>
      <c r="C2909" s="2" t="s">
        <v>29187</v>
      </c>
      <c r="D2909" s="2" t="s">
        <v>29188</v>
      </c>
      <c r="E2909" s="2" t="s">
        <v>29189</v>
      </c>
      <c r="G2909" s="3" t="s">
        <v>64</v>
      </c>
      <c r="I2909" s="3" t="s">
        <v>64</v>
      </c>
      <c r="J2909" s="3" t="s">
        <v>64</v>
      </c>
      <c r="K2909" s="3" t="s">
        <v>65</v>
      </c>
      <c r="L2909" s="2" t="s">
        <v>29190</v>
      </c>
      <c r="M2909" s="2" t="s">
        <v>15777</v>
      </c>
      <c r="N2909" s="3" t="s">
        <v>1275</v>
      </c>
      <c r="P2909" s="3" t="s">
        <v>102</v>
      </c>
      <c r="Q2909" s="2" t="s">
        <v>29191</v>
      </c>
      <c r="R2909" s="3" t="s">
        <v>70</v>
      </c>
      <c r="S2909" s="4">
        <v>18</v>
      </c>
      <c r="T2909" s="4">
        <v>18</v>
      </c>
      <c r="U2909" s="5" t="s">
        <v>29192</v>
      </c>
      <c r="V2909" s="5" t="s">
        <v>29192</v>
      </c>
      <c r="W2909" s="5" t="s">
        <v>72</v>
      </c>
      <c r="X2909" s="5" t="s">
        <v>72</v>
      </c>
      <c r="Y2909" s="4">
        <v>412</v>
      </c>
      <c r="Z2909" s="4">
        <v>29</v>
      </c>
      <c r="AA2909" s="4">
        <v>30</v>
      </c>
      <c r="AB2909" s="4">
        <v>2</v>
      </c>
      <c r="AC2909" s="4">
        <v>3</v>
      </c>
      <c r="AD2909" s="4">
        <v>80</v>
      </c>
      <c r="AE2909" s="4">
        <v>81</v>
      </c>
      <c r="AF2909" s="4">
        <v>1</v>
      </c>
      <c r="AG2909" s="4">
        <v>2</v>
      </c>
      <c r="AH2909" s="4">
        <v>70</v>
      </c>
      <c r="AI2909" s="4">
        <v>70</v>
      </c>
      <c r="AJ2909" s="4">
        <v>12</v>
      </c>
      <c r="AK2909" s="4">
        <v>13</v>
      </c>
      <c r="AL2909" s="4">
        <v>34</v>
      </c>
      <c r="AM2909" s="4">
        <v>34</v>
      </c>
      <c r="AN2909" s="4">
        <v>0</v>
      </c>
      <c r="AO2909" s="4">
        <v>0</v>
      </c>
      <c r="AP2909" s="4">
        <v>19</v>
      </c>
      <c r="AQ2909" s="4">
        <v>19</v>
      </c>
      <c r="AR2909" s="3" t="s">
        <v>64</v>
      </c>
      <c r="AS2909" s="3" t="s">
        <v>64</v>
      </c>
      <c r="AT2909" s="3" t="s">
        <v>64</v>
      </c>
      <c r="AV2909" s="6" t="str">
        <f>HYPERLINK("http://mcgill.on.worldcat.org/oclc/52886648","Catalog Record")</f>
        <v>Catalog Record</v>
      </c>
      <c r="AW2909" s="6" t="str">
        <f>HYPERLINK("http://www.worldcat.org/oclc/52886648","WorldCat Record")</f>
        <v>WorldCat Record</v>
      </c>
      <c r="AX2909" s="3" t="s">
        <v>29193</v>
      </c>
      <c r="AY2909" s="3" t="s">
        <v>29194</v>
      </c>
      <c r="AZ2909" s="3" t="s">
        <v>29195</v>
      </c>
      <c r="BA2909" s="3" t="s">
        <v>29195</v>
      </c>
      <c r="BB2909" s="3" t="s">
        <v>29196</v>
      </c>
      <c r="BC2909" s="3" t="s">
        <v>77</v>
      </c>
      <c r="BD2909" s="3" t="s">
        <v>78</v>
      </c>
      <c r="BE2909" s="3" t="s">
        <v>29197</v>
      </c>
      <c r="BF2909" s="3" t="s">
        <v>29196</v>
      </c>
      <c r="BG2909" s="3" t="s">
        <v>29198</v>
      </c>
      <c r="BH2909">
        <f t="shared" si="69"/>
        <v>0</v>
      </c>
    </row>
    <row r="2910" spans="1:60" ht="58" x14ac:dyDescent="0.35">
      <c r="A2910" s="2" t="s">
        <v>59</v>
      </c>
      <c r="B2910" s="2" t="s">
        <v>60</v>
      </c>
      <c r="C2910" s="2" t="s">
        <v>29199</v>
      </c>
      <c r="D2910" s="2" t="s">
        <v>29200</v>
      </c>
      <c r="E2910" s="2" t="s">
        <v>29201</v>
      </c>
      <c r="G2910" s="3" t="s">
        <v>64</v>
      </c>
      <c r="I2910" s="3" t="s">
        <v>64</v>
      </c>
      <c r="J2910" s="3" t="s">
        <v>64</v>
      </c>
      <c r="K2910" s="3" t="s">
        <v>65</v>
      </c>
      <c r="L2910" s="2" t="s">
        <v>28882</v>
      </c>
      <c r="M2910" s="2" t="s">
        <v>17691</v>
      </c>
      <c r="N2910" s="3" t="s">
        <v>86</v>
      </c>
      <c r="O2910" s="2" t="s">
        <v>29202</v>
      </c>
      <c r="P2910" s="3" t="s">
        <v>102</v>
      </c>
      <c r="R2910" s="3" t="s">
        <v>70</v>
      </c>
      <c r="S2910" s="4">
        <v>5</v>
      </c>
      <c r="T2910" s="4">
        <v>5</v>
      </c>
      <c r="U2910" s="5" t="s">
        <v>13078</v>
      </c>
      <c r="V2910" s="5" t="s">
        <v>13078</v>
      </c>
      <c r="W2910" s="5" t="s">
        <v>72</v>
      </c>
      <c r="X2910" s="5" t="s">
        <v>72</v>
      </c>
      <c r="Y2910" s="4">
        <v>49</v>
      </c>
      <c r="Z2910" s="4">
        <v>8</v>
      </c>
      <c r="AA2910" s="4">
        <v>31</v>
      </c>
      <c r="AB2910" s="4">
        <v>1</v>
      </c>
      <c r="AC2910" s="4">
        <v>7</v>
      </c>
      <c r="AD2910" s="4">
        <v>8</v>
      </c>
      <c r="AE2910" s="4">
        <v>34</v>
      </c>
      <c r="AF2910" s="4">
        <v>0</v>
      </c>
      <c r="AG2910" s="4">
        <v>2</v>
      </c>
      <c r="AH2910" s="4">
        <v>8</v>
      </c>
      <c r="AI2910" s="4">
        <v>25</v>
      </c>
      <c r="AJ2910" s="4">
        <v>4</v>
      </c>
      <c r="AK2910" s="4">
        <v>11</v>
      </c>
      <c r="AL2910" s="4">
        <v>4</v>
      </c>
      <c r="AM2910" s="4">
        <v>13</v>
      </c>
      <c r="AN2910" s="4">
        <v>0</v>
      </c>
      <c r="AO2910" s="4">
        <v>0</v>
      </c>
      <c r="AP2910" s="4">
        <v>5</v>
      </c>
      <c r="AQ2910" s="4">
        <v>16</v>
      </c>
      <c r="AR2910" s="3" t="s">
        <v>64</v>
      </c>
      <c r="AS2910" s="3" t="s">
        <v>64</v>
      </c>
      <c r="AT2910" s="3" t="s">
        <v>64</v>
      </c>
      <c r="AV2910" s="6" t="str">
        <f>HYPERLINK("http://mcgill.on.worldcat.org/oclc/802763599","Catalog Record")</f>
        <v>Catalog Record</v>
      </c>
      <c r="AW2910" s="6" t="str">
        <f>HYPERLINK("http://www.worldcat.org/oclc/802763599","WorldCat Record")</f>
        <v>WorldCat Record</v>
      </c>
      <c r="AX2910" s="3" t="s">
        <v>29203</v>
      </c>
      <c r="AY2910" s="3" t="s">
        <v>29204</v>
      </c>
      <c r="AZ2910" s="3" t="s">
        <v>29205</v>
      </c>
      <c r="BA2910" s="3" t="s">
        <v>29205</v>
      </c>
      <c r="BB2910" s="3" t="s">
        <v>29206</v>
      </c>
      <c r="BC2910" s="3" t="s">
        <v>77</v>
      </c>
      <c r="BD2910" s="3" t="s">
        <v>78</v>
      </c>
      <c r="BE2910" s="3" t="s">
        <v>29207</v>
      </c>
      <c r="BF2910" s="3" t="s">
        <v>29206</v>
      </c>
      <c r="BG2910" s="3" t="s">
        <v>29208</v>
      </c>
      <c r="BH2910">
        <f t="shared" si="69"/>
        <v>0</v>
      </c>
    </row>
    <row r="2911" spans="1:60" ht="58" x14ac:dyDescent="0.35">
      <c r="A2911" s="2" t="s">
        <v>59</v>
      </c>
      <c r="B2911" s="2" t="s">
        <v>60</v>
      </c>
      <c r="C2911" s="2" t="s">
        <v>29209</v>
      </c>
      <c r="D2911" s="2" t="s">
        <v>29210</v>
      </c>
      <c r="E2911" s="2" t="s">
        <v>29211</v>
      </c>
      <c r="G2911" s="3" t="s">
        <v>64</v>
      </c>
      <c r="I2911" s="3" t="s">
        <v>64</v>
      </c>
      <c r="J2911" s="3" t="s">
        <v>64</v>
      </c>
      <c r="K2911" s="3" t="s">
        <v>65</v>
      </c>
      <c r="M2911" s="2" t="s">
        <v>21649</v>
      </c>
      <c r="N2911" s="3" t="s">
        <v>1615</v>
      </c>
      <c r="P2911" s="3" t="s">
        <v>102</v>
      </c>
      <c r="Q2911" s="2" t="s">
        <v>21484</v>
      </c>
      <c r="R2911" s="3" t="s">
        <v>70</v>
      </c>
      <c r="S2911" s="4">
        <v>17</v>
      </c>
      <c r="T2911" s="4">
        <v>17</v>
      </c>
      <c r="U2911" s="5" t="s">
        <v>15687</v>
      </c>
      <c r="V2911" s="5" t="s">
        <v>15687</v>
      </c>
      <c r="W2911" s="5" t="s">
        <v>72</v>
      </c>
      <c r="X2911" s="5" t="s">
        <v>72</v>
      </c>
      <c r="Y2911" s="4">
        <v>1121</v>
      </c>
      <c r="Z2911" s="4">
        <v>53</v>
      </c>
      <c r="AA2911" s="4">
        <v>124</v>
      </c>
      <c r="AB2911" s="4">
        <v>2</v>
      </c>
      <c r="AC2911" s="4">
        <v>20</v>
      </c>
      <c r="AD2911" s="4">
        <v>122</v>
      </c>
      <c r="AE2911" s="4">
        <v>152</v>
      </c>
      <c r="AF2911" s="4">
        <v>0</v>
      </c>
      <c r="AG2911" s="4">
        <v>8</v>
      </c>
      <c r="AH2911" s="4">
        <v>101</v>
      </c>
      <c r="AI2911" s="4">
        <v>111</v>
      </c>
      <c r="AJ2911" s="4">
        <v>19</v>
      </c>
      <c r="AK2911" s="4">
        <v>25</v>
      </c>
      <c r="AL2911" s="4">
        <v>52</v>
      </c>
      <c r="AM2911" s="4">
        <v>55</v>
      </c>
      <c r="AN2911" s="4">
        <v>0</v>
      </c>
      <c r="AO2911" s="4">
        <v>0</v>
      </c>
      <c r="AP2911" s="4">
        <v>28</v>
      </c>
      <c r="AQ2911" s="4">
        <v>49</v>
      </c>
      <c r="AR2911" s="3" t="s">
        <v>64</v>
      </c>
      <c r="AS2911" s="3" t="s">
        <v>64</v>
      </c>
      <c r="AT2911" s="3" t="s">
        <v>128</v>
      </c>
      <c r="AU2911" s="6" t="str">
        <f>HYPERLINK("http://catalog.hathitrust.org/Record/003026359","HathiTrust Record")</f>
        <v>HathiTrust Record</v>
      </c>
      <c r="AV2911" s="6" t="str">
        <f>HYPERLINK("http://mcgill.on.worldcat.org/oclc/33101707","Catalog Record")</f>
        <v>Catalog Record</v>
      </c>
      <c r="AW2911" s="6" t="str">
        <f>HYPERLINK("http://www.worldcat.org/oclc/33101707","WorldCat Record")</f>
        <v>WorldCat Record</v>
      </c>
      <c r="AX2911" s="3" t="s">
        <v>29212</v>
      </c>
      <c r="AY2911" s="3" t="s">
        <v>29213</v>
      </c>
      <c r="AZ2911" s="3" t="s">
        <v>29214</v>
      </c>
      <c r="BA2911" s="3" t="s">
        <v>29214</v>
      </c>
      <c r="BB2911" s="3" t="s">
        <v>29215</v>
      </c>
      <c r="BC2911" s="3" t="s">
        <v>77</v>
      </c>
      <c r="BD2911" s="3" t="s">
        <v>78</v>
      </c>
      <c r="BE2911" s="3" t="s">
        <v>29216</v>
      </c>
      <c r="BF2911" s="3" t="s">
        <v>29215</v>
      </c>
      <c r="BG2911" s="3" t="s">
        <v>29217</v>
      </c>
      <c r="BH2911">
        <f t="shared" si="69"/>
        <v>0</v>
      </c>
    </row>
    <row r="2912" spans="1:60" ht="58" x14ac:dyDescent="0.35">
      <c r="A2912" s="2" t="s">
        <v>59</v>
      </c>
      <c r="B2912" s="2" t="s">
        <v>60</v>
      </c>
      <c r="C2912" s="2" t="s">
        <v>29218</v>
      </c>
      <c r="D2912" s="2" t="s">
        <v>29219</v>
      </c>
      <c r="E2912" s="2" t="s">
        <v>29220</v>
      </c>
      <c r="G2912" s="3" t="s">
        <v>64</v>
      </c>
      <c r="I2912" s="3" t="s">
        <v>128</v>
      </c>
      <c r="J2912" s="3" t="s">
        <v>128</v>
      </c>
      <c r="K2912" s="3" t="s">
        <v>65</v>
      </c>
      <c r="M2912" s="2" t="s">
        <v>18422</v>
      </c>
      <c r="N2912" s="3" t="s">
        <v>116</v>
      </c>
      <c r="O2912" s="2" t="s">
        <v>2994</v>
      </c>
      <c r="P2912" s="3" t="s">
        <v>102</v>
      </c>
      <c r="Q2912" s="2" t="s">
        <v>15094</v>
      </c>
      <c r="R2912" s="3" t="s">
        <v>70</v>
      </c>
      <c r="S2912" s="4">
        <v>124</v>
      </c>
      <c r="T2912" s="4">
        <v>344</v>
      </c>
      <c r="U2912" s="5" t="s">
        <v>4311</v>
      </c>
      <c r="V2912" s="5" t="s">
        <v>29221</v>
      </c>
      <c r="W2912" s="5" t="s">
        <v>72</v>
      </c>
      <c r="X2912" s="5" t="s">
        <v>72</v>
      </c>
      <c r="Y2912" s="4">
        <v>602</v>
      </c>
      <c r="Z2912" s="4">
        <v>26</v>
      </c>
      <c r="AA2912" s="4">
        <v>80</v>
      </c>
      <c r="AB2912" s="4">
        <v>2</v>
      </c>
      <c r="AC2912" s="4">
        <v>16</v>
      </c>
      <c r="AD2912" s="4">
        <v>92</v>
      </c>
      <c r="AE2912" s="4">
        <v>134</v>
      </c>
      <c r="AF2912" s="4">
        <v>1</v>
      </c>
      <c r="AG2912" s="4">
        <v>5</v>
      </c>
      <c r="AH2912" s="4">
        <v>82</v>
      </c>
      <c r="AI2912" s="4">
        <v>107</v>
      </c>
      <c r="AJ2912" s="4">
        <v>11</v>
      </c>
      <c r="AK2912" s="4">
        <v>22</v>
      </c>
      <c r="AL2912" s="4">
        <v>46</v>
      </c>
      <c r="AM2912" s="4">
        <v>61</v>
      </c>
      <c r="AN2912" s="4">
        <v>0</v>
      </c>
      <c r="AO2912" s="4">
        <v>0</v>
      </c>
      <c r="AP2912" s="4">
        <v>13</v>
      </c>
      <c r="AQ2912" s="4">
        <v>29</v>
      </c>
      <c r="AR2912" s="3" t="s">
        <v>64</v>
      </c>
      <c r="AS2912" s="3" t="s">
        <v>64</v>
      </c>
      <c r="AT2912" s="3" t="s">
        <v>64</v>
      </c>
      <c r="AV2912" s="6" t="str">
        <f>HYPERLINK("http://mcgill.on.worldcat.org/oclc/45678145","Catalog Record")</f>
        <v>Catalog Record</v>
      </c>
      <c r="AW2912" s="6" t="str">
        <f>HYPERLINK("http://www.worldcat.org/oclc/45678145","WorldCat Record")</f>
        <v>WorldCat Record</v>
      </c>
      <c r="AX2912" s="3" t="s">
        <v>29222</v>
      </c>
      <c r="AY2912" s="3" t="s">
        <v>29223</v>
      </c>
      <c r="AZ2912" s="3" t="s">
        <v>29224</v>
      </c>
      <c r="BA2912" s="3" t="s">
        <v>29224</v>
      </c>
      <c r="BB2912" s="3" t="s">
        <v>29225</v>
      </c>
      <c r="BC2912" s="3" t="s">
        <v>77</v>
      </c>
      <c r="BD2912" s="3" t="s">
        <v>78</v>
      </c>
      <c r="BE2912" s="3" t="s">
        <v>29226</v>
      </c>
      <c r="BF2912" s="3" t="s">
        <v>29225</v>
      </c>
      <c r="BG2912" s="3" t="s">
        <v>29227</v>
      </c>
      <c r="BH2912">
        <f t="shared" si="69"/>
        <v>0</v>
      </c>
    </row>
    <row r="2913" spans="1:60" ht="58" x14ac:dyDescent="0.35">
      <c r="A2913" s="2" t="s">
        <v>59</v>
      </c>
      <c r="B2913" s="2" t="s">
        <v>60</v>
      </c>
      <c r="C2913" s="2" t="s">
        <v>29218</v>
      </c>
      <c r="D2913" s="2" t="s">
        <v>29219</v>
      </c>
      <c r="E2913" s="2" t="s">
        <v>29220</v>
      </c>
      <c r="G2913" s="3" t="s">
        <v>64</v>
      </c>
      <c r="I2913" s="3" t="s">
        <v>128</v>
      </c>
      <c r="J2913" s="3" t="s">
        <v>128</v>
      </c>
      <c r="K2913" s="3" t="s">
        <v>65</v>
      </c>
      <c r="M2913" s="2" t="s">
        <v>18422</v>
      </c>
      <c r="N2913" s="3" t="s">
        <v>116</v>
      </c>
      <c r="O2913" s="2" t="s">
        <v>2994</v>
      </c>
      <c r="P2913" s="3" t="s">
        <v>102</v>
      </c>
      <c r="Q2913" s="2" t="s">
        <v>15094</v>
      </c>
      <c r="R2913" s="3" t="s">
        <v>70</v>
      </c>
      <c r="S2913" s="4">
        <v>118</v>
      </c>
      <c r="T2913" s="4">
        <v>344</v>
      </c>
      <c r="U2913" s="5" t="s">
        <v>29221</v>
      </c>
      <c r="V2913" s="5" t="s">
        <v>29221</v>
      </c>
      <c r="W2913" s="5" t="s">
        <v>72</v>
      </c>
      <c r="X2913" s="5" t="s">
        <v>72</v>
      </c>
      <c r="Y2913" s="4">
        <v>602</v>
      </c>
      <c r="Z2913" s="4">
        <v>26</v>
      </c>
      <c r="AA2913" s="4">
        <v>80</v>
      </c>
      <c r="AB2913" s="4">
        <v>2</v>
      </c>
      <c r="AC2913" s="4">
        <v>16</v>
      </c>
      <c r="AD2913" s="4">
        <v>92</v>
      </c>
      <c r="AE2913" s="4">
        <v>134</v>
      </c>
      <c r="AF2913" s="4">
        <v>1</v>
      </c>
      <c r="AG2913" s="4">
        <v>5</v>
      </c>
      <c r="AH2913" s="4">
        <v>82</v>
      </c>
      <c r="AI2913" s="4">
        <v>107</v>
      </c>
      <c r="AJ2913" s="4">
        <v>11</v>
      </c>
      <c r="AK2913" s="4">
        <v>22</v>
      </c>
      <c r="AL2913" s="4">
        <v>46</v>
      </c>
      <c r="AM2913" s="4">
        <v>61</v>
      </c>
      <c r="AN2913" s="4">
        <v>0</v>
      </c>
      <c r="AO2913" s="4">
        <v>0</v>
      </c>
      <c r="AP2913" s="4">
        <v>13</v>
      </c>
      <c r="AQ2913" s="4">
        <v>29</v>
      </c>
      <c r="AR2913" s="3" t="s">
        <v>64</v>
      </c>
      <c r="AS2913" s="3" t="s">
        <v>64</v>
      </c>
      <c r="AT2913" s="3" t="s">
        <v>64</v>
      </c>
      <c r="AV2913" s="6" t="str">
        <f>HYPERLINK("http://mcgill.on.worldcat.org/oclc/45678145","Catalog Record")</f>
        <v>Catalog Record</v>
      </c>
      <c r="AW2913" s="6" t="str">
        <f>HYPERLINK("http://www.worldcat.org/oclc/45678145","WorldCat Record")</f>
        <v>WorldCat Record</v>
      </c>
      <c r="AX2913" s="3" t="s">
        <v>29222</v>
      </c>
      <c r="AY2913" s="3" t="s">
        <v>29223</v>
      </c>
      <c r="AZ2913" s="3" t="s">
        <v>29224</v>
      </c>
      <c r="BA2913" s="3" t="s">
        <v>29224</v>
      </c>
      <c r="BB2913" s="3" t="s">
        <v>29228</v>
      </c>
      <c r="BC2913" s="3" t="s">
        <v>77</v>
      </c>
      <c r="BD2913" s="3" t="s">
        <v>78</v>
      </c>
      <c r="BE2913" s="3" t="s">
        <v>29226</v>
      </c>
      <c r="BF2913" s="3" t="s">
        <v>29228</v>
      </c>
      <c r="BG2913" s="3" t="s">
        <v>29229</v>
      </c>
      <c r="BH2913">
        <f t="shared" si="69"/>
        <v>0</v>
      </c>
    </row>
    <row r="2914" spans="1:60" ht="58" x14ac:dyDescent="0.35">
      <c r="A2914" s="2" t="s">
        <v>59</v>
      </c>
      <c r="B2914" s="2" t="s">
        <v>60</v>
      </c>
      <c r="C2914" s="2" t="s">
        <v>29218</v>
      </c>
      <c r="D2914" s="2" t="s">
        <v>29219</v>
      </c>
      <c r="E2914" s="2" t="s">
        <v>29220</v>
      </c>
      <c r="G2914" s="3" t="s">
        <v>64</v>
      </c>
      <c r="I2914" s="3" t="s">
        <v>128</v>
      </c>
      <c r="J2914" s="3" t="s">
        <v>128</v>
      </c>
      <c r="K2914" s="3" t="s">
        <v>65</v>
      </c>
      <c r="M2914" s="2" t="s">
        <v>18422</v>
      </c>
      <c r="N2914" s="3" t="s">
        <v>116</v>
      </c>
      <c r="O2914" s="2" t="s">
        <v>2994</v>
      </c>
      <c r="P2914" s="3" t="s">
        <v>102</v>
      </c>
      <c r="Q2914" s="2" t="s">
        <v>15094</v>
      </c>
      <c r="R2914" s="3" t="s">
        <v>70</v>
      </c>
      <c r="S2914" s="4">
        <v>102</v>
      </c>
      <c r="T2914" s="4">
        <v>344</v>
      </c>
      <c r="U2914" s="5" t="s">
        <v>17854</v>
      </c>
      <c r="V2914" s="5" t="s">
        <v>29221</v>
      </c>
      <c r="W2914" s="5" t="s">
        <v>72</v>
      </c>
      <c r="X2914" s="5" t="s">
        <v>72</v>
      </c>
      <c r="Y2914" s="4">
        <v>602</v>
      </c>
      <c r="Z2914" s="4">
        <v>26</v>
      </c>
      <c r="AA2914" s="4">
        <v>80</v>
      </c>
      <c r="AB2914" s="4">
        <v>2</v>
      </c>
      <c r="AC2914" s="4">
        <v>16</v>
      </c>
      <c r="AD2914" s="4">
        <v>92</v>
      </c>
      <c r="AE2914" s="4">
        <v>134</v>
      </c>
      <c r="AF2914" s="4">
        <v>1</v>
      </c>
      <c r="AG2914" s="4">
        <v>5</v>
      </c>
      <c r="AH2914" s="4">
        <v>82</v>
      </c>
      <c r="AI2914" s="4">
        <v>107</v>
      </c>
      <c r="AJ2914" s="4">
        <v>11</v>
      </c>
      <c r="AK2914" s="4">
        <v>22</v>
      </c>
      <c r="AL2914" s="4">
        <v>46</v>
      </c>
      <c r="AM2914" s="4">
        <v>61</v>
      </c>
      <c r="AN2914" s="4">
        <v>0</v>
      </c>
      <c r="AO2914" s="4">
        <v>0</v>
      </c>
      <c r="AP2914" s="4">
        <v>13</v>
      </c>
      <c r="AQ2914" s="4">
        <v>29</v>
      </c>
      <c r="AR2914" s="3" t="s">
        <v>64</v>
      </c>
      <c r="AS2914" s="3" t="s">
        <v>64</v>
      </c>
      <c r="AT2914" s="3" t="s">
        <v>64</v>
      </c>
      <c r="AV2914" s="6" t="str">
        <f>HYPERLINK("http://mcgill.on.worldcat.org/oclc/45678145","Catalog Record")</f>
        <v>Catalog Record</v>
      </c>
      <c r="AW2914" s="6" t="str">
        <f>HYPERLINK("http://www.worldcat.org/oclc/45678145","WorldCat Record")</f>
        <v>WorldCat Record</v>
      </c>
      <c r="AX2914" s="3" t="s">
        <v>29222</v>
      </c>
      <c r="AY2914" s="3" t="s">
        <v>29223</v>
      </c>
      <c r="AZ2914" s="3" t="s">
        <v>29224</v>
      </c>
      <c r="BA2914" s="3" t="s">
        <v>29224</v>
      </c>
      <c r="BB2914" s="3" t="s">
        <v>29230</v>
      </c>
      <c r="BC2914" s="3" t="s">
        <v>77</v>
      </c>
      <c r="BD2914" s="3" t="s">
        <v>78</v>
      </c>
      <c r="BE2914" s="3" t="s">
        <v>29226</v>
      </c>
      <c r="BF2914" s="3" t="s">
        <v>29230</v>
      </c>
      <c r="BG2914" s="3" t="s">
        <v>29231</v>
      </c>
      <c r="BH2914">
        <f t="shared" si="69"/>
        <v>0</v>
      </c>
    </row>
    <row r="2915" spans="1:60" ht="58" x14ac:dyDescent="0.35">
      <c r="A2915" s="2" t="s">
        <v>59</v>
      </c>
      <c r="B2915" s="2" t="s">
        <v>60</v>
      </c>
      <c r="C2915" s="2" t="s">
        <v>29232</v>
      </c>
      <c r="D2915" s="2" t="s">
        <v>29233</v>
      </c>
      <c r="E2915" s="2" t="s">
        <v>29234</v>
      </c>
      <c r="G2915" s="3" t="s">
        <v>64</v>
      </c>
      <c r="I2915" s="3" t="s">
        <v>64</v>
      </c>
      <c r="J2915" s="3" t="s">
        <v>128</v>
      </c>
      <c r="K2915" s="3" t="s">
        <v>65</v>
      </c>
      <c r="M2915" s="2" t="s">
        <v>16814</v>
      </c>
      <c r="N2915" s="3" t="s">
        <v>326</v>
      </c>
      <c r="O2915" s="2" t="s">
        <v>7660</v>
      </c>
      <c r="P2915" s="3" t="s">
        <v>102</v>
      </c>
      <c r="Q2915" s="2" t="s">
        <v>15094</v>
      </c>
      <c r="R2915" s="3" t="s">
        <v>70</v>
      </c>
      <c r="S2915" s="4">
        <v>73</v>
      </c>
      <c r="T2915" s="4">
        <v>73</v>
      </c>
      <c r="U2915" s="5" t="s">
        <v>12623</v>
      </c>
      <c r="V2915" s="5" t="s">
        <v>12623</v>
      </c>
      <c r="W2915" s="5" t="s">
        <v>72</v>
      </c>
      <c r="X2915" s="5" t="s">
        <v>72</v>
      </c>
      <c r="Y2915" s="4">
        <v>304</v>
      </c>
      <c r="Z2915" s="4">
        <v>19</v>
      </c>
      <c r="AA2915" s="4">
        <v>80</v>
      </c>
      <c r="AB2915" s="4">
        <v>1</v>
      </c>
      <c r="AC2915" s="4">
        <v>16</v>
      </c>
      <c r="AD2915" s="4">
        <v>54</v>
      </c>
      <c r="AE2915" s="4">
        <v>134</v>
      </c>
      <c r="AF2915" s="4">
        <v>0</v>
      </c>
      <c r="AG2915" s="4">
        <v>5</v>
      </c>
      <c r="AH2915" s="4">
        <v>49</v>
      </c>
      <c r="AI2915" s="4">
        <v>107</v>
      </c>
      <c r="AJ2915" s="4">
        <v>9</v>
      </c>
      <c r="AK2915" s="4">
        <v>22</v>
      </c>
      <c r="AL2915" s="4">
        <v>32</v>
      </c>
      <c r="AM2915" s="4">
        <v>61</v>
      </c>
      <c r="AN2915" s="4">
        <v>0</v>
      </c>
      <c r="AO2915" s="4">
        <v>0</v>
      </c>
      <c r="AP2915" s="4">
        <v>11</v>
      </c>
      <c r="AQ2915" s="4">
        <v>29</v>
      </c>
      <c r="AR2915" s="3" t="s">
        <v>64</v>
      </c>
      <c r="AS2915" s="3" t="s">
        <v>64</v>
      </c>
      <c r="AT2915" s="3" t="s">
        <v>64</v>
      </c>
      <c r="AV2915" s="6" t="str">
        <f>HYPERLINK("http://mcgill.on.worldcat.org/oclc/150346298","Catalog Record")</f>
        <v>Catalog Record</v>
      </c>
      <c r="AW2915" s="6" t="str">
        <f>HYPERLINK("http://www.worldcat.org/oclc/150346298","WorldCat Record")</f>
        <v>WorldCat Record</v>
      </c>
      <c r="AX2915" s="3" t="s">
        <v>29222</v>
      </c>
      <c r="AY2915" s="3" t="s">
        <v>29235</v>
      </c>
      <c r="AZ2915" s="3" t="s">
        <v>29236</v>
      </c>
      <c r="BA2915" s="3" t="s">
        <v>29236</v>
      </c>
      <c r="BB2915" s="3" t="s">
        <v>29237</v>
      </c>
      <c r="BC2915" s="3" t="s">
        <v>77</v>
      </c>
      <c r="BD2915" s="3" t="s">
        <v>78</v>
      </c>
      <c r="BE2915" s="3" t="s">
        <v>29238</v>
      </c>
      <c r="BF2915" s="3" t="s">
        <v>29237</v>
      </c>
      <c r="BG2915" s="3" t="s">
        <v>29239</v>
      </c>
      <c r="BH2915">
        <f t="shared" si="69"/>
        <v>0</v>
      </c>
    </row>
    <row r="2916" spans="1:60" ht="58" x14ac:dyDescent="0.35">
      <c r="A2916" s="2" t="s">
        <v>59</v>
      </c>
      <c r="B2916" s="2" t="s">
        <v>60</v>
      </c>
      <c r="C2916" s="2" t="s">
        <v>29240</v>
      </c>
      <c r="D2916" s="2" t="s">
        <v>29241</v>
      </c>
      <c r="E2916" s="2" t="s">
        <v>29242</v>
      </c>
      <c r="G2916" s="3" t="s">
        <v>64</v>
      </c>
      <c r="I2916" s="3" t="s">
        <v>64</v>
      </c>
      <c r="J2916" s="3" t="s">
        <v>128</v>
      </c>
      <c r="K2916" s="3" t="s">
        <v>65</v>
      </c>
      <c r="M2916" s="2" t="s">
        <v>29243</v>
      </c>
      <c r="N2916" s="3" t="s">
        <v>537</v>
      </c>
      <c r="O2916" s="2" t="s">
        <v>15875</v>
      </c>
      <c r="P2916" s="3" t="s">
        <v>102</v>
      </c>
      <c r="Q2916" s="2" t="s">
        <v>15094</v>
      </c>
      <c r="R2916" s="3" t="s">
        <v>70</v>
      </c>
      <c r="S2916" s="4">
        <v>11</v>
      </c>
      <c r="T2916" s="4">
        <v>11</v>
      </c>
      <c r="U2916" s="5" t="s">
        <v>29244</v>
      </c>
      <c r="V2916" s="5" t="s">
        <v>29244</v>
      </c>
      <c r="W2916" s="5" t="s">
        <v>72</v>
      </c>
      <c r="X2916" s="5" t="s">
        <v>72</v>
      </c>
      <c r="Y2916" s="4">
        <v>170</v>
      </c>
      <c r="Z2916" s="4">
        <v>9</v>
      </c>
      <c r="AA2916" s="4">
        <v>80</v>
      </c>
      <c r="AB2916" s="4">
        <v>1</v>
      </c>
      <c r="AC2916" s="4">
        <v>16</v>
      </c>
      <c r="AD2916" s="4">
        <v>39</v>
      </c>
      <c r="AE2916" s="4">
        <v>134</v>
      </c>
      <c r="AF2916" s="4">
        <v>0</v>
      </c>
      <c r="AG2916" s="4">
        <v>5</v>
      </c>
      <c r="AH2916" s="4">
        <v>36</v>
      </c>
      <c r="AI2916" s="4">
        <v>107</v>
      </c>
      <c r="AJ2916" s="4">
        <v>5</v>
      </c>
      <c r="AK2916" s="4">
        <v>22</v>
      </c>
      <c r="AL2916" s="4">
        <v>24</v>
      </c>
      <c r="AM2916" s="4">
        <v>61</v>
      </c>
      <c r="AN2916" s="4">
        <v>0</v>
      </c>
      <c r="AO2916" s="4">
        <v>0</v>
      </c>
      <c r="AP2916" s="4">
        <v>6</v>
      </c>
      <c r="AQ2916" s="4">
        <v>29</v>
      </c>
      <c r="AR2916" s="3" t="s">
        <v>64</v>
      </c>
      <c r="AS2916" s="3" t="s">
        <v>64</v>
      </c>
      <c r="AT2916" s="3" t="s">
        <v>64</v>
      </c>
      <c r="AV2916" s="6" t="str">
        <f>HYPERLINK("http://mcgill.on.worldcat.org/oclc/900031522","Catalog Record")</f>
        <v>Catalog Record</v>
      </c>
      <c r="AW2916" s="6" t="str">
        <f>HYPERLINK("http://www.worldcat.org/oclc/900031522","WorldCat Record")</f>
        <v>WorldCat Record</v>
      </c>
      <c r="AX2916" s="3" t="s">
        <v>29222</v>
      </c>
      <c r="AY2916" s="3" t="s">
        <v>29245</v>
      </c>
      <c r="AZ2916" s="3" t="s">
        <v>29246</v>
      </c>
      <c r="BA2916" s="3" t="s">
        <v>29246</v>
      </c>
      <c r="BB2916" s="3" t="s">
        <v>29247</v>
      </c>
      <c r="BC2916" s="3" t="s">
        <v>77</v>
      </c>
      <c r="BD2916" s="3" t="s">
        <v>29248</v>
      </c>
      <c r="BE2916" s="3" t="s">
        <v>29249</v>
      </c>
      <c r="BF2916" s="3" t="s">
        <v>29247</v>
      </c>
      <c r="BG2916" s="3" t="s">
        <v>29250</v>
      </c>
      <c r="BH2916">
        <f t="shared" si="69"/>
        <v>0</v>
      </c>
    </row>
    <row r="2917" spans="1:60" ht="58" x14ac:dyDescent="0.35">
      <c r="A2917" s="2" t="s">
        <v>59</v>
      </c>
      <c r="B2917" s="2" t="s">
        <v>60</v>
      </c>
      <c r="C2917" s="2" t="s">
        <v>29251</v>
      </c>
      <c r="D2917" s="2" t="s">
        <v>29252</v>
      </c>
      <c r="E2917" s="2" t="s">
        <v>29253</v>
      </c>
      <c r="G2917" s="3" t="s">
        <v>64</v>
      </c>
      <c r="I2917" s="3" t="s">
        <v>64</v>
      </c>
      <c r="J2917" s="3" t="s">
        <v>128</v>
      </c>
      <c r="K2917" s="3" t="s">
        <v>65</v>
      </c>
      <c r="L2917" s="2" t="s">
        <v>29254</v>
      </c>
      <c r="M2917" s="2" t="s">
        <v>27459</v>
      </c>
      <c r="N2917" s="3" t="s">
        <v>1250</v>
      </c>
      <c r="O2917" s="2" t="s">
        <v>2994</v>
      </c>
      <c r="P2917" s="3" t="s">
        <v>102</v>
      </c>
      <c r="R2917" s="3" t="s">
        <v>70</v>
      </c>
      <c r="S2917" s="4">
        <v>9</v>
      </c>
      <c r="T2917" s="4">
        <v>9</v>
      </c>
      <c r="U2917" s="5" t="s">
        <v>26042</v>
      </c>
      <c r="V2917" s="5" t="s">
        <v>26042</v>
      </c>
      <c r="W2917" s="5" t="s">
        <v>72</v>
      </c>
      <c r="X2917" s="5" t="s">
        <v>72</v>
      </c>
      <c r="Y2917" s="4">
        <v>238</v>
      </c>
      <c r="Z2917" s="4">
        <v>8</v>
      </c>
      <c r="AA2917" s="4">
        <v>25</v>
      </c>
      <c r="AB2917" s="4">
        <v>1</v>
      </c>
      <c r="AC2917" s="4">
        <v>4</v>
      </c>
      <c r="AD2917" s="4">
        <v>63</v>
      </c>
      <c r="AE2917" s="4">
        <v>95</v>
      </c>
      <c r="AF2917" s="4">
        <v>0</v>
      </c>
      <c r="AG2917" s="4">
        <v>2</v>
      </c>
      <c r="AH2917" s="4">
        <v>57</v>
      </c>
      <c r="AI2917" s="4">
        <v>81</v>
      </c>
      <c r="AJ2917" s="4">
        <v>5</v>
      </c>
      <c r="AK2917" s="4">
        <v>13</v>
      </c>
      <c r="AL2917" s="4">
        <v>31</v>
      </c>
      <c r="AM2917" s="4">
        <v>42</v>
      </c>
      <c r="AN2917" s="4">
        <v>0</v>
      </c>
      <c r="AO2917" s="4">
        <v>0</v>
      </c>
      <c r="AP2917" s="4">
        <v>7</v>
      </c>
      <c r="AQ2917" s="4">
        <v>18</v>
      </c>
      <c r="AR2917" s="3" t="s">
        <v>64</v>
      </c>
      <c r="AS2917" s="3" t="s">
        <v>64</v>
      </c>
      <c r="AT2917" s="3" t="s">
        <v>64</v>
      </c>
      <c r="AV2917" s="6" t="str">
        <f>HYPERLINK("http://mcgill.on.worldcat.org/oclc/28414414","Catalog Record")</f>
        <v>Catalog Record</v>
      </c>
      <c r="AW2917" s="6" t="str">
        <f>HYPERLINK("http://www.worldcat.org/oclc/28414414","WorldCat Record")</f>
        <v>WorldCat Record</v>
      </c>
      <c r="AX2917" s="3" t="s">
        <v>29255</v>
      </c>
      <c r="AY2917" s="3" t="s">
        <v>29256</v>
      </c>
      <c r="AZ2917" s="3" t="s">
        <v>29257</v>
      </c>
      <c r="BA2917" s="3" t="s">
        <v>29257</v>
      </c>
      <c r="BB2917" s="3" t="s">
        <v>29258</v>
      </c>
      <c r="BC2917" s="3" t="s">
        <v>77</v>
      </c>
      <c r="BD2917" s="3" t="s">
        <v>78</v>
      </c>
      <c r="BE2917" s="3" t="s">
        <v>29259</v>
      </c>
      <c r="BF2917" s="3" t="s">
        <v>29258</v>
      </c>
      <c r="BG2917" s="3" t="s">
        <v>29260</v>
      </c>
      <c r="BH2917">
        <f t="shared" si="69"/>
        <v>0</v>
      </c>
    </row>
    <row r="2918" spans="1:60" ht="58" x14ac:dyDescent="0.35">
      <c r="A2918" s="2" t="s">
        <v>59</v>
      </c>
      <c r="B2918" s="2" t="s">
        <v>60</v>
      </c>
      <c r="C2918" s="2" t="s">
        <v>29261</v>
      </c>
      <c r="D2918" s="2" t="s">
        <v>29262</v>
      </c>
      <c r="E2918" s="2" t="s">
        <v>29263</v>
      </c>
      <c r="G2918" s="3" t="s">
        <v>64</v>
      </c>
      <c r="I2918" s="3" t="s">
        <v>64</v>
      </c>
      <c r="J2918" s="3" t="s">
        <v>64</v>
      </c>
      <c r="K2918" s="3" t="s">
        <v>65</v>
      </c>
      <c r="M2918" s="2" t="s">
        <v>16814</v>
      </c>
      <c r="N2918" s="3" t="s">
        <v>326</v>
      </c>
      <c r="P2918" s="3" t="s">
        <v>102</v>
      </c>
      <c r="R2918" s="3" t="s">
        <v>70</v>
      </c>
      <c r="S2918" s="4">
        <v>7</v>
      </c>
      <c r="T2918" s="4">
        <v>7</v>
      </c>
      <c r="U2918" s="5" t="s">
        <v>1453</v>
      </c>
      <c r="V2918" s="5" t="s">
        <v>1453</v>
      </c>
      <c r="W2918" s="5" t="s">
        <v>72</v>
      </c>
      <c r="X2918" s="5" t="s">
        <v>72</v>
      </c>
      <c r="Y2918" s="4">
        <v>494</v>
      </c>
      <c r="Z2918" s="4">
        <v>34</v>
      </c>
      <c r="AA2918" s="4">
        <v>62</v>
      </c>
      <c r="AB2918" s="4">
        <v>3</v>
      </c>
      <c r="AC2918" s="4">
        <v>10</v>
      </c>
      <c r="AD2918" s="4">
        <v>68</v>
      </c>
      <c r="AE2918" s="4">
        <v>91</v>
      </c>
      <c r="AF2918" s="4">
        <v>1</v>
      </c>
      <c r="AG2918" s="4">
        <v>3</v>
      </c>
      <c r="AH2918" s="4">
        <v>58</v>
      </c>
      <c r="AI2918" s="4">
        <v>74</v>
      </c>
      <c r="AJ2918" s="4">
        <v>10</v>
      </c>
      <c r="AK2918" s="4">
        <v>14</v>
      </c>
      <c r="AL2918" s="4">
        <v>32</v>
      </c>
      <c r="AM2918" s="4">
        <v>38</v>
      </c>
      <c r="AN2918" s="4">
        <v>0</v>
      </c>
      <c r="AO2918" s="4">
        <v>0</v>
      </c>
      <c r="AP2918" s="4">
        <v>16</v>
      </c>
      <c r="AQ2918" s="4">
        <v>24</v>
      </c>
      <c r="AR2918" s="3" t="s">
        <v>64</v>
      </c>
      <c r="AS2918" s="3" t="s">
        <v>64</v>
      </c>
      <c r="AT2918" s="3" t="s">
        <v>64</v>
      </c>
      <c r="AV2918" s="6" t="str">
        <f>HYPERLINK("http://mcgill.on.worldcat.org/oclc/606787510","Catalog Record")</f>
        <v>Catalog Record</v>
      </c>
      <c r="AW2918" s="6" t="str">
        <f>HYPERLINK("http://www.worldcat.org/oclc/606787510","WorldCat Record")</f>
        <v>WorldCat Record</v>
      </c>
      <c r="AX2918" s="3" t="s">
        <v>29264</v>
      </c>
      <c r="AY2918" s="3" t="s">
        <v>29265</v>
      </c>
      <c r="AZ2918" s="3" t="s">
        <v>29266</v>
      </c>
      <c r="BA2918" s="3" t="s">
        <v>29266</v>
      </c>
      <c r="BB2918" s="3" t="s">
        <v>29267</v>
      </c>
      <c r="BC2918" s="3" t="s">
        <v>77</v>
      </c>
      <c r="BD2918" s="3" t="s">
        <v>78</v>
      </c>
      <c r="BE2918" s="3" t="s">
        <v>29268</v>
      </c>
      <c r="BF2918" s="3" t="s">
        <v>29267</v>
      </c>
      <c r="BG2918" s="3" t="s">
        <v>29269</v>
      </c>
      <c r="BH2918">
        <f t="shared" si="69"/>
        <v>0</v>
      </c>
    </row>
    <row r="2919" spans="1:60" ht="58" x14ac:dyDescent="0.35">
      <c r="A2919" s="2" t="s">
        <v>59</v>
      </c>
      <c r="B2919" s="2" t="s">
        <v>60</v>
      </c>
      <c r="C2919" s="2" t="s">
        <v>29270</v>
      </c>
      <c r="D2919" s="2" t="s">
        <v>29271</v>
      </c>
      <c r="E2919" s="2" t="s">
        <v>29272</v>
      </c>
      <c r="G2919" s="3" t="s">
        <v>64</v>
      </c>
      <c r="I2919" s="3" t="s">
        <v>64</v>
      </c>
      <c r="J2919" s="3" t="s">
        <v>64</v>
      </c>
      <c r="K2919" s="3" t="s">
        <v>65</v>
      </c>
      <c r="M2919" s="2" t="s">
        <v>14840</v>
      </c>
      <c r="N2919" s="3" t="s">
        <v>511</v>
      </c>
      <c r="P2919" s="3" t="s">
        <v>102</v>
      </c>
      <c r="R2919" s="3" t="s">
        <v>70</v>
      </c>
      <c r="S2919" s="4">
        <v>7</v>
      </c>
      <c r="T2919" s="4">
        <v>7</v>
      </c>
      <c r="U2919" s="5" t="s">
        <v>29105</v>
      </c>
      <c r="V2919" s="5" t="s">
        <v>29105</v>
      </c>
      <c r="W2919" s="5" t="s">
        <v>72</v>
      </c>
      <c r="X2919" s="5" t="s">
        <v>72</v>
      </c>
      <c r="Y2919" s="4">
        <v>357</v>
      </c>
      <c r="Z2919" s="4">
        <v>25</v>
      </c>
      <c r="AA2919" s="4">
        <v>28</v>
      </c>
      <c r="AB2919" s="4">
        <v>2</v>
      </c>
      <c r="AC2919" s="4">
        <v>5</v>
      </c>
      <c r="AD2919" s="4">
        <v>67</v>
      </c>
      <c r="AE2919" s="4">
        <v>70</v>
      </c>
      <c r="AF2919" s="4">
        <v>1</v>
      </c>
      <c r="AG2919" s="4">
        <v>4</v>
      </c>
      <c r="AH2919" s="4">
        <v>58</v>
      </c>
      <c r="AI2919" s="4">
        <v>59</v>
      </c>
      <c r="AJ2919" s="4">
        <v>12</v>
      </c>
      <c r="AK2919" s="4">
        <v>14</v>
      </c>
      <c r="AL2919" s="4">
        <v>34</v>
      </c>
      <c r="AM2919" s="4">
        <v>34</v>
      </c>
      <c r="AN2919" s="4">
        <v>0</v>
      </c>
      <c r="AO2919" s="4">
        <v>0</v>
      </c>
      <c r="AP2919" s="4">
        <v>15</v>
      </c>
      <c r="AQ2919" s="4">
        <v>17</v>
      </c>
      <c r="AR2919" s="3" t="s">
        <v>64</v>
      </c>
      <c r="AS2919" s="3" t="s">
        <v>64</v>
      </c>
      <c r="AT2919" s="3" t="s">
        <v>64</v>
      </c>
      <c r="AV2919" s="6" t="str">
        <f>HYPERLINK("http://mcgill.on.worldcat.org/oclc/501320671","Catalog Record")</f>
        <v>Catalog Record</v>
      </c>
      <c r="AW2919" s="6" t="str">
        <f>HYPERLINK("http://www.worldcat.org/oclc/501320671","WorldCat Record")</f>
        <v>WorldCat Record</v>
      </c>
      <c r="AX2919" s="3" t="s">
        <v>29273</v>
      </c>
      <c r="AY2919" s="3" t="s">
        <v>29274</v>
      </c>
      <c r="AZ2919" s="3" t="s">
        <v>29275</v>
      </c>
      <c r="BA2919" s="3" t="s">
        <v>29275</v>
      </c>
      <c r="BB2919" s="3" t="s">
        <v>29276</v>
      </c>
      <c r="BC2919" s="3" t="s">
        <v>77</v>
      </c>
      <c r="BD2919" s="3" t="s">
        <v>78</v>
      </c>
      <c r="BE2919" s="3" t="s">
        <v>29277</v>
      </c>
      <c r="BF2919" s="3" t="s">
        <v>29276</v>
      </c>
      <c r="BG2919" s="3" t="s">
        <v>29278</v>
      </c>
      <c r="BH2919">
        <f t="shared" si="69"/>
        <v>0</v>
      </c>
    </row>
    <row r="2920" spans="1:60" ht="58" x14ac:dyDescent="0.35">
      <c r="A2920" s="2" t="s">
        <v>59</v>
      </c>
      <c r="B2920" s="2" t="s">
        <v>60</v>
      </c>
      <c r="C2920" s="2" t="s">
        <v>29279</v>
      </c>
      <c r="D2920" s="2" t="s">
        <v>29280</v>
      </c>
      <c r="E2920" s="2" t="s">
        <v>29281</v>
      </c>
      <c r="G2920" s="3" t="s">
        <v>64</v>
      </c>
      <c r="I2920" s="3" t="s">
        <v>64</v>
      </c>
      <c r="J2920" s="3" t="s">
        <v>64</v>
      </c>
      <c r="K2920" s="3" t="s">
        <v>65</v>
      </c>
      <c r="M2920" s="2" t="s">
        <v>15640</v>
      </c>
      <c r="N2920" s="3" t="s">
        <v>253</v>
      </c>
      <c r="P2920" s="3" t="s">
        <v>102</v>
      </c>
      <c r="R2920" s="3" t="s">
        <v>70</v>
      </c>
      <c r="S2920" s="4">
        <v>3</v>
      </c>
      <c r="T2920" s="4">
        <v>3</v>
      </c>
      <c r="U2920" s="5" t="s">
        <v>6727</v>
      </c>
      <c r="V2920" s="5" t="s">
        <v>6727</v>
      </c>
      <c r="W2920" s="5" t="s">
        <v>72</v>
      </c>
      <c r="X2920" s="5" t="s">
        <v>72</v>
      </c>
      <c r="Y2920" s="4">
        <v>429</v>
      </c>
      <c r="Z2920" s="4">
        <v>23</v>
      </c>
      <c r="AA2920" s="4">
        <v>91</v>
      </c>
      <c r="AB2920" s="4">
        <v>2</v>
      </c>
      <c r="AC2920" s="4">
        <v>15</v>
      </c>
      <c r="AD2920" s="4">
        <v>69</v>
      </c>
      <c r="AE2920" s="4">
        <v>128</v>
      </c>
      <c r="AF2920" s="4">
        <v>1</v>
      </c>
      <c r="AG2920" s="4">
        <v>8</v>
      </c>
      <c r="AH2920" s="4">
        <v>63</v>
      </c>
      <c r="AI2920" s="4">
        <v>92</v>
      </c>
      <c r="AJ2920" s="4">
        <v>7</v>
      </c>
      <c r="AK2920" s="4">
        <v>20</v>
      </c>
      <c r="AL2920" s="4">
        <v>33</v>
      </c>
      <c r="AM2920" s="4">
        <v>49</v>
      </c>
      <c r="AN2920" s="4">
        <v>0</v>
      </c>
      <c r="AO2920" s="4">
        <v>0</v>
      </c>
      <c r="AP2920" s="4">
        <v>9</v>
      </c>
      <c r="AQ2920" s="4">
        <v>41</v>
      </c>
      <c r="AR2920" s="3" t="s">
        <v>64</v>
      </c>
      <c r="AS2920" s="3" t="s">
        <v>64</v>
      </c>
      <c r="AT2920" s="3" t="s">
        <v>64</v>
      </c>
      <c r="AV2920" s="6" t="str">
        <f>HYPERLINK("http://mcgill.on.worldcat.org/oclc/890799077","Catalog Record")</f>
        <v>Catalog Record</v>
      </c>
      <c r="AW2920" s="6" t="str">
        <f>HYPERLINK("http://www.worldcat.org/oclc/890799077","WorldCat Record")</f>
        <v>WorldCat Record</v>
      </c>
      <c r="AX2920" s="3" t="s">
        <v>29282</v>
      </c>
      <c r="AY2920" s="3" t="s">
        <v>29283</v>
      </c>
      <c r="AZ2920" s="3" t="s">
        <v>29284</v>
      </c>
      <c r="BA2920" s="3" t="s">
        <v>29284</v>
      </c>
      <c r="BB2920" s="3" t="s">
        <v>29285</v>
      </c>
      <c r="BC2920" s="3" t="s">
        <v>77</v>
      </c>
      <c r="BD2920" s="3" t="s">
        <v>78</v>
      </c>
      <c r="BE2920" s="3" t="s">
        <v>29286</v>
      </c>
      <c r="BF2920" s="3" t="s">
        <v>29285</v>
      </c>
      <c r="BG2920" s="3" t="s">
        <v>29287</v>
      </c>
      <c r="BH2920">
        <f t="shared" si="69"/>
        <v>0</v>
      </c>
    </row>
    <row r="2921" spans="1:60" ht="58" x14ac:dyDescent="0.35">
      <c r="A2921" s="2" t="s">
        <v>59</v>
      </c>
      <c r="B2921" s="2" t="s">
        <v>60</v>
      </c>
      <c r="C2921" s="2" t="s">
        <v>29288</v>
      </c>
      <c r="D2921" s="2" t="s">
        <v>29289</v>
      </c>
      <c r="E2921" s="2" t="s">
        <v>29290</v>
      </c>
      <c r="G2921" s="3" t="s">
        <v>64</v>
      </c>
      <c r="I2921" s="3" t="s">
        <v>128</v>
      </c>
      <c r="J2921" s="3" t="s">
        <v>128</v>
      </c>
      <c r="K2921" s="3" t="s">
        <v>65</v>
      </c>
      <c r="L2921" s="2" t="s">
        <v>20249</v>
      </c>
      <c r="M2921" s="2" t="s">
        <v>29291</v>
      </c>
      <c r="N2921" s="3" t="s">
        <v>159</v>
      </c>
      <c r="P2921" s="3" t="s">
        <v>102</v>
      </c>
      <c r="Q2921" s="2" t="s">
        <v>29292</v>
      </c>
      <c r="R2921" s="3" t="s">
        <v>70</v>
      </c>
      <c r="S2921" s="4">
        <v>14</v>
      </c>
      <c r="T2921" s="4">
        <v>60</v>
      </c>
      <c r="U2921" s="5" t="s">
        <v>29293</v>
      </c>
      <c r="V2921" s="5" t="s">
        <v>20465</v>
      </c>
      <c r="W2921" s="5" t="s">
        <v>72</v>
      </c>
      <c r="X2921" s="5" t="s">
        <v>72</v>
      </c>
      <c r="Y2921" s="4">
        <v>717</v>
      </c>
      <c r="Z2921" s="4">
        <v>43</v>
      </c>
      <c r="AA2921" s="4">
        <v>75</v>
      </c>
      <c r="AB2921" s="4">
        <v>3</v>
      </c>
      <c r="AC2921" s="4">
        <v>10</v>
      </c>
      <c r="AD2921" s="4">
        <v>97</v>
      </c>
      <c r="AE2921" s="4">
        <v>123</v>
      </c>
      <c r="AF2921" s="4">
        <v>1</v>
      </c>
      <c r="AG2921" s="4">
        <v>3</v>
      </c>
      <c r="AH2921" s="4">
        <v>82</v>
      </c>
      <c r="AI2921" s="4">
        <v>97</v>
      </c>
      <c r="AJ2921" s="4">
        <v>17</v>
      </c>
      <c r="AK2921" s="4">
        <v>22</v>
      </c>
      <c r="AL2921" s="4">
        <v>41</v>
      </c>
      <c r="AM2921" s="4">
        <v>47</v>
      </c>
      <c r="AN2921" s="4">
        <v>0</v>
      </c>
      <c r="AO2921" s="4">
        <v>0</v>
      </c>
      <c r="AP2921" s="4">
        <v>24</v>
      </c>
      <c r="AQ2921" s="4">
        <v>36</v>
      </c>
      <c r="AR2921" s="3" t="s">
        <v>64</v>
      </c>
      <c r="AS2921" s="3" t="s">
        <v>64</v>
      </c>
      <c r="AT2921" s="3" t="s">
        <v>128</v>
      </c>
      <c r="AU2921" s="6" t="str">
        <f>HYPERLINK("http://catalog.hathitrust.org/Record/003829238","HathiTrust Record")</f>
        <v>HathiTrust Record</v>
      </c>
      <c r="AV2921" s="6" t="str">
        <f>HYPERLINK("http://mcgill.on.worldcat.org/oclc/50505814","Catalog Record")</f>
        <v>Catalog Record</v>
      </c>
      <c r="AW2921" s="6" t="str">
        <f>HYPERLINK("http://www.worldcat.org/oclc/50505814","WorldCat Record")</f>
        <v>WorldCat Record</v>
      </c>
      <c r="AX2921" s="3" t="s">
        <v>29294</v>
      </c>
      <c r="AY2921" s="3" t="s">
        <v>29295</v>
      </c>
      <c r="AZ2921" s="3" t="s">
        <v>29296</v>
      </c>
      <c r="BA2921" s="3" t="s">
        <v>29296</v>
      </c>
      <c r="BB2921" s="3" t="s">
        <v>29297</v>
      </c>
      <c r="BC2921" s="3" t="s">
        <v>77</v>
      </c>
      <c r="BD2921" s="3" t="s">
        <v>78</v>
      </c>
      <c r="BE2921" s="3" t="s">
        <v>29298</v>
      </c>
      <c r="BF2921" s="3" t="s">
        <v>29297</v>
      </c>
      <c r="BG2921" s="3" t="s">
        <v>29299</v>
      </c>
      <c r="BH2921">
        <f t="shared" si="69"/>
        <v>0</v>
      </c>
    </row>
    <row r="2922" spans="1:60" ht="58" x14ac:dyDescent="0.35">
      <c r="A2922" s="2" t="s">
        <v>59</v>
      </c>
      <c r="B2922" s="2" t="s">
        <v>60</v>
      </c>
      <c r="C2922" s="2" t="s">
        <v>29288</v>
      </c>
      <c r="D2922" s="2" t="s">
        <v>29289</v>
      </c>
      <c r="E2922" s="2" t="s">
        <v>29290</v>
      </c>
      <c r="G2922" s="3" t="s">
        <v>64</v>
      </c>
      <c r="I2922" s="3" t="s">
        <v>128</v>
      </c>
      <c r="J2922" s="3" t="s">
        <v>128</v>
      </c>
      <c r="K2922" s="3" t="s">
        <v>65</v>
      </c>
      <c r="L2922" s="2" t="s">
        <v>20249</v>
      </c>
      <c r="M2922" s="2" t="s">
        <v>29291</v>
      </c>
      <c r="N2922" s="3" t="s">
        <v>159</v>
      </c>
      <c r="P2922" s="3" t="s">
        <v>102</v>
      </c>
      <c r="Q2922" s="2" t="s">
        <v>29292</v>
      </c>
      <c r="R2922" s="3" t="s">
        <v>70</v>
      </c>
      <c r="S2922" s="4">
        <v>13</v>
      </c>
      <c r="T2922" s="4">
        <v>60</v>
      </c>
      <c r="U2922" s="5" t="s">
        <v>28884</v>
      </c>
      <c r="V2922" s="5" t="s">
        <v>20465</v>
      </c>
      <c r="W2922" s="5" t="s">
        <v>72</v>
      </c>
      <c r="X2922" s="5" t="s">
        <v>72</v>
      </c>
      <c r="Y2922" s="4">
        <v>717</v>
      </c>
      <c r="Z2922" s="4">
        <v>43</v>
      </c>
      <c r="AA2922" s="4">
        <v>75</v>
      </c>
      <c r="AB2922" s="4">
        <v>3</v>
      </c>
      <c r="AC2922" s="4">
        <v>10</v>
      </c>
      <c r="AD2922" s="4">
        <v>97</v>
      </c>
      <c r="AE2922" s="4">
        <v>123</v>
      </c>
      <c r="AF2922" s="4">
        <v>1</v>
      </c>
      <c r="AG2922" s="4">
        <v>3</v>
      </c>
      <c r="AH2922" s="4">
        <v>82</v>
      </c>
      <c r="AI2922" s="4">
        <v>97</v>
      </c>
      <c r="AJ2922" s="4">
        <v>17</v>
      </c>
      <c r="AK2922" s="4">
        <v>22</v>
      </c>
      <c r="AL2922" s="4">
        <v>41</v>
      </c>
      <c r="AM2922" s="4">
        <v>47</v>
      </c>
      <c r="AN2922" s="4">
        <v>0</v>
      </c>
      <c r="AO2922" s="4">
        <v>0</v>
      </c>
      <c r="AP2922" s="4">
        <v>24</v>
      </c>
      <c r="AQ2922" s="4">
        <v>36</v>
      </c>
      <c r="AR2922" s="3" t="s">
        <v>64</v>
      </c>
      <c r="AS2922" s="3" t="s">
        <v>64</v>
      </c>
      <c r="AT2922" s="3" t="s">
        <v>128</v>
      </c>
      <c r="AU2922" s="6" t="str">
        <f>HYPERLINK("http://catalog.hathitrust.org/Record/003829238","HathiTrust Record")</f>
        <v>HathiTrust Record</v>
      </c>
      <c r="AV2922" s="6" t="str">
        <f>HYPERLINK("http://mcgill.on.worldcat.org/oclc/50505814","Catalog Record")</f>
        <v>Catalog Record</v>
      </c>
      <c r="AW2922" s="6" t="str">
        <f>HYPERLINK("http://www.worldcat.org/oclc/50505814","WorldCat Record")</f>
        <v>WorldCat Record</v>
      </c>
      <c r="AX2922" s="3" t="s">
        <v>29294</v>
      </c>
      <c r="AY2922" s="3" t="s">
        <v>29295</v>
      </c>
      <c r="AZ2922" s="3" t="s">
        <v>29296</v>
      </c>
      <c r="BA2922" s="3" t="s">
        <v>29296</v>
      </c>
      <c r="BB2922" s="3" t="s">
        <v>29300</v>
      </c>
      <c r="BC2922" s="3" t="s">
        <v>77</v>
      </c>
      <c r="BD2922" s="3" t="s">
        <v>78</v>
      </c>
      <c r="BE2922" s="3" t="s">
        <v>29298</v>
      </c>
      <c r="BF2922" s="3" t="s">
        <v>29300</v>
      </c>
      <c r="BG2922" s="3" t="s">
        <v>29301</v>
      </c>
      <c r="BH2922">
        <f t="shared" si="69"/>
        <v>0</v>
      </c>
    </row>
    <row r="2923" spans="1:60" ht="58" x14ac:dyDescent="0.35">
      <c r="A2923" s="2" t="s">
        <v>59</v>
      </c>
      <c r="B2923" s="2" t="s">
        <v>60</v>
      </c>
      <c r="C2923" s="2" t="s">
        <v>29288</v>
      </c>
      <c r="D2923" s="2" t="s">
        <v>29289</v>
      </c>
      <c r="E2923" s="2" t="s">
        <v>29290</v>
      </c>
      <c r="G2923" s="3" t="s">
        <v>64</v>
      </c>
      <c r="I2923" s="3" t="s">
        <v>128</v>
      </c>
      <c r="J2923" s="3" t="s">
        <v>128</v>
      </c>
      <c r="K2923" s="3" t="s">
        <v>65</v>
      </c>
      <c r="L2923" s="2" t="s">
        <v>20249</v>
      </c>
      <c r="M2923" s="2" t="s">
        <v>29291</v>
      </c>
      <c r="N2923" s="3" t="s">
        <v>159</v>
      </c>
      <c r="P2923" s="3" t="s">
        <v>102</v>
      </c>
      <c r="Q2923" s="2" t="s">
        <v>29292</v>
      </c>
      <c r="R2923" s="3" t="s">
        <v>70</v>
      </c>
      <c r="S2923" s="4">
        <v>33</v>
      </c>
      <c r="T2923" s="4">
        <v>60</v>
      </c>
      <c r="U2923" s="5" t="s">
        <v>20465</v>
      </c>
      <c r="V2923" s="5" t="s">
        <v>20465</v>
      </c>
      <c r="W2923" s="5" t="s">
        <v>72</v>
      </c>
      <c r="X2923" s="5" t="s">
        <v>72</v>
      </c>
      <c r="Y2923" s="4">
        <v>717</v>
      </c>
      <c r="Z2923" s="4">
        <v>43</v>
      </c>
      <c r="AA2923" s="4">
        <v>75</v>
      </c>
      <c r="AB2923" s="4">
        <v>3</v>
      </c>
      <c r="AC2923" s="4">
        <v>10</v>
      </c>
      <c r="AD2923" s="4">
        <v>97</v>
      </c>
      <c r="AE2923" s="4">
        <v>123</v>
      </c>
      <c r="AF2923" s="4">
        <v>1</v>
      </c>
      <c r="AG2923" s="4">
        <v>3</v>
      </c>
      <c r="AH2923" s="4">
        <v>82</v>
      </c>
      <c r="AI2923" s="4">
        <v>97</v>
      </c>
      <c r="AJ2923" s="4">
        <v>17</v>
      </c>
      <c r="AK2923" s="4">
        <v>22</v>
      </c>
      <c r="AL2923" s="4">
        <v>41</v>
      </c>
      <c r="AM2923" s="4">
        <v>47</v>
      </c>
      <c r="AN2923" s="4">
        <v>0</v>
      </c>
      <c r="AO2923" s="4">
        <v>0</v>
      </c>
      <c r="AP2923" s="4">
        <v>24</v>
      </c>
      <c r="AQ2923" s="4">
        <v>36</v>
      </c>
      <c r="AR2923" s="3" t="s">
        <v>64</v>
      </c>
      <c r="AS2923" s="3" t="s">
        <v>64</v>
      </c>
      <c r="AT2923" s="3" t="s">
        <v>128</v>
      </c>
      <c r="AU2923" s="6" t="str">
        <f>HYPERLINK("http://catalog.hathitrust.org/Record/003829238","HathiTrust Record")</f>
        <v>HathiTrust Record</v>
      </c>
      <c r="AV2923" s="6" t="str">
        <f>HYPERLINK("http://mcgill.on.worldcat.org/oclc/50505814","Catalog Record")</f>
        <v>Catalog Record</v>
      </c>
      <c r="AW2923" s="6" t="str">
        <f>HYPERLINK("http://www.worldcat.org/oclc/50505814","WorldCat Record")</f>
        <v>WorldCat Record</v>
      </c>
      <c r="AX2923" s="3" t="s">
        <v>29294</v>
      </c>
      <c r="AY2923" s="3" t="s">
        <v>29295</v>
      </c>
      <c r="AZ2923" s="3" t="s">
        <v>29296</v>
      </c>
      <c r="BA2923" s="3" t="s">
        <v>29296</v>
      </c>
      <c r="BB2923" s="3" t="s">
        <v>29302</v>
      </c>
      <c r="BC2923" s="3" t="s">
        <v>77</v>
      </c>
      <c r="BD2923" s="3" t="s">
        <v>78</v>
      </c>
      <c r="BE2923" s="3" t="s">
        <v>29298</v>
      </c>
      <c r="BF2923" s="3" t="s">
        <v>29302</v>
      </c>
      <c r="BG2923" s="3" t="s">
        <v>29303</v>
      </c>
      <c r="BH2923">
        <f t="shared" si="69"/>
        <v>0</v>
      </c>
    </row>
    <row r="2924" spans="1:60" ht="58" x14ac:dyDescent="0.35">
      <c r="A2924" s="2" t="s">
        <v>59</v>
      </c>
      <c r="B2924" s="2" t="s">
        <v>60</v>
      </c>
      <c r="C2924" s="2" t="s">
        <v>29304</v>
      </c>
      <c r="D2924" s="2" t="s">
        <v>29305</v>
      </c>
      <c r="E2924" s="2" t="s">
        <v>29306</v>
      </c>
      <c r="G2924" s="3" t="s">
        <v>64</v>
      </c>
      <c r="I2924" s="3" t="s">
        <v>64</v>
      </c>
      <c r="J2924" s="3" t="s">
        <v>128</v>
      </c>
      <c r="K2924" s="3" t="s">
        <v>65</v>
      </c>
      <c r="L2924" s="2" t="s">
        <v>29307</v>
      </c>
      <c r="M2924" s="2" t="s">
        <v>29308</v>
      </c>
      <c r="N2924" s="3" t="s">
        <v>551</v>
      </c>
      <c r="O2924" s="2" t="s">
        <v>3787</v>
      </c>
      <c r="P2924" s="3" t="s">
        <v>102</v>
      </c>
      <c r="Q2924" s="2" t="s">
        <v>29309</v>
      </c>
      <c r="R2924" s="3" t="s">
        <v>70</v>
      </c>
      <c r="S2924" s="4">
        <v>19</v>
      </c>
      <c r="T2924" s="4">
        <v>19</v>
      </c>
      <c r="U2924" s="5" t="s">
        <v>29105</v>
      </c>
      <c r="V2924" s="5" t="s">
        <v>29105</v>
      </c>
      <c r="W2924" s="5" t="s">
        <v>72</v>
      </c>
      <c r="X2924" s="5" t="s">
        <v>72</v>
      </c>
      <c r="Y2924" s="4">
        <v>569</v>
      </c>
      <c r="Z2924" s="4">
        <v>35</v>
      </c>
      <c r="AA2924" s="4">
        <v>75</v>
      </c>
      <c r="AB2924" s="4">
        <v>4</v>
      </c>
      <c r="AC2924" s="4">
        <v>10</v>
      </c>
      <c r="AD2924" s="4">
        <v>67</v>
      </c>
      <c r="AE2924" s="4">
        <v>123</v>
      </c>
      <c r="AF2924" s="4">
        <v>1</v>
      </c>
      <c r="AG2924" s="4">
        <v>3</v>
      </c>
      <c r="AH2924" s="4">
        <v>57</v>
      </c>
      <c r="AI2924" s="4">
        <v>97</v>
      </c>
      <c r="AJ2924" s="4">
        <v>10</v>
      </c>
      <c r="AK2924" s="4">
        <v>22</v>
      </c>
      <c r="AL2924" s="4">
        <v>29</v>
      </c>
      <c r="AM2924" s="4">
        <v>47</v>
      </c>
      <c r="AN2924" s="4">
        <v>0</v>
      </c>
      <c r="AO2924" s="4">
        <v>0</v>
      </c>
      <c r="AP2924" s="4">
        <v>16</v>
      </c>
      <c r="AQ2924" s="4">
        <v>36</v>
      </c>
      <c r="AR2924" s="3" t="s">
        <v>64</v>
      </c>
      <c r="AS2924" s="3" t="s">
        <v>64</v>
      </c>
      <c r="AT2924" s="3" t="s">
        <v>64</v>
      </c>
      <c r="AV2924" s="6" t="str">
        <f>HYPERLINK("http://mcgill.on.worldcat.org/oclc/320895013","Catalog Record")</f>
        <v>Catalog Record</v>
      </c>
      <c r="AW2924" s="6" t="str">
        <f>HYPERLINK("http://www.worldcat.org/oclc/320895013","WorldCat Record")</f>
        <v>WorldCat Record</v>
      </c>
      <c r="AX2924" s="3" t="s">
        <v>29294</v>
      </c>
      <c r="AY2924" s="3" t="s">
        <v>29310</v>
      </c>
      <c r="AZ2924" s="3" t="s">
        <v>29311</v>
      </c>
      <c r="BA2924" s="3" t="s">
        <v>29311</v>
      </c>
      <c r="BB2924" s="3" t="s">
        <v>29312</v>
      </c>
      <c r="BC2924" s="3" t="s">
        <v>77</v>
      </c>
      <c r="BD2924" s="3" t="s">
        <v>78</v>
      </c>
      <c r="BE2924" s="3" t="s">
        <v>29313</v>
      </c>
      <c r="BF2924" s="3" t="s">
        <v>29312</v>
      </c>
      <c r="BG2924" s="3" t="s">
        <v>29314</v>
      </c>
      <c r="BH2924">
        <f t="shared" si="69"/>
        <v>0</v>
      </c>
    </row>
    <row r="2925" spans="1:60" ht="58" x14ac:dyDescent="0.35">
      <c r="A2925" s="2" t="s">
        <v>59</v>
      </c>
      <c r="B2925" s="2" t="s">
        <v>60</v>
      </c>
      <c r="C2925" s="2" t="s">
        <v>29315</v>
      </c>
      <c r="D2925" s="2" t="s">
        <v>29316</v>
      </c>
      <c r="E2925" s="2" t="s">
        <v>29317</v>
      </c>
      <c r="G2925" s="3" t="s">
        <v>64</v>
      </c>
      <c r="I2925" s="3" t="s">
        <v>64</v>
      </c>
      <c r="J2925" s="3" t="s">
        <v>64</v>
      </c>
      <c r="K2925" s="3" t="s">
        <v>65</v>
      </c>
      <c r="L2925" s="2" t="s">
        <v>29318</v>
      </c>
      <c r="M2925" s="2" t="s">
        <v>29319</v>
      </c>
      <c r="N2925" s="3" t="s">
        <v>326</v>
      </c>
      <c r="O2925" s="2" t="s">
        <v>3787</v>
      </c>
      <c r="P2925" s="3" t="s">
        <v>102</v>
      </c>
      <c r="Q2925" s="2" t="s">
        <v>29320</v>
      </c>
      <c r="R2925" s="3" t="s">
        <v>70</v>
      </c>
      <c r="S2925" s="4">
        <v>1</v>
      </c>
      <c r="T2925" s="4">
        <v>1</v>
      </c>
      <c r="U2925" s="5" t="s">
        <v>317</v>
      </c>
      <c r="V2925" s="5" t="s">
        <v>317</v>
      </c>
      <c r="W2925" s="5" t="s">
        <v>72</v>
      </c>
      <c r="X2925" s="5" t="s">
        <v>72</v>
      </c>
      <c r="Y2925" s="4">
        <v>618</v>
      </c>
      <c r="Z2925" s="4">
        <v>32</v>
      </c>
      <c r="AA2925" s="4">
        <v>34</v>
      </c>
      <c r="AB2925" s="4">
        <v>3</v>
      </c>
      <c r="AC2925" s="4">
        <v>5</v>
      </c>
      <c r="AD2925" s="4">
        <v>49</v>
      </c>
      <c r="AE2925" s="4">
        <v>51</v>
      </c>
      <c r="AF2925" s="4">
        <v>1</v>
      </c>
      <c r="AG2925" s="4">
        <v>3</v>
      </c>
      <c r="AH2925" s="4">
        <v>44</v>
      </c>
      <c r="AI2925" s="4">
        <v>45</v>
      </c>
      <c r="AJ2925" s="4">
        <v>7</v>
      </c>
      <c r="AK2925" s="4">
        <v>9</v>
      </c>
      <c r="AL2925" s="4">
        <v>28</v>
      </c>
      <c r="AM2925" s="4">
        <v>28</v>
      </c>
      <c r="AN2925" s="4">
        <v>0</v>
      </c>
      <c r="AO2925" s="4">
        <v>0</v>
      </c>
      <c r="AP2925" s="4">
        <v>9</v>
      </c>
      <c r="AQ2925" s="4">
        <v>10</v>
      </c>
      <c r="AR2925" s="3" t="s">
        <v>64</v>
      </c>
      <c r="AS2925" s="3" t="s">
        <v>64</v>
      </c>
      <c r="AT2925" s="3" t="s">
        <v>64</v>
      </c>
      <c r="AV2925" s="6" t="str">
        <f>HYPERLINK("http://mcgill.on.worldcat.org/oclc/683592440","Catalog Record")</f>
        <v>Catalog Record</v>
      </c>
      <c r="AW2925" s="6" t="str">
        <f>HYPERLINK("http://www.worldcat.org/oclc/683592440","WorldCat Record")</f>
        <v>WorldCat Record</v>
      </c>
      <c r="AX2925" s="3" t="s">
        <v>29321</v>
      </c>
      <c r="AY2925" s="3" t="s">
        <v>29322</v>
      </c>
      <c r="AZ2925" s="3" t="s">
        <v>29323</v>
      </c>
      <c r="BA2925" s="3" t="s">
        <v>29323</v>
      </c>
      <c r="BB2925" s="3" t="s">
        <v>29324</v>
      </c>
      <c r="BC2925" s="3" t="s">
        <v>77</v>
      </c>
      <c r="BD2925" s="3" t="s">
        <v>78</v>
      </c>
      <c r="BE2925" s="3" t="s">
        <v>29325</v>
      </c>
      <c r="BF2925" s="3" t="s">
        <v>29324</v>
      </c>
      <c r="BG2925" s="3" t="s">
        <v>29326</v>
      </c>
      <c r="BH2925">
        <f t="shared" si="69"/>
        <v>0</v>
      </c>
    </row>
    <row r="2926" spans="1:60" ht="58" x14ac:dyDescent="0.35">
      <c r="A2926" s="2" t="s">
        <v>59</v>
      </c>
      <c r="B2926" s="2" t="s">
        <v>60</v>
      </c>
      <c r="C2926" s="2" t="s">
        <v>29327</v>
      </c>
      <c r="D2926" s="2" t="s">
        <v>29328</v>
      </c>
      <c r="E2926" s="2" t="s">
        <v>29329</v>
      </c>
      <c r="G2926" s="3" t="s">
        <v>64</v>
      </c>
      <c r="I2926" s="3" t="s">
        <v>64</v>
      </c>
      <c r="J2926" s="3" t="s">
        <v>64</v>
      </c>
      <c r="K2926" s="3" t="s">
        <v>65</v>
      </c>
      <c r="L2926" s="2" t="s">
        <v>29330</v>
      </c>
      <c r="M2926" s="2" t="s">
        <v>4095</v>
      </c>
      <c r="N2926" s="3" t="s">
        <v>253</v>
      </c>
      <c r="P2926" s="3" t="s">
        <v>102</v>
      </c>
      <c r="R2926" s="3" t="s">
        <v>70</v>
      </c>
      <c r="S2926" s="4">
        <v>4</v>
      </c>
      <c r="T2926" s="4">
        <v>4</v>
      </c>
      <c r="U2926" s="5" t="s">
        <v>1453</v>
      </c>
      <c r="V2926" s="5" t="s">
        <v>1453</v>
      </c>
      <c r="W2926" s="5" t="s">
        <v>72</v>
      </c>
      <c r="X2926" s="5" t="s">
        <v>72</v>
      </c>
      <c r="Y2926" s="4">
        <v>258</v>
      </c>
      <c r="Z2926" s="4">
        <v>17</v>
      </c>
      <c r="AA2926" s="4">
        <v>23</v>
      </c>
      <c r="AB2926" s="4">
        <v>2</v>
      </c>
      <c r="AC2926" s="4">
        <v>6</v>
      </c>
      <c r="AD2926" s="4">
        <v>26</v>
      </c>
      <c r="AE2926" s="4">
        <v>36</v>
      </c>
      <c r="AF2926" s="4">
        <v>1</v>
      </c>
      <c r="AG2926" s="4">
        <v>3</v>
      </c>
      <c r="AH2926" s="4">
        <v>20</v>
      </c>
      <c r="AI2926" s="4">
        <v>28</v>
      </c>
      <c r="AJ2926" s="4">
        <v>5</v>
      </c>
      <c r="AK2926" s="4">
        <v>9</v>
      </c>
      <c r="AL2926" s="4">
        <v>15</v>
      </c>
      <c r="AM2926" s="4">
        <v>20</v>
      </c>
      <c r="AN2926" s="4">
        <v>0</v>
      </c>
      <c r="AO2926" s="4">
        <v>0</v>
      </c>
      <c r="AP2926" s="4">
        <v>7</v>
      </c>
      <c r="AQ2926" s="4">
        <v>10</v>
      </c>
      <c r="AR2926" s="3" t="s">
        <v>64</v>
      </c>
      <c r="AS2926" s="3" t="s">
        <v>64</v>
      </c>
      <c r="AT2926" s="3" t="s">
        <v>64</v>
      </c>
      <c r="AV2926" s="6" t="str">
        <f>HYPERLINK("http://mcgill.on.worldcat.org/oclc/887858684","Catalog Record")</f>
        <v>Catalog Record</v>
      </c>
      <c r="AW2926" s="6" t="str">
        <f>HYPERLINK("http://www.worldcat.org/oclc/887858684","WorldCat Record")</f>
        <v>WorldCat Record</v>
      </c>
      <c r="AX2926" s="3" t="s">
        <v>29331</v>
      </c>
      <c r="AY2926" s="3" t="s">
        <v>29332</v>
      </c>
      <c r="AZ2926" s="3" t="s">
        <v>29333</v>
      </c>
      <c r="BA2926" s="3" t="s">
        <v>29333</v>
      </c>
      <c r="BB2926" s="3" t="s">
        <v>29334</v>
      </c>
      <c r="BC2926" s="3" t="s">
        <v>77</v>
      </c>
      <c r="BD2926" s="3" t="s">
        <v>78</v>
      </c>
      <c r="BE2926" s="3" t="s">
        <v>29335</v>
      </c>
      <c r="BF2926" s="3" t="s">
        <v>29334</v>
      </c>
      <c r="BG2926" s="3" t="s">
        <v>29336</v>
      </c>
      <c r="BH2926">
        <f t="shared" si="69"/>
        <v>0</v>
      </c>
    </row>
    <row r="2927" spans="1:60" ht="58" x14ac:dyDescent="0.35">
      <c r="A2927" s="2" t="s">
        <v>59</v>
      </c>
      <c r="B2927" s="2" t="s">
        <v>60</v>
      </c>
      <c r="C2927" s="2" t="s">
        <v>29337</v>
      </c>
      <c r="D2927" s="2" t="s">
        <v>29338</v>
      </c>
      <c r="E2927" s="2" t="s">
        <v>29339</v>
      </c>
      <c r="G2927" s="3" t="s">
        <v>64</v>
      </c>
      <c r="I2927" s="3" t="s">
        <v>64</v>
      </c>
      <c r="J2927" s="3" t="s">
        <v>64</v>
      </c>
      <c r="K2927" s="3" t="s">
        <v>65</v>
      </c>
      <c r="L2927" s="2" t="s">
        <v>29340</v>
      </c>
      <c r="M2927" s="2" t="s">
        <v>29341</v>
      </c>
      <c r="N2927" s="3" t="s">
        <v>159</v>
      </c>
      <c r="P2927" s="3" t="s">
        <v>102</v>
      </c>
      <c r="Q2927" s="2" t="s">
        <v>14685</v>
      </c>
      <c r="R2927" s="3" t="s">
        <v>70</v>
      </c>
      <c r="S2927" s="4">
        <v>7</v>
      </c>
      <c r="T2927" s="4">
        <v>7</v>
      </c>
      <c r="U2927" s="5" t="s">
        <v>6727</v>
      </c>
      <c r="V2927" s="5" t="s">
        <v>6727</v>
      </c>
      <c r="W2927" s="5" t="s">
        <v>72</v>
      </c>
      <c r="X2927" s="5" t="s">
        <v>72</v>
      </c>
      <c r="Y2927" s="4">
        <v>274</v>
      </c>
      <c r="Z2927" s="4">
        <v>24</v>
      </c>
      <c r="AA2927" s="4">
        <v>100</v>
      </c>
      <c r="AB2927" s="4">
        <v>2</v>
      </c>
      <c r="AC2927" s="4">
        <v>19</v>
      </c>
      <c r="AD2927" s="4">
        <v>87</v>
      </c>
      <c r="AE2927" s="4">
        <v>132</v>
      </c>
      <c r="AF2927" s="4">
        <v>0</v>
      </c>
      <c r="AG2927" s="4">
        <v>9</v>
      </c>
      <c r="AH2927" s="4">
        <v>78</v>
      </c>
      <c r="AI2927" s="4">
        <v>94</v>
      </c>
      <c r="AJ2927" s="4">
        <v>14</v>
      </c>
      <c r="AK2927" s="4">
        <v>23</v>
      </c>
      <c r="AL2927" s="4">
        <v>39</v>
      </c>
      <c r="AM2927" s="4">
        <v>45</v>
      </c>
      <c r="AN2927" s="4">
        <v>0</v>
      </c>
      <c r="AO2927" s="4">
        <v>0</v>
      </c>
      <c r="AP2927" s="4">
        <v>17</v>
      </c>
      <c r="AQ2927" s="4">
        <v>47</v>
      </c>
      <c r="AR2927" s="3" t="s">
        <v>64</v>
      </c>
      <c r="AS2927" s="3" t="s">
        <v>64</v>
      </c>
      <c r="AT2927" s="3" t="s">
        <v>64</v>
      </c>
      <c r="AV2927" s="6" t="str">
        <f>HYPERLINK("http://mcgill.on.worldcat.org/oclc/49794688","Catalog Record")</f>
        <v>Catalog Record</v>
      </c>
      <c r="AW2927" s="6" t="str">
        <f>HYPERLINK("http://www.worldcat.org/oclc/49794688","WorldCat Record")</f>
        <v>WorldCat Record</v>
      </c>
      <c r="AX2927" s="3" t="s">
        <v>29342</v>
      </c>
      <c r="AY2927" s="3" t="s">
        <v>29343</v>
      </c>
      <c r="AZ2927" s="3" t="s">
        <v>29344</v>
      </c>
      <c r="BA2927" s="3" t="s">
        <v>29344</v>
      </c>
      <c r="BB2927" s="3" t="s">
        <v>29345</v>
      </c>
      <c r="BC2927" s="3" t="s">
        <v>77</v>
      </c>
      <c r="BD2927" s="3" t="s">
        <v>78</v>
      </c>
      <c r="BE2927" s="3" t="s">
        <v>29346</v>
      </c>
      <c r="BF2927" s="3" t="s">
        <v>29345</v>
      </c>
      <c r="BG2927" s="3" t="s">
        <v>29347</v>
      </c>
      <c r="BH2927">
        <f t="shared" si="69"/>
        <v>0</v>
      </c>
    </row>
    <row r="2928" spans="1:60" ht="58" x14ac:dyDescent="0.35">
      <c r="A2928" s="2" t="s">
        <v>59</v>
      </c>
      <c r="B2928" s="2" t="s">
        <v>60</v>
      </c>
      <c r="C2928" s="2" t="s">
        <v>29348</v>
      </c>
      <c r="D2928" s="2" t="s">
        <v>29349</v>
      </c>
      <c r="E2928" s="2" t="s">
        <v>29350</v>
      </c>
      <c r="G2928" s="3" t="s">
        <v>64</v>
      </c>
      <c r="I2928" s="3" t="s">
        <v>128</v>
      </c>
      <c r="J2928" s="3" t="s">
        <v>64</v>
      </c>
      <c r="K2928" s="3" t="s">
        <v>65</v>
      </c>
      <c r="L2928" s="2" t="s">
        <v>29351</v>
      </c>
      <c r="M2928" s="2" t="s">
        <v>24675</v>
      </c>
      <c r="N2928" s="3" t="s">
        <v>86</v>
      </c>
      <c r="P2928" s="3" t="s">
        <v>102</v>
      </c>
      <c r="R2928" s="3" t="s">
        <v>70</v>
      </c>
      <c r="S2928" s="4">
        <v>8</v>
      </c>
      <c r="T2928" s="4">
        <v>11</v>
      </c>
      <c r="U2928" s="5" t="s">
        <v>2725</v>
      </c>
      <c r="V2928" s="5" t="s">
        <v>2725</v>
      </c>
      <c r="W2928" s="5" t="s">
        <v>72</v>
      </c>
      <c r="X2928" s="5" t="s">
        <v>72</v>
      </c>
      <c r="Y2928" s="4">
        <v>551</v>
      </c>
      <c r="Z2928" s="4">
        <v>29</v>
      </c>
      <c r="AA2928" s="4">
        <v>112</v>
      </c>
      <c r="AB2928" s="4">
        <v>2</v>
      </c>
      <c r="AC2928" s="4">
        <v>19</v>
      </c>
      <c r="AD2928" s="4">
        <v>64</v>
      </c>
      <c r="AE2928" s="4">
        <v>131</v>
      </c>
      <c r="AF2928" s="4">
        <v>1</v>
      </c>
      <c r="AG2928" s="4">
        <v>9</v>
      </c>
      <c r="AH2928" s="4">
        <v>54</v>
      </c>
      <c r="AI2928" s="4">
        <v>89</v>
      </c>
      <c r="AJ2928" s="4">
        <v>7</v>
      </c>
      <c r="AK2928" s="4">
        <v>25</v>
      </c>
      <c r="AL2928" s="4">
        <v>31</v>
      </c>
      <c r="AM2928" s="4">
        <v>44</v>
      </c>
      <c r="AN2928" s="4">
        <v>0</v>
      </c>
      <c r="AO2928" s="4">
        <v>0</v>
      </c>
      <c r="AP2928" s="4">
        <v>13</v>
      </c>
      <c r="AQ2928" s="4">
        <v>50</v>
      </c>
      <c r="AR2928" s="3" t="s">
        <v>64</v>
      </c>
      <c r="AS2928" s="3" t="s">
        <v>64</v>
      </c>
      <c r="AT2928" s="3" t="s">
        <v>64</v>
      </c>
      <c r="AV2928" s="6" t="str">
        <f>HYPERLINK("http://mcgill.on.worldcat.org/oclc/794603923","Catalog Record")</f>
        <v>Catalog Record</v>
      </c>
      <c r="AW2928" s="6" t="str">
        <f>HYPERLINK("http://www.worldcat.org/oclc/794603923","WorldCat Record")</f>
        <v>WorldCat Record</v>
      </c>
      <c r="AX2928" s="3" t="s">
        <v>29352</v>
      </c>
      <c r="AY2928" s="3" t="s">
        <v>29353</v>
      </c>
      <c r="AZ2928" s="3" t="s">
        <v>29354</v>
      </c>
      <c r="BA2928" s="3" t="s">
        <v>29354</v>
      </c>
      <c r="BB2928" s="3" t="s">
        <v>29355</v>
      </c>
      <c r="BC2928" s="3" t="s">
        <v>77</v>
      </c>
      <c r="BD2928" s="3" t="s">
        <v>78</v>
      </c>
      <c r="BE2928" s="3" t="s">
        <v>29356</v>
      </c>
      <c r="BF2928" s="3" t="s">
        <v>29355</v>
      </c>
      <c r="BG2928" s="3" t="s">
        <v>29357</v>
      </c>
      <c r="BH2928">
        <f t="shared" si="69"/>
        <v>0</v>
      </c>
    </row>
    <row r="2929" spans="1:60" ht="116" x14ac:dyDescent="0.35">
      <c r="A2929" s="2" t="s">
        <v>59</v>
      </c>
      <c r="B2929" s="2" t="s">
        <v>1183</v>
      </c>
      <c r="C2929" s="2" t="s">
        <v>29358</v>
      </c>
      <c r="D2929" s="2" t="s">
        <v>29359</v>
      </c>
      <c r="E2929" s="2" t="s">
        <v>29360</v>
      </c>
      <c r="G2929" s="3" t="s">
        <v>64</v>
      </c>
      <c r="I2929" s="3" t="s">
        <v>64</v>
      </c>
      <c r="J2929" s="3" t="s">
        <v>64</v>
      </c>
      <c r="K2929" s="3" t="s">
        <v>65</v>
      </c>
      <c r="L2929" s="2" t="s">
        <v>29361</v>
      </c>
      <c r="M2929" s="2" t="s">
        <v>29362</v>
      </c>
      <c r="N2929" s="3" t="s">
        <v>537</v>
      </c>
      <c r="O2929" s="2" t="s">
        <v>1189</v>
      </c>
      <c r="P2929" s="3" t="s">
        <v>1190</v>
      </c>
      <c r="R2929" s="3" t="s">
        <v>70</v>
      </c>
      <c r="S2929" s="4">
        <v>0</v>
      </c>
      <c r="T2929" s="4">
        <v>0</v>
      </c>
      <c r="W2929" s="5" t="s">
        <v>72</v>
      </c>
      <c r="X2929" s="5" t="s">
        <v>72</v>
      </c>
      <c r="Y2929" s="4">
        <v>5</v>
      </c>
      <c r="Z2929" s="4">
        <v>1</v>
      </c>
      <c r="AA2929" s="4">
        <v>1</v>
      </c>
      <c r="AB2929" s="4">
        <v>1</v>
      </c>
      <c r="AC2929" s="4">
        <v>1</v>
      </c>
      <c r="AD2929" s="4">
        <v>2</v>
      </c>
      <c r="AE2929" s="4">
        <v>2</v>
      </c>
      <c r="AF2929" s="4">
        <v>0</v>
      </c>
      <c r="AG2929" s="4">
        <v>0</v>
      </c>
      <c r="AH2929" s="4">
        <v>2</v>
      </c>
      <c r="AI2929" s="4">
        <v>2</v>
      </c>
      <c r="AJ2929" s="4">
        <v>0</v>
      </c>
      <c r="AK2929" s="4">
        <v>0</v>
      </c>
      <c r="AL2929" s="4">
        <v>2</v>
      </c>
      <c r="AM2929" s="4">
        <v>2</v>
      </c>
      <c r="AN2929" s="4">
        <v>0</v>
      </c>
      <c r="AO2929" s="4">
        <v>0</v>
      </c>
      <c r="AP2929" s="4">
        <v>0</v>
      </c>
      <c r="AQ2929" s="4">
        <v>0</v>
      </c>
      <c r="AR2929" s="3" t="s">
        <v>64</v>
      </c>
      <c r="AS2929" s="3" t="s">
        <v>64</v>
      </c>
      <c r="AT2929" s="3" t="s">
        <v>64</v>
      </c>
      <c r="AV2929" s="6" t="str">
        <f>HYPERLINK("http://mcgill.on.worldcat.org/oclc/962736911","Catalog Record")</f>
        <v>Catalog Record</v>
      </c>
      <c r="AW2929" s="6" t="str">
        <f>HYPERLINK("http://www.worldcat.org/oclc/962736911","WorldCat Record")</f>
        <v>WorldCat Record</v>
      </c>
      <c r="AX2929" s="3" t="s">
        <v>29363</v>
      </c>
      <c r="AY2929" s="3" t="s">
        <v>29364</v>
      </c>
      <c r="AZ2929" s="3" t="s">
        <v>29365</v>
      </c>
      <c r="BA2929" s="3" t="s">
        <v>29365</v>
      </c>
      <c r="BB2929" s="3" t="s">
        <v>29366</v>
      </c>
      <c r="BC2929" s="3" t="s">
        <v>77</v>
      </c>
      <c r="BD2929" s="3" t="s">
        <v>78</v>
      </c>
      <c r="BE2929" s="3" t="s">
        <v>29367</v>
      </c>
      <c r="BF2929" s="3" t="s">
        <v>29366</v>
      </c>
      <c r="BG2929" s="3" t="s">
        <v>29368</v>
      </c>
      <c r="BH2929">
        <f t="shared" si="69"/>
        <v>0</v>
      </c>
    </row>
    <row r="2930" spans="1:60" ht="116" x14ac:dyDescent="0.35">
      <c r="A2930" s="2" t="s">
        <v>59</v>
      </c>
      <c r="B2930" s="2" t="s">
        <v>1183</v>
      </c>
      <c r="C2930" s="2" t="s">
        <v>29369</v>
      </c>
      <c r="D2930" s="2" t="s">
        <v>29370</v>
      </c>
      <c r="E2930" s="2" t="s">
        <v>29371</v>
      </c>
      <c r="G2930" s="3" t="s">
        <v>64</v>
      </c>
      <c r="I2930" s="3" t="s">
        <v>64</v>
      </c>
      <c r="J2930" s="3" t="s">
        <v>64</v>
      </c>
      <c r="K2930" s="3" t="s">
        <v>65</v>
      </c>
      <c r="L2930" s="2" t="s">
        <v>29372</v>
      </c>
      <c r="M2930" s="2" t="s">
        <v>29373</v>
      </c>
      <c r="N2930" s="3" t="s">
        <v>190</v>
      </c>
      <c r="O2930" s="2" t="s">
        <v>1189</v>
      </c>
      <c r="P2930" s="3" t="s">
        <v>1190</v>
      </c>
      <c r="R2930" s="3" t="s">
        <v>70</v>
      </c>
      <c r="S2930" s="4">
        <v>0</v>
      </c>
      <c r="T2930" s="4">
        <v>0</v>
      </c>
      <c r="W2930" s="5" t="s">
        <v>72</v>
      </c>
      <c r="X2930" s="5" t="s">
        <v>72</v>
      </c>
      <c r="Y2930" s="4">
        <v>1</v>
      </c>
      <c r="Z2930" s="4">
        <v>1</v>
      </c>
      <c r="AA2930" s="4">
        <v>1</v>
      </c>
      <c r="AB2930" s="4">
        <v>1</v>
      </c>
      <c r="AC2930" s="4">
        <v>1</v>
      </c>
      <c r="AD2930" s="4">
        <v>0</v>
      </c>
      <c r="AE2930" s="4">
        <v>0</v>
      </c>
      <c r="AF2930" s="4">
        <v>0</v>
      </c>
      <c r="AG2930" s="4">
        <v>0</v>
      </c>
      <c r="AH2930" s="4">
        <v>0</v>
      </c>
      <c r="AI2930" s="4">
        <v>0</v>
      </c>
      <c r="AJ2930" s="4">
        <v>0</v>
      </c>
      <c r="AK2930" s="4">
        <v>0</v>
      </c>
      <c r="AL2930" s="4">
        <v>0</v>
      </c>
      <c r="AM2930" s="4">
        <v>0</v>
      </c>
      <c r="AN2930" s="4">
        <v>0</v>
      </c>
      <c r="AO2930" s="4">
        <v>0</v>
      </c>
      <c r="AP2930" s="4">
        <v>0</v>
      </c>
      <c r="AQ2930" s="4">
        <v>0</v>
      </c>
      <c r="AR2930" s="3" t="s">
        <v>64</v>
      </c>
      <c r="AS2930" s="3" t="s">
        <v>64</v>
      </c>
      <c r="AT2930" s="3" t="s">
        <v>64</v>
      </c>
      <c r="AV2930" s="6" t="str">
        <f>HYPERLINK("http://mcgill.on.worldcat.org/oclc/1079065438","Catalog Record")</f>
        <v>Catalog Record</v>
      </c>
      <c r="AW2930" s="6" t="str">
        <f>HYPERLINK("http://www.worldcat.org/oclc/1079065438","WorldCat Record")</f>
        <v>WorldCat Record</v>
      </c>
      <c r="AX2930" s="3" t="s">
        <v>29374</v>
      </c>
      <c r="AY2930" s="3" t="s">
        <v>29375</v>
      </c>
      <c r="AZ2930" s="3" t="s">
        <v>29376</v>
      </c>
      <c r="BA2930" s="3" t="s">
        <v>29376</v>
      </c>
      <c r="BB2930" s="3" t="s">
        <v>29377</v>
      </c>
      <c r="BC2930" s="3" t="s">
        <v>77</v>
      </c>
      <c r="BD2930" s="3" t="s">
        <v>78</v>
      </c>
      <c r="BE2930" s="3" t="s">
        <v>29378</v>
      </c>
      <c r="BF2930" s="3" t="s">
        <v>29377</v>
      </c>
      <c r="BG2930" s="3" t="s">
        <v>29379</v>
      </c>
      <c r="BH2930">
        <f t="shared" si="69"/>
        <v>0</v>
      </c>
    </row>
    <row r="2931" spans="1:60" ht="58" x14ac:dyDescent="0.35">
      <c r="A2931" s="2" t="s">
        <v>59</v>
      </c>
      <c r="B2931" s="2" t="s">
        <v>60</v>
      </c>
      <c r="C2931" s="2" t="s">
        <v>29380</v>
      </c>
      <c r="D2931" s="2" t="s">
        <v>29381</v>
      </c>
      <c r="E2931" s="2" t="s">
        <v>29382</v>
      </c>
      <c r="G2931" s="3" t="s">
        <v>64</v>
      </c>
      <c r="I2931" s="3" t="s">
        <v>64</v>
      </c>
      <c r="J2931" s="3" t="s">
        <v>64</v>
      </c>
      <c r="K2931" s="3" t="s">
        <v>65</v>
      </c>
      <c r="L2931" s="2" t="s">
        <v>29383</v>
      </c>
      <c r="M2931" s="2" t="s">
        <v>17565</v>
      </c>
      <c r="N2931" s="3" t="s">
        <v>86</v>
      </c>
      <c r="P2931" s="3" t="s">
        <v>102</v>
      </c>
      <c r="Q2931" s="2" t="s">
        <v>18390</v>
      </c>
      <c r="R2931" s="3" t="s">
        <v>70</v>
      </c>
      <c r="S2931" s="4">
        <v>1</v>
      </c>
      <c r="T2931" s="4">
        <v>1</v>
      </c>
      <c r="U2931" s="5" t="s">
        <v>23954</v>
      </c>
      <c r="V2931" s="5" t="s">
        <v>23954</v>
      </c>
      <c r="W2931" s="5" t="s">
        <v>72</v>
      </c>
      <c r="X2931" s="5" t="s">
        <v>72</v>
      </c>
      <c r="Y2931" s="4">
        <v>490</v>
      </c>
      <c r="Z2931" s="4">
        <v>25</v>
      </c>
      <c r="AA2931" s="4">
        <v>30</v>
      </c>
      <c r="AB2931" s="4">
        <v>2</v>
      </c>
      <c r="AC2931" s="4">
        <v>7</v>
      </c>
      <c r="AD2931" s="4">
        <v>72</v>
      </c>
      <c r="AE2931" s="4">
        <v>75</v>
      </c>
      <c r="AF2931" s="4">
        <v>0</v>
      </c>
      <c r="AG2931" s="4">
        <v>3</v>
      </c>
      <c r="AH2931" s="4">
        <v>63</v>
      </c>
      <c r="AI2931" s="4">
        <v>64</v>
      </c>
      <c r="AJ2931" s="4">
        <v>9</v>
      </c>
      <c r="AK2931" s="4">
        <v>11</v>
      </c>
      <c r="AL2931" s="4">
        <v>29</v>
      </c>
      <c r="AM2931" s="4">
        <v>29</v>
      </c>
      <c r="AN2931" s="4">
        <v>0</v>
      </c>
      <c r="AO2931" s="4">
        <v>0</v>
      </c>
      <c r="AP2931" s="4">
        <v>13</v>
      </c>
      <c r="AQ2931" s="4">
        <v>15</v>
      </c>
      <c r="AR2931" s="3" t="s">
        <v>64</v>
      </c>
      <c r="AS2931" s="3" t="s">
        <v>64</v>
      </c>
      <c r="AT2931" s="3" t="s">
        <v>64</v>
      </c>
      <c r="AV2931" s="6" t="str">
        <f>HYPERLINK("http://mcgill.on.worldcat.org/oclc/760990509","Catalog Record")</f>
        <v>Catalog Record</v>
      </c>
      <c r="AW2931" s="6" t="str">
        <f>HYPERLINK("http://www.worldcat.org/oclc/760990509","WorldCat Record")</f>
        <v>WorldCat Record</v>
      </c>
      <c r="AX2931" s="3" t="s">
        <v>29384</v>
      </c>
      <c r="AY2931" s="3" t="s">
        <v>29385</v>
      </c>
      <c r="AZ2931" s="3" t="s">
        <v>29386</v>
      </c>
      <c r="BA2931" s="3" t="s">
        <v>29386</v>
      </c>
      <c r="BB2931" s="3" t="s">
        <v>29387</v>
      </c>
      <c r="BC2931" s="3" t="s">
        <v>77</v>
      </c>
      <c r="BD2931" s="3" t="s">
        <v>78</v>
      </c>
      <c r="BE2931" s="3" t="s">
        <v>29388</v>
      </c>
      <c r="BF2931" s="3" t="s">
        <v>29387</v>
      </c>
      <c r="BG2931" s="3" t="s">
        <v>29389</v>
      </c>
      <c r="BH2931">
        <f t="shared" si="69"/>
        <v>0</v>
      </c>
    </row>
    <row r="2932" spans="1:60" ht="58" x14ac:dyDescent="0.35">
      <c r="A2932" s="2" t="s">
        <v>59</v>
      </c>
      <c r="B2932" s="2" t="s">
        <v>60</v>
      </c>
      <c r="C2932" s="2" t="s">
        <v>29390</v>
      </c>
      <c r="D2932" s="2" t="s">
        <v>29391</v>
      </c>
      <c r="E2932" s="2" t="s">
        <v>29392</v>
      </c>
      <c r="G2932" s="3" t="s">
        <v>64</v>
      </c>
      <c r="I2932" s="3" t="s">
        <v>64</v>
      </c>
      <c r="J2932" s="3" t="s">
        <v>64</v>
      </c>
      <c r="K2932" s="3" t="s">
        <v>65</v>
      </c>
      <c r="L2932" s="2" t="s">
        <v>29393</v>
      </c>
      <c r="M2932" s="2" t="s">
        <v>29394</v>
      </c>
      <c r="N2932" s="3" t="s">
        <v>392</v>
      </c>
      <c r="P2932" s="3" t="s">
        <v>102</v>
      </c>
      <c r="R2932" s="3" t="s">
        <v>70</v>
      </c>
      <c r="S2932" s="4">
        <v>18</v>
      </c>
      <c r="T2932" s="4">
        <v>18</v>
      </c>
      <c r="U2932" s="5" t="s">
        <v>28884</v>
      </c>
      <c r="V2932" s="5" t="s">
        <v>28884</v>
      </c>
      <c r="W2932" s="5" t="s">
        <v>72</v>
      </c>
      <c r="X2932" s="5" t="s">
        <v>72</v>
      </c>
      <c r="Y2932" s="4">
        <v>649</v>
      </c>
      <c r="Z2932" s="4">
        <v>23</v>
      </c>
      <c r="AA2932" s="4">
        <v>26</v>
      </c>
      <c r="AB2932" s="4">
        <v>3</v>
      </c>
      <c r="AC2932" s="4">
        <v>6</v>
      </c>
      <c r="AD2932" s="4">
        <v>87</v>
      </c>
      <c r="AE2932" s="4">
        <v>91</v>
      </c>
      <c r="AF2932" s="4">
        <v>0</v>
      </c>
      <c r="AG2932" s="4">
        <v>3</v>
      </c>
      <c r="AH2932" s="4">
        <v>81</v>
      </c>
      <c r="AI2932" s="4">
        <v>83</v>
      </c>
      <c r="AJ2932" s="4">
        <v>9</v>
      </c>
      <c r="AK2932" s="4">
        <v>12</v>
      </c>
      <c r="AL2932" s="4">
        <v>41</v>
      </c>
      <c r="AM2932" s="4">
        <v>41</v>
      </c>
      <c r="AN2932" s="4">
        <v>0</v>
      </c>
      <c r="AO2932" s="4">
        <v>0</v>
      </c>
      <c r="AP2932" s="4">
        <v>12</v>
      </c>
      <c r="AQ2932" s="4">
        <v>14</v>
      </c>
      <c r="AR2932" s="3" t="s">
        <v>64</v>
      </c>
      <c r="AS2932" s="3" t="s">
        <v>64</v>
      </c>
      <c r="AT2932" s="3" t="s">
        <v>128</v>
      </c>
      <c r="AU2932" s="6" t="str">
        <f>HYPERLINK("http://catalog.hathitrust.org/Record/003443940","HathiTrust Record")</f>
        <v>HathiTrust Record</v>
      </c>
      <c r="AV2932" s="6" t="str">
        <f>HYPERLINK("http://mcgill.on.worldcat.org/oclc/42290869","Catalog Record")</f>
        <v>Catalog Record</v>
      </c>
      <c r="AW2932" s="6" t="str">
        <f>HYPERLINK("http://www.worldcat.org/oclc/42290869","WorldCat Record")</f>
        <v>WorldCat Record</v>
      </c>
      <c r="AX2932" s="3" t="s">
        <v>29395</v>
      </c>
      <c r="AY2932" s="3" t="s">
        <v>29396</v>
      </c>
      <c r="AZ2932" s="3" t="s">
        <v>29397</v>
      </c>
      <c r="BA2932" s="3" t="s">
        <v>29397</v>
      </c>
      <c r="BB2932" s="3" t="s">
        <v>29398</v>
      </c>
      <c r="BC2932" s="3" t="s">
        <v>77</v>
      </c>
      <c r="BD2932" s="3" t="s">
        <v>78</v>
      </c>
      <c r="BE2932" s="3" t="s">
        <v>29399</v>
      </c>
      <c r="BF2932" s="3" t="s">
        <v>29398</v>
      </c>
      <c r="BG2932" s="3" t="s">
        <v>29400</v>
      </c>
      <c r="BH2932">
        <f t="shared" si="69"/>
        <v>0</v>
      </c>
    </row>
    <row r="2933" spans="1:60" ht="58" x14ac:dyDescent="0.35">
      <c r="A2933" s="2" t="s">
        <v>59</v>
      </c>
      <c r="B2933" s="2" t="s">
        <v>60</v>
      </c>
      <c r="C2933" s="2" t="s">
        <v>29401</v>
      </c>
      <c r="D2933" s="2" t="s">
        <v>29402</v>
      </c>
      <c r="E2933" s="2" t="s">
        <v>29403</v>
      </c>
      <c r="G2933" s="3" t="s">
        <v>64</v>
      </c>
      <c r="I2933" s="3" t="s">
        <v>64</v>
      </c>
      <c r="J2933" s="3" t="s">
        <v>64</v>
      </c>
      <c r="K2933" s="3" t="s">
        <v>65</v>
      </c>
      <c r="L2933" s="2" t="s">
        <v>24778</v>
      </c>
      <c r="M2933" s="2" t="s">
        <v>29404</v>
      </c>
      <c r="N2933" s="3" t="s">
        <v>253</v>
      </c>
      <c r="P2933" s="3" t="s">
        <v>102</v>
      </c>
      <c r="R2933" s="3" t="s">
        <v>70</v>
      </c>
      <c r="S2933" s="4">
        <v>0</v>
      </c>
      <c r="T2933" s="4">
        <v>0</v>
      </c>
      <c r="W2933" s="5" t="s">
        <v>72</v>
      </c>
      <c r="X2933" s="5" t="s">
        <v>72</v>
      </c>
      <c r="Y2933" s="4">
        <v>59</v>
      </c>
      <c r="Z2933" s="4">
        <v>3</v>
      </c>
      <c r="AA2933" s="4">
        <v>105</v>
      </c>
      <c r="AB2933" s="4">
        <v>1</v>
      </c>
      <c r="AC2933" s="4">
        <v>15</v>
      </c>
      <c r="AD2933" s="4">
        <v>4</v>
      </c>
      <c r="AE2933" s="4">
        <v>123</v>
      </c>
      <c r="AF2933" s="4">
        <v>0</v>
      </c>
      <c r="AG2933" s="4">
        <v>8</v>
      </c>
      <c r="AH2933" s="4">
        <v>3</v>
      </c>
      <c r="AI2933" s="4">
        <v>85</v>
      </c>
      <c r="AJ2933" s="4">
        <v>0</v>
      </c>
      <c r="AK2933" s="4">
        <v>18</v>
      </c>
      <c r="AL2933" s="4">
        <v>3</v>
      </c>
      <c r="AM2933" s="4">
        <v>42</v>
      </c>
      <c r="AN2933" s="4">
        <v>0</v>
      </c>
      <c r="AO2933" s="4">
        <v>0</v>
      </c>
      <c r="AP2933" s="4">
        <v>1</v>
      </c>
      <c r="AQ2933" s="4">
        <v>41</v>
      </c>
      <c r="AR2933" s="3" t="s">
        <v>64</v>
      </c>
      <c r="AS2933" s="3" t="s">
        <v>64</v>
      </c>
      <c r="AT2933" s="3" t="s">
        <v>64</v>
      </c>
      <c r="AV2933" s="6" t="str">
        <f>HYPERLINK("http://mcgill.on.worldcat.org/oclc/910905171","Catalog Record")</f>
        <v>Catalog Record</v>
      </c>
      <c r="AW2933" s="6" t="str">
        <f>HYPERLINK("http://www.worldcat.org/oclc/910905171","WorldCat Record")</f>
        <v>WorldCat Record</v>
      </c>
      <c r="AX2933" s="3" t="s">
        <v>29405</v>
      </c>
      <c r="AY2933" s="3" t="s">
        <v>29406</v>
      </c>
      <c r="AZ2933" s="3" t="s">
        <v>29407</v>
      </c>
      <c r="BA2933" s="3" t="s">
        <v>29407</v>
      </c>
      <c r="BB2933" s="3" t="s">
        <v>29408</v>
      </c>
      <c r="BC2933" s="3" t="s">
        <v>77</v>
      </c>
      <c r="BD2933" s="3" t="s">
        <v>78</v>
      </c>
      <c r="BE2933" s="3" t="s">
        <v>29409</v>
      </c>
      <c r="BF2933" s="3" t="s">
        <v>29408</v>
      </c>
      <c r="BG2933" s="3" t="s">
        <v>29410</v>
      </c>
      <c r="BH2933">
        <f t="shared" si="69"/>
        <v>0</v>
      </c>
    </row>
    <row r="2934" spans="1:60" ht="58" x14ac:dyDescent="0.35">
      <c r="A2934" s="2" t="s">
        <v>59</v>
      </c>
      <c r="B2934" s="2" t="s">
        <v>60</v>
      </c>
      <c r="C2934" s="2" t="s">
        <v>29411</v>
      </c>
      <c r="D2934" s="2" t="s">
        <v>29412</v>
      </c>
      <c r="E2934" s="2" t="s">
        <v>29413</v>
      </c>
      <c r="G2934" s="3" t="s">
        <v>64</v>
      </c>
      <c r="I2934" s="3" t="s">
        <v>64</v>
      </c>
      <c r="J2934" s="3" t="s">
        <v>64</v>
      </c>
      <c r="K2934" s="3" t="s">
        <v>65</v>
      </c>
      <c r="L2934" s="2" t="s">
        <v>29414</v>
      </c>
      <c r="M2934" s="2" t="s">
        <v>14782</v>
      </c>
      <c r="N2934" s="3" t="s">
        <v>979</v>
      </c>
      <c r="P2934" s="3" t="s">
        <v>102</v>
      </c>
      <c r="R2934" s="3" t="s">
        <v>70</v>
      </c>
      <c r="S2934" s="4">
        <v>15</v>
      </c>
      <c r="T2934" s="4">
        <v>15</v>
      </c>
      <c r="U2934" s="5" t="s">
        <v>29415</v>
      </c>
      <c r="V2934" s="5" t="s">
        <v>29415</v>
      </c>
      <c r="W2934" s="5" t="s">
        <v>72</v>
      </c>
      <c r="X2934" s="5" t="s">
        <v>72</v>
      </c>
      <c r="Y2934" s="4">
        <v>774</v>
      </c>
      <c r="Z2934" s="4">
        <v>41</v>
      </c>
      <c r="AA2934" s="4">
        <v>112</v>
      </c>
      <c r="AB2934" s="4">
        <v>5</v>
      </c>
      <c r="AC2934" s="4">
        <v>20</v>
      </c>
      <c r="AD2934" s="4">
        <v>115</v>
      </c>
      <c r="AE2934" s="4">
        <v>144</v>
      </c>
      <c r="AF2934" s="4">
        <v>2</v>
      </c>
      <c r="AG2934" s="4">
        <v>8</v>
      </c>
      <c r="AH2934" s="4">
        <v>98</v>
      </c>
      <c r="AI2934" s="4">
        <v>105</v>
      </c>
      <c r="AJ2934" s="4">
        <v>18</v>
      </c>
      <c r="AK2934" s="4">
        <v>23</v>
      </c>
      <c r="AL2934" s="4">
        <v>53</v>
      </c>
      <c r="AM2934" s="4">
        <v>56</v>
      </c>
      <c r="AN2934" s="4">
        <v>0</v>
      </c>
      <c r="AO2934" s="4">
        <v>0</v>
      </c>
      <c r="AP2934" s="4">
        <v>25</v>
      </c>
      <c r="AQ2934" s="4">
        <v>47</v>
      </c>
      <c r="AR2934" s="3" t="s">
        <v>64</v>
      </c>
      <c r="AS2934" s="3" t="s">
        <v>64</v>
      </c>
      <c r="AT2934" s="3" t="s">
        <v>64</v>
      </c>
      <c r="AV2934" s="6" t="str">
        <f>HYPERLINK("http://mcgill.on.worldcat.org/oclc/43798487","Catalog Record")</f>
        <v>Catalog Record</v>
      </c>
      <c r="AW2934" s="6" t="str">
        <f>HYPERLINK("http://www.worldcat.org/oclc/43798487","WorldCat Record")</f>
        <v>WorldCat Record</v>
      </c>
      <c r="AX2934" s="3" t="s">
        <v>29416</v>
      </c>
      <c r="AY2934" s="3" t="s">
        <v>29417</v>
      </c>
      <c r="AZ2934" s="3" t="s">
        <v>29418</v>
      </c>
      <c r="BA2934" s="3" t="s">
        <v>29418</v>
      </c>
      <c r="BB2934" s="3" t="s">
        <v>29419</v>
      </c>
      <c r="BC2934" s="3" t="s">
        <v>77</v>
      </c>
      <c r="BD2934" s="3" t="s">
        <v>78</v>
      </c>
      <c r="BE2934" s="3" t="s">
        <v>29420</v>
      </c>
      <c r="BF2934" s="3" t="s">
        <v>29419</v>
      </c>
      <c r="BG2934" s="3" t="s">
        <v>29421</v>
      </c>
      <c r="BH2934">
        <f t="shared" si="69"/>
        <v>0</v>
      </c>
    </row>
    <row r="2935" spans="1:60" ht="58" x14ac:dyDescent="0.35">
      <c r="A2935" s="2" t="s">
        <v>59</v>
      </c>
      <c r="B2935" s="2" t="s">
        <v>60</v>
      </c>
      <c r="C2935" s="2" t="s">
        <v>29422</v>
      </c>
      <c r="D2935" s="2" t="s">
        <v>29423</v>
      </c>
      <c r="E2935" s="2" t="s">
        <v>29424</v>
      </c>
      <c r="G2935" s="3" t="s">
        <v>64</v>
      </c>
      <c r="I2935" s="3" t="s">
        <v>64</v>
      </c>
      <c r="J2935" s="3" t="s">
        <v>64</v>
      </c>
      <c r="K2935" s="3" t="s">
        <v>65</v>
      </c>
      <c r="L2935" s="2" t="s">
        <v>29425</v>
      </c>
      <c r="M2935" s="2" t="s">
        <v>19592</v>
      </c>
      <c r="N2935" s="3" t="s">
        <v>86</v>
      </c>
      <c r="P2935" s="3" t="s">
        <v>102</v>
      </c>
      <c r="Q2935" s="2" t="s">
        <v>8981</v>
      </c>
      <c r="R2935" s="3" t="s">
        <v>70</v>
      </c>
      <c r="S2935" s="4">
        <v>4</v>
      </c>
      <c r="T2935" s="4">
        <v>4</v>
      </c>
      <c r="U2935" s="5" t="s">
        <v>9287</v>
      </c>
      <c r="V2935" s="5" t="s">
        <v>9287</v>
      </c>
      <c r="W2935" s="5" t="s">
        <v>72</v>
      </c>
      <c r="X2935" s="5" t="s">
        <v>72</v>
      </c>
      <c r="Y2935" s="4">
        <v>98</v>
      </c>
      <c r="Z2935" s="4">
        <v>12</v>
      </c>
      <c r="AA2935" s="4">
        <v>17</v>
      </c>
      <c r="AB2935" s="4">
        <v>1</v>
      </c>
      <c r="AC2935" s="4">
        <v>5</v>
      </c>
      <c r="AD2935" s="4">
        <v>24</v>
      </c>
      <c r="AE2935" s="4">
        <v>40</v>
      </c>
      <c r="AF2935" s="4">
        <v>0</v>
      </c>
      <c r="AG2935" s="4">
        <v>1</v>
      </c>
      <c r="AH2935" s="4">
        <v>20</v>
      </c>
      <c r="AI2935" s="4">
        <v>34</v>
      </c>
      <c r="AJ2935" s="4">
        <v>5</v>
      </c>
      <c r="AK2935" s="4">
        <v>7</v>
      </c>
      <c r="AL2935" s="4">
        <v>13</v>
      </c>
      <c r="AM2935" s="4">
        <v>19</v>
      </c>
      <c r="AN2935" s="4">
        <v>0</v>
      </c>
      <c r="AO2935" s="4">
        <v>0</v>
      </c>
      <c r="AP2935" s="4">
        <v>7</v>
      </c>
      <c r="AQ2935" s="4">
        <v>8</v>
      </c>
      <c r="AR2935" s="3" t="s">
        <v>64</v>
      </c>
      <c r="AS2935" s="3" t="s">
        <v>64</v>
      </c>
      <c r="AT2935" s="3" t="s">
        <v>64</v>
      </c>
      <c r="AV2935" s="6" t="str">
        <f>HYPERLINK("http://mcgill.on.worldcat.org/oclc/778956981","Catalog Record")</f>
        <v>Catalog Record</v>
      </c>
      <c r="AW2935" s="6" t="str">
        <f>HYPERLINK("http://www.worldcat.org/oclc/778956981","WorldCat Record")</f>
        <v>WorldCat Record</v>
      </c>
      <c r="AX2935" s="3" t="s">
        <v>29426</v>
      </c>
      <c r="AY2935" s="3" t="s">
        <v>29427</v>
      </c>
      <c r="AZ2935" s="3" t="s">
        <v>29428</v>
      </c>
      <c r="BA2935" s="3" t="s">
        <v>29428</v>
      </c>
      <c r="BB2935" s="3" t="s">
        <v>29429</v>
      </c>
      <c r="BC2935" s="3" t="s">
        <v>77</v>
      </c>
      <c r="BD2935" s="3" t="s">
        <v>78</v>
      </c>
      <c r="BE2935" s="3" t="s">
        <v>29430</v>
      </c>
      <c r="BF2935" s="3" t="s">
        <v>29429</v>
      </c>
      <c r="BG2935" s="3" t="s">
        <v>29431</v>
      </c>
      <c r="BH2935">
        <f t="shared" si="69"/>
        <v>0</v>
      </c>
    </row>
    <row r="2936" spans="1:60" ht="58" x14ac:dyDescent="0.35">
      <c r="A2936" s="2" t="s">
        <v>59</v>
      </c>
      <c r="B2936" s="2" t="s">
        <v>60</v>
      </c>
      <c r="C2936" s="2" t="s">
        <v>29432</v>
      </c>
      <c r="D2936" s="2" t="s">
        <v>29433</v>
      </c>
      <c r="E2936" s="2" t="s">
        <v>29434</v>
      </c>
      <c r="G2936" s="3" t="s">
        <v>64</v>
      </c>
      <c r="I2936" s="3" t="s">
        <v>64</v>
      </c>
      <c r="J2936" s="3" t="s">
        <v>64</v>
      </c>
      <c r="K2936" s="3" t="s">
        <v>65</v>
      </c>
      <c r="L2936" s="2" t="s">
        <v>29435</v>
      </c>
      <c r="M2936" s="2" t="s">
        <v>21980</v>
      </c>
      <c r="N2936" s="3" t="s">
        <v>392</v>
      </c>
      <c r="P2936" s="3" t="s">
        <v>102</v>
      </c>
      <c r="R2936" s="3" t="s">
        <v>70</v>
      </c>
      <c r="S2936" s="4">
        <v>24</v>
      </c>
      <c r="T2936" s="4">
        <v>24</v>
      </c>
      <c r="U2936" s="5" t="s">
        <v>1277</v>
      </c>
      <c r="V2936" s="5" t="s">
        <v>1277</v>
      </c>
      <c r="W2936" s="5" t="s">
        <v>72</v>
      </c>
      <c r="X2936" s="5" t="s">
        <v>72</v>
      </c>
      <c r="Y2936" s="4">
        <v>1226</v>
      </c>
      <c r="Z2936" s="4">
        <v>60</v>
      </c>
      <c r="AA2936" s="4">
        <v>130</v>
      </c>
      <c r="AB2936" s="4">
        <v>4</v>
      </c>
      <c r="AC2936" s="4">
        <v>20</v>
      </c>
      <c r="AD2936" s="4">
        <v>114</v>
      </c>
      <c r="AE2936" s="4">
        <v>149</v>
      </c>
      <c r="AF2936" s="4">
        <v>1</v>
      </c>
      <c r="AG2936" s="4">
        <v>8</v>
      </c>
      <c r="AH2936" s="4">
        <v>89</v>
      </c>
      <c r="AI2936" s="4">
        <v>108</v>
      </c>
      <c r="AJ2936" s="4">
        <v>18</v>
      </c>
      <c r="AK2936" s="4">
        <v>24</v>
      </c>
      <c r="AL2936" s="4">
        <v>44</v>
      </c>
      <c r="AM2936" s="4">
        <v>53</v>
      </c>
      <c r="AN2936" s="4">
        <v>0</v>
      </c>
      <c r="AO2936" s="4">
        <v>0</v>
      </c>
      <c r="AP2936" s="4">
        <v>30</v>
      </c>
      <c r="AQ2936" s="4">
        <v>49</v>
      </c>
      <c r="AR2936" s="3" t="s">
        <v>64</v>
      </c>
      <c r="AS2936" s="3" t="s">
        <v>64</v>
      </c>
      <c r="AT2936" s="3" t="s">
        <v>64</v>
      </c>
      <c r="AV2936" s="6" t="str">
        <f>HYPERLINK("http://mcgill.on.worldcat.org/oclc/40954054","Catalog Record")</f>
        <v>Catalog Record</v>
      </c>
      <c r="AW2936" s="6" t="str">
        <f>HYPERLINK("http://www.worldcat.org/oclc/40954054","WorldCat Record")</f>
        <v>WorldCat Record</v>
      </c>
      <c r="AX2936" s="3" t="s">
        <v>29436</v>
      </c>
      <c r="AY2936" s="3" t="s">
        <v>29437</v>
      </c>
      <c r="AZ2936" s="3" t="s">
        <v>29438</v>
      </c>
      <c r="BA2936" s="3" t="s">
        <v>29438</v>
      </c>
      <c r="BB2936" s="3" t="s">
        <v>29439</v>
      </c>
      <c r="BC2936" s="3" t="s">
        <v>77</v>
      </c>
      <c r="BD2936" s="3" t="s">
        <v>78</v>
      </c>
      <c r="BE2936" s="3" t="s">
        <v>29440</v>
      </c>
      <c r="BF2936" s="3" t="s">
        <v>29439</v>
      </c>
      <c r="BG2936" s="3" t="s">
        <v>29441</v>
      </c>
      <c r="BH2936">
        <f t="shared" si="69"/>
        <v>0</v>
      </c>
    </row>
    <row r="2937" spans="1:60" ht="58" x14ac:dyDescent="0.35">
      <c r="A2937" s="2" t="s">
        <v>59</v>
      </c>
      <c r="B2937" s="2" t="s">
        <v>60</v>
      </c>
      <c r="C2937" s="2" t="s">
        <v>29442</v>
      </c>
      <c r="D2937" s="2" t="s">
        <v>29443</v>
      </c>
      <c r="E2937" s="2" t="s">
        <v>29444</v>
      </c>
      <c r="G2937" s="3" t="s">
        <v>64</v>
      </c>
      <c r="I2937" s="3" t="s">
        <v>64</v>
      </c>
      <c r="J2937" s="3" t="s">
        <v>64</v>
      </c>
      <c r="K2937" s="3" t="s">
        <v>65</v>
      </c>
      <c r="L2937" s="2" t="s">
        <v>29445</v>
      </c>
      <c r="M2937" s="2" t="s">
        <v>14044</v>
      </c>
      <c r="N2937" s="3" t="s">
        <v>326</v>
      </c>
      <c r="P2937" s="3" t="s">
        <v>102</v>
      </c>
      <c r="R2937" s="3" t="s">
        <v>70</v>
      </c>
      <c r="S2937" s="4">
        <v>6</v>
      </c>
      <c r="T2937" s="4">
        <v>6</v>
      </c>
      <c r="U2937" s="5" t="s">
        <v>26202</v>
      </c>
      <c r="V2937" s="5" t="s">
        <v>26202</v>
      </c>
      <c r="W2937" s="5" t="s">
        <v>72</v>
      </c>
      <c r="X2937" s="5" t="s">
        <v>72</v>
      </c>
      <c r="Y2937" s="4">
        <v>1072</v>
      </c>
      <c r="Z2937" s="4">
        <v>46</v>
      </c>
      <c r="AA2937" s="4">
        <v>75</v>
      </c>
      <c r="AB2937" s="4">
        <v>4</v>
      </c>
      <c r="AC2937" s="4">
        <v>15</v>
      </c>
      <c r="AD2937" s="4">
        <v>120</v>
      </c>
      <c r="AE2937" s="4">
        <v>134</v>
      </c>
      <c r="AF2937" s="4">
        <v>2</v>
      </c>
      <c r="AG2937" s="4">
        <v>7</v>
      </c>
      <c r="AH2937" s="4">
        <v>96</v>
      </c>
      <c r="AI2937" s="4">
        <v>103</v>
      </c>
      <c r="AJ2937" s="4">
        <v>19</v>
      </c>
      <c r="AK2937" s="4">
        <v>24</v>
      </c>
      <c r="AL2937" s="4">
        <v>50</v>
      </c>
      <c r="AM2937" s="4">
        <v>51</v>
      </c>
      <c r="AN2937" s="4">
        <v>0</v>
      </c>
      <c r="AO2937" s="4">
        <v>0</v>
      </c>
      <c r="AP2937" s="4">
        <v>31</v>
      </c>
      <c r="AQ2937" s="4">
        <v>40</v>
      </c>
      <c r="AR2937" s="3" t="s">
        <v>64</v>
      </c>
      <c r="AS2937" s="3" t="s">
        <v>64</v>
      </c>
      <c r="AT2937" s="3" t="s">
        <v>64</v>
      </c>
      <c r="AV2937" s="6" t="str">
        <f>HYPERLINK("http://mcgill.on.worldcat.org/oclc/609871178","Catalog Record")</f>
        <v>Catalog Record</v>
      </c>
      <c r="AW2937" s="6" t="str">
        <f>HYPERLINK("http://www.worldcat.org/oclc/609871178","WorldCat Record")</f>
        <v>WorldCat Record</v>
      </c>
      <c r="AX2937" s="3" t="s">
        <v>29446</v>
      </c>
      <c r="AY2937" s="3" t="s">
        <v>29447</v>
      </c>
      <c r="AZ2937" s="3" t="s">
        <v>29448</v>
      </c>
      <c r="BA2937" s="3" t="s">
        <v>29448</v>
      </c>
      <c r="BB2937" s="3" t="s">
        <v>29449</v>
      </c>
      <c r="BC2937" s="3" t="s">
        <v>77</v>
      </c>
      <c r="BD2937" s="3" t="s">
        <v>78</v>
      </c>
      <c r="BE2937" s="3" t="s">
        <v>29450</v>
      </c>
      <c r="BF2937" s="3" t="s">
        <v>29449</v>
      </c>
      <c r="BG2937" s="3" t="s">
        <v>29451</v>
      </c>
      <c r="BH2937">
        <f t="shared" si="69"/>
        <v>0</v>
      </c>
    </row>
    <row r="2938" spans="1:60" ht="58" x14ac:dyDescent="0.35">
      <c r="A2938" s="2" t="s">
        <v>59</v>
      </c>
      <c r="B2938" s="2" t="s">
        <v>60</v>
      </c>
      <c r="C2938" s="2" t="s">
        <v>29452</v>
      </c>
      <c r="D2938" s="2" t="s">
        <v>29453</v>
      </c>
      <c r="E2938" s="2" t="s">
        <v>29454</v>
      </c>
      <c r="G2938" s="3" t="s">
        <v>64</v>
      </c>
      <c r="I2938" s="3" t="s">
        <v>64</v>
      </c>
      <c r="J2938" s="3" t="s">
        <v>64</v>
      </c>
      <c r="K2938" s="3" t="s">
        <v>65</v>
      </c>
      <c r="L2938" s="2" t="s">
        <v>29455</v>
      </c>
      <c r="M2938" s="2" t="s">
        <v>29456</v>
      </c>
      <c r="N2938" s="3" t="s">
        <v>421</v>
      </c>
      <c r="P2938" s="3" t="s">
        <v>102</v>
      </c>
      <c r="R2938" s="3" t="s">
        <v>70</v>
      </c>
      <c r="S2938" s="4">
        <v>29</v>
      </c>
      <c r="T2938" s="4">
        <v>29</v>
      </c>
      <c r="U2938" s="5" t="s">
        <v>14398</v>
      </c>
      <c r="V2938" s="5" t="s">
        <v>14398</v>
      </c>
      <c r="W2938" s="5" t="s">
        <v>72</v>
      </c>
      <c r="X2938" s="5" t="s">
        <v>72</v>
      </c>
      <c r="Y2938" s="4">
        <v>295</v>
      </c>
      <c r="Z2938" s="4">
        <v>25</v>
      </c>
      <c r="AA2938" s="4">
        <v>25</v>
      </c>
      <c r="AB2938" s="4">
        <v>1</v>
      </c>
      <c r="AC2938" s="4">
        <v>1</v>
      </c>
      <c r="AD2938" s="4">
        <v>61</v>
      </c>
      <c r="AE2938" s="4">
        <v>62</v>
      </c>
      <c r="AF2938" s="4">
        <v>0</v>
      </c>
      <c r="AG2938" s="4">
        <v>0</v>
      </c>
      <c r="AH2938" s="4">
        <v>50</v>
      </c>
      <c r="AI2938" s="4">
        <v>51</v>
      </c>
      <c r="AJ2938" s="4">
        <v>15</v>
      </c>
      <c r="AK2938" s="4">
        <v>15</v>
      </c>
      <c r="AL2938" s="4">
        <v>23</v>
      </c>
      <c r="AM2938" s="4">
        <v>23</v>
      </c>
      <c r="AN2938" s="4">
        <v>5</v>
      </c>
      <c r="AO2938" s="4">
        <v>5</v>
      </c>
      <c r="AP2938" s="4">
        <v>21</v>
      </c>
      <c r="AQ2938" s="4">
        <v>21</v>
      </c>
      <c r="AR2938" s="3" t="s">
        <v>64</v>
      </c>
      <c r="AS2938" s="3" t="s">
        <v>64</v>
      </c>
      <c r="AT2938" s="3" t="s">
        <v>128</v>
      </c>
      <c r="AU2938" s="6" t="str">
        <f>HYPERLINK("http://catalog.hathitrust.org/Record/004015628","HathiTrust Record")</f>
        <v>HathiTrust Record</v>
      </c>
      <c r="AV2938" s="6" t="str">
        <f>HYPERLINK("http://mcgill.on.worldcat.org/oclc/38265557","Catalog Record")</f>
        <v>Catalog Record</v>
      </c>
      <c r="AW2938" s="6" t="str">
        <f>HYPERLINK("http://www.worldcat.org/oclc/38265557","WorldCat Record")</f>
        <v>WorldCat Record</v>
      </c>
      <c r="AX2938" s="3" t="s">
        <v>29457</v>
      </c>
      <c r="AY2938" s="3" t="s">
        <v>29458</v>
      </c>
      <c r="AZ2938" s="3" t="s">
        <v>29459</v>
      </c>
      <c r="BA2938" s="3" t="s">
        <v>29459</v>
      </c>
      <c r="BB2938" s="3" t="s">
        <v>29460</v>
      </c>
      <c r="BC2938" s="3" t="s">
        <v>77</v>
      </c>
      <c r="BD2938" s="3" t="s">
        <v>78</v>
      </c>
      <c r="BE2938" s="3" t="s">
        <v>29461</v>
      </c>
      <c r="BF2938" s="3" t="s">
        <v>29460</v>
      </c>
      <c r="BG2938" s="3" t="s">
        <v>29462</v>
      </c>
      <c r="BH2938">
        <f t="shared" si="69"/>
        <v>0</v>
      </c>
    </row>
    <row r="2939" spans="1:60" ht="58" x14ac:dyDescent="0.35">
      <c r="A2939" s="2" t="s">
        <v>59</v>
      </c>
      <c r="B2939" s="2" t="s">
        <v>60</v>
      </c>
      <c r="C2939" s="2" t="s">
        <v>29463</v>
      </c>
      <c r="D2939" s="2" t="s">
        <v>29464</v>
      </c>
      <c r="E2939" s="2" t="s">
        <v>29465</v>
      </c>
      <c r="G2939" s="3" t="s">
        <v>64</v>
      </c>
      <c r="I2939" s="3" t="s">
        <v>64</v>
      </c>
      <c r="J2939" s="3" t="s">
        <v>64</v>
      </c>
      <c r="K2939" s="3" t="s">
        <v>65</v>
      </c>
      <c r="M2939" s="2" t="s">
        <v>14860</v>
      </c>
      <c r="N2939" s="3" t="s">
        <v>537</v>
      </c>
      <c r="P2939" s="3" t="s">
        <v>102</v>
      </c>
      <c r="R2939" s="3" t="s">
        <v>70</v>
      </c>
      <c r="S2939" s="4">
        <v>4</v>
      </c>
      <c r="T2939" s="4">
        <v>4</v>
      </c>
      <c r="U2939" s="5" t="s">
        <v>8822</v>
      </c>
      <c r="V2939" s="5" t="s">
        <v>8822</v>
      </c>
      <c r="W2939" s="5" t="s">
        <v>72</v>
      </c>
      <c r="X2939" s="5" t="s">
        <v>72</v>
      </c>
      <c r="Y2939" s="4">
        <v>197</v>
      </c>
      <c r="Z2939" s="4">
        <v>15</v>
      </c>
      <c r="AA2939" s="4">
        <v>15</v>
      </c>
      <c r="AB2939" s="4">
        <v>1</v>
      </c>
      <c r="AC2939" s="4">
        <v>1</v>
      </c>
      <c r="AD2939" s="4">
        <v>36</v>
      </c>
      <c r="AE2939" s="4">
        <v>36</v>
      </c>
      <c r="AF2939" s="4">
        <v>0</v>
      </c>
      <c r="AG2939" s="4">
        <v>0</v>
      </c>
      <c r="AH2939" s="4">
        <v>30</v>
      </c>
      <c r="AI2939" s="4">
        <v>30</v>
      </c>
      <c r="AJ2939" s="4">
        <v>8</v>
      </c>
      <c r="AK2939" s="4">
        <v>8</v>
      </c>
      <c r="AL2939" s="4">
        <v>18</v>
      </c>
      <c r="AM2939" s="4">
        <v>18</v>
      </c>
      <c r="AN2939" s="4">
        <v>0</v>
      </c>
      <c r="AO2939" s="4">
        <v>0</v>
      </c>
      <c r="AP2939" s="4">
        <v>9</v>
      </c>
      <c r="AQ2939" s="4">
        <v>9</v>
      </c>
      <c r="AR2939" s="3" t="s">
        <v>64</v>
      </c>
      <c r="AS2939" s="3" t="s">
        <v>64</v>
      </c>
      <c r="AT2939" s="3" t="s">
        <v>64</v>
      </c>
      <c r="AV2939" s="6" t="str">
        <f>HYPERLINK("http://mcgill.on.worldcat.org/oclc/931802505","Catalog Record")</f>
        <v>Catalog Record</v>
      </c>
      <c r="AW2939" s="6" t="str">
        <f>HYPERLINK("http://www.worldcat.org/oclc/931802505","WorldCat Record")</f>
        <v>WorldCat Record</v>
      </c>
      <c r="AX2939" s="3" t="s">
        <v>29466</v>
      </c>
      <c r="AY2939" s="3" t="s">
        <v>29467</v>
      </c>
      <c r="AZ2939" s="3" t="s">
        <v>29468</v>
      </c>
      <c r="BA2939" s="3" t="s">
        <v>29468</v>
      </c>
      <c r="BB2939" s="3" t="s">
        <v>29469</v>
      </c>
      <c r="BC2939" s="3" t="s">
        <v>77</v>
      </c>
      <c r="BD2939" s="3" t="s">
        <v>165</v>
      </c>
      <c r="BE2939" s="3" t="s">
        <v>29470</v>
      </c>
      <c r="BF2939" s="3" t="s">
        <v>29469</v>
      </c>
      <c r="BG2939" s="3" t="s">
        <v>29471</v>
      </c>
      <c r="BH2939">
        <f t="shared" si="69"/>
        <v>0</v>
      </c>
    </row>
    <row r="2940" spans="1:60" ht="58" x14ac:dyDescent="0.35">
      <c r="A2940" s="2" t="s">
        <v>59</v>
      </c>
      <c r="B2940" s="2" t="s">
        <v>60</v>
      </c>
      <c r="C2940" s="2" t="s">
        <v>29472</v>
      </c>
      <c r="D2940" s="2" t="s">
        <v>29473</v>
      </c>
      <c r="E2940" s="2" t="s">
        <v>29474</v>
      </c>
      <c r="G2940" s="3" t="s">
        <v>64</v>
      </c>
      <c r="I2940" s="3" t="s">
        <v>64</v>
      </c>
      <c r="J2940" s="3" t="s">
        <v>64</v>
      </c>
      <c r="K2940" s="3" t="s">
        <v>65</v>
      </c>
      <c r="M2940" s="2" t="s">
        <v>29475</v>
      </c>
      <c r="N2940" s="3" t="s">
        <v>551</v>
      </c>
      <c r="P2940" s="3" t="s">
        <v>102</v>
      </c>
      <c r="R2940" s="3" t="s">
        <v>70</v>
      </c>
      <c r="S2940" s="4">
        <v>5</v>
      </c>
      <c r="T2940" s="4">
        <v>5</v>
      </c>
      <c r="U2940" s="5" t="s">
        <v>26202</v>
      </c>
      <c r="V2940" s="5" t="s">
        <v>26202</v>
      </c>
      <c r="W2940" s="5" t="s">
        <v>72</v>
      </c>
      <c r="X2940" s="5" t="s">
        <v>72</v>
      </c>
      <c r="Y2940" s="4">
        <v>105</v>
      </c>
      <c r="Z2940" s="4">
        <v>7</v>
      </c>
      <c r="AA2940" s="4">
        <v>7</v>
      </c>
      <c r="AB2940" s="4">
        <v>2</v>
      </c>
      <c r="AC2940" s="4">
        <v>2</v>
      </c>
      <c r="AD2940" s="4">
        <v>20</v>
      </c>
      <c r="AE2940" s="4">
        <v>21</v>
      </c>
      <c r="AF2940" s="4">
        <v>0</v>
      </c>
      <c r="AG2940" s="4">
        <v>0</v>
      </c>
      <c r="AH2940" s="4">
        <v>18</v>
      </c>
      <c r="AI2940" s="4">
        <v>19</v>
      </c>
      <c r="AJ2940" s="4">
        <v>3</v>
      </c>
      <c r="AK2940" s="4">
        <v>3</v>
      </c>
      <c r="AL2940" s="4">
        <v>10</v>
      </c>
      <c r="AM2940" s="4">
        <v>10</v>
      </c>
      <c r="AN2940" s="4">
        <v>0</v>
      </c>
      <c r="AO2940" s="4">
        <v>0</v>
      </c>
      <c r="AP2940" s="4">
        <v>4</v>
      </c>
      <c r="AQ2940" s="4">
        <v>4</v>
      </c>
      <c r="AR2940" s="3" t="s">
        <v>64</v>
      </c>
      <c r="AS2940" s="3" t="s">
        <v>64</v>
      </c>
      <c r="AT2940" s="3" t="s">
        <v>64</v>
      </c>
      <c r="AV2940" s="6" t="str">
        <f>HYPERLINK("http://mcgill.on.worldcat.org/oclc/244420521","Catalog Record")</f>
        <v>Catalog Record</v>
      </c>
      <c r="AW2940" s="6" t="str">
        <f>HYPERLINK("http://www.worldcat.org/oclc/244420521","WorldCat Record")</f>
        <v>WorldCat Record</v>
      </c>
      <c r="AX2940" s="3" t="s">
        <v>29476</v>
      </c>
      <c r="AY2940" s="3" t="s">
        <v>29477</v>
      </c>
      <c r="AZ2940" s="3" t="s">
        <v>29478</v>
      </c>
      <c r="BA2940" s="3" t="s">
        <v>29478</v>
      </c>
      <c r="BB2940" s="3" t="s">
        <v>29479</v>
      </c>
      <c r="BC2940" s="3" t="s">
        <v>77</v>
      </c>
      <c r="BD2940" s="3" t="s">
        <v>78</v>
      </c>
      <c r="BE2940" s="3" t="s">
        <v>29480</v>
      </c>
      <c r="BF2940" s="3" t="s">
        <v>29479</v>
      </c>
      <c r="BG2940" s="3" t="s">
        <v>29481</v>
      </c>
      <c r="BH2940">
        <f t="shared" si="69"/>
        <v>0</v>
      </c>
    </row>
    <row r="2941" spans="1:60" ht="58" x14ac:dyDescent="0.35">
      <c r="A2941" s="2" t="s">
        <v>59</v>
      </c>
      <c r="B2941" s="2" t="s">
        <v>60</v>
      </c>
      <c r="C2941" s="2" t="s">
        <v>29482</v>
      </c>
      <c r="D2941" s="2" t="s">
        <v>29483</v>
      </c>
      <c r="E2941" s="2" t="s">
        <v>29484</v>
      </c>
      <c r="G2941" s="3" t="s">
        <v>64</v>
      </c>
      <c r="I2941" s="3" t="s">
        <v>64</v>
      </c>
      <c r="J2941" s="3" t="s">
        <v>64</v>
      </c>
      <c r="K2941" s="3" t="s">
        <v>65</v>
      </c>
      <c r="L2941" s="2" t="s">
        <v>29485</v>
      </c>
      <c r="M2941" s="2" t="s">
        <v>25545</v>
      </c>
      <c r="N2941" s="3" t="s">
        <v>979</v>
      </c>
      <c r="P2941" s="3" t="s">
        <v>102</v>
      </c>
      <c r="R2941" s="3" t="s">
        <v>70</v>
      </c>
      <c r="S2941" s="4">
        <v>9</v>
      </c>
      <c r="T2941" s="4">
        <v>9</v>
      </c>
      <c r="U2941" s="5" t="s">
        <v>29486</v>
      </c>
      <c r="V2941" s="5" t="s">
        <v>29486</v>
      </c>
      <c r="W2941" s="5" t="s">
        <v>72</v>
      </c>
      <c r="X2941" s="5" t="s">
        <v>72</v>
      </c>
      <c r="Y2941" s="4">
        <v>357</v>
      </c>
      <c r="Z2941" s="4">
        <v>22</v>
      </c>
      <c r="AA2941" s="4">
        <v>49</v>
      </c>
      <c r="AB2941" s="4">
        <v>2</v>
      </c>
      <c r="AC2941" s="4">
        <v>8</v>
      </c>
      <c r="AD2941" s="4">
        <v>83</v>
      </c>
      <c r="AE2941" s="4">
        <v>89</v>
      </c>
      <c r="AF2941" s="4">
        <v>1</v>
      </c>
      <c r="AG2941" s="4">
        <v>2</v>
      </c>
      <c r="AH2941" s="4">
        <v>71</v>
      </c>
      <c r="AI2941" s="4">
        <v>75</v>
      </c>
      <c r="AJ2941" s="4">
        <v>14</v>
      </c>
      <c r="AK2941" s="4">
        <v>15</v>
      </c>
      <c r="AL2941" s="4">
        <v>36</v>
      </c>
      <c r="AM2941" s="4">
        <v>36</v>
      </c>
      <c r="AN2941" s="4">
        <v>0</v>
      </c>
      <c r="AO2941" s="4">
        <v>0</v>
      </c>
      <c r="AP2941" s="4">
        <v>17</v>
      </c>
      <c r="AQ2941" s="4">
        <v>20</v>
      </c>
      <c r="AR2941" s="3" t="s">
        <v>64</v>
      </c>
      <c r="AS2941" s="3" t="s">
        <v>64</v>
      </c>
      <c r="AT2941" s="3" t="s">
        <v>128</v>
      </c>
      <c r="AU2941" s="6" t="str">
        <f>HYPERLINK("http://catalog.hathitrust.org/Record/004128577","HathiTrust Record")</f>
        <v>HathiTrust Record</v>
      </c>
      <c r="AV2941" s="6" t="str">
        <f>HYPERLINK("http://mcgill.on.worldcat.org/oclc/44518398","Catalog Record")</f>
        <v>Catalog Record</v>
      </c>
      <c r="AW2941" s="6" t="str">
        <f>HYPERLINK("http://www.worldcat.org/oclc/44518398","WorldCat Record")</f>
        <v>WorldCat Record</v>
      </c>
      <c r="AX2941" s="3" t="s">
        <v>29487</v>
      </c>
      <c r="AY2941" s="3" t="s">
        <v>29488</v>
      </c>
      <c r="AZ2941" s="3" t="s">
        <v>29489</v>
      </c>
      <c r="BA2941" s="3" t="s">
        <v>29489</v>
      </c>
      <c r="BB2941" s="3" t="s">
        <v>29490</v>
      </c>
      <c r="BC2941" s="3" t="s">
        <v>77</v>
      </c>
      <c r="BD2941" s="3" t="s">
        <v>78</v>
      </c>
      <c r="BE2941" s="3" t="s">
        <v>29491</v>
      </c>
      <c r="BF2941" s="3" t="s">
        <v>29490</v>
      </c>
      <c r="BG2941" s="3" t="s">
        <v>29492</v>
      </c>
      <c r="BH2941">
        <f t="shared" si="69"/>
        <v>0</v>
      </c>
    </row>
    <row r="2942" spans="1:60" ht="58" x14ac:dyDescent="0.35">
      <c r="A2942" s="2" t="s">
        <v>59</v>
      </c>
      <c r="B2942" s="2" t="s">
        <v>60</v>
      </c>
      <c r="C2942" s="2" t="s">
        <v>29493</v>
      </c>
      <c r="D2942" s="2" t="s">
        <v>29494</v>
      </c>
      <c r="E2942" s="2" t="s">
        <v>29495</v>
      </c>
      <c r="G2942" s="3" t="s">
        <v>64</v>
      </c>
      <c r="I2942" s="3" t="s">
        <v>64</v>
      </c>
      <c r="J2942" s="3" t="s">
        <v>64</v>
      </c>
      <c r="K2942" s="3" t="s">
        <v>65</v>
      </c>
      <c r="M2942" s="2" t="s">
        <v>29496</v>
      </c>
      <c r="N2942" s="3" t="s">
        <v>101</v>
      </c>
      <c r="P2942" s="3" t="s">
        <v>102</v>
      </c>
      <c r="Q2942" s="2" t="s">
        <v>29497</v>
      </c>
      <c r="R2942" s="3" t="s">
        <v>70</v>
      </c>
      <c r="S2942" s="4">
        <v>7</v>
      </c>
      <c r="T2942" s="4">
        <v>7</v>
      </c>
      <c r="U2942" s="5" t="s">
        <v>2725</v>
      </c>
      <c r="V2942" s="5" t="s">
        <v>2725</v>
      </c>
      <c r="W2942" s="5" t="s">
        <v>72</v>
      </c>
      <c r="X2942" s="5" t="s">
        <v>72</v>
      </c>
      <c r="Y2942" s="4">
        <v>432</v>
      </c>
      <c r="Z2942" s="4">
        <v>24</v>
      </c>
      <c r="AA2942" s="4">
        <v>29</v>
      </c>
      <c r="AB2942" s="4">
        <v>2</v>
      </c>
      <c r="AC2942" s="4">
        <v>4</v>
      </c>
      <c r="AD2942" s="4">
        <v>77</v>
      </c>
      <c r="AE2942" s="4">
        <v>87</v>
      </c>
      <c r="AF2942" s="4">
        <v>1</v>
      </c>
      <c r="AG2942" s="4">
        <v>3</v>
      </c>
      <c r="AH2942" s="4">
        <v>68</v>
      </c>
      <c r="AI2942" s="4">
        <v>76</v>
      </c>
      <c r="AJ2942" s="4">
        <v>15</v>
      </c>
      <c r="AK2942" s="4">
        <v>18</v>
      </c>
      <c r="AL2942" s="4">
        <v>32</v>
      </c>
      <c r="AM2942" s="4">
        <v>35</v>
      </c>
      <c r="AN2942" s="4">
        <v>0</v>
      </c>
      <c r="AO2942" s="4">
        <v>0</v>
      </c>
      <c r="AP2942" s="4">
        <v>17</v>
      </c>
      <c r="AQ2942" s="4">
        <v>20</v>
      </c>
      <c r="AR2942" s="3" t="s">
        <v>64</v>
      </c>
      <c r="AS2942" s="3" t="s">
        <v>64</v>
      </c>
      <c r="AT2942" s="3" t="s">
        <v>128</v>
      </c>
      <c r="AU2942" s="6" t="str">
        <f>HYPERLINK("http://catalog.hathitrust.org/Record/004930043","HathiTrust Record")</f>
        <v>HathiTrust Record</v>
      </c>
      <c r="AV2942" s="6" t="str">
        <f>HYPERLINK("http://mcgill.on.worldcat.org/oclc/53255632","Catalog Record")</f>
        <v>Catalog Record</v>
      </c>
      <c r="AW2942" s="6" t="str">
        <f>HYPERLINK("http://www.worldcat.org/oclc/53255632","WorldCat Record")</f>
        <v>WorldCat Record</v>
      </c>
      <c r="AX2942" s="3" t="s">
        <v>29498</v>
      </c>
      <c r="AY2942" s="3" t="s">
        <v>29499</v>
      </c>
      <c r="AZ2942" s="3" t="s">
        <v>29500</v>
      </c>
      <c r="BA2942" s="3" t="s">
        <v>29500</v>
      </c>
      <c r="BB2942" s="3" t="s">
        <v>29501</v>
      </c>
      <c r="BC2942" s="3" t="s">
        <v>77</v>
      </c>
      <c r="BD2942" s="3" t="s">
        <v>78</v>
      </c>
      <c r="BE2942" s="3" t="s">
        <v>29502</v>
      </c>
      <c r="BF2942" s="3" t="s">
        <v>29501</v>
      </c>
      <c r="BG2942" s="3" t="s">
        <v>29503</v>
      </c>
      <c r="BH2942">
        <f t="shared" si="69"/>
        <v>0</v>
      </c>
    </row>
    <row r="2943" spans="1:60" ht="72.5" x14ac:dyDescent="0.35">
      <c r="A2943" s="2" t="s">
        <v>59</v>
      </c>
      <c r="B2943" s="2" t="s">
        <v>60</v>
      </c>
      <c r="C2943" s="2" t="s">
        <v>29504</v>
      </c>
      <c r="D2943" s="2" t="s">
        <v>29505</v>
      </c>
      <c r="E2943" s="2" t="s">
        <v>29506</v>
      </c>
      <c r="G2943" s="3" t="s">
        <v>64</v>
      </c>
      <c r="I2943" s="3" t="s">
        <v>64</v>
      </c>
      <c r="J2943" s="3" t="s">
        <v>64</v>
      </c>
      <c r="K2943" s="3" t="s">
        <v>65</v>
      </c>
      <c r="M2943" s="2" t="s">
        <v>29507</v>
      </c>
      <c r="N2943" s="3" t="s">
        <v>1615</v>
      </c>
      <c r="P2943" s="3" t="s">
        <v>102</v>
      </c>
      <c r="R2943" s="3" t="s">
        <v>70</v>
      </c>
      <c r="S2943" s="4">
        <v>17</v>
      </c>
      <c r="T2943" s="4">
        <v>17</v>
      </c>
      <c r="U2943" s="5" t="s">
        <v>19222</v>
      </c>
      <c r="V2943" s="5" t="s">
        <v>19222</v>
      </c>
      <c r="W2943" s="5" t="s">
        <v>72</v>
      </c>
      <c r="X2943" s="5" t="s">
        <v>72</v>
      </c>
      <c r="Y2943" s="4">
        <v>875</v>
      </c>
      <c r="Z2943" s="4">
        <v>38</v>
      </c>
      <c r="AA2943" s="4">
        <v>47</v>
      </c>
      <c r="AB2943" s="4">
        <v>2</v>
      </c>
      <c r="AC2943" s="4">
        <v>8</v>
      </c>
      <c r="AD2943" s="4">
        <v>113</v>
      </c>
      <c r="AE2943" s="4">
        <v>120</v>
      </c>
      <c r="AF2943" s="4">
        <v>1</v>
      </c>
      <c r="AG2943" s="4">
        <v>5</v>
      </c>
      <c r="AH2943" s="4">
        <v>94</v>
      </c>
      <c r="AI2943" s="4">
        <v>97</v>
      </c>
      <c r="AJ2943" s="4">
        <v>17</v>
      </c>
      <c r="AK2943" s="4">
        <v>20</v>
      </c>
      <c r="AL2943" s="4">
        <v>50</v>
      </c>
      <c r="AM2943" s="4">
        <v>50</v>
      </c>
      <c r="AN2943" s="4">
        <v>0</v>
      </c>
      <c r="AO2943" s="4">
        <v>0</v>
      </c>
      <c r="AP2943" s="4">
        <v>26</v>
      </c>
      <c r="AQ2943" s="4">
        <v>30</v>
      </c>
      <c r="AR2943" s="3" t="s">
        <v>64</v>
      </c>
      <c r="AS2943" s="3" t="s">
        <v>64</v>
      </c>
      <c r="AT2943" s="3" t="s">
        <v>64</v>
      </c>
      <c r="AV2943" s="6" t="str">
        <f>HYPERLINK("http://mcgill.on.worldcat.org/oclc/32821980","Catalog Record")</f>
        <v>Catalog Record</v>
      </c>
      <c r="AW2943" s="6" t="str">
        <f>HYPERLINK("http://www.worldcat.org/oclc/32821980","WorldCat Record")</f>
        <v>WorldCat Record</v>
      </c>
      <c r="AX2943" s="3" t="s">
        <v>29508</v>
      </c>
      <c r="AY2943" s="3" t="s">
        <v>29509</v>
      </c>
      <c r="AZ2943" s="3" t="s">
        <v>29510</v>
      </c>
      <c r="BA2943" s="3" t="s">
        <v>29510</v>
      </c>
      <c r="BB2943" s="3" t="s">
        <v>29511</v>
      </c>
      <c r="BC2943" s="3" t="s">
        <v>77</v>
      </c>
      <c r="BD2943" s="3" t="s">
        <v>78</v>
      </c>
      <c r="BE2943" s="3" t="s">
        <v>29512</v>
      </c>
      <c r="BF2943" s="3" t="s">
        <v>29511</v>
      </c>
      <c r="BG2943" s="3" t="s">
        <v>29513</v>
      </c>
      <c r="BH2943">
        <f t="shared" si="69"/>
        <v>0</v>
      </c>
    </row>
    <row r="2944" spans="1:60" ht="58" x14ac:dyDescent="0.35">
      <c r="A2944" s="2" t="s">
        <v>59</v>
      </c>
      <c r="B2944" s="2" t="s">
        <v>60</v>
      </c>
      <c r="C2944" s="2" t="s">
        <v>29514</v>
      </c>
      <c r="D2944" s="2" t="s">
        <v>29515</v>
      </c>
      <c r="E2944" s="2" t="s">
        <v>29516</v>
      </c>
      <c r="F2944" s="3" t="s">
        <v>7631</v>
      </c>
      <c r="G2944" s="3" t="s">
        <v>128</v>
      </c>
      <c r="I2944" s="3" t="s">
        <v>64</v>
      </c>
      <c r="J2944" s="3" t="s">
        <v>64</v>
      </c>
      <c r="K2944" s="3" t="s">
        <v>65</v>
      </c>
      <c r="L2944" s="2" t="s">
        <v>29517</v>
      </c>
      <c r="M2944" s="2" t="s">
        <v>23545</v>
      </c>
      <c r="N2944" s="3" t="s">
        <v>434</v>
      </c>
      <c r="P2944" s="3" t="s">
        <v>102</v>
      </c>
      <c r="Q2944" s="2" t="s">
        <v>29518</v>
      </c>
      <c r="R2944" s="3" t="s">
        <v>70</v>
      </c>
      <c r="S2944" s="4">
        <v>0</v>
      </c>
      <c r="T2944" s="4">
        <v>22</v>
      </c>
      <c r="V2944" s="5" t="s">
        <v>29519</v>
      </c>
      <c r="W2944" s="5" t="s">
        <v>72</v>
      </c>
      <c r="X2944" s="5" t="s">
        <v>72</v>
      </c>
      <c r="Y2944" s="4">
        <v>526</v>
      </c>
      <c r="Z2944" s="4">
        <v>23</v>
      </c>
      <c r="AA2944" s="4">
        <v>36</v>
      </c>
      <c r="AB2944" s="4">
        <v>2</v>
      </c>
      <c r="AC2944" s="4">
        <v>4</v>
      </c>
      <c r="AD2944" s="4">
        <v>82</v>
      </c>
      <c r="AE2944" s="4">
        <v>94</v>
      </c>
      <c r="AF2944" s="4">
        <v>1</v>
      </c>
      <c r="AG2944" s="4">
        <v>3</v>
      </c>
      <c r="AH2944" s="4">
        <v>69</v>
      </c>
      <c r="AI2944" s="4">
        <v>76</v>
      </c>
      <c r="AJ2944" s="4">
        <v>11</v>
      </c>
      <c r="AK2944" s="4">
        <v>19</v>
      </c>
      <c r="AL2944" s="4">
        <v>34</v>
      </c>
      <c r="AM2944" s="4">
        <v>35</v>
      </c>
      <c r="AN2944" s="4">
        <v>0</v>
      </c>
      <c r="AO2944" s="4">
        <v>0</v>
      </c>
      <c r="AP2944" s="4">
        <v>16</v>
      </c>
      <c r="AQ2944" s="4">
        <v>26</v>
      </c>
      <c r="AR2944" s="3" t="s">
        <v>64</v>
      </c>
      <c r="AS2944" s="3" t="s">
        <v>64</v>
      </c>
      <c r="AT2944" s="3" t="s">
        <v>128</v>
      </c>
      <c r="AU2944" s="6" t="str">
        <f>HYPERLINK("http://catalog.hathitrust.org/Record/005218399","HathiTrust Record")</f>
        <v>HathiTrust Record</v>
      </c>
      <c r="AV2944" s="6" t="str">
        <f>HYPERLINK("http://mcgill.on.worldcat.org/oclc/59099021","Catalog Record")</f>
        <v>Catalog Record</v>
      </c>
      <c r="AW2944" s="6" t="str">
        <f>HYPERLINK("http://www.worldcat.org/oclc/59099021","WorldCat Record")</f>
        <v>WorldCat Record</v>
      </c>
      <c r="AX2944" s="3" t="s">
        <v>29520</v>
      </c>
      <c r="AY2944" s="3" t="s">
        <v>29521</v>
      </c>
      <c r="AZ2944" s="3" t="s">
        <v>29522</v>
      </c>
      <c r="BA2944" s="3" t="s">
        <v>29522</v>
      </c>
      <c r="BB2944" s="3" t="s">
        <v>29523</v>
      </c>
      <c r="BC2944" s="3" t="s">
        <v>77</v>
      </c>
      <c r="BD2944" s="3" t="s">
        <v>78</v>
      </c>
      <c r="BE2944" s="3" t="s">
        <v>29524</v>
      </c>
      <c r="BF2944" s="3" t="s">
        <v>29523</v>
      </c>
      <c r="BG2944" s="3" t="s">
        <v>29525</v>
      </c>
      <c r="BH2944">
        <f t="shared" si="69"/>
        <v>0</v>
      </c>
    </row>
    <row r="2945" spans="1:60" ht="58" x14ac:dyDescent="0.35">
      <c r="A2945" s="2" t="s">
        <v>59</v>
      </c>
      <c r="B2945" s="2" t="s">
        <v>60</v>
      </c>
      <c r="C2945" s="2" t="s">
        <v>29514</v>
      </c>
      <c r="D2945" s="2" t="s">
        <v>29515</v>
      </c>
      <c r="E2945" s="2" t="s">
        <v>29516</v>
      </c>
      <c r="F2945" s="3" t="s">
        <v>7620</v>
      </c>
      <c r="G2945" s="3" t="s">
        <v>128</v>
      </c>
      <c r="I2945" s="3" t="s">
        <v>64</v>
      </c>
      <c r="J2945" s="3" t="s">
        <v>64</v>
      </c>
      <c r="K2945" s="3" t="s">
        <v>65</v>
      </c>
      <c r="L2945" s="2" t="s">
        <v>29517</v>
      </c>
      <c r="M2945" s="2" t="s">
        <v>23545</v>
      </c>
      <c r="N2945" s="3" t="s">
        <v>434</v>
      </c>
      <c r="P2945" s="3" t="s">
        <v>102</v>
      </c>
      <c r="Q2945" s="2" t="s">
        <v>29518</v>
      </c>
      <c r="R2945" s="3" t="s">
        <v>70</v>
      </c>
      <c r="S2945" s="4">
        <v>22</v>
      </c>
      <c r="T2945" s="4">
        <v>22</v>
      </c>
      <c r="U2945" s="5" t="s">
        <v>29519</v>
      </c>
      <c r="V2945" s="5" t="s">
        <v>29519</v>
      </c>
      <c r="W2945" s="5" t="s">
        <v>72</v>
      </c>
      <c r="X2945" s="5" t="s">
        <v>72</v>
      </c>
      <c r="Y2945" s="4">
        <v>526</v>
      </c>
      <c r="Z2945" s="4">
        <v>23</v>
      </c>
      <c r="AA2945" s="4">
        <v>36</v>
      </c>
      <c r="AB2945" s="4">
        <v>2</v>
      </c>
      <c r="AC2945" s="4">
        <v>4</v>
      </c>
      <c r="AD2945" s="4">
        <v>82</v>
      </c>
      <c r="AE2945" s="4">
        <v>94</v>
      </c>
      <c r="AF2945" s="4">
        <v>1</v>
      </c>
      <c r="AG2945" s="4">
        <v>3</v>
      </c>
      <c r="AH2945" s="4">
        <v>69</v>
      </c>
      <c r="AI2945" s="4">
        <v>76</v>
      </c>
      <c r="AJ2945" s="4">
        <v>11</v>
      </c>
      <c r="AK2945" s="4">
        <v>19</v>
      </c>
      <c r="AL2945" s="4">
        <v>34</v>
      </c>
      <c r="AM2945" s="4">
        <v>35</v>
      </c>
      <c r="AN2945" s="4">
        <v>0</v>
      </c>
      <c r="AO2945" s="4">
        <v>0</v>
      </c>
      <c r="AP2945" s="4">
        <v>16</v>
      </c>
      <c r="AQ2945" s="4">
        <v>26</v>
      </c>
      <c r="AR2945" s="3" t="s">
        <v>64</v>
      </c>
      <c r="AS2945" s="3" t="s">
        <v>64</v>
      </c>
      <c r="AT2945" s="3" t="s">
        <v>128</v>
      </c>
      <c r="AU2945" s="6" t="str">
        <f>HYPERLINK("http://catalog.hathitrust.org/Record/005218399","HathiTrust Record")</f>
        <v>HathiTrust Record</v>
      </c>
      <c r="AV2945" s="6" t="str">
        <f>HYPERLINK("http://mcgill.on.worldcat.org/oclc/59099021","Catalog Record")</f>
        <v>Catalog Record</v>
      </c>
      <c r="AW2945" s="6" t="str">
        <f>HYPERLINK("http://www.worldcat.org/oclc/59099021","WorldCat Record")</f>
        <v>WorldCat Record</v>
      </c>
      <c r="AX2945" s="3" t="s">
        <v>29520</v>
      </c>
      <c r="AY2945" s="3" t="s">
        <v>29521</v>
      </c>
      <c r="AZ2945" s="3" t="s">
        <v>29522</v>
      </c>
      <c r="BA2945" s="3" t="s">
        <v>29522</v>
      </c>
      <c r="BB2945" s="3" t="s">
        <v>29526</v>
      </c>
      <c r="BC2945" s="3" t="s">
        <v>77</v>
      </c>
      <c r="BD2945" s="3" t="s">
        <v>165</v>
      </c>
      <c r="BE2945" s="3" t="s">
        <v>29524</v>
      </c>
      <c r="BF2945" s="3" t="s">
        <v>29526</v>
      </c>
      <c r="BG2945" s="3" t="s">
        <v>29527</v>
      </c>
      <c r="BH2945">
        <f t="shared" si="69"/>
        <v>0</v>
      </c>
    </row>
    <row r="2946" spans="1:60" ht="58" x14ac:dyDescent="0.35">
      <c r="A2946" s="2" t="s">
        <v>59</v>
      </c>
      <c r="B2946" s="2" t="s">
        <v>60</v>
      </c>
      <c r="C2946" s="2" t="s">
        <v>29528</v>
      </c>
      <c r="D2946" s="2" t="s">
        <v>29529</v>
      </c>
      <c r="E2946" s="2" t="s">
        <v>29530</v>
      </c>
      <c r="F2946" s="3" t="s">
        <v>7620</v>
      </c>
      <c r="G2946" s="3" t="s">
        <v>64</v>
      </c>
      <c r="I2946" s="3" t="s">
        <v>64</v>
      </c>
      <c r="J2946" s="3" t="s">
        <v>64</v>
      </c>
      <c r="K2946" s="3" t="s">
        <v>65</v>
      </c>
      <c r="L2946" s="2" t="s">
        <v>29531</v>
      </c>
      <c r="M2946" s="2" t="s">
        <v>29532</v>
      </c>
      <c r="N2946" s="3" t="s">
        <v>392</v>
      </c>
      <c r="P2946" s="3" t="s">
        <v>102</v>
      </c>
      <c r="Q2946" s="2" t="s">
        <v>29533</v>
      </c>
      <c r="R2946" s="3" t="s">
        <v>70</v>
      </c>
      <c r="S2946" s="4">
        <v>7</v>
      </c>
      <c r="T2946" s="4">
        <v>7</v>
      </c>
      <c r="U2946" s="5" t="s">
        <v>29534</v>
      </c>
      <c r="V2946" s="5" t="s">
        <v>29534</v>
      </c>
      <c r="W2946" s="5" t="s">
        <v>17763</v>
      </c>
      <c r="X2946" s="5" t="s">
        <v>17763</v>
      </c>
      <c r="Y2946" s="4">
        <v>279</v>
      </c>
      <c r="Z2946" s="4">
        <v>11</v>
      </c>
      <c r="AA2946" s="4">
        <v>14</v>
      </c>
      <c r="AB2946" s="4">
        <v>1</v>
      </c>
      <c r="AC2946" s="4">
        <v>2</v>
      </c>
      <c r="AD2946" s="4">
        <v>48</v>
      </c>
      <c r="AE2946" s="4">
        <v>50</v>
      </c>
      <c r="AF2946" s="4">
        <v>0</v>
      </c>
      <c r="AG2946" s="4">
        <v>1</v>
      </c>
      <c r="AH2946" s="4">
        <v>44</v>
      </c>
      <c r="AI2946" s="4">
        <v>44</v>
      </c>
      <c r="AJ2946" s="4">
        <v>4</v>
      </c>
      <c r="AK2946" s="4">
        <v>4</v>
      </c>
      <c r="AL2946" s="4">
        <v>23</v>
      </c>
      <c r="AM2946" s="4">
        <v>23</v>
      </c>
      <c r="AN2946" s="4">
        <v>0</v>
      </c>
      <c r="AO2946" s="4">
        <v>0</v>
      </c>
      <c r="AP2946" s="4">
        <v>8</v>
      </c>
      <c r="AQ2946" s="4">
        <v>10</v>
      </c>
      <c r="AR2946" s="3" t="s">
        <v>64</v>
      </c>
      <c r="AS2946" s="3" t="s">
        <v>64</v>
      </c>
      <c r="AT2946" s="3" t="s">
        <v>64</v>
      </c>
      <c r="AV2946" s="6" t="str">
        <f>HYPERLINK("http://mcgill.on.worldcat.org/oclc/39515058","Catalog Record")</f>
        <v>Catalog Record</v>
      </c>
      <c r="AW2946" s="6" t="str">
        <f>HYPERLINK("http://www.worldcat.org/oclc/39515058","WorldCat Record")</f>
        <v>WorldCat Record</v>
      </c>
      <c r="AX2946" s="3" t="s">
        <v>29535</v>
      </c>
      <c r="AY2946" s="3" t="s">
        <v>29536</v>
      </c>
      <c r="AZ2946" s="3" t="s">
        <v>29537</v>
      </c>
      <c r="BA2946" s="3" t="s">
        <v>29537</v>
      </c>
      <c r="BB2946" s="3" t="s">
        <v>29538</v>
      </c>
      <c r="BC2946" s="3" t="s">
        <v>77</v>
      </c>
      <c r="BD2946" s="3" t="s">
        <v>78</v>
      </c>
      <c r="BE2946" s="3" t="s">
        <v>29539</v>
      </c>
      <c r="BF2946" s="3" t="s">
        <v>29538</v>
      </c>
      <c r="BG2946" s="3" t="s">
        <v>29540</v>
      </c>
      <c r="BH2946">
        <f t="shared" ref="BH2946:BH3009" si="73">IF(COUNTIF($BF$1:$BF$5431,BF2946)=1,0,1)</f>
        <v>0</v>
      </c>
    </row>
    <row r="2947" spans="1:60" ht="58" x14ac:dyDescent="0.35">
      <c r="A2947" s="2" t="s">
        <v>59</v>
      </c>
      <c r="B2947" s="2" t="s">
        <v>60</v>
      </c>
      <c r="C2947" s="2" t="s">
        <v>29541</v>
      </c>
      <c r="D2947" s="2" t="s">
        <v>29542</v>
      </c>
      <c r="E2947" s="2" t="s">
        <v>29543</v>
      </c>
      <c r="G2947" s="3" t="s">
        <v>64</v>
      </c>
      <c r="I2947" s="3" t="s">
        <v>64</v>
      </c>
      <c r="J2947" s="3" t="s">
        <v>64</v>
      </c>
      <c r="K2947" s="3" t="s">
        <v>65</v>
      </c>
      <c r="M2947" s="2" t="s">
        <v>29544</v>
      </c>
      <c r="N2947" s="3" t="s">
        <v>537</v>
      </c>
      <c r="P2947" s="3" t="s">
        <v>102</v>
      </c>
      <c r="R2947" s="3" t="s">
        <v>70</v>
      </c>
      <c r="S2947" s="4">
        <v>3</v>
      </c>
      <c r="T2947" s="4">
        <v>3</v>
      </c>
      <c r="U2947" s="5" t="s">
        <v>10415</v>
      </c>
      <c r="V2947" s="5" t="s">
        <v>10415</v>
      </c>
      <c r="W2947" s="5" t="s">
        <v>72</v>
      </c>
      <c r="X2947" s="5" t="s">
        <v>72</v>
      </c>
      <c r="Y2947" s="4">
        <v>38</v>
      </c>
      <c r="Z2947" s="4">
        <v>3</v>
      </c>
      <c r="AA2947" s="4">
        <v>9</v>
      </c>
      <c r="AB2947" s="4">
        <v>1</v>
      </c>
      <c r="AC2947" s="4">
        <v>5</v>
      </c>
      <c r="AD2947" s="4">
        <v>10</v>
      </c>
      <c r="AE2947" s="4">
        <v>22</v>
      </c>
      <c r="AF2947" s="4">
        <v>0</v>
      </c>
      <c r="AG2947" s="4">
        <v>2</v>
      </c>
      <c r="AH2947" s="4">
        <v>9</v>
      </c>
      <c r="AI2947" s="4">
        <v>19</v>
      </c>
      <c r="AJ2947" s="4">
        <v>2</v>
      </c>
      <c r="AK2947" s="4">
        <v>5</v>
      </c>
      <c r="AL2947" s="4">
        <v>5</v>
      </c>
      <c r="AM2947" s="4">
        <v>10</v>
      </c>
      <c r="AN2947" s="4">
        <v>0</v>
      </c>
      <c r="AO2947" s="4">
        <v>0</v>
      </c>
      <c r="AP2947" s="4">
        <v>1</v>
      </c>
      <c r="AQ2947" s="4">
        <v>4</v>
      </c>
      <c r="AR2947" s="3" t="s">
        <v>128</v>
      </c>
      <c r="AS2947" s="3" t="s">
        <v>64</v>
      </c>
      <c r="AT2947" s="3" t="s">
        <v>64</v>
      </c>
      <c r="AV2947" s="6" t="str">
        <f>HYPERLINK("http://mcgill.on.worldcat.org/oclc/908654850","Catalog Record")</f>
        <v>Catalog Record</v>
      </c>
      <c r="AW2947" s="6" t="str">
        <f>HYPERLINK("http://www.worldcat.org/oclc/908654850","WorldCat Record")</f>
        <v>WorldCat Record</v>
      </c>
      <c r="AX2947" s="3" t="s">
        <v>29545</v>
      </c>
      <c r="AY2947" s="3" t="s">
        <v>29546</v>
      </c>
      <c r="AZ2947" s="3" t="s">
        <v>29547</v>
      </c>
      <c r="BA2947" s="3" t="s">
        <v>29547</v>
      </c>
      <c r="BB2947" s="3" t="s">
        <v>29548</v>
      </c>
      <c r="BC2947" s="3" t="s">
        <v>77</v>
      </c>
      <c r="BD2947" s="3" t="s">
        <v>78</v>
      </c>
      <c r="BE2947" s="3" t="s">
        <v>29549</v>
      </c>
      <c r="BF2947" s="3" t="s">
        <v>29548</v>
      </c>
      <c r="BG2947" s="3" t="s">
        <v>29550</v>
      </c>
      <c r="BH2947">
        <f t="shared" si="73"/>
        <v>0</v>
      </c>
    </row>
    <row r="2948" spans="1:60" ht="72.5" x14ac:dyDescent="0.35">
      <c r="A2948" s="2" t="s">
        <v>59</v>
      </c>
      <c r="B2948" s="2" t="s">
        <v>60</v>
      </c>
      <c r="C2948" s="2" t="s">
        <v>29551</v>
      </c>
      <c r="D2948" s="2" t="s">
        <v>29552</v>
      </c>
      <c r="E2948" s="2" t="s">
        <v>29553</v>
      </c>
      <c r="G2948" s="3" t="s">
        <v>64</v>
      </c>
      <c r="I2948" s="3" t="s">
        <v>64</v>
      </c>
      <c r="J2948" s="3" t="s">
        <v>64</v>
      </c>
      <c r="K2948" s="3" t="s">
        <v>65</v>
      </c>
      <c r="M2948" s="2" t="s">
        <v>16038</v>
      </c>
      <c r="N2948" s="3" t="s">
        <v>153</v>
      </c>
      <c r="P2948" s="3" t="s">
        <v>102</v>
      </c>
      <c r="Q2948" s="2" t="s">
        <v>21484</v>
      </c>
      <c r="R2948" s="3" t="s">
        <v>70</v>
      </c>
      <c r="S2948" s="4">
        <v>4</v>
      </c>
      <c r="T2948" s="4">
        <v>4</v>
      </c>
      <c r="U2948" s="5" t="s">
        <v>17247</v>
      </c>
      <c r="V2948" s="5" t="s">
        <v>17247</v>
      </c>
      <c r="W2948" s="5" t="s">
        <v>72</v>
      </c>
      <c r="X2948" s="5" t="s">
        <v>72</v>
      </c>
      <c r="Y2948" s="4">
        <v>502</v>
      </c>
      <c r="Z2948" s="4">
        <v>18</v>
      </c>
      <c r="AA2948" s="4">
        <v>98</v>
      </c>
      <c r="AB2948" s="4">
        <v>2</v>
      </c>
      <c r="AC2948" s="4">
        <v>18</v>
      </c>
      <c r="AD2948" s="4">
        <v>82</v>
      </c>
      <c r="AE2948" s="4">
        <v>131</v>
      </c>
      <c r="AF2948" s="4">
        <v>0</v>
      </c>
      <c r="AG2948" s="4">
        <v>8</v>
      </c>
      <c r="AH2948" s="4">
        <v>75</v>
      </c>
      <c r="AI2948" s="4">
        <v>97</v>
      </c>
      <c r="AJ2948" s="4">
        <v>10</v>
      </c>
      <c r="AK2948" s="4">
        <v>22</v>
      </c>
      <c r="AL2948" s="4">
        <v>37</v>
      </c>
      <c r="AM2948" s="4">
        <v>49</v>
      </c>
      <c r="AN2948" s="4">
        <v>0</v>
      </c>
      <c r="AO2948" s="4">
        <v>0</v>
      </c>
      <c r="AP2948" s="4">
        <v>11</v>
      </c>
      <c r="AQ2948" s="4">
        <v>43</v>
      </c>
      <c r="AR2948" s="3" t="s">
        <v>64</v>
      </c>
      <c r="AS2948" s="3" t="s">
        <v>64</v>
      </c>
      <c r="AT2948" s="3" t="s">
        <v>64</v>
      </c>
      <c r="AV2948" s="6" t="str">
        <f>HYPERLINK("http://mcgill.on.worldcat.org/oclc/39079190","Catalog Record")</f>
        <v>Catalog Record</v>
      </c>
      <c r="AW2948" s="6" t="str">
        <f>HYPERLINK("http://www.worldcat.org/oclc/39079190","WorldCat Record")</f>
        <v>WorldCat Record</v>
      </c>
      <c r="AX2948" s="3" t="s">
        <v>29554</v>
      </c>
      <c r="AY2948" s="3" t="s">
        <v>29555</v>
      </c>
      <c r="AZ2948" s="3" t="s">
        <v>29556</v>
      </c>
      <c r="BA2948" s="3" t="s">
        <v>29556</v>
      </c>
      <c r="BB2948" s="3" t="s">
        <v>29557</v>
      </c>
      <c r="BC2948" s="3" t="s">
        <v>77</v>
      </c>
      <c r="BD2948" s="3" t="s">
        <v>78</v>
      </c>
      <c r="BE2948" s="3" t="s">
        <v>29558</v>
      </c>
      <c r="BF2948" s="3" t="s">
        <v>29557</v>
      </c>
      <c r="BG2948" s="3" t="s">
        <v>29559</v>
      </c>
      <c r="BH2948">
        <f t="shared" si="73"/>
        <v>0</v>
      </c>
    </row>
    <row r="2949" spans="1:60" ht="58" x14ac:dyDescent="0.35">
      <c r="A2949" s="2" t="s">
        <v>59</v>
      </c>
      <c r="B2949" s="2" t="s">
        <v>60</v>
      </c>
      <c r="C2949" s="2" t="s">
        <v>29560</v>
      </c>
      <c r="D2949" s="2" t="s">
        <v>29561</v>
      </c>
      <c r="E2949" s="2" t="s">
        <v>29562</v>
      </c>
      <c r="G2949" s="3" t="s">
        <v>64</v>
      </c>
      <c r="I2949" s="3" t="s">
        <v>128</v>
      </c>
      <c r="J2949" s="3" t="s">
        <v>64</v>
      </c>
      <c r="K2949" s="3" t="s">
        <v>65</v>
      </c>
      <c r="L2949" s="2" t="s">
        <v>29090</v>
      </c>
      <c r="M2949" s="2" t="s">
        <v>27459</v>
      </c>
      <c r="N2949" s="3" t="s">
        <v>1250</v>
      </c>
      <c r="O2949" s="2" t="s">
        <v>172</v>
      </c>
      <c r="P2949" s="3" t="s">
        <v>102</v>
      </c>
      <c r="R2949" s="3" t="s">
        <v>70</v>
      </c>
      <c r="S2949" s="4">
        <v>15</v>
      </c>
      <c r="T2949" s="4">
        <v>15</v>
      </c>
      <c r="U2949" s="5" t="s">
        <v>6684</v>
      </c>
      <c r="V2949" s="5" t="s">
        <v>6684</v>
      </c>
      <c r="W2949" s="5" t="s">
        <v>72</v>
      </c>
      <c r="X2949" s="5" t="s">
        <v>72</v>
      </c>
      <c r="Y2949" s="4">
        <v>470</v>
      </c>
      <c r="Z2949" s="4">
        <v>23</v>
      </c>
      <c r="AA2949" s="4">
        <v>37</v>
      </c>
      <c r="AB2949" s="4">
        <v>2</v>
      </c>
      <c r="AC2949" s="4">
        <v>8</v>
      </c>
      <c r="AD2949" s="4">
        <v>84</v>
      </c>
      <c r="AE2949" s="4">
        <v>104</v>
      </c>
      <c r="AF2949" s="4">
        <v>1</v>
      </c>
      <c r="AG2949" s="4">
        <v>4</v>
      </c>
      <c r="AH2949" s="4">
        <v>71</v>
      </c>
      <c r="AI2949" s="4">
        <v>88</v>
      </c>
      <c r="AJ2949" s="4">
        <v>16</v>
      </c>
      <c r="AK2949" s="4">
        <v>20</v>
      </c>
      <c r="AL2949" s="4">
        <v>34</v>
      </c>
      <c r="AM2949" s="4">
        <v>41</v>
      </c>
      <c r="AN2949" s="4">
        <v>0</v>
      </c>
      <c r="AO2949" s="4">
        <v>4</v>
      </c>
      <c r="AP2949" s="4">
        <v>19</v>
      </c>
      <c r="AQ2949" s="4">
        <v>24</v>
      </c>
      <c r="AR2949" s="3" t="s">
        <v>64</v>
      </c>
      <c r="AS2949" s="3" t="s">
        <v>64</v>
      </c>
      <c r="AT2949" s="3" t="s">
        <v>128</v>
      </c>
      <c r="AU2949" s="6" t="str">
        <f>HYPERLINK("http://catalog.hathitrust.org/Record/002889538","HathiTrust Record")</f>
        <v>HathiTrust Record</v>
      </c>
      <c r="AV2949" s="6" t="str">
        <f>HYPERLINK("http://mcgill.on.worldcat.org/oclc/29668007","Catalog Record")</f>
        <v>Catalog Record</v>
      </c>
      <c r="AW2949" s="6" t="str">
        <f>HYPERLINK("http://www.worldcat.org/oclc/29668007","WorldCat Record")</f>
        <v>WorldCat Record</v>
      </c>
      <c r="AX2949" s="3" t="s">
        <v>29563</v>
      </c>
      <c r="AY2949" s="3" t="s">
        <v>29564</v>
      </c>
      <c r="AZ2949" s="3" t="s">
        <v>29565</v>
      </c>
      <c r="BA2949" s="3" t="s">
        <v>29565</v>
      </c>
      <c r="BB2949" s="3" t="s">
        <v>29566</v>
      </c>
      <c r="BC2949" s="3" t="s">
        <v>77</v>
      </c>
      <c r="BD2949" s="3" t="s">
        <v>78</v>
      </c>
      <c r="BE2949" s="3" t="s">
        <v>29567</v>
      </c>
      <c r="BF2949" s="3" t="s">
        <v>29566</v>
      </c>
      <c r="BG2949" s="3" t="s">
        <v>29568</v>
      </c>
      <c r="BH2949">
        <f t="shared" si="73"/>
        <v>0</v>
      </c>
    </row>
    <row r="2950" spans="1:60" ht="58" x14ac:dyDescent="0.35">
      <c r="A2950" s="2" t="s">
        <v>1040</v>
      </c>
      <c r="B2950" s="2" t="s">
        <v>60</v>
      </c>
      <c r="C2950" s="2" t="s">
        <v>29569</v>
      </c>
      <c r="D2950" s="2" t="s">
        <v>29570</v>
      </c>
      <c r="E2950" s="2" t="s">
        <v>29562</v>
      </c>
      <c r="G2950" s="3" t="s">
        <v>64</v>
      </c>
      <c r="I2950" s="3" t="s">
        <v>128</v>
      </c>
      <c r="J2950" s="3" t="s">
        <v>64</v>
      </c>
      <c r="K2950" s="3" t="s">
        <v>65</v>
      </c>
      <c r="L2950" s="2" t="s">
        <v>29090</v>
      </c>
      <c r="M2950" s="2" t="s">
        <v>27459</v>
      </c>
      <c r="N2950" s="3" t="s">
        <v>1250</v>
      </c>
      <c r="O2950" s="2" t="s">
        <v>172</v>
      </c>
      <c r="P2950" s="3" t="s">
        <v>102</v>
      </c>
      <c r="R2950" s="3" t="s">
        <v>70</v>
      </c>
      <c r="S2950" s="4">
        <v>0</v>
      </c>
      <c r="T2950" s="4">
        <v>15</v>
      </c>
      <c r="V2950" s="5" t="s">
        <v>6684</v>
      </c>
      <c r="W2950" s="5" t="s">
        <v>72</v>
      </c>
      <c r="X2950" s="5" t="s">
        <v>72</v>
      </c>
      <c r="Y2950" s="4">
        <v>470</v>
      </c>
      <c r="Z2950" s="4">
        <v>23</v>
      </c>
      <c r="AA2950" s="4">
        <v>37</v>
      </c>
      <c r="AB2950" s="4">
        <v>2</v>
      </c>
      <c r="AC2950" s="4">
        <v>8</v>
      </c>
      <c r="AD2950" s="4">
        <v>84</v>
      </c>
      <c r="AE2950" s="4">
        <v>104</v>
      </c>
      <c r="AF2950" s="4">
        <v>1</v>
      </c>
      <c r="AG2950" s="4">
        <v>4</v>
      </c>
      <c r="AH2950" s="4">
        <v>71</v>
      </c>
      <c r="AI2950" s="4">
        <v>88</v>
      </c>
      <c r="AJ2950" s="4">
        <v>16</v>
      </c>
      <c r="AK2950" s="4">
        <v>20</v>
      </c>
      <c r="AL2950" s="4">
        <v>34</v>
      </c>
      <c r="AM2950" s="4">
        <v>41</v>
      </c>
      <c r="AN2950" s="4">
        <v>0</v>
      </c>
      <c r="AO2950" s="4">
        <v>4</v>
      </c>
      <c r="AP2950" s="4">
        <v>19</v>
      </c>
      <c r="AQ2950" s="4">
        <v>24</v>
      </c>
      <c r="AR2950" s="3" t="s">
        <v>64</v>
      </c>
      <c r="AS2950" s="3" t="s">
        <v>64</v>
      </c>
      <c r="AT2950" s="3" t="s">
        <v>128</v>
      </c>
      <c r="AU2950" s="6" t="str">
        <f>HYPERLINK("http://catalog.hathitrust.org/Record/002889538","HathiTrust Record")</f>
        <v>HathiTrust Record</v>
      </c>
      <c r="AV2950" s="6" t="str">
        <f>HYPERLINK("http://mcgill.on.worldcat.org/oclc/29668007","Catalog Record")</f>
        <v>Catalog Record</v>
      </c>
      <c r="AW2950" s="6" t="str">
        <f>HYPERLINK("http://www.worldcat.org/oclc/29668007","WorldCat Record")</f>
        <v>WorldCat Record</v>
      </c>
      <c r="AX2950" s="3" t="s">
        <v>29563</v>
      </c>
      <c r="AY2950" s="3" t="s">
        <v>29564</v>
      </c>
      <c r="AZ2950" s="3" t="s">
        <v>29565</v>
      </c>
      <c r="BA2950" s="3" t="s">
        <v>29565</v>
      </c>
      <c r="BB2950" s="3" t="s">
        <v>29571</v>
      </c>
      <c r="BC2950" s="3" t="s">
        <v>77</v>
      </c>
      <c r="BD2950" s="3" t="s">
        <v>78</v>
      </c>
      <c r="BE2950" s="3" t="s">
        <v>29567</v>
      </c>
      <c r="BF2950" s="3" t="s">
        <v>29571</v>
      </c>
      <c r="BG2950" s="3" t="s">
        <v>29572</v>
      </c>
      <c r="BH2950">
        <f t="shared" si="73"/>
        <v>0</v>
      </c>
    </row>
    <row r="2951" spans="1:60" ht="58" x14ac:dyDescent="0.35">
      <c r="A2951" s="2" t="s">
        <v>59</v>
      </c>
      <c r="B2951" s="2" t="s">
        <v>60</v>
      </c>
      <c r="C2951" s="2" t="s">
        <v>29573</v>
      </c>
      <c r="D2951" s="2" t="s">
        <v>29574</v>
      </c>
      <c r="E2951" s="2" t="s">
        <v>29575</v>
      </c>
      <c r="G2951" s="3" t="s">
        <v>64</v>
      </c>
      <c r="I2951" s="3" t="s">
        <v>64</v>
      </c>
      <c r="J2951" s="3" t="s">
        <v>64</v>
      </c>
      <c r="K2951" s="3" t="s">
        <v>65</v>
      </c>
      <c r="L2951" s="2" t="s">
        <v>29576</v>
      </c>
      <c r="M2951" s="2" t="s">
        <v>14033</v>
      </c>
      <c r="N2951" s="3" t="s">
        <v>434</v>
      </c>
      <c r="P2951" s="3" t="s">
        <v>102</v>
      </c>
      <c r="R2951" s="3" t="s">
        <v>70</v>
      </c>
      <c r="S2951" s="4">
        <v>17</v>
      </c>
      <c r="T2951" s="4">
        <v>17</v>
      </c>
      <c r="U2951" s="5" t="s">
        <v>2725</v>
      </c>
      <c r="V2951" s="5" t="s">
        <v>2725</v>
      </c>
      <c r="W2951" s="5" t="s">
        <v>72</v>
      </c>
      <c r="X2951" s="5" t="s">
        <v>72</v>
      </c>
      <c r="Y2951" s="4">
        <v>515</v>
      </c>
      <c r="Z2951" s="4">
        <v>17</v>
      </c>
      <c r="AA2951" s="4">
        <v>29</v>
      </c>
      <c r="AB2951" s="4">
        <v>1</v>
      </c>
      <c r="AC2951" s="4">
        <v>2</v>
      </c>
      <c r="AD2951" s="4">
        <v>76</v>
      </c>
      <c r="AE2951" s="4">
        <v>84</v>
      </c>
      <c r="AF2951" s="4">
        <v>0</v>
      </c>
      <c r="AG2951" s="4">
        <v>1</v>
      </c>
      <c r="AH2951" s="4">
        <v>70</v>
      </c>
      <c r="AI2951" s="4">
        <v>75</v>
      </c>
      <c r="AJ2951" s="4">
        <v>9</v>
      </c>
      <c r="AK2951" s="4">
        <v>14</v>
      </c>
      <c r="AL2951" s="4">
        <v>32</v>
      </c>
      <c r="AM2951" s="4">
        <v>33</v>
      </c>
      <c r="AN2951" s="4">
        <v>0</v>
      </c>
      <c r="AO2951" s="4">
        <v>0</v>
      </c>
      <c r="AP2951" s="4">
        <v>12</v>
      </c>
      <c r="AQ2951" s="4">
        <v>18</v>
      </c>
      <c r="AR2951" s="3" t="s">
        <v>64</v>
      </c>
      <c r="AS2951" s="3" t="s">
        <v>64</v>
      </c>
      <c r="AT2951" s="3" t="s">
        <v>64</v>
      </c>
      <c r="AV2951" s="6" t="str">
        <f>HYPERLINK("http://mcgill.on.worldcat.org/oclc/60971912","Catalog Record")</f>
        <v>Catalog Record</v>
      </c>
      <c r="AW2951" s="6" t="str">
        <f>HYPERLINK("http://www.worldcat.org/oclc/60971912","WorldCat Record")</f>
        <v>WorldCat Record</v>
      </c>
      <c r="AX2951" s="3" t="s">
        <v>29577</v>
      </c>
      <c r="AY2951" s="3" t="s">
        <v>29578</v>
      </c>
      <c r="AZ2951" s="3" t="s">
        <v>29579</v>
      </c>
      <c r="BA2951" s="3" t="s">
        <v>29579</v>
      </c>
      <c r="BB2951" s="3" t="s">
        <v>29580</v>
      </c>
      <c r="BC2951" s="3" t="s">
        <v>77</v>
      </c>
      <c r="BD2951" s="3" t="s">
        <v>78</v>
      </c>
      <c r="BE2951" s="3" t="s">
        <v>29581</v>
      </c>
      <c r="BF2951" s="3" t="s">
        <v>29580</v>
      </c>
      <c r="BG2951" s="3" t="s">
        <v>29582</v>
      </c>
      <c r="BH2951">
        <f t="shared" si="73"/>
        <v>0</v>
      </c>
    </row>
    <row r="2952" spans="1:60" ht="58" x14ac:dyDescent="0.35">
      <c r="A2952" s="2" t="s">
        <v>59</v>
      </c>
      <c r="B2952" s="2" t="s">
        <v>60</v>
      </c>
      <c r="C2952" s="2" t="s">
        <v>29583</v>
      </c>
      <c r="D2952" s="2" t="s">
        <v>29584</v>
      </c>
      <c r="E2952" s="2" t="s">
        <v>29585</v>
      </c>
      <c r="G2952" s="3" t="s">
        <v>64</v>
      </c>
      <c r="I2952" s="3" t="s">
        <v>64</v>
      </c>
      <c r="J2952" s="3" t="s">
        <v>64</v>
      </c>
      <c r="K2952" s="3" t="s">
        <v>65</v>
      </c>
      <c r="L2952" s="2" t="s">
        <v>19110</v>
      </c>
      <c r="M2952" s="2" t="s">
        <v>17565</v>
      </c>
      <c r="N2952" s="3" t="s">
        <v>86</v>
      </c>
      <c r="P2952" s="3" t="s">
        <v>102</v>
      </c>
      <c r="Q2952" s="2" t="s">
        <v>18390</v>
      </c>
      <c r="R2952" s="3" t="s">
        <v>70</v>
      </c>
      <c r="S2952" s="4">
        <v>5</v>
      </c>
      <c r="T2952" s="4">
        <v>5</v>
      </c>
      <c r="U2952" s="5" t="s">
        <v>17014</v>
      </c>
      <c r="V2952" s="5" t="s">
        <v>17014</v>
      </c>
      <c r="W2952" s="5" t="s">
        <v>72</v>
      </c>
      <c r="X2952" s="5" t="s">
        <v>72</v>
      </c>
      <c r="Y2952" s="4">
        <v>457</v>
      </c>
      <c r="Z2952" s="4">
        <v>30</v>
      </c>
      <c r="AA2952" s="4">
        <v>119</v>
      </c>
      <c r="AB2952" s="4">
        <v>4</v>
      </c>
      <c r="AC2952" s="4">
        <v>16</v>
      </c>
      <c r="AD2952" s="4">
        <v>74</v>
      </c>
      <c r="AE2952" s="4">
        <v>131</v>
      </c>
      <c r="AF2952" s="4">
        <v>1</v>
      </c>
      <c r="AG2952" s="4">
        <v>8</v>
      </c>
      <c r="AH2952" s="4">
        <v>67</v>
      </c>
      <c r="AI2952" s="4">
        <v>93</v>
      </c>
      <c r="AJ2952" s="4">
        <v>13</v>
      </c>
      <c r="AK2952" s="4">
        <v>24</v>
      </c>
      <c r="AL2952" s="4">
        <v>32</v>
      </c>
      <c r="AM2952" s="4">
        <v>48</v>
      </c>
      <c r="AN2952" s="4">
        <v>0</v>
      </c>
      <c r="AO2952" s="4">
        <v>0</v>
      </c>
      <c r="AP2952" s="4">
        <v>16</v>
      </c>
      <c r="AQ2952" s="4">
        <v>47</v>
      </c>
      <c r="AR2952" s="3" t="s">
        <v>64</v>
      </c>
      <c r="AS2952" s="3" t="s">
        <v>64</v>
      </c>
      <c r="AT2952" s="3" t="s">
        <v>64</v>
      </c>
      <c r="AV2952" s="6" t="str">
        <f>HYPERLINK("http://mcgill.on.worldcat.org/oclc/755062676","Catalog Record")</f>
        <v>Catalog Record</v>
      </c>
      <c r="AW2952" s="6" t="str">
        <f>HYPERLINK("http://www.worldcat.org/oclc/755062676","WorldCat Record")</f>
        <v>WorldCat Record</v>
      </c>
      <c r="AX2952" s="3" t="s">
        <v>29586</v>
      </c>
      <c r="AY2952" s="3" t="s">
        <v>29587</v>
      </c>
      <c r="AZ2952" s="3" t="s">
        <v>29588</v>
      </c>
      <c r="BA2952" s="3" t="s">
        <v>29588</v>
      </c>
      <c r="BB2952" s="3" t="s">
        <v>29589</v>
      </c>
      <c r="BC2952" s="3" t="s">
        <v>77</v>
      </c>
      <c r="BD2952" s="3" t="s">
        <v>78</v>
      </c>
      <c r="BE2952" s="3" t="s">
        <v>29590</v>
      </c>
      <c r="BF2952" s="3" t="s">
        <v>29589</v>
      </c>
      <c r="BG2952" s="3" t="s">
        <v>29591</v>
      </c>
      <c r="BH2952">
        <f t="shared" si="73"/>
        <v>0</v>
      </c>
    </row>
    <row r="2953" spans="1:60" ht="58" x14ac:dyDescent="0.35">
      <c r="A2953" s="2" t="s">
        <v>59</v>
      </c>
      <c r="B2953" s="2" t="s">
        <v>60</v>
      </c>
      <c r="C2953" s="2" t="s">
        <v>29592</v>
      </c>
      <c r="D2953" s="2" t="s">
        <v>29593</v>
      </c>
      <c r="E2953" s="2" t="s">
        <v>29594</v>
      </c>
      <c r="G2953" s="3" t="s">
        <v>64</v>
      </c>
      <c r="I2953" s="3" t="s">
        <v>64</v>
      </c>
      <c r="J2953" s="3" t="s">
        <v>64</v>
      </c>
      <c r="K2953" s="3" t="s">
        <v>65</v>
      </c>
      <c r="L2953" s="2" t="s">
        <v>29595</v>
      </c>
      <c r="M2953" s="2" t="s">
        <v>29596</v>
      </c>
      <c r="N2953" s="3" t="s">
        <v>171</v>
      </c>
      <c r="P2953" s="3" t="s">
        <v>102</v>
      </c>
      <c r="Q2953" s="2" t="s">
        <v>29597</v>
      </c>
      <c r="R2953" s="3" t="s">
        <v>70</v>
      </c>
      <c r="S2953" s="4">
        <v>5</v>
      </c>
      <c r="T2953" s="4">
        <v>5</v>
      </c>
      <c r="U2953" s="5" t="s">
        <v>2725</v>
      </c>
      <c r="V2953" s="5" t="s">
        <v>2725</v>
      </c>
      <c r="W2953" s="5" t="s">
        <v>72</v>
      </c>
      <c r="X2953" s="5" t="s">
        <v>72</v>
      </c>
      <c r="Y2953" s="4">
        <v>71</v>
      </c>
      <c r="Z2953" s="4">
        <v>4</v>
      </c>
      <c r="AA2953" s="4">
        <v>6</v>
      </c>
      <c r="AB2953" s="4">
        <v>1</v>
      </c>
      <c r="AC2953" s="4">
        <v>1</v>
      </c>
      <c r="AD2953" s="4">
        <v>27</v>
      </c>
      <c r="AE2953" s="4">
        <v>30</v>
      </c>
      <c r="AF2953" s="4">
        <v>0</v>
      </c>
      <c r="AG2953" s="4">
        <v>0</v>
      </c>
      <c r="AH2953" s="4">
        <v>25</v>
      </c>
      <c r="AI2953" s="4">
        <v>28</v>
      </c>
      <c r="AJ2953" s="4">
        <v>3</v>
      </c>
      <c r="AK2953" s="4">
        <v>4</v>
      </c>
      <c r="AL2953" s="4">
        <v>13</v>
      </c>
      <c r="AM2953" s="4">
        <v>14</v>
      </c>
      <c r="AN2953" s="4">
        <v>0</v>
      </c>
      <c r="AO2953" s="4">
        <v>0</v>
      </c>
      <c r="AP2953" s="4">
        <v>3</v>
      </c>
      <c r="AQ2953" s="4">
        <v>4</v>
      </c>
      <c r="AR2953" s="3" t="s">
        <v>64</v>
      </c>
      <c r="AS2953" s="3" t="s">
        <v>64</v>
      </c>
      <c r="AT2953" s="3" t="s">
        <v>128</v>
      </c>
      <c r="AU2953" s="6" t="str">
        <f>HYPERLINK("http://catalog.hathitrust.org/Record/005605852","HathiTrust Record")</f>
        <v>HathiTrust Record</v>
      </c>
      <c r="AV2953" s="6" t="str">
        <f>HYPERLINK("http://mcgill.on.worldcat.org/oclc/81249003","Catalog Record")</f>
        <v>Catalog Record</v>
      </c>
      <c r="AW2953" s="6" t="str">
        <f>HYPERLINK("http://www.worldcat.org/oclc/81249003","WorldCat Record")</f>
        <v>WorldCat Record</v>
      </c>
      <c r="AX2953" s="3" t="s">
        <v>29598</v>
      </c>
      <c r="AY2953" s="3" t="s">
        <v>29599</v>
      </c>
      <c r="AZ2953" s="3" t="s">
        <v>29600</v>
      </c>
      <c r="BA2953" s="3" t="s">
        <v>29600</v>
      </c>
      <c r="BB2953" s="3" t="s">
        <v>29601</v>
      </c>
      <c r="BC2953" s="3" t="s">
        <v>77</v>
      </c>
      <c r="BD2953" s="3" t="s">
        <v>78</v>
      </c>
      <c r="BE2953" s="3" t="s">
        <v>29602</v>
      </c>
      <c r="BF2953" s="3" t="s">
        <v>29601</v>
      </c>
      <c r="BG2953" s="3" t="s">
        <v>29603</v>
      </c>
      <c r="BH2953">
        <f t="shared" si="73"/>
        <v>0</v>
      </c>
    </row>
    <row r="2954" spans="1:60" ht="58" x14ac:dyDescent="0.35">
      <c r="A2954" s="2" t="s">
        <v>59</v>
      </c>
      <c r="B2954" s="2" t="s">
        <v>60</v>
      </c>
      <c r="C2954" s="2" t="s">
        <v>29604</v>
      </c>
      <c r="D2954" s="2" t="s">
        <v>29605</v>
      </c>
      <c r="E2954" s="2" t="s">
        <v>29606</v>
      </c>
      <c r="G2954" s="3" t="s">
        <v>64</v>
      </c>
      <c r="I2954" s="3" t="s">
        <v>64</v>
      </c>
      <c r="J2954" s="3" t="s">
        <v>128</v>
      </c>
      <c r="K2954" s="3" t="s">
        <v>65</v>
      </c>
      <c r="L2954" s="2" t="s">
        <v>29607</v>
      </c>
      <c r="M2954" s="2" t="s">
        <v>14235</v>
      </c>
      <c r="N2954" s="3" t="s">
        <v>511</v>
      </c>
      <c r="O2954" s="2" t="s">
        <v>2994</v>
      </c>
      <c r="P2954" s="3" t="s">
        <v>102</v>
      </c>
      <c r="R2954" s="3" t="s">
        <v>70</v>
      </c>
      <c r="S2954" s="4">
        <v>3</v>
      </c>
      <c r="T2954" s="4">
        <v>3</v>
      </c>
      <c r="U2954" s="5" t="s">
        <v>29608</v>
      </c>
      <c r="V2954" s="5" t="s">
        <v>29608</v>
      </c>
      <c r="W2954" s="5" t="s">
        <v>72</v>
      </c>
      <c r="X2954" s="5" t="s">
        <v>72</v>
      </c>
      <c r="Y2954" s="4">
        <v>653</v>
      </c>
      <c r="Z2954" s="4">
        <v>35</v>
      </c>
      <c r="AA2954" s="4">
        <v>141</v>
      </c>
      <c r="AB2954" s="4">
        <v>3</v>
      </c>
      <c r="AC2954" s="4">
        <v>20</v>
      </c>
      <c r="AD2954" s="4">
        <v>88</v>
      </c>
      <c r="AE2954" s="4">
        <v>159</v>
      </c>
      <c r="AF2954" s="4">
        <v>1</v>
      </c>
      <c r="AG2954" s="4">
        <v>9</v>
      </c>
      <c r="AH2954" s="4">
        <v>78</v>
      </c>
      <c r="AI2954" s="4">
        <v>113</v>
      </c>
      <c r="AJ2954" s="4">
        <v>11</v>
      </c>
      <c r="AK2954" s="4">
        <v>26</v>
      </c>
      <c r="AL2954" s="4">
        <v>35</v>
      </c>
      <c r="AM2954" s="4">
        <v>59</v>
      </c>
      <c r="AN2954" s="4">
        <v>0</v>
      </c>
      <c r="AO2954" s="4">
        <v>0</v>
      </c>
      <c r="AP2954" s="4">
        <v>17</v>
      </c>
      <c r="AQ2954" s="4">
        <v>55</v>
      </c>
      <c r="AR2954" s="3" t="s">
        <v>64</v>
      </c>
      <c r="AS2954" s="3" t="s">
        <v>64</v>
      </c>
      <c r="AT2954" s="3" t="s">
        <v>64</v>
      </c>
      <c r="AV2954" s="6" t="str">
        <f>HYPERLINK("http://mcgill.on.worldcat.org/oclc/550550819","Catalog Record")</f>
        <v>Catalog Record</v>
      </c>
      <c r="AW2954" s="6" t="str">
        <f>HYPERLINK("http://www.worldcat.org/oclc/550550819","WorldCat Record")</f>
        <v>WorldCat Record</v>
      </c>
      <c r="AX2954" s="3" t="s">
        <v>29609</v>
      </c>
      <c r="AY2954" s="3" t="s">
        <v>29610</v>
      </c>
      <c r="AZ2954" s="3" t="s">
        <v>29611</v>
      </c>
      <c r="BA2954" s="3" t="s">
        <v>29611</v>
      </c>
      <c r="BB2954" s="3" t="s">
        <v>29612</v>
      </c>
      <c r="BC2954" s="3" t="s">
        <v>77</v>
      </c>
      <c r="BD2954" s="3" t="s">
        <v>78</v>
      </c>
      <c r="BE2954" s="3" t="s">
        <v>29613</v>
      </c>
      <c r="BF2954" s="3" t="s">
        <v>29612</v>
      </c>
      <c r="BG2954" s="3" t="s">
        <v>29614</v>
      </c>
      <c r="BH2954">
        <f t="shared" si="73"/>
        <v>0</v>
      </c>
    </row>
    <row r="2955" spans="1:60" ht="58" x14ac:dyDescent="0.35">
      <c r="A2955" s="2" t="s">
        <v>59</v>
      </c>
      <c r="B2955" s="2" t="s">
        <v>60</v>
      </c>
      <c r="C2955" s="2" t="s">
        <v>29615</v>
      </c>
      <c r="D2955" s="2" t="s">
        <v>29616</v>
      </c>
      <c r="E2955" s="2" t="s">
        <v>29617</v>
      </c>
      <c r="G2955" s="3" t="s">
        <v>64</v>
      </c>
      <c r="I2955" s="3" t="s">
        <v>64</v>
      </c>
      <c r="J2955" s="3" t="s">
        <v>64</v>
      </c>
      <c r="K2955" s="3" t="s">
        <v>65</v>
      </c>
      <c r="L2955" s="2" t="s">
        <v>29618</v>
      </c>
      <c r="M2955" s="2" t="s">
        <v>28786</v>
      </c>
      <c r="N2955" s="3" t="s">
        <v>421</v>
      </c>
      <c r="P2955" s="3" t="s">
        <v>102</v>
      </c>
      <c r="R2955" s="3" t="s">
        <v>70</v>
      </c>
      <c r="S2955" s="4">
        <v>14</v>
      </c>
      <c r="T2955" s="4">
        <v>14</v>
      </c>
      <c r="U2955" s="5" t="s">
        <v>1176</v>
      </c>
      <c r="V2955" s="5" t="s">
        <v>1176</v>
      </c>
      <c r="W2955" s="5" t="s">
        <v>72</v>
      </c>
      <c r="X2955" s="5" t="s">
        <v>72</v>
      </c>
      <c r="Y2955" s="4">
        <v>156</v>
      </c>
      <c r="Z2955" s="4">
        <v>14</v>
      </c>
      <c r="AA2955" s="4">
        <v>17</v>
      </c>
      <c r="AB2955" s="4">
        <v>2</v>
      </c>
      <c r="AC2955" s="4">
        <v>4</v>
      </c>
      <c r="AD2955" s="4">
        <v>43</v>
      </c>
      <c r="AE2955" s="4">
        <v>46</v>
      </c>
      <c r="AF2955" s="4">
        <v>1</v>
      </c>
      <c r="AG2955" s="4">
        <v>2</v>
      </c>
      <c r="AH2955" s="4">
        <v>39</v>
      </c>
      <c r="AI2955" s="4">
        <v>41</v>
      </c>
      <c r="AJ2955" s="4">
        <v>9</v>
      </c>
      <c r="AK2955" s="4">
        <v>11</v>
      </c>
      <c r="AL2955" s="4">
        <v>16</v>
      </c>
      <c r="AM2955" s="4">
        <v>16</v>
      </c>
      <c r="AN2955" s="4">
        <v>0</v>
      </c>
      <c r="AO2955" s="4">
        <v>0</v>
      </c>
      <c r="AP2955" s="4">
        <v>9</v>
      </c>
      <c r="AQ2955" s="4">
        <v>10</v>
      </c>
      <c r="AR2955" s="3" t="s">
        <v>64</v>
      </c>
      <c r="AS2955" s="3" t="s">
        <v>64</v>
      </c>
      <c r="AT2955" s="3" t="s">
        <v>64</v>
      </c>
      <c r="AV2955" s="6" t="str">
        <f>HYPERLINK("http://mcgill.on.worldcat.org/oclc/36458147","Catalog Record")</f>
        <v>Catalog Record</v>
      </c>
      <c r="AW2955" s="6" t="str">
        <f>HYPERLINK("http://www.worldcat.org/oclc/36458147","WorldCat Record")</f>
        <v>WorldCat Record</v>
      </c>
      <c r="AX2955" s="3" t="s">
        <v>29619</v>
      </c>
      <c r="AY2955" s="3" t="s">
        <v>29620</v>
      </c>
      <c r="AZ2955" s="3" t="s">
        <v>29621</v>
      </c>
      <c r="BA2955" s="3" t="s">
        <v>29621</v>
      </c>
      <c r="BB2955" s="3" t="s">
        <v>29622</v>
      </c>
      <c r="BC2955" s="3" t="s">
        <v>77</v>
      </c>
      <c r="BD2955" s="3" t="s">
        <v>78</v>
      </c>
      <c r="BE2955" s="3" t="s">
        <v>29623</v>
      </c>
      <c r="BF2955" s="3" t="s">
        <v>29622</v>
      </c>
      <c r="BG2955" s="3" t="s">
        <v>29624</v>
      </c>
      <c r="BH2955">
        <f t="shared" si="73"/>
        <v>0</v>
      </c>
    </row>
    <row r="2956" spans="1:60" ht="58" x14ac:dyDescent="0.35">
      <c r="A2956" s="2" t="s">
        <v>59</v>
      </c>
      <c r="B2956" s="2" t="s">
        <v>60</v>
      </c>
      <c r="C2956" s="2" t="s">
        <v>29625</v>
      </c>
      <c r="D2956" s="2" t="s">
        <v>29626</v>
      </c>
      <c r="E2956" s="2" t="s">
        <v>29627</v>
      </c>
      <c r="G2956" s="3" t="s">
        <v>64</v>
      </c>
      <c r="I2956" s="3" t="s">
        <v>64</v>
      </c>
      <c r="J2956" s="3" t="s">
        <v>128</v>
      </c>
      <c r="K2956" s="3" t="s">
        <v>65</v>
      </c>
      <c r="L2956" s="2" t="s">
        <v>29628</v>
      </c>
      <c r="M2956" s="2" t="s">
        <v>15858</v>
      </c>
      <c r="N2956" s="3" t="s">
        <v>1275</v>
      </c>
      <c r="O2956" s="2" t="s">
        <v>172</v>
      </c>
      <c r="P2956" s="3" t="s">
        <v>102</v>
      </c>
      <c r="Q2956" s="2" t="s">
        <v>29629</v>
      </c>
      <c r="R2956" s="3" t="s">
        <v>70</v>
      </c>
      <c r="S2956" s="4">
        <v>37</v>
      </c>
      <c r="T2956" s="4">
        <v>37</v>
      </c>
      <c r="U2956" s="5" t="s">
        <v>29534</v>
      </c>
      <c r="V2956" s="5" t="s">
        <v>29534</v>
      </c>
      <c r="W2956" s="5" t="s">
        <v>72</v>
      </c>
      <c r="X2956" s="5" t="s">
        <v>72</v>
      </c>
      <c r="Y2956" s="4">
        <v>350</v>
      </c>
      <c r="Z2956" s="4">
        <v>18</v>
      </c>
      <c r="AA2956" s="4">
        <v>54</v>
      </c>
      <c r="AB2956" s="4">
        <v>1</v>
      </c>
      <c r="AC2956" s="4">
        <v>9</v>
      </c>
      <c r="AD2956" s="4">
        <v>55</v>
      </c>
      <c r="AE2956" s="4">
        <v>89</v>
      </c>
      <c r="AF2956" s="4">
        <v>0</v>
      </c>
      <c r="AG2956" s="4">
        <v>2</v>
      </c>
      <c r="AH2956" s="4">
        <v>48</v>
      </c>
      <c r="AI2956" s="4">
        <v>73</v>
      </c>
      <c r="AJ2956" s="4">
        <v>10</v>
      </c>
      <c r="AK2956" s="4">
        <v>13</v>
      </c>
      <c r="AL2956" s="4">
        <v>20</v>
      </c>
      <c r="AM2956" s="4">
        <v>34</v>
      </c>
      <c r="AN2956" s="4">
        <v>0</v>
      </c>
      <c r="AO2956" s="4">
        <v>0</v>
      </c>
      <c r="AP2956" s="4">
        <v>14</v>
      </c>
      <c r="AQ2956" s="4">
        <v>23</v>
      </c>
      <c r="AR2956" s="3" t="s">
        <v>64</v>
      </c>
      <c r="AS2956" s="3" t="s">
        <v>64</v>
      </c>
      <c r="AT2956" s="3" t="s">
        <v>128</v>
      </c>
      <c r="AU2956" s="6" t="str">
        <f>HYPERLINK("http://catalog.hathitrust.org/Record/004752901","HathiTrust Record")</f>
        <v>HathiTrust Record</v>
      </c>
      <c r="AV2956" s="6" t="str">
        <f>HYPERLINK("http://mcgill.on.worldcat.org/oclc/56347872","Catalog Record")</f>
        <v>Catalog Record</v>
      </c>
      <c r="AW2956" s="6" t="str">
        <f>HYPERLINK("http://www.worldcat.org/oclc/56347872","WorldCat Record")</f>
        <v>WorldCat Record</v>
      </c>
      <c r="AX2956" s="3" t="s">
        <v>29630</v>
      </c>
      <c r="AY2956" s="3" t="s">
        <v>29631</v>
      </c>
      <c r="AZ2956" s="3" t="s">
        <v>29632</v>
      </c>
      <c r="BA2956" s="3" t="s">
        <v>29632</v>
      </c>
      <c r="BB2956" s="3" t="s">
        <v>29633</v>
      </c>
      <c r="BC2956" s="3" t="s">
        <v>77</v>
      </c>
      <c r="BD2956" s="3" t="s">
        <v>78</v>
      </c>
      <c r="BE2956" s="3" t="s">
        <v>29634</v>
      </c>
      <c r="BF2956" s="3" t="s">
        <v>29633</v>
      </c>
      <c r="BG2956" s="3" t="s">
        <v>29635</v>
      </c>
      <c r="BH2956">
        <f t="shared" si="73"/>
        <v>0</v>
      </c>
    </row>
    <row r="2957" spans="1:60" ht="58" x14ac:dyDescent="0.35">
      <c r="A2957" s="2" t="s">
        <v>59</v>
      </c>
      <c r="B2957" s="2" t="s">
        <v>60</v>
      </c>
      <c r="C2957" s="2" t="s">
        <v>29636</v>
      </c>
      <c r="D2957" s="2" t="s">
        <v>29637</v>
      </c>
      <c r="E2957" s="2" t="s">
        <v>29638</v>
      </c>
      <c r="G2957" s="3" t="s">
        <v>64</v>
      </c>
      <c r="I2957" s="3" t="s">
        <v>64</v>
      </c>
      <c r="J2957" s="3" t="s">
        <v>64</v>
      </c>
      <c r="K2957" s="3" t="s">
        <v>65</v>
      </c>
      <c r="L2957" s="2" t="s">
        <v>14593</v>
      </c>
      <c r="M2957" s="2" t="s">
        <v>26980</v>
      </c>
      <c r="N2957" s="3" t="s">
        <v>1047</v>
      </c>
      <c r="P2957" s="3" t="s">
        <v>102</v>
      </c>
      <c r="R2957" s="3" t="s">
        <v>70</v>
      </c>
      <c r="S2957" s="4">
        <v>9</v>
      </c>
      <c r="T2957" s="4">
        <v>9</v>
      </c>
      <c r="U2957" s="5" t="s">
        <v>14454</v>
      </c>
      <c r="V2957" s="5" t="s">
        <v>14454</v>
      </c>
      <c r="W2957" s="5" t="s">
        <v>72</v>
      </c>
      <c r="X2957" s="5" t="s">
        <v>72</v>
      </c>
      <c r="Y2957" s="4">
        <v>410</v>
      </c>
      <c r="Z2957" s="4">
        <v>22</v>
      </c>
      <c r="AA2957" s="4">
        <v>25</v>
      </c>
      <c r="AB2957" s="4">
        <v>3</v>
      </c>
      <c r="AC2957" s="4">
        <v>6</v>
      </c>
      <c r="AD2957" s="4">
        <v>92</v>
      </c>
      <c r="AE2957" s="4">
        <v>94</v>
      </c>
      <c r="AF2957" s="4">
        <v>1</v>
      </c>
      <c r="AG2957" s="4">
        <v>3</v>
      </c>
      <c r="AH2957" s="4">
        <v>80</v>
      </c>
      <c r="AI2957" s="4">
        <v>80</v>
      </c>
      <c r="AJ2957" s="4">
        <v>12</v>
      </c>
      <c r="AK2957" s="4">
        <v>14</v>
      </c>
      <c r="AL2957" s="4">
        <v>46</v>
      </c>
      <c r="AM2957" s="4">
        <v>46</v>
      </c>
      <c r="AN2957" s="4">
        <v>0</v>
      </c>
      <c r="AO2957" s="4">
        <v>0</v>
      </c>
      <c r="AP2957" s="4">
        <v>12</v>
      </c>
      <c r="AQ2957" s="4">
        <v>13</v>
      </c>
      <c r="AR2957" s="3" t="s">
        <v>64</v>
      </c>
      <c r="AS2957" s="3" t="s">
        <v>64</v>
      </c>
      <c r="AT2957" s="3" t="s">
        <v>128</v>
      </c>
      <c r="AU2957" s="6" t="str">
        <f>HYPERLINK("http://catalog.hathitrust.org/Record/000771957","HathiTrust Record")</f>
        <v>HathiTrust Record</v>
      </c>
      <c r="AV2957" s="6" t="str">
        <f>HYPERLINK("http://mcgill.on.worldcat.org/oclc/9328447","Catalog Record")</f>
        <v>Catalog Record</v>
      </c>
      <c r="AW2957" s="6" t="str">
        <f>HYPERLINK("http://www.worldcat.org/oclc/9328447","WorldCat Record")</f>
        <v>WorldCat Record</v>
      </c>
      <c r="AX2957" s="3" t="s">
        <v>29639</v>
      </c>
      <c r="AY2957" s="3" t="s">
        <v>29640</v>
      </c>
      <c r="AZ2957" s="3" t="s">
        <v>29641</v>
      </c>
      <c r="BA2957" s="3" t="s">
        <v>29641</v>
      </c>
      <c r="BB2957" s="3" t="s">
        <v>29642</v>
      </c>
      <c r="BC2957" s="3" t="s">
        <v>77</v>
      </c>
      <c r="BD2957" s="3" t="s">
        <v>78</v>
      </c>
      <c r="BE2957" s="3" t="s">
        <v>29643</v>
      </c>
      <c r="BF2957" s="3" t="s">
        <v>29642</v>
      </c>
      <c r="BG2957" s="3" t="s">
        <v>29644</v>
      </c>
      <c r="BH2957">
        <f t="shared" si="73"/>
        <v>0</v>
      </c>
    </row>
    <row r="2958" spans="1:60" ht="58" x14ac:dyDescent="0.35">
      <c r="A2958" s="2" t="s">
        <v>59</v>
      </c>
      <c r="B2958" s="2" t="s">
        <v>60</v>
      </c>
      <c r="C2958" s="2" t="s">
        <v>29645</v>
      </c>
      <c r="D2958" s="2" t="s">
        <v>29646</v>
      </c>
      <c r="E2958" s="2" t="s">
        <v>29647</v>
      </c>
      <c r="G2958" s="3" t="s">
        <v>64</v>
      </c>
      <c r="I2958" s="3" t="s">
        <v>64</v>
      </c>
      <c r="J2958" s="3" t="s">
        <v>64</v>
      </c>
      <c r="K2958" s="3" t="s">
        <v>65</v>
      </c>
      <c r="L2958" s="2" t="s">
        <v>22201</v>
      </c>
      <c r="M2958" s="2" t="s">
        <v>29648</v>
      </c>
      <c r="N2958" s="3" t="s">
        <v>511</v>
      </c>
      <c r="P2958" s="3" t="s">
        <v>102</v>
      </c>
      <c r="R2958" s="3" t="s">
        <v>70</v>
      </c>
      <c r="S2958" s="4">
        <v>11</v>
      </c>
      <c r="T2958" s="4">
        <v>11</v>
      </c>
      <c r="U2958" s="5" t="s">
        <v>20859</v>
      </c>
      <c r="V2958" s="5" t="s">
        <v>20859</v>
      </c>
      <c r="W2958" s="5" t="s">
        <v>72</v>
      </c>
      <c r="X2958" s="5" t="s">
        <v>72</v>
      </c>
      <c r="Y2958" s="4">
        <v>73</v>
      </c>
      <c r="Z2958" s="4">
        <v>6</v>
      </c>
      <c r="AA2958" s="4">
        <v>38</v>
      </c>
      <c r="AB2958" s="4">
        <v>2</v>
      </c>
      <c r="AC2958" s="4">
        <v>6</v>
      </c>
      <c r="AD2958" s="4">
        <v>16</v>
      </c>
      <c r="AE2958" s="4">
        <v>77</v>
      </c>
      <c r="AF2958" s="4">
        <v>0</v>
      </c>
      <c r="AG2958" s="4">
        <v>2</v>
      </c>
      <c r="AH2958" s="4">
        <v>15</v>
      </c>
      <c r="AI2958" s="4">
        <v>66</v>
      </c>
      <c r="AJ2958" s="4">
        <v>4</v>
      </c>
      <c r="AK2958" s="4">
        <v>17</v>
      </c>
      <c r="AL2958" s="4">
        <v>10</v>
      </c>
      <c r="AM2958" s="4">
        <v>37</v>
      </c>
      <c r="AN2958" s="4">
        <v>0</v>
      </c>
      <c r="AO2958" s="4">
        <v>0</v>
      </c>
      <c r="AP2958" s="4">
        <v>4</v>
      </c>
      <c r="AQ2958" s="4">
        <v>20</v>
      </c>
      <c r="AR2958" s="3" t="s">
        <v>64</v>
      </c>
      <c r="AS2958" s="3" t="s">
        <v>64</v>
      </c>
      <c r="AT2958" s="3" t="s">
        <v>64</v>
      </c>
      <c r="AV2958" s="6" t="str">
        <f>HYPERLINK("http://mcgill.on.worldcat.org/oclc/689962177","Catalog Record")</f>
        <v>Catalog Record</v>
      </c>
      <c r="AW2958" s="6" t="str">
        <f>HYPERLINK("http://www.worldcat.org/oclc/689962177","WorldCat Record")</f>
        <v>WorldCat Record</v>
      </c>
      <c r="AX2958" s="3" t="s">
        <v>29649</v>
      </c>
      <c r="AY2958" s="3" t="s">
        <v>29650</v>
      </c>
      <c r="AZ2958" s="3" t="s">
        <v>29651</v>
      </c>
      <c r="BA2958" s="3" t="s">
        <v>29651</v>
      </c>
      <c r="BB2958" s="3" t="s">
        <v>29652</v>
      </c>
      <c r="BC2958" s="3" t="s">
        <v>77</v>
      </c>
      <c r="BD2958" s="3" t="s">
        <v>78</v>
      </c>
      <c r="BE2958" s="3" t="s">
        <v>29653</v>
      </c>
      <c r="BF2958" s="3" t="s">
        <v>29652</v>
      </c>
      <c r="BG2958" s="3" t="s">
        <v>29654</v>
      </c>
      <c r="BH2958">
        <f t="shared" si="73"/>
        <v>0</v>
      </c>
    </row>
    <row r="2959" spans="1:60" ht="58" x14ac:dyDescent="0.35">
      <c r="A2959" s="2" t="s">
        <v>59</v>
      </c>
      <c r="B2959" s="2" t="s">
        <v>60</v>
      </c>
      <c r="C2959" s="2" t="s">
        <v>29655</v>
      </c>
      <c r="D2959" s="2" t="s">
        <v>29656</v>
      </c>
      <c r="E2959" s="2" t="s">
        <v>29657</v>
      </c>
      <c r="G2959" s="3" t="s">
        <v>64</v>
      </c>
      <c r="I2959" s="3" t="s">
        <v>64</v>
      </c>
      <c r="J2959" s="3" t="s">
        <v>64</v>
      </c>
      <c r="K2959" s="3" t="s">
        <v>65</v>
      </c>
      <c r="L2959" s="2" t="s">
        <v>29658</v>
      </c>
      <c r="M2959" s="2" t="s">
        <v>16501</v>
      </c>
      <c r="N2959" s="3" t="s">
        <v>537</v>
      </c>
      <c r="P2959" s="3" t="s">
        <v>102</v>
      </c>
      <c r="R2959" s="3" t="s">
        <v>70</v>
      </c>
      <c r="S2959" s="4">
        <v>6</v>
      </c>
      <c r="T2959" s="4">
        <v>6</v>
      </c>
      <c r="U2959" s="5" t="s">
        <v>17588</v>
      </c>
      <c r="V2959" s="5" t="s">
        <v>17588</v>
      </c>
      <c r="W2959" s="5" t="s">
        <v>72</v>
      </c>
      <c r="X2959" s="5" t="s">
        <v>72</v>
      </c>
      <c r="Y2959" s="4">
        <v>283</v>
      </c>
      <c r="Z2959" s="4">
        <v>15</v>
      </c>
      <c r="AA2959" s="4">
        <v>25</v>
      </c>
      <c r="AB2959" s="4">
        <v>1</v>
      </c>
      <c r="AC2959" s="4">
        <v>6</v>
      </c>
      <c r="AD2959" s="4">
        <v>52</v>
      </c>
      <c r="AE2959" s="4">
        <v>60</v>
      </c>
      <c r="AF2959" s="4">
        <v>0</v>
      </c>
      <c r="AG2959" s="4">
        <v>1</v>
      </c>
      <c r="AH2959" s="4">
        <v>46</v>
      </c>
      <c r="AI2959" s="4">
        <v>52</v>
      </c>
      <c r="AJ2959" s="4">
        <v>6</v>
      </c>
      <c r="AK2959" s="4">
        <v>10</v>
      </c>
      <c r="AL2959" s="4">
        <v>22</v>
      </c>
      <c r="AM2959" s="4">
        <v>25</v>
      </c>
      <c r="AN2959" s="4">
        <v>0</v>
      </c>
      <c r="AO2959" s="4">
        <v>0</v>
      </c>
      <c r="AP2959" s="4">
        <v>9</v>
      </c>
      <c r="AQ2959" s="4">
        <v>12</v>
      </c>
      <c r="AR2959" s="3" t="s">
        <v>64</v>
      </c>
      <c r="AS2959" s="3" t="s">
        <v>64</v>
      </c>
      <c r="AT2959" s="3" t="s">
        <v>64</v>
      </c>
      <c r="AV2959" s="6" t="str">
        <f>HYPERLINK("http://mcgill.on.worldcat.org/oclc/939531526","Catalog Record")</f>
        <v>Catalog Record</v>
      </c>
      <c r="AW2959" s="6" t="str">
        <f>HYPERLINK("http://www.worldcat.org/oclc/939531526","WorldCat Record")</f>
        <v>WorldCat Record</v>
      </c>
      <c r="AX2959" s="3" t="s">
        <v>29659</v>
      </c>
      <c r="AY2959" s="3" t="s">
        <v>29660</v>
      </c>
      <c r="AZ2959" s="3" t="s">
        <v>29661</v>
      </c>
      <c r="BA2959" s="3" t="s">
        <v>29661</v>
      </c>
      <c r="BB2959" s="3" t="s">
        <v>29662</v>
      </c>
      <c r="BC2959" s="3" t="s">
        <v>77</v>
      </c>
      <c r="BD2959" s="3" t="s">
        <v>78</v>
      </c>
      <c r="BE2959" s="3" t="s">
        <v>29663</v>
      </c>
      <c r="BF2959" s="3" t="s">
        <v>29662</v>
      </c>
      <c r="BG2959" s="3" t="s">
        <v>29664</v>
      </c>
      <c r="BH2959">
        <f t="shared" si="73"/>
        <v>0</v>
      </c>
    </row>
    <row r="2960" spans="1:60" ht="58" x14ac:dyDescent="0.35">
      <c r="A2960" s="2" t="s">
        <v>59</v>
      </c>
      <c r="B2960" s="2" t="s">
        <v>60</v>
      </c>
      <c r="C2960" s="2" t="s">
        <v>29665</v>
      </c>
      <c r="D2960" s="2" t="s">
        <v>29666</v>
      </c>
      <c r="E2960" s="2" t="s">
        <v>29667</v>
      </c>
      <c r="G2960" s="3" t="s">
        <v>64</v>
      </c>
      <c r="I2960" s="3" t="s">
        <v>64</v>
      </c>
      <c r="J2960" s="3" t="s">
        <v>128</v>
      </c>
      <c r="K2960" s="3" t="s">
        <v>65</v>
      </c>
      <c r="L2960" s="2" t="s">
        <v>29668</v>
      </c>
      <c r="M2960" s="2" t="s">
        <v>16855</v>
      </c>
      <c r="N2960" s="3" t="s">
        <v>67</v>
      </c>
      <c r="P2960" s="3" t="s">
        <v>102</v>
      </c>
      <c r="R2960" s="3" t="s">
        <v>70</v>
      </c>
      <c r="S2960" s="4">
        <v>10</v>
      </c>
      <c r="T2960" s="4">
        <v>10</v>
      </c>
      <c r="U2960" s="5" t="s">
        <v>6174</v>
      </c>
      <c r="V2960" s="5" t="s">
        <v>6174</v>
      </c>
      <c r="W2960" s="5" t="s">
        <v>72</v>
      </c>
      <c r="X2960" s="5" t="s">
        <v>72</v>
      </c>
      <c r="Y2960" s="4">
        <v>692</v>
      </c>
      <c r="Z2960" s="4">
        <v>27</v>
      </c>
      <c r="AA2960" s="4">
        <v>47</v>
      </c>
      <c r="AB2960" s="4">
        <v>1</v>
      </c>
      <c r="AC2960" s="4">
        <v>7</v>
      </c>
      <c r="AD2960" s="4">
        <v>79</v>
      </c>
      <c r="AE2960" s="4">
        <v>96</v>
      </c>
      <c r="AF2960" s="4">
        <v>0</v>
      </c>
      <c r="AG2960" s="4">
        <v>3</v>
      </c>
      <c r="AH2960" s="4">
        <v>71</v>
      </c>
      <c r="AI2960" s="4">
        <v>79</v>
      </c>
      <c r="AJ2960" s="4">
        <v>10</v>
      </c>
      <c r="AK2960" s="4">
        <v>15</v>
      </c>
      <c r="AL2960" s="4">
        <v>35</v>
      </c>
      <c r="AM2960" s="4">
        <v>39</v>
      </c>
      <c r="AN2960" s="4">
        <v>0</v>
      </c>
      <c r="AO2960" s="4">
        <v>0</v>
      </c>
      <c r="AP2960" s="4">
        <v>14</v>
      </c>
      <c r="AQ2960" s="4">
        <v>22</v>
      </c>
      <c r="AR2960" s="3" t="s">
        <v>64</v>
      </c>
      <c r="AS2960" s="3" t="s">
        <v>64</v>
      </c>
      <c r="AT2960" s="3" t="s">
        <v>64</v>
      </c>
      <c r="AV2960" s="6" t="str">
        <f>HYPERLINK("http://mcgill.on.worldcat.org/oclc/864676610","Catalog Record")</f>
        <v>Catalog Record</v>
      </c>
      <c r="AW2960" s="6" t="str">
        <f>HYPERLINK("http://www.worldcat.org/oclc/864676610","WorldCat Record")</f>
        <v>WorldCat Record</v>
      </c>
      <c r="AX2960" s="3" t="s">
        <v>29669</v>
      </c>
      <c r="AY2960" s="3" t="s">
        <v>29670</v>
      </c>
      <c r="AZ2960" s="3" t="s">
        <v>29671</v>
      </c>
      <c r="BA2960" s="3" t="s">
        <v>29671</v>
      </c>
      <c r="BB2960" s="3" t="s">
        <v>29672</v>
      </c>
      <c r="BC2960" s="3" t="s">
        <v>77</v>
      </c>
      <c r="BD2960" s="3" t="s">
        <v>78</v>
      </c>
      <c r="BE2960" s="3" t="s">
        <v>29673</v>
      </c>
      <c r="BF2960" s="3" t="s">
        <v>29672</v>
      </c>
      <c r="BG2960" s="3" t="s">
        <v>29674</v>
      </c>
      <c r="BH2960">
        <f t="shared" si="73"/>
        <v>0</v>
      </c>
    </row>
    <row r="2961" spans="1:60" ht="58" x14ac:dyDescent="0.35">
      <c r="A2961" s="2" t="s">
        <v>59</v>
      </c>
      <c r="B2961" s="2" t="s">
        <v>60</v>
      </c>
      <c r="C2961" s="2" t="s">
        <v>29675</v>
      </c>
      <c r="D2961" s="2" t="s">
        <v>29676</v>
      </c>
      <c r="E2961" s="2" t="s">
        <v>29677</v>
      </c>
      <c r="G2961" s="3" t="s">
        <v>64</v>
      </c>
      <c r="I2961" s="3" t="s">
        <v>64</v>
      </c>
      <c r="J2961" s="3" t="s">
        <v>128</v>
      </c>
      <c r="K2961" s="3" t="s">
        <v>65</v>
      </c>
      <c r="L2961" s="2" t="s">
        <v>29678</v>
      </c>
      <c r="M2961" s="2" t="s">
        <v>18533</v>
      </c>
      <c r="N2961" s="3" t="s">
        <v>578</v>
      </c>
      <c r="O2961" s="2" t="s">
        <v>3787</v>
      </c>
      <c r="P2961" s="3" t="s">
        <v>102</v>
      </c>
      <c r="R2961" s="3" t="s">
        <v>70</v>
      </c>
      <c r="S2961" s="4">
        <v>3</v>
      </c>
      <c r="T2961" s="4">
        <v>3</v>
      </c>
      <c r="U2961" s="5" t="s">
        <v>6174</v>
      </c>
      <c r="V2961" s="5" t="s">
        <v>6174</v>
      </c>
      <c r="W2961" s="5" t="s">
        <v>72</v>
      </c>
      <c r="X2961" s="5" t="s">
        <v>72</v>
      </c>
      <c r="Y2961" s="4">
        <v>541</v>
      </c>
      <c r="Z2961" s="4">
        <v>22</v>
      </c>
      <c r="AA2961" s="4">
        <v>47</v>
      </c>
      <c r="AB2961" s="4">
        <v>2</v>
      </c>
      <c r="AC2961" s="4">
        <v>7</v>
      </c>
      <c r="AD2961" s="4">
        <v>56</v>
      </c>
      <c r="AE2961" s="4">
        <v>96</v>
      </c>
      <c r="AF2961" s="4">
        <v>0</v>
      </c>
      <c r="AG2961" s="4">
        <v>3</v>
      </c>
      <c r="AH2961" s="4">
        <v>51</v>
      </c>
      <c r="AI2961" s="4">
        <v>79</v>
      </c>
      <c r="AJ2961" s="4">
        <v>7</v>
      </c>
      <c r="AK2961" s="4">
        <v>15</v>
      </c>
      <c r="AL2961" s="4">
        <v>22</v>
      </c>
      <c r="AM2961" s="4">
        <v>39</v>
      </c>
      <c r="AN2961" s="4">
        <v>0</v>
      </c>
      <c r="AO2961" s="4">
        <v>0</v>
      </c>
      <c r="AP2961" s="4">
        <v>9</v>
      </c>
      <c r="AQ2961" s="4">
        <v>22</v>
      </c>
      <c r="AR2961" s="3" t="s">
        <v>64</v>
      </c>
      <c r="AS2961" s="3" t="s">
        <v>64</v>
      </c>
      <c r="AT2961" s="3" t="s">
        <v>64</v>
      </c>
      <c r="AV2961" s="6" t="str">
        <f>HYPERLINK("http://mcgill.on.worldcat.org/oclc/956633906","Catalog Record")</f>
        <v>Catalog Record</v>
      </c>
      <c r="AW2961" s="6" t="str">
        <f>HYPERLINK("http://www.worldcat.org/oclc/956633906","WorldCat Record")</f>
        <v>WorldCat Record</v>
      </c>
      <c r="AX2961" s="3" t="s">
        <v>29669</v>
      </c>
      <c r="AY2961" s="3" t="s">
        <v>29679</v>
      </c>
      <c r="AZ2961" s="3" t="s">
        <v>29680</v>
      </c>
      <c r="BA2961" s="3" t="s">
        <v>29680</v>
      </c>
      <c r="BB2961" s="3" t="s">
        <v>29681</v>
      </c>
      <c r="BC2961" s="3" t="s">
        <v>77</v>
      </c>
      <c r="BD2961" s="3" t="s">
        <v>165</v>
      </c>
      <c r="BE2961" s="3" t="s">
        <v>29682</v>
      </c>
      <c r="BF2961" s="3" t="s">
        <v>29681</v>
      </c>
      <c r="BG2961" s="3" t="s">
        <v>29683</v>
      </c>
      <c r="BH2961">
        <f t="shared" si="73"/>
        <v>0</v>
      </c>
    </row>
    <row r="2962" spans="1:60" ht="58" x14ac:dyDescent="0.35">
      <c r="A2962" s="2" t="s">
        <v>59</v>
      </c>
      <c r="B2962" s="2" t="s">
        <v>60</v>
      </c>
      <c r="C2962" s="2" t="s">
        <v>29684</v>
      </c>
      <c r="D2962" s="2" t="s">
        <v>29685</v>
      </c>
      <c r="E2962" s="2" t="s">
        <v>29686</v>
      </c>
      <c r="G2962" s="3" t="s">
        <v>64</v>
      </c>
      <c r="I2962" s="3" t="s">
        <v>64</v>
      </c>
      <c r="J2962" s="3" t="s">
        <v>64</v>
      </c>
      <c r="K2962" s="3" t="s">
        <v>65</v>
      </c>
      <c r="M2962" s="2" t="s">
        <v>29687</v>
      </c>
      <c r="N2962" s="3" t="s">
        <v>511</v>
      </c>
      <c r="P2962" s="3" t="s">
        <v>102</v>
      </c>
      <c r="R2962" s="3" t="s">
        <v>70</v>
      </c>
      <c r="S2962" s="4">
        <v>12</v>
      </c>
      <c r="T2962" s="4">
        <v>12</v>
      </c>
      <c r="U2962" s="5" t="s">
        <v>14488</v>
      </c>
      <c r="V2962" s="5" t="s">
        <v>14488</v>
      </c>
      <c r="W2962" s="5" t="s">
        <v>72</v>
      </c>
      <c r="X2962" s="5" t="s">
        <v>72</v>
      </c>
      <c r="Y2962" s="4">
        <v>556</v>
      </c>
      <c r="Z2962" s="4">
        <v>42</v>
      </c>
      <c r="AA2962" s="4">
        <v>108</v>
      </c>
      <c r="AB2962" s="4">
        <v>2</v>
      </c>
      <c r="AC2962" s="4">
        <v>17</v>
      </c>
      <c r="AD2962" s="4">
        <v>101</v>
      </c>
      <c r="AE2962" s="4">
        <v>137</v>
      </c>
      <c r="AF2962" s="4">
        <v>1</v>
      </c>
      <c r="AG2962" s="4">
        <v>8</v>
      </c>
      <c r="AH2962" s="4">
        <v>81</v>
      </c>
      <c r="AI2962" s="4">
        <v>98</v>
      </c>
      <c r="AJ2962" s="4">
        <v>18</v>
      </c>
      <c r="AK2962" s="4">
        <v>25</v>
      </c>
      <c r="AL2962" s="4">
        <v>46</v>
      </c>
      <c r="AM2962" s="4">
        <v>52</v>
      </c>
      <c r="AN2962" s="4">
        <v>0</v>
      </c>
      <c r="AO2962" s="4">
        <v>0</v>
      </c>
      <c r="AP2962" s="4">
        <v>28</v>
      </c>
      <c r="AQ2962" s="4">
        <v>49</v>
      </c>
      <c r="AR2962" s="3" t="s">
        <v>64</v>
      </c>
      <c r="AS2962" s="3" t="s">
        <v>64</v>
      </c>
      <c r="AT2962" s="3" t="s">
        <v>64</v>
      </c>
      <c r="AV2962" s="6" t="str">
        <f>HYPERLINK("http://mcgill.on.worldcat.org/oclc/440562980","Catalog Record")</f>
        <v>Catalog Record</v>
      </c>
      <c r="AW2962" s="6" t="str">
        <f>HYPERLINK("http://www.worldcat.org/oclc/440562980","WorldCat Record")</f>
        <v>WorldCat Record</v>
      </c>
      <c r="AX2962" s="3" t="s">
        <v>29688</v>
      </c>
      <c r="AY2962" s="3" t="s">
        <v>29689</v>
      </c>
      <c r="AZ2962" s="3" t="s">
        <v>29690</v>
      </c>
      <c r="BA2962" s="3" t="s">
        <v>29690</v>
      </c>
      <c r="BB2962" s="3" t="s">
        <v>29691</v>
      </c>
      <c r="BC2962" s="3" t="s">
        <v>77</v>
      </c>
      <c r="BD2962" s="3" t="s">
        <v>78</v>
      </c>
      <c r="BE2962" s="3" t="s">
        <v>29692</v>
      </c>
      <c r="BF2962" s="3" t="s">
        <v>29691</v>
      </c>
      <c r="BG2962" s="3" t="s">
        <v>29693</v>
      </c>
      <c r="BH2962">
        <f t="shared" si="73"/>
        <v>0</v>
      </c>
    </row>
    <row r="2963" spans="1:60" ht="58" x14ac:dyDescent="0.35">
      <c r="A2963" s="2" t="s">
        <v>59</v>
      </c>
      <c r="B2963" s="2" t="s">
        <v>60</v>
      </c>
      <c r="C2963" s="2" t="s">
        <v>29694</v>
      </c>
      <c r="D2963" s="2" t="s">
        <v>29695</v>
      </c>
      <c r="E2963" s="2" t="s">
        <v>29696</v>
      </c>
      <c r="G2963" s="3" t="s">
        <v>64</v>
      </c>
      <c r="I2963" s="3" t="s">
        <v>64</v>
      </c>
      <c r="J2963" s="3" t="s">
        <v>64</v>
      </c>
      <c r="K2963" s="3" t="s">
        <v>65</v>
      </c>
      <c r="M2963" s="2" t="s">
        <v>29697</v>
      </c>
      <c r="N2963" s="3" t="s">
        <v>537</v>
      </c>
      <c r="P2963" s="3" t="s">
        <v>102</v>
      </c>
      <c r="Q2963" s="2" t="s">
        <v>18805</v>
      </c>
      <c r="R2963" s="3" t="s">
        <v>70</v>
      </c>
      <c r="S2963" s="4">
        <v>0</v>
      </c>
      <c r="T2963" s="4">
        <v>0</v>
      </c>
      <c r="W2963" s="5" t="s">
        <v>72</v>
      </c>
      <c r="X2963" s="5" t="s">
        <v>72</v>
      </c>
      <c r="Y2963" s="4">
        <v>359</v>
      </c>
      <c r="Z2963" s="4">
        <v>18</v>
      </c>
      <c r="AA2963" s="4">
        <v>20</v>
      </c>
      <c r="AB2963" s="4">
        <v>2</v>
      </c>
      <c r="AC2963" s="4">
        <v>4</v>
      </c>
      <c r="AD2963" s="4">
        <v>48</v>
      </c>
      <c r="AE2963" s="4">
        <v>49</v>
      </c>
      <c r="AF2963" s="4">
        <v>1</v>
      </c>
      <c r="AG2963" s="4">
        <v>2</v>
      </c>
      <c r="AH2963" s="4">
        <v>42</v>
      </c>
      <c r="AI2963" s="4">
        <v>42</v>
      </c>
      <c r="AJ2963" s="4">
        <v>8</v>
      </c>
      <c r="AK2963" s="4">
        <v>9</v>
      </c>
      <c r="AL2963" s="4">
        <v>21</v>
      </c>
      <c r="AM2963" s="4">
        <v>21</v>
      </c>
      <c r="AN2963" s="4">
        <v>0</v>
      </c>
      <c r="AO2963" s="4">
        <v>0</v>
      </c>
      <c r="AP2963" s="4">
        <v>9</v>
      </c>
      <c r="AQ2963" s="4">
        <v>9</v>
      </c>
      <c r="AR2963" s="3" t="s">
        <v>64</v>
      </c>
      <c r="AS2963" s="3" t="s">
        <v>64</v>
      </c>
      <c r="AT2963" s="3" t="s">
        <v>64</v>
      </c>
      <c r="AV2963" s="6" t="str">
        <f>HYPERLINK("http://mcgill.on.worldcat.org/oclc/945693667","Catalog Record")</f>
        <v>Catalog Record</v>
      </c>
      <c r="AW2963" s="6" t="str">
        <f>HYPERLINK("http://www.worldcat.org/oclc/945693667","WorldCat Record")</f>
        <v>WorldCat Record</v>
      </c>
      <c r="AX2963" s="3" t="s">
        <v>29698</v>
      </c>
      <c r="AY2963" s="3" t="s">
        <v>29699</v>
      </c>
      <c r="AZ2963" s="3" t="s">
        <v>29700</v>
      </c>
      <c r="BA2963" s="3" t="s">
        <v>29700</v>
      </c>
      <c r="BB2963" s="3" t="s">
        <v>29701</v>
      </c>
      <c r="BC2963" s="3" t="s">
        <v>77</v>
      </c>
      <c r="BD2963" s="3" t="s">
        <v>78</v>
      </c>
      <c r="BE2963" s="3" t="s">
        <v>29702</v>
      </c>
      <c r="BF2963" s="3" t="s">
        <v>29701</v>
      </c>
      <c r="BG2963" s="3" t="s">
        <v>29703</v>
      </c>
      <c r="BH2963">
        <f t="shared" si="73"/>
        <v>0</v>
      </c>
    </row>
    <row r="2964" spans="1:60" ht="58" x14ac:dyDescent="0.35">
      <c r="A2964" s="2" t="s">
        <v>59</v>
      </c>
      <c r="B2964" s="2" t="s">
        <v>60</v>
      </c>
      <c r="C2964" s="2" t="s">
        <v>29704</v>
      </c>
      <c r="D2964" s="2" t="s">
        <v>29705</v>
      </c>
      <c r="E2964" s="2" t="s">
        <v>29706</v>
      </c>
      <c r="G2964" s="3" t="s">
        <v>64</v>
      </c>
      <c r="I2964" s="3" t="s">
        <v>64</v>
      </c>
      <c r="J2964" s="3" t="s">
        <v>64</v>
      </c>
      <c r="K2964" s="3" t="s">
        <v>65</v>
      </c>
      <c r="L2964" s="2" t="s">
        <v>29707</v>
      </c>
      <c r="M2964" s="2" t="s">
        <v>19592</v>
      </c>
      <c r="N2964" s="3" t="s">
        <v>86</v>
      </c>
      <c r="P2964" s="3" t="s">
        <v>102</v>
      </c>
      <c r="Q2964" s="2" t="s">
        <v>8981</v>
      </c>
      <c r="R2964" s="3" t="s">
        <v>70</v>
      </c>
      <c r="S2964" s="4">
        <v>3</v>
      </c>
      <c r="T2964" s="4">
        <v>3</v>
      </c>
      <c r="U2964" s="5" t="s">
        <v>29708</v>
      </c>
      <c r="V2964" s="5" t="s">
        <v>29708</v>
      </c>
      <c r="W2964" s="5" t="s">
        <v>72</v>
      </c>
      <c r="X2964" s="5" t="s">
        <v>72</v>
      </c>
      <c r="Y2964" s="4">
        <v>243</v>
      </c>
      <c r="Z2964" s="4">
        <v>16</v>
      </c>
      <c r="AA2964" s="4">
        <v>30</v>
      </c>
      <c r="AB2964" s="4">
        <v>1</v>
      </c>
      <c r="AC2964" s="4">
        <v>5</v>
      </c>
      <c r="AD2964" s="4">
        <v>42</v>
      </c>
      <c r="AE2964" s="4">
        <v>66</v>
      </c>
      <c r="AF2964" s="4">
        <v>0</v>
      </c>
      <c r="AG2964" s="4">
        <v>2</v>
      </c>
      <c r="AH2964" s="4">
        <v>36</v>
      </c>
      <c r="AI2964" s="4">
        <v>54</v>
      </c>
      <c r="AJ2964" s="4">
        <v>10</v>
      </c>
      <c r="AK2964" s="4">
        <v>16</v>
      </c>
      <c r="AL2964" s="4">
        <v>22</v>
      </c>
      <c r="AM2964" s="4">
        <v>30</v>
      </c>
      <c r="AN2964" s="4">
        <v>0</v>
      </c>
      <c r="AO2964" s="4">
        <v>0</v>
      </c>
      <c r="AP2964" s="4">
        <v>14</v>
      </c>
      <c r="AQ2964" s="4">
        <v>21</v>
      </c>
      <c r="AR2964" s="3" t="s">
        <v>64</v>
      </c>
      <c r="AS2964" s="3" t="s">
        <v>64</v>
      </c>
      <c r="AT2964" s="3" t="s">
        <v>64</v>
      </c>
      <c r="AV2964" s="6" t="str">
        <f>HYPERLINK("http://mcgill.on.worldcat.org/oclc/701470786","Catalog Record")</f>
        <v>Catalog Record</v>
      </c>
      <c r="AW2964" s="6" t="str">
        <f>HYPERLINK("http://www.worldcat.org/oclc/701470786","WorldCat Record")</f>
        <v>WorldCat Record</v>
      </c>
      <c r="AX2964" s="3" t="s">
        <v>29709</v>
      </c>
      <c r="AY2964" s="3" t="s">
        <v>29710</v>
      </c>
      <c r="AZ2964" s="3" t="s">
        <v>29711</v>
      </c>
      <c r="BA2964" s="3" t="s">
        <v>29711</v>
      </c>
      <c r="BB2964" s="3" t="s">
        <v>29712</v>
      </c>
      <c r="BC2964" s="3" t="s">
        <v>77</v>
      </c>
      <c r="BD2964" s="3" t="s">
        <v>78</v>
      </c>
      <c r="BE2964" s="3" t="s">
        <v>29713</v>
      </c>
      <c r="BF2964" s="3" t="s">
        <v>29712</v>
      </c>
      <c r="BG2964" s="3" t="s">
        <v>29714</v>
      </c>
      <c r="BH2964">
        <f t="shared" si="73"/>
        <v>0</v>
      </c>
    </row>
    <row r="2965" spans="1:60" ht="58" x14ac:dyDescent="0.35">
      <c r="A2965" s="2" t="s">
        <v>59</v>
      </c>
      <c r="B2965" s="2" t="s">
        <v>60</v>
      </c>
      <c r="C2965" s="2" t="s">
        <v>29715</v>
      </c>
      <c r="D2965" s="2" t="s">
        <v>29716</v>
      </c>
      <c r="E2965" s="2" t="s">
        <v>29717</v>
      </c>
      <c r="G2965" s="3" t="s">
        <v>64</v>
      </c>
      <c r="I2965" s="3" t="s">
        <v>64</v>
      </c>
      <c r="J2965" s="3" t="s">
        <v>64</v>
      </c>
      <c r="K2965" s="3" t="s">
        <v>65</v>
      </c>
      <c r="M2965" s="2" t="s">
        <v>29718</v>
      </c>
      <c r="N2965" s="3" t="s">
        <v>578</v>
      </c>
      <c r="P2965" s="3" t="s">
        <v>102</v>
      </c>
      <c r="Q2965" s="2" t="s">
        <v>19082</v>
      </c>
      <c r="R2965" s="3" t="s">
        <v>70</v>
      </c>
      <c r="S2965" s="4">
        <v>2</v>
      </c>
      <c r="T2965" s="4">
        <v>2</v>
      </c>
      <c r="U2965" s="5" t="s">
        <v>29719</v>
      </c>
      <c r="V2965" s="5" t="s">
        <v>29719</v>
      </c>
      <c r="W2965" s="5" t="s">
        <v>72</v>
      </c>
      <c r="X2965" s="5" t="s">
        <v>72</v>
      </c>
      <c r="Y2965" s="4">
        <v>512</v>
      </c>
      <c r="Z2965" s="4">
        <v>15</v>
      </c>
      <c r="AA2965" s="4">
        <v>20</v>
      </c>
      <c r="AB2965" s="4">
        <v>3</v>
      </c>
      <c r="AC2965" s="4">
        <v>6</v>
      </c>
      <c r="AD2965" s="4">
        <v>64</v>
      </c>
      <c r="AE2965" s="4">
        <v>68</v>
      </c>
      <c r="AF2965" s="4">
        <v>1</v>
      </c>
      <c r="AG2965" s="4">
        <v>2</v>
      </c>
      <c r="AH2965" s="4">
        <v>59</v>
      </c>
      <c r="AI2965" s="4">
        <v>60</v>
      </c>
      <c r="AJ2965" s="4">
        <v>7</v>
      </c>
      <c r="AK2965" s="4">
        <v>9</v>
      </c>
      <c r="AL2965" s="4">
        <v>30</v>
      </c>
      <c r="AM2965" s="4">
        <v>31</v>
      </c>
      <c r="AN2965" s="4">
        <v>0</v>
      </c>
      <c r="AO2965" s="4">
        <v>0</v>
      </c>
      <c r="AP2965" s="4">
        <v>10</v>
      </c>
      <c r="AQ2965" s="4">
        <v>12</v>
      </c>
      <c r="AR2965" s="3" t="s">
        <v>64</v>
      </c>
      <c r="AS2965" s="3" t="s">
        <v>64</v>
      </c>
      <c r="AT2965" s="3" t="s">
        <v>64</v>
      </c>
      <c r="AV2965" s="6" t="str">
        <f>HYPERLINK("http://mcgill.on.worldcat.org/oclc/974380789","Catalog Record")</f>
        <v>Catalog Record</v>
      </c>
      <c r="AW2965" s="6" t="str">
        <f>HYPERLINK("http://www.worldcat.org/oclc/974380789","WorldCat Record")</f>
        <v>WorldCat Record</v>
      </c>
      <c r="AX2965" s="3" t="s">
        <v>29720</v>
      </c>
      <c r="AY2965" s="3" t="s">
        <v>29721</v>
      </c>
      <c r="AZ2965" s="3" t="s">
        <v>29722</v>
      </c>
      <c r="BA2965" s="3" t="s">
        <v>29722</v>
      </c>
      <c r="BB2965" s="3" t="s">
        <v>29723</v>
      </c>
      <c r="BC2965" s="3" t="s">
        <v>77</v>
      </c>
      <c r="BD2965" s="3" t="s">
        <v>78</v>
      </c>
      <c r="BE2965" s="3" t="s">
        <v>29724</v>
      </c>
      <c r="BF2965" s="3" t="s">
        <v>29723</v>
      </c>
      <c r="BG2965" s="3" t="s">
        <v>29725</v>
      </c>
      <c r="BH2965">
        <f t="shared" si="73"/>
        <v>0</v>
      </c>
    </row>
    <row r="2966" spans="1:60" ht="58" x14ac:dyDescent="0.35">
      <c r="A2966" s="2" t="s">
        <v>59</v>
      </c>
      <c r="B2966" s="2" t="s">
        <v>60</v>
      </c>
      <c r="C2966" s="2" t="s">
        <v>29726</v>
      </c>
      <c r="D2966" s="2" t="s">
        <v>29727</v>
      </c>
      <c r="E2966" s="2" t="s">
        <v>29728</v>
      </c>
      <c r="G2966" s="3" t="s">
        <v>64</v>
      </c>
      <c r="I2966" s="3" t="s">
        <v>64</v>
      </c>
      <c r="J2966" s="3" t="s">
        <v>128</v>
      </c>
      <c r="K2966" s="3" t="s">
        <v>65</v>
      </c>
      <c r="M2966" s="2" t="s">
        <v>29729</v>
      </c>
      <c r="N2966" s="3" t="s">
        <v>67</v>
      </c>
      <c r="O2966" s="2" t="s">
        <v>21568</v>
      </c>
      <c r="P2966" s="3" t="s">
        <v>102</v>
      </c>
      <c r="R2966" s="3" t="s">
        <v>70</v>
      </c>
      <c r="S2966" s="4">
        <v>0</v>
      </c>
      <c r="T2966" s="4">
        <v>0</v>
      </c>
      <c r="W2966" s="5" t="s">
        <v>72</v>
      </c>
      <c r="X2966" s="5" t="s">
        <v>72</v>
      </c>
      <c r="Y2966" s="4">
        <v>58</v>
      </c>
      <c r="Z2966" s="4">
        <v>4</v>
      </c>
      <c r="AA2966" s="4">
        <v>12</v>
      </c>
      <c r="AB2966" s="4">
        <v>1</v>
      </c>
      <c r="AC2966" s="4">
        <v>1</v>
      </c>
      <c r="AD2966" s="4">
        <v>8</v>
      </c>
      <c r="AE2966" s="4">
        <v>37</v>
      </c>
      <c r="AF2966" s="4">
        <v>0</v>
      </c>
      <c r="AG2966" s="4">
        <v>0</v>
      </c>
      <c r="AH2966" s="4">
        <v>7</v>
      </c>
      <c r="AI2966" s="4">
        <v>34</v>
      </c>
      <c r="AJ2966" s="4">
        <v>1</v>
      </c>
      <c r="AK2966" s="4">
        <v>7</v>
      </c>
      <c r="AL2966" s="4">
        <v>4</v>
      </c>
      <c r="AM2966" s="4">
        <v>18</v>
      </c>
      <c r="AN2966" s="4">
        <v>0</v>
      </c>
      <c r="AO2966" s="4">
        <v>0</v>
      </c>
      <c r="AP2966" s="4">
        <v>2</v>
      </c>
      <c r="AQ2966" s="4">
        <v>8</v>
      </c>
      <c r="AR2966" s="3" t="s">
        <v>64</v>
      </c>
      <c r="AS2966" s="3" t="s">
        <v>64</v>
      </c>
      <c r="AT2966" s="3" t="s">
        <v>64</v>
      </c>
      <c r="AV2966" s="6" t="str">
        <f>HYPERLINK("http://mcgill.on.worldcat.org/oclc/873763651","Catalog Record")</f>
        <v>Catalog Record</v>
      </c>
      <c r="AW2966" s="6" t="str">
        <f>HYPERLINK("http://www.worldcat.org/oclc/873763651","WorldCat Record")</f>
        <v>WorldCat Record</v>
      </c>
      <c r="AX2966" s="3" t="s">
        <v>29730</v>
      </c>
      <c r="AY2966" s="3" t="s">
        <v>29731</v>
      </c>
      <c r="AZ2966" s="3" t="s">
        <v>29732</v>
      </c>
      <c r="BA2966" s="3" t="s">
        <v>29732</v>
      </c>
      <c r="BB2966" s="3" t="s">
        <v>29733</v>
      </c>
      <c r="BC2966" s="3" t="s">
        <v>77</v>
      </c>
      <c r="BD2966" s="3" t="s">
        <v>78</v>
      </c>
      <c r="BE2966" s="3" t="s">
        <v>29734</v>
      </c>
      <c r="BF2966" s="3" t="s">
        <v>29733</v>
      </c>
      <c r="BG2966" s="3" t="s">
        <v>29735</v>
      </c>
      <c r="BH2966">
        <f t="shared" si="73"/>
        <v>0</v>
      </c>
    </row>
    <row r="2967" spans="1:60" ht="58" x14ac:dyDescent="0.35">
      <c r="A2967" s="2" t="s">
        <v>59</v>
      </c>
      <c r="B2967" s="2" t="s">
        <v>60</v>
      </c>
      <c r="C2967" s="2" t="s">
        <v>29736</v>
      </c>
      <c r="D2967" s="2" t="s">
        <v>29737</v>
      </c>
      <c r="E2967" s="2" t="s">
        <v>29738</v>
      </c>
      <c r="G2967" s="3" t="s">
        <v>64</v>
      </c>
      <c r="I2967" s="3" t="s">
        <v>64</v>
      </c>
      <c r="J2967" s="3" t="s">
        <v>128</v>
      </c>
      <c r="K2967" s="3" t="s">
        <v>65</v>
      </c>
      <c r="M2967" s="2" t="s">
        <v>29739</v>
      </c>
      <c r="N2967" s="3" t="s">
        <v>86</v>
      </c>
      <c r="O2967" s="2" t="s">
        <v>29740</v>
      </c>
      <c r="P2967" s="3" t="s">
        <v>102</v>
      </c>
      <c r="R2967" s="3" t="s">
        <v>70</v>
      </c>
      <c r="S2967" s="4">
        <v>0</v>
      </c>
      <c r="T2967" s="4">
        <v>0</v>
      </c>
      <c r="W2967" s="5" t="s">
        <v>72</v>
      </c>
      <c r="X2967" s="5" t="s">
        <v>72</v>
      </c>
      <c r="Y2967" s="4">
        <v>84</v>
      </c>
      <c r="Z2967" s="4">
        <v>8</v>
      </c>
      <c r="AA2967" s="4">
        <v>12</v>
      </c>
      <c r="AB2967" s="4">
        <v>1</v>
      </c>
      <c r="AC2967" s="4">
        <v>1</v>
      </c>
      <c r="AD2967" s="4">
        <v>24</v>
      </c>
      <c r="AE2967" s="4">
        <v>37</v>
      </c>
      <c r="AF2967" s="4">
        <v>0</v>
      </c>
      <c r="AG2967" s="4">
        <v>0</v>
      </c>
      <c r="AH2967" s="4">
        <v>22</v>
      </c>
      <c r="AI2967" s="4">
        <v>34</v>
      </c>
      <c r="AJ2967" s="4">
        <v>6</v>
      </c>
      <c r="AK2967" s="4">
        <v>7</v>
      </c>
      <c r="AL2967" s="4">
        <v>11</v>
      </c>
      <c r="AM2967" s="4">
        <v>18</v>
      </c>
      <c r="AN2967" s="4">
        <v>0</v>
      </c>
      <c r="AO2967" s="4">
        <v>0</v>
      </c>
      <c r="AP2967" s="4">
        <v>6</v>
      </c>
      <c r="AQ2967" s="4">
        <v>8</v>
      </c>
      <c r="AR2967" s="3" t="s">
        <v>64</v>
      </c>
      <c r="AS2967" s="3" t="s">
        <v>64</v>
      </c>
      <c r="AT2967" s="3" t="s">
        <v>64</v>
      </c>
      <c r="AV2967" s="6" t="str">
        <f>HYPERLINK("http://mcgill.on.worldcat.org/oclc/817562247","Catalog Record")</f>
        <v>Catalog Record</v>
      </c>
      <c r="AW2967" s="6" t="str">
        <f>HYPERLINK("http://www.worldcat.org/oclc/817562247","WorldCat Record")</f>
        <v>WorldCat Record</v>
      </c>
      <c r="AX2967" s="3" t="s">
        <v>29730</v>
      </c>
      <c r="AY2967" s="3" t="s">
        <v>29741</v>
      </c>
      <c r="AZ2967" s="3" t="s">
        <v>29742</v>
      </c>
      <c r="BA2967" s="3" t="s">
        <v>29742</v>
      </c>
      <c r="BB2967" s="3" t="s">
        <v>29743</v>
      </c>
      <c r="BC2967" s="3" t="s">
        <v>77</v>
      </c>
      <c r="BD2967" s="3" t="s">
        <v>78</v>
      </c>
      <c r="BE2967" s="3" t="s">
        <v>29744</v>
      </c>
      <c r="BF2967" s="3" t="s">
        <v>29743</v>
      </c>
      <c r="BG2967" s="3" t="s">
        <v>29745</v>
      </c>
      <c r="BH2967">
        <f t="shared" si="73"/>
        <v>0</v>
      </c>
    </row>
    <row r="2968" spans="1:60" ht="58" x14ac:dyDescent="0.35">
      <c r="A2968" s="2" t="s">
        <v>59</v>
      </c>
      <c r="B2968" s="2" t="s">
        <v>60</v>
      </c>
      <c r="C2968" s="2" t="s">
        <v>29746</v>
      </c>
      <c r="D2968" s="2" t="s">
        <v>29747</v>
      </c>
      <c r="E2968" s="2" t="s">
        <v>29748</v>
      </c>
      <c r="G2968" s="3" t="s">
        <v>64</v>
      </c>
      <c r="I2968" s="3" t="s">
        <v>64</v>
      </c>
      <c r="J2968" s="3" t="s">
        <v>64</v>
      </c>
      <c r="K2968" s="3" t="s">
        <v>65</v>
      </c>
      <c r="M2968" s="2" t="s">
        <v>19876</v>
      </c>
      <c r="N2968" s="3" t="s">
        <v>1075</v>
      </c>
      <c r="P2968" s="3" t="s">
        <v>102</v>
      </c>
      <c r="R2968" s="3" t="s">
        <v>70</v>
      </c>
      <c r="S2968" s="4">
        <v>1</v>
      </c>
      <c r="T2968" s="4">
        <v>1</v>
      </c>
      <c r="U2968" s="5" t="s">
        <v>1925</v>
      </c>
      <c r="V2968" s="5" t="s">
        <v>1925</v>
      </c>
      <c r="W2968" s="5" t="s">
        <v>72</v>
      </c>
      <c r="X2968" s="5" t="s">
        <v>72</v>
      </c>
      <c r="Y2968" s="4">
        <v>296</v>
      </c>
      <c r="Z2968" s="4">
        <v>18</v>
      </c>
      <c r="AA2968" s="4">
        <v>48</v>
      </c>
      <c r="AB2968" s="4">
        <v>1</v>
      </c>
      <c r="AC2968" s="4">
        <v>3</v>
      </c>
      <c r="AD2968" s="4">
        <v>44</v>
      </c>
      <c r="AE2968" s="4">
        <v>64</v>
      </c>
      <c r="AF2968" s="4">
        <v>0</v>
      </c>
      <c r="AG2968" s="4">
        <v>0</v>
      </c>
      <c r="AH2968" s="4">
        <v>39</v>
      </c>
      <c r="AI2968" s="4">
        <v>51</v>
      </c>
      <c r="AJ2968" s="4">
        <v>8</v>
      </c>
      <c r="AK2968" s="4">
        <v>11</v>
      </c>
      <c r="AL2968" s="4">
        <v>20</v>
      </c>
      <c r="AM2968" s="4">
        <v>26</v>
      </c>
      <c r="AN2968" s="4">
        <v>0</v>
      </c>
      <c r="AO2968" s="4">
        <v>0</v>
      </c>
      <c r="AP2968" s="4">
        <v>11</v>
      </c>
      <c r="AQ2968" s="4">
        <v>19</v>
      </c>
      <c r="AR2968" s="3" t="s">
        <v>64</v>
      </c>
      <c r="AS2968" s="3" t="s">
        <v>64</v>
      </c>
      <c r="AT2968" s="3" t="s">
        <v>64</v>
      </c>
      <c r="AV2968" s="6" t="str">
        <f>HYPERLINK("http://mcgill.on.worldcat.org/oclc/798617189","Catalog Record")</f>
        <v>Catalog Record</v>
      </c>
      <c r="AW2968" s="6" t="str">
        <f>HYPERLINK("http://www.worldcat.org/oclc/798617189","WorldCat Record")</f>
        <v>WorldCat Record</v>
      </c>
      <c r="AX2968" s="3" t="s">
        <v>29749</v>
      </c>
      <c r="AY2968" s="3" t="s">
        <v>29750</v>
      </c>
      <c r="AZ2968" s="3" t="s">
        <v>29751</v>
      </c>
      <c r="BA2968" s="3" t="s">
        <v>29751</v>
      </c>
      <c r="BB2968" s="3" t="s">
        <v>29752</v>
      </c>
      <c r="BC2968" s="3" t="s">
        <v>77</v>
      </c>
      <c r="BD2968" s="3" t="s">
        <v>78</v>
      </c>
      <c r="BE2968" s="3" t="s">
        <v>29753</v>
      </c>
      <c r="BF2968" s="3" t="s">
        <v>29752</v>
      </c>
      <c r="BG2968" s="3" t="s">
        <v>29754</v>
      </c>
      <c r="BH2968">
        <f t="shared" si="73"/>
        <v>0</v>
      </c>
    </row>
    <row r="2969" spans="1:60" ht="58" x14ac:dyDescent="0.35">
      <c r="A2969" s="2" t="s">
        <v>59</v>
      </c>
      <c r="B2969" s="2" t="s">
        <v>60</v>
      </c>
      <c r="C2969" s="2" t="s">
        <v>29755</v>
      </c>
      <c r="D2969" s="2" t="s">
        <v>29756</v>
      </c>
      <c r="E2969" s="2" t="s">
        <v>29757</v>
      </c>
      <c r="G2969" s="3" t="s">
        <v>64</v>
      </c>
      <c r="I2969" s="3" t="s">
        <v>64</v>
      </c>
      <c r="J2969" s="3" t="s">
        <v>64</v>
      </c>
      <c r="K2969" s="3" t="s">
        <v>65</v>
      </c>
      <c r="M2969" s="2" t="s">
        <v>29758</v>
      </c>
      <c r="N2969" s="3" t="s">
        <v>551</v>
      </c>
      <c r="P2969" s="3" t="s">
        <v>102</v>
      </c>
      <c r="R2969" s="3" t="s">
        <v>70</v>
      </c>
      <c r="S2969" s="4">
        <v>23</v>
      </c>
      <c r="T2969" s="4">
        <v>23</v>
      </c>
      <c r="U2969" s="5" t="s">
        <v>17588</v>
      </c>
      <c r="V2969" s="5" t="s">
        <v>17588</v>
      </c>
      <c r="W2969" s="5" t="s">
        <v>72</v>
      </c>
      <c r="X2969" s="5" t="s">
        <v>72</v>
      </c>
      <c r="Y2969" s="4">
        <v>952</v>
      </c>
      <c r="Z2969" s="4">
        <v>51</v>
      </c>
      <c r="AA2969" s="4">
        <v>55</v>
      </c>
      <c r="AB2969" s="4">
        <v>5</v>
      </c>
      <c r="AC2969" s="4">
        <v>9</v>
      </c>
      <c r="AD2969" s="4">
        <v>110</v>
      </c>
      <c r="AE2969" s="4">
        <v>114</v>
      </c>
      <c r="AF2969" s="4">
        <v>2</v>
      </c>
      <c r="AG2969" s="4">
        <v>6</v>
      </c>
      <c r="AH2969" s="4">
        <v>83</v>
      </c>
      <c r="AI2969" s="4">
        <v>84</v>
      </c>
      <c r="AJ2969" s="4">
        <v>19</v>
      </c>
      <c r="AK2969" s="4">
        <v>22</v>
      </c>
      <c r="AL2969" s="4">
        <v>44</v>
      </c>
      <c r="AM2969" s="4">
        <v>44</v>
      </c>
      <c r="AN2969" s="4">
        <v>0</v>
      </c>
      <c r="AO2969" s="4">
        <v>0</v>
      </c>
      <c r="AP2969" s="4">
        <v>31</v>
      </c>
      <c r="AQ2969" s="4">
        <v>34</v>
      </c>
      <c r="AR2969" s="3" t="s">
        <v>64</v>
      </c>
      <c r="AS2969" s="3" t="s">
        <v>64</v>
      </c>
      <c r="AT2969" s="3" t="s">
        <v>64</v>
      </c>
      <c r="AV2969" s="6" t="str">
        <f>HYPERLINK("http://mcgill.on.worldcat.org/oclc/373561342","Catalog Record")</f>
        <v>Catalog Record</v>
      </c>
      <c r="AW2969" s="6" t="str">
        <f>HYPERLINK("http://www.worldcat.org/oclc/373561342","WorldCat Record")</f>
        <v>WorldCat Record</v>
      </c>
      <c r="AX2969" s="3" t="s">
        <v>29759</v>
      </c>
      <c r="AY2969" s="3" t="s">
        <v>29760</v>
      </c>
      <c r="AZ2969" s="3" t="s">
        <v>29761</v>
      </c>
      <c r="BA2969" s="3" t="s">
        <v>29761</v>
      </c>
      <c r="BB2969" s="3" t="s">
        <v>29762</v>
      </c>
      <c r="BC2969" s="3" t="s">
        <v>77</v>
      </c>
      <c r="BD2969" s="3" t="s">
        <v>78</v>
      </c>
      <c r="BE2969" s="3" t="s">
        <v>29763</v>
      </c>
      <c r="BF2969" s="3" t="s">
        <v>29762</v>
      </c>
      <c r="BG2969" s="3" t="s">
        <v>29764</v>
      </c>
      <c r="BH2969">
        <f t="shared" si="73"/>
        <v>0</v>
      </c>
    </row>
    <row r="2970" spans="1:60" ht="58" x14ac:dyDescent="0.35">
      <c r="A2970" s="2" t="s">
        <v>59</v>
      </c>
      <c r="B2970" s="2" t="s">
        <v>60</v>
      </c>
      <c r="C2970" s="2" t="s">
        <v>29765</v>
      </c>
      <c r="D2970" s="2" t="s">
        <v>29766</v>
      </c>
      <c r="E2970" s="2" t="s">
        <v>29767</v>
      </c>
      <c r="G2970" s="3" t="s">
        <v>64</v>
      </c>
      <c r="I2970" s="3" t="s">
        <v>64</v>
      </c>
      <c r="J2970" s="3" t="s">
        <v>64</v>
      </c>
      <c r="K2970" s="3" t="s">
        <v>65</v>
      </c>
      <c r="L2970" s="2" t="s">
        <v>29768</v>
      </c>
      <c r="M2970" s="2" t="s">
        <v>13931</v>
      </c>
      <c r="N2970" s="3" t="s">
        <v>144</v>
      </c>
      <c r="P2970" s="3" t="s">
        <v>102</v>
      </c>
      <c r="R2970" s="3" t="s">
        <v>70</v>
      </c>
      <c r="S2970" s="4">
        <v>3</v>
      </c>
      <c r="T2970" s="4">
        <v>3</v>
      </c>
      <c r="U2970" s="5" t="s">
        <v>21750</v>
      </c>
      <c r="V2970" s="5" t="s">
        <v>21750</v>
      </c>
      <c r="W2970" s="5" t="s">
        <v>72</v>
      </c>
      <c r="X2970" s="5" t="s">
        <v>72</v>
      </c>
      <c r="Y2970" s="4">
        <v>130</v>
      </c>
      <c r="Z2970" s="4">
        <v>12</v>
      </c>
      <c r="AA2970" s="4">
        <v>12</v>
      </c>
      <c r="AB2970" s="4">
        <v>2</v>
      </c>
      <c r="AC2970" s="4">
        <v>2</v>
      </c>
      <c r="AD2970" s="4">
        <v>28</v>
      </c>
      <c r="AE2970" s="4">
        <v>29</v>
      </c>
      <c r="AF2970" s="4">
        <v>0</v>
      </c>
      <c r="AG2970" s="4">
        <v>0</v>
      </c>
      <c r="AH2970" s="4">
        <v>28</v>
      </c>
      <c r="AI2970" s="4">
        <v>29</v>
      </c>
      <c r="AJ2970" s="4">
        <v>6</v>
      </c>
      <c r="AK2970" s="4">
        <v>6</v>
      </c>
      <c r="AL2970" s="4">
        <v>13</v>
      </c>
      <c r="AM2970" s="4">
        <v>14</v>
      </c>
      <c r="AN2970" s="4">
        <v>0</v>
      </c>
      <c r="AO2970" s="4">
        <v>0</v>
      </c>
      <c r="AP2970" s="4">
        <v>6</v>
      </c>
      <c r="AQ2970" s="4">
        <v>6</v>
      </c>
      <c r="AR2970" s="3" t="s">
        <v>64</v>
      </c>
      <c r="AS2970" s="3" t="s">
        <v>64</v>
      </c>
      <c r="AT2970" s="3" t="s">
        <v>128</v>
      </c>
      <c r="AU2970" s="6" t="str">
        <f>HYPERLINK("http://catalog.hathitrust.org/Record/005849855","HathiTrust Record")</f>
        <v>HathiTrust Record</v>
      </c>
      <c r="AV2970" s="6" t="str">
        <f>HYPERLINK("http://mcgill.on.worldcat.org/oclc/191258399","Catalog Record")</f>
        <v>Catalog Record</v>
      </c>
      <c r="AW2970" s="6" t="str">
        <f>HYPERLINK("http://www.worldcat.org/oclc/191258399","WorldCat Record")</f>
        <v>WorldCat Record</v>
      </c>
      <c r="AX2970" s="3" t="s">
        <v>29769</v>
      </c>
      <c r="AY2970" s="3" t="s">
        <v>29770</v>
      </c>
      <c r="AZ2970" s="3" t="s">
        <v>29771</v>
      </c>
      <c r="BA2970" s="3" t="s">
        <v>29771</v>
      </c>
      <c r="BB2970" s="3" t="s">
        <v>29772</v>
      </c>
      <c r="BC2970" s="3" t="s">
        <v>77</v>
      </c>
      <c r="BD2970" s="3" t="s">
        <v>78</v>
      </c>
      <c r="BE2970" s="3" t="s">
        <v>29773</v>
      </c>
      <c r="BF2970" s="3" t="s">
        <v>29772</v>
      </c>
      <c r="BG2970" s="3" t="s">
        <v>29774</v>
      </c>
      <c r="BH2970">
        <f t="shared" si="73"/>
        <v>0</v>
      </c>
    </row>
    <row r="2971" spans="1:60" ht="58" x14ac:dyDescent="0.35">
      <c r="A2971" s="2" t="s">
        <v>59</v>
      </c>
      <c r="B2971" s="2" t="s">
        <v>60</v>
      </c>
      <c r="C2971" s="2" t="s">
        <v>29775</v>
      </c>
      <c r="D2971" s="2" t="s">
        <v>29776</v>
      </c>
      <c r="E2971" s="2" t="s">
        <v>29777</v>
      </c>
      <c r="F2971" s="3" t="s">
        <v>7062</v>
      </c>
      <c r="G2971" s="3" t="s">
        <v>128</v>
      </c>
      <c r="I2971" s="3" t="s">
        <v>64</v>
      </c>
      <c r="J2971" s="3" t="s">
        <v>64</v>
      </c>
      <c r="K2971" s="3" t="s">
        <v>65</v>
      </c>
      <c r="L2971" s="2" t="s">
        <v>29778</v>
      </c>
      <c r="M2971" s="2" t="s">
        <v>17071</v>
      </c>
      <c r="N2971" s="3" t="s">
        <v>144</v>
      </c>
      <c r="P2971" s="3" t="s">
        <v>102</v>
      </c>
      <c r="R2971" s="3" t="s">
        <v>70</v>
      </c>
      <c r="S2971" s="4">
        <v>3</v>
      </c>
      <c r="T2971" s="4">
        <v>3</v>
      </c>
      <c r="U2971" s="5" t="s">
        <v>29779</v>
      </c>
      <c r="V2971" s="5" t="s">
        <v>29779</v>
      </c>
      <c r="W2971" s="5" t="s">
        <v>72</v>
      </c>
      <c r="X2971" s="5" t="s">
        <v>72</v>
      </c>
      <c r="Y2971" s="4">
        <v>125</v>
      </c>
      <c r="Z2971" s="4">
        <v>8</v>
      </c>
      <c r="AA2971" s="4">
        <v>8</v>
      </c>
      <c r="AB2971" s="4">
        <v>1</v>
      </c>
      <c r="AC2971" s="4">
        <v>1</v>
      </c>
      <c r="AD2971" s="4">
        <v>28</v>
      </c>
      <c r="AE2971" s="4">
        <v>28</v>
      </c>
      <c r="AF2971" s="4">
        <v>0</v>
      </c>
      <c r="AG2971" s="4">
        <v>0</v>
      </c>
      <c r="AH2971" s="4">
        <v>27</v>
      </c>
      <c r="AI2971" s="4">
        <v>27</v>
      </c>
      <c r="AJ2971" s="4">
        <v>6</v>
      </c>
      <c r="AK2971" s="4">
        <v>6</v>
      </c>
      <c r="AL2971" s="4">
        <v>13</v>
      </c>
      <c r="AM2971" s="4">
        <v>13</v>
      </c>
      <c r="AN2971" s="4">
        <v>0</v>
      </c>
      <c r="AO2971" s="4">
        <v>0</v>
      </c>
      <c r="AP2971" s="4">
        <v>6</v>
      </c>
      <c r="AQ2971" s="4">
        <v>6</v>
      </c>
      <c r="AR2971" s="3" t="s">
        <v>64</v>
      </c>
      <c r="AS2971" s="3" t="s">
        <v>64</v>
      </c>
      <c r="AT2971" s="3" t="s">
        <v>64</v>
      </c>
      <c r="AV2971" s="6" t="str">
        <f>HYPERLINK("http://mcgill.on.worldcat.org/oclc/167504670","Catalog Record")</f>
        <v>Catalog Record</v>
      </c>
      <c r="AW2971" s="6" t="str">
        <f>HYPERLINK("http://www.worldcat.org/oclc/167504670","WorldCat Record")</f>
        <v>WorldCat Record</v>
      </c>
      <c r="AX2971" s="3" t="s">
        <v>29780</v>
      </c>
      <c r="AY2971" s="3" t="s">
        <v>29781</v>
      </c>
      <c r="AZ2971" s="3" t="s">
        <v>29782</v>
      </c>
      <c r="BA2971" s="3" t="s">
        <v>29782</v>
      </c>
      <c r="BB2971" s="3" t="s">
        <v>29783</v>
      </c>
      <c r="BC2971" s="3" t="s">
        <v>77</v>
      </c>
      <c r="BD2971" s="3" t="s">
        <v>78</v>
      </c>
      <c r="BE2971" s="3" t="s">
        <v>29784</v>
      </c>
      <c r="BF2971" s="3" t="s">
        <v>29783</v>
      </c>
      <c r="BG2971" s="3" t="s">
        <v>29785</v>
      </c>
      <c r="BH2971">
        <f t="shared" si="73"/>
        <v>0</v>
      </c>
    </row>
    <row r="2972" spans="1:60" ht="87" x14ac:dyDescent="0.35">
      <c r="A2972" s="2" t="s">
        <v>59</v>
      </c>
      <c r="B2972" s="2" t="s">
        <v>29786</v>
      </c>
      <c r="C2972" s="2" t="s">
        <v>29787</v>
      </c>
      <c r="D2972" s="2" t="s">
        <v>29788</v>
      </c>
      <c r="E2972" s="2" t="s">
        <v>29777</v>
      </c>
      <c r="F2972" s="3" t="s">
        <v>7631</v>
      </c>
      <c r="G2972" s="3" t="s">
        <v>128</v>
      </c>
      <c r="I2972" s="3" t="s">
        <v>64</v>
      </c>
      <c r="J2972" s="3" t="s">
        <v>64</v>
      </c>
      <c r="K2972" s="3" t="s">
        <v>65</v>
      </c>
      <c r="L2972" s="2" t="s">
        <v>29778</v>
      </c>
      <c r="M2972" s="2" t="s">
        <v>17071</v>
      </c>
      <c r="N2972" s="3" t="s">
        <v>144</v>
      </c>
      <c r="P2972" s="3" t="s">
        <v>102</v>
      </c>
      <c r="R2972" s="3" t="s">
        <v>70</v>
      </c>
      <c r="S2972" s="4">
        <v>0</v>
      </c>
      <c r="T2972" s="4">
        <v>3</v>
      </c>
      <c r="V2972" s="5" t="s">
        <v>29779</v>
      </c>
      <c r="W2972" s="5" t="s">
        <v>72</v>
      </c>
      <c r="X2972" s="5" t="s">
        <v>72</v>
      </c>
      <c r="Y2972" s="4">
        <v>125</v>
      </c>
      <c r="Z2972" s="4">
        <v>8</v>
      </c>
      <c r="AA2972" s="4">
        <v>8</v>
      </c>
      <c r="AB2972" s="4">
        <v>1</v>
      </c>
      <c r="AC2972" s="4">
        <v>1</v>
      </c>
      <c r="AD2972" s="4">
        <v>28</v>
      </c>
      <c r="AE2972" s="4">
        <v>28</v>
      </c>
      <c r="AF2972" s="4">
        <v>0</v>
      </c>
      <c r="AG2972" s="4">
        <v>0</v>
      </c>
      <c r="AH2972" s="4">
        <v>27</v>
      </c>
      <c r="AI2972" s="4">
        <v>27</v>
      </c>
      <c r="AJ2972" s="4">
        <v>6</v>
      </c>
      <c r="AK2972" s="4">
        <v>6</v>
      </c>
      <c r="AL2972" s="4">
        <v>13</v>
      </c>
      <c r="AM2972" s="4">
        <v>13</v>
      </c>
      <c r="AN2972" s="4">
        <v>0</v>
      </c>
      <c r="AO2972" s="4">
        <v>0</v>
      </c>
      <c r="AP2972" s="4">
        <v>6</v>
      </c>
      <c r="AQ2972" s="4">
        <v>6</v>
      </c>
      <c r="AR2972" s="3" t="s">
        <v>64</v>
      </c>
      <c r="AS2972" s="3" t="s">
        <v>64</v>
      </c>
      <c r="AT2972" s="3" t="s">
        <v>64</v>
      </c>
      <c r="AV2972" s="6" t="str">
        <f>HYPERLINK("http://mcgill.on.worldcat.org/oclc/167504670","Catalog Record")</f>
        <v>Catalog Record</v>
      </c>
      <c r="AW2972" s="6" t="str">
        <f>HYPERLINK("http://www.worldcat.org/oclc/167504670","WorldCat Record")</f>
        <v>WorldCat Record</v>
      </c>
      <c r="AX2972" s="3" t="s">
        <v>29780</v>
      </c>
      <c r="AY2972" s="3" t="s">
        <v>29781</v>
      </c>
      <c r="AZ2972" s="3" t="s">
        <v>29782</v>
      </c>
      <c r="BA2972" s="3" t="s">
        <v>29782</v>
      </c>
      <c r="BB2972" s="3" t="s">
        <v>29789</v>
      </c>
      <c r="BC2972" s="3" t="s">
        <v>77</v>
      </c>
      <c r="BD2972" s="3" t="s">
        <v>78</v>
      </c>
      <c r="BE2972" s="3" t="s">
        <v>29784</v>
      </c>
      <c r="BF2972" s="3" t="s">
        <v>29789</v>
      </c>
      <c r="BG2972" s="3" t="s">
        <v>29790</v>
      </c>
      <c r="BH2972">
        <f t="shared" si="73"/>
        <v>0</v>
      </c>
    </row>
    <row r="2973" spans="1:60" ht="58" x14ac:dyDescent="0.35">
      <c r="A2973" s="2" t="s">
        <v>59</v>
      </c>
      <c r="B2973" s="2" t="s">
        <v>60</v>
      </c>
      <c r="C2973" s="2" t="s">
        <v>29791</v>
      </c>
      <c r="D2973" s="2" t="s">
        <v>29792</v>
      </c>
      <c r="E2973" s="2" t="s">
        <v>29793</v>
      </c>
      <c r="G2973" s="3" t="s">
        <v>64</v>
      </c>
      <c r="I2973" s="3" t="s">
        <v>64</v>
      </c>
      <c r="J2973" s="3" t="s">
        <v>128</v>
      </c>
      <c r="K2973" s="3" t="s">
        <v>65</v>
      </c>
      <c r="M2973" s="2" t="s">
        <v>29794</v>
      </c>
      <c r="N2973" s="3" t="s">
        <v>511</v>
      </c>
      <c r="O2973" s="2" t="s">
        <v>20337</v>
      </c>
      <c r="P2973" s="3" t="s">
        <v>102</v>
      </c>
      <c r="R2973" s="3" t="s">
        <v>70</v>
      </c>
      <c r="S2973" s="4">
        <v>3</v>
      </c>
      <c r="T2973" s="4">
        <v>3</v>
      </c>
      <c r="U2973" s="5" t="s">
        <v>29795</v>
      </c>
      <c r="V2973" s="5" t="s">
        <v>29795</v>
      </c>
      <c r="W2973" s="5" t="s">
        <v>72</v>
      </c>
      <c r="X2973" s="5" t="s">
        <v>72</v>
      </c>
      <c r="Y2973" s="4">
        <v>890</v>
      </c>
      <c r="Z2973" s="4">
        <v>19</v>
      </c>
      <c r="AA2973" s="4">
        <v>174</v>
      </c>
      <c r="AB2973" s="4">
        <v>2</v>
      </c>
      <c r="AC2973" s="4">
        <v>21</v>
      </c>
      <c r="AD2973" s="4">
        <v>85</v>
      </c>
      <c r="AE2973" s="4">
        <v>173</v>
      </c>
      <c r="AF2973" s="4">
        <v>0</v>
      </c>
      <c r="AG2973" s="4">
        <v>8</v>
      </c>
      <c r="AH2973" s="4">
        <v>79</v>
      </c>
      <c r="AI2973" s="4">
        <v>117</v>
      </c>
      <c r="AJ2973" s="4">
        <v>9</v>
      </c>
      <c r="AK2973" s="4">
        <v>30</v>
      </c>
      <c r="AL2973" s="4">
        <v>44</v>
      </c>
      <c r="AM2973" s="4">
        <v>66</v>
      </c>
      <c r="AN2973" s="4">
        <v>0</v>
      </c>
      <c r="AO2973" s="4">
        <v>0</v>
      </c>
      <c r="AP2973" s="4">
        <v>10</v>
      </c>
      <c r="AQ2973" s="4">
        <v>58</v>
      </c>
      <c r="AR2973" s="3" t="s">
        <v>64</v>
      </c>
      <c r="AS2973" s="3" t="s">
        <v>64</v>
      </c>
      <c r="AT2973" s="3" t="s">
        <v>64</v>
      </c>
      <c r="AV2973" s="6" t="str">
        <f>HYPERLINK("http://mcgill.on.worldcat.org/oclc/601086593","Catalog Record")</f>
        <v>Catalog Record</v>
      </c>
      <c r="AW2973" s="6" t="str">
        <f>HYPERLINK("http://www.worldcat.org/oclc/601086593","WorldCat Record")</f>
        <v>WorldCat Record</v>
      </c>
      <c r="AX2973" s="3" t="s">
        <v>29796</v>
      </c>
      <c r="AY2973" s="3" t="s">
        <v>29797</v>
      </c>
      <c r="AZ2973" s="3" t="s">
        <v>29798</v>
      </c>
      <c r="BA2973" s="3" t="s">
        <v>29798</v>
      </c>
      <c r="BB2973" s="3" t="s">
        <v>29799</v>
      </c>
      <c r="BC2973" s="3" t="s">
        <v>77</v>
      </c>
      <c r="BD2973" s="3" t="s">
        <v>78</v>
      </c>
      <c r="BE2973" s="3" t="s">
        <v>29800</v>
      </c>
      <c r="BF2973" s="3" t="s">
        <v>29799</v>
      </c>
      <c r="BG2973" s="3" t="s">
        <v>29801</v>
      </c>
      <c r="BH2973">
        <f t="shared" si="73"/>
        <v>0</v>
      </c>
    </row>
    <row r="2974" spans="1:60" ht="58" x14ac:dyDescent="0.35">
      <c r="A2974" s="2" t="s">
        <v>59</v>
      </c>
      <c r="B2974" s="2" t="s">
        <v>60</v>
      </c>
      <c r="C2974" s="2" t="s">
        <v>29802</v>
      </c>
      <c r="D2974" s="2" t="s">
        <v>29803</v>
      </c>
      <c r="E2974" s="2" t="s">
        <v>29804</v>
      </c>
      <c r="G2974" s="3" t="s">
        <v>64</v>
      </c>
      <c r="I2974" s="3" t="s">
        <v>64</v>
      </c>
      <c r="J2974" s="3" t="s">
        <v>64</v>
      </c>
      <c r="K2974" s="3" t="s">
        <v>65</v>
      </c>
      <c r="M2974" s="2" t="s">
        <v>29805</v>
      </c>
      <c r="N2974" s="3" t="s">
        <v>537</v>
      </c>
      <c r="P2974" s="3" t="s">
        <v>102</v>
      </c>
      <c r="R2974" s="3" t="s">
        <v>70</v>
      </c>
      <c r="S2974" s="4">
        <v>1</v>
      </c>
      <c r="T2974" s="4">
        <v>1</v>
      </c>
      <c r="U2974" s="5" t="s">
        <v>268</v>
      </c>
      <c r="V2974" s="5" t="s">
        <v>268</v>
      </c>
      <c r="W2974" s="5" t="s">
        <v>72</v>
      </c>
      <c r="X2974" s="5" t="s">
        <v>72</v>
      </c>
      <c r="Y2974" s="4">
        <v>16</v>
      </c>
      <c r="Z2974" s="4">
        <v>6</v>
      </c>
      <c r="AA2974" s="4">
        <v>8</v>
      </c>
      <c r="AB2974" s="4">
        <v>1</v>
      </c>
      <c r="AC2974" s="4">
        <v>2</v>
      </c>
      <c r="AD2974" s="4">
        <v>6</v>
      </c>
      <c r="AE2974" s="4">
        <v>8</v>
      </c>
      <c r="AF2974" s="4">
        <v>0</v>
      </c>
      <c r="AG2974" s="4">
        <v>0</v>
      </c>
      <c r="AH2974" s="4">
        <v>5</v>
      </c>
      <c r="AI2974" s="4">
        <v>7</v>
      </c>
      <c r="AJ2974" s="4">
        <v>4</v>
      </c>
      <c r="AK2974" s="4">
        <v>5</v>
      </c>
      <c r="AL2974" s="4">
        <v>2</v>
      </c>
      <c r="AM2974" s="4">
        <v>3</v>
      </c>
      <c r="AN2974" s="4">
        <v>0</v>
      </c>
      <c r="AO2974" s="4">
        <v>0</v>
      </c>
      <c r="AP2974" s="4">
        <v>3</v>
      </c>
      <c r="AQ2974" s="4">
        <v>4</v>
      </c>
      <c r="AR2974" s="3" t="s">
        <v>128</v>
      </c>
      <c r="AS2974" s="3" t="s">
        <v>64</v>
      </c>
      <c r="AT2974" s="3" t="s">
        <v>64</v>
      </c>
      <c r="AV2974" s="6" t="str">
        <f>HYPERLINK("http://mcgill.on.worldcat.org/oclc/928606354","Catalog Record")</f>
        <v>Catalog Record</v>
      </c>
      <c r="AW2974" s="6" t="str">
        <f>HYPERLINK("http://www.worldcat.org/oclc/928606354","WorldCat Record")</f>
        <v>WorldCat Record</v>
      </c>
      <c r="AX2974" s="3" t="s">
        <v>29806</v>
      </c>
      <c r="AY2974" s="3" t="s">
        <v>29807</v>
      </c>
      <c r="AZ2974" s="3" t="s">
        <v>29808</v>
      </c>
      <c r="BA2974" s="3" t="s">
        <v>29808</v>
      </c>
      <c r="BB2974" s="3" t="s">
        <v>29809</v>
      </c>
      <c r="BC2974" s="3" t="s">
        <v>77</v>
      </c>
      <c r="BD2974" s="3" t="s">
        <v>78</v>
      </c>
      <c r="BE2974" s="3" t="s">
        <v>29810</v>
      </c>
      <c r="BF2974" s="3" t="s">
        <v>29809</v>
      </c>
      <c r="BG2974" s="3" t="s">
        <v>29811</v>
      </c>
      <c r="BH2974">
        <f t="shared" si="73"/>
        <v>0</v>
      </c>
    </row>
    <row r="2975" spans="1:60" ht="58" x14ac:dyDescent="0.35">
      <c r="A2975" s="2" t="s">
        <v>59</v>
      </c>
      <c r="B2975" s="2" t="s">
        <v>60</v>
      </c>
      <c r="C2975" s="2" t="s">
        <v>29812</v>
      </c>
      <c r="D2975" s="2" t="s">
        <v>29813</v>
      </c>
      <c r="E2975" s="2" t="s">
        <v>29814</v>
      </c>
      <c r="G2975" s="3" t="s">
        <v>64</v>
      </c>
      <c r="I2975" s="3" t="s">
        <v>64</v>
      </c>
      <c r="J2975" s="3" t="s">
        <v>64</v>
      </c>
      <c r="K2975" s="3" t="s">
        <v>65</v>
      </c>
      <c r="L2975" s="2" t="s">
        <v>29815</v>
      </c>
      <c r="M2975" s="2" t="s">
        <v>19784</v>
      </c>
      <c r="N2975" s="3" t="s">
        <v>1615</v>
      </c>
      <c r="P2975" s="3" t="s">
        <v>102</v>
      </c>
      <c r="Q2975" s="2" t="s">
        <v>29816</v>
      </c>
      <c r="R2975" s="3" t="s">
        <v>70</v>
      </c>
      <c r="S2975" s="4">
        <v>14</v>
      </c>
      <c r="T2975" s="4">
        <v>14</v>
      </c>
      <c r="U2975" s="5" t="s">
        <v>4697</v>
      </c>
      <c r="V2975" s="5" t="s">
        <v>4697</v>
      </c>
      <c r="W2975" s="5" t="s">
        <v>72</v>
      </c>
      <c r="X2975" s="5" t="s">
        <v>72</v>
      </c>
      <c r="Y2975" s="4">
        <v>407</v>
      </c>
      <c r="Z2975" s="4">
        <v>15</v>
      </c>
      <c r="AA2975" s="4">
        <v>16</v>
      </c>
      <c r="AB2975" s="4">
        <v>1</v>
      </c>
      <c r="AC2975" s="4">
        <v>2</v>
      </c>
      <c r="AD2975" s="4">
        <v>102</v>
      </c>
      <c r="AE2975" s="4">
        <v>103</v>
      </c>
      <c r="AF2975" s="4">
        <v>0</v>
      </c>
      <c r="AG2975" s="4">
        <v>1</v>
      </c>
      <c r="AH2975" s="4">
        <v>95</v>
      </c>
      <c r="AI2975" s="4">
        <v>95</v>
      </c>
      <c r="AJ2975" s="4">
        <v>9</v>
      </c>
      <c r="AK2975" s="4">
        <v>10</v>
      </c>
      <c r="AL2975" s="4">
        <v>52</v>
      </c>
      <c r="AM2975" s="4">
        <v>52</v>
      </c>
      <c r="AN2975" s="4">
        <v>0</v>
      </c>
      <c r="AO2975" s="4">
        <v>0</v>
      </c>
      <c r="AP2975" s="4">
        <v>10</v>
      </c>
      <c r="AQ2975" s="4">
        <v>10</v>
      </c>
      <c r="AR2975" s="3" t="s">
        <v>64</v>
      </c>
      <c r="AS2975" s="3" t="s">
        <v>64</v>
      </c>
      <c r="AT2975" s="3" t="s">
        <v>64</v>
      </c>
      <c r="AV2975" s="6" t="str">
        <f>HYPERLINK("http://mcgill.on.worldcat.org/oclc/34633329","Catalog Record")</f>
        <v>Catalog Record</v>
      </c>
      <c r="AW2975" s="6" t="str">
        <f>HYPERLINK("http://www.worldcat.org/oclc/34633329","WorldCat Record")</f>
        <v>WorldCat Record</v>
      </c>
      <c r="AX2975" s="3" t="s">
        <v>29817</v>
      </c>
      <c r="AY2975" s="3" t="s">
        <v>29818</v>
      </c>
      <c r="AZ2975" s="3" t="s">
        <v>29819</v>
      </c>
      <c r="BA2975" s="3" t="s">
        <v>29819</v>
      </c>
      <c r="BB2975" s="3" t="s">
        <v>29820</v>
      </c>
      <c r="BC2975" s="3" t="s">
        <v>77</v>
      </c>
      <c r="BD2975" s="3" t="s">
        <v>78</v>
      </c>
      <c r="BE2975" s="3" t="s">
        <v>29821</v>
      </c>
      <c r="BF2975" s="3" t="s">
        <v>29820</v>
      </c>
      <c r="BG2975" s="3" t="s">
        <v>29822</v>
      </c>
      <c r="BH2975">
        <f t="shared" si="73"/>
        <v>0</v>
      </c>
    </row>
    <row r="2976" spans="1:60" ht="58" x14ac:dyDescent="0.35">
      <c r="A2976" s="2" t="s">
        <v>59</v>
      </c>
      <c r="B2976" s="2" t="s">
        <v>60</v>
      </c>
      <c r="C2976" s="2" t="s">
        <v>29823</v>
      </c>
      <c r="D2976" s="2" t="s">
        <v>29824</v>
      </c>
      <c r="E2976" s="2" t="s">
        <v>29825</v>
      </c>
      <c r="G2976" s="3" t="s">
        <v>64</v>
      </c>
      <c r="I2976" s="3" t="s">
        <v>64</v>
      </c>
      <c r="J2976" s="3" t="s">
        <v>64</v>
      </c>
      <c r="K2976" s="3" t="s">
        <v>65</v>
      </c>
      <c r="M2976" s="2" t="s">
        <v>18389</v>
      </c>
      <c r="N2976" s="3" t="s">
        <v>86</v>
      </c>
      <c r="P2976" s="3" t="s">
        <v>102</v>
      </c>
      <c r="R2976" s="3" t="s">
        <v>70</v>
      </c>
      <c r="S2976" s="4">
        <v>2</v>
      </c>
      <c r="T2976" s="4">
        <v>2</v>
      </c>
      <c r="U2976" s="5" t="s">
        <v>4697</v>
      </c>
      <c r="V2976" s="5" t="s">
        <v>4697</v>
      </c>
      <c r="W2976" s="5" t="s">
        <v>72</v>
      </c>
      <c r="X2976" s="5" t="s">
        <v>72</v>
      </c>
      <c r="Y2976" s="4">
        <v>419</v>
      </c>
      <c r="Z2976" s="4">
        <v>17</v>
      </c>
      <c r="AA2976" s="4">
        <v>97</v>
      </c>
      <c r="AB2976" s="4">
        <v>1</v>
      </c>
      <c r="AC2976" s="4">
        <v>17</v>
      </c>
      <c r="AD2976" s="4">
        <v>61</v>
      </c>
      <c r="AE2976" s="4">
        <v>121</v>
      </c>
      <c r="AF2976" s="4">
        <v>0</v>
      </c>
      <c r="AG2976" s="4">
        <v>8</v>
      </c>
      <c r="AH2976" s="4">
        <v>55</v>
      </c>
      <c r="AI2976" s="4">
        <v>84</v>
      </c>
      <c r="AJ2976" s="4">
        <v>8</v>
      </c>
      <c r="AK2976" s="4">
        <v>20</v>
      </c>
      <c r="AL2976" s="4">
        <v>26</v>
      </c>
      <c r="AM2976" s="4">
        <v>42</v>
      </c>
      <c r="AN2976" s="4">
        <v>0</v>
      </c>
      <c r="AO2976" s="4">
        <v>0</v>
      </c>
      <c r="AP2976" s="4">
        <v>8</v>
      </c>
      <c r="AQ2976" s="4">
        <v>41</v>
      </c>
      <c r="AR2976" s="3" t="s">
        <v>64</v>
      </c>
      <c r="AS2976" s="3" t="s">
        <v>64</v>
      </c>
      <c r="AT2976" s="3" t="s">
        <v>64</v>
      </c>
      <c r="AV2976" s="6" t="str">
        <f>HYPERLINK("http://mcgill.on.worldcat.org/oclc/747099267","Catalog Record")</f>
        <v>Catalog Record</v>
      </c>
      <c r="AW2976" s="6" t="str">
        <f>HYPERLINK("http://www.worldcat.org/oclc/747099267","WorldCat Record")</f>
        <v>WorldCat Record</v>
      </c>
      <c r="AX2976" s="3" t="s">
        <v>29826</v>
      </c>
      <c r="AY2976" s="3" t="s">
        <v>29827</v>
      </c>
      <c r="AZ2976" s="3" t="s">
        <v>29828</v>
      </c>
      <c r="BA2976" s="3" t="s">
        <v>29828</v>
      </c>
      <c r="BB2976" s="3" t="s">
        <v>29829</v>
      </c>
      <c r="BC2976" s="3" t="s">
        <v>77</v>
      </c>
      <c r="BD2976" s="3" t="s">
        <v>78</v>
      </c>
      <c r="BE2976" s="3" t="s">
        <v>29830</v>
      </c>
      <c r="BF2976" s="3" t="s">
        <v>29829</v>
      </c>
      <c r="BG2976" s="3" t="s">
        <v>29831</v>
      </c>
      <c r="BH2976">
        <f t="shared" si="73"/>
        <v>0</v>
      </c>
    </row>
    <row r="2977" spans="1:60" ht="58" x14ac:dyDescent="0.35">
      <c r="A2977" s="2" t="s">
        <v>59</v>
      </c>
      <c r="B2977" s="2" t="s">
        <v>60</v>
      </c>
      <c r="C2977" s="2" t="s">
        <v>29832</v>
      </c>
      <c r="D2977" s="2" t="s">
        <v>29833</v>
      </c>
      <c r="E2977" s="2" t="s">
        <v>29834</v>
      </c>
      <c r="G2977" s="3" t="s">
        <v>64</v>
      </c>
      <c r="I2977" s="3" t="s">
        <v>64</v>
      </c>
      <c r="J2977" s="3" t="s">
        <v>64</v>
      </c>
      <c r="K2977" s="3" t="s">
        <v>65</v>
      </c>
      <c r="L2977" s="2" t="s">
        <v>29835</v>
      </c>
      <c r="M2977" s="2" t="s">
        <v>16922</v>
      </c>
      <c r="N2977" s="3" t="s">
        <v>86</v>
      </c>
      <c r="P2977" s="3" t="s">
        <v>102</v>
      </c>
      <c r="Q2977" s="2" t="s">
        <v>29836</v>
      </c>
      <c r="R2977" s="3" t="s">
        <v>70</v>
      </c>
      <c r="S2977" s="4">
        <v>4</v>
      </c>
      <c r="T2977" s="4">
        <v>4</v>
      </c>
      <c r="U2977" s="5" t="s">
        <v>29837</v>
      </c>
      <c r="V2977" s="5" t="s">
        <v>29837</v>
      </c>
      <c r="W2977" s="5" t="s">
        <v>72</v>
      </c>
      <c r="X2977" s="5" t="s">
        <v>72</v>
      </c>
      <c r="Y2977" s="4">
        <v>155</v>
      </c>
      <c r="Z2977" s="4">
        <v>22</v>
      </c>
      <c r="AA2977" s="4">
        <v>123</v>
      </c>
      <c r="AB2977" s="4">
        <v>1</v>
      </c>
      <c r="AC2977" s="4">
        <v>17</v>
      </c>
      <c r="AD2977" s="4">
        <v>33</v>
      </c>
      <c r="AE2977" s="4">
        <v>117</v>
      </c>
      <c r="AF2977" s="4">
        <v>0</v>
      </c>
      <c r="AG2977" s="4">
        <v>8</v>
      </c>
      <c r="AH2977" s="4">
        <v>26</v>
      </c>
      <c r="AI2977" s="4">
        <v>74</v>
      </c>
      <c r="AJ2977" s="4">
        <v>9</v>
      </c>
      <c r="AK2977" s="4">
        <v>23</v>
      </c>
      <c r="AL2977" s="4">
        <v>14</v>
      </c>
      <c r="AM2977" s="4">
        <v>35</v>
      </c>
      <c r="AN2977" s="4">
        <v>0</v>
      </c>
      <c r="AO2977" s="4">
        <v>0</v>
      </c>
      <c r="AP2977" s="4">
        <v>13</v>
      </c>
      <c r="AQ2977" s="4">
        <v>50</v>
      </c>
      <c r="AR2977" s="3" t="s">
        <v>64</v>
      </c>
      <c r="AS2977" s="3" t="s">
        <v>64</v>
      </c>
      <c r="AT2977" s="3" t="s">
        <v>64</v>
      </c>
      <c r="AV2977" s="6" t="str">
        <f>HYPERLINK("http://mcgill.on.worldcat.org/oclc/781432074","Catalog Record")</f>
        <v>Catalog Record</v>
      </c>
      <c r="AW2977" s="6" t="str">
        <f>HYPERLINK("http://www.worldcat.org/oclc/781432074","WorldCat Record")</f>
        <v>WorldCat Record</v>
      </c>
      <c r="AX2977" s="3" t="s">
        <v>29838</v>
      </c>
      <c r="AY2977" s="3" t="s">
        <v>29839</v>
      </c>
      <c r="AZ2977" s="3" t="s">
        <v>29840</v>
      </c>
      <c r="BA2977" s="3" t="s">
        <v>29840</v>
      </c>
      <c r="BB2977" s="3" t="s">
        <v>29841</v>
      </c>
      <c r="BC2977" s="3" t="s">
        <v>77</v>
      </c>
      <c r="BD2977" s="3" t="s">
        <v>165</v>
      </c>
      <c r="BE2977" s="3" t="s">
        <v>29842</v>
      </c>
      <c r="BF2977" s="3" t="s">
        <v>29841</v>
      </c>
      <c r="BG2977" s="3" t="s">
        <v>29843</v>
      </c>
      <c r="BH2977">
        <f t="shared" si="73"/>
        <v>0</v>
      </c>
    </row>
    <row r="2978" spans="1:60" ht="58" x14ac:dyDescent="0.35">
      <c r="A2978" s="2" t="s">
        <v>59</v>
      </c>
      <c r="B2978" s="2" t="s">
        <v>60</v>
      </c>
      <c r="C2978" s="2" t="s">
        <v>29844</v>
      </c>
      <c r="D2978" s="2" t="s">
        <v>29845</v>
      </c>
      <c r="E2978" s="2" t="s">
        <v>29846</v>
      </c>
      <c r="G2978" s="3" t="s">
        <v>64</v>
      </c>
      <c r="I2978" s="3" t="s">
        <v>64</v>
      </c>
      <c r="J2978" s="3" t="s">
        <v>64</v>
      </c>
      <c r="K2978" s="3" t="s">
        <v>65</v>
      </c>
      <c r="M2978" s="2" t="s">
        <v>17025</v>
      </c>
      <c r="N2978" s="3" t="s">
        <v>1075</v>
      </c>
      <c r="P2978" s="3" t="s">
        <v>102</v>
      </c>
      <c r="Q2978" s="2" t="s">
        <v>29847</v>
      </c>
      <c r="R2978" s="3" t="s">
        <v>70</v>
      </c>
      <c r="S2978" s="4">
        <v>4</v>
      </c>
      <c r="T2978" s="4">
        <v>4</v>
      </c>
      <c r="U2978" s="5" t="s">
        <v>29848</v>
      </c>
      <c r="V2978" s="5" t="s">
        <v>29848</v>
      </c>
      <c r="W2978" s="5" t="s">
        <v>72</v>
      </c>
      <c r="X2978" s="5" t="s">
        <v>72</v>
      </c>
      <c r="Y2978" s="4">
        <v>174</v>
      </c>
      <c r="Z2978" s="4">
        <v>15</v>
      </c>
      <c r="AA2978" s="4">
        <v>106</v>
      </c>
      <c r="AB2978" s="4">
        <v>1</v>
      </c>
      <c r="AC2978" s="4">
        <v>16</v>
      </c>
      <c r="AD2978" s="4">
        <v>34</v>
      </c>
      <c r="AE2978" s="4">
        <v>109</v>
      </c>
      <c r="AF2978" s="4">
        <v>0</v>
      </c>
      <c r="AG2978" s="4">
        <v>8</v>
      </c>
      <c r="AH2978" s="4">
        <v>31</v>
      </c>
      <c r="AI2978" s="4">
        <v>71</v>
      </c>
      <c r="AJ2978" s="4">
        <v>6</v>
      </c>
      <c r="AK2978" s="4">
        <v>20</v>
      </c>
      <c r="AL2978" s="4">
        <v>17</v>
      </c>
      <c r="AM2978" s="4">
        <v>35</v>
      </c>
      <c r="AN2978" s="4">
        <v>0</v>
      </c>
      <c r="AO2978" s="4">
        <v>0</v>
      </c>
      <c r="AP2978" s="4">
        <v>8</v>
      </c>
      <c r="AQ2978" s="4">
        <v>43</v>
      </c>
      <c r="AR2978" s="3" t="s">
        <v>64</v>
      </c>
      <c r="AS2978" s="3" t="s">
        <v>64</v>
      </c>
      <c r="AT2978" s="3" t="s">
        <v>64</v>
      </c>
      <c r="AV2978" s="6" t="str">
        <f>HYPERLINK("http://mcgill.on.worldcat.org/oclc/820450635","Catalog Record")</f>
        <v>Catalog Record</v>
      </c>
      <c r="AW2978" s="6" t="str">
        <f>HYPERLINK("http://www.worldcat.org/oclc/820450635","WorldCat Record")</f>
        <v>WorldCat Record</v>
      </c>
      <c r="AX2978" s="3" t="s">
        <v>29849</v>
      </c>
      <c r="AY2978" s="3" t="s">
        <v>29850</v>
      </c>
      <c r="AZ2978" s="3" t="s">
        <v>29851</v>
      </c>
      <c r="BA2978" s="3" t="s">
        <v>29851</v>
      </c>
      <c r="BB2978" s="3" t="s">
        <v>29852</v>
      </c>
      <c r="BC2978" s="3" t="s">
        <v>77</v>
      </c>
      <c r="BD2978" s="3" t="s">
        <v>165</v>
      </c>
      <c r="BE2978" s="3" t="s">
        <v>29853</v>
      </c>
      <c r="BF2978" s="3" t="s">
        <v>29852</v>
      </c>
      <c r="BG2978" s="3" t="s">
        <v>29854</v>
      </c>
      <c r="BH2978">
        <f t="shared" si="73"/>
        <v>0</v>
      </c>
    </row>
    <row r="2979" spans="1:60" ht="58" x14ac:dyDescent="0.35">
      <c r="A2979" s="2" t="s">
        <v>59</v>
      </c>
      <c r="B2979" s="2" t="s">
        <v>60</v>
      </c>
      <c r="C2979" s="2" t="s">
        <v>29855</v>
      </c>
      <c r="D2979" s="2" t="s">
        <v>29856</v>
      </c>
      <c r="E2979" s="2" t="s">
        <v>29857</v>
      </c>
      <c r="G2979" s="3" t="s">
        <v>64</v>
      </c>
      <c r="I2979" s="3" t="s">
        <v>64</v>
      </c>
      <c r="J2979" s="3" t="s">
        <v>64</v>
      </c>
      <c r="K2979" s="3" t="s">
        <v>65</v>
      </c>
      <c r="M2979" s="2" t="s">
        <v>14817</v>
      </c>
      <c r="N2979" s="3" t="s">
        <v>979</v>
      </c>
      <c r="P2979" s="3" t="s">
        <v>102</v>
      </c>
      <c r="Q2979" s="2" t="s">
        <v>29858</v>
      </c>
      <c r="R2979" s="3" t="s">
        <v>70</v>
      </c>
      <c r="S2979" s="4">
        <v>17</v>
      </c>
      <c r="T2979" s="4">
        <v>17</v>
      </c>
      <c r="U2979" s="5" t="s">
        <v>3129</v>
      </c>
      <c r="V2979" s="5" t="s">
        <v>3129</v>
      </c>
      <c r="W2979" s="5" t="s">
        <v>72</v>
      </c>
      <c r="X2979" s="5" t="s">
        <v>72</v>
      </c>
      <c r="Y2979" s="4">
        <v>584</v>
      </c>
      <c r="Z2979" s="4">
        <v>36</v>
      </c>
      <c r="AA2979" s="4">
        <v>36</v>
      </c>
      <c r="AB2979" s="4">
        <v>2</v>
      </c>
      <c r="AC2979" s="4">
        <v>2</v>
      </c>
      <c r="AD2979" s="4">
        <v>107</v>
      </c>
      <c r="AE2979" s="4">
        <v>107</v>
      </c>
      <c r="AF2979" s="4">
        <v>0</v>
      </c>
      <c r="AG2979" s="4">
        <v>0</v>
      </c>
      <c r="AH2979" s="4">
        <v>95</v>
      </c>
      <c r="AI2979" s="4">
        <v>95</v>
      </c>
      <c r="AJ2979" s="4">
        <v>15</v>
      </c>
      <c r="AK2979" s="4">
        <v>15</v>
      </c>
      <c r="AL2979" s="4">
        <v>48</v>
      </c>
      <c r="AM2979" s="4">
        <v>48</v>
      </c>
      <c r="AN2979" s="4">
        <v>0</v>
      </c>
      <c r="AO2979" s="4">
        <v>0</v>
      </c>
      <c r="AP2979" s="4">
        <v>19</v>
      </c>
      <c r="AQ2979" s="4">
        <v>19</v>
      </c>
      <c r="AR2979" s="3" t="s">
        <v>64</v>
      </c>
      <c r="AS2979" s="3" t="s">
        <v>64</v>
      </c>
      <c r="AT2979" s="3" t="s">
        <v>64</v>
      </c>
      <c r="AV2979" s="6" t="str">
        <f>HYPERLINK("http://mcgill.on.worldcat.org/oclc/44468971","Catalog Record")</f>
        <v>Catalog Record</v>
      </c>
      <c r="AW2979" s="6" t="str">
        <f>HYPERLINK("http://www.worldcat.org/oclc/44468971","WorldCat Record")</f>
        <v>WorldCat Record</v>
      </c>
      <c r="AX2979" s="3" t="s">
        <v>29859</v>
      </c>
      <c r="AY2979" s="3" t="s">
        <v>29860</v>
      </c>
      <c r="AZ2979" s="3" t="s">
        <v>29861</v>
      </c>
      <c r="BA2979" s="3" t="s">
        <v>29861</v>
      </c>
      <c r="BB2979" s="3" t="s">
        <v>29862</v>
      </c>
      <c r="BC2979" s="3" t="s">
        <v>77</v>
      </c>
      <c r="BD2979" s="3" t="s">
        <v>78</v>
      </c>
      <c r="BE2979" s="3" t="s">
        <v>29863</v>
      </c>
      <c r="BF2979" s="3" t="s">
        <v>29862</v>
      </c>
      <c r="BG2979" s="3" t="s">
        <v>29864</v>
      </c>
      <c r="BH2979">
        <f t="shared" si="73"/>
        <v>0</v>
      </c>
    </row>
    <row r="2980" spans="1:60" ht="58" x14ac:dyDescent="0.35">
      <c r="A2980" s="2" t="s">
        <v>59</v>
      </c>
      <c r="B2980" s="2" t="s">
        <v>60</v>
      </c>
      <c r="C2980" s="2" t="s">
        <v>29865</v>
      </c>
      <c r="D2980" s="2" t="s">
        <v>29866</v>
      </c>
      <c r="E2980" s="2" t="s">
        <v>29867</v>
      </c>
      <c r="G2980" s="3" t="s">
        <v>64</v>
      </c>
      <c r="I2980" s="3" t="s">
        <v>64</v>
      </c>
      <c r="J2980" s="3" t="s">
        <v>64</v>
      </c>
      <c r="K2980" s="3" t="s">
        <v>65</v>
      </c>
      <c r="M2980" s="2" t="s">
        <v>29868</v>
      </c>
      <c r="N2980" s="3" t="s">
        <v>101</v>
      </c>
      <c r="P2980" s="3" t="s">
        <v>102</v>
      </c>
      <c r="R2980" s="3" t="s">
        <v>70</v>
      </c>
      <c r="S2980" s="4">
        <v>3</v>
      </c>
      <c r="T2980" s="4">
        <v>3</v>
      </c>
      <c r="U2980" s="5" t="s">
        <v>3129</v>
      </c>
      <c r="V2980" s="5" t="s">
        <v>3129</v>
      </c>
      <c r="W2980" s="5" t="s">
        <v>72</v>
      </c>
      <c r="X2980" s="5" t="s">
        <v>72</v>
      </c>
      <c r="Y2980" s="4">
        <v>250</v>
      </c>
      <c r="Z2980" s="4">
        <v>15</v>
      </c>
      <c r="AA2980" s="4">
        <v>22</v>
      </c>
      <c r="AB2980" s="4">
        <v>1</v>
      </c>
      <c r="AC2980" s="4">
        <v>6</v>
      </c>
      <c r="AD2980" s="4">
        <v>40</v>
      </c>
      <c r="AE2980" s="4">
        <v>56</v>
      </c>
      <c r="AF2980" s="4">
        <v>0</v>
      </c>
      <c r="AG2980" s="4">
        <v>3</v>
      </c>
      <c r="AH2980" s="4">
        <v>33</v>
      </c>
      <c r="AI2980" s="4">
        <v>46</v>
      </c>
      <c r="AJ2980" s="4">
        <v>7</v>
      </c>
      <c r="AK2980" s="4">
        <v>11</v>
      </c>
      <c r="AL2980" s="4">
        <v>18</v>
      </c>
      <c r="AM2980" s="4">
        <v>25</v>
      </c>
      <c r="AN2980" s="4">
        <v>0</v>
      </c>
      <c r="AO2980" s="4">
        <v>0</v>
      </c>
      <c r="AP2980" s="4">
        <v>10</v>
      </c>
      <c r="AQ2980" s="4">
        <v>14</v>
      </c>
      <c r="AR2980" s="3" t="s">
        <v>64</v>
      </c>
      <c r="AS2980" s="3" t="s">
        <v>64</v>
      </c>
      <c r="AT2980" s="3" t="s">
        <v>128</v>
      </c>
      <c r="AU2980" s="6" t="str">
        <f>HYPERLINK("http://catalog.hathitrust.org/Record/102490328","HathiTrust Record")</f>
        <v>HathiTrust Record</v>
      </c>
      <c r="AV2980" s="6" t="str">
        <f>HYPERLINK("http://mcgill.on.worldcat.org/oclc/52814314","Catalog Record")</f>
        <v>Catalog Record</v>
      </c>
      <c r="AW2980" s="6" t="str">
        <f>HYPERLINK("http://www.worldcat.org/oclc/52814314","WorldCat Record")</f>
        <v>WorldCat Record</v>
      </c>
      <c r="AX2980" s="3" t="s">
        <v>29869</v>
      </c>
      <c r="AY2980" s="3" t="s">
        <v>29870</v>
      </c>
      <c r="AZ2980" s="3" t="s">
        <v>29871</v>
      </c>
      <c r="BA2980" s="3" t="s">
        <v>29871</v>
      </c>
      <c r="BB2980" s="3" t="s">
        <v>29872</v>
      </c>
      <c r="BC2980" s="3" t="s">
        <v>77</v>
      </c>
      <c r="BD2980" s="3" t="s">
        <v>78</v>
      </c>
      <c r="BE2980" s="3" t="s">
        <v>29873</v>
      </c>
      <c r="BF2980" s="3" t="s">
        <v>29872</v>
      </c>
      <c r="BG2980" s="3" t="s">
        <v>29874</v>
      </c>
      <c r="BH2980">
        <f t="shared" si="73"/>
        <v>0</v>
      </c>
    </row>
    <row r="2981" spans="1:60" ht="58" x14ac:dyDescent="0.35">
      <c r="A2981" s="2" t="s">
        <v>59</v>
      </c>
      <c r="B2981" s="2" t="s">
        <v>60</v>
      </c>
      <c r="C2981" s="2" t="s">
        <v>29875</v>
      </c>
      <c r="D2981" s="2" t="s">
        <v>29876</v>
      </c>
      <c r="E2981" s="2" t="s">
        <v>29877</v>
      </c>
      <c r="G2981" s="3" t="s">
        <v>64</v>
      </c>
      <c r="I2981" s="3" t="s">
        <v>64</v>
      </c>
      <c r="J2981" s="3" t="s">
        <v>64</v>
      </c>
      <c r="K2981" s="3" t="s">
        <v>65</v>
      </c>
      <c r="M2981" s="2" t="s">
        <v>19202</v>
      </c>
      <c r="N2981" s="3" t="s">
        <v>1275</v>
      </c>
      <c r="P2981" s="3" t="s">
        <v>102</v>
      </c>
      <c r="R2981" s="3" t="s">
        <v>70</v>
      </c>
      <c r="S2981" s="4">
        <v>6</v>
      </c>
      <c r="T2981" s="4">
        <v>6</v>
      </c>
      <c r="U2981" s="5" t="s">
        <v>7206</v>
      </c>
      <c r="V2981" s="5" t="s">
        <v>7206</v>
      </c>
      <c r="W2981" s="5" t="s">
        <v>72</v>
      </c>
      <c r="X2981" s="5" t="s">
        <v>72</v>
      </c>
      <c r="Y2981" s="4">
        <v>236</v>
      </c>
      <c r="Z2981" s="4">
        <v>22</v>
      </c>
      <c r="AA2981" s="4">
        <v>26</v>
      </c>
      <c r="AB2981" s="4">
        <v>2</v>
      </c>
      <c r="AC2981" s="4">
        <v>5</v>
      </c>
      <c r="AD2981" s="4">
        <v>51</v>
      </c>
      <c r="AE2981" s="4">
        <v>64</v>
      </c>
      <c r="AF2981" s="4">
        <v>0</v>
      </c>
      <c r="AG2981" s="4">
        <v>2</v>
      </c>
      <c r="AH2981" s="4">
        <v>44</v>
      </c>
      <c r="AI2981" s="4">
        <v>54</v>
      </c>
      <c r="AJ2981" s="4">
        <v>7</v>
      </c>
      <c r="AK2981" s="4">
        <v>10</v>
      </c>
      <c r="AL2981" s="4">
        <v>22</v>
      </c>
      <c r="AM2981" s="4">
        <v>26</v>
      </c>
      <c r="AN2981" s="4">
        <v>0</v>
      </c>
      <c r="AO2981" s="4">
        <v>0</v>
      </c>
      <c r="AP2981" s="4">
        <v>12</v>
      </c>
      <c r="AQ2981" s="4">
        <v>14</v>
      </c>
      <c r="AR2981" s="3" t="s">
        <v>64</v>
      </c>
      <c r="AS2981" s="3" t="s">
        <v>64</v>
      </c>
      <c r="AT2981" s="3" t="s">
        <v>64</v>
      </c>
      <c r="AV2981" s="6" t="str">
        <f>HYPERLINK("http://mcgill.on.worldcat.org/oclc/54778495","Catalog Record")</f>
        <v>Catalog Record</v>
      </c>
      <c r="AW2981" s="6" t="str">
        <f>HYPERLINK("http://www.worldcat.org/oclc/54778495","WorldCat Record")</f>
        <v>WorldCat Record</v>
      </c>
      <c r="AX2981" s="3" t="s">
        <v>29878</v>
      </c>
      <c r="AY2981" s="3" t="s">
        <v>29879</v>
      </c>
      <c r="AZ2981" s="3" t="s">
        <v>29880</v>
      </c>
      <c r="BA2981" s="3" t="s">
        <v>29880</v>
      </c>
      <c r="BB2981" s="3" t="s">
        <v>29881</v>
      </c>
      <c r="BC2981" s="3" t="s">
        <v>77</v>
      </c>
      <c r="BD2981" s="3" t="s">
        <v>78</v>
      </c>
      <c r="BE2981" s="3" t="s">
        <v>29882</v>
      </c>
      <c r="BF2981" s="3" t="s">
        <v>29881</v>
      </c>
      <c r="BG2981" s="3" t="s">
        <v>29883</v>
      </c>
      <c r="BH2981">
        <f t="shared" si="73"/>
        <v>0</v>
      </c>
    </row>
    <row r="2982" spans="1:60" ht="58" x14ac:dyDescent="0.35">
      <c r="A2982" s="2" t="s">
        <v>59</v>
      </c>
      <c r="B2982" s="2" t="s">
        <v>60</v>
      </c>
      <c r="C2982" s="2" t="s">
        <v>29884</v>
      </c>
      <c r="D2982" s="2" t="s">
        <v>29885</v>
      </c>
      <c r="E2982" s="2" t="s">
        <v>29886</v>
      </c>
      <c r="G2982" s="3" t="s">
        <v>64</v>
      </c>
      <c r="I2982" s="3" t="s">
        <v>64</v>
      </c>
      <c r="J2982" s="3" t="s">
        <v>64</v>
      </c>
      <c r="K2982" s="3" t="s">
        <v>65</v>
      </c>
      <c r="M2982" s="2" t="s">
        <v>14573</v>
      </c>
      <c r="N2982" s="3" t="s">
        <v>86</v>
      </c>
      <c r="P2982" s="3" t="s">
        <v>102</v>
      </c>
      <c r="R2982" s="3" t="s">
        <v>70</v>
      </c>
      <c r="S2982" s="4">
        <v>2</v>
      </c>
      <c r="T2982" s="4">
        <v>2</v>
      </c>
      <c r="U2982" s="5" t="s">
        <v>3129</v>
      </c>
      <c r="V2982" s="5" t="s">
        <v>3129</v>
      </c>
      <c r="W2982" s="5" t="s">
        <v>72</v>
      </c>
      <c r="X2982" s="5" t="s">
        <v>72</v>
      </c>
      <c r="Y2982" s="4">
        <v>169</v>
      </c>
      <c r="Z2982" s="4">
        <v>12</v>
      </c>
      <c r="AA2982" s="4">
        <v>23</v>
      </c>
      <c r="AB2982" s="4">
        <v>2</v>
      </c>
      <c r="AC2982" s="4">
        <v>7</v>
      </c>
      <c r="AD2982" s="4">
        <v>40</v>
      </c>
      <c r="AE2982" s="4">
        <v>57</v>
      </c>
      <c r="AF2982" s="4">
        <v>0</v>
      </c>
      <c r="AG2982" s="4">
        <v>2</v>
      </c>
      <c r="AH2982" s="4">
        <v>37</v>
      </c>
      <c r="AI2982" s="4">
        <v>47</v>
      </c>
      <c r="AJ2982" s="4">
        <v>8</v>
      </c>
      <c r="AK2982" s="4">
        <v>13</v>
      </c>
      <c r="AL2982" s="4">
        <v>21</v>
      </c>
      <c r="AM2982" s="4">
        <v>23</v>
      </c>
      <c r="AN2982" s="4">
        <v>0</v>
      </c>
      <c r="AO2982" s="4">
        <v>0</v>
      </c>
      <c r="AP2982" s="4">
        <v>9</v>
      </c>
      <c r="AQ2982" s="4">
        <v>15</v>
      </c>
      <c r="AR2982" s="3" t="s">
        <v>64</v>
      </c>
      <c r="AS2982" s="3" t="s">
        <v>64</v>
      </c>
      <c r="AT2982" s="3" t="s">
        <v>64</v>
      </c>
      <c r="AV2982" s="6" t="str">
        <f>HYPERLINK("http://mcgill.on.worldcat.org/oclc/726695777","Catalog Record")</f>
        <v>Catalog Record</v>
      </c>
      <c r="AW2982" s="6" t="str">
        <f>HYPERLINK("http://www.worldcat.org/oclc/726695777","WorldCat Record")</f>
        <v>WorldCat Record</v>
      </c>
      <c r="AX2982" s="3" t="s">
        <v>29887</v>
      </c>
      <c r="AY2982" s="3" t="s">
        <v>29888</v>
      </c>
      <c r="AZ2982" s="3" t="s">
        <v>29889</v>
      </c>
      <c r="BA2982" s="3" t="s">
        <v>29889</v>
      </c>
      <c r="BB2982" s="3" t="s">
        <v>29890</v>
      </c>
      <c r="BC2982" s="3" t="s">
        <v>77</v>
      </c>
      <c r="BD2982" s="3" t="s">
        <v>78</v>
      </c>
      <c r="BE2982" s="3" t="s">
        <v>29891</v>
      </c>
      <c r="BF2982" s="3" t="s">
        <v>29890</v>
      </c>
      <c r="BG2982" s="3" t="s">
        <v>29892</v>
      </c>
      <c r="BH2982">
        <f t="shared" si="73"/>
        <v>0</v>
      </c>
    </row>
    <row r="2983" spans="1:60" ht="58" x14ac:dyDescent="0.35">
      <c r="A2983" s="2" t="s">
        <v>59</v>
      </c>
      <c r="B2983" s="2" t="s">
        <v>60</v>
      </c>
      <c r="C2983" s="2" t="s">
        <v>29893</v>
      </c>
      <c r="D2983" s="2" t="s">
        <v>29894</v>
      </c>
      <c r="E2983" s="2" t="s">
        <v>29895</v>
      </c>
      <c r="G2983" s="3" t="s">
        <v>64</v>
      </c>
      <c r="I2983" s="3" t="s">
        <v>64</v>
      </c>
      <c r="J2983" s="3" t="s">
        <v>64</v>
      </c>
      <c r="K2983" s="3" t="s">
        <v>65</v>
      </c>
      <c r="L2983" s="2" t="s">
        <v>29896</v>
      </c>
      <c r="M2983" s="2" t="s">
        <v>29897</v>
      </c>
      <c r="N2983" s="3" t="s">
        <v>551</v>
      </c>
      <c r="P2983" s="3" t="s">
        <v>102</v>
      </c>
      <c r="R2983" s="3" t="s">
        <v>70</v>
      </c>
      <c r="S2983" s="4">
        <v>6</v>
      </c>
      <c r="T2983" s="4">
        <v>6</v>
      </c>
      <c r="U2983" s="5" t="s">
        <v>29848</v>
      </c>
      <c r="V2983" s="5" t="s">
        <v>29848</v>
      </c>
      <c r="W2983" s="5" t="s">
        <v>72</v>
      </c>
      <c r="X2983" s="5" t="s">
        <v>72</v>
      </c>
      <c r="Y2983" s="4">
        <v>552</v>
      </c>
      <c r="Z2983" s="4">
        <v>32</v>
      </c>
      <c r="AA2983" s="4">
        <v>109</v>
      </c>
      <c r="AB2983" s="4">
        <v>5</v>
      </c>
      <c r="AC2983" s="4">
        <v>19</v>
      </c>
      <c r="AD2983" s="4">
        <v>85</v>
      </c>
      <c r="AE2983" s="4">
        <v>127</v>
      </c>
      <c r="AF2983" s="4">
        <v>2</v>
      </c>
      <c r="AG2983" s="4">
        <v>9</v>
      </c>
      <c r="AH2983" s="4">
        <v>76</v>
      </c>
      <c r="AI2983" s="4">
        <v>92</v>
      </c>
      <c r="AJ2983" s="4">
        <v>12</v>
      </c>
      <c r="AK2983" s="4">
        <v>20</v>
      </c>
      <c r="AL2983" s="4">
        <v>38</v>
      </c>
      <c r="AM2983" s="4">
        <v>46</v>
      </c>
      <c r="AN2983" s="4">
        <v>0</v>
      </c>
      <c r="AO2983" s="4">
        <v>0</v>
      </c>
      <c r="AP2983" s="4">
        <v>16</v>
      </c>
      <c r="AQ2983" s="4">
        <v>44</v>
      </c>
      <c r="AR2983" s="3" t="s">
        <v>64</v>
      </c>
      <c r="AS2983" s="3" t="s">
        <v>64</v>
      </c>
      <c r="AT2983" s="3" t="s">
        <v>128</v>
      </c>
      <c r="AU2983" s="6" t="str">
        <f>HYPERLINK("http://catalog.hathitrust.org/Record/005975112","HathiTrust Record")</f>
        <v>HathiTrust Record</v>
      </c>
      <c r="AV2983" s="6" t="str">
        <f>HYPERLINK("http://mcgill.on.worldcat.org/oclc/222250186","Catalog Record")</f>
        <v>Catalog Record</v>
      </c>
      <c r="AW2983" s="6" t="str">
        <f>HYPERLINK("http://www.worldcat.org/oclc/222250186","WorldCat Record")</f>
        <v>WorldCat Record</v>
      </c>
      <c r="AX2983" s="3" t="s">
        <v>29898</v>
      </c>
      <c r="AY2983" s="3" t="s">
        <v>29899</v>
      </c>
      <c r="AZ2983" s="3" t="s">
        <v>29900</v>
      </c>
      <c r="BA2983" s="3" t="s">
        <v>29900</v>
      </c>
      <c r="BB2983" s="3" t="s">
        <v>29901</v>
      </c>
      <c r="BC2983" s="3" t="s">
        <v>77</v>
      </c>
      <c r="BD2983" s="3" t="s">
        <v>78</v>
      </c>
      <c r="BE2983" s="3" t="s">
        <v>29902</v>
      </c>
      <c r="BF2983" s="3" t="s">
        <v>29901</v>
      </c>
      <c r="BG2983" s="3" t="s">
        <v>29903</v>
      </c>
      <c r="BH2983">
        <f t="shared" si="73"/>
        <v>0</v>
      </c>
    </row>
    <row r="2984" spans="1:60" ht="58" x14ac:dyDescent="0.35">
      <c r="A2984" s="2" t="s">
        <v>59</v>
      </c>
      <c r="B2984" s="2" t="s">
        <v>60</v>
      </c>
      <c r="C2984" s="2" t="s">
        <v>29904</v>
      </c>
      <c r="D2984" s="2" t="s">
        <v>29905</v>
      </c>
      <c r="E2984" s="2" t="s">
        <v>29906</v>
      </c>
      <c r="G2984" s="3" t="s">
        <v>64</v>
      </c>
      <c r="I2984" s="3" t="s">
        <v>64</v>
      </c>
      <c r="J2984" s="3" t="s">
        <v>64</v>
      </c>
      <c r="K2984" s="3" t="s">
        <v>65</v>
      </c>
      <c r="L2984" s="2" t="s">
        <v>29907</v>
      </c>
      <c r="M2984" s="2" t="s">
        <v>19709</v>
      </c>
      <c r="N2984" s="3" t="s">
        <v>291</v>
      </c>
      <c r="P2984" s="3" t="s">
        <v>102</v>
      </c>
      <c r="R2984" s="3" t="s">
        <v>70</v>
      </c>
      <c r="S2984" s="4">
        <v>9</v>
      </c>
      <c r="T2984" s="4">
        <v>9</v>
      </c>
      <c r="U2984" s="5" t="s">
        <v>29908</v>
      </c>
      <c r="V2984" s="5" t="s">
        <v>29908</v>
      </c>
      <c r="W2984" s="5" t="s">
        <v>72</v>
      </c>
      <c r="X2984" s="5" t="s">
        <v>72</v>
      </c>
      <c r="Y2984" s="4">
        <v>424</v>
      </c>
      <c r="Z2984" s="4">
        <v>30</v>
      </c>
      <c r="AA2984" s="4">
        <v>33</v>
      </c>
      <c r="AB2984" s="4">
        <v>2</v>
      </c>
      <c r="AC2984" s="4">
        <v>5</v>
      </c>
      <c r="AD2984" s="4">
        <v>80</v>
      </c>
      <c r="AE2984" s="4">
        <v>83</v>
      </c>
      <c r="AF2984" s="4">
        <v>0</v>
      </c>
      <c r="AG2984" s="4">
        <v>3</v>
      </c>
      <c r="AH2984" s="4">
        <v>72</v>
      </c>
      <c r="AI2984" s="4">
        <v>72</v>
      </c>
      <c r="AJ2984" s="4">
        <v>12</v>
      </c>
      <c r="AK2984" s="4">
        <v>14</v>
      </c>
      <c r="AL2984" s="4">
        <v>39</v>
      </c>
      <c r="AM2984" s="4">
        <v>39</v>
      </c>
      <c r="AN2984" s="4">
        <v>0</v>
      </c>
      <c r="AO2984" s="4">
        <v>0</v>
      </c>
      <c r="AP2984" s="4">
        <v>17</v>
      </c>
      <c r="AQ2984" s="4">
        <v>19</v>
      </c>
      <c r="AR2984" s="3" t="s">
        <v>64</v>
      </c>
      <c r="AS2984" s="3" t="s">
        <v>64</v>
      </c>
      <c r="AT2984" s="3" t="s">
        <v>128</v>
      </c>
      <c r="AU2984" s="6" t="str">
        <f>HYPERLINK("http://catalog.hathitrust.org/Record/009931184","HathiTrust Record")</f>
        <v>HathiTrust Record</v>
      </c>
      <c r="AV2984" s="6" t="str">
        <f>HYPERLINK("http://mcgill.on.worldcat.org/oclc/74915516","Catalog Record")</f>
        <v>Catalog Record</v>
      </c>
      <c r="AW2984" s="6" t="str">
        <f>HYPERLINK("http://www.worldcat.org/oclc/74915516","WorldCat Record")</f>
        <v>WorldCat Record</v>
      </c>
      <c r="AX2984" s="3" t="s">
        <v>29909</v>
      </c>
      <c r="AY2984" s="3" t="s">
        <v>29910</v>
      </c>
      <c r="AZ2984" s="3" t="s">
        <v>29911</v>
      </c>
      <c r="BA2984" s="3" t="s">
        <v>29911</v>
      </c>
      <c r="BB2984" s="3" t="s">
        <v>29912</v>
      </c>
      <c r="BC2984" s="3" t="s">
        <v>77</v>
      </c>
      <c r="BD2984" s="3" t="s">
        <v>78</v>
      </c>
      <c r="BE2984" s="3" t="s">
        <v>29913</v>
      </c>
      <c r="BF2984" s="3" t="s">
        <v>29912</v>
      </c>
      <c r="BG2984" s="3" t="s">
        <v>29914</v>
      </c>
      <c r="BH2984">
        <f t="shared" si="73"/>
        <v>0</v>
      </c>
    </row>
    <row r="2985" spans="1:60" ht="58" x14ac:dyDescent="0.35">
      <c r="A2985" s="2" t="s">
        <v>59</v>
      </c>
      <c r="B2985" s="2" t="s">
        <v>60</v>
      </c>
      <c r="C2985" s="2" t="s">
        <v>29915</v>
      </c>
      <c r="D2985" s="2" t="s">
        <v>29916</v>
      </c>
      <c r="E2985" s="2" t="s">
        <v>29917</v>
      </c>
      <c r="G2985" s="3" t="s">
        <v>64</v>
      </c>
      <c r="I2985" s="3" t="s">
        <v>64</v>
      </c>
      <c r="J2985" s="3" t="s">
        <v>64</v>
      </c>
      <c r="K2985" s="3" t="s">
        <v>65</v>
      </c>
      <c r="L2985" s="2" t="s">
        <v>29918</v>
      </c>
      <c r="M2985" s="2" t="s">
        <v>22877</v>
      </c>
      <c r="N2985" s="3" t="s">
        <v>101</v>
      </c>
      <c r="P2985" s="3" t="s">
        <v>102</v>
      </c>
      <c r="R2985" s="3" t="s">
        <v>70</v>
      </c>
      <c r="S2985" s="4">
        <v>14</v>
      </c>
      <c r="T2985" s="4">
        <v>14</v>
      </c>
      <c r="U2985" s="5" t="s">
        <v>29908</v>
      </c>
      <c r="V2985" s="5" t="s">
        <v>29908</v>
      </c>
      <c r="W2985" s="5" t="s">
        <v>72</v>
      </c>
      <c r="X2985" s="5" t="s">
        <v>72</v>
      </c>
      <c r="Y2985" s="4">
        <v>438</v>
      </c>
      <c r="Z2985" s="4">
        <v>26</v>
      </c>
      <c r="AA2985" s="4">
        <v>28</v>
      </c>
      <c r="AB2985" s="4">
        <v>4</v>
      </c>
      <c r="AC2985" s="4">
        <v>6</v>
      </c>
      <c r="AD2985" s="4">
        <v>69</v>
      </c>
      <c r="AE2985" s="4">
        <v>71</v>
      </c>
      <c r="AF2985" s="4">
        <v>1</v>
      </c>
      <c r="AG2985" s="4">
        <v>3</v>
      </c>
      <c r="AH2985" s="4">
        <v>64</v>
      </c>
      <c r="AI2985" s="4">
        <v>65</v>
      </c>
      <c r="AJ2985" s="4">
        <v>10</v>
      </c>
      <c r="AK2985" s="4">
        <v>12</v>
      </c>
      <c r="AL2985" s="4">
        <v>32</v>
      </c>
      <c r="AM2985" s="4">
        <v>32</v>
      </c>
      <c r="AN2985" s="4">
        <v>0</v>
      </c>
      <c r="AO2985" s="4">
        <v>0</v>
      </c>
      <c r="AP2985" s="4">
        <v>11</v>
      </c>
      <c r="AQ2985" s="4">
        <v>12</v>
      </c>
      <c r="AR2985" s="3" t="s">
        <v>64</v>
      </c>
      <c r="AS2985" s="3" t="s">
        <v>64</v>
      </c>
      <c r="AT2985" s="3" t="s">
        <v>128</v>
      </c>
      <c r="AU2985" s="6" t="str">
        <f>HYPERLINK("http://catalog.hathitrust.org/Record/004335174","HathiTrust Record")</f>
        <v>HathiTrust Record</v>
      </c>
      <c r="AV2985" s="6" t="str">
        <f>HYPERLINK("http://mcgill.on.worldcat.org/oclc/52208360","Catalog Record")</f>
        <v>Catalog Record</v>
      </c>
      <c r="AW2985" s="6" t="str">
        <f>HYPERLINK("http://www.worldcat.org/oclc/52208360","WorldCat Record")</f>
        <v>WorldCat Record</v>
      </c>
      <c r="AX2985" s="3" t="s">
        <v>29919</v>
      </c>
      <c r="AY2985" s="3" t="s">
        <v>29920</v>
      </c>
      <c r="AZ2985" s="3" t="s">
        <v>29921</v>
      </c>
      <c r="BA2985" s="3" t="s">
        <v>29921</v>
      </c>
      <c r="BB2985" s="3" t="s">
        <v>29922</v>
      </c>
      <c r="BC2985" s="3" t="s">
        <v>77</v>
      </c>
      <c r="BD2985" s="3" t="s">
        <v>78</v>
      </c>
      <c r="BE2985" s="3" t="s">
        <v>29923</v>
      </c>
      <c r="BF2985" s="3" t="s">
        <v>29922</v>
      </c>
      <c r="BG2985" s="3" t="s">
        <v>29924</v>
      </c>
      <c r="BH2985">
        <f t="shared" si="73"/>
        <v>0</v>
      </c>
    </row>
    <row r="2986" spans="1:60" ht="58" x14ac:dyDescent="0.35">
      <c r="A2986" s="2" t="s">
        <v>59</v>
      </c>
      <c r="B2986" s="2" t="s">
        <v>60</v>
      </c>
      <c r="C2986" s="2" t="s">
        <v>29925</v>
      </c>
      <c r="D2986" s="2" t="s">
        <v>29926</v>
      </c>
      <c r="E2986" s="2" t="s">
        <v>29927</v>
      </c>
      <c r="G2986" s="3" t="s">
        <v>64</v>
      </c>
      <c r="I2986" s="3" t="s">
        <v>64</v>
      </c>
      <c r="J2986" s="3" t="s">
        <v>64</v>
      </c>
      <c r="K2986" s="3" t="s">
        <v>65</v>
      </c>
      <c r="M2986" s="2" t="s">
        <v>17671</v>
      </c>
      <c r="N2986" s="3" t="s">
        <v>67</v>
      </c>
      <c r="P2986" s="3" t="s">
        <v>102</v>
      </c>
      <c r="R2986" s="3" t="s">
        <v>70</v>
      </c>
      <c r="S2986" s="4">
        <v>0</v>
      </c>
      <c r="T2986" s="4">
        <v>0</v>
      </c>
      <c r="W2986" s="5" t="s">
        <v>72</v>
      </c>
      <c r="X2986" s="5" t="s">
        <v>72</v>
      </c>
      <c r="Y2986" s="4">
        <v>41</v>
      </c>
      <c r="Z2986" s="4">
        <v>4</v>
      </c>
      <c r="AA2986" s="4">
        <v>5</v>
      </c>
      <c r="AB2986" s="4">
        <v>1</v>
      </c>
      <c r="AC2986" s="4">
        <v>2</v>
      </c>
      <c r="AD2986" s="4">
        <v>13</v>
      </c>
      <c r="AE2986" s="4">
        <v>13</v>
      </c>
      <c r="AF2986" s="4">
        <v>0</v>
      </c>
      <c r="AG2986" s="4">
        <v>0</v>
      </c>
      <c r="AH2986" s="4">
        <v>13</v>
      </c>
      <c r="AI2986" s="4">
        <v>13</v>
      </c>
      <c r="AJ2986" s="4">
        <v>2</v>
      </c>
      <c r="AK2986" s="4">
        <v>2</v>
      </c>
      <c r="AL2986" s="4">
        <v>7</v>
      </c>
      <c r="AM2986" s="4">
        <v>7</v>
      </c>
      <c r="AN2986" s="4">
        <v>0</v>
      </c>
      <c r="AO2986" s="4">
        <v>0</v>
      </c>
      <c r="AP2986" s="4">
        <v>2</v>
      </c>
      <c r="AQ2986" s="4">
        <v>2</v>
      </c>
      <c r="AR2986" s="3" t="s">
        <v>64</v>
      </c>
      <c r="AS2986" s="3" t="s">
        <v>64</v>
      </c>
      <c r="AT2986" s="3" t="s">
        <v>64</v>
      </c>
      <c r="AV2986" s="6" t="str">
        <f>HYPERLINK("http://mcgill.on.worldcat.org/oclc/871560858","Catalog Record")</f>
        <v>Catalog Record</v>
      </c>
      <c r="AW2986" s="6" t="str">
        <f>HYPERLINK("http://www.worldcat.org/oclc/871560858","WorldCat Record")</f>
        <v>WorldCat Record</v>
      </c>
      <c r="AX2986" s="3" t="s">
        <v>29928</v>
      </c>
      <c r="AY2986" s="3" t="s">
        <v>29929</v>
      </c>
      <c r="AZ2986" s="3" t="s">
        <v>29930</v>
      </c>
      <c r="BA2986" s="3" t="s">
        <v>29930</v>
      </c>
      <c r="BB2986" s="3" t="s">
        <v>29931</v>
      </c>
      <c r="BC2986" s="3" t="s">
        <v>77</v>
      </c>
      <c r="BD2986" s="3" t="s">
        <v>78</v>
      </c>
      <c r="BE2986" s="3" t="s">
        <v>29932</v>
      </c>
      <c r="BF2986" s="3" t="s">
        <v>29931</v>
      </c>
      <c r="BG2986" s="3" t="s">
        <v>29933</v>
      </c>
      <c r="BH2986">
        <f t="shared" si="73"/>
        <v>0</v>
      </c>
    </row>
    <row r="2987" spans="1:60" ht="58" x14ac:dyDescent="0.35">
      <c r="A2987" s="2" t="s">
        <v>59</v>
      </c>
      <c r="B2987" s="2" t="s">
        <v>60</v>
      </c>
      <c r="C2987" s="2" t="s">
        <v>29934</v>
      </c>
      <c r="D2987" s="2" t="s">
        <v>29935</v>
      </c>
      <c r="E2987" s="2" t="s">
        <v>29936</v>
      </c>
      <c r="G2987" s="3" t="s">
        <v>64</v>
      </c>
      <c r="I2987" s="3" t="s">
        <v>128</v>
      </c>
      <c r="J2987" s="3" t="s">
        <v>64</v>
      </c>
      <c r="K2987" s="3" t="s">
        <v>65</v>
      </c>
      <c r="M2987" s="2" t="s">
        <v>14826</v>
      </c>
      <c r="N2987" s="3" t="s">
        <v>1275</v>
      </c>
      <c r="P2987" s="3" t="s">
        <v>102</v>
      </c>
      <c r="Q2987" s="2" t="s">
        <v>29937</v>
      </c>
      <c r="R2987" s="3" t="s">
        <v>70</v>
      </c>
      <c r="S2987" s="4">
        <v>7</v>
      </c>
      <c r="T2987" s="4">
        <v>26</v>
      </c>
      <c r="U2987" s="5" t="s">
        <v>3129</v>
      </c>
      <c r="V2987" s="5" t="s">
        <v>3129</v>
      </c>
      <c r="W2987" s="5" t="s">
        <v>72</v>
      </c>
      <c r="X2987" s="5" t="s">
        <v>72</v>
      </c>
      <c r="Y2987" s="4">
        <v>279</v>
      </c>
      <c r="Z2987" s="4">
        <v>24</v>
      </c>
      <c r="AA2987" s="4">
        <v>24</v>
      </c>
      <c r="AB2987" s="4">
        <v>2</v>
      </c>
      <c r="AC2987" s="4">
        <v>2</v>
      </c>
      <c r="AD2987" s="4">
        <v>74</v>
      </c>
      <c r="AE2987" s="4">
        <v>74</v>
      </c>
      <c r="AF2987" s="4">
        <v>1</v>
      </c>
      <c r="AG2987" s="4">
        <v>1</v>
      </c>
      <c r="AH2987" s="4">
        <v>64</v>
      </c>
      <c r="AI2987" s="4">
        <v>64</v>
      </c>
      <c r="AJ2987" s="4">
        <v>14</v>
      </c>
      <c r="AK2987" s="4">
        <v>14</v>
      </c>
      <c r="AL2987" s="4">
        <v>31</v>
      </c>
      <c r="AM2987" s="4">
        <v>31</v>
      </c>
      <c r="AN2987" s="4">
        <v>0</v>
      </c>
      <c r="AO2987" s="4">
        <v>0</v>
      </c>
      <c r="AP2987" s="4">
        <v>18</v>
      </c>
      <c r="AQ2987" s="4">
        <v>18</v>
      </c>
      <c r="AR2987" s="3" t="s">
        <v>64</v>
      </c>
      <c r="AS2987" s="3" t="s">
        <v>64</v>
      </c>
      <c r="AT2987" s="3" t="s">
        <v>128</v>
      </c>
      <c r="AU2987" s="6" t="str">
        <f>HYPERLINK("http://catalog.hathitrust.org/Record/004914990","HathiTrust Record")</f>
        <v>HathiTrust Record</v>
      </c>
      <c r="AV2987" s="6" t="str">
        <f>HYPERLINK("http://mcgill.on.worldcat.org/oclc/55665355","Catalog Record")</f>
        <v>Catalog Record</v>
      </c>
      <c r="AW2987" s="6" t="str">
        <f>HYPERLINK("http://www.worldcat.org/oclc/55665355","WorldCat Record")</f>
        <v>WorldCat Record</v>
      </c>
      <c r="AX2987" s="3" t="s">
        <v>29938</v>
      </c>
      <c r="AY2987" s="3" t="s">
        <v>29939</v>
      </c>
      <c r="AZ2987" s="3" t="s">
        <v>29940</v>
      </c>
      <c r="BA2987" s="3" t="s">
        <v>29940</v>
      </c>
      <c r="BB2987" s="3" t="s">
        <v>29941</v>
      </c>
      <c r="BC2987" s="3" t="s">
        <v>77</v>
      </c>
      <c r="BD2987" s="3" t="s">
        <v>78</v>
      </c>
      <c r="BE2987" s="3" t="s">
        <v>29942</v>
      </c>
      <c r="BF2987" s="3" t="s">
        <v>29941</v>
      </c>
      <c r="BG2987" s="3" t="s">
        <v>29943</v>
      </c>
      <c r="BH2987">
        <f t="shared" si="73"/>
        <v>0</v>
      </c>
    </row>
    <row r="2988" spans="1:60" ht="58" x14ac:dyDescent="0.35">
      <c r="A2988" s="2" t="s">
        <v>59</v>
      </c>
      <c r="B2988" s="2" t="s">
        <v>60</v>
      </c>
      <c r="C2988" s="2" t="s">
        <v>29934</v>
      </c>
      <c r="D2988" s="2" t="s">
        <v>29935</v>
      </c>
      <c r="E2988" s="2" t="s">
        <v>29936</v>
      </c>
      <c r="G2988" s="3" t="s">
        <v>64</v>
      </c>
      <c r="I2988" s="3" t="s">
        <v>128</v>
      </c>
      <c r="J2988" s="3" t="s">
        <v>64</v>
      </c>
      <c r="K2988" s="3" t="s">
        <v>65</v>
      </c>
      <c r="M2988" s="2" t="s">
        <v>14826</v>
      </c>
      <c r="N2988" s="3" t="s">
        <v>1275</v>
      </c>
      <c r="P2988" s="3" t="s">
        <v>102</v>
      </c>
      <c r="Q2988" s="2" t="s">
        <v>29937</v>
      </c>
      <c r="R2988" s="3" t="s">
        <v>70</v>
      </c>
      <c r="S2988" s="4">
        <v>19</v>
      </c>
      <c r="T2988" s="4">
        <v>26</v>
      </c>
      <c r="U2988" s="5" t="s">
        <v>3222</v>
      </c>
      <c r="V2988" s="5" t="s">
        <v>3129</v>
      </c>
      <c r="W2988" s="5" t="s">
        <v>72</v>
      </c>
      <c r="X2988" s="5" t="s">
        <v>72</v>
      </c>
      <c r="Y2988" s="4">
        <v>279</v>
      </c>
      <c r="Z2988" s="4">
        <v>24</v>
      </c>
      <c r="AA2988" s="4">
        <v>24</v>
      </c>
      <c r="AB2988" s="4">
        <v>2</v>
      </c>
      <c r="AC2988" s="4">
        <v>2</v>
      </c>
      <c r="AD2988" s="4">
        <v>74</v>
      </c>
      <c r="AE2988" s="4">
        <v>74</v>
      </c>
      <c r="AF2988" s="4">
        <v>1</v>
      </c>
      <c r="AG2988" s="4">
        <v>1</v>
      </c>
      <c r="AH2988" s="4">
        <v>64</v>
      </c>
      <c r="AI2988" s="4">
        <v>64</v>
      </c>
      <c r="AJ2988" s="4">
        <v>14</v>
      </c>
      <c r="AK2988" s="4">
        <v>14</v>
      </c>
      <c r="AL2988" s="4">
        <v>31</v>
      </c>
      <c r="AM2988" s="4">
        <v>31</v>
      </c>
      <c r="AN2988" s="4">
        <v>0</v>
      </c>
      <c r="AO2988" s="4">
        <v>0</v>
      </c>
      <c r="AP2988" s="4">
        <v>18</v>
      </c>
      <c r="AQ2988" s="4">
        <v>18</v>
      </c>
      <c r="AR2988" s="3" t="s">
        <v>64</v>
      </c>
      <c r="AS2988" s="3" t="s">
        <v>64</v>
      </c>
      <c r="AT2988" s="3" t="s">
        <v>128</v>
      </c>
      <c r="AU2988" s="6" t="str">
        <f>HYPERLINK("http://catalog.hathitrust.org/Record/004914990","HathiTrust Record")</f>
        <v>HathiTrust Record</v>
      </c>
      <c r="AV2988" s="6" t="str">
        <f>HYPERLINK("http://mcgill.on.worldcat.org/oclc/55665355","Catalog Record")</f>
        <v>Catalog Record</v>
      </c>
      <c r="AW2988" s="6" t="str">
        <f>HYPERLINK("http://www.worldcat.org/oclc/55665355","WorldCat Record")</f>
        <v>WorldCat Record</v>
      </c>
      <c r="AX2988" s="3" t="s">
        <v>29938</v>
      </c>
      <c r="AY2988" s="3" t="s">
        <v>29939</v>
      </c>
      <c r="AZ2988" s="3" t="s">
        <v>29940</v>
      </c>
      <c r="BA2988" s="3" t="s">
        <v>29940</v>
      </c>
      <c r="BB2988" s="3" t="s">
        <v>29944</v>
      </c>
      <c r="BC2988" s="3" t="s">
        <v>77</v>
      </c>
      <c r="BD2988" s="3" t="s">
        <v>78</v>
      </c>
      <c r="BE2988" s="3" t="s">
        <v>29942</v>
      </c>
      <c r="BF2988" s="3" t="s">
        <v>29944</v>
      </c>
      <c r="BG2988" s="3" t="s">
        <v>29945</v>
      </c>
      <c r="BH2988">
        <f t="shared" si="73"/>
        <v>0</v>
      </c>
    </row>
    <row r="2989" spans="1:60" ht="58" x14ac:dyDescent="0.35">
      <c r="A2989" s="2" t="s">
        <v>59</v>
      </c>
      <c r="B2989" s="2" t="s">
        <v>60</v>
      </c>
      <c r="C2989" s="2" t="s">
        <v>29946</v>
      </c>
      <c r="D2989" s="2" t="s">
        <v>29947</v>
      </c>
      <c r="E2989" s="2" t="s">
        <v>29948</v>
      </c>
      <c r="G2989" s="3" t="s">
        <v>64</v>
      </c>
      <c r="I2989" s="3" t="s">
        <v>64</v>
      </c>
      <c r="J2989" s="3" t="s">
        <v>64</v>
      </c>
      <c r="K2989" s="3" t="s">
        <v>65</v>
      </c>
      <c r="M2989" s="2" t="s">
        <v>28827</v>
      </c>
      <c r="N2989" s="3" t="s">
        <v>144</v>
      </c>
      <c r="P2989" s="3" t="s">
        <v>102</v>
      </c>
      <c r="R2989" s="3" t="s">
        <v>70</v>
      </c>
      <c r="S2989" s="4">
        <v>5</v>
      </c>
      <c r="T2989" s="4">
        <v>5</v>
      </c>
      <c r="U2989" s="5" t="s">
        <v>3129</v>
      </c>
      <c r="V2989" s="5" t="s">
        <v>3129</v>
      </c>
      <c r="W2989" s="5" t="s">
        <v>72</v>
      </c>
      <c r="X2989" s="5" t="s">
        <v>72</v>
      </c>
      <c r="Y2989" s="4">
        <v>88</v>
      </c>
      <c r="Z2989" s="4">
        <v>7</v>
      </c>
      <c r="AA2989" s="4">
        <v>8</v>
      </c>
      <c r="AB2989" s="4">
        <v>2</v>
      </c>
      <c r="AC2989" s="4">
        <v>3</v>
      </c>
      <c r="AD2989" s="4">
        <v>23</v>
      </c>
      <c r="AE2989" s="4">
        <v>24</v>
      </c>
      <c r="AF2989" s="4">
        <v>0</v>
      </c>
      <c r="AG2989" s="4">
        <v>1</v>
      </c>
      <c r="AH2989" s="4">
        <v>23</v>
      </c>
      <c r="AI2989" s="4">
        <v>23</v>
      </c>
      <c r="AJ2989" s="4">
        <v>3</v>
      </c>
      <c r="AK2989" s="4">
        <v>4</v>
      </c>
      <c r="AL2989" s="4">
        <v>13</v>
      </c>
      <c r="AM2989" s="4">
        <v>13</v>
      </c>
      <c r="AN2989" s="4">
        <v>0</v>
      </c>
      <c r="AO2989" s="4">
        <v>0</v>
      </c>
      <c r="AP2989" s="4">
        <v>3</v>
      </c>
      <c r="AQ2989" s="4">
        <v>4</v>
      </c>
      <c r="AR2989" s="3" t="s">
        <v>64</v>
      </c>
      <c r="AS2989" s="3" t="s">
        <v>64</v>
      </c>
      <c r="AT2989" s="3" t="s">
        <v>64</v>
      </c>
      <c r="AV2989" s="6" t="str">
        <f>HYPERLINK("http://mcgill.on.worldcat.org/oclc/153772799","Catalog Record")</f>
        <v>Catalog Record</v>
      </c>
      <c r="AW2989" s="6" t="str">
        <f>HYPERLINK("http://www.worldcat.org/oclc/153772799","WorldCat Record")</f>
        <v>WorldCat Record</v>
      </c>
      <c r="AX2989" s="3" t="s">
        <v>29949</v>
      </c>
      <c r="AY2989" s="3" t="s">
        <v>29950</v>
      </c>
      <c r="AZ2989" s="3" t="s">
        <v>29951</v>
      </c>
      <c r="BA2989" s="3" t="s">
        <v>29951</v>
      </c>
      <c r="BB2989" s="3" t="s">
        <v>29952</v>
      </c>
      <c r="BC2989" s="3" t="s">
        <v>77</v>
      </c>
      <c r="BD2989" s="3" t="s">
        <v>78</v>
      </c>
      <c r="BE2989" s="3" t="s">
        <v>29953</v>
      </c>
      <c r="BF2989" s="3" t="s">
        <v>29952</v>
      </c>
      <c r="BG2989" s="3" t="s">
        <v>29954</v>
      </c>
      <c r="BH2989">
        <f t="shared" si="73"/>
        <v>0</v>
      </c>
    </row>
    <row r="2990" spans="1:60" ht="58" x14ac:dyDescent="0.35">
      <c r="A2990" s="2" t="s">
        <v>59</v>
      </c>
      <c r="B2990" s="2" t="s">
        <v>60</v>
      </c>
      <c r="C2990" s="2" t="s">
        <v>29955</v>
      </c>
      <c r="D2990" s="2" t="s">
        <v>29956</v>
      </c>
      <c r="E2990" s="2" t="s">
        <v>29957</v>
      </c>
      <c r="G2990" s="3" t="s">
        <v>64</v>
      </c>
      <c r="I2990" s="3" t="s">
        <v>64</v>
      </c>
      <c r="J2990" s="3" t="s">
        <v>64</v>
      </c>
      <c r="K2990" s="3" t="s">
        <v>65</v>
      </c>
      <c r="M2990" s="2" t="s">
        <v>17071</v>
      </c>
      <c r="N2990" s="3" t="s">
        <v>144</v>
      </c>
      <c r="P2990" s="3" t="s">
        <v>102</v>
      </c>
      <c r="Q2990" s="2" t="s">
        <v>29958</v>
      </c>
      <c r="R2990" s="3" t="s">
        <v>70</v>
      </c>
      <c r="S2990" s="4">
        <v>11</v>
      </c>
      <c r="T2990" s="4">
        <v>11</v>
      </c>
      <c r="U2990" s="5" t="s">
        <v>3129</v>
      </c>
      <c r="V2990" s="5" t="s">
        <v>3129</v>
      </c>
      <c r="W2990" s="5" t="s">
        <v>72</v>
      </c>
      <c r="X2990" s="5" t="s">
        <v>72</v>
      </c>
      <c r="Y2990" s="4">
        <v>332</v>
      </c>
      <c r="Z2990" s="4">
        <v>16</v>
      </c>
      <c r="AA2990" s="4">
        <v>27</v>
      </c>
      <c r="AB2990" s="4">
        <v>2</v>
      </c>
      <c r="AC2990" s="4">
        <v>5</v>
      </c>
      <c r="AD2990" s="4">
        <v>68</v>
      </c>
      <c r="AE2990" s="4">
        <v>78</v>
      </c>
      <c r="AF2990" s="4">
        <v>1</v>
      </c>
      <c r="AG2990" s="4">
        <v>3</v>
      </c>
      <c r="AH2990" s="4">
        <v>65</v>
      </c>
      <c r="AI2990" s="4">
        <v>68</v>
      </c>
      <c r="AJ2990" s="4">
        <v>7</v>
      </c>
      <c r="AK2990" s="4">
        <v>13</v>
      </c>
      <c r="AL2990" s="4">
        <v>34</v>
      </c>
      <c r="AM2990" s="4">
        <v>35</v>
      </c>
      <c r="AN2990" s="4">
        <v>0</v>
      </c>
      <c r="AO2990" s="4">
        <v>0</v>
      </c>
      <c r="AP2990" s="4">
        <v>9</v>
      </c>
      <c r="AQ2990" s="4">
        <v>16</v>
      </c>
      <c r="AR2990" s="3" t="s">
        <v>64</v>
      </c>
      <c r="AS2990" s="3" t="s">
        <v>64</v>
      </c>
      <c r="AT2990" s="3" t="s">
        <v>128</v>
      </c>
      <c r="AU2990" s="6" t="str">
        <f>HYPERLINK("http://catalog.hathitrust.org/Record/005679894","HathiTrust Record")</f>
        <v>HathiTrust Record</v>
      </c>
      <c r="AV2990" s="6" t="str">
        <f>HYPERLINK("http://mcgill.on.worldcat.org/oclc/145732820","Catalog Record")</f>
        <v>Catalog Record</v>
      </c>
      <c r="AW2990" s="6" t="str">
        <f>HYPERLINK("http://www.worldcat.org/oclc/145732820","WorldCat Record")</f>
        <v>WorldCat Record</v>
      </c>
      <c r="AX2990" s="3" t="s">
        <v>29959</v>
      </c>
      <c r="AY2990" s="3" t="s">
        <v>29960</v>
      </c>
      <c r="AZ2990" s="3" t="s">
        <v>29961</v>
      </c>
      <c r="BA2990" s="3" t="s">
        <v>29961</v>
      </c>
      <c r="BB2990" s="3" t="s">
        <v>29962</v>
      </c>
      <c r="BC2990" s="3" t="s">
        <v>77</v>
      </c>
      <c r="BD2990" s="3" t="s">
        <v>78</v>
      </c>
      <c r="BE2990" s="3" t="s">
        <v>29963</v>
      </c>
      <c r="BF2990" s="3" t="s">
        <v>29962</v>
      </c>
      <c r="BG2990" s="3" t="s">
        <v>29964</v>
      </c>
      <c r="BH2990">
        <f t="shared" si="73"/>
        <v>0</v>
      </c>
    </row>
    <row r="2991" spans="1:60" ht="58" x14ac:dyDescent="0.35">
      <c r="A2991" s="2" t="s">
        <v>59</v>
      </c>
      <c r="B2991" s="2" t="s">
        <v>60</v>
      </c>
      <c r="C2991" s="2" t="s">
        <v>29965</v>
      </c>
      <c r="D2991" s="2" t="s">
        <v>29966</v>
      </c>
      <c r="E2991" s="2" t="s">
        <v>29967</v>
      </c>
      <c r="G2991" s="3" t="s">
        <v>64</v>
      </c>
      <c r="I2991" s="3" t="s">
        <v>64</v>
      </c>
      <c r="J2991" s="3" t="s">
        <v>64</v>
      </c>
      <c r="K2991" s="3" t="s">
        <v>65</v>
      </c>
      <c r="M2991" s="2" t="s">
        <v>29868</v>
      </c>
      <c r="N2991" s="3" t="s">
        <v>101</v>
      </c>
      <c r="P2991" s="3" t="s">
        <v>102</v>
      </c>
      <c r="R2991" s="3" t="s">
        <v>70</v>
      </c>
      <c r="S2991" s="4">
        <v>11</v>
      </c>
      <c r="T2991" s="4">
        <v>11</v>
      </c>
      <c r="U2991" s="5" t="s">
        <v>3129</v>
      </c>
      <c r="V2991" s="5" t="s">
        <v>3129</v>
      </c>
      <c r="W2991" s="5" t="s">
        <v>72</v>
      </c>
      <c r="X2991" s="5" t="s">
        <v>72</v>
      </c>
      <c r="Y2991" s="4">
        <v>231</v>
      </c>
      <c r="Z2991" s="4">
        <v>20</v>
      </c>
      <c r="AA2991" s="4">
        <v>21</v>
      </c>
      <c r="AB2991" s="4">
        <v>2</v>
      </c>
      <c r="AC2991" s="4">
        <v>3</v>
      </c>
      <c r="AD2991" s="4">
        <v>46</v>
      </c>
      <c r="AE2991" s="4">
        <v>47</v>
      </c>
      <c r="AF2991" s="4">
        <v>1</v>
      </c>
      <c r="AG2991" s="4">
        <v>2</v>
      </c>
      <c r="AH2991" s="4">
        <v>37</v>
      </c>
      <c r="AI2991" s="4">
        <v>38</v>
      </c>
      <c r="AJ2991" s="4">
        <v>10</v>
      </c>
      <c r="AK2991" s="4">
        <v>11</v>
      </c>
      <c r="AL2991" s="4">
        <v>18</v>
      </c>
      <c r="AM2991" s="4">
        <v>18</v>
      </c>
      <c r="AN2991" s="4">
        <v>0</v>
      </c>
      <c r="AO2991" s="4">
        <v>0</v>
      </c>
      <c r="AP2991" s="4">
        <v>11</v>
      </c>
      <c r="AQ2991" s="4">
        <v>12</v>
      </c>
      <c r="AR2991" s="3" t="s">
        <v>64</v>
      </c>
      <c r="AS2991" s="3" t="s">
        <v>64</v>
      </c>
      <c r="AT2991" s="3" t="s">
        <v>64</v>
      </c>
      <c r="AV2991" s="6" t="str">
        <f>HYPERLINK("http://mcgill.on.worldcat.org/oclc/51818544","Catalog Record")</f>
        <v>Catalog Record</v>
      </c>
      <c r="AW2991" s="6" t="str">
        <f>HYPERLINK("http://www.worldcat.org/oclc/51818544","WorldCat Record")</f>
        <v>WorldCat Record</v>
      </c>
      <c r="AX2991" s="3" t="s">
        <v>29968</v>
      </c>
      <c r="AY2991" s="3" t="s">
        <v>29969</v>
      </c>
      <c r="AZ2991" s="3" t="s">
        <v>29970</v>
      </c>
      <c r="BA2991" s="3" t="s">
        <v>29970</v>
      </c>
      <c r="BB2991" s="3" t="s">
        <v>29971</v>
      </c>
      <c r="BC2991" s="3" t="s">
        <v>77</v>
      </c>
      <c r="BD2991" s="3" t="s">
        <v>78</v>
      </c>
      <c r="BE2991" s="3" t="s">
        <v>29972</v>
      </c>
      <c r="BF2991" s="3" t="s">
        <v>29971</v>
      </c>
      <c r="BG2991" s="3" t="s">
        <v>29973</v>
      </c>
      <c r="BH2991">
        <f t="shared" si="73"/>
        <v>0</v>
      </c>
    </row>
    <row r="2992" spans="1:60" ht="58" x14ac:dyDescent="0.35">
      <c r="A2992" s="2" t="s">
        <v>59</v>
      </c>
      <c r="B2992" s="2" t="s">
        <v>60</v>
      </c>
      <c r="C2992" s="2" t="s">
        <v>29974</v>
      </c>
      <c r="D2992" s="2" t="s">
        <v>29975</v>
      </c>
      <c r="E2992" s="2" t="s">
        <v>29976</v>
      </c>
      <c r="G2992" s="3" t="s">
        <v>64</v>
      </c>
      <c r="I2992" s="3" t="s">
        <v>64</v>
      </c>
      <c r="J2992" s="3" t="s">
        <v>64</v>
      </c>
      <c r="K2992" s="3" t="s">
        <v>65</v>
      </c>
      <c r="L2992" s="2" t="s">
        <v>29977</v>
      </c>
      <c r="M2992" s="2" t="s">
        <v>21716</v>
      </c>
      <c r="N2992" s="3" t="s">
        <v>159</v>
      </c>
      <c r="P2992" s="3" t="s">
        <v>102</v>
      </c>
      <c r="Q2992" s="2" t="s">
        <v>29978</v>
      </c>
      <c r="R2992" s="3" t="s">
        <v>70</v>
      </c>
      <c r="S2992" s="4">
        <v>11</v>
      </c>
      <c r="T2992" s="4">
        <v>11</v>
      </c>
      <c r="U2992" s="5" t="s">
        <v>3129</v>
      </c>
      <c r="V2992" s="5" t="s">
        <v>3129</v>
      </c>
      <c r="W2992" s="5" t="s">
        <v>72</v>
      </c>
      <c r="X2992" s="5" t="s">
        <v>72</v>
      </c>
      <c r="Y2992" s="4">
        <v>500</v>
      </c>
      <c r="Z2992" s="4">
        <v>26</v>
      </c>
      <c r="AA2992" s="4">
        <v>28</v>
      </c>
      <c r="AB2992" s="4">
        <v>2</v>
      </c>
      <c r="AC2992" s="4">
        <v>4</v>
      </c>
      <c r="AD2992" s="4">
        <v>86</v>
      </c>
      <c r="AE2992" s="4">
        <v>88</v>
      </c>
      <c r="AF2992" s="4">
        <v>1</v>
      </c>
      <c r="AG2992" s="4">
        <v>3</v>
      </c>
      <c r="AH2992" s="4">
        <v>77</v>
      </c>
      <c r="AI2992" s="4">
        <v>77</v>
      </c>
      <c r="AJ2992" s="4">
        <v>13</v>
      </c>
      <c r="AK2992" s="4">
        <v>15</v>
      </c>
      <c r="AL2992" s="4">
        <v>34</v>
      </c>
      <c r="AM2992" s="4">
        <v>34</v>
      </c>
      <c r="AN2992" s="4">
        <v>0</v>
      </c>
      <c r="AO2992" s="4">
        <v>0</v>
      </c>
      <c r="AP2992" s="4">
        <v>16</v>
      </c>
      <c r="AQ2992" s="4">
        <v>17</v>
      </c>
      <c r="AR2992" s="3" t="s">
        <v>64</v>
      </c>
      <c r="AS2992" s="3" t="s">
        <v>64</v>
      </c>
      <c r="AT2992" s="3" t="s">
        <v>128</v>
      </c>
      <c r="AU2992" s="6" t="str">
        <f>HYPERLINK("http://catalog.hathitrust.org/Record/004281992","HathiTrust Record")</f>
        <v>HathiTrust Record</v>
      </c>
      <c r="AV2992" s="6" t="str">
        <f>HYPERLINK("http://mcgill.on.worldcat.org/oclc/49775283","Catalog Record")</f>
        <v>Catalog Record</v>
      </c>
      <c r="AW2992" s="6" t="str">
        <f>HYPERLINK("http://www.worldcat.org/oclc/49775283","WorldCat Record")</f>
        <v>WorldCat Record</v>
      </c>
      <c r="AX2992" s="3" t="s">
        <v>29979</v>
      </c>
      <c r="AY2992" s="3" t="s">
        <v>29980</v>
      </c>
      <c r="AZ2992" s="3" t="s">
        <v>29981</v>
      </c>
      <c r="BA2992" s="3" t="s">
        <v>29981</v>
      </c>
      <c r="BB2992" s="3" t="s">
        <v>29982</v>
      </c>
      <c r="BC2992" s="3" t="s">
        <v>77</v>
      </c>
      <c r="BD2992" s="3" t="s">
        <v>78</v>
      </c>
      <c r="BE2992" s="3" t="s">
        <v>29983</v>
      </c>
      <c r="BF2992" s="3" t="s">
        <v>29982</v>
      </c>
      <c r="BG2992" s="3" t="s">
        <v>29984</v>
      </c>
      <c r="BH2992">
        <f t="shared" si="73"/>
        <v>0</v>
      </c>
    </row>
    <row r="2993" spans="1:60" ht="58" x14ac:dyDescent="0.35">
      <c r="A2993" s="2" t="s">
        <v>59</v>
      </c>
      <c r="B2993" s="2" t="s">
        <v>60</v>
      </c>
      <c r="C2993" s="2" t="s">
        <v>29985</v>
      </c>
      <c r="D2993" s="2" t="s">
        <v>29986</v>
      </c>
      <c r="E2993" s="2" t="s">
        <v>29987</v>
      </c>
      <c r="G2993" s="3" t="s">
        <v>64</v>
      </c>
      <c r="I2993" s="3" t="s">
        <v>64</v>
      </c>
      <c r="J2993" s="3" t="s">
        <v>64</v>
      </c>
      <c r="K2993" s="3" t="s">
        <v>65</v>
      </c>
      <c r="L2993" s="2" t="s">
        <v>29988</v>
      </c>
      <c r="M2993" s="2" t="s">
        <v>29989</v>
      </c>
      <c r="N2993" s="3" t="s">
        <v>101</v>
      </c>
      <c r="P2993" s="3" t="s">
        <v>102</v>
      </c>
      <c r="Q2993" s="2" t="s">
        <v>8981</v>
      </c>
      <c r="R2993" s="3" t="s">
        <v>70</v>
      </c>
      <c r="S2993" s="4">
        <v>1</v>
      </c>
      <c r="T2993" s="4">
        <v>1</v>
      </c>
      <c r="U2993" s="5" t="s">
        <v>3129</v>
      </c>
      <c r="V2993" s="5" t="s">
        <v>3129</v>
      </c>
      <c r="W2993" s="5" t="s">
        <v>72</v>
      </c>
      <c r="X2993" s="5" t="s">
        <v>72</v>
      </c>
      <c r="Y2993" s="4">
        <v>132</v>
      </c>
      <c r="Z2993" s="4">
        <v>8</v>
      </c>
      <c r="AA2993" s="4">
        <v>12</v>
      </c>
      <c r="AB2993" s="4">
        <v>1</v>
      </c>
      <c r="AC2993" s="4">
        <v>4</v>
      </c>
      <c r="AD2993" s="4">
        <v>14</v>
      </c>
      <c r="AE2993" s="4">
        <v>21</v>
      </c>
      <c r="AF2993" s="4">
        <v>0</v>
      </c>
      <c r="AG2993" s="4">
        <v>1</v>
      </c>
      <c r="AH2993" s="4">
        <v>14</v>
      </c>
      <c r="AI2993" s="4">
        <v>20</v>
      </c>
      <c r="AJ2993" s="4">
        <v>4</v>
      </c>
      <c r="AK2993" s="4">
        <v>5</v>
      </c>
      <c r="AL2993" s="4">
        <v>6</v>
      </c>
      <c r="AM2993" s="4">
        <v>9</v>
      </c>
      <c r="AN2993" s="4">
        <v>0</v>
      </c>
      <c r="AO2993" s="4">
        <v>0</v>
      </c>
      <c r="AP2993" s="4">
        <v>4</v>
      </c>
      <c r="AQ2993" s="4">
        <v>4</v>
      </c>
      <c r="AR2993" s="3" t="s">
        <v>64</v>
      </c>
      <c r="AS2993" s="3" t="s">
        <v>64</v>
      </c>
      <c r="AT2993" s="3" t="s">
        <v>128</v>
      </c>
      <c r="AU2993" s="6" t="str">
        <f>HYPERLINK("http://catalog.hathitrust.org/Record/005137303","HathiTrust Record")</f>
        <v>HathiTrust Record</v>
      </c>
      <c r="AV2993" s="6" t="str">
        <f>HYPERLINK("http://mcgill.on.worldcat.org/oclc/59286137","Catalog Record")</f>
        <v>Catalog Record</v>
      </c>
      <c r="AW2993" s="6" t="str">
        <f>HYPERLINK("http://www.worldcat.org/oclc/59286137","WorldCat Record")</f>
        <v>WorldCat Record</v>
      </c>
      <c r="AX2993" s="3" t="s">
        <v>29990</v>
      </c>
      <c r="AY2993" s="3" t="s">
        <v>29991</v>
      </c>
      <c r="AZ2993" s="3" t="s">
        <v>29992</v>
      </c>
      <c r="BA2993" s="3" t="s">
        <v>29992</v>
      </c>
      <c r="BB2993" s="3" t="s">
        <v>29993</v>
      </c>
      <c r="BC2993" s="3" t="s">
        <v>77</v>
      </c>
      <c r="BD2993" s="3" t="s">
        <v>78</v>
      </c>
      <c r="BE2993" s="3" t="s">
        <v>29994</v>
      </c>
      <c r="BF2993" s="3" t="s">
        <v>29993</v>
      </c>
      <c r="BG2993" s="3" t="s">
        <v>29995</v>
      </c>
      <c r="BH2993">
        <f t="shared" si="73"/>
        <v>0</v>
      </c>
    </row>
    <row r="2994" spans="1:60" ht="58" x14ac:dyDescent="0.35">
      <c r="A2994" s="2" t="s">
        <v>59</v>
      </c>
      <c r="B2994" s="2" t="s">
        <v>60</v>
      </c>
      <c r="C2994" s="2" t="s">
        <v>29996</v>
      </c>
      <c r="D2994" s="2" t="s">
        <v>29997</v>
      </c>
      <c r="E2994" s="2" t="s">
        <v>29998</v>
      </c>
      <c r="G2994" s="3" t="s">
        <v>64</v>
      </c>
      <c r="I2994" s="3" t="s">
        <v>64</v>
      </c>
      <c r="J2994" s="3" t="s">
        <v>64</v>
      </c>
      <c r="K2994" s="3" t="s">
        <v>65</v>
      </c>
      <c r="L2994" s="2" t="s">
        <v>29999</v>
      </c>
      <c r="M2994" s="2" t="s">
        <v>18880</v>
      </c>
      <c r="N2994" s="3" t="s">
        <v>159</v>
      </c>
      <c r="P2994" s="3" t="s">
        <v>102</v>
      </c>
      <c r="Q2994" s="2" t="s">
        <v>25130</v>
      </c>
      <c r="R2994" s="3" t="s">
        <v>70</v>
      </c>
      <c r="S2994" s="4">
        <v>10</v>
      </c>
      <c r="T2994" s="4">
        <v>10</v>
      </c>
      <c r="U2994" s="5" t="s">
        <v>30000</v>
      </c>
      <c r="V2994" s="5" t="s">
        <v>30000</v>
      </c>
      <c r="W2994" s="5" t="s">
        <v>72</v>
      </c>
      <c r="X2994" s="5" t="s">
        <v>72</v>
      </c>
      <c r="Y2994" s="4">
        <v>462</v>
      </c>
      <c r="Z2994" s="4">
        <v>18</v>
      </c>
      <c r="AA2994" s="4">
        <v>105</v>
      </c>
      <c r="AB2994" s="4">
        <v>3</v>
      </c>
      <c r="AC2994" s="4">
        <v>19</v>
      </c>
      <c r="AD2994" s="4">
        <v>58</v>
      </c>
      <c r="AE2994" s="4">
        <v>118</v>
      </c>
      <c r="AF2994" s="4">
        <v>0</v>
      </c>
      <c r="AG2994" s="4">
        <v>8</v>
      </c>
      <c r="AH2994" s="4">
        <v>57</v>
      </c>
      <c r="AI2994" s="4">
        <v>85</v>
      </c>
      <c r="AJ2994" s="4">
        <v>4</v>
      </c>
      <c r="AK2994" s="4">
        <v>18</v>
      </c>
      <c r="AL2994" s="4">
        <v>27</v>
      </c>
      <c r="AM2994" s="4">
        <v>41</v>
      </c>
      <c r="AN2994" s="4">
        <v>0</v>
      </c>
      <c r="AO2994" s="4">
        <v>0</v>
      </c>
      <c r="AP2994" s="4">
        <v>4</v>
      </c>
      <c r="AQ2994" s="4">
        <v>39</v>
      </c>
      <c r="AR2994" s="3" t="s">
        <v>64</v>
      </c>
      <c r="AS2994" s="3" t="s">
        <v>64</v>
      </c>
      <c r="AT2994" s="3" t="s">
        <v>64</v>
      </c>
      <c r="AV2994" s="6" t="str">
        <f>HYPERLINK("http://mcgill.on.worldcat.org/oclc/47623929","Catalog Record")</f>
        <v>Catalog Record</v>
      </c>
      <c r="AW2994" s="6" t="str">
        <f>HYPERLINK("http://www.worldcat.org/oclc/47623929","WorldCat Record")</f>
        <v>WorldCat Record</v>
      </c>
      <c r="AX2994" s="3" t="s">
        <v>30001</v>
      </c>
      <c r="AY2994" s="3" t="s">
        <v>30002</v>
      </c>
      <c r="AZ2994" s="3" t="s">
        <v>30003</v>
      </c>
      <c r="BA2994" s="3" t="s">
        <v>30003</v>
      </c>
      <c r="BB2994" s="3" t="s">
        <v>30004</v>
      </c>
      <c r="BC2994" s="3" t="s">
        <v>77</v>
      </c>
      <c r="BD2994" s="3" t="s">
        <v>78</v>
      </c>
      <c r="BE2994" s="3" t="s">
        <v>30005</v>
      </c>
      <c r="BF2994" s="3" t="s">
        <v>30004</v>
      </c>
      <c r="BG2994" s="3" t="s">
        <v>30006</v>
      </c>
      <c r="BH2994">
        <f t="shared" si="73"/>
        <v>0</v>
      </c>
    </row>
    <row r="2995" spans="1:60" ht="58" x14ac:dyDescent="0.35">
      <c r="A2995" s="2" t="s">
        <v>59</v>
      </c>
      <c r="B2995" s="2" t="s">
        <v>60</v>
      </c>
      <c r="C2995" s="2" t="s">
        <v>30007</v>
      </c>
      <c r="D2995" s="2" t="s">
        <v>30008</v>
      </c>
      <c r="E2995" s="2" t="s">
        <v>30009</v>
      </c>
      <c r="G2995" s="3" t="s">
        <v>64</v>
      </c>
      <c r="I2995" s="3" t="s">
        <v>64</v>
      </c>
      <c r="J2995" s="3" t="s">
        <v>64</v>
      </c>
      <c r="K2995" s="3" t="s">
        <v>65</v>
      </c>
      <c r="L2995" s="2" t="s">
        <v>29999</v>
      </c>
      <c r="M2995" s="2" t="s">
        <v>17565</v>
      </c>
      <c r="N2995" s="3" t="s">
        <v>86</v>
      </c>
      <c r="O2995" s="2" t="s">
        <v>3787</v>
      </c>
      <c r="P2995" s="3" t="s">
        <v>102</v>
      </c>
      <c r="Q2995" s="2" t="s">
        <v>25130</v>
      </c>
      <c r="R2995" s="3" t="s">
        <v>70</v>
      </c>
      <c r="S2995" s="4">
        <v>2</v>
      </c>
      <c r="T2995" s="4">
        <v>2</v>
      </c>
      <c r="U2995" s="5" t="s">
        <v>28559</v>
      </c>
      <c r="V2995" s="5" t="s">
        <v>28559</v>
      </c>
      <c r="W2995" s="5" t="s">
        <v>72</v>
      </c>
      <c r="X2995" s="5" t="s">
        <v>72</v>
      </c>
      <c r="Y2995" s="4">
        <v>236</v>
      </c>
      <c r="Z2995" s="4">
        <v>8</v>
      </c>
      <c r="AA2995" s="4">
        <v>113</v>
      </c>
      <c r="AB2995" s="4">
        <v>1</v>
      </c>
      <c r="AC2995" s="4">
        <v>16</v>
      </c>
      <c r="AD2995" s="4">
        <v>34</v>
      </c>
      <c r="AE2995" s="4">
        <v>114</v>
      </c>
      <c r="AF2995" s="4">
        <v>0</v>
      </c>
      <c r="AG2995" s="4">
        <v>8</v>
      </c>
      <c r="AH2995" s="4">
        <v>33</v>
      </c>
      <c r="AI2995" s="4">
        <v>74</v>
      </c>
      <c r="AJ2995" s="4">
        <v>3</v>
      </c>
      <c r="AK2995" s="4">
        <v>19</v>
      </c>
      <c r="AL2995" s="4">
        <v>14</v>
      </c>
      <c r="AM2995" s="4">
        <v>35</v>
      </c>
      <c r="AN2995" s="4">
        <v>0</v>
      </c>
      <c r="AO2995" s="4">
        <v>0</v>
      </c>
      <c r="AP2995" s="4">
        <v>3</v>
      </c>
      <c r="AQ2995" s="4">
        <v>43</v>
      </c>
      <c r="AR2995" s="3" t="s">
        <v>64</v>
      </c>
      <c r="AS2995" s="3" t="s">
        <v>64</v>
      </c>
      <c r="AT2995" s="3" t="s">
        <v>64</v>
      </c>
      <c r="AV2995" s="6" t="str">
        <f>HYPERLINK("http://mcgill.on.worldcat.org/oclc/760531797","Catalog Record")</f>
        <v>Catalog Record</v>
      </c>
      <c r="AW2995" s="6" t="str">
        <f>HYPERLINK("http://www.worldcat.org/oclc/760531797","WorldCat Record")</f>
        <v>WorldCat Record</v>
      </c>
      <c r="AX2995" s="3" t="s">
        <v>30010</v>
      </c>
      <c r="AY2995" s="3" t="s">
        <v>30011</v>
      </c>
      <c r="AZ2995" s="3" t="s">
        <v>30012</v>
      </c>
      <c r="BA2995" s="3" t="s">
        <v>30012</v>
      </c>
      <c r="BB2995" s="3" t="s">
        <v>30013</v>
      </c>
      <c r="BC2995" s="3" t="s">
        <v>77</v>
      </c>
      <c r="BD2995" s="3" t="s">
        <v>78</v>
      </c>
      <c r="BE2995" s="3" t="s">
        <v>30014</v>
      </c>
      <c r="BF2995" s="3" t="s">
        <v>30013</v>
      </c>
      <c r="BG2995" s="3" t="s">
        <v>30015</v>
      </c>
      <c r="BH2995">
        <f t="shared" si="73"/>
        <v>0</v>
      </c>
    </row>
    <row r="2996" spans="1:60" ht="58" x14ac:dyDescent="0.35">
      <c r="A2996" s="2" t="s">
        <v>59</v>
      </c>
      <c r="B2996" s="2" t="s">
        <v>60</v>
      </c>
      <c r="C2996" s="2" t="s">
        <v>30016</v>
      </c>
      <c r="D2996" s="2" t="s">
        <v>30017</v>
      </c>
      <c r="E2996" s="2" t="s">
        <v>30018</v>
      </c>
      <c r="G2996" s="3" t="s">
        <v>64</v>
      </c>
      <c r="I2996" s="3" t="s">
        <v>128</v>
      </c>
      <c r="J2996" s="3" t="s">
        <v>64</v>
      </c>
      <c r="K2996" s="3" t="s">
        <v>65</v>
      </c>
      <c r="L2996" s="2" t="s">
        <v>30019</v>
      </c>
      <c r="M2996" s="2" t="s">
        <v>20150</v>
      </c>
      <c r="N2996" s="3" t="s">
        <v>116</v>
      </c>
      <c r="P2996" s="3" t="s">
        <v>102</v>
      </c>
      <c r="Q2996" s="2" t="s">
        <v>25130</v>
      </c>
      <c r="R2996" s="3" t="s">
        <v>70</v>
      </c>
      <c r="S2996" s="4">
        <v>5</v>
      </c>
      <c r="T2996" s="4">
        <v>26</v>
      </c>
      <c r="U2996" s="5" t="s">
        <v>30020</v>
      </c>
      <c r="V2996" s="5" t="s">
        <v>30020</v>
      </c>
      <c r="W2996" s="5" t="s">
        <v>72</v>
      </c>
      <c r="X2996" s="5" t="s">
        <v>72</v>
      </c>
      <c r="Y2996" s="4">
        <v>658</v>
      </c>
      <c r="Z2996" s="4">
        <v>27</v>
      </c>
      <c r="AA2996" s="4">
        <v>129</v>
      </c>
      <c r="AB2996" s="4">
        <v>3</v>
      </c>
      <c r="AC2996" s="4">
        <v>20</v>
      </c>
      <c r="AD2996" s="4">
        <v>77</v>
      </c>
      <c r="AE2996" s="4">
        <v>134</v>
      </c>
      <c r="AF2996" s="4">
        <v>0</v>
      </c>
      <c r="AG2996" s="4">
        <v>8</v>
      </c>
      <c r="AH2996" s="4">
        <v>74</v>
      </c>
      <c r="AI2996" s="4">
        <v>98</v>
      </c>
      <c r="AJ2996" s="4">
        <v>8</v>
      </c>
      <c r="AK2996" s="4">
        <v>22</v>
      </c>
      <c r="AL2996" s="4">
        <v>35</v>
      </c>
      <c r="AM2996" s="4">
        <v>48</v>
      </c>
      <c r="AN2996" s="4">
        <v>0</v>
      </c>
      <c r="AO2996" s="4">
        <v>0</v>
      </c>
      <c r="AP2996" s="4">
        <v>9</v>
      </c>
      <c r="AQ2996" s="4">
        <v>44</v>
      </c>
      <c r="AR2996" s="3" t="s">
        <v>64</v>
      </c>
      <c r="AS2996" s="3" t="s">
        <v>64</v>
      </c>
      <c r="AT2996" s="3" t="s">
        <v>64</v>
      </c>
      <c r="AV2996" s="6" t="str">
        <f>HYPERLINK("http://mcgill.on.worldcat.org/oclc/46769544","Catalog Record")</f>
        <v>Catalog Record</v>
      </c>
      <c r="AW2996" s="6" t="str">
        <f>HYPERLINK("http://www.worldcat.org/oclc/46769544","WorldCat Record")</f>
        <v>WorldCat Record</v>
      </c>
      <c r="AX2996" s="3" t="s">
        <v>30021</v>
      </c>
      <c r="AY2996" s="3" t="s">
        <v>30022</v>
      </c>
      <c r="AZ2996" s="3" t="s">
        <v>30023</v>
      </c>
      <c r="BA2996" s="3" t="s">
        <v>30023</v>
      </c>
      <c r="BB2996" s="3" t="s">
        <v>30024</v>
      </c>
      <c r="BC2996" s="3" t="s">
        <v>77</v>
      </c>
      <c r="BD2996" s="3" t="s">
        <v>78</v>
      </c>
      <c r="BE2996" s="3" t="s">
        <v>30025</v>
      </c>
      <c r="BF2996" s="3" t="s">
        <v>30024</v>
      </c>
      <c r="BG2996" s="3" t="s">
        <v>30026</v>
      </c>
      <c r="BH2996">
        <f t="shared" si="73"/>
        <v>0</v>
      </c>
    </row>
    <row r="2997" spans="1:60" ht="58" x14ac:dyDescent="0.35">
      <c r="A2997" s="2" t="s">
        <v>59</v>
      </c>
      <c r="B2997" s="2" t="s">
        <v>60</v>
      </c>
      <c r="C2997" s="2" t="s">
        <v>30016</v>
      </c>
      <c r="D2997" s="2" t="s">
        <v>30017</v>
      </c>
      <c r="E2997" s="2" t="s">
        <v>30018</v>
      </c>
      <c r="G2997" s="3" t="s">
        <v>64</v>
      </c>
      <c r="I2997" s="3" t="s">
        <v>128</v>
      </c>
      <c r="J2997" s="3" t="s">
        <v>64</v>
      </c>
      <c r="K2997" s="3" t="s">
        <v>65</v>
      </c>
      <c r="L2997" s="2" t="s">
        <v>30019</v>
      </c>
      <c r="M2997" s="2" t="s">
        <v>20150</v>
      </c>
      <c r="N2997" s="3" t="s">
        <v>116</v>
      </c>
      <c r="P2997" s="3" t="s">
        <v>102</v>
      </c>
      <c r="Q2997" s="2" t="s">
        <v>25130</v>
      </c>
      <c r="R2997" s="3" t="s">
        <v>70</v>
      </c>
      <c r="S2997" s="4">
        <v>21</v>
      </c>
      <c r="T2997" s="4">
        <v>26</v>
      </c>
      <c r="U2997" s="5" t="s">
        <v>1846</v>
      </c>
      <c r="V2997" s="5" t="s">
        <v>30020</v>
      </c>
      <c r="W2997" s="5" t="s">
        <v>72</v>
      </c>
      <c r="X2997" s="5" t="s">
        <v>72</v>
      </c>
      <c r="Y2997" s="4">
        <v>658</v>
      </c>
      <c r="Z2997" s="4">
        <v>27</v>
      </c>
      <c r="AA2997" s="4">
        <v>129</v>
      </c>
      <c r="AB2997" s="4">
        <v>3</v>
      </c>
      <c r="AC2997" s="4">
        <v>20</v>
      </c>
      <c r="AD2997" s="4">
        <v>77</v>
      </c>
      <c r="AE2997" s="4">
        <v>134</v>
      </c>
      <c r="AF2997" s="4">
        <v>0</v>
      </c>
      <c r="AG2997" s="4">
        <v>8</v>
      </c>
      <c r="AH2997" s="4">
        <v>74</v>
      </c>
      <c r="AI2997" s="4">
        <v>98</v>
      </c>
      <c r="AJ2997" s="4">
        <v>8</v>
      </c>
      <c r="AK2997" s="4">
        <v>22</v>
      </c>
      <c r="AL2997" s="4">
        <v>35</v>
      </c>
      <c r="AM2997" s="4">
        <v>48</v>
      </c>
      <c r="AN2997" s="4">
        <v>0</v>
      </c>
      <c r="AO2997" s="4">
        <v>0</v>
      </c>
      <c r="AP2997" s="4">
        <v>9</v>
      </c>
      <c r="AQ2997" s="4">
        <v>44</v>
      </c>
      <c r="AR2997" s="3" t="s">
        <v>64</v>
      </c>
      <c r="AS2997" s="3" t="s">
        <v>64</v>
      </c>
      <c r="AT2997" s="3" t="s">
        <v>64</v>
      </c>
      <c r="AV2997" s="6" t="str">
        <f>HYPERLINK("http://mcgill.on.worldcat.org/oclc/46769544","Catalog Record")</f>
        <v>Catalog Record</v>
      </c>
      <c r="AW2997" s="6" t="str">
        <f>HYPERLINK("http://www.worldcat.org/oclc/46769544","WorldCat Record")</f>
        <v>WorldCat Record</v>
      </c>
      <c r="AX2997" s="3" t="s">
        <v>30021</v>
      </c>
      <c r="AY2997" s="3" t="s">
        <v>30022</v>
      </c>
      <c r="AZ2997" s="3" t="s">
        <v>30023</v>
      </c>
      <c r="BA2997" s="3" t="s">
        <v>30023</v>
      </c>
      <c r="BB2997" s="3" t="s">
        <v>30027</v>
      </c>
      <c r="BC2997" s="3" t="s">
        <v>77</v>
      </c>
      <c r="BD2997" s="3" t="s">
        <v>78</v>
      </c>
      <c r="BE2997" s="3" t="s">
        <v>30025</v>
      </c>
      <c r="BF2997" s="3" t="s">
        <v>30027</v>
      </c>
      <c r="BG2997" s="3" t="s">
        <v>30028</v>
      </c>
      <c r="BH2997">
        <f t="shared" si="73"/>
        <v>0</v>
      </c>
    </row>
    <row r="2998" spans="1:60" ht="58" x14ac:dyDescent="0.35">
      <c r="A2998" s="2" t="s">
        <v>59</v>
      </c>
      <c r="B2998" s="2" t="s">
        <v>60</v>
      </c>
      <c r="C2998" s="2" t="s">
        <v>30029</v>
      </c>
      <c r="D2998" s="2" t="s">
        <v>30030</v>
      </c>
      <c r="E2998" s="2" t="s">
        <v>30031</v>
      </c>
      <c r="G2998" s="3" t="s">
        <v>64</v>
      </c>
      <c r="I2998" s="3" t="s">
        <v>64</v>
      </c>
      <c r="J2998" s="3" t="s">
        <v>64</v>
      </c>
      <c r="K2998" s="3" t="s">
        <v>65</v>
      </c>
      <c r="L2998" s="2" t="s">
        <v>30032</v>
      </c>
      <c r="M2998" s="2" t="s">
        <v>21083</v>
      </c>
      <c r="N2998" s="3" t="s">
        <v>1275</v>
      </c>
      <c r="P2998" s="3" t="s">
        <v>102</v>
      </c>
      <c r="Q2998" s="2" t="s">
        <v>25130</v>
      </c>
      <c r="R2998" s="3" t="s">
        <v>70</v>
      </c>
      <c r="S2998" s="4">
        <v>9</v>
      </c>
      <c r="T2998" s="4">
        <v>9</v>
      </c>
      <c r="U2998" s="5" t="s">
        <v>30033</v>
      </c>
      <c r="V2998" s="5" t="s">
        <v>30033</v>
      </c>
      <c r="W2998" s="5" t="s">
        <v>72</v>
      </c>
      <c r="X2998" s="5" t="s">
        <v>72</v>
      </c>
      <c r="Y2998" s="4">
        <v>382</v>
      </c>
      <c r="Z2998" s="4">
        <v>19</v>
      </c>
      <c r="AA2998" s="4">
        <v>106</v>
      </c>
      <c r="AB2998" s="4">
        <v>2</v>
      </c>
      <c r="AC2998" s="4">
        <v>18</v>
      </c>
      <c r="AD2998" s="4">
        <v>55</v>
      </c>
      <c r="AE2998" s="4">
        <v>119</v>
      </c>
      <c r="AF2998" s="4">
        <v>0</v>
      </c>
      <c r="AG2998" s="4">
        <v>8</v>
      </c>
      <c r="AH2998" s="4">
        <v>54</v>
      </c>
      <c r="AI2998" s="4">
        <v>86</v>
      </c>
      <c r="AJ2998" s="4">
        <v>4</v>
      </c>
      <c r="AK2998" s="4">
        <v>18</v>
      </c>
      <c r="AL2998" s="4">
        <v>28</v>
      </c>
      <c r="AM2998" s="4">
        <v>44</v>
      </c>
      <c r="AN2998" s="4">
        <v>0</v>
      </c>
      <c r="AO2998" s="4">
        <v>0</v>
      </c>
      <c r="AP2998" s="4">
        <v>4</v>
      </c>
      <c r="AQ2998" s="4">
        <v>39</v>
      </c>
      <c r="AR2998" s="3" t="s">
        <v>64</v>
      </c>
      <c r="AS2998" s="3" t="s">
        <v>64</v>
      </c>
      <c r="AT2998" s="3" t="s">
        <v>64</v>
      </c>
      <c r="AV2998" s="6" t="str">
        <f>HYPERLINK("http://mcgill.on.worldcat.org/oclc/53847137","Catalog Record")</f>
        <v>Catalog Record</v>
      </c>
      <c r="AW2998" s="6" t="str">
        <f>HYPERLINK("http://www.worldcat.org/oclc/53847137","WorldCat Record")</f>
        <v>WorldCat Record</v>
      </c>
      <c r="AX2998" s="3" t="s">
        <v>30034</v>
      </c>
      <c r="AY2998" s="3" t="s">
        <v>30035</v>
      </c>
      <c r="AZ2998" s="3" t="s">
        <v>30036</v>
      </c>
      <c r="BA2998" s="3" t="s">
        <v>30036</v>
      </c>
      <c r="BB2998" s="3" t="s">
        <v>30037</v>
      </c>
      <c r="BC2998" s="3" t="s">
        <v>77</v>
      </c>
      <c r="BD2998" s="3" t="s">
        <v>78</v>
      </c>
      <c r="BE2998" s="3" t="s">
        <v>30038</v>
      </c>
      <c r="BF2998" s="3" t="s">
        <v>30037</v>
      </c>
      <c r="BG2998" s="3" t="s">
        <v>30039</v>
      </c>
      <c r="BH2998">
        <f t="shared" si="73"/>
        <v>0</v>
      </c>
    </row>
    <row r="2999" spans="1:60" ht="58" x14ac:dyDescent="0.35">
      <c r="A2999" s="2" t="s">
        <v>59</v>
      </c>
      <c r="B2999" s="2" t="s">
        <v>60</v>
      </c>
      <c r="C2999" s="2" t="s">
        <v>30040</v>
      </c>
      <c r="D2999" s="2" t="s">
        <v>30041</v>
      </c>
      <c r="E2999" s="2" t="s">
        <v>30042</v>
      </c>
      <c r="G2999" s="3" t="s">
        <v>64</v>
      </c>
      <c r="I2999" s="3" t="s">
        <v>64</v>
      </c>
      <c r="J2999" s="3" t="s">
        <v>64</v>
      </c>
      <c r="K2999" s="3" t="s">
        <v>65</v>
      </c>
      <c r="L2999" s="2" t="s">
        <v>30043</v>
      </c>
      <c r="M2999" s="2" t="s">
        <v>17565</v>
      </c>
      <c r="N2999" s="3" t="s">
        <v>86</v>
      </c>
      <c r="O2999" s="2" t="s">
        <v>3787</v>
      </c>
      <c r="P2999" s="3" t="s">
        <v>102</v>
      </c>
      <c r="Q2999" s="2" t="s">
        <v>25130</v>
      </c>
      <c r="R2999" s="3" t="s">
        <v>70</v>
      </c>
      <c r="S2999" s="4">
        <v>1</v>
      </c>
      <c r="T2999" s="4">
        <v>1</v>
      </c>
      <c r="U2999" s="5" t="s">
        <v>1846</v>
      </c>
      <c r="V2999" s="5" t="s">
        <v>1846</v>
      </c>
      <c r="W2999" s="5" t="s">
        <v>72</v>
      </c>
      <c r="X2999" s="5" t="s">
        <v>72</v>
      </c>
      <c r="Y2999" s="4">
        <v>272</v>
      </c>
      <c r="Z2999" s="4">
        <v>11</v>
      </c>
      <c r="AA2999" s="4">
        <v>115</v>
      </c>
      <c r="AB2999" s="4">
        <v>1</v>
      </c>
      <c r="AC2999" s="4">
        <v>17</v>
      </c>
      <c r="AD2999" s="4">
        <v>34</v>
      </c>
      <c r="AE2999" s="4">
        <v>108</v>
      </c>
      <c r="AF2999" s="4">
        <v>0</v>
      </c>
      <c r="AG2999" s="4">
        <v>8</v>
      </c>
      <c r="AH2999" s="4">
        <v>32</v>
      </c>
      <c r="AI2999" s="4">
        <v>68</v>
      </c>
      <c r="AJ2999" s="4">
        <v>3</v>
      </c>
      <c r="AK2999" s="4">
        <v>18</v>
      </c>
      <c r="AL2999" s="4">
        <v>12</v>
      </c>
      <c r="AM2999" s="4">
        <v>33</v>
      </c>
      <c r="AN2999" s="4">
        <v>0</v>
      </c>
      <c r="AO2999" s="4">
        <v>0</v>
      </c>
      <c r="AP2999" s="4">
        <v>4</v>
      </c>
      <c r="AQ2999" s="4">
        <v>43</v>
      </c>
      <c r="AR2999" s="3" t="s">
        <v>64</v>
      </c>
      <c r="AS2999" s="3" t="s">
        <v>64</v>
      </c>
      <c r="AT2999" s="3" t="s">
        <v>64</v>
      </c>
      <c r="AV2999" s="6" t="str">
        <f>HYPERLINK("http://mcgill.on.worldcat.org/oclc/761481981","Catalog Record")</f>
        <v>Catalog Record</v>
      </c>
      <c r="AW2999" s="6" t="str">
        <f>HYPERLINK("http://www.worldcat.org/oclc/761481981","WorldCat Record")</f>
        <v>WorldCat Record</v>
      </c>
      <c r="AX2999" s="3" t="s">
        <v>30044</v>
      </c>
      <c r="AY2999" s="3" t="s">
        <v>30045</v>
      </c>
      <c r="AZ2999" s="3" t="s">
        <v>30046</v>
      </c>
      <c r="BA2999" s="3" t="s">
        <v>30046</v>
      </c>
      <c r="BB2999" s="3" t="s">
        <v>30047</v>
      </c>
      <c r="BC2999" s="3" t="s">
        <v>77</v>
      </c>
      <c r="BD2999" s="3" t="s">
        <v>78</v>
      </c>
      <c r="BE2999" s="3" t="s">
        <v>30048</v>
      </c>
      <c r="BF2999" s="3" t="s">
        <v>30047</v>
      </c>
      <c r="BG2999" s="3" t="s">
        <v>30049</v>
      </c>
      <c r="BH2999">
        <f t="shared" si="73"/>
        <v>0</v>
      </c>
    </row>
    <row r="3000" spans="1:60" ht="58" x14ac:dyDescent="0.35">
      <c r="A3000" s="2" t="s">
        <v>59</v>
      </c>
      <c r="B3000" s="2" t="s">
        <v>60</v>
      </c>
      <c r="C3000" s="2" t="s">
        <v>30050</v>
      </c>
      <c r="D3000" s="2" t="s">
        <v>30051</v>
      </c>
      <c r="E3000" s="2" t="s">
        <v>30052</v>
      </c>
      <c r="G3000" s="3" t="s">
        <v>64</v>
      </c>
      <c r="I3000" s="3" t="s">
        <v>64</v>
      </c>
      <c r="J3000" s="3" t="s">
        <v>64</v>
      </c>
      <c r="K3000" s="3" t="s">
        <v>65</v>
      </c>
      <c r="L3000" s="2" t="s">
        <v>30053</v>
      </c>
      <c r="M3000" s="2" t="s">
        <v>21041</v>
      </c>
      <c r="N3000" s="3" t="s">
        <v>1492</v>
      </c>
      <c r="O3000" s="2" t="s">
        <v>15120</v>
      </c>
      <c r="P3000" s="3" t="s">
        <v>102</v>
      </c>
      <c r="Q3000" s="2" t="s">
        <v>25130</v>
      </c>
      <c r="R3000" s="3" t="s">
        <v>70</v>
      </c>
      <c r="S3000" s="4">
        <v>0</v>
      </c>
      <c r="T3000" s="4">
        <v>0</v>
      </c>
      <c r="W3000" s="5" t="s">
        <v>4502</v>
      </c>
      <c r="X3000" s="5" t="s">
        <v>4502</v>
      </c>
      <c r="Y3000" s="4">
        <v>184</v>
      </c>
      <c r="Z3000" s="4">
        <v>6</v>
      </c>
      <c r="AA3000" s="4">
        <v>68</v>
      </c>
      <c r="AB3000" s="4">
        <v>1</v>
      </c>
      <c r="AC3000" s="4">
        <v>15</v>
      </c>
      <c r="AD3000" s="4">
        <v>13</v>
      </c>
      <c r="AE3000" s="4">
        <v>75</v>
      </c>
      <c r="AF3000" s="4">
        <v>0</v>
      </c>
      <c r="AG3000" s="4">
        <v>8</v>
      </c>
      <c r="AH3000" s="4">
        <v>13</v>
      </c>
      <c r="AI3000" s="4">
        <v>49</v>
      </c>
      <c r="AJ3000" s="4">
        <v>2</v>
      </c>
      <c r="AK3000" s="4">
        <v>15</v>
      </c>
      <c r="AL3000" s="4">
        <v>8</v>
      </c>
      <c r="AM3000" s="4">
        <v>23</v>
      </c>
      <c r="AN3000" s="4">
        <v>0</v>
      </c>
      <c r="AO3000" s="4">
        <v>0</v>
      </c>
      <c r="AP3000" s="4">
        <v>2</v>
      </c>
      <c r="AQ3000" s="4">
        <v>32</v>
      </c>
      <c r="AR3000" s="3" t="s">
        <v>64</v>
      </c>
      <c r="AS3000" s="3" t="s">
        <v>64</v>
      </c>
      <c r="AT3000" s="3" t="s">
        <v>64</v>
      </c>
      <c r="AV3000" s="6" t="str">
        <f>HYPERLINK("http://mcgill.on.worldcat.org/oclc/1050140720","Catalog Record")</f>
        <v>Catalog Record</v>
      </c>
      <c r="AW3000" s="6" t="str">
        <f>HYPERLINK("http://www.worldcat.org/oclc/1050140720","WorldCat Record")</f>
        <v>WorldCat Record</v>
      </c>
      <c r="AX3000" s="3" t="s">
        <v>30054</v>
      </c>
      <c r="AY3000" s="3" t="s">
        <v>30055</v>
      </c>
      <c r="AZ3000" s="3" t="s">
        <v>30056</v>
      </c>
      <c r="BA3000" s="3" t="s">
        <v>30056</v>
      </c>
      <c r="BB3000" s="3" t="s">
        <v>30057</v>
      </c>
      <c r="BC3000" s="3" t="s">
        <v>77</v>
      </c>
      <c r="BD3000" s="3" t="s">
        <v>78</v>
      </c>
      <c r="BE3000" s="3" t="s">
        <v>30058</v>
      </c>
      <c r="BF3000" s="3" t="s">
        <v>30057</v>
      </c>
      <c r="BG3000" s="3" t="s">
        <v>30059</v>
      </c>
      <c r="BH3000">
        <f t="shared" si="73"/>
        <v>0</v>
      </c>
    </row>
    <row r="3001" spans="1:60" ht="58" x14ac:dyDescent="0.35">
      <c r="A3001" s="2" t="s">
        <v>59</v>
      </c>
      <c r="B3001" s="2" t="s">
        <v>60</v>
      </c>
      <c r="C3001" s="2" t="s">
        <v>30060</v>
      </c>
      <c r="D3001" s="2" t="s">
        <v>30061</v>
      </c>
      <c r="E3001" s="2" t="s">
        <v>30062</v>
      </c>
      <c r="G3001" s="3" t="s">
        <v>64</v>
      </c>
      <c r="I3001" s="3" t="s">
        <v>64</v>
      </c>
      <c r="J3001" s="3" t="s">
        <v>64</v>
      </c>
      <c r="K3001" s="3" t="s">
        <v>65</v>
      </c>
      <c r="L3001" s="2" t="s">
        <v>30063</v>
      </c>
      <c r="M3001" s="2" t="s">
        <v>18859</v>
      </c>
      <c r="N3001" s="3" t="s">
        <v>291</v>
      </c>
      <c r="P3001" s="3" t="s">
        <v>102</v>
      </c>
      <c r="Q3001" s="2" t="s">
        <v>25130</v>
      </c>
      <c r="R3001" s="3" t="s">
        <v>70</v>
      </c>
      <c r="S3001" s="4">
        <v>8</v>
      </c>
      <c r="T3001" s="4">
        <v>8</v>
      </c>
      <c r="U3001" s="5" t="s">
        <v>1846</v>
      </c>
      <c r="V3001" s="5" t="s">
        <v>1846</v>
      </c>
      <c r="W3001" s="5" t="s">
        <v>72</v>
      </c>
      <c r="X3001" s="5" t="s">
        <v>72</v>
      </c>
      <c r="Y3001" s="4">
        <v>510</v>
      </c>
      <c r="Z3001" s="4">
        <v>24</v>
      </c>
      <c r="AA3001" s="4">
        <v>113</v>
      </c>
      <c r="AB3001" s="4">
        <v>2</v>
      </c>
      <c r="AC3001" s="4">
        <v>18</v>
      </c>
      <c r="AD3001" s="4">
        <v>54</v>
      </c>
      <c r="AE3001" s="4">
        <v>115</v>
      </c>
      <c r="AF3001" s="4">
        <v>0</v>
      </c>
      <c r="AG3001" s="4">
        <v>8</v>
      </c>
      <c r="AH3001" s="4">
        <v>51</v>
      </c>
      <c r="AI3001" s="4">
        <v>78</v>
      </c>
      <c r="AJ3001" s="4">
        <v>6</v>
      </c>
      <c r="AK3001" s="4">
        <v>21</v>
      </c>
      <c r="AL3001" s="4">
        <v>24</v>
      </c>
      <c r="AM3001" s="4">
        <v>38</v>
      </c>
      <c r="AN3001" s="4">
        <v>0</v>
      </c>
      <c r="AO3001" s="4">
        <v>0</v>
      </c>
      <c r="AP3001" s="4">
        <v>7</v>
      </c>
      <c r="AQ3001" s="4">
        <v>43</v>
      </c>
      <c r="AR3001" s="3" t="s">
        <v>64</v>
      </c>
      <c r="AS3001" s="3" t="s">
        <v>64</v>
      </c>
      <c r="AT3001" s="3" t="s">
        <v>64</v>
      </c>
      <c r="AV3001" s="6" t="str">
        <f>HYPERLINK("http://mcgill.on.worldcat.org/oclc/76481369","Catalog Record")</f>
        <v>Catalog Record</v>
      </c>
      <c r="AW3001" s="6" t="str">
        <f>HYPERLINK("http://www.worldcat.org/oclc/76481369","WorldCat Record")</f>
        <v>WorldCat Record</v>
      </c>
      <c r="AX3001" s="3" t="s">
        <v>30064</v>
      </c>
      <c r="AY3001" s="3" t="s">
        <v>30065</v>
      </c>
      <c r="AZ3001" s="3" t="s">
        <v>30066</v>
      </c>
      <c r="BA3001" s="3" t="s">
        <v>30066</v>
      </c>
      <c r="BB3001" s="3" t="s">
        <v>30067</v>
      </c>
      <c r="BC3001" s="3" t="s">
        <v>77</v>
      </c>
      <c r="BD3001" s="3" t="s">
        <v>78</v>
      </c>
      <c r="BE3001" s="3" t="s">
        <v>30068</v>
      </c>
      <c r="BF3001" s="3" t="s">
        <v>30067</v>
      </c>
      <c r="BG3001" s="3" t="s">
        <v>30069</v>
      </c>
      <c r="BH3001">
        <f t="shared" si="73"/>
        <v>0</v>
      </c>
    </row>
    <row r="3002" spans="1:60" ht="58" x14ac:dyDescent="0.35">
      <c r="A3002" s="2" t="s">
        <v>59</v>
      </c>
      <c r="B3002" s="2" t="s">
        <v>60</v>
      </c>
      <c r="C3002" s="2" t="s">
        <v>30070</v>
      </c>
      <c r="D3002" s="2" t="s">
        <v>30071</v>
      </c>
      <c r="E3002" s="2" t="s">
        <v>30072</v>
      </c>
      <c r="G3002" s="3" t="s">
        <v>64</v>
      </c>
      <c r="I3002" s="3" t="s">
        <v>128</v>
      </c>
      <c r="J3002" s="3" t="s">
        <v>64</v>
      </c>
      <c r="K3002" s="3" t="s">
        <v>65</v>
      </c>
      <c r="L3002" s="2" t="s">
        <v>15445</v>
      </c>
      <c r="M3002" s="2" t="s">
        <v>14270</v>
      </c>
      <c r="N3002" s="3" t="s">
        <v>291</v>
      </c>
      <c r="P3002" s="3" t="s">
        <v>102</v>
      </c>
      <c r="R3002" s="3" t="s">
        <v>70</v>
      </c>
      <c r="S3002" s="4">
        <v>1</v>
      </c>
      <c r="T3002" s="4">
        <v>5</v>
      </c>
      <c r="U3002" s="5" t="s">
        <v>21151</v>
      </c>
      <c r="V3002" s="5" t="s">
        <v>16196</v>
      </c>
      <c r="W3002" s="5" t="s">
        <v>72</v>
      </c>
      <c r="X3002" s="5" t="s">
        <v>72</v>
      </c>
      <c r="Y3002" s="4">
        <v>122</v>
      </c>
      <c r="Z3002" s="4">
        <v>13</v>
      </c>
      <c r="AA3002" s="4">
        <v>16</v>
      </c>
      <c r="AB3002" s="4">
        <v>2</v>
      </c>
      <c r="AC3002" s="4">
        <v>5</v>
      </c>
      <c r="AD3002" s="4">
        <v>48</v>
      </c>
      <c r="AE3002" s="4">
        <v>49</v>
      </c>
      <c r="AF3002" s="4">
        <v>0</v>
      </c>
      <c r="AG3002" s="4">
        <v>1</v>
      </c>
      <c r="AH3002" s="4">
        <v>45</v>
      </c>
      <c r="AI3002" s="4">
        <v>45</v>
      </c>
      <c r="AJ3002" s="4">
        <v>7</v>
      </c>
      <c r="AK3002" s="4">
        <v>8</v>
      </c>
      <c r="AL3002" s="4">
        <v>27</v>
      </c>
      <c r="AM3002" s="4">
        <v>27</v>
      </c>
      <c r="AN3002" s="4">
        <v>0</v>
      </c>
      <c r="AO3002" s="4">
        <v>0</v>
      </c>
      <c r="AP3002" s="4">
        <v>6</v>
      </c>
      <c r="AQ3002" s="4">
        <v>6</v>
      </c>
      <c r="AR3002" s="3" t="s">
        <v>64</v>
      </c>
      <c r="AS3002" s="3" t="s">
        <v>64</v>
      </c>
      <c r="AT3002" s="3" t="s">
        <v>64</v>
      </c>
      <c r="AV3002" s="6" t="str">
        <f>HYPERLINK("http://mcgill.on.worldcat.org/oclc/76791974","Catalog Record")</f>
        <v>Catalog Record</v>
      </c>
      <c r="AW3002" s="6" t="str">
        <f>HYPERLINK("http://www.worldcat.org/oclc/76791974","WorldCat Record")</f>
        <v>WorldCat Record</v>
      </c>
      <c r="AX3002" s="3" t="s">
        <v>30073</v>
      </c>
      <c r="AY3002" s="3" t="s">
        <v>30074</v>
      </c>
      <c r="AZ3002" s="3" t="s">
        <v>30075</v>
      </c>
      <c r="BA3002" s="3" t="s">
        <v>30075</v>
      </c>
      <c r="BB3002" s="3" t="s">
        <v>30076</v>
      </c>
      <c r="BC3002" s="3" t="s">
        <v>77</v>
      </c>
      <c r="BD3002" s="3" t="s">
        <v>78</v>
      </c>
      <c r="BE3002" s="3" t="s">
        <v>30077</v>
      </c>
      <c r="BF3002" s="3" t="s">
        <v>30076</v>
      </c>
      <c r="BG3002" s="3" t="s">
        <v>30078</v>
      </c>
      <c r="BH3002">
        <f t="shared" si="73"/>
        <v>0</v>
      </c>
    </row>
    <row r="3003" spans="1:60" ht="58" x14ac:dyDescent="0.35">
      <c r="A3003" s="2" t="s">
        <v>59</v>
      </c>
      <c r="B3003" s="2" t="s">
        <v>60</v>
      </c>
      <c r="C3003" s="2" t="s">
        <v>30070</v>
      </c>
      <c r="D3003" s="2" t="s">
        <v>30071</v>
      </c>
      <c r="E3003" s="2" t="s">
        <v>30072</v>
      </c>
      <c r="G3003" s="3" t="s">
        <v>64</v>
      </c>
      <c r="I3003" s="3" t="s">
        <v>128</v>
      </c>
      <c r="J3003" s="3" t="s">
        <v>64</v>
      </c>
      <c r="K3003" s="3" t="s">
        <v>65</v>
      </c>
      <c r="L3003" s="2" t="s">
        <v>15445</v>
      </c>
      <c r="M3003" s="2" t="s">
        <v>14270</v>
      </c>
      <c r="N3003" s="3" t="s">
        <v>291</v>
      </c>
      <c r="P3003" s="3" t="s">
        <v>102</v>
      </c>
      <c r="R3003" s="3" t="s">
        <v>70</v>
      </c>
      <c r="S3003" s="4">
        <v>4</v>
      </c>
      <c r="T3003" s="4">
        <v>5</v>
      </c>
      <c r="U3003" s="5" t="s">
        <v>16196</v>
      </c>
      <c r="V3003" s="5" t="s">
        <v>16196</v>
      </c>
      <c r="W3003" s="5" t="s">
        <v>72</v>
      </c>
      <c r="X3003" s="5" t="s">
        <v>72</v>
      </c>
      <c r="Y3003" s="4">
        <v>122</v>
      </c>
      <c r="Z3003" s="4">
        <v>13</v>
      </c>
      <c r="AA3003" s="4">
        <v>16</v>
      </c>
      <c r="AB3003" s="4">
        <v>2</v>
      </c>
      <c r="AC3003" s="4">
        <v>5</v>
      </c>
      <c r="AD3003" s="4">
        <v>48</v>
      </c>
      <c r="AE3003" s="4">
        <v>49</v>
      </c>
      <c r="AF3003" s="4">
        <v>0</v>
      </c>
      <c r="AG3003" s="4">
        <v>1</v>
      </c>
      <c r="AH3003" s="4">
        <v>45</v>
      </c>
      <c r="AI3003" s="4">
        <v>45</v>
      </c>
      <c r="AJ3003" s="4">
        <v>7</v>
      </c>
      <c r="AK3003" s="4">
        <v>8</v>
      </c>
      <c r="AL3003" s="4">
        <v>27</v>
      </c>
      <c r="AM3003" s="4">
        <v>27</v>
      </c>
      <c r="AN3003" s="4">
        <v>0</v>
      </c>
      <c r="AO3003" s="4">
        <v>0</v>
      </c>
      <c r="AP3003" s="4">
        <v>6</v>
      </c>
      <c r="AQ3003" s="4">
        <v>6</v>
      </c>
      <c r="AR3003" s="3" t="s">
        <v>64</v>
      </c>
      <c r="AS3003" s="3" t="s">
        <v>64</v>
      </c>
      <c r="AT3003" s="3" t="s">
        <v>64</v>
      </c>
      <c r="AV3003" s="6" t="str">
        <f>HYPERLINK("http://mcgill.on.worldcat.org/oclc/76791974","Catalog Record")</f>
        <v>Catalog Record</v>
      </c>
      <c r="AW3003" s="6" t="str">
        <f>HYPERLINK("http://www.worldcat.org/oclc/76791974","WorldCat Record")</f>
        <v>WorldCat Record</v>
      </c>
      <c r="AX3003" s="3" t="s">
        <v>30073</v>
      </c>
      <c r="AY3003" s="3" t="s">
        <v>30074</v>
      </c>
      <c r="AZ3003" s="3" t="s">
        <v>30075</v>
      </c>
      <c r="BA3003" s="3" t="s">
        <v>30075</v>
      </c>
      <c r="BB3003" s="3" t="s">
        <v>30079</v>
      </c>
      <c r="BC3003" s="3" t="s">
        <v>77</v>
      </c>
      <c r="BD3003" s="3" t="s">
        <v>78</v>
      </c>
      <c r="BE3003" s="3" t="s">
        <v>30077</v>
      </c>
      <c r="BF3003" s="3" t="s">
        <v>30079</v>
      </c>
      <c r="BG3003" s="3" t="s">
        <v>30080</v>
      </c>
      <c r="BH3003">
        <f t="shared" si="73"/>
        <v>0</v>
      </c>
    </row>
    <row r="3004" spans="1:60" ht="58" x14ac:dyDescent="0.35">
      <c r="A3004" s="2" t="s">
        <v>59</v>
      </c>
      <c r="B3004" s="2" t="s">
        <v>60</v>
      </c>
      <c r="C3004" s="2" t="s">
        <v>30081</v>
      </c>
      <c r="D3004" s="2" t="s">
        <v>30082</v>
      </c>
      <c r="E3004" s="2" t="s">
        <v>30083</v>
      </c>
      <c r="G3004" s="3" t="s">
        <v>64</v>
      </c>
      <c r="I3004" s="3" t="s">
        <v>64</v>
      </c>
      <c r="J3004" s="3" t="s">
        <v>64</v>
      </c>
      <c r="K3004" s="3" t="s">
        <v>65</v>
      </c>
      <c r="M3004" s="2" t="s">
        <v>16093</v>
      </c>
      <c r="N3004" s="3" t="s">
        <v>511</v>
      </c>
      <c r="P3004" s="3" t="s">
        <v>102</v>
      </c>
      <c r="R3004" s="3" t="s">
        <v>70</v>
      </c>
      <c r="S3004" s="4">
        <v>3</v>
      </c>
      <c r="T3004" s="4">
        <v>3</v>
      </c>
      <c r="U3004" s="5" t="s">
        <v>21151</v>
      </c>
      <c r="V3004" s="5" t="s">
        <v>21151</v>
      </c>
      <c r="W3004" s="5" t="s">
        <v>72</v>
      </c>
      <c r="X3004" s="5" t="s">
        <v>72</v>
      </c>
      <c r="Y3004" s="4">
        <v>171</v>
      </c>
      <c r="Z3004" s="4">
        <v>16</v>
      </c>
      <c r="AA3004" s="4">
        <v>17</v>
      </c>
      <c r="AB3004" s="4">
        <v>1</v>
      </c>
      <c r="AC3004" s="4">
        <v>2</v>
      </c>
      <c r="AD3004" s="4">
        <v>22</v>
      </c>
      <c r="AE3004" s="4">
        <v>23</v>
      </c>
      <c r="AF3004" s="4">
        <v>0</v>
      </c>
      <c r="AG3004" s="4">
        <v>1</v>
      </c>
      <c r="AH3004" s="4">
        <v>21</v>
      </c>
      <c r="AI3004" s="4">
        <v>21</v>
      </c>
      <c r="AJ3004" s="4">
        <v>5</v>
      </c>
      <c r="AK3004" s="4">
        <v>6</v>
      </c>
      <c r="AL3004" s="4">
        <v>10</v>
      </c>
      <c r="AM3004" s="4">
        <v>10</v>
      </c>
      <c r="AN3004" s="4">
        <v>0</v>
      </c>
      <c r="AO3004" s="4">
        <v>0</v>
      </c>
      <c r="AP3004" s="4">
        <v>6</v>
      </c>
      <c r="AQ3004" s="4">
        <v>6</v>
      </c>
      <c r="AR3004" s="3" t="s">
        <v>64</v>
      </c>
      <c r="AS3004" s="3" t="s">
        <v>64</v>
      </c>
      <c r="AT3004" s="3" t="s">
        <v>64</v>
      </c>
      <c r="AV3004" s="6" t="str">
        <f>HYPERLINK("http://mcgill.on.worldcat.org/oclc/548555612","Catalog Record")</f>
        <v>Catalog Record</v>
      </c>
      <c r="AW3004" s="6" t="str">
        <f>HYPERLINK("http://www.worldcat.org/oclc/548555612","WorldCat Record")</f>
        <v>WorldCat Record</v>
      </c>
      <c r="AX3004" s="3" t="s">
        <v>30084</v>
      </c>
      <c r="AY3004" s="3" t="s">
        <v>30085</v>
      </c>
      <c r="AZ3004" s="3" t="s">
        <v>30086</v>
      </c>
      <c r="BA3004" s="3" t="s">
        <v>30086</v>
      </c>
      <c r="BB3004" s="3" t="s">
        <v>30087</v>
      </c>
      <c r="BC3004" s="3" t="s">
        <v>77</v>
      </c>
      <c r="BD3004" s="3" t="s">
        <v>78</v>
      </c>
      <c r="BE3004" s="3" t="s">
        <v>30088</v>
      </c>
      <c r="BF3004" s="3" t="s">
        <v>30087</v>
      </c>
      <c r="BG3004" s="3" t="s">
        <v>30089</v>
      </c>
      <c r="BH3004">
        <f t="shared" si="73"/>
        <v>0</v>
      </c>
    </row>
    <row r="3005" spans="1:60" ht="58" x14ac:dyDescent="0.35">
      <c r="A3005" s="2" t="s">
        <v>59</v>
      </c>
      <c r="B3005" s="2" t="s">
        <v>60</v>
      </c>
      <c r="C3005" s="2" t="s">
        <v>30090</v>
      </c>
      <c r="D3005" s="2" t="s">
        <v>30091</v>
      </c>
      <c r="E3005" s="2" t="s">
        <v>30092</v>
      </c>
      <c r="G3005" s="3" t="s">
        <v>64</v>
      </c>
      <c r="I3005" s="3" t="s">
        <v>64</v>
      </c>
      <c r="J3005" s="3" t="s">
        <v>64</v>
      </c>
      <c r="K3005" s="3" t="s">
        <v>65</v>
      </c>
      <c r="L3005" s="2" t="s">
        <v>30093</v>
      </c>
      <c r="M3005" s="2" t="s">
        <v>14840</v>
      </c>
      <c r="N3005" s="3" t="s">
        <v>511</v>
      </c>
      <c r="P3005" s="3" t="s">
        <v>102</v>
      </c>
      <c r="R3005" s="3" t="s">
        <v>70</v>
      </c>
      <c r="S3005" s="4">
        <v>5</v>
      </c>
      <c r="T3005" s="4">
        <v>5</v>
      </c>
      <c r="U3005" s="5" t="s">
        <v>17601</v>
      </c>
      <c r="V3005" s="5" t="s">
        <v>17601</v>
      </c>
      <c r="W3005" s="5" t="s">
        <v>72</v>
      </c>
      <c r="X3005" s="5" t="s">
        <v>72</v>
      </c>
      <c r="Y3005" s="4">
        <v>315</v>
      </c>
      <c r="Z3005" s="4">
        <v>17</v>
      </c>
      <c r="AA3005" s="4">
        <v>18</v>
      </c>
      <c r="AB3005" s="4">
        <v>1</v>
      </c>
      <c r="AC3005" s="4">
        <v>2</v>
      </c>
      <c r="AD3005" s="4">
        <v>30</v>
      </c>
      <c r="AE3005" s="4">
        <v>31</v>
      </c>
      <c r="AF3005" s="4">
        <v>0</v>
      </c>
      <c r="AG3005" s="4">
        <v>1</v>
      </c>
      <c r="AH3005" s="4">
        <v>29</v>
      </c>
      <c r="AI3005" s="4">
        <v>29</v>
      </c>
      <c r="AJ3005" s="4">
        <v>6</v>
      </c>
      <c r="AK3005" s="4">
        <v>7</v>
      </c>
      <c r="AL3005" s="4">
        <v>15</v>
      </c>
      <c r="AM3005" s="4">
        <v>15</v>
      </c>
      <c r="AN3005" s="4">
        <v>0</v>
      </c>
      <c r="AO3005" s="4">
        <v>0</v>
      </c>
      <c r="AP3005" s="4">
        <v>6</v>
      </c>
      <c r="AQ3005" s="4">
        <v>6</v>
      </c>
      <c r="AR3005" s="3" t="s">
        <v>64</v>
      </c>
      <c r="AS3005" s="3" t="s">
        <v>64</v>
      </c>
      <c r="AT3005" s="3" t="s">
        <v>64</v>
      </c>
      <c r="AV3005" s="6" t="str">
        <f>HYPERLINK("http://mcgill.on.worldcat.org/oclc/456977394","Catalog Record")</f>
        <v>Catalog Record</v>
      </c>
      <c r="AW3005" s="6" t="str">
        <f>HYPERLINK("http://www.worldcat.org/oclc/456977394","WorldCat Record")</f>
        <v>WorldCat Record</v>
      </c>
      <c r="AX3005" s="3" t="s">
        <v>30094</v>
      </c>
      <c r="AY3005" s="3" t="s">
        <v>30095</v>
      </c>
      <c r="AZ3005" s="3" t="s">
        <v>30096</v>
      </c>
      <c r="BA3005" s="3" t="s">
        <v>30096</v>
      </c>
      <c r="BB3005" s="3" t="s">
        <v>30097</v>
      </c>
      <c r="BC3005" s="3" t="s">
        <v>77</v>
      </c>
      <c r="BD3005" s="3" t="s">
        <v>78</v>
      </c>
      <c r="BE3005" s="3" t="s">
        <v>30098</v>
      </c>
      <c r="BF3005" s="3" t="s">
        <v>30097</v>
      </c>
      <c r="BG3005" s="3" t="s">
        <v>30099</v>
      </c>
      <c r="BH3005">
        <f t="shared" si="73"/>
        <v>0</v>
      </c>
    </row>
    <row r="3006" spans="1:60" ht="58" x14ac:dyDescent="0.35">
      <c r="A3006" s="2" t="s">
        <v>59</v>
      </c>
      <c r="B3006" s="2" t="s">
        <v>60</v>
      </c>
      <c r="C3006" s="2" t="s">
        <v>30100</v>
      </c>
      <c r="D3006" s="2" t="s">
        <v>30101</v>
      </c>
      <c r="E3006" s="2" t="s">
        <v>30102</v>
      </c>
      <c r="G3006" s="3" t="s">
        <v>64</v>
      </c>
      <c r="I3006" s="3" t="s">
        <v>64</v>
      </c>
      <c r="J3006" s="3" t="s">
        <v>64</v>
      </c>
      <c r="K3006" s="3" t="s">
        <v>65</v>
      </c>
      <c r="L3006" s="2" t="s">
        <v>30103</v>
      </c>
      <c r="M3006" s="2" t="s">
        <v>30104</v>
      </c>
      <c r="N3006" s="3" t="s">
        <v>144</v>
      </c>
      <c r="P3006" s="3" t="s">
        <v>102</v>
      </c>
      <c r="Q3006" s="2" t="s">
        <v>25130</v>
      </c>
      <c r="R3006" s="3" t="s">
        <v>70</v>
      </c>
      <c r="S3006" s="4">
        <v>5</v>
      </c>
      <c r="T3006" s="4">
        <v>5</v>
      </c>
      <c r="U3006" s="5" t="s">
        <v>21151</v>
      </c>
      <c r="V3006" s="5" t="s">
        <v>21151</v>
      </c>
      <c r="W3006" s="5" t="s">
        <v>72</v>
      </c>
      <c r="X3006" s="5" t="s">
        <v>72</v>
      </c>
      <c r="Y3006" s="4">
        <v>348</v>
      </c>
      <c r="Z3006" s="4">
        <v>14</v>
      </c>
      <c r="AA3006" s="4">
        <v>97</v>
      </c>
      <c r="AB3006" s="4">
        <v>1</v>
      </c>
      <c r="AC3006" s="4">
        <v>17</v>
      </c>
      <c r="AD3006" s="4">
        <v>54</v>
      </c>
      <c r="AE3006" s="4">
        <v>106</v>
      </c>
      <c r="AF3006" s="4">
        <v>0</v>
      </c>
      <c r="AG3006" s="4">
        <v>8</v>
      </c>
      <c r="AH3006" s="4">
        <v>54</v>
      </c>
      <c r="AI3006" s="4">
        <v>75</v>
      </c>
      <c r="AJ3006" s="4">
        <v>5</v>
      </c>
      <c r="AK3006" s="4">
        <v>18</v>
      </c>
      <c r="AL3006" s="4">
        <v>25</v>
      </c>
      <c r="AM3006" s="4">
        <v>35</v>
      </c>
      <c r="AN3006" s="4">
        <v>0</v>
      </c>
      <c r="AO3006" s="4">
        <v>0</v>
      </c>
      <c r="AP3006" s="4">
        <v>5</v>
      </c>
      <c r="AQ3006" s="4">
        <v>39</v>
      </c>
      <c r="AR3006" s="3" t="s">
        <v>64</v>
      </c>
      <c r="AS3006" s="3" t="s">
        <v>64</v>
      </c>
      <c r="AT3006" s="3" t="s">
        <v>128</v>
      </c>
      <c r="AU3006" s="6" t="str">
        <f>HYPERLINK("http://catalog.hathitrust.org/Record/005850587","HathiTrust Record")</f>
        <v>HathiTrust Record</v>
      </c>
      <c r="AV3006" s="6" t="str">
        <f>HYPERLINK("http://mcgill.on.worldcat.org/oclc/180880668","Catalog Record")</f>
        <v>Catalog Record</v>
      </c>
      <c r="AW3006" s="6" t="str">
        <f>HYPERLINK("http://www.worldcat.org/oclc/180880668","WorldCat Record")</f>
        <v>WorldCat Record</v>
      </c>
      <c r="AX3006" s="3" t="s">
        <v>30105</v>
      </c>
      <c r="AY3006" s="3" t="s">
        <v>30106</v>
      </c>
      <c r="AZ3006" s="3" t="s">
        <v>30107</v>
      </c>
      <c r="BA3006" s="3" t="s">
        <v>30107</v>
      </c>
      <c r="BB3006" s="3" t="s">
        <v>30108</v>
      </c>
      <c r="BC3006" s="3" t="s">
        <v>77</v>
      </c>
      <c r="BD3006" s="3" t="s">
        <v>78</v>
      </c>
      <c r="BE3006" s="3" t="s">
        <v>30109</v>
      </c>
      <c r="BF3006" s="3" t="s">
        <v>30108</v>
      </c>
      <c r="BG3006" s="3" t="s">
        <v>30110</v>
      </c>
      <c r="BH3006">
        <f t="shared" si="73"/>
        <v>0</v>
      </c>
    </row>
    <row r="3007" spans="1:60" ht="58" x14ac:dyDescent="0.35">
      <c r="A3007" s="2" t="s">
        <v>59</v>
      </c>
      <c r="B3007" s="2" t="s">
        <v>60</v>
      </c>
      <c r="C3007" s="2" t="s">
        <v>30111</v>
      </c>
      <c r="D3007" s="2" t="s">
        <v>30112</v>
      </c>
      <c r="E3007" s="2" t="s">
        <v>30113</v>
      </c>
      <c r="G3007" s="3" t="s">
        <v>64</v>
      </c>
      <c r="I3007" s="3" t="s">
        <v>64</v>
      </c>
      <c r="J3007" s="3" t="s">
        <v>64</v>
      </c>
      <c r="K3007" s="3" t="s">
        <v>65</v>
      </c>
      <c r="M3007" s="2" t="s">
        <v>14235</v>
      </c>
      <c r="N3007" s="3" t="s">
        <v>511</v>
      </c>
      <c r="P3007" s="3" t="s">
        <v>102</v>
      </c>
      <c r="Q3007" s="2" t="s">
        <v>25130</v>
      </c>
      <c r="R3007" s="3" t="s">
        <v>70</v>
      </c>
      <c r="S3007" s="4">
        <v>4</v>
      </c>
      <c r="T3007" s="4">
        <v>4</v>
      </c>
      <c r="U3007" s="5" t="s">
        <v>30114</v>
      </c>
      <c r="V3007" s="5" t="s">
        <v>30114</v>
      </c>
      <c r="W3007" s="5" t="s">
        <v>72</v>
      </c>
      <c r="X3007" s="5" t="s">
        <v>72</v>
      </c>
      <c r="Y3007" s="4">
        <v>506</v>
      </c>
      <c r="Z3007" s="4">
        <v>22</v>
      </c>
      <c r="AA3007" s="4">
        <v>96</v>
      </c>
      <c r="AB3007" s="4">
        <v>1</v>
      </c>
      <c r="AC3007" s="4">
        <v>14</v>
      </c>
      <c r="AD3007" s="4">
        <v>57</v>
      </c>
      <c r="AE3007" s="4">
        <v>118</v>
      </c>
      <c r="AF3007" s="4">
        <v>0</v>
      </c>
      <c r="AG3007" s="4">
        <v>8</v>
      </c>
      <c r="AH3007" s="4">
        <v>56</v>
      </c>
      <c r="AI3007" s="4">
        <v>85</v>
      </c>
      <c r="AJ3007" s="4">
        <v>7</v>
      </c>
      <c r="AK3007" s="4">
        <v>20</v>
      </c>
      <c r="AL3007" s="4">
        <v>25</v>
      </c>
      <c r="AM3007" s="4">
        <v>42</v>
      </c>
      <c r="AN3007" s="4">
        <v>0</v>
      </c>
      <c r="AO3007" s="4">
        <v>0</v>
      </c>
      <c r="AP3007" s="4">
        <v>7</v>
      </c>
      <c r="AQ3007" s="4">
        <v>40</v>
      </c>
      <c r="AR3007" s="3" t="s">
        <v>64</v>
      </c>
      <c r="AS3007" s="3" t="s">
        <v>64</v>
      </c>
      <c r="AT3007" s="3" t="s">
        <v>64</v>
      </c>
      <c r="AV3007" s="6" t="str">
        <f>HYPERLINK("http://mcgill.on.worldcat.org/oclc/461324405","Catalog Record")</f>
        <v>Catalog Record</v>
      </c>
      <c r="AW3007" s="6" t="str">
        <f>HYPERLINK("http://www.worldcat.org/oclc/461324405","WorldCat Record")</f>
        <v>WorldCat Record</v>
      </c>
      <c r="AX3007" s="3" t="s">
        <v>30115</v>
      </c>
      <c r="AY3007" s="3" t="s">
        <v>30116</v>
      </c>
      <c r="AZ3007" s="3" t="s">
        <v>30117</v>
      </c>
      <c r="BA3007" s="3" t="s">
        <v>30117</v>
      </c>
      <c r="BB3007" s="3" t="s">
        <v>30118</v>
      </c>
      <c r="BC3007" s="3" t="s">
        <v>77</v>
      </c>
      <c r="BD3007" s="3" t="s">
        <v>78</v>
      </c>
      <c r="BE3007" s="3" t="s">
        <v>30119</v>
      </c>
      <c r="BF3007" s="3" t="s">
        <v>30118</v>
      </c>
      <c r="BG3007" s="3" t="s">
        <v>30120</v>
      </c>
      <c r="BH3007">
        <f t="shared" si="73"/>
        <v>0</v>
      </c>
    </row>
    <row r="3008" spans="1:60" ht="58" x14ac:dyDescent="0.35">
      <c r="A3008" s="2" t="s">
        <v>59</v>
      </c>
      <c r="B3008" s="2" t="s">
        <v>60</v>
      </c>
      <c r="C3008" s="2" t="s">
        <v>30121</v>
      </c>
      <c r="D3008" s="2" t="s">
        <v>30122</v>
      </c>
      <c r="E3008" s="2" t="s">
        <v>30123</v>
      </c>
      <c r="G3008" s="3" t="s">
        <v>64</v>
      </c>
      <c r="I3008" s="3" t="s">
        <v>128</v>
      </c>
      <c r="J3008" s="3" t="s">
        <v>128</v>
      </c>
      <c r="K3008" s="3" t="s">
        <v>65</v>
      </c>
      <c r="L3008" s="2" t="s">
        <v>30019</v>
      </c>
      <c r="M3008" s="2" t="s">
        <v>28008</v>
      </c>
      <c r="N3008" s="3" t="s">
        <v>434</v>
      </c>
      <c r="O3008" s="2" t="s">
        <v>2994</v>
      </c>
      <c r="P3008" s="3" t="s">
        <v>102</v>
      </c>
      <c r="Q3008" s="2" t="s">
        <v>30124</v>
      </c>
      <c r="R3008" s="3" t="s">
        <v>70</v>
      </c>
      <c r="S3008" s="4">
        <v>22</v>
      </c>
      <c r="T3008" s="4">
        <v>40</v>
      </c>
      <c r="U3008" s="5" t="s">
        <v>16196</v>
      </c>
      <c r="V3008" s="5" t="s">
        <v>16196</v>
      </c>
      <c r="W3008" s="5" t="s">
        <v>72</v>
      </c>
      <c r="X3008" s="5" t="s">
        <v>72</v>
      </c>
      <c r="Y3008" s="4">
        <v>631</v>
      </c>
      <c r="Z3008" s="4">
        <v>33</v>
      </c>
      <c r="AA3008" s="4">
        <v>132</v>
      </c>
      <c r="AB3008" s="4">
        <v>3</v>
      </c>
      <c r="AC3008" s="4">
        <v>20</v>
      </c>
      <c r="AD3008" s="4">
        <v>50</v>
      </c>
      <c r="AE3008" s="4">
        <v>129</v>
      </c>
      <c r="AF3008" s="4">
        <v>0</v>
      </c>
      <c r="AG3008" s="4">
        <v>8</v>
      </c>
      <c r="AH3008" s="4">
        <v>48</v>
      </c>
      <c r="AI3008" s="4">
        <v>92</v>
      </c>
      <c r="AJ3008" s="4">
        <v>6</v>
      </c>
      <c r="AK3008" s="4">
        <v>20</v>
      </c>
      <c r="AL3008" s="4">
        <v>22</v>
      </c>
      <c r="AM3008" s="4">
        <v>46</v>
      </c>
      <c r="AN3008" s="4">
        <v>0</v>
      </c>
      <c r="AO3008" s="4">
        <v>0</v>
      </c>
      <c r="AP3008" s="4">
        <v>7</v>
      </c>
      <c r="AQ3008" s="4">
        <v>42</v>
      </c>
      <c r="AR3008" s="3" t="s">
        <v>64</v>
      </c>
      <c r="AS3008" s="3" t="s">
        <v>64</v>
      </c>
      <c r="AT3008" s="3" t="s">
        <v>64</v>
      </c>
      <c r="AV3008" s="6" t="str">
        <f>HYPERLINK("http://mcgill.on.worldcat.org/oclc/57243185","Catalog Record")</f>
        <v>Catalog Record</v>
      </c>
      <c r="AW3008" s="6" t="str">
        <f>HYPERLINK("http://www.worldcat.org/oclc/57243185","WorldCat Record")</f>
        <v>WorldCat Record</v>
      </c>
      <c r="AX3008" s="3" t="s">
        <v>30125</v>
      </c>
      <c r="AY3008" s="3" t="s">
        <v>30126</v>
      </c>
      <c r="AZ3008" s="3" t="s">
        <v>30127</v>
      </c>
      <c r="BA3008" s="3" t="s">
        <v>30127</v>
      </c>
      <c r="BB3008" s="3" t="s">
        <v>30128</v>
      </c>
      <c r="BC3008" s="3" t="s">
        <v>77</v>
      </c>
      <c r="BD3008" s="3" t="s">
        <v>78</v>
      </c>
      <c r="BE3008" s="3" t="s">
        <v>30129</v>
      </c>
      <c r="BF3008" s="3" t="s">
        <v>30128</v>
      </c>
      <c r="BG3008" s="3" t="s">
        <v>30130</v>
      </c>
      <c r="BH3008">
        <f t="shared" si="73"/>
        <v>0</v>
      </c>
    </row>
    <row r="3009" spans="1:60" ht="58" x14ac:dyDescent="0.35">
      <c r="A3009" s="2" t="s">
        <v>59</v>
      </c>
      <c r="B3009" s="2" t="s">
        <v>60</v>
      </c>
      <c r="C3009" s="2" t="s">
        <v>30121</v>
      </c>
      <c r="D3009" s="2" t="s">
        <v>30122</v>
      </c>
      <c r="E3009" s="2" t="s">
        <v>30123</v>
      </c>
      <c r="G3009" s="3" t="s">
        <v>64</v>
      </c>
      <c r="I3009" s="3" t="s">
        <v>128</v>
      </c>
      <c r="J3009" s="3" t="s">
        <v>128</v>
      </c>
      <c r="K3009" s="3" t="s">
        <v>65</v>
      </c>
      <c r="L3009" s="2" t="s">
        <v>30019</v>
      </c>
      <c r="M3009" s="2" t="s">
        <v>28008</v>
      </c>
      <c r="N3009" s="3" t="s">
        <v>434</v>
      </c>
      <c r="O3009" s="2" t="s">
        <v>2994</v>
      </c>
      <c r="P3009" s="3" t="s">
        <v>102</v>
      </c>
      <c r="Q3009" s="2" t="s">
        <v>30124</v>
      </c>
      <c r="R3009" s="3" t="s">
        <v>70</v>
      </c>
      <c r="S3009" s="4">
        <v>6</v>
      </c>
      <c r="T3009" s="4">
        <v>40</v>
      </c>
      <c r="U3009" s="5" t="s">
        <v>30131</v>
      </c>
      <c r="V3009" s="5" t="s">
        <v>16196</v>
      </c>
      <c r="W3009" s="5" t="s">
        <v>72</v>
      </c>
      <c r="X3009" s="5" t="s">
        <v>72</v>
      </c>
      <c r="Y3009" s="4">
        <v>631</v>
      </c>
      <c r="Z3009" s="4">
        <v>33</v>
      </c>
      <c r="AA3009" s="4">
        <v>132</v>
      </c>
      <c r="AB3009" s="4">
        <v>3</v>
      </c>
      <c r="AC3009" s="4">
        <v>20</v>
      </c>
      <c r="AD3009" s="4">
        <v>50</v>
      </c>
      <c r="AE3009" s="4">
        <v>129</v>
      </c>
      <c r="AF3009" s="4">
        <v>0</v>
      </c>
      <c r="AG3009" s="4">
        <v>8</v>
      </c>
      <c r="AH3009" s="4">
        <v>48</v>
      </c>
      <c r="AI3009" s="4">
        <v>92</v>
      </c>
      <c r="AJ3009" s="4">
        <v>6</v>
      </c>
      <c r="AK3009" s="4">
        <v>20</v>
      </c>
      <c r="AL3009" s="4">
        <v>22</v>
      </c>
      <c r="AM3009" s="4">
        <v>46</v>
      </c>
      <c r="AN3009" s="4">
        <v>0</v>
      </c>
      <c r="AO3009" s="4">
        <v>0</v>
      </c>
      <c r="AP3009" s="4">
        <v>7</v>
      </c>
      <c r="AQ3009" s="4">
        <v>42</v>
      </c>
      <c r="AR3009" s="3" t="s">
        <v>64</v>
      </c>
      <c r="AS3009" s="3" t="s">
        <v>64</v>
      </c>
      <c r="AT3009" s="3" t="s">
        <v>64</v>
      </c>
      <c r="AV3009" s="6" t="str">
        <f>HYPERLINK("http://mcgill.on.worldcat.org/oclc/57243185","Catalog Record")</f>
        <v>Catalog Record</v>
      </c>
      <c r="AW3009" s="6" t="str">
        <f>HYPERLINK("http://www.worldcat.org/oclc/57243185","WorldCat Record")</f>
        <v>WorldCat Record</v>
      </c>
      <c r="AX3009" s="3" t="s">
        <v>30125</v>
      </c>
      <c r="AY3009" s="3" t="s">
        <v>30126</v>
      </c>
      <c r="AZ3009" s="3" t="s">
        <v>30127</v>
      </c>
      <c r="BA3009" s="3" t="s">
        <v>30127</v>
      </c>
      <c r="BB3009" s="3" t="s">
        <v>30132</v>
      </c>
      <c r="BC3009" s="3" t="s">
        <v>77</v>
      </c>
      <c r="BD3009" s="3" t="s">
        <v>78</v>
      </c>
      <c r="BE3009" s="3" t="s">
        <v>30129</v>
      </c>
      <c r="BF3009" s="3" t="s">
        <v>30132</v>
      </c>
      <c r="BG3009" s="3" t="s">
        <v>30133</v>
      </c>
      <c r="BH3009">
        <f t="shared" si="73"/>
        <v>0</v>
      </c>
    </row>
    <row r="3010" spans="1:60" ht="58" x14ac:dyDescent="0.35">
      <c r="A3010" s="2" t="s">
        <v>59</v>
      </c>
      <c r="B3010" s="2" t="s">
        <v>60</v>
      </c>
      <c r="C3010" s="2" t="s">
        <v>30121</v>
      </c>
      <c r="D3010" s="2" t="s">
        <v>30122</v>
      </c>
      <c r="E3010" s="2" t="s">
        <v>30123</v>
      </c>
      <c r="G3010" s="3" t="s">
        <v>64</v>
      </c>
      <c r="I3010" s="3" t="s">
        <v>128</v>
      </c>
      <c r="J3010" s="3" t="s">
        <v>128</v>
      </c>
      <c r="K3010" s="3" t="s">
        <v>65</v>
      </c>
      <c r="L3010" s="2" t="s">
        <v>30019</v>
      </c>
      <c r="M3010" s="2" t="s">
        <v>28008</v>
      </c>
      <c r="N3010" s="3" t="s">
        <v>434</v>
      </c>
      <c r="O3010" s="2" t="s">
        <v>2994</v>
      </c>
      <c r="P3010" s="3" t="s">
        <v>102</v>
      </c>
      <c r="Q3010" s="2" t="s">
        <v>30124</v>
      </c>
      <c r="R3010" s="3" t="s">
        <v>70</v>
      </c>
      <c r="S3010" s="4">
        <v>12</v>
      </c>
      <c r="T3010" s="4">
        <v>40</v>
      </c>
      <c r="U3010" s="5" t="s">
        <v>317</v>
      </c>
      <c r="V3010" s="5" t="s">
        <v>16196</v>
      </c>
      <c r="W3010" s="5" t="s">
        <v>72</v>
      </c>
      <c r="X3010" s="5" t="s">
        <v>72</v>
      </c>
      <c r="Y3010" s="4">
        <v>631</v>
      </c>
      <c r="Z3010" s="4">
        <v>33</v>
      </c>
      <c r="AA3010" s="4">
        <v>132</v>
      </c>
      <c r="AB3010" s="4">
        <v>3</v>
      </c>
      <c r="AC3010" s="4">
        <v>20</v>
      </c>
      <c r="AD3010" s="4">
        <v>50</v>
      </c>
      <c r="AE3010" s="4">
        <v>129</v>
      </c>
      <c r="AF3010" s="4">
        <v>0</v>
      </c>
      <c r="AG3010" s="4">
        <v>8</v>
      </c>
      <c r="AH3010" s="4">
        <v>48</v>
      </c>
      <c r="AI3010" s="4">
        <v>92</v>
      </c>
      <c r="AJ3010" s="4">
        <v>6</v>
      </c>
      <c r="AK3010" s="4">
        <v>20</v>
      </c>
      <c r="AL3010" s="4">
        <v>22</v>
      </c>
      <c r="AM3010" s="4">
        <v>46</v>
      </c>
      <c r="AN3010" s="4">
        <v>0</v>
      </c>
      <c r="AO3010" s="4">
        <v>0</v>
      </c>
      <c r="AP3010" s="4">
        <v>7</v>
      </c>
      <c r="AQ3010" s="4">
        <v>42</v>
      </c>
      <c r="AR3010" s="3" t="s">
        <v>64</v>
      </c>
      <c r="AS3010" s="3" t="s">
        <v>64</v>
      </c>
      <c r="AT3010" s="3" t="s">
        <v>64</v>
      </c>
      <c r="AV3010" s="6" t="str">
        <f>HYPERLINK("http://mcgill.on.worldcat.org/oclc/57243185","Catalog Record")</f>
        <v>Catalog Record</v>
      </c>
      <c r="AW3010" s="6" t="str">
        <f>HYPERLINK("http://www.worldcat.org/oclc/57243185","WorldCat Record")</f>
        <v>WorldCat Record</v>
      </c>
      <c r="AX3010" s="3" t="s">
        <v>30125</v>
      </c>
      <c r="AY3010" s="3" t="s">
        <v>30126</v>
      </c>
      <c r="AZ3010" s="3" t="s">
        <v>30127</v>
      </c>
      <c r="BA3010" s="3" t="s">
        <v>30127</v>
      </c>
      <c r="BB3010" s="3" t="s">
        <v>30134</v>
      </c>
      <c r="BC3010" s="3" t="s">
        <v>77</v>
      </c>
      <c r="BD3010" s="3" t="s">
        <v>78</v>
      </c>
      <c r="BE3010" s="3" t="s">
        <v>30129</v>
      </c>
      <c r="BF3010" s="3" t="s">
        <v>30134</v>
      </c>
      <c r="BG3010" s="3" t="s">
        <v>30135</v>
      </c>
      <c r="BH3010">
        <f t="shared" ref="BH3010:BH3073" si="74">IF(COUNTIF($BF$1:$BF$5431,BF3010)=1,0,1)</f>
        <v>0</v>
      </c>
    </row>
    <row r="3011" spans="1:60" ht="58" x14ac:dyDescent="0.35">
      <c r="A3011" s="2" t="s">
        <v>59</v>
      </c>
      <c r="B3011" s="2" t="s">
        <v>60</v>
      </c>
      <c r="C3011" s="2" t="s">
        <v>30136</v>
      </c>
      <c r="D3011" s="2" t="s">
        <v>30137</v>
      </c>
      <c r="E3011" s="2" t="s">
        <v>30138</v>
      </c>
      <c r="G3011" s="3" t="s">
        <v>64</v>
      </c>
      <c r="I3011" s="3" t="s">
        <v>64</v>
      </c>
      <c r="J3011" s="3" t="s">
        <v>64</v>
      </c>
      <c r="K3011" s="3" t="s">
        <v>65</v>
      </c>
      <c r="L3011" s="2" t="s">
        <v>30139</v>
      </c>
      <c r="M3011" s="2" t="s">
        <v>30140</v>
      </c>
      <c r="N3011" s="3" t="s">
        <v>291</v>
      </c>
      <c r="P3011" s="3" t="s">
        <v>102</v>
      </c>
      <c r="Q3011" s="2" t="s">
        <v>25130</v>
      </c>
      <c r="R3011" s="3" t="s">
        <v>70</v>
      </c>
      <c r="S3011" s="4">
        <v>9</v>
      </c>
      <c r="T3011" s="4">
        <v>9</v>
      </c>
      <c r="U3011" s="5" t="s">
        <v>30141</v>
      </c>
      <c r="V3011" s="5" t="s">
        <v>30141</v>
      </c>
      <c r="W3011" s="5" t="s">
        <v>72</v>
      </c>
      <c r="X3011" s="5" t="s">
        <v>72</v>
      </c>
      <c r="Y3011" s="4">
        <v>692</v>
      </c>
      <c r="Z3011" s="4">
        <v>25</v>
      </c>
      <c r="AA3011" s="4">
        <v>105</v>
      </c>
      <c r="AB3011" s="4">
        <v>2</v>
      </c>
      <c r="AC3011" s="4">
        <v>18</v>
      </c>
      <c r="AD3011" s="4">
        <v>63</v>
      </c>
      <c r="AE3011" s="4">
        <v>110</v>
      </c>
      <c r="AF3011" s="4">
        <v>0</v>
      </c>
      <c r="AG3011" s="4">
        <v>8</v>
      </c>
      <c r="AH3011" s="4">
        <v>61</v>
      </c>
      <c r="AI3011" s="4">
        <v>77</v>
      </c>
      <c r="AJ3011" s="4">
        <v>5</v>
      </c>
      <c r="AK3011" s="4">
        <v>17</v>
      </c>
      <c r="AL3011" s="4">
        <v>30</v>
      </c>
      <c r="AM3011" s="4">
        <v>38</v>
      </c>
      <c r="AN3011" s="4">
        <v>0</v>
      </c>
      <c r="AO3011" s="4">
        <v>0</v>
      </c>
      <c r="AP3011" s="4">
        <v>6</v>
      </c>
      <c r="AQ3011" s="4">
        <v>39</v>
      </c>
      <c r="AR3011" s="3" t="s">
        <v>64</v>
      </c>
      <c r="AS3011" s="3" t="s">
        <v>64</v>
      </c>
      <c r="AT3011" s="3" t="s">
        <v>64</v>
      </c>
      <c r="AV3011" s="6" t="str">
        <f>HYPERLINK("http://mcgill.on.worldcat.org/oclc/86115340","Catalog Record")</f>
        <v>Catalog Record</v>
      </c>
      <c r="AW3011" s="6" t="str">
        <f>HYPERLINK("http://www.worldcat.org/oclc/86115340","WorldCat Record")</f>
        <v>WorldCat Record</v>
      </c>
      <c r="AX3011" s="3" t="s">
        <v>30142</v>
      </c>
      <c r="AY3011" s="3" t="s">
        <v>30143</v>
      </c>
      <c r="AZ3011" s="3" t="s">
        <v>30144</v>
      </c>
      <c r="BA3011" s="3" t="s">
        <v>30144</v>
      </c>
      <c r="BB3011" s="3" t="s">
        <v>30145</v>
      </c>
      <c r="BC3011" s="3" t="s">
        <v>77</v>
      </c>
      <c r="BD3011" s="3" t="s">
        <v>78</v>
      </c>
      <c r="BE3011" s="3" t="s">
        <v>30146</v>
      </c>
      <c r="BF3011" s="3" t="s">
        <v>30145</v>
      </c>
      <c r="BG3011" s="3" t="s">
        <v>30147</v>
      </c>
      <c r="BH3011">
        <f t="shared" si="74"/>
        <v>0</v>
      </c>
    </row>
    <row r="3012" spans="1:60" ht="58" x14ac:dyDescent="0.35">
      <c r="A3012" s="2" t="s">
        <v>59</v>
      </c>
      <c r="B3012" s="2" t="s">
        <v>60</v>
      </c>
      <c r="C3012" s="2" t="s">
        <v>30148</v>
      </c>
      <c r="D3012" s="2" t="s">
        <v>30149</v>
      </c>
      <c r="E3012" s="2" t="s">
        <v>30150</v>
      </c>
      <c r="G3012" s="3" t="s">
        <v>64</v>
      </c>
      <c r="I3012" s="3" t="s">
        <v>64</v>
      </c>
      <c r="J3012" s="3" t="s">
        <v>64</v>
      </c>
      <c r="K3012" s="3" t="s">
        <v>65</v>
      </c>
      <c r="L3012" s="2" t="s">
        <v>30151</v>
      </c>
      <c r="M3012" s="2" t="s">
        <v>15618</v>
      </c>
      <c r="N3012" s="3" t="s">
        <v>1075</v>
      </c>
      <c r="P3012" s="3" t="s">
        <v>102</v>
      </c>
      <c r="R3012" s="3" t="s">
        <v>70</v>
      </c>
      <c r="S3012" s="4">
        <v>16</v>
      </c>
      <c r="T3012" s="4">
        <v>16</v>
      </c>
      <c r="U3012" s="5" t="s">
        <v>30152</v>
      </c>
      <c r="V3012" s="5" t="s">
        <v>30152</v>
      </c>
      <c r="W3012" s="5" t="s">
        <v>72</v>
      </c>
      <c r="X3012" s="5" t="s">
        <v>72</v>
      </c>
      <c r="Y3012" s="4">
        <v>680</v>
      </c>
      <c r="Z3012" s="4">
        <v>37</v>
      </c>
      <c r="AA3012" s="4">
        <v>123</v>
      </c>
      <c r="AB3012" s="4">
        <v>2</v>
      </c>
      <c r="AC3012" s="4">
        <v>16</v>
      </c>
      <c r="AD3012" s="4">
        <v>101</v>
      </c>
      <c r="AE3012" s="4">
        <v>149</v>
      </c>
      <c r="AF3012" s="4">
        <v>1</v>
      </c>
      <c r="AG3012" s="4">
        <v>9</v>
      </c>
      <c r="AH3012" s="4">
        <v>88</v>
      </c>
      <c r="AI3012" s="4">
        <v>104</v>
      </c>
      <c r="AJ3012" s="4">
        <v>18</v>
      </c>
      <c r="AK3012" s="4">
        <v>26</v>
      </c>
      <c r="AL3012" s="4">
        <v>43</v>
      </c>
      <c r="AM3012" s="4">
        <v>54</v>
      </c>
      <c r="AN3012" s="4">
        <v>0</v>
      </c>
      <c r="AO3012" s="4">
        <v>0</v>
      </c>
      <c r="AP3012" s="4">
        <v>23</v>
      </c>
      <c r="AQ3012" s="4">
        <v>51</v>
      </c>
      <c r="AR3012" s="3" t="s">
        <v>64</v>
      </c>
      <c r="AS3012" s="3" t="s">
        <v>64</v>
      </c>
      <c r="AT3012" s="3" t="s">
        <v>64</v>
      </c>
      <c r="AV3012" s="6" t="str">
        <f>HYPERLINK("http://mcgill.on.worldcat.org/oclc/666224038","Catalog Record")</f>
        <v>Catalog Record</v>
      </c>
      <c r="AW3012" s="6" t="str">
        <f>HYPERLINK("http://www.worldcat.org/oclc/666224038","WorldCat Record")</f>
        <v>WorldCat Record</v>
      </c>
      <c r="AX3012" s="3" t="s">
        <v>30153</v>
      </c>
      <c r="AY3012" s="3" t="s">
        <v>30154</v>
      </c>
      <c r="AZ3012" s="3" t="s">
        <v>30155</v>
      </c>
      <c r="BA3012" s="3" t="s">
        <v>30155</v>
      </c>
      <c r="BB3012" s="3" t="s">
        <v>30156</v>
      </c>
      <c r="BC3012" s="3" t="s">
        <v>77</v>
      </c>
      <c r="BD3012" s="3" t="s">
        <v>78</v>
      </c>
      <c r="BE3012" s="3" t="s">
        <v>30157</v>
      </c>
      <c r="BF3012" s="3" t="s">
        <v>30156</v>
      </c>
      <c r="BG3012" s="3" t="s">
        <v>30158</v>
      </c>
      <c r="BH3012">
        <f t="shared" si="74"/>
        <v>0</v>
      </c>
    </row>
    <row r="3013" spans="1:60" ht="58" x14ac:dyDescent="0.35">
      <c r="A3013" s="2" t="s">
        <v>59</v>
      </c>
      <c r="B3013" s="2" t="s">
        <v>60</v>
      </c>
      <c r="C3013" s="2" t="s">
        <v>30159</v>
      </c>
      <c r="D3013" s="2" t="s">
        <v>30160</v>
      </c>
      <c r="E3013" s="2" t="s">
        <v>30161</v>
      </c>
      <c r="G3013" s="3" t="s">
        <v>64</v>
      </c>
      <c r="I3013" s="3" t="s">
        <v>64</v>
      </c>
      <c r="J3013" s="3" t="s">
        <v>64</v>
      </c>
      <c r="K3013" s="3" t="s">
        <v>65</v>
      </c>
      <c r="L3013" s="2" t="s">
        <v>30162</v>
      </c>
      <c r="M3013" s="2" t="s">
        <v>17465</v>
      </c>
      <c r="N3013" s="3" t="s">
        <v>190</v>
      </c>
      <c r="P3013" s="3" t="s">
        <v>102</v>
      </c>
      <c r="R3013" s="3" t="s">
        <v>70</v>
      </c>
      <c r="S3013" s="4">
        <v>0</v>
      </c>
      <c r="T3013" s="4">
        <v>0</v>
      </c>
      <c r="W3013" s="5" t="s">
        <v>72</v>
      </c>
      <c r="X3013" s="5" t="s">
        <v>72</v>
      </c>
      <c r="Y3013" s="4">
        <v>334</v>
      </c>
      <c r="Z3013" s="4">
        <v>6</v>
      </c>
      <c r="AA3013" s="4">
        <v>7</v>
      </c>
      <c r="AB3013" s="4">
        <v>1</v>
      </c>
      <c r="AC3013" s="4">
        <v>1</v>
      </c>
      <c r="AD3013" s="4">
        <v>40</v>
      </c>
      <c r="AE3013" s="4">
        <v>40</v>
      </c>
      <c r="AF3013" s="4">
        <v>0</v>
      </c>
      <c r="AG3013" s="4">
        <v>0</v>
      </c>
      <c r="AH3013" s="4">
        <v>39</v>
      </c>
      <c r="AI3013" s="4">
        <v>39</v>
      </c>
      <c r="AJ3013" s="4">
        <v>3</v>
      </c>
      <c r="AK3013" s="4">
        <v>3</v>
      </c>
      <c r="AL3013" s="4">
        <v>18</v>
      </c>
      <c r="AM3013" s="4">
        <v>18</v>
      </c>
      <c r="AN3013" s="4">
        <v>0</v>
      </c>
      <c r="AO3013" s="4">
        <v>0</v>
      </c>
      <c r="AP3013" s="4">
        <v>3</v>
      </c>
      <c r="AQ3013" s="4">
        <v>3</v>
      </c>
      <c r="AR3013" s="3" t="s">
        <v>64</v>
      </c>
      <c r="AS3013" s="3" t="s">
        <v>64</v>
      </c>
      <c r="AT3013" s="3" t="s">
        <v>64</v>
      </c>
      <c r="AV3013" s="6" t="str">
        <f>HYPERLINK("http://mcgill.on.worldcat.org/oclc/1010602524","Catalog Record")</f>
        <v>Catalog Record</v>
      </c>
      <c r="AW3013" s="6" t="str">
        <f>HYPERLINK("http://www.worldcat.org/oclc/1010602524","WorldCat Record")</f>
        <v>WorldCat Record</v>
      </c>
      <c r="AX3013" s="3" t="s">
        <v>30163</v>
      </c>
      <c r="AY3013" s="3" t="s">
        <v>30164</v>
      </c>
      <c r="AZ3013" s="3" t="s">
        <v>30165</v>
      </c>
      <c r="BA3013" s="3" t="s">
        <v>30165</v>
      </c>
      <c r="BB3013" s="3" t="s">
        <v>30166</v>
      </c>
      <c r="BC3013" s="3" t="s">
        <v>77</v>
      </c>
      <c r="BD3013" s="3" t="s">
        <v>78</v>
      </c>
      <c r="BE3013" s="3" t="s">
        <v>30167</v>
      </c>
      <c r="BF3013" s="3" t="s">
        <v>30166</v>
      </c>
      <c r="BG3013" s="3" t="s">
        <v>30168</v>
      </c>
      <c r="BH3013">
        <f t="shared" si="74"/>
        <v>0</v>
      </c>
    </row>
    <row r="3014" spans="1:60" ht="58" x14ac:dyDescent="0.35">
      <c r="A3014" s="2" t="s">
        <v>59</v>
      </c>
      <c r="B3014" s="2" t="s">
        <v>60</v>
      </c>
      <c r="C3014" s="2" t="s">
        <v>30169</v>
      </c>
      <c r="D3014" s="2" t="s">
        <v>30170</v>
      </c>
      <c r="E3014" s="2" t="s">
        <v>30171</v>
      </c>
      <c r="G3014" s="3" t="s">
        <v>64</v>
      </c>
      <c r="I3014" s="3" t="s">
        <v>64</v>
      </c>
      <c r="J3014" s="3" t="s">
        <v>64</v>
      </c>
      <c r="K3014" s="3" t="s">
        <v>65</v>
      </c>
      <c r="L3014" s="2" t="s">
        <v>30172</v>
      </c>
      <c r="M3014" s="2" t="s">
        <v>16814</v>
      </c>
      <c r="N3014" s="3" t="s">
        <v>326</v>
      </c>
      <c r="P3014" s="3" t="s">
        <v>102</v>
      </c>
      <c r="Q3014" s="2" t="s">
        <v>15094</v>
      </c>
      <c r="R3014" s="3" t="s">
        <v>70</v>
      </c>
      <c r="S3014" s="4">
        <v>4</v>
      </c>
      <c r="T3014" s="4">
        <v>4</v>
      </c>
      <c r="U3014" s="5" t="s">
        <v>30173</v>
      </c>
      <c r="V3014" s="5" t="s">
        <v>30173</v>
      </c>
      <c r="W3014" s="5" t="s">
        <v>72</v>
      </c>
      <c r="X3014" s="5" t="s">
        <v>72</v>
      </c>
      <c r="Y3014" s="4">
        <v>230</v>
      </c>
      <c r="Z3014" s="4">
        <v>16</v>
      </c>
      <c r="AA3014" s="4">
        <v>28</v>
      </c>
      <c r="AB3014" s="4">
        <v>1</v>
      </c>
      <c r="AC3014" s="4">
        <v>5</v>
      </c>
      <c r="AD3014" s="4">
        <v>59</v>
      </c>
      <c r="AE3014" s="4">
        <v>74</v>
      </c>
      <c r="AF3014" s="4">
        <v>0</v>
      </c>
      <c r="AG3014" s="4">
        <v>2</v>
      </c>
      <c r="AH3014" s="4">
        <v>52</v>
      </c>
      <c r="AI3014" s="4">
        <v>64</v>
      </c>
      <c r="AJ3014" s="4">
        <v>9</v>
      </c>
      <c r="AK3014" s="4">
        <v>12</v>
      </c>
      <c r="AL3014" s="4">
        <v>32</v>
      </c>
      <c r="AM3014" s="4">
        <v>38</v>
      </c>
      <c r="AN3014" s="4">
        <v>0</v>
      </c>
      <c r="AO3014" s="4">
        <v>0</v>
      </c>
      <c r="AP3014" s="4">
        <v>12</v>
      </c>
      <c r="AQ3014" s="4">
        <v>15</v>
      </c>
      <c r="AR3014" s="3" t="s">
        <v>64</v>
      </c>
      <c r="AS3014" s="3" t="s">
        <v>64</v>
      </c>
      <c r="AT3014" s="3" t="s">
        <v>64</v>
      </c>
      <c r="AV3014" s="6" t="str">
        <f>HYPERLINK("http://mcgill.on.worldcat.org/oclc/548555583","Catalog Record")</f>
        <v>Catalog Record</v>
      </c>
      <c r="AW3014" s="6" t="str">
        <f>HYPERLINK("http://www.worldcat.org/oclc/548555583","WorldCat Record")</f>
        <v>WorldCat Record</v>
      </c>
      <c r="AX3014" s="3" t="s">
        <v>30174</v>
      </c>
      <c r="AY3014" s="3" t="s">
        <v>30175</v>
      </c>
      <c r="AZ3014" s="3" t="s">
        <v>30176</v>
      </c>
      <c r="BA3014" s="3" t="s">
        <v>30176</v>
      </c>
      <c r="BB3014" s="3" t="s">
        <v>30177</v>
      </c>
      <c r="BC3014" s="3" t="s">
        <v>77</v>
      </c>
      <c r="BD3014" s="3" t="s">
        <v>78</v>
      </c>
      <c r="BE3014" s="3" t="s">
        <v>30178</v>
      </c>
      <c r="BF3014" s="3" t="s">
        <v>30177</v>
      </c>
      <c r="BG3014" s="3" t="s">
        <v>30179</v>
      </c>
      <c r="BH3014">
        <f t="shared" si="74"/>
        <v>0</v>
      </c>
    </row>
    <row r="3015" spans="1:60" ht="58" x14ac:dyDescent="0.35">
      <c r="A3015" s="2" t="s">
        <v>59</v>
      </c>
      <c r="B3015" s="2" t="s">
        <v>60</v>
      </c>
      <c r="C3015" s="2" t="s">
        <v>30180</v>
      </c>
      <c r="D3015" s="2" t="s">
        <v>30181</v>
      </c>
      <c r="E3015" s="2" t="s">
        <v>30182</v>
      </c>
      <c r="G3015" s="3" t="s">
        <v>64</v>
      </c>
      <c r="I3015" s="3" t="s">
        <v>64</v>
      </c>
      <c r="J3015" s="3" t="s">
        <v>64</v>
      </c>
      <c r="K3015" s="3" t="s">
        <v>65</v>
      </c>
      <c r="M3015" s="2" t="s">
        <v>14376</v>
      </c>
      <c r="N3015" s="3" t="s">
        <v>551</v>
      </c>
      <c r="P3015" s="3" t="s">
        <v>102</v>
      </c>
      <c r="R3015" s="3" t="s">
        <v>70</v>
      </c>
      <c r="S3015" s="4">
        <v>13</v>
      </c>
      <c r="T3015" s="4">
        <v>13</v>
      </c>
      <c r="U3015" s="5" t="s">
        <v>18523</v>
      </c>
      <c r="V3015" s="5" t="s">
        <v>18523</v>
      </c>
      <c r="W3015" s="5" t="s">
        <v>72</v>
      </c>
      <c r="X3015" s="5" t="s">
        <v>72</v>
      </c>
      <c r="Y3015" s="4">
        <v>351</v>
      </c>
      <c r="Z3015" s="4">
        <v>23</v>
      </c>
      <c r="AA3015" s="4">
        <v>26</v>
      </c>
      <c r="AB3015" s="4">
        <v>2</v>
      </c>
      <c r="AC3015" s="4">
        <v>5</v>
      </c>
      <c r="AD3015" s="4">
        <v>73</v>
      </c>
      <c r="AE3015" s="4">
        <v>74</v>
      </c>
      <c r="AF3015" s="4">
        <v>1</v>
      </c>
      <c r="AG3015" s="4">
        <v>2</v>
      </c>
      <c r="AH3015" s="4">
        <v>66</v>
      </c>
      <c r="AI3015" s="4">
        <v>67</v>
      </c>
      <c r="AJ3015" s="4">
        <v>14</v>
      </c>
      <c r="AK3015" s="4">
        <v>15</v>
      </c>
      <c r="AL3015" s="4">
        <v>34</v>
      </c>
      <c r="AM3015" s="4">
        <v>34</v>
      </c>
      <c r="AN3015" s="4">
        <v>0</v>
      </c>
      <c r="AO3015" s="4">
        <v>0</v>
      </c>
      <c r="AP3015" s="4">
        <v>17</v>
      </c>
      <c r="AQ3015" s="4">
        <v>18</v>
      </c>
      <c r="AR3015" s="3" t="s">
        <v>64</v>
      </c>
      <c r="AS3015" s="3" t="s">
        <v>64</v>
      </c>
      <c r="AT3015" s="3" t="s">
        <v>128</v>
      </c>
      <c r="AU3015" s="6" t="str">
        <f>HYPERLINK("http://catalog.hathitrust.org/Record/005927782","HathiTrust Record")</f>
        <v>HathiTrust Record</v>
      </c>
      <c r="AV3015" s="6" t="str">
        <f>HYPERLINK("http://mcgill.on.worldcat.org/oclc/236142597","Catalog Record")</f>
        <v>Catalog Record</v>
      </c>
      <c r="AW3015" s="6" t="str">
        <f>HYPERLINK("http://www.worldcat.org/oclc/236142597","WorldCat Record")</f>
        <v>WorldCat Record</v>
      </c>
      <c r="AX3015" s="3" t="s">
        <v>30183</v>
      </c>
      <c r="AY3015" s="3" t="s">
        <v>30184</v>
      </c>
      <c r="AZ3015" s="3" t="s">
        <v>30185</v>
      </c>
      <c r="BA3015" s="3" t="s">
        <v>30185</v>
      </c>
      <c r="BB3015" s="3" t="s">
        <v>30186</v>
      </c>
      <c r="BC3015" s="3" t="s">
        <v>77</v>
      </c>
      <c r="BD3015" s="3" t="s">
        <v>78</v>
      </c>
      <c r="BE3015" s="3" t="s">
        <v>30187</v>
      </c>
      <c r="BF3015" s="3" t="s">
        <v>30186</v>
      </c>
      <c r="BG3015" s="3" t="s">
        <v>30188</v>
      </c>
      <c r="BH3015">
        <f t="shared" si="74"/>
        <v>0</v>
      </c>
    </row>
    <row r="3016" spans="1:60" ht="58" x14ac:dyDescent="0.35">
      <c r="A3016" s="2" t="s">
        <v>59</v>
      </c>
      <c r="B3016" s="2" t="s">
        <v>60</v>
      </c>
      <c r="C3016" s="2" t="s">
        <v>30189</v>
      </c>
      <c r="D3016" s="2" t="s">
        <v>30190</v>
      </c>
      <c r="E3016" s="2" t="s">
        <v>30191</v>
      </c>
      <c r="G3016" s="3" t="s">
        <v>64</v>
      </c>
      <c r="I3016" s="3" t="s">
        <v>64</v>
      </c>
      <c r="J3016" s="3" t="s">
        <v>64</v>
      </c>
      <c r="K3016" s="3" t="s">
        <v>65</v>
      </c>
      <c r="L3016" s="2" t="s">
        <v>30192</v>
      </c>
      <c r="M3016" s="2" t="s">
        <v>30193</v>
      </c>
      <c r="N3016" s="3" t="s">
        <v>1492</v>
      </c>
      <c r="P3016" s="3" t="s">
        <v>102</v>
      </c>
      <c r="R3016" s="3" t="s">
        <v>70</v>
      </c>
      <c r="S3016" s="4">
        <v>0</v>
      </c>
      <c r="T3016" s="4">
        <v>0</v>
      </c>
      <c r="W3016" s="5" t="s">
        <v>72</v>
      </c>
      <c r="X3016" s="5" t="s">
        <v>72</v>
      </c>
      <c r="Y3016" s="4">
        <v>174</v>
      </c>
      <c r="Z3016" s="4">
        <v>6</v>
      </c>
      <c r="AA3016" s="4">
        <v>11</v>
      </c>
      <c r="AB3016" s="4">
        <v>1</v>
      </c>
      <c r="AC3016" s="4">
        <v>5</v>
      </c>
      <c r="AD3016" s="4">
        <v>30</v>
      </c>
      <c r="AE3016" s="4">
        <v>35</v>
      </c>
      <c r="AF3016" s="4">
        <v>0</v>
      </c>
      <c r="AG3016" s="4">
        <v>2</v>
      </c>
      <c r="AH3016" s="4">
        <v>30</v>
      </c>
      <c r="AI3016" s="4">
        <v>32</v>
      </c>
      <c r="AJ3016" s="4">
        <v>2</v>
      </c>
      <c r="AK3016" s="4">
        <v>4</v>
      </c>
      <c r="AL3016" s="4">
        <v>13</v>
      </c>
      <c r="AM3016" s="4">
        <v>15</v>
      </c>
      <c r="AN3016" s="4">
        <v>0</v>
      </c>
      <c r="AO3016" s="4">
        <v>0</v>
      </c>
      <c r="AP3016" s="4">
        <v>3</v>
      </c>
      <c r="AQ3016" s="4">
        <v>5</v>
      </c>
      <c r="AR3016" s="3" t="s">
        <v>64</v>
      </c>
      <c r="AS3016" s="3" t="s">
        <v>64</v>
      </c>
      <c r="AT3016" s="3" t="s">
        <v>64</v>
      </c>
      <c r="AV3016" s="6" t="str">
        <f>HYPERLINK("http://mcgill.on.worldcat.org/oclc/1051050158","Catalog Record")</f>
        <v>Catalog Record</v>
      </c>
      <c r="AW3016" s="6" t="str">
        <f>HYPERLINK("http://www.worldcat.org/oclc/1051050158","WorldCat Record")</f>
        <v>WorldCat Record</v>
      </c>
      <c r="AX3016" s="3" t="s">
        <v>30194</v>
      </c>
      <c r="AY3016" s="3" t="s">
        <v>30195</v>
      </c>
      <c r="AZ3016" s="3" t="s">
        <v>30196</v>
      </c>
      <c r="BA3016" s="3" t="s">
        <v>30196</v>
      </c>
      <c r="BB3016" s="3" t="s">
        <v>30197</v>
      </c>
      <c r="BC3016" s="3" t="s">
        <v>77</v>
      </c>
      <c r="BD3016" s="3" t="s">
        <v>78</v>
      </c>
      <c r="BE3016" s="3" t="s">
        <v>30198</v>
      </c>
      <c r="BF3016" s="3" t="s">
        <v>30197</v>
      </c>
      <c r="BG3016" s="3" t="s">
        <v>30199</v>
      </c>
      <c r="BH3016">
        <f t="shared" si="74"/>
        <v>0</v>
      </c>
    </row>
    <row r="3017" spans="1:60" ht="58" x14ac:dyDescent="0.35">
      <c r="A3017" s="2" t="s">
        <v>59</v>
      </c>
      <c r="B3017" s="2" t="s">
        <v>60</v>
      </c>
      <c r="C3017" s="2" t="s">
        <v>30200</v>
      </c>
      <c r="D3017" s="2" t="s">
        <v>30201</v>
      </c>
      <c r="E3017" s="2" t="s">
        <v>30202</v>
      </c>
      <c r="F3017" s="3" t="s">
        <v>7062</v>
      </c>
      <c r="G3017" s="3" t="s">
        <v>64</v>
      </c>
      <c r="I3017" s="3" t="s">
        <v>64</v>
      </c>
      <c r="J3017" s="3" t="s">
        <v>64</v>
      </c>
      <c r="K3017" s="3" t="s">
        <v>65</v>
      </c>
      <c r="L3017" s="2" t="s">
        <v>30203</v>
      </c>
      <c r="M3017" s="2" t="s">
        <v>17762</v>
      </c>
      <c r="N3017" s="3" t="s">
        <v>326</v>
      </c>
      <c r="P3017" s="3" t="s">
        <v>102</v>
      </c>
      <c r="Q3017" s="2" t="s">
        <v>30204</v>
      </c>
      <c r="R3017" s="3" t="s">
        <v>70</v>
      </c>
      <c r="S3017" s="4">
        <v>2</v>
      </c>
      <c r="T3017" s="4">
        <v>2</v>
      </c>
      <c r="U3017" s="5" t="s">
        <v>11719</v>
      </c>
      <c r="V3017" s="5" t="s">
        <v>11719</v>
      </c>
      <c r="W3017" s="5" t="s">
        <v>72</v>
      </c>
      <c r="X3017" s="5" t="s">
        <v>72</v>
      </c>
      <c r="Y3017" s="4">
        <v>198</v>
      </c>
      <c r="Z3017" s="4">
        <v>17</v>
      </c>
      <c r="AA3017" s="4">
        <v>20</v>
      </c>
      <c r="AB3017" s="4">
        <v>2</v>
      </c>
      <c r="AC3017" s="4">
        <v>3</v>
      </c>
      <c r="AD3017" s="4">
        <v>24</v>
      </c>
      <c r="AE3017" s="4">
        <v>26</v>
      </c>
      <c r="AF3017" s="4">
        <v>0</v>
      </c>
      <c r="AG3017" s="4">
        <v>1</v>
      </c>
      <c r="AH3017" s="4">
        <v>21</v>
      </c>
      <c r="AI3017" s="4">
        <v>22</v>
      </c>
      <c r="AJ3017" s="4">
        <v>6</v>
      </c>
      <c r="AK3017" s="4">
        <v>8</v>
      </c>
      <c r="AL3017" s="4">
        <v>9</v>
      </c>
      <c r="AM3017" s="4">
        <v>10</v>
      </c>
      <c r="AN3017" s="4">
        <v>0</v>
      </c>
      <c r="AO3017" s="4">
        <v>0</v>
      </c>
      <c r="AP3017" s="4">
        <v>7</v>
      </c>
      <c r="AQ3017" s="4">
        <v>8</v>
      </c>
      <c r="AR3017" s="3" t="s">
        <v>64</v>
      </c>
      <c r="AS3017" s="3" t="s">
        <v>64</v>
      </c>
      <c r="AT3017" s="3" t="s">
        <v>64</v>
      </c>
      <c r="AV3017" s="6" t="str">
        <f>HYPERLINK("http://mcgill.on.worldcat.org/oclc/746316004","Catalog Record")</f>
        <v>Catalog Record</v>
      </c>
      <c r="AW3017" s="6" t="str">
        <f>HYPERLINK("http://www.worldcat.org/oclc/746316004","WorldCat Record")</f>
        <v>WorldCat Record</v>
      </c>
      <c r="AX3017" s="3" t="s">
        <v>30205</v>
      </c>
      <c r="AY3017" s="3" t="s">
        <v>30206</v>
      </c>
      <c r="AZ3017" s="3" t="s">
        <v>30207</v>
      </c>
      <c r="BA3017" s="3" t="s">
        <v>30207</v>
      </c>
      <c r="BB3017" s="3" t="s">
        <v>30208</v>
      </c>
      <c r="BC3017" s="3" t="s">
        <v>77</v>
      </c>
      <c r="BD3017" s="3" t="s">
        <v>78</v>
      </c>
      <c r="BE3017" s="3" t="s">
        <v>30209</v>
      </c>
      <c r="BF3017" s="3" t="s">
        <v>30208</v>
      </c>
      <c r="BG3017" s="3" t="s">
        <v>30210</v>
      </c>
      <c r="BH3017">
        <f t="shared" si="74"/>
        <v>0</v>
      </c>
    </row>
    <row r="3018" spans="1:60" ht="58" x14ac:dyDescent="0.35">
      <c r="A3018" s="2" t="s">
        <v>59</v>
      </c>
      <c r="B3018" s="2" t="s">
        <v>60</v>
      </c>
      <c r="C3018" s="2" t="s">
        <v>30211</v>
      </c>
      <c r="D3018" s="2" t="s">
        <v>30212</v>
      </c>
      <c r="E3018" s="2" t="s">
        <v>30213</v>
      </c>
      <c r="G3018" s="3" t="s">
        <v>64</v>
      </c>
      <c r="I3018" s="3" t="s">
        <v>64</v>
      </c>
      <c r="J3018" s="3" t="s">
        <v>64</v>
      </c>
      <c r="K3018" s="3" t="s">
        <v>65</v>
      </c>
      <c r="M3018" s="2" t="s">
        <v>30214</v>
      </c>
      <c r="N3018" s="3" t="s">
        <v>1250</v>
      </c>
      <c r="P3018" s="3" t="s">
        <v>102</v>
      </c>
      <c r="Q3018" s="2" t="s">
        <v>30215</v>
      </c>
      <c r="R3018" s="3" t="s">
        <v>70</v>
      </c>
      <c r="S3018" s="4">
        <v>10</v>
      </c>
      <c r="T3018" s="4">
        <v>10</v>
      </c>
      <c r="U3018" s="5" t="s">
        <v>16196</v>
      </c>
      <c r="V3018" s="5" t="s">
        <v>16196</v>
      </c>
      <c r="W3018" s="5" t="s">
        <v>72</v>
      </c>
      <c r="X3018" s="5" t="s">
        <v>72</v>
      </c>
      <c r="Y3018" s="4">
        <v>192</v>
      </c>
      <c r="Z3018" s="4">
        <v>7</v>
      </c>
      <c r="AA3018" s="4">
        <v>8</v>
      </c>
      <c r="AB3018" s="4">
        <v>1</v>
      </c>
      <c r="AC3018" s="4">
        <v>2</v>
      </c>
      <c r="AD3018" s="4">
        <v>70</v>
      </c>
      <c r="AE3018" s="4">
        <v>71</v>
      </c>
      <c r="AF3018" s="4">
        <v>0</v>
      </c>
      <c r="AG3018" s="4">
        <v>1</v>
      </c>
      <c r="AH3018" s="4">
        <v>67</v>
      </c>
      <c r="AI3018" s="4">
        <v>67</v>
      </c>
      <c r="AJ3018" s="4">
        <v>5</v>
      </c>
      <c r="AK3018" s="4">
        <v>6</v>
      </c>
      <c r="AL3018" s="4">
        <v>37</v>
      </c>
      <c r="AM3018" s="4">
        <v>37</v>
      </c>
      <c r="AN3018" s="4">
        <v>0</v>
      </c>
      <c r="AO3018" s="4">
        <v>0</v>
      </c>
      <c r="AP3018" s="4">
        <v>5</v>
      </c>
      <c r="AQ3018" s="4">
        <v>5</v>
      </c>
      <c r="AR3018" s="3" t="s">
        <v>64</v>
      </c>
      <c r="AS3018" s="3" t="s">
        <v>64</v>
      </c>
      <c r="AT3018" s="3" t="s">
        <v>128</v>
      </c>
      <c r="AU3018" s="6" t="str">
        <f>HYPERLINK("http://catalog.hathitrust.org/Record/002960405","HathiTrust Record")</f>
        <v>HathiTrust Record</v>
      </c>
      <c r="AV3018" s="6" t="str">
        <f>HYPERLINK("http://mcgill.on.worldcat.org/oclc/30736139","Catalog Record")</f>
        <v>Catalog Record</v>
      </c>
      <c r="AW3018" s="6" t="str">
        <f>HYPERLINK("http://www.worldcat.org/oclc/30736139","WorldCat Record")</f>
        <v>WorldCat Record</v>
      </c>
      <c r="AX3018" s="3" t="s">
        <v>30216</v>
      </c>
      <c r="AY3018" s="3" t="s">
        <v>30217</v>
      </c>
      <c r="AZ3018" s="3" t="s">
        <v>30218</v>
      </c>
      <c r="BA3018" s="3" t="s">
        <v>30218</v>
      </c>
      <c r="BB3018" s="3" t="s">
        <v>30219</v>
      </c>
      <c r="BC3018" s="3" t="s">
        <v>77</v>
      </c>
      <c r="BD3018" s="3" t="s">
        <v>78</v>
      </c>
      <c r="BE3018" s="3" t="s">
        <v>30220</v>
      </c>
      <c r="BF3018" s="3" t="s">
        <v>30219</v>
      </c>
      <c r="BG3018" s="3" t="s">
        <v>30221</v>
      </c>
      <c r="BH3018">
        <f t="shared" si="74"/>
        <v>0</v>
      </c>
    </row>
    <row r="3019" spans="1:60" ht="58" x14ac:dyDescent="0.35">
      <c r="A3019" s="2" t="s">
        <v>59</v>
      </c>
      <c r="B3019" s="2" t="s">
        <v>60</v>
      </c>
      <c r="C3019" s="2" t="s">
        <v>30222</v>
      </c>
      <c r="D3019" s="2" t="s">
        <v>30223</v>
      </c>
      <c r="E3019" s="2" t="s">
        <v>30224</v>
      </c>
      <c r="G3019" s="3" t="s">
        <v>64</v>
      </c>
      <c r="I3019" s="3" t="s">
        <v>64</v>
      </c>
      <c r="J3019" s="3" t="s">
        <v>64</v>
      </c>
      <c r="K3019" s="3" t="s">
        <v>65</v>
      </c>
      <c r="M3019" s="2" t="s">
        <v>8509</v>
      </c>
      <c r="N3019" s="3" t="s">
        <v>144</v>
      </c>
      <c r="P3019" s="3" t="s">
        <v>102</v>
      </c>
      <c r="Q3019" s="2" t="s">
        <v>8981</v>
      </c>
      <c r="R3019" s="3" t="s">
        <v>70</v>
      </c>
      <c r="S3019" s="4">
        <v>5</v>
      </c>
      <c r="T3019" s="4">
        <v>5</v>
      </c>
      <c r="U3019" s="5" t="s">
        <v>1846</v>
      </c>
      <c r="V3019" s="5" t="s">
        <v>1846</v>
      </c>
      <c r="W3019" s="5" t="s">
        <v>72</v>
      </c>
      <c r="X3019" s="5" t="s">
        <v>72</v>
      </c>
      <c r="Y3019" s="4">
        <v>130</v>
      </c>
      <c r="Z3019" s="4">
        <v>18</v>
      </c>
      <c r="AA3019" s="4">
        <v>22</v>
      </c>
      <c r="AB3019" s="4">
        <v>3</v>
      </c>
      <c r="AC3019" s="4">
        <v>6</v>
      </c>
      <c r="AD3019" s="4">
        <v>51</v>
      </c>
      <c r="AE3019" s="4">
        <v>57</v>
      </c>
      <c r="AF3019" s="4">
        <v>1</v>
      </c>
      <c r="AG3019" s="4">
        <v>2</v>
      </c>
      <c r="AH3019" s="4">
        <v>44</v>
      </c>
      <c r="AI3019" s="4">
        <v>49</v>
      </c>
      <c r="AJ3019" s="4">
        <v>11</v>
      </c>
      <c r="AK3019" s="4">
        <v>12</v>
      </c>
      <c r="AL3019" s="4">
        <v>27</v>
      </c>
      <c r="AM3019" s="4">
        <v>31</v>
      </c>
      <c r="AN3019" s="4">
        <v>0</v>
      </c>
      <c r="AO3019" s="4">
        <v>0</v>
      </c>
      <c r="AP3019" s="4">
        <v>14</v>
      </c>
      <c r="AQ3019" s="4">
        <v>14</v>
      </c>
      <c r="AR3019" s="3" t="s">
        <v>64</v>
      </c>
      <c r="AS3019" s="3" t="s">
        <v>64</v>
      </c>
      <c r="AT3019" s="3" t="s">
        <v>64</v>
      </c>
      <c r="AV3019" s="6" t="str">
        <f>HYPERLINK("http://mcgill.on.worldcat.org/oclc/192027815","Catalog Record")</f>
        <v>Catalog Record</v>
      </c>
      <c r="AW3019" s="6" t="str">
        <f>HYPERLINK("http://www.worldcat.org/oclc/192027815","WorldCat Record")</f>
        <v>WorldCat Record</v>
      </c>
      <c r="AX3019" s="3" t="s">
        <v>30225</v>
      </c>
      <c r="AY3019" s="3" t="s">
        <v>30226</v>
      </c>
      <c r="AZ3019" s="3" t="s">
        <v>30227</v>
      </c>
      <c r="BA3019" s="3" t="s">
        <v>30227</v>
      </c>
      <c r="BB3019" s="3" t="s">
        <v>30228</v>
      </c>
      <c r="BC3019" s="3" t="s">
        <v>77</v>
      </c>
      <c r="BD3019" s="3" t="s">
        <v>78</v>
      </c>
      <c r="BE3019" s="3" t="s">
        <v>30229</v>
      </c>
      <c r="BF3019" s="3" t="s">
        <v>30228</v>
      </c>
      <c r="BG3019" s="3" t="s">
        <v>30230</v>
      </c>
      <c r="BH3019">
        <f t="shared" si="74"/>
        <v>0</v>
      </c>
    </row>
    <row r="3020" spans="1:60" ht="58" x14ac:dyDescent="0.35">
      <c r="A3020" s="2" t="s">
        <v>59</v>
      </c>
      <c r="B3020" s="2" t="s">
        <v>60</v>
      </c>
      <c r="C3020" s="2" t="s">
        <v>30231</v>
      </c>
      <c r="D3020" s="2" t="s">
        <v>30232</v>
      </c>
      <c r="E3020" s="2" t="s">
        <v>30233</v>
      </c>
      <c r="G3020" s="3" t="s">
        <v>64</v>
      </c>
      <c r="I3020" s="3" t="s">
        <v>64</v>
      </c>
      <c r="J3020" s="3" t="s">
        <v>64</v>
      </c>
      <c r="K3020" s="3" t="s">
        <v>65</v>
      </c>
      <c r="M3020" s="2" t="s">
        <v>14235</v>
      </c>
      <c r="N3020" s="3" t="s">
        <v>511</v>
      </c>
      <c r="P3020" s="3" t="s">
        <v>102</v>
      </c>
      <c r="R3020" s="3" t="s">
        <v>70</v>
      </c>
      <c r="S3020" s="4">
        <v>8</v>
      </c>
      <c r="T3020" s="4">
        <v>8</v>
      </c>
      <c r="U3020" s="5" t="s">
        <v>30234</v>
      </c>
      <c r="V3020" s="5" t="s">
        <v>30234</v>
      </c>
      <c r="W3020" s="5" t="s">
        <v>72</v>
      </c>
      <c r="X3020" s="5" t="s">
        <v>72</v>
      </c>
      <c r="Y3020" s="4">
        <v>810</v>
      </c>
      <c r="Z3020" s="4">
        <v>37</v>
      </c>
      <c r="AA3020" s="4">
        <v>123</v>
      </c>
      <c r="AB3020" s="4">
        <v>3</v>
      </c>
      <c r="AC3020" s="4">
        <v>18</v>
      </c>
      <c r="AD3020" s="4">
        <v>71</v>
      </c>
      <c r="AE3020" s="4">
        <v>124</v>
      </c>
      <c r="AF3020" s="4">
        <v>1</v>
      </c>
      <c r="AG3020" s="4">
        <v>8</v>
      </c>
      <c r="AH3020" s="4">
        <v>66</v>
      </c>
      <c r="AI3020" s="4">
        <v>89</v>
      </c>
      <c r="AJ3020" s="4">
        <v>11</v>
      </c>
      <c r="AK3020" s="4">
        <v>21</v>
      </c>
      <c r="AL3020" s="4">
        <v>30</v>
      </c>
      <c r="AM3020" s="4">
        <v>42</v>
      </c>
      <c r="AN3020" s="4">
        <v>0</v>
      </c>
      <c r="AO3020" s="4">
        <v>0</v>
      </c>
      <c r="AP3020" s="4">
        <v>12</v>
      </c>
      <c r="AQ3020" s="4">
        <v>42</v>
      </c>
      <c r="AR3020" s="3" t="s">
        <v>64</v>
      </c>
      <c r="AS3020" s="3" t="s">
        <v>64</v>
      </c>
      <c r="AT3020" s="3" t="s">
        <v>64</v>
      </c>
      <c r="AV3020" s="6" t="str">
        <f>HYPERLINK("http://mcgill.on.worldcat.org/oclc/349180024","Catalog Record")</f>
        <v>Catalog Record</v>
      </c>
      <c r="AW3020" s="6" t="str">
        <f>HYPERLINK("http://www.worldcat.org/oclc/349180024","WorldCat Record")</f>
        <v>WorldCat Record</v>
      </c>
      <c r="AX3020" s="3" t="s">
        <v>30235</v>
      </c>
      <c r="AY3020" s="3" t="s">
        <v>30236</v>
      </c>
      <c r="AZ3020" s="3" t="s">
        <v>30237</v>
      </c>
      <c r="BA3020" s="3" t="s">
        <v>30237</v>
      </c>
      <c r="BB3020" s="3" t="s">
        <v>30238</v>
      </c>
      <c r="BC3020" s="3" t="s">
        <v>77</v>
      </c>
      <c r="BD3020" s="3" t="s">
        <v>78</v>
      </c>
      <c r="BE3020" s="3" t="s">
        <v>30239</v>
      </c>
      <c r="BF3020" s="3" t="s">
        <v>30238</v>
      </c>
      <c r="BG3020" s="3" t="s">
        <v>30240</v>
      </c>
      <c r="BH3020">
        <f t="shared" si="74"/>
        <v>0</v>
      </c>
    </row>
    <row r="3021" spans="1:60" ht="58" x14ac:dyDescent="0.35">
      <c r="A3021" s="2" t="s">
        <v>59</v>
      </c>
      <c r="B3021" s="2" t="s">
        <v>60</v>
      </c>
      <c r="C3021" s="2" t="s">
        <v>30241</v>
      </c>
      <c r="D3021" s="2" t="s">
        <v>30242</v>
      </c>
      <c r="E3021" s="2" t="s">
        <v>30243</v>
      </c>
      <c r="G3021" s="3" t="s">
        <v>64</v>
      </c>
      <c r="I3021" s="3" t="s">
        <v>64</v>
      </c>
      <c r="J3021" s="3" t="s">
        <v>64</v>
      </c>
      <c r="K3021" s="3" t="s">
        <v>65</v>
      </c>
      <c r="L3021" s="2" t="s">
        <v>30244</v>
      </c>
      <c r="M3021" s="2" t="s">
        <v>30245</v>
      </c>
      <c r="N3021" s="3" t="s">
        <v>144</v>
      </c>
      <c r="P3021" s="3" t="s">
        <v>102</v>
      </c>
      <c r="R3021" s="3" t="s">
        <v>70</v>
      </c>
      <c r="S3021" s="4">
        <v>2</v>
      </c>
      <c r="T3021" s="4">
        <v>2</v>
      </c>
      <c r="U3021" s="5" t="s">
        <v>980</v>
      </c>
      <c r="V3021" s="5" t="s">
        <v>980</v>
      </c>
      <c r="W3021" s="5" t="s">
        <v>72</v>
      </c>
      <c r="X3021" s="5" t="s">
        <v>72</v>
      </c>
      <c r="Y3021" s="4">
        <v>138</v>
      </c>
      <c r="Z3021" s="4">
        <v>6</v>
      </c>
      <c r="AA3021" s="4">
        <v>12</v>
      </c>
      <c r="AB3021" s="4">
        <v>1</v>
      </c>
      <c r="AC3021" s="4">
        <v>4</v>
      </c>
      <c r="AD3021" s="4">
        <v>21</v>
      </c>
      <c r="AE3021" s="4">
        <v>25</v>
      </c>
      <c r="AF3021" s="4">
        <v>0</v>
      </c>
      <c r="AG3021" s="4">
        <v>1</v>
      </c>
      <c r="AH3021" s="4">
        <v>20</v>
      </c>
      <c r="AI3021" s="4">
        <v>21</v>
      </c>
      <c r="AJ3021" s="4">
        <v>4</v>
      </c>
      <c r="AK3021" s="4">
        <v>7</v>
      </c>
      <c r="AL3021" s="4">
        <v>10</v>
      </c>
      <c r="AM3021" s="4">
        <v>12</v>
      </c>
      <c r="AN3021" s="4">
        <v>0</v>
      </c>
      <c r="AO3021" s="4">
        <v>0</v>
      </c>
      <c r="AP3021" s="4">
        <v>4</v>
      </c>
      <c r="AQ3021" s="4">
        <v>6</v>
      </c>
      <c r="AR3021" s="3" t="s">
        <v>64</v>
      </c>
      <c r="AS3021" s="3" t="s">
        <v>64</v>
      </c>
      <c r="AT3021" s="3" t="s">
        <v>64</v>
      </c>
      <c r="AV3021" s="6" t="str">
        <f>HYPERLINK("http://mcgill.on.worldcat.org/oclc/213113753","Catalog Record")</f>
        <v>Catalog Record</v>
      </c>
      <c r="AW3021" s="6" t="str">
        <f>HYPERLINK("http://www.worldcat.org/oclc/213113753","WorldCat Record")</f>
        <v>WorldCat Record</v>
      </c>
      <c r="AX3021" s="3" t="s">
        <v>30246</v>
      </c>
      <c r="AY3021" s="3" t="s">
        <v>30247</v>
      </c>
      <c r="AZ3021" s="3" t="s">
        <v>30248</v>
      </c>
      <c r="BA3021" s="3" t="s">
        <v>30248</v>
      </c>
      <c r="BB3021" s="3" t="s">
        <v>30249</v>
      </c>
      <c r="BC3021" s="3" t="s">
        <v>77</v>
      </c>
      <c r="BD3021" s="3" t="s">
        <v>78</v>
      </c>
      <c r="BE3021" s="3" t="s">
        <v>30250</v>
      </c>
      <c r="BF3021" s="3" t="s">
        <v>30249</v>
      </c>
      <c r="BG3021" s="3" t="s">
        <v>30251</v>
      </c>
      <c r="BH3021">
        <f t="shared" si="74"/>
        <v>0</v>
      </c>
    </row>
    <row r="3022" spans="1:60" ht="58" x14ac:dyDescent="0.35">
      <c r="A3022" s="2" t="s">
        <v>59</v>
      </c>
      <c r="B3022" s="2" t="s">
        <v>60</v>
      </c>
      <c r="C3022" s="2" t="s">
        <v>30252</v>
      </c>
      <c r="D3022" s="2" t="s">
        <v>30253</v>
      </c>
      <c r="E3022" s="2" t="s">
        <v>30254</v>
      </c>
      <c r="G3022" s="3" t="s">
        <v>64</v>
      </c>
      <c r="I3022" s="3" t="s">
        <v>64</v>
      </c>
      <c r="J3022" s="3" t="s">
        <v>64</v>
      </c>
      <c r="K3022" s="3" t="s">
        <v>65</v>
      </c>
      <c r="L3022" s="2" t="s">
        <v>30255</v>
      </c>
      <c r="M3022" s="2" t="s">
        <v>30256</v>
      </c>
      <c r="N3022" s="3" t="s">
        <v>551</v>
      </c>
      <c r="P3022" s="3" t="s">
        <v>102</v>
      </c>
      <c r="Q3022" s="2" t="s">
        <v>30257</v>
      </c>
      <c r="R3022" s="3" t="s">
        <v>70</v>
      </c>
      <c r="S3022" s="4">
        <v>1</v>
      </c>
      <c r="T3022" s="4">
        <v>1</v>
      </c>
      <c r="U3022" s="5" t="s">
        <v>980</v>
      </c>
      <c r="V3022" s="5" t="s">
        <v>980</v>
      </c>
      <c r="W3022" s="5" t="s">
        <v>72</v>
      </c>
      <c r="X3022" s="5" t="s">
        <v>72</v>
      </c>
      <c r="Y3022" s="4">
        <v>230</v>
      </c>
      <c r="Z3022" s="4">
        <v>17</v>
      </c>
      <c r="AA3022" s="4">
        <v>22</v>
      </c>
      <c r="AB3022" s="4">
        <v>2</v>
      </c>
      <c r="AC3022" s="4">
        <v>4</v>
      </c>
      <c r="AD3022" s="4">
        <v>87</v>
      </c>
      <c r="AE3022" s="4">
        <v>97</v>
      </c>
      <c r="AF3022" s="4">
        <v>0</v>
      </c>
      <c r="AG3022" s="4">
        <v>2</v>
      </c>
      <c r="AH3022" s="4">
        <v>80</v>
      </c>
      <c r="AI3022" s="4">
        <v>87</v>
      </c>
      <c r="AJ3022" s="4">
        <v>11</v>
      </c>
      <c r="AK3022" s="4">
        <v>15</v>
      </c>
      <c r="AL3022" s="4">
        <v>41</v>
      </c>
      <c r="AM3022" s="4">
        <v>45</v>
      </c>
      <c r="AN3022" s="4">
        <v>0</v>
      </c>
      <c r="AO3022" s="4">
        <v>0</v>
      </c>
      <c r="AP3022" s="4">
        <v>13</v>
      </c>
      <c r="AQ3022" s="4">
        <v>17</v>
      </c>
      <c r="AR3022" s="3" t="s">
        <v>64</v>
      </c>
      <c r="AS3022" s="3" t="s">
        <v>64</v>
      </c>
      <c r="AT3022" s="3" t="s">
        <v>64</v>
      </c>
      <c r="AV3022" s="6" t="str">
        <f>HYPERLINK("http://mcgill.on.worldcat.org/oclc/436158525","Catalog Record")</f>
        <v>Catalog Record</v>
      </c>
      <c r="AW3022" s="6" t="str">
        <f>HYPERLINK("http://www.worldcat.org/oclc/436158525","WorldCat Record")</f>
        <v>WorldCat Record</v>
      </c>
      <c r="AX3022" s="3" t="s">
        <v>30258</v>
      </c>
      <c r="AY3022" s="3" t="s">
        <v>30259</v>
      </c>
      <c r="AZ3022" s="3" t="s">
        <v>30260</v>
      </c>
      <c r="BA3022" s="3" t="s">
        <v>30260</v>
      </c>
      <c r="BB3022" s="3" t="s">
        <v>30261</v>
      </c>
      <c r="BC3022" s="3" t="s">
        <v>77</v>
      </c>
      <c r="BD3022" s="3" t="s">
        <v>78</v>
      </c>
      <c r="BE3022" s="3" t="s">
        <v>30262</v>
      </c>
      <c r="BF3022" s="3" t="s">
        <v>30261</v>
      </c>
      <c r="BG3022" s="3" t="s">
        <v>30263</v>
      </c>
      <c r="BH3022">
        <f t="shared" si="74"/>
        <v>0</v>
      </c>
    </row>
    <row r="3023" spans="1:60" ht="58" x14ac:dyDescent="0.35">
      <c r="A3023" s="2" t="s">
        <v>59</v>
      </c>
      <c r="B3023" s="2" t="s">
        <v>60</v>
      </c>
      <c r="C3023" s="2" t="s">
        <v>30264</v>
      </c>
      <c r="D3023" s="2" t="s">
        <v>30265</v>
      </c>
      <c r="E3023" s="2" t="s">
        <v>30266</v>
      </c>
      <c r="G3023" s="3" t="s">
        <v>64</v>
      </c>
      <c r="I3023" s="3" t="s">
        <v>64</v>
      </c>
      <c r="J3023" s="3" t="s">
        <v>64</v>
      </c>
      <c r="K3023" s="3" t="s">
        <v>65</v>
      </c>
      <c r="L3023" s="2" t="s">
        <v>30267</v>
      </c>
      <c r="M3023" s="2" t="s">
        <v>14552</v>
      </c>
      <c r="N3023" s="3" t="s">
        <v>537</v>
      </c>
      <c r="P3023" s="3" t="s">
        <v>102</v>
      </c>
      <c r="R3023" s="3" t="s">
        <v>70</v>
      </c>
      <c r="S3023" s="4">
        <v>0</v>
      </c>
      <c r="T3023" s="4">
        <v>0</v>
      </c>
      <c r="W3023" s="5" t="s">
        <v>72</v>
      </c>
      <c r="X3023" s="5" t="s">
        <v>72</v>
      </c>
      <c r="Y3023" s="4">
        <v>216</v>
      </c>
      <c r="Z3023" s="4">
        <v>6</v>
      </c>
      <c r="AA3023" s="4">
        <v>75</v>
      </c>
      <c r="AB3023" s="4">
        <v>1</v>
      </c>
      <c r="AC3023" s="4">
        <v>15</v>
      </c>
      <c r="AD3023" s="4">
        <v>27</v>
      </c>
      <c r="AE3023" s="4">
        <v>89</v>
      </c>
      <c r="AF3023" s="4">
        <v>0</v>
      </c>
      <c r="AG3023" s="4">
        <v>8</v>
      </c>
      <c r="AH3023" s="4">
        <v>27</v>
      </c>
      <c r="AI3023" s="4">
        <v>59</v>
      </c>
      <c r="AJ3023" s="4">
        <v>1</v>
      </c>
      <c r="AK3023" s="4">
        <v>16</v>
      </c>
      <c r="AL3023" s="4">
        <v>12</v>
      </c>
      <c r="AM3023" s="4">
        <v>30</v>
      </c>
      <c r="AN3023" s="4">
        <v>0</v>
      </c>
      <c r="AO3023" s="4">
        <v>0</v>
      </c>
      <c r="AP3023" s="4">
        <v>1</v>
      </c>
      <c r="AQ3023" s="4">
        <v>35</v>
      </c>
      <c r="AR3023" s="3" t="s">
        <v>64</v>
      </c>
      <c r="AS3023" s="3" t="s">
        <v>64</v>
      </c>
      <c r="AT3023" s="3" t="s">
        <v>64</v>
      </c>
      <c r="AV3023" s="6" t="str">
        <f>HYPERLINK("http://mcgill.on.worldcat.org/oclc/951612173","Catalog Record")</f>
        <v>Catalog Record</v>
      </c>
      <c r="AW3023" s="6" t="str">
        <f>HYPERLINK("http://www.worldcat.org/oclc/951612173","WorldCat Record")</f>
        <v>WorldCat Record</v>
      </c>
      <c r="AX3023" s="3" t="s">
        <v>30268</v>
      </c>
      <c r="AY3023" s="3" t="s">
        <v>30269</v>
      </c>
      <c r="AZ3023" s="3" t="s">
        <v>30270</v>
      </c>
      <c r="BA3023" s="3" t="s">
        <v>30270</v>
      </c>
      <c r="BB3023" s="3" t="s">
        <v>30271</v>
      </c>
      <c r="BC3023" s="3" t="s">
        <v>77</v>
      </c>
      <c r="BD3023" s="3" t="s">
        <v>78</v>
      </c>
      <c r="BE3023" s="3" t="s">
        <v>30272</v>
      </c>
      <c r="BF3023" s="3" t="s">
        <v>30271</v>
      </c>
      <c r="BG3023" s="3" t="s">
        <v>30273</v>
      </c>
      <c r="BH3023">
        <f t="shared" si="74"/>
        <v>0</v>
      </c>
    </row>
    <row r="3024" spans="1:60" ht="58" x14ac:dyDescent="0.35">
      <c r="A3024" s="2" t="s">
        <v>59</v>
      </c>
      <c r="B3024" s="2" t="s">
        <v>60</v>
      </c>
      <c r="C3024" s="2" t="s">
        <v>30274</v>
      </c>
      <c r="D3024" s="2" t="s">
        <v>30275</v>
      </c>
      <c r="E3024" s="2" t="s">
        <v>30276</v>
      </c>
      <c r="G3024" s="3" t="s">
        <v>64</v>
      </c>
      <c r="I3024" s="3" t="s">
        <v>64</v>
      </c>
      <c r="J3024" s="3" t="s">
        <v>64</v>
      </c>
      <c r="K3024" s="3" t="s">
        <v>65</v>
      </c>
      <c r="L3024" s="2" t="s">
        <v>30277</v>
      </c>
      <c r="M3024" s="2" t="s">
        <v>14044</v>
      </c>
      <c r="N3024" s="3" t="s">
        <v>326</v>
      </c>
      <c r="P3024" s="3" t="s">
        <v>102</v>
      </c>
      <c r="R3024" s="3" t="s">
        <v>70</v>
      </c>
      <c r="S3024" s="4">
        <v>3</v>
      </c>
      <c r="T3024" s="4">
        <v>3</v>
      </c>
      <c r="U3024" s="5" t="s">
        <v>980</v>
      </c>
      <c r="V3024" s="5" t="s">
        <v>980</v>
      </c>
      <c r="W3024" s="5" t="s">
        <v>72</v>
      </c>
      <c r="X3024" s="5" t="s">
        <v>72</v>
      </c>
      <c r="Y3024" s="4">
        <v>443</v>
      </c>
      <c r="Z3024" s="4">
        <v>17</v>
      </c>
      <c r="AA3024" s="4">
        <v>104</v>
      </c>
      <c r="AB3024" s="4">
        <v>1</v>
      </c>
      <c r="AC3024" s="4">
        <v>19</v>
      </c>
      <c r="AD3024" s="4">
        <v>47</v>
      </c>
      <c r="AE3024" s="4">
        <v>113</v>
      </c>
      <c r="AF3024" s="4">
        <v>0</v>
      </c>
      <c r="AG3024" s="4">
        <v>8</v>
      </c>
      <c r="AH3024" s="4">
        <v>46</v>
      </c>
      <c r="AI3024" s="4">
        <v>78</v>
      </c>
      <c r="AJ3024" s="4">
        <v>4</v>
      </c>
      <c r="AK3024" s="4">
        <v>19</v>
      </c>
      <c r="AL3024" s="4">
        <v>17</v>
      </c>
      <c r="AM3024" s="4">
        <v>36</v>
      </c>
      <c r="AN3024" s="4">
        <v>0</v>
      </c>
      <c r="AO3024" s="4">
        <v>0</v>
      </c>
      <c r="AP3024" s="4">
        <v>4</v>
      </c>
      <c r="AQ3024" s="4">
        <v>40</v>
      </c>
      <c r="AR3024" s="3" t="s">
        <v>64</v>
      </c>
      <c r="AS3024" s="3" t="s">
        <v>64</v>
      </c>
      <c r="AT3024" s="3" t="s">
        <v>64</v>
      </c>
      <c r="AV3024" s="6" t="str">
        <f>HYPERLINK("http://mcgill.on.worldcat.org/oclc/729721250","Catalog Record")</f>
        <v>Catalog Record</v>
      </c>
      <c r="AW3024" s="6" t="str">
        <f>HYPERLINK("http://www.worldcat.org/oclc/729721250","WorldCat Record")</f>
        <v>WorldCat Record</v>
      </c>
      <c r="AX3024" s="3" t="s">
        <v>30278</v>
      </c>
      <c r="AY3024" s="3" t="s">
        <v>30279</v>
      </c>
      <c r="AZ3024" s="3" t="s">
        <v>30280</v>
      </c>
      <c r="BA3024" s="3" t="s">
        <v>30280</v>
      </c>
      <c r="BB3024" s="3" t="s">
        <v>30281</v>
      </c>
      <c r="BC3024" s="3" t="s">
        <v>77</v>
      </c>
      <c r="BD3024" s="3" t="s">
        <v>78</v>
      </c>
      <c r="BE3024" s="3" t="s">
        <v>30282</v>
      </c>
      <c r="BF3024" s="3" t="s">
        <v>30281</v>
      </c>
      <c r="BG3024" s="3" t="s">
        <v>30283</v>
      </c>
      <c r="BH3024">
        <f t="shared" si="74"/>
        <v>0</v>
      </c>
    </row>
    <row r="3025" spans="1:60" ht="58" x14ac:dyDescent="0.35">
      <c r="A3025" s="2" t="s">
        <v>59</v>
      </c>
      <c r="B3025" s="2" t="s">
        <v>60</v>
      </c>
      <c r="C3025" s="2" t="s">
        <v>30284</v>
      </c>
      <c r="D3025" s="2" t="s">
        <v>30285</v>
      </c>
      <c r="E3025" s="2" t="s">
        <v>30286</v>
      </c>
      <c r="G3025" s="3" t="s">
        <v>64</v>
      </c>
      <c r="I3025" s="3" t="s">
        <v>64</v>
      </c>
      <c r="J3025" s="3" t="s">
        <v>64</v>
      </c>
      <c r="K3025" s="3" t="s">
        <v>65</v>
      </c>
      <c r="L3025" s="2" t="s">
        <v>30287</v>
      </c>
      <c r="M3025" s="2" t="s">
        <v>15272</v>
      </c>
      <c r="N3025" s="3" t="s">
        <v>291</v>
      </c>
      <c r="P3025" s="3" t="s">
        <v>102</v>
      </c>
      <c r="R3025" s="3" t="s">
        <v>70</v>
      </c>
      <c r="S3025" s="4">
        <v>16</v>
      </c>
      <c r="T3025" s="4">
        <v>16</v>
      </c>
      <c r="U3025" s="5" t="s">
        <v>317</v>
      </c>
      <c r="V3025" s="5" t="s">
        <v>317</v>
      </c>
      <c r="W3025" s="5" t="s">
        <v>72</v>
      </c>
      <c r="X3025" s="5" t="s">
        <v>72</v>
      </c>
      <c r="Y3025" s="4">
        <v>252</v>
      </c>
      <c r="Z3025" s="4">
        <v>27</v>
      </c>
      <c r="AA3025" s="4">
        <v>54</v>
      </c>
      <c r="AB3025" s="4">
        <v>2</v>
      </c>
      <c r="AC3025" s="4">
        <v>7</v>
      </c>
      <c r="AD3025" s="4">
        <v>45</v>
      </c>
      <c r="AE3025" s="4">
        <v>54</v>
      </c>
      <c r="AF3025" s="4">
        <v>0</v>
      </c>
      <c r="AG3025" s="4">
        <v>0</v>
      </c>
      <c r="AH3025" s="4">
        <v>42</v>
      </c>
      <c r="AI3025" s="4">
        <v>49</v>
      </c>
      <c r="AJ3025" s="4">
        <v>7</v>
      </c>
      <c r="AK3025" s="4">
        <v>8</v>
      </c>
      <c r="AL3025" s="4">
        <v>22</v>
      </c>
      <c r="AM3025" s="4">
        <v>23</v>
      </c>
      <c r="AN3025" s="4">
        <v>0</v>
      </c>
      <c r="AO3025" s="4">
        <v>0</v>
      </c>
      <c r="AP3025" s="4">
        <v>8</v>
      </c>
      <c r="AQ3025" s="4">
        <v>11</v>
      </c>
      <c r="AR3025" s="3" t="s">
        <v>64</v>
      </c>
      <c r="AS3025" s="3" t="s">
        <v>64</v>
      </c>
      <c r="AT3025" s="3" t="s">
        <v>64</v>
      </c>
      <c r="AV3025" s="6" t="str">
        <f>HYPERLINK("http://mcgill.on.worldcat.org/oclc/76481374","Catalog Record")</f>
        <v>Catalog Record</v>
      </c>
      <c r="AW3025" s="6" t="str">
        <f>HYPERLINK("http://www.worldcat.org/oclc/76481374","WorldCat Record")</f>
        <v>WorldCat Record</v>
      </c>
      <c r="AX3025" s="3" t="s">
        <v>30288</v>
      </c>
      <c r="AY3025" s="3" t="s">
        <v>30289</v>
      </c>
      <c r="AZ3025" s="3" t="s">
        <v>30290</v>
      </c>
      <c r="BA3025" s="3" t="s">
        <v>30290</v>
      </c>
      <c r="BB3025" s="3" t="s">
        <v>30291</v>
      </c>
      <c r="BC3025" s="3" t="s">
        <v>77</v>
      </c>
      <c r="BD3025" s="3" t="s">
        <v>78</v>
      </c>
      <c r="BE3025" s="3" t="s">
        <v>30292</v>
      </c>
      <c r="BF3025" s="3" t="s">
        <v>30291</v>
      </c>
      <c r="BG3025" s="3" t="s">
        <v>30293</v>
      </c>
      <c r="BH3025">
        <f t="shared" si="74"/>
        <v>0</v>
      </c>
    </row>
    <row r="3026" spans="1:60" ht="58" x14ac:dyDescent="0.35">
      <c r="A3026" s="2" t="s">
        <v>59</v>
      </c>
      <c r="B3026" s="2" t="s">
        <v>60</v>
      </c>
      <c r="C3026" s="2" t="s">
        <v>30294</v>
      </c>
      <c r="D3026" s="2" t="s">
        <v>30295</v>
      </c>
      <c r="E3026" s="2" t="s">
        <v>30296</v>
      </c>
      <c r="G3026" s="3" t="s">
        <v>64</v>
      </c>
      <c r="I3026" s="3" t="s">
        <v>64</v>
      </c>
      <c r="J3026" s="3" t="s">
        <v>64</v>
      </c>
      <c r="K3026" s="3" t="s">
        <v>65</v>
      </c>
      <c r="L3026" s="2" t="s">
        <v>30297</v>
      </c>
      <c r="M3026" s="2" t="s">
        <v>30298</v>
      </c>
      <c r="N3026" s="3" t="s">
        <v>2067</v>
      </c>
      <c r="P3026" s="3" t="s">
        <v>102</v>
      </c>
      <c r="R3026" s="3" t="s">
        <v>70</v>
      </c>
      <c r="S3026" s="4">
        <v>9</v>
      </c>
      <c r="T3026" s="4">
        <v>9</v>
      </c>
      <c r="U3026" s="5" t="s">
        <v>16196</v>
      </c>
      <c r="V3026" s="5" t="s">
        <v>16196</v>
      </c>
      <c r="W3026" s="5" t="s">
        <v>72</v>
      </c>
      <c r="X3026" s="5" t="s">
        <v>72</v>
      </c>
      <c r="Y3026" s="4">
        <v>36</v>
      </c>
      <c r="Z3026" s="4">
        <v>4</v>
      </c>
      <c r="AA3026" s="4">
        <v>4</v>
      </c>
      <c r="AB3026" s="4">
        <v>1</v>
      </c>
      <c r="AC3026" s="4">
        <v>1</v>
      </c>
      <c r="AD3026" s="4">
        <v>11</v>
      </c>
      <c r="AE3026" s="4">
        <v>11</v>
      </c>
      <c r="AF3026" s="4">
        <v>0</v>
      </c>
      <c r="AG3026" s="4">
        <v>0</v>
      </c>
      <c r="AH3026" s="4">
        <v>10</v>
      </c>
      <c r="AI3026" s="4">
        <v>10</v>
      </c>
      <c r="AJ3026" s="4">
        <v>1</v>
      </c>
      <c r="AK3026" s="4">
        <v>1</v>
      </c>
      <c r="AL3026" s="4">
        <v>10</v>
      </c>
      <c r="AM3026" s="4">
        <v>10</v>
      </c>
      <c r="AN3026" s="4">
        <v>0</v>
      </c>
      <c r="AO3026" s="4">
        <v>0</v>
      </c>
      <c r="AP3026" s="4">
        <v>1</v>
      </c>
      <c r="AQ3026" s="4">
        <v>1</v>
      </c>
      <c r="AR3026" s="3" t="s">
        <v>64</v>
      </c>
      <c r="AS3026" s="3" t="s">
        <v>64</v>
      </c>
      <c r="AT3026" s="3" t="s">
        <v>64</v>
      </c>
      <c r="AV3026" s="6" t="str">
        <f>HYPERLINK("http://mcgill.on.worldcat.org/oclc/28964220","Catalog Record")</f>
        <v>Catalog Record</v>
      </c>
      <c r="AW3026" s="6" t="str">
        <f>HYPERLINK("http://www.worldcat.org/oclc/28964220","WorldCat Record")</f>
        <v>WorldCat Record</v>
      </c>
      <c r="AX3026" s="3" t="s">
        <v>30299</v>
      </c>
      <c r="AY3026" s="3" t="s">
        <v>30300</v>
      </c>
      <c r="AZ3026" s="3" t="s">
        <v>30301</v>
      </c>
      <c r="BA3026" s="3" t="s">
        <v>30301</v>
      </c>
      <c r="BB3026" s="3" t="s">
        <v>30302</v>
      </c>
      <c r="BC3026" s="3" t="s">
        <v>77</v>
      </c>
      <c r="BD3026" s="3" t="s">
        <v>78</v>
      </c>
      <c r="BE3026" s="3" t="s">
        <v>30303</v>
      </c>
      <c r="BF3026" s="3" t="s">
        <v>30302</v>
      </c>
      <c r="BG3026" s="3" t="s">
        <v>30304</v>
      </c>
      <c r="BH3026">
        <f t="shared" si="74"/>
        <v>0</v>
      </c>
    </row>
    <row r="3027" spans="1:60" ht="58" x14ac:dyDescent="0.35">
      <c r="A3027" s="2" t="s">
        <v>59</v>
      </c>
      <c r="B3027" s="2" t="s">
        <v>60</v>
      </c>
      <c r="C3027" s="2" t="s">
        <v>30305</v>
      </c>
      <c r="D3027" s="2" t="s">
        <v>30306</v>
      </c>
      <c r="E3027" s="2" t="s">
        <v>30307</v>
      </c>
      <c r="G3027" s="3" t="s">
        <v>64</v>
      </c>
      <c r="I3027" s="3" t="s">
        <v>64</v>
      </c>
      <c r="J3027" s="3" t="s">
        <v>64</v>
      </c>
      <c r="K3027" s="3" t="s">
        <v>65</v>
      </c>
      <c r="L3027" s="2" t="s">
        <v>30308</v>
      </c>
      <c r="M3027" s="2" t="s">
        <v>30309</v>
      </c>
      <c r="N3027" s="3" t="s">
        <v>421</v>
      </c>
      <c r="P3027" s="3" t="s">
        <v>102</v>
      </c>
      <c r="R3027" s="3" t="s">
        <v>70</v>
      </c>
      <c r="S3027" s="4">
        <v>15</v>
      </c>
      <c r="T3027" s="4">
        <v>15</v>
      </c>
      <c r="U3027" s="5" t="s">
        <v>7374</v>
      </c>
      <c r="V3027" s="5" t="s">
        <v>7374</v>
      </c>
      <c r="W3027" s="5" t="s">
        <v>72</v>
      </c>
      <c r="X3027" s="5" t="s">
        <v>72</v>
      </c>
      <c r="Y3027" s="4">
        <v>157</v>
      </c>
      <c r="Z3027" s="4">
        <v>21</v>
      </c>
      <c r="AA3027" s="4">
        <v>25</v>
      </c>
      <c r="AB3027" s="4">
        <v>2</v>
      </c>
      <c r="AC3027" s="4">
        <v>2</v>
      </c>
      <c r="AD3027" s="4">
        <v>59</v>
      </c>
      <c r="AE3027" s="4">
        <v>63</v>
      </c>
      <c r="AF3027" s="4">
        <v>0</v>
      </c>
      <c r="AG3027" s="4">
        <v>0</v>
      </c>
      <c r="AH3027" s="4">
        <v>52</v>
      </c>
      <c r="AI3027" s="4">
        <v>53</v>
      </c>
      <c r="AJ3027" s="4">
        <v>10</v>
      </c>
      <c r="AK3027" s="4">
        <v>13</v>
      </c>
      <c r="AL3027" s="4">
        <v>28</v>
      </c>
      <c r="AM3027" s="4">
        <v>28</v>
      </c>
      <c r="AN3027" s="4">
        <v>0</v>
      </c>
      <c r="AO3027" s="4">
        <v>0</v>
      </c>
      <c r="AP3027" s="4">
        <v>11</v>
      </c>
      <c r="AQ3027" s="4">
        <v>14</v>
      </c>
      <c r="AR3027" s="3" t="s">
        <v>64</v>
      </c>
      <c r="AS3027" s="3" t="s">
        <v>64</v>
      </c>
      <c r="AT3027" s="3" t="s">
        <v>128</v>
      </c>
      <c r="AU3027" s="6" t="str">
        <f>HYPERLINK("http://catalog.hathitrust.org/Record/003970822","HathiTrust Record")</f>
        <v>HathiTrust Record</v>
      </c>
      <c r="AV3027" s="6" t="str">
        <f>HYPERLINK("http://mcgill.on.worldcat.org/oclc/35910854","Catalog Record")</f>
        <v>Catalog Record</v>
      </c>
      <c r="AW3027" s="6" t="str">
        <f>HYPERLINK("http://www.worldcat.org/oclc/35910854","WorldCat Record")</f>
        <v>WorldCat Record</v>
      </c>
      <c r="AX3027" s="3" t="s">
        <v>30310</v>
      </c>
      <c r="AY3027" s="3" t="s">
        <v>30311</v>
      </c>
      <c r="AZ3027" s="3" t="s">
        <v>30312</v>
      </c>
      <c r="BA3027" s="3" t="s">
        <v>30312</v>
      </c>
      <c r="BB3027" s="3" t="s">
        <v>30313</v>
      </c>
      <c r="BC3027" s="3" t="s">
        <v>77</v>
      </c>
      <c r="BD3027" s="3" t="s">
        <v>78</v>
      </c>
      <c r="BE3027" s="3" t="s">
        <v>30314</v>
      </c>
      <c r="BF3027" s="3" t="s">
        <v>30313</v>
      </c>
      <c r="BG3027" s="3" t="s">
        <v>30315</v>
      </c>
      <c r="BH3027">
        <f t="shared" si="74"/>
        <v>0</v>
      </c>
    </row>
    <row r="3028" spans="1:60" ht="58" x14ac:dyDescent="0.35">
      <c r="A3028" s="2" t="s">
        <v>59</v>
      </c>
      <c r="B3028" s="2" t="s">
        <v>60</v>
      </c>
      <c r="C3028" s="2" t="s">
        <v>30316</v>
      </c>
      <c r="D3028" s="2" t="s">
        <v>30317</v>
      </c>
      <c r="E3028" s="2" t="s">
        <v>30318</v>
      </c>
      <c r="G3028" s="3" t="s">
        <v>64</v>
      </c>
      <c r="I3028" s="3" t="s">
        <v>64</v>
      </c>
      <c r="J3028" s="3" t="s">
        <v>64</v>
      </c>
      <c r="K3028" s="3" t="s">
        <v>65</v>
      </c>
      <c r="M3028" s="2" t="s">
        <v>23153</v>
      </c>
      <c r="N3028" s="3" t="s">
        <v>116</v>
      </c>
      <c r="P3028" s="3" t="s">
        <v>102</v>
      </c>
      <c r="Q3028" s="2" t="s">
        <v>30319</v>
      </c>
      <c r="R3028" s="3" t="s">
        <v>70</v>
      </c>
      <c r="S3028" s="4">
        <v>13</v>
      </c>
      <c r="T3028" s="4">
        <v>13</v>
      </c>
      <c r="U3028" s="5" t="s">
        <v>317</v>
      </c>
      <c r="V3028" s="5" t="s">
        <v>317</v>
      </c>
      <c r="W3028" s="5" t="s">
        <v>72</v>
      </c>
      <c r="X3028" s="5" t="s">
        <v>72</v>
      </c>
      <c r="Y3028" s="4">
        <v>152</v>
      </c>
      <c r="Z3028" s="4">
        <v>6</v>
      </c>
      <c r="AA3028" s="4">
        <v>7</v>
      </c>
      <c r="AB3028" s="4">
        <v>2</v>
      </c>
      <c r="AC3028" s="4">
        <v>3</v>
      </c>
      <c r="AD3028" s="4">
        <v>61</v>
      </c>
      <c r="AE3028" s="4">
        <v>62</v>
      </c>
      <c r="AF3028" s="4">
        <v>0</v>
      </c>
      <c r="AG3028" s="4">
        <v>1</v>
      </c>
      <c r="AH3028" s="4">
        <v>60</v>
      </c>
      <c r="AI3028" s="4">
        <v>60</v>
      </c>
      <c r="AJ3028" s="4">
        <v>3</v>
      </c>
      <c r="AK3028" s="4">
        <v>4</v>
      </c>
      <c r="AL3028" s="4">
        <v>36</v>
      </c>
      <c r="AM3028" s="4">
        <v>36</v>
      </c>
      <c r="AN3028" s="4">
        <v>0</v>
      </c>
      <c r="AO3028" s="4">
        <v>0</v>
      </c>
      <c r="AP3028" s="4">
        <v>3</v>
      </c>
      <c r="AQ3028" s="4">
        <v>3</v>
      </c>
      <c r="AR3028" s="3" t="s">
        <v>64</v>
      </c>
      <c r="AS3028" s="3" t="s">
        <v>64</v>
      </c>
      <c r="AT3028" s="3" t="s">
        <v>128</v>
      </c>
      <c r="AU3028" s="6" t="str">
        <f>HYPERLINK("http://catalog.hathitrust.org/Record/003577313","HathiTrust Record")</f>
        <v>HathiTrust Record</v>
      </c>
      <c r="AV3028" s="6" t="str">
        <f>HYPERLINK("http://mcgill.on.worldcat.org/oclc/46872153","Catalog Record")</f>
        <v>Catalog Record</v>
      </c>
      <c r="AW3028" s="6" t="str">
        <f>HYPERLINK("http://www.worldcat.org/oclc/46872153","WorldCat Record")</f>
        <v>WorldCat Record</v>
      </c>
      <c r="AX3028" s="3" t="s">
        <v>30320</v>
      </c>
      <c r="AY3028" s="3" t="s">
        <v>30321</v>
      </c>
      <c r="AZ3028" s="3" t="s">
        <v>30322</v>
      </c>
      <c r="BA3028" s="3" t="s">
        <v>30322</v>
      </c>
      <c r="BB3028" s="3" t="s">
        <v>30323</v>
      </c>
      <c r="BC3028" s="3" t="s">
        <v>77</v>
      </c>
      <c r="BD3028" s="3" t="s">
        <v>78</v>
      </c>
      <c r="BE3028" s="3" t="s">
        <v>30324</v>
      </c>
      <c r="BF3028" s="3" t="s">
        <v>30323</v>
      </c>
      <c r="BG3028" s="3" t="s">
        <v>30325</v>
      </c>
      <c r="BH3028">
        <f t="shared" si="74"/>
        <v>0</v>
      </c>
    </row>
    <row r="3029" spans="1:60" ht="58" x14ac:dyDescent="0.35">
      <c r="A3029" s="2" t="s">
        <v>59</v>
      </c>
      <c r="B3029" s="2" t="s">
        <v>60</v>
      </c>
      <c r="C3029" s="2" t="s">
        <v>30326</v>
      </c>
      <c r="D3029" s="2" t="s">
        <v>30327</v>
      </c>
      <c r="E3029" s="2" t="s">
        <v>30328</v>
      </c>
      <c r="G3029" s="3" t="s">
        <v>64</v>
      </c>
      <c r="I3029" s="3" t="s">
        <v>64</v>
      </c>
      <c r="J3029" s="3" t="s">
        <v>64</v>
      </c>
      <c r="K3029" s="3" t="s">
        <v>65</v>
      </c>
      <c r="M3029" s="2" t="s">
        <v>30329</v>
      </c>
      <c r="N3029" s="3" t="s">
        <v>253</v>
      </c>
      <c r="P3029" s="3" t="s">
        <v>102</v>
      </c>
      <c r="Q3029" s="2" t="s">
        <v>30330</v>
      </c>
      <c r="R3029" s="3" t="s">
        <v>70</v>
      </c>
      <c r="S3029" s="4">
        <v>3</v>
      </c>
      <c r="T3029" s="4">
        <v>3</v>
      </c>
      <c r="U3029" s="5" t="s">
        <v>30331</v>
      </c>
      <c r="V3029" s="5" t="s">
        <v>30331</v>
      </c>
      <c r="W3029" s="5" t="s">
        <v>72</v>
      </c>
      <c r="X3029" s="5" t="s">
        <v>72</v>
      </c>
      <c r="Y3029" s="4">
        <v>16</v>
      </c>
      <c r="Z3029" s="4">
        <v>3</v>
      </c>
      <c r="AA3029" s="4">
        <v>75</v>
      </c>
      <c r="AB3029" s="4">
        <v>1</v>
      </c>
      <c r="AC3029" s="4">
        <v>15</v>
      </c>
      <c r="AD3029" s="4">
        <v>2</v>
      </c>
      <c r="AE3029" s="4">
        <v>76</v>
      </c>
      <c r="AF3029" s="4">
        <v>0</v>
      </c>
      <c r="AG3029" s="4">
        <v>8</v>
      </c>
      <c r="AH3029" s="4">
        <v>2</v>
      </c>
      <c r="AI3029" s="4">
        <v>45</v>
      </c>
      <c r="AJ3029" s="4">
        <v>1</v>
      </c>
      <c r="AK3029" s="4">
        <v>18</v>
      </c>
      <c r="AL3029" s="4">
        <v>1</v>
      </c>
      <c r="AM3029" s="4">
        <v>20</v>
      </c>
      <c r="AN3029" s="4">
        <v>0</v>
      </c>
      <c r="AO3029" s="4">
        <v>0</v>
      </c>
      <c r="AP3029" s="4">
        <v>1</v>
      </c>
      <c r="AQ3029" s="4">
        <v>37</v>
      </c>
      <c r="AR3029" s="3" t="s">
        <v>64</v>
      </c>
      <c r="AS3029" s="3" t="s">
        <v>64</v>
      </c>
      <c r="AT3029" s="3" t="s">
        <v>64</v>
      </c>
      <c r="AV3029" s="6" t="str">
        <f>HYPERLINK("http://mcgill.on.worldcat.org/oclc/921522583","Catalog Record")</f>
        <v>Catalog Record</v>
      </c>
      <c r="AW3029" s="6" t="str">
        <f>HYPERLINK("http://www.worldcat.org/oclc/921522583","WorldCat Record")</f>
        <v>WorldCat Record</v>
      </c>
      <c r="AX3029" s="3" t="s">
        <v>30332</v>
      </c>
      <c r="AY3029" s="3" t="s">
        <v>30333</v>
      </c>
      <c r="AZ3029" s="3" t="s">
        <v>30334</v>
      </c>
      <c r="BA3029" s="3" t="s">
        <v>30334</v>
      </c>
      <c r="BB3029" s="3" t="s">
        <v>30335</v>
      </c>
      <c r="BC3029" s="3" t="s">
        <v>77</v>
      </c>
      <c r="BD3029" s="3" t="s">
        <v>78</v>
      </c>
      <c r="BE3029" s="3" t="s">
        <v>30336</v>
      </c>
      <c r="BF3029" s="3" t="s">
        <v>30335</v>
      </c>
      <c r="BG3029" s="3" t="s">
        <v>30337</v>
      </c>
      <c r="BH3029">
        <f t="shared" si="74"/>
        <v>0</v>
      </c>
    </row>
    <row r="3030" spans="1:60" ht="58" x14ac:dyDescent="0.35">
      <c r="A3030" s="2" t="s">
        <v>59</v>
      </c>
      <c r="B3030" s="2" t="s">
        <v>60</v>
      </c>
      <c r="C3030" s="2" t="s">
        <v>30338</v>
      </c>
      <c r="D3030" s="2" t="s">
        <v>30339</v>
      </c>
      <c r="E3030" s="2" t="s">
        <v>30340</v>
      </c>
      <c r="G3030" s="3" t="s">
        <v>64</v>
      </c>
      <c r="I3030" s="3" t="s">
        <v>64</v>
      </c>
      <c r="J3030" s="3" t="s">
        <v>64</v>
      </c>
      <c r="K3030" s="3" t="s">
        <v>65</v>
      </c>
      <c r="L3030" s="2" t="s">
        <v>30341</v>
      </c>
      <c r="M3030" s="2" t="s">
        <v>15858</v>
      </c>
      <c r="N3030" s="3" t="s">
        <v>1275</v>
      </c>
      <c r="P3030" s="3" t="s">
        <v>102</v>
      </c>
      <c r="R3030" s="3" t="s">
        <v>70</v>
      </c>
      <c r="S3030" s="4">
        <v>3</v>
      </c>
      <c r="T3030" s="4">
        <v>3</v>
      </c>
      <c r="U3030" s="5" t="s">
        <v>30342</v>
      </c>
      <c r="V3030" s="5" t="s">
        <v>30342</v>
      </c>
      <c r="W3030" s="5" t="s">
        <v>72</v>
      </c>
      <c r="X3030" s="5" t="s">
        <v>72</v>
      </c>
      <c r="Y3030" s="4">
        <v>211</v>
      </c>
      <c r="Z3030" s="4">
        <v>9</v>
      </c>
      <c r="AA3030" s="4">
        <v>35</v>
      </c>
      <c r="AB3030" s="4">
        <v>1</v>
      </c>
      <c r="AC3030" s="4">
        <v>6</v>
      </c>
      <c r="AD3030" s="4">
        <v>69</v>
      </c>
      <c r="AE3030" s="4">
        <v>72</v>
      </c>
      <c r="AF3030" s="4">
        <v>0</v>
      </c>
      <c r="AG3030" s="4">
        <v>0</v>
      </c>
      <c r="AH3030" s="4">
        <v>67</v>
      </c>
      <c r="AI3030" s="4">
        <v>68</v>
      </c>
      <c r="AJ3030" s="4">
        <v>7</v>
      </c>
      <c r="AK3030" s="4">
        <v>7</v>
      </c>
      <c r="AL3030" s="4">
        <v>34</v>
      </c>
      <c r="AM3030" s="4">
        <v>34</v>
      </c>
      <c r="AN3030" s="4">
        <v>0</v>
      </c>
      <c r="AO3030" s="4">
        <v>0</v>
      </c>
      <c r="AP3030" s="4">
        <v>7</v>
      </c>
      <c r="AQ3030" s="4">
        <v>9</v>
      </c>
      <c r="AR3030" s="3" t="s">
        <v>64</v>
      </c>
      <c r="AS3030" s="3" t="s">
        <v>64</v>
      </c>
      <c r="AT3030" s="3" t="s">
        <v>64</v>
      </c>
      <c r="AV3030" s="6" t="str">
        <f>HYPERLINK("http://mcgill.on.worldcat.org/oclc/56194824","Catalog Record")</f>
        <v>Catalog Record</v>
      </c>
      <c r="AW3030" s="6" t="str">
        <f>HYPERLINK("http://www.worldcat.org/oclc/56194824","WorldCat Record")</f>
        <v>WorldCat Record</v>
      </c>
      <c r="AX3030" s="3" t="s">
        <v>30343</v>
      </c>
      <c r="AY3030" s="3" t="s">
        <v>30344</v>
      </c>
      <c r="AZ3030" s="3" t="s">
        <v>30345</v>
      </c>
      <c r="BA3030" s="3" t="s">
        <v>30345</v>
      </c>
      <c r="BB3030" s="3" t="s">
        <v>30346</v>
      </c>
      <c r="BC3030" s="3" t="s">
        <v>77</v>
      </c>
      <c r="BD3030" s="3" t="s">
        <v>78</v>
      </c>
      <c r="BE3030" s="3" t="s">
        <v>30347</v>
      </c>
      <c r="BF3030" s="3" t="s">
        <v>30346</v>
      </c>
      <c r="BG3030" s="3" t="s">
        <v>30348</v>
      </c>
      <c r="BH3030">
        <f t="shared" si="74"/>
        <v>0</v>
      </c>
    </row>
    <row r="3031" spans="1:60" ht="58" x14ac:dyDescent="0.35">
      <c r="A3031" s="2" t="s">
        <v>59</v>
      </c>
      <c r="B3031" s="2" t="s">
        <v>60</v>
      </c>
      <c r="C3031" s="2" t="s">
        <v>30349</v>
      </c>
      <c r="D3031" s="2" t="s">
        <v>30350</v>
      </c>
      <c r="E3031" s="2" t="s">
        <v>30351</v>
      </c>
      <c r="G3031" s="3" t="s">
        <v>64</v>
      </c>
      <c r="I3031" s="3" t="s">
        <v>64</v>
      </c>
      <c r="J3031" s="3" t="s">
        <v>64</v>
      </c>
      <c r="K3031" s="3" t="s">
        <v>65</v>
      </c>
      <c r="M3031" s="2" t="s">
        <v>30352</v>
      </c>
      <c r="N3031" s="3" t="s">
        <v>1075</v>
      </c>
      <c r="P3031" s="3" t="s">
        <v>102</v>
      </c>
      <c r="R3031" s="3" t="s">
        <v>70</v>
      </c>
      <c r="S3031" s="4">
        <v>8</v>
      </c>
      <c r="T3031" s="4">
        <v>8</v>
      </c>
      <c r="U3031" s="5" t="s">
        <v>317</v>
      </c>
      <c r="V3031" s="5" t="s">
        <v>317</v>
      </c>
      <c r="W3031" s="5" t="s">
        <v>72</v>
      </c>
      <c r="X3031" s="5" t="s">
        <v>72</v>
      </c>
      <c r="Y3031" s="4">
        <v>285</v>
      </c>
      <c r="Z3031" s="4">
        <v>22</v>
      </c>
      <c r="AA3031" s="4">
        <v>81</v>
      </c>
      <c r="AB3031" s="4">
        <v>1</v>
      </c>
      <c r="AC3031" s="4">
        <v>15</v>
      </c>
      <c r="AD3031" s="4">
        <v>32</v>
      </c>
      <c r="AE3031" s="4">
        <v>105</v>
      </c>
      <c r="AF3031" s="4">
        <v>0</v>
      </c>
      <c r="AG3031" s="4">
        <v>8</v>
      </c>
      <c r="AH3031" s="4">
        <v>29</v>
      </c>
      <c r="AI3031" s="4">
        <v>74</v>
      </c>
      <c r="AJ3031" s="4">
        <v>6</v>
      </c>
      <c r="AK3031" s="4">
        <v>19</v>
      </c>
      <c r="AL3031" s="4">
        <v>16</v>
      </c>
      <c r="AM3031" s="4">
        <v>38</v>
      </c>
      <c r="AN3031" s="4">
        <v>0</v>
      </c>
      <c r="AO3031" s="4">
        <v>0</v>
      </c>
      <c r="AP3031" s="4">
        <v>8</v>
      </c>
      <c r="AQ3031" s="4">
        <v>36</v>
      </c>
      <c r="AR3031" s="3" t="s">
        <v>64</v>
      </c>
      <c r="AS3031" s="3" t="s">
        <v>64</v>
      </c>
      <c r="AT3031" s="3" t="s">
        <v>64</v>
      </c>
      <c r="AV3031" s="6" t="str">
        <f>HYPERLINK("http://mcgill.on.worldcat.org/oclc/802321353","Catalog Record")</f>
        <v>Catalog Record</v>
      </c>
      <c r="AW3031" s="6" t="str">
        <f>HYPERLINK("http://www.worldcat.org/oclc/802321353","WorldCat Record")</f>
        <v>WorldCat Record</v>
      </c>
      <c r="AX3031" s="3" t="s">
        <v>30353</v>
      </c>
      <c r="AY3031" s="3" t="s">
        <v>30354</v>
      </c>
      <c r="AZ3031" s="3" t="s">
        <v>30355</v>
      </c>
      <c r="BA3031" s="3" t="s">
        <v>30355</v>
      </c>
      <c r="BB3031" s="3" t="s">
        <v>30356</v>
      </c>
      <c r="BC3031" s="3" t="s">
        <v>77</v>
      </c>
      <c r="BD3031" s="3" t="s">
        <v>78</v>
      </c>
      <c r="BE3031" s="3" t="s">
        <v>30357</v>
      </c>
      <c r="BF3031" s="3" t="s">
        <v>30356</v>
      </c>
      <c r="BG3031" s="3" t="s">
        <v>30358</v>
      </c>
      <c r="BH3031">
        <f t="shared" si="74"/>
        <v>0</v>
      </c>
    </row>
    <row r="3032" spans="1:60" ht="58" x14ac:dyDescent="0.35">
      <c r="A3032" s="2" t="s">
        <v>59</v>
      </c>
      <c r="B3032" s="2" t="s">
        <v>60</v>
      </c>
      <c r="C3032" s="2" t="s">
        <v>30359</v>
      </c>
      <c r="D3032" s="2" t="s">
        <v>30360</v>
      </c>
      <c r="E3032" s="2" t="s">
        <v>30361</v>
      </c>
      <c r="G3032" s="3" t="s">
        <v>64</v>
      </c>
      <c r="I3032" s="3" t="s">
        <v>64</v>
      </c>
      <c r="J3032" s="3" t="s">
        <v>64</v>
      </c>
      <c r="K3032" s="3" t="s">
        <v>65</v>
      </c>
      <c r="M3032" s="2" t="s">
        <v>30362</v>
      </c>
      <c r="N3032" s="3" t="s">
        <v>153</v>
      </c>
      <c r="P3032" s="3" t="s">
        <v>102</v>
      </c>
      <c r="R3032" s="3" t="s">
        <v>70</v>
      </c>
      <c r="S3032" s="4">
        <v>39</v>
      </c>
      <c r="T3032" s="4">
        <v>39</v>
      </c>
      <c r="U3032" s="5" t="s">
        <v>317</v>
      </c>
      <c r="V3032" s="5" t="s">
        <v>317</v>
      </c>
      <c r="W3032" s="5" t="s">
        <v>72</v>
      </c>
      <c r="X3032" s="5" t="s">
        <v>72</v>
      </c>
      <c r="Y3032" s="4">
        <v>252</v>
      </c>
      <c r="Z3032" s="4">
        <v>8</v>
      </c>
      <c r="AA3032" s="4">
        <v>8</v>
      </c>
      <c r="AB3032" s="4">
        <v>1</v>
      </c>
      <c r="AC3032" s="4">
        <v>1</v>
      </c>
      <c r="AD3032" s="4">
        <v>75</v>
      </c>
      <c r="AE3032" s="4">
        <v>76</v>
      </c>
      <c r="AF3032" s="4">
        <v>0</v>
      </c>
      <c r="AG3032" s="4">
        <v>0</v>
      </c>
      <c r="AH3032" s="4">
        <v>71</v>
      </c>
      <c r="AI3032" s="4">
        <v>72</v>
      </c>
      <c r="AJ3032" s="4">
        <v>6</v>
      </c>
      <c r="AK3032" s="4">
        <v>6</v>
      </c>
      <c r="AL3032" s="4">
        <v>39</v>
      </c>
      <c r="AM3032" s="4">
        <v>39</v>
      </c>
      <c r="AN3032" s="4">
        <v>0</v>
      </c>
      <c r="AO3032" s="4">
        <v>0</v>
      </c>
      <c r="AP3032" s="4">
        <v>6</v>
      </c>
      <c r="AQ3032" s="4">
        <v>6</v>
      </c>
      <c r="AR3032" s="3" t="s">
        <v>64</v>
      </c>
      <c r="AS3032" s="3" t="s">
        <v>64</v>
      </c>
      <c r="AT3032" s="3" t="s">
        <v>64</v>
      </c>
      <c r="AV3032" s="6" t="str">
        <f>HYPERLINK("http://mcgill.on.worldcat.org/oclc/37157580","Catalog Record")</f>
        <v>Catalog Record</v>
      </c>
      <c r="AW3032" s="6" t="str">
        <f>HYPERLINK("http://www.worldcat.org/oclc/37157580","WorldCat Record")</f>
        <v>WorldCat Record</v>
      </c>
      <c r="AX3032" s="3" t="s">
        <v>30363</v>
      </c>
      <c r="AY3032" s="3" t="s">
        <v>30364</v>
      </c>
      <c r="AZ3032" s="3" t="s">
        <v>30365</v>
      </c>
      <c r="BA3032" s="3" t="s">
        <v>30365</v>
      </c>
      <c r="BB3032" s="3" t="s">
        <v>30366</v>
      </c>
      <c r="BC3032" s="3" t="s">
        <v>77</v>
      </c>
      <c r="BD3032" s="3" t="s">
        <v>78</v>
      </c>
      <c r="BE3032" s="3" t="s">
        <v>30367</v>
      </c>
      <c r="BF3032" s="3" t="s">
        <v>30366</v>
      </c>
      <c r="BG3032" s="3" t="s">
        <v>30368</v>
      </c>
      <c r="BH3032">
        <f t="shared" si="74"/>
        <v>0</v>
      </c>
    </row>
    <row r="3033" spans="1:60" ht="58" x14ac:dyDescent="0.35">
      <c r="A3033" s="2" t="s">
        <v>59</v>
      </c>
      <c r="B3033" s="2" t="s">
        <v>60</v>
      </c>
      <c r="C3033" s="2" t="s">
        <v>30369</v>
      </c>
      <c r="D3033" s="2" t="s">
        <v>30370</v>
      </c>
      <c r="E3033" s="2" t="s">
        <v>30371</v>
      </c>
      <c r="G3033" s="3" t="s">
        <v>64</v>
      </c>
      <c r="I3033" s="3" t="s">
        <v>64</v>
      </c>
      <c r="J3033" s="3" t="s">
        <v>64</v>
      </c>
      <c r="K3033" s="3" t="s">
        <v>183</v>
      </c>
      <c r="L3033" s="2" t="s">
        <v>30372</v>
      </c>
      <c r="M3033" s="2" t="s">
        <v>30373</v>
      </c>
      <c r="N3033" s="3" t="s">
        <v>1763</v>
      </c>
      <c r="P3033" s="3" t="s">
        <v>102</v>
      </c>
      <c r="Q3033" s="2" t="s">
        <v>30374</v>
      </c>
      <c r="R3033" s="3" t="s">
        <v>70</v>
      </c>
      <c r="S3033" s="4">
        <v>9</v>
      </c>
      <c r="T3033" s="4">
        <v>9</v>
      </c>
      <c r="U3033" s="5" t="s">
        <v>12109</v>
      </c>
      <c r="V3033" s="5" t="s">
        <v>12109</v>
      </c>
      <c r="W3033" s="5" t="s">
        <v>72</v>
      </c>
      <c r="X3033" s="5" t="s">
        <v>72</v>
      </c>
      <c r="Y3033" s="4">
        <v>121</v>
      </c>
      <c r="Z3033" s="4">
        <v>6</v>
      </c>
      <c r="AA3033" s="4">
        <v>6</v>
      </c>
      <c r="AB3033" s="4">
        <v>1</v>
      </c>
      <c r="AC3033" s="4">
        <v>1</v>
      </c>
      <c r="AD3033" s="4">
        <v>43</v>
      </c>
      <c r="AE3033" s="4">
        <v>46</v>
      </c>
      <c r="AF3033" s="4">
        <v>0</v>
      </c>
      <c r="AG3033" s="4">
        <v>0</v>
      </c>
      <c r="AH3033" s="4">
        <v>42</v>
      </c>
      <c r="AI3033" s="4">
        <v>45</v>
      </c>
      <c r="AJ3033" s="4">
        <v>4</v>
      </c>
      <c r="AK3033" s="4">
        <v>4</v>
      </c>
      <c r="AL3033" s="4">
        <v>23</v>
      </c>
      <c r="AM3033" s="4">
        <v>23</v>
      </c>
      <c r="AN3033" s="4">
        <v>0</v>
      </c>
      <c r="AO3033" s="4">
        <v>0</v>
      </c>
      <c r="AP3033" s="4">
        <v>4</v>
      </c>
      <c r="AQ3033" s="4">
        <v>4</v>
      </c>
      <c r="AR3033" s="3" t="s">
        <v>64</v>
      </c>
      <c r="AS3033" s="3" t="s">
        <v>128</v>
      </c>
      <c r="AT3033" s="3" t="s">
        <v>64</v>
      </c>
      <c r="AU3033" s="6" t="str">
        <f>HYPERLINK("http://catalog.hathitrust.org/Record/000250033","HathiTrust Record")</f>
        <v>HathiTrust Record</v>
      </c>
      <c r="AV3033" s="6" t="str">
        <f>HYPERLINK("http://mcgill.on.worldcat.org/oclc/11279975","Catalog Record")</f>
        <v>Catalog Record</v>
      </c>
      <c r="AW3033" s="6" t="str">
        <f>HYPERLINK("http://www.worldcat.org/oclc/11279975","WorldCat Record")</f>
        <v>WorldCat Record</v>
      </c>
      <c r="AX3033" s="3" t="s">
        <v>30375</v>
      </c>
      <c r="AY3033" s="3" t="s">
        <v>30376</v>
      </c>
      <c r="AZ3033" s="3" t="s">
        <v>30377</v>
      </c>
      <c r="BA3033" s="3" t="s">
        <v>30377</v>
      </c>
      <c r="BB3033" s="3" t="s">
        <v>30378</v>
      </c>
      <c r="BC3033" s="3" t="s">
        <v>77</v>
      </c>
      <c r="BD3033" s="3" t="s">
        <v>78</v>
      </c>
      <c r="BF3033" s="3" t="s">
        <v>30378</v>
      </c>
      <c r="BG3033" s="3" t="s">
        <v>30379</v>
      </c>
      <c r="BH3033">
        <f t="shared" si="74"/>
        <v>0</v>
      </c>
    </row>
    <row r="3034" spans="1:60" ht="58" x14ac:dyDescent="0.35">
      <c r="A3034" s="2" t="s">
        <v>59</v>
      </c>
      <c r="B3034" s="2" t="s">
        <v>60</v>
      </c>
      <c r="C3034" s="2" t="s">
        <v>30380</v>
      </c>
      <c r="D3034" s="2" t="s">
        <v>30381</v>
      </c>
      <c r="E3034" s="2" t="s">
        <v>30382</v>
      </c>
      <c r="G3034" s="3" t="s">
        <v>64</v>
      </c>
      <c r="I3034" s="3" t="s">
        <v>64</v>
      </c>
      <c r="J3034" s="3" t="s">
        <v>128</v>
      </c>
      <c r="K3034" s="3" t="s">
        <v>65</v>
      </c>
      <c r="L3034" s="2" t="s">
        <v>30383</v>
      </c>
      <c r="M3034" s="2" t="s">
        <v>30384</v>
      </c>
      <c r="N3034" s="3" t="s">
        <v>1075</v>
      </c>
      <c r="O3034" s="2" t="s">
        <v>172</v>
      </c>
      <c r="P3034" s="3" t="s">
        <v>102</v>
      </c>
      <c r="R3034" s="3" t="s">
        <v>70</v>
      </c>
      <c r="S3034" s="4">
        <v>1</v>
      </c>
      <c r="T3034" s="4">
        <v>1</v>
      </c>
      <c r="U3034" s="5" t="s">
        <v>980</v>
      </c>
      <c r="V3034" s="5" t="s">
        <v>980</v>
      </c>
      <c r="W3034" s="5" t="s">
        <v>72</v>
      </c>
      <c r="X3034" s="5" t="s">
        <v>72</v>
      </c>
      <c r="Y3034" s="4">
        <v>484</v>
      </c>
      <c r="Z3034" s="4">
        <v>21</v>
      </c>
      <c r="AA3034" s="4">
        <v>121</v>
      </c>
      <c r="AB3034" s="4">
        <v>1</v>
      </c>
      <c r="AC3034" s="4">
        <v>20</v>
      </c>
      <c r="AD3034" s="4">
        <v>37</v>
      </c>
      <c r="AE3034" s="4">
        <v>122</v>
      </c>
      <c r="AF3034" s="4">
        <v>0</v>
      </c>
      <c r="AG3034" s="4">
        <v>8</v>
      </c>
      <c r="AH3034" s="4">
        <v>36</v>
      </c>
      <c r="AI3034" s="4">
        <v>86</v>
      </c>
      <c r="AJ3034" s="4">
        <v>5</v>
      </c>
      <c r="AK3034" s="4">
        <v>19</v>
      </c>
      <c r="AL3034" s="4">
        <v>14</v>
      </c>
      <c r="AM3034" s="4">
        <v>43</v>
      </c>
      <c r="AN3034" s="4">
        <v>0</v>
      </c>
      <c r="AO3034" s="4">
        <v>0</v>
      </c>
      <c r="AP3034" s="4">
        <v>6</v>
      </c>
      <c r="AQ3034" s="4">
        <v>41</v>
      </c>
      <c r="AR3034" s="3" t="s">
        <v>64</v>
      </c>
      <c r="AS3034" s="3" t="s">
        <v>64</v>
      </c>
      <c r="AT3034" s="3" t="s">
        <v>64</v>
      </c>
      <c r="AV3034" s="6" t="str">
        <f>HYPERLINK("http://mcgill.on.worldcat.org/oclc/781498499","Catalog Record")</f>
        <v>Catalog Record</v>
      </c>
      <c r="AW3034" s="6" t="str">
        <f>HYPERLINK("http://www.worldcat.org/oclc/781498499","WorldCat Record")</f>
        <v>WorldCat Record</v>
      </c>
      <c r="AX3034" s="3" t="s">
        <v>30385</v>
      </c>
      <c r="AY3034" s="3" t="s">
        <v>30386</v>
      </c>
      <c r="AZ3034" s="3" t="s">
        <v>30387</v>
      </c>
      <c r="BA3034" s="3" t="s">
        <v>30387</v>
      </c>
      <c r="BB3034" s="3" t="s">
        <v>30388</v>
      </c>
      <c r="BC3034" s="3" t="s">
        <v>77</v>
      </c>
      <c r="BD3034" s="3" t="s">
        <v>78</v>
      </c>
      <c r="BE3034" s="3" t="s">
        <v>30389</v>
      </c>
      <c r="BF3034" s="3" t="s">
        <v>30388</v>
      </c>
      <c r="BG3034" s="3" t="s">
        <v>30390</v>
      </c>
      <c r="BH3034">
        <f t="shared" si="74"/>
        <v>0</v>
      </c>
    </row>
    <row r="3035" spans="1:60" ht="58" x14ac:dyDescent="0.35">
      <c r="A3035" s="2" t="s">
        <v>59</v>
      </c>
      <c r="B3035" s="2" t="s">
        <v>60</v>
      </c>
      <c r="C3035" s="2" t="s">
        <v>30391</v>
      </c>
      <c r="D3035" s="2" t="s">
        <v>30392</v>
      </c>
      <c r="E3035" s="2" t="s">
        <v>30393</v>
      </c>
      <c r="G3035" s="3" t="s">
        <v>64</v>
      </c>
      <c r="I3035" s="3" t="s">
        <v>64</v>
      </c>
      <c r="J3035" s="3" t="s">
        <v>64</v>
      </c>
      <c r="K3035" s="3" t="s">
        <v>65</v>
      </c>
      <c r="M3035" s="2" t="s">
        <v>22298</v>
      </c>
      <c r="N3035" s="3" t="s">
        <v>511</v>
      </c>
      <c r="P3035" s="3" t="s">
        <v>102</v>
      </c>
      <c r="R3035" s="3" t="s">
        <v>70</v>
      </c>
      <c r="S3035" s="4">
        <v>3</v>
      </c>
      <c r="T3035" s="4">
        <v>3</v>
      </c>
      <c r="U3035" s="5" t="s">
        <v>27680</v>
      </c>
      <c r="V3035" s="5" t="s">
        <v>27680</v>
      </c>
      <c r="W3035" s="5" t="s">
        <v>72</v>
      </c>
      <c r="X3035" s="5" t="s">
        <v>72</v>
      </c>
      <c r="Y3035" s="4">
        <v>360</v>
      </c>
      <c r="Z3035" s="4">
        <v>24</v>
      </c>
      <c r="AA3035" s="4">
        <v>112</v>
      </c>
      <c r="AB3035" s="4">
        <v>2</v>
      </c>
      <c r="AC3035" s="4">
        <v>18</v>
      </c>
      <c r="AD3035" s="4">
        <v>56</v>
      </c>
      <c r="AE3035" s="4">
        <v>120</v>
      </c>
      <c r="AF3035" s="4">
        <v>0</v>
      </c>
      <c r="AG3035" s="4">
        <v>8</v>
      </c>
      <c r="AH3035" s="4">
        <v>53</v>
      </c>
      <c r="AI3035" s="4">
        <v>83</v>
      </c>
      <c r="AJ3035" s="4">
        <v>7</v>
      </c>
      <c r="AK3035" s="4">
        <v>21</v>
      </c>
      <c r="AL3035" s="4">
        <v>25</v>
      </c>
      <c r="AM3035" s="4">
        <v>41</v>
      </c>
      <c r="AN3035" s="4">
        <v>0</v>
      </c>
      <c r="AO3035" s="4">
        <v>0</v>
      </c>
      <c r="AP3035" s="4">
        <v>9</v>
      </c>
      <c r="AQ3035" s="4">
        <v>43</v>
      </c>
      <c r="AR3035" s="3" t="s">
        <v>64</v>
      </c>
      <c r="AS3035" s="3" t="s">
        <v>64</v>
      </c>
      <c r="AT3035" s="3" t="s">
        <v>64</v>
      </c>
      <c r="AV3035" s="6" t="str">
        <f>HYPERLINK("http://mcgill.on.worldcat.org/oclc/419263288","Catalog Record")</f>
        <v>Catalog Record</v>
      </c>
      <c r="AW3035" s="6" t="str">
        <f>HYPERLINK("http://www.worldcat.org/oclc/419263288","WorldCat Record")</f>
        <v>WorldCat Record</v>
      </c>
      <c r="AX3035" s="3" t="s">
        <v>30394</v>
      </c>
      <c r="AY3035" s="3" t="s">
        <v>30395</v>
      </c>
      <c r="AZ3035" s="3" t="s">
        <v>30396</v>
      </c>
      <c r="BA3035" s="3" t="s">
        <v>30396</v>
      </c>
      <c r="BB3035" s="3" t="s">
        <v>30397</v>
      </c>
      <c r="BC3035" s="3" t="s">
        <v>77</v>
      </c>
      <c r="BD3035" s="3" t="s">
        <v>78</v>
      </c>
      <c r="BE3035" s="3" t="s">
        <v>30398</v>
      </c>
      <c r="BF3035" s="3" t="s">
        <v>30397</v>
      </c>
      <c r="BG3035" s="3" t="s">
        <v>30399</v>
      </c>
      <c r="BH3035">
        <f t="shared" si="74"/>
        <v>0</v>
      </c>
    </row>
    <row r="3036" spans="1:60" ht="58" x14ac:dyDescent="0.35">
      <c r="A3036" s="2" t="s">
        <v>59</v>
      </c>
      <c r="B3036" s="2" t="s">
        <v>60</v>
      </c>
      <c r="C3036" s="2" t="s">
        <v>30400</v>
      </c>
      <c r="D3036" s="2" t="s">
        <v>30401</v>
      </c>
      <c r="E3036" s="2" t="s">
        <v>30402</v>
      </c>
      <c r="G3036" s="3" t="s">
        <v>64</v>
      </c>
      <c r="I3036" s="3" t="s">
        <v>64</v>
      </c>
      <c r="J3036" s="3" t="s">
        <v>64</v>
      </c>
      <c r="K3036" s="3" t="s">
        <v>65</v>
      </c>
      <c r="L3036" s="2" t="s">
        <v>30403</v>
      </c>
      <c r="M3036" s="2" t="s">
        <v>14826</v>
      </c>
      <c r="N3036" s="3" t="s">
        <v>1275</v>
      </c>
      <c r="P3036" s="3" t="s">
        <v>102</v>
      </c>
      <c r="Q3036" s="2" t="s">
        <v>30404</v>
      </c>
      <c r="R3036" s="3" t="s">
        <v>70</v>
      </c>
      <c r="S3036" s="4">
        <v>11</v>
      </c>
      <c r="T3036" s="4">
        <v>11</v>
      </c>
      <c r="U3036" s="5" t="s">
        <v>5324</v>
      </c>
      <c r="V3036" s="5" t="s">
        <v>5324</v>
      </c>
      <c r="W3036" s="5" t="s">
        <v>72</v>
      </c>
      <c r="X3036" s="5" t="s">
        <v>72</v>
      </c>
      <c r="Y3036" s="4">
        <v>372</v>
      </c>
      <c r="Z3036" s="4">
        <v>24</v>
      </c>
      <c r="AA3036" s="4">
        <v>25</v>
      </c>
      <c r="AB3036" s="4">
        <v>2</v>
      </c>
      <c r="AC3036" s="4">
        <v>3</v>
      </c>
      <c r="AD3036" s="4">
        <v>36</v>
      </c>
      <c r="AE3036" s="4">
        <v>37</v>
      </c>
      <c r="AF3036" s="4">
        <v>0</v>
      </c>
      <c r="AG3036" s="4">
        <v>1</v>
      </c>
      <c r="AH3036" s="4">
        <v>36</v>
      </c>
      <c r="AI3036" s="4">
        <v>36</v>
      </c>
      <c r="AJ3036" s="4">
        <v>4</v>
      </c>
      <c r="AK3036" s="4">
        <v>5</v>
      </c>
      <c r="AL3036" s="4">
        <v>15</v>
      </c>
      <c r="AM3036" s="4">
        <v>15</v>
      </c>
      <c r="AN3036" s="4">
        <v>0</v>
      </c>
      <c r="AO3036" s="4">
        <v>0</v>
      </c>
      <c r="AP3036" s="4">
        <v>4</v>
      </c>
      <c r="AQ3036" s="4">
        <v>4</v>
      </c>
      <c r="AR3036" s="3" t="s">
        <v>64</v>
      </c>
      <c r="AS3036" s="3" t="s">
        <v>64</v>
      </c>
      <c r="AT3036" s="3" t="s">
        <v>128</v>
      </c>
      <c r="AU3036" s="6" t="str">
        <f>HYPERLINK("http://catalog.hathitrust.org/Record/003899398","HathiTrust Record")</f>
        <v>HathiTrust Record</v>
      </c>
      <c r="AV3036" s="6" t="str">
        <f>HYPERLINK("http://mcgill.on.worldcat.org/oclc/52520340","Catalog Record")</f>
        <v>Catalog Record</v>
      </c>
      <c r="AW3036" s="6" t="str">
        <f>HYPERLINK("http://www.worldcat.org/oclc/52520340","WorldCat Record")</f>
        <v>WorldCat Record</v>
      </c>
      <c r="AX3036" s="3" t="s">
        <v>30405</v>
      </c>
      <c r="AY3036" s="3" t="s">
        <v>30406</v>
      </c>
      <c r="AZ3036" s="3" t="s">
        <v>30407</v>
      </c>
      <c r="BA3036" s="3" t="s">
        <v>30407</v>
      </c>
      <c r="BB3036" s="3" t="s">
        <v>30408</v>
      </c>
      <c r="BC3036" s="3" t="s">
        <v>77</v>
      </c>
      <c r="BD3036" s="3" t="s">
        <v>78</v>
      </c>
      <c r="BE3036" s="3" t="s">
        <v>30409</v>
      </c>
      <c r="BF3036" s="3" t="s">
        <v>30408</v>
      </c>
      <c r="BG3036" s="3" t="s">
        <v>30410</v>
      </c>
      <c r="BH3036">
        <f t="shared" si="74"/>
        <v>0</v>
      </c>
    </row>
    <row r="3037" spans="1:60" ht="58" x14ac:dyDescent="0.35">
      <c r="A3037" s="2" t="s">
        <v>59</v>
      </c>
      <c r="B3037" s="2" t="s">
        <v>60</v>
      </c>
      <c r="C3037" s="2" t="s">
        <v>30411</v>
      </c>
      <c r="D3037" s="2" t="s">
        <v>30412</v>
      </c>
      <c r="E3037" s="2" t="s">
        <v>30413</v>
      </c>
      <c r="G3037" s="3" t="s">
        <v>64</v>
      </c>
      <c r="I3037" s="3" t="s">
        <v>64</v>
      </c>
      <c r="J3037" s="3" t="s">
        <v>64</v>
      </c>
      <c r="K3037" s="3" t="s">
        <v>65</v>
      </c>
      <c r="L3037" s="2" t="s">
        <v>30414</v>
      </c>
      <c r="M3037" s="2" t="s">
        <v>30415</v>
      </c>
      <c r="N3037" s="3" t="s">
        <v>86</v>
      </c>
      <c r="P3037" s="3" t="s">
        <v>102</v>
      </c>
      <c r="Q3037" s="2" t="s">
        <v>22659</v>
      </c>
      <c r="R3037" s="3" t="s">
        <v>70</v>
      </c>
      <c r="S3037" s="4">
        <v>7</v>
      </c>
      <c r="T3037" s="4">
        <v>7</v>
      </c>
      <c r="U3037" s="5" t="s">
        <v>5324</v>
      </c>
      <c r="V3037" s="5" t="s">
        <v>5324</v>
      </c>
      <c r="W3037" s="5" t="s">
        <v>72</v>
      </c>
      <c r="X3037" s="5" t="s">
        <v>72</v>
      </c>
      <c r="Y3037" s="4">
        <v>122</v>
      </c>
      <c r="Z3037" s="4">
        <v>15</v>
      </c>
      <c r="AA3037" s="4">
        <v>17</v>
      </c>
      <c r="AB3037" s="4">
        <v>1</v>
      </c>
      <c r="AC3037" s="4">
        <v>3</v>
      </c>
      <c r="AD3037" s="4">
        <v>22</v>
      </c>
      <c r="AE3037" s="4">
        <v>22</v>
      </c>
      <c r="AF3037" s="4">
        <v>0</v>
      </c>
      <c r="AG3037" s="4">
        <v>0</v>
      </c>
      <c r="AH3037" s="4">
        <v>20</v>
      </c>
      <c r="AI3037" s="4">
        <v>20</v>
      </c>
      <c r="AJ3037" s="4">
        <v>5</v>
      </c>
      <c r="AK3037" s="4">
        <v>5</v>
      </c>
      <c r="AL3037" s="4">
        <v>10</v>
      </c>
      <c r="AM3037" s="4">
        <v>10</v>
      </c>
      <c r="AN3037" s="4">
        <v>0</v>
      </c>
      <c r="AO3037" s="4">
        <v>0</v>
      </c>
      <c r="AP3037" s="4">
        <v>6</v>
      </c>
      <c r="AQ3037" s="4">
        <v>6</v>
      </c>
      <c r="AR3037" s="3" t="s">
        <v>64</v>
      </c>
      <c r="AS3037" s="3" t="s">
        <v>64</v>
      </c>
      <c r="AT3037" s="3" t="s">
        <v>64</v>
      </c>
      <c r="AV3037" s="6" t="str">
        <f>HYPERLINK("http://mcgill.on.worldcat.org/oclc/759916010","Catalog Record")</f>
        <v>Catalog Record</v>
      </c>
      <c r="AW3037" s="6" t="str">
        <f>HYPERLINK("http://www.worldcat.org/oclc/759916010","WorldCat Record")</f>
        <v>WorldCat Record</v>
      </c>
      <c r="AX3037" s="3" t="s">
        <v>30416</v>
      </c>
      <c r="AY3037" s="3" t="s">
        <v>30417</v>
      </c>
      <c r="AZ3037" s="3" t="s">
        <v>30418</v>
      </c>
      <c r="BA3037" s="3" t="s">
        <v>30418</v>
      </c>
      <c r="BB3037" s="3" t="s">
        <v>30419</v>
      </c>
      <c r="BC3037" s="3" t="s">
        <v>77</v>
      </c>
      <c r="BD3037" s="3" t="s">
        <v>78</v>
      </c>
      <c r="BE3037" s="3" t="s">
        <v>30420</v>
      </c>
      <c r="BF3037" s="3" t="s">
        <v>30419</v>
      </c>
      <c r="BG3037" s="3" t="s">
        <v>30421</v>
      </c>
      <c r="BH3037">
        <f t="shared" si="74"/>
        <v>0</v>
      </c>
    </row>
    <row r="3038" spans="1:60" ht="58" x14ac:dyDescent="0.35">
      <c r="A3038" s="2" t="s">
        <v>59</v>
      </c>
      <c r="B3038" s="2" t="s">
        <v>60</v>
      </c>
      <c r="C3038" s="2" t="s">
        <v>30422</v>
      </c>
      <c r="D3038" s="2" t="s">
        <v>30423</v>
      </c>
      <c r="E3038" s="2" t="s">
        <v>30424</v>
      </c>
      <c r="G3038" s="3" t="s">
        <v>64</v>
      </c>
      <c r="I3038" s="3" t="s">
        <v>64</v>
      </c>
      <c r="J3038" s="3" t="s">
        <v>64</v>
      </c>
      <c r="K3038" s="3" t="s">
        <v>65</v>
      </c>
      <c r="L3038" s="2" t="s">
        <v>30425</v>
      </c>
      <c r="M3038" s="2" t="s">
        <v>16911</v>
      </c>
      <c r="N3038" s="3" t="s">
        <v>1075</v>
      </c>
      <c r="P3038" s="3" t="s">
        <v>102</v>
      </c>
      <c r="R3038" s="3" t="s">
        <v>70</v>
      </c>
      <c r="S3038" s="4">
        <v>5</v>
      </c>
      <c r="T3038" s="4">
        <v>5</v>
      </c>
      <c r="U3038" s="5" t="s">
        <v>5324</v>
      </c>
      <c r="V3038" s="5" t="s">
        <v>5324</v>
      </c>
      <c r="W3038" s="5" t="s">
        <v>72</v>
      </c>
      <c r="X3038" s="5" t="s">
        <v>72</v>
      </c>
      <c r="Y3038" s="4">
        <v>350</v>
      </c>
      <c r="Z3038" s="4">
        <v>18</v>
      </c>
      <c r="AA3038" s="4">
        <v>114</v>
      </c>
      <c r="AB3038" s="4">
        <v>2</v>
      </c>
      <c r="AC3038" s="4">
        <v>16</v>
      </c>
      <c r="AD3038" s="4">
        <v>40</v>
      </c>
      <c r="AE3038" s="4">
        <v>113</v>
      </c>
      <c r="AF3038" s="4">
        <v>0</v>
      </c>
      <c r="AG3038" s="4">
        <v>8</v>
      </c>
      <c r="AH3038" s="4">
        <v>39</v>
      </c>
      <c r="AI3038" s="4">
        <v>74</v>
      </c>
      <c r="AJ3038" s="4">
        <v>4</v>
      </c>
      <c r="AK3038" s="4">
        <v>20</v>
      </c>
      <c r="AL3038" s="4">
        <v>14</v>
      </c>
      <c r="AM3038" s="4">
        <v>35</v>
      </c>
      <c r="AN3038" s="4">
        <v>0</v>
      </c>
      <c r="AO3038" s="4">
        <v>0</v>
      </c>
      <c r="AP3038" s="4">
        <v>5</v>
      </c>
      <c r="AQ3038" s="4">
        <v>43</v>
      </c>
      <c r="AR3038" s="3" t="s">
        <v>64</v>
      </c>
      <c r="AS3038" s="3" t="s">
        <v>64</v>
      </c>
      <c r="AT3038" s="3" t="s">
        <v>64</v>
      </c>
      <c r="AV3038" s="6" t="str">
        <f>HYPERLINK("http://mcgill.on.worldcat.org/oclc/704391715","Catalog Record")</f>
        <v>Catalog Record</v>
      </c>
      <c r="AW3038" s="6" t="str">
        <f>HYPERLINK("http://www.worldcat.org/oclc/704391715","WorldCat Record")</f>
        <v>WorldCat Record</v>
      </c>
      <c r="AX3038" s="3" t="s">
        <v>30426</v>
      </c>
      <c r="AY3038" s="3" t="s">
        <v>30427</v>
      </c>
      <c r="AZ3038" s="3" t="s">
        <v>30428</v>
      </c>
      <c r="BA3038" s="3" t="s">
        <v>30428</v>
      </c>
      <c r="BB3038" s="3" t="s">
        <v>30429</v>
      </c>
      <c r="BC3038" s="3" t="s">
        <v>77</v>
      </c>
      <c r="BD3038" s="3" t="s">
        <v>78</v>
      </c>
      <c r="BE3038" s="3" t="s">
        <v>30430</v>
      </c>
      <c r="BF3038" s="3" t="s">
        <v>30429</v>
      </c>
      <c r="BG3038" s="3" t="s">
        <v>30431</v>
      </c>
      <c r="BH3038">
        <f t="shared" si="74"/>
        <v>0</v>
      </c>
    </row>
    <row r="3039" spans="1:60" ht="58" x14ac:dyDescent="0.35">
      <c r="A3039" s="2" t="s">
        <v>59</v>
      </c>
      <c r="B3039" s="2" t="s">
        <v>60</v>
      </c>
      <c r="C3039" s="2" t="s">
        <v>30432</v>
      </c>
      <c r="D3039" s="2" t="s">
        <v>30433</v>
      </c>
      <c r="E3039" s="2" t="s">
        <v>30434</v>
      </c>
      <c r="G3039" s="3" t="s">
        <v>64</v>
      </c>
      <c r="I3039" s="3" t="s">
        <v>64</v>
      </c>
      <c r="J3039" s="3" t="s">
        <v>64</v>
      </c>
      <c r="K3039" s="3" t="s">
        <v>65</v>
      </c>
      <c r="L3039" s="2" t="s">
        <v>22418</v>
      </c>
      <c r="M3039" s="2" t="s">
        <v>15618</v>
      </c>
      <c r="N3039" s="3" t="s">
        <v>1075</v>
      </c>
      <c r="P3039" s="3" t="s">
        <v>102</v>
      </c>
      <c r="R3039" s="3" t="s">
        <v>70</v>
      </c>
      <c r="S3039" s="4">
        <v>1</v>
      </c>
      <c r="T3039" s="4">
        <v>1</v>
      </c>
      <c r="U3039" s="5" t="s">
        <v>30435</v>
      </c>
      <c r="V3039" s="5" t="s">
        <v>30435</v>
      </c>
      <c r="W3039" s="5" t="s">
        <v>72</v>
      </c>
      <c r="X3039" s="5" t="s">
        <v>72</v>
      </c>
      <c r="Y3039" s="4">
        <v>336</v>
      </c>
      <c r="Z3039" s="4">
        <v>15</v>
      </c>
      <c r="AA3039" s="4">
        <v>85</v>
      </c>
      <c r="AB3039" s="4">
        <v>1</v>
      </c>
      <c r="AC3039" s="4">
        <v>14</v>
      </c>
      <c r="AD3039" s="4">
        <v>35</v>
      </c>
      <c r="AE3039" s="4">
        <v>104</v>
      </c>
      <c r="AF3039" s="4">
        <v>0</v>
      </c>
      <c r="AG3039" s="4">
        <v>8</v>
      </c>
      <c r="AH3039" s="4">
        <v>35</v>
      </c>
      <c r="AI3039" s="4">
        <v>69</v>
      </c>
      <c r="AJ3039" s="4">
        <v>3</v>
      </c>
      <c r="AK3039" s="4">
        <v>18</v>
      </c>
      <c r="AL3039" s="4">
        <v>11</v>
      </c>
      <c r="AM3039" s="4">
        <v>31</v>
      </c>
      <c r="AN3039" s="4">
        <v>0</v>
      </c>
      <c r="AO3039" s="4">
        <v>0</v>
      </c>
      <c r="AP3039" s="4">
        <v>3</v>
      </c>
      <c r="AQ3039" s="4">
        <v>39</v>
      </c>
      <c r="AR3039" s="3" t="s">
        <v>64</v>
      </c>
      <c r="AS3039" s="3" t="s">
        <v>64</v>
      </c>
      <c r="AT3039" s="3" t="s">
        <v>64</v>
      </c>
      <c r="AV3039" s="6" t="str">
        <f>HYPERLINK("http://mcgill.on.worldcat.org/oclc/760990526","Catalog Record")</f>
        <v>Catalog Record</v>
      </c>
      <c r="AW3039" s="6" t="str">
        <f>HYPERLINK("http://www.worldcat.org/oclc/760990526","WorldCat Record")</f>
        <v>WorldCat Record</v>
      </c>
      <c r="AX3039" s="3" t="s">
        <v>30436</v>
      </c>
      <c r="AY3039" s="3" t="s">
        <v>30437</v>
      </c>
      <c r="AZ3039" s="3" t="s">
        <v>30438</v>
      </c>
      <c r="BA3039" s="3" t="s">
        <v>30438</v>
      </c>
      <c r="BB3039" s="3" t="s">
        <v>30439</v>
      </c>
      <c r="BC3039" s="3" t="s">
        <v>77</v>
      </c>
      <c r="BD3039" s="3" t="s">
        <v>78</v>
      </c>
      <c r="BE3039" s="3" t="s">
        <v>30440</v>
      </c>
      <c r="BF3039" s="3" t="s">
        <v>30439</v>
      </c>
      <c r="BG3039" s="3" t="s">
        <v>30441</v>
      </c>
      <c r="BH3039">
        <f t="shared" si="74"/>
        <v>0</v>
      </c>
    </row>
    <row r="3040" spans="1:60" ht="58" x14ac:dyDescent="0.35">
      <c r="A3040" s="2" t="s">
        <v>59</v>
      </c>
      <c r="B3040" s="2" t="s">
        <v>60</v>
      </c>
      <c r="C3040" s="2" t="s">
        <v>30442</v>
      </c>
      <c r="D3040" s="2" t="s">
        <v>30443</v>
      </c>
      <c r="E3040" s="2" t="s">
        <v>30444</v>
      </c>
      <c r="G3040" s="3" t="s">
        <v>64</v>
      </c>
      <c r="I3040" s="3" t="s">
        <v>64</v>
      </c>
      <c r="J3040" s="3" t="s">
        <v>64</v>
      </c>
      <c r="K3040" s="3" t="s">
        <v>65</v>
      </c>
      <c r="L3040" s="2" t="s">
        <v>30445</v>
      </c>
      <c r="M3040" s="2" t="s">
        <v>15858</v>
      </c>
      <c r="N3040" s="3" t="s">
        <v>1275</v>
      </c>
      <c r="P3040" s="3" t="s">
        <v>102</v>
      </c>
      <c r="Q3040" s="2" t="s">
        <v>30446</v>
      </c>
      <c r="R3040" s="3" t="s">
        <v>70</v>
      </c>
      <c r="S3040" s="4">
        <v>6</v>
      </c>
      <c r="T3040" s="4">
        <v>6</v>
      </c>
      <c r="U3040" s="5" t="s">
        <v>13030</v>
      </c>
      <c r="V3040" s="5" t="s">
        <v>13030</v>
      </c>
      <c r="W3040" s="5" t="s">
        <v>72</v>
      </c>
      <c r="X3040" s="5" t="s">
        <v>72</v>
      </c>
      <c r="Y3040" s="4">
        <v>286</v>
      </c>
      <c r="Z3040" s="4">
        <v>16</v>
      </c>
      <c r="AA3040" s="4">
        <v>42</v>
      </c>
      <c r="AB3040" s="4">
        <v>1</v>
      </c>
      <c r="AC3040" s="4">
        <v>6</v>
      </c>
      <c r="AD3040" s="4">
        <v>30</v>
      </c>
      <c r="AE3040" s="4">
        <v>39</v>
      </c>
      <c r="AF3040" s="4">
        <v>0</v>
      </c>
      <c r="AG3040" s="4">
        <v>0</v>
      </c>
      <c r="AH3040" s="4">
        <v>28</v>
      </c>
      <c r="AI3040" s="4">
        <v>35</v>
      </c>
      <c r="AJ3040" s="4">
        <v>4</v>
      </c>
      <c r="AK3040" s="4">
        <v>4</v>
      </c>
      <c r="AL3040" s="4">
        <v>15</v>
      </c>
      <c r="AM3040" s="4">
        <v>17</v>
      </c>
      <c r="AN3040" s="4">
        <v>0</v>
      </c>
      <c r="AO3040" s="4">
        <v>0</v>
      </c>
      <c r="AP3040" s="4">
        <v>5</v>
      </c>
      <c r="AQ3040" s="4">
        <v>7</v>
      </c>
      <c r="AR3040" s="3" t="s">
        <v>64</v>
      </c>
      <c r="AS3040" s="3" t="s">
        <v>64</v>
      </c>
      <c r="AT3040" s="3" t="s">
        <v>64</v>
      </c>
      <c r="AV3040" s="6" t="str">
        <f>HYPERLINK("http://mcgill.on.worldcat.org/oclc/54753183","Catalog Record")</f>
        <v>Catalog Record</v>
      </c>
      <c r="AW3040" s="6" t="str">
        <f>HYPERLINK("http://www.worldcat.org/oclc/54753183","WorldCat Record")</f>
        <v>WorldCat Record</v>
      </c>
      <c r="AX3040" s="3" t="s">
        <v>30447</v>
      </c>
      <c r="AY3040" s="3" t="s">
        <v>30448</v>
      </c>
      <c r="AZ3040" s="3" t="s">
        <v>30449</v>
      </c>
      <c r="BA3040" s="3" t="s">
        <v>30449</v>
      </c>
      <c r="BB3040" s="3" t="s">
        <v>30450</v>
      </c>
      <c r="BC3040" s="3" t="s">
        <v>77</v>
      </c>
      <c r="BD3040" s="3" t="s">
        <v>78</v>
      </c>
      <c r="BE3040" s="3" t="s">
        <v>30451</v>
      </c>
      <c r="BF3040" s="3" t="s">
        <v>30450</v>
      </c>
      <c r="BG3040" s="3" t="s">
        <v>30452</v>
      </c>
      <c r="BH3040">
        <f t="shared" si="74"/>
        <v>0</v>
      </c>
    </row>
    <row r="3041" spans="1:60" ht="58" x14ac:dyDescent="0.35">
      <c r="A3041" s="2" t="s">
        <v>59</v>
      </c>
      <c r="B3041" s="2" t="s">
        <v>60</v>
      </c>
      <c r="C3041" s="2" t="s">
        <v>30453</v>
      </c>
      <c r="D3041" s="2" t="s">
        <v>30454</v>
      </c>
      <c r="E3041" s="2" t="s">
        <v>30455</v>
      </c>
      <c r="G3041" s="3" t="s">
        <v>64</v>
      </c>
      <c r="I3041" s="3" t="s">
        <v>64</v>
      </c>
      <c r="J3041" s="3" t="s">
        <v>64</v>
      </c>
      <c r="K3041" s="3" t="s">
        <v>65</v>
      </c>
      <c r="L3041" s="2" t="s">
        <v>15532</v>
      </c>
      <c r="M3041" s="2" t="s">
        <v>27633</v>
      </c>
      <c r="N3041" s="3" t="s">
        <v>511</v>
      </c>
      <c r="P3041" s="3" t="s">
        <v>102</v>
      </c>
      <c r="R3041" s="3" t="s">
        <v>70</v>
      </c>
      <c r="S3041" s="4">
        <v>3</v>
      </c>
      <c r="T3041" s="4">
        <v>3</v>
      </c>
      <c r="U3041" s="5" t="s">
        <v>30456</v>
      </c>
      <c r="V3041" s="5" t="s">
        <v>30456</v>
      </c>
      <c r="W3041" s="5" t="s">
        <v>72</v>
      </c>
      <c r="X3041" s="5" t="s">
        <v>72</v>
      </c>
      <c r="Y3041" s="4">
        <v>175</v>
      </c>
      <c r="Z3041" s="4">
        <v>16</v>
      </c>
      <c r="AA3041" s="4">
        <v>80</v>
      </c>
      <c r="AB3041" s="4">
        <v>1</v>
      </c>
      <c r="AC3041" s="4">
        <v>15</v>
      </c>
      <c r="AD3041" s="4">
        <v>37</v>
      </c>
      <c r="AE3041" s="4">
        <v>97</v>
      </c>
      <c r="AF3041" s="4">
        <v>0</v>
      </c>
      <c r="AG3041" s="4">
        <v>9</v>
      </c>
      <c r="AH3041" s="4">
        <v>33</v>
      </c>
      <c r="AI3041" s="4">
        <v>63</v>
      </c>
      <c r="AJ3041" s="4">
        <v>13</v>
      </c>
      <c r="AK3041" s="4">
        <v>22</v>
      </c>
      <c r="AL3041" s="4">
        <v>18</v>
      </c>
      <c r="AM3041" s="4">
        <v>32</v>
      </c>
      <c r="AN3041" s="4">
        <v>0</v>
      </c>
      <c r="AO3041" s="4">
        <v>0</v>
      </c>
      <c r="AP3041" s="4">
        <v>14</v>
      </c>
      <c r="AQ3041" s="4">
        <v>44</v>
      </c>
      <c r="AR3041" s="3" t="s">
        <v>64</v>
      </c>
      <c r="AS3041" s="3" t="s">
        <v>64</v>
      </c>
      <c r="AT3041" s="3" t="s">
        <v>64</v>
      </c>
      <c r="AV3041" s="6" t="str">
        <f>HYPERLINK("http://mcgill.on.worldcat.org/oclc/421366909","Catalog Record")</f>
        <v>Catalog Record</v>
      </c>
      <c r="AW3041" s="6" t="str">
        <f>HYPERLINK("http://www.worldcat.org/oclc/421366909","WorldCat Record")</f>
        <v>WorldCat Record</v>
      </c>
      <c r="AX3041" s="3" t="s">
        <v>30457</v>
      </c>
      <c r="AY3041" s="3" t="s">
        <v>30458</v>
      </c>
      <c r="AZ3041" s="3" t="s">
        <v>30459</v>
      </c>
      <c r="BA3041" s="3" t="s">
        <v>30459</v>
      </c>
      <c r="BB3041" s="3" t="s">
        <v>30460</v>
      </c>
      <c r="BC3041" s="3" t="s">
        <v>77</v>
      </c>
      <c r="BD3041" s="3" t="s">
        <v>78</v>
      </c>
      <c r="BE3041" s="3" t="s">
        <v>30461</v>
      </c>
      <c r="BF3041" s="3" t="s">
        <v>30460</v>
      </c>
      <c r="BG3041" s="3" t="s">
        <v>30462</v>
      </c>
      <c r="BH3041">
        <f t="shared" si="74"/>
        <v>0</v>
      </c>
    </row>
    <row r="3042" spans="1:60" ht="58" x14ac:dyDescent="0.35">
      <c r="A3042" s="2" t="s">
        <v>59</v>
      </c>
      <c r="B3042" s="2" t="s">
        <v>60</v>
      </c>
      <c r="C3042" s="2" t="s">
        <v>30463</v>
      </c>
      <c r="D3042" s="2" t="s">
        <v>30464</v>
      </c>
      <c r="E3042" s="2" t="s">
        <v>30465</v>
      </c>
      <c r="G3042" s="3" t="s">
        <v>64</v>
      </c>
      <c r="I3042" s="3" t="s">
        <v>64</v>
      </c>
      <c r="J3042" s="3" t="s">
        <v>64</v>
      </c>
      <c r="K3042" s="3" t="s">
        <v>65</v>
      </c>
      <c r="M3042" s="2" t="s">
        <v>30466</v>
      </c>
      <c r="N3042" s="3" t="s">
        <v>551</v>
      </c>
      <c r="P3042" s="3" t="s">
        <v>102</v>
      </c>
      <c r="R3042" s="3" t="s">
        <v>70</v>
      </c>
      <c r="S3042" s="4">
        <v>9</v>
      </c>
      <c r="T3042" s="4">
        <v>9</v>
      </c>
      <c r="U3042" s="5" t="s">
        <v>16597</v>
      </c>
      <c r="V3042" s="5" t="s">
        <v>16597</v>
      </c>
      <c r="W3042" s="5" t="s">
        <v>72</v>
      </c>
      <c r="X3042" s="5" t="s">
        <v>72</v>
      </c>
      <c r="Y3042" s="4">
        <v>136</v>
      </c>
      <c r="Z3042" s="4">
        <v>11</v>
      </c>
      <c r="AA3042" s="4">
        <v>12</v>
      </c>
      <c r="AB3042" s="4">
        <v>2</v>
      </c>
      <c r="AC3042" s="4">
        <v>2</v>
      </c>
      <c r="AD3042" s="4">
        <v>43</v>
      </c>
      <c r="AE3042" s="4">
        <v>45</v>
      </c>
      <c r="AF3042" s="4">
        <v>0</v>
      </c>
      <c r="AG3042" s="4">
        <v>0</v>
      </c>
      <c r="AH3042" s="4">
        <v>38</v>
      </c>
      <c r="AI3042" s="4">
        <v>40</v>
      </c>
      <c r="AJ3042" s="4">
        <v>7</v>
      </c>
      <c r="AK3042" s="4">
        <v>8</v>
      </c>
      <c r="AL3042" s="4">
        <v>22</v>
      </c>
      <c r="AM3042" s="4">
        <v>23</v>
      </c>
      <c r="AN3042" s="4">
        <v>0</v>
      </c>
      <c r="AO3042" s="4">
        <v>0</v>
      </c>
      <c r="AP3042" s="4">
        <v>9</v>
      </c>
      <c r="AQ3042" s="4">
        <v>10</v>
      </c>
      <c r="AR3042" s="3" t="s">
        <v>64</v>
      </c>
      <c r="AS3042" s="3" t="s">
        <v>64</v>
      </c>
      <c r="AT3042" s="3" t="s">
        <v>64</v>
      </c>
      <c r="AV3042" s="6" t="str">
        <f>HYPERLINK("http://mcgill.on.worldcat.org/oclc/173243724","Catalog Record")</f>
        <v>Catalog Record</v>
      </c>
      <c r="AW3042" s="6" t="str">
        <f>HYPERLINK("http://www.worldcat.org/oclc/173243724","WorldCat Record")</f>
        <v>WorldCat Record</v>
      </c>
      <c r="AX3042" s="3" t="s">
        <v>30467</v>
      </c>
      <c r="AY3042" s="3" t="s">
        <v>30468</v>
      </c>
      <c r="AZ3042" s="3" t="s">
        <v>30469</v>
      </c>
      <c r="BA3042" s="3" t="s">
        <v>30469</v>
      </c>
      <c r="BB3042" s="3" t="s">
        <v>30470</v>
      </c>
      <c r="BC3042" s="3" t="s">
        <v>77</v>
      </c>
      <c r="BD3042" s="3" t="s">
        <v>78</v>
      </c>
      <c r="BE3042" s="3" t="s">
        <v>30471</v>
      </c>
      <c r="BF3042" s="3" t="s">
        <v>30470</v>
      </c>
      <c r="BG3042" s="3" t="s">
        <v>30472</v>
      </c>
      <c r="BH3042">
        <f t="shared" si="74"/>
        <v>0</v>
      </c>
    </row>
    <row r="3043" spans="1:60" ht="58" x14ac:dyDescent="0.35">
      <c r="A3043" s="2" t="s">
        <v>59</v>
      </c>
      <c r="B3043" s="2" t="s">
        <v>60</v>
      </c>
      <c r="C3043" s="2" t="s">
        <v>30473</v>
      </c>
      <c r="D3043" s="2" t="s">
        <v>30474</v>
      </c>
      <c r="E3043" s="2" t="s">
        <v>30475</v>
      </c>
      <c r="G3043" s="3" t="s">
        <v>64</v>
      </c>
      <c r="I3043" s="3" t="s">
        <v>64</v>
      </c>
      <c r="J3043" s="3" t="s">
        <v>64</v>
      </c>
      <c r="K3043" s="3" t="s">
        <v>65</v>
      </c>
      <c r="M3043" s="2" t="s">
        <v>30476</v>
      </c>
      <c r="N3043" s="3" t="s">
        <v>578</v>
      </c>
      <c r="P3043" s="3" t="s">
        <v>68</v>
      </c>
      <c r="Q3043" s="2" t="s">
        <v>30477</v>
      </c>
      <c r="R3043" s="3" t="s">
        <v>70</v>
      </c>
      <c r="S3043" s="4">
        <v>1</v>
      </c>
      <c r="T3043" s="4">
        <v>1</v>
      </c>
      <c r="U3043" s="5" t="s">
        <v>30478</v>
      </c>
      <c r="V3043" s="5" t="s">
        <v>30478</v>
      </c>
      <c r="W3043" s="5" t="s">
        <v>72</v>
      </c>
      <c r="X3043" s="5" t="s">
        <v>72</v>
      </c>
      <c r="Y3043" s="4">
        <v>4</v>
      </c>
      <c r="Z3043" s="4">
        <v>1</v>
      </c>
      <c r="AA3043" s="4">
        <v>4</v>
      </c>
      <c r="AB3043" s="4">
        <v>1</v>
      </c>
      <c r="AC3043" s="4">
        <v>3</v>
      </c>
      <c r="AD3043" s="4">
        <v>2</v>
      </c>
      <c r="AE3043" s="4">
        <v>4</v>
      </c>
      <c r="AF3043" s="4">
        <v>0</v>
      </c>
      <c r="AG3043" s="4">
        <v>1</v>
      </c>
      <c r="AH3043" s="4">
        <v>2</v>
      </c>
      <c r="AI3043" s="4">
        <v>3</v>
      </c>
      <c r="AJ3043" s="4">
        <v>0</v>
      </c>
      <c r="AK3043" s="4">
        <v>2</v>
      </c>
      <c r="AL3043" s="4">
        <v>1</v>
      </c>
      <c r="AM3043" s="4">
        <v>1</v>
      </c>
      <c r="AN3043" s="4">
        <v>0</v>
      </c>
      <c r="AO3043" s="4">
        <v>0</v>
      </c>
      <c r="AP3043" s="4">
        <v>0</v>
      </c>
      <c r="AQ3043" s="4">
        <v>1</v>
      </c>
      <c r="AR3043" s="3" t="s">
        <v>64</v>
      </c>
      <c r="AS3043" s="3" t="s">
        <v>64</v>
      </c>
      <c r="AT3043" s="3" t="s">
        <v>64</v>
      </c>
      <c r="AV3043" s="6" t="str">
        <f>HYPERLINK("http://mcgill.on.worldcat.org/oclc/1007497230","Catalog Record")</f>
        <v>Catalog Record</v>
      </c>
      <c r="AW3043" s="6" t="str">
        <f>HYPERLINK("http://www.worldcat.org/oclc/1007497230","WorldCat Record")</f>
        <v>WorldCat Record</v>
      </c>
      <c r="AX3043" s="3" t="s">
        <v>30479</v>
      </c>
      <c r="AY3043" s="3" t="s">
        <v>30480</v>
      </c>
      <c r="AZ3043" s="3" t="s">
        <v>30481</v>
      </c>
      <c r="BA3043" s="3" t="s">
        <v>30481</v>
      </c>
      <c r="BB3043" s="3" t="s">
        <v>30482</v>
      </c>
      <c r="BC3043" s="3" t="s">
        <v>77</v>
      </c>
      <c r="BD3043" s="3" t="s">
        <v>78</v>
      </c>
      <c r="BE3043" s="3" t="s">
        <v>30483</v>
      </c>
      <c r="BF3043" s="3" t="s">
        <v>30482</v>
      </c>
      <c r="BG3043" s="3" t="s">
        <v>30484</v>
      </c>
      <c r="BH3043">
        <f t="shared" si="74"/>
        <v>0</v>
      </c>
    </row>
    <row r="3044" spans="1:60" ht="217.5" x14ac:dyDescent="0.35">
      <c r="A3044" s="2" t="s">
        <v>59</v>
      </c>
      <c r="B3044" s="2" t="s">
        <v>60</v>
      </c>
      <c r="C3044" s="2" t="s">
        <v>30485</v>
      </c>
      <c r="D3044" s="2" t="s">
        <v>30486</v>
      </c>
      <c r="E3044" s="2" t="s">
        <v>30487</v>
      </c>
      <c r="G3044" s="3" t="s">
        <v>64</v>
      </c>
      <c r="I3044" s="3" t="s">
        <v>64</v>
      </c>
      <c r="J3044" s="3" t="s">
        <v>128</v>
      </c>
      <c r="K3044" s="3" t="s">
        <v>65</v>
      </c>
      <c r="L3044" s="2" t="s">
        <v>21669</v>
      </c>
      <c r="M3044" s="2" t="s">
        <v>22026</v>
      </c>
      <c r="N3044" s="3" t="s">
        <v>67</v>
      </c>
      <c r="O3044" s="2" t="s">
        <v>30488</v>
      </c>
      <c r="P3044" s="3" t="s">
        <v>102</v>
      </c>
      <c r="Q3044" s="2" t="s">
        <v>18401</v>
      </c>
      <c r="R3044" s="3" t="s">
        <v>70</v>
      </c>
      <c r="S3044" s="4">
        <v>1</v>
      </c>
      <c r="T3044" s="4">
        <v>1</v>
      </c>
      <c r="U3044" s="5" t="s">
        <v>30489</v>
      </c>
      <c r="V3044" s="5" t="s">
        <v>30489</v>
      </c>
      <c r="W3044" s="5" t="s">
        <v>72</v>
      </c>
      <c r="X3044" s="5" t="s">
        <v>72</v>
      </c>
      <c r="Y3044" s="4">
        <v>340</v>
      </c>
      <c r="Z3044" s="4">
        <v>14</v>
      </c>
      <c r="AA3044" s="4">
        <v>114</v>
      </c>
      <c r="AB3044" s="4">
        <v>1</v>
      </c>
      <c r="AC3044" s="4">
        <v>15</v>
      </c>
      <c r="AD3044" s="4">
        <v>35</v>
      </c>
      <c r="AE3044" s="4">
        <v>119</v>
      </c>
      <c r="AF3044" s="4">
        <v>0</v>
      </c>
      <c r="AG3044" s="4">
        <v>8</v>
      </c>
      <c r="AH3044" s="4">
        <v>35</v>
      </c>
      <c r="AI3044" s="4">
        <v>79</v>
      </c>
      <c r="AJ3044" s="4">
        <v>4</v>
      </c>
      <c r="AK3044" s="4">
        <v>21</v>
      </c>
      <c r="AL3044" s="4">
        <v>12</v>
      </c>
      <c r="AM3044" s="4">
        <v>38</v>
      </c>
      <c r="AN3044" s="4">
        <v>0</v>
      </c>
      <c r="AO3044" s="4">
        <v>0</v>
      </c>
      <c r="AP3044" s="4">
        <v>4</v>
      </c>
      <c r="AQ3044" s="4">
        <v>44</v>
      </c>
      <c r="AR3044" s="3" t="s">
        <v>64</v>
      </c>
      <c r="AS3044" s="3" t="s">
        <v>64</v>
      </c>
      <c r="AT3044" s="3" t="s">
        <v>64</v>
      </c>
      <c r="AV3044" s="6" t="str">
        <f>HYPERLINK("http://mcgill.on.worldcat.org/oclc/847246256","Catalog Record")</f>
        <v>Catalog Record</v>
      </c>
      <c r="AW3044" s="6" t="str">
        <f>HYPERLINK("http://www.worldcat.org/oclc/847246256","WorldCat Record")</f>
        <v>WorldCat Record</v>
      </c>
      <c r="AX3044" s="3" t="s">
        <v>30490</v>
      </c>
      <c r="AY3044" s="3" t="s">
        <v>30491</v>
      </c>
      <c r="AZ3044" s="3" t="s">
        <v>30492</v>
      </c>
      <c r="BA3044" s="3" t="s">
        <v>30492</v>
      </c>
      <c r="BB3044" s="3" t="s">
        <v>30493</v>
      </c>
      <c r="BC3044" s="3" t="s">
        <v>77</v>
      </c>
      <c r="BD3044" s="3" t="s">
        <v>78</v>
      </c>
      <c r="BE3044" s="3" t="s">
        <v>30494</v>
      </c>
      <c r="BF3044" s="3" t="s">
        <v>30493</v>
      </c>
      <c r="BG3044" s="3" t="s">
        <v>30495</v>
      </c>
      <c r="BH3044">
        <f t="shared" si="74"/>
        <v>0</v>
      </c>
    </row>
    <row r="3045" spans="1:60" ht="58" x14ac:dyDescent="0.35">
      <c r="A3045" s="2" t="s">
        <v>59</v>
      </c>
      <c r="B3045" s="2" t="s">
        <v>60</v>
      </c>
      <c r="C3045" s="2" t="s">
        <v>30496</v>
      </c>
      <c r="D3045" s="2" t="s">
        <v>30497</v>
      </c>
      <c r="E3045" s="2" t="s">
        <v>30498</v>
      </c>
      <c r="G3045" s="3" t="s">
        <v>64</v>
      </c>
      <c r="I3045" s="3" t="s">
        <v>64</v>
      </c>
      <c r="J3045" s="3" t="s">
        <v>64</v>
      </c>
      <c r="K3045" s="3" t="s">
        <v>65</v>
      </c>
      <c r="L3045" s="2" t="s">
        <v>23524</v>
      </c>
      <c r="M3045" s="2" t="s">
        <v>16911</v>
      </c>
      <c r="N3045" s="3" t="s">
        <v>1075</v>
      </c>
      <c r="P3045" s="3" t="s">
        <v>102</v>
      </c>
      <c r="R3045" s="3" t="s">
        <v>70</v>
      </c>
      <c r="S3045" s="4">
        <v>5</v>
      </c>
      <c r="T3045" s="4">
        <v>5</v>
      </c>
      <c r="U3045" s="5" t="s">
        <v>30499</v>
      </c>
      <c r="V3045" s="5" t="s">
        <v>30499</v>
      </c>
      <c r="W3045" s="5" t="s">
        <v>72</v>
      </c>
      <c r="X3045" s="5" t="s">
        <v>72</v>
      </c>
      <c r="Y3045" s="4">
        <v>341</v>
      </c>
      <c r="Z3045" s="4">
        <v>11</v>
      </c>
      <c r="AA3045" s="4">
        <v>105</v>
      </c>
      <c r="AB3045" s="4">
        <v>1</v>
      </c>
      <c r="AC3045" s="4">
        <v>14</v>
      </c>
      <c r="AD3045" s="4">
        <v>42</v>
      </c>
      <c r="AE3045" s="4">
        <v>104</v>
      </c>
      <c r="AF3045" s="4">
        <v>0</v>
      </c>
      <c r="AG3045" s="4">
        <v>8</v>
      </c>
      <c r="AH3045" s="4">
        <v>42</v>
      </c>
      <c r="AI3045" s="4">
        <v>68</v>
      </c>
      <c r="AJ3045" s="4">
        <v>4</v>
      </c>
      <c r="AK3045" s="4">
        <v>18</v>
      </c>
      <c r="AL3045" s="4">
        <v>15</v>
      </c>
      <c r="AM3045" s="4">
        <v>31</v>
      </c>
      <c r="AN3045" s="4">
        <v>0</v>
      </c>
      <c r="AO3045" s="4">
        <v>0</v>
      </c>
      <c r="AP3045" s="4">
        <v>4</v>
      </c>
      <c r="AQ3045" s="4">
        <v>40</v>
      </c>
      <c r="AR3045" s="3" t="s">
        <v>64</v>
      </c>
      <c r="AS3045" s="3" t="s">
        <v>64</v>
      </c>
      <c r="AT3045" s="3" t="s">
        <v>64</v>
      </c>
      <c r="AV3045" s="6" t="str">
        <f>HYPERLINK("http://mcgill.on.worldcat.org/oclc/800352554","Catalog Record")</f>
        <v>Catalog Record</v>
      </c>
      <c r="AW3045" s="6" t="str">
        <f>HYPERLINK("http://www.worldcat.org/oclc/800352554","WorldCat Record")</f>
        <v>WorldCat Record</v>
      </c>
      <c r="AX3045" s="3" t="s">
        <v>30500</v>
      </c>
      <c r="AY3045" s="3" t="s">
        <v>30501</v>
      </c>
      <c r="AZ3045" s="3" t="s">
        <v>30502</v>
      </c>
      <c r="BA3045" s="3" t="s">
        <v>30502</v>
      </c>
      <c r="BB3045" s="3" t="s">
        <v>30503</v>
      </c>
      <c r="BC3045" s="3" t="s">
        <v>77</v>
      </c>
      <c r="BD3045" s="3" t="s">
        <v>78</v>
      </c>
      <c r="BE3045" s="3" t="s">
        <v>30504</v>
      </c>
      <c r="BF3045" s="3" t="s">
        <v>30503</v>
      </c>
      <c r="BG3045" s="3" t="s">
        <v>30505</v>
      </c>
      <c r="BH3045">
        <f t="shared" si="74"/>
        <v>0</v>
      </c>
    </row>
    <row r="3046" spans="1:60" ht="58" x14ac:dyDescent="0.35">
      <c r="A3046" s="2" t="s">
        <v>59</v>
      </c>
      <c r="B3046" s="2" t="s">
        <v>60</v>
      </c>
      <c r="C3046" s="2" t="s">
        <v>30506</v>
      </c>
      <c r="D3046" s="2" t="s">
        <v>30507</v>
      </c>
      <c r="E3046" s="2" t="s">
        <v>30508</v>
      </c>
      <c r="G3046" s="3" t="s">
        <v>64</v>
      </c>
      <c r="I3046" s="3" t="s">
        <v>64</v>
      </c>
      <c r="J3046" s="3" t="s">
        <v>64</v>
      </c>
      <c r="K3046" s="3" t="s">
        <v>65</v>
      </c>
      <c r="M3046" s="2" t="s">
        <v>30509</v>
      </c>
      <c r="N3046" s="3" t="s">
        <v>291</v>
      </c>
      <c r="P3046" s="3" t="s">
        <v>102</v>
      </c>
      <c r="Q3046" s="2" t="s">
        <v>8981</v>
      </c>
      <c r="R3046" s="3" t="s">
        <v>70</v>
      </c>
      <c r="S3046" s="4">
        <v>11</v>
      </c>
      <c r="T3046" s="4">
        <v>11</v>
      </c>
      <c r="U3046" s="5" t="s">
        <v>22430</v>
      </c>
      <c r="V3046" s="5" t="s">
        <v>22430</v>
      </c>
      <c r="W3046" s="5" t="s">
        <v>72</v>
      </c>
      <c r="X3046" s="5" t="s">
        <v>72</v>
      </c>
      <c r="Y3046" s="4">
        <v>166</v>
      </c>
      <c r="Z3046" s="4">
        <v>17</v>
      </c>
      <c r="AA3046" s="4">
        <v>17</v>
      </c>
      <c r="AB3046" s="4">
        <v>2</v>
      </c>
      <c r="AC3046" s="4">
        <v>2</v>
      </c>
      <c r="AD3046" s="4">
        <v>43</v>
      </c>
      <c r="AE3046" s="4">
        <v>43</v>
      </c>
      <c r="AF3046" s="4">
        <v>0</v>
      </c>
      <c r="AG3046" s="4">
        <v>0</v>
      </c>
      <c r="AH3046" s="4">
        <v>38</v>
      </c>
      <c r="AI3046" s="4">
        <v>38</v>
      </c>
      <c r="AJ3046" s="4">
        <v>7</v>
      </c>
      <c r="AK3046" s="4">
        <v>7</v>
      </c>
      <c r="AL3046" s="4">
        <v>21</v>
      </c>
      <c r="AM3046" s="4">
        <v>21</v>
      </c>
      <c r="AN3046" s="4">
        <v>0</v>
      </c>
      <c r="AO3046" s="4">
        <v>0</v>
      </c>
      <c r="AP3046" s="4">
        <v>10</v>
      </c>
      <c r="AQ3046" s="4">
        <v>10</v>
      </c>
      <c r="AR3046" s="3" t="s">
        <v>64</v>
      </c>
      <c r="AS3046" s="3" t="s">
        <v>64</v>
      </c>
      <c r="AT3046" s="3" t="s">
        <v>64</v>
      </c>
      <c r="AV3046" s="6" t="str">
        <f>HYPERLINK("http://mcgill.on.worldcat.org/oclc/126852543","Catalog Record")</f>
        <v>Catalog Record</v>
      </c>
      <c r="AW3046" s="6" t="str">
        <f>HYPERLINK("http://www.worldcat.org/oclc/126852543","WorldCat Record")</f>
        <v>WorldCat Record</v>
      </c>
      <c r="AX3046" s="3" t="s">
        <v>30510</v>
      </c>
      <c r="AY3046" s="3" t="s">
        <v>30511</v>
      </c>
      <c r="AZ3046" s="3" t="s">
        <v>30512</v>
      </c>
      <c r="BA3046" s="3" t="s">
        <v>30512</v>
      </c>
      <c r="BB3046" s="3" t="s">
        <v>30513</v>
      </c>
      <c r="BC3046" s="3" t="s">
        <v>77</v>
      </c>
      <c r="BD3046" s="3" t="s">
        <v>78</v>
      </c>
      <c r="BE3046" s="3" t="s">
        <v>30514</v>
      </c>
      <c r="BF3046" s="3" t="s">
        <v>30513</v>
      </c>
      <c r="BG3046" s="3" t="s">
        <v>30515</v>
      </c>
      <c r="BH3046">
        <f t="shared" si="74"/>
        <v>0</v>
      </c>
    </row>
    <row r="3047" spans="1:60" ht="58" x14ac:dyDescent="0.35">
      <c r="A3047" s="2" t="s">
        <v>59</v>
      </c>
      <c r="B3047" s="2" t="s">
        <v>60</v>
      </c>
      <c r="C3047" s="2" t="s">
        <v>30516</v>
      </c>
      <c r="D3047" s="2" t="s">
        <v>30517</v>
      </c>
      <c r="E3047" s="2" t="s">
        <v>30518</v>
      </c>
      <c r="G3047" s="3" t="s">
        <v>64</v>
      </c>
      <c r="I3047" s="3" t="s">
        <v>64</v>
      </c>
      <c r="J3047" s="3" t="s">
        <v>64</v>
      </c>
      <c r="K3047" s="3" t="s">
        <v>65</v>
      </c>
      <c r="L3047" s="2" t="s">
        <v>30519</v>
      </c>
      <c r="M3047" s="2" t="s">
        <v>16855</v>
      </c>
      <c r="N3047" s="3" t="s">
        <v>67</v>
      </c>
      <c r="P3047" s="3" t="s">
        <v>102</v>
      </c>
      <c r="R3047" s="3" t="s">
        <v>70</v>
      </c>
      <c r="S3047" s="4">
        <v>3</v>
      </c>
      <c r="T3047" s="4">
        <v>3</v>
      </c>
      <c r="U3047" s="5" t="s">
        <v>30499</v>
      </c>
      <c r="V3047" s="5" t="s">
        <v>30499</v>
      </c>
      <c r="W3047" s="5" t="s">
        <v>72</v>
      </c>
      <c r="X3047" s="5" t="s">
        <v>72</v>
      </c>
      <c r="Y3047" s="4">
        <v>432</v>
      </c>
      <c r="Z3047" s="4">
        <v>15</v>
      </c>
      <c r="AA3047" s="4">
        <v>15</v>
      </c>
      <c r="AB3047" s="4">
        <v>1</v>
      </c>
      <c r="AC3047" s="4">
        <v>1</v>
      </c>
      <c r="AD3047" s="4">
        <v>38</v>
      </c>
      <c r="AE3047" s="4">
        <v>38</v>
      </c>
      <c r="AF3047" s="4">
        <v>0</v>
      </c>
      <c r="AG3047" s="4">
        <v>0</v>
      </c>
      <c r="AH3047" s="4">
        <v>37</v>
      </c>
      <c r="AI3047" s="4">
        <v>37</v>
      </c>
      <c r="AJ3047" s="4">
        <v>4</v>
      </c>
      <c r="AK3047" s="4">
        <v>4</v>
      </c>
      <c r="AL3047" s="4">
        <v>16</v>
      </c>
      <c r="AM3047" s="4">
        <v>16</v>
      </c>
      <c r="AN3047" s="4">
        <v>0</v>
      </c>
      <c r="AO3047" s="4">
        <v>0</v>
      </c>
      <c r="AP3047" s="4">
        <v>4</v>
      </c>
      <c r="AQ3047" s="4">
        <v>4</v>
      </c>
      <c r="AR3047" s="3" t="s">
        <v>64</v>
      </c>
      <c r="AS3047" s="3" t="s">
        <v>64</v>
      </c>
      <c r="AT3047" s="3" t="s">
        <v>64</v>
      </c>
      <c r="AV3047" s="6" t="str">
        <f>HYPERLINK("http://mcgill.on.worldcat.org/oclc/864676611","Catalog Record")</f>
        <v>Catalog Record</v>
      </c>
      <c r="AW3047" s="6" t="str">
        <f>HYPERLINK("http://www.worldcat.org/oclc/864676611","WorldCat Record")</f>
        <v>WorldCat Record</v>
      </c>
      <c r="AX3047" s="3" t="s">
        <v>30520</v>
      </c>
      <c r="AY3047" s="3" t="s">
        <v>30521</v>
      </c>
      <c r="AZ3047" s="3" t="s">
        <v>30522</v>
      </c>
      <c r="BA3047" s="3" t="s">
        <v>30522</v>
      </c>
      <c r="BB3047" s="3" t="s">
        <v>30523</v>
      </c>
      <c r="BC3047" s="3" t="s">
        <v>77</v>
      </c>
      <c r="BD3047" s="3" t="s">
        <v>78</v>
      </c>
      <c r="BE3047" s="3" t="s">
        <v>30524</v>
      </c>
      <c r="BF3047" s="3" t="s">
        <v>30523</v>
      </c>
      <c r="BG3047" s="3" t="s">
        <v>30525</v>
      </c>
      <c r="BH3047">
        <f t="shared" si="74"/>
        <v>0</v>
      </c>
    </row>
    <row r="3048" spans="1:60" ht="58" x14ac:dyDescent="0.35">
      <c r="A3048" s="2" t="s">
        <v>59</v>
      </c>
      <c r="B3048" s="2" t="s">
        <v>60</v>
      </c>
      <c r="C3048" s="2" t="s">
        <v>30526</v>
      </c>
      <c r="D3048" s="2" t="s">
        <v>30527</v>
      </c>
      <c r="E3048" s="2" t="s">
        <v>30528</v>
      </c>
      <c r="G3048" s="3" t="s">
        <v>64</v>
      </c>
      <c r="I3048" s="3" t="s">
        <v>64</v>
      </c>
      <c r="J3048" s="3" t="s">
        <v>64</v>
      </c>
      <c r="K3048" s="3" t="s">
        <v>65</v>
      </c>
      <c r="L3048" s="2" t="s">
        <v>30529</v>
      </c>
      <c r="M3048" s="2" t="s">
        <v>18533</v>
      </c>
      <c r="N3048" s="3" t="s">
        <v>578</v>
      </c>
      <c r="P3048" s="3" t="s">
        <v>102</v>
      </c>
      <c r="R3048" s="3" t="s">
        <v>70</v>
      </c>
      <c r="S3048" s="4">
        <v>5</v>
      </c>
      <c r="T3048" s="4">
        <v>5</v>
      </c>
      <c r="U3048" s="5" t="s">
        <v>30530</v>
      </c>
      <c r="V3048" s="5" t="s">
        <v>30530</v>
      </c>
      <c r="W3048" s="5" t="s">
        <v>72</v>
      </c>
      <c r="X3048" s="5" t="s">
        <v>72</v>
      </c>
      <c r="Y3048" s="4">
        <v>443</v>
      </c>
      <c r="Z3048" s="4">
        <v>16</v>
      </c>
      <c r="AA3048" s="4">
        <v>83</v>
      </c>
      <c r="AB3048" s="4">
        <v>1</v>
      </c>
      <c r="AC3048" s="4">
        <v>15</v>
      </c>
      <c r="AD3048" s="4">
        <v>61</v>
      </c>
      <c r="AE3048" s="4">
        <v>114</v>
      </c>
      <c r="AF3048" s="4">
        <v>0</v>
      </c>
      <c r="AG3048" s="4">
        <v>8</v>
      </c>
      <c r="AH3048" s="4">
        <v>55</v>
      </c>
      <c r="AI3048" s="4">
        <v>81</v>
      </c>
      <c r="AJ3048" s="4">
        <v>7</v>
      </c>
      <c r="AK3048" s="4">
        <v>18</v>
      </c>
      <c r="AL3048" s="4">
        <v>28</v>
      </c>
      <c r="AM3048" s="4">
        <v>43</v>
      </c>
      <c r="AN3048" s="4">
        <v>0</v>
      </c>
      <c r="AO3048" s="4">
        <v>0</v>
      </c>
      <c r="AP3048" s="4">
        <v>9</v>
      </c>
      <c r="AQ3048" s="4">
        <v>38</v>
      </c>
      <c r="AR3048" s="3" t="s">
        <v>64</v>
      </c>
      <c r="AS3048" s="3" t="s">
        <v>64</v>
      </c>
      <c r="AT3048" s="3" t="s">
        <v>64</v>
      </c>
      <c r="AV3048" s="6" t="str">
        <f>HYPERLINK("http://mcgill.on.worldcat.org/oclc/957056881","Catalog Record")</f>
        <v>Catalog Record</v>
      </c>
      <c r="AW3048" s="6" t="str">
        <f>HYPERLINK("http://www.worldcat.org/oclc/957056881","WorldCat Record")</f>
        <v>WorldCat Record</v>
      </c>
      <c r="AX3048" s="3" t="s">
        <v>30531</v>
      </c>
      <c r="AY3048" s="3" t="s">
        <v>30532</v>
      </c>
      <c r="AZ3048" s="3" t="s">
        <v>30533</v>
      </c>
      <c r="BA3048" s="3" t="s">
        <v>30533</v>
      </c>
      <c r="BB3048" s="3" t="s">
        <v>30534</v>
      </c>
      <c r="BC3048" s="3" t="s">
        <v>77</v>
      </c>
      <c r="BD3048" s="3" t="s">
        <v>78</v>
      </c>
      <c r="BE3048" s="3" t="s">
        <v>30535</v>
      </c>
      <c r="BF3048" s="3" t="s">
        <v>30534</v>
      </c>
      <c r="BG3048" s="3" t="s">
        <v>30536</v>
      </c>
      <c r="BH3048">
        <f t="shared" si="74"/>
        <v>0</v>
      </c>
    </row>
    <row r="3049" spans="1:60" ht="101.5" x14ac:dyDescent="0.35">
      <c r="A3049" s="2" t="s">
        <v>59</v>
      </c>
      <c r="B3049" s="2" t="s">
        <v>60</v>
      </c>
      <c r="C3049" s="2" t="s">
        <v>30537</v>
      </c>
      <c r="D3049" s="2" t="s">
        <v>30538</v>
      </c>
      <c r="E3049" s="2" t="s">
        <v>30539</v>
      </c>
      <c r="G3049" s="3" t="s">
        <v>64</v>
      </c>
      <c r="I3049" s="3" t="s">
        <v>64</v>
      </c>
      <c r="J3049" s="3" t="s">
        <v>64</v>
      </c>
      <c r="K3049" s="3" t="s">
        <v>65</v>
      </c>
      <c r="L3049" s="2" t="s">
        <v>30540</v>
      </c>
      <c r="M3049" s="2" t="s">
        <v>30541</v>
      </c>
      <c r="N3049" s="3" t="s">
        <v>511</v>
      </c>
      <c r="P3049" s="3" t="s">
        <v>102</v>
      </c>
      <c r="Q3049" s="2" t="s">
        <v>30542</v>
      </c>
      <c r="R3049" s="3" t="s">
        <v>70</v>
      </c>
      <c r="S3049" s="4">
        <v>0</v>
      </c>
      <c r="T3049" s="4">
        <v>0</v>
      </c>
      <c r="W3049" s="5" t="s">
        <v>72</v>
      </c>
      <c r="X3049" s="5" t="s">
        <v>72</v>
      </c>
      <c r="Y3049" s="4">
        <v>6</v>
      </c>
      <c r="Z3049" s="4">
        <v>2</v>
      </c>
      <c r="AA3049" s="4">
        <v>3</v>
      </c>
      <c r="AB3049" s="4">
        <v>1</v>
      </c>
      <c r="AC3049" s="4">
        <v>1</v>
      </c>
      <c r="AD3049" s="4">
        <v>1</v>
      </c>
      <c r="AE3049" s="4">
        <v>2</v>
      </c>
      <c r="AF3049" s="4">
        <v>0</v>
      </c>
      <c r="AG3049" s="4">
        <v>0</v>
      </c>
      <c r="AH3049" s="4">
        <v>1</v>
      </c>
      <c r="AI3049" s="4">
        <v>1</v>
      </c>
      <c r="AJ3049" s="4">
        <v>0</v>
      </c>
      <c r="AK3049" s="4">
        <v>1</v>
      </c>
      <c r="AL3049" s="4">
        <v>1</v>
      </c>
      <c r="AM3049" s="4">
        <v>1</v>
      </c>
      <c r="AN3049" s="4">
        <v>0</v>
      </c>
      <c r="AO3049" s="4">
        <v>0</v>
      </c>
      <c r="AP3049" s="4">
        <v>0</v>
      </c>
      <c r="AQ3049" s="4">
        <v>0</v>
      </c>
      <c r="AR3049" s="3" t="s">
        <v>64</v>
      </c>
      <c r="AS3049" s="3" t="s">
        <v>64</v>
      </c>
      <c r="AT3049" s="3" t="s">
        <v>64</v>
      </c>
      <c r="AV3049" s="6" t="str">
        <f>HYPERLINK("http://mcgill.on.worldcat.org/oclc/658056469","Catalog Record")</f>
        <v>Catalog Record</v>
      </c>
      <c r="AW3049" s="6" t="str">
        <f>HYPERLINK("http://www.worldcat.org/oclc/658056469","WorldCat Record")</f>
        <v>WorldCat Record</v>
      </c>
      <c r="AX3049" s="3" t="s">
        <v>30543</v>
      </c>
      <c r="AY3049" s="3" t="s">
        <v>30544</v>
      </c>
      <c r="AZ3049" s="3" t="s">
        <v>30545</v>
      </c>
      <c r="BA3049" s="3" t="s">
        <v>30545</v>
      </c>
      <c r="BB3049" s="3" t="s">
        <v>30546</v>
      </c>
      <c r="BC3049" s="3" t="s">
        <v>77</v>
      </c>
      <c r="BD3049" s="3" t="s">
        <v>78</v>
      </c>
      <c r="BE3049" s="3" t="s">
        <v>30547</v>
      </c>
      <c r="BF3049" s="3" t="s">
        <v>30546</v>
      </c>
      <c r="BG3049" s="3" t="s">
        <v>30548</v>
      </c>
      <c r="BH3049">
        <f t="shared" si="74"/>
        <v>0</v>
      </c>
    </row>
    <row r="3050" spans="1:60" ht="58" x14ac:dyDescent="0.35">
      <c r="A3050" s="2" t="s">
        <v>59</v>
      </c>
      <c r="B3050" s="2" t="s">
        <v>60</v>
      </c>
      <c r="C3050" s="2" t="s">
        <v>30549</v>
      </c>
      <c r="D3050" s="2" t="s">
        <v>30550</v>
      </c>
      <c r="E3050" s="2" t="s">
        <v>30551</v>
      </c>
      <c r="G3050" s="3" t="s">
        <v>64</v>
      </c>
      <c r="I3050" s="3" t="s">
        <v>64</v>
      </c>
      <c r="J3050" s="3" t="s">
        <v>64</v>
      </c>
      <c r="K3050" s="3" t="s">
        <v>65</v>
      </c>
      <c r="L3050" s="2" t="s">
        <v>30552</v>
      </c>
      <c r="M3050" s="2" t="s">
        <v>14044</v>
      </c>
      <c r="N3050" s="3" t="s">
        <v>326</v>
      </c>
      <c r="P3050" s="3" t="s">
        <v>102</v>
      </c>
      <c r="R3050" s="3" t="s">
        <v>70</v>
      </c>
      <c r="S3050" s="4">
        <v>5</v>
      </c>
      <c r="T3050" s="4">
        <v>5</v>
      </c>
      <c r="U3050" s="5" t="s">
        <v>30553</v>
      </c>
      <c r="V3050" s="5" t="s">
        <v>30553</v>
      </c>
      <c r="W3050" s="5" t="s">
        <v>72</v>
      </c>
      <c r="X3050" s="5" t="s">
        <v>72</v>
      </c>
      <c r="Y3050" s="4">
        <v>503</v>
      </c>
      <c r="Z3050" s="4">
        <v>27</v>
      </c>
      <c r="AA3050" s="4">
        <v>105</v>
      </c>
      <c r="AB3050" s="4">
        <v>2</v>
      </c>
      <c r="AC3050" s="4">
        <v>18</v>
      </c>
      <c r="AD3050" s="4">
        <v>78</v>
      </c>
      <c r="AE3050" s="4">
        <v>130</v>
      </c>
      <c r="AF3050" s="4">
        <v>1</v>
      </c>
      <c r="AG3050" s="4">
        <v>8</v>
      </c>
      <c r="AH3050" s="4">
        <v>69</v>
      </c>
      <c r="AI3050" s="4">
        <v>93</v>
      </c>
      <c r="AJ3050" s="4">
        <v>10</v>
      </c>
      <c r="AK3050" s="4">
        <v>22</v>
      </c>
      <c r="AL3050" s="4">
        <v>34</v>
      </c>
      <c r="AM3050" s="4">
        <v>44</v>
      </c>
      <c r="AN3050" s="4">
        <v>0</v>
      </c>
      <c r="AO3050" s="4">
        <v>0</v>
      </c>
      <c r="AP3050" s="4">
        <v>14</v>
      </c>
      <c r="AQ3050" s="4">
        <v>45</v>
      </c>
      <c r="AR3050" s="3" t="s">
        <v>64</v>
      </c>
      <c r="AS3050" s="3" t="s">
        <v>64</v>
      </c>
      <c r="AT3050" s="3" t="s">
        <v>64</v>
      </c>
      <c r="AV3050" s="6" t="str">
        <f>HYPERLINK("http://mcgill.on.worldcat.org/oclc/664115033","Catalog Record")</f>
        <v>Catalog Record</v>
      </c>
      <c r="AW3050" s="6" t="str">
        <f>HYPERLINK("http://www.worldcat.org/oclc/664115033","WorldCat Record")</f>
        <v>WorldCat Record</v>
      </c>
      <c r="AX3050" s="3" t="s">
        <v>30554</v>
      </c>
      <c r="AY3050" s="3" t="s">
        <v>30555</v>
      </c>
      <c r="AZ3050" s="3" t="s">
        <v>30556</v>
      </c>
      <c r="BA3050" s="3" t="s">
        <v>30556</v>
      </c>
      <c r="BB3050" s="3" t="s">
        <v>30557</v>
      </c>
      <c r="BC3050" s="3" t="s">
        <v>77</v>
      </c>
      <c r="BD3050" s="3" t="s">
        <v>78</v>
      </c>
      <c r="BE3050" s="3" t="s">
        <v>30558</v>
      </c>
      <c r="BF3050" s="3" t="s">
        <v>30557</v>
      </c>
      <c r="BG3050" s="3" t="s">
        <v>30559</v>
      </c>
      <c r="BH3050">
        <f t="shared" si="74"/>
        <v>0</v>
      </c>
    </row>
    <row r="3051" spans="1:60" ht="58" x14ac:dyDescent="0.35">
      <c r="A3051" s="2" t="s">
        <v>59</v>
      </c>
      <c r="B3051" s="2" t="s">
        <v>60</v>
      </c>
      <c r="C3051" s="2" t="s">
        <v>30549</v>
      </c>
      <c r="D3051" s="2" t="s">
        <v>30550</v>
      </c>
      <c r="E3051" s="2" t="s">
        <v>30560</v>
      </c>
      <c r="G3051" s="3" t="s">
        <v>64</v>
      </c>
      <c r="I3051" s="3" t="s">
        <v>64</v>
      </c>
      <c r="J3051" s="3" t="s">
        <v>64</v>
      </c>
      <c r="K3051" s="3" t="s">
        <v>65</v>
      </c>
      <c r="L3051" s="2" t="s">
        <v>30561</v>
      </c>
      <c r="M3051" s="2" t="s">
        <v>30562</v>
      </c>
      <c r="N3051" s="3" t="s">
        <v>326</v>
      </c>
      <c r="P3051" s="3" t="s">
        <v>102</v>
      </c>
      <c r="R3051" s="3" t="s">
        <v>70</v>
      </c>
      <c r="S3051" s="4">
        <v>0</v>
      </c>
      <c r="T3051" s="4">
        <v>0</v>
      </c>
      <c r="W3051" s="5" t="s">
        <v>72</v>
      </c>
      <c r="X3051" s="5" t="s">
        <v>72</v>
      </c>
      <c r="Y3051" s="4">
        <v>54</v>
      </c>
      <c r="Z3051" s="4">
        <v>4</v>
      </c>
      <c r="AA3051" s="4">
        <v>11</v>
      </c>
      <c r="AB3051" s="4">
        <v>1</v>
      </c>
      <c r="AC3051" s="4">
        <v>3</v>
      </c>
      <c r="AD3051" s="4">
        <v>22</v>
      </c>
      <c r="AE3051" s="4">
        <v>28</v>
      </c>
      <c r="AF3051" s="4">
        <v>0</v>
      </c>
      <c r="AG3051" s="4">
        <v>0</v>
      </c>
      <c r="AH3051" s="4">
        <v>18</v>
      </c>
      <c r="AI3051" s="4">
        <v>21</v>
      </c>
      <c r="AJ3051" s="4">
        <v>2</v>
      </c>
      <c r="AK3051" s="4">
        <v>6</v>
      </c>
      <c r="AL3051" s="4">
        <v>11</v>
      </c>
      <c r="AM3051" s="4">
        <v>12</v>
      </c>
      <c r="AN3051" s="4">
        <v>0</v>
      </c>
      <c r="AO3051" s="4">
        <v>0</v>
      </c>
      <c r="AP3051" s="4">
        <v>3</v>
      </c>
      <c r="AQ3051" s="4">
        <v>8</v>
      </c>
      <c r="AR3051" s="3" t="s">
        <v>64</v>
      </c>
      <c r="AS3051" s="3" t="s">
        <v>64</v>
      </c>
      <c r="AT3051" s="3" t="s">
        <v>64</v>
      </c>
      <c r="AV3051" s="6" t="str">
        <f>HYPERLINK("http://mcgill.on.worldcat.org/oclc/617382290","Catalog Record")</f>
        <v>Catalog Record</v>
      </c>
      <c r="AW3051" s="6" t="str">
        <f>HYPERLINK("http://www.worldcat.org/oclc/617382290","WorldCat Record")</f>
        <v>WorldCat Record</v>
      </c>
      <c r="AX3051" s="3" t="s">
        <v>30563</v>
      </c>
      <c r="AY3051" s="3" t="s">
        <v>30564</v>
      </c>
      <c r="AZ3051" s="3" t="s">
        <v>30565</v>
      </c>
      <c r="BA3051" s="3" t="s">
        <v>30565</v>
      </c>
      <c r="BB3051" s="3" t="s">
        <v>30566</v>
      </c>
      <c r="BC3051" s="3" t="s">
        <v>77</v>
      </c>
      <c r="BD3051" s="3" t="s">
        <v>78</v>
      </c>
      <c r="BE3051" s="3" t="s">
        <v>30567</v>
      </c>
      <c r="BF3051" s="3" t="s">
        <v>30566</v>
      </c>
      <c r="BG3051" s="3" t="s">
        <v>30568</v>
      </c>
      <c r="BH3051">
        <f t="shared" si="74"/>
        <v>0</v>
      </c>
    </row>
    <row r="3052" spans="1:60" ht="58" x14ac:dyDescent="0.35">
      <c r="A3052" s="2" t="s">
        <v>59</v>
      </c>
      <c r="B3052" s="2" t="s">
        <v>60</v>
      </c>
      <c r="C3052" s="2" t="s">
        <v>30569</v>
      </c>
      <c r="D3052" s="2" t="s">
        <v>30570</v>
      </c>
      <c r="E3052" s="2" t="s">
        <v>30571</v>
      </c>
      <c r="G3052" s="3" t="s">
        <v>64</v>
      </c>
      <c r="I3052" s="3" t="s">
        <v>64</v>
      </c>
      <c r="J3052" s="3" t="s">
        <v>64</v>
      </c>
      <c r="K3052" s="3" t="s">
        <v>65</v>
      </c>
      <c r="L3052" s="2" t="s">
        <v>30414</v>
      </c>
      <c r="M3052" s="2" t="s">
        <v>30572</v>
      </c>
      <c r="N3052" s="3" t="s">
        <v>511</v>
      </c>
      <c r="P3052" s="3" t="s">
        <v>102</v>
      </c>
      <c r="Q3052" s="2" t="s">
        <v>22659</v>
      </c>
      <c r="R3052" s="3" t="s">
        <v>70</v>
      </c>
      <c r="S3052" s="4">
        <v>10</v>
      </c>
      <c r="T3052" s="4">
        <v>10</v>
      </c>
      <c r="U3052" s="5" t="s">
        <v>30499</v>
      </c>
      <c r="V3052" s="5" t="s">
        <v>30499</v>
      </c>
      <c r="W3052" s="5" t="s">
        <v>72</v>
      </c>
      <c r="X3052" s="5" t="s">
        <v>72</v>
      </c>
      <c r="Y3052" s="4">
        <v>363</v>
      </c>
      <c r="Z3052" s="4">
        <v>32</v>
      </c>
      <c r="AA3052" s="4">
        <v>60</v>
      </c>
      <c r="AB3052" s="4">
        <v>2</v>
      </c>
      <c r="AC3052" s="4">
        <v>8</v>
      </c>
      <c r="AD3052" s="4">
        <v>42</v>
      </c>
      <c r="AE3052" s="4">
        <v>51</v>
      </c>
      <c r="AF3052" s="4">
        <v>0</v>
      </c>
      <c r="AG3052" s="4">
        <v>1</v>
      </c>
      <c r="AH3052" s="4">
        <v>37</v>
      </c>
      <c r="AI3052" s="4">
        <v>45</v>
      </c>
      <c r="AJ3052" s="4">
        <v>10</v>
      </c>
      <c r="AK3052" s="4">
        <v>11</v>
      </c>
      <c r="AL3052" s="4">
        <v>16</v>
      </c>
      <c r="AM3052" s="4">
        <v>19</v>
      </c>
      <c r="AN3052" s="4">
        <v>0</v>
      </c>
      <c r="AO3052" s="4">
        <v>0</v>
      </c>
      <c r="AP3052" s="4">
        <v>13</v>
      </c>
      <c r="AQ3052" s="4">
        <v>15</v>
      </c>
      <c r="AR3052" s="3" t="s">
        <v>64</v>
      </c>
      <c r="AS3052" s="3" t="s">
        <v>64</v>
      </c>
      <c r="AT3052" s="3" t="s">
        <v>64</v>
      </c>
      <c r="AV3052" s="6" t="str">
        <f>HYPERLINK("http://mcgill.on.worldcat.org/oclc/399530811","Catalog Record")</f>
        <v>Catalog Record</v>
      </c>
      <c r="AW3052" s="6" t="str">
        <f>HYPERLINK("http://www.worldcat.org/oclc/399530811","WorldCat Record")</f>
        <v>WorldCat Record</v>
      </c>
      <c r="AX3052" s="3" t="s">
        <v>30573</v>
      </c>
      <c r="AY3052" s="3" t="s">
        <v>30574</v>
      </c>
      <c r="AZ3052" s="3" t="s">
        <v>30575</v>
      </c>
      <c r="BA3052" s="3" t="s">
        <v>30575</v>
      </c>
      <c r="BB3052" s="3" t="s">
        <v>30576</v>
      </c>
      <c r="BC3052" s="3" t="s">
        <v>77</v>
      </c>
      <c r="BD3052" s="3" t="s">
        <v>165</v>
      </c>
      <c r="BE3052" s="3" t="s">
        <v>30577</v>
      </c>
      <c r="BF3052" s="3" t="s">
        <v>30576</v>
      </c>
      <c r="BG3052" s="3" t="s">
        <v>30578</v>
      </c>
      <c r="BH3052">
        <f t="shared" si="74"/>
        <v>0</v>
      </c>
    </row>
    <row r="3053" spans="1:60" ht="58" x14ac:dyDescent="0.35">
      <c r="A3053" s="2" t="s">
        <v>59</v>
      </c>
      <c r="B3053" s="2" t="s">
        <v>60</v>
      </c>
      <c r="C3053" s="2" t="s">
        <v>30579</v>
      </c>
      <c r="D3053" s="2" t="s">
        <v>30580</v>
      </c>
      <c r="E3053" s="2" t="s">
        <v>30581</v>
      </c>
      <c r="G3053" s="3" t="s">
        <v>64</v>
      </c>
      <c r="I3053" s="3" t="s">
        <v>64</v>
      </c>
      <c r="J3053" s="3" t="s">
        <v>64</v>
      </c>
      <c r="K3053" s="3" t="s">
        <v>65</v>
      </c>
      <c r="L3053" s="2" t="s">
        <v>30582</v>
      </c>
      <c r="M3053" s="2" t="s">
        <v>22670</v>
      </c>
      <c r="N3053" s="3" t="s">
        <v>551</v>
      </c>
      <c r="P3053" s="3" t="s">
        <v>102</v>
      </c>
      <c r="Q3053" s="2" t="s">
        <v>8981</v>
      </c>
      <c r="R3053" s="3" t="s">
        <v>70</v>
      </c>
      <c r="S3053" s="4">
        <v>2</v>
      </c>
      <c r="T3053" s="4">
        <v>2</v>
      </c>
      <c r="U3053" s="5" t="s">
        <v>3994</v>
      </c>
      <c r="V3053" s="5" t="s">
        <v>3994</v>
      </c>
      <c r="W3053" s="5" t="s">
        <v>72</v>
      </c>
      <c r="X3053" s="5" t="s">
        <v>72</v>
      </c>
      <c r="Y3053" s="4">
        <v>99</v>
      </c>
      <c r="Z3053" s="4">
        <v>14</v>
      </c>
      <c r="AA3053" s="4">
        <v>18</v>
      </c>
      <c r="AB3053" s="4">
        <v>3</v>
      </c>
      <c r="AC3053" s="4">
        <v>6</v>
      </c>
      <c r="AD3053" s="4">
        <v>30</v>
      </c>
      <c r="AE3053" s="4">
        <v>36</v>
      </c>
      <c r="AF3053" s="4">
        <v>0</v>
      </c>
      <c r="AG3053" s="4">
        <v>1</v>
      </c>
      <c r="AH3053" s="4">
        <v>27</v>
      </c>
      <c r="AI3053" s="4">
        <v>32</v>
      </c>
      <c r="AJ3053" s="4">
        <v>8</v>
      </c>
      <c r="AK3053" s="4">
        <v>9</v>
      </c>
      <c r="AL3053" s="4">
        <v>18</v>
      </c>
      <c r="AM3053" s="4">
        <v>20</v>
      </c>
      <c r="AN3053" s="4">
        <v>0</v>
      </c>
      <c r="AO3053" s="4">
        <v>0</v>
      </c>
      <c r="AP3053" s="4">
        <v>9</v>
      </c>
      <c r="AQ3053" s="4">
        <v>9</v>
      </c>
      <c r="AR3053" s="3" t="s">
        <v>64</v>
      </c>
      <c r="AS3053" s="3" t="s">
        <v>64</v>
      </c>
      <c r="AT3053" s="3" t="s">
        <v>64</v>
      </c>
      <c r="AV3053" s="6" t="str">
        <f>HYPERLINK("http://mcgill.on.worldcat.org/oclc/300399599","Catalog Record")</f>
        <v>Catalog Record</v>
      </c>
      <c r="AW3053" s="6" t="str">
        <f>HYPERLINK("http://www.worldcat.org/oclc/300399599","WorldCat Record")</f>
        <v>WorldCat Record</v>
      </c>
      <c r="AX3053" s="3" t="s">
        <v>30583</v>
      </c>
      <c r="AY3053" s="3" t="s">
        <v>30584</v>
      </c>
      <c r="AZ3053" s="3" t="s">
        <v>30585</v>
      </c>
      <c r="BA3053" s="3" t="s">
        <v>30585</v>
      </c>
      <c r="BB3053" s="3" t="s">
        <v>30586</v>
      </c>
      <c r="BC3053" s="3" t="s">
        <v>77</v>
      </c>
      <c r="BD3053" s="3" t="s">
        <v>78</v>
      </c>
      <c r="BE3053" s="3" t="s">
        <v>30587</v>
      </c>
      <c r="BF3053" s="3" t="s">
        <v>30586</v>
      </c>
      <c r="BG3053" s="3" t="s">
        <v>30588</v>
      </c>
      <c r="BH3053">
        <f t="shared" si="74"/>
        <v>0</v>
      </c>
    </row>
    <row r="3054" spans="1:60" ht="58" x14ac:dyDescent="0.35">
      <c r="A3054" s="2" t="s">
        <v>59</v>
      </c>
      <c r="B3054" s="2" t="s">
        <v>60</v>
      </c>
      <c r="C3054" s="2" t="s">
        <v>30589</v>
      </c>
      <c r="D3054" s="2" t="s">
        <v>30590</v>
      </c>
      <c r="E3054" s="2" t="s">
        <v>30591</v>
      </c>
      <c r="G3054" s="3" t="s">
        <v>64</v>
      </c>
      <c r="I3054" s="3" t="s">
        <v>64</v>
      </c>
      <c r="J3054" s="3" t="s">
        <v>64</v>
      </c>
      <c r="K3054" s="3" t="s">
        <v>65</v>
      </c>
      <c r="L3054" s="2" t="s">
        <v>30592</v>
      </c>
      <c r="M3054" s="2" t="s">
        <v>16229</v>
      </c>
      <c r="N3054" s="3" t="s">
        <v>190</v>
      </c>
      <c r="P3054" s="3" t="s">
        <v>102</v>
      </c>
      <c r="R3054" s="3" t="s">
        <v>70</v>
      </c>
      <c r="S3054" s="4">
        <v>1</v>
      </c>
      <c r="T3054" s="4">
        <v>1</v>
      </c>
      <c r="W3054" s="5" t="s">
        <v>72</v>
      </c>
      <c r="X3054" s="5" t="s">
        <v>72</v>
      </c>
      <c r="Y3054" s="4">
        <v>785</v>
      </c>
      <c r="Z3054" s="4">
        <v>16</v>
      </c>
      <c r="AA3054" s="4">
        <v>19</v>
      </c>
      <c r="AB3054" s="4">
        <v>1</v>
      </c>
      <c r="AC3054" s="4">
        <v>3</v>
      </c>
      <c r="AD3054" s="4">
        <v>54</v>
      </c>
      <c r="AE3054" s="4">
        <v>55</v>
      </c>
      <c r="AF3054" s="4">
        <v>0</v>
      </c>
      <c r="AG3054" s="4">
        <v>1</v>
      </c>
      <c r="AH3054" s="4">
        <v>49</v>
      </c>
      <c r="AI3054" s="4">
        <v>49</v>
      </c>
      <c r="AJ3054" s="4">
        <v>6</v>
      </c>
      <c r="AK3054" s="4">
        <v>7</v>
      </c>
      <c r="AL3054" s="4">
        <v>26</v>
      </c>
      <c r="AM3054" s="4">
        <v>26</v>
      </c>
      <c r="AN3054" s="4">
        <v>0</v>
      </c>
      <c r="AO3054" s="4">
        <v>0</v>
      </c>
      <c r="AP3054" s="4">
        <v>7</v>
      </c>
      <c r="AQ3054" s="4">
        <v>7</v>
      </c>
      <c r="AR3054" s="3" t="s">
        <v>64</v>
      </c>
      <c r="AS3054" s="3" t="s">
        <v>64</v>
      </c>
      <c r="AT3054" s="3" t="s">
        <v>64</v>
      </c>
      <c r="AV3054" s="6" t="str">
        <f>HYPERLINK("http://mcgill.on.worldcat.org/oclc/1004542192","Catalog Record")</f>
        <v>Catalog Record</v>
      </c>
      <c r="AW3054" s="6" t="str">
        <f>HYPERLINK("http://www.worldcat.org/oclc/1004542192","WorldCat Record")</f>
        <v>WorldCat Record</v>
      </c>
      <c r="AX3054" s="3" t="s">
        <v>30593</v>
      </c>
      <c r="AY3054" s="3" t="s">
        <v>30594</v>
      </c>
      <c r="AZ3054" s="3" t="s">
        <v>30595</v>
      </c>
      <c r="BA3054" s="3" t="s">
        <v>30595</v>
      </c>
      <c r="BB3054" s="3" t="s">
        <v>30596</v>
      </c>
      <c r="BC3054" s="3" t="s">
        <v>77</v>
      </c>
      <c r="BD3054" s="3" t="s">
        <v>165</v>
      </c>
      <c r="BE3054" s="3" t="s">
        <v>30597</v>
      </c>
      <c r="BF3054" s="3" t="s">
        <v>30596</v>
      </c>
      <c r="BG3054" s="3" t="s">
        <v>30598</v>
      </c>
      <c r="BH3054">
        <f t="shared" si="74"/>
        <v>0</v>
      </c>
    </row>
    <row r="3055" spans="1:60" ht="58" x14ac:dyDescent="0.35">
      <c r="A3055" s="2" t="s">
        <v>59</v>
      </c>
      <c r="B3055" s="2" t="s">
        <v>60</v>
      </c>
      <c r="C3055" s="2" t="s">
        <v>30599</v>
      </c>
      <c r="D3055" s="2" t="s">
        <v>30600</v>
      </c>
      <c r="E3055" s="2" t="s">
        <v>30601</v>
      </c>
      <c r="G3055" s="3" t="s">
        <v>64</v>
      </c>
      <c r="I3055" s="3" t="s">
        <v>64</v>
      </c>
      <c r="J3055" s="3" t="s">
        <v>64</v>
      </c>
      <c r="K3055" s="3" t="s">
        <v>65</v>
      </c>
      <c r="L3055" s="2" t="s">
        <v>30602</v>
      </c>
      <c r="M3055" s="2" t="s">
        <v>15180</v>
      </c>
      <c r="N3055" s="3" t="s">
        <v>86</v>
      </c>
      <c r="P3055" s="3" t="s">
        <v>102</v>
      </c>
      <c r="R3055" s="3" t="s">
        <v>70</v>
      </c>
      <c r="S3055" s="4">
        <v>1</v>
      </c>
      <c r="T3055" s="4">
        <v>1</v>
      </c>
      <c r="U3055" s="5" t="s">
        <v>20980</v>
      </c>
      <c r="V3055" s="5" t="s">
        <v>20980</v>
      </c>
      <c r="W3055" s="5" t="s">
        <v>72</v>
      </c>
      <c r="X3055" s="5" t="s">
        <v>72</v>
      </c>
      <c r="Y3055" s="4">
        <v>139</v>
      </c>
      <c r="Z3055" s="4">
        <v>13</v>
      </c>
      <c r="AA3055" s="4">
        <v>45</v>
      </c>
      <c r="AB3055" s="4">
        <v>1</v>
      </c>
      <c r="AC3055" s="4">
        <v>3</v>
      </c>
      <c r="AD3055" s="4">
        <v>37</v>
      </c>
      <c r="AE3055" s="4">
        <v>51</v>
      </c>
      <c r="AF3055" s="4">
        <v>0</v>
      </c>
      <c r="AG3055" s="4">
        <v>0</v>
      </c>
      <c r="AH3055" s="4">
        <v>34</v>
      </c>
      <c r="AI3055" s="4">
        <v>42</v>
      </c>
      <c r="AJ3055" s="4">
        <v>7</v>
      </c>
      <c r="AK3055" s="4">
        <v>8</v>
      </c>
      <c r="AL3055" s="4">
        <v>19</v>
      </c>
      <c r="AM3055" s="4">
        <v>22</v>
      </c>
      <c r="AN3055" s="4">
        <v>0</v>
      </c>
      <c r="AO3055" s="4">
        <v>0</v>
      </c>
      <c r="AP3055" s="4">
        <v>8</v>
      </c>
      <c r="AQ3055" s="4">
        <v>13</v>
      </c>
      <c r="AR3055" s="3" t="s">
        <v>64</v>
      </c>
      <c r="AS3055" s="3" t="s">
        <v>64</v>
      </c>
      <c r="AT3055" s="3" t="s">
        <v>64</v>
      </c>
      <c r="AV3055" s="6" t="str">
        <f>HYPERLINK("http://mcgill.on.worldcat.org/oclc/760531850","Catalog Record")</f>
        <v>Catalog Record</v>
      </c>
      <c r="AW3055" s="6" t="str">
        <f>HYPERLINK("http://www.worldcat.org/oclc/760531850","WorldCat Record")</f>
        <v>WorldCat Record</v>
      </c>
      <c r="AX3055" s="3" t="s">
        <v>30603</v>
      </c>
      <c r="AY3055" s="3" t="s">
        <v>30604</v>
      </c>
      <c r="AZ3055" s="3" t="s">
        <v>30605</v>
      </c>
      <c r="BA3055" s="3" t="s">
        <v>30605</v>
      </c>
      <c r="BB3055" s="3" t="s">
        <v>30606</v>
      </c>
      <c r="BC3055" s="3" t="s">
        <v>77</v>
      </c>
      <c r="BD3055" s="3" t="s">
        <v>78</v>
      </c>
      <c r="BE3055" s="3" t="s">
        <v>30607</v>
      </c>
      <c r="BF3055" s="3" t="s">
        <v>30606</v>
      </c>
      <c r="BG3055" s="3" t="s">
        <v>30608</v>
      </c>
      <c r="BH3055">
        <f t="shared" si="74"/>
        <v>0</v>
      </c>
    </row>
    <row r="3056" spans="1:60" ht="58" x14ac:dyDescent="0.35">
      <c r="A3056" s="2" t="s">
        <v>59</v>
      </c>
      <c r="B3056" s="2" t="s">
        <v>60</v>
      </c>
      <c r="C3056" s="2" t="s">
        <v>30609</v>
      </c>
      <c r="D3056" s="2" t="s">
        <v>30610</v>
      </c>
      <c r="E3056" s="2" t="s">
        <v>30611</v>
      </c>
      <c r="G3056" s="3" t="s">
        <v>64</v>
      </c>
      <c r="I3056" s="3" t="s">
        <v>64</v>
      </c>
      <c r="J3056" s="3" t="s">
        <v>64</v>
      </c>
      <c r="K3056" s="3" t="s">
        <v>65</v>
      </c>
      <c r="L3056" s="2" t="s">
        <v>30612</v>
      </c>
      <c r="M3056" s="2" t="s">
        <v>22513</v>
      </c>
      <c r="N3056" s="3" t="s">
        <v>511</v>
      </c>
      <c r="P3056" s="3" t="s">
        <v>102</v>
      </c>
      <c r="Q3056" s="2" t="s">
        <v>30613</v>
      </c>
      <c r="R3056" s="3" t="s">
        <v>70</v>
      </c>
      <c r="S3056" s="4">
        <v>3</v>
      </c>
      <c r="T3056" s="4">
        <v>3</v>
      </c>
      <c r="U3056" s="5" t="s">
        <v>22430</v>
      </c>
      <c r="V3056" s="5" t="s">
        <v>22430</v>
      </c>
      <c r="W3056" s="5" t="s">
        <v>72</v>
      </c>
      <c r="X3056" s="5" t="s">
        <v>72</v>
      </c>
      <c r="Y3056" s="4">
        <v>236</v>
      </c>
      <c r="Z3056" s="4">
        <v>17</v>
      </c>
      <c r="AA3056" s="4">
        <v>22</v>
      </c>
      <c r="AB3056" s="4">
        <v>1</v>
      </c>
      <c r="AC3056" s="4">
        <v>3</v>
      </c>
      <c r="AD3056" s="4">
        <v>87</v>
      </c>
      <c r="AE3056" s="4">
        <v>97</v>
      </c>
      <c r="AF3056" s="4">
        <v>0</v>
      </c>
      <c r="AG3056" s="4">
        <v>2</v>
      </c>
      <c r="AH3056" s="4">
        <v>80</v>
      </c>
      <c r="AI3056" s="4">
        <v>87</v>
      </c>
      <c r="AJ3056" s="4">
        <v>12</v>
      </c>
      <c r="AK3056" s="4">
        <v>16</v>
      </c>
      <c r="AL3056" s="4">
        <v>37</v>
      </c>
      <c r="AM3056" s="4">
        <v>42</v>
      </c>
      <c r="AN3056" s="4">
        <v>0</v>
      </c>
      <c r="AO3056" s="4">
        <v>0</v>
      </c>
      <c r="AP3056" s="4">
        <v>15</v>
      </c>
      <c r="AQ3056" s="4">
        <v>19</v>
      </c>
      <c r="AR3056" s="3" t="s">
        <v>64</v>
      </c>
      <c r="AS3056" s="3" t="s">
        <v>64</v>
      </c>
      <c r="AT3056" s="3" t="s">
        <v>64</v>
      </c>
      <c r="AV3056" s="6" t="str">
        <f>HYPERLINK("http://mcgill.on.worldcat.org/oclc/694908056","Catalog Record")</f>
        <v>Catalog Record</v>
      </c>
      <c r="AW3056" s="6" t="str">
        <f>HYPERLINK("http://www.worldcat.org/oclc/694908056","WorldCat Record")</f>
        <v>WorldCat Record</v>
      </c>
      <c r="AX3056" s="3" t="s">
        <v>30614</v>
      </c>
      <c r="AY3056" s="3" t="s">
        <v>30615</v>
      </c>
      <c r="AZ3056" s="3" t="s">
        <v>30616</v>
      </c>
      <c r="BA3056" s="3" t="s">
        <v>30616</v>
      </c>
      <c r="BB3056" s="3" t="s">
        <v>30617</v>
      </c>
      <c r="BC3056" s="3" t="s">
        <v>77</v>
      </c>
      <c r="BD3056" s="3" t="s">
        <v>78</v>
      </c>
      <c r="BE3056" s="3" t="s">
        <v>30618</v>
      </c>
      <c r="BF3056" s="3" t="s">
        <v>30617</v>
      </c>
      <c r="BG3056" s="3" t="s">
        <v>30619</v>
      </c>
      <c r="BH3056">
        <f t="shared" si="74"/>
        <v>0</v>
      </c>
    </row>
    <row r="3057" spans="1:60" ht="58" x14ac:dyDescent="0.35">
      <c r="A3057" s="2" t="s">
        <v>59</v>
      </c>
      <c r="B3057" s="2" t="s">
        <v>60</v>
      </c>
      <c r="C3057" s="2" t="s">
        <v>30620</v>
      </c>
      <c r="D3057" s="2" t="s">
        <v>30621</v>
      </c>
      <c r="E3057" s="2" t="s">
        <v>30622</v>
      </c>
      <c r="G3057" s="3" t="s">
        <v>64</v>
      </c>
      <c r="I3057" s="3" t="s">
        <v>64</v>
      </c>
      <c r="J3057" s="3" t="s">
        <v>64</v>
      </c>
      <c r="K3057" s="3" t="s">
        <v>65</v>
      </c>
      <c r="M3057" s="2" t="s">
        <v>15259</v>
      </c>
      <c r="N3057" s="3" t="s">
        <v>171</v>
      </c>
      <c r="P3057" s="3" t="s">
        <v>102</v>
      </c>
      <c r="R3057" s="3" t="s">
        <v>70</v>
      </c>
      <c r="S3057" s="4">
        <v>10</v>
      </c>
      <c r="T3057" s="4">
        <v>10</v>
      </c>
      <c r="U3057" s="5" t="s">
        <v>22597</v>
      </c>
      <c r="V3057" s="5" t="s">
        <v>22597</v>
      </c>
      <c r="W3057" s="5" t="s">
        <v>72</v>
      </c>
      <c r="X3057" s="5" t="s">
        <v>72</v>
      </c>
      <c r="Y3057" s="4">
        <v>409</v>
      </c>
      <c r="Z3057" s="4">
        <v>29</v>
      </c>
      <c r="AA3057" s="4">
        <v>55</v>
      </c>
      <c r="AB3057" s="4">
        <v>2</v>
      </c>
      <c r="AC3057" s="4">
        <v>7</v>
      </c>
      <c r="AD3057" s="4">
        <v>86</v>
      </c>
      <c r="AE3057" s="4">
        <v>92</v>
      </c>
      <c r="AF3057" s="4">
        <v>1</v>
      </c>
      <c r="AG3057" s="4">
        <v>1</v>
      </c>
      <c r="AH3057" s="4">
        <v>77</v>
      </c>
      <c r="AI3057" s="4">
        <v>81</v>
      </c>
      <c r="AJ3057" s="4">
        <v>16</v>
      </c>
      <c r="AK3057" s="4">
        <v>16</v>
      </c>
      <c r="AL3057" s="4">
        <v>41</v>
      </c>
      <c r="AM3057" s="4">
        <v>42</v>
      </c>
      <c r="AN3057" s="4">
        <v>0</v>
      </c>
      <c r="AO3057" s="4">
        <v>0</v>
      </c>
      <c r="AP3057" s="4">
        <v>18</v>
      </c>
      <c r="AQ3057" s="4">
        <v>20</v>
      </c>
      <c r="AR3057" s="3" t="s">
        <v>64</v>
      </c>
      <c r="AS3057" s="3" t="s">
        <v>64</v>
      </c>
      <c r="AT3057" s="3" t="s">
        <v>64</v>
      </c>
      <c r="AV3057" s="6" t="str">
        <f>HYPERLINK("http://mcgill.on.worldcat.org/oclc/62152810","Catalog Record")</f>
        <v>Catalog Record</v>
      </c>
      <c r="AW3057" s="6" t="str">
        <f>HYPERLINK("http://www.worldcat.org/oclc/62152810","WorldCat Record")</f>
        <v>WorldCat Record</v>
      </c>
      <c r="AX3057" s="3" t="s">
        <v>30623</v>
      </c>
      <c r="AY3057" s="3" t="s">
        <v>30624</v>
      </c>
      <c r="AZ3057" s="3" t="s">
        <v>30625</v>
      </c>
      <c r="BA3057" s="3" t="s">
        <v>30625</v>
      </c>
      <c r="BB3057" s="3" t="s">
        <v>30626</v>
      </c>
      <c r="BC3057" s="3" t="s">
        <v>77</v>
      </c>
      <c r="BD3057" s="3" t="s">
        <v>78</v>
      </c>
      <c r="BE3057" s="3" t="s">
        <v>30627</v>
      </c>
      <c r="BF3057" s="3" t="s">
        <v>30626</v>
      </c>
      <c r="BG3057" s="3" t="s">
        <v>30628</v>
      </c>
      <c r="BH3057">
        <f t="shared" si="74"/>
        <v>0</v>
      </c>
    </row>
    <row r="3058" spans="1:60" ht="58" x14ac:dyDescent="0.35">
      <c r="A3058" s="2" t="s">
        <v>59</v>
      </c>
      <c r="B3058" s="2" t="s">
        <v>60</v>
      </c>
      <c r="C3058" s="2" t="s">
        <v>30629</v>
      </c>
      <c r="D3058" s="2" t="s">
        <v>30630</v>
      </c>
      <c r="E3058" s="2" t="s">
        <v>30631</v>
      </c>
      <c r="G3058" s="3" t="s">
        <v>64</v>
      </c>
      <c r="I3058" s="3" t="s">
        <v>64</v>
      </c>
      <c r="J3058" s="3" t="s">
        <v>64</v>
      </c>
      <c r="K3058" s="3" t="s">
        <v>65</v>
      </c>
      <c r="L3058" s="2" t="s">
        <v>30632</v>
      </c>
      <c r="M3058" s="2" t="s">
        <v>14235</v>
      </c>
      <c r="N3058" s="3" t="s">
        <v>511</v>
      </c>
      <c r="P3058" s="3" t="s">
        <v>102</v>
      </c>
      <c r="R3058" s="3" t="s">
        <v>70</v>
      </c>
      <c r="S3058" s="4">
        <v>3</v>
      </c>
      <c r="T3058" s="4">
        <v>3</v>
      </c>
      <c r="U3058" s="5" t="s">
        <v>30633</v>
      </c>
      <c r="V3058" s="5" t="s">
        <v>30633</v>
      </c>
      <c r="W3058" s="5" t="s">
        <v>72</v>
      </c>
      <c r="X3058" s="5" t="s">
        <v>72</v>
      </c>
      <c r="Y3058" s="4">
        <v>387</v>
      </c>
      <c r="Z3058" s="4">
        <v>17</v>
      </c>
      <c r="AA3058" s="4">
        <v>99</v>
      </c>
      <c r="AB3058" s="4">
        <v>2</v>
      </c>
      <c r="AC3058" s="4">
        <v>18</v>
      </c>
      <c r="AD3058" s="4">
        <v>46</v>
      </c>
      <c r="AE3058" s="4">
        <v>103</v>
      </c>
      <c r="AF3058" s="4">
        <v>0</v>
      </c>
      <c r="AG3058" s="4">
        <v>8</v>
      </c>
      <c r="AH3058" s="4">
        <v>46</v>
      </c>
      <c r="AI3058" s="4">
        <v>72</v>
      </c>
      <c r="AJ3058" s="4">
        <v>5</v>
      </c>
      <c r="AK3058" s="4">
        <v>17</v>
      </c>
      <c r="AL3058" s="4">
        <v>20</v>
      </c>
      <c r="AM3058" s="4">
        <v>35</v>
      </c>
      <c r="AN3058" s="4">
        <v>0</v>
      </c>
      <c r="AO3058" s="4">
        <v>0</v>
      </c>
      <c r="AP3058" s="4">
        <v>5</v>
      </c>
      <c r="AQ3058" s="4">
        <v>38</v>
      </c>
      <c r="AR3058" s="3" t="s">
        <v>64</v>
      </c>
      <c r="AS3058" s="3" t="s">
        <v>64</v>
      </c>
      <c r="AT3058" s="3" t="s">
        <v>64</v>
      </c>
      <c r="AV3058" s="6" t="str">
        <f>HYPERLINK("http://mcgill.on.worldcat.org/oclc/461632215","Catalog Record")</f>
        <v>Catalog Record</v>
      </c>
      <c r="AW3058" s="6" t="str">
        <f>HYPERLINK("http://www.worldcat.org/oclc/461632215","WorldCat Record")</f>
        <v>WorldCat Record</v>
      </c>
      <c r="AX3058" s="3" t="s">
        <v>30634</v>
      </c>
      <c r="AY3058" s="3" t="s">
        <v>30635</v>
      </c>
      <c r="AZ3058" s="3" t="s">
        <v>30636</v>
      </c>
      <c r="BA3058" s="3" t="s">
        <v>30636</v>
      </c>
      <c r="BB3058" s="3" t="s">
        <v>30637</v>
      </c>
      <c r="BC3058" s="3" t="s">
        <v>77</v>
      </c>
      <c r="BD3058" s="3" t="s">
        <v>78</v>
      </c>
      <c r="BE3058" s="3" t="s">
        <v>30638</v>
      </c>
      <c r="BF3058" s="3" t="s">
        <v>30637</v>
      </c>
      <c r="BG3058" s="3" t="s">
        <v>30639</v>
      </c>
      <c r="BH3058">
        <f t="shared" si="74"/>
        <v>0</v>
      </c>
    </row>
    <row r="3059" spans="1:60" ht="58" x14ac:dyDescent="0.35">
      <c r="A3059" s="2" t="s">
        <v>59</v>
      </c>
      <c r="B3059" s="2" t="s">
        <v>60</v>
      </c>
      <c r="C3059" s="2" t="s">
        <v>30640</v>
      </c>
      <c r="D3059" s="2" t="s">
        <v>30641</v>
      </c>
      <c r="E3059" s="2" t="s">
        <v>30642</v>
      </c>
      <c r="G3059" s="3" t="s">
        <v>64</v>
      </c>
      <c r="I3059" s="3" t="s">
        <v>64</v>
      </c>
      <c r="J3059" s="3" t="s">
        <v>64</v>
      </c>
      <c r="K3059" s="3" t="s">
        <v>65</v>
      </c>
      <c r="L3059" s="2" t="s">
        <v>30643</v>
      </c>
      <c r="M3059" s="2" t="s">
        <v>19709</v>
      </c>
      <c r="N3059" s="3" t="s">
        <v>291</v>
      </c>
      <c r="P3059" s="3" t="s">
        <v>102</v>
      </c>
      <c r="Q3059" s="2" t="s">
        <v>30644</v>
      </c>
      <c r="R3059" s="3" t="s">
        <v>70</v>
      </c>
      <c r="S3059" s="4">
        <v>4</v>
      </c>
      <c r="T3059" s="4">
        <v>4</v>
      </c>
      <c r="U3059" s="5" t="s">
        <v>10104</v>
      </c>
      <c r="V3059" s="5" t="s">
        <v>10104</v>
      </c>
      <c r="W3059" s="5" t="s">
        <v>72</v>
      </c>
      <c r="X3059" s="5" t="s">
        <v>72</v>
      </c>
      <c r="Y3059" s="4">
        <v>289</v>
      </c>
      <c r="Z3059" s="4">
        <v>19</v>
      </c>
      <c r="AA3059" s="4">
        <v>20</v>
      </c>
      <c r="AB3059" s="4">
        <v>1</v>
      </c>
      <c r="AC3059" s="4">
        <v>2</v>
      </c>
      <c r="AD3059" s="4">
        <v>47</v>
      </c>
      <c r="AE3059" s="4">
        <v>48</v>
      </c>
      <c r="AF3059" s="4">
        <v>0</v>
      </c>
      <c r="AG3059" s="4">
        <v>1</v>
      </c>
      <c r="AH3059" s="4">
        <v>42</v>
      </c>
      <c r="AI3059" s="4">
        <v>42</v>
      </c>
      <c r="AJ3059" s="4">
        <v>6</v>
      </c>
      <c r="AK3059" s="4">
        <v>7</v>
      </c>
      <c r="AL3059" s="4">
        <v>21</v>
      </c>
      <c r="AM3059" s="4">
        <v>21</v>
      </c>
      <c r="AN3059" s="4">
        <v>0</v>
      </c>
      <c r="AO3059" s="4">
        <v>0</v>
      </c>
      <c r="AP3059" s="4">
        <v>10</v>
      </c>
      <c r="AQ3059" s="4">
        <v>10</v>
      </c>
      <c r="AR3059" s="3" t="s">
        <v>64</v>
      </c>
      <c r="AS3059" s="3" t="s">
        <v>64</v>
      </c>
      <c r="AT3059" s="3" t="s">
        <v>64</v>
      </c>
      <c r="AV3059" s="6" t="str">
        <f>HYPERLINK("http://mcgill.on.worldcat.org/oclc/76967115","Catalog Record")</f>
        <v>Catalog Record</v>
      </c>
      <c r="AW3059" s="6" t="str">
        <f>HYPERLINK("http://www.worldcat.org/oclc/76967115","WorldCat Record")</f>
        <v>WorldCat Record</v>
      </c>
      <c r="AX3059" s="3" t="s">
        <v>30645</v>
      </c>
      <c r="AY3059" s="3" t="s">
        <v>30646</v>
      </c>
      <c r="AZ3059" s="3" t="s">
        <v>30647</v>
      </c>
      <c r="BA3059" s="3" t="s">
        <v>30647</v>
      </c>
      <c r="BB3059" s="3" t="s">
        <v>30648</v>
      </c>
      <c r="BC3059" s="3" t="s">
        <v>77</v>
      </c>
      <c r="BD3059" s="3" t="s">
        <v>78</v>
      </c>
      <c r="BE3059" s="3" t="s">
        <v>30649</v>
      </c>
      <c r="BF3059" s="3" t="s">
        <v>30648</v>
      </c>
      <c r="BG3059" s="3" t="s">
        <v>30650</v>
      </c>
      <c r="BH3059">
        <f t="shared" si="74"/>
        <v>0</v>
      </c>
    </row>
    <row r="3060" spans="1:60" ht="58" x14ac:dyDescent="0.35">
      <c r="A3060" s="2" t="s">
        <v>59</v>
      </c>
      <c r="B3060" s="2" t="s">
        <v>60</v>
      </c>
      <c r="C3060" s="2" t="s">
        <v>30651</v>
      </c>
      <c r="D3060" s="2" t="s">
        <v>30652</v>
      </c>
      <c r="E3060" s="2" t="s">
        <v>30653</v>
      </c>
      <c r="G3060" s="3" t="s">
        <v>64</v>
      </c>
      <c r="I3060" s="3" t="s">
        <v>64</v>
      </c>
      <c r="J3060" s="3" t="s">
        <v>64</v>
      </c>
      <c r="K3060" s="3" t="s">
        <v>65</v>
      </c>
      <c r="M3060" s="2" t="s">
        <v>19739</v>
      </c>
      <c r="N3060" s="3" t="s">
        <v>578</v>
      </c>
      <c r="P3060" s="3" t="s">
        <v>102</v>
      </c>
      <c r="Q3060" s="2" t="s">
        <v>30654</v>
      </c>
      <c r="R3060" s="3" t="s">
        <v>70</v>
      </c>
      <c r="S3060" s="4">
        <v>2</v>
      </c>
      <c r="T3060" s="4">
        <v>2</v>
      </c>
      <c r="U3060" s="5" t="s">
        <v>709</v>
      </c>
      <c r="V3060" s="5" t="s">
        <v>709</v>
      </c>
      <c r="W3060" s="5" t="s">
        <v>72</v>
      </c>
      <c r="X3060" s="5" t="s">
        <v>72</v>
      </c>
      <c r="Y3060" s="4">
        <v>94</v>
      </c>
      <c r="Z3060" s="4">
        <v>12</v>
      </c>
      <c r="AA3060" s="4">
        <v>15</v>
      </c>
      <c r="AB3060" s="4">
        <v>1</v>
      </c>
      <c r="AC3060" s="4">
        <v>4</v>
      </c>
      <c r="AD3060" s="4">
        <v>41</v>
      </c>
      <c r="AE3060" s="4">
        <v>45</v>
      </c>
      <c r="AF3060" s="4">
        <v>0</v>
      </c>
      <c r="AG3060" s="4">
        <v>1</v>
      </c>
      <c r="AH3060" s="4">
        <v>36</v>
      </c>
      <c r="AI3060" s="4">
        <v>39</v>
      </c>
      <c r="AJ3060" s="4">
        <v>8</v>
      </c>
      <c r="AK3060" s="4">
        <v>9</v>
      </c>
      <c r="AL3060" s="4">
        <v>22</v>
      </c>
      <c r="AM3060" s="4">
        <v>23</v>
      </c>
      <c r="AN3060" s="4">
        <v>0</v>
      </c>
      <c r="AO3060" s="4">
        <v>0</v>
      </c>
      <c r="AP3060" s="4">
        <v>9</v>
      </c>
      <c r="AQ3060" s="4">
        <v>9</v>
      </c>
      <c r="AR3060" s="3" t="s">
        <v>64</v>
      </c>
      <c r="AS3060" s="3" t="s">
        <v>64</v>
      </c>
      <c r="AT3060" s="3" t="s">
        <v>64</v>
      </c>
      <c r="AV3060" s="6" t="str">
        <f>HYPERLINK("http://mcgill.on.worldcat.org/oclc/992225700","Catalog Record")</f>
        <v>Catalog Record</v>
      </c>
      <c r="AW3060" s="6" t="str">
        <f>HYPERLINK("http://www.worldcat.org/oclc/992225700","WorldCat Record")</f>
        <v>WorldCat Record</v>
      </c>
      <c r="AX3060" s="3" t="s">
        <v>30655</v>
      </c>
      <c r="AY3060" s="3" t="s">
        <v>30656</v>
      </c>
      <c r="AZ3060" s="3" t="s">
        <v>30657</v>
      </c>
      <c r="BA3060" s="3" t="s">
        <v>30657</v>
      </c>
      <c r="BB3060" s="3" t="s">
        <v>30658</v>
      </c>
      <c r="BC3060" s="3" t="s">
        <v>77</v>
      </c>
      <c r="BD3060" s="3" t="s">
        <v>165</v>
      </c>
      <c r="BE3060" s="3" t="s">
        <v>30659</v>
      </c>
      <c r="BF3060" s="3" t="s">
        <v>30658</v>
      </c>
      <c r="BG3060" s="3" t="s">
        <v>30660</v>
      </c>
      <c r="BH3060">
        <f t="shared" si="74"/>
        <v>0</v>
      </c>
    </row>
    <row r="3061" spans="1:60" ht="58" x14ac:dyDescent="0.35">
      <c r="A3061" s="2" t="s">
        <v>59</v>
      </c>
      <c r="B3061" s="2" t="s">
        <v>60</v>
      </c>
      <c r="C3061" s="2" t="s">
        <v>30661</v>
      </c>
      <c r="D3061" s="2" t="s">
        <v>30662</v>
      </c>
      <c r="E3061" s="2" t="s">
        <v>30663</v>
      </c>
      <c r="G3061" s="3" t="s">
        <v>64</v>
      </c>
      <c r="I3061" s="3" t="s">
        <v>64</v>
      </c>
      <c r="J3061" s="3" t="s">
        <v>64</v>
      </c>
      <c r="K3061" s="3" t="s">
        <v>65</v>
      </c>
      <c r="M3061" s="2" t="s">
        <v>30664</v>
      </c>
      <c r="N3061" s="3" t="s">
        <v>326</v>
      </c>
      <c r="P3061" s="3" t="s">
        <v>102</v>
      </c>
      <c r="R3061" s="3" t="s">
        <v>70</v>
      </c>
      <c r="S3061" s="4">
        <v>8</v>
      </c>
      <c r="T3061" s="4">
        <v>8</v>
      </c>
      <c r="U3061" s="5" t="s">
        <v>20478</v>
      </c>
      <c r="V3061" s="5" t="s">
        <v>20478</v>
      </c>
      <c r="W3061" s="5" t="s">
        <v>72</v>
      </c>
      <c r="X3061" s="5" t="s">
        <v>72</v>
      </c>
      <c r="Y3061" s="4">
        <v>191</v>
      </c>
      <c r="Z3061" s="4">
        <v>22</v>
      </c>
      <c r="AA3061" s="4">
        <v>33</v>
      </c>
      <c r="AB3061" s="4">
        <v>1</v>
      </c>
      <c r="AC3061" s="4">
        <v>4</v>
      </c>
      <c r="AD3061" s="4">
        <v>56</v>
      </c>
      <c r="AE3061" s="4">
        <v>66</v>
      </c>
      <c r="AF3061" s="4">
        <v>0</v>
      </c>
      <c r="AG3061" s="4">
        <v>1</v>
      </c>
      <c r="AH3061" s="4">
        <v>48</v>
      </c>
      <c r="AI3061" s="4">
        <v>53</v>
      </c>
      <c r="AJ3061" s="4">
        <v>10</v>
      </c>
      <c r="AK3061" s="4">
        <v>14</v>
      </c>
      <c r="AL3061" s="4">
        <v>28</v>
      </c>
      <c r="AM3061" s="4">
        <v>31</v>
      </c>
      <c r="AN3061" s="4">
        <v>0</v>
      </c>
      <c r="AO3061" s="4">
        <v>0</v>
      </c>
      <c r="AP3061" s="4">
        <v>13</v>
      </c>
      <c r="AQ3061" s="4">
        <v>17</v>
      </c>
      <c r="AR3061" s="3" t="s">
        <v>64</v>
      </c>
      <c r="AS3061" s="3" t="s">
        <v>64</v>
      </c>
      <c r="AT3061" s="3" t="s">
        <v>64</v>
      </c>
      <c r="AV3061" s="6" t="str">
        <f>HYPERLINK("http://mcgill.on.worldcat.org/oclc/630498096","Catalog Record")</f>
        <v>Catalog Record</v>
      </c>
      <c r="AW3061" s="6" t="str">
        <f>HYPERLINK("http://www.worldcat.org/oclc/630498096","WorldCat Record")</f>
        <v>WorldCat Record</v>
      </c>
      <c r="AX3061" s="3" t="s">
        <v>30665</v>
      </c>
      <c r="AY3061" s="3" t="s">
        <v>30666</v>
      </c>
      <c r="AZ3061" s="3" t="s">
        <v>30667</v>
      </c>
      <c r="BA3061" s="3" t="s">
        <v>30667</v>
      </c>
      <c r="BB3061" s="3" t="s">
        <v>30668</v>
      </c>
      <c r="BC3061" s="3" t="s">
        <v>77</v>
      </c>
      <c r="BD3061" s="3" t="s">
        <v>78</v>
      </c>
      <c r="BE3061" s="3" t="s">
        <v>30669</v>
      </c>
      <c r="BF3061" s="3" t="s">
        <v>30668</v>
      </c>
      <c r="BG3061" s="3" t="s">
        <v>30670</v>
      </c>
      <c r="BH3061">
        <f t="shared" si="74"/>
        <v>0</v>
      </c>
    </row>
    <row r="3062" spans="1:60" ht="58" x14ac:dyDescent="0.35">
      <c r="A3062" s="2" t="s">
        <v>59</v>
      </c>
      <c r="B3062" s="2" t="s">
        <v>60</v>
      </c>
      <c r="C3062" s="2" t="s">
        <v>30671</v>
      </c>
      <c r="D3062" s="2" t="s">
        <v>30672</v>
      </c>
      <c r="E3062" s="2" t="s">
        <v>30673</v>
      </c>
      <c r="G3062" s="3" t="s">
        <v>64</v>
      </c>
      <c r="I3062" s="3" t="s">
        <v>64</v>
      </c>
      <c r="J3062" s="3" t="s">
        <v>64</v>
      </c>
      <c r="K3062" s="3" t="s">
        <v>65</v>
      </c>
      <c r="L3062" s="2" t="s">
        <v>30674</v>
      </c>
      <c r="M3062" s="2" t="s">
        <v>1213</v>
      </c>
      <c r="N3062" s="3" t="s">
        <v>1075</v>
      </c>
      <c r="P3062" s="3" t="s">
        <v>102</v>
      </c>
      <c r="R3062" s="3" t="s">
        <v>70</v>
      </c>
      <c r="S3062" s="4">
        <v>0</v>
      </c>
      <c r="T3062" s="4">
        <v>0</v>
      </c>
      <c r="W3062" s="5" t="s">
        <v>72</v>
      </c>
      <c r="X3062" s="5" t="s">
        <v>72</v>
      </c>
      <c r="Y3062" s="4">
        <v>51</v>
      </c>
      <c r="Z3062" s="4">
        <v>5</v>
      </c>
      <c r="AA3062" s="4">
        <v>27</v>
      </c>
      <c r="AB3062" s="4">
        <v>1</v>
      </c>
      <c r="AC3062" s="4">
        <v>4</v>
      </c>
      <c r="AD3062" s="4">
        <v>20</v>
      </c>
      <c r="AE3062" s="4">
        <v>47</v>
      </c>
      <c r="AF3062" s="4">
        <v>0</v>
      </c>
      <c r="AG3062" s="4">
        <v>0</v>
      </c>
      <c r="AH3062" s="4">
        <v>19</v>
      </c>
      <c r="AI3062" s="4">
        <v>39</v>
      </c>
      <c r="AJ3062" s="4">
        <v>4</v>
      </c>
      <c r="AK3062" s="4">
        <v>12</v>
      </c>
      <c r="AL3062" s="4">
        <v>13</v>
      </c>
      <c r="AM3062" s="4">
        <v>23</v>
      </c>
      <c r="AN3062" s="4">
        <v>0</v>
      </c>
      <c r="AO3062" s="4">
        <v>0</v>
      </c>
      <c r="AP3062" s="4">
        <v>4</v>
      </c>
      <c r="AQ3062" s="4">
        <v>14</v>
      </c>
      <c r="AR3062" s="3" t="s">
        <v>64</v>
      </c>
      <c r="AS3062" s="3" t="s">
        <v>64</v>
      </c>
      <c r="AT3062" s="3" t="s">
        <v>64</v>
      </c>
      <c r="AV3062" s="6" t="str">
        <f>HYPERLINK("http://mcgill.on.worldcat.org/oclc/857287690","Catalog Record")</f>
        <v>Catalog Record</v>
      </c>
      <c r="AW3062" s="6" t="str">
        <f>HYPERLINK("http://www.worldcat.org/oclc/857287690","WorldCat Record")</f>
        <v>WorldCat Record</v>
      </c>
      <c r="AX3062" s="3" t="s">
        <v>30675</v>
      </c>
      <c r="AY3062" s="3" t="s">
        <v>30676</v>
      </c>
      <c r="AZ3062" s="3" t="s">
        <v>30677</v>
      </c>
      <c r="BA3062" s="3" t="s">
        <v>30677</v>
      </c>
      <c r="BB3062" s="3" t="s">
        <v>30678</v>
      </c>
      <c r="BC3062" s="3" t="s">
        <v>77</v>
      </c>
      <c r="BD3062" s="3" t="s">
        <v>78</v>
      </c>
      <c r="BE3062" s="3" t="s">
        <v>30679</v>
      </c>
      <c r="BF3062" s="3" t="s">
        <v>30678</v>
      </c>
      <c r="BG3062" s="3" t="s">
        <v>30680</v>
      </c>
      <c r="BH3062">
        <f t="shared" si="74"/>
        <v>0</v>
      </c>
    </row>
    <row r="3063" spans="1:60" ht="58" x14ac:dyDescent="0.35">
      <c r="A3063" s="2" t="s">
        <v>59</v>
      </c>
      <c r="B3063" s="2" t="s">
        <v>60</v>
      </c>
      <c r="C3063" s="2" t="s">
        <v>30681</v>
      </c>
      <c r="D3063" s="2" t="s">
        <v>30682</v>
      </c>
      <c r="E3063" s="2" t="s">
        <v>30683</v>
      </c>
      <c r="G3063" s="3" t="s">
        <v>64</v>
      </c>
      <c r="I3063" s="3" t="s">
        <v>64</v>
      </c>
      <c r="J3063" s="3" t="s">
        <v>64</v>
      </c>
      <c r="K3063" s="3" t="s">
        <v>65</v>
      </c>
      <c r="M3063" s="2" t="s">
        <v>30684</v>
      </c>
      <c r="N3063" s="3" t="s">
        <v>86</v>
      </c>
      <c r="P3063" s="3" t="s">
        <v>102</v>
      </c>
      <c r="R3063" s="3" t="s">
        <v>70</v>
      </c>
      <c r="S3063" s="4">
        <v>0</v>
      </c>
      <c r="T3063" s="4">
        <v>0</v>
      </c>
      <c r="W3063" s="5" t="s">
        <v>72</v>
      </c>
      <c r="X3063" s="5" t="s">
        <v>72</v>
      </c>
      <c r="Y3063" s="4">
        <v>18</v>
      </c>
      <c r="Z3063" s="4">
        <v>1</v>
      </c>
      <c r="AA3063" s="4">
        <v>3</v>
      </c>
      <c r="AB3063" s="4">
        <v>1</v>
      </c>
      <c r="AC3063" s="4">
        <v>2</v>
      </c>
      <c r="AD3063" s="4">
        <v>5</v>
      </c>
      <c r="AE3063" s="4">
        <v>6</v>
      </c>
      <c r="AF3063" s="4">
        <v>0</v>
      </c>
      <c r="AG3063" s="4">
        <v>0</v>
      </c>
      <c r="AH3063" s="4">
        <v>5</v>
      </c>
      <c r="AI3063" s="4">
        <v>6</v>
      </c>
      <c r="AJ3063" s="4">
        <v>0</v>
      </c>
      <c r="AK3063" s="4">
        <v>1</v>
      </c>
      <c r="AL3063" s="4">
        <v>3</v>
      </c>
      <c r="AM3063" s="4">
        <v>3</v>
      </c>
      <c r="AN3063" s="4">
        <v>0</v>
      </c>
      <c r="AO3063" s="4">
        <v>0</v>
      </c>
      <c r="AP3063" s="4">
        <v>0</v>
      </c>
      <c r="AQ3063" s="4">
        <v>1</v>
      </c>
      <c r="AR3063" s="3" t="s">
        <v>64</v>
      </c>
      <c r="AS3063" s="3" t="s">
        <v>64</v>
      </c>
      <c r="AT3063" s="3" t="s">
        <v>64</v>
      </c>
      <c r="AV3063" s="6" t="str">
        <f>HYPERLINK("http://mcgill.on.worldcat.org/oclc/823041452","Catalog Record")</f>
        <v>Catalog Record</v>
      </c>
      <c r="AW3063" s="6" t="str">
        <f>HYPERLINK("http://www.worldcat.org/oclc/823041452","WorldCat Record")</f>
        <v>WorldCat Record</v>
      </c>
      <c r="AX3063" s="3" t="s">
        <v>30685</v>
      </c>
      <c r="AY3063" s="3" t="s">
        <v>30686</v>
      </c>
      <c r="AZ3063" s="3" t="s">
        <v>30687</v>
      </c>
      <c r="BA3063" s="3" t="s">
        <v>30687</v>
      </c>
      <c r="BB3063" s="3" t="s">
        <v>30688</v>
      </c>
      <c r="BC3063" s="3" t="s">
        <v>77</v>
      </c>
      <c r="BD3063" s="3" t="s">
        <v>78</v>
      </c>
      <c r="BE3063" s="3" t="s">
        <v>30689</v>
      </c>
      <c r="BF3063" s="3" t="s">
        <v>30688</v>
      </c>
      <c r="BG3063" s="3" t="s">
        <v>30690</v>
      </c>
      <c r="BH3063">
        <f t="shared" si="74"/>
        <v>0</v>
      </c>
    </row>
    <row r="3064" spans="1:60" ht="58" x14ac:dyDescent="0.35">
      <c r="A3064" s="2" t="s">
        <v>59</v>
      </c>
      <c r="B3064" s="2" t="s">
        <v>60</v>
      </c>
      <c r="C3064" s="2" t="s">
        <v>30691</v>
      </c>
      <c r="D3064" s="2" t="s">
        <v>30692</v>
      </c>
      <c r="E3064" s="2" t="s">
        <v>30693</v>
      </c>
      <c r="G3064" s="3" t="s">
        <v>64</v>
      </c>
      <c r="I3064" s="3" t="s">
        <v>64</v>
      </c>
      <c r="J3064" s="3" t="s">
        <v>64</v>
      </c>
      <c r="K3064" s="3" t="s">
        <v>65</v>
      </c>
      <c r="M3064" s="2" t="s">
        <v>14235</v>
      </c>
      <c r="N3064" s="3" t="s">
        <v>511</v>
      </c>
      <c r="P3064" s="3" t="s">
        <v>102</v>
      </c>
      <c r="R3064" s="3" t="s">
        <v>70</v>
      </c>
      <c r="S3064" s="4">
        <v>2</v>
      </c>
      <c r="T3064" s="4">
        <v>2</v>
      </c>
      <c r="U3064" s="5" t="s">
        <v>27026</v>
      </c>
      <c r="V3064" s="5" t="s">
        <v>27026</v>
      </c>
      <c r="W3064" s="5" t="s">
        <v>72</v>
      </c>
      <c r="X3064" s="5" t="s">
        <v>72</v>
      </c>
      <c r="Y3064" s="4">
        <v>325</v>
      </c>
      <c r="Z3064" s="4">
        <v>20</v>
      </c>
      <c r="AA3064" s="4">
        <v>106</v>
      </c>
      <c r="AB3064" s="4">
        <v>4</v>
      </c>
      <c r="AC3064" s="4">
        <v>19</v>
      </c>
      <c r="AD3064" s="4">
        <v>66</v>
      </c>
      <c r="AE3064" s="4">
        <v>120</v>
      </c>
      <c r="AF3064" s="4">
        <v>1</v>
      </c>
      <c r="AG3064" s="4">
        <v>8</v>
      </c>
      <c r="AH3064" s="4">
        <v>61</v>
      </c>
      <c r="AI3064" s="4">
        <v>86</v>
      </c>
      <c r="AJ3064" s="4">
        <v>8</v>
      </c>
      <c r="AK3064" s="4">
        <v>19</v>
      </c>
      <c r="AL3064" s="4">
        <v>29</v>
      </c>
      <c r="AM3064" s="4">
        <v>43</v>
      </c>
      <c r="AN3064" s="4">
        <v>0</v>
      </c>
      <c r="AO3064" s="4">
        <v>0</v>
      </c>
      <c r="AP3064" s="4">
        <v>9</v>
      </c>
      <c r="AQ3064" s="4">
        <v>40</v>
      </c>
      <c r="AR3064" s="3" t="s">
        <v>64</v>
      </c>
      <c r="AS3064" s="3" t="s">
        <v>64</v>
      </c>
      <c r="AT3064" s="3" t="s">
        <v>64</v>
      </c>
      <c r="AV3064" s="6" t="str">
        <f>HYPERLINK("http://mcgill.on.worldcat.org/oclc/421947206","Catalog Record")</f>
        <v>Catalog Record</v>
      </c>
      <c r="AW3064" s="6" t="str">
        <f>HYPERLINK("http://www.worldcat.org/oclc/421947206","WorldCat Record")</f>
        <v>WorldCat Record</v>
      </c>
      <c r="AX3064" s="3" t="s">
        <v>30694</v>
      </c>
      <c r="AY3064" s="3" t="s">
        <v>30695</v>
      </c>
      <c r="AZ3064" s="3" t="s">
        <v>30696</v>
      </c>
      <c r="BA3064" s="3" t="s">
        <v>30696</v>
      </c>
      <c r="BB3064" s="3" t="s">
        <v>30697</v>
      </c>
      <c r="BC3064" s="3" t="s">
        <v>77</v>
      </c>
      <c r="BD3064" s="3" t="s">
        <v>78</v>
      </c>
      <c r="BE3064" s="3" t="s">
        <v>30698</v>
      </c>
      <c r="BF3064" s="3" t="s">
        <v>30697</v>
      </c>
      <c r="BG3064" s="3" t="s">
        <v>30699</v>
      </c>
      <c r="BH3064">
        <f t="shared" si="74"/>
        <v>0</v>
      </c>
    </row>
    <row r="3065" spans="1:60" ht="58" x14ac:dyDescent="0.35">
      <c r="A3065" s="2" t="s">
        <v>59</v>
      </c>
      <c r="B3065" s="2" t="s">
        <v>60</v>
      </c>
      <c r="C3065" s="2" t="s">
        <v>30700</v>
      </c>
      <c r="D3065" s="2" t="s">
        <v>30701</v>
      </c>
      <c r="E3065" s="2" t="s">
        <v>30702</v>
      </c>
      <c r="G3065" s="3" t="s">
        <v>64</v>
      </c>
      <c r="I3065" s="3" t="s">
        <v>64</v>
      </c>
      <c r="J3065" s="3" t="s">
        <v>64</v>
      </c>
      <c r="K3065" s="3" t="s">
        <v>65</v>
      </c>
      <c r="M3065" s="2" t="s">
        <v>27761</v>
      </c>
      <c r="N3065" s="3" t="s">
        <v>67</v>
      </c>
      <c r="P3065" s="3" t="s">
        <v>102</v>
      </c>
      <c r="R3065" s="3" t="s">
        <v>70</v>
      </c>
      <c r="S3065" s="4">
        <v>0</v>
      </c>
      <c r="T3065" s="4">
        <v>0</v>
      </c>
      <c r="W3065" s="5" t="s">
        <v>72</v>
      </c>
      <c r="X3065" s="5" t="s">
        <v>72</v>
      </c>
      <c r="Y3065" s="4">
        <v>24</v>
      </c>
      <c r="Z3065" s="4">
        <v>3</v>
      </c>
      <c r="AA3065" s="4">
        <v>4</v>
      </c>
      <c r="AB3065" s="4">
        <v>1</v>
      </c>
      <c r="AC3065" s="4">
        <v>2</v>
      </c>
      <c r="AD3065" s="4">
        <v>7</v>
      </c>
      <c r="AE3065" s="4">
        <v>7</v>
      </c>
      <c r="AF3065" s="4">
        <v>0</v>
      </c>
      <c r="AG3065" s="4">
        <v>0</v>
      </c>
      <c r="AH3065" s="4">
        <v>6</v>
      </c>
      <c r="AI3065" s="4">
        <v>6</v>
      </c>
      <c r="AJ3065" s="4">
        <v>2</v>
      </c>
      <c r="AK3065" s="4">
        <v>2</v>
      </c>
      <c r="AL3065" s="4">
        <v>1</v>
      </c>
      <c r="AM3065" s="4">
        <v>1</v>
      </c>
      <c r="AN3065" s="4">
        <v>0</v>
      </c>
      <c r="AO3065" s="4">
        <v>0</v>
      </c>
      <c r="AP3065" s="4">
        <v>2</v>
      </c>
      <c r="AQ3065" s="4">
        <v>2</v>
      </c>
      <c r="AR3065" s="3" t="s">
        <v>64</v>
      </c>
      <c r="AS3065" s="3" t="s">
        <v>64</v>
      </c>
      <c r="AT3065" s="3" t="s">
        <v>64</v>
      </c>
      <c r="AV3065" s="6" t="str">
        <f>HYPERLINK("http://mcgill.on.worldcat.org/oclc/886483820","Catalog Record")</f>
        <v>Catalog Record</v>
      </c>
      <c r="AW3065" s="6" t="str">
        <f>HYPERLINK("http://www.worldcat.org/oclc/886483820","WorldCat Record")</f>
        <v>WorldCat Record</v>
      </c>
      <c r="AX3065" s="3" t="s">
        <v>30703</v>
      </c>
      <c r="AY3065" s="3" t="s">
        <v>30704</v>
      </c>
      <c r="AZ3065" s="3" t="s">
        <v>30705</v>
      </c>
      <c r="BA3065" s="3" t="s">
        <v>30705</v>
      </c>
      <c r="BB3065" s="3" t="s">
        <v>30706</v>
      </c>
      <c r="BC3065" s="3" t="s">
        <v>77</v>
      </c>
      <c r="BD3065" s="3" t="s">
        <v>78</v>
      </c>
      <c r="BE3065" s="3" t="s">
        <v>30707</v>
      </c>
      <c r="BF3065" s="3" t="s">
        <v>30706</v>
      </c>
      <c r="BG3065" s="3" t="s">
        <v>30708</v>
      </c>
      <c r="BH3065">
        <f t="shared" si="74"/>
        <v>0</v>
      </c>
    </row>
    <row r="3066" spans="1:60" ht="58" x14ac:dyDescent="0.35">
      <c r="A3066" s="2" t="s">
        <v>59</v>
      </c>
      <c r="B3066" s="2" t="s">
        <v>60</v>
      </c>
      <c r="C3066" s="2" t="s">
        <v>30709</v>
      </c>
      <c r="D3066" s="2" t="s">
        <v>30710</v>
      </c>
      <c r="E3066" s="2" t="s">
        <v>30711</v>
      </c>
      <c r="G3066" s="3" t="s">
        <v>64</v>
      </c>
      <c r="I3066" s="3" t="s">
        <v>64</v>
      </c>
      <c r="J3066" s="3" t="s">
        <v>64</v>
      </c>
      <c r="K3066" s="3" t="s">
        <v>65</v>
      </c>
      <c r="M3066" s="2" t="s">
        <v>30712</v>
      </c>
      <c r="N3066" s="3" t="s">
        <v>326</v>
      </c>
      <c r="O3066" s="2" t="s">
        <v>21773</v>
      </c>
      <c r="P3066" s="3" t="s">
        <v>102</v>
      </c>
      <c r="R3066" s="3" t="s">
        <v>70</v>
      </c>
      <c r="S3066" s="4">
        <v>2</v>
      </c>
      <c r="T3066" s="4">
        <v>2</v>
      </c>
      <c r="U3066" s="5" t="s">
        <v>17932</v>
      </c>
      <c r="V3066" s="5" t="s">
        <v>17932</v>
      </c>
      <c r="W3066" s="5" t="s">
        <v>72</v>
      </c>
      <c r="X3066" s="5" t="s">
        <v>72</v>
      </c>
      <c r="Y3066" s="4">
        <v>67</v>
      </c>
      <c r="Z3066" s="4">
        <v>6</v>
      </c>
      <c r="AA3066" s="4">
        <v>6</v>
      </c>
      <c r="AB3066" s="4">
        <v>1</v>
      </c>
      <c r="AC3066" s="4">
        <v>1</v>
      </c>
      <c r="AD3066" s="4">
        <v>21</v>
      </c>
      <c r="AE3066" s="4">
        <v>22</v>
      </c>
      <c r="AF3066" s="4">
        <v>0</v>
      </c>
      <c r="AG3066" s="4">
        <v>0</v>
      </c>
      <c r="AH3066" s="4">
        <v>20</v>
      </c>
      <c r="AI3066" s="4">
        <v>21</v>
      </c>
      <c r="AJ3066" s="4">
        <v>4</v>
      </c>
      <c r="AK3066" s="4">
        <v>4</v>
      </c>
      <c r="AL3066" s="4">
        <v>10</v>
      </c>
      <c r="AM3066" s="4">
        <v>11</v>
      </c>
      <c r="AN3066" s="4">
        <v>0</v>
      </c>
      <c r="AO3066" s="4">
        <v>0</v>
      </c>
      <c r="AP3066" s="4">
        <v>4</v>
      </c>
      <c r="AQ3066" s="4">
        <v>4</v>
      </c>
      <c r="AR3066" s="3" t="s">
        <v>64</v>
      </c>
      <c r="AS3066" s="3" t="s">
        <v>64</v>
      </c>
      <c r="AT3066" s="3" t="s">
        <v>64</v>
      </c>
      <c r="AV3066" s="6" t="str">
        <f>HYPERLINK("http://mcgill.on.worldcat.org/oclc/724313827","Catalog Record")</f>
        <v>Catalog Record</v>
      </c>
      <c r="AW3066" s="6" t="str">
        <f>HYPERLINK("http://www.worldcat.org/oclc/724313827","WorldCat Record")</f>
        <v>WorldCat Record</v>
      </c>
      <c r="AX3066" s="3" t="s">
        <v>30713</v>
      </c>
      <c r="AY3066" s="3" t="s">
        <v>30714</v>
      </c>
      <c r="AZ3066" s="3" t="s">
        <v>30715</v>
      </c>
      <c r="BA3066" s="3" t="s">
        <v>30715</v>
      </c>
      <c r="BB3066" s="3" t="s">
        <v>30716</v>
      </c>
      <c r="BC3066" s="3" t="s">
        <v>77</v>
      </c>
      <c r="BD3066" s="3" t="s">
        <v>78</v>
      </c>
      <c r="BE3066" s="3" t="s">
        <v>30717</v>
      </c>
      <c r="BF3066" s="3" t="s">
        <v>30716</v>
      </c>
      <c r="BG3066" s="3" t="s">
        <v>30718</v>
      </c>
      <c r="BH3066">
        <f t="shared" si="74"/>
        <v>0</v>
      </c>
    </row>
    <row r="3067" spans="1:60" ht="58" x14ac:dyDescent="0.35">
      <c r="A3067" s="2" t="s">
        <v>59</v>
      </c>
      <c r="B3067" s="2" t="s">
        <v>60</v>
      </c>
      <c r="C3067" s="2" t="s">
        <v>30719</v>
      </c>
      <c r="D3067" s="2" t="s">
        <v>30720</v>
      </c>
      <c r="E3067" s="2" t="s">
        <v>30721</v>
      </c>
      <c r="G3067" s="3" t="s">
        <v>64</v>
      </c>
      <c r="I3067" s="3" t="s">
        <v>64</v>
      </c>
      <c r="J3067" s="3" t="s">
        <v>128</v>
      </c>
      <c r="K3067" s="3" t="s">
        <v>65</v>
      </c>
      <c r="M3067" s="2" t="s">
        <v>14044</v>
      </c>
      <c r="N3067" s="3" t="s">
        <v>326</v>
      </c>
      <c r="O3067" s="2" t="s">
        <v>15120</v>
      </c>
      <c r="P3067" s="3" t="s">
        <v>102</v>
      </c>
      <c r="R3067" s="3" t="s">
        <v>70</v>
      </c>
      <c r="S3067" s="4">
        <v>3</v>
      </c>
      <c r="T3067" s="4">
        <v>3</v>
      </c>
      <c r="U3067" s="5" t="s">
        <v>234</v>
      </c>
      <c r="V3067" s="5" t="s">
        <v>234</v>
      </c>
      <c r="W3067" s="5" t="s">
        <v>72</v>
      </c>
      <c r="X3067" s="5" t="s">
        <v>72</v>
      </c>
      <c r="Y3067" s="4">
        <v>824</v>
      </c>
      <c r="Z3067" s="4">
        <v>24</v>
      </c>
      <c r="AA3067" s="4">
        <v>100</v>
      </c>
      <c r="AB3067" s="4">
        <v>3</v>
      </c>
      <c r="AC3067" s="4">
        <v>16</v>
      </c>
      <c r="AD3067" s="4">
        <v>84</v>
      </c>
      <c r="AE3067" s="4">
        <v>152</v>
      </c>
      <c r="AF3067" s="4">
        <v>1</v>
      </c>
      <c r="AG3067" s="4">
        <v>5</v>
      </c>
      <c r="AH3067" s="4">
        <v>74</v>
      </c>
      <c r="AI3067" s="4">
        <v>115</v>
      </c>
      <c r="AJ3067" s="4">
        <v>9</v>
      </c>
      <c r="AK3067" s="4">
        <v>21</v>
      </c>
      <c r="AL3067" s="4">
        <v>39</v>
      </c>
      <c r="AM3067" s="4">
        <v>61</v>
      </c>
      <c r="AN3067" s="4">
        <v>0</v>
      </c>
      <c r="AO3067" s="4">
        <v>0</v>
      </c>
      <c r="AP3067" s="4">
        <v>12</v>
      </c>
      <c r="AQ3067" s="4">
        <v>40</v>
      </c>
      <c r="AR3067" s="3" t="s">
        <v>64</v>
      </c>
      <c r="AS3067" s="3" t="s">
        <v>64</v>
      </c>
      <c r="AT3067" s="3" t="s">
        <v>64</v>
      </c>
      <c r="AV3067" s="6" t="str">
        <f>HYPERLINK("http://mcgill.on.worldcat.org/oclc/666224041","Catalog Record")</f>
        <v>Catalog Record</v>
      </c>
      <c r="AW3067" s="6" t="str">
        <f>HYPERLINK("http://www.worldcat.org/oclc/666224041","WorldCat Record")</f>
        <v>WorldCat Record</v>
      </c>
      <c r="AX3067" s="3" t="s">
        <v>30722</v>
      </c>
      <c r="AY3067" s="3" t="s">
        <v>30723</v>
      </c>
      <c r="AZ3067" s="3" t="s">
        <v>30724</v>
      </c>
      <c r="BA3067" s="3" t="s">
        <v>30724</v>
      </c>
      <c r="BB3067" s="3" t="s">
        <v>30725</v>
      </c>
      <c r="BC3067" s="3" t="s">
        <v>77</v>
      </c>
      <c r="BD3067" s="3" t="s">
        <v>165</v>
      </c>
      <c r="BE3067" s="3" t="s">
        <v>30726</v>
      </c>
      <c r="BF3067" s="3" t="s">
        <v>30725</v>
      </c>
      <c r="BG3067" s="3" t="s">
        <v>30727</v>
      </c>
      <c r="BH3067">
        <f t="shared" si="74"/>
        <v>0</v>
      </c>
    </row>
    <row r="3068" spans="1:60" ht="58" x14ac:dyDescent="0.35">
      <c r="A3068" s="2" t="s">
        <v>59</v>
      </c>
      <c r="B3068" s="2" t="s">
        <v>60</v>
      </c>
      <c r="C3068" s="2" t="s">
        <v>30728</v>
      </c>
      <c r="D3068" s="2" t="s">
        <v>30729</v>
      </c>
      <c r="E3068" s="2" t="s">
        <v>30730</v>
      </c>
      <c r="G3068" s="3" t="s">
        <v>64</v>
      </c>
      <c r="I3068" s="3" t="s">
        <v>64</v>
      </c>
      <c r="J3068" s="3" t="s">
        <v>64</v>
      </c>
      <c r="K3068" s="3" t="s">
        <v>65</v>
      </c>
      <c r="M3068" s="2" t="s">
        <v>30731</v>
      </c>
      <c r="N3068" s="3" t="s">
        <v>551</v>
      </c>
      <c r="O3068" s="2" t="s">
        <v>30732</v>
      </c>
      <c r="P3068" s="3" t="s">
        <v>102</v>
      </c>
      <c r="R3068" s="3" t="s">
        <v>70</v>
      </c>
      <c r="S3068" s="4">
        <v>3</v>
      </c>
      <c r="T3068" s="4">
        <v>3</v>
      </c>
      <c r="U3068" s="5" t="s">
        <v>17932</v>
      </c>
      <c r="V3068" s="5" t="s">
        <v>17932</v>
      </c>
      <c r="W3068" s="5" t="s">
        <v>72</v>
      </c>
      <c r="X3068" s="5" t="s">
        <v>72</v>
      </c>
      <c r="Y3068" s="4">
        <v>82</v>
      </c>
      <c r="Z3068" s="4">
        <v>9</v>
      </c>
      <c r="AA3068" s="4">
        <v>18</v>
      </c>
      <c r="AB3068" s="4">
        <v>2</v>
      </c>
      <c r="AC3068" s="4">
        <v>3</v>
      </c>
      <c r="AD3068" s="4">
        <v>29</v>
      </c>
      <c r="AE3068" s="4">
        <v>46</v>
      </c>
      <c r="AF3068" s="4">
        <v>0</v>
      </c>
      <c r="AG3068" s="4">
        <v>1</v>
      </c>
      <c r="AH3068" s="4">
        <v>28</v>
      </c>
      <c r="AI3068" s="4">
        <v>41</v>
      </c>
      <c r="AJ3068" s="4">
        <v>5</v>
      </c>
      <c r="AK3068" s="4">
        <v>12</v>
      </c>
      <c r="AL3068" s="4">
        <v>16</v>
      </c>
      <c r="AM3068" s="4">
        <v>22</v>
      </c>
      <c r="AN3068" s="4">
        <v>0</v>
      </c>
      <c r="AO3068" s="4">
        <v>1</v>
      </c>
      <c r="AP3068" s="4">
        <v>5</v>
      </c>
      <c r="AQ3068" s="4">
        <v>13</v>
      </c>
      <c r="AR3068" s="3" t="s">
        <v>64</v>
      </c>
      <c r="AS3068" s="3" t="s">
        <v>64</v>
      </c>
      <c r="AT3068" s="3" t="s">
        <v>128</v>
      </c>
      <c r="AU3068" s="6" t="str">
        <f>HYPERLINK("http://catalog.hathitrust.org/Record/010603887","HathiTrust Record")</f>
        <v>HathiTrust Record</v>
      </c>
      <c r="AV3068" s="6" t="str">
        <f>HYPERLINK("http://mcgill.on.worldcat.org/oclc/314017913","Catalog Record")</f>
        <v>Catalog Record</v>
      </c>
      <c r="AW3068" s="6" t="str">
        <f>HYPERLINK("http://www.worldcat.org/oclc/314017913","WorldCat Record")</f>
        <v>WorldCat Record</v>
      </c>
      <c r="AX3068" s="3" t="s">
        <v>30733</v>
      </c>
      <c r="AY3068" s="3" t="s">
        <v>30734</v>
      </c>
      <c r="AZ3068" s="3" t="s">
        <v>30735</v>
      </c>
      <c r="BA3068" s="3" t="s">
        <v>30735</v>
      </c>
      <c r="BB3068" s="3" t="s">
        <v>30736</v>
      </c>
      <c r="BC3068" s="3" t="s">
        <v>77</v>
      </c>
      <c r="BD3068" s="3" t="s">
        <v>78</v>
      </c>
      <c r="BE3068" s="3" t="s">
        <v>30737</v>
      </c>
      <c r="BF3068" s="3" t="s">
        <v>30736</v>
      </c>
      <c r="BG3068" s="3" t="s">
        <v>30738</v>
      </c>
      <c r="BH3068">
        <f t="shared" si="74"/>
        <v>0</v>
      </c>
    </row>
    <row r="3069" spans="1:60" ht="58" x14ac:dyDescent="0.35">
      <c r="A3069" s="2" t="s">
        <v>59</v>
      </c>
      <c r="B3069" s="2" t="s">
        <v>60</v>
      </c>
      <c r="C3069" s="2" t="s">
        <v>30739</v>
      </c>
      <c r="D3069" s="2" t="s">
        <v>30740</v>
      </c>
      <c r="E3069" s="2" t="s">
        <v>30741</v>
      </c>
      <c r="G3069" s="3" t="s">
        <v>64</v>
      </c>
      <c r="I3069" s="3" t="s">
        <v>64</v>
      </c>
      <c r="J3069" s="3" t="s">
        <v>64</v>
      </c>
      <c r="K3069" s="3" t="s">
        <v>65</v>
      </c>
      <c r="L3069" s="2" t="s">
        <v>30742</v>
      </c>
      <c r="M3069" s="2" t="s">
        <v>14840</v>
      </c>
      <c r="N3069" s="3" t="s">
        <v>511</v>
      </c>
      <c r="P3069" s="3" t="s">
        <v>102</v>
      </c>
      <c r="R3069" s="3" t="s">
        <v>70</v>
      </c>
      <c r="S3069" s="4">
        <v>5</v>
      </c>
      <c r="T3069" s="4">
        <v>5</v>
      </c>
      <c r="U3069" s="5" t="s">
        <v>11310</v>
      </c>
      <c r="V3069" s="5" t="s">
        <v>11310</v>
      </c>
      <c r="W3069" s="5" t="s">
        <v>72</v>
      </c>
      <c r="X3069" s="5" t="s">
        <v>72</v>
      </c>
      <c r="Y3069" s="4">
        <v>274</v>
      </c>
      <c r="Z3069" s="4">
        <v>17</v>
      </c>
      <c r="AA3069" s="4">
        <v>18</v>
      </c>
      <c r="AB3069" s="4">
        <v>2</v>
      </c>
      <c r="AC3069" s="4">
        <v>3</v>
      </c>
      <c r="AD3069" s="4">
        <v>39</v>
      </c>
      <c r="AE3069" s="4">
        <v>40</v>
      </c>
      <c r="AF3069" s="4">
        <v>0</v>
      </c>
      <c r="AG3069" s="4">
        <v>1</v>
      </c>
      <c r="AH3069" s="4">
        <v>36</v>
      </c>
      <c r="AI3069" s="4">
        <v>36</v>
      </c>
      <c r="AJ3069" s="4">
        <v>7</v>
      </c>
      <c r="AK3069" s="4">
        <v>8</v>
      </c>
      <c r="AL3069" s="4">
        <v>22</v>
      </c>
      <c r="AM3069" s="4">
        <v>22</v>
      </c>
      <c r="AN3069" s="4">
        <v>0</v>
      </c>
      <c r="AO3069" s="4">
        <v>0</v>
      </c>
      <c r="AP3069" s="4">
        <v>8</v>
      </c>
      <c r="AQ3069" s="4">
        <v>8</v>
      </c>
      <c r="AR3069" s="3" t="s">
        <v>64</v>
      </c>
      <c r="AS3069" s="3" t="s">
        <v>64</v>
      </c>
      <c r="AT3069" s="3" t="s">
        <v>64</v>
      </c>
      <c r="AV3069" s="6" t="str">
        <f>HYPERLINK("http://mcgill.on.worldcat.org/oclc/434744930","Catalog Record")</f>
        <v>Catalog Record</v>
      </c>
      <c r="AW3069" s="6" t="str">
        <f>HYPERLINK("http://www.worldcat.org/oclc/434744930","WorldCat Record")</f>
        <v>WorldCat Record</v>
      </c>
      <c r="AX3069" s="3" t="s">
        <v>30743</v>
      </c>
      <c r="AY3069" s="3" t="s">
        <v>30744</v>
      </c>
      <c r="AZ3069" s="3" t="s">
        <v>30745</v>
      </c>
      <c r="BA3069" s="3" t="s">
        <v>30745</v>
      </c>
      <c r="BB3069" s="3" t="s">
        <v>30746</v>
      </c>
      <c r="BC3069" s="3" t="s">
        <v>77</v>
      </c>
      <c r="BD3069" s="3" t="s">
        <v>78</v>
      </c>
      <c r="BE3069" s="3" t="s">
        <v>30747</v>
      </c>
      <c r="BF3069" s="3" t="s">
        <v>30746</v>
      </c>
      <c r="BG3069" s="3" t="s">
        <v>30748</v>
      </c>
      <c r="BH3069">
        <f t="shared" si="74"/>
        <v>0</v>
      </c>
    </row>
    <row r="3070" spans="1:60" ht="58" x14ac:dyDescent="0.35">
      <c r="A3070" s="2" t="s">
        <v>59</v>
      </c>
      <c r="B3070" s="2" t="s">
        <v>60</v>
      </c>
      <c r="C3070" s="2" t="s">
        <v>30749</v>
      </c>
      <c r="D3070" s="2" t="s">
        <v>30750</v>
      </c>
      <c r="E3070" s="2" t="s">
        <v>30751</v>
      </c>
      <c r="G3070" s="3" t="s">
        <v>64</v>
      </c>
      <c r="I3070" s="3" t="s">
        <v>64</v>
      </c>
      <c r="J3070" s="3" t="s">
        <v>64</v>
      </c>
      <c r="K3070" s="3" t="s">
        <v>65</v>
      </c>
      <c r="M3070" s="2" t="s">
        <v>30752</v>
      </c>
      <c r="N3070" s="3" t="s">
        <v>551</v>
      </c>
      <c r="P3070" s="3" t="s">
        <v>102</v>
      </c>
      <c r="R3070" s="3" t="s">
        <v>70</v>
      </c>
      <c r="S3070" s="4">
        <v>3</v>
      </c>
      <c r="T3070" s="4">
        <v>3</v>
      </c>
      <c r="U3070" s="5" t="s">
        <v>17932</v>
      </c>
      <c r="V3070" s="5" t="s">
        <v>17932</v>
      </c>
      <c r="W3070" s="5" t="s">
        <v>72</v>
      </c>
      <c r="X3070" s="5" t="s">
        <v>72</v>
      </c>
      <c r="Y3070" s="4">
        <v>100</v>
      </c>
      <c r="Z3070" s="4">
        <v>15</v>
      </c>
      <c r="AA3070" s="4">
        <v>16</v>
      </c>
      <c r="AB3070" s="4">
        <v>2</v>
      </c>
      <c r="AC3070" s="4">
        <v>3</v>
      </c>
      <c r="AD3070" s="4">
        <v>37</v>
      </c>
      <c r="AE3070" s="4">
        <v>37</v>
      </c>
      <c r="AF3070" s="4">
        <v>0</v>
      </c>
      <c r="AG3070" s="4">
        <v>0</v>
      </c>
      <c r="AH3070" s="4">
        <v>33</v>
      </c>
      <c r="AI3070" s="4">
        <v>33</v>
      </c>
      <c r="AJ3070" s="4">
        <v>9</v>
      </c>
      <c r="AK3070" s="4">
        <v>9</v>
      </c>
      <c r="AL3070" s="4">
        <v>21</v>
      </c>
      <c r="AM3070" s="4">
        <v>21</v>
      </c>
      <c r="AN3070" s="4">
        <v>0</v>
      </c>
      <c r="AO3070" s="4">
        <v>0</v>
      </c>
      <c r="AP3070" s="4">
        <v>10</v>
      </c>
      <c r="AQ3070" s="4">
        <v>10</v>
      </c>
      <c r="AR3070" s="3" t="s">
        <v>64</v>
      </c>
      <c r="AS3070" s="3" t="s">
        <v>64</v>
      </c>
      <c r="AT3070" s="3" t="s">
        <v>64</v>
      </c>
      <c r="AV3070" s="6" t="str">
        <f>HYPERLINK("http://mcgill.on.worldcat.org/oclc/321032258","Catalog Record")</f>
        <v>Catalog Record</v>
      </c>
      <c r="AW3070" s="6" t="str">
        <f>HYPERLINK("http://www.worldcat.org/oclc/321032258","WorldCat Record")</f>
        <v>WorldCat Record</v>
      </c>
      <c r="AX3070" s="3" t="s">
        <v>30753</v>
      </c>
      <c r="AY3070" s="3" t="s">
        <v>30754</v>
      </c>
      <c r="AZ3070" s="3" t="s">
        <v>30755</v>
      </c>
      <c r="BA3070" s="3" t="s">
        <v>30755</v>
      </c>
      <c r="BB3070" s="3" t="s">
        <v>30756</v>
      </c>
      <c r="BC3070" s="3" t="s">
        <v>77</v>
      </c>
      <c r="BD3070" s="3" t="s">
        <v>78</v>
      </c>
      <c r="BE3070" s="3" t="s">
        <v>30757</v>
      </c>
      <c r="BF3070" s="3" t="s">
        <v>30756</v>
      </c>
      <c r="BG3070" s="3" t="s">
        <v>30758</v>
      </c>
      <c r="BH3070">
        <f t="shared" si="74"/>
        <v>0</v>
      </c>
    </row>
    <row r="3071" spans="1:60" ht="58" x14ac:dyDescent="0.35">
      <c r="A3071" s="2" t="s">
        <v>59</v>
      </c>
      <c r="B3071" s="2" t="s">
        <v>60</v>
      </c>
      <c r="C3071" s="2" t="s">
        <v>30759</v>
      </c>
      <c r="D3071" s="2" t="s">
        <v>30760</v>
      </c>
      <c r="E3071" s="2" t="s">
        <v>30761</v>
      </c>
      <c r="G3071" s="3" t="s">
        <v>64</v>
      </c>
      <c r="I3071" s="3" t="s">
        <v>64</v>
      </c>
      <c r="J3071" s="3" t="s">
        <v>64</v>
      </c>
      <c r="K3071" s="3" t="s">
        <v>65</v>
      </c>
      <c r="L3071" s="2" t="s">
        <v>30762</v>
      </c>
      <c r="M3071" s="2" t="s">
        <v>30763</v>
      </c>
      <c r="N3071" s="3" t="s">
        <v>266</v>
      </c>
      <c r="P3071" s="3" t="s">
        <v>102</v>
      </c>
      <c r="Q3071" s="2" t="s">
        <v>30764</v>
      </c>
      <c r="R3071" s="3" t="s">
        <v>70</v>
      </c>
      <c r="S3071" s="4">
        <v>3</v>
      </c>
      <c r="T3071" s="4">
        <v>3</v>
      </c>
      <c r="U3071" s="5" t="s">
        <v>6174</v>
      </c>
      <c r="V3071" s="5" t="s">
        <v>6174</v>
      </c>
      <c r="W3071" s="5" t="s">
        <v>72</v>
      </c>
      <c r="X3071" s="5" t="s">
        <v>72</v>
      </c>
      <c r="Y3071" s="4">
        <v>118</v>
      </c>
      <c r="Z3071" s="4">
        <v>43</v>
      </c>
      <c r="AA3071" s="4">
        <v>47</v>
      </c>
      <c r="AB3071" s="4">
        <v>5</v>
      </c>
      <c r="AC3071" s="4">
        <v>7</v>
      </c>
      <c r="AD3071" s="4">
        <v>56</v>
      </c>
      <c r="AE3071" s="4">
        <v>60</v>
      </c>
      <c r="AF3071" s="4">
        <v>2</v>
      </c>
      <c r="AG3071" s="4">
        <v>3</v>
      </c>
      <c r="AH3071" s="4">
        <v>38</v>
      </c>
      <c r="AI3071" s="4">
        <v>41</v>
      </c>
      <c r="AJ3071" s="4">
        <v>17</v>
      </c>
      <c r="AK3071" s="4">
        <v>19</v>
      </c>
      <c r="AL3071" s="4">
        <v>20</v>
      </c>
      <c r="AM3071" s="4">
        <v>21</v>
      </c>
      <c r="AN3071" s="4">
        <v>5</v>
      </c>
      <c r="AO3071" s="4">
        <v>5</v>
      </c>
      <c r="AP3071" s="4">
        <v>25</v>
      </c>
      <c r="AQ3071" s="4">
        <v>27</v>
      </c>
      <c r="AR3071" s="3" t="s">
        <v>128</v>
      </c>
      <c r="AS3071" s="3" t="s">
        <v>64</v>
      </c>
      <c r="AT3071" s="3" t="s">
        <v>128</v>
      </c>
      <c r="AU3071" s="6" t="str">
        <f>HYPERLINK("http://catalog.hathitrust.org/Record/102330934","HathiTrust Record")</f>
        <v>HathiTrust Record</v>
      </c>
      <c r="AV3071" s="6" t="str">
        <f>HYPERLINK("http://mcgill.on.worldcat.org/oclc/460060","Catalog Record")</f>
        <v>Catalog Record</v>
      </c>
      <c r="AW3071" s="6" t="str">
        <f>HYPERLINK("http://www.worldcat.org/oclc/460060","WorldCat Record")</f>
        <v>WorldCat Record</v>
      </c>
      <c r="AX3071" s="3" t="s">
        <v>30765</v>
      </c>
      <c r="AY3071" s="3" t="s">
        <v>30766</v>
      </c>
      <c r="AZ3071" s="3" t="s">
        <v>30767</v>
      </c>
      <c r="BA3071" s="3" t="s">
        <v>30767</v>
      </c>
      <c r="BB3071" s="3" t="s">
        <v>30768</v>
      </c>
      <c r="BC3071" s="3" t="s">
        <v>2891</v>
      </c>
      <c r="BD3071" s="3" t="s">
        <v>78</v>
      </c>
      <c r="BF3071" s="3" t="s">
        <v>30768</v>
      </c>
      <c r="BG3071" s="3" t="s">
        <v>30769</v>
      </c>
      <c r="BH3071">
        <f t="shared" si="74"/>
        <v>0</v>
      </c>
    </row>
    <row r="3072" spans="1:60" ht="58" x14ac:dyDescent="0.35">
      <c r="A3072" s="2" t="s">
        <v>59</v>
      </c>
      <c r="B3072" s="2" t="s">
        <v>60</v>
      </c>
      <c r="C3072" s="2" t="s">
        <v>30770</v>
      </c>
      <c r="D3072" s="2" t="s">
        <v>30771</v>
      </c>
      <c r="E3072" s="2" t="s">
        <v>30772</v>
      </c>
      <c r="G3072" s="3" t="s">
        <v>64</v>
      </c>
      <c r="I3072" s="3" t="s">
        <v>64</v>
      </c>
      <c r="J3072" s="3" t="s">
        <v>64</v>
      </c>
      <c r="K3072" s="3" t="s">
        <v>65</v>
      </c>
      <c r="L3072" s="2" t="s">
        <v>5916</v>
      </c>
      <c r="M3072" s="2" t="s">
        <v>18512</v>
      </c>
      <c r="N3072" s="3" t="s">
        <v>498</v>
      </c>
      <c r="P3072" s="3" t="s">
        <v>102</v>
      </c>
      <c r="R3072" s="3" t="s">
        <v>70</v>
      </c>
      <c r="S3072" s="4">
        <v>7</v>
      </c>
      <c r="T3072" s="4">
        <v>7</v>
      </c>
      <c r="U3072" s="5" t="s">
        <v>30773</v>
      </c>
      <c r="V3072" s="5" t="s">
        <v>30773</v>
      </c>
      <c r="W3072" s="5" t="s">
        <v>72</v>
      </c>
      <c r="X3072" s="5" t="s">
        <v>72</v>
      </c>
      <c r="Y3072" s="4">
        <v>338</v>
      </c>
      <c r="Z3072" s="4">
        <v>16</v>
      </c>
      <c r="AA3072" s="4">
        <v>17</v>
      </c>
      <c r="AB3072" s="4">
        <v>2</v>
      </c>
      <c r="AC3072" s="4">
        <v>3</v>
      </c>
      <c r="AD3072" s="4">
        <v>79</v>
      </c>
      <c r="AE3072" s="4">
        <v>81</v>
      </c>
      <c r="AF3072" s="4">
        <v>1</v>
      </c>
      <c r="AG3072" s="4">
        <v>2</v>
      </c>
      <c r="AH3072" s="4">
        <v>75</v>
      </c>
      <c r="AI3072" s="4">
        <v>76</v>
      </c>
      <c r="AJ3072" s="4">
        <v>11</v>
      </c>
      <c r="AK3072" s="4">
        <v>12</v>
      </c>
      <c r="AL3072" s="4">
        <v>39</v>
      </c>
      <c r="AM3072" s="4">
        <v>39</v>
      </c>
      <c r="AN3072" s="4">
        <v>0</v>
      </c>
      <c r="AO3072" s="4">
        <v>0</v>
      </c>
      <c r="AP3072" s="4">
        <v>10</v>
      </c>
      <c r="AQ3072" s="4">
        <v>10</v>
      </c>
      <c r="AR3072" s="3" t="s">
        <v>64</v>
      </c>
      <c r="AS3072" s="3" t="s">
        <v>64</v>
      </c>
      <c r="AT3072" s="3" t="s">
        <v>64</v>
      </c>
      <c r="AV3072" s="6" t="str">
        <f>HYPERLINK("http://mcgill.on.worldcat.org/oclc/901163","Catalog Record")</f>
        <v>Catalog Record</v>
      </c>
      <c r="AW3072" s="6" t="str">
        <f>HYPERLINK("http://www.worldcat.org/oclc/901163","WorldCat Record")</f>
        <v>WorldCat Record</v>
      </c>
      <c r="AX3072" s="3" t="s">
        <v>30774</v>
      </c>
      <c r="AY3072" s="3" t="s">
        <v>30775</v>
      </c>
      <c r="AZ3072" s="3" t="s">
        <v>30776</v>
      </c>
      <c r="BA3072" s="3" t="s">
        <v>30776</v>
      </c>
      <c r="BB3072" s="3" t="s">
        <v>30777</v>
      </c>
      <c r="BC3072" s="3" t="s">
        <v>77</v>
      </c>
      <c r="BD3072" s="3" t="s">
        <v>78</v>
      </c>
      <c r="BE3072" s="3" t="s">
        <v>30778</v>
      </c>
      <c r="BF3072" s="3" t="s">
        <v>30777</v>
      </c>
      <c r="BG3072" s="3" t="s">
        <v>30779</v>
      </c>
      <c r="BH3072">
        <f t="shared" si="74"/>
        <v>0</v>
      </c>
    </row>
    <row r="3073" spans="1:60" ht="58" x14ac:dyDescent="0.35">
      <c r="A3073" s="2" t="s">
        <v>59</v>
      </c>
      <c r="B3073" s="2" t="s">
        <v>60</v>
      </c>
      <c r="C3073" s="2" t="s">
        <v>30780</v>
      </c>
      <c r="D3073" s="2" t="s">
        <v>30781</v>
      </c>
      <c r="E3073" s="2" t="s">
        <v>30782</v>
      </c>
      <c r="G3073" s="3" t="s">
        <v>64</v>
      </c>
      <c r="I3073" s="3" t="s">
        <v>64</v>
      </c>
      <c r="J3073" s="3" t="s">
        <v>64</v>
      </c>
      <c r="K3073" s="3" t="s">
        <v>65</v>
      </c>
      <c r="L3073" s="2" t="s">
        <v>30783</v>
      </c>
      <c r="M3073" s="2" t="s">
        <v>30784</v>
      </c>
      <c r="N3073" s="3" t="s">
        <v>9843</v>
      </c>
      <c r="P3073" s="3" t="s">
        <v>102</v>
      </c>
      <c r="Q3073" s="2" t="s">
        <v>30785</v>
      </c>
      <c r="R3073" s="3" t="s">
        <v>70</v>
      </c>
      <c r="S3073" s="4">
        <v>3</v>
      </c>
      <c r="T3073" s="4">
        <v>3</v>
      </c>
      <c r="U3073" s="5" t="s">
        <v>30786</v>
      </c>
      <c r="V3073" s="5" t="s">
        <v>30786</v>
      </c>
      <c r="W3073" s="5" t="s">
        <v>72</v>
      </c>
      <c r="X3073" s="5" t="s">
        <v>72</v>
      </c>
      <c r="Y3073" s="4">
        <v>16</v>
      </c>
      <c r="Z3073" s="4">
        <v>1</v>
      </c>
      <c r="AA3073" s="4">
        <v>1</v>
      </c>
      <c r="AB3073" s="4">
        <v>1</v>
      </c>
      <c r="AC3073" s="4">
        <v>1</v>
      </c>
      <c r="AD3073" s="4">
        <v>7</v>
      </c>
      <c r="AE3073" s="4">
        <v>7</v>
      </c>
      <c r="AF3073" s="4">
        <v>0</v>
      </c>
      <c r="AG3073" s="4">
        <v>0</v>
      </c>
      <c r="AH3073" s="4">
        <v>7</v>
      </c>
      <c r="AI3073" s="4">
        <v>7</v>
      </c>
      <c r="AJ3073" s="4">
        <v>0</v>
      </c>
      <c r="AK3073" s="4">
        <v>0</v>
      </c>
      <c r="AL3073" s="4">
        <v>5</v>
      </c>
      <c r="AM3073" s="4">
        <v>5</v>
      </c>
      <c r="AN3073" s="4">
        <v>0</v>
      </c>
      <c r="AO3073" s="4">
        <v>0</v>
      </c>
      <c r="AP3073" s="4">
        <v>0</v>
      </c>
      <c r="AQ3073" s="4">
        <v>0</v>
      </c>
      <c r="AR3073" s="3" t="s">
        <v>64</v>
      </c>
      <c r="AS3073" s="3" t="s">
        <v>64</v>
      </c>
      <c r="AT3073" s="3" t="s">
        <v>64</v>
      </c>
      <c r="AV3073" s="6" t="str">
        <f>HYPERLINK("http://mcgill.on.worldcat.org/oclc/3619584","Catalog Record")</f>
        <v>Catalog Record</v>
      </c>
      <c r="AW3073" s="6" t="str">
        <f>HYPERLINK("http://www.worldcat.org/oclc/3619584","WorldCat Record")</f>
        <v>WorldCat Record</v>
      </c>
      <c r="AX3073" s="3" t="s">
        <v>30787</v>
      </c>
      <c r="AY3073" s="3" t="s">
        <v>30788</v>
      </c>
      <c r="AZ3073" s="3" t="s">
        <v>30789</v>
      </c>
      <c r="BA3073" s="3" t="s">
        <v>30789</v>
      </c>
      <c r="BB3073" s="3" t="s">
        <v>30790</v>
      </c>
      <c r="BC3073" s="3" t="s">
        <v>77</v>
      </c>
      <c r="BD3073" s="3" t="s">
        <v>78</v>
      </c>
      <c r="BF3073" s="3" t="s">
        <v>30790</v>
      </c>
      <c r="BG3073" s="3" t="s">
        <v>30791</v>
      </c>
      <c r="BH3073">
        <f t="shared" si="74"/>
        <v>0</v>
      </c>
    </row>
    <row r="3074" spans="1:60" ht="58" x14ac:dyDescent="0.35">
      <c r="A3074" s="2" t="s">
        <v>59</v>
      </c>
      <c r="B3074" s="2" t="s">
        <v>60</v>
      </c>
      <c r="C3074" s="2" t="s">
        <v>30792</v>
      </c>
      <c r="D3074" s="2" t="s">
        <v>30793</v>
      </c>
      <c r="E3074" s="2" t="s">
        <v>30794</v>
      </c>
      <c r="G3074" s="3" t="s">
        <v>64</v>
      </c>
      <c r="I3074" s="3" t="s">
        <v>64</v>
      </c>
      <c r="J3074" s="3" t="s">
        <v>64</v>
      </c>
      <c r="K3074" s="3" t="s">
        <v>65</v>
      </c>
      <c r="M3074" s="2" t="s">
        <v>15618</v>
      </c>
      <c r="N3074" s="3" t="s">
        <v>1075</v>
      </c>
      <c r="P3074" s="3" t="s">
        <v>102</v>
      </c>
      <c r="R3074" s="3" t="s">
        <v>70</v>
      </c>
      <c r="S3074" s="4">
        <v>4</v>
      </c>
      <c r="T3074" s="4">
        <v>4</v>
      </c>
      <c r="U3074" s="5" t="s">
        <v>4043</v>
      </c>
      <c r="V3074" s="5" t="s">
        <v>4043</v>
      </c>
      <c r="W3074" s="5" t="s">
        <v>72</v>
      </c>
      <c r="X3074" s="5" t="s">
        <v>72</v>
      </c>
      <c r="Y3074" s="4">
        <v>255</v>
      </c>
      <c r="Z3074" s="4">
        <v>19</v>
      </c>
      <c r="AA3074" s="4">
        <v>112</v>
      </c>
      <c r="AB3074" s="4">
        <v>1</v>
      </c>
      <c r="AC3074" s="4">
        <v>16</v>
      </c>
      <c r="AD3074" s="4">
        <v>58</v>
      </c>
      <c r="AE3074" s="4">
        <v>121</v>
      </c>
      <c r="AF3074" s="4">
        <v>0</v>
      </c>
      <c r="AG3074" s="4">
        <v>8</v>
      </c>
      <c r="AH3074" s="4">
        <v>54</v>
      </c>
      <c r="AI3074" s="4">
        <v>82</v>
      </c>
      <c r="AJ3074" s="4">
        <v>8</v>
      </c>
      <c r="AK3074" s="4">
        <v>21</v>
      </c>
      <c r="AL3074" s="4">
        <v>27</v>
      </c>
      <c r="AM3074" s="4">
        <v>43</v>
      </c>
      <c r="AN3074" s="4">
        <v>0</v>
      </c>
      <c r="AO3074" s="4">
        <v>0</v>
      </c>
      <c r="AP3074" s="4">
        <v>9</v>
      </c>
      <c r="AQ3074" s="4">
        <v>43</v>
      </c>
      <c r="AR3074" s="3" t="s">
        <v>64</v>
      </c>
      <c r="AS3074" s="3" t="s">
        <v>64</v>
      </c>
      <c r="AT3074" s="3" t="s">
        <v>64</v>
      </c>
      <c r="AV3074" s="6" t="str">
        <f>HYPERLINK("http://mcgill.on.worldcat.org/oclc/796081877","Catalog Record")</f>
        <v>Catalog Record</v>
      </c>
      <c r="AW3074" s="6" t="str">
        <f>HYPERLINK("http://www.worldcat.org/oclc/796081877","WorldCat Record")</f>
        <v>WorldCat Record</v>
      </c>
      <c r="AX3074" s="3" t="s">
        <v>30795</v>
      </c>
      <c r="AY3074" s="3" t="s">
        <v>30796</v>
      </c>
      <c r="AZ3074" s="3" t="s">
        <v>30797</v>
      </c>
      <c r="BA3074" s="3" t="s">
        <v>30797</v>
      </c>
      <c r="BB3074" s="3" t="s">
        <v>30798</v>
      </c>
      <c r="BC3074" s="3" t="s">
        <v>77</v>
      </c>
      <c r="BD3074" s="3" t="s">
        <v>78</v>
      </c>
      <c r="BE3074" s="3" t="s">
        <v>30799</v>
      </c>
      <c r="BF3074" s="3" t="s">
        <v>30798</v>
      </c>
      <c r="BG3074" s="3" t="s">
        <v>30800</v>
      </c>
      <c r="BH3074">
        <f t="shared" ref="BH3074:BH3137" si="75">IF(COUNTIF($BF$1:$BF$5431,BF3074)=1,0,1)</f>
        <v>0</v>
      </c>
    </row>
    <row r="3075" spans="1:60" ht="58" x14ac:dyDescent="0.35">
      <c r="A3075" s="2" t="s">
        <v>59</v>
      </c>
      <c r="B3075" s="2" t="s">
        <v>60</v>
      </c>
      <c r="C3075" s="2" t="s">
        <v>30801</v>
      </c>
      <c r="D3075" s="2" t="s">
        <v>30802</v>
      </c>
      <c r="E3075" s="2" t="s">
        <v>30803</v>
      </c>
      <c r="G3075" s="3" t="s">
        <v>64</v>
      </c>
      <c r="I3075" s="3" t="s">
        <v>64</v>
      </c>
      <c r="J3075" s="3" t="s">
        <v>64</v>
      </c>
      <c r="K3075" s="3" t="s">
        <v>65</v>
      </c>
      <c r="L3075" s="2" t="s">
        <v>30804</v>
      </c>
      <c r="M3075" s="2" t="s">
        <v>15272</v>
      </c>
      <c r="N3075" s="3" t="s">
        <v>291</v>
      </c>
      <c r="P3075" s="3" t="s">
        <v>102</v>
      </c>
      <c r="Q3075" s="2" t="s">
        <v>24061</v>
      </c>
      <c r="R3075" s="3" t="s">
        <v>70</v>
      </c>
      <c r="S3075" s="4">
        <v>6</v>
      </c>
      <c r="T3075" s="4">
        <v>6</v>
      </c>
      <c r="U3075" s="5" t="s">
        <v>4189</v>
      </c>
      <c r="V3075" s="5" t="s">
        <v>4189</v>
      </c>
      <c r="W3075" s="5" t="s">
        <v>72</v>
      </c>
      <c r="X3075" s="5" t="s">
        <v>72</v>
      </c>
      <c r="Y3075" s="4">
        <v>387</v>
      </c>
      <c r="Z3075" s="4">
        <v>32</v>
      </c>
      <c r="AA3075" s="4">
        <v>70</v>
      </c>
      <c r="AB3075" s="4">
        <v>2</v>
      </c>
      <c r="AC3075" s="4">
        <v>6</v>
      </c>
      <c r="AD3075" s="4">
        <v>50</v>
      </c>
      <c r="AE3075" s="4">
        <v>70</v>
      </c>
      <c r="AF3075" s="4">
        <v>0</v>
      </c>
      <c r="AG3075" s="4">
        <v>1</v>
      </c>
      <c r="AH3075" s="4">
        <v>45</v>
      </c>
      <c r="AI3075" s="4">
        <v>56</v>
      </c>
      <c r="AJ3075" s="4">
        <v>11</v>
      </c>
      <c r="AK3075" s="4">
        <v>13</v>
      </c>
      <c r="AL3075" s="4">
        <v>20</v>
      </c>
      <c r="AM3075" s="4">
        <v>25</v>
      </c>
      <c r="AN3075" s="4">
        <v>0</v>
      </c>
      <c r="AO3075" s="4">
        <v>0</v>
      </c>
      <c r="AP3075" s="4">
        <v>13</v>
      </c>
      <c r="AQ3075" s="4">
        <v>20</v>
      </c>
      <c r="AR3075" s="3" t="s">
        <v>64</v>
      </c>
      <c r="AS3075" s="3" t="s">
        <v>64</v>
      </c>
      <c r="AT3075" s="3" t="s">
        <v>128</v>
      </c>
      <c r="AU3075" s="6" t="str">
        <f>HYPERLINK("http://catalog.hathitrust.org/Record/005640980","HathiTrust Record")</f>
        <v>HathiTrust Record</v>
      </c>
      <c r="AV3075" s="6" t="str">
        <f>HYPERLINK("http://mcgill.on.worldcat.org/oclc/123119565","Catalog Record")</f>
        <v>Catalog Record</v>
      </c>
      <c r="AW3075" s="6" t="str">
        <f>HYPERLINK("http://www.worldcat.org/oclc/123119565","WorldCat Record")</f>
        <v>WorldCat Record</v>
      </c>
      <c r="AX3075" s="3" t="s">
        <v>30805</v>
      </c>
      <c r="AY3075" s="3" t="s">
        <v>30806</v>
      </c>
      <c r="AZ3075" s="3" t="s">
        <v>30807</v>
      </c>
      <c r="BA3075" s="3" t="s">
        <v>30807</v>
      </c>
      <c r="BB3075" s="3" t="s">
        <v>30808</v>
      </c>
      <c r="BC3075" s="3" t="s">
        <v>77</v>
      </c>
      <c r="BD3075" s="3" t="s">
        <v>78</v>
      </c>
      <c r="BE3075" s="3" t="s">
        <v>30809</v>
      </c>
      <c r="BF3075" s="3" t="s">
        <v>30808</v>
      </c>
      <c r="BG3075" s="3" t="s">
        <v>30810</v>
      </c>
      <c r="BH3075">
        <f t="shared" si="75"/>
        <v>0</v>
      </c>
    </row>
    <row r="3076" spans="1:60" ht="58" x14ac:dyDescent="0.35">
      <c r="A3076" s="2" t="s">
        <v>59</v>
      </c>
      <c r="B3076" s="2" t="s">
        <v>60</v>
      </c>
      <c r="C3076" s="2" t="s">
        <v>30811</v>
      </c>
      <c r="D3076" s="2" t="s">
        <v>30812</v>
      </c>
      <c r="E3076" s="2" t="s">
        <v>30813</v>
      </c>
      <c r="G3076" s="3" t="s">
        <v>64</v>
      </c>
      <c r="I3076" s="3" t="s">
        <v>64</v>
      </c>
      <c r="J3076" s="3" t="s">
        <v>64</v>
      </c>
      <c r="K3076" s="3" t="s">
        <v>65</v>
      </c>
      <c r="L3076" s="2" t="s">
        <v>30814</v>
      </c>
      <c r="M3076" s="2" t="s">
        <v>30815</v>
      </c>
      <c r="N3076" s="3" t="s">
        <v>364</v>
      </c>
      <c r="P3076" s="3" t="s">
        <v>102</v>
      </c>
      <c r="Q3076" s="2" t="s">
        <v>30816</v>
      </c>
      <c r="R3076" s="3" t="s">
        <v>70</v>
      </c>
      <c r="S3076" s="4">
        <v>5</v>
      </c>
      <c r="T3076" s="4">
        <v>5</v>
      </c>
      <c r="U3076" s="5" t="s">
        <v>5624</v>
      </c>
      <c r="V3076" s="5" t="s">
        <v>5624</v>
      </c>
      <c r="W3076" s="5" t="s">
        <v>72</v>
      </c>
      <c r="X3076" s="5" t="s">
        <v>72</v>
      </c>
      <c r="Y3076" s="4">
        <v>463</v>
      </c>
      <c r="Z3076" s="4">
        <v>18</v>
      </c>
      <c r="AA3076" s="4">
        <v>21</v>
      </c>
      <c r="AB3076" s="4">
        <v>1</v>
      </c>
      <c r="AC3076" s="4">
        <v>2</v>
      </c>
      <c r="AD3076" s="4">
        <v>91</v>
      </c>
      <c r="AE3076" s="4">
        <v>94</v>
      </c>
      <c r="AF3076" s="4">
        <v>0</v>
      </c>
      <c r="AG3076" s="4">
        <v>1</v>
      </c>
      <c r="AH3076" s="4">
        <v>81</v>
      </c>
      <c r="AI3076" s="4">
        <v>82</v>
      </c>
      <c r="AJ3076" s="4">
        <v>11</v>
      </c>
      <c r="AK3076" s="4">
        <v>14</v>
      </c>
      <c r="AL3076" s="4">
        <v>42</v>
      </c>
      <c r="AM3076" s="4">
        <v>42</v>
      </c>
      <c r="AN3076" s="4">
        <v>0</v>
      </c>
      <c r="AO3076" s="4">
        <v>0</v>
      </c>
      <c r="AP3076" s="4">
        <v>13</v>
      </c>
      <c r="AQ3076" s="4">
        <v>15</v>
      </c>
      <c r="AR3076" s="3" t="s">
        <v>64</v>
      </c>
      <c r="AS3076" s="3" t="s">
        <v>64</v>
      </c>
      <c r="AT3076" s="3" t="s">
        <v>128</v>
      </c>
      <c r="AU3076" s="6" t="str">
        <f>HYPERLINK("http://catalog.hathitrust.org/Record/000008833","HathiTrust Record")</f>
        <v>HathiTrust Record</v>
      </c>
      <c r="AV3076" s="6" t="str">
        <f>HYPERLINK("http://mcgill.on.worldcat.org/oclc/636316","Catalog Record")</f>
        <v>Catalog Record</v>
      </c>
      <c r="AW3076" s="6" t="str">
        <f>HYPERLINK("http://www.worldcat.org/oclc/636316","WorldCat Record")</f>
        <v>WorldCat Record</v>
      </c>
      <c r="AX3076" s="3" t="s">
        <v>30817</v>
      </c>
      <c r="AY3076" s="3" t="s">
        <v>30818</v>
      </c>
      <c r="AZ3076" s="3" t="s">
        <v>30819</v>
      </c>
      <c r="BA3076" s="3" t="s">
        <v>30819</v>
      </c>
      <c r="BB3076" s="3" t="s">
        <v>30820</v>
      </c>
      <c r="BC3076" s="3" t="s">
        <v>77</v>
      </c>
      <c r="BD3076" s="3" t="s">
        <v>78</v>
      </c>
      <c r="BE3076" s="3" t="s">
        <v>30821</v>
      </c>
      <c r="BF3076" s="3" t="s">
        <v>30820</v>
      </c>
      <c r="BG3076" s="3" t="s">
        <v>30822</v>
      </c>
      <c r="BH3076">
        <f t="shared" si="75"/>
        <v>0</v>
      </c>
    </row>
    <row r="3077" spans="1:60" ht="58" x14ac:dyDescent="0.35">
      <c r="A3077" s="2" t="s">
        <v>59</v>
      </c>
      <c r="B3077" s="2" t="s">
        <v>60</v>
      </c>
      <c r="C3077" s="2" t="s">
        <v>30823</v>
      </c>
      <c r="D3077" s="2" t="s">
        <v>30824</v>
      </c>
      <c r="E3077" s="2" t="s">
        <v>30825</v>
      </c>
      <c r="G3077" s="3" t="s">
        <v>64</v>
      </c>
      <c r="I3077" s="3" t="s">
        <v>64</v>
      </c>
      <c r="J3077" s="3" t="s">
        <v>64</v>
      </c>
      <c r="K3077" s="3" t="s">
        <v>65</v>
      </c>
      <c r="L3077" s="2" t="s">
        <v>30826</v>
      </c>
      <c r="M3077" s="2" t="s">
        <v>14235</v>
      </c>
      <c r="N3077" s="3" t="s">
        <v>511</v>
      </c>
      <c r="P3077" s="3" t="s">
        <v>102</v>
      </c>
      <c r="R3077" s="3" t="s">
        <v>70</v>
      </c>
      <c r="S3077" s="4">
        <v>6</v>
      </c>
      <c r="T3077" s="4">
        <v>6</v>
      </c>
      <c r="U3077" s="5" t="s">
        <v>7584</v>
      </c>
      <c r="V3077" s="5" t="s">
        <v>7584</v>
      </c>
      <c r="W3077" s="5" t="s">
        <v>72</v>
      </c>
      <c r="X3077" s="5" t="s">
        <v>72</v>
      </c>
      <c r="Y3077" s="4">
        <v>593</v>
      </c>
      <c r="Z3077" s="4">
        <v>36</v>
      </c>
      <c r="AA3077" s="4">
        <v>116</v>
      </c>
      <c r="AB3077" s="4">
        <v>4</v>
      </c>
      <c r="AC3077" s="4">
        <v>21</v>
      </c>
      <c r="AD3077" s="4">
        <v>66</v>
      </c>
      <c r="AE3077" s="4">
        <v>119</v>
      </c>
      <c r="AF3077" s="4">
        <v>0</v>
      </c>
      <c r="AG3077" s="4">
        <v>9</v>
      </c>
      <c r="AH3077" s="4">
        <v>62</v>
      </c>
      <c r="AI3077" s="4">
        <v>84</v>
      </c>
      <c r="AJ3077" s="4">
        <v>10</v>
      </c>
      <c r="AK3077" s="4">
        <v>19</v>
      </c>
      <c r="AL3077" s="4">
        <v>29</v>
      </c>
      <c r="AM3077" s="4">
        <v>43</v>
      </c>
      <c r="AN3077" s="4">
        <v>0</v>
      </c>
      <c r="AO3077" s="4">
        <v>0</v>
      </c>
      <c r="AP3077" s="4">
        <v>11</v>
      </c>
      <c r="AQ3077" s="4">
        <v>42</v>
      </c>
      <c r="AR3077" s="3" t="s">
        <v>64</v>
      </c>
      <c r="AS3077" s="3" t="s">
        <v>64</v>
      </c>
      <c r="AT3077" s="3" t="s">
        <v>64</v>
      </c>
      <c r="AV3077" s="6" t="str">
        <f>HYPERLINK("http://mcgill.on.worldcat.org/oclc/421532522","Catalog Record")</f>
        <v>Catalog Record</v>
      </c>
      <c r="AW3077" s="6" t="str">
        <f>HYPERLINK("http://www.worldcat.org/oclc/421532522","WorldCat Record")</f>
        <v>WorldCat Record</v>
      </c>
      <c r="AX3077" s="3" t="s">
        <v>30827</v>
      </c>
      <c r="AY3077" s="3" t="s">
        <v>30828</v>
      </c>
      <c r="AZ3077" s="3" t="s">
        <v>30829</v>
      </c>
      <c r="BA3077" s="3" t="s">
        <v>30829</v>
      </c>
      <c r="BB3077" s="3" t="s">
        <v>30830</v>
      </c>
      <c r="BC3077" s="3" t="s">
        <v>77</v>
      </c>
      <c r="BD3077" s="3" t="s">
        <v>78</v>
      </c>
      <c r="BE3077" s="3" t="s">
        <v>30831</v>
      </c>
      <c r="BF3077" s="3" t="s">
        <v>30830</v>
      </c>
      <c r="BG3077" s="3" t="s">
        <v>30832</v>
      </c>
      <c r="BH3077">
        <f t="shared" si="75"/>
        <v>0</v>
      </c>
    </row>
    <row r="3078" spans="1:60" ht="58" x14ac:dyDescent="0.35">
      <c r="A3078" s="2" t="s">
        <v>59</v>
      </c>
      <c r="B3078" s="2" t="s">
        <v>60</v>
      </c>
      <c r="C3078" s="2" t="s">
        <v>30833</v>
      </c>
      <c r="D3078" s="2" t="s">
        <v>30834</v>
      </c>
      <c r="E3078" s="2" t="s">
        <v>30835</v>
      </c>
      <c r="G3078" s="3" t="s">
        <v>64</v>
      </c>
      <c r="I3078" s="3" t="s">
        <v>64</v>
      </c>
      <c r="J3078" s="3" t="s">
        <v>64</v>
      </c>
      <c r="K3078" s="3" t="s">
        <v>65</v>
      </c>
      <c r="L3078" s="2" t="s">
        <v>30836</v>
      </c>
      <c r="M3078" s="2" t="s">
        <v>26590</v>
      </c>
      <c r="N3078" s="3" t="s">
        <v>253</v>
      </c>
      <c r="P3078" s="3" t="s">
        <v>102</v>
      </c>
      <c r="R3078" s="3" t="s">
        <v>70</v>
      </c>
      <c r="S3078" s="4">
        <v>3</v>
      </c>
      <c r="T3078" s="4">
        <v>3</v>
      </c>
      <c r="U3078" s="5" t="s">
        <v>7584</v>
      </c>
      <c r="V3078" s="5" t="s">
        <v>7584</v>
      </c>
      <c r="W3078" s="5" t="s">
        <v>72</v>
      </c>
      <c r="X3078" s="5" t="s">
        <v>72</v>
      </c>
      <c r="Y3078" s="4">
        <v>596</v>
      </c>
      <c r="Z3078" s="4">
        <v>23</v>
      </c>
      <c r="AA3078" s="4">
        <v>96</v>
      </c>
      <c r="AB3078" s="4">
        <v>1</v>
      </c>
      <c r="AC3078" s="4">
        <v>16</v>
      </c>
      <c r="AD3078" s="4">
        <v>49</v>
      </c>
      <c r="AE3078" s="4">
        <v>112</v>
      </c>
      <c r="AF3078" s="4">
        <v>0</v>
      </c>
      <c r="AG3078" s="4">
        <v>8</v>
      </c>
      <c r="AH3078" s="4">
        <v>46</v>
      </c>
      <c r="AI3078" s="4">
        <v>77</v>
      </c>
      <c r="AJ3078" s="4">
        <v>6</v>
      </c>
      <c r="AK3078" s="4">
        <v>21</v>
      </c>
      <c r="AL3078" s="4">
        <v>25</v>
      </c>
      <c r="AM3078" s="4">
        <v>39</v>
      </c>
      <c r="AN3078" s="4">
        <v>0</v>
      </c>
      <c r="AO3078" s="4">
        <v>0</v>
      </c>
      <c r="AP3078" s="4">
        <v>7</v>
      </c>
      <c r="AQ3078" s="4">
        <v>41</v>
      </c>
      <c r="AR3078" s="3" t="s">
        <v>64</v>
      </c>
      <c r="AS3078" s="3" t="s">
        <v>64</v>
      </c>
      <c r="AT3078" s="3" t="s">
        <v>64</v>
      </c>
      <c r="AV3078" s="6" t="str">
        <f>HYPERLINK("http://mcgill.on.worldcat.org/oclc/895256019","Catalog Record")</f>
        <v>Catalog Record</v>
      </c>
      <c r="AW3078" s="6" t="str">
        <f>HYPERLINK("http://www.worldcat.org/oclc/895256019","WorldCat Record")</f>
        <v>WorldCat Record</v>
      </c>
      <c r="AX3078" s="3" t="s">
        <v>30837</v>
      </c>
      <c r="AY3078" s="3" t="s">
        <v>30838</v>
      </c>
      <c r="AZ3078" s="3" t="s">
        <v>30839</v>
      </c>
      <c r="BA3078" s="3" t="s">
        <v>30839</v>
      </c>
      <c r="BB3078" s="3" t="s">
        <v>30840</v>
      </c>
      <c r="BC3078" s="3" t="s">
        <v>77</v>
      </c>
      <c r="BD3078" s="3" t="s">
        <v>78</v>
      </c>
      <c r="BE3078" s="3" t="s">
        <v>30841</v>
      </c>
      <c r="BF3078" s="3" t="s">
        <v>30840</v>
      </c>
      <c r="BG3078" s="3" t="s">
        <v>30842</v>
      </c>
      <c r="BH3078">
        <f t="shared" si="75"/>
        <v>0</v>
      </c>
    </row>
    <row r="3079" spans="1:60" ht="58" x14ac:dyDescent="0.35">
      <c r="A3079" s="2" t="s">
        <v>59</v>
      </c>
      <c r="B3079" s="2" t="s">
        <v>60</v>
      </c>
      <c r="C3079" s="2" t="s">
        <v>30843</v>
      </c>
      <c r="D3079" s="2" t="s">
        <v>30844</v>
      </c>
      <c r="E3079" s="2" t="s">
        <v>30845</v>
      </c>
      <c r="G3079" s="3" t="s">
        <v>64</v>
      </c>
      <c r="I3079" s="3" t="s">
        <v>64</v>
      </c>
      <c r="J3079" s="3" t="s">
        <v>64</v>
      </c>
      <c r="K3079" s="3" t="s">
        <v>65</v>
      </c>
      <c r="L3079" s="2" t="s">
        <v>30846</v>
      </c>
      <c r="M3079" s="2" t="s">
        <v>17565</v>
      </c>
      <c r="N3079" s="3" t="s">
        <v>86</v>
      </c>
      <c r="P3079" s="3" t="s">
        <v>102</v>
      </c>
      <c r="Q3079" s="2" t="s">
        <v>22169</v>
      </c>
      <c r="R3079" s="3" t="s">
        <v>70</v>
      </c>
      <c r="S3079" s="4">
        <v>3</v>
      </c>
      <c r="T3079" s="4">
        <v>3</v>
      </c>
      <c r="U3079" s="5" t="s">
        <v>30847</v>
      </c>
      <c r="V3079" s="5" t="s">
        <v>30847</v>
      </c>
      <c r="W3079" s="5" t="s">
        <v>72</v>
      </c>
      <c r="X3079" s="5" t="s">
        <v>72</v>
      </c>
      <c r="Y3079" s="4">
        <v>206</v>
      </c>
      <c r="Z3079" s="4">
        <v>11</v>
      </c>
      <c r="AA3079" s="4">
        <v>119</v>
      </c>
      <c r="AB3079" s="4">
        <v>1</v>
      </c>
      <c r="AC3079" s="4">
        <v>18</v>
      </c>
      <c r="AD3079" s="4">
        <v>42</v>
      </c>
      <c r="AE3079" s="4">
        <v>116</v>
      </c>
      <c r="AF3079" s="4">
        <v>0</v>
      </c>
      <c r="AG3079" s="4">
        <v>8</v>
      </c>
      <c r="AH3079" s="4">
        <v>40</v>
      </c>
      <c r="AI3079" s="4">
        <v>75</v>
      </c>
      <c r="AJ3079" s="4">
        <v>4</v>
      </c>
      <c r="AK3079" s="4">
        <v>20</v>
      </c>
      <c r="AL3079" s="4">
        <v>17</v>
      </c>
      <c r="AM3079" s="4">
        <v>37</v>
      </c>
      <c r="AN3079" s="4">
        <v>0</v>
      </c>
      <c r="AO3079" s="4">
        <v>0</v>
      </c>
      <c r="AP3079" s="4">
        <v>5</v>
      </c>
      <c r="AQ3079" s="4">
        <v>45</v>
      </c>
      <c r="AR3079" s="3" t="s">
        <v>64</v>
      </c>
      <c r="AS3079" s="3" t="s">
        <v>64</v>
      </c>
      <c r="AT3079" s="3" t="s">
        <v>64</v>
      </c>
      <c r="AV3079" s="6" t="str">
        <f>HYPERLINK("http://mcgill.on.worldcat.org/oclc/794272095","Catalog Record")</f>
        <v>Catalog Record</v>
      </c>
      <c r="AW3079" s="6" t="str">
        <f>HYPERLINK("http://www.worldcat.org/oclc/794272095","WorldCat Record")</f>
        <v>WorldCat Record</v>
      </c>
      <c r="AX3079" s="3" t="s">
        <v>30848</v>
      </c>
      <c r="AY3079" s="3" t="s">
        <v>30849</v>
      </c>
      <c r="AZ3079" s="3" t="s">
        <v>30850</v>
      </c>
      <c r="BA3079" s="3" t="s">
        <v>30850</v>
      </c>
      <c r="BB3079" s="3" t="s">
        <v>30851</v>
      </c>
      <c r="BC3079" s="3" t="s">
        <v>77</v>
      </c>
      <c r="BD3079" s="3" t="s">
        <v>78</v>
      </c>
      <c r="BE3079" s="3" t="s">
        <v>30852</v>
      </c>
      <c r="BF3079" s="3" t="s">
        <v>30851</v>
      </c>
      <c r="BG3079" s="3" t="s">
        <v>30853</v>
      </c>
      <c r="BH3079">
        <f t="shared" si="75"/>
        <v>0</v>
      </c>
    </row>
    <row r="3080" spans="1:60" ht="58" x14ac:dyDescent="0.35">
      <c r="A3080" s="2" t="s">
        <v>59</v>
      </c>
      <c r="B3080" s="2" t="s">
        <v>60</v>
      </c>
      <c r="C3080" s="2" t="s">
        <v>30854</v>
      </c>
      <c r="D3080" s="2" t="s">
        <v>30855</v>
      </c>
      <c r="E3080" s="2" t="s">
        <v>30856</v>
      </c>
      <c r="G3080" s="3" t="s">
        <v>64</v>
      </c>
      <c r="I3080" s="3" t="s">
        <v>64</v>
      </c>
      <c r="J3080" s="3" t="s">
        <v>64</v>
      </c>
      <c r="K3080" s="3" t="s">
        <v>65</v>
      </c>
      <c r="L3080" s="2" t="s">
        <v>30857</v>
      </c>
      <c r="M3080" s="2" t="s">
        <v>30858</v>
      </c>
      <c r="N3080" s="3" t="s">
        <v>551</v>
      </c>
      <c r="P3080" s="3" t="s">
        <v>102</v>
      </c>
      <c r="R3080" s="3" t="s">
        <v>70</v>
      </c>
      <c r="S3080" s="4">
        <v>11</v>
      </c>
      <c r="T3080" s="4">
        <v>11</v>
      </c>
      <c r="U3080" s="5" t="s">
        <v>5612</v>
      </c>
      <c r="V3080" s="5" t="s">
        <v>5612</v>
      </c>
      <c r="W3080" s="5" t="s">
        <v>72</v>
      </c>
      <c r="X3080" s="5" t="s">
        <v>72</v>
      </c>
      <c r="Y3080" s="4">
        <v>634</v>
      </c>
      <c r="Z3080" s="4">
        <v>41</v>
      </c>
      <c r="AA3080" s="4">
        <v>129</v>
      </c>
      <c r="AB3080" s="4">
        <v>3</v>
      </c>
      <c r="AC3080" s="4">
        <v>21</v>
      </c>
      <c r="AD3080" s="4">
        <v>57</v>
      </c>
      <c r="AE3080" s="4">
        <v>125</v>
      </c>
      <c r="AF3080" s="4">
        <v>0</v>
      </c>
      <c r="AG3080" s="4">
        <v>9</v>
      </c>
      <c r="AH3080" s="4">
        <v>49</v>
      </c>
      <c r="AI3080" s="4">
        <v>84</v>
      </c>
      <c r="AJ3080" s="4">
        <v>11</v>
      </c>
      <c r="AK3080" s="4">
        <v>24</v>
      </c>
      <c r="AL3080" s="4">
        <v>26</v>
      </c>
      <c r="AM3080" s="4">
        <v>40</v>
      </c>
      <c r="AN3080" s="4">
        <v>0</v>
      </c>
      <c r="AO3080" s="4">
        <v>0</v>
      </c>
      <c r="AP3080" s="4">
        <v>13</v>
      </c>
      <c r="AQ3080" s="4">
        <v>46</v>
      </c>
      <c r="AR3080" s="3" t="s">
        <v>64</v>
      </c>
      <c r="AS3080" s="3" t="s">
        <v>64</v>
      </c>
      <c r="AT3080" s="3" t="s">
        <v>128</v>
      </c>
      <c r="AU3080" s="6" t="str">
        <f>HYPERLINK("http://catalog.hathitrust.org/Record/009748537","HathiTrust Record")</f>
        <v>HathiTrust Record</v>
      </c>
      <c r="AV3080" s="6" t="str">
        <f>HYPERLINK("http://mcgill.on.worldcat.org/oclc/317471970","Catalog Record")</f>
        <v>Catalog Record</v>
      </c>
      <c r="AW3080" s="6" t="str">
        <f>HYPERLINK("http://www.worldcat.org/oclc/317471970","WorldCat Record")</f>
        <v>WorldCat Record</v>
      </c>
      <c r="AX3080" s="3" t="s">
        <v>30859</v>
      </c>
      <c r="AY3080" s="3" t="s">
        <v>30860</v>
      </c>
      <c r="AZ3080" s="3" t="s">
        <v>30861</v>
      </c>
      <c r="BA3080" s="3" t="s">
        <v>30861</v>
      </c>
      <c r="BB3080" s="3" t="s">
        <v>30862</v>
      </c>
      <c r="BC3080" s="3" t="s">
        <v>77</v>
      </c>
      <c r="BD3080" s="3" t="s">
        <v>78</v>
      </c>
      <c r="BE3080" s="3" t="s">
        <v>30863</v>
      </c>
      <c r="BF3080" s="3" t="s">
        <v>30862</v>
      </c>
      <c r="BG3080" s="3" t="s">
        <v>30864</v>
      </c>
      <c r="BH3080">
        <f t="shared" si="75"/>
        <v>0</v>
      </c>
    </row>
    <row r="3081" spans="1:60" ht="58" x14ac:dyDescent="0.35">
      <c r="A3081" s="2" t="s">
        <v>59</v>
      </c>
      <c r="B3081" s="2" t="s">
        <v>60</v>
      </c>
      <c r="C3081" s="2" t="s">
        <v>30865</v>
      </c>
      <c r="D3081" s="2" t="s">
        <v>30866</v>
      </c>
      <c r="E3081" s="2" t="s">
        <v>30867</v>
      </c>
      <c r="G3081" s="3" t="s">
        <v>64</v>
      </c>
      <c r="I3081" s="3" t="s">
        <v>64</v>
      </c>
      <c r="J3081" s="3" t="s">
        <v>64</v>
      </c>
      <c r="K3081" s="3" t="s">
        <v>65</v>
      </c>
      <c r="L3081" s="2" t="s">
        <v>30868</v>
      </c>
      <c r="M3081" s="2" t="s">
        <v>15158</v>
      </c>
      <c r="N3081" s="3" t="s">
        <v>144</v>
      </c>
      <c r="P3081" s="3" t="s">
        <v>102</v>
      </c>
      <c r="R3081" s="3" t="s">
        <v>70</v>
      </c>
      <c r="S3081" s="4">
        <v>7</v>
      </c>
      <c r="T3081" s="4">
        <v>7</v>
      </c>
      <c r="U3081" s="5" t="s">
        <v>19222</v>
      </c>
      <c r="V3081" s="5" t="s">
        <v>19222</v>
      </c>
      <c r="W3081" s="5" t="s">
        <v>72</v>
      </c>
      <c r="X3081" s="5" t="s">
        <v>72</v>
      </c>
      <c r="Y3081" s="4">
        <v>781</v>
      </c>
      <c r="Z3081" s="4">
        <v>40</v>
      </c>
      <c r="AA3081" s="4">
        <v>117</v>
      </c>
      <c r="AB3081" s="4">
        <v>4</v>
      </c>
      <c r="AC3081" s="4">
        <v>21</v>
      </c>
      <c r="AD3081" s="4">
        <v>69</v>
      </c>
      <c r="AE3081" s="4">
        <v>115</v>
      </c>
      <c r="AF3081" s="4">
        <v>1</v>
      </c>
      <c r="AG3081" s="4">
        <v>8</v>
      </c>
      <c r="AH3081" s="4">
        <v>65</v>
      </c>
      <c r="AI3081" s="4">
        <v>82</v>
      </c>
      <c r="AJ3081" s="4">
        <v>10</v>
      </c>
      <c r="AK3081" s="4">
        <v>19</v>
      </c>
      <c r="AL3081" s="4">
        <v>31</v>
      </c>
      <c r="AM3081" s="4">
        <v>41</v>
      </c>
      <c r="AN3081" s="4">
        <v>0</v>
      </c>
      <c r="AO3081" s="4">
        <v>0</v>
      </c>
      <c r="AP3081" s="4">
        <v>12</v>
      </c>
      <c r="AQ3081" s="4">
        <v>40</v>
      </c>
      <c r="AR3081" s="3" t="s">
        <v>64</v>
      </c>
      <c r="AS3081" s="3" t="s">
        <v>64</v>
      </c>
      <c r="AT3081" s="3" t="s">
        <v>64</v>
      </c>
      <c r="AV3081" s="6" t="str">
        <f>HYPERLINK("http://mcgill.on.worldcat.org/oclc/190860097","Catalog Record")</f>
        <v>Catalog Record</v>
      </c>
      <c r="AW3081" s="6" t="str">
        <f>HYPERLINK("http://www.worldcat.org/oclc/190860097","WorldCat Record")</f>
        <v>WorldCat Record</v>
      </c>
      <c r="AX3081" s="3" t="s">
        <v>30869</v>
      </c>
      <c r="AY3081" s="3" t="s">
        <v>30870</v>
      </c>
      <c r="AZ3081" s="3" t="s">
        <v>30871</v>
      </c>
      <c r="BA3081" s="3" t="s">
        <v>30871</v>
      </c>
      <c r="BB3081" s="3" t="s">
        <v>30872</v>
      </c>
      <c r="BC3081" s="3" t="s">
        <v>77</v>
      </c>
      <c r="BD3081" s="3" t="s">
        <v>78</v>
      </c>
      <c r="BE3081" s="3" t="s">
        <v>30873</v>
      </c>
      <c r="BF3081" s="3" t="s">
        <v>30872</v>
      </c>
      <c r="BG3081" s="3" t="s">
        <v>30874</v>
      </c>
      <c r="BH3081">
        <f t="shared" si="75"/>
        <v>0</v>
      </c>
    </row>
    <row r="3082" spans="1:60" ht="58" x14ac:dyDescent="0.35">
      <c r="A3082" s="2" t="s">
        <v>59</v>
      </c>
      <c r="B3082" s="2" t="s">
        <v>60</v>
      </c>
      <c r="C3082" s="2" t="s">
        <v>30875</v>
      </c>
      <c r="D3082" s="2" t="s">
        <v>30876</v>
      </c>
      <c r="E3082" s="2" t="s">
        <v>30877</v>
      </c>
      <c r="G3082" s="3" t="s">
        <v>64</v>
      </c>
      <c r="I3082" s="3" t="s">
        <v>64</v>
      </c>
      <c r="J3082" s="3" t="s">
        <v>128</v>
      </c>
      <c r="K3082" s="3" t="s">
        <v>65</v>
      </c>
      <c r="L3082" s="2" t="s">
        <v>30878</v>
      </c>
      <c r="M3082" s="2" t="s">
        <v>17349</v>
      </c>
      <c r="N3082" s="3" t="s">
        <v>511</v>
      </c>
      <c r="P3082" s="3" t="s">
        <v>102</v>
      </c>
      <c r="R3082" s="3" t="s">
        <v>70</v>
      </c>
      <c r="S3082" s="4">
        <v>4</v>
      </c>
      <c r="T3082" s="4">
        <v>4</v>
      </c>
      <c r="U3082" s="5" t="s">
        <v>7584</v>
      </c>
      <c r="V3082" s="5" t="s">
        <v>7584</v>
      </c>
      <c r="W3082" s="5" t="s">
        <v>72</v>
      </c>
      <c r="X3082" s="5" t="s">
        <v>72</v>
      </c>
      <c r="Y3082" s="4">
        <v>90</v>
      </c>
      <c r="Z3082" s="4">
        <v>4</v>
      </c>
      <c r="AA3082" s="4">
        <v>129</v>
      </c>
      <c r="AB3082" s="4">
        <v>2</v>
      </c>
      <c r="AC3082" s="4">
        <v>20</v>
      </c>
      <c r="AD3082" s="4">
        <v>1</v>
      </c>
      <c r="AE3082" s="4">
        <v>139</v>
      </c>
      <c r="AF3082" s="4">
        <v>0</v>
      </c>
      <c r="AG3082" s="4">
        <v>8</v>
      </c>
      <c r="AH3082" s="4">
        <v>1</v>
      </c>
      <c r="AI3082" s="4">
        <v>99</v>
      </c>
      <c r="AJ3082" s="4">
        <v>1</v>
      </c>
      <c r="AK3082" s="4">
        <v>24</v>
      </c>
      <c r="AL3082" s="4">
        <v>0</v>
      </c>
      <c r="AM3082" s="4">
        <v>49</v>
      </c>
      <c r="AN3082" s="4">
        <v>0</v>
      </c>
      <c r="AO3082" s="4">
        <v>0</v>
      </c>
      <c r="AP3082" s="4">
        <v>1</v>
      </c>
      <c r="AQ3082" s="4">
        <v>48</v>
      </c>
      <c r="AR3082" s="3" t="s">
        <v>64</v>
      </c>
      <c r="AS3082" s="3" t="s">
        <v>64</v>
      </c>
      <c r="AT3082" s="3" t="s">
        <v>64</v>
      </c>
      <c r="AV3082" s="6" t="str">
        <f>HYPERLINK("http://mcgill.on.worldcat.org/oclc/445321752","Catalog Record")</f>
        <v>Catalog Record</v>
      </c>
      <c r="AW3082" s="6" t="str">
        <f>HYPERLINK("http://www.worldcat.org/oclc/445321752","WorldCat Record")</f>
        <v>WorldCat Record</v>
      </c>
      <c r="AX3082" s="3" t="s">
        <v>30879</v>
      </c>
      <c r="AY3082" s="3" t="s">
        <v>30880</v>
      </c>
      <c r="AZ3082" s="3" t="s">
        <v>30881</v>
      </c>
      <c r="BA3082" s="3" t="s">
        <v>30881</v>
      </c>
      <c r="BB3082" s="3" t="s">
        <v>30882</v>
      </c>
      <c r="BC3082" s="3" t="s">
        <v>77</v>
      </c>
      <c r="BD3082" s="3" t="s">
        <v>78</v>
      </c>
      <c r="BE3082" s="3" t="s">
        <v>30883</v>
      </c>
      <c r="BF3082" s="3" t="s">
        <v>30882</v>
      </c>
      <c r="BG3082" s="3" t="s">
        <v>30884</v>
      </c>
      <c r="BH3082">
        <f t="shared" si="75"/>
        <v>0</v>
      </c>
    </row>
    <row r="3083" spans="1:60" ht="58" x14ac:dyDescent="0.35">
      <c r="A3083" s="2" t="s">
        <v>59</v>
      </c>
      <c r="B3083" s="2" t="s">
        <v>60</v>
      </c>
      <c r="C3083" s="2" t="s">
        <v>30885</v>
      </c>
      <c r="D3083" s="2" t="s">
        <v>30886</v>
      </c>
      <c r="E3083" s="2" t="s">
        <v>30877</v>
      </c>
      <c r="G3083" s="3" t="s">
        <v>64</v>
      </c>
      <c r="I3083" s="3" t="s">
        <v>64</v>
      </c>
      <c r="J3083" s="3" t="s">
        <v>128</v>
      </c>
      <c r="K3083" s="3" t="s">
        <v>65</v>
      </c>
      <c r="L3083" s="2" t="s">
        <v>30878</v>
      </c>
      <c r="M3083" s="2" t="s">
        <v>14235</v>
      </c>
      <c r="N3083" s="3" t="s">
        <v>511</v>
      </c>
      <c r="P3083" s="3" t="s">
        <v>102</v>
      </c>
      <c r="R3083" s="3" t="s">
        <v>70</v>
      </c>
      <c r="S3083" s="4">
        <v>7</v>
      </c>
      <c r="T3083" s="4">
        <v>7</v>
      </c>
      <c r="U3083" s="5" t="s">
        <v>4189</v>
      </c>
      <c r="V3083" s="5" t="s">
        <v>4189</v>
      </c>
      <c r="W3083" s="5" t="s">
        <v>72</v>
      </c>
      <c r="X3083" s="5" t="s">
        <v>72</v>
      </c>
      <c r="Y3083" s="4">
        <v>1011</v>
      </c>
      <c r="Z3083" s="4">
        <v>47</v>
      </c>
      <c r="AA3083" s="4">
        <v>129</v>
      </c>
      <c r="AB3083" s="4">
        <v>5</v>
      </c>
      <c r="AC3083" s="4">
        <v>20</v>
      </c>
      <c r="AD3083" s="4">
        <v>89</v>
      </c>
      <c r="AE3083" s="4">
        <v>139</v>
      </c>
      <c r="AF3083" s="4">
        <v>1</v>
      </c>
      <c r="AG3083" s="4">
        <v>8</v>
      </c>
      <c r="AH3083" s="4">
        <v>75</v>
      </c>
      <c r="AI3083" s="4">
        <v>99</v>
      </c>
      <c r="AJ3083" s="4">
        <v>15</v>
      </c>
      <c r="AK3083" s="4">
        <v>24</v>
      </c>
      <c r="AL3083" s="4">
        <v>35</v>
      </c>
      <c r="AM3083" s="4">
        <v>49</v>
      </c>
      <c r="AN3083" s="4">
        <v>0</v>
      </c>
      <c r="AO3083" s="4">
        <v>0</v>
      </c>
      <c r="AP3083" s="4">
        <v>21</v>
      </c>
      <c r="AQ3083" s="4">
        <v>48</v>
      </c>
      <c r="AR3083" s="3" t="s">
        <v>64</v>
      </c>
      <c r="AS3083" s="3" t="s">
        <v>64</v>
      </c>
      <c r="AT3083" s="3" t="s">
        <v>64</v>
      </c>
      <c r="AV3083" s="6" t="str">
        <f>HYPERLINK("http://mcgill.on.worldcat.org/oclc/320696543","Catalog Record")</f>
        <v>Catalog Record</v>
      </c>
      <c r="AW3083" s="6" t="str">
        <f>HYPERLINK("http://www.worldcat.org/oclc/320696543","WorldCat Record")</f>
        <v>WorldCat Record</v>
      </c>
      <c r="AX3083" s="3" t="s">
        <v>30879</v>
      </c>
      <c r="AY3083" s="3" t="s">
        <v>30887</v>
      </c>
      <c r="AZ3083" s="3" t="s">
        <v>30888</v>
      </c>
      <c r="BA3083" s="3" t="s">
        <v>30888</v>
      </c>
      <c r="BB3083" s="3" t="s">
        <v>30889</v>
      </c>
      <c r="BC3083" s="3" t="s">
        <v>77</v>
      </c>
      <c r="BD3083" s="3" t="s">
        <v>78</v>
      </c>
      <c r="BE3083" s="3" t="s">
        <v>30890</v>
      </c>
      <c r="BF3083" s="3" t="s">
        <v>30889</v>
      </c>
      <c r="BG3083" s="3" t="s">
        <v>30891</v>
      </c>
      <c r="BH3083">
        <f t="shared" si="75"/>
        <v>0</v>
      </c>
    </row>
    <row r="3084" spans="1:60" ht="58" x14ac:dyDescent="0.35">
      <c r="A3084" s="2" t="s">
        <v>59</v>
      </c>
      <c r="B3084" s="2" t="s">
        <v>60</v>
      </c>
      <c r="C3084" s="2" t="s">
        <v>30892</v>
      </c>
      <c r="D3084" s="2" t="s">
        <v>30893</v>
      </c>
      <c r="E3084" s="2" t="s">
        <v>30894</v>
      </c>
      <c r="G3084" s="3" t="s">
        <v>64</v>
      </c>
      <c r="I3084" s="3" t="s">
        <v>64</v>
      </c>
      <c r="J3084" s="3" t="s">
        <v>64</v>
      </c>
      <c r="K3084" s="3" t="s">
        <v>65</v>
      </c>
      <c r="L3084" s="2" t="s">
        <v>30895</v>
      </c>
      <c r="M3084" s="2" t="s">
        <v>13931</v>
      </c>
      <c r="N3084" s="3" t="s">
        <v>144</v>
      </c>
      <c r="P3084" s="3" t="s">
        <v>102</v>
      </c>
      <c r="R3084" s="3" t="s">
        <v>70</v>
      </c>
      <c r="S3084" s="4">
        <v>3</v>
      </c>
      <c r="T3084" s="4">
        <v>3</v>
      </c>
      <c r="U3084" s="5" t="s">
        <v>30896</v>
      </c>
      <c r="V3084" s="5" t="s">
        <v>30896</v>
      </c>
      <c r="W3084" s="5" t="s">
        <v>72</v>
      </c>
      <c r="X3084" s="5" t="s">
        <v>72</v>
      </c>
      <c r="Y3084" s="4">
        <v>200</v>
      </c>
      <c r="Z3084" s="4">
        <v>18</v>
      </c>
      <c r="AA3084" s="4">
        <v>20</v>
      </c>
      <c r="AB3084" s="4">
        <v>1</v>
      </c>
      <c r="AC3084" s="4">
        <v>3</v>
      </c>
      <c r="AD3084" s="4">
        <v>56</v>
      </c>
      <c r="AE3084" s="4">
        <v>58</v>
      </c>
      <c r="AF3084" s="4">
        <v>0</v>
      </c>
      <c r="AG3084" s="4">
        <v>1</v>
      </c>
      <c r="AH3084" s="4">
        <v>51</v>
      </c>
      <c r="AI3084" s="4">
        <v>53</v>
      </c>
      <c r="AJ3084" s="4">
        <v>11</v>
      </c>
      <c r="AK3084" s="4">
        <v>12</v>
      </c>
      <c r="AL3084" s="4">
        <v>26</v>
      </c>
      <c r="AM3084" s="4">
        <v>27</v>
      </c>
      <c r="AN3084" s="4">
        <v>0</v>
      </c>
      <c r="AO3084" s="4">
        <v>0</v>
      </c>
      <c r="AP3084" s="4">
        <v>13</v>
      </c>
      <c r="AQ3084" s="4">
        <v>14</v>
      </c>
      <c r="AR3084" s="3" t="s">
        <v>64</v>
      </c>
      <c r="AS3084" s="3" t="s">
        <v>64</v>
      </c>
      <c r="AT3084" s="3" t="s">
        <v>128</v>
      </c>
      <c r="AU3084" s="6" t="str">
        <f>HYPERLINK("http://catalog.hathitrust.org/Record/005849878","HathiTrust Record")</f>
        <v>HathiTrust Record</v>
      </c>
      <c r="AV3084" s="6" t="str">
        <f>HYPERLINK("http://mcgill.on.worldcat.org/oclc/184924483","Catalog Record")</f>
        <v>Catalog Record</v>
      </c>
      <c r="AW3084" s="6" t="str">
        <f>HYPERLINK("http://www.worldcat.org/oclc/184924483","WorldCat Record")</f>
        <v>WorldCat Record</v>
      </c>
      <c r="AX3084" s="3" t="s">
        <v>30897</v>
      </c>
      <c r="AY3084" s="3" t="s">
        <v>30898</v>
      </c>
      <c r="AZ3084" s="3" t="s">
        <v>30899</v>
      </c>
      <c r="BA3084" s="3" t="s">
        <v>30899</v>
      </c>
      <c r="BB3084" s="3" t="s">
        <v>30900</v>
      </c>
      <c r="BC3084" s="3" t="s">
        <v>77</v>
      </c>
      <c r="BD3084" s="3" t="s">
        <v>165</v>
      </c>
      <c r="BE3084" s="3" t="s">
        <v>30901</v>
      </c>
      <c r="BF3084" s="3" t="s">
        <v>30900</v>
      </c>
      <c r="BG3084" s="3" t="s">
        <v>30902</v>
      </c>
      <c r="BH3084">
        <f t="shared" si="75"/>
        <v>0</v>
      </c>
    </row>
    <row r="3085" spans="1:60" ht="58" x14ac:dyDescent="0.35">
      <c r="A3085" s="2" t="s">
        <v>59</v>
      </c>
      <c r="B3085" s="2" t="s">
        <v>60</v>
      </c>
      <c r="C3085" s="2" t="s">
        <v>30903</v>
      </c>
      <c r="D3085" s="2" t="s">
        <v>30904</v>
      </c>
      <c r="E3085" s="2" t="s">
        <v>30905</v>
      </c>
      <c r="G3085" s="3" t="s">
        <v>64</v>
      </c>
      <c r="I3085" s="3" t="s">
        <v>64</v>
      </c>
      <c r="J3085" s="3" t="s">
        <v>64</v>
      </c>
      <c r="K3085" s="3" t="s">
        <v>65</v>
      </c>
      <c r="L3085" s="2" t="s">
        <v>30906</v>
      </c>
      <c r="M3085" s="2" t="s">
        <v>30907</v>
      </c>
      <c r="N3085" s="3" t="s">
        <v>392</v>
      </c>
      <c r="P3085" s="3" t="s">
        <v>102</v>
      </c>
      <c r="Q3085" s="2" t="s">
        <v>30908</v>
      </c>
      <c r="R3085" s="3" t="s">
        <v>70</v>
      </c>
      <c r="S3085" s="4">
        <v>37</v>
      </c>
      <c r="T3085" s="4">
        <v>37</v>
      </c>
      <c r="U3085" s="5" t="s">
        <v>19222</v>
      </c>
      <c r="V3085" s="5" t="s">
        <v>19222</v>
      </c>
      <c r="W3085" s="5" t="s">
        <v>72</v>
      </c>
      <c r="X3085" s="5" t="s">
        <v>72</v>
      </c>
      <c r="Y3085" s="4">
        <v>165</v>
      </c>
      <c r="Z3085" s="4">
        <v>9</v>
      </c>
      <c r="AA3085" s="4">
        <v>10</v>
      </c>
      <c r="AB3085" s="4">
        <v>1</v>
      </c>
      <c r="AC3085" s="4">
        <v>2</v>
      </c>
      <c r="AD3085" s="4">
        <v>28</v>
      </c>
      <c r="AE3085" s="4">
        <v>30</v>
      </c>
      <c r="AF3085" s="4">
        <v>0</v>
      </c>
      <c r="AG3085" s="4">
        <v>1</v>
      </c>
      <c r="AH3085" s="4">
        <v>26</v>
      </c>
      <c r="AI3085" s="4">
        <v>27</v>
      </c>
      <c r="AJ3085" s="4">
        <v>4</v>
      </c>
      <c r="AK3085" s="4">
        <v>5</v>
      </c>
      <c r="AL3085" s="4">
        <v>12</v>
      </c>
      <c r="AM3085" s="4">
        <v>12</v>
      </c>
      <c r="AN3085" s="4">
        <v>0</v>
      </c>
      <c r="AO3085" s="4">
        <v>0</v>
      </c>
      <c r="AP3085" s="4">
        <v>5</v>
      </c>
      <c r="AQ3085" s="4">
        <v>5</v>
      </c>
      <c r="AR3085" s="3" t="s">
        <v>64</v>
      </c>
      <c r="AS3085" s="3" t="s">
        <v>64</v>
      </c>
      <c r="AT3085" s="3" t="s">
        <v>64</v>
      </c>
      <c r="AV3085" s="6" t="str">
        <f>HYPERLINK("http://mcgill.on.worldcat.org/oclc/40603402","Catalog Record")</f>
        <v>Catalog Record</v>
      </c>
      <c r="AW3085" s="6" t="str">
        <f>HYPERLINK("http://www.worldcat.org/oclc/40603402","WorldCat Record")</f>
        <v>WorldCat Record</v>
      </c>
      <c r="AX3085" s="3" t="s">
        <v>30909</v>
      </c>
      <c r="AY3085" s="3" t="s">
        <v>30910</v>
      </c>
      <c r="AZ3085" s="3" t="s">
        <v>30911</v>
      </c>
      <c r="BA3085" s="3" t="s">
        <v>30911</v>
      </c>
      <c r="BB3085" s="3" t="s">
        <v>30912</v>
      </c>
      <c r="BC3085" s="3" t="s">
        <v>77</v>
      </c>
      <c r="BD3085" s="3" t="s">
        <v>78</v>
      </c>
      <c r="BE3085" s="3" t="s">
        <v>30913</v>
      </c>
      <c r="BF3085" s="3" t="s">
        <v>30912</v>
      </c>
      <c r="BG3085" s="3" t="s">
        <v>30914</v>
      </c>
      <c r="BH3085">
        <f t="shared" si="75"/>
        <v>0</v>
      </c>
    </row>
    <row r="3086" spans="1:60" ht="58" x14ac:dyDescent="0.35">
      <c r="A3086" s="2" t="s">
        <v>59</v>
      </c>
      <c r="B3086" s="2" t="s">
        <v>60</v>
      </c>
      <c r="C3086" s="2" t="s">
        <v>30915</v>
      </c>
      <c r="D3086" s="2" t="s">
        <v>30916</v>
      </c>
      <c r="E3086" s="2" t="s">
        <v>30917</v>
      </c>
      <c r="G3086" s="3" t="s">
        <v>64</v>
      </c>
      <c r="I3086" s="3" t="s">
        <v>64</v>
      </c>
      <c r="J3086" s="3" t="s">
        <v>64</v>
      </c>
      <c r="K3086" s="3" t="s">
        <v>65</v>
      </c>
      <c r="L3086" s="2" t="s">
        <v>30918</v>
      </c>
      <c r="M3086" s="2" t="s">
        <v>8509</v>
      </c>
      <c r="N3086" s="3" t="s">
        <v>144</v>
      </c>
      <c r="P3086" s="3" t="s">
        <v>102</v>
      </c>
      <c r="Q3086" s="2" t="s">
        <v>8981</v>
      </c>
      <c r="R3086" s="3" t="s">
        <v>70</v>
      </c>
      <c r="S3086" s="4">
        <v>14</v>
      </c>
      <c r="T3086" s="4">
        <v>14</v>
      </c>
      <c r="U3086" s="5" t="s">
        <v>19222</v>
      </c>
      <c r="V3086" s="5" t="s">
        <v>19222</v>
      </c>
      <c r="W3086" s="5" t="s">
        <v>72</v>
      </c>
      <c r="X3086" s="5" t="s">
        <v>72</v>
      </c>
      <c r="Y3086" s="4">
        <v>120</v>
      </c>
      <c r="Z3086" s="4">
        <v>16</v>
      </c>
      <c r="AA3086" s="4">
        <v>20</v>
      </c>
      <c r="AB3086" s="4">
        <v>2</v>
      </c>
      <c r="AC3086" s="4">
        <v>5</v>
      </c>
      <c r="AD3086" s="4">
        <v>24</v>
      </c>
      <c r="AE3086" s="4">
        <v>35</v>
      </c>
      <c r="AF3086" s="4">
        <v>0</v>
      </c>
      <c r="AG3086" s="4">
        <v>1</v>
      </c>
      <c r="AH3086" s="4">
        <v>19</v>
      </c>
      <c r="AI3086" s="4">
        <v>29</v>
      </c>
      <c r="AJ3086" s="4">
        <v>7</v>
      </c>
      <c r="AK3086" s="4">
        <v>8</v>
      </c>
      <c r="AL3086" s="4">
        <v>10</v>
      </c>
      <c r="AM3086" s="4">
        <v>15</v>
      </c>
      <c r="AN3086" s="4">
        <v>0</v>
      </c>
      <c r="AO3086" s="4">
        <v>0</v>
      </c>
      <c r="AP3086" s="4">
        <v>10</v>
      </c>
      <c r="AQ3086" s="4">
        <v>10</v>
      </c>
      <c r="AR3086" s="3" t="s">
        <v>64</v>
      </c>
      <c r="AS3086" s="3" t="s">
        <v>64</v>
      </c>
      <c r="AT3086" s="3" t="s">
        <v>64</v>
      </c>
      <c r="AV3086" s="6" t="str">
        <f>HYPERLINK("http://mcgill.on.worldcat.org/oclc/195722885","Catalog Record")</f>
        <v>Catalog Record</v>
      </c>
      <c r="AW3086" s="6" t="str">
        <f>HYPERLINK("http://www.worldcat.org/oclc/195722885","WorldCat Record")</f>
        <v>WorldCat Record</v>
      </c>
      <c r="AX3086" s="3" t="s">
        <v>30919</v>
      </c>
      <c r="AY3086" s="3" t="s">
        <v>30920</v>
      </c>
      <c r="AZ3086" s="3" t="s">
        <v>30921</v>
      </c>
      <c r="BA3086" s="3" t="s">
        <v>30921</v>
      </c>
      <c r="BB3086" s="3" t="s">
        <v>30922</v>
      </c>
      <c r="BC3086" s="3" t="s">
        <v>77</v>
      </c>
      <c r="BD3086" s="3" t="s">
        <v>78</v>
      </c>
      <c r="BE3086" s="3" t="s">
        <v>30923</v>
      </c>
      <c r="BF3086" s="3" t="s">
        <v>30922</v>
      </c>
      <c r="BG3086" s="3" t="s">
        <v>30924</v>
      </c>
      <c r="BH3086">
        <f t="shared" si="75"/>
        <v>0</v>
      </c>
    </row>
    <row r="3087" spans="1:60" ht="58" x14ac:dyDescent="0.35">
      <c r="A3087" s="2" t="s">
        <v>59</v>
      </c>
      <c r="B3087" s="2" t="s">
        <v>60</v>
      </c>
      <c r="C3087" s="2" t="s">
        <v>30925</v>
      </c>
      <c r="D3087" s="2" t="s">
        <v>30926</v>
      </c>
      <c r="E3087" s="2" t="s">
        <v>30927</v>
      </c>
      <c r="G3087" s="3" t="s">
        <v>64</v>
      </c>
      <c r="I3087" s="3" t="s">
        <v>64</v>
      </c>
      <c r="J3087" s="3" t="s">
        <v>64</v>
      </c>
      <c r="K3087" s="3" t="s">
        <v>65</v>
      </c>
      <c r="M3087" s="2" t="s">
        <v>18099</v>
      </c>
      <c r="N3087" s="3" t="s">
        <v>326</v>
      </c>
      <c r="P3087" s="3" t="s">
        <v>102</v>
      </c>
      <c r="Q3087" s="2" t="s">
        <v>30928</v>
      </c>
      <c r="R3087" s="3" t="s">
        <v>70</v>
      </c>
      <c r="S3087" s="4">
        <v>1</v>
      </c>
      <c r="T3087" s="4">
        <v>1</v>
      </c>
      <c r="U3087" s="5" t="s">
        <v>7584</v>
      </c>
      <c r="V3087" s="5" t="s">
        <v>7584</v>
      </c>
      <c r="W3087" s="5" t="s">
        <v>72</v>
      </c>
      <c r="X3087" s="5" t="s">
        <v>72</v>
      </c>
      <c r="Y3087" s="4">
        <v>136</v>
      </c>
      <c r="Z3087" s="4">
        <v>10</v>
      </c>
      <c r="AA3087" s="4">
        <v>96</v>
      </c>
      <c r="AB3087" s="4">
        <v>2</v>
      </c>
      <c r="AC3087" s="4">
        <v>17</v>
      </c>
      <c r="AD3087" s="4">
        <v>33</v>
      </c>
      <c r="AE3087" s="4">
        <v>111</v>
      </c>
      <c r="AF3087" s="4">
        <v>1</v>
      </c>
      <c r="AG3087" s="4">
        <v>8</v>
      </c>
      <c r="AH3087" s="4">
        <v>31</v>
      </c>
      <c r="AI3087" s="4">
        <v>76</v>
      </c>
      <c r="AJ3087" s="4">
        <v>5</v>
      </c>
      <c r="AK3087" s="4">
        <v>21</v>
      </c>
      <c r="AL3087" s="4">
        <v>20</v>
      </c>
      <c r="AM3087" s="4">
        <v>37</v>
      </c>
      <c r="AN3087" s="4">
        <v>0</v>
      </c>
      <c r="AO3087" s="4">
        <v>0</v>
      </c>
      <c r="AP3087" s="4">
        <v>4</v>
      </c>
      <c r="AQ3087" s="4">
        <v>41</v>
      </c>
      <c r="AR3087" s="3" t="s">
        <v>64</v>
      </c>
      <c r="AS3087" s="3" t="s">
        <v>64</v>
      </c>
      <c r="AT3087" s="3" t="s">
        <v>64</v>
      </c>
      <c r="AV3087" s="6" t="str">
        <f>HYPERLINK("http://mcgill.on.worldcat.org/oclc/713188402","Catalog Record")</f>
        <v>Catalog Record</v>
      </c>
      <c r="AW3087" s="6" t="str">
        <f>HYPERLINK("http://www.worldcat.org/oclc/713188402","WorldCat Record")</f>
        <v>WorldCat Record</v>
      </c>
      <c r="AX3087" s="3" t="s">
        <v>30929</v>
      </c>
      <c r="AY3087" s="3" t="s">
        <v>30930</v>
      </c>
      <c r="AZ3087" s="3" t="s">
        <v>30931</v>
      </c>
      <c r="BA3087" s="3" t="s">
        <v>30931</v>
      </c>
      <c r="BB3087" s="3" t="s">
        <v>30932</v>
      </c>
      <c r="BC3087" s="3" t="s">
        <v>77</v>
      </c>
      <c r="BD3087" s="3" t="s">
        <v>78</v>
      </c>
      <c r="BE3087" s="3" t="s">
        <v>30933</v>
      </c>
      <c r="BF3087" s="3" t="s">
        <v>30932</v>
      </c>
      <c r="BG3087" s="3" t="s">
        <v>30934</v>
      </c>
      <c r="BH3087">
        <f t="shared" si="75"/>
        <v>0</v>
      </c>
    </row>
    <row r="3088" spans="1:60" ht="58" x14ac:dyDescent="0.35">
      <c r="A3088" s="2" t="s">
        <v>59</v>
      </c>
      <c r="B3088" s="2" t="s">
        <v>60</v>
      </c>
      <c r="C3088" s="2" t="s">
        <v>30935</v>
      </c>
      <c r="D3088" s="2" t="s">
        <v>30936</v>
      </c>
      <c r="E3088" s="2" t="s">
        <v>30937</v>
      </c>
      <c r="G3088" s="3" t="s">
        <v>64</v>
      </c>
      <c r="I3088" s="3" t="s">
        <v>64</v>
      </c>
      <c r="J3088" s="3" t="s">
        <v>64</v>
      </c>
      <c r="K3088" s="3" t="s">
        <v>65</v>
      </c>
      <c r="M3088" s="2" t="s">
        <v>23973</v>
      </c>
      <c r="N3088" s="3" t="s">
        <v>67</v>
      </c>
      <c r="P3088" s="3" t="s">
        <v>102</v>
      </c>
      <c r="Q3088" s="2" t="s">
        <v>17026</v>
      </c>
      <c r="R3088" s="3" t="s">
        <v>70</v>
      </c>
      <c r="S3088" s="4">
        <v>1</v>
      </c>
      <c r="T3088" s="4">
        <v>1</v>
      </c>
      <c r="U3088" s="5" t="s">
        <v>30938</v>
      </c>
      <c r="V3088" s="5" t="s">
        <v>30938</v>
      </c>
      <c r="W3088" s="5" t="s">
        <v>72</v>
      </c>
      <c r="X3088" s="5" t="s">
        <v>72</v>
      </c>
      <c r="Y3088" s="4">
        <v>72</v>
      </c>
      <c r="Z3088" s="4">
        <v>1</v>
      </c>
      <c r="AA3088" s="4">
        <v>109</v>
      </c>
      <c r="AB3088" s="4">
        <v>1</v>
      </c>
      <c r="AC3088" s="4">
        <v>16</v>
      </c>
      <c r="AD3088" s="4">
        <v>3</v>
      </c>
      <c r="AE3088" s="4">
        <v>120</v>
      </c>
      <c r="AF3088" s="4">
        <v>0</v>
      </c>
      <c r="AG3088" s="4">
        <v>8</v>
      </c>
      <c r="AH3088" s="4">
        <v>3</v>
      </c>
      <c r="AI3088" s="4">
        <v>82</v>
      </c>
      <c r="AJ3088" s="4">
        <v>0</v>
      </c>
      <c r="AK3088" s="4">
        <v>20</v>
      </c>
      <c r="AL3088" s="4">
        <v>3</v>
      </c>
      <c r="AM3088" s="4">
        <v>39</v>
      </c>
      <c r="AN3088" s="4">
        <v>0</v>
      </c>
      <c r="AO3088" s="4">
        <v>0</v>
      </c>
      <c r="AP3088" s="4">
        <v>0</v>
      </c>
      <c r="AQ3088" s="4">
        <v>43</v>
      </c>
      <c r="AR3088" s="3" t="s">
        <v>64</v>
      </c>
      <c r="AS3088" s="3" t="s">
        <v>64</v>
      </c>
      <c r="AT3088" s="3" t="s">
        <v>64</v>
      </c>
      <c r="AV3088" s="6" t="str">
        <f>HYPERLINK("http://mcgill.on.worldcat.org/oclc/869762406","Catalog Record")</f>
        <v>Catalog Record</v>
      </c>
      <c r="AW3088" s="6" t="str">
        <f>HYPERLINK("http://www.worldcat.org/oclc/869762406","WorldCat Record")</f>
        <v>WorldCat Record</v>
      </c>
      <c r="AX3088" s="3" t="s">
        <v>30939</v>
      </c>
      <c r="AY3088" s="3" t="s">
        <v>30940</v>
      </c>
      <c r="AZ3088" s="3" t="s">
        <v>30941</v>
      </c>
      <c r="BA3088" s="3" t="s">
        <v>30941</v>
      </c>
      <c r="BB3088" s="3" t="s">
        <v>30942</v>
      </c>
      <c r="BC3088" s="3" t="s">
        <v>77</v>
      </c>
      <c r="BD3088" s="3" t="s">
        <v>78</v>
      </c>
      <c r="BE3088" s="3" t="s">
        <v>30943</v>
      </c>
      <c r="BF3088" s="3" t="s">
        <v>30942</v>
      </c>
      <c r="BG3088" s="3" t="s">
        <v>30944</v>
      </c>
      <c r="BH3088">
        <f t="shared" si="75"/>
        <v>0</v>
      </c>
    </row>
    <row r="3089" spans="1:60" ht="72.5" x14ac:dyDescent="0.35">
      <c r="A3089" s="2" t="s">
        <v>59</v>
      </c>
      <c r="B3089" s="2" t="s">
        <v>60</v>
      </c>
      <c r="C3089" s="2" t="s">
        <v>30945</v>
      </c>
      <c r="D3089" s="2" t="s">
        <v>30946</v>
      </c>
      <c r="E3089" s="2" t="s">
        <v>30947</v>
      </c>
      <c r="G3089" s="3" t="s">
        <v>64</v>
      </c>
      <c r="I3089" s="3" t="s">
        <v>64</v>
      </c>
      <c r="J3089" s="3" t="s">
        <v>64</v>
      </c>
      <c r="K3089" s="3" t="s">
        <v>65</v>
      </c>
      <c r="M3089" s="2" t="s">
        <v>23590</v>
      </c>
      <c r="N3089" s="3" t="s">
        <v>3428</v>
      </c>
      <c r="P3089" s="3" t="s">
        <v>102</v>
      </c>
      <c r="R3089" s="3" t="s">
        <v>70</v>
      </c>
      <c r="S3089" s="4">
        <v>9</v>
      </c>
      <c r="T3089" s="4">
        <v>9</v>
      </c>
      <c r="U3089" s="5" t="s">
        <v>27814</v>
      </c>
      <c r="V3089" s="5" t="s">
        <v>27814</v>
      </c>
      <c r="W3089" s="5" t="s">
        <v>72</v>
      </c>
      <c r="X3089" s="5" t="s">
        <v>72</v>
      </c>
      <c r="Y3089" s="4">
        <v>531</v>
      </c>
      <c r="Z3089" s="4">
        <v>25</v>
      </c>
      <c r="AA3089" s="4">
        <v>26</v>
      </c>
      <c r="AB3089" s="4">
        <v>2</v>
      </c>
      <c r="AC3089" s="4">
        <v>3</v>
      </c>
      <c r="AD3089" s="4">
        <v>85</v>
      </c>
      <c r="AE3089" s="4">
        <v>87</v>
      </c>
      <c r="AF3089" s="4">
        <v>1</v>
      </c>
      <c r="AG3089" s="4">
        <v>2</v>
      </c>
      <c r="AH3089" s="4">
        <v>76</v>
      </c>
      <c r="AI3089" s="4">
        <v>77</v>
      </c>
      <c r="AJ3089" s="4">
        <v>12</v>
      </c>
      <c r="AK3089" s="4">
        <v>13</v>
      </c>
      <c r="AL3089" s="4">
        <v>35</v>
      </c>
      <c r="AM3089" s="4">
        <v>35</v>
      </c>
      <c r="AN3089" s="4">
        <v>0</v>
      </c>
      <c r="AO3089" s="4">
        <v>0</v>
      </c>
      <c r="AP3089" s="4">
        <v>16</v>
      </c>
      <c r="AQ3089" s="4">
        <v>16</v>
      </c>
      <c r="AR3089" s="3" t="s">
        <v>64</v>
      </c>
      <c r="AS3089" s="3" t="s">
        <v>64</v>
      </c>
      <c r="AT3089" s="3" t="s">
        <v>128</v>
      </c>
      <c r="AU3089" s="6" t="str">
        <f>HYPERLINK("http://catalog.hathitrust.org/Record/002992916","HathiTrust Record")</f>
        <v>HathiTrust Record</v>
      </c>
      <c r="AV3089" s="6" t="str">
        <f>HYPERLINK("http://mcgill.on.worldcat.org/oclc/32664722","Catalog Record")</f>
        <v>Catalog Record</v>
      </c>
      <c r="AW3089" s="6" t="str">
        <f>HYPERLINK("http://www.worldcat.org/oclc/32664722","WorldCat Record")</f>
        <v>WorldCat Record</v>
      </c>
      <c r="AX3089" s="3" t="s">
        <v>30948</v>
      </c>
      <c r="AY3089" s="3" t="s">
        <v>30949</v>
      </c>
      <c r="AZ3089" s="3" t="s">
        <v>30950</v>
      </c>
      <c r="BA3089" s="3" t="s">
        <v>30950</v>
      </c>
      <c r="BB3089" s="3" t="s">
        <v>30951</v>
      </c>
      <c r="BC3089" s="3" t="s">
        <v>77</v>
      </c>
      <c r="BD3089" s="3" t="s">
        <v>78</v>
      </c>
      <c r="BE3089" s="3" t="s">
        <v>30952</v>
      </c>
      <c r="BF3089" s="3" t="s">
        <v>30951</v>
      </c>
      <c r="BG3089" s="3" t="s">
        <v>30953</v>
      </c>
      <c r="BH3089">
        <f t="shared" si="75"/>
        <v>0</v>
      </c>
    </row>
    <row r="3090" spans="1:60" ht="58" x14ac:dyDescent="0.35">
      <c r="A3090" s="2" t="s">
        <v>59</v>
      </c>
      <c r="B3090" s="2" t="s">
        <v>60</v>
      </c>
      <c r="C3090" s="2" t="s">
        <v>30954</v>
      </c>
      <c r="D3090" s="2" t="s">
        <v>30955</v>
      </c>
      <c r="E3090" s="2" t="s">
        <v>30956</v>
      </c>
      <c r="G3090" s="3" t="s">
        <v>64</v>
      </c>
      <c r="I3090" s="3" t="s">
        <v>64</v>
      </c>
      <c r="J3090" s="3" t="s">
        <v>64</v>
      </c>
      <c r="K3090" s="3" t="s">
        <v>65</v>
      </c>
      <c r="L3090" s="2" t="s">
        <v>30957</v>
      </c>
      <c r="M3090" s="2" t="s">
        <v>19139</v>
      </c>
      <c r="N3090" s="3" t="s">
        <v>86</v>
      </c>
      <c r="P3090" s="3" t="s">
        <v>102</v>
      </c>
      <c r="R3090" s="3" t="s">
        <v>70</v>
      </c>
      <c r="S3090" s="4">
        <v>6</v>
      </c>
      <c r="T3090" s="4">
        <v>6</v>
      </c>
      <c r="U3090" s="5" t="s">
        <v>4189</v>
      </c>
      <c r="V3090" s="5" t="s">
        <v>4189</v>
      </c>
      <c r="W3090" s="5" t="s">
        <v>72</v>
      </c>
      <c r="X3090" s="5" t="s">
        <v>72</v>
      </c>
      <c r="Y3090" s="4">
        <v>497</v>
      </c>
      <c r="Z3090" s="4">
        <v>31</v>
      </c>
      <c r="AA3090" s="4">
        <v>99</v>
      </c>
      <c r="AB3090" s="4">
        <v>1</v>
      </c>
      <c r="AC3090" s="4">
        <v>18</v>
      </c>
      <c r="AD3090" s="4">
        <v>46</v>
      </c>
      <c r="AE3090" s="4">
        <v>107</v>
      </c>
      <c r="AF3090" s="4">
        <v>0</v>
      </c>
      <c r="AG3090" s="4">
        <v>8</v>
      </c>
      <c r="AH3090" s="4">
        <v>37</v>
      </c>
      <c r="AI3090" s="4">
        <v>71</v>
      </c>
      <c r="AJ3090" s="4">
        <v>9</v>
      </c>
      <c r="AK3090" s="4">
        <v>23</v>
      </c>
      <c r="AL3090" s="4">
        <v>17</v>
      </c>
      <c r="AM3090" s="4">
        <v>34</v>
      </c>
      <c r="AN3090" s="4">
        <v>0</v>
      </c>
      <c r="AO3090" s="4">
        <v>0</v>
      </c>
      <c r="AP3090" s="4">
        <v>15</v>
      </c>
      <c r="AQ3090" s="4">
        <v>45</v>
      </c>
      <c r="AR3090" s="3" t="s">
        <v>64</v>
      </c>
      <c r="AS3090" s="3" t="s">
        <v>64</v>
      </c>
      <c r="AT3090" s="3" t="s">
        <v>64</v>
      </c>
      <c r="AV3090" s="6" t="str">
        <f>HYPERLINK("http://mcgill.on.worldcat.org/oclc/761924436","Catalog Record")</f>
        <v>Catalog Record</v>
      </c>
      <c r="AW3090" s="6" t="str">
        <f>HYPERLINK("http://www.worldcat.org/oclc/761924436","WorldCat Record")</f>
        <v>WorldCat Record</v>
      </c>
      <c r="AX3090" s="3" t="s">
        <v>30958</v>
      </c>
      <c r="AY3090" s="3" t="s">
        <v>30959</v>
      </c>
      <c r="AZ3090" s="3" t="s">
        <v>30960</v>
      </c>
      <c r="BA3090" s="3" t="s">
        <v>30960</v>
      </c>
      <c r="BB3090" s="3" t="s">
        <v>30961</v>
      </c>
      <c r="BC3090" s="3" t="s">
        <v>77</v>
      </c>
      <c r="BD3090" s="3" t="s">
        <v>78</v>
      </c>
      <c r="BE3090" s="3" t="s">
        <v>30962</v>
      </c>
      <c r="BF3090" s="3" t="s">
        <v>30961</v>
      </c>
      <c r="BG3090" s="3" t="s">
        <v>30963</v>
      </c>
      <c r="BH3090">
        <f t="shared" si="75"/>
        <v>0</v>
      </c>
    </row>
    <row r="3091" spans="1:60" ht="58" x14ac:dyDescent="0.35">
      <c r="A3091" s="2" t="s">
        <v>59</v>
      </c>
      <c r="B3091" s="2" t="s">
        <v>60</v>
      </c>
      <c r="C3091" s="2" t="s">
        <v>30964</v>
      </c>
      <c r="D3091" s="2" t="s">
        <v>30965</v>
      </c>
      <c r="E3091" s="2" t="s">
        <v>30966</v>
      </c>
      <c r="G3091" s="3" t="s">
        <v>64</v>
      </c>
      <c r="I3091" s="3" t="s">
        <v>64</v>
      </c>
      <c r="J3091" s="3" t="s">
        <v>64</v>
      </c>
      <c r="K3091" s="3" t="s">
        <v>65</v>
      </c>
      <c r="L3091" s="2" t="s">
        <v>30967</v>
      </c>
      <c r="M3091" s="2" t="s">
        <v>8509</v>
      </c>
      <c r="N3091" s="3" t="s">
        <v>144</v>
      </c>
      <c r="P3091" s="3" t="s">
        <v>102</v>
      </c>
      <c r="Q3091" s="2" t="s">
        <v>8981</v>
      </c>
      <c r="R3091" s="3" t="s">
        <v>70</v>
      </c>
      <c r="S3091" s="4">
        <v>8</v>
      </c>
      <c r="T3091" s="4">
        <v>8</v>
      </c>
      <c r="U3091" s="5" t="s">
        <v>14905</v>
      </c>
      <c r="V3091" s="5" t="s">
        <v>14905</v>
      </c>
      <c r="W3091" s="5" t="s">
        <v>72</v>
      </c>
      <c r="X3091" s="5" t="s">
        <v>72</v>
      </c>
      <c r="Y3091" s="4">
        <v>157</v>
      </c>
      <c r="Z3091" s="4">
        <v>16</v>
      </c>
      <c r="AA3091" s="4">
        <v>20</v>
      </c>
      <c r="AB3091" s="4">
        <v>2</v>
      </c>
      <c r="AC3091" s="4">
        <v>5</v>
      </c>
      <c r="AD3091" s="4">
        <v>24</v>
      </c>
      <c r="AE3091" s="4">
        <v>31</v>
      </c>
      <c r="AF3091" s="4">
        <v>0</v>
      </c>
      <c r="AG3091" s="4">
        <v>1</v>
      </c>
      <c r="AH3091" s="4">
        <v>19</v>
      </c>
      <c r="AI3091" s="4">
        <v>25</v>
      </c>
      <c r="AJ3091" s="4">
        <v>7</v>
      </c>
      <c r="AK3091" s="4">
        <v>8</v>
      </c>
      <c r="AL3091" s="4">
        <v>11</v>
      </c>
      <c r="AM3091" s="4">
        <v>14</v>
      </c>
      <c r="AN3091" s="4">
        <v>0</v>
      </c>
      <c r="AO3091" s="4">
        <v>0</v>
      </c>
      <c r="AP3091" s="4">
        <v>9</v>
      </c>
      <c r="AQ3091" s="4">
        <v>9</v>
      </c>
      <c r="AR3091" s="3" t="s">
        <v>64</v>
      </c>
      <c r="AS3091" s="3" t="s">
        <v>64</v>
      </c>
      <c r="AT3091" s="3" t="s">
        <v>64</v>
      </c>
      <c r="AV3091" s="6" t="str">
        <f>HYPERLINK("http://mcgill.on.worldcat.org/oclc/148313864","Catalog Record")</f>
        <v>Catalog Record</v>
      </c>
      <c r="AW3091" s="6" t="str">
        <f>HYPERLINK("http://www.worldcat.org/oclc/148313864","WorldCat Record")</f>
        <v>WorldCat Record</v>
      </c>
      <c r="AX3091" s="3" t="s">
        <v>30968</v>
      </c>
      <c r="AY3091" s="3" t="s">
        <v>30969</v>
      </c>
      <c r="AZ3091" s="3" t="s">
        <v>30970</v>
      </c>
      <c r="BA3091" s="3" t="s">
        <v>30970</v>
      </c>
      <c r="BB3091" s="3" t="s">
        <v>30971</v>
      </c>
      <c r="BC3091" s="3" t="s">
        <v>77</v>
      </c>
      <c r="BD3091" s="3" t="s">
        <v>78</v>
      </c>
      <c r="BE3091" s="3" t="s">
        <v>30972</v>
      </c>
      <c r="BF3091" s="3" t="s">
        <v>30971</v>
      </c>
      <c r="BG3091" s="3" t="s">
        <v>30973</v>
      </c>
      <c r="BH3091">
        <f t="shared" si="75"/>
        <v>0</v>
      </c>
    </row>
    <row r="3092" spans="1:60" ht="58" x14ac:dyDescent="0.35">
      <c r="A3092" s="2" t="s">
        <v>59</v>
      </c>
      <c r="B3092" s="2" t="s">
        <v>60</v>
      </c>
      <c r="C3092" s="2" t="s">
        <v>30974</v>
      </c>
      <c r="D3092" s="2" t="s">
        <v>30975</v>
      </c>
      <c r="E3092" s="2" t="s">
        <v>30976</v>
      </c>
      <c r="G3092" s="3" t="s">
        <v>64</v>
      </c>
      <c r="I3092" s="3" t="s">
        <v>64</v>
      </c>
      <c r="J3092" s="3" t="s">
        <v>64</v>
      </c>
      <c r="K3092" s="3" t="s">
        <v>65</v>
      </c>
      <c r="L3092" s="2" t="s">
        <v>16898</v>
      </c>
      <c r="M3092" s="2" t="s">
        <v>24032</v>
      </c>
      <c r="N3092" s="3" t="s">
        <v>537</v>
      </c>
      <c r="P3092" s="3" t="s">
        <v>102</v>
      </c>
      <c r="R3092" s="3" t="s">
        <v>70</v>
      </c>
      <c r="S3092" s="4">
        <v>7</v>
      </c>
      <c r="T3092" s="4">
        <v>7</v>
      </c>
      <c r="U3092" s="5" t="s">
        <v>6902</v>
      </c>
      <c r="V3092" s="5" t="s">
        <v>6902</v>
      </c>
      <c r="W3092" s="5" t="s">
        <v>72</v>
      </c>
      <c r="X3092" s="5" t="s">
        <v>72</v>
      </c>
      <c r="Y3092" s="4">
        <v>348</v>
      </c>
      <c r="Z3092" s="4">
        <v>11</v>
      </c>
      <c r="AA3092" s="4">
        <v>100</v>
      </c>
      <c r="AB3092" s="4">
        <v>1</v>
      </c>
      <c r="AC3092" s="4">
        <v>16</v>
      </c>
      <c r="AD3092" s="4">
        <v>40</v>
      </c>
      <c r="AE3092" s="4">
        <v>103</v>
      </c>
      <c r="AF3092" s="4">
        <v>0</v>
      </c>
      <c r="AG3092" s="4">
        <v>8</v>
      </c>
      <c r="AH3092" s="4">
        <v>37</v>
      </c>
      <c r="AI3092" s="4">
        <v>68</v>
      </c>
      <c r="AJ3092" s="4">
        <v>2</v>
      </c>
      <c r="AK3092" s="4">
        <v>18</v>
      </c>
      <c r="AL3092" s="4">
        <v>19</v>
      </c>
      <c r="AM3092" s="4">
        <v>34</v>
      </c>
      <c r="AN3092" s="4">
        <v>0</v>
      </c>
      <c r="AO3092" s="4">
        <v>0</v>
      </c>
      <c r="AP3092" s="4">
        <v>3</v>
      </c>
      <c r="AQ3092" s="4">
        <v>38</v>
      </c>
      <c r="AR3092" s="3" t="s">
        <v>64</v>
      </c>
      <c r="AS3092" s="3" t="s">
        <v>64</v>
      </c>
      <c r="AT3092" s="3" t="s">
        <v>64</v>
      </c>
      <c r="AV3092" s="6" t="str">
        <f>HYPERLINK("http://mcgill.on.worldcat.org/oclc/934505051","Catalog Record")</f>
        <v>Catalog Record</v>
      </c>
      <c r="AW3092" s="6" t="str">
        <f>HYPERLINK("http://www.worldcat.org/oclc/934505051","WorldCat Record")</f>
        <v>WorldCat Record</v>
      </c>
      <c r="AX3092" s="3" t="s">
        <v>30977</v>
      </c>
      <c r="AY3092" s="3" t="s">
        <v>30978</v>
      </c>
      <c r="AZ3092" s="3" t="s">
        <v>30979</v>
      </c>
      <c r="BA3092" s="3" t="s">
        <v>30979</v>
      </c>
      <c r="BB3092" s="3" t="s">
        <v>30980</v>
      </c>
      <c r="BC3092" s="3" t="s">
        <v>77</v>
      </c>
      <c r="BD3092" s="3" t="s">
        <v>165</v>
      </c>
      <c r="BE3092" s="3" t="s">
        <v>30981</v>
      </c>
      <c r="BF3092" s="3" t="s">
        <v>30980</v>
      </c>
      <c r="BG3092" s="3" t="s">
        <v>30982</v>
      </c>
      <c r="BH3092">
        <f t="shared" si="75"/>
        <v>0</v>
      </c>
    </row>
    <row r="3093" spans="1:60" ht="58" x14ac:dyDescent="0.35">
      <c r="A3093" s="2" t="s">
        <v>59</v>
      </c>
      <c r="B3093" s="2" t="s">
        <v>60</v>
      </c>
      <c r="C3093" s="2" t="s">
        <v>30983</v>
      </c>
      <c r="D3093" s="2" t="s">
        <v>30984</v>
      </c>
      <c r="E3093" s="2" t="s">
        <v>30985</v>
      </c>
      <c r="G3093" s="3" t="s">
        <v>64</v>
      </c>
      <c r="I3093" s="3" t="s">
        <v>64</v>
      </c>
      <c r="J3093" s="3" t="s">
        <v>64</v>
      </c>
      <c r="K3093" s="3" t="s">
        <v>65</v>
      </c>
      <c r="M3093" s="2" t="s">
        <v>15629</v>
      </c>
      <c r="N3093" s="3" t="s">
        <v>86</v>
      </c>
      <c r="P3093" s="3" t="s">
        <v>102</v>
      </c>
      <c r="R3093" s="3" t="s">
        <v>70</v>
      </c>
      <c r="S3093" s="4">
        <v>0</v>
      </c>
      <c r="T3093" s="4">
        <v>0</v>
      </c>
      <c r="W3093" s="5" t="s">
        <v>72</v>
      </c>
      <c r="X3093" s="5" t="s">
        <v>72</v>
      </c>
      <c r="Y3093" s="4">
        <v>31</v>
      </c>
      <c r="Z3093" s="4">
        <v>7</v>
      </c>
      <c r="AA3093" s="4">
        <v>8</v>
      </c>
      <c r="AB3093" s="4">
        <v>1</v>
      </c>
      <c r="AC3093" s="4">
        <v>2</v>
      </c>
      <c r="AD3093" s="4">
        <v>11</v>
      </c>
      <c r="AE3093" s="4">
        <v>11</v>
      </c>
      <c r="AF3093" s="4">
        <v>0</v>
      </c>
      <c r="AG3093" s="4">
        <v>0</v>
      </c>
      <c r="AH3093" s="4">
        <v>9</v>
      </c>
      <c r="AI3093" s="4">
        <v>9</v>
      </c>
      <c r="AJ3093" s="4">
        <v>4</v>
      </c>
      <c r="AK3093" s="4">
        <v>4</v>
      </c>
      <c r="AL3093" s="4">
        <v>4</v>
      </c>
      <c r="AM3093" s="4">
        <v>4</v>
      </c>
      <c r="AN3093" s="4">
        <v>0</v>
      </c>
      <c r="AO3093" s="4">
        <v>0</v>
      </c>
      <c r="AP3093" s="4">
        <v>4</v>
      </c>
      <c r="AQ3093" s="4">
        <v>4</v>
      </c>
      <c r="AR3093" s="3" t="s">
        <v>64</v>
      </c>
      <c r="AS3093" s="3" t="s">
        <v>64</v>
      </c>
      <c r="AT3093" s="3" t="s">
        <v>64</v>
      </c>
      <c r="AV3093" s="6" t="str">
        <f>HYPERLINK("http://mcgill.on.worldcat.org/oclc/786447191","Catalog Record")</f>
        <v>Catalog Record</v>
      </c>
      <c r="AW3093" s="6" t="str">
        <f>HYPERLINK("http://www.worldcat.org/oclc/786447191","WorldCat Record")</f>
        <v>WorldCat Record</v>
      </c>
      <c r="AX3093" s="3" t="s">
        <v>30986</v>
      </c>
      <c r="AY3093" s="3" t="s">
        <v>30987</v>
      </c>
      <c r="AZ3093" s="3" t="s">
        <v>30988</v>
      </c>
      <c r="BA3093" s="3" t="s">
        <v>30988</v>
      </c>
      <c r="BB3093" s="3" t="s">
        <v>30989</v>
      </c>
      <c r="BC3093" s="3" t="s">
        <v>77</v>
      </c>
      <c r="BD3093" s="3" t="s">
        <v>78</v>
      </c>
      <c r="BE3093" s="3" t="s">
        <v>30990</v>
      </c>
      <c r="BF3093" s="3" t="s">
        <v>30989</v>
      </c>
      <c r="BG3093" s="3" t="s">
        <v>30991</v>
      </c>
      <c r="BH3093">
        <f t="shared" si="75"/>
        <v>0</v>
      </c>
    </row>
    <row r="3094" spans="1:60" ht="58" x14ac:dyDescent="0.35">
      <c r="A3094" s="2" t="s">
        <v>59</v>
      </c>
      <c r="B3094" s="2" t="s">
        <v>60</v>
      </c>
      <c r="C3094" s="2" t="s">
        <v>30992</v>
      </c>
      <c r="D3094" s="2" t="s">
        <v>30993</v>
      </c>
      <c r="E3094" s="2" t="s">
        <v>30994</v>
      </c>
      <c r="G3094" s="3" t="s">
        <v>64</v>
      </c>
      <c r="I3094" s="3" t="s">
        <v>64</v>
      </c>
      <c r="J3094" s="3" t="s">
        <v>64</v>
      </c>
      <c r="K3094" s="3" t="s">
        <v>65</v>
      </c>
      <c r="M3094" s="2" t="s">
        <v>30995</v>
      </c>
      <c r="N3094" s="3" t="s">
        <v>578</v>
      </c>
      <c r="P3094" s="3" t="s">
        <v>102</v>
      </c>
      <c r="R3094" s="3" t="s">
        <v>70</v>
      </c>
      <c r="S3094" s="4">
        <v>1</v>
      </c>
      <c r="T3094" s="4">
        <v>1</v>
      </c>
      <c r="U3094" s="5" t="s">
        <v>3493</v>
      </c>
      <c r="V3094" s="5" t="s">
        <v>3493</v>
      </c>
      <c r="W3094" s="5" t="s">
        <v>72</v>
      </c>
      <c r="X3094" s="5" t="s">
        <v>72</v>
      </c>
      <c r="Y3094" s="4">
        <v>32</v>
      </c>
      <c r="Z3094" s="4">
        <v>3</v>
      </c>
      <c r="AA3094" s="4">
        <v>5</v>
      </c>
      <c r="AB3094" s="4">
        <v>1</v>
      </c>
      <c r="AC3094" s="4">
        <v>2</v>
      </c>
      <c r="AD3094" s="4">
        <v>9</v>
      </c>
      <c r="AE3094" s="4">
        <v>11</v>
      </c>
      <c r="AF3094" s="4">
        <v>0</v>
      </c>
      <c r="AG3094" s="4">
        <v>0</v>
      </c>
      <c r="AH3094" s="4">
        <v>8</v>
      </c>
      <c r="AI3094" s="4">
        <v>9</v>
      </c>
      <c r="AJ3094" s="4">
        <v>2</v>
      </c>
      <c r="AK3094" s="4">
        <v>2</v>
      </c>
      <c r="AL3094" s="4">
        <v>5</v>
      </c>
      <c r="AM3094" s="4">
        <v>5</v>
      </c>
      <c r="AN3094" s="4">
        <v>0</v>
      </c>
      <c r="AO3094" s="4">
        <v>0</v>
      </c>
      <c r="AP3094" s="4">
        <v>2</v>
      </c>
      <c r="AQ3094" s="4">
        <v>3</v>
      </c>
      <c r="AR3094" s="3" t="s">
        <v>64</v>
      </c>
      <c r="AS3094" s="3" t="s">
        <v>64</v>
      </c>
      <c r="AT3094" s="3" t="s">
        <v>64</v>
      </c>
      <c r="AV3094" s="6" t="str">
        <f>HYPERLINK("http://mcgill.on.worldcat.org/oclc/861186466","Catalog Record")</f>
        <v>Catalog Record</v>
      </c>
      <c r="AW3094" s="6" t="str">
        <f>HYPERLINK("http://www.worldcat.org/oclc/861186466","WorldCat Record")</f>
        <v>WorldCat Record</v>
      </c>
      <c r="AX3094" s="3" t="s">
        <v>30996</v>
      </c>
      <c r="AY3094" s="3" t="s">
        <v>30997</v>
      </c>
      <c r="AZ3094" s="3" t="s">
        <v>30998</v>
      </c>
      <c r="BA3094" s="3" t="s">
        <v>30998</v>
      </c>
      <c r="BB3094" s="3" t="s">
        <v>30999</v>
      </c>
      <c r="BC3094" s="3" t="s">
        <v>77</v>
      </c>
      <c r="BD3094" s="3" t="s">
        <v>78</v>
      </c>
      <c r="BE3094" s="3" t="s">
        <v>31000</v>
      </c>
      <c r="BF3094" s="3" t="s">
        <v>30999</v>
      </c>
      <c r="BG3094" s="3" t="s">
        <v>31001</v>
      </c>
      <c r="BH3094">
        <f t="shared" si="75"/>
        <v>0</v>
      </c>
    </row>
    <row r="3095" spans="1:60" ht="58" x14ac:dyDescent="0.35">
      <c r="A3095" s="2" t="s">
        <v>59</v>
      </c>
      <c r="B3095" s="2" t="s">
        <v>60</v>
      </c>
      <c r="C3095" s="2" t="s">
        <v>31002</v>
      </c>
      <c r="D3095" s="2" t="s">
        <v>31003</v>
      </c>
      <c r="E3095" s="2" t="s">
        <v>31004</v>
      </c>
      <c r="G3095" s="3" t="s">
        <v>64</v>
      </c>
      <c r="I3095" s="3" t="s">
        <v>64</v>
      </c>
      <c r="J3095" s="3" t="s">
        <v>64</v>
      </c>
      <c r="K3095" s="3" t="s">
        <v>65</v>
      </c>
      <c r="L3095" s="2" t="s">
        <v>31005</v>
      </c>
      <c r="M3095" s="2" t="s">
        <v>14793</v>
      </c>
      <c r="N3095" s="3" t="s">
        <v>1075</v>
      </c>
      <c r="P3095" s="3" t="s">
        <v>102</v>
      </c>
      <c r="R3095" s="3" t="s">
        <v>70</v>
      </c>
      <c r="S3095" s="4">
        <v>0</v>
      </c>
      <c r="T3095" s="4">
        <v>0</v>
      </c>
      <c r="W3095" s="5" t="s">
        <v>72</v>
      </c>
      <c r="X3095" s="5" t="s">
        <v>72</v>
      </c>
      <c r="Y3095" s="4">
        <v>232</v>
      </c>
      <c r="Z3095" s="4">
        <v>15</v>
      </c>
      <c r="AA3095" s="4">
        <v>91</v>
      </c>
      <c r="AB3095" s="4">
        <v>1</v>
      </c>
      <c r="AC3095" s="4">
        <v>16</v>
      </c>
      <c r="AD3095" s="4">
        <v>36</v>
      </c>
      <c r="AE3095" s="4">
        <v>108</v>
      </c>
      <c r="AF3095" s="4">
        <v>0</v>
      </c>
      <c r="AG3095" s="4">
        <v>8</v>
      </c>
      <c r="AH3095" s="4">
        <v>34</v>
      </c>
      <c r="AI3095" s="4">
        <v>72</v>
      </c>
      <c r="AJ3095" s="4">
        <v>5</v>
      </c>
      <c r="AK3095" s="4">
        <v>19</v>
      </c>
      <c r="AL3095" s="4">
        <v>13</v>
      </c>
      <c r="AM3095" s="4">
        <v>35</v>
      </c>
      <c r="AN3095" s="4">
        <v>0</v>
      </c>
      <c r="AO3095" s="4">
        <v>0</v>
      </c>
      <c r="AP3095" s="4">
        <v>6</v>
      </c>
      <c r="AQ3095" s="4">
        <v>41</v>
      </c>
      <c r="AR3095" s="3" t="s">
        <v>64</v>
      </c>
      <c r="AS3095" s="3" t="s">
        <v>64</v>
      </c>
      <c r="AT3095" s="3" t="s">
        <v>64</v>
      </c>
      <c r="AV3095" s="6" t="str">
        <f>HYPERLINK("http://mcgill.on.worldcat.org/oclc/830667989","Catalog Record")</f>
        <v>Catalog Record</v>
      </c>
      <c r="AW3095" s="6" t="str">
        <f>HYPERLINK("http://www.worldcat.org/oclc/830667989","WorldCat Record")</f>
        <v>WorldCat Record</v>
      </c>
      <c r="AX3095" s="3" t="s">
        <v>31006</v>
      </c>
      <c r="AY3095" s="3" t="s">
        <v>31007</v>
      </c>
      <c r="AZ3095" s="3" t="s">
        <v>31008</v>
      </c>
      <c r="BA3095" s="3" t="s">
        <v>31008</v>
      </c>
      <c r="BB3095" s="3" t="s">
        <v>31009</v>
      </c>
      <c r="BC3095" s="3" t="s">
        <v>77</v>
      </c>
      <c r="BD3095" s="3" t="s">
        <v>78</v>
      </c>
      <c r="BE3095" s="3" t="s">
        <v>31010</v>
      </c>
      <c r="BF3095" s="3" t="s">
        <v>31009</v>
      </c>
      <c r="BG3095" s="3" t="s">
        <v>31011</v>
      </c>
      <c r="BH3095">
        <f t="shared" si="75"/>
        <v>0</v>
      </c>
    </row>
    <row r="3096" spans="1:60" ht="58" x14ac:dyDescent="0.35">
      <c r="A3096" s="2" t="s">
        <v>59</v>
      </c>
      <c r="B3096" s="2" t="s">
        <v>60</v>
      </c>
      <c r="C3096" s="2" t="s">
        <v>31012</v>
      </c>
      <c r="D3096" s="2" t="s">
        <v>31013</v>
      </c>
      <c r="E3096" s="2" t="s">
        <v>31014</v>
      </c>
      <c r="G3096" s="3" t="s">
        <v>64</v>
      </c>
      <c r="I3096" s="3" t="s">
        <v>64</v>
      </c>
      <c r="J3096" s="3" t="s">
        <v>64</v>
      </c>
      <c r="K3096" s="3" t="s">
        <v>65</v>
      </c>
      <c r="L3096" s="2" t="s">
        <v>31015</v>
      </c>
      <c r="M3096" s="2" t="s">
        <v>17465</v>
      </c>
      <c r="N3096" s="3" t="s">
        <v>190</v>
      </c>
      <c r="P3096" s="3" t="s">
        <v>102</v>
      </c>
      <c r="R3096" s="3" t="s">
        <v>70</v>
      </c>
      <c r="S3096" s="4">
        <v>0</v>
      </c>
      <c r="T3096" s="4">
        <v>0</v>
      </c>
      <c r="W3096" s="5" t="s">
        <v>72</v>
      </c>
      <c r="X3096" s="5" t="s">
        <v>72</v>
      </c>
      <c r="Y3096" s="4">
        <v>247</v>
      </c>
      <c r="Z3096" s="4">
        <v>9</v>
      </c>
      <c r="AA3096" s="4">
        <v>10</v>
      </c>
      <c r="AB3096" s="4">
        <v>1</v>
      </c>
      <c r="AC3096" s="4">
        <v>2</v>
      </c>
      <c r="AD3096" s="4">
        <v>39</v>
      </c>
      <c r="AE3096" s="4">
        <v>40</v>
      </c>
      <c r="AF3096" s="4">
        <v>0</v>
      </c>
      <c r="AG3096" s="4">
        <v>1</v>
      </c>
      <c r="AH3096" s="4">
        <v>36</v>
      </c>
      <c r="AI3096" s="4">
        <v>36</v>
      </c>
      <c r="AJ3096" s="4">
        <v>2</v>
      </c>
      <c r="AK3096" s="4">
        <v>3</v>
      </c>
      <c r="AL3096" s="4">
        <v>18</v>
      </c>
      <c r="AM3096" s="4">
        <v>18</v>
      </c>
      <c r="AN3096" s="4">
        <v>0</v>
      </c>
      <c r="AO3096" s="4">
        <v>0</v>
      </c>
      <c r="AP3096" s="4">
        <v>4</v>
      </c>
      <c r="AQ3096" s="4">
        <v>4</v>
      </c>
      <c r="AR3096" s="3" t="s">
        <v>64</v>
      </c>
      <c r="AS3096" s="3" t="s">
        <v>64</v>
      </c>
      <c r="AT3096" s="3" t="s">
        <v>64</v>
      </c>
      <c r="AV3096" s="6" t="str">
        <f>HYPERLINK("http://mcgill.on.worldcat.org/oclc/992688915","Catalog Record")</f>
        <v>Catalog Record</v>
      </c>
      <c r="AW3096" s="6" t="str">
        <f>HYPERLINK("http://www.worldcat.org/oclc/992688915","WorldCat Record")</f>
        <v>WorldCat Record</v>
      </c>
      <c r="AX3096" s="3" t="s">
        <v>31016</v>
      </c>
      <c r="AY3096" s="3" t="s">
        <v>31017</v>
      </c>
      <c r="AZ3096" s="3" t="s">
        <v>31018</v>
      </c>
      <c r="BA3096" s="3" t="s">
        <v>31018</v>
      </c>
      <c r="BB3096" s="3" t="s">
        <v>31019</v>
      </c>
      <c r="BC3096" s="3" t="s">
        <v>77</v>
      </c>
      <c r="BD3096" s="3" t="s">
        <v>78</v>
      </c>
      <c r="BE3096" s="3" t="s">
        <v>31020</v>
      </c>
      <c r="BF3096" s="3" t="s">
        <v>31019</v>
      </c>
      <c r="BG3096" s="3" t="s">
        <v>31021</v>
      </c>
      <c r="BH3096">
        <f t="shared" si="75"/>
        <v>0</v>
      </c>
    </row>
    <row r="3097" spans="1:60" ht="58" x14ac:dyDescent="0.35">
      <c r="A3097" s="2" t="s">
        <v>59</v>
      </c>
      <c r="B3097" s="2" t="s">
        <v>60</v>
      </c>
      <c r="C3097" s="2" t="s">
        <v>31022</v>
      </c>
      <c r="D3097" s="2" t="s">
        <v>31023</v>
      </c>
      <c r="E3097" s="2" t="s">
        <v>31024</v>
      </c>
      <c r="G3097" s="3" t="s">
        <v>64</v>
      </c>
      <c r="I3097" s="3" t="s">
        <v>64</v>
      </c>
      <c r="J3097" s="3" t="s">
        <v>64</v>
      </c>
      <c r="K3097" s="3" t="s">
        <v>65</v>
      </c>
      <c r="L3097" s="2" t="s">
        <v>19552</v>
      </c>
      <c r="M3097" s="2" t="s">
        <v>28008</v>
      </c>
      <c r="N3097" s="3" t="s">
        <v>434</v>
      </c>
      <c r="P3097" s="3" t="s">
        <v>102</v>
      </c>
      <c r="R3097" s="3" t="s">
        <v>70</v>
      </c>
      <c r="S3097" s="4">
        <v>14</v>
      </c>
      <c r="T3097" s="4">
        <v>14</v>
      </c>
      <c r="U3097" s="5" t="s">
        <v>13933</v>
      </c>
      <c r="V3097" s="5" t="s">
        <v>13933</v>
      </c>
      <c r="W3097" s="5" t="s">
        <v>72</v>
      </c>
      <c r="X3097" s="5" t="s">
        <v>72</v>
      </c>
      <c r="Y3097" s="4">
        <v>991</v>
      </c>
      <c r="Z3097" s="4">
        <v>51</v>
      </c>
      <c r="AA3097" s="4">
        <v>129</v>
      </c>
      <c r="AB3097" s="4">
        <v>4</v>
      </c>
      <c r="AC3097" s="4">
        <v>20</v>
      </c>
      <c r="AD3097" s="4">
        <v>82</v>
      </c>
      <c r="AE3097" s="4">
        <v>131</v>
      </c>
      <c r="AF3097" s="4">
        <v>1</v>
      </c>
      <c r="AG3097" s="4">
        <v>9</v>
      </c>
      <c r="AH3097" s="4">
        <v>73</v>
      </c>
      <c r="AI3097" s="4">
        <v>94</v>
      </c>
      <c r="AJ3097" s="4">
        <v>13</v>
      </c>
      <c r="AK3097" s="4">
        <v>21</v>
      </c>
      <c r="AL3097" s="4">
        <v>36</v>
      </c>
      <c r="AM3097" s="4">
        <v>49</v>
      </c>
      <c r="AN3097" s="4">
        <v>0</v>
      </c>
      <c r="AO3097" s="4">
        <v>0</v>
      </c>
      <c r="AP3097" s="4">
        <v>16</v>
      </c>
      <c r="AQ3097" s="4">
        <v>44</v>
      </c>
      <c r="AR3097" s="3" t="s">
        <v>64</v>
      </c>
      <c r="AS3097" s="3" t="s">
        <v>64</v>
      </c>
      <c r="AT3097" s="3" t="s">
        <v>64</v>
      </c>
      <c r="AV3097" s="6" t="str">
        <f>HYPERLINK("http://mcgill.on.worldcat.org/oclc/56319857","Catalog Record")</f>
        <v>Catalog Record</v>
      </c>
      <c r="AW3097" s="6" t="str">
        <f>HYPERLINK("http://www.worldcat.org/oclc/56319857","WorldCat Record")</f>
        <v>WorldCat Record</v>
      </c>
      <c r="AX3097" s="3" t="s">
        <v>31025</v>
      </c>
      <c r="AY3097" s="3" t="s">
        <v>31026</v>
      </c>
      <c r="AZ3097" s="3" t="s">
        <v>31027</v>
      </c>
      <c r="BA3097" s="3" t="s">
        <v>31027</v>
      </c>
      <c r="BB3097" s="3" t="s">
        <v>31028</v>
      </c>
      <c r="BC3097" s="3" t="s">
        <v>77</v>
      </c>
      <c r="BD3097" s="3" t="s">
        <v>78</v>
      </c>
      <c r="BE3097" s="3" t="s">
        <v>31029</v>
      </c>
      <c r="BF3097" s="3" t="s">
        <v>31028</v>
      </c>
      <c r="BG3097" s="3" t="s">
        <v>31030</v>
      </c>
      <c r="BH3097">
        <f t="shared" si="75"/>
        <v>0</v>
      </c>
    </row>
    <row r="3098" spans="1:60" ht="58" x14ac:dyDescent="0.35">
      <c r="A3098" s="2" t="s">
        <v>59</v>
      </c>
      <c r="B3098" s="2" t="s">
        <v>60</v>
      </c>
      <c r="C3098" s="2" t="s">
        <v>31031</v>
      </c>
      <c r="D3098" s="2" t="s">
        <v>31032</v>
      </c>
      <c r="E3098" s="2" t="s">
        <v>31033</v>
      </c>
      <c r="G3098" s="3" t="s">
        <v>64</v>
      </c>
      <c r="I3098" s="3" t="s">
        <v>64</v>
      </c>
      <c r="J3098" s="3" t="s">
        <v>64</v>
      </c>
      <c r="K3098" s="3" t="s">
        <v>65</v>
      </c>
      <c r="L3098" s="2" t="s">
        <v>31034</v>
      </c>
      <c r="M3098" s="2" t="s">
        <v>31035</v>
      </c>
      <c r="N3098" s="3" t="s">
        <v>578</v>
      </c>
      <c r="P3098" s="3" t="s">
        <v>102</v>
      </c>
      <c r="R3098" s="3" t="s">
        <v>70</v>
      </c>
      <c r="S3098" s="4">
        <v>3</v>
      </c>
      <c r="T3098" s="4">
        <v>3</v>
      </c>
      <c r="U3098" s="5" t="s">
        <v>1786</v>
      </c>
      <c r="V3098" s="5" t="s">
        <v>1786</v>
      </c>
      <c r="W3098" s="5" t="s">
        <v>72</v>
      </c>
      <c r="X3098" s="5" t="s">
        <v>72</v>
      </c>
      <c r="Y3098" s="4">
        <v>432</v>
      </c>
      <c r="Z3098" s="4">
        <v>8</v>
      </c>
      <c r="AA3098" s="4">
        <v>10</v>
      </c>
      <c r="AB3098" s="4">
        <v>1</v>
      </c>
      <c r="AC3098" s="4">
        <v>3</v>
      </c>
      <c r="AD3098" s="4">
        <v>37</v>
      </c>
      <c r="AE3098" s="4">
        <v>38</v>
      </c>
      <c r="AF3098" s="4">
        <v>0</v>
      </c>
      <c r="AG3098" s="4">
        <v>1</v>
      </c>
      <c r="AH3098" s="4">
        <v>37</v>
      </c>
      <c r="AI3098" s="4">
        <v>37</v>
      </c>
      <c r="AJ3098" s="4">
        <v>2</v>
      </c>
      <c r="AK3098" s="4">
        <v>3</v>
      </c>
      <c r="AL3098" s="4">
        <v>18</v>
      </c>
      <c r="AM3098" s="4">
        <v>18</v>
      </c>
      <c r="AN3098" s="4">
        <v>0</v>
      </c>
      <c r="AO3098" s="4">
        <v>0</v>
      </c>
      <c r="AP3098" s="4">
        <v>2</v>
      </c>
      <c r="AQ3098" s="4">
        <v>2</v>
      </c>
      <c r="AR3098" s="3" t="s">
        <v>64</v>
      </c>
      <c r="AS3098" s="3" t="s">
        <v>64</v>
      </c>
      <c r="AT3098" s="3" t="s">
        <v>64</v>
      </c>
      <c r="AV3098" s="6" t="str">
        <f>HYPERLINK("http://mcgill.on.worldcat.org/oclc/973083533","Catalog Record")</f>
        <v>Catalog Record</v>
      </c>
      <c r="AW3098" s="6" t="str">
        <f>HYPERLINK("http://www.worldcat.org/oclc/973083533","WorldCat Record")</f>
        <v>WorldCat Record</v>
      </c>
      <c r="AX3098" s="3" t="s">
        <v>31036</v>
      </c>
      <c r="AY3098" s="3" t="s">
        <v>31037</v>
      </c>
      <c r="AZ3098" s="3" t="s">
        <v>31038</v>
      </c>
      <c r="BA3098" s="3" t="s">
        <v>31038</v>
      </c>
      <c r="BB3098" s="3" t="s">
        <v>31039</v>
      </c>
      <c r="BC3098" s="3" t="s">
        <v>77</v>
      </c>
      <c r="BD3098" s="3" t="s">
        <v>78</v>
      </c>
      <c r="BE3098" s="3" t="s">
        <v>31040</v>
      </c>
      <c r="BF3098" s="3" t="s">
        <v>31039</v>
      </c>
      <c r="BG3098" s="3" t="s">
        <v>31041</v>
      </c>
      <c r="BH3098">
        <f t="shared" si="75"/>
        <v>0</v>
      </c>
    </row>
    <row r="3099" spans="1:60" ht="58" x14ac:dyDescent="0.35">
      <c r="A3099" s="2" t="s">
        <v>59</v>
      </c>
      <c r="B3099" s="2" t="s">
        <v>60</v>
      </c>
      <c r="C3099" s="2" t="s">
        <v>31042</v>
      </c>
      <c r="D3099" s="2" t="s">
        <v>31043</v>
      </c>
      <c r="E3099" s="2" t="s">
        <v>31044</v>
      </c>
      <c r="G3099" s="3" t="s">
        <v>64</v>
      </c>
      <c r="I3099" s="3" t="s">
        <v>64</v>
      </c>
      <c r="J3099" s="3" t="s">
        <v>64</v>
      </c>
      <c r="K3099" s="3" t="s">
        <v>65</v>
      </c>
      <c r="L3099" s="2" t="s">
        <v>31034</v>
      </c>
      <c r="M3099" s="2" t="s">
        <v>16229</v>
      </c>
      <c r="N3099" s="3" t="s">
        <v>190</v>
      </c>
      <c r="P3099" s="3" t="s">
        <v>102</v>
      </c>
      <c r="R3099" s="3" t="s">
        <v>70</v>
      </c>
      <c r="S3099" s="4">
        <v>1</v>
      </c>
      <c r="T3099" s="4">
        <v>1</v>
      </c>
      <c r="U3099" s="5" t="s">
        <v>1252</v>
      </c>
      <c r="V3099" s="5" t="s">
        <v>1252</v>
      </c>
      <c r="W3099" s="5" t="s">
        <v>72</v>
      </c>
      <c r="X3099" s="5" t="s">
        <v>72</v>
      </c>
      <c r="Y3099" s="4">
        <v>248</v>
      </c>
      <c r="Z3099" s="4">
        <v>4</v>
      </c>
      <c r="AA3099" s="4">
        <v>5</v>
      </c>
      <c r="AB3099" s="4">
        <v>1</v>
      </c>
      <c r="AC3099" s="4">
        <v>2</v>
      </c>
      <c r="AD3099" s="4">
        <v>21</v>
      </c>
      <c r="AE3099" s="4">
        <v>22</v>
      </c>
      <c r="AF3099" s="4">
        <v>0</v>
      </c>
      <c r="AG3099" s="4">
        <v>1</v>
      </c>
      <c r="AH3099" s="4">
        <v>21</v>
      </c>
      <c r="AI3099" s="4">
        <v>21</v>
      </c>
      <c r="AJ3099" s="4">
        <v>2</v>
      </c>
      <c r="AK3099" s="4">
        <v>3</v>
      </c>
      <c r="AL3099" s="4">
        <v>9</v>
      </c>
      <c r="AM3099" s="4">
        <v>9</v>
      </c>
      <c r="AN3099" s="4">
        <v>0</v>
      </c>
      <c r="AO3099" s="4">
        <v>0</v>
      </c>
      <c r="AP3099" s="4">
        <v>2</v>
      </c>
      <c r="AQ3099" s="4">
        <v>2</v>
      </c>
      <c r="AR3099" s="3" t="s">
        <v>64</v>
      </c>
      <c r="AS3099" s="3" t="s">
        <v>64</v>
      </c>
      <c r="AT3099" s="3" t="s">
        <v>64</v>
      </c>
      <c r="AV3099" s="6" t="str">
        <f>HYPERLINK("http://mcgill.on.worldcat.org/oclc/1029772561","Catalog Record")</f>
        <v>Catalog Record</v>
      </c>
      <c r="AW3099" s="6" t="str">
        <f>HYPERLINK("http://www.worldcat.org/oclc/1029772561","WorldCat Record")</f>
        <v>WorldCat Record</v>
      </c>
      <c r="AX3099" s="3" t="s">
        <v>31045</v>
      </c>
      <c r="AY3099" s="3" t="s">
        <v>31046</v>
      </c>
      <c r="AZ3099" s="3" t="s">
        <v>31047</v>
      </c>
      <c r="BA3099" s="3" t="s">
        <v>31047</v>
      </c>
      <c r="BB3099" s="3" t="s">
        <v>31048</v>
      </c>
      <c r="BC3099" s="3" t="s">
        <v>77</v>
      </c>
      <c r="BD3099" s="3" t="s">
        <v>78</v>
      </c>
      <c r="BE3099" s="3" t="s">
        <v>31049</v>
      </c>
      <c r="BF3099" s="3" t="s">
        <v>31048</v>
      </c>
      <c r="BG3099" s="3" t="s">
        <v>31050</v>
      </c>
      <c r="BH3099">
        <f t="shared" si="75"/>
        <v>0</v>
      </c>
    </row>
    <row r="3100" spans="1:60" ht="58" x14ac:dyDescent="0.35">
      <c r="A3100" s="2" t="s">
        <v>59</v>
      </c>
      <c r="B3100" s="2" t="s">
        <v>60</v>
      </c>
      <c r="C3100" s="2" t="s">
        <v>31051</v>
      </c>
      <c r="D3100" s="2" t="s">
        <v>31052</v>
      </c>
      <c r="E3100" s="2" t="s">
        <v>31053</v>
      </c>
      <c r="G3100" s="3" t="s">
        <v>64</v>
      </c>
      <c r="I3100" s="3" t="s">
        <v>64</v>
      </c>
      <c r="J3100" s="3" t="s">
        <v>64</v>
      </c>
      <c r="K3100" s="3" t="s">
        <v>65</v>
      </c>
      <c r="L3100" s="2" t="s">
        <v>31034</v>
      </c>
      <c r="M3100" s="2" t="s">
        <v>31054</v>
      </c>
      <c r="N3100" s="3" t="s">
        <v>253</v>
      </c>
      <c r="P3100" s="3" t="s">
        <v>102</v>
      </c>
      <c r="R3100" s="3" t="s">
        <v>70</v>
      </c>
      <c r="S3100" s="4">
        <v>2</v>
      </c>
      <c r="T3100" s="4">
        <v>2</v>
      </c>
      <c r="U3100" s="5" t="s">
        <v>31055</v>
      </c>
      <c r="V3100" s="5" t="s">
        <v>31055</v>
      </c>
      <c r="W3100" s="5" t="s">
        <v>72</v>
      </c>
      <c r="X3100" s="5" t="s">
        <v>72</v>
      </c>
      <c r="Y3100" s="4">
        <v>550</v>
      </c>
      <c r="Z3100" s="4">
        <v>16</v>
      </c>
      <c r="AA3100" s="4">
        <v>17</v>
      </c>
      <c r="AB3100" s="4">
        <v>2</v>
      </c>
      <c r="AC3100" s="4">
        <v>3</v>
      </c>
      <c r="AD3100" s="4">
        <v>38</v>
      </c>
      <c r="AE3100" s="4">
        <v>38</v>
      </c>
      <c r="AF3100" s="4">
        <v>0</v>
      </c>
      <c r="AG3100" s="4">
        <v>0</v>
      </c>
      <c r="AH3100" s="4">
        <v>38</v>
      </c>
      <c r="AI3100" s="4">
        <v>38</v>
      </c>
      <c r="AJ3100" s="4">
        <v>1</v>
      </c>
      <c r="AK3100" s="4">
        <v>1</v>
      </c>
      <c r="AL3100" s="4">
        <v>17</v>
      </c>
      <c r="AM3100" s="4">
        <v>17</v>
      </c>
      <c r="AN3100" s="4">
        <v>0</v>
      </c>
      <c r="AO3100" s="4">
        <v>0</v>
      </c>
      <c r="AP3100" s="4">
        <v>1</v>
      </c>
      <c r="AQ3100" s="4">
        <v>1</v>
      </c>
      <c r="AR3100" s="3" t="s">
        <v>64</v>
      </c>
      <c r="AS3100" s="3" t="s">
        <v>64</v>
      </c>
      <c r="AT3100" s="3" t="s">
        <v>64</v>
      </c>
      <c r="AV3100" s="6" t="str">
        <f>HYPERLINK("http://mcgill.on.worldcat.org/oclc/903473734","Catalog Record")</f>
        <v>Catalog Record</v>
      </c>
      <c r="AW3100" s="6" t="str">
        <f>HYPERLINK("http://www.worldcat.org/oclc/903473734","WorldCat Record")</f>
        <v>WorldCat Record</v>
      </c>
      <c r="AX3100" s="3" t="s">
        <v>31056</v>
      </c>
      <c r="AY3100" s="3" t="s">
        <v>31057</v>
      </c>
      <c r="AZ3100" s="3" t="s">
        <v>31058</v>
      </c>
      <c r="BA3100" s="3" t="s">
        <v>31058</v>
      </c>
      <c r="BB3100" s="3" t="s">
        <v>31059</v>
      </c>
      <c r="BC3100" s="3" t="s">
        <v>77</v>
      </c>
      <c r="BD3100" s="3" t="s">
        <v>78</v>
      </c>
      <c r="BE3100" s="3" t="s">
        <v>31060</v>
      </c>
      <c r="BF3100" s="3" t="s">
        <v>31059</v>
      </c>
      <c r="BG3100" s="3" t="s">
        <v>31061</v>
      </c>
      <c r="BH3100">
        <f t="shared" si="75"/>
        <v>0</v>
      </c>
    </row>
    <row r="3101" spans="1:60" ht="58" x14ac:dyDescent="0.35">
      <c r="A3101" s="2" t="s">
        <v>59</v>
      </c>
      <c r="B3101" s="2" t="s">
        <v>60</v>
      </c>
      <c r="C3101" s="2" t="s">
        <v>31062</v>
      </c>
      <c r="D3101" s="2" t="s">
        <v>31063</v>
      </c>
      <c r="E3101" s="2" t="s">
        <v>31064</v>
      </c>
      <c r="G3101" s="3" t="s">
        <v>64</v>
      </c>
      <c r="I3101" s="3" t="s">
        <v>64</v>
      </c>
      <c r="J3101" s="3" t="s">
        <v>64</v>
      </c>
      <c r="K3101" s="3" t="s">
        <v>65</v>
      </c>
      <c r="L3101" s="2" t="s">
        <v>31065</v>
      </c>
      <c r="M3101" s="2" t="s">
        <v>31066</v>
      </c>
      <c r="N3101" s="3" t="s">
        <v>67</v>
      </c>
      <c r="P3101" s="3" t="s">
        <v>102</v>
      </c>
      <c r="Q3101" s="2" t="s">
        <v>17049</v>
      </c>
      <c r="R3101" s="3" t="s">
        <v>70</v>
      </c>
      <c r="S3101" s="4">
        <v>2</v>
      </c>
      <c r="T3101" s="4">
        <v>2</v>
      </c>
      <c r="U3101" s="5" t="s">
        <v>31055</v>
      </c>
      <c r="V3101" s="5" t="s">
        <v>31055</v>
      </c>
      <c r="W3101" s="5" t="s">
        <v>72</v>
      </c>
      <c r="X3101" s="5" t="s">
        <v>72</v>
      </c>
      <c r="Y3101" s="4">
        <v>422</v>
      </c>
      <c r="Z3101" s="4">
        <v>12</v>
      </c>
      <c r="AA3101" s="4">
        <v>113</v>
      </c>
      <c r="AB3101" s="4">
        <v>1</v>
      </c>
      <c r="AC3101" s="4">
        <v>17</v>
      </c>
      <c r="AD3101" s="4">
        <v>46</v>
      </c>
      <c r="AE3101" s="4">
        <v>122</v>
      </c>
      <c r="AF3101" s="4">
        <v>0</v>
      </c>
      <c r="AG3101" s="4">
        <v>8</v>
      </c>
      <c r="AH3101" s="4">
        <v>45</v>
      </c>
      <c r="AI3101" s="4">
        <v>83</v>
      </c>
      <c r="AJ3101" s="4">
        <v>3</v>
      </c>
      <c r="AK3101" s="4">
        <v>21</v>
      </c>
      <c r="AL3101" s="4">
        <v>20</v>
      </c>
      <c r="AM3101" s="4">
        <v>42</v>
      </c>
      <c r="AN3101" s="4">
        <v>0</v>
      </c>
      <c r="AO3101" s="4">
        <v>0</v>
      </c>
      <c r="AP3101" s="4">
        <v>3</v>
      </c>
      <c r="AQ3101" s="4">
        <v>43</v>
      </c>
      <c r="AR3101" s="3" t="s">
        <v>64</v>
      </c>
      <c r="AS3101" s="3" t="s">
        <v>64</v>
      </c>
      <c r="AT3101" s="3" t="s">
        <v>64</v>
      </c>
      <c r="AV3101" s="6" t="str">
        <f>HYPERLINK("http://mcgill.on.worldcat.org/oclc/869065421","Catalog Record")</f>
        <v>Catalog Record</v>
      </c>
      <c r="AW3101" s="6" t="str">
        <f>HYPERLINK("http://www.worldcat.org/oclc/869065421","WorldCat Record")</f>
        <v>WorldCat Record</v>
      </c>
      <c r="AX3101" s="3" t="s">
        <v>31067</v>
      </c>
      <c r="AY3101" s="3" t="s">
        <v>31068</v>
      </c>
      <c r="AZ3101" s="3" t="s">
        <v>31069</v>
      </c>
      <c r="BA3101" s="3" t="s">
        <v>31069</v>
      </c>
      <c r="BB3101" s="3" t="s">
        <v>31070</v>
      </c>
      <c r="BC3101" s="3" t="s">
        <v>77</v>
      </c>
      <c r="BD3101" s="3" t="s">
        <v>78</v>
      </c>
      <c r="BE3101" s="3" t="s">
        <v>31071</v>
      </c>
      <c r="BF3101" s="3" t="s">
        <v>31070</v>
      </c>
      <c r="BG3101" s="3" t="s">
        <v>31072</v>
      </c>
      <c r="BH3101">
        <f t="shared" si="75"/>
        <v>0</v>
      </c>
    </row>
    <row r="3102" spans="1:60" ht="58" x14ac:dyDescent="0.35">
      <c r="A3102" s="2" t="s">
        <v>59</v>
      </c>
      <c r="B3102" s="2" t="s">
        <v>60</v>
      </c>
      <c r="C3102" s="2" t="s">
        <v>31073</v>
      </c>
      <c r="D3102" s="2" t="s">
        <v>31074</v>
      </c>
      <c r="E3102" s="2" t="s">
        <v>31075</v>
      </c>
      <c r="G3102" s="3" t="s">
        <v>64</v>
      </c>
      <c r="I3102" s="3" t="s">
        <v>64</v>
      </c>
      <c r="J3102" s="3" t="s">
        <v>64</v>
      </c>
      <c r="K3102" s="3" t="s">
        <v>65</v>
      </c>
      <c r="L3102" s="2" t="s">
        <v>31076</v>
      </c>
      <c r="M3102" s="2" t="s">
        <v>16229</v>
      </c>
      <c r="N3102" s="3" t="s">
        <v>190</v>
      </c>
      <c r="P3102" s="3" t="s">
        <v>102</v>
      </c>
      <c r="R3102" s="3" t="s">
        <v>70</v>
      </c>
      <c r="S3102" s="4">
        <v>0</v>
      </c>
      <c r="T3102" s="4">
        <v>0</v>
      </c>
      <c r="W3102" s="5" t="s">
        <v>72</v>
      </c>
      <c r="X3102" s="5" t="s">
        <v>72</v>
      </c>
      <c r="Y3102" s="4">
        <v>233</v>
      </c>
      <c r="Z3102" s="4">
        <v>5</v>
      </c>
      <c r="AA3102" s="4">
        <v>5</v>
      </c>
      <c r="AB3102" s="4">
        <v>1</v>
      </c>
      <c r="AC3102" s="4">
        <v>1</v>
      </c>
      <c r="AD3102" s="4">
        <v>21</v>
      </c>
      <c r="AE3102" s="4">
        <v>21</v>
      </c>
      <c r="AF3102" s="4">
        <v>0</v>
      </c>
      <c r="AG3102" s="4">
        <v>0</v>
      </c>
      <c r="AH3102" s="4">
        <v>21</v>
      </c>
      <c r="AI3102" s="4">
        <v>21</v>
      </c>
      <c r="AJ3102" s="4">
        <v>1</v>
      </c>
      <c r="AK3102" s="4">
        <v>1</v>
      </c>
      <c r="AL3102" s="4">
        <v>10</v>
      </c>
      <c r="AM3102" s="4">
        <v>10</v>
      </c>
      <c r="AN3102" s="4">
        <v>0</v>
      </c>
      <c r="AO3102" s="4">
        <v>0</v>
      </c>
      <c r="AP3102" s="4">
        <v>1</v>
      </c>
      <c r="AQ3102" s="4">
        <v>1</v>
      </c>
      <c r="AR3102" s="3" t="s">
        <v>64</v>
      </c>
      <c r="AS3102" s="3" t="s">
        <v>64</v>
      </c>
      <c r="AT3102" s="3" t="s">
        <v>64</v>
      </c>
      <c r="AV3102" s="6" t="str">
        <f>HYPERLINK("http://mcgill.on.worldcat.org/oclc/1031341802","Catalog Record")</f>
        <v>Catalog Record</v>
      </c>
      <c r="AW3102" s="6" t="str">
        <f>HYPERLINK("http://www.worldcat.org/oclc/1031341802","WorldCat Record")</f>
        <v>WorldCat Record</v>
      </c>
      <c r="AX3102" s="3" t="s">
        <v>31077</v>
      </c>
      <c r="AY3102" s="3" t="s">
        <v>31078</v>
      </c>
      <c r="AZ3102" s="3" t="s">
        <v>31079</v>
      </c>
      <c r="BA3102" s="3" t="s">
        <v>31079</v>
      </c>
      <c r="BB3102" s="3" t="s">
        <v>31080</v>
      </c>
      <c r="BC3102" s="3" t="s">
        <v>77</v>
      </c>
      <c r="BD3102" s="3" t="s">
        <v>78</v>
      </c>
      <c r="BE3102" s="3" t="s">
        <v>31081</v>
      </c>
      <c r="BF3102" s="3" t="s">
        <v>31080</v>
      </c>
      <c r="BG3102" s="3" t="s">
        <v>31082</v>
      </c>
      <c r="BH3102">
        <f t="shared" si="75"/>
        <v>0</v>
      </c>
    </row>
    <row r="3103" spans="1:60" ht="58" x14ac:dyDescent="0.35">
      <c r="A3103" s="2" t="s">
        <v>59</v>
      </c>
      <c r="B3103" s="2" t="s">
        <v>60</v>
      </c>
      <c r="C3103" s="2" t="s">
        <v>31083</v>
      </c>
      <c r="D3103" s="2" t="s">
        <v>31084</v>
      </c>
      <c r="E3103" s="2" t="s">
        <v>31085</v>
      </c>
      <c r="G3103" s="3" t="s">
        <v>64</v>
      </c>
      <c r="I3103" s="3" t="s">
        <v>64</v>
      </c>
      <c r="J3103" s="3" t="s">
        <v>64</v>
      </c>
      <c r="K3103" s="3" t="s">
        <v>65</v>
      </c>
      <c r="L3103" s="2" t="s">
        <v>31086</v>
      </c>
      <c r="M3103" s="2" t="s">
        <v>18943</v>
      </c>
      <c r="N3103" s="3" t="s">
        <v>551</v>
      </c>
      <c r="P3103" s="3" t="s">
        <v>102</v>
      </c>
      <c r="R3103" s="3" t="s">
        <v>70</v>
      </c>
      <c r="S3103" s="4">
        <v>5</v>
      </c>
      <c r="T3103" s="4">
        <v>5</v>
      </c>
      <c r="U3103" s="5" t="s">
        <v>31087</v>
      </c>
      <c r="V3103" s="5" t="s">
        <v>31087</v>
      </c>
      <c r="W3103" s="5" t="s">
        <v>72</v>
      </c>
      <c r="X3103" s="5" t="s">
        <v>72</v>
      </c>
      <c r="Y3103" s="4">
        <v>589</v>
      </c>
      <c r="Z3103" s="4">
        <v>23</v>
      </c>
      <c r="AA3103" s="4">
        <v>105</v>
      </c>
      <c r="AB3103" s="4">
        <v>3</v>
      </c>
      <c r="AC3103" s="4">
        <v>19</v>
      </c>
      <c r="AD3103" s="4">
        <v>54</v>
      </c>
      <c r="AE3103" s="4">
        <v>105</v>
      </c>
      <c r="AF3103" s="4">
        <v>0</v>
      </c>
      <c r="AG3103" s="4">
        <v>8</v>
      </c>
      <c r="AH3103" s="4">
        <v>53</v>
      </c>
      <c r="AI3103" s="4">
        <v>73</v>
      </c>
      <c r="AJ3103" s="4">
        <v>6</v>
      </c>
      <c r="AK3103" s="4">
        <v>18</v>
      </c>
      <c r="AL3103" s="4">
        <v>25</v>
      </c>
      <c r="AM3103" s="4">
        <v>37</v>
      </c>
      <c r="AN3103" s="4">
        <v>0</v>
      </c>
      <c r="AO3103" s="4">
        <v>0</v>
      </c>
      <c r="AP3103" s="4">
        <v>6</v>
      </c>
      <c r="AQ3103" s="4">
        <v>39</v>
      </c>
      <c r="AR3103" s="3" t="s">
        <v>64</v>
      </c>
      <c r="AS3103" s="3" t="s">
        <v>64</v>
      </c>
      <c r="AT3103" s="3" t="s">
        <v>64</v>
      </c>
      <c r="AV3103" s="6" t="str">
        <f>HYPERLINK("http://mcgill.on.worldcat.org/oclc/291193183","Catalog Record")</f>
        <v>Catalog Record</v>
      </c>
      <c r="AW3103" s="6" t="str">
        <f>HYPERLINK("http://www.worldcat.org/oclc/291193183","WorldCat Record")</f>
        <v>WorldCat Record</v>
      </c>
      <c r="AX3103" s="3" t="s">
        <v>31088</v>
      </c>
      <c r="AY3103" s="3" t="s">
        <v>31089</v>
      </c>
      <c r="AZ3103" s="3" t="s">
        <v>31090</v>
      </c>
      <c r="BA3103" s="3" t="s">
        <v>31090</v>
      </c>
      <c r="BB3103" s="3" t="s">
        <v>31091</v>
      </c>
      <c r="BC3103" s="3" t="s">
        <v>77</v>
      </c>
      <c r="BD3103" s="3" t="s">
        <v>78</v>
      </c>
      <c r="BE3103" s="3" t="s">
        <v>31092</v>
      </c>
      <c r="BF3103" s="3" t="s">
        <v>31091</v>
      </c>
      <c r="BG3103" s="3" t="s">
        <v>31093</v>
      </c>
      <c r="BH3103">
        <f t="shared" si="75"/>
        <v>0</v>
      </c>
    </row>
    <row r="3104" spans="1:60" ht="58" x14ac:dyDescent="0.35">
      <c r="A3104" s="2" t="s">
        <v>59</v>
      </c>
      <c r="B3104" s="2" t="s">
        <v>60</v>
      </c>
      <c r="C3104" s="2" t="s">
        <v>31094</v>
      </c>
      <c r="D3104" s="2" t="s">
        <v>31095</v>
      </c>
      <c r="E3104" s="2" t="s">
        <v>31096</v>
      </c>
      <c r="G3104" s="3" t="s">
        <v>64</v>
      </c>
      <c r="I3104" s="3" t="s">
        <v>64</v>
      </c>
      <c r="J3104" s="3" t="s">
        <v>64</v>
      </c>
      <c r="K3104" s="3" t="s">
        <v>65</v>
      </c>
      <c r="L3104" s="2" t="s">
        <v>31097</v>
      </c>
      <c r="M3104" s="2" t="s">
        <v>21041</v>
      </c>
      <c r="N3104" s="3" t="s">
        <v>1492</v>
      </c>
      <c r="P3104" s="3" t="s">
        <v>102</v>
      </c>
      <c r="R3104" s="3" t="s">
        <v>70</v>
      </c>
      <c r="S3104" s="4">
        <v>3</v>
      </c>
      <c r="T3104" s="4">
        <v>3</v>
      </c>
      <c r="U3104" s="5" t="s">
        <v>13876</v>
      </c>
      <c r="V3104" s="5" t="s">
        <v>13876</v>
      </c>
      <c r="W3104" s="5" t="s">
        <v>72</v>
      </c>
      <c r="X3104" s="5" t="s">
        <v>72</v>
      </c>
      <c r="Y3104" s="4">
        <v>400</v>
      </c>
      <c r="Z3104" s="4">
        <v>8</v>
      </c>
      <c r="AA3104" s="4">
        <v>14</v>
      </c>
      <c r="AB3104" s="4">
        <v>1</v>
      </c>
      <c r="AC3104" s="4">
        <v>6</v>
      </c>
      <c r="AD3104" s="4">
        <v>38</v>
      </c>
      <c r="AE3104" s="4">
        <v>45</v>
      </c>
      <c r="AF3104" s="4">
        <v>0</v>
      </c>
      <c r="AG3104" s="4">
        <v>3</v>
      </c>
      <c r="AH3104" s="4">
        <v>37</v>
      </c>
      <c r="AI3104" s="4">
        <v>41</v>
      </c>
      <c r="AJ3104" s="4">
        <v>4</v>
      </c>
      <c r="AK3104" s="4">
        <v>7</v>
      </c>
      <c r="AL3104" s="4">
        <v>16</v>
      </c>
      <c r="AM3104" s="4">
        <v>19</v>
      </c>
      <c r="AN3104" s="4">
        <v>0</v>
      </c>
      <c r="AO3104" s="4">
        <v>0</v>
      </c>
      <c r="AP3104" s="4">
        <v>4</v>
      </c>
      <c r="AQ3104" s="4">
        <v>6</v>
      </c>
      <c r="AR3104" s="3" t="s">
        <v>64</v>
      </c>
      <c r="AS3104" s="3" t="s">
        <v>64</v>
      </c>
      <c r="AT3104" s="3" t="s">
        <v>64</v>
      </c>
      <c r="AV3104" s="6" t="str">
        <f>HYPERLINK("http://mcgill.on.worldcat.org/oclc/1048055133","Catalog Record")</f>
        <v>Catalog Record</v>
      </c>
      <c r="AW3104" s="6" t="str">
        <f>HYPERLINK("http://www.worldcat.org/oclc/1048055133","WorldCat Record")</f>
        <v>WorldCat Record</v>
      </c>
      <c r="AX3104" s="3" t="s">
        <v>31098</v>
      </c>
      <c r="AY3104" s="3" t="s">
        <v>31099</v>
      </c>
      <c r="AZ3104" s="3" t="s">
        <v>31100</v>
      </c>
      <c r="BA3104" s="3" t="s">
        <v>31100</v>
      </c>
      <c r="BB3104" s="3" t="s">
        <v>31101</v>
      </c>
      <c r="BC3104" s="3" t="s">
        <v>77</v>
      </c>
      <c r="BD3104" s="3" t="s">
        <v>78</v>
      </c>
      <c r="BE3104" s="3" t="s">
        <v>31102</v>
      </c>
      <c r="BF3104" s="3" t="s">
        <v>31101</v>
      </c>
      <c r="BG3104" s="3" t="s">
        <v>31103</v>
      </c>
      <c r="BH3104">
        <f t="shared" si="75"/>
        <v>0</v>
      </c>
    </row>
    <row r="3105" spans="1:60" ht="58" x14ac:dyDescent="0.35">
      <c r="A3105" s="2" t="s">
        <v>59</v>
      </c>
      <c r="B3105" s="2" t="s">
        <v>60</v>
      </c>
      <c r="C3105" s="2" t="s">
        <v>31104</v>
      </c>
      <c r="D3105" s="2" t="s">
        <v>31105</v>
      </c>
      <c r="E3105" s="2" t="s">
        <v>31106</v>
      </c>
      <c r="G3105" s="3" t="s">
        <v>64</v>
      </c>
      <c r="I3105" s="3" t="s">
        <v>64</v>
      </c>
      <c r="J3105" s="3" t="s">
        <v>64</v>
      </c>
      <c r="K3105" s="3" t="s">
        <v>65</v>
      </c>
      <c r="L3105" s="2" t="s">
        <v>31107</v>
      </c>
      <c r="M3105" s="2" t="s">
        <v>14972</v>
      </c>
      <c r="N3105" s="3" t="s">
        <v>511</v>
      </c>
      <c r="P3105" s="3" t="s">
        <v>102</v>
      </c>
      <c r="R3105" s="3" t="s">
        <v>70</v>
      </c>
      <c r="S3105" s="4">
        <v>7</v>
      </c>
      <c r="T3105" s="4">
        <v>7</v>
      </c>
      <c r="U3105" s="5" t="s">
        <v>1786</v>
      </c>
      <c r="V3105" s="5" t="s">
        <v>1786</v>
      </c>
      <c r="W3105" s="5" t="s">
        <v>72</v>
      </c>
      <c r="X3105" s="5" t="s">
        <v>72</v>
      </c>
      <c r="Y3105" s="4">
        <v>283</v>
      </c>
      <c r="Z3105" s="4">
        <v>23</v>
      </c>
      <c r="AA3105" s="4">
        <v>108</v>
      </c>
      <c r="AB3105" s="4">
        <v>2</v>
      </c>
      <c r="AC3105" s="4">
        <v>18</v>
      </c>
      <c r="AD3105" s="4">
        <v>37</v>
      </c>
      <c r="AE3105" s="4">
        <v>106</v>
      </c>
      <c r="AF3105" s="4">
        <v>0</v>
      </c>
      <c r="AG3105" s="4">
        <v>8</v>
      </c>
      <c r="AH3105" s="4">
        <v>34</v>
      </c>
      <c r="AI3105" s="4">
        <v>73</v>
      </c>
      <c r="AJ3105" s="4">
        <v>7</v>
      </c>
      <c r="AK3105" s="4">
        <v>17</v>
      </c>
      <c r="AL3105" s="4">
        <v>19</v>
      </c>
      <c r="AM3105" s="4">
        <v>36</v>
      </c>
      <c r="AN3105" s="4">
        <v>0</v>
      </c>
      <c r="AO3105" s="4">
        <v>0</v>
      </c>
      <c r="AP3105" s="4">
        <v>8</v>
      </c>
      <c r="AQ3105" s="4">
        <v>39</v>
      </c>
      <c r="AR3105" s="3" t="s">
        <v>64</v>
      </c>
      <c r="AS3105" s="3" t="s">
        <v>64</v>
      </c>
      <c r="AT3105" s="3" t="s">
        <v>64</v>
      </c>
      <c r="AV3105" s="6" t="str">
        <f>HYPERLINK("http://mcgill.on.worldcat.org/oclc/580105269","Catalog Record")</f>
        <v>Catalog Record</v>
      </c>
      <c r="AW3105" s="6" t="str">
        <f>HYPERLINK("http://www.worldcat.org/oclc/580105269","WorldCat Record")</f>
        <v>WorldCat Record</v>
      </c>
      <c r="AX3105" s="3" t="s">
        <v>31108</v>
      </c>
      <c r="AY3105" s="3" t="s">
        <v>31109</v>
      </c>
      <c r="AZ3105" s="3" t="s">
        <v>31110</v>
      </c>
      <c r="BA3105" s="3" t="s">
        <v>31110</v>
      </c>
      <c r="BB3105" s="3" t="s">
        <v>31111</v>
      </c>
      <c r="BC3105" s="3" t="s">
        <v>77</v>
      </c>
      <c r="BD3105" s="3" t="s">
        <v>165</v>
      </c>
      <c r="BE3105" s="3" t="s">
        <v>31112</v>
      </c>
      <c r="BF3105" s="3" t="s">
        <v>31111</v>
      </c>
      <c r="BG3105" s="3" t="s">
        <v>31113</v>
      </c>
      <c r="BH3105">
        <f t="shared" si="75"/>
        <v>0</v>
      </c>
    </row>
    <row r="3106" spans="1:60" ht="58" x14ac:dyDescent="0.35">
      <c r="A3106" s="2" t="s">
        <v>59</v>
      </c>
      <c r="B3106" s="2" t="s">
        <v>60</v>
      </c>
      <c r="C3106" s="2" t="s">
        <v>31114</v>
      </c>
      <c r="D3106" s="2" t="s">
        <v>31115</v>
      </c>
      <c r="E3106" s="2" t="s">
        <v>31116</v>
      </c>
      <c r="G3106" s="3" t="s">
        <v>64</v>
      </c>
      <c r="I3106" s="3" t="s">
        <v>64</v>
      </c>
      <c r="J3106" s="3" t="s">
        <v>64</v>
      </c>
      <c r="K3106" s="3" t="s">
        <v>65</v>
      </c>
      <c r="M3106" s="2" t="s">
        <v>31117</v>
      </c>
      <c r="N3106" s="3" t="s">
        <v>253</v>
      </c>
      <c r="P3106" s="3" t="s">
        <v>102</v>
      </c>
      <c r="R3106" s="3" t="s">
        <v>70</v>
      </c>
      <c r="S3106" s="4">
        <v>0</v>
      </c>
      <c r="T3106" s="4">
        <v>0</v>
      </c>
      <c r="W3106" s="5" t="s">
        <v>72</v>
      </c>
      <c r="X3106" s="5" t="s">
        <v>72</v>
      </c>
      <c r="Y3106" s="4">
        <v>26</v>
      </c>
      <c r="Z3106" s="4">
        <v>4</v>
      </c>
      <c r="AA3106" s="4">
        <v>68</v>
      </c>
      <c r="AB3106" s="4">
        <v>1</v>
      </c>
      <c r="AC3106" s="4">
        <v>14</v>
      </c>
      <c r="AD3106" s="4">
        <v>11</v>
      </c>
      <c r="AE3106" s="4">
        <v>80</v>
      </c>
      <c r="AF3106" s="4">
        <v>0</v>
      </c>
      <c r="AG3106" s="4">
        <v>8</v>
      </c>
      <c r="AH3106" s="4">
        <v>11</v>
      </c>
      <c r="AI3106" s="4">
        <v>50</v>
      </c>
      <c r="AJ3106" s="4">
        <v>2</v>
      </c>
      <c r="AK3106" s="4">
        <v>16</v>
      </c>
      <c r="AL3106" s="4">
        <v>5</v>
      </c>
      <c r="AM3106" s="4">
        <v>24</v>
      </c>
      <c r="AN3106" s="4">
        <v>0</v>
      </c>
      <c r="AO3106" s="4">
        <v>0</v>
      </c>
      <c r="AP3106" s="4">
        <v>2</v>
      </c>
      <c r="AQ3106" s="4">
        <v>35</v>
      </c>
      <c r="AR3106" s="3" t="s">
        <v>64</v>
      </c>
      <c r="AS3106" s="3" t="s">
        <v>64</v>
      </c>
      <c r="AT3106" s="3" t="s">
        <v>64</v>
      </c>
      <c r="AV3106" s="6" t="str">
        <f>HYPERLINK("http://mcgill.on.worldcat.org/oclc/911092043","Catalog Record")</f>
        <v>Catalog Record</v>
      </c>
      <c r="AW3106" s="6" t="str">
        <f>HYPERLINK("http://www.worldcat.org/oclc/911092043","WorldCat Record")</f>
        <v>WorldCat Record</v>
      </c>
      <c r="AX3106" s="3" t="s">
        <v>31118</v>
      </c>
      <c r="AY3106" s="3" t="s">
        <v>31119</v>
      </c>
      <c r="AZ3106" s="3" t="s">
        <v>31120</v>
      </c>
      <c r="BA3106" s="3" t="s">
        <v>31120</v>
      </c>
      <c r="BB3106" s="3" t="s">
        <v>31121</v>
      </c>
      <c r="BC3106" s="3" t="s">
        <v>77</v>
      </c>
      <c r="BD3106" s="3" t="s">
        <v>78</v>
      </c>
      <c r="BE3106" s="3" t="s">
        <v>31122</v>
      </c>
      <c r="BF3106" s="3" t="s">
        <v>31121</v>
      </c>
      <c r="BG3106" s="3" t="s">
        <v>31123</v>
      </c>
      <c r="BH3106">
        <f t="shared" si="75"/>
        <v>0</v>
      </c>
    </row>
    <row r="3107" spans="1:60" ht="58" x14ac:dyDescent="0.35">
      <c r="A3107" s="2" t="s">
        <v>59</v>
      </c>
      <c r="B3107" s="2" t="s">
        <v>60</v>
      </c>
      <c r="C3107" s="2" t="s">
        <v>31124</v>
      </c>
      <c r="D3107" s="2" t="s">
        <v>31125</v>
      </c>
      <c r="E3107" s="2" t="s">
        <v>31126</v>
      </c>
      <c r="G3107" s="3" t="s">
        <v>64</v>
      </c>
      <c r="I3107" s="3" t="s">
        <v>64</v>
      </c>
      <c r="J3107" s="3" t="s">
        <v>64</v>
      </c>
      <c r="K3107" s="3" t="s">
        <v>65</v>
      </c>
      <c r="M3107" s="2" t="s">
        <v>17465</v>
      </c>
      <c r="N3107" s="3" t="s">
        <v>190</v>
      </c>
      <c r="P3107" s="3" t="s">
        <v>102</v>
      </c>
      <c r="R3107" s="3" t="s">
        <v>70</v>
      </c>
      <c r="S3107" s="4">
        <v>3</v>
      </c>
      <c r="T3107" s="4">
        <v>3</v>
      </c>
      <c r="U3107" s="5" t="s">
        <v>31127</v>
      </c>
      <c r="V3107" s="5" t="s">
        <v>31127</v>
      </c>
      <c r="W3107" s="5" t="s">
        <v>72</v>
      </c>
      <c r="X3107" s="5" t="s">
        <v>72</v>
      </c>
      <c r="Y3107" s="4">
        <v>342</v>
      </c>
      <c r="Z3107" s="4">
        <v>5</v>
      </c>
      <c r="AA3107" s="4">
        <v>71</v>
      </c>
      <c r="AB3107" s="4">
        <v>1</v>
      </c>
      <c r="AC3107" s="4">
        <v>14</v>
      </c>
      <c r="AD3107" s="4">
        <v>31</v>
      </c>
      <c r="AE3107" s="4">
        <v>88</v>
      </c>
      <c r="AF3107" s="4">
        <v>0</v>
      </c>
      <c r="AG3107" s="4">
        <v>8</v>
      </c>
      <c r="AH3107" s="4">
        <v>31</v>
      </c>
      <c r="AI3107" s="4">
        <v>59</v>
      </c>
      <c r="AJ3107" s="4">
        <v>0</v>
      </c>
      <c r="AK3107" s="4">
        <v>15</v>
      </c>
      <c r="AL3107" s="4">
        <v>15</v>
      </c>
      <c r="AM3107" s="4">
        <v>28</v>
      </c>
      <c r="AN3107" s="4">
        <v>0</v>
      </c>
      <c r="AO3107" s="4">
        <v>0</v>
      </c>
      <c r="AP3107" s="4">
        <v>0</v>
      </c>
      <c r="AQ3107" s="4">
        <v>34</v>
      </c>
      <c r="AR3107" s="3" t="s">
        <v>64</v>
      </c>
      <c r="AS3107" s="3" t="s">
        <v>64</v>
      </c>
      <c r="AT3107" s="3" t="s">
        <v>64</v>
      </c>
      <c r="AV3107" s="6" t="str">
        <f>HYPERLINK("http://mcgill.on.worldcat.org/oclc/992688942","Catalog Record")</f>
        <v>Catalog Record</v>
      </c>
      <c r="AW3107" s="6" t="str">
        <f>HYPERLINK("http://www.worldcat.org/oclc/992688942","WorldCat Record")</f>
        <v>WorldCat Record</v>
      </c>
      <c r="AX3107" s="3" t="s">
        <v>31128</v>
      </c>
      <c r="AY3107" s="3" t="s">
        <v>31129</v>
      </c>
      <c r="AZ3107" s="3" t="s">
        <v>31130</v>
      </c>
      <c r="BA3107" s="3" t="s">
        <v>31130</v>
      </c>
      <c r="BB3107" s="3" t="s">
        <v>31131</v>
      </c>
      <c r="BC3107" s="3" t="s">
        <v>77</v>
      </c>
      <c r="BD3107" s="3" t="s">
        <v>78</v>
      </c>
      <c r="BE3107" s="3" t="s">
        <v>31132</v>
      </c>
      <c r="BF3107" s="3" t="s">
        <v>31131</v>
      </c>
      <c r="BG3107" s="3" t="s">
        <v>31133</v>
      </c>
      <c r="BH3107">
        <f t="shared" si="75"/>
        <v>0</v>
      </c>
    </row>
    <row r="3108" spans="1:60" ht="58" x14ac:dyDescent="0.35">
      <c r="A3108" s="2" t="s">
        <v>59</v>
      </c>
      <c r="B3108" s="2" t="s">
        <v>60</v>
      </c>
      <c r="C3108" s="2" t="s">
        <v>31134</v>
      </c>
      <c r="D3108" s="2" t="s">
        <v>31135</v>
      </c>
      <c r="E3108" s="2" t="s">
        <v>31136</v>
      </c>
      <c r="G3108" s="3" t="s">
        <v>64</v>
      </c>
      <c r="I3108" s="3" t="s">
        <v>64</v>
      </c>
      <c r="J3108" s="3" t="s">
        <v>64</v>
      </c>
      <c r="K3108" s="3" t="s">
        <v>65</v>
      </c>
      <c r="L3108" s="2" t="s">
        <v>31137</v>
      </c>
      <c r="M3108" s="2" t="s">
        <v>31138</v>
      </c>
      <c r="N3108" s="3" t="s">
        <v>190</v>
      </c>
      <c r="P3108" s="3" t="s">
        <v>102</v>
      </c>
      <c r="R3108" s="3" t="s">
        <v>70</v>
      </c>
      <c r="S3108" s="4">
        <v>1</v>
      </c>
      <c r="T3108" s="4">
        <v>1</v>
      </c>
      <c r="W3108" s="5" t="s">
        <v>72</v>
      </c>
      <c r="X3108" s="5" t="s">
        <v>72</v>
      </c>
      <c r="Y3108" s="4">
        <v>281</v>
      </c>
      <c r="Z3108" s="4">
        <v>8</v>
      </c>
      <c r="AA3108" s="4">
        <v>70</v>
      </c>
      <c r="AB3108" s="4">
        <v>1</v>
      </c>
      <c r="AC3108" s="4">
        <v>14</v>
      </c>
      <c r="AD3108" s="4">
        <v>49</v>
      </c>
      <c r="AE3108" s="4">
        <v>99</v>
      </c>
      <c r="AF3108" s="4">
        <v>0</v>
      </c>
      <c r="AG3108" s="4">
        <v>8</v>
      </c>
      <c r="AH3108" s="4">
        <v>46</v>
      </c>
      <c r="AI3108" s="4">
        <v>69</v>
      </c>
      <c r="AJ3108" s="4">
        <v>4</v>
      </c>
      <c r="AK3108" s="4">
        <v>16</v>
      </c>
      <c r="AL3108" s="4">
        <v>24</v>
      </c>
      <c r="AM3108" s="4">
        <v>36</v>
      </c>
      <c r="AN3108" s="4">
        <v>0</v>
      </c>
      <c r="AO3108" s="4">
        <v>0</v>
      </c>
      <c r="AP3108" s="4">
        <v>5</v>
      </c>
      <c r="AQ3108" s="4">
        <v>35</v>
      </c>
      <c r="AR3108" s="3" t="s">
        <v>64</v>
      </c>
      <c r="AS3108" s="3" t="s">
        <v>64</v>
      </c>
      <c r="AT3108" s="3" t="s">
        <v>64</v>
      </c>
      <c r="AV3108" s="6" t="str">
        <f>HYPERLINK("http://mcgill.on.worldcat.org/oclc/1023861038","Catalog Record")</f>
        <v>Catalog Record</v>
      </c>
      <c r="AW3108" s="6" t="str">
        <f>HYPERLINK("http://www.worldcat.org/oclc/1023861038","WorldCat Record")</f>
        <v>WorldCat Record</v>
      </c>
      <c r="AX3108" s="3" t="s">
        <v>31139</v>
      </c>
      <c r="AY3108" s="3" t="s">
        <v>31140</v>
      </c>
      <c r="AZ3108" s="3" t="s">
        <v>31141</v>
      </c>
      <c r="BA3108" s="3" t="s">
        <v>31141</v>
      </c>
      <c r="BB3108" s="3" t="s">
        <v>31142</v>
      </c>
      <c r="BC3108" s="3" t="s">
        <v>77</v>
      </c>
      <c r="BD3108" s="3" t="s">
        <v>165</v>
      </c>
      <c r="BE3108" s="3" t="s">
        <v>31143</v>
      </c>
      <c r="BF3108" s="3" t="s">
        <v>31142</v>
      </c>
      <c r="BG3108" s="3" t="s">
        <v>31144</v>
      </c>
      <c r="BH3108">
        <f t="shared" si="75"/>
        <v>0</v>
      </c>
    </row>
    <row r="3109" spans="1:60" ht="58" x14ac:dyDescent="0.35">
      <c r="A3109" s="2" t="s">
        <v>59</v>
      </c>
      <c r="B3109" s="2" t="s">
        <v>60</v>
      </c>
      <c r="C3109" s="2" t="s">
        <v>31145</v>
      </c>
      <c r="D3109" s="2" t="s">
        <v>31146</v>
      </c>
      <c r="E3109" s="2" t="s">
        <v>31147</v>
      </c>
      <c r="G3109" s="3" t="s">
        <v>64</v>
      </c>
      <c r="I3109" s="3" t="s">
        <v>64</v>
      </c>
      <c r="J3109" s="3" t="s">
        <v>64</v>
      </c>
      <c r="K3109" s="3" t="s">
        <v>65</v>
      </c>
      <c r="L3109" s="2" t="s">
        <v>31148</v>
      </c>
      <c r="M3109" s="2" t="s">
        <v>1213</v>
      </c>
      <c r="N3109" s="3" t="s">
        <v>1075</v>
      </c>
      <c r="P3109" s="3" t="s">
        <v>102</v>
      </c>
      <c r="R3109" s="3" t="s">
        <v>70</v>
      </c>
      <c r="S3109" s="4">
        <v>2</v>
      </c>
      <c r="T3109" s="4">
        <v>2</v>
      </c>
      <c r="U3109" s="5" t="s">
        <v>2035</v>
      </c>
      <c r="V3109" s="5" t="s">
        <v>2035</v>
      </c>
      <c r="W3109" s="5" t="s">
        <v>72</v>
      </c>
      <c r="X3109" s="5" t="s">
        <v>72</v>
      </c>
      <c r="Y3109" s="4">
        <v>72</v>
      </c>
      <c r="Z3109" s="4">
        <v>9</v>
      </c>
      <c r="AA3109" s="4">
        <v>25</v>
      </c>
      <c r="AB3109" s="4">
        <v>1</v>
      </c>
      <c r="AC3109" s="4">
        <v>6</v>
      </c>
      <c r="AD3109" s="4">
        <v>23</v>
      </c>
      <c r="AE3109" s="4">
        <v>34</v>
      </c>
      <c r="AF3109" s="4">
        <v>0</v>
      </c>
      <c r="AG3109" s="4">
        <v>1</v>
      </c>
      <c r="AH3109" s="4">
        <v>21</v>
      </c>
      <c r="AI3109" s="4">
        <v>30</v>
      </c>
      <c r="AJ3109" s="4">
        <v>7</v>
      </c>
      <c r="AK3109" s="4">
        <v>9</v>
      </c>
      <c r="AL3109" s="4">
        <v>10</v>
      </c>
      <c r="AM3109" s="4">
        <v>14</v>
      </c>
      <c r="AN3109" s="4">
        <v>0</v>
      </c>
      <c r="AO3109" s="4">
        <v>0</v>
      </c>
      <c r="AP3109" s="4">
        <v>7</v>
      </c>
      <c r="AQ3109" s="4">
        <v>9</v>
      </c>
      <c r="AR3109" s="3" t="s">
        <v>64</v>
      </c>
      <c r="AS3109" s="3" t="s">
        <v>64</v>
      </c>
      <c r="AT3109" s="3" t="s">
        <v>64</v>
      </c>
      <c r="AV3109" s="6" t="str">
        <f>HYPERLINK("http://mcgill.on.worldcat.org/oclc/825557973","Catalog Record")</f>
        <v>Catalog Record</v>
      </c>
      <c r="AW3109" s="6" t="str">
        <f>HYPERLINK("http://www.worldcat.org/oclc/825557973","WorldCat Record")</f>
        <v>WorldCat Record</v>
      </c>
      <c r="AX3109" s="3" t="s">
        <v>31149</v>
      </c>
      <c r="AY3109" s="3" t="s">
        <v>31150</v>
      </c>
      <c r="AZ3109" s="3" t="s">
        <v>31151</v>
      </c>
      <c r="BA3109" s="3" t="s">
        <v>31151</v>
      </c>
      <c r="BB3109" s="3" t="s">
        <v>31152</v>
      </c>
      <c r="BC3109" s="3" t="s">
        <v>77</v>
      </c>
      <c r="BD3109" s="3" t="s">
        <v>78</v>
      </c>
      <c r="BE3109" s="3" t="s">
        <v>31153</v>
      </c>
      <c r="BF3109" s="3" t="s">
        <v>31152</v>
      </c>
      <c r="BG3109" s="3" t="s">
        <v>31154</v>
      </c>
      <c r="BH3109">
        <f t="shared" si="75"/>
        <v>0</v>
      </c>
    </row>
    <row r="3110" spans="1:60" ht="58" x14ac:dyDescent="0.35">
      <c r="A3110" s="2" t="s">
        <v>59</v>
      </c>
      <c r="B3110" s="2" t="s">
        <v>60</v>
      </c>
      <c r="C3110" s="2" t="s">
        <v>31155</v>
      </c>
      <c r="D3110" s="2" t="s">
        <v>31156</v>
      </c>
      <c r="E3110" s="2" t="s">
        <v>31157</v>
      </c>
      <c r="G3110" s="3" t="s">
        <v>64</v>
      </c>
      <c r="I3110" s="3" t="s">
        <v>64</v>
      </c>
      <c r="J3110" s="3" t="s">
        <v>64</v>
      </c>
      <c r="K3110" s="3" t="s">
        <v>65</v>
      </c>
      <c r="L3110" s="2" t="s">
        <v>31158</v>
      </c>
      <c r="M3110" s="2" t="s">
        <v>22877</v>
      </c>
      <c r="N3110" s="3" t="s">
        <v>101</v>
      </c>
      <c r="P3110" s="3" t="s">
        <v>102</v>
      </c>
      <c r="R3110" s="3" t="s">
        <v>70</v>
      </c>
      <c r="S3110" s="4">
        <v>21</v>
      </c>
      <c r="T3110" s="4">
        <v>21</v>
      </c>
      <c r="U3110" s="5" t="s">
        <v>31159</v>
      </c>
      <c r="V3110" s="5" t="s">
        <v>31159</v>
      </c>
      <c r="W3110" s="5" t="s">
        <v>72</v>
      </c>
      <c r="X3110" s="5" t="s">
        <v>72</v>
      </c>
      <c r="Y3110" s="4">
        <v>356</v>
      </c>
      <c r="Z3110" s="4">
        <v>30</v>
      </c>
      <c r="AA3110" s="4">
        <v>56</v>
      </c>
      <c r="AB3110" s="4">
        <v>2</v>
      </c>
      <c r="AC3110" s="4">
        <v>8</v>
      </c>
      <c r="AD3110" s="4">
        <v>93</v>
      </c>
      <c r="AE3110" s="4">
        <v>98</v>
      </c>
      <c r="AF3110" s="4">
        <v>1</v>
      </c>
      <c r="AG3110" s="4">
        <v>2</v>
      </c>
      <c r="AH3110" s="4">
        <v>83</v>
      </c>
      <c r="AI3110" s="4">
        <v>85</v>
      </c>
      <c r="AJ3110" s="4">
        <v>15</v>
      </c>
      <c r="AK3110" s="4">
        <v>16</v>
      </c>
      <c r="AL3110" s="4">
        <v>43</v>
      </c>
      <c r="AM3110" s="4">
        <v>44</v>
      </c>
      <c r="AN3110" s="4">
        <v>0</v>
      </c>
      <c r="AO3110" s="4">
        <v>0</v>
      </c>
      <c r="AP3110" s="4">
        <v>18</v>
      </c>
      <c r="AQ3110" s="4">
        <v>20</v>
      </c>
      <c r="AR3110" s="3" t="s">
        <v>64</v>
      </c>
      <c r="AS3110" s="3" t="s">
        <v>64</v>
      </c>
      <c r="AT3110" s="3" t="s">
        <v>64</v>
      </c>
      <c r="AV3110" s="6" t="str">
        <f>HYPERLINK("http://mcgill.on.worldcat.org/oclc/52312648","Catalog Record")</f>
        <v>Catalog Record</v>
      </c>
      <c r="AW3110" s="6" t="str">
        <f>HYPERLINK("http://www.worldcat.org/oclc/52312648","WorldCat Record")</f>
        <v>WorldCat Record</v>
      </c>
      <c r="AX3110" s="3" t="s">
        <v>31160</v>
      </c>
      <c r="AY3110" s="3" t="s">
        <v>31161</v>
      </c>
      <c r="AZ3110" s="3" t="s">
        <v>31162</v>
      </c>
      <c r="BA3110" s="3" t="s">
        <v>31162</v>
      </c>
      <c r="BB3110" s="3" t="s">
        <v>31163</v>
      </c>
      <c r="BC3110" s="3" t="s">
        <v>77</v>
      </c>
      <c r="BD3110" s="3" t="s">
        <v>78</v>
      </c>
      <c r="BE3110" s="3" t="s">
        <v>31164</v>
      </c>
      <c r="BF3110" s="3" t="s">
        <v>31163</v>
      </c>
      <c r="BG3110" s="3" t="s">
        <v>31165</v>
      </c>
      <c r="BH3110">
        <f t="shared" si="75"/>
        <v>0</v>
      </c>
    </row>
    <row r="3111" spans="1:60" ht="58" x14ac:dyDescent="0.35">
      <c r="A3111" s="2" t="s">
        <v>59</v>
      </c>
      <c r="B3111" s="2" t="s">
        <v>60</v>
      </c>
      <c r="C3111" s="2" t="s">
        <v>31166</v>
      </c>
      <c r="D3111" s="2" t="s">
        <v>31167</v>
      </c>
      <c r="E3111" s="2" t="s">
        <v>31168</v>
      </c>
      <c r="G3111" s="3" t="s">
        <v>64</v>
      </c>
      <c r="I3111" s="3" t="s">
        <v>64</v>
      </c>
      <c r="J3111" s="3" t="s">
        <v>64</v>
      </c>
      <c r="K3111" s="3" t="s">
        <v>65</v>
      </c>
      <c r="L3111" s="2" t="s">
        <v>31158</v>
      </c>
      <c r="M3111" s="2" t="s">
        <v>31169</v>
      </c>
      <c r="N3111" s="3" t="s">
        <v>86</v>
      </c>
      <c r="P3111" s="3" t="s">
        <v>102</v>
      </c>
      <c r="R3111" s="3" t="s">
        <v>70</v>
      </c>
      <c r="S3111" s="4">
        <v>4</v>
      </c>
      <c r="T3111" s="4">
        <v>4</v>
      </c>
      <c r="U3111" s="5" t="s">
        <v>31170</v>
      </c>
      <c r="V3111" s="5" t="s">
        <v>31170</v>
      </c>
      <c r="W3111" s="5" t="s">
        <v>72</v>
      </c>
      <c r="X3111" s="5" t="s">
        <v>72</v>
      </c>
      <c r="Y3111" s="4">
        <v>150</v>
      </c>
      <c r="Z3111" s="4">
        <v>20</v>
      </c>
      <c r="AA3111" s="4">
        <v>22</v>
      </c>
      <c r="AB3111" s="4">
        <v>2</v>
      </c>
      <c r="AC3111" s="4">
        <v>4</v>
      </c>
      <c r="AD3111" s="4">
        <v>49</v>
      </c>
      <c r="AE3111" s="4">
        <v>53</v>
      </c>
      <c r="AF3111" s="4">
        <v>1</v>
      </c>
      <c r="AG3111" s="4">
        <v>1</v>
      </c>
      <c r="AH3111" s="4">
        <v>42</v>
      </c>
      <c r="AI3111" s="4">
        <v>46</v>
      </c>
      <c r="AJ3111" s="4">
        <v>10</v>
      </c>
      <c r="AK3111" s="4">
        <v>10</v>
      </c>
      <c r="AL3111" s="4">
        <v>25</v>
      </c>
      <c r="AM3111" s="4">
        <v>27</v>
      </c>
      <c r="AN3111" s="4">
        <v>0</v>
      </c>
      <c r="AO3111" s="4">
        <v>0</v>
      </c>
      <c r="AP3111" s="4">
        <v>13</v>
      </c>
      <c r="AQ3111" s="4">
        <v>13</v>
      </c>
      <c r="AR3111" s="3" t="s">
        <v>64</v>
      </c>
      <c r="AS3111" s="3" t="s">
        <v>64</v>
      </c>
      <c r="AT3111" s="3" t="s">
        <v>64</v>
      </c>
      <c r="AV3111" s="6" t="str">
        <f>HYPERLINK("http://mcgill.on.worldcat.org/oclc/783155032","Catalog Record")</f>
        <v>Catalog Record</v>
      </c>
      <c r="AW3111" s="6" t="str">
        <f>HYPERLINK("http://www.worldcat.org/oclc/783155032","WorldCat Record")</f>
        <v>WorldCat Record</v>
      </c>
      <c r="AX3111" s="3" t="s">
        <v>31171</v>
      </c>
      <c r="AY3111" s="3" t="s">
        <v>31172</v>
      </c>
      <c r="AZ3111" s="3" t="s">
        <v>31173</v>
      </c>
      <c r="BA3111" s="3" t="s">
        <v>31173</v>
      </c>
      <c r="BB3111" s="3" t="s">
        <v>31174</v>
      </c>
      <c r="BC3111" s="3" t="s">
        <v>77</v>
      </c>
      <c r="BD3111" s="3" t="s">
        <v>78</v>
      </c>
      <c r="BE3111" s="3" t="s">
        <v>31175</v>
      </c>
      <c r="BF3111" s="3" t="s">
        <v>31174</v>
      </c>
      <c r="BG3111" s="3" t="s">
        <v>31176</v>
      </c>
      <c r="BH3111">
        <f t="shared" si="75"/>
        <v>0</v>
      </c>
    </row>
    <row r="3112" spans="1:60" ht="58" x14ac:dyDescent="0.35">
      <c r="A3112" s="2" t="s">
        <v>59</v>
      </c>
      <c r="B3112" s="2" t="s">
        <v>60</v>
      </c>
      <c r="C3112" s="2" t="s">
        <v>31177</v>
      </c>
      <c r="D3112" s="2" t="s">
        <v>31178</v>
      </c>
      <c r="E3112" s="2" t="s">
        <v>31179</v>
      </c>
      <c r="G3112" s="3" t="s">
        <v>64</v>
      </c>
      <c r="I3112" s="3" t="s">
        <v>64</v>
      </c>
      <c r="J3112" s="3" t="s">
        <v>64</v>
      </c>
      <c r="K3112" s="3" t="s">
        <v>65</v>
      </c>
      <c r="L3112" s="2" t="s">
        <v>31180</v>
      </c>
      <c r="M3112" s="2" t="s">
        <v>16814</v>
      </c>
      <c r="N3112" s="3" t="s">
        <v>326</v>
      </c>
      <c r="P3112" s="3" t="s">
        <v>102</v>
      </c>
      <c r="R3112" s="3" t="s">
        <v>70</v>
      </c>
      <c r="S3112" s="4">
        <v>2</v>
      </c>
      <c r="T3112" s="4">
        <v>2</v>
      </c>
      <c r="U3112" s="5" t="s">
        <v>13545</v>
      </c>
      <c r="V3112" s="5" t="s">
        <v>13545</v>
      </c>
      <c r="W3112" s="5" t="s">
        <v>72</v>
      </c>
      <c r="X3112" s="5" t="s">
        <v>72</v>
      </c>
      <c r="Y3112" s="4">
        <v>206</v>
      </c>
      <c r="Z3112" s="4">
        <v>19</v>
      </c>
      <c r="AA3112" s="4">
        <v>46</v>
      </c>
      <c r="AB3112" s="4">
        <v>2</v>
      </c>
      <c r="AC3112" s="4">
        <v>10</v>
      </c>
      <c r="AD3112" s="4">
        <v>50</v>
      </c>
      <c r="AE3112" s="4">
        <v>68</v>
      </c>
      <c r="AF3112" s="4">
        <v>0</v>
      </c>
      <c r="AG3112" s="4">
        <v>2</v>
      </c>
      <c r="AH3112" s="4">
        <v>46</v>
      </c>
      <c r="AI3112" s="4">
        <v>59</v>
      </c>
      <c r="AJ3112" s="4">
        <v>9</v>
      </c>
      <c r="AK3112" s="4">
        <v>12</v>
      </c>
      <c r="AL3112" s="4">
        <v>23</v>
      </c>
      <c r="AM3112" s="4">
        <v>28</v>
      </c>
      <c r="AN3112" s="4">
        <v>0</v>
      </c>
      <c r="AO3112" s="4">
        <v>0</v>
      </c>
      <c r="AP3112" s="4">
        <v>11</v>
      </c>
      <c r="AQ3112" s="4">
        <v>17</v>
      </c>
      <c r="AR3112" s="3" t="s">
        <v>64</v>
      </c>
      <c r="AS3112" s="3" t="s">
        <v>64</v>
      </c>
      <c r="AT3112" s="3" t="s">
        <v>64</v>
      </c>
      <c r="AV3112" s="6" t="str">
        <f>HYPERLINK("http://mcgill.on.worldcat.org/oclc/690088621","Catalog Record")</f>
        <v>Catalog Record</v>
      </c>
      <c r="AW3112" s="6" t="str">
        <f>HYPERLINK("http://www.worldcat.org/oclc/690088621","WorldCat Record")</f>
        <v>WorldCat Record</v>
      </c>
      <c r="AX3112" s="3" t="s">
        <v>31181</v>
      </c>
      <c r="AY3112" s="3" t="s">
        <v>31182</v>
      </c>
      <c r="AZ3112" s="3" t="s">
        <v>31183</v>
      </c>
      <c r="BA3112" s="3" t="s">
        <v>31183</v>
      </c>
      <c r="BB3112" s="3" t="s">
        <v>31184</v>
      </c>
      <c r="BC3112" s="3" t="s">
        <v>77</v>
      </c>
      <c r="BD3112" s="3" t="s">
        <v>78</v>
      </c>
      <c r="BE3112" s="3" t="s">
        <v>31185</v>
      </c>
      <c r="BF3112" s="3" t="s">
        <v>31184</v>
      </c>
      <c r="BG3112" s="3" t="s">
        <v>31186</v>
      </c>
      <c r="BH3112">
        <f t="shared" si="75"/>
        <v>0</v>
      </c>
    </row>
    <row r="3113" spans="1:60" ht="58" x14ac:dyDescent="0.35">
      <c r="A3113" s="2" t="s">
        <v>59</v>
      </c>
      <c r="B3113" s="2" t="s">
        <v>60</v>
      </c>
      <c r="C3113" s="2" t="s">
        <v>31187</v>
      </c>
      <c r="D3113" s="2" t="s">
        <v>31188</v>
      </c>
      <c r="E3113" s="2" t="s">
        <v>31189</v>
      </c>
      <c r="G3113" s="3" t="s">
        <v>64</v>
      </c>
      <c r="I3113" s="3" t="s">
        <v>64</v>
      </c>
      <c r="J3113" s="3" t="s">
        <v>64</v>
      </c>
      <c r="K3113" s="3" t="s">
        <v>65</v>
      </c>
      <c r="M3113" s="2" t="s">
        <v>31190</v>
      </c>
      <c r="N3113" s="3" t="s">
        <v>116</v>
      </c>
      <c r="P3113" s="3" t="s">
        <v>102</v>
      </c>
      <c r="R3113" s="3" t="s">
        <v>70</v>
      </c>
      <c r="S3113" s="4">
        <v>3</v>
      </c>
      <c r="T3113" s="4">
        <v>3</v>
      </c>
      <c r="U3113" s="5" t="s">
        <v>31191</v>
      </c>
      <c r="V3113" s="5" t="s">
        <v>31191</v>
      </c>
      <c r="W3113" s="5" t="s">
        <v>72</v>
      </c>
      <c r="X3113" s="5" t="s">
        <v>72</v>
      </c>
      <c r="Y3113" s="4">
        <v>225</v>
      </c>
      <c r="Z3113" s="4">
        <v>13</v>
      </c>
      <c r="AA3113" s="4">
        <v>14</v>
      </c>
      <c r="AB3113" s="4">
        <v>2</v>
      </c>
      <c r="AC3113" s="4">
        <v>2</v>
      </c>
      <c r="AD3113" s="4">
        <v>70</v>
      </c>
      <c r="AE3113" s="4">
        <v>71</v>
      </c>
      <c r="AF3113" s="4">
        <v>1</v>
      </c>
      <c r="AG3113" s="4">
        <v>1</v>
      </c>
      <c r="AH3113" s="4">
        <v>64</v>
      </c>
      <c r="AI3113" s="4">
        <v>64</v>
      </c>
      <c r="AJ3113" s="4">
        <v>6</v>
      </c>
      <c r="AK3113" s="4">
        <v>6</v>
      </c>
      <c r="AL3113" s="4">
        <v>34</v>
      </c>
      <c r="AM3113" s="4">
        <v>34</v>
      </c>
      <c r="AN3113" s="4">
        <v>0</v>
      </c>
      <c r="AO3113" s="4">
        <v>0</v>
      </c>
      <c r="AP3113" s="4">
        <v>9</v>
      </c>
      <c r="AQ3113" s="4">
        <v>10</v>
      </c>
      <c r="AR3113" s="3" t="s">
        <v>64</v>
      </c>
      <c r="AS3113" s="3" t="s">
        <v>64</v>
      </c>
      <c r="AT3113" s="3" t="s">
        <v>64</v>
      </c>
      <c r="AV3113" s="6" t="str">
        <f>HYPERLINK("http://mcgill.on.worldcat.org/oclc/47092359","Catalog Record")</f>
        <v>Catalog Record</v>
      </c>
      <c r="AW3113" s="6" t="str">
        <f>HYPERLINK("http://www.worldcat.org/oclc/47092359","WorldCat Record")</f>
        <v>WorldCat Record</v>
      </c>
      <c r="AX3113" s="3" t="s">
        <v>31192</v>
      </c>
      <c r="AY3113" s="3" t="s">
        <v>31193</v>
      </c>
      <c r="AZ3113" s="3" t="s">
        <v>31194</v>
      </c>
      <c r="BA3113" s="3" t="s">
        <v>31194</v>
      </c>
      <c r="BB3113" s="3" t="s">
        <v>31195</v>
      </c>
      <c r="BC3113" s="3" t="s">
        <v>77</v>
      </c>
      <c r="BD3113" s="3" t="s">
        <v>78</v>
      </c>
      <c r="BE3113" s="3" t="s">
        <v>31196</v>
      </c>
      <c r="BF3113" s="3" t="s">
        <v>31195</v>
      </c>
      <c r="BG3113" s="3" t="s">
        <v>31197</v>
      </c>
      <c r="BH3113">
        <f t="shared" si="75"/>
        <v>0</v>
      </c>
    </row>
    <row r="3114" spans="1:60" ht="72.5" x14ac:dyDescent="0.35">
      <c r="A3114" s="2" t="s">
        <v>59</v>
      </c>
      <c r="B3114" s="2" t="s">
        <v>1025</v>
      </c>
      <c r="C3114" s="2" t="s">
        <v>31198</v>
      </c>
      <c r="D3114" s="2" t="s">
        <v>31199</v>
      </c>
      <c r="E3114" s="2" t="s">
        <v>31200</v>
      </c>
      <c r="G3114" s="3" t="s">
        <v>64</v>
      </c>
      <c r="I3114" s="3" t="s">
        <v>64</v>
      </c>
      <c r="J3114" s="3" t="s">
        <v>64</v>
      </c>
      <c r="K3114" s="3" t="s">
        <v>65</v>
      </c>
      <c r="L3114" s="2" t="s">
        <v>31201</v>
      </c>
      <c r="M3114" s="2" t="s">
        <v>31202</v>
      </c>
      <c r="N3114" s="3" t="s">
        <v>67</v>
      </c>
      <c r="O3114" s="2" t="s">
        <v>117</v>
      </c>
      <c r="P3114" s="3" t="s">
        <v>102</v>
      </c>
      <c r="Q3114" s="2" t="s">
        <v>31203</v>
      </c>
      <c r="R3114" s="3" t="s">
        <v>70</v>
      </c>
      <c r="S3114" s="4">
        <v>0</v>
      </c>
      <c r="T3114" s="4">
        <v>0</v>
      </c>
      <c r="W3114" s="5" t="s">
        <v>72</v>
      </c>
      <c r="X3114" s="5" t="s">
        <v>72</v>
      </c>
      <c r="Y3114" s="4">
        <v>547</v>
      </c>
      <c r="Z3114" s="4">
        <v>23</v>
      </c>
      <c r="AA3114" s="4">
        <v>94</v>
      </c>
      <c r="AB3114" s="4">
        <v>2</v>
      </c>
      <c r="AC3114" s="4">
        <v>16</v>
      </c>
      <c r="AD3114" s="4">
        <v>36</v>
      </c>
      <c r="AE3114" s="4">
        <v>102</v>
      </c>
      <c r="AF3114" s="4">
        <v>0</v>
      </c>
      <c r="AG3114" s="4">
        <v>8</v>
      </c>
      <c r="AH3114" s="4">
        <v>33</v>
      </c>
      <c r="AI3114" s="4">
        <v>70</v>
      </c>
      <c r="AJ3114" s="4">
        <v>3</v>
      </c>
      <c r="AK3114" s="4">
        <v>17</v>
      </c>
      <c r="AL3114" s="4">
        <v>23</v>
      </c>
      <c r="AM3114" s="4">
        <v>37</v>
      </c>
      <c r="AN3114" s="4">
        <v>0</v>
      </c>
      <c r="AO3114" s="4">
        <v>0</v>
      </c>
      <c r="AP3114" s="4">
        <v>5</v>
      </c>
      <c r="AQ3114" s="4">
        <v>37</v>
      </c>
      <c r="AR3114" s="3" t="s">
        <v>64</v>
      </c>
      <c r="AS3114" s="3" t="s">
        <v>64</v>
      </c>
      <c r="AT3114" s="3" t="s">
        <v>64</v>
      </c>
      <c r="AV3114" s="6" t="str">
        <f>HYPERLINK("http://mcgill.on.worldcat.org/oclc/864391490","Catalog Record")</f>
        <v>Catalog Record</v>
      </c>
      <c r="AW3114" s="6" t="str">
        <f>HYPERLINK("http://www.worldcat.org/oclc/864391490","WorldCat Record")</f>
        <v>WorldCat Record</v>
      </c>
      <c r="AX3114" s="3" t="s">
        <v>31204</v>
      </c>
      <c r="AY3114" s="3" t="s">
        <v>31205</v>
      </c>
      <c r="AZ3114" s="3" t="s">
        <v>31206</v>
      </c>
      <c r="BA3114" s="3" t="s">
        <v>31206</v>
      </c>
      <c r="BB3114" s="3" t="s">
        <v>31207</v>
      </c>
      <c r="BC3114" s="3" t="s">
        <v>77</v>
      </c>
      <c r="BD3114" s="3" t="s">
        <v>78</v>
      </c>
      <c r="BE3114" s="3" t="s">
        <v>31208</v>
      </c>
      <c r="BF3114" s="3" t="s">
        <v>31207</v>
      </c>
      <c r="BG3114" s="3" t="s">
        <v>31209</v>
      </c>
      <c r="BH3114">
        <f t="shared" si="75"/>
        <v>0</v>
      </c>
    </row>
    <row r="3115" spans="1:60" ht="58" x14ac:dyDescent="0.35">
      <c r="A3115" s="2" t="s">
        <v>59</v>
      </c>
      <c r="B3115" s="2" t="s">
        <v>60</v>
      </c>
      <c r="C3115" s="2" t="s">
        <v>31210</v>
      </c>
      <c r="D3115" s="2" t="s">
        <v>31211</v>
      </c>
      <c r="E3115" s="2" t="s">
        <v>31212</v>
      </c>
      <c r="G3115" s="3" t="s">
        <v>64</v>
      </c>
      <c r="I3115" s="3" t="s">
        <v>64</v>
      </c>
      <c r="J3115" s="3" t="s">
        <v>64</v>
      </c>
      <c r="K3115" s="3" t="s">
        <v>65</v>
      </c>
      <c r="L3115" s="2" t="s">
        <v>31213</v>
      </c>
      <c r="M3115" s="2" t="s">
        <v>18533</v>
      </c>
      <c r="N3115" s="3" t="s">
        <v>578</v>
      </c>
      <c r="P3115" s="3" t="s">
        <v>102</v>
      </c>
      <c r="R3115" s="3" t="s">
        <v>70</v>
      </c>
      <c r="S3115" s="4">
        <v>0</v>
      </c>
      <c r="T3115" s="4">
        <v>0</v>
      </c>
      <c r="W3115" s="5" t="s">
        <v>72</v>
      </c>
      <c r="X3115" s="5" t="s">
        <v>72</v>
      </c>
      <c r="Y3115" s="4">
        <v>184</v>
      </c>
      <c r="Z3115" s="4">
        <v>7</v>
      </c>
      <c r="AA3115" s="4">
        <v>10</v>
      </c>
      <c r="AB3115" s="4">
        <v>1</v>
      </c>
      <c r="AC3115" s="4">
        <v>4</v>
      </c>
      <c r="AD3115" s="4">
        <v>24</v>
      </c>
      <c r="AE3115" s="4">
        <v>26</v>
      </c>
      <c r="AF3115" s="4">
        <v>0</v>
      </c>
      <c r="AG3115" s="4">
        <v>1</v>
      </c>
      <c r="AH3115" s="4">
        <v>24</v>
      </c>
      <c r="AI3115" s="4">
        <v>25</v>
      </c>
      <c r="AJ3115" s="4">
        <v>3</v>
      </c>
      <c r="AK3115" s="4">
        <v>4</v>
      </c>
      <c r="AL3115" s="4">
        <v>11</v>
      </c>
      <c r="AM3115" s="4">
        <v>12</v>
      </c>
      <c r="AN3115" s="4">
        <v>0</v>
      </c>
      <c r="AO3115" s="4">
        <v>0</v>
      </c>
      <c r="AP3115" s="4">
        <v>3</v>
      </c>
      <c r="AQ3115" s="4">
        <v>3</v>
      </c>
      <c r="AR3115" s="3" t="s">
        <v>64</v>
      </c>
      <c r="AS3115" s="3" t="s">
        <v>64</v>
      </c>
      <c r="AT3115" s="3" t="s">
        <v>64</v>
      </c>
      <c r="AV3115" s="6" t="str">
        <f>HYPERLINK("http://mcgill.on.worldcat.org/oclc/980346774","Catalog Record")</f>
        <v>Catalog Record</v>
      </c>
      <c r="AW3115" s="6" t="str">
        <f>HYPERLINK("http://www.worldcat.org/oclc/980346774","WorldCat Record")</f>
        <v>WorldCat Record</v>
      </c>
      <c r="AX3115" s="3" t="s">
        <v>31214</v>
      </c>
      <c r="AY3115" s="3" t="s">
        <v>31215</v>
      </c>
      <c r="AZ3115" s="3" t="s">
        <v>31216</v>
      </c>
      <c r="BA3115" s="3" t="s">
        <v>31216</v>
      </c>
      <c r="BB3115" s="3" t="s">
        <v>31217</v>
      </c>
      <c r="BC3115" s="3" t="s">
        <v>77</v>
      </c>
      <c r="BD3115" s="3" t="s">
        <v>78</v>
      </c>
      <c r="BE3115" s="3" t="s">
        <v>31218</v>
      </c>
      <c r="BF3115" s="3" t="s">
        <v>31217</v>
      </c>
      <c r="BG3115" s="3" t="s">
        <v>31219</v>
      </c>
      <c r="BH3115">
        <f t="shared" si="75"/>
        <v>0</v>
      </c>
    </row>
    <row r="3116" spans="1:60" ht="87" x14ac:dyDescent="0.35">
      <c r="A3116" s="2" t="s">
        <v>59</v>
      </c>
      <c r="B3116" s="2" t="s">
        <v>60</v>
      </c>
      <c r="C3116" s="2" t="s">
        <v>31220</v>
      </c>
      <c r="D3116" s="2" t="s">
        <v>31221</v>
      </c>
      <c r="E3116" s="2" t="s">
        <v>31222</v>
      </c>
      <c r="G3116" s="3" t="s">
        <v>64</v>
      </c>
      <c r="I3116" s="3" t="s">
        <v>64</v>
      </c>
      <c r="J3116" s="3" t="s">
        <v>64</v>
      </c>
      <c r="K3116" s="3" t="s">
        <v>65</v>
      </c>
      <c r="L3116" s="2" t="s">
        <v>31223</v>
      </c>
      <c r="M3116" s="2" t="s">
        <v>31224</v>
      </c>
      <c r="N3116" s="3" t="s">
        <v>67</v>
      </c>
      <c r="P3116" s="3" t="s">
        <v>102</v>
      </c>
      <c r="R3116" s="3" t="s">
        <v>70</v>
      </c>
      <c r="S3116" s="4">
        <v>1</v>
      </c>
      <c r="T3116" s="4">
        <v>1</v>
      </c>
      <c r="U3116" s="5" t="s">
        <v>11215</v>
      </c>
      <c r="V3116" s="5" t="s">
        <v>11215</v>
      </c>
      <c r="W3116" s="5" t="s">
        <v>72</v>
      </c>
      <c r="X3116" s="5" t="s">
        <v>72</v>
      </c>
      <c r="Y3116" s="4">
        <v>26</v>
      </c>
      <c r="Z3116" s="4">
        <v>3</v>
      </c>
      <c r="AA3116" s="4">
        <v>7</v>
      </c>
      <c r="AB3116" s="4">
        <v>1</v>
      </c>
      <c r="AC3116" s="4">
        <v>2</v>
      </c>
      <c r="AD3116" s="4">
        <v>8</v>
      </c>
      <c r="AE3116" s="4">
        <v>10</v>
      </c>
      <c r="AF3116" s="4">
        <v>0</v>
      </c>
      <c r="AG3116" s="4">
        <v>0</v>
      </c>
      <c r="AH3116" s="4">
        <v>7</v>
      </c>
      <c r="AI3116" s="4">
        <v>8</v>
      </c>
      <c r="AJ3116" s="4">
        <v>0</v>
      </c>
      <c r="AK3116" s="4">
        <v>2</v>
      </c>
      <c r="AL3116" s="4">
        <v>3</v>
      </c>
      <c r="AM3116" s="4">
        <v>3</v>
      </c>
      <c r="AN3116" s="4">
        <v>0</v>
      </c>
      <c r="AO3116" s="4">
        <v>0</v>
      </c>
      <c r="AP3116" s="4">
        <v>1</v>
      </c>
      <c r="AQ3116" s="4">
        <v>3</v>
      </c>
      <c r="AR3116" s="3" t="s">
        <v>64</v>
      </c>
      <c r="AS3116" s="3" t="s">
        <v>64</v>
      </c>
      <c r="AT3116" s="3" t="s">
        <v>64</v>
      </c>
      <c r="AV3116" s="6" t="str">
        <f>HYPERLINK("http://mcgill.on.worldcat.org/oclc/881472162","Catalog Record")</f>
        <v>Catalog Record</v>
      </c>
      <c r="AW3116" s="6" t="str">
        <f>HYPERLINK("http://www.worldcat.org/oclc/881472162","WorldCat Record")</f>
        <v>WorldCat Record</v>
      </c>
      <c r="AX3116" s="3" t="s">
        <v>31225</v>
      </c>
      <c r="AY3116" s="3" t="s">
        <v>31226</v>
      </c>
      <c r="AZ3116" s="3" t="s">
        <v>31227</v>
      </c>
      <c r="BA3116" s="3" t="s">
        <v>31227</v>
      </c>
      <c r="BB3116" s="3" t="s">
        <v>31228</v>
      </c>
      <c r="BC3116" s="3" t="s">
        <v>77</v>
      </c>
      <c r="BD3116" s="3" t="s">
        <v>78</v>
      </c>
      <c r="BE3116" s="3" t="s">
        <v>31229</v>
      </c>
      <c r="BF3116" s="3" t="s">
        <v>31228</v>
      </c>
      <c r="BG3116" s="3" t="s">
        <v>31230</v>
      </c>
      <c r="BH3116">
        <f t="shared" si="75"/>
        <v>0</v>
      </c>
    </row>
    <row r="3117" spans="1:60" ht="101.5" x14ac:dyDescent="0.35">
      <c r="A3117" s="2" t="s">
        <v>59</v>
      </c>
      <c r="B3117" s="2" t="s">
        <v>31231</v>
      </c>
      <c r="C3117" s="2" t="s">
        <v>31232</v>
      </c>
      <c r="D3117" s="2" t="s">
        <v>31233</v>
      </c>
      <c r="E3117" s="2" t="s">
        <v>31234</v>
      </c>
      <c r="G3117" s="3" t="s">
        <v>64</v>
      </c>
      <c r="I3117" s="3" t="s">
        <v>64</v>
      </c>
      <c r="J3117" s="3" t="s">
        <v>64</v>
      </c>
      <c r="K3117" s="3" t="s">
        <v>65</v>
      </c>
      <c r="M3117" s="2" t="s">
        <v>16779</v>
      </c>
      <c r="N3117" s="3" t="s">
        <v>86</v>
      </c>
      <c r="P3117" s="3" t="s">
        <v>102</v>
      </c>
      <c r="R3117" s="3" t="s">
        <v>70</v>
      </c>
      <c r="S3117" s="4">
        <v>27</v>
      </c>
      <c r="T3117" s="4">
        <v>27</v>
      </c>
      <c r="U3117" s="5" t="s">
        <v>17811</v>
      </c>
      <c r="V3117" s="5" t="s">
        <v>17811</v>
      </c>
      <c r="W3117" s="5" t="s">
        <v>72</v>
      </c>
      <c r="X3117" s="5" t="s">
        <v>72</v>
      </c>
      <c r="Y3117" s="4">
        <v>155</v>
      </c>
      <c r="Z3117" s="4">
        <v>18</v>
      </c>
      <c r="AA3117" s="4">
        <v>24</v>
      </c>
      <c r="AB3117" s="4">
        <v>3</v>
      </c>
      <c r="AC3117" s="4">
        <v>8</v>
      </c>
      <c r="AD3117" s="4">
        <v>41</v>
      </c>
      <c r="AE3117" s="4">
        <v>52</v>
      </c>
      <c r="AF3117" s="4">
        <v>1</v>
      </c>
      <c r="AG3117" s="4">
        <v>3</v>
      </c>
      <c r="AH3117" s="4">
        <v>36</v>
      </c>
      <c r="AI3117" s="4">
        <v>46</v>
      </c>
      <c r="AJ3117" s="4">
        <v>7</v>
      </c>
      <c r="AK3117" s="4">
        <v>10</v>
      </c>
      <c r="AL3117" s="4">
        <v>20</v>
      </c>
      <c r="AM3117" s="4">
        <v>25</v>
      </c>
      <c r="AN3117" s="4">
        <v>0</v>
      </c>
      <c r="AO3117" s="4">
        <v>0</v>
      </c>
      <c r="AP3117" s="4">
        <v>10</v>
      </c>
      <c r="AQ3117" s="4">
        <v>13</v>
      </c>
      <c r="AR3117" s="3" t="s">
        <v>64</v>
      </c>
      <c r="AS3117" s="3" t="s">
        <v>64</v>
      </c>
      <c r="AT3117" s="3" t="s">
        <v>64</v>
      </c>
      <c r="AV3117" s="6" t="str">
        <f>HYPERLINK("http://mcgill.on.worldcat.org/oclc/756576976","Catalog Record")</f>
        <v>Catalog Record</v>
      </c>
      <c r="AW3117" s="6" t="str">
        <f>HYPERLINK("http://www.worldcat.org/oclc/756576976","WorldCat Record")</f>
        <v>WorldCat Record</v>
      </c>
      <c r="AX3117" s="3" t="s">
        <v>31235</v>
      </c>
      <c r="AY3117" s="3" t="s">
        <v>31236</v>
      </c>
      <c r="AZ3117" s="3" t="s">
        <v>31237</v>
      </c>
      <c r="BA3117" s="3" t="s">
        <v>31237</v>
      </c>
      <c r="BB3117" s="3" t="s">
        <v>31238</v>
      </c>
      <c r="BC3117" s="3" t="s">
        <v>77</v>
      </c>
      <c r="BD3117" s="3" t="s">
        <v>78</v>
      </c>
      <c r="BE3117" s="3" t="s">
        <v>31239</v>
      </c>
      <c r="BF3117" s="3" t="s">
        <v>31238</v>
      </c>
      <c r="BG3117" s="3" t="s">
        <v>31240</v>
      </c>
      <c r="BH3117">
        <f t="shared" si="75"/>
        <v>0</v>
      </c>
    </row>
    <row r="3118" spans="1:60" ht="58" x14ac:dyDescent="0.35">
      <c r="A3118" s="2" t="s">
        <v>59</v>
      </c>
      <c r="B3118" s="2" t="s">
        <v>60</v>
      </c>
      <c r="C3118" s="2" t="s">
        <v>31241</v>
      </c>
      <c r="D3118" s="2" t="s">
        <v>31242</v>
      </c>
      <c r="E3118" s="2" t="s">
        <v>31243</v>
      </c>
      <c r="G3118" s="3" t="s">
        <v>64</v>
      </c>
      <c r="I3118" s="3" t="s">
        <v>64</v>
      </c>
      <c r="J3118" s="3" t="s">
        <v>64</v>
      </c>
      <c r="K3118" s="3" t="s">
        <v>65</v>
      </c>
      <c r="L3118" s="2" t="s">
        <v>25686</v>
      </c>
      <c r="M3118" s="2" t="s">
        <v>22037</v>
      </c>
      <c r="N3118" s="3" t="s">
        <v>101</v>
      </c>
      <c r="P3118" s="3" t="s">
        <v>102</v>
      </c>
      <c r="R3118" s="3" t="s">
        <v>70</v>
      </c>
      <c r="S3118" s="4">
        <v>13</v>
      </c>
      <c r="T3118" s="4">
        <v>13</v>
      </c>
      <c r="U3118" s="5" t="s">
        <v>13192</v>
      </c>
      <c r="V3118" s="5" t="s">
        <v>13192</v>
      </c>
      <c r="W3118" s="5" t="s">
        <v>72</v>
      </c>
      <c r="X3118" s="5" t="s">
        <v>72</v>
      </c>
      <c r="Y3118" s="4">
        <v>853</v>
      </c>
      <c r="Z3118" s="4">
        <v>59</v>
      </c>
      <c r="AA3118" s="4">
        <v>132</v>
      </c>
      <c r="AB3118" s="4">
        <v>6</v>
      </c>
      <c r="AC3118" s="4">
        <v>20</v>
      </c>
      <c r="AD3118" s="4">
        <v>126</v>
      </c>
      <c r="AE3118" s="4">
        <v>155</v>
      </c>
      <c r="AF3118" s="4">
        <v>2</v>
      </c>
      <c r="AG3118" s="4">
        <v>8</v>
      </c>
      <c r="AH3118" s="4">
        <v>100</v>
      </c>
      <c r="AI3118" s="4">
        <v>109</v>
      </c>
      <c r="AJ3118" s="4">
        <v>21</v>
      </c>
      <c r="AK3118" s="4">
        <v>27</v>
      </c>
      <c r="AL3118" s="4">
        <v>55</v>
      </c>
      <c r="AM3118" s="4">
        <v>60</v>
      </c>
      <c r="AN3118" s="4">
        <v>0</v>
      </c>
      <c r="AO3118" s="4">
        <v>0</v>
      </c>
      <c r="AP3118" s="4">
        <v>31</v>
      </c>
      <c r="AQ3118" s="4">
        <v>50</v>
      </c>
      <c r="AR3118" s="3" t="s">
        <v>64</v>
      </c>
      <c r="AS3118" s="3" t="s">
        <v>64</v>
      </c>
      <c r="AT3118" s="3" t="s">
        <v>64</v>
      </c>
      <c r="AV3118" s="6" t="str">
        <f>HYPERLINK("http://mcgill.on.worldcat.org/oclc/50868243","Catalog Record")</f>
        <v>Catalog Record</v>
      </c>
      <c r="AW3118" s="6" t="str">
        <f>HYPERLINK("http://www.worldcat.org/oclc/50868243","WorldCat Record")</f>
        <v>WorldCat Record</v>
      </c>
      <c r="AX3118" s="3" t="s">
        <v>31244</v>
      </c>
      <c r="AY3118" s="3" t="s">
        <v>31245</v>
      </c>
      <c r="AZ3118" s="3" t="s">
        <v>31246</v>
      </c>
      <c r="BA3118" s="3" t="s">
        <v>31246</v>
      </c>
      <c r="BB3118" s="3" t="s">
        <v>31247</v>
      </c>
      <c r="BC3118" s="3" t="s">
        <v>77</v>
      </c>
      <c r="BD3118" s="3" t="s">
        <v>78</v>
      </c>
      <c r="BE3118" s="3" t="s">
        <v>31248</v>
      </c>
      <c r="BF3118" s="3" t="s">
        <v>31247</v>
      </c>
      <c r="BG3118" s="3" t="s">
        <v>31249</v>
      </c>
      <c r="BH3118">
        <f t="shared" si="75"/>
        <v>0</v>
      </c>
    </row>
    <row r="3119" spans="1:60" ht="58" x14ac:dyDescent="0.35">
      <c r="A3119" s="2" t="s">
        <v>59</v>
      </c>
      <c r="B3119" s="2" t="s">
        <v>60</v>
      </c>
      <c r="C3119" s="2" t="s">
        <v>31250</v>
      </c>
      <c r="D3119" s="2" t="s">
        <v>31251</v>
      </c>
      <c r="E3119" s="2" t="s">
        <v>31252</v>
      </c>
      <c r="G3119" s="3" t="s">
        <v>64</v>
      </c>
      <c r="I3119" s="3" t="s">
        <v>64</v>
      </c>
      <c r="J3119" s="3" t="s">
        <v>64</v>
      </c>
      <c r="K3119" s="3" t="s">
        <v>65</v>
      </c>
      <c r="L3119" s="2" t="s">
        <v>25686</v>
      </c>
      <c r="M3119" s="2" t="s">
        <v>14782</v>
      </c>
      <c r="N3119" s="3" t="s">
        <v>979</v>
      </c>
      <c r="P3119" s="3" t="s">
        <v>102</v>
      </c>
      <c r="R3119" s="3" t="s">
        <v>70</v>
      </c>
      <c r="S3119" s="4">
        <v>29</v>
      </c>
      <c r="T3119" s="4">
        <v>29</v>
      </c>
      <c r="U3119" s="5" t="s">
        <v>31253</v>
      </c>
      <c r="V3119" s="5" t="s">
        <v>31253</v>
      </c>
      <c r="W3119" s="5" t="s">
        <v>72</v>
      </c>
      <c r="X3119" s="5" t="s">
        <v>72</v>
      </c>
      <c r="Y3119" s="4">
        <v>951</v>
      </c>
      <c r="Z3119" s="4">
        <v>67</v>
      </c>
      <c r="AA3119" s="4">
        <v>70</v>
      </c>
      <c r="AB3119" s="4">
        <v>5</v>
      </c>
      <c r="AC3119" s="4">
        <v>7</v>
      </c>
      <c r="AD3119" s="4">
        <v>129</v>
      </c>
      <c r="AE3119" s="4">
        <v>132</v>
      </c>
      <c r="AF3119" s="4">
        <v>2</v>
      </c>
      <c r="AG3119" s="4">
        <v>4</v>
      </c>
      <c r="AH3119" s="4">
        <v>101</v>
      </c>
      <c r="AI3119" s="4">
        <v>102</v>
      </c>
      <c r="AJ3119" s="4">
        <v>22</v>
      </c>
      <c r="AK3119" s="4">
        <v>24</v>
      </c>
      <c r="AL3119" s="4">
        <v>52</v>
      </c>
      <c r="AM3119" s="4">
        <v>52</v>
      </c>
      <c r="AN3119" s="4">
        <v>0</v>
      </c>
      <c r="AO3119" s="4">
        <v>0</v>
      </c>
      <c r="AP3119" s="4">
        <v>36</v>
      </c>
      <c r="AQ3119" s="4">
        <v>38</v>
      </c>
      <c r="AR3119" s="3" t="s">
        <v>64</v>
      </c>
      <c r="AS3119" s="3" t="s">
        <v>64</v>
      </c>
      <c r="AT3119" s="3" t="s">
        <v>64</v>
      </c>
      <c r="AV3119" s="6" t="str">
        <f>HYPERLINK("http://mcgill.on.worldcat.org/oclc/43641201","Catalog Record")</f>
        <v>Catalog Record</v>
      </c>
      <c r="AW3119" s="6" t="str">
        <f>HYPERLINK("http://www.worldcat.org/oclc/43641201","WorldCat Record")</f>
        <v>WorldCat Record</v>
      </c>
      <c r="AX3119" s="3" t="s">
        <v>31254</v>
      </c>
      <c r="AY3119" s="3" t="s">
        <v>31255</v>
      </c>
      <c r="AZ3119" s="3" t="s">
        <v>31256</v>
      </c>
      <c r="BA3119" s="3" t="s">
        <v>31256</v>
      </c>
      <c r="BB3119" s="3" t="s">
        <v>31257</v>
      </c>
      <c r="BC3119" s="3" t="s">
        <v>77</v>
      </c>
      <c r="BD3119" s="3" t="s">
        <v>78</v>
      </c>
      <c r="BE3119" s="3" t="s">
        <v>31258</v>
      </c>
      <c r="BF3119" s="3" t="s">
        <v>31257</v>
      </c>
      <c r="BG3119" s="3" t="s">
        <v>31259</v>
      </c>
      <c r="BH3119">
        <f t="shared" si="75"/>
        <v>0</v>
      </c>
    </row>
    <row r="3120" spans="1:60" ht="58" x14ac:dyDescent="0.35">
      <c r="A3120" s="2" t="s">
        <v>59</v>
      </c>
      <c r="B3120" s="2" t="s">
        <v>60</v>
      </c>
      <c r="C3120" s="2" t="s">
        <v>31260</v>
      </c>
      <c r="D3120" s="2" t="s">
        <v>31261</v>
      </c>
      <c r="E3120" s="2" t="s">
        <v>31262</v>
      </c>
      <c r="G3120" s="3" t="s">
        <v>64</v>
      </c>
      <c r="I3120" s="3" t="s">
        <v>64</v>
      </c>
      <c r="J3120" s="3" t="s">
        <v>64</v>
      </c>
      <c r="K3120" s="3" t="s">
        <v>65</v>
      </c>
      <c r="L3120" s="2" t="s">
        <v>31263</v>
      </c>
      <c r="M3120" s="2" t="s">
        <v>15640</v>
      </c>
      <c r="N3120" s="3" t="s">
        <v>253</v>
      </c>
      <c r="P3120" s="3" t="s">
        <v>102</v>
      </c>
      <c r="R3120" s="3" t="s">
        <v>70</v>
      </c>
      <c r="S3120" s="4">
        <v>7</v>
      </c>
      <c r="T3120" s="4">
        <v>7</v>
      </c>
      <c r="U3120" s="5" t="s">
        <v>3633</v>
      </c>
      <c r="V3120" s="5" t="s">
        <v>3633</v>
      </c>
      <c r="W3120" s="5" t="s">
        <v>72</v>
      </c>
      <c r="X3120" s="5" t="s">
        <v>72</v>
      </c>
      <c r="Y3120" s="4">
        <v>561</v>
      </c>
      <c r="Z3120" s="4">
        <v>25</v>
      </c>
      <c r="AA3120" s="4">
        <v>115</v>
      </c>
      <c r="AB3120" s="4">
        <v>3</v>
      </c>
      <c r="AC3120" s="4">
        <v>15</v>
      </c>
      <c r="AD3120" s="4">
        <v>77</v>
      </c>
      <c r="AE3120" s="4">
        <v>137</v>
      </c>
      <c r="AF3120" s="4">
        <v>2</v>
      </c>
      <c r="AG3120" s="4">
        <v>8</v>
      </c>
      <c r="AH3120" s="4">
        <v>70</v>
      </c>
      <c r="AI3120" s="4">
        <v>97</v>
      </c>
      <c r="AJ3120" s="4">
        <v>8</v>
      </c>
      <c r="AK3120" s="4">
        <v>23</v>
      </c>
      <c r="AL3120" s="4">
        <v>35</v>
      </c>
      <c r="AM3120" s="4">
        <v>51</v>
      </c>
      <c r="AN3120" s="4">
        <v>0</v>
      </c>
      <c r="AO3120" s="4">
        <v>0</v>
      </c>
      <c r="AP3120" s="4">
        <v>11</v>
      </c>
      <c r="AQ3120" s="4">
        <v>44</v>
      </c>
      <c r="AR3120" s="3" t="s">
        <v>64</v>
      </c>
      <c r="AS3120" s="3" t="s">
        <v>64</v>
      </c>
      <c r="AT3120" s="3" t="s">
        <v>64</v>
      </c>
      <c r="AV3120" s="6" t="str">
        <f>HYPERLINK("http://mcgill.on.worldcat.org/oclc/902599213","Catalog Record")</f>
        <v>Catalog Record</v>
      </c>
      <c r="AW3120" s="6" t="str">
        <f>HYPERLINK("http://www.worldcat.org/oclc/902599213","WorldCat Record")</f>
        <v>WorldCat Record</v>
      </c>
      <c r="AX3120" s="3" t="s">
        <v>31264</v>
      </c>
      <c r="AY3120" s="3" t="s">
        <v>31265</v>
      </c>
      <c r="AZ3120" s="3" t="s">
        <v>31266</v>
      </c>
      <c r="BA3120" s="3" t="s">
        <v>31266</v>
      </c>
      <c r="BB3120" s="3" t="s">
        <v>31267</v>
      </c>
      <c r="BC3120" s="3" t="s">
        <v>77</v>
      </c>
      <c r="BD3120" s="3" t="s">
        <v>78</v>
      </c>
      <c r="BE3120" s="3" t="s">
        <v>31268</v>
      </c>
      <c r="BF3120" s="3" t="s">
        <v>31267</v>
      </c>
      <c r="BG3120" s="3" t="s">
        <v>31269</v>
      </c>
      <c r="BH3120">
        <f t="shared" si="75"/>
        <v>0</v>
      </c>
    </row>
    <row r="3121" spans="1:60" ht="58" x14ac:dyDescent="0.35">
      <c r="A3121" s="2" t="s">
        <v>59</v>
      </c>
      <c r="B3121" s="2" t="s">
        <v>60</v>
      </c>
      <c r="C3121" s="2" t="s">
        <v>31270</v>
      </c>
      <c r="D3121" s="2" t="s">
        <v>31271</v>
      </c>
      <c r="E3121" s="2" t="s">
        <v>31272</v>
      </c>
      <c r="G3121" s="3" t="s">
        <v>64</v>
      </c>
      <c r="I3121" s="3" t="s">
        <v>64</v>
      </c>
      <c r="J3121" s="3" t="s">
        <v>64</v>
      </c>
      <c r="K3121" s="3" t="s">
        <v>65</v>
      </c>
      <c r="M3121" s="2" t="s">
        <v>31273</v>
      </c>
      <c r="N3121" s="3" t="s">
        <v>86</v>
      </c>
      <c r="P3121" s="3" t="s">
        <v>102</v>
      </c>
      <c r="R3121" s="3" t="s">
        <v>70</v>
      </c>
      <c r="S3121" s="4">
        <v>7</v>
      </c>
      <c r="T3121" s="4">
        <v>7</v>
      </c>
      <c r="U3121" s="5" t="s">
        <v>18652</v>
      </c>
      <c r="V3121" s="5" t="s">
        <v>18652</v>
      </c>
      <c r="W3121" s="5" t="s">
        <v>72</v>
      </c>
      <c r="X3121" s="5" t="s">
        <v>72</v>
      </c>
      <c r="Y3121" s="4">
        <v>142</v>
      </c>
      <c r="Z3121" s="4">
        <v>19</v>
      </c>
      <c r="AA3121" s="4">
        <v>47</v>
      </c>
      <c r="AB3121" s="4">
        <v>2</v>
      </c>
      <c r="AC3121" s="4">
        <v>4</v>
      </c>
      <c r="AD3121" s="4">
        <v>36</v>
      </c>
      <c r="AE3121" s="4">
        <v>72</v>
      </c>
      <c r="AF3121" s="4">
        <v>0</v>
      </c>
      <c r="AG3121" s="4">
        <v>0</v>
      </c>
      <c r="AH3121" s="4">
        <v>31</v>
      </c>
      <c r="AI3121" s="4">
        <v>58</v>
      </c>
      <c r="AJ3121" s="4">
        <v>8</v>
      </c>
      <c r="AK3121" s="4">
        <v>12</v>
      </c>
      <c r="AL3121" s="4">
        <v>18</v>
      </c>
      <c r="AM3121" s="4">
        <v>31</v>
      </c>
      <c r="AN3121" s="4">
        <v>0</v>
      </c>
      <c r="AO3121" s="4">
        <v>0</v>
      </c>
      <c r="AP3121" s="4">
        <v>10</v>
      </c>
      <c r="AQ3121" s="4">
        <v>21</v>
      </c>
      <c r="AR3121" s="3" t="s">
        <v>64</v>
      </c>
      <c r="AS3121" s="3" t="s">
        <v>64</v>
      </c>
      <c r="AT3121" s="3" t="s">
        <v>64</v>
      </c>
      <c r="AV3121" s="6" t="str">
        <f>HYPERLINK("http://mcgill.on.worldcat.org/oclc/795020467","Catalog Record")</f>
        <v>Catalog Record</v>
      </c>
      <c r="AW3121" s="6" t="str">
        <f>HYPERLINK("http://www.worldcat.org/oclc/795020467","WorldCat Record")</f>
        <v>WorldCat Record</v>
      </c>
      <c r="AX3121" s="3" t="s">
        <v>31274</v>
      </c>
      <c r="AY3121" s="3" t="s">
        <v>31275</v>
      </c>
      <c r="AZ3121" s="3" t="s">
        <v>31276</v>
      </c>
      <c r="BA3121" s="3" t="s">
        <v>31276</v>
      </c>
      <c r="BB3121" s="3" t="s">
        <v>31277</v>
      </c>
      <c r="BC3121" s="3" t="s">
        <v>77</v>
      </c>
      <c r="BD3121" s="3" t="s">
        <v>165</v>
      </c>
      <c r="BE3121" s="3" t="s">
        <v>31278</v>
      </c>
      <c r="BF3121" s="3" t="s">
        <v>31277</v>
      </c>
      <c r="BG3121" s="3" t="s">
        <v>31279</v>
      </c>
      <c r="BH3121">
        <f t="shared" si="75"/>
        <v>0</v>
      </c>
    </row>
    <row r="3122" spans="1:60" ht="58" x14ac:dyDescent="0.35">
      <c r="A3122" s="2" t="s">
        <v>59</v>
      </c>
      <c r="B3122" s="2" t="s">
        <v>60</v>
      </c>
      <c r="C3122" s="2" t="s">
        <v>31280</v>
      </c>
      <c r="D3122" s="2" t="s">
        <v>31281</v>
      </c>
      <c r="E3122" s="2" t="s">
        <v>31282</v>
      </c>
      <c r="G3122" s="3" t="s">
        <v>64</v>
      </c>
      <c r="I3122" s="3" t="s">
        <v>64</v>
      </c>
      <c r="J3122" s="3" t="s">
        <v>64</v>
      </c>
      <c r="K3122" s="3" t="s">
        <v>65</v>
      </c>
      <c r="L3122" s="2" t="s">
        <v>31283</v>
      </c>
      <c r="M3122" s="2" t="s">
        <v>9226</v>
      </c>
      <c r="N3122" s="3" t="s">
        <v>511</v>
      </c>
      <c r="P3122" s="3" t="s">
        <v>102</v>
      </c>
      <c r="R3122" s="3" t="s">
        <v>70</v>
      </c>
      <c r="S3122" s="4">
        <v>9</v>
      </c>
      <c r="T3122" s="4">
        <v>9</v>
      </c>
      <c r="U3122" s="5" t="s">
        <v>23792</v>
      </c>
      <c r="V3122" s="5" t="s">
        <v>23792</v>
      </c>
      <c r="W3122" s="5" t="s">
        <v>72</v>
      </c>
      <c r="X3122" s="5" t="s">
        <v>72</v>
      </c>
      <c r="Y3122" s="4">
        <v>98</v>
      </c>
      <c r="Z3122" s="4">
        <v>11</v>
      </c>
      <c r="AA3122" s="4">
        <v>23</v>
      </c>
      <c r="AB3122" s="4">
        <v>2</v>
      </c>
      <c r="AC3122" s="4">
        <v>5</v>
      </c>
      <c r="AD3122" s="4">
        <v>28</v>
      </c>
      <c r="AE3122" s="4">
        <v>58</v>
      </c>
      <c r="AF3122" s="4">
        <v>1</v>
      </c>
      <c r="AG3122" s="4">
        <v>2</v>
      </c>
      <c r="AH3122" s="4">
        <v>24</v>
      </c>
      <c r="AI3122" s="4">
        <v>49</v>
      </c>
      <c r="AJ3122" s="4">
        <v>7</v>
      </c>
      <c r="AK3122" s="4">
        <v>11</v>
      </c>
      <c r="AL3122" s="4">
        <v>16</v>
      </c>
      <c r="AM3122" s="4">
        <v>29</v>
      </c>
      <c r="AN3122" s="4">
        <v>0</v>
      </c>
      <c r="AO3122" s="4">
        <v>0</v>
      </c>
      <c r="AP3122" s="4">
        <v>8</v>
      </c>
      <c r="AQ3122" s="4">
        <v>13</v>
      </c>
      <c r="AR3122" s="3" t="s">
        <v>64</v>
      </c>
      <c r="AS3122" s="3" t="s">
        <v>64</v>
      </c>
      <c r="AT3122" s="3" t="s">
        <v>64</v>
      </c>
      <c r="AV3122" s="6" t="str">
        <f>HYPERLINK("http://mcgill.on.worldcat.org/oclc/455821585","Catalog Record")</f>
        <v>Catalog Record</v>
      </c>
      <c r="AW3122" s="6" t="str">
        <f>HYPERLINK("http://www.worldcat.org/oclc/455821585","WorldCat Record")</f>
        <v>WorldCat Record</v>
      </c>
      <c r="AX3122" s="3" t="s">
        <v>31284</v>
      </c>
      <c r="AY3122" s="3" t="s">
        <v>31285</v>
      </c>
      <c r="AZ3122" s="3" t="s">
        <v>31286</v>
      </c>
      <c r="BA3122" s="3" t="s">
        <v>31286</v>
      </c>
      <c r="BB3122" s="3" t="s">
        <v>31287</v>
      </c>
      <c r="BC3122" s="3" t="s">
        <v>77</v>
      </c>
      <c r="BD3122" s="3" t="s">
        <v>78</v>
      </c>
      <c r="BE3122" s="3" t="s">
        <v>31288</v>
      </c>
      <c r="BF3122" s="3" t="s">
        <v>31287</v>
      </c>
      <c r="BG3122" s="3" t="s">
        <v>31289</v>
      </c>
      <c r="BH3122">
        <f t="shared" si="75"/>
        <v>0</v>
      </c>
    </row>
    <row r="3123" spans="1:60" ht="58" x14ac:dyDescent="0.35">
      <c r="A3123" s="2" t="s">
        <v>59</v>
      </c>
      <c r="B3123" s="2" t="s">
        <v>60</v>
      </c>
      <c r="C3123" s="2" t="s">
        <v>31290</v>
      </c>
      <c r="D3123" s="2" t="s">
        <v>31291</v>
      </c>
      <c r="E3123" s="2" t="s">
        <v>31292</v>
      </c>
      <c r="G3123" s="3" t="s">
        <v>64</v>
      </c>
      <c r="I3123" s="3" t="s">
        <v>64</v>
      </c>
      <c r="J3123" s="3" t="s">
        <v>64</v>
      </c>
      <c r="K3123" s="3" t="s">
        <v>65</v>
      </c>
      <c r="L3123" s="2" t="s">
        <v>31293</v>
      </c>
      <c r="M3123" s="2" t="s">
        <v>18943</v>
      </c>
      <c r="N3123" s="3" t="s">
        <v>551</v>
      </c>
      <c r="P3123" s="3" t="s">
        <v>102</v>
      </c>
      <c r="R3123" s="3" t="s">
        <v>70</v>
      </c>
      <c r="S3123" s="4">
        <v>5</v>
      </c>
      <c r="T3123" s="4">
        <v>5</v>
      </c>
      <c r="U3123" s="5" t="s">
        <v>980</v>
      </c>
      <c r="V3123" s="5" t="s">
        <v>980</v>
      </c>
      <c r="W3123" s="5" t="s">
        <v>72</v>
      </c>
      <c r="X3123" s="5" t="s">
        <v>72</v>
      </c>
      <c r="Y3123" s="4">
        <v>543</v>
      </c>
      <c r="Z3123" s="4">
        <v>37</v>
      </c>
      <c r="AA3123" s="4">
        <v>122</v>
      </c>
      <c r="AB3123" s="4">
        <v>4</v>
      </c>
      <c r="AC3123" s="4">
        <v>20</v>
      </c>
      <c r="AD3123" s="4">
        <v>66</v>
      </c>
      <c r="AE3123" s="4">
        <v>124</v>
      </c>
      <c r="AF3123" s="4">
        <v>0</v>
      </c>
      <c r="AG3123" s="4">
        <v>8</v>
      </c>
      <c r="AH3123" s="4">
        <v>62</v>
      </c>
      <c r="AI3123" s="4">
        <v>88</v>
      </c>
      <c r="AJ3123" s="4">
        <v>8</v>
      </c>
      <c r="AK3123" s="4">
        <v>20</v>
      </c>
      <c r="AL3123" s="4">
        <v>26</v>
      </c>
      <c r="AM3123" s="4">
        <v>44</v>
      </c>
      <c r="AN3123" s="4">
        <v>0</v>
      </c>
      <c r="AO3123" s="4">
        <v>0</v>
      </c>
      <c r="AP3123" s="4">
        <v>9</v>
      </c>
      <c r="AQ3123" s="4">
        <v>41</v>
      </c>
      <c r="AR3123" s="3" t="s">
        <v>64</v>
      </c>
      <c r="AS3123" s="3" t="s">
        <v>64</v>
      </c>
      <c r="AT3123" s="3" t="s">
        <v>64</v>
      </c>
      <c r="AV3123" s="6" t="str">
        <f>HYPERLINK("http://mcgill.on.worldcat.org/oclc/289095909","Catalog Record")</f>
        <v>Catalog Record</v>
      </c>
      <c r="AW3123" s="6" t="str">
        <f>HYPERLINK("http://www.worldcat.org/oclc/289095909","WorldCat Record")</f>
        <v>WorldCat Record</v>
      </c>
      <c r="AX3123" s="3" t="s">
        <v>31294</v>
      </c>
      <c r="AY3123" s="3" t="s">
        <v>31295</v>
      </c>
      <c r="AZ3123" s="3" t="s">
        <v>31296</v>
      </c>
      <c r="BA3123" s="3" t="s">
        <v>31296</v>
      </c>
      <c r="BB3123" s="3" t="s">
        <v>31297</v>
      </c>
      <c r="BC3123" s="3" t="s">
        <v>77</v>
      </c>
      <c r="BD3123" s="3" t="s">
        <v>78</v>
      </c>
      <c r="BE3123" s="3" t="s">
        <v>31298</v>
      </c>
      <c r="BF3123" s="3" t="s">
        <v>31297</v>
      </c>
      <c r="BG3123" s="3" t="s">
        <v>31299</v>
      </c>
      <c r="BH3123">
        <f t="shared" si="75"/>
        <v>0</v>
      </c>
    </row>
    <row r="3124" spans="1:60" ht="58" x14ac:dyDescent="0.35">
      <c r="A3124" s="2" t="s">
        <v>59</v>
      </c>
      <c r="B3124" s="2" t="s">
        <v>60</v>
      </c>
      <c r="C3124" s="2" t="s">
        <v>31300</v>
      </c>
      <c r="D3124" s="2" t="s">
        <v>31301</v>
      </c>
      <c r="E3124" s="2" t="s">
        <v>31302</v>
      </c>
      <c r="G3124" s="3" t="s">
        <v>64</v>
      </c>
      <c r="I3124" s="3" t="s">
        <v>64</v>
      </c>
      <c r="J3124" s="3" t="s">
        <v>64</v>
      </c>
      <c r="K3124" s="3" t="s">
        <v>65</v>
      </c>
      <c r="L3124" s="2" t="s">
        <v>31303</v>
      </c>
      <c r="M3124" s="2" t="s">
        <v>14552</v>
      </c>
      <c r="N3124" s="3" t="s">
        <v>537</v>
      </c>
      <c r="P3124" s="3" t="s">
        <v>102</v>
      </c>
      <c r="R3124" s="3" t="s">
        <v>70</v>
      </c>
      <c r="S3124" s="4">
        <v>0</v>
      </c>
      <c r="T3124" s="4">
        <v>0</v>
      </c>
      <c r="W3124" s="5" t="s">
        <v>72</v>
      </c>
      <c r="X3124" s="5" t="s">
        <v>72</v>
      </c>
      <c r="Y3124" s="4">
        <v>282</v>
      </c>
      <c r="Z3124" s="4">
        <v>7</v>
      </c>
      <c r="AA3124" s="4">
        <v>74</v>
      </c>
      <c r="AB3124" s="4">
        <v>1</v>
      </c>
      <c r="AC3124" s="4">
        <v>15</v>
      </c>
      <c r="AD3124" s="4">
        <v>30</v>
      </c>
      <c r="AE3124" s="4">
        <v>91</v>
      </c>
      <c r="AF3124" s="4">
        <v>0</v>
      </c>
      <c r="AG3124" s="4">
        <v>8</v>
      </c>
      <c r="AH3124" s="4">
        <v>30</v>
      </c>
      <c r="AI3124" s="4">
        <v>61</v>
      </c>
      <c r="AJ3124" s="4">
        <v>3</v>
      </c>
      <c r="AK3124" s="4">
        <v>16</v>
      </c>
      <c r="AL3124" s="4">
        <v>14</v>
      </c>
      <c r="AM3124" s="4">
        <v>31</v>
      </c>
      <c r="AN3124" s="4">
        <v>0</v>
      </c>
      <c r="AO3124" s="4">
        <v>0</v>
      </c>
      <c r="AP3124" s="4">
        <v>3</v>
      </c>
      <c r="AQ3124" s="4">
        <v>35</v>
      </c>
      <c r="AR3124" s="3" t="s">
        <v>64</v>
      </c>
      <c r="AS3124" s="3" t="s">
        <v>64</v>
      </c>
      <c r="AT3124" s="3" t="s">
        <v>64</v>
      </c>
      <c r="AV3124" s="6" t="str">
        <f>HYPERLINK("http://mcgill.on.worldcat.org/oclc/950611406","Catalog Record")</f>
        <v>Catalog Record</v>
      </c>
      <c r="AW3124" s="6" t="str">
        <f>HYPERLINK("http://www.worldcat.org/oclc/950611406","WorldCat Record")</f>
        <v>WorldCat Record</v>
      </c>
      <c r="AX3124" s="3" t="s">
        <v>31304</v>
      </c>
      <c r="AY3124" s="3" t="s">
        <v>31305</v>
      </c>
      <c r="AZ3124" s="3" t="s">
        <v>31306</v>
      </c>
      <c r="BA3124" s="3" t="s">
        <v>31306</v>
      </c>
      <c r="BB3124" s="3" t="s">
        <v>31307</v>
      </c>
      <c r="BC3124" s="3" t="s">
        <v>77</v>
      </c>
      <c r="BD3124" s="3" t="s">
        <v>78</v>
      </c>
      <c r="BE3124" s="3" t="s">
        <v>31308</v>
      </c>
      <c r="BF3124" s="3" t="s">
        <v>31307</v>
      </c>
      <c r="BG3124" s="3" t="s">
        <v>31309</v>
      </c>
      <c r="BH3124">
        <f t="shared" si="75"/>
        <v>0</v>
      </c>
    </row>
    <row r="3125" spans="1:60" ht="58" x14ac:dyDescent="0.35">
      <c r="A3125" s="2" t="s">
        <v>59</v>
      </c>
      <c r="B3125" s="2" t="s">
        <v>60</v>
      </c>
      <c r="C3125" s="2" t="s">
        <v>31310</v>
      </c>
      <c r="D3125" s="2" t="s">
        <v>31311</v>
      </c>
      <c r="E3125" s="2" t="s">
        <v>31312</v>
      </c>
      <c r="G3125" s="3" t="s">
        <v>64</v>
      </c>
      <c r="I3125" s="3" t="s">
        <v>64</v>
      </c>
      <c r="J3125" s="3" t="s">
        <v>64</v>
      </c>
      <c r="K3125" s="3" t="s">
        <v>65</v>
      </c>
      <c r="M3125" s="2" t="s">
        <v>31313</v>
      </c>
      <c r="N3125" s="3" t="s">
        <v>291</v>
      </c>
      <c r="P3125" s="3" t="s">
        <v>102</v>
      </c>
      <c r="Q3125" s="2" t="s">
        <v>3876</v>
      </c>
      <c r="R3125" s="3" t="s">
        <v>70</v>
      </c>
      <c r="S3125" s="4">
        <v>24</v>
      </c>
      <c r="T3125" s="4">
        <v>24</v>
      </c>
      <c r="U3125" s="5" t="s">
        <v>5442</v>
      </c>
      <c r="V3125" s="5" t="s">
        <v>5442</v>
      </c>
      <c r="W3125" s="5" t="s">
        <v>72</v>
      </c>
      <c r="X3125" s="5" t="s">
        <v>72</v>
      </c>
      <c r="Y3125" s="4">
        <v>396</v>
      </c>
      <c r="Z3125" s="4">
        <v>23</v>
      </c>
      <c r="AA3125" s="4">
        <v>31</v>
      </c>
      <c r="AB3125" s="4">
        <v>2</v>
      </c>
      <c r="AC3125" s="4">
        <v>5</v>
      </c>
      <c r="AD3125" s="4">
        <v>99</v>
      </c>
      <c r="AE3125" s="4">
        <v>106</v>
      </c>
      <c r="AF3125" s="4">
        <v>0</v>
      </c>
      <c r="AG3125" s="4">
        <v>0</v>
      </c>
      <c r="AH3125" s="4">
        <v>90</v>
      </c>
      <c r="AI3125" s="4">
        <v>95</v>
      </c>
      <c r="AJ3125" s="4">
        <v>13</v>
      </c>
      <c r="AK3125" s="4">
        <v>13</v>
      </c>
      <c r="AL3125" s="4">
        <v>50</v>
      </c>
      <c r="AM3125" s="4">
        <v>51</v>
      </c>
      <c r="AN3125" s="4">
        <v>0</v>
      </c>
      <c r="AO3125" s="4">
        <v>0</v>
      </c>
      <c r="AP3125" s="4">
        <v>17</v>
      </c>
      <c r="AQ3125" s="4">
        <v>19</v>
      </c>
      <c r="AR3125" s="3" t="s">
        <v>64</v>
      </c>
      <c r="AS3125" s="3" t="s">
        <v>64</v>
      </c>
      <c r="AT3125" s="3" t="s">
        <v>128</v>
      </c>
      <c r="AU3125" s="6" t="str">
        <f>HYPERLINK("http://catalog.hathitrust.org/Record/005595500","HathiTrust Record")</f>
        <v>HathiTrust Record</v>
      </c>
      <c r="AV3125" s="6" t="str">
        <f>HYPERLINK("http://mcgill.on.worldcat.org/oclc/81861443","Catalog Record")</f>
        <v>Catalog Record</v>
      </c>
      <c r="AW3125" s="6" t="str">
        <f>HYPERLINK("http://www.worldcat.org/oclc/81861443","WorldCat Record")</f>
        <v>WorldCat Record</v>
      </c>
      <c r="AX3125" s="3" t="s">
        <v>31314</v>
      </c>
      <c r="AY3125" s="3" t="s">
        <v>31315</v>
      </c>
      <c r="AZ3125" s="3" t="s">
        <v>31316</v>
      </c>
      <c r="BA3125" s="3" t="s">
        <v>31316</v>
      </c>
      <c r="BB3125" s="3" t="s">
        <v>31317</v>
      </c>
      <c r="BC3125" s="3" t="s">
        <v>77</v>
      </c>
      <c r="BD3125" s="3" t="s">
        <v>165</v>
      </c>
      <c r="BE3125" s="3" t="s">
        <v>31318</v>
      </c>
      <c r="BF3125" s="3" t="s">
        <v>31317</v>
      </c>
      <c r="BG3125" s="3" t="s">
        <v>31319</v>
      </c>
      <c r="BH3125">
        <f t="shared" si="75"/>
        <v>0</v>
      </c>
    </row>
    <row r="3126" spans="1:60" ht="58" x14ac:dyDescent="0.35">
      <c r="A3126" s="2" t="s">
        <v>59</v>
      </c>
      <c r="B3126" s="2" t="s">
        <v>60</v>
      </c>
      <c r="C3126" s="2" t="s">
        <v>31320</v>
      </c>
      <c r="D3126" s="2" t="s">
        <v>31321</v>
      </c>
      <c r="E3126" s="2" t="s">
        <v>31322</v>
      </c>
      <c r="G3126" s="3" t="s">
        <v>64</v>
      </c>
      <c r="I3126" s="3" t="s">
        <v>64</v>
      </c>
      <c r="J3126" s="3" t="s">
        <v>64</v>
      </c>
      <c r="K3126" s="3" t="s">
        <v>65</v>
      </c>
      <c r="M3126" s="2" t="s">
        <v>20150</v>
      </c>
      <c r="N3126" s="3" t="s">
        <v>116</v>
      </c>
      <c r="P3126" s="3" t="s">
        <v>102</v>
      </c>
      <c r="Q3126" s="2" t="s">
        <v>21484</v>
      </c>
      <c r="R3126" s="3" t="s">
        <v>70</v>
      </c>
      <c r="S3126" s="4">
        <v>16</v>
      </c>
      <c r="T3126" s="4">
        <v>16</v>
      </c>
      <c r="U3126" s="5" t="s">
        <v>24541</v>
      </c>
      <c r="V3126" s="5" t="s">
        <v>24541</v>
      </c>
      <c r="W3126" s="5" t="s">
        <v>72</v>
      </c>
      <c r="X3126" s="5" t="s">
        <v>72</v>
      </c>
      <c r="Y3126" s="4">
        <v>558</v>
      </c>
      <c r="Z3126" s="4">
        <v>23</v>
      </c>
      <c r="AA3126" s="4">
        <v>107</v>
      </c>
      <c r="AB3126" s="4">
        <v>2</v>
      </c>
      <c r="AC3126" s="4">
        <v>18</v>
      </c>
      <c r="AD3126" s="4">
        <v>90</v>
      </c>
      <c r="AE3126" s="4">
        <v>133</v>
      </c>
      <c r="AF3126" s="4">
        <v>0</v>
      </c>
      <c r="AG3126" s="4">
        <v>8</v>
      </c>
      <c r="AH3126" s="4">
        <v>81</v>
      </c>
      <c r="AI3126" s="4">
        <v>96</v>
      </c>
      <c r="AJ3126" s="4">
        <v>10</v>
      </c>
      <c r="AK3126" s="4">
        <v>22</v>
      </c>
      <c r="AL3126" s="4">
        <v>43</v>
      </c>
      <c r="AM3126" s="4">
        <v>49</v>
      </c>
      <c r="AN3126" s="4">
        <v>0</v>
      </c>
      <c r="AO3126" s="4">
        <v>0</v>
      </c>
      <c r="AP3126" s="4">
        <v>11</v>
      </c>
      <c r="AQ3126" s="4">
        <v>43</v>
      </c>
      <c r="AR3126" s="3" t="s">
        <v>64</v>
      </c>
      <c r="AS3126" s="3" t="s">
        <v>64</v>
      </c>
      <c r="AT3126" s="3" t="s">
        <v>64</v>
      </c>
      <c r="AV3126" s="6" t="str">
        <f>HYPERLINK("http://mcgill.on.worldcat.org/oclc/46473866","Catalog Record")</f>
        <v>Catalog Record</v>
      </c>
      <c r="AW3126" s="6" t="str">
        <f>HYPERLINK("http://www.worldcat.org/oclc/46473866","WorldCat Record")</f>
        <v>WorldCat Record</v>
      </c>
      <c r="AX3126" s="3" t="s">
        <v>31323</v>
      </c>
      <c r="AY3126" s="3" t="s">
        <v>31324</v>
      </c>
      <c r="AZ3126" s="3" t="s">
        <v>31325</v>
      </c>
      <c r="BA3126" s="3" t="s">
        <v>31325</v>
      </c>
      <c r="BB3126" s="3" t="s">
        <v>31326</v>
      </c>
      <c r="BC3126" s="3" t="s">
        <v>77</v>
      </c>
      <c r="BD3126" s="3" t="s">
        <v>78</v>
      </c>
      <c r="BE3126" s="3" t="s">
        <v>31327</v>
      </c>
      <c r="BF3126" s="3" t="s">
        <v>31326</v>
      </c>
      <c r="BG3126" s="3" t="s">
        <v>31328</v>
      </c>
      <c r="BH3126">
        <f t="shared" si="75"/>
        <v>0</v>
      </c>
    </row>
    <row r="3127" spans="1:60" ht="58" x14ac:dyDescent="0.35">
      <c r="A3127" s="2" t="s">
        <v>59</v>
      </c>
      <c r="B3127" s="2" t="s">
        <v>60</v>
      </c>
      <c r="C3127" s="2" t="s">
        <v>31329</v>
      </c>
      <c r="D3127" s="2" t="s">
        <v>31330</v>
      </c>
      <c r="E3127" s="2" t="s">
        <v>31331</v>
      </c>
      <c r="G3127" s="3" t="s">
        <v>64</v>
      </c>
      <c r="I3127" s="3" t="s">
        <v>64</v>
      </c>
      <c r="J3127" s="3" t="s">
        <v>64</v>
      </c>
      <c r="K3127" s="3" t="s">
        <v>65</v>
      </c>
      <c r="M3127" s="2" t="s">
        <v>15765</v>
      </c>
      <c r="N3127" s="3" t="s">
        <v>326</v>
      </c>
      <c r="P3127" s="3" t="s">
        <v>102</v>
      </c>
      <c r="Q3127" s="2" t="s">
        <v>8981</v>
      </c>
      <c r="R3127" s="3" t="s">
        <v>70</v>
      </c>
      <c r="S3127" s="4">
        <v>3</v>
      </c>
      <c r="T3127" s="4">
        <v>3</v>
      </c>
      <c r="U3127" s="5" t="s">
        <v>23792</v>
      </c>
      <c r="V3127" s="5" t="s">
        <v>23792</v>
      </c>
      <c r="W3127" s="5" t="s">
        <v>72</v>
      </c>
      <c r="X3127" s="5" t="s">
        <v>72</v>
      </c>
      <c r="Y3127" s="4">
        <v>116</v>
      </c>
      <c r="Z3127" s="4">
        <v>13</v>
      </c>
      <c r="AA3127" s="4">
        <v>82</v>
      </c>
      <c r="AB3127" s="4">
        <v>1</v>
      </c>
      <c r="AC3127" s="4">
        <v>14</v>
      </c>
      <c r="AD3127" s="4">
        <v>26</v>
      </c>
      <c r="AE3127" s="4">
        <v>108</v>
      </c>
      <c r="AF3127" s="4">
        <v>0</v>
      </c>
      <c r="AG3127" s="4">
        <v>8</v>
      </c>
      <c r="AH3127" s="4">
        <v>25</v>
      </c>
      <c r="AI3127" s="4">
        <v>74</v>
      </c>
      <c r="AJ3127" s="4">
        <v>7</v>
      </c>
      <c r="AK3127" s="4">
        <v>20</v>
      </c>
      <c r="AL3127" s="4">
        <v>15</v>
      </c>
      <c r="AM3127" s="4">
        <v>36</v>
      </c>
      <c r="AN3127" s="4">
        <v>0</v>
      </c>
      <c r="AO3127" s="4">
        <v>0</v>
      </c>
      <c r="AP3127" s="4">
        <v>8</v>
      </c>
      <c r="AQ3127" s="4">
        <v>41</v>
      </c>
      <c r="AR3127" s="3" t="s">
        <v>64</v>
      </c>
      <c r="AS3127" s="3" t="s">
        <v>64</v>
      </c>
      <c r="AT3127" s="3" t="s">
        <v>64</v>
      </c>
      <c r="AV3127" s="6" t="str">
        <f>HYPERLINK("http://mcgill.on.worldcat.org/oclc/730976112","Catalog Record")</f>
        <v>Catalog Record</v>
      </c>
      <c r="AW3127" s="6" t="str">
        <f>HYPERLINK("http://www.worldcat.org/oclc/730976112","WorldCat Record")</f>
        <v>WorldCat Record</v>
      </c>
      <c r="AX3127" s="3" t="s">
        <v>31332</v>
      </c>
      <c r="AY3127" s="3" t="s">
        <v>31333</v>
      </c>
      <c r="AZ3127" s="3" t="s">
        <v>31334</v>
      </c>
      <c r="BA3127" s="3" t="s">
        <v>31334</v>
      </c>
      <c r="BB3127" s="3" t="s">
        <v>31335</v>
      </c>
      <c r="BC3127" s="3" t="s">
        <v>77</v>
      </c>
      <c r="BD3127" s="3" t="s">
        <v>78</v>
      </c>
      <c r="BE3127" s="3" t="s">
        <v>31336</v>
      </c>
      <c r="BF3127" s="3" t="s">
        <v>31335</v>
      </c>
      <c r="BG3127" s="3" t="s">
        <v>31337</v>
      </c>
      <c r="BH3127">
        <f t="shared" si="75"/>
        <v>0</v>
      </c>
    </row>
    <row r="3128" spans="1:60" ht="58" x14ac:dyDescent="0.35">
      <c r="A3128" s="2" t="s">
        <v>59</v>
      </c>
      <c r="B3128" s="2" t="s">
        <v>60</v>
      </c>
      <c r="C3128" s="2" t="s">
        <v>31338</v>
      </c>
      <c r="D3128" s="2" t="s">
        <v>31339</v>
      </c>
      <c r="E3128" s="2" t="s">
        <v>31340</v>
      </c>
      <c r="G3128" s="3" t="s">
        <v>64</v>
      </c>
      <c r="I3128" s="3" t="s">
        <v>64</v>
      </c>
      <c r="J3128" s="3" t="s">
        <v>64</v>
      </c>
      <c r="K3128" s="3" t="s">
        <v>65</v>
      </c>
      <c r="M3128" s="2" t="s">
        <v>31341</v>
      </c>
      <c r="N3128" s="3" t="s">
        <v>86</v>
      </c>
      <c r="P3128" s="3" t="s">
        <v>102</v>
      </c>
      <c r="Q3128" s="2" t="s">
        <v>31342</v>
      </c>
      <c r="R3128" s="3" t="s">
        <v>70</v>
      </c>
      <c r="S3128" s="4">
        <v>2</v>
      </c>
      <c r="T3128" s="4">
        <v>2</v>
      </c>
      <c r="U3128" s="5" t="s">
        <v>31343</v>
      </c>
      <c r="V3128" s="5" t="s">
        <v>31343</v>
      </c>
      <c r="W3128" s="5" t="s">
        <v>72</v>
      </c>
      <c r="X3128" s="5" t="s">
        <v>72</v>
      </c>
      <c r="Y3128" s="4">
        <v>120</v>
      </c>
      <c r="Z3128" s="4">
        <v>8</v>
      </c>
      <c r="AA3128" s="4">
        <v>27</v>
      </c>
      <c r="AB3128" s="4">
        <v>1</v>
      </c>
      <c r="AC3128" s="4">
        <v>5</v>
      </c>
      <c r="AD3128" s="4">
        <v>33</v>
      </c>
      <c r="AE3128" s="4">
        <v>70</v>
      </c>
      <c r="AF3128" s="4">
        <v>0</v>
      </c>
      <c r="AG3128" s="4">
        <v>2</v>
      </c>
      <c r="AH3128" s="4">
        <v>32</v>
      </c>
      <c r="AI3128" s="4">
        <v>58</v>
      </c>
      <c r="AJ3128" s="4">
        <v>6</v>
      </c>
      <c r="AK3128" s="4">
        <v>14</v>
      </c>
      <c r="AL3128" s="4">
        <v>19</v>
      </c>
      <c r="AM3128" s="4">
        <v>34</v>
      </c>
      <c r="AN3128" s="4">
        <v>0</v>
      </c>
      <c r="AO3128" s="4">
        <v>0</v>
      </c>
      <c r="AP3128" s="4">
        <v>5</v>
      </c>
      <c r="AQ3128" s="4">
        <v>17</v>
      </c>
      <c r="AR3128" s="3" t="s">
        <v>64</v>
      </c>
      <c r="AS3128" s="3" t="s">
        <v>64</v>
      </c>
      <c r="AT3128" s="3" t="s">
        <v>64</v>
      </c>
      <c r="AV3128" s="6" t="str">
        <f>HYPERLINK("http://mcgill.on.worldcat.org/oclc/806291283","Catalog Record")</f>
        <v>Catalog Record</v>
      </c>
      <c r="AW3128" s="6" t="str">
        <f>HYPERLINK("http://www.worldcat.org/oclc/806291283","WorldCat Record")</f>
        <v>WorldCat Record</v>
      </c>
      <c r="AX3128" s="3" t="s">
        <v>31344</v>
      </c>
      <c r="AY3128" s="3" t="s">
        <v>31345</v>
      </c>
      <c r="AZ3128" s="3" t="s">
        <v>31346</v>
      </c>
      <c r="BA3128" s="3" t="s">
        <v>31346</v>
      </c>
      <c r="BB3128" s="3" t="s">
        <v>31347</v>
      </c>
      <c r="BC3128" s="3" t="s">
        <v>77</v>
      </c>
      <c r="BD3128" s="3" t="s">
        <v>78</v>
      </c>
      <c r="BE3128" s="3" t="s">
        <v>31348</v>
      </c>
      <c r="BF3128" s="3" t="s">
        <v>31347</v>
      </c>
      <c r="BG3128" s="3" t="s">
        <v>31349</v>
      </c>
      <c r="BH3128">
        <f t="shared" si="75"/>
        <v>0</v>
      </c>
    </row>
    <row r="3129" spans="1:60" ht="58" x14ac:dyDescent="0.35">
      <c r="A3129" s="2" t="s">
        <v>59</v>
      </c>
      <c r="B3129" s="2" t="s">
        <v>60</v>
      </c>
      <c r="C3129" s="2" t="s">
        <v>31350</v>
      </c>
      <c r="D3129" s="2" t="s">
        <v>31351</v>
      </c>
      <c r="E3129" s="2" t="s">
        <v>31352</v>
      </c>
      <c r="G3129" s="3" t="s">
        <v>64</v>
      </c>
      <c r="I3129" s="3" t="s">
        <v>64</v>
      </c>
      <c r="J3129" s="3" t="s">
        <v>64</v>
      </c>
      <c r="K3129" s="3" t="s">
        <v>65</v>
      </c>
      <c r="M3129" s="2" t="s">
        <v>15272</v>
      </c>
      <c r="N3129" s="3" t="s">
        <v>291</v>
      </c>
      <c r="O3129" s="2" t="s">
        <v>2149</v>
      </c>
      <c r="P3129" s="3" t="s">
        <v>102</v>
      </c>
      <c r="R3129" s="3" t="s">
        <v>70</v>
      </c>
      <c r="S3129" s="4">
        <v>26</v>
      </c>
      <c r="T3129" s="4">
        <v>26</v>
      </c>
      <c r="U3129" s="5" t="s">
        <v>31353</v>
      </c>
      <c r="V3129" s="5" t="s">
        <v>31353</v>
      </c>
      <c r="W3129" s="5" t="s">
        <v>72</v>
      </c>
      <c r="X3129" s="5" t="s">
        <v>72</v>
      </c>
      <c r="Y3129" s="4">
        <v>495</v>
      </c>
      <c r="Z3129" s="4">
        <v>40</v>
      </c>
      <c r="AA3129" s="4">
        <v>42</v>
      </c>
      <c r="AB3129" s="4">
        <v>2</v>
      </c>
      <c r="AC3129" s="4">
        <v>4</v>
      </c>
      <c r="AD3129" s="4">
        <v>92</v>
      </c>
      <c r="AE3129" s="4">
        <v>94</v>
      </c>
      <c r="AF3129" s="4">
        <v>0</v>
      </c>
      <c r="AG3129" s="4">
        <v>2</v>
      </c>
      <c r="AH3129" s="4">
        <v>78</v>
      </c>
      <c r="AI3129" s="4">
        <v>79</v>
      </c>
      <c r="AJ3129" s="4">
        <v>16</v>
      </c>
      <c r="AK3129" s="4">
        <v>18</v>
      </c>
      <c r="AL3129" s="4">
        <v>42</v>
      </c>
      <c r="AM3129" s="4">
        <v>42</v>
      </c>
      <c r="AN3129" s="4">
        <v>0</v>
      </c>
      <c r="AO3129" s="4">
        <v>0</v>
      </c>
      <c r="AP3129" s="4">
        <v>23</v>
      </c>
      <c r="AQ3129" s="4">
        <v>24</v>
      </c>
      <c r="AR3129" s="3" t="s">
        <v>64</v>
      </c>
      <c r="AS3129" s="3" t="s">
        <v>64</v>
      </c>
      <c r="AT3129" s="3" t="s">
        <v>128</v>
      </c>
      <c r="AU3129" s="6" t="str">
        <f>HYPERLINK("http://catalog.hathitrust.org/Record/005414814","HathiTrust Record")</f>
        <v>HathiTrust Record</v>
      </c>
      <c r="AV3129" s="6" t="str">
        <f>HYPERLINK("http://mcgill.on.worldcat.org/oclc/74492028","Catalog Record")</f>
        <v>Catalog Record</v>
      </c>
      <c r="AW3129" s="6" t="str">
        <f>HYPERLINK("http://www.worldcat.org/oclc/74492028","WorldCat Record")</f>
        <v>WorldCat Record</v>
      </c>
      <c r="AX3129" s="3" t="s">
        <v>31354</v>
      </c>
      <c r="AY3129" s="3" t="s">
        <v>31355</v>
      </c>
      <c r="AZ3129" s="3" t="s">
        <v>31356</v>
      </c>
      <c r="BA3129" s="3" t="s">
        <v>31356</v>
      </c>
      <c r="BB3129" s="3" t="s">
        <v>31357</v>
      </c>
      <c r="BC3129" s="3" t="s">
        <v>77</v>
      </c>
      <c r="BD3129" s="3" t="s">
        <v>78</v>
      </c>
      <c r="BE3129" s="3" t="s">
        <v>31358</v>
      </c>
      <c r="BF3129" s="3" t="s">
        <v>31357</v>
      </c>
      <c r="BG3129" s="3" t="s">
        <v>31359</v>
      </c>
      <c r="BH3129">
        <f t="shared" si="75"/>
        <v>0</v>
      </c>
    </row>
    <row r="3130" spans="1:60" ht="58" x14ac:dyDescent="0.35">
      <c r="A3130" s="2" t="s">
        <v>59</v>
      </c>
      <c r="B3130" s="2" t="s">
        <v>60</v>
      </c>
      <c r="C3130" s="2" t="s">
        <v>31360</v>
      </c>
      <c r="D3130" s="2" t="s">
        <v>31361</v>
      </c>
      <c r="E3130" s="2" t="s">
        <v>31362</v>
      </c>
      <c r="G3130" s="3" t="s">
        <v>64</v>
      </c>
      <c r="I3130" s="3" t="s">
        <v>64</v>
      </c>
      <c r="J3130" s="3" t="s">
        <v>64</v>
      </c>
      <c r="K3130" s="3" t="s">
        <v>65</v>
      </c>
      <c r="L3130" s="2" t="s">
        <v>31363</v>
      </c>
      <c r="M3130" s="2" t="s">
        <v>15068</v>
      </c>
      <c r="N3130" s="3" t="s">
        <v>116</v>
      </c>
      <c r="P3130" s="3" t="s">
        <v>102</v>
      </c>
      <c r="R3130" s="3" t="s">
        <v>70</v>
      </c>
      <c r="S3130" s="4">
        <v>13</v>
      </c>
      <c r="T3130" s="4">
        <v>13</v>
      </c>
      <c r="U3130" s="5" t="s">
        <v>23792</v>
      </c>
      <c r="V3130" s="5" t="s">
        <v>23792</v>
      </c>
      <c r="W3130" s="5" t="s">
        <v>72</v>
      </c>
      <c r="X3130" s="5" t="s">
        <v>72</v>
      </c>
      <c r="Y3130" s="4">
        <v>248</v>
      </c>
      <c r="Z3130" s="4">
        <v>17</v>
      </c>
      <c r="AA3130" s="4">
        <v>18</v>
      </c>
      <c r="AB3130" s="4">
        <v>2</v>
      </c>
      <c r="AC3130" s="4">
        <v>3</v>
      </c>
      <c r="AD3130" s="4">
        <v>64</v>
      </c>
      <c r="AE3130" s="4">
        <v>65</v>
      </c>
      <c r="AF3130" s="4">
        <v>0</v>
      </c>
      <c r="AG3130" s="4">
        <v>1</v>
      </c>
      <c r="AH3130" s="4">
        <v>61</v>
      </c>
      <c r="AI3130" s="4">
        <v>61</v>
      </c>
      <c r="AJ3130" s="4">
        <v>7</v>
      </c>
      <c r="AK3130" s="4">
        <v>8</v>
      </c>
      <c r="AL3130" s="4">
        <v>34</v>
      </c>
      <c r="AM3130" s="4">
        <v>34</v>
      </c>
      <c r="AN3130" s="4">
        <v>0</v>
      </c>
      <c r="AO3130" s="4">
        <v>0</v>
      </c>
      <c r="AP3130" s="4">
        <v>7</v>
      </c>
      <c r="AQ3130" s="4">
        <v>7</v>
      </c>
      <c r="AR3130" s="3" t="s">
        <v>64</v>
      </c>
      <c r="AS3130" s="3" t="s">
        <v>64</v>
      </c>
      <c r="AT3130" s="3" t="s">
        <v>64</v>
      </c>
      <c r="AV3130" s="6" t="str">
        <f>HYPERLINK("http://mcgill.on.worldcat.org/oclc/46473762","Catalog Record")</f>
        <v>Catalog Record</v>
      </c>
      <c r="AW3130" s="6" t="str">
        <f>HYPERLINK("http://www.worldcat.org/oclc/46473762","WorldCat Record")</f>
        <v>WorldCat Record</v>
      </c>
      <c r="AX3130" s="3" t="s">
        <v>31364</v>
      </c>
      <c r="AY3130" s="3" t="s">
        <v>31365</v>
      </c>
      <c r="AZ3130" s="3" t="s">
        <v>31366</v>
      </c>
      <c r="BA3130" s="3" t="s">
        <v>31366</v>
      </c>
      <c r="BB3130" s="3" t="s">
        <v>31367</v>
      </c>
      <c r="BC3130" s="3" t="s">
        <v>77</v>
      </c>
      <c r="BD3130" s="3" t="s">
        <v>78</v>
      </c>
      <c r="BE3130" s="3" t="s">
        <v>31368</v>
      </c>
      <c r="BF3130" s="3" t="s">
        <v>31367</v>
      </c>
      <c r="BG3130" s="3" t="s">
        <v>31369</v>
      </c>
      <c r="BH3130">
        <f t="shared" si="75"/>
        <v>0</v>
      </c>
    </row>
    <row r="3131" spans="1:60" ht="58" x14ac:dyDescent="0.35">
      <c r="A3131" s="2" t="s">
        <v>59</v>
      </c>
      <c r="B3131" s="2" t="s">
        <v>60</v>
      </c>
      <c r="C3131" s="2" t="s">
        <v>31370</v>
      </c>
      <c r="D3131" s="2" t="s">
        <v>31371</v>
      </c>
      <c r="E3131" s="2" t="s">
        <v>31372</v>
      </c>
      <c r="G3131" s="3" t="s">
        <v>64</v>
      </c>
      <c r="I3131" s="3" t="s">
        <v>64</v>
      </c>
      <c r="J3131" s="3" t="s">
        <v>64</v>
      </c>
      <c r="K3131" s="3" t="s">
        <v>65</v>
      </c>
      <c r="L3131" s="2" t="s">
        <v>31373</v>
      </c>
      <c r="M3131" s="2" t="s">
        <v>14782</v>
      </c>
      <c r="N3131" s="3" t="s">
        <v>979</v>
      </c>
      <c r="P3131" s="3" t="s">
        <v>102</v>
      </c>
      <c r="R3131" s="3" t="s">
        <v>70</v>
      </c>
      <c r="S3131" s="4">
        <v>8</v>
      </c>
      <c r="T3131" s="4">
        <v>8</v>
      </c>
      <c r="U3131" s="5" t="s">
        <v>13876</v>
      </c>
      <c r="V3131" s="5" t="s">
        <v>13876</v>
      </c>
      <c r="W3131" s="5" t="s">
        <v>72</v>
      </c>
      <c r="X3131" s="5" t="s">
        <v>72</v>
      </c>
      <c r="Y3131" s="4">
        <v>454</v>
      </c>
      <c r="Z3131" s="4">
        <v>25</v>
      </c>
      <c r="AA3131" s="4">
        <v>26</v>
      </c>
      <c r="AB3131" s="4">
        <v>2</v>
      </c>
      <c r="AC3131" s="4">
        <v>3</v>
      </c>
      <c r="AD3131" s="4">
        <v>69</v>
      </c>
      <c r="AE3131" s="4">
        <v>71</v>
      </c>
      <c r="AF3131" s="4">
        <v>0</v>
      </c>
      <c r="AG3131" s="4">
        <v>1</v>
      </c>
      <c r="AH3131" s="4">
        <v>63</v>
      </c>
      <c r="AI3131" s="4">
        <v>64</v>
      </c>
      <c r="AJ3131" s="4">
        <v>9</v>
      </c>
      <c r="AK3131" s="4">
        <v>10</v>
      </c>
      <c r="AL3131" s="4">
        <v>31</v>
      </c>
      <c r="AM3131" s="4">
        <v>31</v>
      </c>
      <c r="AN3131" s="4">
        <v>0</v>
      </c>
      <c r="AO3131" s="4">
        <v>0</v>
      </c>
      <c r="AP3131" s="4">
        <v>10</v>
      </c>
      <c r="AQ3131" s="4">
        <v>10</v>
      </c>
      <c r="AR3131" s="3" t="s">
        <v>64</v>
      </c>
      <c r="AS3131" s="3" t="s">
        <v>64</v>
      </c>
      <c r="AT3131" s="3" t="s">
        <v>64</v>
      </c>
      <c r="AV3131" s="6" t="str">
        <f>HYPERLINK("http://mcgill.on.worldcat.org/oclc/43884461","Catalog Record")</f>
        <v>Catalog Record</v>
      </c>
      <c r="AW3131" s="6" t="str">
        <f>HYPERLINK("http://www.worldcat.org/oclc/43884461","WorldCat Record")</f>
        <v>WorldCat Record</v>
      </c>
      <c r="AX3131" s="3" t="s">
        <v>31374</v>
      </c>
      <c r="AY3131" s="3" t="s">
        <v>31375</v>
      </c>
      <c r="AZ3131" s="3" t="s">
        <v>31376</v>
      </c>
      <c r="BA3131" s="3" t="s">
        <v>31376</v>
      </c>
      <c r="BB3131" s="3" t="s">
        <v>31377</v>
      </c>
      <c r="BC3131" s="3" t="s">
        <v>77</v>
      </c>
      <c r="BD3131" s="3" t="s">
        <v>78</v>
      </c>
      <c r="BE3131" s="3" t="s">
        <v>31378</v>
      </c>
      <c r="BF3131" s="3" t="s">
        <v>31377</v>
      </c>
      <c r="BG3131" s="3" t="s">
        <v>31379</v>
      </c>
      <c r="BH3131">
        <f t="shared" si="75"/>
        <v>0</v>
      </c>
    </row>
    <row r="3132" spans="1:60" ht="58" x14ac:dyDescent="0.35">
      <c r="A3132" s="2" t="s">
        <v>59</v>
      </c>
      <c r="B3132" s="2" t="s">
        <v>60</v>
      </c>
      <c r="C3132" s="2" t="s">
        <v>31380</v>
      </c>
      <c r="D3132" s="2" t="s">
        <v>31381</v>
      </c>
      <c r="E3132" s="2" t="s">
        <v>31382</v>
      </c>
      <c r="G3132" s="3" t="s">
        <v>64</v>
      </c>
      <c r="I3132" s="3" t="s">
        <v>64</v>
      </c>
      <c r="J3132" s="3" t="s">
        <v>64</v>
      </c>
      <c r="K3132" s="3" t="s">
        <v>65</v>
      </c>
      <c r="M3132" s="2" t="s">
        <v>18847</v>
      </c>
      <c r="N3132" s="3" t="s">
        <v>86</v>
      </c>
      <c r="P3132" s="3" t="s">
        <v>102</v>
      </c>
      <c r="R3132" s="3" t="s">
        <v>70</v>
      </c>
      <c r="S3132" s="4">
        <v>0</v>
      </c>
      <c r="T3132" s="4">
        <v>0</v>
      </c>
      <c r="W3132" s="5" t="s">
        <v>72</v>
      </c>
      <c r="X3132" s="5" t="s">
        <v>72</v>
      </c>
      <c r="Y3132" s="4">
        <v>79</v>
      </c>
      <c r="Z3132" s="4">
        <v>8</v>
      </c>
      <c r="AA3132" s="4">
        <v>13</v>
      </c>
      <c r="AB3132" s="4">
        <v>1</v>
      </c>
      <c r="AC3132" s="4">
        <v>3</v>
      </c>
      <c r="AD3132" s="4">
        <v>11</v>
      </c>
      <c r="AE3132" s="4">
        <v>24</v>
      </c>
      <c r="AF3132" s="4">
        <v>0</v>
      </c>
      <c r="AG3132" s="4">
        <v>0</v>
      </c>
      <c r="AH3132" s="4">
        <v>11</v>
      </c>
      <c r="AI3132" s="4">
        <v>22</v>
      </c>
      <c r="AJ3132" s="4">
        <v>4</v>
      </c>
      <c r="AK3132" s="4">
        <v>5</v>
      </c>
      <c r="AL3132" s="4">
        <v>5</v>
      </c>
      <c r="AM3132" s="4">
        <v>11</v>
      </c>
      <c r="AN3132" s="4">
        <v>0</v>
      </c>
      <c r="AO3132" s="4">
        <v>0</v>
      </c>
      <c r="AP3132" s="4">
        <v>4</v>
      </c>
      <c r="AQ3132" s="4">
        <v>6</v>
      </c>
      <c r="AR3132" s="3" t="s">
        <v>64</v>
      </c>
      <c r="AS3132" s="3" t="s">
        <v>64</v>
      </c>
      <c r="AT3132" s="3" t="s">
        <v>64</v>
      </c>
      <c r="AV3132" s="6" t="str">
        <f>HYPERLINK("http://mcgill.on.worldcat.org/oclc/768335622","Catalog Record")</f>
        <v>Catalog Record</v>
      </c>
      <c r="AW3132" s="6" t="str">
        <f>HYPERLINK("http://www.worldcat.org/oclc/768335622","WorldCat Record")</f>
        <v>WorldCat Record</v>
      </c>
      <c r="AX3132" s="3" t="s">
        <v>31383</v>
      </c>
      <c r="AY3132" s="3" t="s">
        <v>31384</v>
      </c>
      <c r="AZ3132" s="3" t="s">
        <v>31385</v>
      </c>
      <c r="BA3132" s="3" t="s">
        <v>31385</v>
      </c>
      <c r="BB3132" s="3" t="s">
        <v>31386</v>
      </c>
      <c r="BC3132" s="3" t="s">
        <v>77</v>
      </c>
      <c r="BD3132" s="3" t="s">
        <v>78</v>
      </c>
      <c r="BE3132" s="3" t="s">
        <v>31387</v>
      </c>
      <c r="BF3132" s="3" t="s">
        <v>31386</v>
      </c>
      <c r="BG3132" s="3" t="s">
        <v>31388</v>
      </c>
      <c r="BH3132">
        <f t="shared" si="75"/>
        <v>0</v>
      </c>
    </row>
    <row r="3133" spans="1:60" ht="58" x14ac:dyDescent="0.35">
      <c r="A3133" s="2" t="s">
        <v>59</v>
      </c>
      <c r="B3133" s="2" t="s">
        <v>60</v>
      </c>
      <c r="C3133" s="2" t="s">
        <v>31389</v>
      </c>
      <c r="D3133" s="2" t="s">
        <v>31390</v>
      </c>
      <c r="E3133" s="2" t="s">
        <v>31391</v>
      </c>
      <c r="G3133" s="3" t="s">
        <v>64</v>
      </c>
      <c r="I3133" s="3" t="s">
        <v>64</v>
      </c>
      <c r="J3133" s="3" t="s">
        <v>64</v>
      </c>
      <c r="K3133" s="3" t="s">
        <v>65</v>
      </c>
      <c r="L3133" s="2" t="s">
        <v>31392</v>
      </c>
      <c r="M3133" s="2" t="s">
        <v>31393</v>
      </c>
      <c r="N3133" s="3" t="s">
        <v>1075</v>
      </c>
      <c r="P3133" s="3" t="s">
        <v>102</v>
      </c>
      <c r="R3133" s="3" t="s">
        <v>70</v>
      </c>
      <c r="S3133" s="4">
        <v>3</v>
      </c>
      <c r="T3133" s="4">
        <v>3</v>
      </c>
      <c r="U3133" s="5" t="s">
        <v>4043</v>
      </c>
      <c r="V3133" s="5" t="s">
        <v>4043</v>
      </c>
      <c r="W3133" s="5" t="s">
        <v>72</v>
      </c>
      <c r="X3133" s="5" t="s">
        <v>72</v>
      </c>
      <c r="Y3133" s="4">
        <v>102</v>
      </c>
      <c r="Z3133" s="4">
        <v>25</v>
      </c>
      <c r="AA3133" s="4">
        <v>70</v>
      </c>
      <c r="AB3133" s="4">
        <v>1</v>
      </c>
      <c r="AC3133" s="4">
        <v>7</v>
      </c>
      <c r="AD3133" s="4">
        <v>22</v>
      </c>
      <c r="AE3133" s="4">
        <v>42</v>
      </c>
      <c r="AF3133" s="4">
        <v>0</v>
      </c>
      <c r="AG3133" s="4">
        <v>1</v>
      </c>
      <c r="AH3133" s="4">
        <v>17</v>
      </c>
      <c r="AI3133" s="4">
        <v>29</v>
      </c>
      <c r="AJ3133" s="4">
        <v>7</v>
      </c>
      <c r="AK3133" s="4">
        <v>11</v>
      </c>
      <c r="AL3133" s="4">
        <v>6</v>
      </c>
      <c r="AM3133" s="4">
        <v>12</v>
      </c>
      <c r="AN3133" s="4">
        <v>0</v>
      </c>
      <c r="AO3133" s="4">
        <v>0</v>
      </c>
      <c r="AP3133" s="4">
        <v>10</v>
      </c>
      <c r="AQ3133" s="4">
        <v>17</v>
      </c>
      <c r="AR3133" s="3" t="s">
        <v>64</v>
      </c>
      <c r="AS3133" s="3" t="s">
        <v>64</v>
      </c>
      <c r="AT3133" s="3" t="s">
        <v>64</v>
      </c>
      <c r="AV3133" s="6" t="str">
        <f>HYPERLINK("http://mcgill.on.worldcat.org/oclc/809562486","Catalog Record")</f>
        <v>Catalog Record</v>
      </c>
      <c r="AW3133" s="6" t="str">
        <f>HYPERLINK("http://www.worldcat.org/oclc/809562486","WorldCat Record")</f>
        <v>WorldCat Record</v>
      </c>
      <c r="AX3133" s="3" t="s">
        <v>31394</v>
      </c>
      <c r="AY3133" s="3" t="s">
        <v>31395</v>
      </c>
      <c r="AZ3133" s="3" t="s">
        <v>31396</v>
      </c>
      <c r="BA3133" s="3" t="s">
        <v>31396</v>
      </c>
      <c r="BB3133" s="3" t="s">
        <v>31397</v>
      </c>
      <c r="BC3133" s="3" t="s">
        <v>77</v>
      </c>
      <c r="BD3133" s="3" t="s">
        <v>78</v>
      </c>
      <c r="BE3133" s="3" t="s">
        <v>31398</v>
      </c>
      <c r="BF3133" s="3" t="s">
        <v>31397</v>
      </c>
      <c r="BG3133" s="3" t="s">
        <v>31399</v>
      </c>
      <c r="BH3133">
        <f t="shared" si="75"/>
        <v>0</v>
      </c>
    </row>
    <row r="3134" spans="1:60" ht="58" x14ac:dyDescent="0.35">
      <c r="A3134" s="2" t="s">
        <v>59</v>
      </c>
      <c r="B3134" s="2" t="s">
        <v>60</v>
      </c>
      <c r="C3134" s="2" t="s">
        <v>31400</v>
      </c>
      <c r="D3134" s="2" t="s">
        <v>31401</v>
      </c>
      <c r="E3134" s="2" t="s">
        <v>31402</v>
      </c>
      <c r="G3134" s="3" t="s">
        <v>64</v>
      </c>
      <c r="I3134" s="3" t="s">
        <v>64</v>
      </c>
      <c r="J3134" s="3" t="s">
        <v>64</v>
      </c>
      <c r="K3134" s="3" t="s">
        <v>65</v>
      </c>
      <c r="L3134" s="2" t="s">
        <v>31392</v>
      </c>
      <c r="M3134" s="2" t="s">
        <v>1288</v>
      </c>
      <c r="N3134" s="3" t="s">
        <v>511</v>
      </c>
      <c r="P3134" s="3" t="s">
        <v>102</v>
      </c>
      <c r="R3134" s="3" t="s">
        <v>70</v>
      </c>
      <c r="S3134" s="4">
        <v>4</v>
      </c>
      <c r="T3134" s="4">
        <v>4</v>
      </c>
      <c r="U3134" s="5" t="s">
        <v>23792</v>
      </c>
      <c r="V3134" s="5" t="s">
        <v>23792</v>
      </c>
      <c r="W3134" s="5" t="s">
        <v>72</v>
      </c>
      <c r="X3134" s="5" t="s">
        <v>72</v>
      </c>
      <c r="Y3134" s="4">
        <v>121</v>
      </c>
      <c r="Z3134" s="4">
        <v>12</v>
      </c>
      <c r="AA3134" s="4">
        <v>52</v>
      </c>
      <c r="AB3134" s="4">
        <v>1</v>
      </c>
      <c r="AC3134" s="4">
        <v>8</v>
      </c>
      <c r="AD3134" s="4">
        <v>32</v>
      </c>
      <c r="AE3134" s="4">
        <v>51</v>
      </c>
      <c r="AF3134" s="4">
        <v>0</v>
      </c>
      <c r="AG3134" s="4">
        <v>1</v>
      </c>
      <c r="AH3134" s="4">
        <v>31</v>
      </c>
      <c r="AI3134" s="4">
        <v>42</v>
      </c>
      <c r="AJ3134" s="4">
        <v>5</v>
      </c>
      <c r="AK3134" s="4">
        <v>9</v>
      </c>
      <c r="AL3134" s="4">
        <v>16</v>
      </c>
      <c r="AM3134" s="4">
        <v>22</v>
      </c>
      <c r="AN3134" s="4">
        <v>0</v>
      </c>
      <c r="AO3134" s="4">
        <v>0</v>
      </c>
      <c r="AP3134" s="4">
        <v>5</v>
      </c>
      <c r="AQ3134" s="4">
        <v>13</v>
      </c>
      <c r="AR3134" s="3" t="s">
        <v>64</v>
      </c>
      <c r="AS3134" s="3" t="s">
        <v>64</v>
      </c>
      <c r="AT3134" s="3" t="s">
        <v>64</v>
      </c>
      <c r="AV3134" s="6" t="str">
        <f>HYPERLINK("http://mcgill.on.worldcat.org/oclc/611550944","Catalog Record")</f>
        <v>Catalog Record</v>
      </c>
      <c r="AW3134" s="6" t="str">
        <f>HYPERLINK("http://www.worldcat.org/oclc/611550944","WorldCat Record")</f>
        <v>WorldCat Record</v>
      </c>
      <c r="AX3134" s="3" t="s">
        <v>31403</v>
      </c>
      <c r="AY3134" s="3" t="s">
        <v>31404</v>
      </c>
      <c r="AZ3134" s="3" t="s">
        <v>31405</v>
      </c>
      <c r="BA3134" s="3" t="s">
        <v>31405</v>
      </c>
      <c r="BB3134" s="3" t="s">
        <v>31406</v>
      </c>
      <c r="BC3134" s="3" t="s">
        <v>77</v>
      </c>
      <c r="BD3134" s="3" t="s">
        <v>78</v>
      </c>
      <c r="BE3134" s="3" t="s">
        <v>31407</v>
      </c>
      <c r="BF3134" s="3" t="s">
        <v>31406</v>
      </c>
      <c r="BG3134" s="3" t="s">
        <v>31408</v>
      </c>
      <c r="BH3134">
        <f t="shared" si="75"/>
        <v>0</v>
      </c>
    </row>
    <row r="3135" spans="1:60" ht="58" x14ac:dyDescent="0.35">
      <c r="A3135" s="2" t="s">
        <v>59</v>
      </c>
      <c r="B3135" s="2" t="s">
        <v>60</v>
      </c>
      <c r="C3135" s="2" t="s">
        <v>31409</v>
      </c>
      <c r="D3135" s="2" t="s">
        <v>31410</v>
      </c>
      <c r="E3135" s="2" t="s">
        <v>31411</v>
      </c>
      <c r="G3135" s="3" t="s">
        <v>64</v>
      </c>
      <c r="I3135" s="3" t="s">
        <v>64</v>
      </c>
      <c r="J3135" s="3" t="s">
        <v>64</v>
      </c>
      <c r="K3135" s="3" t="s">
        <v>65</v>
      </c>
      <c r="M3135" s="2" t="s">
        <v>31412</v>
      </c>
      <c r="N3135" s="3" t="s">
        <v>144</v>
      </c>
      <c r="P3135" s="3" t="s">
        <v>102</v>
      </c>
      <c r="R3135" s="3" t="s">
        <v>70</v>
      </c>
      <c r="S3135" s="4">
        <v>8</v>
      </c>
      <c r="T3135" s="4">
        <v>8</v>
      </c>
      <c r="U3135" s="5" t="s">
        <v>2035</v>
      </c>
      <c r="V3135" s="5" t="s">
        <v>2035</v>
      </c>
      <c r="W3135" s="5" t="s">
        <v>72</v>
      </c>
      <c r="X3135" s="5" t="s">
        <v>72</v>
      </c>
      <c r="Y3135" s="4">
        <v>231</v>
      </c>
      <c r="Z3135" s="4">
        <v>23</v>
      </c>
      <c r="AA3135" s="4">
        <v>104</v>
      </c>
      <c r="AB3135" s="4">
        <v>2</v>
      </c>
      <c r="AC3135" s="4">
        <v>18</v>
      </c>
      <c r="AD3135" s="4">
        <v>50</v>
      </c>
      <c r="AE3135" s="4">
        <v>122</v>
      </c>
      <c r="AF3135" s="4">
        <v>0</v>
      </c>
      <c r="AG3135" s="4">
        <v>8</v>
      </c>
      <c r="AH3135" s="4">
        <v>43</v>
      </c>
      <c r="AI3135" s="4">
        <v>83</v>
      </c>
      <c r="AJ3135" s="4">
        <v>10</v>
      </c>
      <c r="AK3135" s="4">
        <v>24</v>
      </c>
      <c r="AL3135" s="4">
        <v>28</v>
      </c>
      <c r="AM3135" s="4">
        <v>46</v>
      </c>
      <c r="AN3135" s="4">
        <v>0</v>
      </c>
      <c r="AO3135" s="4">
        <v>0</v>
      </c>
      <c r="AP3135" s="4">
        <v>13</v>
      </c>
      <c r="AQ3135" s="4">
        <v>45</v>
      </c>
      <c r="AR3135" s="3" t="s">
        <v>64</v>
      </c>
      <c r="AS3135" s="3" t="s">
        <v>64</v>
      </c>
      <c r="AT3135" s="3" t="s">
        <v>64</v>
      </c>
      <c r="AV3135" s="6" t="str">
        <f>HYPERLINK("http://mcgill.on.worldcat.org/oclc/181910122","Catalog Record")</f>
        <v>Catalog Record</v>
      </c>
      <c r="AW3135" s="6" t="str">
        <f>HYPERLINK("http://www.worldcat.org/oclc/181910122","WorldCat Record")</f>
        <v>WorldCat Record</v>
      </c>
      <c r="AX3135" s="3" t="s">
        <v>31413</v>
      </c>
      <c r="AY3135" s="3" t="s">
        <v>31414</v>
      </c>
      <c r="AZ3135" s="3" t="s">
        <v>31415</v>
      </c>
      <c r="BA3135" s="3" t="s">
        <v>31415</v>
      </c>
      <c r="BB3135" s="3" t="s">
        <v>31416</v>
      </c>
      <c r="BC3135" s="3" t="s">
        <v>77</v>
      </c>
      <c r="BD3135" s="3" t="s">
        <v>78</v>
      </c>
      <c r="BE3135" s="3" t="s">
        <v>31417</v>
      </c>
      <c r="BF3135" s="3" t="s">
        <v>31416</v>
      </c>
      <c r="BG3135" s="3" t="s">
        <v>31418</v>
      </c>
      <c r="BH3135">
        <f t="shared" si="75"/>
        <v>0</v>
      </c>
    </row>
    <row r="3136" spans="1:60" ht="58" x14ac:dyDescent="0.35">
      <c r="A3136" s="2" t="s">
        <v>59</v>
      </c>
      <c r="B3136" s="2" t="s">
        <v>60</v>
      </c>
      <c r="C3136" s="2" t="s">
        <v>31419</v>
      </c>
      <c r="D3136" s="2" t="s">
        <v>31420</v>
      </c>
      <c r="E3136" s="2" t="s">
        <v>31421</v>
      </c>
      <c r="G3136" s="3" t="s">
        <v>64</v>
      </c>
      <c r="I3136" s="3" t="s">
        <v>64</v>
      </c>
      <c r="J3136" s="3" t="s">
        <v>64</v>
      </c>
      <c r="K3136" s="3" t="s">
        <v>65</v>
      </c>
      <c r="M3136" s="2" t="s">
        <v>31422</v>
      </c>
      <c r="N3136" s="3" t="s">
        <v>578</v>
      </c>
      <c r="P3136" s="3" t="s">
        <v>68</v>
      </c>
      <c r="Q3136" s="2" t="s">
        <v>18640</v>
      </c>
      <c r="R3136" s="3" t="s">
        <v>70</v>
      </c>
      <c r="S3136" s="4">
        <v>0</v>
      </c>
      <c r="T3136" s="4">
        <v>0</v>
      </c>
      <c r="W3136" s="5" t="s">
        <v>72</v>
      </c>
      <c r="X3136" s="5" t="s">
        <v>72</v>
      </c>
      <c r="Y3136" s="4">
        <v>4</v>
      </c>
      <c r="Z3136" s="4">
        <v>1</v>
      </c>
      <c r="AA3136" s="4">
        <v>4</v>
      </c>
      <c r="AB3136" s="4">
        <v>1</v>
      </c>
      <c r="AC3136" s="4">
        <v>4</v>
      </c>
      <c r="AD3136" s="4">
        <v>2</v>
      </c>
      <c r="AE3136" s="4">
        <v>7</v>
      </c>
      <c r="AF3136" s="4">
        <v>0</v>
      </c>
      <c r="AG3136" s="4">
        <v>2</v>
      </c>
      <c r="AH3136" s="4">
        <v>2</v>
      </c>
      <c r="AI3136" s="4">
        <v>4</v>
      </c>
      <c r="AJ3136" s="4">
        <v>0</v>
      </c>
      <c r="AK3136" s="4">
        <v>1</v>
      </c>
      <c r="AL3136" s="4">
        <v>2</v>
      </c>
      <c r="AM3136" s="4">
        <v>3</v>
      </c>
      <c r="AN3136" s="4">
        <v>0</v>
      </c>
      <c r="AO3136" s="4">
        <v>0</v>
      </c>
      <c r="AP3136" s="4">
        <v>0</v>
      </c>
      <c r="AQ3136" s="4">
        <v>1</v>
      </c>
      <c r="AR3136" s="3" t="s">
        <v>64</v>
      </c>
      <c r="AS3136" s="3" t="s">
        <v>64</v>
      </c>
      <c r="AT3136" s="3" t="s">
        <v>64</v>
      </c>
      <c r="AV3136" s="6" t="str">
        <f>HYPERLINK("http://mcgill.on.worldcat.org/oclc/1001363104","Catalog Record")</f>
        <v>Catalog Record</v>
      </c>
      <c r="AW3136" s="6" t="str">
        <f>HYPERLINK("http://www.worldcat.org/oclc/1001363104","WorldCat Record")</f>
        <v>WorldCat Record</v>
      </c>
      <c r="AX3136" s="3" t="s">
        <v>31423</v>
      </c>
      <c r="AY3136" s="3" t="s">
        <v>31424</v>
      </c>
      <c r="AZ3136" s="3" t="s">
        <v>31425</v>
      </c>
      <c r="BA3136" s="3" t="s">
        <v>31425</v>
      </c>
      <c r="BB3136" s="3" t="s">
        <v>31426</v>
      </c>
      <c r="BC3136" s="3" t="s">
        <v>77</v>
      </c>
      <c r="BD3136" s="3" t="s">
        <v>78</v>
      </c>
      <c r="BE3136" s="3" t="s">
        <v>31427</v>
      </c>
      <c r="BF3136" s="3" t="s">
        <v>31426</v>
      </c>
      <c r="BG3136" s="3" t="s">
        <v>31428</v>
      </c>
      <c r="BH3136">
        <f t="shared" si="75"/>
        <v>0</v>
      </c>
    </row>
    <row r="3137" spans="1:60" ht="58" x14ac:dyDescent="0.35">
      <c r="A3137" s="2" t="s">
        <v>59</v>
      </c>
      <c r="B3137" s="2" t="s">
        <v>60</v>
      </c>
      <c r="C3137" s="2" t="s">
        <v>31429</v>
      </c>
      <c r="D3137" s="2" t="s">
        <v>31430</v>
      </c>
      <c r="E3137" s="2" t="s">
        <v>31431</v>
      </c>
      <c r="G3137" s="3" t="s">
        <v>64</v>
      </c>
      <c r="I3137" s="3" t="s">
        <v>64</v>
      </c>
      <c r="J3137" s="3" t="s">
        <v>64</v>
      </c>
      <c r="K3137" s="3" t="s">
        <v>65</v>
      </c>
      <c r="L3137" s="2" t="s">
        <v>31432</v>
      </c>
      <c r="M3137" s="2" t="s">
        <v>31433</v>
      </c>
      <c r="N3137" s="3" t="s">
        <v>511</v>
      </c>
      <c r="O3137" s="2" t="s">
        <v>305</v>
      </c>
      <c r="P3137" s="3" t="s">
        <v>102</v>
      </c>
      <c r="R3137" s="3" t="s">
        <v>70</v>
      </c>
      <c r="S3137" s="4">
        <v>0</v>
      </c>
      <c r="T3137" s="4">
        <v>0</v>
      </c>
      <c r="W3137" s="5" t="s">
        <v>72</v>
      </c>
      <c r="X3137" s="5" t="s">
        <v>72</v>
      </c>
      <c r="Y3137" s="4">
        <v>32</v>
      </c>
      <c r="Z3137" s="4">
        <v>1</v>
      </c>
      <c r="AA3137" s="4">
        <v>1</v>
      </c>
      <c r="AB3137" s="4">
        <v>1</v>
      </c>
      <c r="AC3137" s="4">
        <v>1</v>
      </c>
      <c r="AD3137" s="4">
        <v>17</v>
      </c>
      <c r="AE3137" s="4">
        <v>17</v>
      </c>
      <c r="AF3137" s="4">
        <v>0</v>
      </c>
      <c r="AG3137" s="4">
        <v>0</v>
      </c>
      <c r="AH3137" s="4">
        <v>16</v>
      </c>
      <c r="AI3137" s="4">
        <v>16</v>
      </c>
      <c r="AJ3137" s="4">
        <v>0</v>
      </c>
      <c r="AK3137" s="4">
        <v>0</v>
      </c>
      <c r="AL3137" s="4">
        <v>15</v>
      </c>
      <c r="AM3137" s="4">
        <v>15</v>
      </c>
      <c r="AN3137" s="4">
        <v>0</v>
      </c>
      <c r="AO3137" s="4">
        <v>0</v>
      </c>
      <c r="AP3137" s="4">
        <v>0</v>
      </c>
      <c r="AQ3137" s="4">
        <v>0</v>
      </c>
      <c r="AR3137" s="3" t="s">
        <v>64</v>
      </c>
      <c r="AS3137" s="3" t="s">
        <v>64</v>
      </c>
      <c r="AT3137" s="3" t="s">
        <v>64</v>
      </c>
      <c r="AV3137" s="6" t="str">
        <f>HYPERLINK("http://mcgill.on.worldcat.org/oclc/671943183","Catalog Record")</f>
        <v>Catalog Record</v>
      </c>
      <c r="AW3137" s="6" t="str">
        <f>HYPERLINK("http://www.worldcat.org/oclc/671943183","WorldCat Record")</f>
        <v>WorldCat Record</v>
      </c>
      <c r="AX3137" s="3" t="s">
        <v>31434</v>
      </c>
      <c r="AY3137" s="3" t="s">
        <v>31435</v>
      </c>
      <c r="AZ3137" s="3" t="s">
        <v>31436</v>
      </c>
      <c r="BA3137" s="3" t="s">
        <v>31436</v>
      </c>
      <c r="BB3137" s="3" t="s">
        <v>31437</v>
      </c>
      <c r="BC3137" s="3" t="s">
        <v>77</v>
      </c>
      <c r="BD3137" s="3" t="s">
        <v>78</v>
      </c>
      <c r="BE3137" s="3" t="s">
        <v>31438</v>
      </c>
      <c r="BF3137" s="3" t="s">
        <v>31437</v>
      </c>
      <c r="BG3137" s="3" t="s">
        <v>31439</v>
      </c>
      <c r="BH3137">
        <f t="shared" si="75"/>
        <v>0</v>
      </c>
    </row>
    <row r="3138" spans="1:60" ht="58" x14ac:dyDescent="0.35">
      <c r="A3138" s="2" t="s">
        <v>59</v>
      </c>
      <c r="B3138" s="2" t="s">
        <v>60</v>
      </c>
      <c r="C3138" s="2" t="s">
        <v>31440</v>
      </c>
      <c r="D3138" s="2" t="s">
        <v>31441</v>
      </c>
      <c r="E3138" s="2" t="s">
        <v>31442</v>
      </c>
      <c r="G3138" s="3" t="s">
        <v>64</v>
      </c>
      <c r="I3138" s="3" t="s">
        <v>64</v>
      </c>
      <c r="J3138" s="3" t="s">
        <v>64</v>
      </c>
      <c r="K3138" s="3" t="s">
        <v>65</v>
      </c>
      <c r="L3138" s="2" t="s">
        <v>31443</v>
      </c>
      <c r="M3138" s="2" t="s">
        <v>31444</v>
      </c>
      <c r="N3138" s="3" t="s">
        <v>3047</v>
      </c>
      <c r="P3138" s="3" t="s">
        <v>102</v>
      </c>
      <c r="R3138" s="3" t="s">
        <v>70</v>
      </c>
      <c r="S3138" s="4">
        <v>7</v>
      </c>
      <c r="T3138" s="4">
        <v>7</v>
      </c>
      <c r="U3138" s="5" t="s">
        <v>21372</v>
      </c>
      <c r="V3138" s="5" t="s">
        <v>21372</v>
      </c>
      <c r="W3138" s="5" t="s">
        <v>72</v>
      </c>
      <c r="X3138" s="5" t="s">
        <v>72</v>
      </c>
      <c r="Y3138" s="4">
        <v>40</v>
      </c>
      <c r="Z3138" s="4">
        <v>4</v>
      </c>
      <c r="AA3138" s="4">
        <v>4</v>
      </c>
      <c r="AB3138" s="4">
        <v>2</v>
      </c>
      <c r="AC3138" s="4">
        <v>2</v>
      </c>
      <c r="AD3138" s="4">
        <v>11</v>
      </c>
      <c r="AE3138" s="4">
        <v>11</v>
      </c>
      <c r="AF3138" s="4">
        <v>0</v>
      </c>
      <c r="AG3138" s="4">
        <v>0</v>
      </c>
      <c r="AH3138" s="4">
        <v>11</v>
      </c>
      <c r="AI3138" s="4">
        <v>11</v>
      </c>
      <c r="AJ3138" s="4">
        <v>1</v>
      </c>
      <c r="AK3138" s="4">
        <v>1</v>
      </c>
      <c r="AL3138" s="4">
        <v>9</v>
      </c>
      <c r="AM3138" s="4">
        <v>9</v>
      </c>
      <c r="AN3138" s="4">
        <v>0</v>
      </c>
      <c r="AO3138" s="4">
        <v>0</v>
      </c>
      <c r="AP3138" s="4">
        <v>1</v>
      </c>
      <c r="AQ3138" s="4">
        <v>1</v>
      </c>
      <c r="AR3138" s="3" t="s">
        <v>64</v>
      </c>
      <c r="AS3138" s="3" t="s">
        <v>64</v>
      </c>
      <c r="AT3138" s="3" t="s">
        <v>64</v>
      </c>
      <c r="AV3138" s="6" t="str">
        <f>HYPERLINK("http://mcgill.on.worldcat.org/oclc/16103249","Catalog Record")</f>
        <v>Catalog Record</v>
      </c>
      <c r="AW3138" s="6" t="str">
        <f>HYPERLINK("http://www.worldcat.org/oclc/16103249","WorldCat Record")</f>
        <v>WorldCat Record</v>
      </c>
      <c r="AX3138" s="3" t="s">
        <v>31445</v>
      </c>
      <c r="AY3138" s="3" t="s">
        <v>31446</v>
      </c>
      <c r="AZ3138" s="3" t="s">
        <v>31447</v>
      </c>
      <c r="BA3138" s="3" t="s">
        <v>31447</v>
      </c>
      <c r="BB3138" s="3" t="s">
        <v>31448</v>
      </c>
      <c r="BC3138" s="3" t="s">
        <v>77</v>
      </c>
      <c r="BD3138" s="3" t="s">
        <v>78</v>
      </c>
      <c r="BF3138" s="3" t="s">
        <v>31448</v>
      </c>
      <c r="BG3138" s="3" t="s">
        <v>31449</v>
      </c>
      <c r="BH3138">
        <f t="shared" ref="BH3138:BH3201" si="76">IF(COUNTIF($BF$1:$BF$5431,BF3138)=1,0,1)</f>
        <v>0</v>
      </c>
    </row>
    <row r="3139" spans="1:60" ht="58" x14ac:dyDescent="0.35">
      <c r="A3139" s="2" t="s">
        <v>59</v>
      </c>
      <c r="B3139" s="2" t="s">
        <v>60</v>
      </c>
      <c r="C3139" s="2" t="s">
        <v>31450</v>
      </c>
      <c r="D3139" s="2" t="s">
        <v>31451</v>
      </c>
      <c r="E3139" s="2" t="s">
        <v>31452</v>
      </c>
      <c r="G3139" s="3" t="s">
        <v>64</v>
      </c>
      <c r="I3139" s="3" t="s">
        <v>64</v>
      </c>
      <c r="J3139" s="3" t="s">
        <v>64</v>
      </c>
      <c r="K3139" s="3" t="s">
        <v>65</v>
      </c>
      <c r="L3139" s="2" t="s">
        <v>31453</v>
      </c>
      <c r="M3139" s="2" t="s">
        <v>16372</v>
      </c>
      <c r="N3139" s="3" t="s">
        <v>1263</v>
      </c>
      <c r="P3139" s="3" t="s">
        <v>102</v>
      </c>
      <c r="R3139" s="3" t="s">
        <v>70</v>
      </c>
      <c r="S3139" s="4">
        <v>20</v>
      </c>
      <c r="T3139" s="4">
        <v>20</v>
      </c>
      <c r="U3139" s="5" t="s">
        <v>21372</v>
      </c>
      <c r="V3139" s="5" t="s">
        <v>21372</v>
      </c>
      <c r="W3139" s="5" t="s">
        <v>72</v>
      </c>
      <c r="X3139" s="5" t="s">
        <v>72</v>
      </c>
      <c r="Y3139" s="4">
        <v>269</v>
      </c>
      <c r="Z3139" s="4">
        <v>16</v>
      </c>
      <c r="AA3139" s="4">
        <v>17</v>
      </c>
      <c r="AB3139" s="4">
        <v>1</v>
      </c>
      <c r="AC3139" s="4">
        <v>2</v>
      </c>
      <c r="AD3139" s="4">
        <v>70</v>
      </c>
      <c r="AE3139" s="4">
        <v>71</v>
      </c>
      <c r="AF3139" s="4">
        <v>0</v>
      </c>
      <c r="AG3139" s="4">
        <v>1</v>
      </c>
      <c r="AH3139" s="4">
        <v>64</v>
      </c>
      <c r="AI3139" s="4">
        <v>64</v>
      </c>
      <c r="AJ3139" s="4">
        <v>8</v>
      </c>
      <c r="AK3139" s="4">
        <v>9</v>
      </c>
      <c r="AL3139" s="4">
        <v>29</v>
      </c>
      <c r="AM3139" s="4">
        <v>29</v>
      </c>
      <c r="AN3139" s="4">
        <v>0</v>
      </c>
      <c r="AO3139" s="4">
        <v>0</v>
      </c>
      <c r="AP3139" s="4">
        <v>10</v>
      </c>
      <c r="AQ3139" s="4">
        <v>10</v>
      </c>
      <c r="AR3139" s="3" t="s">
        <v>64</v>
      </c>
      <c r="AS3139" s="3" t="s">
        <v>64</v>
      </c>
      <c r="AT3139" s="3" t="s">
        <v>128</v>
      </c>
      <c r="AU3139" s="6" t="str">
        <f>HYPERLINK("http://catalog.hathitrust.org/Record/002599269","HathiTrust Record")</f>
        <v>HathiTrust Record</v>
      </c>
      <c r="AV3139" s="6" t="str">
        <f>HYPERLINK("http://mcgill.on.worldcat.org/oclc/27109319","Catalog Record")</f>
        <v>Catalog Record</v>
      </c>
      <c r="AW3139" s="6" t="str">
        <f>HYPERLINK("http://www.worldcat.org/oclc/27109319","WorldCat Record")</f>
        <v>WorldCat Record</v>
      </c>
      <c r="AX3139" s="3" t="s">
        <v>31454</v>
      </c>
      <c r="AY3139" s="3" t="s">
        <v>31455</v>
      </c>
      <c r="AZ3139" s="3" t="s">
        <v>31456</v>
      </c>
      <c r="BA3139" s="3" t="s">
        <v>31456</v>
      </c>
      <c r="BB3139" s="3" t="s">
        <v>31457</v>
      </c>
      <c r="BC3139" s="3" t="s">
        <v>77</v>
      </c>
      <c r="BD3139" s="3" t="s">
        <v>78</v>
      </c>
      <c r="BE3139" s="3" t="s">
        <v>31458</v>
      </c>
      <c r="BF3139" s="3" t="s">
        <v>31457</v>
      </c>
      <c r="BG3139" s="3" t="s">
        <v>31459</v>
      </c>
      <c r="BH3139">
        <f t="shared" si="76"/>
        <v>0</v>
      </c>
    </row>
    <row r="3140" spans="1:60" ht="58" x14ac:dyDescent="0.35">
      <c r="A3140" s="2" t="s">
        <v>59</v>
      </c>
      <c r="B3140" s="2" t="s">
        <v>60</v>
      </c>
      <c r="C3140" s="2" t="s">
        <v>31460</v>
      </c>
      <c r="D3140" s="2" t="s">
        <v>31461</v>
      </c>
      <c r="E3140" s="2" t="s">
        <v>31462</v>
      </c>
      <c r="G3140" s="3" t="s">
        <v>64</v>
      </c>
      <c r="I3140" s="3" t="s">
        <v>64</v>
      </c>
      <c r="J3140" s="3" t="s">
        <v>64</v>
      </c>
      <c r="K3140" s="3" t="s">
        <v>65</v>
      </c>
      <c r="L3140" s="2" t="s">
        <v>31463</v>
      </c>
      <c r="M3140" s="2" t="s">
        <v>16093</v>
      </c>
      <c r="N3140" s="3" t="s">
        <v>511</v>
      </c>
      <c r="P3140" s="3" t="s">
        <v>102</v>
      </c>
      <c r="R3140" s="3" t="s">
        <v>70</v>
      </c>
      <c r="S3140" s="4">
        <v>0</v>
      </c>
      <c r="T3140" s="4">
        <v>0</v>
      </c>
      <c r="W3140" s="5" t="s">
        <v>72</v>
      </c>
      <c r="X3140" s="5" t="s">
        <v>72</v>
      </c>
      <c r="Y3140" s="4">
        <v>114</v>
      </c>
      <c r="Z3140" s="4">
        <v>8</v>
      </c>
      <c r="AA3140" s="4">
        <v>11</v>
      </c>
      <c r="AB3140" s="4">
        <v>1</v>
      </c>
      <c r="AC3140" s="4">
        <v>3</v>
      </c>
      <c r="AD3140" s="4">
        <v>20</v>
      </c>
      <c r="AE3140" s="4">
        <v>22</v>
      </c>
      <c r="AF3140" s="4">
        <v>0</v>
      </c>
      <c r="AG3140" s="4">
        <v>1</v>
      </c>
      <c r="AH3140" s="4">
        <v>19</v>
      </c>
      <c r="AI3140" s="4">
        <v>20</v>
      </c>
      <c r="AJ3140" s="4">
        <v>5</v>
      </c>
      <c r="AK3140" s="4">
        <v>6</v>
      </c>
      <c r="AL3140" s="4">
        <v>10</v>
      </c>
      <c r="AM3140" s="4">
        <v>11</v>
      </c>
      <c r="AN3140" s="4">
        <v>0</v>
      </c>
      <c r="AO3140" s="4">
        <v>0</v>
      </c>
      <c r="AP3140" s="4">
        <v>6</v>
      </c>
      <c r="AQ3140" s="4">
        <v>6</v>
      </c>
      <c r="AR3140" s="3" t="s">
        <v>64</v>
      </c>
      <c r="AS3140" s="3" t="s">
        <v>64</v>
      </c>
      <c r="AT3140" s="3" t="s">
        <v>64</v>
      </c>
      <c r="AV3140" s="6" t="str">
        <f>HYPERLINK("http://mcgill.on.worldcat.org/oclc/503073113","Catalog Record")</f>
        <v>Catalog Record</v>
      </c>
      <c r="AW3140" s="6" t="str">
        <f>HYPERLINK("http://www.worldcat.org/oclc/503073113","WorldCat Record")</f>
        <v>WorldCat Record</v>
      </c>
      <c r="AX3140" s="3" t="s">
        <v>31464</v>
      </c>
      <c r="AY3140" s="3" t="s">
        <v>31465</v>
      </c>
      <c r="AZ3140" s="3" t="s">
        <v>31466</v>
      </c>
      <c r="BA3140" s="3" t="s">
        <v>31466</v>
      </c>
      <c r="BB3140" s="3" t="s">
        <v>31467</v>
      </c>
      <c r="BC3140" s="3" t="s">
        <v>77</v>
      </c>
      <c r="BD3140" s="3" t="s">
        <v>78</v>
      </c>
      <c r="BE3140" s="3" t="s">
        <v>31468</v>
      </c>
      <c r="BF3140" s="3" t="s">
        <v>31467</v>
      </c>
      <c r="BG3140" s="3" t="s">
        <v>31469</v>
      </c>
      <c r="BH3140">
        <f t="shared" si="76"/>
        <v>0</v>
      </c>
    </row>
    <row r="3141" spans="1:60" ht="58" x14ac:dyDescent="0.35">
      <c r="A3141" s="2" t="s">
        <v>59</v>
      </c>
      <c r="B3141" s="2" t="s">
        <v>60</v>
      </c>
      <c r="C3141" s="2" t="s">
        <v>31470</v>
      </c>
      <c r="D3141" s="2" t="s">
        <v>31471</v>
      </c>
      <c r="E3141" s="2" t="s">
        <v>31472</v>
      </c>
      <c r="G3141" s="3" t="s">
        <v>64</v>
      </c>
      <c r="I3141" s="3" t="s">
        <v>64</v>
      </c>
      <c r="J3141" s="3" t="s">
        <v>64</v>
      </c>
      <c r="K3141" s="3" t="s">
        <v>65</v>
      </c>
      <c r="M3141" s="2" t="s">
        <v>31473</v>
      </c>
      <c r="N3141" s="3" t="s">
        <v>144</v>
      </c>
      <c r="P3141" s="3" t="s">
        <v>944</v>
      </c>
      <c r="R3141" s="3" t="s">
        <v>70</v>
      </c>
      <c r="S3141" s="4">
        <v>2</v>
      </c>
      <c r="T3141" s="4">
        <v>2</v>
      </c>
      <c r="U3141" s="5" t="s">
        <v>8725</v>
      </c>
      <c r="V3141" s="5" t="s">
        <v>8725</v>
      </c>
      <c r="W3141" s="5" t="s">
        <v>72</v>
      </c>
      <c r="X3141" s="5" t="s">
        <v>72</v>
      </c>
      <c r="Y3141" s="4">
        <v>29</v>
      </c>
      <c r="Z3141" s="4">
        <v>4</v>
      </c>
      <c r="AA3141" s="4">
        <v>4</v>
      </c>
      <c r="AB3141" s="4">
        <v>1</v>
      </c>
      <c r="AC3141" s="4">
        <v>1</v>
      </c>
      <c r="AD3141" s="4">
        <v>14</v>
      </c>
      <c r="AE3141" s="4">
        <v>14</v>
      </c>
      <c r="AF3141" s="4">
        <v>0</v>
      </c>
      <c r="AG3141" s="4">
        <v>0</v>
      </c>
      <c r="AH3141" s="4">
        <v>12</v>
      </c>
      <c r="AI3141" s="4">
        <v>12</v>
      </c>
      <c r="AJ3141" s="4">
        <v>2</v>
      </c>
      <c r="AK3141" s="4">
        <v>2</v>
      </c>
      <c r="AL3141" s="4">
        <v>6</v>
      </c>
      <c r="AM3141" s="4">
        <v>6</v>
      </c>
      <c r="AN3141" s="4">
        <v>0</v>
      </c>
      <c r="AO3141" s="4">
        <v>0</v>
      </c>
      <c r="AP3141" s="4">
        <v>3</v>
      </c>
      <c r="AQ3141" s="4">
        <v>3</v>
      </c>
      <c r="AR3141" s="3" t="s">
        <v>64</v>
      </c>
      <c r="AS3141" s="3" t="s">
        <v>64</v>
      </c>
      <c r="AT3141" s="3" t="s">
        <v>64</v>
      </c>
      <c r="AV3141" s="6" t="str">
        <f>HYPERLINK("http://mcgill.on.worldcat.org/oclc/244191680","Catalog Record")</f>
        <v>Catalog Record</v>
      </c>
      <c r="AW3141" s="6" t="str">
        <f>HYPERLINK("http://www.worldcat.org/oclc/244191680","WorldCat Record")</f>
        <v>WorldCat Record</v>
      </c>
      <c r="AX3141" s="3" t="s">
        <v>31474</v>
      </c>
      <c r="AY3141" s="3" t="s">
        <v>31475</v>
      </c>
      <c r="AZ3141" s="3" t="s">
        <v>31476</v>
      </c>
      <c r="BA3141" s="3" t="s">
        <v>31476</v>
      </c>
      <c r="BB3141" s="3" t="s">
        <v>31477</v>
      </c>
      <c r="BC3141" s="3" t="s">
        <v>77</v>
      </c>
      <c r="BD3141" s="3" t="s">
        <v>78</v>
      </c>
      <c r="BE3141" s="3" t="s">
        <v>31478</v>
      </c>
      <c r="BF3141" s="3" t="s">
        <v>31477</v>
      </c>
      <c r="BG3141" s="3" t="s">
        <v>31479</v>
      </c>
      <c r="BH3141">
        <f t="shared" si="76"/>
        <v>0</v>
      </c>
    </row>
    <row r="3142" spans="1:60" ht="58" x14ac:dyDescent="0.35">
      <c r="A3142" s="2" t="s">
        <v>59</v>
      </c>
      <c r="B3142" s="2" t="s">
        <v>60</v>
      </c>
      <c r="C3142" s="2" t="s">
        <v>31480</v>
      </c>
      <c r="D3142" s="2" t="s">
        <v>31481</v>
      </c>
      <c r="E3142" s="2" t="s">
        <v>31482</v>
      </c>
      <c r="G3142" s="3" t="s">
        <v>64</v>
      </c>
      <c r="I3142" s="3" t="s">
        <v>64</v>
      </c>
      <c r="J3142" s="3" t="s">
        <v>64</v>
      </c>
      <c r="K3142" s="3" t="s">
        <v>65</v>
      </c>
      <c r="M3142" s="2" t="s">
        <v>28904</v>
      </c>
      <c r="N3142" s="3" t="s">
        <v>326</v>
      </c>
      <c r="P3142" s="3" t="s">
        <v>102</v>
      </c>
      <c r="R3142" s="3" t="s">
        <v>70</v>
      </c>
      <c r="S3142" s="4">
        <v>1</v>
      </c>
      <c r="T3142" s="4">
        <v>1</v>
      </c>
      <c r="U3142" s="5" t="s">
        <v>31483</v>
      </c>
      <c r="V3142" s="5" t="s">
        <v>31483</v>
      </c>
      <c r="W3142" s="5" t="s">
        <v>72</v>
      </c>
      <c r="X3142" s="5" t="s">
        <v>72</v>
      </c>
      <c r="Y3142" s="4">
        <v>329</v>
      </c>
      <c r="Z3142" s="4">
        <v>23</v>
      </c>
      <c r="AA3142" s="4">
        <v>88</v>
      </c>
      <c r="AB3142" s="4">
        <v>3</v>
      </c>
      <c r="AC3142" s="4">
        <v>15</v>
      </c>
      <c r="AD3142" s="4">
        <v>48</v>
      </c>
      <c r="AE3142" s="4">
        <v>100</v>
      </c>
      <c r="AF3142" s="4">
        <v>1</v>
      </c>
      <c r="AG3142" s="4">
        <v>8</v>
      </c>
      <c r="AH3142" s="4">
        <v>42</v>
      </c>
      <c r="AI3142" s="4">
        <v>67</v>
      </c>
      <c r="AJ3142" s="4">
        <v>10</v>
      </c>
      <c r="AK3142" s="4">
        <v>20</v>
      </c>
      <c r="AL3142" s="4">
        <v>21</v>
      </c>
      <c r="AM3142" s="4">
        <v>32</v>
      </c>
      <c r="AN3142" s="4">
        <v>0</v>
      </c>
      <c r="AO3142" s="4">
        <v>0</v>
      </c>
      <c r="AP3142" s="4">
        <v>12</v>
      </c>
      <c r="AQ3142" s="4">
        <v>42</v>
      </c>
      <c r="AR3142" s="3" t="s">
        <v>64</v>
      </c>
      <c r="AS3142" s="3" t="s">
        <v>64</v>
      </c>
      <c r="AT3142" s="3" t="s">
        <v>64</v>
      </c>
      <c r="AV3142" s="6" t="str">
        <f>HYPERLINK("http://mcgill.on.worldcat.org/oclc/706018187","Catalog Record")</f>
        <v>Catalog Record</v>
      </c>
      <c r="AW3142" s="6" t="str">
        <f>HYPERLINK("http://www.worldcat.org/oclc/706018187","WorldCat Record")</f>
        <v>WorldCat Record</v>
      </c>
      <c r="AX3142" s="3" t="s">
        <v>31484</v>
      </c>
      <c r="AY3142" s="3" t="s">
        <v>31485</v>
      </c>
      <c r="AZ3142" s="3" t="s">
        <v>31486</v>
      </c>
      <c r="BA3142" s="3" t="s">
        <v>31486</v>
      </c>
      <c r="BB3142" s="3" t="s">
        <v>31487</v>
      </c>
      <c r="BC3142" s="3" t="s">
        <v>77</v>
      </c>
      <c r="BD3142" s="3" t="s">
        <v>78</v>
      </c>
      <c r="BE3142" s="3" t="s">
        <v>31488</v>
      </c>
      <c r="BF3142" s="3" t="s">
        <v>31487</v>
      </c>
      <c r="BG3142" s="3" t="s">
        <v>31489</v>
      </c>
      <c r="BH3142">
        <f t="shared" si="76"/>
        <v>0</v>
      </c>
    </row>
    <row r="3143" spans="1:60" ht="58" x14ac:dyDescent="0.35">
      <c r="A3143" s="2" t="s">
        <v>59</v>
      </c>
      <c r="B3143" s="2" t="s">
        <v>60</v>
      </c>
      <c r="C3143" s="2" t="s">
        <v>31490</v>
      </c>
      <c r="D3143" s="2" t="s">
        <v>31491</v>
      </c>
      <c r="E3143" s="2" t="s">
        <v>31492</v>
      </c>
      <c r="G3143" s="3" t="s">
        <v>64</v>
      </c>
      <c r="I3143" s="3" t="s">
        <v>64</v>
      </c>
      <c r="J3143" s="3" t="s">
        <v>64</v>
      </c>
      <c r="K3143" s="3" t="s">
        <v>65</v>
      </c>
      <c r="M3143" s="2" t="s">
        <v>16488</v>
      </c>
      <c r="N3143" s="3" t="s">
        <v>253</v>
      </c>
      <c r="P3143" s="3" t="s">
        <v>102</v>
      </c>
      <c r="R3143" s="3" t="s">
        <v>70</v>
      </c>
      <c r="S3143" s="4">
        <v>1</v>
      </c>
      <c r="T3143" s="4">
        <v>1</v>
      </c>
      <c r="U3143" s="5" t="s">
        <v>25160</v>
      </c>
      <c r="V3143" s="5" t="s">
        <v>25160</v>
      </c>
      <c r="W3143" s="5" t="s">
        <v>72</v>
      </c>
      <c r="X3143" s="5" t="s">
        <v>72</v>
      </c>
      <c r="Y3143" s="4">
        <v>247</v>
      </c>
      <c r="Z3143" s="4">
        <v>19</v>
      </c>
      <c r="AA3143" s="4">
        <v>25</v>
      </c>
      <c r="AB3143" s="4">
        <v>2</v>
      </c>
      <c r="AC3143" s="4">
        <v>6</v>
      </c>
      <c r="AD3143" s="4">
        <v>75</v>
      </c>
      <c r="AE3143" s="4">
        <v>81</v>
      </c>
      <c r="AF3143" s="4">
        <v>1</v>
      </c>
      <c r="AG3143" s="4">
        <v>2</v>
      </c>
      <c r="AH3143" s="4">
        <v>65</v>
      </c>
      <c r="AI3143" s="4">
        <v>69</v>
      </c>
      <c r="AJ3143" s="4">
        <v>13</v>
      </c>
      <c r="AK3143" s="4">
        <v>15</v>
      </c>
      <c r="AL3143" s="4">
        <v>36</v>
      </c>
      <c r="AM3143" s="4">
        <v>38</v>
      </c>
      <c r="AN3143" s="4">
        <v>0</v>
      </c>
      <c r="AO3143" s="4">
        <v>0</v>
      </c>
      <c r="AP3143" s="4">
        <v>16</v>
      </c>
      <c r="AQ3143" s="4">
        <v>17</v>
      </c>
      <c r="AR3143" s="3" t="s">
        <v>64</v>
      </c>
      <c r="AS3143" s="3" t="s">
        <v>64</v>
      </c>
      <c r="AT3143" s="3" t="s">
        <v>64</v>
      </c>
      <c r="AV3143" s="6" t="str">
        <f>HYPERLINK("http://mcgill.on.worldcat.org/oclc/896127189","Catalog Record")</f>
        <v>Catalog Record</v>
      </c>
      <c r="AW3143" s="6" t="str">
        <f>HYPERLINK("http://www.worldcat.org/oclc/896127189","WorldCat Record")</f>
        <v>WorldCat Record</v>
      </c>
      <c r="AX3143" s="3" t="s">
        <v>31493</v>
      </c>
      <c r="AY3143" s="3" t="s">
        <v>31494</v>
      </c>
      <c r="AZ3143" s="3" t="s">
        <v>31495</v>
      </c>
      <c r="BA3143" s="3" t="s">
        <v>31495</v>
      </c>
      <c r="BB3143" s="3" t="s">
        <v>31496</v>
      </c>
      <c r="BC3143" s="3" t="s">
        <v>77</v>
      </c>
      <c r="BD3143" s="3" t="s">
        <v>78</v>
      </c>
      <c r="BE3143" s="3" t="s">
        <v>31497</v>
      </c>
      <c r="BF3143" s="3" t="s">
        <v>31496</v>
      </c>
      <c r="BG3143" s="3" t="s">
        <v>31498</v>
      </c>
      <c r="BH3143">
        <f t="shared" si="76"/>
        <v>0</v>
      </c>
    </row>
    <row r="3144" spans="1:60" ht="58" x14ac:dyDescent="0.35">
      <c r="A3144" s="2" t="s">
        <v>59</v>
      </c>
      <c r="B3144" s="2" t="s">
        <v>60</v>
      </c>
      <c r="C3144" s="2" t="s">
        <v>31499</v>
      </c>
      <c r="D3144" s="2" t="s">
        <v>31500</v>
      </c>
      <c r="E3144" s="2" t="s">
        <v>31501</v>
      </c>
      <c r="G3144" s="3" t="s">
        <v>64</v>
      </c>
      <c r="I3144" s="3" t="s">
        <v>64</v>
      </c>
      <c r="J3144" s="3" t="s">
        <v>64</v>
      </c>
      <c r="K3144" s="3" t="s">
        <v>65</v>
      </c>
      <c r="L3144" s="2" t="s">
        <v>31502</v>
      </c>
      <c r="M3144" s="2" t="s">
        <v>17291</v>
      </c>
      <c r="N3144" s="3" t="s">
        <v>326</v>
      </c>
      <c r="P3144" s="3" t="s">
        <v>102</v>
      </c>
      <c r="Q3144" s="2" t="s">
        <v>8981</v>
      </c>
      <c r="R3144" s="3" t="s">
        <v>70</v>
      </c>
      <c r="S3144" s="4">
        <v>0</v>
      </c>
      <c r="T3144" s="4">
        <v>0</v>
      </c>
      <c r="W3144" s="5" t="s">
        <v>72</v>
      </c>
      <c r="X3144" s="5" t="s">
        <v>72</v>
      </c>
      <c r="Y3144" s="4">
        <v>108</v>
      </c>
      <c r="Z3144" s="4">
        <v>10</v>
      </c>
      <c r="AA3144" s="4">
        <v>27</v>
      </c>
      <c r="AB3144" s="4">
        <v>2</v>
      </c>
      <c r="AC3144" s="4">
        <v>6</v>
      </c>
      <c r="AD3144" s="4">
        <v>30</v>
      </c>
      <c r="AE3144" s="4">
        <v>58</v>
      </c>
      <c r="AF3144" s="4">
        <v>1</v>
      </c>
      <c r="AG3144" s="4">
        <v>3</v>
      </c>
      <c r="AH3144" s="4">
        <v>25</v>
      </c>
      <c r="AI3144" s="4">
        <v>46</v>
      </c>
      <c r="AJ3144" s="4">
        <v>7</v>
      </c>
      <c r="AK3144" s="4">
        <v>12</v>
      </c>
      <c r="AL3144" s="4">
        <v>14</v>
      </c>
      <c r="AM3144" s="4">
        <v>21</v>
      </c>
      <c r="AN3144" s="4">
        <v>0</v>
      </c>
      <c r="AO3144" s="4">
        <v>0</v>
      </c>
      <c r="AP3144" s="4">
        <v>8</v>
      </c>
      <c r="AQ3144" s="4">
        <v>15</v>
      </c>
      <c r="AR3144" s="3" t="s">
        <v>64</v>
      </c>
      <c r="AS3144" s="3" t="s">
        <v>64</v>
      </c>
      <c r="AT3144" s="3" t="s">
        <v>64</v>
      </c>
      <c r="AV3144" s="6" t="str">
        <f>HYPERLINK("http://mcgill.on.worldcat.org/oclc/706784455","Catalog Record")</f>
        <v>Catalog Record</v>
      </c>
      <c r="AW3144" s="6" t="str">
        <f>HYPERLINK("http://www.worldcat.org/oclc/706784455","WorldCat Record")</f>
        <v>WorldCat Record</v>
      </c>
      <c r="AX3144" s="3" t="s">
        <v>31503</v>
      </c>
      <c r="AY3144" s="3" t="s">
        <v>31504</v>
      </c>
      <c r="AZ3144" s="3" t="s">
        <v>31505</v>
      </c>
      <c r="BA3144" s="3" t="s">
        <v>31505</v>
      </c>
      <c r="BB3144" s="3" t="s">
        <v>31506</v>
      </c>
      <c r="BC3144" s="3" t="s">
        <v>77</v>
      </c>
      <c r="BD3144" s="3" t="s">
        <v>78</v>
      </c>
      <c r="BE3144" s="3" t="s">
        <v>31507</v>
      </c>
      <c r="BF3144" s="3" t="s">
        <v>31506</v>
      </c>
      <c r="BG3144" s="3" t="s">
        <v>31508</v>
      </c>
      <c r="BH3144">
        <f t="shared" si="76"/>
        <v>0</v>
      </c>
    </row>
    <row r="3145" spans="1:60" ht="58" x14ac:dyDescent="0.35">
      <c r="A3145" s="2" t="s">
        <v>59</v>
      </c>
      <c r="B3145" s="2" t="s">
        <v>60</v>
      </c>
      <c r="C3145" s="2" t="s">
        <v>31509</v>
      </c>
      <c r="D3145" s="2" t="s">
        <v>31510</v>
      </c>
      <c r="E3145" s="2" t="s">
        <v>31511</v>
      </c>
      <c r="G3145" s="3" t="s">
        <v>64</v>
      </c>
      <c r="I3145" s="3" t="s">
        <v>64</v>
      </c>
      <c r="J3145" s="3" t="s">
        <v>64</v>
      </c>
      <c r="K3145" s="3" t="s">
        <v>65</v>
      </c>
      <c r="M3145" s="2" t="s">
        <v>31512</v>
      </c>
      <c r="N3145" s="3" t="s">
        <v>1075</v>
      </c>
      <c r="P3145" s="3" t="s">
        <v>102</v>
      </c>
      <c r="R3145" s="3" t="s">
        <v>70</v>
      </c>
      <c r="S3145" s="4">
        <v>0</v>
      </c>
      <c r="T3145" s="4">
        <v>0</v>
      </c>
      <c r="W3145" s="5" t="s">
        <v>72</v>
      </c>
      <c r="X3145" s="5" t="s">
        <v>72</v>
      </c>
      <c r="Y3145" s="4">
        <v>41</v>
      </c>
      <c r="Z3145" s="4">
        <v>3</v>
      </c>
      <c r="AA3145" s="4">
        <v>5</v>
      </c>
      <c r="AB3145" s="4">
        <v>1</v>
      </c>
      <c r="AC3145" s="4">
        <v>1</v>
      </c>
      <c r="AD3145" s="4">
        <v>15</v>
      </c>
      <c r="AE3145" s="4">
        <v>19</v>
      </c>
      <c r="AF3145" s="4">
        <v>0</v>
      </c>
      <c r="AG3145" s="4">
        <v>0</v>
      </c>
      <c r="AH3145" s="4">
        <v>13</v>
      </c>
      <c r="AI3145" s="4">
        <v>17</v>
      </c>
      <c r="AJ3145" s="4">
        <v>1</v>
      </c>
      <c r="AK3145" s="4">
        <v>2</v>
      </c>
      <c r="AL3145" s="4">
        <v>10</v>
      </c>
      <c r="AM3145" s="4">
        <v>13</v>
      </c>
      <c r="AN3145" s="4">
        <v>0</v>
      </c>
      <c r="AO3145" s="4">
        <v>0</v>
      </c>
      <c r="AP3145" s="4">
        <v>2</v>
      </c>
      <c r="AQ3145" s="4">
        <v>3</v>
      </c>
      <c r="AR3145" s="3" t="s">
        <v>64</v>
      </c>
      <c r="AS3145" s="3" t="s">
        <v>64</v>
      </c>
      <c r="AT3145" s="3" t="s">
        <v>64</v>
      </c>
      <c r="AV3145" s="6" t="str">
        <f>HYPERLINK("http://mcgill.on.worldcat.org/oclc/861752539","Catalog Record")</f>
        <v>Catalog Record</v>
      </c>
      <c r="AW3145" s="6" t="str">
        <f>HYPERLINK("http://www.worldcat.org/oclc/861752539","WorldCat Record")</f>
        <v>WorldCat Record</v>
      </c>
      <c r="AX3145" s="3" t="s">
        <v>31513</v>
      </c>
      <c r="AY3145" s="3" t="s">
        <v>31514</v>
      </c>
      <c r="AZ3145" s="3" t="s">
        <v>31515</v>
      </c>
      <c r="BA3145" s="3" t="s">
        <v>31515</v>
      </c>
      <c r="BB3145" s="3" t="s">
        <v>31516</v>
      </c>
      <c r="BC3145" s="3" t="s">
        <v>77</v>
      </c>
      <c r="BD3145" s="3" t="s">
        <v>78</v>
      </c>
      <c r="BE3145" s="3" t="s">
        <v>31517</v>
      </c>
      <c r="BF3145" s="3" t="s">
        <v>31516</v>
      </c>
      <c r="BG3145" s="3" t="s">
        <v>31518</v>
      </c>
      <c r="BH3145">
        <f t="shared" si="76"/>
        <v>0</v>
      </c>
    </row>
    <row r="3146" spans="1:60" ht="58" x14ac:dyDescent="0.35">
      <c r="A3146" s="2" t="s">
        <v>59</v>
      </c>
      <c r="B3146" s="2" t="s">
        <v>60</v>
      </c>
      <c r="C3146" s="2" t="s">
        <v>31519</v>
      </c>
      <c r="D3146" s="2" t="s">
        <v>31520</v>
      </c>
      <c r="E3146" s="2" t="s">
        <v>31521</v>
      </c>
      <c r="G3146" s="3" t="s">
        <v>64</v>
      </c>
      <c r="I3146" s="3" t="s">
        <v>64</v>
      </c>
      <c r="J3146" s="3" t="s">
        <v>64</v>
      </c>
      <c r="K3146" s="3" t="s">
        <v>65</v>
      </c>
      <c r="M3146" s="2" t="s">
        <v>14044</v>
      </c>
      <c r="N3146" s="3" t="s">
        <v>326</v>
      </c>
      <c r="P3146" s="3" t="s">
        <v>102</v>
      </c>
      <c r="R3146" s="3" t="s">
        <v>70</v>
      </c>
      <c r="S3146" s="4">
        <v>7</v>
      </c>
      <c r="T3146" s="4">
        <v>7</v>
      </c>
      <c r="U3146" s="5" t="s">
        <v>31522</v>
      </c>
      <c r="V3146" s="5" t="s">
        <v>31522</v>
      </c>
      <c r="W3146" s="5" t="s">
        <v>72</v>
      </c>
      <c r="X3146" s="5" t="s">
        <v>72</v>
      </c>
      <c r="Y3146" s="4">
        <v>1052</v>
      </c>
      <c r="Z3146" s="4">
        <v>53</v>
      </c>
      <c r="AA3146" s="4">
        <v>125</v>
      </c>
      <c r="AB3146" s="4">
        <v>3</v>
      </c>
      <c r="AC3146" s="4">
        <v>19</v>
      </c>
      <c r="AD3146" s="4">
        <v>108</v>
      </c>
      <c r="AE3146" s="4">
        <v>149</v>
      </c>
      <c r="AF3146" s="4">
        <v>1</v>
      </c>
      <c r="AG3146" s="4">
        <v>9</v>
      </c>
      <c r="AH3146" s="4">
        <v>88</v>
      </c>
      <c r="AI3146" s="4">
        <v>103</v>
      </c>
      <c r="AJ3146" s="4">
        <v>14</v>
      </c>
      <c r="AK3146" s="4">
        <v>23</v>
      </c>
      <c r="AL3146" s="4">
        <v>47</v>
      </c>
      <c r="AM3146" s="4">
        <v>56</v>
      </c>
      <c r="AN3146" s="4">
        <v>0</v>
      </c>
      <c r="AO3146" s="4">
        <v>0</v>
      </c>
      <c r="AP3146" s="4">
        <v>24</v>
      </c>
      <c r="AQ3146" s="4">
        <v>50</v>
      </c>
      <c r="AR3146" s="3" t="s">
        <v>64</v>
      </c>
      <c r="AS3146" s="3" t="s">
        <v>64</v>
      </c>
      <c r="AT3146" s="3" t="s">
        <v>64</v>
      </c>
      <c r="AV3146" s="6" t="str">
        <f>HYPERLINK("http://mcgill.on.worldcat.org/oclc/601086473","Catalog Record")</f>
        <v>Catalog Record</v>
      </c>
      <c r="AW3146" s="6" t="str">
        <f>HYPERLINK("http://www.worldcat.org/oclc/601086473","WorldCat Record")</f>
        <v>WorldCat Record</v>
      </c>
      <c r="AX3146" s="3" t="s">
        <v>31523</v>
      </c>
      <c r="AY3146" s="3" t="s">
        <v>31524</v>
      </c>
      <c r="AZ3146" s="3" t="s">
        <v>31525</v>
      </c>
      <c r="BA3146" s="3" t="s">
        <v>31525</v>
      </c>
      <c r="BB3146" s="3" t="s">
        <v>31526</v>
      </c>
      <c r="BC3146" s="3" t="s">
        <v>77</v>
      </c>
      <c r="BD3146" s="3" t="s">
        <v>78</v>
      </c>
      <c r="BE3146" s="3" t="s">
        <v>31527</v>
      </c>
      <c r="BF3146" s="3" t="s">
        <v>31526</v>
      </c>
      <c r="BG3146" s="3" t="s">
        <v>31528</v>
      </c>
      <c r="BH3146">
        <f t="shared" si="76"/>
        <v>0</v>
      </c>
    </row>
    <row r="3147" spans="1:60" ht="58" x14ac:dyDescent="0.35">
      <c r="A3147" s="2" t="s">
        <v>59</v>
      </c>
      <c r="B3147" s="2" t="s">
        <v>60</v>
      </c>
      <c r="C3147" s="2" t="s">
        <v>31529</v>
      </c>
      <c r="D3147" s="2" t="s">
        <v>31530</v>
      </c>
      <c r="E3147" s="2" t="s">
        <v>31531</v>
      </c>
      <c r="G3147" s="3" t="s">
        <v>64</v>
      </c>
      <c r="I3147" s="3" t="s">
        <v>64</v>
      </c>
      <c r="J3147" s="3" t="s">
        <v>64</v>
      </c>
      <c r="K3147" s="3" t="s">
        <v>65</v>
      </c>
      <c r="M3147" s="2" t="s">
        <v>24756</v>
      </c>
      <c r="N3147" s="3" t="s">
        <v>326</v>
      </c>
      <c r="P3147" s="3" t="s">
        <v>102</v>
      </c>
      <c r="Q3147" s="2" t="s">
        <v>31532</v>
      </c>
      <c r="R3147" s="3" t="s">
        <v>70</v>
      </c>
      <c r="S3147" s="4">
        <v>3</v>
      </c>
      <c r="T3147" s="4">
        <v>3</v>
      </c>
      <c r="U3147" s="5" t="s">
        <v>8725</v>
      </c>
      <c r="V3147" s="5" t="s">
        <v>8725</v>
      </c>
      <c r="W3147" s="5" t="s">
        <v>72</v>
      </c>
      <c r="X3147" s="5" t="s">
        <v>72</v>
      </c>
      <c r="Y3147" s="4">
        <v>101</v>
      </c>
      <c r="Z3147" s="4">
        <v>10</v>
      </c>
      <c r="AA3147" s="4">
        <v>92</v>
      </c>
      <c r="AB3147" s="4">
        <v>1</v>
      </c>
      <c r="AC3147" s="4">
        <v>17</v>
      </c>
      <c r="AD3147" s="4">
        <v>34</v>
      </c>
      <c r="AE3147" s="4">
        <v>112</v>
      </c>
      <c r="AF3147" s="4">
        <v>0</v>
      </c>
      <c r="AG3147" s="4">
        <v>8</v>
      </c>
      <c r="AH3147" s="4">
        <v>32</v>
      </c>
      <c r="AI3147" s="4">
        <v>77</v>
      </c>
      <c r="AJ3147" s="4">
        <v>7</v>
      </c>
      <c r="AK3147" s="4">
        <v>22</v>
      </c>
      <c r="AL3147" s="4">
        <v>18</v>
      </c>
      <c r="AM3147" s="4">
        <v>37</v>
      </c>
      <c r="AN3147" s="4">
        <v>0</v>
      </c>
      <c r="AO3147" s="4">
        <v>0</v>
      </c>
      <c r="AP3147" s="4">
        <v>7</v>
      </c>
      <c r="AQ3147" s="4">
        <v>42</v>
      </c>
      <c r="AR3147" s="3" t="s">
        <v>64</v>
      </c>
      <c r="AS3147" s="3" t="s">
        <v>64</v>
      </c>
      <c r="AT3147" s="3" t="s">
        <v>64</v>
      </c>
      <c r="AV3147" s="6" t="str">
        <f>HYPERLINK("http://mcgill.on.worldcat.org/oclc/730054539","Catalog Record")</f>
        <v>Catalog Record</v>
      </c>
      <c r="AW3147" s="6" t="str">
        <f>HYPERLINK("http://www.worldcat.org/oclc/730054539","WorldCat Record")</f>
        <v>WorldCat Record</v>
      </c>
      <c r="AX3147" s="3" t="s">
        <v>31533</v>
      </c>
      <c r="AY3147" s="3" t="s">
        <v>31534</v>
      </c>
      <c r="AZ3147" s="3" t="s">
        <v>31535</v>
      </c>
      <c r="BA3147" s="3" t="s">
        <v>31535</v>
      </c>
      <c r="BB3147" s="3" t="s">
        <v>31536</v>
      </c>
      <c r="BC3147" s="3" t="s">
        <v>77</v>
      </c>
      <c r="BD3147" s="3" t="s">
        <v>78</v>
      </c>
      <c r="BE3147" s="3" t="s">
        <v>31537</v>
      </c>
      <c r="BF3147" s="3" t="s">
        <v>31536</v>
      </c>
      <c r="BG3147" s="3" t="s">
        <v>31538</v>
      </c>
      <c r="BH3147">
        <f t="shared" si="76"/>
        <v>0</v>
      </c>
    </row>
    <row r="3148" spans="1:60" ht="58" x14ac:dyDescent="0.35">
      <c r="A3148" s="2" t="s">
        <v>59</v>
      </c>
      <c r="B3148" s="2" t="s">
        <v>60</v>
      </c>
      <c r="C3148" s="2" t="s">
        <v>31539</v>
      </c>
      <c r="D3148" s="2" t="s">
        <v>31540</v>
      </c>
      <c r="E3148" s="2" t="s">
        <v>31541</v>
      </c>
      <c r="G3148" s="3" t="s">
        <v>64</v>
      </c>
      <c r="I3148" s="3" t="s">
        <v>64</v>
      </c>
      <c r="J3148" s="3" t="s">
        <v>64</v>
      </c>
      <c r="K3148" s="3" t="s">
        <v>65</v>
      </c>
      <c r="M3148" s="2" t="s">
        <v>31542</v>
      </c>
      <c r="N3148" s="3" t="s">
        <v>86</v>
      </c>
      <c r="O3148" s="2" t="s">
        <v>31543</v>
      </c>
      <c r="P3148" s="3" t="s">
        <v>102</v>
      </c>
      <c r="R3148" s="3" t="s">
        <v>70</v>
      </c>
      <c r="S3148" s="4">
        <v>0</v>
      </c>
      <c r="T3148" s="4">
        <v>0</v>
      </c>
      <c r="W3148" s="5" t="s">
        <v>72</v>
      </c>
      <c r="X3148" s="5" t="s">
        <v>72</v>
      </c>
      <c r="Y3148" s="4">
        <v>61</v>
      </c>
      <c r="Z3148" s="4">
        <v>9</v>
      </c>
      <c r="AA3148" s="4">
        <v>10</v>
      </c>
      <c r="AB3148" s="4">
        <v>1</v>
      </c>
      <c r="AC3148" s="4">
        <v>1</v>
      </c>
      <c r="AD3148" s="4">
        <v>24</v>
      </c>
      <c r="AE3148" s="4">
        <v>26</v>
      </c>
      <c r="AF3148" s="4">
        <v>0</v>
      </c>
      <c r="AG3148" s="4">
        <v>0</v>
      </c>
      <c r="AH3148" s="4">
        <v>20</v>
      </c>
      <c r="AI3148" s="4">
        <v>21</v>
      </c>
      <c r="AJ3148" s="4">
        <v>6</v>
      </c>
      <c r="AK3148" s="4">
        <v>6</v>
      </c>
      <c r="AL3148" s="4">
        <v>12</v>
      </c>
      <c r="AM3148" s="4">
        <v>13</v>
      </c>
      <c r="AN3148" s="4">
        <v>0</v>
      </c>
      <c r="AO3148" s="4">
        <v>0</v>
      </c>
      <c r="AP3148" s="4">
        <v>7</v>
      </c>
      <c r="AQ3148" s="4">
        <v>8</v>
      </c>
      <c r="AR3148" s="3" t="s">
        <v>64</v>
      </c>
      <c r="AS3148" s="3" t="s">
        <v>64</v>
      </c>
      <c r="AT3148" s="3" t="s">
        <v>64</v>
      </c>
      <c r="AV3148" s="6" t="str">
        <f>HYPERLINK("http://mcgill.on.worldcat.org/oclc/773348888","Catalog Record")</f>
        <v>Catalog Record</v>
      </c>
      <c r="AW3148" s="6" t="str">
        <f>HYPERLINK("http://www.worldcat.org/oclc/773348888","WorldCat Record")</f>
        <v>WorldCat Record</v>
      </c>
      <c r="AX3148" s="3" t="s">
        <v>31544</v>
      </c>
      <c r="AY3148" s="3" t="s">
        <v>31545</v>
      </c>
      <c r="AZ3148" s="3" t="s">
        <v>31546</v>
      </c>
      <c r="BA3148" s="3" t="s">
        <v>31546</v>
      </c>
      <c r="BB3148" s="3" t="s">
        <v>31547</v>
      </c>
      <c r="BC3148" s="3" t="s">
        <v>77</v>
      </c>
      <c r="BD3148" s="3" t="s">
        <v>78</v>
      </c>
      <c r="BE3148" s="3" t="s">
        <v>31548</v>
      </c>
      <c r="BF3148" s="3" t="s">
        <v>31547</v>
      </c>
      <c r="BG3148" s="3" t="s">
        <v>31549</v>
      </c>
      <c r="BH3148">
        <f t="shared" si="76"/>
        <v>0</v>
      </c>
    </row>
    <row r="3149" spans="1:60" ht="58" x14ac:dyDescent="0.35">
      <c r="A3149" s="2" t="s">
        <v>59</v>
      </c>
      <c r="B3149" s="2" t="s">
        <v>60</v>
      </c>
      <c r="C3149" s="2" t="s">
        <v>31550</v>
      </c>
      <c r="D3149" s="2" t="s">
        <v>31551</v>
      </c>
      <c r="E3149" s="2" t="s">
        <v>31552</v>
      </c>
      <c r="G3149" s="3" t="s">
        <v>64</v>
      </c>
      <c r="I3149" s="3" t="s">
        <v>64</v>
      </c>
      <c r="J3149" s="3" t="s">
        <v>64</v>
      </c>
      <c r="K3149" s="3" t="s">
        <v>65</v>
      </c>
      <c r="L3149" s="2" t="s">
        <v>31553</v>
      </c>
      <c r="M3149" s="2" t="s">
        <v>16922</v>
      </c>
      <c r="N3149" s="3" t="s">
        <v>86</v>
      </c>
      <c r="P3149" s="3" t="s">
        <v>102</v>
      </c>
      <c r="Q3149" s="2" t="s">
        <v>31554</v>
      </c>
      <c r="R3149" s="3" t="s">
        <v>70</v>
      </c>
      <c r="S3149" s="4">
        <v>2</v>
      </c>
      <c r="T3149" s="4">
        <v>2</v>
      </c>
      <c r="U3149" s="5" t="s">
        <v>5120</v>
      </c>
      <c r="V3149" s="5" t="s">
        <v>5120</v>
      </c>
      <c r="W3149" s="5" t="s">
        <v>72</v>
      </c>
      <c r="X3149" s="5" t="s">
        <v>72</v>
      </c>
      <c r="Y3149" s="4">
        <v>228</v>
      </c>
      <c r="Z3149" s="4">
        <v>26</v>
      </c>
      <c r="AA3149" s="4">
        <v>117</v>
      </c>
      <c r="AB3149" s="4">
        <v>1</v>
      </c>
      <c r="AC3149" s="4">
        <v>15</v>
      </c>
      <c r="AD3149" s="4">
        <v>36</v>
      </c>
      <c r="AE3149" s="4">
        <v>116</v>
      </c>
      <c r="AF3149" s="4">
        <v>0</v>
      </c>
      <c r="AG3149" s="4">
        <v>8</v>
      </c>
      <c r="AH3149" s="4">
        <v>27</v>
      </c>
      <c r="AI3149" s="4">
        <v>73</v>
      </c>
      <c r="AJ3149" s="4">
        <v>9</v>
      </c>
      <c r="AK3149" s="4">
        <v>24</v>
      </c>
      <c r="AL3149" s="4">
        <v>13</v>
      </c>
      <c r="AM3149" s="4">
        <v>35</v>
      </c>
      <c r="AN3149" s="4">
        <v>0</v>
      </c>
      <c r="AO3149" s="4">
        <v>0</v>
      </c>
      <c r="AP3149" s="4">
        <v>13</v>
      </c>
      <c r="AQ3149" s="4">
        <v>48</v>
      </c>
      <c r="AR3149" s="3" t="s">
        <v>64</v>
      </c>
      <c r="AS3149" s="3" t="s">
        <v>64</v>
      </c>
      <c r="AT3149" s="3" t="s">
        <v>64</v>
      </c>
      <c r="AV3149" s="6" t="str">
        <f>HYPERLINK("http://mcgill.on.worldcat.org/oclc/781277940","Catalog Record")</f>
        <v>Catalog Record</v>
      </c>
      <c r="AW3149" s="6" t="str">
        <f>HYPERLINK("http://www.worldcat.org/oclc/781277940","WorldCat Record")</f>
        <v>WorldCat Record</v>
      </c>
      <c r="AX3149" s="3" t="s">
        <v>31555</v>
      </c>
      <c r="AY3149" s="3" t="s">
        <v>31556</v>
      </c>
      <c r="AZ3149" s="3" t="s">
        <v>31557</v>
      </c>
      <c r="BA3149" s="3" t="s">
        <v>31557</v>
      </c>
      <c r="BB3149" s="3" t="s">
        <v>31558</v>
      </c>
      <c r="BC3149" s="3" t="s">
        <v>77</v>
      </c>
      <c r="BD3149" s="3" t="s">
        <v>78</v>
      </c>
      <c r="BE3149" s="3" t="s">
        <v>31559</v>
      </c>
      <c r="BF3149" s="3" t="s">
        <v>31558</v>
      </c>
      <c r="BG3149" s="3" t="s">
        <v>31560</v>
      </c>
      <c r="BH3149">
        <f t="shared" si="76"/>
        <v>0</v>
      </c>
    </row>
    <row r="3150" spans="1:60" ht="72.5" x14ac:dyDescent="0.35">
      <c r="A3150" s="2" t="s">
        <v>59</v>
      </c>
      <c r="B3150" s="2" t="s">
        <v>60</v>
      </c>
      <c r="C3150" s="2" t="s">
        <v>31561</v>
      </c>
      <c r="D3150" s="2" t="s">
        <v>31562</v>
      </c>
      <c r="E3150" s="2" t="s">
        <v>31563</v>
      </c>
      <c r="G3150" s="3" t="s">
        <v>64</v>
      </c>
      <c r="I3150" s="3" t="s">
        <v>64</v>
      </c>
      <c r="J3150" s="3" t="s">
        <v>64</v>
      </c>
      <c r="K3150" s="3" t="s">
        <v>65</v>
      </c>
      <c r="L3150" s="2" t="s">
        <v>31564</v>
      </c>
      <c r="M3150" s="2" t="s">
        <v>18533</v>
      </c>
      <c r="N3150" s="3" t="s">
        <v>578</v>
      </c>
      <c r="P3150" s="3" t="s">
        <v>102</v>
      </c>
      <c r="R3150" s="3" t="s">
        <v>70</v>
      </c>
      <c r="S3150" s="4">
        <v>0</v>
      </c>
      <c r="T3150" s="4">
        <v>0</v>
      </c>
      <c r="W3150" s="5" t="s">
        <v>72</v>
      </c>
      <c r="X3150" s="5" t="s">
        <v>72</v>
      </c>
      <c r="Y3150" s="4">
        <v>206</v>
      </c>
      <c r="Z3150" s="4">
        <v>4</v>
      </c>
      <c r="AA3150" s="4">
        <v>6</v>
      </c>
      <c r="AB3150" s="4">
        <v>1</v>
      </c>
      <c r="AC3150" s="4">
        <v>3</v>
      </c>
      <c r="AD3150" s="4">
        <v>21</v>
      </c>
      <c r="AE3150" s="4">
        <v>22</v>
      </c>
      <c r="AF3150" s="4">
        <v>0</v>
      </c>
      <c r="AG3150" s="4">
        <v>1</v>
      </c>
      <c r="AH3150" s="4">
        <v>21</v>
      </c>
      <c r="AI3150" s="4">
        <v>21</v>
      </c>
      <c r="AJ3150" s="4">
        <v>1</v>
      </c>
      <c r="AK3150" s="4">
        <v>2</v>
      </c>
      <c r="AL3150" s="4">
        <v>9</v>
      </c>
      <c r="AM3150" s="4">
        <v>9</v>
      </c>
      <c r="AN3150" s="4">
        <v>0</v>
      </c>
      <c r="AO3150" s="4">
        <v>0</v>
      </c>
      <c r="AP3150" s="4">
        <v>1</v>
      </c>
      <c r="AQ3150" s="4">
        <v>1</v>
      </c>
      <c r="AR3150" s="3" t="s">
        <v>64</v>
      </c>
      <c r="AS3150" s="3" t="s">
        <v>64</v>
      </c>
      <c r="AT3150" s="3" t="s">
        <v>64</v>
      </c>
      <c r="AV3150" s="6" t="str">
        <f>HYPERLINK("http://mcgill.on.worldcat.org/oclc/975087125","Catalog Record")</f>
        <v>Catalog Record</v>
      </c>
      <c r="AW3150" s="6" t="str">
        <f>HYPERLINK("http://www.worldcat.org/oclc/975087125","WorldCat Record")</f>
        <v>WorldCat Record</v>
      </c>
      <c r="AX3150" s="3" t="s">
        <v>31565</v>
      </c>
      <c r="AY3150" s="3" t="s">
        <v>31566</v>
      </c>
      <c r="AZ3150" s="3" t="s">
        <v>31567</v>
      </c>
      <c r="BA3150" s="3" t="s">
        <v>31567</v>
      </c>
      <c r="BB3150" s="3" t="s">
        <v>31568</v>
      </c>
      <c r="BC3150" s="3" t="s">
        <v>77</v>
      </c>
      <c r="BD3150" s="3" t="s">
        <v>78</v>
      </c>
      <c r="BE3150" s="3" t="s">
        <v>31569</v>
      </c>
      <c r="BF3150" s="3" t="s">
        <v>31568</v>
      </c>
      <c r="BG3150" s="3" t="s">
        <v>31570</v>
      </c>
      <c r="BH3150">
        <f t="shared" si="76"/>
        <v>0</v>
      </c>
    </row>
    <row r="3151" spans="1:60" ht="58" x14ac:dyDescent="0.35">
      <c r="A3151" s="2" t="s">
        <v>59</v>
      </c>
      <c r="B3151" s="2" t="s">
        <v>60</v>
      </c>
      <c r="C3151" s="2" t="s">
        <v>31571</v>
      </c>
      <c r="D3151" s="2" t="s">
        <v>31572</v>
      </c>
      <c r="E3151" s="2" t="s">
        <v>31573</v>
      </c>
      <c r="G3151" s="3" t="s">
        <v>64</v>
      </c>
      <c r="I3151" s="3" t="s">
        <v>64</v>
      </c>
      <c r="J3151" s="3" t="s">
        <v>64</v>
      </c>
      <c r="K3151" s="3" t="s">
        <v>65</v>
      </c>
      <c r="L3151" s="2" t="s">
        <v>31574</v>
      </c>
      <c r="M3151" s="2" t="s">
        <v>13931</v>
      </c>
      <c r="N3151" s="3" t="s">
        <v>144</v>
      </c>
      <c r="P3151" s="3" t="s">
        <v>102</v>
      </c>
      <c r="R3151" s="3" t="s">
        <v>70</v>
      </c>
      <c r="S3151" s="4">
        <v>3</v>
      </c>
      <c r="T3151" s="4">
        <v>3</v>
      </c>
      <c r="U3151" s="5" t="s">
        <v>17014</v>
      </c>
      <c r="V3151" s="5" t="s">
        <v>17014</v>
      </c>
      <c r="W3151" s="5" t="s">
        <v>72</v>
      </c>
      <c r="X3151" s="5" t="s">
        <v>72</v>
      </c>
      <c r="Y3151" s="4">
        <v>415</v>
      </c>
      <c r="Z3151" s="4">
        <v>30</v>
      </c>
      <c r="AA3151" s="4">
        <v>32</v>
      </c>
      <c r="AB3151" s="4">
        <v>2</v>
      </c>
      <c r="AC3151" s="4">
        <v>3</v>
      </c>
      <c r="AD3151" s="4">
        <v>30</v>
      </c>
      <c r="AE3151" s="4">
        <v>31</v>
      </c>
      <c r="AF3151" s="4">
        <v>0</v>
      </c>
      <c r="AG3151" s="4">
        <v>0</v>
      </c>
      <c r="AH3151" s="4">
        <v>28</v>
      </c>
      <c r="AI3151" s="4">
        <v>28</v>
      </c>
      <c r="AJ3151" s="4">
        <v>5</v>
      </c>
      <c r="AK3151" s="4">
        <v>5</v>
      </c>
      <c r="AL3151" s="4">
        <v>12</v>
      </c>
      <c r="AM3151" s="4">
        <v>12</v>
      </c>
      <c r="AN3151" s="4">
        <v>0</v>
      </c>
      <c r="AO3151" s="4">
        <v>0</v>
      </c>
      <c r="AP3151" s="4">
        <v>5</v>
      </c>
      <c r="AQ3151" s="4">
        <v>6</v>
      </c>
      <c r="AR3151" s="3" t="s">
        <v>64</v>
      </c>
      <c r="AS3151" s="3" t="s">
        <v>64</v>
      </c>
      <c r="AT3151" s="3" t="s">
        <v>64</v>
      </c>
      <c r="AV3151" s="6" t="str">
        <f>HYPERLINK("http://mcgill.on.worldcat.org/oclc/191846872","Catalog Record")</f>
        <v>Catalog Record</v>
      </c>
      <c r="AW3151" s="6" t="str">
        <f>HYPERLINK("http://www.worldcat.org/oclc/191846872","WorldCat Record")</f>
        <v>WorldCat Record</v>
      </c>
      <c r="AX3151" s="3" t="s">
        <v>31575</v>
      </c>
      <c r="AY3151" s="3" t="s">
        <v>31576</v>
      </c>
      <c r="AZ3151" s="3" t="s">
        <v>31577</v>
      </c>
      <c r="BA3151" s="3" t="s">
        <v>31577</v>
      </c>
      <c r="BB3151" s="3" t="s">
        <v>31578</v>
      </c>
      <c r="BC3151" s="3" t="s">
        <v>77</v>
      </c>
      <c r="BD3151" s="3" t="s">
        <v>78</v>
      </c>
      <c r="BE3151" s="3" t="s">
        <v>31579</v>
      </c>
      <c r="BF3151" s="3" t="s">
        <v>31578</v>
      </c>
      <c r="BG3151" s="3" t="s">
        <v>31580</v>
      </c>
      <c r="BH3151">
        <f t="shared" si="76"/>
        <v>0</v>
      </c>
    </row>
    <row r="3152" spans="1:60" ht="58" x14ac:dyDescent="0.35">
      <c r="A3152" s="2" t="s">
        <v>59</v>
      </c>
      <c r="B3152" s="2" t="s">
        <v>60</v>
      </c>
      <c r="C3152" s="2" t="s">
        <v>31581</v>
      </c>
      <c r="D3152" s="2" t="s">
        <v>31582</v>
      </c>
      <c r="E3152" s="2" t="s">
        <v>31583</v>
      </c>
      <c r="G3152" s="3" t="s">
        <v>64</v>
      </c>
      <c r="I3152" s="3" t="s">
        <v>64</v>
      </c>
      <c r="J3152" s="3" t="s">
        <v>64</v>
      </c>
      <c r="K3152" s="3" t="s">
        <v>65</v>
      </c>
      <c r="L3152" s="2" t="s">
        <v>31584</v>
      </c>
      <c r="M3152" s="2" t="s">
        <v>30664</v>
      </c>
      <c r="N3152" s="3" t="s">
        <v>326</v>
      </c>
      <c r="P3152" s="3" t="s">
        <v>102</v>
      </c>
      <c r="R3152" s="3" t="s">
        <v>70</v>
      </c>
      <c r="S3152" s="4">
        <v>3</v>
      </c>
      <c r="T3152" s="4">
        <v>3</v>
      </c>
      <c r="U3152" s="5" t="s">
        <v>17014</v>
      </c>
      <c r="V3152" s="5" t="s">
        <v>17014</v>
      </c>
      <c r="W3152" s="5" t="s">
        <v>72</v>
      </c>
      <c r="X3152" s="5" t="s">
        <v>72</v>
      </c>
      <c r="Y3152" s="4">
        <v>115</v>
      </c>
      <c r="Z3152" s="4">
        <v>8</v>
      </c>
      <c r="AA3152" s="4">
        <v>19</v>
      </c>
      <c r="AB3152" s="4">
        <v>1</v>
      </c>
      <c r="AC3152" s="4">
        <v>3</v>
      </c>
      <c r="AD3152" s="4">
        <v>19</v>
      </c>
      <c r="AE3152" s="4">
        <v>27</v>
      </c>
      <c r="AF3152" s="4">
        <v>0</v>
      </c>
      <c r="AG3152" s="4">
        <v>0</v>
      </c>
      <c r="AH3152" s="4">
        <v>18</v>
      </c>
      <c r="AI3152" s="4">
        <v>24</v>
      </c>
      <c r="AJ3152" s="4">
        <v>3</v>
      </c>
      <c r="AK3152" s="4">
        <v>3</v>
      </c>
      <c r="AL3152" s="4">
        <v>11</v>
      </c>
      <c r="AM3152" s="4">
        <v>15</v>
      </c>
      <c r="AN3152" s="4">
        <v>0</v>
      </c>
      <c r="AO3152" s="4">
        <v>0</v>
      </c>
      <c r="AP3152" s="4">
        <v>3</v>
      </c>
      <c r="AQ3152" s="4">
        <v>4</v>
      </c>
      <c r="AR3152" s="3" t="s">
        <v>64</v>
      </c>
      <c r="AS3152" s="3" t="s">
        <v>64</v>
      </c>
      <c r="AT3152" s="3" t="s">
        <v>64</v>
      </c>
      <c r="AV3152" s="6" t="str">
        <f>HYPERLINK("http://mcgill.on.worldcat.org/oclc/768480216","Catalog Record")</f>
        <v>Catalog Record</v>
      </c>
      <c r="AW3152" s="6" t="str">
        <f>HYPERLINK("http://www.worldcat.org/oclc/768480216","WorldCat Record")</f>
        <v>WorldCat Record</v>
      </c>
      <c r="AX3152" s="3" t="s">
        <v>31585</v>
      </c>
      <c r="AY3152" s="3" t="s">
        <v>31586</v>
      </c>
      <c r="AZ3152" s="3" t="s">
        <v>31587</v>
      </c>
      <c r="BA3152" s="3" t="s">
        <v>31587</v>
      </c>
      <c r="BB3152" s="3" t="s">
        <v>31588</v>
      </c>
      <c r="BC3152" s="3" t="s">
        <v>77</v>
      </c>
      <c r="BD3152" s="3" t="s">
        <v>78</v>
      </c>
      <c r="BE3152" s="3" t="s">
        <v>31589</v>
      </c>
      <c r="BF3152" s="3" t="s">
        <v>31588</v>
      </c>
      <c r="BG3152" s="3" t="s">
        <v>31590</v>
      </c>
      <c r="BH3152">
        <f t="shared" si="76"/>
        <v>0</v>
      </c>
    </row>
    <row r="3153" spans="1:60" ht="58" x14ac:dyDescent="0.35">
      <c r="A3153" s="2" t="s">
        <v>59</v>
      </c>
      <c r="B3153" s="2" t="s">
        <v>60</v>
      </c>
      <c r="C3153" s="2" t="s">
        <v>31591</v>
      </c>
      <c r="D3153" s="2" t="s">
        <v>31592</v>
      </c>
      <c r="E3153" s="2" t="s">
        <v>31593</v>
      </c>
      <c r="G3153" s="3" t="s">
        <v>64</v>
      </c>
      <c r="I3153" s="3" t="s">
        <v>64</v>
      </c>
      <c r="J3153" s="3" t="s">
        <v>64</v>
      </c>
      <c r="K3153" s="3" t="s">
        <v>65</v>
      </c>
      <c r="M3153" s="2" t="s">
        <v>16349</v>
      </c>
      <c r="N3153" s="3" t="s">
        <v>86</v>
      </c>
      <c r="P3153" s="3" t="s">
        <v>102</v>
      </c>
      <c r="R3153" s="3" t="s">
        <v>70</v>
      </c>
      <c r="S3153" s="4">
        <v>1</v>
      </c>
      <c r="T3153" s="4">
        <v>1</v>
      </c>
      <c r="U3153" s="5" t="s">
        <v>31594</v>
      </c>
      <c r="V3153" s="5" t="s">
        <v>31594</v>
      </c>
      <c r="W3153" s="5" t="s">
        <v>72</v>
      </c>
      <c r="X3153" s="5" t="s">
        <v>72</v>
      </c>
      <c r="Y3153" s="4">
        <v>350</v>
      </c>
      <c r="Z3153" s="4">
        <v>25</v>
      </c>
      <c r="AA3153" s="4">
        <v>32</v>
      </c>
      <c r="AB3153" s="4">
        <v>1</v>
      </c>
      <c r="AC3153" s="4">
        <v>7</v>
      </c>
      <c r="AD3153" s="4">
        <v>76</v>
      </c>
      <c r="AE3153" s="4">
        <v>82</v>
      </c>
      <c r="AF3153" s="4">
        <v>0</v>
      </c>
      <c r="AG3153" s="4">
        <v>2</v>
      </c>
      <c r="AH3153" s="4">
        <v>63</v>
      </c>
      <c r="AI3153" s="4">
        <v>67</v>
      </c>
      <c r="AJ3153" s="4">
        <v>13</v>
      </c>
      <c r="AK3153" s="4">
        <v>15</v>
      </c>
      <c r="AL3153" s="4">
        <v>32</v>
      </c>
      <c r="AM3153" s="4">
        <v>33</v>
      </c>
      <c r="AN3153" s="4">
        <v>0</v>
      </c>
      <c r="AO3153" s="4">
        <v>0</v>
      </c>
      <c r="AP3153" s="4">
        <v>20</v>
      </c>
      <c r="AQ3153" s="4">
        <v>22</v>
      </c>
      <c r="AR3153" s="3" t="s">
        <v>64</v>
      </c>
      <c r="AS3153" s="3" t="s">
        <v>64</v>
      </c>
      <c r="AT3153" s="3" t="s">
        <v>64</v>
      </c>
      <c r="AV3153" s="6" t="str">
        <f>HYPERLINK("http://mcgill.on.worldcat.org/oclc/779606933","Catalog Record")</f>
        <v>Catalog Record</v>
      </c>
      <c r="AW3153" s="6" t="str">
        <f>HYPERLINK("http://www.worldcat.org/oclc/779606933","WorldCat Record")</f>
        <v>WorldCat Record</v>
      </c>
      <c r="AX3153" s="3" t="s">
        <v>31595</v>
      </c>
      <c r="AY3153" s="3" t="s">
        <v>31596</v>
      </c>
      <c r="AZ3153" s="3" t="s">
        <v>31597</v>
      </c>
      <c r="BA3153" s="3" t="s">
        <v>31597</v>
      </c>
      <c r="BB3153" s="3" t="s">
        <v>31598</v>
      </c>
      <c r="BC3153" s="3" t="s">
        <v>77</v>
      </c>
      <c r="BD3153" s="3" t="s">
        <v>78</v>
      </c>
      <c r="BE3153" s="3" t="s">
        <v>31599</v>
      </c>
      <c r="BF3153" s="3" t="s">
        <v>31598</v>
      </c>
      <c r="BG3153" s="3" t="s">
        <v>31600</v>
      </c>
      <c r="BH3153">
        <f t="shared" si="76"/>
        <v>0</v>
      </c>
    </row>
    <row r="3154" spans="1:60" ht="87" x14ac:dyDescent="0.35">
      <c r="A3154" s="2" t="s">
        <v>59</v>
      </c>
      <c r="B3154" s="2" t="s">
        <v>60</v>
      </c>
      <c r="C3154" s="2" t="s">
        <v>31601</v>
      </c>
      <c r="D3154" s="2" t="s">
        <v>31602</v>
      </c>
      <c r="E3154" s="2" t="s">
        <v>31603</v>
      </c>
      <c r="G3154" s="3" t="s">
        <v>64</v>
      </c>
      <c r="I3154" s="3" t="s">
        <v>64</v>
      </c>
      <c r="J3154" s="3" t="s">
        <v>64</v>
      </c>
      <c r="K3154" s="3" t="s">
        <v>65</v>
      </c>
      <c r="M3154" s="2" t="s">
        <v>16525</v>
      </c>
      <c r="N3154" s="3" t="s">
        <v>190</v>
      </c>
      <c r="P3154" s="3" t="s">
        <v>102</v>
      </c>
      <c r="R3154" s="3" t="s">
        <v>70</v>
      </c>
      <c r="S3154" s="4">
        <v>1</v>
      </c>
      <c r="T3154" s="4">
        <v>1</v>
      </c>
      <c r="U3154" s="5" t="s">
        <v>8379</v>
      </c>
      <c r="V3154" s="5" t="s">
        <v>8379</v>
      </c>
      <c r="W3154" s="5" t="s">
        <v>72</v>
      </c>
      <c r="X3154" s="5" t="s">
        <v>72</v>
      </c>
      <c r="Y3154" s="4">
        <v>185</v>
      </c>
      <c r="Z3154" s="4">
        <v>6</v>
      </c>
      <c r="AA3154" s="4">
        <v>15</v>
      </c>
      <c r="AB3154" s="4">
        <v>2</v>
      </c>
      <c r="AC3154" s="4">
        <v>6</v>
      </c>
      <c r="AD3154" s="4">
        <v>41</v>
      </c>
      <c r="AE3154" s="4">
        <v>58</v>
      </c>
      <c r="AF3154" s="4">
        <v>1</v>
      </c>
      <c r="AG3154" s="4">
        <v>3</v>
      </c>
      <c r="AH3154" s="4">
        <v>37</v>
      </c>
      <c r="AI3154" s="4">
        <v>47</v>
      </c>
      <c r="AJ3154" s="4">
        <v>4</v>
      </c>
      <c r="AK3154" s="4">
        <v>8</v>
      </c>
      <c r="AL3154" s="4">
        <v>20</v>
      </c>
      <c r="AM3154" s="4">
        <v>26</v>
      </c>
      <c r="AN3154" s="4">
        <v>0</v>
      </c>
      <c r="AO3154" s="4">
        <v>0</v>
      </c>
      <c r="AP3154" s="4">
        <v>5</v>
      </c>
      <c r="AQ3154" s="4">
        <v>11</v>
      </c>
      <c r="AR3154" s="3" t="s">
        <v>64</v>
      </c>
      <c r="AS3154" s="3" t="s">
        <v>64</v>
      </c>
      <c r="AT3154" s="3" t="s">
        <v>64</v>
      </c>
      <c r="AV3154" s="6" t="str">
        <f>HYPERLINK("http://mcgill.on.worldcat.org/oclc/1041190593","Catalog Record")</f>
        <v>Catalog Record</v>
      </c>
      <c r="AW3154" s="6" t="str">
        <f>HYPERLINK("http://www.worldcat.org/oclc/1041190593","WorldCat Record")</f>
        <v>WorldCat Record</v>
      </c>
      <c r="AX3154" s="3" t="s">
        <v>31604</v>
      </c>
      <c r="AY3154" s="3" t="s">
        <v>31605</v>
      </c>
      <c r="AZ3154" s="3" t="s">
        <v>31606</v>
      </c>
      <c r="BA3154" s="3" t="s">
        <v>31606</v>
      </c>
      <c r="BB3154" s="3" t="s">
        <v>31607</v>
      </c>
      <c r="BC3154" s="3" t="s">
        <v>77</v>
      </c>
      <c r="BD3154" s="3" t="s">
        <v>78</v>
      </c>
      <c r="BE3154" s="3" t="s">
        <v>31608</v>
      </c>
      <c r="BF3154" s="3" t="s">
        <v>31607</v>
      </c>
      <c r="BG3154" s="3" t="s">
        <v>31609</v>
      </c>
      <c r="BH3154">
        <f t="shared" si="76"/>
        <v>0</v>
      </c>
    </row>
    <row r="3155" spans="1:60" ht="116" x14ac:dyDescent="0.35">
      <c r="A3155" s="2" t="s">
        <v>59</v>
      </c>
      <c r="B3155" s="2" t="s">
        <v>1183</v>
      </c>
      <c r="C3155" s="2" t="s">
        <v>31610</v>
      </c>
      <c r="D3155" s="2" t="s">
        <v>31611</v>
      </c>
      <c r="E3155" s="2" t="s">
        <v>31612</v>
      </c>
      <c r="G3155" s="3" t="s">
        <v>64</v>
      </c>
      <c r="I3155" s="3" t="s">
        <v>64</v>
      </c>
      <c r="J3155" s="3" t="s">
        <v>64</v>
      </c>
      <c r="K3155" s="3" t="s">
        <v>65</v>
      </c>
      <c r="L3155" s="2" t="s">
        <v>31613</v>
      </c>
      <c r="M3155" s="2" t="s">
        <v>31614</v>
      </c>
      <c r="N3155" s="3" t="s">
        <v>326</v>
      </c>
      <c r="P3155" s="3" t="s">
        <v>1190</v>
      </c>
      <c r="Q3155" s="2" t="s">
        <v>31615</v>
      </c>
      <c r="R3155" s="3" t="s">
        <v>70</v>
      </c>
      <c r="S3155" s="4">
        <v>1</v>
      </c>
      <c r="T3155" s="4">
        <v>1</v>
      </c>
      <c r="U3155" s="5" t="s">
        <v>31616</v>
      </c>
      <c r="V3155" s="5" t="s">
        <v>31616</v>
      </c>
      <c r="W3155" s="5" t="s">
        <v>72</v>
      </c>
      <c r="X3155" s="5" t="s">
        <v>72</v>
      </c>
      <c r="Y3155" s="4">
        <v>1</v>
      </c>
      <c r="Z3155" s="4">
        <v>1</v>
      </c>
      <c r="AA3155" s="4">
        <v>1</v>
      </c>
      <c r="AB3155" s="4">
        <v>1</v>
      </c>
      <c r="AC3155" s="4">
        <v>1</v>
      </c>
      <c r="AD3155" s="4">
        <v>0</v>
      </c>
      <c r="AE3155" s="4">
        <v>0</v>
      </c>
      <c r="AF3155" s="4">
        <v>0</v>
      </c>
      <c r="AG3155" s="4">
        <v>0</v>
      </c>
      <c r="AH3155" s="4">
        <v>0</v>
      </c>
      <c r="AI3155" s="4">
        <v>0</v>
      </c>
      <c r="AJ3155" s="4">
        <v>0</v>
      </c>
      <c r="AK3155" s="4">
        <v>0</v>
      </c>
      <c r="AL3155" s="4">
        <v>0</v>
      </c>
      <c r="AM3155" s="4">
        <v>0</v>
      </c>
      <c r="AN3155" s="4">
        <v>0</v>
      </c>
      <c r="AO3155" s="4">
        <v>0</v>
      </c>
      <c r="AP3155" s="4">
        <v>0</v>
      </c>
      <c r="AQ3155" s="4">
        <v>0</v>
      </c>
      <c r="AR3155" s="3" t="s">
        <v>64</v>
      </c>
      <c r="AS3155" s="3" t="s">
        <v>64</v>
      </c>
      <c r="AT3155" s="3" t="s">
        <v>64</v>
      </c>
      <c r="AV3155" s="6" t="str">
        <f>HYPERLINK("http://mcgill.on.worldcat.org/oclc/869379333","Catalog Record")</f>
        <v>Catalog Record</v>
      </c>
      <c r="AW3155" s="6" t="str">
        <f>HYPERLINK("http://www.worldcat.org/oclc/869379333","WorldCat Record")</f>
        <v>WorldCat Record</v>
      </c>
      <c r="AX3155" s="3" t="s">
        <v>31617</v>
      </c>
      <c r="AY3155" s="3" t="s">
        <v>31618</v>
      </c>
      <c r="AZ3155" s="3" t="s">
        <v>31619</v>
      </c>
      <c r="BA3155" s="3" t="s">
        <v>31619</v>
      </c>
      <c r="BB3155" s="3" t="s">
        <v>31620</v>
      </c>
      <c r="BC3155" s="3" t="s">
        <v>77</v>
      </c>
      <c r="BD3155" s="3" t="s">
        <v>78</v>
      </c>
      <c r="BE3155" s="3" t="s">
        <v>31621</v>
      </c>
      <c r="BF3155" s="3" t="s">
        <v>31620</v>
      </c>
      <c r="BG3155" s="3" t="s">
        <v>31622</v>
      </c>
      <c r="BH3155">
        <f t="shared" si="76"/>
        <v>0</v>
      </c>
    </row>
    <row r="3156" spans="1:60" ht="58" x14ac:dyDescent="0.35">
      <c r="A3156" s="2" t="s">
        <v>59</v>
      </c>
      <c r="B3156" s="2" t="s">
        <v>60</v>
      </c>
      <c r="C3156" s="2" t="s">
        <v>31623</v>
      </c>
      <c r="D3156" s="2" t="s">
        <v>31624</v>
      </c>
      <c r="E3156" s="2" t="s">
        <v>31625</v>
      </c>
      <c r="G3156" s="3" t="s">
        <v>64</v>
      </c>
      <c r="I3156" s="3" t="s">
        <v>64</v>
      </c>
      <c r="J3156" s="3" t="s">
        <v>128</v>
      </c>
      <c r="K3156" s="3" t="s">
        <v>65</v>
      </c>
      <c r="L3156" s="2" t="s">
        <v>31626</v>
      </c>
      <c r="M3156" s="2" t="s">
        <v>17338</v>
      </c>
      <c r="N3156" s="3" t="s">
        <v>1087</v>
      </c>
      <c r="P3156" s="3" t="s">
        <v>102</v>
      </c>
      <c r="R3156" s="3" t="s">
        <v>70</v>
      </c>
      <c r="S3156" s="4">
        <v>19</v>
      </c>
      <c r="T3156" s="4">
        <v>19</v>
      </c>
      <c r="U3156" s="5" t="s">
        <v>2115</v>
      </c>
      <c r="V3156" s="5" t="s">
        <v>2115</v>
      </c>
      <c r="W3156" s="5" t="s">
        <v>72</v>
      </c>
      <c r="X3156" s="5" t="s">
        <v>72</v>
      </c>
      <c r="Y3156" s="4">
        <v>296</v>
      </c>
      <c r="Z3156" s="4">
        <v>21</v>
      </c>
      <c r="AA3156" s="4">
        <v>26</v>
      </c>
      <c r="AB3156" s="4">
        <v>2</v>
      </c>
      <c r="AC3156" s="4">
        <v>4</v>
      </c>
      <c r="AD3156" s="4">
        <v>53</v>
      </c>
      <c r="AE3156" s="4">
        <v>77</v>
      </c>
      <c r="AF3156" s="4">
        <v>1</v>
      </c>
      <c r="AG3156" s="4">
        <v>2</v>
      </c>
      <c r="AH3156" s="4">
        <v>47</v>
      </c>
      <c r="AI3156" s="4">
        <v>70</v>
      </c>
      <c r="AJ3156" s="4">
        <v>9</v>
      </c>
      <c r="AK3156" s="4">
        <v>10</v>
      </c>
      <c r="AL3156" s="4">
        <v>20</v>
      </c>
      <c r="AM3156" s="4">
        <v>31</v>
      </c>
      <c r="AN3156" s="4">
        <v>0</v>
      </c>
      <c r="AO3156" s="4">
        <v>0</v>
      </c>
      <c r="AP3156" s="4">
        <v>11</v>
      </c>
      <c r="AQ3156" s="4">
        <v>11</v>
      </c>
      <c r="AR3156" s="3" t="s">
        <v>64</v>
      </c>
      <c r="AS3156" s="3" t="s">
        <v>64</v>
      </c>
      <c r="AT3156" s="3" t="s">
        <v>128</v>
      </c>
      <c r="AU3156" s="6" t="str">
        <f>HYPERLINK("http://catalog.hathitrust.org/Record/002450424","HathiTrust Record")</f>
        <v>HathiTrust Record</v>
      </c>
      <c r="AV3156" s="6" t="str">
        <f>HYPERLINK("http://mcgill.on.worldcat.org/oclc/22983330","Catalog Record")</f>
        <v>Catalog Record</v>
      </c>
      <c r="AW3156" s="6" t="str">
        <f>HYPERLINK("http://www.worldcat.org/oclc/22983330","WorldCat Record")</f>
        <v>WorldCat Record</v>
      </c>
      <c r="AX3156" s="3" t="s">
        <v>31627</v>
      </c>
      <c r="AY3156" s="3" t="s">
        <v>31628</v>
      </c>
      <c r="AZ3156" s="3" t="s">
        <v>31629</v>
      </c>
      <c r="BA3156" s="3" t="s">
        <v>31629</v>
      </c>
      <c r="BB3156" s="3" t="s">
        <v>31630</v>
      </c>
      <c r="BC3156" s="3" t="s">
        <v>77</v>
      </c>
      <c r="BD3156" s="3" t="s">
        <v>78</v>
      </c>
      <c r="BE3156" s="3" t="s">
        <v>31631</v>
      </c>
      <c r="BF3156" s="3" t="s">
        <v>31630</v>
      </c>
      <c r="BG3156" s="3" t="s">
        <v>31632</v>
      </c>
      <c r="BH3156">
        <f t="shared" si="76"/>
        <v>0</v>
      </c>
    </row>
    <row r="3157" spans="1:60" ht="58" x14ac:dyDescent="0.35">
      <c r="A3157" s="2" t="s">
        <v>59</v>
      </c>
      <c r="B3157" s="2" t="s">
        <v>60</v>
      </c>
      <c r="C3157" s="2" t="s">
        <v>31633</v>
      </c>
      <c r="D3157" s="2" t="s">
        <v>31634</v>
      </c>
      <c r="E3157" s="2" t="s">
        <v>31635</v>
      </c>
      <c r="G3157" s="3" t="s">
        <v>64</v>
      </c>
      <c r="I3157" s="3" t="s">
        <v>64</v>
      </c>
      <c r="J3157" s="3" t="s">
        <v>64</v>
      </c>
      <c r="K3157" s="3" t="s">
        <v>65</v>
      </c>
      <c r="M3157" s="2" t="s">
        <v>31636</v>
      </c>
      <c r="N3157" s="3" t="s">
        <v>291</v>
      </c>
      <c r="P3157" s="3" t="s">
        <v>102</v>
      </c>
      <c r="Q3157" s="2" t="s">
        <v>31637</v>
      </c>
      <c r="R3157" s="3" t="s">
        <v>70</v>
      </c>
      <c r="S3157" s="4">
        <v>3</v>
      </c>
      <c r="T3157" s="4">
        <v>3</v>
      </c>
      <c r="U3157" s="5" t="s">
        <v>1176</v>
      </c>
      <c r="V3157" s="5" t="s">
        <v>1176</v>
      </c>
      <c r="W3157" s="5" t="s">
        <v>72</v>
      </c>
      <c r="X3157" s="5" t="s">
        <v>72</v>
      </c>
      <c r="Y3157" s="4">
        <v>5</v>
      </c>
      <c r="Z3157" s="4">
        <v>2</v>
      </c>
      <c r="AA3157" s="4">
        <v>6</v>
      </c>
      <c r="AB3157" s="4">
        <v>1</v>
      </c>
      <c r="AC3157" s="4">
        <v>2</v>
      </c>
      <c r="AD3157" s="4">
        <v>2</v>
      </c>
      <c r="AE3157" s="4">
        <v>4</v>
      </c>
      <c r="AF3157" s="4">
        <v>0</v>
      </c>
      <c r="AG3157" s="4">
        <v>0</v>
      </c>
      <c r="AH3157" s="4">
        <v>1</v>
      </c>
      <c r="AI3157" s="4">
        <v>3</v>
      </c>
      <c r="AJ3157" s="4">
        <v>1</v>
      </c>
      <c r="AK3157" s="4">
        <v>2</v>
      </c>
      <c r="AL3157" s="4">
        <v>1</v>
      </c>
      <c r="AM3157" s="4">
        <v>3</v>
      </c>
      <c r="AN3157" s="4">
        <v>0</v>
      </c>
      <c r="AO3157" s="4">
        <v>0</v>
      </c>
      <c r="AP3157" s="4">
        <v>0</v>
      </c>
      <c r="AQ3157" s="4">
        <v>1</v>
      </c>
      <c r="AR3157" s="3" t="s">
        <v>64</v>
      </c>
      <c r="AS3157" s="3" t="s">
        <v>64</v>
      </c>
      <c r="AT3157" s="3" t="s">
        <v>64</v>
      </c>
      <c r="AV3157" s="6" t="str">
        <f>HYPERLINK("http://mcgill.on.worldcat.org/oclc/189561764","Catalog Record")</f>
        <v>Catalog Record</v>
      </c>
      <c r="AW3157" s="6" t="str">
        <f>HYPERLINK("http://www.worldcat.org/oclc/189561764","WorldCat Record")</f>
        <v>WorldCat Record</v>
      </c>
      <c r="AX3157" s="3" t="s">
        <v>31638</v>
      </c>
      <c r="AY3157" s="3" t="s">
        <v>31639</v>
      </c>
      <c r="AZ3157" s="3" t="s">
        <v>31640</v>
      </c>
      <c r="BA3157" s="3" t="s">
        <v>31640</v>
      </c>
      <c r="BB3157" s="3" t="s">
        <v>31641</v>
      </c>
      <c r="BC3157" s="3" t="s">
        <v>77</v>
      </c>
      <c r="BD3157" s="3" t="s">
        <v>78</v>
      </c>
      <c r="BE3157" s="3" t="s">
        <v>31642</v>
      </c>
      <c r="BF3157" s="3" t="s">
        <v>31641</v>
      </c>
      <c r="BG3157" s="3" t="s">
        <v>31643</v>
      </c>
      <c r="BH3157">
        <f t="shared" si="76"/>
        <v>0</v>
      </c>
    </row>
    <row r="3158" spans="1:60" ht="58" x14ac:dyDescent="0.35">
      <c r="A3158" s="2" t="s">
        <v>59</v>
      </c>
      <c r="B3158" s="2" t="s">
        <v>60</v>
      </c>
      <c r="C3158" s="2" t="s">
        <v>31644</v>
      </c>
      <c r="D3158" s="2" t="s">
        <v>31645</v>
      </c>
      <c r="E3158" s="2" t="s">
        <v>31646</v>
      </c>
      <c r="G3158" s="3" t="s">
        <v>64</v>
      </c>
      <c r="I3158" s="3" t="s">
        <v>64</v>
      </c>
      <c r="J3158" s="3" t="s">
        <v>64</v>
      </c>
      <c r="K3158" s="3" t="s">
        <v>65</v>
      </c>
      <c r="L3158" s="2" t="s">
        <v>31647</v>
      </c>
      <c r="M3158" s="2" t="s">
        <v>14552</v>
      </c>
      <c r="N3158" s="3" t="s">
        <v>537</v>
      </c>
      <c r="P3158" s="3" t="s">
        <v>102</v>
      </c>
      <c r="R3158" s="3" t="s">
        <v>70</v>
      </c>
      <c r="S3158" s="4">
        <v>0</v>
      </c>
      <c r="T3158" s="4">
        <v>0</v>
      </c>
      <c r="W3158" s="5" t="s">
        <v>72</v>
      </c>
      <c r="X3158" s="5" t="s">
        <v>72</v>
      </c>
      <c r="Y3158" s="4">
        <v>310</v>
      </c>
      <c r="Z3158" s="4">
        <v>8</v>
      </c>
      <c r="AA3158" s="4">
        <v>74</v>
      </c>
      <c r="AB3158" s="4">
        <v>1</v>
      </c>
      <c r="AC3158" s="4">
        <v>15</v>
      </c>
      <c r="AD3158" s="4">
        <v>25</v>
      </c>
      <c r="AE3158" s="4">
        <v>82</v>
      </c>
      <c r="AF3158" s="4">
        <v>0</v>
      </c>
      <c r="AG3158" s="4">
        <v>8</v>
      </c>
      <c r="AH3158" s="4">
        <v>25</v>
      </c>
      <c r="AI3158" s="4">
        <v>56</v>
      </c>
      <c r="AJ3158" s="4">
        <v>2</v>
      </c>
      <c r="AK3158" s="4">
        <v>16</v>
      </c>
      <c r="AL3158" s="4">
        <v>9</v>
      </c>
      <c r="AM3158" s="4">
        <v>25</v>
      </c>
      <c r="AN3158" s="4">
        <v>0</v>
      </c>
      <c r="AO3158" s="4">
        <v>0</v>
      </c>
      <c r="AP3158" s="4">
        <v>2</v>
      </c>
      <c r="AQ3158" s="4">
        <v>32</v>
      </c>
      <c r="AR3158" s="3" t="s">
        <v>64</v>
      </c>
      <c r="AS3158" s="3" t="s">
        <v>64</v>
      </c>
      <c r="AT3158" s="3" t="s">
        <v>64</v>
      </c>
      <c r="AV3158" s="6" t="str">
        <f>HYPERLINK("http://mcgill.on.worldcat.org/oclc/945549581","Catalog Record")</f>
        <v>Catalog Record</v>
      </c>
      <c r="AW3158" s="6" t="str">
        <f>HYPERLINK("http://www.worldcat.org/oclc/945549581","WorldCat Record")</f>
        <v>WorldCat Record</v>
      </c>
      <c r="AX3158" s="3" t="s">
        <v>31648</v>
      </c>
      <c r="AY3158" s="3" t="s">
        <v>31649</v>
      </c>
      <c r="AZ3158" s="3" t="s">
        <v>31650</v>
      </c>
      <c r="BA3158" s="3" t="s">
        <v>31650</v>
      </c>
      <c r="BB3158" s="3" t="s">
        <v>31651</v>
      </c>
      <c r="BC3158" s="3" t="s">
        <v>77</v>
      </c>
      <c r="BD3158" s="3" t="s">
        <v>78</v>
      </c>
      <c r="BE3158" s="3" t="s">
        <v>31652</v>
      </c>
      <c r="BF3158" s="3" t="s">
        <v>31651</v>
      </c>
      <c r="BG3158" s="3" t="s">
        <v>31653</v>
      </c>
      <c r="BH3158">
        <f t="shared" si="76"/>
        <v>0</v>
      </c>
    </row>
    <row r="3159" spans="1:60" ht="58" x14ac:dyDescent="0.35">
      <c r="A3159" s="2" t="s">
        <v>59</v>
      </c>
      <c r="B3159" s="2" t="s">
        <v>60</v>
      </c>
      <c r="C3159" s="2" t="s">
        <v>31654</v>
      </c>
      <c r="D3159" s="2" t="s">
        <v>31655</v>
      </c>
      <c r="E3159" s="2" t="s">
        <v>31656</v>
      </c>
      <c r="G3159" s="3" t="s">
        <v>64</v>
      </c>
      <c r="I3159" s="3" t="s">
        <v>64</v>
      </c>
      <c r="J3159" s="3" t="s">
        <v>64</v>
      </c>
      <c r="K3159" s="3" t="s">
        <v>65</v>
      </c>
      <c r="M3159" s="2" t="s">
        <v>15674</v>
      </c>
      <c r="N3159" s="3" t="s">
        <v>253</v>
      </c>
      <c r="P3159" s="3" t="s">
        <v>102</v>
      </c>
      <c r="R3159" s="3" t="s">
        <v>70</v>
      </c>
      <c r="S3159" s="4">
        <v>0</v>
      </c>
      <c r="T3159" s="4">
        <v>0</v>
      </c>
      <c r="W3159" s="5" t="s">
        <v>72</v>
      </c>
      <c r="X3159" s="5" t="s">
        <v>72</v>
      </c>
      <c r="Y3159" s="4">
        <v>141</v>
      </c>
      <c r="Z3159" s="4">
        <v>10</v>
      </c>
      <c r="AA3159" s="4">
        <v>74</v>
      </c>
      <c r="AB3159" s="4">
        <v>1</v>
      </c>
      <c r="AC3159" s="4">
        <v>16</v>
      </c>
      <c r="AD3159" s="4">
        <v>10</v>
      </c>
      <c r="AE3159" s="4">
        <v>79</v>
      </c>
      <c r="AF3159" s="4">
        <v>0</v>
      </c>
      <c r="AG3159" s="4">
        <v>8</v>
      </c>
      <c r="AH3159" s="4">
        <v>9</v>
      </c>
      <c r="AI3159" s="4">
        <v>48</v>
      </c>
      <c r="AJ3159" s="4">
        <v>2</v>
      </c>
      <c r="AK3159" s="4">
        <v>15</v>
      </c>
      <c r="AL3159" s="4">
        <v>5</v>
      </c>
      <c r="AM3159" s="4">
        <v>24</v>
      </c>
      <c r="AN3159" s="4">
        <v>0</v>
      </c>
      <c r="AO3159" s="4">
        <v>0</v>
      </c>
      <c r="AP3159" s="4">
        <v>3</v>
      </c>
      <c r="AQ3159" s="4">
        <v>35</v>
      </c>
      <c r="AR3159" s="3" t="s">
        <v>64</v>
      </c>
      <c r="AS3159" s="3" t="s">
        <v>64</v>
      </c>
      <c r="AT3159" s="3" t="s">
        <v>64</v>
      </c>
      <c r="AV3159" s="6" t="str">
        <f>HYPERLINK("http://mcgill.on.worldcat.org/oclc/904786775","Catalog Record")</f>
        <v>Catalog Record</v>
      </c>
      <c r="AW3159" s="6" t="str">
        <f>HYPERLINK("http://www.worldcat.org/oclc/904786775","WorldCat Record")</f>
        <v>WorldCat Record</v>
      </c>
      <c r="AX3159" s="3" t="s">
        <v>31657</v>
      </c>
      <c r="AY3159" s="3" t="s">
        <v>31658</v>
      </c>
      <c r="AZ3159" s="3" t="s">
        <v>31659</v>
      </c>
      <c r="BA3159" s="3" t="s">
        <v>31659</v>
      </c>
      <c r="BB3159" s="3" t="s">
        <v>31660</v>
      </c>
      <c r="BC3159" s="3" t="s">
        <v>77</v>
      </c>
      <c r="BD3159" s="3" t="s">
        <v>78</v>
      </c>
      <c r="BE3159" s="3" t="s">
        <v>31661</v>
      </c>
      <c r="BF3159" s="3" t="s">
        <v>31660</v>
      </c>
      <c r="BG3159" s="3" t="s">
        <v>31662</v>
      </c>
      <c r="BH3159">
        <f t="shared" si="76"/>
        <v>0</v>
      </c>
    </row>
    <row r="3160" spans="1:60" ht="58" x14ac:dyDescent="0.35">
      <c r="A3160" s="2" t="s">
        <v>59</v>
      </c>
      <c r="B3160" s="2" t="s">
        <v>60</v>
      </c>
      <c r="C3160" s="2" t="s">
        <v>31663</v>
      </c>
      <c r="D3160" s="2" t="s">
        <v>31664</v>
      </c>
      <c r="E3160" s="2" t="s">
        <v>31665</v>
      </c>
      <c r="G3160" s="3" t="s">
        <v>64</v>
      </c>
      <c r="I3160" s="3" t="s">
        <v>64</v>
      </c>
      <c r="J3160" s="3" t="s">
        <v>64</v>
      </c>
      <c r="K3160" s="3" t="s">
        <v>65</v>
      </c>
      <c r="M3160" s="2" t="s">
        <v>17691</v>
      </c>
      <c r="N3160" s="3" t="s">
        <v>86</v>
      </c>
      <c r="P3160" s="3" t="s">
        <v>102</v>
      </c>
      <c r="R3160" s="3" t="s">
        <v>70</v>
      </c>
      <c r="S3160" s="4">
        <v>1</v>
      </c>
      <c r="T3160" s="4">
        <v>1</v>
      </c>
      <c r="U3160" s="5" t="s">
        <v>2115</v>
      </c>
      <c r="V3160" s="5" t="s">
        <v>2115</v>
      </c>
      <c r="W3160" s="5" t="s">
        <v>72</v>
      </c>
      <c r="X3160" s="5" t="s">
        <v>72</v>
      </c>
      <c r="Y3160" s="4">
        <v>93</v>
      </c>
      <c r="Z3160" s="4">
        <v>5</v>
      </c>
      <c r="AA3160" s="4">
        <v>77</v>
      </c>
      <c r="AB3160" s="4">
        <v>1</v>
      </c>
      <c r="AC3160" s="4">
        <v>14</v>
      </c>
      <c r="AD3160" s="4">
        <v>10</v>
      </c>
      <c r="AE3160" s="4">
        <v>85</v>
      </c>
      <c r="AF3160" s="4">
        <v>0</v>
      </c>
      <c r="AG3160" s="4">
        <v>8</v>
      </c>
      <c r="AH3160" s="4">
        <v>10</v>
      </c>
      <c r="AI3160" s="4">
        <v>53</v>
      </c>
      <c r="AJ3160" s="4">
        <v>2</v>
      </c>
      <c r="AK3160" s="4">
        <v>18</v>
      </c>
      <c r="AL3160" s="4">
        <v>5</v>
      </c>
      <c r="AM3160" s="4">
        <v>25</v>
      </c>
      <c r="AN3160" s="4">
        <v>0</v>
      </c>
      <c r="AO3160" s="4">
        <v>0</v>
      </c>
      <c r="AP3160" s="4">
        <v>2</v>
      </c>
      <c r="AQ3160" s="4">
        <v>38</v>
      </c>
      <c r="AR3160" s="3" t="s">
        <v>64</v>
      </c>
      <c r="AS3160" s="3" t="s">
        <v>64</v>
      </c>
      <c r="AT3160" s="3" t="s">
        <v>64</v>
      </c>
      <c r="AV3160" s="6" t="str">
        <f>HYPERLINK("http://mcgill.on.worldcat.org/oclc/779245922","Catalog Record")</f>
        <v>Catalog Record</v>
      </c>
      <c r="AW3160" s="6" t="str">
        <f>HYPERLINK("http://www.worldcat.org/oclc/779245922","WorldCat Record")</f>
        <v>WorldCat Record</v>
      </c>
      <c r="AX3160" s="3" t="s">
        <v>31666</v>
      </c>
      <c r="AY3160" s="3" t="s">
        <v>31667</v>
      </c>
      <c r="AZ3160" s="3" t="s">
        <v>31668</v>
      </c>
      <c r="BA3160" s="3" t="s">
        <v>31668</v>
      </c>
      <c r="BB3160" s="3" t="s">
        <v>31669</v>
      </c>
      <c r="BC3160" s="3" t="s">
        <v>77</v>
      </c>
      <c r="BD3160" s="3" t="s">
        <v>78</v>
      </c>
      <c r="BE3160" s="3" t="s">
        <v>31670</v>
      </c>
      <c r="BF3160" s="3" t="s">
        <v>31669</v>
      </c>
      <c r="BG3160" s="3" t="s">
        <v>31671</v>
      </c>
      <c r="BH3160">
        <f t="shared" si="76"/>
        <v>0</v>
      </c>
    </row>
    <row r="3161" spans="1:60" ht="58" x14ac:dyDescent="0.35">
      <c r="A3161" s="2" t="s">
        <v>59</v>
      </c>
      <c r="B3161" s="2" t="s">
        <v>60</v>
      </c>
      <c r="C3161" s="2" t="s">
        <v>31672</v>
      </c>
      <c r="D3161" s="2" t="s">
        <v>31673</v>
      </c>
      <c r="E3161" s="2" t="s">
        <v>31674</v>
      </c>
      <c r="G3161" s="3" t="s">
        <v>64</v>
      </c>
      <c r="I3161" s="3" t="s">
        <v>64</v>
      </c>
      <c r="J3161" s="3" t="s">
        <v>64</v>
      </c>
      <c r="K3161" s="3" t="s">
        <v>65</v>
      </c>
      <c r="M3161" s="2" t="s">
        <v>31675</v>
      </c>
      <c r="N3161" s="3" t="s">
        <v>1004</v>
      </c>
      <c r="P3161" s="3" t="s">
        <v>102</v>
      </c>
      <c r="R3161" s="3" t="s">
        <v>70</v>
      </c>
      <c r="S3161" s="4">
        <v>9</v>
      </c>
      <c r="T3161" s="4">
        <v>9</v>
      </c>
      <c r="U3161" s="5" t="s">
        <v>10236</v>
      </c>
      <c r="V3161" s="5" t="s">
        <v>10236</v>
      </c>
      <c r="W3161" s="5" t="s">
        <v>72</v>
      </c>
      <c r="X3161" s="5" t="s">
        <v>72</v>
      </c>
      <c r="Y3161" s="4">
        <v>280</v>
      </c>
      <c r="Z3161" s="4">
        <v>17</v>
      </c>
      <c r="AA3161" s="4">
        <v>19</v>
      </c>
      <c r="AB3161" s="4">
        <v>1</v>
      </c>
      <c r="AC3161" s="4">
        <v>3</v>
      </c>
      <c r="AD3161" s="4">
        <v>52</v>
      </c>
      <c r="AE3161" s="4">
        <v>53</v>
      </c>
      <c r="AF3161" s="4">
        <v>0</v>
      </c>
      <c r="AG3161" s="4">
        <v>1</v>
      </c>
      <c r="AH3161" s="4">
        <v>48</v>
      </c>
      <c r="AI3161" s="4">
        <v>48</v>
      </c>
      <c r="AJ3161" s="4">
        <v>9</v>
      </c>
      <c r="AK3161" s="4">
        <v>10</v>
      </c>
      <c r="AL3161" s="4">
        <v>24</v>
      </c>
      <c r="AM3161" s="4">
        <v>24</v>
      </c>
      <c r="AN3161" s="4">
        <v>0</v>
      </c>
      <c r="AO3161" s="4">
        <v>0</v>
      </c>
      <c r="AP3161" s="4">
        <v>8</v>
      </c>
      <c r="AQ3161" s="4">
        <v>8</v>
      </c>
      <c r="AR3161" s="3" t="s">
        <v>64</v>
      </c>
      <c r="AS3161" s="3" t="s">
        <v>64</v>
      </c>
      <c r="AT3161" s="3" t="s">
        <v>64</v>
      </c>
      <c r="AV3161" s="6" t="str">
        <f>HYPERLINK("http://mcgill.on.worldcat.org/oclc/9370792","Catalog Record")</f>
        <v>Catalog Record</v>
      </c>
      <c r="AW3161" s="6" t="str">
        <f>HYPERLINK("http://www.worldcat.org/oclc/9370792","WorldCat Record")</f>
        <v>WorldCat Record</v>
      </c>
      <c r="AX3161" s="3" t="s">
        <v>31676</v>
      </c>
      <c r="AY3161" s="3" t="s">
        <v>31677</v>
      </c>
      <c r="AZ3161" s="3" t="s">
        <v>31678</v>
      </c>
      <c r="BA3161" s="3" t="s">
        <v>31678</v>
      </c>
      <c r="BB3161" s="3" t="s">
        <v>31679</v>
      </c>
      <c r="BC3161" s="3" t="s">
        <v>77</v>
      </c>
      <c r="BD3161" s="3" t="s">
        <v>78</v>
      </c>
      <c r="BE3161" s="3" t="s">
        <v>31680</v>
      </c>
      <c r="BF3161" s="3" t="s">
        <v>31679</v>
      </c>
      <c r="BG3161" s="3" t="s">
        <v>31681</v>
      </c>
      <c r="BH3161">
        <f t="shared" si="76"/>
        <v>0</v>
      </c>
    </row>
    <row r="3162" spans="1:60" ht="58" x14ac:dyDescent="0.35">
      <c r="A3162" s="2" t="s">
        <v>59</v>
      </c>
      <c r="B3162" s="2" t="s">
        <v>60</v>
      </c>
      <c r="C3162" s="2" t="s">
        <v>31682</v>
      </c>
      <c r="D3162" s="2" t="s">
        <v>31683</v>
      </c>
      <c r="E3162" s="2" t="s">
        <v>31684</v>
      </c>
      <c r="G3162" s="3" t="s">
        <v>64</v>
      </c>
      <c r="I3162" s="3" t="s">
        <v>64</v>
      </c>
      <c r="J3162" s="3" t="s">
        <v>64</v>
      </c>
      <c r="K3162" s="3" t="s">
        <v>65</v>
      </c>
      <c r="L3162" s="2" t="s">
        <v>31685</v>
      </c>
      <c r="M3162" s="2" t="s">
        <v>15640</v>
      </c>
      <c r="N3162" s="3" t="s">
        <v>253</v>
      </c>
      <c r="P3162" s="3" t="s">
        <v>102</v>
      </c>
      <c r="R3162" s="3" t="s">
        <v>70</v>
      </c>
      <c r="S3162" s="4">
        <v>0</v>
      </c>
      <c r="T3162" s="4">
        <v>0</v>
      </c>
      <c r="W3162" s="5" t="s">
        <v>72</v>
      </c>
      <c r="X3162" s="5" t="s">
        <v>72</v>
      </c>
      <c r="Y3162" s="4">
        <v>352</v>
      </c>
      <c r="Z3162" s="4">
        <v>15</v>
      </c>
      <c r="AA3162" s="4">
        <v>15</v>
      </c>
      <c r="AB3162" s="4">
        <v>2</v>
      </c>
      <c r="AC3162" s="4">
        <v>2</v>
      </c>
      <c r="AD3162" s="4">
        <v>33</v>
      </c>
      <c r="AE3162" s="4">
        <v>33</v>
      </c>
      <c r="AF3162" s="4">
        <v>0</v>
      </c>
      <c r="AG3162" s="4">
        <v>0</v>
      </c>
      <c r="AH3162" s="4">
        <v>33</v>
      </c>
      <c r="AI3162" s="4">
        <v>33</v>
      </c>
      <c r="AJ3162" s="4">
        <v>4</v>
      </c>
      <c r="AK3162" s="4">
        <v>4</v>
      </c>
      <c r="AL3162" s="4">
        <v>13</v>
      </c>
      <c r="AM3162" s="4">
        <v>13</v>
      </c>
      <c r="AN3162" s="4">
        <v>0</v>
      </c>
      <c r="AO3162" s="4">
        <v>0</v>
      </c>
      <c r="AP3162" s="4">
        <v>4</v>
      </c>
      <c r="AQ3162" s="4">
        <v>4</v>
      </c>
      <c r="AR3162" s="3" t="s">
        <v>64</v>
      </c>
      <c r="AS3162" s="3" t="s">
        <v>64</v>
      </c>
      <c r="AT3162" s="3" t="s">
        <v>64</v>
      </c>
      <c r="AV3162" s="6" t="str">
        <f>HYPERLINK("http://mcgill.on.worldcat.org/oclc/893316936","Catalog Record")</f>
        <v>Catalog Record</v>
      </c>
      <c r="AW3162" s="6" t="str">
        <f>HYPERLINK("http://www.worldcat.org/oclc/893316936","WorldCat Record")</f>
        <v>WorldCat Record</v>
      </c>
      <c r="AX3162" s="3" t="s">
        <v>31686</v>
      </c>
      <c r="AY3162" s="3" t="s">
        <v>31687</v>
      </c>
      <c r="AZ3162" s="3" t="s">
        <v>31688</v>
      </c>
      <c r="BA3162" s="3" t="s">
        <v>31688</v>
      </c>
      <c r="BB3162" s="3" t="s">
        <v>31689</v>
      </c>
      <c r="BC3162" s="3" t="s">
        <v>77</v>
      </c>
      <c r="BD3162" s="3" t="s">
        <v>78</v>
      </c>
      <c r="BE3162" s="3" t="s">
        <v>31690</v>
      </c>
      <c r="BF3162" s="3" t="s">
        <v>31689</v>
      </c>
      <c r="BG3162" s="3" t="s">
        <v>31691</v>
      </c>
      <c r="BH3162">
        <f t="shared" si="76"/>
        <v>0</v>
      </c>
    </row>
    <row r="3163" spans="1:60" ht="58" x14ac:dyDescent="0.35">
      <c r="A3163" s="2" t="s">
        <v>59</v>
      </c>
      <c r="B3163" s="2" t="s">
        <v>60</v>
      </c>
      <c r="C3163" s="2" t="s">
        <v>31692</v>
      </c>
      <c r="D3163" s="2" t="s">
        <v>31693</v>
      </c>
      <c r="E3163" s="2" t="s">
        <v>31694</v>
      </c>
      <c r="G3163" s="3" t="s">
        <v>64</v>
      </c>
      <c r="I3163" s="3" t="s">
        <v>64</v>
      </c>
      <c r="J3163" s="3" t="s">
        <v>64</v>
      </c>
      <c r="K3163" s="3" t="s">
        <v>65</v>
      </c>
      <c r="L3163" s="2" t="s">
        <v>31695</v>
      </c>
      <c r="M3163" s="2" t="s">
        <v>19709</v>
      </c>
      <c r="N3163" s="3" t="s">
        <v>291</v>
      </c>
      <c r="P3163" s="3" t="s">
        <v>102</v>
      </c>
      <c r="R3163" s="3" t="s">
        <v>70</v>
      </c>
      <c r="S3163" s="4">
        <v>6</v>
      </c>
      <c r="T3163" s="4">
        <v>6</v>
      </c>
      <c r="U3163" s="5" t="s">
        <v>5872</v>
      </c>
      <c r="V3163" s="5" t="s">
        <v>5872</v>
      </c>
      <c r="W3163" s="5" t="s">
        <v>72</v>
      </c>
      <c r="X3163" s="5" t="s">
        <v>72</v>
      </c>
      <c r="Y3163" s="4">
        <v>307</v>
      </c>
      <c r="Z3163" s="4">
        <v>16</v>
      </c>
      <c r="AA3163" s="4">
        <v>16</v>
      </c>
      <c r="AB3163" s="4">
        <v>3</v>
      </c>
      <c r="AC3163" s="4">
        <v>3</v>
      </c>
      <c r="AD3163" s="4">
        <v>45</v>
      </c>
      <c r="AE3163" s="4">
        <v>45</v>
      </c>
      <c r="AF3163" s="4">
        <v>1</v>
      </c>
      <c r="AG3163" s="4">
        <v>1</v>
      </c>
      <c r="AH3163" s="4">
        <v>43</v>
      </c>
      <c r="AI3163" s="4">
        <v>43</v>
      </c>
      <c r="AJ3163" s="4">
        <v>7</v>
      </c>
      <c r="AK3163" s="4">
        <v>7</v>
      </c>
      <c r="AL3163" s="4">
        <v>19</v>
      </c>
      <c r="AM3163" s="4">
        <v>19</v>
      </c>
      <c r="AN3163" s="4">
        <v>0</v>
      </c>
      <c r="AO3163" s="4">
        <v>0</v>
      </c>
      <c r="AP3163" s="4">
        <v>8</v>
      </c>
      <c r="AQ3163" s="4">
        <v>8</v>
      </c>
      <c r="AR3163" s="3" t="s">
        <v>64</v>
      </c>
      <c r="AS3163" s="3" t="s">
        <v>64</v>
      </c>
      <c r="AT3163" s="3" t="s">
        <v>128</v>
      </c>
      <c r="AU3163" s="6" t="str">
        <f>HYPERLINK("http://catalog.hathitrust.org/Record/005618804","HathiTrust Record")</f>
        <v>HathiTrust Record</v>
      </c>
      <c r="AV3163" s="6" t="str">
        <f>HYPERLINK("http://mcgill.on.worldcat.org/oclc/85851422","Catalog Record")</f>
        <v>Catalog Record</v>
      </c>
      <c r="AW3163" s="6" t="str">
        <f>HYPERLINK("http://www.worldcat.org/oclc/85851422","WorldCat Record")</f>
        <v>WorldCat Record</v>
      </c>
      <c r="AX3163" s="3" t="s">
        <v>31696</v>
      </c>
      <c r="AY3163" s="3" t="s">
        <v>31697</v>
      </c>
      <c r="AZ3163" s="3" t="s">
        <v>31698</v>
      </c>
      <c r="BA3163" s="3" t="s">
        <v>31698</v>
      </c>
      <c r="BB3163" s="3" t="s">
        <v>31699</v>
      </c>
      <c r="BC3163" s="3" t="s">
        <v>77</v>
      </c>
      <c r="BD3163" s="3" t="s">
        <v>78</v>
      </c>
      <c r="BE3163" s="3" t="s">
        <v>31700</v>
      </c>
      <c r="BF3163" s="3" t="s">
        <v>31699</v>
      </c>
      <c r="BG3163" s="3" t="s">
        <v>31701</v>
      </c>
      <c r="BH3163">
        <f t="shared" si="76"/>
        <v>0</v>
      </c>
    </row>
    <row r="3164" spans="1:60" ht="58" x14ac:dyDescent="0.35">
      <c r="A3164" s="2" t="s">
        <v>59</v>
      </c>
      <c r="B3164" s="2" t="s">
        <v>60</v>
      </c>
      <c r="C3164" s="2" t="s">
        <v>31702</v>
      </c>
      <c r="D3164" s="2" t="s">
        <v>31703</v>
      </c>
      <c r="E3164" s="2" t="s">
        <v>31704</v>
      </c>
      <c r="G3164" s="3" t="s">
        <v>64</v>
      </c>
      <c r="I3164" s="3" t="s">
        <v>64</v>
      </c>
      <c r="J3164" s="3" t="s">
        <v>64</v>
      </c>
      <c r="K3164" s="3" t="s">
        <v>65</v>
      </c>
      <c r="L3164" s="2" t="s">
        <v>31705</v>
      </c>
      <c r="M3164" s="2" t="s">
        <v>14882</v>
      </c>
      <c r="N3164" s="3" t="s">
        <v>171</v>
      </c>
      <c r="P3164" s="3" t="s">
        <v>102</v>
      </c>
      <c r="Q3164" s="2" t="s">
        <v>21484</v>
      </c>
      <c r="R3164" s="3" t="s">
        <v>70</v>
      </c>
      <c r="S3164" s="4">
        <v>2</v>
      </c>
      <c r="T3164" s="4">
        <v>2</v>
      </c>
      <c r="U3164" s="5" t="s">
        <v>21372</v>
      </c>
      <c r="V3164" s="5" t="s">
        <v>21372</v>
      </c>
      <c r="W3164" s="5" t="s">
        <v>72</v>
      </c>
      <c r="X3164" s="5" t="s">
        <v>72</v>
      </c>
      <c r="Y3164" s="4">
        <v>472</v>
      </c>
      <c r="Z3164" s="4">
        <v>20</v>
      </c>
      <c r="AA3164" s="4">
        <v>33</v>
      </c>
      <c r="AB3164" s="4">
        <v>2</v>
      </c>
      <c r="AC3164" s="4">
        <v>5</v>
      </c>
      <c r="AD3164" s="4">
        <v>50</v>
      </c>
      <c r="AE3164" s="4">
        <v>54</v>
      </c>
      <c r="AF3164" s="4">
        <v>0</v>
      </c>
      <c r="AG3164" s="4">
        <v>2</v>
      </c>
      <c r="AH3164" s="4">
        <v>48</v>
      </c>
      <c r="AI3164" s="4">
        <v>51</v>
      </c>
      <c r="AJ3164" s="4">
        <v>7</v>
      </c>
      <c r="AK3164" s="4">
        <v>9</v>
      </c>
      <c r="AL3164" s="4">
        <v>19</v>
      </c>
      <c r="AM3164" s="4">
        <v>20</v>
      </c>
      <c r="AN3164" s="4">
        <v>0</v>
      </c>
      <c r="AO3164" s="4">
        <v>0</v>
      </c>
      <c r="AP3164" s="4">
        <v>7</v>
      </c>
      <c r="AQ3164" s="4">
        <v>8</v>
      </c>
      <c r="AR3164" s="3" t="s">
        <v>64</v>
      </c>
      <c r="AS3164" s="3" t="s">
        <v>64</v>
      </c>
      <c r="AT3164" s="3" t="s">
        <v>64</v>
      </c>
      <c r="AV3164" s="6" t="str">
        <f>HYPERLINK("http://mcgill.on.worldcat.org/oclc/62342719","Catalog Record")</f>
        <v>Catalog Record</v>
      </c>
      <c r="AW3164" s="6" t="str">
        <f>HYPERLINK("http://www.worldcat.org/oclc/62342719","WorldCat Record")</f>
        <v>WorldCat Record</v>
      </c>
      <c r="AX3164" s="3" t="s">
        <v>31706</v>
      </c>
      <c r="AY3164" s="3" t="s">
        <v>31707</v>
      </c>
      <c r="AZ3164" s="3" t="s">
        <v>31708</v>
      </c>
      <c r="BA3164" s="3" t="s">
        <v>31708</v>
      </c>
      <c r="BB3164" s="3" t="s">
        <v>31709</v>
      </c>
      <c r="BC3164" s="3" t="s">
        <v>77</v>
      </c>
      <c r="BD3164" s="3" t="s">
        <v>78</v>
      </c>
      <c r="BE3164" s="3" t="s">
        <v>31710</v>
      </c>
      <c r="BF3164" s="3" t="s">
        <v>31709</v>
      </c>
      <c r="BG3164" s="3" t="s">
        <v>31711</v>
      </c>
      <c r="BH3164">
        <f t="shared" si="76"/>
        <v>0</v>
      </c>
    </row>
    <row r="3165" spans="1:60" ht="58" x14ac:dyDescent="0.35">
      <c r="A3165" s="2" t="s">
        <v>59</v>
      </c>
      <c r="B3165" s="2" t="s">
        <v>60</v>
      </c>
      <c r="C3165" s="2" t="s">
        <v>31712</v>
      </c>
      <c r="D3165" s="2" t="s">
        <v>31713</v>
      </c>
      <c r="E3165" s="2" t="s">
        <v>31714</v>
      </c>
      <c r="G3165" s="3" t="s">
        <v>64</v>
      </c>
      <c r="I3165" s="3" t="s">
        <v>64</v>
      </c>
      <c r="J3165" s="3" t="s">
        <v>64</v>
      </c>
      <c r="K3165" s="3" t="s">
        <v>65</v>
      </c>
      <c r="M3165" s="2" t="s">
        <v>31715</v>
      </c>
      <c r="N3165" s="3" t="s">
        <v>86</v>
      </c>
      <c r="P3165" s="3" t="s">
        <v>102</v>
      </c>
      <c r="R3165" s="3" t="s">
        <v>70</v>
      </c>
      <c r="S3165" s="4">
        <v>1</v>
      </c>
      <c r="T3165" s="4">
        <v>1</v>
      </c>
      <c r="U3165" s="5" t="s">
        <v>21372</v>
      </c>
      <c r="V3165" s="5" t="s">
        <v>21372</v>
      </c>
      <c r="W3165" s="5" t="s">
        <v>72</v>
      </c>
      <c r="X3165" s="5" t="s">
        <v>72</v>
      </c>
      <c r="Y3165" s="4">
        <v>71</v>
      </c>
      <c r="Z3165" s="4">
        <v>7</v>
      </c>
      <c r="AA3165" s="4">
        <v>9</v>
      </c>
      <c r="AB3165" s="4">
        <v>1</v>
      </c>
      <c r="AC3165" s="4">
        <v>3</v>
      </c>
      <c r="AD3165" s="4">
        <v>27</v>
      </c>
      <c r="AE3165" s="4">
        <v>27</v>
      </c>
      <c r="AF3165" s="4">
        <v>0</v>
      </c>
      <c r="AG3165" s="4">
        <v>0</v>
      </c>
      <c r="AH3165" s="4">
        <v>26</v>
      </c>
      <c r="AI3165" s="4">
        <v>26</v>
      </c>
      <c r="AJ3165" s="4">
        <v>5</v>
      </c>
      <c r="AK3165" s="4">
        <v>5</v>
      </c>
      <c r="AL3165" s="4">
        <v>14</v>
      </c>
      <c r="AM3165" s="4">
        <v>14</v>
      </c>
      <c r="AN3165" s="4">
        <v>0</v>
      </c>
      <c r="AO3165" s="4">
        <v>0</v>
      </c>
      <c r="AP3165" s="4">
        <v>5</v>
      </c>
      <c r="AQ3165" s="4">
        <v>5</v>
      </c>
      <c r="AR3165" s="3" t="s">
        <v>64</v>
      </c>
      <c r="AS3165" s="3" t="s">
        <v>64</v>
      </c>
      <c r="AT3165" s="3" t="s">
        <v>64</v>
      </c>
      <c r="AV3165" s="6" t="str">
        <f>HYPERLINK("http://mcgill.on.worldcat.org/oclc/748802134","Catalog Record")</f>
        <v>Catalog Record</v>
      </c>
      <c r="AW3165" s="6" t="str">
        <f>HYPERLINK("http://www.worldcat.org/oclc/748802134","WorldCat Record")</f>
        <v>WorldCat Record</v>
      </c>
      <c r="AX3165" s="3" t="s">
        <v>31716</v>
      </c>
      <c r="AY3165" s="3" t="s">
        <v>31717</v>
      </c>
      <c r="AZ3165" s="3" t="s">
        <v>31718</v>
      </c>
      <c r="BA3165" s="3" t="s">
        <v>31718</v>
      </c>
      <c r="BB3165" s="3" t="s">
        <v>31719</v>
      </c>
      <c r="BC3165" s="3" t="s">
        <v>77</v>
      </c>
      <c r="BD3165" s="3" t="s">
        <v>78</v>
      </c>
      <c r="BE3165" s="3" t="s">
        <v>31720</v>
      </c>
      <c r="BF3165" s="3" t="s">
        <v>31719</v>
      </c>
      <c r="BG3165" s="3" t="s">
        <v>31721</v>
      </c>
      <c r="BH3165">
        <f t="shared" si="76"/>
        <v>0</v>
      </c>
    </row>
    <row r="3166" spans="1:60" ht="58" x14ac:dyDescent="0.35">
      <c r="A3166" s="2" t="s">
        <v>59</v>
      </c>
      <c r="B3166" s="2" t="s">
        <v>60</v>
      </c>
      <c r="C3166" s="2" t="s">
        <v>31722</v>
      </c>
      <c r="D3166" s="2" t="s">
        <v>31723</v>
      </c>
      <c r="E3166" s="2" t="s">
        <v>31724</v>
      </c>
      <c r="G3166" s="3" t="s">
        <v>64</v>
      </c>
      <c r="I3166" s="3" t="s">
        <v>64</v>
      </c>
      <c r="J3166" s="3" t="s">
        <v>64</v>
      </c>
      <c r="K3166" s="3" t="s">
        <v>65</v>
      </c>
      <c r="L3166" s="2" t="s">
        <v>31725</v>
      </c>
      <c r="M3166" s="2" t="s">
        <v>15640</v>
      </c>
      <c r="N3166" s="3" t="s">
        <v>253</v>
      </c>
      <c r="P3166" s="3" t="s">
        <v>102</v>
      </c>
      <c r="R3166" s="3" t="s">
        <v>70</v>
      </c>
      <c r="S3166" s="4">
        <v>0</v>
      </c>
      <c r="T3166" s="4">
        <v>0</v>
      </c>
      <c r="W3166" s="5" t="s">
        <v>72</v>
      </c>
      <c r="X3166" s="5" t="s">
        <v>72</v>
      </c>
      <c r="Y3166" s="4">
        <v>257</v>
      </c>
      <c r="Z3166" s="4">
        <v>6</v>
      </c>
      <c r="AA3166" s="4">
        <v>6</v>
      </c>
      <c r="AB3166" s="4">
        <v>1</v>
      </c>
      <c r="AC3166" s="4">
        <v>1</v>
      </c>
      <c r="AD3166" s="4">
        <v>30</v>
      </c>
      <c r="AE3166" s="4">
        <v>30</v>
      </c>
      <c r="AF3166" s="4">
        <v>0</v>
      </c>
      <c r="AG3166" s="4">
        <v>0</v>
      </c>
      <c r="AH3166" s="4">
        <v>30</v>
      </c>
      <c r="AI3166" s="4">
        <v>30</v>
      </c>
      <c r="AJ3166" s="4">
        <v>2</v>
      </c>
      <c r="AK3166" s="4">
        <v>2</v>
      </c>
      <c r="AL3166" s="4">
        <v>12</v>
      </c>
      <c r="AM3166" s="4">
        <v>12</v>
      </c>
      <c r="AN3166" s="4">
        <v>0</v>
      </c>
      <c r="AO3166" s="4">
        <v>0</v>
      </c>
      <c r="AP3166" s="4">
        <v>2</v>
      </c>
      <c r="AQ3166" s="4">
        <v>2</v>
      </c>
      <c r="AR3166" s="3" t="s">
        <v>64</v>
      </c>
      <c r="AS3166" s="3" t="s">
        <v>64</v>
      </c>
      <c r="AT3166" s="3" t="s">
        <v>64</v>
      </c>
      <c r="AV3166" s="6" t="str">
        <f>HYPERLINK("http://mcgill.on.worldcat.org/oclc/908708847","Catalog Record")</f>
        <v>Catalog Record</v>
      </c>
      <c r="AW3166" s="6" t="str">
        <f>HYPERLINK("http://www.worldcat.org/oclc/908708847","WorldCat Record")</f>
        <v>WorldCat Record</v>
      </c>
      <c r="AX3166" s="3" t="s">
        <v>31726</v>
      </c>
      <c r="AY3166" s="3" t="s">
        <v>31727</v>
      </c>
      <c r="AZ3166" s="3" t="s">
        <v>31728</v>
      </c>
      <c r="BA3166" s="3" t="s">
        <v>31728</v>
      </c>
      <c r="BB3166" s="3" t="s">
        <v>31729</v>
      </c>
      <c r="BC3166" s="3" t="s">
        <v>77</v>
      </c>
      <c r="BD3166" s="3" t="s">
        <v>78</v>
      </c>
      <c r="BE3166" s="3" t="s">
        <v>31730</v>
      </c>
      <c r="BF3166" s="3" t="s">
        <v>31729</v>
      </c>
      <c r="BG3166" s="3" t="s">
        <v>31731</v>
      </c>
      <c r="BH3166">
        <f t="shared" si="76"/>
        <v>0</v>
      </c>
    </row>
    <row r="3167" spans="1:60" ht="58" x14ac:dyDescent="0.35">
      <c r="A3167" s="2" t="s">
        <v>59</v>
      </c>
      <c r="B3167" s="2" t="s">
        <v>60</v>
      </c>
      <c r="C3167" s="2" t="s">
        <v>31732</v>
      </c>
      <c r="D3167" s="2" t="s">
        <v>31733</v>
      </c>
      <c r="E3167" s="2" t="s">
        <v>31734</v>
      </c>
      <c r="G3167" s="3" t="s">
        <v>64</v>
      </c>
      <c r="I3167" s="3" t="s">
        <v>64</v>
      </c>
      <c r="J3167" s="3" t="s">
        <v>64</v>
      </c>
      <c r="K3167" s="3" t="s">
        <v>65</v>
      </c>
      <c r="L3167" s="2" t="s">
        <v>31735</v>
      </c>
      <c r="M3167" s="2" t="s">
        <v>31736</v>
      </c>
      <c r="N3167" s="3" t="s">
        <v>421</v>
      </c>
      <c r="P3167" s="3" t="s">
        <v>102</v>
      </c>
      <c r="Q3167" s="2" t="s">
        <v>31737</v>
      </c>
      <c r="R3167" s="3" t="s">
        <v>70</v>
      </c>
      <c r="S3167" s="4">
        <v>8</v>
      </c>
      <c r="T3167" s="4">
        <v>8</v>
      </c>
      <c r="U3167" s="5" t="s">
        <v>21372</v>
      </c>
      <c r="V3167" s="5" t="s">
        <v>21372</v>
      </c>
      <c r="W3167" s="5" t="s">
        <v>72</v>
      </c>
      <c r="X3167" s="5" t="s">
        <v>72</v>
      </c>
      <c r="Y3167" s="4">
        <v>715</v>
      </c>
      <c r="Z3167" s="4">
        <v>36</v>
      </c>
      <c r="AA3167" s="4">
        <v>37</v>
      </c>
      <c r="AB3167" s="4">
        <v>4</v>
      </c>
      <c r="AC3167" s="4">
        <v>5</v>
      </c>
      <c r="AD3167" s="4">
        <v>64</v>
      </c>
      <c r="AE3167" s="4">
        <v>65</v>
      </c>
      <c r="AF3167" s="4">
        <v>1</v>
      </c>
      <c r="AG3167" s="4">
        <v>2</v>
      </c>
      <c r="AH3167" s="4">
        <v>57</v>
      </c>
      <c r="AI3167" s="4">
        <v>57</v>
      </c>
      <c r="AJ3167" s="4">
        <v>9</v>
      </c>
      <c r="AK3167" s="4">
        <v>10</v>
      </c>
      <c r="AL3167" s="4">
        <v>23</v>
      </c>
      <c r="AM3167" s="4">
        <v>23</v>
      </c>
      <c r="AN3167" s="4">
        <v>0</v>
      </c>
      <c r="AO3167" s="4">
        <v>0</v>
      </c>
      <c r="AP3167" s="4">
        <v>11</v>
      </c>
      <c r="AQ3167" s="4">
        <v>11</v>
      </c>
      <c r="AR3167" s="3" t="s">
        <v>64</v>
      </c>
      <c r="AS3167" s="3" t="s">
        <v>64</v>
      </c>
      <c r="AT3167" s="3" t="s">
        <v>64</v>
      </c>
      <c r="AV3167" s="6" t="str">
        <f>HYPERLINK("http://mcgill.on.worldcat.org/oclc/36330831","Catalog Record")</f>
        <v>Catalog Record</v>
      </c>
      <c r="AW3167" s="6" t="str">
        <f>HYPERLINK("http://www.worldcat.org/oclc/36330831","WorldCat Record")</f>
        <v>WorldCat Record</v>
      </c>
      <c r="AX3167" s="3" t="s">
        <v>31738</v>
      </c>
      <c r="AY3167" s="3" t="s">
        <v>31739</v>
      </c>
      <c r="AZ3167" s="3" t="s">
        <v>31740</v>
      </c>
      <c r="BA3167" s="3" t="s">
        <v>31740</v>
      </c>
      <c r="BB3167" s="3" t="s">
        <v>31741</v>
      </c>
      <c r="BC3167" s="3" t="s">
        <v>77</v>
      </c>
      <c r="BD3167" s="3" t="s">
        <v>78</v>
      </c>
      <c r="BE3167" s="3" t="s">
        <v>31742</v>
      </c>
      <c r="BF3167" s="3" t="s">
        <v>31741</v>
      </c>
      <c r="BG3167" s="3" t="s">
        <v>31743</v>
      </c>
      <c r="BH3167">
        <f t="shared" si="76"/>
        <v>0</v>
      </c>
    </row>
    <row r="3168" spans="1:60" ht="58" x14ac:dyDescent="0.35">
      <c r="A3168" s="2" t="s">
        <v>59</v>
      </c>
      <c r="B3168" s="2" t="s">
        <v>60</v>
      </c>
      <c r="C3168" s="2" t="s">
        <v>31744</v>
      </c>
      <c r="D3168" s="2" t="s">
        <v>31745</v>
      </c>
      <c r="E3168" s="2" t="s">
        <v>31746</v>
      </c>
      <c r="G3168" s="3" t="s">
        <v>64</v>
      </c>
      <c r="I3168" s="3" t="s">
        <v>64</v>
      </c>
      <c r="J3168" s="3" t="s">
        <v>64</v>
      </c>
      <c r="K3168" s="3" t="s">
        <v>65</v>
      </c>
      <c r="L3168" s="2" t="s">
        <v>31747</v>
      </c>
      <c r="M3168" s="2" t="s">
        <v>15169</v>
      </c>
      <c r="N3168" s="3" t="s">
        <v>551</v>
      </c>
      <c r="P3168" s="3" t="s">
        <v>102</v>
      </c>
      <c r="R3168" s="3" t="s">
        <v>70</v>
      </c>
      <c r="S3168" s="4">
        <v>4</v>
      </c>
      <c r="T3168" s="4">
        <v>4</v>
      </c>
      <c r="U3168" s="5" t="s">
        <v>21372</v>
      </c>
      <c r="V3168" s="5" t="s">
        <v>21372</v>
      </c>
      <c r="W3168" s="5" t="s">
        <v>72</v>
      </c>
      <c r="X3168" s="5" t="s">
        <v>72</v>
      </c>
      <c r="Y3168" s="4">
        <v>332</v>
      </c>
      <c r="Z3168" s="4">
        <v>13</v>
      </c>
      <c r="AA3168" s="4">
        <v>13</v>
      </c>
      <c r="AB3168" s="4">
        <v>2</v>
      </c>
      <c r="AC3168" s="4">
        <v>2</v>
      </c>
      <c r="AD3168" s="4">
        <v>23</v>
      </c>
      <c r="AE3168" s="4">
        <v>23</v>
      </c>
      <c r="AF3168" s="4">
        <v>1</v>
      </c>
      <c r="AG3168" s="4">
        <v>1</v>
      </c>
      <c r="AH3168" s="4">
        <v>21</v>
      </c>
      <c r="AI3168" s="4">
        <v>21</v>
      </c>
      <c r="AJ3168" s="4">
        <v>4</v>
      </c>
      <c r="AK3168" s="4">
        <v>4</v>
      </c>
      <c r="AL3168" s="4">
        <v>10</v>
      </c>
      <c r="AM3168" s="4">
        <v>10</v>
      </c>
      <c r="AN3168" s="4">
        <v>0</v>
      </c>
      <c r="AO3168" s="4">
        <v>0</v>
      </c>
      <c r="AP3168" s="4">
        <v>4</v>
      </c>
      <c r="AQ3168" s="4">
        <v>4</v>
      </c>
      <c r="AR3168" s="3" t="s">
        <v>64</v>
      </c>
      <c r="AS3168" s="3" t="s">
        <v>64</v>
      </c>
      <c r="AT3168" s="3" t="s">
        <v>64</v>
      </c>
      <c r="AV3168" s="6" t="str">
        <f>HYPERLINK("http://mcgill.on.worldcat.org/oclc/316058657","Catalog Record")</f>
        <v>Catalog Record</v>
      </c>
      <c r="AW3168" s="6" t="str">
        <f>HYPERLINK("http://www.worldcat.org/oclc/316058657","WorldCat Record")</f>
        <v>WorldCat Record</v>
      </c>
      <c r="AX3168" s="3" t="s">
        <v>31748</v>
      </c>
      <c r="AY3168" s="3" t="s">
        <v>31749</v>
      </c>
      <c r="AZ3168" s="3" t="s">
        <v>31750</v>
      </c>
      <c r="BA3168" s="3" t="s">
        <v>31750</v>
      </c>
      <c r="BB3168" s="3" t="s">
        <v>31751</v>
      </c>
      <c r="BC3168" s="3" t="s">
        <v>77</v>
      </c>
      <c r="BD3168" s="3" t="s">
        <v>78</v>
      </c>
      <c r="BE3168" s="3" t="s">
        <v>31752</v>
      </c>
      <c r="BF3168" s="3" t="s">
        <v>31751</v>
      </c>
      <c r="BG3168" s="3" t="s">
        <v>31753</v>
      </c>
      <c r="BH3168">
        <f t="shared" si="76"/>
        <v>0</v>
      </c>
    </row>
    <row r="3169" spans="1:60" ht="58" x14ac:dyDescent="0.35">
      <c r="A3169" s="2" t="s">
        <v>59</v>
      </c>
      <c r="B3169" s="2" t="s">
        <v>60</v>
      </c>
      <c r="C3169" s="2" t="s">
        <v>31754</v>
      </c>
      <c r="D3169" s="2" t="s">
        <v>31755</v>
      </c>
      <c r="E3169" s="2" t="s">
        <v>31756</v>
      </c>
      <c r="G3169" s="3" t="s">
        <v>64</v>
      </c>
      <c r="I3169" s="3" t="s">
        <v>64</v>
      </c>
      <c r="J3169" s="3" t="s">
        <v>64</v>
      </c>
      <c r="K3169" s="3" t="s">
        <v>65</v>
      </c>
      <c r="M3169" s="2" t="s">
        <v>14235</v>
      </c>
      <c r="N3169" s="3" t="s">
        <v>511</v>
      </c>
      <c r="P3169" s="3" t="s">
        <v>102</v>
      </c>
      <c r="Q3169" s="2" t="s">
        <v>22115</v>
      </c>
      <c r="R3169" s="3" t="s">
        <v>70</v>
      </c>
      <c r="S3169" s="4">
        <v>8</v>
      </c>
      <c r="T3169" s="4">
        <v>8</v>
      </c>
      <c r="U3169" s="5" t="s">
        <v>31757</v>
      </c>
      <c r="V3169" s="5" t="s">
        <v>31757</v>
      </c>
      <c r="W3169" s="5" t="s">
        <v>72</v>
      </c>
      <c r="X3169" s="5" t="s">
        <v>72</v>
      </c>
      <c r="Y3169" s="4">
        <v>362</v>
      </c>
      <c r="Z3169" s="4">
        <v>25</v>
      </c>
      <c r="AA3169" s="4">
        <v>99</v>
      </c>
      <c r="AB3169" s="4">
        <v>2</v>
      </c>
      <c r="AC3169" s="4">
        <v>15</v>
      </c>
      <c r="AD3169" s="4">
        <v>48</v>
      </c>
      <c r="AE3169" s="4">
        <v>114</v>
      </c>
      <c r="AF3169" s="4">
        <v>0</v>
      </c>
      <c r="AG3169" s="4">
        <v>8</v>
      </c>
      <c r="AH3169" s="4">
        <v>46</v>
      </c>
      <c r="AI3169" s="4">
        <v>78</v>
      </c>
      <c r="AJ3169" s="4">
        <v>7</v>
      </c>
      <c r="AK3169" s="4">
        <v>21</v>
      </c>
      <c r="AL3169" s="4">
        <v>21</v>
      </c>
      <c r="AM3169" s="4">
        <v>38</v>
      </c>
      <c r="AN3169" s="4">
        <v>0</v>
      </c>
      <c r="AO3169" s="4">
        <v>0</v>
      </c>
      <c r="AP3169" s="4">
        <v>7</v>
      </c>
      <c r="AQ3169" s="4">
        <v>41</v>
      </c>
      <c r="AR3169" s="3" t="s">
        <v>64</v>
      </c>
      <c r="AS3169" s="3" t="s">
        <v>64</v>
      </c>
      <c r="AT3169" s="3" t="s">
        <v>64</v>
      </c>
      <c r="AV3169" s="6" t="str">
        <f>HYPERLINK("http://mcgill.on.worldcat.org/oclc/463675457","Catalog Record")</f>
        <v>Catalog Record</v>
      </c>
      <c r="AW3169" s="6" t="str">
        <f>HYPERLINK("http://www.worldcat.org/oclc/463675457","WorldCat Record")</f>
        <v>WorldCat Record</v>
      </c>
      <c r="AX3169" s="3" t="s">
        <v>31758</v>
      </c>
      <c r="AY3169" s="3" t="s">
        <v>31759</v>
      </c>
      <c r="AZ3169" s="3" t="s">
        <v>31760</v>
      </c>
      <c r="BA3169" s="3" t="s">
        <v>31760</v>
      </c>
      <c r="BB3169" s="3" t="s">
        <v>31761</v>
      </c>
      <c r="BC3169" s="3" t="s">
        <v>77</v>
      </c>
      <c r="BD3169" s="3" t="s">
        <v>78</v>
      </c>
      <c r="BE3169" s="3" t="s">
        <v>31762</v>
      </c>
      <c r="BF3169" s="3" t="s">
        <v>31761</v>
      </c>
      <c r="BG3169" s="3" t="s">
        <v>31763</v>
      </c>
      <c r="BH3169">
        <f t="shared" si="76"/>
        <v>0</v>
      </c>
    </row>
    <row r="3170" spans="1:60" ht="58" x14ac:dyDescent="0.35">
      <c r="A3170" s="2" t="s">
        <v>59</v>
      </c>
      <c r="B3170" s="2" t="s">
        <v>60</v>
      </c>
      <c r="C3170" s="2" t="s">
        <v>31764</v>
      </c>
      <c r="D3170" s="2" t="s">
        <v>31765</v>
      </c>
      <c r="E3170" s="2" t="s">
        <v>31766</v>
      </c>
      <c r="G3170" s="3" t="s">
        <v>64</v>
      </c>
      <c r="I3170" s="3" t="s">
        <v>64</v>
      </c>
      <c r="J3170" s="3" t="s">
        <v>64</v>
      </c>
      <c r="K3170" s="3" t="s">
        <v>65</v>
      </c>
      <c r="L3170" s="2" t="s">
        <v>31767</v>
      </c>
      <c r="M3170" s="2" t="s">
        <v>16093</v>
      </c>
      <c r="N3170" s="3" t="s">
        <v>511</v>
      </c>
      <c r="P3170" s="3" t="s">
        <v>102</v>
      </c>
      <c r="Q3170" s="2" t="s">
        <v>22659</v>
      </c>
      <c r="R3170" s="3" t="s">
        <v>70</v>
      </c>
      <c r="S3170" s="4">
        <v>0</v>
      </c>
      <c r="T3170" s="4">
        <v>0</v>
      </c>
      <c r="W3170" s="5" t="s">
        <v>72</v>
      </c>
      <c r="X3170" s="5" t="s">
        <v>72</v>
      </c>
      <c r="Y3170" s="4">
        <v>168</v>
      </c>
      <c r="Z3170" s="4">
        <v>12</v>
      </c>
      <c r="AA3170" s="4">
        <v>13</v>
      </c>
      <c r="AB3170" s="4">
        <v>1</v>
      </c>
      <c r="AC3170" s="4">
        <v>2</v>
      </c>
      <c r="AD3170" s="4">
        <v>20</v>
      </c>
      <c r="AE3170" s="4">
        <v>21</v>
      </c>
      <c r="AF3170" s="4">
        <v>0</v>
      </c>
      <c r="AG3170" s="4">
        <v>1</v>
      </c>
      <c r="AH3170" s="4">
        <v>19</v>
      </c>
      <c r="AI3170" s="4">
        <v>19</v>
      </c>
      <c r="AJ3170" s="4">
        <v>3</v>
      </c>
      <c r="AK3170" s="4">
        <v>4</v>
      </c>
      <c r="AL3170" s="4">
        <v>12</v>
      </c>
      <c r="AM3170" s="4">
        <v>12</v>
      </c>
      <c r="AN3170" s="4">
        <v>0</v>
      </c>
      <c r="AO3170" s="4">
        <v>0</v>
      </c>
      <c r="AP3170" s="4">
        <v>4</v>
      </c>
      <c r="AQ3170" s="4">
        <v>4</v>
      </c>
      <c r="AR3170" s="3" t="s">
        <v>64</v>
      </c>
      <c r="AS3170" s="3" t="s">
        <v>64</v>
      </c>
      <c r="AT3170" s="3" t="s">
        <v>64</v>
      </c>
      <c r="AV3170" s="6" t="str">
        <f>HYPERLINK("http://mcgill.on.worldcat.org/oclc/548555592","Catalog Record")</f>
        <v>Catalog Record</v>
      </c>
      <c r="AW3170" s="6" t="str">
        <f>HYPERLINK("http://www.worldcat.org/oclc/548555592","WorldCat Record")</f>
        <v>WorldCat Record</v>
      </c>
      <c r="AX3170" s="3" t="s">
        <v>31768</v>
      </c>
      <c r="AY3170" s="3" t="s">
        <v>31769</v>
      </c>
      <c r="AZ3170" s="3" t="s">
        <v>31770</v>
      </c>
      <c r="BA3170" s="3" t="s">
        <v>31770</v>
      </c>
      <c r="BB3170" s="3" t="s">
        <v>31771</v>
      </c>
      <c r="BC3170" s="3" t="s">
        <v>77</v>
      </c>
      <c r="BD3170" s="3" t="s">
        <v>78</v>
      </c>
      <c r="BE3170" s="3" t="s">
        <v>31772</v>
      </c>
      <c r="BF3170" s="3" t="s">
        <v>31771</v>
      </c>
      <c r="BG3170" s="3" t="s">
        <v>31773</v>
      </c>
      <c r="BH3170">
        <f t="shared" si="76"/>
        <v>0</v>
      </c>
    </row>
    <row r="3171" spans="1:60" ht="58" x14ac:dyDescent="0.35">
      <c r="A3171" s="2" t="s">
        <v>59</v>
      </c>
      <c r="B3171" s="2" t="s">
        <v>60</v>
      </c>
      <c r="C3171" s="2" t="s">
        <v>31774</v>
      </c>
      <c r="D3171" s="2" t="s">
        <v>31775</v>
      </c>
      <c r="E3171" s="2" t="s">
        <v>31776</v>
      </c>
      <c r="F3171" s="3" t="s">
        <v>31777</v>
      </c>
      <c r="G3171" s="3" t="s">
        <v>64</v>
      </c>
      <c r="I3171" s="3" t="s">
        <v>64</v>
      </c>
      <c r="J3171" s="3" t="s">
        <v>64</v>
      </c>
      <c r="K3171" s="3" t="s">
        <v>65</v>
      </c>
      <c r="M3171" s="2" t="s">
        <v>31778</v>
      </c>
      <c r="N3171" s="3" t="s">
        <v>326</v>
      </c>
      <c r="O3171" s="2" t="s">
        <v>3787</v>
      </c>
      <c r="P3171" s="3" t="s">
        <v>102</v>
      </c>
      <c r="R3171" s="3" t="s">
        <v>70</v>
      </c>
      <c r="S3171" s="4">
        <v>6</v>
      </c>
      <c r="T3171" s="4">
        <v>6</v>
      </c>
      <c r="U3171" s="5" t="s">
        <v>8704</v>
      </c>
      <c r="V3171" s="5" t="s">
        <v>8704</v>
      </c>
      <c r="W3171" s="5" t="s">
        <v>72</v>
      </c>
      <c r="X3171" s="5" t="s">
        <v>72</v>
      </c>
      <c r="Y3171" s="4">
        <v>119</v>
      </c>
      <c r="Z3171" s="4">
        <v>7</v>
      </c>
      <c r="AA3171" s="4">
        <v>7</v>
      </c>
      <c r="AB3171" s="4">
        <v>1</v>
      </c>
      <c r="AC3171" s="4">
        <v>1</v>
      </c>
      <c r="AD3171" s="4">
        <v>4</v>
      </c>
      <c r="AE3171" s="4">
        <v>4</v>
      </c>
      <c r="AF3171" s="4">
        <v>0</v>
      </c>
      <c r="AG3171" s="4">
        <v>0</v>
      </c>
      <c r="AH3171" s="4">
        <v>3</v>
      </c>
      <c r="AI3171" s="4">
        <v>3</v>
      </c>
      <c r="AJ3171" s="4">
        <v>3</v>
      </c>
      <c r="AK3171" s="4">
        <v>3</v>
      </c>
      <c r="AL3171" s="4">
        <v>2</v>
      </c>
      <c r="AM3171" s="4">
        <v>2</v>
      </c>
      <c r="AN3171" s="4">
        <v>0</v>
      </c>
      <c r="AO3171" s="4">
        <v>0</v>
      </c>
      <c r="AP3171" s="4">
        <v>3</v>
      </c>
      <c r="AQ3171" s="4">
        <v>3</v>
      </c>
      <c r="AR3171" s="3" t="s">
        <v>64</v>
      </c>
      <c r="AS3171" s="3" t="s">
        <v>64</v>
      </c>
      <c r="AT3171" s="3" t="s">
        <v>64</v>
      </c>
      <c r="AV3171" s="6" t="str">
        <f>HYPERLINK("http://mcgill.on.worldcat.org/oclc/742057677","Catalog Record")</f>
        <v>Catalog Record</v>
      </c>
      <c r="AW3171" s="6" t="str">
        <f>HYPERLINK("http://www.worldcat.org/oclc/742057677","WorldCat Record")</f>
        <v>WorldCat Record</v>
      </c>
      <c r="AX3171" s="3" t="s">
        <v>31779</v>
      </c>
      <c r="AY3171" s="3" t="s">
        <v>31780</v>
      </c>
      <c r="AZ3171" s="3" t="s">
        <v>31781</v>
      </c>
      <c r="BA3171" s="3" t="s">
        <v>31781</v>
      </c>
      <c r="BB3171" s="3" t="s">
        <v>31782</v>
      </c>
      <c r="BC3171" s="3" t="s">
        <v>77</v>
      </c>
      <c r="BD3171" s="3" t="s">
        <v>78</v>
      </c>
      <c r="BF3171" s="3" t="s">
        <v>31782</v>
      </c>
      <c r="BG3171" s="3" t="s">
        <v>31783</v>
      </c>
      <c r="BH3171">
        <f t="shared" si="76"/>
        <v>0</v>
      </c>
    </row>
    <row r="3172" spans="1:60" ht="58" x14ac:dyDescent="0.35">
      <c r="A3172" s="2" t="s">
        <v>59</v>
      </c>
      <c r="B3172" s="2" t="s">
        <v>60</v>
      </c>
      <c r="C3172" s="2" t="s">
        <v>31784</v>
      </c>
      <c r="D3172" s="2" t="s">
        <v>31785</v>
      </c>
      <c r="E3172" s="2" t="s">
        <v>31786</v>
      </c>
      <c r="G3172" s="3" t="s">
        <v>64</v>
      </c>
      <c r="I3172" s="3" t="s">
        <v>64</v>
      </c>
      <c r="J3172" s="3" t="s">
        <v>64</v>
      </c>
      <c r="K3172" s="3" t="s">
        <v>65</v>
      </c>
      <c r="L3172" s="2" t="s">
        <v>31787</v>
      </c>
      <c r="M3172" s="2" t="s">
        <v>15272</v>
      </c>
      <c r="N3172" s="3" t="s">
        <v>291</v>
      </c>
      <c r="P3172" s="3" t="s">
        <v>102</v>
      </c>
      <c r="R3172" s="3" t="s">
        <v>70</v>
      </c>
      <c r="S3172" s="4">
        <v>5</v>
      </c>
      <c r="T3172" s="4">
        <v>5</v>
      </c>
      <c r="U3172" s="5" t="s">
        <v>26030</v>
      </c>
      <c r="V3172" s="5" t="s">
        <v>26030</v>
      </c>
      <c r="W3172" s="5" t="s">
        <v>72</v>
      </c>
      <c r="X3172" s="5" t="s">
        <v>72</v>
      </c>
      <c r="Y3172" s="4">
        <v>216</v>
      </c>
      <c r="Z3172" s="4">
        <v>24</v>
      </c>
      <c r="AA3172" s="4">
        <v>50</v>
      </c>
      <c r="AB3172" s="4">
        <v>2</v>
      </c>
      <c r="AC3172" s="4">
        <v>6</v>
      </c>
      <c r="AD3172" s="4">
        <v>30</v>
      </c>
      <c r="AE3172" s="4">
        <v>37</v>
      </c>
      <c r="AF3172" s="4">
        <v>0</v>
      </c>
      <c r="AG3172" s="4">
        <v>0</v>
      </c>
      <c r="AH3172" s="4">
        <v>29</v>
      </c>
      <c r="AI3172" s="4">
        <v>34</v>
      </c>
      <c r="AJ3172" s="4">
        <v>8</v>
      </c>
      <c r="AK3172" s="4">
        <v>8</v>
      </c>
      <c r="AL3172" s="4">
        <v>10</v>
      </c>
      <c r="AM3172" s="4">
        <v>12</v>
      </c>
      <c r="AN3172" s="4">
        <v>0</v>
      </c>
      <c r="AO3172" s="4">
        <v>0</v>
      </c>
      <c r="AP3172" s="4">
        <v>8</v>
      </c>
      <c r="AQ3172" s="4">
        <v>10</v>
      </c>
      <c r="AR3172" s="3" t="s">
        <v>64</v>
      </c>
      <c r="AS3172" s="3" t="s">
        <v>64</v>
      </c>
      <c r="AT3172" s="3" t="s">
        <v>64</v>
      </c>
      <c r="AV3172" s="6" t="str">
        <f>HYPERLINK("http://mcgill.on.worldcat.org/oclc/85830664","Catalog Record")</f>
        <v>Catalog Record</v>
      </c>
      <c r="AW3172" s="6" t="str">
        <f>HYPERLINK("http://www.worldcat.org/oclc/85830664","WorldCat Record")</f>
        <v>WorldCat Record</v>
      </c>
      <c r="AX3172" s="3" t="s">
        <v>31788</v>
      </c>
      <c r="AY3172" s="3" t="s">
        <v>31789</v>
      </c>
      <c r="AZ3172" s="3" t="s">
        <v>31790</v>
      </c>
      <c r="BA3172" s="3" t="s">
        <v>31790</v>
      </c>
      <c r="BB3172" s="3" t="s">
        <v>31791</v>
      </c>
      <c r="BC3172" s="3" t="s">
        <v>77</v>
      </c>
      <c r="BD3172" s="3" t="s">
        <v>78</v>
      </c>
      <c r="BE3172" s="3" t="s">
        <v>31792</v>
      </c>
      <c r="BF3172" s="3" t="s">
        <v>31791</v>
      </c>
      <c r="BG3172" s="3" t="s">
        <v>31793</v>
      </c>
      <c r="BH3172">
        <f t="shared" si="76"/>
        <v>0</v>
      </c>
    </row>
    <row r="3173" spans="1:60" ht="58" x14ac:dyDescent="0.35">
      <c r="A3173" s="2" t="s">
        <v>59</v>
      </c>
      <c r="B3173" s="2" t="s">
        <v>60</v>
      </c>
      <c r="C3173" s="2" t="s">
        <v>31794</v>
      </c>
      <c r="D3173" s="2" t="s">
        <v>31795</v>
      </c>
      <c r="E3173" s="2" t="s">
        <v>31796</v>
      </c>
      <c r="G3173" s="3" t="s">
        <v>64</v>
      </c>
      <c r="I3173" s="3" t="s">
        <v>64</v>
      </c>
      <c r="J3173" s="3" t="s">
        <v>128</v>
      </c>
      <c r="K3173" s="3" t="s">
        <v>65</v>
      </c>
      <c r="L3173" s="2" t="s">
        <v>31797</v>
      </c>
      <c r="M3173" s="2" t="s">
        <v>16911</v>
      </c>
      <c r="N3173" s="3" t="s">
        <v>1075</v>
      </c>
      <c r="O3173" s="2" t="s">
        <v>3787</v>
      </c>
      <c r="P3173" s="3" t="s">
        <v>102</v>
      </c>
      <c r="Q3173" s="2" t="s">
        <v>18390</v>
      </c>
      <c r="R3173" s="3" t="s">
        <v>70</v>
      </c>
      <c r="S3173" s="4">
        <v>6</v>
      </c>
      <c r="T3173" s="4">
        <v>6</v>
      </c>
      <c r="U3173" s="5" t="s">
        <v>2115</v>
      </c>
      <c r="V3173" s="5" t="s">
        <v>2115</v>
      </c>
      <c r="W3173" s="5" t="s">
        <v>72</v>
      </c>
      <c r="X3173" s="5" t="s">
        <v>72</v>
      </c>
      <c r="Y3173" s="4">
        <v>202</v>
      </c>
      <c r="Z3173" s="4">
        <v>10</v>
      </c>
      <c r="AA3173" s="4">
        <v>114</v>
      </c>
      <c r="AB3173" s="4">
        <v>1</v>
      </c>
      <c r="AC3173" s="4">
        <v>18</v>
      </c>
      <c r="AD3173" s="4">
        <v>34</v>
      </c>
      <c r="AE3173" s="4">
        <v>119</v>
      </c>
      <c r="AF3173" s="4">
        <v>0</v>
      </c>
      <c r="AG3173" s="4">
        <v>8</v>
      </c>
      <c r="AH3173" s="4">
        <v>33</v>
      </c>
      <c r="AI3173" s="4">
        <v>84</v>
      </c>
      <c r="AJ3173" s="4">
        <v>3</v>
      </c>
      <c r="AK3173" s="4">
        <v>19</v>
      </c>
      <c r="AL3173" s="4">
        <v>11</v>
      </c>
      <c r="AM3173" s="4">
        <v>40</v>
      </c>
      <c r="AN3173" s="4">
        <v>0</v>
      </c>
      <c r="AO3173" s="4">
        <v>0</v>
      </c>
      <c r="AP3173" s="4">
        <v>4</v>
      </c>
      <c r="AQ3173" s="4">
        <v>41</v>
      </c>
      <c r="AR3173" s="3" t="s">
        <v>64</v>
      </c>
      <c r="AS3173" s="3" t="s">
        <v>64</v>
      </c>
      <c r="AT3173" s="3" t="s">
        <v>64</v>
      </c>
      <c r="AV3173" s="6" t="str">
        <f>HYPERLINK("http://mcgill.on.worldcat.org/oclc/835600636","Catalog Record")</f>
        <v>Catalog Record</v>
      </c>
      <c r="AW3173" s="6" t="str">
        <f>HYPERLINK("http://www.worldcat.org/oclc/835600636","WorldCat Record")</f>
        <v>WorldCat Record</v>
      </c>
      <c r="AX3173" s="3" t="s">
        <v>31798</v>
      </c>
      <c r="AY3173" s="3" t="s">
        <v>31799</v>
      </c>
      <c r="AZ3173" s="3" t="s">
        <v>31800</v>
      </c>
      <c r="BA3173" s="3" t="s">
        <v>31800</v>
      </c>
      <c r="BB3173" s="3" t="s">
        <v>31801</v>
      </c>
      <c r="BC3173" s="3" t="s">
        <v>77</v>
      </c>
      <c r="BD3173" s="3" t="s">
        <v>78</v>
      </c>
      <c r="BE3173" s="3" t="s">
        <v>31802</v>
      </c>
      <c r="BF3173" s="3" t="s">
        <v>31801</v>
      </c>
      <c r="BG3173" s="3" t="s">
        <v>31803</v>
      </c>
      <c r="BH3173">
        <f t="shared" si="76"/>
        <v>0</v>
      </c>
    </row>
    <row r="3174" spans="1:60" ht="58" x14ac:dyDescent="0.35">
      <c r="A3174" s="2" t="s">
        <v>59</v>
      </c>
      <c r="B3174" s="2" t="s">
        <v>60</v>
      </c>
      <c r="C3174" s="2" t="s">
        <v>31804</v>
      </c>
      <c r="D3174" s="2" t="s">
        <v>31805</v>
      </c>
      <c r="E3174" s="2" t="s">
        <v>31806</v>
      </c>
      <c r="G3174" s="3" t="s">
        <v>64</v>
      </c>
      <c r="I3174" s="3" t="s">
        <v>64</v>
      </c>
      <c r="J3174" s="3" t="s">
        <v>64</v>
      </c>
      <c r="K3174" s="3" t="s">
        <v>65</v>
      </c>
      <c r="L3174" s="2" t="s">
        <v>31807</v>
      </c>
      <c r="M3174" s="2" t="s">
        <v>20150</v>
      </c>
      <c r="N3174" s="3" t="s">
        <v>116</v>
      </c>
      <c r="P3174" s="3" t="s">
        <v>102</v>
      </c>
      <c r="R3174" s="3" t="s">
        <v>70</v>
      </c>
      <c r="S3174" s="4">
        <v>53</v>
      </c>
      <c r="T3174" s="4">
        <v>53</v>
      </c>
      <c r="U3174" s="5" t="s">
        <v>10236</v>
      </c>
      <c r="V3174" s="5" t="s">
        <v>10236</v>
      </c>
      <c r="W3174" s="5" t="s">
        <v>72</v>
      </c>
      <c r="X3174" s="5" t="s">
        <v>72</v>
      </c>
      <c r="Y3174" s="4">
        <v>556</v>
      </c>
      <c r="Z3174" s="4">
        <v>22</v>
      </c>
      <c r="AA3174" s="4">
        <v>109</v>
      </c>
      <c r="AB3174" s="4">
        <v>2</v>
      </c>
      <c r="AC3174" s="4">
        <v>19</v>
      </c>
      <c r="AD3174" s="4">
        <v>65</v>
      </c>
      <c r="AE3174" s="4">
        <v>120</v>
      </c>
      <c r="AF3174" s="4">
        <v>0</v>
      </c>
      <c r="AG3174" s="4">
        <v>8</v>
      </c>
      <c r="AH3174" s="4">
        <v>61</v>
      </c>
      <c r="AI3174" s="4">
        <v>85</v>
      </c>
      <c r="AJ3174" s="4">
        <v>9</v>
      </c>
      <c r="AK3174" s="4">
        <v>20</v>
      </c>
      <c r="AL3174" s="4">
        <v>27</v>
      </c>
      <c r="AM3174" s="4">
        <v>41</v>
      </c>
      <c r="AN3174" s="4">
        <v>0</v>
      </c>
      <c r="AO3174" s="4">
        <v>0</v>
      </c>
      <c r="AP3174" s="4">
        <v>9</v>
      </c>
      <c r="AQ3174" s="4">
        <v>41</v>
      </c>
      <c r="AR3174" s="3" t="s">
        <v>64</v>
      </c>
      <c r="AS3174" s="3" t="s">
        <v>64</v>
      </c>
      <c r="AT3174" s="3" t="s">
        <v>64</v>
      </c>
      <c r="AV3174" s="6" t="str">
        <f>HYPERLINK("http://mcgill.on.worldcat.org/oclc/44541864","Catalog Record")</f>
        <v>Catalog Record</v>
      </c>
      <c r="AW3174" s="6" t="str">
        <f>HYPERLINK("http://www.worldcat.org/oclc/44541864","WorldCat Record")</f>
        <v>WorldCat Record</v>
      </c>
      <c r="AX3174" s="3" t="s">
        <v>31808</v>
      </c>
      <c r="AY3174" s="3" t="s">
        <v>31809</v>
      </c>
      <c r="AZ3174" s="3" t="s">
        <v>31810</v>
      </c>
      <c r="BA3174" s="3" t="s">
        <v>31810</v>
      </c>
      <c r="BB3174" s="3" t="s">
        <v>31811</v>
      </c>
      <c r="BC3174" s="3" t="s">
        <v>77</v>
      </c>
      <c r="BD3174" s="3" t="s">
        <v>78</v>
      </c>
      <c r="BE3174" s="3" t="s">
        <v>31812</v>
      </c>
      <c r="BF3174" s="3" t="s">
        <v>31811</v>
      </c>
      <c r="BG3174" s="3" t="s">
        <v>31813</v>
      </c>
      <c r="BH3174">
        <f t="shared" si="76"/>
        <v>0</v>
      </c>
    </row>
    <row r="3175" spans="1:60" ht="58" x14ac:dyDescent="0.35">
      <c r="A3175" s="2" t="s">
        <v>59</v>
      </c>
      <c r="B3175" s="2" t="s">
        <v>60</v>
      </c>
      <c r="C3175" s="2" t="s">
        <v>31814</v>
      </c>
      <c r="D3175" s="2" t="s">
        <v>31815</v>
      </c>
      <c r="E3175" s="2" t="s">
        <v>31816</v>
      </c>
      <c r="G3175" s="3" t="s">
        <v>64</v>
      </c>
      <c r="I3175" s="3" t="s">
        <v>128</v>
      </c>
      <c r="J3175" s="3" t="s">
        <v>64</v>
      </c>
      <c r="K3175" s="3" t="s">
        <v>65</v>
      </c>
      <c r="L3175" s="2" t="s">
        <v>31807</v>
      </c>
      <c r="M3175" s="2" t="s">
        <v>14235</v>
      </c>
      <c r="N3175" s="3" t="s">
        <v>511</v>
      </c>
      <c r="P3175" s="3" t="s">
        <v>102</v>
      </c>
      <c r="R3175" s="3" t="s">
        <v>70</v>
      </c>
      <c r="S3175" s="4">
        <v>2</v>
      </c>
      <c r="T3175" s="4">
        <v>12</v>
      </c>
      <c r="U3175" s="5" t="s">
        <v>20195</v>
      </c>
      <c r="V3175" s="5" t="s">
        <v>10236</v>
      </c>
      <c r="W3175" s="5" t="s">
        <v>72</v>
      </c>
      <c r="X3175" s="5" t="s">
        <v>72</v>
      </c>
      <c r="Y3175" s="4">
        <v>436</v>
      </c>
      <c r="Z3175" s="4">
        <v>26</v>
      </c>
      <c r="AA3175" s="4">
        <v>115</v>
      </c>
      <c r="AB3175" s="4">
        <v>3</v>
      </c>
      <c r="AC3175" s="4">
        <v>19</v>
      </c>
      <c r="AD3175" s="4">
        <v>56</v>
      </c>
      <c r="AE3175" s="4">
        <v>118</v>
      </c>
      <c r="AF3175" s="4">
        <v>0</v>
      </c>
      <c r="AG3175" s="4">
        <v>8</v>
      </c>
      <c r="AH3175" s="4">
        <v>50</v>
      </c>
      <c r="AI3175" s="4">
        <v>81</v>
      </c>
      <c r="AJ3175" s="4">
        <v>8</v>
      </c>
      <c r="AK3175" s="4">
        <v>21</v>
      </c>
      <c r="AL3175" s="4">
        <v>21</v>
      </c>
      <c r="AM3175" s="4">
        <v>40</v>
      </c>
      <c r="AN3175" s="4">
        <v>0</v>
      </c>
      <c r="AO3175" s="4">
        <v>0</v>
      </c>
      <c r="AP3175" s="4">
        <v>12</v>
      </c>
      <c r="AQ3175" s="4">
        <v>44</v>
      </c>
      <c r="AR3175" s="3" t="s">
        <v>64</v>
      </c>
      <c r="AS3175" s="3" t="s">
        <v>64</v>
      </c>
      <c r="AT3175" s="3" t="s">
        <v>64</v>
      </c>
      <c r="AV3175" s="6" t="str">
        <f>HYPERLINK("http://mcgill.on.worldcat.org/oclc/320524123","Catalog Record")</f>
        <v>Catalog Record</v>
      </c>
      <c r="AW3175" s="6" t="str">
        <f>HYPERLINK("http://www.worldcat.org/oclc/320524123","WorldCat Record")</f>
        <v>WorldCat Record</v>
      </c>
      <c r="AX3175" s="3" t="s">
        <v>31817</v>
      </c>
      <c r="AY3175" s="3" t="s">
        <v>31818</v>
      </c>
      <c r="AZ3175" s="3" t="s">
        <v>31819</v>
      </c>
      <c r="BA3175" s="3" t="s">
        <v>31819</v>
      </c>
      <c r="BB3175" s="3" t="s">
        <v>31820</v>
      </c>
      <c r="BC3175" s="3" t="s">
        <v>77</v>
      </c>
      <c r="BD3175" s="3" t="s">
        <v>78</v>
      </c>
      <c r="BE3175" s="3" t="s">
        <v>31821</v>
      </c>
      <c r="BF3175" s="3" t="s">
        <v>31820</v>
      </c>
      <c r="BG3175" s="3" t="s">
        <v>31822</v>
      </c>
      <c r="BH3175">
        <f t="shared" si="76"/>
        <v>0</v>
      </c>
    </row>
    <row r="3176" spans="1:60" ht="58" x14ac:dyDescent="0.35">
      <c r="A3176" s="2" t="s">
        <v>59</v>
      </c>
      <c r="B3176" s="2" t="s">
        <v>60</v>
      </c>
      <c r="C3176" s="2" t="s">
        <v>31814</v>
      </c>
      <c r="D3176" s="2" t="s">
        <v>31815</v>
      </c>
      <c r="E3176" s="2" t="s">
        <v>31816</v>
      </c>
      <c r="G3176" s="3" t="s">
        <v>64</v>
      </c>
      <c r="I3176" s="3" t="s">
        <v>128</v>
      </c>
      <c r="J3176" s="3" t="s">
        <v>64</v>
      </c>
      <c r="K3176" s="3" t="s">
        <v>65</v>
      </c>
      <c r="L3176" s="2" t="s">
        <v>31807</v>
      </c>
      <c r="M3176" s="2" t="s">
        <v>14235</v>
      </c>
      <c r="N3176" s="3" t="s">
        <v>511</v>
      </c>
      <c r="P3176" s="3" t="s">
        <v>102</v>
      </c>
      <c r="R3176" s="3" t="s">
        <v>70</v>
      </c>
      <c r="S3176" s="4">
        <v>10</v>
      </c>
      <c r="T3176" s="4">
        <v>12</v>
      </c>
      <c r="U3176" s="5" t="s">
        <v>10236</v>
      </c>
      <c r="V3176" s="5" t="s">
        <v>10236</v>
      </c>
      <c r="W3176" s="5" t="s">
        <v>72</v>
      </c>
      <c r="X3176" s="5" t="s">
        <v>72</v>
      </c>
      <c r="Y3176" s="4">
        <v>436</v>
      </c>
      <c r="Z3176" s="4">
        <v>26</v>
      </c>
      <c r="AA3176" s="4">
        <v>115</v>
      </c>
      <c r="AB3176" s="4">
        <v>3</v>
      </c>
      <c r="AC3176" s="4">
        <v>19</v>
      </c>
      <c r="AD3176" s="4">
        <v>56</v>
      </c>
      <c r="AE3176" s="4">
        <v>118</v>
      </c>
      <c r="AF3176" s="4">
        <v>0</v>
      </c>
      <c r="AG3176" s="4">
        <v>8</v>
      </c>
      <c r="AH3176" s="4">
        <v>50</v>
      </c>
      <c r="AI3176" s="4">
        <v>81</v>
      </c>
      <c r="AJ3176" s="4">
        <v>8</v>
      </c>
      <c r="AK3176" s="4">
        <v>21</v>
      </c>
      <c r="AL3176" s="4">
        <v>21</v>
      </c>
      <c r="AM3176" s="4">
        <v>40</v>
      </c>
      <c r="AN3176" s="4">
        <v>0</v>
      </c>
      <c r="AO3176" s="4">
        <v>0</v>
      </c>
      <c r="AP3176" s="4">
        <v>12</v>
      </c>
      <c r="AQ3176" s="4">
        <v>44</v>
      </c>
      <c r="AR3176" s="3" t="s">
        <v>64</v>
      </c>
      <c r="AS3176" s="3" t="s">
        <v>64</v>
      </c>
      <c r="AT3176" s="3" t="s">
        <v>64</v>
      </c>
      <c r="AV3176" s="6" t="str">
        <f>HYPERLINK("http://mcgill.on.worldcat.org/oclc/320524123","Catalog Record")</f>
        <v>Catalog Record</v>
      </c>
      <c r="AW3176" s="6" t="str">
        <f>HYPERLINK("http://www.worldcat.org/oclc/320524123","WorldCat Record")</f>
        <v>WorldCat Record</v>
      </c>
      <c r="AX3176" s="3" t="s">
        <v>31817</v>
      </c>
      <c r="AY3176" s="3" t="s">
        <v>31818</v>
      </c>
      <c r="AZ3176" s="3" t="s">
        <v>31819</v>
      </c>
      <c r="BA3176" s="3" t="s">
        <v>31819</v>
      </c>
      <c r="BB3176" s="3" t="s">
        <v>31823</v>
      </c>
      <c r="BC3176" s="3" t="s">
        <v>77</v>
      </c>
      <c r="BD3176" s="3" t="s">
        <v>78</v>
      </c>
      <c r="BE3176" s="3" t="s">
        <v>31821</v>
      </c>
      <c r="BF3176" s="3" t="s">
        <v>31823</v>
      </c>
      <c r="BG3176" s="3" t="s">
        <v>31824</v>
      </c>
      <c r="BH3176">
        <f t="shared" si="76"/>
        <v>0</v>
      </c>
    </row>
    <row r="3177" spans="1:60" ht="58" x14ac:dyDescent="0.35">
      <c r="A3177" s="2" t="s">
        <v>59</v>
      </c>
      <c r="B3177" s="2" t="s">
        <v>60</v>
      </c>
      <c r="C3177" s="2" t="s">
        <v>31825</v>
      </c>
      <c r="D3177" s="2" t="s">
        <v>31826</v>
      </c>
      <c r="E3177" s="2" t="s">
        <v>31827</v>
      </c>
      <c r="G3177" s="3" t="s">
        <v>64</v>
      </c>
      <c r="I3177" s="3" t="s">
        <v>64</v>
      </c>
      <c r="J3177" s="3" t="s">
        <v>64</v>
      </c>
      <c r="K3177" s="3" t="s">
        <v>65</v>
      </c>
      <c r="L3177" s="2" t="s">
        <v>31828</v>
      </c>
      <c r="M3177" s="2" t="s">
        <v>16855</v>
      </c>
      <c r="N3177" s="3" t="s">
        <v>67</v>
      </c>
      <c r="P3177" s="3" t="s">
        <v>102</v>
      </c>
      <c r="R3177" s="3" t="s">
        <v>70</v>
      </c>
      <c r="S3177" s="4">
        <v>2</v>
      </c>
      <c r="T3177" s="4">
        <v>2</v>
      </c>
      <c r="U3177" s="5" t="s">
        <v>31829</v>
      </c>
      <c r="V3177" s="5" t="s">
        <v>31829</v>
      </c>
      <c r="W3177" s="5" t="s">
        <v>72</v>
      </c>
      <c r="X3177" s="5" t="s">
        <v>72</v>
      </c>
      <c r="Y3177" s="4">
        <v>319</v>
      </c>
      <c r="Z3177" s="4">
        <v>14</v>
      </c>
      <c r="AA3177" s="4">
        <v>14</v>
      </c>
      <c r="AB3177" s="4">
        <v>1</v>
      </c>
      <c r="AC3177" s="4">
        <v>1</v>
      </c>
      <c r="AD3177" s="4">
        <v>35</v>
      </c>
      <c r="AE3177" s="4">
        <v>35</v>
      </c>
      <c r="AF3177" s="4">
        <v>0</v>
      </c>
      <c r="AG3177" s="4">
        <v>0</v>
      </c>
      <c r="AH3177" s="4">
        <v>35</v>
      </c>
      <c r="AI3177" s="4">
        <v>35</v>
      </c>
      <c r="AJ3177" s="4">
        <v>4</v>
      </c>
      <c r="AK3177" s="4">
        <v>4</v>
      </c>
      <c r="AL3177" s="4">
        <v>13</v>
      </c>
      <c r="AM3177" s="4">
        <v>13</v>
      </c>
      <c r="AN3177" s="4">
        <v>0</v>
      </c>
      <c r="AO3177" s="4">
        <v>0</v>
      </c>
      <c r="AP3177" s="4">
        <v>4</v>
      </c>
      <c r="AQ3177" s="4">
        <v>4</v>
      </c>
      <c r="AR3177" s="3" t="s">
        <v>64</v>
      </c>
      <c r="AS3177" s="3" t="s">
        <v>64</v>
      </c>
      <c r="AT3177" s="3" t="s">
        <v>64</v>
      </c>
      <c r="AV3177" s="6" t="str">
        <f>HYPERLINK("http://mcgill.on.worldcat.org/oclc/859253279","Catalog Record")</f>
        <v>Catalog Record</v>
      </c>
      <c r="AW3177" s="6" t="str">
        <f>HYPERLINK("http://www.worldcat.org/oclc/859253279","WorldCat Record")</f>
        <v>WorldCat Record</v>
      </c>
      <c r="AX3177" s="3" t="s">
        <v>31830</v>
      </c>
      <c r="AY3177" s="3" t="s">
        <v>31831</v>
      </c>
      <c r="AZ3177" s="3" t="s">
        <v>31832</v>
      </c>
      <c r="BA3177" s="3" t="s">
        <v>31832</v>
      </c>
      <c r="BB3177" s="3" t="s">
        <v>31833</v>
      </c>
      <c r="BC3177" s="3" t="s">
        <v>77</v>
      </c>
      <c r="BD3177" s="3" t="s">
        <v>78</v>
      </c>
      <c r="BE3177" s="3" t="s">
        <v>31834</v>
      </c>
      <c r="BF3177" s="3" t="s">
        <v>31833</v>
      </c>
      <c r="BG3177" s="3" t="s">
        <v>31835</v>
      </c>
      <c r="BH3177">
        <f t="shared" si="76"/>
        <v>0</v>
      </c>
    </row>
    <row r="3178" spans="1:60" ht="58" x14ac:dyDescent="0.35">
      <c r="A3178" s="2" t="s">
        <v>59</v>
      </c>
      <c r="B3178" s="2" t="s">
        <v>60</v>
      </c>
      <c r="C3178" s="2" t="s">
        <v>31836</v>
      </c>
      <c r="D3178" s="2" t="s">
        <v>31837</v>
      </c>
      <c r="E3178" s="2" t="s">
        <v>31838</v>
      </c>
      <c r="G3178" s="3" t="s">
        <v>64</v>
      </c>
      <c r="I3178" s="3" t="s">
        <v>64</v>
      </c>
      <c r="J3178" s="3" t="s">
        <v>64</v>
      </c>
      <c r="K3178" s="3" t="s">
        <v>65</v>
      </c>
      <c r="L3178" s="2" t="s">
        <v>31839</v>
      </c>
      <c r="M3178" s="2" t="s">
        <v>18533</v>
      </c>
      <c r="N3178" s="3" t="s">
        <v>578</v>
      </c>
      <c r="P3178" s="3" t="s">
        <v>102</v>
      </c>
      <c r="R3178" s="3" t="s">
        <v>70</v>
      </c>
      <c r="S3178" s="4">
        <v>0</v>
      </c>
      <c r="T3178" s="4">
        <v>0</v>
      </c>
      <c r="W3178" s="5" t="s">
        <v>72</v>
      </c>
      <c r="X3178" s="5" t="s">
        <v>72</v>
      </c>
      <c r="Y3178" s="4">
        <v>263</v>
      </c>
      <c r="Z3178" s="4">
        <v>5</v>
      </c>
      <c r="AA3178" s="4">
        <v>5</v>
      </c>
      <c r="AB3178" s="4">
        <v>1</v>
      </c>
      <c r="AC3178" s="4">
        <v>1</v>
      </c>
      <c r="AD3178" s="4">
        <v>30</v>
      </c>
      <c r="AE3178" s="4">
        <v>30</v>
      </c>
      <c r="AF3178" s="4">
        <v>0</v>
      </c>
      <c r="AG3178" s="4">
        <v>0</v>
      </c>
      <c r="AH3178" s="4">
        <v>30</v>
      </c>
      <c r="AI3178" s="4">
        <v>30</v>
      </c>
      <c r="AJ3178" s="4">
        <v>4</v>
      </c>
      <c r="AK3178" s="4">
        <v>4</v>
      </c>
      <c r="AL3178" s="4">
        <v>14</v>
      </c>
      <c r="AM3178" s="4">
        <v>14</v>
      </c>
      <c r="AN3178" s="4">
        <v>0</v>
      </c>
      <c r="AO3178" s="4">
        <v>0</v>
      </c>
      <c r="AP3178" s="4">
        <v>4</v>
      </c>
      <c r="AQ3178" s="4">
        <v>4</v>
      </c>
      <c r="AR3178" s="3" t="s">
        <v>64</v>
      </c>
      <c r="AS3178" s="3" t="s">
        <v>64</v>
      </c>
      <c r="AT3178" s="3" t="s">
        <v>64</v>
      </c>
      <c r="AV3178" s="6" t="str">
        <f>HYPERLINK("http://mcgill.on.worldcat.org/oclc/973159429","Catalog Record")</f>
        <v>Catalog Record</v>
      </c>
      <c r="AW3178" s="6" t="str">
        <f>HYPERLINK("http://www.worldcat.org/oclc/973159429","WorldCat Record")</f>
        <v>WorldCat Record</v>
      </c>
      <c r="AX3178" s="3" t="s">
        <v>31840</v>
      </c>
      <c r="AY3178" s="3" t="s">
        <v>31841</v>
      </c>
      <c r="AZ3178" s="3" t="s">
        <v>31842</v>
      </c>
      <c r="BA3178" s="3" t="s">
        <v>31842</v>
      </c>
      <c r="BB3178" s="3" t="s">
        <v>31843</v>
      </c>
      <c r="BC3178" s="3" t="s">
        <v>77</v>
      </c>
      <c r="BD3178" s="3" t="s">
        <v>78</v>
      </c>
      <c r="BE3178" s="3" t="s">
        <v>31844</v>
      </c>
      <c r="BF3178" s="3" t="s">
        <v>31843</v>
      </c>
      <c r="BG3178" s="3" t="s">
        <v>31845</v>
      </c>
      <c r="BH3178">
        <f t="shared" si="76"/>
        <v>0</v>
      </c>
    </row>
    <row r="3179" spans="1:60" ht="58" x14ac:dyDescent="0.35">
      <c r="A3179" s="2" t="s">
        <v>59</v>
      </c>
      <c r="B3179" s="2" t="s">
        <v>60</v>
      </c>
      <c r="C3179" s="2" t="s">
        <v>31846</v>
      </c>
      <c r="D3179" s="2" t="s">
        <v>31847</v>
      </c>
      <c r="E3179" s="2" t="s">
        <v>31848</v>
      </c>
      <c r="G3179" s="3" t="s">
        <v>64</v>
      </c>
      <c r="I3179" s="3" t="s">
        <v>64</v>
      </c>
      <c r="J3179" s="3" t="s">
        <v>64</v>
      </c>
      <c r="K3179" s="3" t="s">
        <v>65</v>
      </c>
      <c r="L3179" s="2" t="s">
        <v>31849</v>
      </c>
      <c r="M3179" s="2" t="s">
        <v>18943</v>
      </c>
      <c r="N3179" s="3" t="s">
        <v>551</v>
      </c>
      <c r="P3179" s="3" t="s">
        <v>102</v>
      </c>
      <c r="R3179" s="3" t="s">
        <v>70</v>
      </c>
      <c r="S3179" s="4">
        <v>1</v>
      </c>
      <c r="T3179" s="4">
        <v>1</v>
      </c>
      <c r="U3179" s="5" t="s">
        <v>21372</v>
      </c>
      <c r="V3179" s="5" t="s">
        <v>21372</v>
      </c>
      <c r="W3179" s="5" t="s">
        <v>72</v>
      </c>
      <c r="X3179" s="5" t="s">
        <v>72</v>
      </c>
      <c r="Y3179" s="4">
        <v>301</v>
      </c>
      <c r="Z3179" s="4">
        <v>15</v>
      </c>
      <c r="AA3179" s="4">
        <v>97</v>
      </c>
      <c r="AB3179" s="4">
        <v>2</v>
      </c>
      <c r="AC3179" s="4">
        <v>18</v>
      </c>
      <c r="AD3179" s="4">
        <v>46</v>
      </c>
      <c r="AE3179" s="4">
        <v>98</v>
      </c>
      <c r="AF3179" s="4">
        <v>0</v>
      </c>
      <c r="AG3179" s="4">
        <v>8</v>
      </c>
      <c r="AH3179" s="4">
        <v>44</v>
      </c>
      <c r="AI3179" s="4">
        <v>65</v>
      </c>
      <c r="AJ3179" s="4">
        <v>4</v>
      </c>
      <c r="AK3179" s="4">
        <v>17</v>
      </c>
      <c r="AL3179" s="4">
        <v>22</v>
      </c>
      <c r="AM3179" s="4">
        <v>33</v>
      </c>
      <c r="AN3179" s="4">
        <v>0</v>
      </c>
      <c r="AO3179" s="4">
        <v>0</v>
      </c>
      <c r="AP3179" s="4">
        <v>4</v>
      </c>
      <c r="AQ3179" s="4">
        <v>38</v>
      </c>
      <c r="AR3179" s="3" t="s">
        <v>64</v>
      </c>
      <c r="AS3179" s="3" t="s">
        <v>64</v>
      </c>
      <c r="AT3179" s="3" t="s">
        <v>64</v>
      </c>
      <c r="AV3179" s="6" t="str">
        <f>HYPERLINK("http://mcgill.on.worldcat.org/oclc/314837679","Catalog Record")</f>
        <v>Catalog Record</v>
      </c>
      <c r="AW3179" s="6" t="str">
        <f>HYPERLINK("http://www.worldcat.org/oclc/314837679","WorldCat Record")</f>
        <v>WorldCat Record</v>
      </c>
      <c r="AX3179" s="3" t="s">
        <v>31850</v>
      </c>
      <c r="AY3179" s="3" t="s">
        <v>31851</v>
      </c>
      <c r="AZ3179" s="3" t="s">
        <v>31852</v>
      </c>
      <c r="BA3179" s="3" t="s">
        <v>31852</v>
      </c>
      <c r="BB3179" s="3" t="s">
        <v>31853</v>
      </c>
      <c r="BC3179" s="3" t="s">
        <v>77</v>
      </c>
      <c r="BD3179" s="3" t="s">
        <v>78</v>
      </c>
      <c r="BE3179" s="3" t="s">
        <v>31854</v>
      </c>
      <c r="BF3179" s="3" t="s">
        <v>31853</v>
      </c>
      <c r="BG3179" s="3" t="s">
        <v>31855</v>
      </c>
      <c r="BH3179">
        <f t="shared" si="76"/>
        <v>0</v>
      </c>
    </row>
    <row r="3180" spans="1:60" ht="58" x14ac:dyDescent="0.35">
      <c r="A3180" s="2" t="s">
        <v>59</v>
      </c>
      <c r="B3180" s="2" t="s">
        <v>60</v>
      </c>
      <c r="C3180" s="2" t="s">
        <v>31856</v>
      </c>
      <c r="D3180" s="2" t="s">
        <v>31857</v>
      </c>
      <c r="E3180" s="2" t="s">
        <v>31858</v>
      </c>
      <c r="G3180" s="3" t="s">
        <v>64</v>
      </c>
      <c r="I3180" s="3" t="s">
        <v>64</v>
      </c>
      <c r="J3180" s="3" t="s">
        <v>64</v>
      </c>
      <c r="K3180" s="3" t="s">
        <v>65</v>
      </c>
      <c r="L3180" s="2" t="s">
        <v>31859</v>
      </c>
      <c r="M3180" s="2" t="s">
        <v>16855</v>
      </c>
      <c r="N3180" s="3" t="s">
        <v>67</v>
      </c>
      <c r="P3180" s="3" t="s">
        <v>102</v>
      </c>
      <c r="R3180" s="3" t="s">
        <v>70</v>
      </c>
      <c r="S3180" s="4">
        <v>2</v>
      </c>
      <c r="T3180" s="4">
        <v>2</v>
      </c>
      <c r="U3180" s="5" t="s">
        <v>27601</v>
      </c>
      <c r="V3180" s="5" t="s">
        <v>27601</v>
      </c>
      <c r="W3180" s="5" t="s">
        <v>72</v>
      </c>
      <c r="X3180" s="5" t="s">
        <v>72</v>
      </c>
      <c r="Y3180" s="4">
        <v>289</v>
      </c>
      <c r="Z3180" s="4">
        <v>13</v>
      </c>
      <c r="AA3180" s="4">
        <v>101</v>
      </c>
      <c r="AB3180" s="4">
        <v>1</v>
      </c>
      <c r="AC3180" s="4">
        <v>14</v>
      </c>
      <c r="AD3180" s="4">
        <v>36</v>
      </c>
      <c r="AE3180" s="4">
        <v>95</v>
      </c>
      <c r="AF3180" s="4">
        <v>0</v>
      </c>
      <c r="AG3180" s="4">
        <v>8</v>
      </c>
      <c r="AH3180" s="4">
        <v>34</v>
      </c>
      <c r="AI3180" s="4">
        <v>61</v>
      </c>
      <c r="AJ3180" s="4">
        <v>3</v>
      </c>
      <c r="AK3180" s="4">
        <v>18</v>
      </c>
      <c r="AL3180" s="4">
        <v>12</v>
      </c>
      <c r="AM3180" s="4">
        <v>26</v>
      </c>
      <c r="AN3180" s="4">
        <v>0</v>
      </c>
      <c r="AO3180" s="4">
        <v>0</v>
      </c>
      <c r="AP3180" s="4">
        <v>5</v>
      </c>
      <c r="AQ3180" s="4">
        <v>40</v>
      </c>
      <c r="AR3180" s="3" t="s">
        <v>64</v>
      </c>
      <c r="AS3180" s="3" t="s">
        <v>64</v>
      </c>
      <c r="AT3180" s="3" t="s">
        <v>64</v>
      </c>
      <c r="AV3180" s="6" t="str">
        <f>HYPERLINK("http://mcgill.on.worldcat.org/oclc/842322947","Catalog Record")</f>
        <v>Catalog Record</v>
      </c>
      <c r="AW3180" s="6" t="str">
        <f>HYPERLINK("http://www.worldcat.org/oclc/842322947","WorldCat Record")</f>
        <v>WorldCat Record</v>
      </c>
      <c r="AX3180" s="3" t="s">
        <v>31860</v>
      </c>
      <c r="AY3180" s="3" t="s">
        <v>31861</v>
      </c>
      <c r="AZ3180" s="3" t="s">
        <v>31862</v>
      </c>
      <c r="BA3180" s="3" t="s">
        <v>31862</v>
      </c>
      <c r="BB3180" s="3" t="s">
        <v>31863</v>
      </c>
      <c r="BC3180" s="3" t="s">
        <v>77</v>
      </c>
      <c r="BD3180" s="3" t="s">
        <v>78</v>
      </c>
      <c r="BE3180" s="3" t="s">
        <v>31864</v>
      </c>
      <c r="BF3180" s="3" t="s">
        <v>31863</v>
      </c>
      <c r="BG3180" s="3" t="s">
        <v>31865</v>
      </c>
      <c r="BH3180">
        <f t="shared" si="76"/>
        <v>0</v>
      </c>
    </row>
    <row r="3181" spans="1:60" ht="58" x14ac:dyDescent="0.35">
      <c r="A3181" s="2" t="s">
        <v>59</v>
      </c>
      <c r="B3181" s="2" t="s">
        <v>60</v>
      </c>
      <c r="C3181" s="2" t="s">
        <v>31866</v>
      </c>
      <c r="D3181" s="2" t="s">
        <v>31867</v>
      </c>
      <c r="E3181" s="2" t="s">
        <v>31868</v>
      </c>
      <c r="G3181" s="3" t="s">
        <v>64</v>
      </c>
      <c r="I3181" s="3" t="s">
        <v>64</v>
      </c>
      <c r="J3181" s="3" t="s">
        <v>64</v>
      </c>
      <c r="K3181" s="3" t="s">
        <v>65</v>
      </c>
      <c r="L3181" s="2" t="s">
        <v>31869</v>
      </c>
      <c r="M3181" s="2" t="s">
        <v>14552</v>
      </c>
      <c r="N3181" s="3" t="s">
        <v>537</v>
      </c>
      <c r="P3181" s="3" t="s">
        <v>102</v>
      </c>
      <c r="R3181" s="3" t="s">
        <v>70</v>
      </c>
      <c r="S3181" s="4">
        <v>0</v>
      </c>
      <c r="T3181" s="4">
        <v>0</v>
      </c>
      <c r="W3181" s="5" t="s">
        <v>72</v>
      </c>
      <c r="X3181" s="5" t="s">
        <v>72</v>
      </c>
      <c r="Y3181" s="4">
        <v>404</v>
      </c>
      <c r="Z3181" s="4">
        <v>10</v>
      </c>
      <c r="AA3181" s="4">
        <v>14</v>
      </c>
      <c r="AB3181" s="4">
        <v>2</v>
      </c>
      <c r="AC3181" s="4">
        <v>4</v>
      </c>
      <c r="AD3181" s="4">
        <v>29</v>
      </c>
      <c r="AE3181" s="4">
        <v>30</v>
      </c>
      <c r="AF3181" s="4">
        <v>0</v>
      </c>
      <c r="AG3181" s="4">
        <v>1</v>
      </c>
      <c r="AH3181" s="4">
        <v>29</v>
      </c>
      <c r="AI3181" s="4">
        <v>29</v>
      </c>
      <c r="AJ3181" s="4">
        <v>3</v>
      </c>
      <c r="AK3181" s="4">
        <v>4</v>
      </c>
      <c r="AL3181" s="4">
        <v>11</v>
      </c>
      <c r="AM3181" s="4">
        <v>11</v>
      </c>
      <c r="AN3181" s="4">
        <v>0</v>
      </c>
      <c r="AO3181" s="4">
        <v>0</v>
      </c>
      <c r="AP3181" s="4">
        <v>3</v>
      </c>
      <c r="AQ3181" s="4">
        <v>3</v>
      </c>
      <c r="AR3181" s="3" t="s">
        <v>64</v>
      </c>
      <c r="AS3181" s="3" t="s">
        <v>64</v>
      </c>
      <c r="AT3181" s="3" t="s">
        <v>64</v>
      </c>
      <c r="AV3181" s="6" t="str">
        <f>HYPERLINK("http://mcgill.on.worldcat.org/oclc/936430015","Catalog Record")</f>
        <v>Catalog Record</v>
      </c>
      <c r="AW3181" s="6" t="str">
        <f>HYPERLINK("http://www.worldcat.org/oclc/936430015","WorldCat Record")</f>
        <v>WorldCat Record</v>
      </c>
      <c r="AX3181" s="3" t="s">
        <v>31870</v>
      </c>
      <c r="AY3181" s="3" t="s">
        <v>31871</v>
      </c>
      <c r="AZ3181" s="3" t="s">
        <v>31872</v>
      </c>
      <c r="BA3181" s="3" t="s">
        <v>31872</v>
      </c>
      <c r="BB3181" s="3" t="s">
        <v>31873</v>
      </c>
      <c r="BC3181" s="3" t="s">
        <v>77</v>
      </c>
      <c r="BD3181" s="3" t="s">
        <v>78</v>
      </c>
      <c r="BE3181" s="3" t="s">
        <v>31874</v>
      </c>
      <c r="BF3181" s="3" t="s">
        <v>31873</v>
      </c>
      <c r="BG3181" s="3" t="s">
        <v>31875</v>
      </c>
      <c r="BH3181">
        <f t="shared" si="76"/>
        <v>0</v>
      </c>
    </row>
    <row r="3182" spans="1:60" ht="58" x14ac:dyDescent="0.35">
      <c r="A3182" s="2" t="s">
        <v>59</v>
      </c>
      <c r="B3182" s="2" t="s">
        <v>60</v>
      </c>
      <c r="C3182" s="2" t="s">
        <v>31876</v>
      </c>
      <c r="D3182" s="2" t="s">
        <v>31877</v>
      </c>
      <c r="E3182" s="2" t="s">
        <v>31878</v>
      </c>
      <c r="G3182" s="3" t="s">
        <v>64</v>
      </c>
      <c r="I3182" s="3" t="s">
        <v>64</v>
      </c>
      <c r="J3182" s="3" t="s">
        <v>64</v>
      </c>
      <c r="K3182" s="3" t="s">
        <v>65</v>
      </c>
      <c r="L3182" s="2" t="s">
        <v>31879</v>
      </c>
      <c r="M3182" s="2" t="s">
        <v>31880</v>
      </c>
      <c r="N3182" s="3" t="s">
        <v>190</v>
      </c>
      <c r="P3182" s="3" t="s">
        <v>102</v>
      </c>
      <c r="R3182" s="3" t="s">
        <v>70</v>
      </c>
      <c r="S3182" s="4">
        <v>0</v>
      </c>
      <c r="T3182" s="4">
        <v>0</v>
      </c>
      <c r="W3182" s="5" t="s">
        <v>72</v>
      </c>
      <c r="X3182" s="5" t="s">
        <v>72</v>
      </c>
      <c r="Y3182" s="4">
        <v>182</v>
      </c>
      <c r="Z3182" s="4">
        <v>3</v>
      </c>
      <c r="AA3182" s="4">
        <v>3</v>
      </c>
      <c r="AB3182" s="4">
        <v>1</v>
      </c>
      <c r="AC3182" s="4">
        <v>1</v>
      </c>
      <c r="AD3182" s="4">
        <v>22</v>
      </c>
      <c r="AE3182" s="4">
        <v>22</v>
      </c>
      <c r="AF3182" s="4">
        <v>0</v>
      </c>
      <c r="AG3182" s="4">
        <v>0</v>
      </c>
      <c r="AH3182" s="4">
        <v>21</v>
      </c>
      <c r="AI3182" s="4">
        <v>21</v>
      </c>
      <c r="AJ3182" s="4">
        <v>2</v>
      </c>
      <c r="AK3182" s="4">
        <v>2</v>
      </c>
      <c r="AL3182" s="4">
        <v>8</v>
      </c>
      <c r="AM3182" s="4">
        <v>8</v>
      </c>
      <c r="AN3182" s="4">
        <v>0</v>
      </c>
      <c r="AO3182" s="4">
        <v>0</v>
      </c>
      <c r="AP3182" s="4">
        <v>2</v>
      </c>
      <c r="AQ3182" s="4">
        <v>2</v>
      </c>
      <c r="AR3182" s="3" t="s">
        <v>64</v>
      </c>
      <c r="AS3182" s="3" t="s">
        <v>64</v>
      </c>
      <c r="AT3182" s="3" t="s">
        <v>64</v>
      </c>
      <c r="AV3182" s="6" t="str">
        <f>HYPERLINK("http://mcgill.on.worldcat.org/oclc/1004555017","Catalog Record")</f>
        <v>Catalog Record</v>
      </c>
      <c r="AW3182" s="6" t="str">
        <f>HYPERLINK("http://www.worldcat.org/oclc/1004555017","WorldCat Record")</f>
        <v>WorldCat Record</v>
      </c>
      <c r="AX3182" s="3" t="s">
        <v>31881</v>
      </c>
      <c r="AY3182" s="3" t="s">
        <v>31882</v>
      </c>
      <c r="AZ3182" s="3" t="s">
        <v>31883</v>
      </c>
      <c r="BA3182" s="3" t="s">
        <v>31883</v>
      </c>
      <c r="BB3182" s="3" t="s">
        <v>31884</v>
      </c>
      <c r="BC3182" s="3" t="s">
        <v>77</v>
      </c>
      <c r="BD3182" s="3" t="s">
        <v>78</v>
      </c>
      <c r="BE3182" s="3" t="s">
        <v>31885</v>
      </c>
      <c r="BF3182" s="3" t="s">
        <v>31884</v>
      </c>
      <c r="BG3182" s="3" t="s">
        <v>31886</v>
      </c>
      <c r="BH3182">
        <f t="shared" si="76"/>
        <v>0</v>
      </c>
    </row>
    <row r="3183" spans="1:60" ht="58" x14ac:dyDescent="0.35">
      <c r="A3183" s="2" t="s">
        <v>59</v>
      </c>
      <c r="B3183" s="2" t="s">
        <v>60</v>
      </c>
      <c r="C3183" s="2" t="s">
        <v>31887</v>
      </c>
      <c r="D3183" s="2" t="s">
        <v>31888</v>
      </c>
      <c r="E3183" s="2" t="s">
        <v>31889</v>
      </c>
      <c r="G3183" s="3" t="s">
        <v>64</v>
      </c>
      <c r="I3183" s="3" t="s">
        <v>64</v>
      </c>
      <c r="J3183" s="3" t="s">
        <v>64</v>
      </c>
      <c r="K3183" s="3" t="s">
        <v>65</v>
      </c>
      <c r="L3183" s="2" t="s">
        <v>31890</v>
      </c>
      <c r="M3183" s="2" t="s">
        <v>19709</v>
      </c>
      <c r="N3183" s="3" t="s">
        <v>291</v>
      </c>
      <c r="P3183" s="3" t="s">
        <v>102</v>
      </c>
      <c r="R3183" s="3" t="s">
        <v>70</v>
      </c>
      <c r="S3183" s="4">
        <v>7</v>
      </c>
      <c r="T3183" s="4">
        <v>7</v>
      </c>
      <c r="U3183" s="5" t="s">
        <v>5872</v>
      </c>
      <c r="V3183" s="5" t="s">
        <v>5872</v>
      </c>
      <c r="W3183" s="5" t="s">
        <v>72</v>
      </c>
      <c r="X3183" s="5" t="s">
        <v>72</v>
      </c>
      <c r="Y3183" s="4">
        <v>448</v>
      </c>
      <c r="Z3183" s="4">
        <v>22</v>
      </c>
      <c r="AA3183" s="4">
        <v>22</v>
      </c>
      <c r="AB3183" s="4">
        <v>1</v>
      </c>
      <c r="AC3183" s="4">
        <v>1</v>
      </c>
      <c r="AD3183" s="4">
        <v>35</v>
      </c>
      <c r="AE3183" s="4">
        <v>35</v>
      </c>
      <c r="AF3183" s="4">
        <v>0</v>
      </c>
      <c r="AG3183" s="4">
        <v>0</v>
      </c>
      <c r="AH3183" s="4">
        <v>34</v>
      </c>
      <c r="AI3183" s="4">
        <v>34</v>
      </c>
      <c r="AJ3183" s="4">
        <v>5</v>
      </c>
      <c r="AK3183" s="4">
        <v>5</v>
      </c>
      <c r="AL3183" s="4">
        <v>17</v>
      </c>
      <c r="AM3183" s="4">
        <v>17</v>
      </c>
      <c r="AN3183" s="4">
        <v>0</v>
      </c>
      <c r="AO3183" s="4">
        <v>0</v>
      </c>
      <c r="AP3183" s="4">
        <v>6</v>
      </c>
      <c r="AQ3183" s="4">
        <v>6</v>
      </c>
      <c r="AR3183" s="3" t="s">
        <v>64</v>
      </c>
      <c r="AS3183" s="3" t="s">
        <v>64</v>
      </c>
      <c r="AT3183" s="3" t="s">
        <v>64</v>
      </c>
      <c r="AV3183" s="6" t="str">
        <f>HYPERLINK("http://mcgill.on.worldcat.org/oclc/74029402","Catalog Record")</f>
        <v>Catalog Record</v>
      </c>
      <c r="AW3183" s="6" t="str">
        <f>HYPERLINK("http://www.worldcat.org/oclc/74029402","WorldCat Record")</f>
        <v>WorldCat Record</v>
      </c>
      <c r="AX3183" s="3" t="s">
        <v>31891</v>
      </c>
      <c r="AY3183" s="3" t="s">
        <v>31892</v>
      </c>
      <c r="AZ3183" s="3" t="s">
        <v>31893</v>
      </c>
      <c r="BA3183" s="3" t="s">
        <v>31893</v>
      </c>
      <c r="BB3183" s="3" t="s">
        <v>31894</v>
      </c>
      <c r="BC3183" s="3" t="s">
        <v>77</v>
      </c>
      <c r="BD3183" s="3" t="s">
        <v>78</v>
      </c>
      <c r="BE3183" s="3" t="s">
        <v>31895</v>
      </c>
      <c r="BF3183" s="3" t="s">
        <v>31894</v>
      </c>
      <c r="BG3183" s="3" t="s">
        <v>31896</v>
      </c>
      <c r="BH3183">
        <f t="shared" si="76"/>
        <v>0</v>
      </c>
    </row>
    <row r="3184" spans="1:60" ht="58" x14ac:dyDescent="0.35">
      <c r="A3184" s="2" t="s">
        <v>59</v>
      </c>
      <c r="B3184" s="2" t="s">
        <v>60</v>
      </c>
      <c r="C3184" s="2" t="s">
        <v>31897</v>
      </c>
      <c r="D3184" s="2" t="s">
        <v>31898</v>
      </c>
      <c r="E3184" s="2" t="s">
        <v>31899</v>
      </c>
      <c r="G3184" s="3" t="s">
        <v>64</v>
      </c>
      <c r="I3184" s="3" t="s">
        <v>64</v>
      </c>
      <c r="J3184" s="3" t="s">
        <v>64</v>
      </c>
      <c r="K3184" s="3" t="s">
        <v>65</v>
      </c>
      <c r="L3184" s="2" t="s">
        <v>31900</v>
      </c>
      <c r="M3184" s="2" t="s">
        <v>31901</v>
      </c>
      <c r="N3184" s="3" t="s">
        <v>67</v>
      </c>
      <c r="P3184" s="3" t="s">
        <v>102</v>
      </c>
      <c r="R3184" s="3" t="s">
        <v>70</v>
      </c>
      <c r="S3184" s="4">
        <v>2</v>
      </c>
      <c r="T3184" s="4">
        <v>2</v>
      </c>
      <c r="U3184" s="5" t="s">
        <v>5872</v>
      </c>
      <c r="V3184" s="5" t="s">
        <v>5872</v>
      </c>
      <c r="W3184" s="5" t="s">
        <v>72</v>
      </c>
      <c r="X3184" s="5" t="s">
        <v>72</v>
      </c>
      <c r="Y3184" s="4">
        <v>365</v>
      </c>
      <c r="Z3184" s="4">
        <v>16</v>
      </c>
      <c r="AA3184" s="4">
        <v>106</v>
      </c>
      <c r="AB3184" s="4">
        <v>1</v>
      </c>
      <c r="AC3184" s="4">
        <v>14</v>
      </c>
      <c r="AD3184" s="4">
        <v>43</v>
      </c>
      <c r="AE3184" s="4">
        <v>114</v>
      </c>
      <c r="AF3184" s="4">
        <v>0</v>
      </c>
      <c r="AG3184" s="4">
        <v>8</v>
      </c>
      <c r="AH3184" s="4">
        <v>41</v>
      </c>
      <c r="AI3184" s="4">
        <v>75</v>
      </c>
      <c r="AJ3184" s="4">
        <v>5</v>
      </c>
      <c r="AK3184" s="4">
        <v>21</v>
      </c>
      <c r="AL3184" s="4">
        <v>14</v>
      </c>
      <c r="AM3184" s="4">
        <v>33</v>
      </c>
      <c r="AN3184" s="4">
        <v>0</v>
      </c>
      <c r="AO3184" s="4">
        <v>0</v>
      </c>
      <c r="AP3184" s="4">
        <v>8</v>
      </c>
      <c r="AQ3184" s="4">
        <v>44</v>
      </c>
      <c r="AR3184" s="3" t="s">
        <v>64</v>
      </c>
      <c r="AS3184" s="3" t="s">
        <v>64</v>
      </c>
      <c r="AT3184" s="3" t="s">
        <v>64</v>
      </c>
      <c r="AV3184" s="6" t="str">
        <f>HYPERLINK("http://mcgill.on.worldcat.org/oclc/857141234","Catalog Record")</f>
        <v>Catalog Record</v>
      </c>
      <c r="AW3184" s="6" t="str">
        <f>HYPERLINK("http://www.worldcat.org/oclc/857141234","WorldCat Record")</f>
        <v>WorldCat Record</v>
      </c>
      <c r="AX3184" s="3" t="s">
        <v>31902</v>
      </c>
      <c r="AY3184" s="3" t="s">
        <v>31903</v>
      </c>
      <c r="AZ3184" s="3" t="s">
        <v>31904</v>
      </c>
      <c r="BA3184" s="3" t="s">
        <v>31904</v>
      </c>
      <c r="BB3184" s="3" t="s">
        <v>31905</v>
      </c>
      <c r="BC3184" s="3" t="s">
        <v>77</v>
      </c>
      <c r="BD3184" s="3" t="s">
        <v>78</v>
      </c>
      <c r="BE3184" s="3" t="s">
        <v>31906</v>
      </c>
      <c r="BF3184" s="3" t="s">
        <v>31905</v>
      </c>
      <c r="BG3184" s="3" t="s">
        <v>31907</v>
      </c>
      <c r="BH3184">
        <f t="shared" si="76"/>
        <v>0</v>
      </c>
    </row>
    <row r="3185" spans="1:60" ht="58" x14ac:dyDescent="0.35">
      <c r="A3185" s="2" t="s">
        <v>59</v>
      </c>
      <c r="B3185" s="2" t="s">
        <v>60</v>
      </c>
      <c r="C3185" s="2" t="s">
        <v>31908</v>
      </c>
      <c r="D3185" s="2" t="s">
        <v>31909</v>
      </c>
      <c r="E3185" s="2" t="s">
        <v>31910</v>
      </c>
      <c r="G3185" s="3" t="s">
        <v>64</v>
      </c>
      <c r="I3185" s="3" t="s">
        <v>64</v>
      </c>
      <c r="J3185" s="3" t="s">
        <v>64</v>
      </c>
      <c r="K3185" s="3" t="s">
        <v>65</v>
      </c>
      <c r="L3185" s="2" t="s">
        <v>31911</v>
      </c>
      <c r="M3185" s="2" t="s">
        <v>14793</v>
      </c>
      <c r="N3185" s="3" t="s">
        <v>1075</v>
      </c>
      <c r="P3185" s="3" t="s">
        <v>102</v>
      </c>
      <c r="R3185" s="3" t="s">
        <v>70</v>
      </c>
      <c r="S3185" s="4">
        <v>1</v>
      </c>
      <c r="T3185" s="4">
        <v>1</v>
      </c>
      <c r="U3185" s="5" t="s">
        <v>21372</v>
      </c>
      <c r="V3185" s="5" t="s">
        <v>21372</v>
      </c>
      <c r="W3185" s="5" t="s">
        <v>72</v>
      </c>
      <c r="X3185" s="5" t="s">
        <v>72</v>
      </c>
      <c r="Y3185" s="4">
        <v>416</v>
      </c>
      <c r="Z3185" s="4">
        <v>16</v>
      </c>
      <c r="AA3185" s="4">
        <v>104</v>
      </c>
      <c r="AB3185" s="4">
        <v>2</v>
      </c>
      <c r="AC3185" s="4">
        <v>15</v>
      </c>
      <c r="AD3185" s="4">
        <v>37</v>
      </c>
      <c r="AE3185" s="4">
        <v>100</v>
      </c>
      <c r="AF3185" s="4">
        <v>0</v>
      </c>
      <c r="AG3185" s="4">
        <v>8</v>
      </c>
      <c r="AH3185" s="4">
        <v>36</v>
      </c>
      <c r="AI3185" s="4">
        <v>64</v>
      </c>
      <c r="AJ3185" s="4">
        <v>5</v>
      </c>
      <c r="AK3185" s="4">
        <v>18</v>
      </c>
      <c r="AL3185" s="4">
        <v>12</v>
      </c>
      <c r="AM3185" s="4">
        <v>28</v>
      </c>
      <c r="AN3185" s="4">
        <v>0</v>
      </c>
      <c r="AO3185" s="4">
        <v>0</v>
      </c>
      <c r="AP3185" s="4">
        <v>5</v>
      </c>
      <c r="AQ3185" s="4">
        <v>40</v>
      </c>
      <c r="AR3185" s="3" t="s">
        <v>64</v>
      </c>
      <c r="AS3185" s="3" t="s">
        <v>64</v>
      </c>
      <c r="AT3185" s="3" t="s">
        <v>64</v>
      </c>
      <c r="AV3185" s="6" t="str">
        <f>HYPERLINK("http://mcgill.on.worldcat.org/oclc/828888898","Catalog Record")</f>
        <v>Catalog Record</v>
      </c>
      <c r="AW3185" s="6" t="str">
        <f>HYPERLINK("http://www.worldcat.org/oclc/828888898","WorldCat Record")</f>
        <v>WorldCat Record</v>
      </c>
      <c r="AX3185" s="3" t="s">
        <v>31912</v>
      </c>
      <c r="AY3185" s="3" t="s">
        <v>31913</v>
      </c>
      <c r="AZ3185" s="3" t="s">
        <v>31914</v>
      </c>
      <c r="BA3185" s="3" t="s">
        <v>31914</v>
      </c>
      <c r="BB3185" s="3" t="s">
        <v>31915</v>
      </c>
      <c r="BC3185" s="3" t="s">
        <v>77</v>
      </c>
      <c r="BD3185" s="3" t="s">
        <v>78</v>
      </c>
      <c r="BE3185" s="3" t="s">
        <v>31916</v>
      </c>
      <c r="BF3185" s="3" t="s">
        <v>31915</v>
      </c>
      <c r="BG3185" s="3" t="s">
        <v>31917</v>
      </c>
      <c r="BH3185">
        <f t="shared" si="76"/>
        <v>0</v>
      </c>
    </row>
    <row r="3186" spans="1:60" ht="58" x14ac:dyDescent="0.35">
      <c r="A3186" s="2" t="s">
        <v>59</v>
      </c>
      <c r="B3186" s="2" t="s">
        <v>60</v>
      </c>
      <c r="C3186" s="2" t="s">
        <v>31918</v>
      </c>
      <c r="D3186" s="2" t="s">
        <v>31919</v>
      </c>
      <c r="E3186" s="2" t="s">
        <v>31920</v>
      </c>
      <c r="G3186" s="3" t="s">
        <v>64</v>
      </c>
      <c r="I3186" s="3" t="s">
        <v>64</v>
      </c>
      <c r="J3186" s="3" t="s">
        <v>64</v>
      </c>
      <c r="K3186" s="3" t="s">
        <v>65</v>
      </c>
      <c r="L3186" s="2" t="s">
        <v>31921</v>
      </c>
      <c r="M3186" s="2" t="s">
        <v>14793</v>
      </c>
      <c r="N3186" s="3" t="s">
        <v>1075</v>
      </c>
      <c r="P3186" s="3" t="s">
        <v>102</v>
      </c>
      <c r="R3186" s="3" t="s">
        <v>70</v>
      </c>
      <c r="S3186" s="4">
        <v>2</v>
      </c>
      <c r="T3186" s="4">
        <v>2</v>
      </c>
      <c r="U3186" s="5" t="s">
        <v>5872</v>
      </c>
      <c r="V3186" s="5" t="s">
        <v>5872</v>
      </c>
      <c r="W3186" s="5" t="s">
        <v>72</v>
      </c>
      <c r="X3186" s="5" t="s">
        <v>72</v>
      </c>
      <c r="Y3186" s="4">
        <v>410</v>
      </c>
      <c r="Z3186" s="4">
        <v>19</v>
      </c>
      <c r="AA3186" s="4">
        <v>111</v>
      </c>
      <c r="AB3186" s="4">
        <v>2</v>
      </c>
      <c r="AC3186" s="4">
        <v>14</v>
      </c>
      <c r="AD3186" s="4">
        <v>40</v>
      </c>
      <c r="AE3186" s="4">
        <v>114</v>
      </c>
      <c r="AF3186" s="4">
        <v>1</v>
      </c>
      <c r="AG3186" s="4">
        <v>8</v>
      </c>
      <c r="AH3186" s="4">
        <v>38</v>
      </c>
      <c r="AI3186" s="4">
        <v>75</v>
      </c>
      <c r="AJ3186" s="4">
        <v>4</v>
      </c>
      <c r="AK3186" s="4">
        <v>21</v>
      </c>
      <c r="AL3186" s="4">
        <v>16</v>
      </c>
      <c r="AM3186" s="4">
        <v>36</v>
      </c>
      <c r="AN3186" s="4">
        <v>0</v>
      </c>
      <c r="AO3186" s="4">
        <v>0</v>
      </c>
      <c r="AP3186" s="4">
        <v>5</v>
      </c>
      <c r="AQ3186" s="4">
        <v>44</v>
      </c>
      <c r="AR3186" s="3" t="s">
        <v>64</v>
      </c>
      <c r="AS3186" s="3" t="s">
        <v>64</v>
      </c>
      <c r="AT3186" s="3" t="s">
        <v>64</v>
      </c>
      <c r="AV3186" s="6" t="str">
        <f>HYPERLINK("http://mcgill.on.worldcat.org/oclc/817721644","Catalog Record")</f>
        <v>Catalog Record</v>
      </c>
      <c r="AW3186" s="6" t="str">
        <f>HYPERLINK("http://www.worldcat.org/oclc/817721644","WorldCat Record")</f>
        <v>WorldCat Record</v>
      </c>
      <c r="AX3186" s="3" t="s">
        <v>31922</v>
      </c>
      <c r="AY3186" s="3" t="s">
        <v>31923</v>
      </c>
      <c r="AZ3186" s="3" t="s">
        <v>31924</v>
      </c>
      <c r="BA3186" s="3" t="s">
        <v>31924</v>
      </c>
      <c r="BB3186" s="3" t="s">
        <v>31925</v>
      </c>
      <c r="BC3186" s="3" t="s">
        <v>77</v>
      </c>
      <c r="BD3186" s="3" t="s">
        <v>78</v>
      </c>
      <c r="BE3186" s="3" t="s">
        <v>31926</v>
      </c>
      <c r="BF3186" s="3" t="s">
        <v>31925</v>
      </c>
      <c r="BG3186" s="3" t="s">
        <v>31927</v>
      </c>
      <c r="BH3186">
        <f t="shared" si="76"/>
        <v>0</v>
      </c>
    </row>
    <row r="3187" spans="1:60" ht="58" x14ac:dyDescent="0.35">
      <c r="A3187" s="2" t="s">
        <v>59</v>
      </c>
      <c r="B3187" s="2" t="s">
        <v>60</v>
      </c>
      <c r="C3187" s="2" t="s">
        <v>31928</v>
      </c>
      <c r="D3187" s="2" t="s">
        <v>31929</v>
      </c>
      <c r="E3187" s="2" t="s">
        <v>31930</v>
      </c>
      <c r="G3187" s="3" t="s">
        <v>64</v>
      </c>
      <c r="I3187" s="3" t="s">
        <v>64</v>
      </c>
      <c r="J3187" s="3" t="s">
        <v>64</v>
      </c>
      <c r="K3187" s="3" t="s">
        <v>65</v>
      </c>
      <c r="L3187" s="2" t="s">
        <v>31921</v>
      </c>
      <c r="M3187" s="2" t="s">
        <v>31931</v>
      </c>
      <c r="N3187" s="3" t="s">
        <v>537</v>
      </c>
      <c r="P3187" s="3" t="s">
        <v>102</v>
      </c>
      <c r="R3187" s="3" t="s">
        <v>70</v>
      </c>
      <c r="S3187" s="4">
        <v>0</v>
      </c>
      <c r="T3187" s="4">
        <v>0</v>
      </c>
      <c r="W3187" s="5" t="s">
        <v>72</v>
      </c>
      <c r="X3187" s="5" t="s">
        <v>72</v>
      </c>
      <c r="Y3187" s="4">
        <v>251</v>
      </c>
      <c r="Z3187" s="4">
        <v>9</v>
      </c>
      <c r="AA3187" s="4">
        <v>10</v>
      </c>
      <c r="AB3187" s="4">
        <v>1</v>
      </c>
      <c r="AC3187" s="4">
        <v>2</v>
      </c>
      <c r="AD3187" s="4">
        <v>29</v>
      </c>
      <c r="AE3187" s="4">
        <v>29</v>
      </c>
      <c r="AF3187" s="4">
        <v>0</v>
      </c>
      <c r="AG3187" s="4">
        <v>0</v>
      </c>
      <c r="AH3187" s="4">
        <v>29</v>
      </c>
      <c r="AI3187" s="4">
        <v>29</v>
      </c>
      <c r="AJ3187" s="4">
        <v>4</v>
      </c>
      <c r="AK3187" s="4">
        <v>4</v>
      </c>
      <c r="AL3187" s="4">
        <v>12</v>
      </c>
      <c r="AM3187" s="4">
        <v>12</v>
      </c>
      <c r="AN3187" s="4">
        <v>0</v>
      </c>
      <c r="AO3187" s="4">
        <v>0</v>
      </c>
      <c r="AP3187" s="4">
        <v>4</v>
      </c>
      <c r="AQ3187" s="4">
        <v>4</v>
      </c>
      <c r="AR3187" s="3" t="s">
        <v>64</v>
      </c>
      <c r="AS3187" s="3" t="s">
        <v>64</v>
      </c>
      <c r="AT3187" s="3" t="s">
        <v>64</v>
      </c>
      <c r="AV3187" s="6" t="str">
        <f>HYPERLINK("http://mcgill.on.worldcat.org/oclc/953792395","Catalog Record")</f>
        <v>Catalog Record</v>
      </c>
      <c r="AW3187" s="6" t="str">
        <f>HYPERLINK("http://www.worldcat.org/oclc/953792395","WorldCat Record")</f>
        <v>WorldCat Record</v>
      </c>
      <c r="AX3187" s="3" t="s">
        <v>31932</v>
      </c>
      <c r="AY3187" s="3" t="s">
        <v>31933</v>
      </c>
      <c r="AZ3187" s="3" t="s">
        <v>31934</v>
      </c>
      <c r="BA3187" s="3" t="s">
        <v>31934</v>
      </c>
      <c r="BB3187" s="3" t="s">
        <v>31935</v>
      </c>
      <c r="BC3187" s="3" t="s">
        <v>77</v>
      </c>
      <c r="BD3187" s="3" t="s">
        <v>78</v>
      </c>
      <c r="BE3187" s="3" t="s">
        <v>31936</v>
      </c>
      <c r="BF3187" s="3" t="s">
        <v>31935</v>
      </c>
      <c r="BG3187" s="3" t="s">
        <v>31937</v>
      </c>
      <c r="BH3187">
        <f t="shared" si="76"/>
        <v>0</v>
      </c>
    </row>
    <row r="3188" spans="1:60" ht="58" x14ac:dyDescent="0.35">
      <c r="A3188" s="2" t="s">
        <v>59</v>
      </c>
      <c r="B3188" s="2" t="s">
        <v>60</v>
      </c>
      <c r="C3188" s="2" t="s">
        <v>31938</v>
      </c>
      <c r="D3188" s="2" t="s">
        <v>31939</v>
      </c>
      <c r="E3188" s="2" t="s">
        <v>31940</v>
      </c>
      <c r="G3188" s="3" t="s">
        <v>64</v>
      </c>
      <c r="I3188" s="3" t="s">
        <v>64</v>
      </c>
      <c r="J3188" s="3" t="s">
        <v>64</v>
      </c>
      <c r="K3188" s="3" t="s">
        <v>65</v>
      </c>
      <c r="L3188" s="2" t="s">
        <v>31941</v>
      </c>
      <c r="M3188" s="2" t="s">
        <v>18400</v>
      </c>
      <c r="N3188" s="3" t="s">
        <v>253</v>
      </c>
      <c r="P3188" s="3" t="s">
        <v>102</v>
      </c>
      <c r="R3188" s="3" t="s">
        <v>70</v>
      </c>
      <c r="S3188" s="4">
        <v>0</v>
      </c>
      <c r="T3188" s="4">
        <v>0</v>
      </c>
      <c r="W3188" s="5" t="s">
        <v>72</v>
      </c>
      <c r="X3188" s="5" t="s">
        <v>72</v>
      </c>
      <c r="Y3188" s="4">
        <v>266</v>
      </c>
      <c r="Z3188" s="4">
        <v>6</v>
      </c>
      <c r="AA3188" s="4">
        <v>8</v>
      </c>
      <c r="AB3188" s="4">
        <v>1</v>
      </c>
      <c r="AC3188" s="4">
        <v>3</v>
      </c>
      <c r="AD3188" s="4">
        <v>29</v>
      </c>
      <c r="AE3188" s="4">
        <v>30</v>
      </c>
      <c r="AF3188" s="4">
        <v>0</v>
      </c>
      <c r="AG3188" s="4">
        <v>1</v>
      </c>
      <c r="AH3188" s="4">
        <v>29</v>
      </c>
      <c r="AI3188" s="4">
        <v>29</v>
      </c>
      <c r="AJ3188" s="4">
        <v>2</v>
      </c>
      <c r="AK3188" s="4">
        <v>3</v>
      </c>
      <c r="AL3188" s="4">
        <v>11</v>
      </c>
      <c r="AM3188" s="4">
        <v>11</v>
      </c>
      <c r="AN3188" s="4">
        <v>0</v>
      </c>
      <c r="AO3188" s="4">
        <v>0</v>
      </c>
      <c r="AP3188" s="4">
        <v>2</v>
      </c>
      <c r="AQ3188" s="4">
        <v>2</v>
      </c>
      <c r="AR3188" s="3" t="s">
        <v>64</v>
      </c>
      <c r="AS3188" s="3" t="s">
        <v>64</v>
      </c>
      <c r="AT3188" s="3" t="s">
        <v>64</v>
      </c>
      <c r="AV3188" s="6" t="str">
        <f>HYPERLINK("http://mcgill.on.worldcat.org/oclc/873237857","Catalog Record")</f>
        <v>Catalog Record</v>
      </c>
      <c r="AW3188" s="6" t="str">
        <f>HYPERLINK("http://www.worldcat.org/oclc/873237857","WorldCat Record")</f>
        <v>WorldCat Record</v>
      </c>
      <c r="AX3188" s="3" t="s">
        <v>31942</v>
      </c>
      <c r="AY3188" s="3" t="s">
        <v>31943</v>
      </c>
      <c r="AZ3188" s="3" t="s">
        <v>31944</v>
      </c>
      <c r="BA3188" s="3" t="s">
        <v>31944</v>
      </c>
      <c r="BB3188" s="3" t="s">
        <v>31945</v>
      </c>
      <c r="BC3188" s="3" t="s">
        <v>77</v>
      </c>
      <c r="BD3188" s="3" t="s">
        <v>78</v>
      </c>
      <c r="BE3188" s="3" t="s">
        <v>31946</v>
      </c>
      <c r="BF3188" s="3" t="s">
        <v>31945</v>
      </c>
      <c r="BG3188" s="3" t="s">
        <v>31947</v>
      </c>
      <c r="BH3188">
        <f t="shared" si="76"/>
        <v>0</v>
      </c>
    </row>
    <row r="3189" spans="1:60" ht="58" x14ac:dyDescent="0.35">
      <c r="A3189" s="2" t="s">
        <v>59</v>
      </c>
      <c r="B3189" s="2" t="s">
        <v>60</v>
      </c>
      <c r="C3189" s="2" t="s">
        <v>31948</v>
      </c>
      <c r="D3189" s="2" t="s">
        <v>31949</v>
      </c>
      <c r="E3189" s="2" t="s">
        <v>31950</v>
      </c>
      <c r="G3189" s="3" t="s">
        <v>64</v>
      </c>
      <c r="I3189" s="3" t="s">
        <v>64</v>
      </c>
      <c r="J3189" s="3" t="s">
        <v>64</v>
      </c>
      <c r="K3189" s="3" t="s">
        <v>65</v>
      </c>
      <c r="L3189" s="2" t="s">
        <v>31951</v>
      </c>
      <c r="M3189" s="2" t="s">
        <v>31952</v>
      </c>
      <c r="N3189" s="3" t="s">
        <v>266</v>
      </c>
      <c r="P3189" s="3" t="s">
        <v>102</v>
      </c>
      <c r="R3189" s="3" t="s">
        <v>70</v>
      </c>
      <c r="S3189" s="4">
        <v>2</v>
      </c>
      <c r="T3189" s="4">
        <v>2</v>
      </c>
      <c r="U3189" s="5" t="s">
        <v>5872</v>
      </c>
      <c r="V3189" s="5" t="s">
        <v>5872</v>
      </c>
      <c r="W3189" s="5" t="s">
        <v>72</v>
      </c>
      <c r="X3189" s="5" t="s">
        <v>72</v>
      </c>
      <c r="Y3189" s="4">
        <v>124</v>
      </c>
      <c r="Z3189" s="4">
        <v>5</v>
      </c>
      <c r="AA3189" s="4">
        <v>5</v>
      </c>
      <c r="AB3189" s="4">
        <v>1</v>
      </c>
      <c r="AC3189" s="4">
        <v>1</v>
      </c>
      <c r="AD3189" s="4">
        <v>33</v>
      </c>
      <c r="AE3189" s="4">
        <v>33</v>
      </c>
      <c r="AF3189" s="4">
        <v>0</v>
      </c>
      <c r="AG3189" s="4">
        <v>0</v>
      </c>
      <c r="AH3189" s="4">
        <v>32</v>
      </c>
      <c r="AI3189" s="4">
        <v>32</v>
      </c>
      <c r="AJ3189" s="4">
        <v>3</v>
      </c>
      <c r="AK3189" s="4">
        <v>3</v>
      </c>
      <c r="AL3189" s="4">
        <v>17</v>
      </c>
      <c r="AM3189" s="4">
        <v>17</v>
      </c>
      <c r="AN3189" s="4">
        <v>0</v>
      </c>
      <c r="AO3189" s="4">
        <v>0</v>
      </c>
      <c r="AP3189" s="4">
        <v>3</v>
      </c>
      <c r="AQ3189" s="4">
        <v>3</v>
      </c>
      <c r="AR3189" s="3" t="s">
        <v>64</v>
      </c>
      <c r="AS3189" s="3" t="s">
        <v>64</v>
      </c>
      <c r="AT3189" s="3" t="s">
        <v>64</v>
      </c>
      <c r="AV3189" s="6" t="str">
        <f>HYPERLINK("http://mcgill.on.worldcat.org/oclc/432075","Catalog Record")</f>
        <v>Catalog Record</v>
      </c>
      <c r="AW3189" s="6" t="str">
        <f>HYPERLINK("http://www.worldcat.org/oclc/432075","WorldCat Record")</f>
        <v>WorldCat Record</v>
      </c>
      <c r="AX3189" s="3" t="s">
        <v>31953</v>
      </c>
      <c r="AY3189" s="3" t="s">
        <v>31954</v>
      </c>
      <c r="AZ3189" s="3" t="s">
        <v>31955</v>
      </c>
      <c r="BA3189" s="3" t="s">
        <v>31955</v>
      </c>
      <c r="BB3189" s="3" t="s">
        <v>31956</v>
      </c>
      <c r="BC3189" s="3" t="s">
        <v>77</v>
      </c>
      <c r="BD3189" s="3" t="s">
        <v>78</v>
      </c>
      <c r="BF3189" s="3" t="s">
        <v>31956</v>
      </c>
      <c r="BG3189" s="3" t="s">
        <v>31957</v>
      </c>
      <c r="BH3189">
        <f t="shared" si="76"/>
        <v>0</v>
      </c>
    </row>
    <row r="3190" spans="1:60" ht="58" x14ac:dyDescent="0.35">
      <c r="A3190" s="2" t="s">
        <v>59</v>
      </c>
      <c r="B3190" s="2" t="s">
        <v>60</v>
      </c>
      <c r="C3190" s="2" t="s">
        <v>31958</v>
      </c>
      <c r="D3190" s="2" t="s">
        <v>31959</v>
      </c>
      <c r="E3190" s="2" t="s">
        <v>31960</v>
      </c>
      <c r="G3190" s="3" t="s">
        <v>64</v>
      </c>
      <c r="I3190" s="3" t="s">
        <v>64</v>
      </c>
      <c r="J3190" s="3" t="s">
        <v>64</v>
      </c>
      <c r="K3190" s="3" t="s">
        <v>65</v>
      </c>
      <c r="L3190" s="2" t="s">
        <v>31961</v>
      </c>
      <c r="M3190" s="2" t="s">
        <v>15640</v>
      </c>
      <c r="N3190" s="3" t="s">
        <v>253</v>
      </c>
      <c r="P3190" s="3" t="s">
        <v>102</v>
      </c>
      <c r="R3190" s="3" t="s">
        <v>70</v>
      </c>
      <c r="S3190" s="4">
        <v>0</v>
      </c>
      <c r="T3190" s="4">
        <v>0</v>
      </c>
      <c r="W3190" s="5" t="s">
        <v>72</v>
      </c>
      <c r="X3190" s="5" t="s">
        <v>72</v>
      </c>
      <c r="Y3190" s="4">
        <v>307</v>
      </c>
      <c r="Z3190" s="4">
        <v>15</v>
      </c>
      <c r="AA3190" s="4">
        <v>15</v>
      </c>
      <c r="AB3190" s="4">
        <v>1</v>
      </c>
      <c r="AC3190" s="4">
        <v>1</v>
      </c>
      <c r="AD3190" s="4">
        <v>35</v>
      </c>
      <c r="AE3190" s="4">
        <v>35</v>
      </c>
      <c r="AF3190" s="4">
        <v>0</v>
      </c>
      <c r="AG3190" s="4">
        <v>0</v>
      </c>
      <c r="AH3190" s="4">
        <v>34</v>
      </c>
      <c r="AI3190" s="4">
        <v>34</v>
      </c>
      <c r="AJ3190" s="4">
        <v>4</v>
      </c>
      <c r="AK3190" s="4">
        <v>4</v>
      </c>
      <c r="AL3190" s="4">
        <v>13</v>
      </c>
      <c r="AM3190" s="4">
        <v>13</v>
      </c>
      <c r="AN3190" s="4">
        <v>0</v>
      </c>
      <c r="AO3190" s="4">
        <v>0</v>
      </c>
      <c r="AP3190" s="4">
        <v>5</v>
      </c>
      <c r="AQ3190" s="4">
        <v>5</v>
      </c>
      <c r="AR3190" s="3" t="s">
        <v>64</v>
      </c>
      <c r="AS3190" s="3" t="s">
        <v>64</v>
      </c>
      <c r="AT3190" s="3" t="s">
        <v>64</v>
      </c>
      <c r="AV3190" s="6" t="str">
        <f>HYPERLINK("http://mcgill.on.worldcat.org/oclc/901374447","Catalog Record")</f>
        <v>Catalog Record</v>
      </c>
      <c r="AW3190" s="6" t="str">
        <f>HYPERLINK("http://www.worldcat.org/oclc/901374447","WorldCat Record")</f>
        <v>WorldCat Record</v>
      </c>
      <c r="AX3190" s="3" t="s">
        <v>31962</v>
      </c>
      <c r="AY3190" s="3" t="s">
        <v>31963</v>
      </c>
      <c r="AZ3190" s="3" t="s">
        <v>31964</v>
      </c>
      <c r="BA3190" s="3" t="s">
        <v>31964</v>
      </c>
      <c r="BB3190" s="3" t="s">
        <v>31965</v>
      </c>
      <c r="BC3190" s="3" t="s">
        <v>77</v>
      </c>
      <c r="BD3190" s="3" t="s">
        <v>78</v>
      </c>
      <c r="BE3190" s="3" t="s">
        <v>31966</v>
      </c>
      <c r="BF3190" s="3" t="s">
        <v>31965</v>
      </c>
      <c r="BG3190" s="3" t="s">
        <v>31967</v>
      </c>
      <c r="BH3190">
        <f t="shared" si="76"/>
        <v>0</v>
      </c>
    </row>
    <row r="3191" spans="1:60" ht="58" x14ac:dyDescent="0.35">
      <c r="A3191" s="2" t="s">
        <v>59</v>
      </c>
      <c r="B3191" s="2" t="s">
        <v>60</v>
      </c>
      <c r="C3191" s="2" t="s">
        <v>31968</v>
      </c>
      <c r="D3191" s="2" t="s">
        <v>31969</v>
      </c>
      <c r="E3191" s="2" t="s">
        <v>31970</v>
      </c>
      <c r="G3191" s="3" t="s">
        <v>64</v>
      </c>
      <c r="I3191" s="3" t="s">
        <v>64</v>
      </c>
      <c r="J3191" s="3" t="s">
        <v>64</v>
      </c>
      <c r="K3191" s="3" t="s">
        <v>65</v>
      </c>
      <c r="L3191" s="2" t="s">
        <v>31971</v>
      </c>
      <c r="M3191" s="2" t="s">
        <v>16855</v>
      </c>
      <c r="N3191" s="3" t="s">
        <v>67</v>
      </c>
      <c r="P3191" s="3" t="s">
        <v>102</v>
      </c>
      <c r="R3191" s="3" t="s">
        <v>70</v>
      </c>
      <c r="S3191" s="4">
        <v>2</v>
      </c>
      <c r="T3191" s="4">
        <v>2</v>
      </c>
      <c r="U3191" s="5" t="s">
        <v>5872</v>
      </c>
      <c r="V3191" s="5" t="s">
        <v>5872</v>
      </c>
      <c r="W3191" s="5" t="s">
        <v>72</v>
      </c>
      <c r="X3191" s="5" t="s">
        <v>72</v>
      </c>
      <c r="Y3191" s="4">
        <v>493</v>
      </c>
      <c r="Z3191" s="4">
        <v>12</v>
      </c>
      <c r="AA3191" s="4">
        <v>12</v>
      </c>
      <c r="AB3191" s="4">
        <v>1</v>
      </c>
      <c r="AC3191" s="4">
        <v>1</v>
      </c>
      <c r="AD3191" s="4">
        <v>36</v>
      </c>
      <c r="AE3191" s="4">
        <v>36</v>
      </c>
      <c r="AF3191" s="4">
        <v>0</v>
      </c>
      <c r="AG3191" s="4">
        <v>0</v>
      </c>
      <c r="AH3191" s="4">
        <v>36</v>
      </c>
      <c r="AI3191" s="4">
        <v>36</v>
      </c>
      <c r="AJ3191" s="4">
        <v>4</v>
      </c>
      <c r="AK3191" s="4">
        <v>4</v>
      </c>
      <c r="AL3191" s="4">
        <v>11</v>
      </c>
      <c r="AM3191" s="4">
        <v>11</v>
      </c>
      <c r="AN3191" s="4">
        <v>0</v>
      </c>
      <c r="AO3191" s="4">
        <v>0</v>
      </c>
      <c r="AP3191" s="4">
        <v>4</v>
      </c>
      <c r="AQ3191" s="4">
        <v>4</v>
      </c>
      <c r="AR3191" s="3" t="s">
        <v>64</v>
      </c>
      <c r="AS3191" s="3" t="s">
        <v>64</v>
      </c>
      <c r="AT3191" s="3" t="s">
        <v>64</v>
      </c>
      <c r="AV3191" s="6" t="str">
        <f>HYPERLINK("http://mcgill.on.worldcat.org/oclc/881385796","Catalog Record")</f>
        <v>Catalog Record</v>
      </c>
      <c r="AW3191" s="6" t="str">
        <f>HYPERLINK("http://www.worldcat.org/oclc/881385796","WorldCat Record")</f>
        <v>WorldCat Record</v>
      </c>
      <c r="AX3191" s="3" t="s">
        <v>31972</v>
      </c>
      <c r="AY3191" s="3" t="s">
        <v>31973</v>
      </c>
      <c r="AZ3191" s="3" t="s">
        <v>31974</v>
      </c>
      <c r="BA3191" s="3" t="s">
        <v>31974</v>
      </c>
      <c r="BB3191" s="3" t="s">
        <v>31975</v>
      </c>
      <c r="BC3191" s="3" t="s">
        <v>77</v>
      </c>
      <c r="BD3191" s="3" t="s">
        <v>78</v>
      </c>
      <c r="BE3191" s="3" t="s">
        <v>31976</v>
      </c>
      <c r="BF3191" s="3" t="s">
        <v>31975</v>
      </c>
      <c r="BG3191" s="3" t="s">
        <v>31977</v>
      </c>
      <c r="BH3191">
        <f t="shared" si="76"/>
        <v>0</v>
      </c>
    </row>
    <row r="3192" spans="1:60" ht="58" x14ac:dyDescent="0.35">
      <c r="A3192" s="2" t="s">
        <v>59</v>
      </c>
      <c r="B3192" s="2" t="s">
        <v>60</v>
      </c>
      <c r="C3192" s="2" t="s">
        <v>31978</v>
      </c>
      <c r="D3192" s="2" t="s">
        <v>31979</v>
      </c>
      <c r="E3192" s="2" t="s">
        <v>31980</v>
      </c>
      <c r="G3192" s="3" t="s">
        <v>64</v>
      </c>
      <c r="I3192" s="3" t="s">
        <v>64</v>
      </c>
      <c r="J3192" s="3" t="s">
        <v>64</v>
      </c>
      <c r="K3192" s="3" t="s">
        <v>65</v>
      </c>
      <c r="L3192" s="2" t="s">
        <v>31971</v>
      </c>
      <c r="M3192" s="2" t="s">
        <v>16911</v>
      </c>
      <c r="N3192" s="3" t="s">
        <v>1075</v>
      </c>
      <c r="P3192" s="3" t="s">
        <v>102</v>
      </c>
      <c r="R3192" s="3" t="s">
        <v>70</v>
      </c>
      <c r="S3192" s="4">
        <v>6</v>
      </c>
      <c r="T3192" s="4">
        <v>6</v>
      </c>
      <c r="U3192" s="5" t="s">
        <v>5872</v>
      </c>
      <c r="V3192" s="5" t="s">
        <v>5872</v>
      </c>
      <c r="W3192" s="5" t="s">
        <v>72</v>
      </c>
      <c r="X3192" s="5" t="s">
        <v>72</v>
      </c>
      <c r="Y3192" s="4">
        <v>550</v>
      </c>
      <c r="Z3192" s="4">
        <v>19</v>
      </c>
      <c r="AA3192" s="4">
        <v>19</v>
      </c>
      <c r="AB3192" s="4">
        <v>1</v>
      </c>
      <c r="AC3192" s="4">
        <v>1</v>
      </c>
      <c r="AD3192" s="4">
        <v>43</v>
      </c>
      <c r="AE3192" s="4">
        <v>43</v>
      </c>
      <c r="AF3192" s="4">
        <v>0</v>
      </c>
      <c r="AG3192" s="4">
        <v>0</v>
      </c>
      <c r="AH3192" s="4">
        <v>40</v>
      </c>
      <c r="AI3192" s="4">
        <v>40</v>
      </c>
      <c r="AJ3192" s="4">
        <v>6</v>
      </c>
      <c r="AK3192" s="4">
        <v>6</v>
      </c>
      <c r="AL3192" s="4">
        <v>13</v>
      </c>
      <c r="AM3192" s="4">
        <v>13</v>
      </c>
      <c r="AN3192" s="4">
        <v>0</v>
      </c>
      <c r="AO3192" s="4">
        <v>0</v>
      </c>
      <c r="AP3192" s="4">
        <v>8</v>
      </c>
      <c r="AQ3192" s="4">
        <v>8</v>
      </c>
      <c r="AR3192" s="3" t="s">
        <v>64</v>
      </c>
      <c r="AS3192" s="3" t="s">
        <v>64</v>
      </c>
      <c r="AT3192" s="3" t="s">
        <v>64</v>
      </c>
      <c r="AV3192" s="6" t="str">
        <f>HYPERLINK("http://mcgill.on.worldcat.org/oclc/781676834","Catalog Record")</f>
        <v>Catalog Record</v>
      </c>
      <c r="AW3192" s="6" t="str">
        <f>HYPERLINK("http://www.worldcat.org/oclc/781676834","WorldCat Record")</f>
        <v>WorldCat Record</v>
      </c>
      <c r="AX3192" s="3" t="s">
        <v>31981</v>
      </c>
      <c r="AY3192" s="3" t="s">
        <v>31982</v>
      </c>
      <c r="AZ3192" s="3" t="s">
        <v>31983</v>
      </c>
      <c r="BA3192" s="3" t="s">
        <v>31983</v>
      </c>
      <c r="BB3192" s="3" t="s">
        <v>31984</v>
      </c>
      <c r="BC3192" s="3" t="s">
        <v>77</v>
      </c>
      <c r="BD3192" s="3" t="s">
        <v>78</v>
      </c>
      <c r="BE3192" s="3" t="s">
        <v>31985</v>
      </c>
      <c r="BF3192" s="3" t="s">
        <v>31984</v>
      </c>
      <c r="BG3192" s="3" t="s">
        <v>31986</v>
      </c>
      <c r="BH3192">
        <f t="shared" si="76"/>
        <v>0</v>
      </c>
    </row>
    <row r="3193" spans="1:60" ht="58" x14ac:dyDescent="0.35">
      <c r="A3193" s="2" t="s">
        <v>59</v>
      </c>
      <c r="B3193" s="2" t="s">
        <v>60</v>
      </c>
      <c r="C3193" s="2" t="s">
        <v>31987</v>
      </c>
      <c r="D3193" s="2" t="s">
        <v>31988</v>
      </c>
      <c r="E3193" s="2" t="s">
        <v>31989</v>
      </c>
      <c r="G3193" s="3" t="s">
        <v>64</v>
      </c>
      <c r="I3193" s="3" t="s">
        <v>64</v>
      </c>
      <c r="J3193" s="3" t="s">
        <v>64</v>
      </c>
      <c r="K3193" s="3" t="s">
        <v>65</v>
      </c>
      <c r="L3193" s="2" t="s">
        <v>31990</v>
      </c>
      <c r="M3193" s="2" t="s">
        <v>31991</v>
      </c>
      <c r="N3193" s="3" t="s">
        <v>67</v>
      </c>
      <c r="P3193" s="3" t="s">
        <v>102</v>
      </c>
      <c r="R3193" s="3" t="s">
        <v>70</v>
      </c>
      <c r="S3193" s="4">
        <v>3</v>
      </c>
      <c r="T3193" s="4">
        <v>3</v>
      </c>
      <c r="U3193" s="5" t="s">
        <v>30773</v>
      </c>
      <c r="V3193" s="5" t="s">
        <v>30773</v>
      </c>
      <c r="W3193" s="5" t="s">
        <v>72</v>
      </c>
      <c r="X3193" s="5" t="s">
        <v>72</v>
      </c>
      <c r="Y3193" s="4">
        <v>236</v>
      </c>
      <c r="Z3193" s="4">
        <v>8</v>
      </c>
      <c r="AA3193" s="4">
        <v>8</v>
      </c>
      <c r="AB3193" s="4">
        <v>1</v>
      </c>
      <c r="AC3193" s="4">
        <v>1</v>
      </c>
      <c r="AD3193" s="4">
        <v>39</v>
      </c>
      <c r="AE3193" s="4">
        <v>39</v>
      </c>
      <c r="AF3193" s="4">
        <v>0</v>
      </c>
      <c r="AG3193" s="4">
        <v>0</v>
      </c>
      <c r="AH3193" s="4">
        <v>39</v>
      </c>
      <c r="AI3193" s="4">
        <v>39</v>
      </c>
      <c r="AJ3193" s="4">
        <v>3</v>
      </c>
      <c r="AK3193" s="4">
        <v>3</v>
      </c>
      <c r="AL3193" s="4">
        <v>16</v>
      </c>
      <c r="AM3193" s="4">
        <v>16</v>
      </c>
      <c r="AN3193" s="4">
        <v>0</v>
      </c>
      <c r="AO3193" s="4">
        <v>0</v>
      </c>
      <c r="AP3193" s="4">
        <v>3</v>
      </c>
      <c r="AQ3193" s="4">
        <v>3</v>
      </c>
      <c r="AR3193" s="3" t="s">
        <v>64</v>
      </c>
      <c r="AS3193" s="3" t="s">
        <v>64</v>
      </c>
      <c r="AT3193" s="3" t="s">
        <v>64</v>
      </c>
      <c r="AV3193" s="6" t="str">
        <f>HYPERLINK("http://mcgill.on.worldcat.org/oclc/859253199","Catalog Record")</f>
        <v>Catalog Record</v>
      </c>
      <c r="AW3193" s="6" t="str">
        <f>HYPERLINK("http://www.worldcat.org/oclc/859253199","WorldCat Record")</f>
        <v>WorldCat Record</v>
      </c>
      <c r="AX3193" s="3" t="s">
        <v>31992</v>
      </c>
      <c r="AY3193" s="3" t="s">
        <v>31993</v>
      </c>
      <c r="AZ3193" s="3" t="s">
        <v>31994</v>
      </c>
      <c r="BA3193" s="3" t="s">
        <v>31994</v>
      </c>
      <c r="BB3193" s="3" t="s">
        <v>31995</v>
      </c>
      <c r="BC3193" s="3" t="s">
        <v>77</v>
      </c>
      <c r="BD3193" s="3" t="s">
        <v>78</v>
      </c>
      <c r="BE3193" s="3" t="s">
        <v>31996</v>
      </c>
      <c r="BF3193" s="3" t="s">
        <v>31995</v>
      </c>
      <c r="BG3193" s="3" t="s">
        <v>31997</v>
      </c>
      <c r="BH3193">
        <f t="shared" si="76"/>
        <v>0</v>
      </c>
    </row>
    <row r="3194" spans="1:60" ht="58" x14ac:dyDescent="0.35">
      <c r="A3194" s="2" t="s">
        <v>59</v>
      </c>
      <c r="B3194" s="2" t="s">
        <v>60</v>
      </c>
      <c r="C3194" s="2" t="s">
        <v>31998</v>
      </c>
      <c r="D3194" s="2" t="s">
        <v>31999</v>
      </c>
      <c r="E3194" s="2" t="s">
        <v>32000</v>
      </c>
      <c r="G3194" s="3" t="s">
        <v>64</v>
      </c>
      <c r="I3194" s="3" t="s">
        <v>64</v>
      </c>
      <c r="J3194" s="3" t="s">
        <v>64</v>
      </c>
      <c r="K3194" s="3" t="s">
        <v>65</v>
      </c>
      <c r="L3194" s="2" t="s">
        <v>32001</v>
      </c>
      <c r="M3194" s="2" t="s">
        <v>14793</v>
      </c>
      <c r="N3194" s="3" t="s">
        <v>1075</v>
      </c>
      <c r="P3194" s="3" t="s">
        <v>102</v>
      </c>
      <c r="R3194" s="3" t="s">
        <v>70</v>
      </c>
      <c r="S3194" s="4">
        <v>2</v>
      </c>
      <c r="T3194" s="4">
        <v>2</v>
      </c>
      <c r="U3194" s="5" t="s">
        <v>5872</v>
      </c>
      <c r="V3194" s="5" t="s">
        <v>5872</v>
      </c>
      <c r="W3194" s="5" t="s">
        <v>72</v>
      </c>
      <c r="X3194" s="5" t="s">
        <v>72</v>
      </c>
      <c r="Y3194" s="4">
        <v>478</v>
      </c>
      <c r="Z3194" s="4">
        <v>16</v>
      </c>
      <c r="AA3194" s="4">
        <v>75</v>
      </c>
      <c r="AB3194" s="4">
        <v>1</v>
      </c>
      <c r="AC3194" s="4">
        <v>14</v>
      </c>
      <c r="AD3194" s="4">
        <v>38</v>
      </c>
      <c r="AE3194" s="4">
        <v>92</v>
      </c>
      <c r="AF3194" s="4">
        <v>0</v>
      </c>
      <c r="AG3194" s="4">
        <v>8</v>
      </c>
      <c r="AH3194" s="4">
        <v>37</v>
      </c>
      <c r="AI3194" s="4">
        <v>64</v>
      </c>
      <c r="AJ3194" s="4">
        <v>3</v>
      </c>
      <c r="AK3194" s="4">
        <v>16</v>
      </c>
      <c r="AL3194" s="4">
        <v>12</v>
      </c>
      <c r="AM3194" s="4">
        <v>27</v>
      </c>
      <c r="AN3194" s="4">
        <v>0</v>
      </c>
      <c r="AO3194" s="4">
        <v>0</v>
      </c>
      <c r="AP3194" s="4">
        <v>4</v>
      </c>
      <c r="AQ3194" s="4">
        <v>34</v>
      </c>
      <c r="AR3194" s="3" t="s">
        <v>64</v>
      </c>
      <c r="AS3194" s="3" t="s">
        <v>64</v>
      </c>
      <c r="AT3194" s="3" t="s">
        <v>64</v>
      </c>
      <c r="AV3194" s="6" t="str">
        <f>HYPERLINK("http://mcgill.on.worldcat.org/oclc/759386181","Catalog Record")</f>
        <v>Catalog Record</v>
      </c>
      <c r="AW3194" s="6" t="str">
        <f>HYPERLINK("http://www.worldcat.org/oclc/759386181","WorldCat Record")</f>
        <v>WorldCat Record</v>
      </c>
      <c r="AX3194" s="3" t="s">
        <v>32002</v>
      </c>
      <c r="AY3194" s="3" t="s">
        <v>32003</v>
      </c>
      <c r="AZ3194" s="3" t="s">
        <v>32004</v>
      </c>
      <c r="BA3194" s="3" t="s">
        <v>32004</v>
      </c>
      <c r="BB3194" s="3" t="s">
        <v>32005</v>
      </c>
      <c r="BC3194" s="3" t="s">
        <v>77</v>
      </c>
      <c r="BD3194" s="3" t="s">
        <v>78</v>
      </c>
      <c r="BE3194" s="3" t="s">
        <v>32006</v>
      </c>
      <c r="BF3194" s="3" t="s">
        <v>32005</v>
      </c>
      <c r="BG3194" s="3" t="s">
        <v>32007</v>
      </c>
      <c r="BH3194">
        <f t="shared" si="76"/>
        <v>0</v>
      </c>
    </row>
    <row r="3195" spans="1:60" ht="58" x14ac:dyDescent="0.35">
      <c r="A3195" s="2" t="s">
        <v>59</v>
      </c>
      <c r="B3195" s="2" t="s">
        <v>60</v>
      </c>
      <c r="C3195" s="2" t="s">
        <v>32008</v>
      </c>
      <c r="D3195" s="2" t="s">
        <v>32009</v>
      </c>
      <c r="E3195" s="2" t="s">
        <v>32010</v>
      </c>
      <c r="G3195" s="3" t="s">
        <v>64</v>
      </c>
      <c r="I3195" s="3" t="s">
        <v>64</v>
      </c>
      <c r="J3195" s="3" t="s">
        <v>64</v>
      </c>
      <c r="K3195" s="3" t="s">
        <v>65</v>
      </c>
      <c r="L3195" s="2" t="s">
        <v>32011</v>
      </c>
      <c r="M3195" s="2" t="s">
        <v>13931</v>
      </c>
      <c r="N3195" s="3" t="s">
        <v>144</v>
      </c>
      <c r="P3195" s="3" t="s">
        <v>102</v>
      </c>
      <c r="R3195" s="3" t="s">
        <v>70</v>
      </c>
      <c r="S3195" s="4">
        <v>1</v>
      </c>
      <c r="T3195" s="4">
        <v>1</v>
      </c>
      <c r="U3195" s="5" t="s">
        <v>21372</v>
      </c>
      <c r="V3195" s="5" t="s">
        <v>21372</v>
      </c>
      <c r="W3195" s="5" t="s">
        <v>72</v>
      </c>
      <c r="X3195" s="5" t="s">
        <v>72</v>
      </c>
      <c r="Y3195" s="4">
        <v>144</v>
      </c>
      <c r="Z3195" s="4">
        <v>13</v>
      </c>
      <c r="AA3195" s="4">
        <v>13</v>
      </c>
      <c r="AB3195" s="4">
        <v>2</v>
      </c>
      <c r="AC3195" s="4">
        <v>2</v>
      </c>
      <c r="AD3195" s="4">
        <v>24</v>
      </c>
      <c r="AE3195" s="4">
        <v>24</v>
      </c>
      <c r="AF3195" s="4">
        <v>0</v>
      </c>
      <c r="AG3195" s="4">
        <v>0</v>
      </c>
      <c r="AH3195" s="4">
        <v>24</v>
      </c>
      <c r="AI3195" s="4">
        <v>24</v>
      </c>
      <c r="AJ3195" s="4">
        <v>6</v>
      </c>
      <c r="AK3195" s="4">
        <v>6</v>
      </c>
      <c r="AL3195" s="4">
        <v>9</v>
      </c>
      <c r="AM3195" s="4">
        <v>9</v>
      </c>
      <c r="AN3195" s="4">
        <v>0</v>
      </c>
      <c r="AO3195" s="4">
        <v>0</v>
      </c>
      <c r="AP3195" s="4">
        <v>6</v>
      </c>
      <c r="AQ3195" s="4">
        <v>6</v>
      </c>
      <c r="AR3195" s="3" t="s">
        <v>64</v>
      </c>
      <c r="AS3195" s="3" t="s">
        <v>64</v>
      </c>
      <c r="AT3195" s="3" t="s">
        <v>128</v>
      </c>
      <c r="AU3195" s="6" t="str">
        <f>HYPERLINK("http://catalog.hathitrust.org/Record/005679879","HathiTrust Record")</f>
        <v>HathiTrust Record</v>
      </c>
      <c r="AV3195" s="6" t="str">
        <f>HYPERLINK("http://mcgill.on.worldcat.org/oclc/173659470","Catalog Record")</f>
        <v>Catalog Record</v>
      </c>
      <c r="AW3195" s="6" t="str">
        <f>HYPERLINK("http://www.worldcat.org/oclc/173659470","WorldCat Record")</f>
        <v>WorldCat Record</v>
      </c>
      <c r="AX3195" s="3" t="s">
        <v>32012</v>
      </c>
      <c r="AY3195" s="3" t="s">
        <v>32013</v>
      </c>
      <c r="AZ3195" s="3" t="s">
        <v>32014</v>
      </c>
      <c r="BA3195" s="3" t="s">
        <v>32014</v>
      </c>
      <c r="BB3195" s="3" t="s">
        <v>32015</v>
      </c>
      <c r="BC3195" s="3" t="s">
        <v>77</v>
      </c>
      <c r="BD3195" s="3" t="s">
        <v>78</v>
      </c>
      <c r="BE3195" s="3" t="s">
        <v>32016</v>
      </c>
      <c r="BF3195" s="3" t="s">
        <v>32015</v>
      </c>
      <c r="BG3195" s="3" t="s">
        <v>32017</v>
      </c>
      <c r="BH3195">
        <f t="shared" si="76"/>
        <v>0</v>
      </c>
    </row>
    <row r="3196" spans="1:60" ht="58" x14ac:dyDescent="0.35">
      <c r="A3196" s="2" t="s">
        <v>59</v>
      </c>
      <c r="B3196" s="2" t="s">
        <v>60</v>
      </c>
      <c r="C3196" s="2" t="s">
        <v>32018</v>
      </c>
      <c r="D3196" s="2" t="s">
        <v>32019</v>
      </c>
      <c r="E3196" s="2" t="s">
        <v>32020</v>
      </c>
      <c r="G3196" s="3" t="s">
        <v>64</v>
      </c>
      <c r="I3196" s="3" t="s">
        <v>64</v>
      </c>
      <c r="J3196" s="3" t="s">
        <v>64</v>
      </c>
      <c r="K3196" s="3" t="s">
        <v>65</v>
      </c>
      <c r="L3196" s="2" t="s">
        <v>32011</v>
      </c>
      <c r="M3196" s="2" t="s">
        <v>32021</v>
      </c>
      <c r="N3196" s="3" t="s">
        <v>1275</v>
      </c>
      <c r="P3196" s="3" t="s">
        <v>102</v>
      </c>
      <c r="R3196" s="3" t="s">
        <v>70</v>
      </c>
      <c r="S3196" s="4">
        <v>1</v>
      </c>
      <c r="T3196" s="4">
        <v>1</v>
      </c>
      <c r="U3196" s="5" t="s">
        <v>21372</v>
      </c>
      <c r="V3196" s="5" t="s">
        <v>21372</v>
      </c>
      <c r="W3196" s="5" t="s">
        <v>72</v>
      </c>
      <c r="X3196" s="5" t="s">
        <v>72</v>
      </c>
      <c r="Y3196" s="4">
        <v>352</v>
      </c>
      <c r="Z3196" s="4">
        <v>14</v>
      </c>
      <c r="AA3196" s="4">
        <v>40</v>
      </c>
      <c r="AB3196" s="4">
        <v>1</v>
      </c>
      <c r="AC3196" s="4">
        <v>6</v>
      </c>
      <c r="AD3196" s="4">
        <v>37</v>
      </c>
      <c r="AE3196" s="4">
        <v>41</v>
      </c>
      <c r="AF3196" s="4">
        <v>0</v>
      </c>
      <c r="AG3196" s="4">
        <v>0</v>
      </c>
      <c r="AH3196" s="4">
        <v>34</v>
      </c>
      <c r="AI3196" s="4">
        <v>36</v>
      </c>
      <c r="AJ3196" s="4">
        <v>5</v>
      </c>
      <c r="AK3196" s="4">
        <v>5</v>
      </c>
      <c r="AL3196" s="4">
        <v>13</v>
      </c>
      <c r="AM3196" s="4">
        <v>14</v>
      </c>
      <c r="AN3196" s="4">
        <v>0</v>
      </c>
      <c r="AO3196" s="4">
        <v>0</v>
      </c>
      <c r="AP3196" s="4">
        <v>7</v>
      </c>
      <c r="AQ3196" s="4">
        <v>9</v>
      </c>
      <c r="AR3196" s="3" t="s">
        <v>64</v>
      </c>
      <c r="AS3196" s="3" t="s">
        <v>64</v>
      </c>
      <c r="AT3196" s="3" t="s">
        <v>128</v>
      </c>
      <c r="AU3196" s="6" t="str">
        <f>HYPERLINK("http://catalog.hathitrust.org/Record/004370619","HathiTrust Record")</f>
        <v>HathiTrust Record</v>
      </c>
      <c r="AV3196" s="6" t="str">
        <f>HYPERLINK("http://mcgill.on.worldcat.org/oclc/53162404","Catalog Record")</f>
        <v>Catalog Record</v>
      </c>
      <c r="AW3196" s="6" t="str">
        <f>HYPERLINK("http://www.worldcat.org/oclc/53162404","WorldCat Record")</f>
        <v>WorldCat Record</v>
      </c>
      <c r="AX3196" s="3" t="s">
        <v>32022</v>
      </c>
      <c r="AY3196" s="3" t="s">
        <v>32023</v>
      </c>
      <c r="AZ3196" s="3" t="s">
        <v>32024</v>
      </c>
      <c r="BA3196" s="3" t="s">
        <v>32024</v>
      </c>
      <c r="BB3196" s="3" t="s">
        <v>32025</v>
      </c>
      <c r="BC3196" s="3" t="s">
        <v>77</v>
      </c>
      <c r="BD3196" s="3" t="s">
        <v>78</v>
      </c>
      <c r="BE3196" s="3" t="s">
        <v>32026</v>
      </c>
      <c r="BF3196" s="3" t="s">
        <v>32025</v>
      </c>
      <c r="BG3196" s="3" t="s">
        <v>32027</v>
      </c>
      <c r="BH3196">
        <f t="shared" si="76"/>
        <v>0</v>
      </c>
    </row>
    <row r="3197" spans="1:60" ht="58" x14ac:dyDescent="0.35">
      <c r="A3197" s="2" t="s">
        <v>59</v>
      </c>
      <c r="B3197" s="2" t="s">
        <v>60</v>
      </c>
      <c r="C3197" s="2" t="s">
        <v>32028</v>
      </c>
      <c r="D3197" s="2" t="s">
        <v>32029</v>
      </c>
      <c r="E3197" s="2" t="s">
        <v>32030</v>
      </c>
      <c r="G3197" s="3" t="s">
        <v>64</v>
      </c>
      <c r="I3197" s="3" t="s">
        <v>64</v>
      </c>
      <c r="J3197" s="3" t="s">
        <v>64</v>
      </c>
      <c r="K3197" s="3" t="s">
        <v>65</v>
      </c>
      <c r="L3197" s="2" t="s">
        <v>32031</v>
      </c>
      <c r="M3197" s="2" t="s">
        <v>17071</v>
      </c>
      <c r="N3197" s="3" t="s">
        <v>144</v>
      </c>
      <c r="P3197" s="3" t="s">
        <v>102</v>
      </c>
      <c r="R3197" s="3" t="s">
        <v>70</v>
      </c>
      <c r="S3197" s="4">
        <v>5</v>
      </c>
      <c r="T3197" s="4">
        <v>5</v>
      </c>
      <c r="U3197" s="5" t="s">
        <v>27601</v>
      </c>
      <c r="V3197" s="5" t="s">
        <v>27601</v>
      </c>
      <c r="W3197" s="5" t="s">
        <v>72</v>
      </c>
      <c r="X3197" s="5" t="s">
        <v>72</v>
      </c>
      <c r="Y3197" s="4">
        <v>313</v>
      </c>
      <c r="Z3197" s="4">
        <v>23</v>
      </c>
      <c r="AA3197" s="4">
        <v>23</v>
      </c>
      <c r="AB3197" s="4">
        <v>3</v>
      </c>
      <c r="AC3197" s="4">
        <v>3</v>
      </c>
      <c r="AD3197" s="4">
        <v>34</v>
      </c>
      <c r="AE3197" s="4">
        <v>34</v>
      </c>
      <c r="AF3197" s="4">
        <v>1</v>
      </c>
      <c r="AG3197" s="4">
        <v>1</v>
      </c>
      <c r="AH3197" s="4">
        <v>30</v>
      </c>
      <c r="AI3197" s="4">
        <v>30</v>
      </c>
      <c r="AJ3197" s="4">
        <v>7</v>
      </c>
      <c r="AK3197" s="4">
        <v>7</v>
      </c>
      <c r="AL3197" s="4">
        <v>11</v>
      </c>
      <c r="AM3197" s="4">
        <v>11</v>
      </c>
      <c r="AN3197" s="4">
        <v>0</v>
      </c>
      <c r="AO3197" s="4">
        <v>0</v>
      </c>
      <c r="AP3197" s="4">
        <v>9</v>
      </c>
      <c r="AQ3197" s="4">
        <v>9</v>
      </c>
      <c r="AR3197" s="3" t="s">
        <v>64</v>
      </c>
      <c r="AS3197" s="3" t="s">
        <v>64</v>
      </c>
      <c r="AT3197" s="3" t="s">
        <v>64</v>
      </c>
      <c r="AV3197" s="6" t="str">
        <f>HYPERLINK("http://mcgill.on.worldcat.org/oclc/144223486","Catalog Record")</f>
        <v>Catalog Record</v>
      </c>
      <c r="AW3197" s="6" t="str">
        <f>HYPERLINK("http://www.worldcat.org/oclc/144223486","WorldCat Record")</f>
        <v>WorldCat Record</v>
      </c>
      <c r="AX3197" s="3" t="s">
        <v>32032</v>
      </c>
      <c r="AY3197" s="3" t="s">
        <v>32033</v>
      </c>
      <c r="AZ3197" s="3" t="s">
        <v>32034</v>
      </c>
      <c r="BA3197" s="3" t="s">
        <v>32034</v>
      </c>
      <c r="BB3197" s="3" t="s">
        <v>32035</v>
      </c>
      <c r="BC3197" s="3" t="s">
        <v>77</v>
      </c>
      <c r="BD3197" s="3" t="s">
        <v>78</v>
      </c>
      <c r="BE3197" s="3" t="s">
        <v>32036</v>
      </c>
      <c r="BF3197" s="3" t="s">
        <v>32035</v>
      </c>
      <c r="BG3197" s="3" t="s">
        <v>32037</v>
      </c>
      <c r="BH3197">
        <f t="shared" si="76"/>
        <v>0</v>
      </c>
    </row>
    <row r="3198" spans="1:60" ht="58" x14ac:dyDescent="0.35">
      <c r="A3198" s="2" t="s">
        <v>59</v>
      </c>
      <c r="B3198" s="2" t="s">
        <v>60</v>
      </c>
      <c r="C3198" s="2" t="s">
        <v>32038</v>
      </c>
      <c r="D3198" s="2" t="s">
        <v>32039</v>
      </c>
      <c r="E3198" s="2" t="s">
        <v>32040</v>
      </c>
      <c r="G3198" s="3" t="s">
        <v>64</v>
      </c>
      <c r="I3198" s="3" t="s">
        <v>64</v>
      </c>
      <c r="J3198" s="3" t="s">
        <v>64</v>
      </c>
      <c r="K3198" s="3" t="s">
        <v>65</v>
      </c>
      <c r="L3198" s="2" t="s">
        <v>18280</v>
      </c>
      <c r="M3198" s="2" t="s">
        <v>32041</v>
      </c>
      <c r="N3198" s="3" t="s">
        <v>67</v>
      </c>
      <c r="P3198" s="3" t="s">
        <v>102</v>
      </c>
      <c r="R3198" s="3" t="s">
        <v>70</v>
      </c>
      <c r="S3198" s="4">
        <v>0</v>
      </c>
      <c r="T3198" s="4">
        <v>0</v>
      </c>
      <c r="W3198" s="5" t="s">
        <v>72</v>
      </c>
      <c r="X3198" s="5" t="s">
        <v>72</v>
      </c>
      <c r="Y3198" s="4">
        <v>460</v>
      </c>
      <c r="Z3198" s="4">
        <v>13</v>
      </c>
      <c r="AA3198" s="4">
        <v>14</v>
      </c>
      <c r="AB3198" s="4">
        <v>1</v>
      </c>
      <c r="AC3198" s="4">
        <v>2</v>
      </c>
      <c r="AD3198" s="4">
        <v>30</v>
      </c>
      <c r="AE3198" s="4">
        <v>31</v>
      </c>
      <c r="AF3198" s="4">
        <v>0</v>
      </c>
      <c r="AG3198" s="4">
        <v>1</v>
      </c>
      <c r="AH3198" s="4">
        <v>30</v>
      </c>
      <c r="AI3198" s="4">
        <v>31</v>
      </c>
      <c r="AJ3198" s="4">
        <v>1</v>
      </c>
      <c r="AK3198" s="4">
        <v>2</v>
      </c>
      <c r="AL3198" s="4">
        <v>9</v>
      </c>
      <c r="AM3198" s="4">
        <v>9</v>
      </c>
      <c r="AN3198" s="4">
        <v>0</v>
      </c>
      <c r="AO3198" s="4">
        <v>0</v>
      </c>
      <c r="AP3198" s="4">
        <v>1</v>
      </c>
      <c r="AQ3198" s="4">
        <v>2</v>
      </c>
      <c r="AR3198" s="3" t="s">
        <v>64</v>
      </c>
      <c r="AS3198" s="3" t="s">
        <v>64</v>
      </c>
      <c r="AT3198" s="3" t="s">
        <v>64</v>
      </c>
      <c r="AV3198" s="6" t="str">
        <f>HYPERLINK("http://mcgill.on.worldcat.org/oclc/870143107","Catalog Record")</f>
        <v>Catalog Record</v>
      </c>
      <c r="AW3198" s="6" t="str">
        <f>HYPERLINK("http://www.worldcat.org/oclc/870143107","WorldCat Record")</f>
        <v>WorldCat Record</v>
      </c>
      <c r="AX3198" s="3" t="s">
        <v>32042</v>
      </c>
      <c r="AY3198" s="3" t="s">
        <v>32043</v>
      </c>
      <c r="AZ3198" s="3" t="s">
        <v>32044</v>
      </c>
      <c r="BA3198" s="3" t="s">
        <v>32044</v>
      </c>
      <c r="BB3198" s="3" t="s">
        <v>32045</v>
      </c>
      <c r="BC3198" s="3" t="s">
        <v>77</v>
      </c>
      <c r="BD3198" s="3" t="s">
        <v>78</v>
      </c>
      <c r="BE3198" s="3" t="s">
        <v>32046</v>
      </c>
      <c r="BF3198" s="3" t="s">
        <v>32045</v>
      </c>
      <c r="BG3198" s="3" t="s">
        <v>32047</v>
      </c>
      <c r="BH3198">
        <f t="shared" si="76"/>
        <v>0</v>
      </c>
    </row>
    <row r="3199" spans="1:60" ht="58" x14ac:dyDescent="0.35">
      <c r="A3199" s="2" t="s">
        <v>59</v>
      </c>
      <c r="B3199" s="2" t="s">
        <v>60</v>
      </c>
      <c r="C3199" s="2" t="s">
        <v>32048</v>
      </c>
      <c r="D3199" s="2" t="s">
        <v>32049</v>
      </c>
      <c r="E3199" s="2" t="s">
        <v>32050</v>
      </c>
      <c r="G3199" s="3" t="s">
        <v>64</v>
      </c>
      <c r="I3199" s="3" t="s">
        <v>64</v>
      </c>
      <c r="J3199" s="3" t="s">
        <v>64</v>
      </c>
      <c r="K3199" s="3" t="s">
        <v>65</v>
      </c>
      <c r="L3199" s="2" t="s">
        <v>32051</v>
      </c>
      <c r="M3199" s="2" t="s">
        <v>32052</v>
      </c>
      <c r="N3199" s="3" t="s">
        <v>537</v>
      </c>
      <c r="P3199" s="3" t="s">
        <v>102</v>
      </c>
      <c r="R3199" s="3" t="s">
        <v>70</v>
      </c>
      <c r="S3199" s="4">
        <v>0</v>
      </c>
      <c r="T3199" s="4">
        <v>0</v>
      </c>
      <c r="W3199" s="5" t="s">
        <v>72</v>
      </c>
      <c r="X3199" s="5" t="s">
        <v>72</v>
      </c>
      <c r="Y3199" s="4">
        <v>253</v>
      </c>
      <c r="Z3199" s="4">
        <v>8</v>
      </c>
      <c r="AA3199" s="4">
        <v>8</v>
      </c>
      <c r="AB3199" s="4">
        <v>1</v>
      </c>
      <c r="AC3199" s="4">
        <v>1</v>
      </c>
      <c r="AD3199" s="4">
        <v>29</v>
      </c>
      <c r="AE3199" s="4">
        <v>29</v>
      </c>
      <c r="AF3199" s="4">
        <v>0</v>
      </c>
      <c r="AG3199" s="4">
        <v>0</v>
      </c>
      <c r="AH3199" s="4">
        <v>29</v>
      </c>
      <c r="AI3199" s="4">
        <v>29</v>
      </c>
      <c r="AJ3199" s="4">
        <v>2</v>
      </c>
      <c r="AK3199" s="4">
        <v>2</v>
      </c>
      <c r="AL3199" s="4">
        <v>12</v>
      </c>
      <c r="AM3199" s="4">
        <v>12</v>
      </c>
      <c r="AN3199" s="4">
        <v>0</v>
      </c>
      <c r="AO3199" s="4">
        <v>0</v>
      </c>
      <c r="AP3199" s="4">
        <v>2</v>
      </c>
      <c r="AQ3199" s="4">
        <v>2</v>
      </c>
      <c r="AR3199" s="3" t="s">
        <v>64</v>
      </c>
      <c r="AS3199" s="3" t="s">
        <v>64</v>
      </c>
      <c r="AT3199" s="3" t="s">
        <v>64</v>
      </c>
      <c r="AV3199" s="6" t="str">
        <f>HYPERLINK("http://mcgill.on.worldcat.org/oclc/928239044","Catalog Record")</f>
        <v>Catalog Record</v>
      </c>
      <c r="AW3199" s="6" t="str">
        <f>HYPERLINK("http://www.worldcat.org/oclc/928239044","WorldCat Record")</f>
        <v>WorldCat Record</v>
      </c>
      <c r="AX3199" s="3" t="s">
        <v>32053</v>
      </c>
      <c r="AY3199" s="3" t="s">
        <v>32054</v>
      </c>
      <c r="AZ3199" s="3" t="s">
        <v>32055</v>
      </c>
      <c r="BA3199" s="3" t="s">
        <v>32055</v>
      </c>
      <c r="BB3199" s="3" t="s">
        <v>32056</v>
      </c>
      <c r="BC3199" s="3" t="s">
        <v>77</v>
      </c>
      <c r="BD3199" s="3" t="s">
        <v>78</v>
      </c>
      <c r="BE3199" s="3" t="s">
        <v>32057</v>
      </c>
      <c r="BF3199" s="3" t="s">
        <v>32056</v>
      </c>
      <c r="BG3199" s="3" t="s">
        <v>32058</v>
      </c>
      <c r="BH3199">
        <f t="shared" si="76"/>
        <v>0</v>
      </c>
    </row>
    <row r="3200" spans="1:60" ht="58" x14ac:dyDescent="0.35">
      <c r="A3200" s="2" t="s">
        <v>59</v>
      </c>
      <c r="B3200" s="2" t="s">
        <v>60</v>
      </c>
      <c r="C3200" s="2" t="s">
        <v>32059</v>
      </c>
      <c r="D3200" s="2" t="s">
        <v>32060</v>
      </c>
      <c r="E3200" s="2" t="s">
        <v>32061</v>
      </c>
      <c r="G3200" s="3" t="s">
        <v>64</v>
      </c>
      <c r="I3200" s="3" t="s">
        <v>64</v>
      </c>
      <c r="J3200" s="3" t="s">
        <v>64</v>
      </c>
      <c r="K3200" s="3" t="s">
        <v>65</v>
      </c>
      <c r="L3200" s="2" t="s">
        <v>18280</v>
      </c>
      <c r="M3200" s="2" t="s">
        <v>18943</v>
      </c>
      <c r="N3200" s="3" t="s">
        <v>551</v>
      </c>
      <c r="P3200" s="3" t="s">
        <v>102</v>
      </c>
      <c r="R3200" s="3" t="s">
        <v>70</v>
      </c>
      <c r="S3200" s="4">
        <v>6</v>
      </c>
      <c r="T3200" s="4">
        <v>6</v>
      </c>
      <c r="U3200" s="5" t="s">
        <v>21372</v>
      </c>
      <c r="V3200" s="5" t="s">
        <v>21372</v>
      </c>
      <c r="W3200" s="5" t="s">
        <v>72</v>
      </c>
      <c r="X3200" s="5" t="s">
        <v>72</v>
      </c>
      <c r="Y3200" s="4">
        <v>766</v>
      </c>
      <c r="Z3200" s="4">
        <v>31</v>
      </c>
      <c r="AA3200" s="4">
        <v>117</v>
      </c>
      <c r="AB3200" s="4">
        <v>3</v>
      </c>
      <c r="AC3200" s="4">
        <v>19</v>
      </c>
      <c r="AD3200" s="4">
        <v>48</v>
      </c>
      <c r="AE3200" s="4">
        <v>104</v>
      </c>
      <c r="AF3200" s="4">
        <v>0</v>
      </c>
      <c r="AG3200" s="4">
        <v>8</v>
      </c>
      <c r="AH3200" s="4">
        <v>46</v>
      </c>
      <c r="AI3200" s="4">
        <v>71</v>
      </c>
      <c r="AJ3200" s="4">
        <v>3</v>
      </c>
      <c r="AK3200" s="4">
        <v>16</v>
      </c>
      <c r="AL3200" s="4">
        <v>23</v>
      </c>
      <c r="AM3200" s="4">
        <v>35</v>
      </c>
      <c r="AN3200" s="4">
        <v>0</v>
      </c>
      <c r="AO3200" s="4">
        <v>0</v>
      </c>
      <c r="AP3200" s="4">
        <v>4</v>
      </c>
      <c r="AQ3200" s="4">
        <v>38</v>
      </c>
      <c r="AR3200" s="3" t="s">
        <v>64</v>
      </c>
      <c r="AS3200" s="3" t="s">
        <v>64</v>
      </c>
      <c r="AT3200" s="3" t="s">
        <v>64</v>
      </c>
      <c r="AV3200" s="6" t="str">
        <f>HYPERLINK("http://mcgill.on.worldcat.org/oclc/234257165","Catalog Record")</f>
        <v>Catalog Record</v>
      </c>
      <c r="AW3200" s="6" t="str">
        <f>HYPERLINK("http://www.worldcat.org/oclc/234257165","WorldCat Record")</f>
        <v>WorldCat Record</v>
      </c>
      <c r="AX3200" s="3" t="s">
        <v>32062</v>
      </c>
      <c r="AY3200" s="3" t="s">
        <v>32063</v>
      </c>
      <c r="AZ3200" s="3" t="s">
        <v>32064</v>
      </c>
      <c r="BA3200" s="3" t="s">
        <v>32064</v>
      </c>
      <c r="BB3200" s="3" t="s">
        <v>32065</v>
      </c>
      <c r="BC3200" s="3" t="s">
        <v>77</v>
      </c>
      <c r="BD3200" s="3" t="s">
        <v>78</v>
      </c>
      <c r="BE3200" s="3" t="s">
        <v>32066</v>
      </c>
      <c r="BF3200" s="3" t="s">
        <v>32065</v>
      </c>
      <c r="BG3200" s="3" t="s">
        <v>32067</v>
      </c>
      <c r="BH3200">
        <f t="shared" si="76"/>
        <v>0</v>
      </c>
    </row>
    <row r="3201" spans="1:60" ht="58" x14ac:dyDescent="0.35">
      <c r="A3201" s="2" t="s">
        <v>59</v>
      </c>
      <c r="B3201" s="2" t="s">
        <v>60</v>
      </c>
      <c r="C3201" s="2" t="s">
        <v>32068</v>
      </c>
      <c r="D3201" s="2" t="s">
        <v>32069</v>
      </c>
      <c r="E3201" s="2" t="s">
        <v>32070</v>
      </c>
      <c r="G3201" s="3" t="s">
        <v>64</v>
      </c>
      <c r="I3201" s="3" t="s">
        <v>64</v>
      </c>
      <c r="J3201" s="3" t="s">
        <v>64</v>
      </c>
      <c r="K3201" s="3" t="s">
        <v>65</v>
      </c>
      <c r="M3201" s="2" t="s">
        <v>14235</v>
      </c>
      <c r="N3201" s="3" t="s">
        <v>511</v>
      </c>
      <c r="P3201" s="3" t="s">
        <v>102</v>
      </c>
      <c r="R3201" s="3" t="s">
        <v>70</v>
      </c>
      <c r="S3201" s="4">
        <v>4</v>
      </c>
      <c r="T3201" s="4">
        <v>4</v>
      </c>
      <c r="U3201" s="5" t="s">
        <v>18078</v>
      </c>
      <c r="V3201" s="5" t="s">
        <v>18078</v>
      </c>
      <c r="W3201" s="5" t="s">
        <v>72</v>
      </c>
      <c r="X3201" s="5" t="s">
        <v>72</v>
      </c>
      <c r="Y3201" s="4">
        <v>353</v>
      </c>
      <c r="Z3201" s="4">
        <v>20</v>
      </c>
      <c r="AA3201" s="4">
        <v>34</v>
      </c>
      <c r="AB3201" s="4">
        <v>3</v>
      </c>
      <c r="AC3201" s="4">
        <v>6</v>
      </c>
      <c r="AD3201" s="4">
        <v>55</v>
      </c>
      <c r="AE3201" s="4">
        <v>66</v>
      </c>
      <c r="AF3201" s="4">
        <v>0</v>
      </c>
      <c r="AG3201" s="4">
        <v>1</v>
      </c>
      <c r="AH3201" s="4">
        <v>52</v>
      </c>
      <c r="AI3201" s="4">
        <v>61</v>
      </c>
      <c r="AJ3201" s="4">
        <v>6</v>
      </c>
      <c r="AK3201" s="4">
        <v>7</v>
      </c>
      <c r="AL3201" s="4">
        <v>23</v>
      </c>
      <c r="AM3201" s="4">
        <v>29</v>
      </c>
      <c r="AN3201" s="4">
        <v>0</v>
      </c>
      <c r="AO3201" s="4">
        <v>0</v>
      </c>
      <c r="AP3201" s="4">
        <v>7</v>
      </c>
      <c r="AQ3201" s="4">
        <v>7</v>
      </c>
      <c r="AR3201" s="3" t="s">
        <v>64</v>
      </c>
      <c r="AS3201" s="3" t="s">
        <v>64</v>
      </c>
      <c r="AT3201" s="3" t="s">
        <v>64</v>
      </c>
      <c r="AV3201" s="6" t="str">
        <f>HYPERLINK("http://mcgill.on.worldcat.org/oclc/490080127","Catalog Record")</f>
        <v>Catalog Record</v>
      </c>
      <c r="AW3201" s="6" t="str">
        <f>HYPERLINK("http://www.worldcat.org/oclc/490080127","WorldCat Record")</f>
        <v>WorldCat Record</v>
      </c>
      <c r="AX3201" s="3" t="s">
        <v>32071</v>
      </c>
      <c r="AY3201" s="3" t="s">
        <v>32072</v>
      </c>
      <c r="AZ3201" s="3" t="s">
        <v>32073</v>
      </c>
      <c r="BA3201" s="3" t="s">
        <v>32073</v>
      </c>
      <c r="BB3201" s="3" t="s">
        <v>32074</v>
      </c>
      <c r="BC3201" s="3" t="s">
        <v>77</v>
      </c>
      <c r="BD3201" s="3" t="s">
        <v>78</v>
      </c>
      <c r="BE3201" s="3" t="s">
        <v>32075</v>
      </c>
      <c r="BF3201" s="3" t="s">
        <v>32074</v>
      </c>
      <c r="BG3201" s="3" t="s">
        <v>32076</v>
      </c>
      <c r="BH3201">
        <f t="shared" si="76"/>
        <v>0</v>
      </c>
    </row>
    <row r="3202" spans="1:60" ht="58" x14ac:dyDescent="0.35">
      <c r="A3202" s="2" t="s">
        <v>59</v>
      </c>
      <c r="B3202" s="2" t="s">
        <v>60</v>
      </c>
      <c r="C3202" s="2" t="s">
        <v>32077</v>
      </c>
      <c r="D3202" s="2" t="s">
        <v>32078</v>
      </c>
      <c r="E3202" s="2" t="s">
        <v>32079</v>
      </c>
      <c r="G3202" s="3" t="s">
        <v>64</v>
      </c>
      <c r="I3202" s="3" t="s">
        <v>64</v>
      </c>
      <c r="J3202" s="3" t="s">
        <v>64</v>
      </c>
      <c r="K3202" s="3" t="s">
        <v>65</v>
      </c>
      <c r="L3202" s="2" t="s">
        <v>32080</v>
      </c>
      <c r="M3202" s="2" t="s">
        <v>18389</v>
      </c>
      <c r="N3202" s="3" t="s">
        <v>86</v>
      </c>
      <c r="P3202" s="3" t="s">
        <v>102</v>
      </c>
      <c r="R3202" s="3" t="s">
        <v>70</v>
      </c>
      <c r="S3202" s="4">
        <v>1</v>
      </c>
      <c r="T3202" s="4">
        <v>1</v>
      </c>
      <c r="U3202" s="5" t="s">
        <v>18028</v>
      </c>
      <c r="V3202" s="5" t="s">
        <v>18028</v>
      </c>
      <c r="W3202" s="5" t="s">
        <v>72</v>
      </c>
      <c r="X3202" s="5" t="s">
        <v>72</v>
      </c>
      <c r="Y3202" s="4">
        <v>285</v>
      </c>
      <c r="Z3202" s="4">
        <v>19</v>
      </c>
      <c r="AA3202" s="4">
        <v>20</v>
      </c>
      <c r="AB3202" s="4">
        <v>1</v>
      </c>
      <c r="AC3202" s="4">
        <v>2</v>
      </c>
      <c r="AD3202" s="4">
        <v>49</v>
      </c>
      <c r="AE3202" s="4">
        <v>50</v>
      </c>
      <c r="AF3202" s="4">
        <v>0</v>
      </c>
      <c r="AG3202" s="4">
        <v>1</v>
      </c>
      <c r="AH3202" s="4">
        <v>45</v>
      </c>
      <c r="AI3202" s="4">
        <v>45</v>
      </c>
      <c r="AJ3202" s="4">
        <v>6</v>
      </c>
      <c r="AK3202" s="4">
        <v>7</v>
      </c>
      <c r="AL3202" s="4">
        <v>18</v>
      </c>
      <c r="AM3202" s="4">
        <v>18</v>
      </c>
      <c r="AN3202" s="4">
        <v>0</v>
      </c>
      <c r="AO3202" s="4">
        <v>0</v>
      </c>
      <c r="AP3202" s="4">
        <v>9</v>
      </c>
      <c r="AQ3202" s="4">
        <v>9</v>
      </c>
      <c r="AR3202" s="3" t="s">
        <v>64</v>
      </c>
      <c r="AS3202" s="3" t="s">
        <v>64</v>
      </c>
      <c r="AT3202" s="3" t="s">
        <v>64</v>
      </c>
      <c r="AV3202" s="6" t="str">
        <f>HYPERLINK("http://mcgill.on.worldcat.org/oclc/704391676","Catalog Record")</f>
        <v>Catalog Record</v>
      </c>
      <c r="AW3202" s="6" t="str">
        <f>HYPERLINK("http://www.worldcat.org/oclc/704391676","WorldCat Record")</f>
        <v>WorldCat Record</v>
      </c>
      <c r="AX3202" s="3" t="s">
        <v>32081</v>
      </c>
      <c r="AY3202" s="3" t="s">
        <v>32082</v>
      </c>
      <c r="AZ3202" s="3" t="s">
        <v>32083</v>
      </c>
      <c r="BA3202" s="3" t="s">
        <v>32083</v>
      </c>
      <c r="BB3202" s="3" t="s">
        <v>32084</v>
      </c>
      <c r="BC3202" s="3" t="s">
        <v>77</v>
      </c>
      <c r="BD3202" s="3" t="s">
        <v>78</v>
      </c>
      <c r="BE3202" s="3" t="s">
        <v>32085</v>
      </c>
      <c r="BF3202" s="3" t="s">
        <v>32084</v>
      </c>
      <c r="BG3202" s="3" t="s">
        <v>32086</v>
      </c>
      <c r="BH3202">
        <f t="shared" ref="BH3202:BH3265" si="77">IF(COUNTIF($BF$1:$BF$5431,BF3202)=1,0,1)</f>
        <v>0</v>
      </c>
    </row>
    <row r="3203" spans="1:60" ht="58" x14ac:dyDescent="0.35">
      <c r="A3203" s="2" t="s">
        <v>59</v>
      </c>
      <c r="B3203" s="2" t="s">
        <v>60</v>
      </c>
      <c r="C3203" s="2" t="s">
        <v>32087</v>
      </c>
      <c r="D3203" s="2" t="s">
        <v>32088</v>
      </c>
      <c r="E3203" s="2" t="s">
        <v>32089</v>
      </c>
      <c r="G3203" s="3" t="s">
        <v>64</v>
      </c>
      <c r="I3203" s="3" t="s">
        <v>64</v>
      </c>
      <c r="J3203" s="3" t="s">
        <v>64</v>
      </c>
      <c r="K3203" s="3" t="s">
        <v>65</v>
      </c>
      <c r="L3203" s="2" t="s">
        <v>32090</v>
      </c>
      <c r="M3203" s="2" t="s">
        <v>18859</v>
      </c>
      <c r="N3203" s="3" t="s">
        <v>291</v>
      </c>
      <c r="O3203" s="2" t="s">
        <v>2994</v>
      </c>
      <c r="P3203" s="3" t="s">
        <v>102</v>
      </c>
      <c r="R3203" s="3" t="s">
        <v>70</v>
      </c>
      <c r="S3203" s="4">
        <v>4</v>
      </c>
      <c r="T3203" s="4">
        <v>4</v>
      </c>
      <c r="U3203" s="5" t="s">
        <v>5872</v>
      </c>
      <c r="V3203" s="5" t="s">
        <v>5872</v>
      </c>
      <c r="W3203" s="5" t="s">
        <v>72</v>
      </c>
      <c r="X3203" s="5" t="s">
        <v>72</v>
      </c>
      <c r="Y3203" s="4">
        <v>635</v>
      </c>
      <c r="Z3203" s="4">
        <v>29</v>
      </c>
      <c r="AA3203" s="4">
        <v>69</v>
      </c>
      <c r="AB3203" s="4">
        <v>2</v>
      </c>
      <c r="AC3203" s="4">
        <v>7</v>
      </c>
      <c r="AD3203" s="4">
        <v>49</v>
      </c>
      <c r="AE3203" s="4">
        <v>103</v>
      </c>
      <c r="AF3203" s="4">
        <v>1</v>
      </c>
      <c r="AG3203" s="4">
        <v>2</v>
      </c>
      <c r="AH3203" s="4">
        <v>48</v>
      </c>
      <c r="AI3203" s="4">
        <v>83</v>
      </c>
      <c r="AJ3203" s="4">
        <v>7</v>
      </c>
      <c r="AK3203" s="4">
        <v>15</v>
      </c>
      <c r="AL3203" s="4">
        <v>20</v>
      </c>
      <c r="AM3203" s="4">
        <v>45</v>
      </c>
      <c r="AN3203" s="4">
        <v>0</v>
      </c>
      <c r="AO3203" s="4">
        <v>0</v>
      </c>
      <c r="AP3203" s="4">
        <v>7</v>
      </c>
      <c r="AQ3203" s="4">
        <v>23</v>
      </c>
      <c r="AR3203" s="3" t="s">
        <v>64</v>
      </c>
      <c r="AS3203" s="3" t="s">
        <v>64</v>
      </c>
      <c r="AT3203" s="3" t="s">
        <v>64</v>
      </c>
      <c r="AV3203" s="6" t="str">
        <f>HYPERLINK("http://mcgill.on.worldcat.org/oclc/70707817","Catalog Record")</f>
        <v>Catalog Record</v>
      </c>
      <c r="AW3203" s="6" t="str">
        <f>HYPERLINK("http://www.worldcat.org/oclc/70707817","WorldCat Record")</f>
        <v>WorldCat Record</v>
      </c>
      <c r="AX3203" s="3" t="s">
        <v>32091</v>
      </c>
      <c r="AY3203" s="3" t="s">
        <v>32092</v>
      </c>
      <c r="AZ3203" s="3" t="s">
        <v>32093</v>
      </c>
      <c r="BA3203" s="3" t="s">
        <v>32093</v>
      </c>
      <c r="BB3203" s="3" t="s">
        <v>32094</v>
      </c>
      <c r="BC3203" s="3" t="s">
        <v>77</v>
      </c>
      <c r="BD3203" s="3" t="s">
        <v>78</v>
      </c>
      <c r="BE3203" s="3" t="s">
        <v>32095</v>
      </c>
      <c r="BF3203" s="3" t="s">
        <v>32094</v>
      </c>
      <c r="BG3203" s="3" t="s">
        <v>32096</v>
      </c>
      <c r="BH3203">
        <f t="shared" si="77"/>
        <v>0</v>
      </c>
    </row>
    <row r="3204" spans="1:60" ht="58" x14ac:dyDescent="0.35">
      <c r="A3204" s="2" t="s">
        <v>59</v>
      </c>
      <c r="B3204" s="2" t="s">
        <v>60</v>
      </c>
      <c r="C3204" s="2" t="s">
        <v>32097</v>
      </c>
      <c r="D3204" s="2" t="s">
        <v>32098</v>
      </c>
      <c r="E3204" s="2" t="s">
        <v>32099</v>
      </c>
      <c r="G3204" s="3" t="s">
        <v>64</v>
      </c>
      <c r="I3204" s="3" t="s">
        <v>64</v>
      </c>
      <c r="J3204" s="3" t="s">
        <v>64</v>
      </c>
      <c r="K3204" s="3" t="s">
        <v>65</v>
      </c>
      <c r="L3204" s="2" t="s">
        <v>32100</v>
      </c>
      <c r="M3204" s="2" t="s">
        <v>32101</v>
      </c>
      <c r="N3204" s="3" t="s">
        <v>2067</v>
      </c>
      <c r="P3204" s="3" t="s">
        <v>102</v>
      </c>
      <c r="R3204" s="3" t="s">
        <v>70</v>
      </c>
      <c r="S3204" s="4">
        <v>9</v>
      </c>
      <c r="T3204" s="4">
        <v>9</v>
      </c>
      <c r="U3204" s="5" t="s">
        <v>27601</v>
      </c>
      <c r="V3204" s="5" t="s">
        <v>27601</v>
      </c>
      <c r="W3204" s="5" t="s">
        <v>72</v>
      </c>
      <c r="X3204" s="5" t="s">
        <v>72</v>
      </c>
      <c r="Y3204" s="4">
        <v>435</v>
      </c>
      <c r="Z3204" s="4">
        <v>25</v>
      </c>
      <c r="AA3204" s="4">
        <v>25</v>
      </c>
      <c r="AB3204" s="4">
        <v>3</v>
      </c>
      <c r="AC3204" s="4">
        <v>3</v>
      </c>
      <c r="AD3204" s="4">
        <v>68</v>
      </c>
      <c r="AE3204" s="4">
        <v>68</v>
      </c>
      <c r="AF3204" s="4">
        <v>1</v>
      </c>
      <c r="AG3204" s="4">
        <v>1</v>
      </c>
      <c r="AH3204" s="4">
        <v>58</v>
      </c>
      <c r="AI3204" s="4">
        <v>58</v>
      </c>
      <c r="AJ3204" s="4">
        <v>8</v>
      </c>
      <c r="AK3204" s="4">
        <v>8</v>
      </c>
      <c r="AL3204" s="4">
        <v>27</v>
      </c>
      <c r="AM3204" s="4">
        <v>27</v>
      </c>
      <c r="AN3204" s="4">
        <v>0</v>
      </c>
      <c r="AO3204" s="4">
        <v>0</v>
      </c>
      <c r="AP3204" s="4">
        <v>12</v>
      </c>
      <c r="AQ3204" s="4">
        <v>12</v>
      </c>
      <c r="AR3204" s="3" t="s">
        <v>64</v>
      </c>
      <c r="AS3204" s="3" t="s">
        <v>64</v>
      </c>
      <c r="AT3204" s="3" t="s">
        <v>128</v>
      </c>
      <c r="AU3204" s="6" t="str">
        <f>HYPERLINK("http://catalog.hathitrust.org/Record/001096143","HathiTrust Record")</f>
        <v>HathiTrust Record</v>
      </c>
      <c r="AV3204" s="6" t="str">
        <f>HYPERLINK("http://mcgill.on.worldcat.org/oclc/18742157","Catalog Record")</f>
        <v>Catalog Record</v>
      </c>
      <c r="AW3204" s="6" t="str">
        <f>HYPERLINK("http://www.worldcat.org/oclc/18742157","WorldCat Record")</f>
        <v>WorldCat Record</v>
      </c>
      <c r="AX3204" s="3" t="s">
        <v>32102</v>
      </c>
      <c r="AY3204" s="3" t="s">
        <v>32103</v>
      </c>
      <c r="AZ3204" s="3" t="s">
        <v>32104</v>
      </c>
      <c r="BA3204" s="3" t="s">
        <v>32104</v>
      </c>
      <c r="BB3204" s="3" t="s">
        <v>32105</v>
      </c>
      <c r="BC3204" s="3" t="s">
        <v>77</v>
      </c>
      <c r="BD3204" s="3" t="s">
        <v>78</v>
      </c>
      <c r="BE3204" s="3" t="s">
        <v>32106</v>
      </c>
      <c r="BF3204" s="3" t="s">
        <v>32105</v>
      </c>
      <c r="BG3204" s="3" t="s">
        <v>32107</v>
      </c>
      <c r="BH3204">
        <f t="shared" si="77"/>
        <v>0</v>
      </c>
    </row>
    <row r="3205" spans="1:60" ht="58" x14ac:dyDescent="0.35">
      <c r="A3205" s="2" t="s">
        <v>59</v>
      </c>
      <c r="B3205" s="2" t="s">
        <v>60</v>
      </c>
      <c r="C3205" s="2" t="s">
        <v>32108</v>
      </c>
      <c r="D3205" s="2" t="s">
        <v>32109</v>
      </c>
      <c r="E3205" s="2" t="s">
        <v>32110</v>
      </c>
      <c r="G3205" s="3" t="s">
        <v>64</v>
      </c>
      <c r="I3205" s="3" t="s">
        <v>64</v>
      </c>
      <c r="J3205" s="3" t="s">
        <v>64</v>
      </c>
      <c r="K3205" s="3" t="s">
        <v>65</v>
      </c>
      <c r="L3205" s="2" t="s">
        <v>32111</v>
      </c>
      <c r="M3205" s="2" t="s">
        <v>14376</v>
      </c>
      <c r="N3205" s="3" t="s">
        <v>551</v>
      </c>
      <c r="P3205" s="3" t="s">
        <v>102</v>
      </c>
      <c r="Q3205" s="2" t="s">
        <v>22659</v>
      </c>
      <c r="R3205" s="3" t="s">
        <v>70</v>
      </c>
      <c r="S3205" s="4">
        <v>12</v>
      </c>
      <c r="T3205" s="4">
        <v>12</v>
      </c>
      <c r="U3205" s="5" t="s">
        <v>5872</v>
      </c>
      <c r="V3205" s="5" t="s">
        <v>5872</v>
      </c>
      <c r="W3205" s="5" t="s">
        <v>72</v>
      </c>
      <c r="X3205" s="5" t="s">
        <v>72</v>
      </c>
      <c r="Y3205" s="4">
        <v>311</v>
      </c>
      <c r="Z3205" s="4">
        <v>19</v>
      </c>
      <c r="AA3205" s="4">
        <v>52</v>
      </c>
      <c r="AB3205" s="4">
        <v>3</v>
      </c>
      <c r="AC3205" s="4">
        <v>5</v>
      </c>
      <c r="AD3205" s="4">
        <v>29</v>
      </c>
      <c r="AE3205" s="4">
        <v>45</v>
      </c>
      <c r="AF3205" s="4">
        <v>1</v>
      </c>
      <c r="AG3205" s="4">
        <v>1</v>
      </c>
      <c r="AH3205" s="4">
        <v>27</v>
      </c>
      <c r="AI3205" s="4">
        <v>35</v>
      </c>
      <c r="AJ3205" s="4">
        <v>5</v>
      </c>
      <c r="AK3205" s="4">
        <v>8</v>
      </c>
      <c r="AL3205" s="4">
        <v>10</v>
      </c>
      <c r="AM3205" s="4">
        <v>16</v>
      </c>
      <c r="AN3205" s="4">
        <v>0</v>
      </c>
      <c r="AO3205" s="4">
        <v>0</v>
      </c>
      <c r="AP3205" s="4">
        <v>6</v>
      </c>
      <c r="AQ3205" s="4">
        <v>14</v>
      </c>
      <c r="AR3205" s="3" t="s">
        <v>64</v>
      </c>
      <c r="AS3205" s="3" t="s">
        <v>64</v>
      </c>
      <c r="AT3205" s="3" t="s">
        <v>64</v>
      </c>
      <c r="AV3205" s="6" t="str">
        <f>HYPERLINK("http://mcgill.on.worldcat.org/oclc/230192056","Catalog Record")</f>
        <v>Catalog Record</v>
      </c>
      <c r="AW3205" s="6" t="str">
        <f>HYPERLINK("http://www.worldcat.org/oclc/230192056","WorldCat Record")</f>
        <v>WorldCat Record</v>
      </c>
      <c r="AX3205" s="3" t="s">
        <v>32112</v>
      </c>
      <c r="AY3205" s="3" t="s">
        <v>32113</v>
      </c>
      <c r="AZ3205" s="3" t="s">
        <v>32114</v>
      </c>
      <c r="BA3205" s="3" t="s">
        <v>32114</v>
      </c>
      <c r="BB3205" s="3" t="s">
        <v>32115</v>
      </c>
      <c r="BC3205" s="3" t="s">
        <v>77</v>
      </c>
      <c r="BD3205" s="3" t="s">
        <v>78</v>
      </c>
      <c r="BE3205" s="3" t="s">
        <v>32116</v>
      </c>
      <c r="BF3205" s="3" t="s">
        <v>32115</v>
      </c>
      <c r="BG3205" s="3" t="s">
        <v>32117</v>
      </c>
      <c r="BH3205">
        <f t="shared" si="77"/>
        <v>0</v>
      </c>
    </row>
    <row r="3206" spans="1:60" ht="58" x14ac:dyDescent="0.35">
      <c r="A3206" s="2" t="s">
        <v>59</v>
      </c>
      <c r="B3206" s="2" t="s">
        <v>60</v>
      </c>
      <c r="C3206" s="2" t="s">
        <v>32118</v>
      </c>
      <c r="D3206" s="2" t="s">
        <v>32119</v>
      </c>
      <c r="E3206" s="2" t="s">
        <v>32120</v>
      </c>
      <c r="G3206" s="3" t="s">
        <v>64</v>
      </c>
      <c r="I3206" s="3" t="s">
        <v>64</v>
      </c>
      <c r="J3206" s="3" t="s">
        <v>64</v>
      </c>
      <c r="K3206" s="3" t="s">
        <v>65</v>
      </c>
      <c r="L3206" s="2" t="s">
        <v>32121</v>
      </c>
      <c r="M3206" s="2" t="s">
        <v>16911</v>
      </c>
      <c r="N3206" s="3" t="s">
        <v>1075</v>
      </c>
      <c r="P3206" s="3" t="s">
        <v>102</v>
      </c>
      <c r="R3206" s="3" t="s">
        <v>70</v>
      </c>
      <c r="S3206" s="4">
        <v>1</v>
      </c>
      <c r="T3206" s="4">
        <v>1</v>
      </c>
      <c r="U3206" s="5" t="s">
        <v>5872</v>
      </c>
      <c r="V3206" s="5" t="s">
        <v>5872</v>
      </c>
      <c r="W3206" s="5" t="s">
        <v>72</v>
      </c>
      <c r="X3206" s="5" t="s">
        <v>72</v>
      </c>
      <c r="Y3206" s="4">
        <v>259</v>
      </c>
      <c r="Z3206" s="4">
        <v>12</v>
      </c>
      <c r="AA3206" s="4">
        <v>101</v>
      </c>
      <c r="AB3206" s="4">
        <v>1</v>
      </c>
      <c r="AC3206" s="4">
        <v>14</v>
      </c>
      <c r="AD3206" s="4">
        <v>48</v>
      </c>
      <c r="AE3206" s="4">
        <v>108</v>
      </c>
      <c r="AF3206" s="4">
        <v>0</v>
      </c>
      <c r="AG3206" s="4">
        <v>8</v>
      </c>
      <c r="AH3206" s="4">
        <v>45</v>
      </c>
      <c r="AI3206" s="4">
        <v>70</v>
      </c>
      <c r="AJ3206" s="4">
        <v>7</v>
      </c>
      <c r="AK3206" s="4">
        <v>20</v>
      </c>
      <c r="AL3206" s="4">
        <v>14</v>
      </c>
      <c r="AM3206" s="4">
        <v>30</v>
      </c>
      <c r="AN3206" s="4">
        <v>0</v>
      </c>
      <c r="AO3206" s="4">
        <v>0</v>
      </c>
      <c r="AP3206" s="4">
        <v>8</v>
      </c>
      <c r="AQ3206" s="4">
        <v>43</v>
      </c>
      <c r="AR3206" s="3" t="s">
        <v>64</v>
      </c>
      <c r="AS3206" s="3" t="s">
        <v>64</v>
      </c>
      <c r="AT3206" s="3" t="s">
        <v>64</v>
      </c>
      <c r="AV3206" s="6" t="str">
        <f>HYPERLINK("http://mcgill.on.worldcat.org/oclc/801051375","Catalog Record")</f>
        <v>Catalog Record</v>
      </c>
      <c r="AW3206" s="6" t="str">
        <f>HYPERLINK("http://www.worldcat.org/oclc/801051375","WorldCat Record")</f>
        <v>WorldCat Record</v>
      </c>
      <c r="AX3206" s="3" t="s">
        <v>32122</v>
      </c>
      <c r="AY3206" s="3" t="s">
        <v>32123</v>
      </c>
      <c r="AZ3206" s="3" t="s">
        <v>32124</v>
      </c>
      <c r="BA3206" s="3" t="s">
        <v>32124</v>
      </c>
      <c r="BB3206" s="3" t="s">
        <v>32125</v>
      </c>
      <c r="BC3206" s="3" t="s">
        <v>77</v>
      </c>
      <c r="BD3206" s="3" t="s">
        <v>78</v>
      </c>
      <c r="BE3206" s="3" t="s">
        <v>32126</v>
      </c>
      <c r="BF3206" s="3" t="s">
        <v>32125</v>
      </c>
      <c r="BG3206" s="3" t="s">
        <v>32127</v>
      </c>
      <c r="BH3206">
        <f t="shared" si="77"/>
        <v>0</v>
      </c>
    </row>
    <row r="3207" spans="1:60" ht="58" x14ac:dyDescent="0.35">
      <c r="A3207" s="2" t="s">
        <v>59</v>
      </c>
      <c r="B3207" s="2" t="s">
        <v>60</v>
      </c>
      <c r="C3207" s="2" t="s">
        <v>32128</v>
      </c>
      <c r="D3207" s="2" t="s">
        <v>32129</v>
      </c>
      <c r="E3207" s="2" t="s">
        <v>32130</v>
      </c>
      <c r="G3207" s="3" t="s">
        <v>64</v>
      </c>
      <c r="I3207" s="3" t="s">
        <v>64</v>
      </c>
      <c r="J3207" s="3" t="s">
        <v>64</v>
      </c>
      <c r="K3207" s="3" t="s">
        <v>65</v>
      </c>
      <c r="L3207" s="2" t="s">
        <v>32131</v>
      </c>
      <c r="M3207" s="2" t="s">
        <v>32132</v>
      </c>
      <c r="N3207" s="3" t="s">
        <v>86</v>
      </c>
      <c r="P3207" s="3" t="s">
        <v>102</v>
      </c>
      <c r="R3207" s="3" t="s">
        <v>70</v>
      </c>
      <c r="S3207" s="4">
        <v>0</v>
      </c>
      <c r="T3207" s="4">
        <v>0</v>
      </c>
      <c r="W3207" s="5" t="s">
        <v>72</v>
      </c>
      <c r="X3207" s="5" t="s">
        <v>72</v>
      </c>
      <c r="Y3207" s="4">
        <v>98</v>
      </c>
      <c r="Z3207" s="4">
        <v>7</v>
      </c>
      <c r="AA3207" s="4">
        <v>7</v>
      </c>
      <c r="AB3207" s="4">
        <v>1</v>
      </c>
      <c r="AC3207" s="4">
        <v>1</v>
      </c>
      <c r="AD3207" s="4">
        <v>19</v>
      </c>
      <c r="AE3207" s="4">
        <v>19</v>
      </c>
      <c r="AF3207" s="4">
        <v>0</v>
      </c>
      <c r="AG3207" s="4">
        <v>0</v>
      </c>
      <c r="AH3207" s="4">
        <v>18</v>
      </c>
      <c r="AI3207" s="4">
        <v>18</v>
      </c>
      <c r="AJ3207" s="4">
        <v>3</v>
      </c>
      <c r="AK3207" s="4">
        <v>3</v>
      </c>
      <c r="AL3207" s="4">
        <v>8</v>
      </c>
      <c r="AM3207" s="4">
        <v>8</v>
      </c>
      <c r="AN3207" s="4">
        <v>0</v>
      </c>
      <c r="AO3207" s="4">
        <v>0</v>
      </c>
      <c r="AP3207" s="4">
        <v>4</v>
      </c>
      <c r="AQ3207" s="4">
        <v>4</v>
      </c>
      <c r="AR3207" s="3" t="s">
        <v>64</v>
      </c>
      <c r="AS3207" s="3" t="s">
        <v>64</v>
      </c>
      <c r="AT3207" s="3" t="s">
        <v>64</v>
      </c>
      <c r="AV3207" s="6" t="str">
        <f>HYPERLINK("http://mcgill.on.worldcat.org/oclc/751780490","Catalog Record")</f>
        <v>Catalog Record</v>
      </c>
      <c r="AW3207" s="6" t="str">
        <f>HYPERLINK("http://www.worldcat.org/oclc/751780490","WorldCat Record")</f>
        <v>WorldCat Record</v>
      </c>
      <c r="AX3207" s="3" t="s">
        <v>32133</v>
      </c>
      <c r="AY3207" s="3" t="s">
        <v>32134</v>
      </c>
      <c r="AZ3207" s="3" t="s">
        <v>32135</v>
      </c>
      <c r="BA3207" s="3" t="s">
        <v>32135</v>
      </c>
      <c r="BB3207" s="3" t="s">
        <v>32136</v>
      </c>
      <c r="BC3207" s="3" t="s">
        <v>77</v>
      </c>
      <c r="BD3207" s="3" t="s">
        <v>78</v>
      </c>
      <c r="BE3207" s="3" t="s">
        <v>32137</v>
      </c>
      <c r="BF3207" s="3" t="s">
        <v>32136</v>
      </c>
      <c r="BG3207" s="3" t="s">
        <v>32138</v>
      </c>
      <c r="BH3207">
        <f t="shared" si="77"/>
        <v>0</v>
      </c>
    </row>
    <row r="3208" spans="1:60" ht="58" x14ac:dyDescent="0.35">
      <c r="A3208" s="2" t="s">
        <v>59</v>
      </c>
      <c r="B3208" s="2" t="s">
        <v>60</v>
      </c>
      <c r="C3208" s="2" t="s">
        <v>32139</v>
      </c>
      <c r="D3208" s="2" t="s">
        <v>32140</v>
      </c>
      <c r="E3208" s="2" t="s">
        <v>32141</v>
      </c>
      <c r="G3208" s="3" t="s">
        <v>64</v>
      </c>
      <c r="I3208" s="3" t="s">
        <v>64</v>
      </c>
      <c r="J3208" s="3" t="s">
        <v>64</v>
      </c>
      <c r="K3208" s="3" t="s">
        <v>65</v>
      </c>
      <c r="L3208" s="2" t="s">
        <v>32142</v>
      </c>
      <c r="M3208" s="2" t="s">
        <v>16229</v>
      </c>
      <c r="N3208" s="3" t="s">
        <v>190</v>
      </c>
      <c r="P3208" s="3" t="s">
        <v>102</v>
      </c>
      <c r="R3208" s="3" t="s">
        <v>70</v>
      </c>
      <c r="S3208" s="4">
        <v>0</v>
      </c>
      <c r="T3208" s="4">
        <v>0</v>
      </c>
      <c r="W3208" s="5" t="s">
        <v>72</v>
      </c>
      <c r="X3208" s="5" t="s">
        <v>72</v>
      </c>
      <c r="Y3208" s="4">
        <v>188</v>
      </c>
      <c r="Z3208" s="4">
        <v>6</v>
      </c>
      <c r="AA3208" s="4">
        <v>6</v>
      </c>
      <c r="AB3208" s="4">
        <v>2</v>
      </c>
      <c r="AC3208" s="4">
        <v>2</v>
      </c>
      <c r="AD3208" s="4">
        <v>20</v>
      </c>
      <c r="AE3208" s="4">
        <v>20</v>
      </c>
      <c r="AF3208" s="4">
        <v>0</v>
      </c>
      <c r="AG3208" s="4">
        <v>0</v>
      </c>
      <c r="AH3208" s="4">
        <v>20</v>
      </c>
      <c r="AI3208" s="4">
        <v>20</v>
      </c>
      <c r="AJ3208" s="4">
        <v>2</v>
      </c>
      <c r="AK3208" s="4">
        <v>2</v>
      </c>
      <c r="AL3208" s="4">
        <v>7</v>
      </c>
      <c r="AM3208" s="4">
        <v>7</v>
      </c>
      <c r="AN3208" s="4">
        <v>0</v>
      </c>
      <c r="AO3208" s="4">
        <v>0</v>
      </c>
      <c r="AP3208" s="4">
        <v>2</v>
      </c>
      <c r="AQ3208" s="4">
        <v>2</v>
      </c>
      <c r="AR3208" s="3" t="s">
        <v>64</v>
      </c>
      <c r="AS3208" s="3" t="s">
        <v>64</v>
      </c>
      <c r="AT3208" s="3" t="s">
        <v>64</v>
      </c>
      <c r="AV3208" s="6" t="str">
        <f>HYPERLINK("http://mcgill.on.worldcat.org/oclc/1044772935","Catalog Record")</f>
        <v>Catalog Record</v>
      </c>
      <c r="AW3208" s="6" t="str">
        <f>HYPERLINK("http://www.worldcat.org/oclc/1044772935","WorldCat Record")</f>
        <v>WorldCat Record</v>
      </c>
      <c r="AX3208" s="3" t="s">
        <v>32143</v>
      </c>
      <c r="AY3208" s="3" t="s">
        <v>32144</v>
      </c>
      <c r="AZ3208" s="3" t="s">
        <v>32145</v>
      </c>
      <c r="BA3208" s="3" t="s">
        <v>32145</v>
      </c>
      <c r="BB3208" s="3" t="s">
        <v>32146</v>
      </c>
      <c r="BC3208" s="3" t="s">
        <v>77</v>
      </c>
      <c r="BD3208" s="3" t="s">
        <v>78</v>
      </c>
      <c r="BE3208" s="3" t="s">
        <v>32147</v>
      </c>
      <c r="BF3208" s="3" t="s">
        <v>32146</v>
      </c>
      <c r="BG3208" s="3" t="s">
        <v>32148</v>
      </c>
      <c r="BH3208">
        <f t="shared" si="77"/>
        <v>0</v>
      </c>
    </row>
    <row r="3209" spans="1:60" ht="58" x14ac:dyDescent="0.35">
      <c r="A3209" s="2" t="s">
        <v>59</v>
      </c>
      <c r="B3209" s="2" t="s">
        <v>60</v>
      </c>
      <c r="C3209" s="2" t="s">
        <v>32149</v>
      </c>
      <c r="D3209" s="2" t="s">
        <v>32150</v>
      </c>
      <c r="E3209" s="2" t="s">
        <v>32151</v>
      </c>
      <c r="G3209" s="3" t="s">
        <v>64</v>
      </c>
      <c r="I3209" s="3" t="s">
        <v>64</v>
      </c>
      <c r="J3209" s="3" t="s">
        <v>64</v>
      </c>
      <c r="K3209" s="3" t="s">
        <v>65</v>
      </c>
      <c r="L3209" s="2" t="s">
        <v>32142</v>
      </c>
      <c r="M3209" s="2" t="s">
        <v>15640</v>
      </c>
      <c r="N3209" s="3" t="s">
        <v>253</v>
      </c>
      <c r="P3209" s="3" t="s">
        <v>102</v>
      </c>
      <c r="R3209" s="3" t="s">
        <v>70</v>
      </c>
      <c r="S3209" s="4">
        <v>0</v>
      </c>
      <c r="T3209" s="4">
        <v>0</v>
      </c>
      <c r="W3209" s="5" t="s">
        <v>72</v>
      </c>
      <c r="X3209" s="5" t="s">
        <v>72</v>
      </c>
      <c r="Y3209" s="4">
        <v>269</v>
      </c>
      <c r="Z3209" s="4">
        <v>8</v>
      </c>
      <c r="AA3209" s="4">
        <v>8</v>
      </c>
      <c r="AB3209" s="4">
        <v>1</v>
      </c>
      <c r="AC3209" s="4">
        <v>1</v>
      </c>
      <c r="AD3209" s="4">
        <v>26</v>
      </c>
      <c r="AE3209" s="4">
        <v>26</v>
      </c>
      <c r="AF3209" s="4">
        <v>0</v>
      </c>
      <c r="AG3209" s="4">
        <v>0</v>
      </c>
      <c r="AH3209" s="4">
        <v>26</v>
      </c>
      <c r="AI3209" s="4">
        <v>26</v>
      </c>
      <c r="AJ3209" s="4">
        <v>2</v>
      </c>
      <c r="AK3209" s="4">
        <v>2</v>
      </c>
      <c r="AL3209" s="4">
        <v>9</v>
      </c>
      <c r="AM3209" s="4">
        <v>9</v>
      </c>
      <c r="AN3209" s="4">
        <v>0</v>
      </c>
      <c r="AO3209" s="4">
        <v>0</v>
      </c>
      <c r="AP3209" s="4">
        <v>2</v>
      </c>
      <c r="AQ3209" s="4">
        <v>2</v>
      </c>
      <c r="AR3209" s="3" t="s">
        <v>64</v>
      </c>
      <c r="AS3209" s="3" t="s">
        <v>64</v>
      </c>
      <c r="AT3209" s="3" t="s">
        <v>64</v>
      </c>
      <c r="AV3209" s="6" t="str">
        <f>HYPERLINK("http://mcgill.on.worldcat.org/oclc/894491479","Catalog Record")</f>
        <v>Catalog Record</v>
      </c>
      <c r="AW3209" s="6" t="str">
        <f>HYPERLINK("http://www.worldcat.org/oclc/894491479","WorldCat Record")</f>
        <v>WorldCat Record</v>
      </c>
      <c r="AX3209" s="3" t="s">
        <v>32152</v>
      </c>
      <c r="AY3209" s="3" t="s">
        <v>32153</v>
      </c>
      <c r="AZ3209" s="3" t="s">
        <v>32154</v>
      </c>
      <c r="BA3209" s="3" t="s">
        <v>32154</v>
      </c>
      <c r="BB3209" s="3" t="s">
        <v>32155</v>
      </c>
      <c r="BC3209" s="3" t="s">
        <v>77</v>
      </c>
      <c r="BD3209" s="3" t="s">
        <v>78</v>
      </c>
      <c r="BE3209" s="3" t="s">
        <v>32156</v>
      </c>
      <c r="BF3209" s="3" t="s">
        <v>32155</v>
      </c>
      <c r="BG3209" s="3" t="s">
        <v>32157</v>
      </c>
      <c r="BH3209">
        <f t="shared" si="77"/>
        <v>0</v>
      </c>
    </row>
    <row r="3210" spans="1:60" ht="58" x14ac:dyDescent="0.35">
      <c r="A3210" s="2" t="s">
        <v>59</v>
      </c>
      <c r="B3210" s="2" t="s">
        <v>60</v>
      </c>
      <c r="C3210" s="2" t="s">
        <v>32158</v>
      </c>
      <c r="D3210" s="2" t="s">
        <v>32159</v>
      </c>
      <c r="E3210" s="2" t="s">
        <v>32160</v>
      </c>
      <c r="G3210" s="3" t="s">
        <v>64</v>
      </c>
      <c r="I3210" s="3" t="s">
        <v>64</v>
      </c>
      <c r="J3210" s="3" t="s">
        <v>64</v>
      </c>
      <c r="K3210" s="3" t="s">
        <v>65</v>
      </c>
      <c r="L3210" s="2" t="s">
        <v>32161</v>
      </c>
      <c r="M3210" s="2" t="s">
        <v>16855</v>
      </c>
      <c r="N3210" s="3" t="s">
        <v>67</v>
      </c>
      <c r="P3210" s="3" t="s">
        <v>102</v>
      </c>
      <c r="R3210" s="3" t="s">
        <v>70</v>
      </c>
      <c r="S3210" s="4">
        <v>3</v>
      </c>
      <c r="T3210" s="4">
        <v>3</v>
      </c>
      <c r="U3210" s="5" t="s">
        <v>4300</v>
      </c>
      <c r="V3210" s="5" t="s">
        <v>4300</v>
      </c>
      <c r="W3210" s="5" t="s">
        <v>72</v>
      </c>
      <c r="X3210" s="5" t="s">
        <v>72</v>
      </c>
      <c r="Y3210" s="4">
        <v>368</v>
      </c>
      <c r="Z3210" s="4">
        <v>13</v>
      </c>
      <c r="AA3210" s="4">
        <v>13</v>
      </c>
      <c r="AB3210" s="4">
        <v>1</v>
      </c>
      <c r="AC3210" s="4">
        <v>1</v>
      </c>
      <c r="AD3210" s="4">
        <v>43</v>
      </c>
      <c r="AE3210" s="4">
        <v>43</v>
      </c>
      <c r="AF3210" s="4">
        <v>0</v>
      </c>
      <c r="AG3210" s="4">
        <v>0</v>
      </c>
      <c r="AH3210" s="4">
        <v>43</v>
      </c>
      <c r="AI3210" s="4">
        <v>43</v>
      </c>
      <c r="AJ3210" s="4">
        <v>4</v>
      </c>
      <c r="AK3210" s="4">
        <v>4</v>
      </c>
      <c r="AL3210" s="4">
        <v>16</v>
      </c>
      <c r="AM3210" s="4">
        <v>16</v>
      </c>
      <c r="AN3210" s="4">
        <v>0</v>
      </c>
      <c r="AO3210" s="4">
        <v>0</v>
      </c>
      <c r="AP3210" s="4">
        <v>4</v>
      </c>
      <c r="AQ3210" s="4">
        <v>4</v>
      </c>
      <c r="AR3210" s="3" t="s">
        <v>64</v>
      </c>
      <c r="AS3210" s="3" t="s">
        <v>64</v>
      </c>
      <c r="AT3210" s="3" t="s">
        <v>64</v>
      </c>
      <c r="AV3210" s="6" t="str">
        <f>HYPERLINK("http://mcgill.on.worldcat.org/oclc/840927677","Catalog Record")</f>
        <v>Catalog Record</v>
      </c>
      <c r="AW3210" s="6" t="str">
        <f>HYPERLINK("http://www.worldcat.org/oclc/840927677","WorldCat Record")</f>
        <v>WorldCat Record</v>
      </c>
      <c r="AX3210" s="3" t="s">
        <v>32162</v>
      </c>
      <c r="AY3210" s="3" t="s">
        <v>32163</v>
      </c>
      <c r="AZ3210" s="3" t="s">
        <v>32164</v>
      </c>
      <c r="BA3210" s="3" t="s">
        <v>32164</v>
      </c>
      <c r="BB3210" s="3" t="s">
        <v>32165</v>
      </c>
      <c r="BC3210" s="3" t="s">
        <v>77</v>
      </c>
      <c r="BD3210" s="3" t="s">
        <v>78</v>
      </c>
      <c r="BE3210" s="3" t="s">
        <v>32166</v>
      </c>
      <c r="BF3210" s="3" t="s">
        <v>32165</v>
      </c>
      <c r="BG3210" s="3" t="s">
        <v>32167</v>
      </c>
      <c r="BH3210">
        <f t="shared" si="77"/>
        <v>0</v>
      </c>
    </row>
    <row r="3211" spans="1:60" ht="58" x14ac:dyDescent="0.35">
      <c r="A3211" s="2" t="s">
        <v>59</v>
      </c>
      <c r="B3211" s="2" t="s">
        <v>60</v>
      </c>
      <c r="C3211" s="2" t="s">
        <v>32168</v>
      </c>
      <c r="D3211" s="2" t="s">
        <v>32169</v>
      </c>
      <c r="E3211" s="2" t="s">
        <v>32170</v>
      </c>
      <c r="G3211" s="3" t="s">
        <v>64</v>
      </c>
      <c r="I3211" s="3" t="s">
        <v>64</v>
      </c>
      <c r="J3211" s="3" t="s">
        <v>64</v>
      </c>
      <c r="K3211" s="3" t="s">
        <v>65</v>
      </c>
      <c r="L3211" s="2" t="s">
        <v>32171</v>
      </c>
      <c r="M3211" s="2" t="s">
        <v>18533</v>
      </c>
      <c r="N3211" s="3" t="s">
        <v>578</v>
      </c>
      <c r="P3211" s="3" t="s">
        <v>102</v>
      </c>
      <c r="R3211" s="3" t="s">
        <v>70</v>
      </c>
      <c r="S3211" s="4">
        <v>0</v>
      </c>
      <c r="T3211" s="4">
        <v>0</v>
      </c>
      <c r="W3211" s="5" t="s">
        <v>72</v>
      </c>
      <c r="X3211" s="5" t="s">
        <v>72</v>
      </c>
      <c r="Y3211" s="4">
        <v>357</v>
      </c>
      <c r="Z3211" s="4">
        <v>9</v>
      </c>
      <c r="AA3211" s="4">
        <v>10</v>
      </c>
      <c r="AB3211" s="4">
        <v>2</v>
      </c>
      <c r="AC3211" s="4">
        <v>3</v>
      </c>
      <c r="AD3211" s="4">
        <v>29</v>
      </c>
      <c r="AE3211" s="4">
        <v>30</v>
      </c>
      <c r="AF3211" s="4">
        <v>0</v>
      </c>
      <c r="AG3211" s="4">
        <v>1</v>
      </c>
      <c r="AH3211" s="4">
        <v>29</v>
      </c>
      <c r="AI3211" s="4">
        <v>29</v>
      </c>
      <c r="AJ3211" s="4">
        <v>3</v>
      </c>
      <c r="AK3211" s="4">
        <v>4</v>
      </c>
      <c r="AL3211" s="4">
        <v>14</v>
      </c>
      <c r="AM3211" s="4">
        <v>14</v>
      </c>
      <c r="AN3211" s="4">
        <v>0</v>
      </c>
      <c r="AO3211" s="4">
        <v>0</v>
      </c>
      <c r="AP3211" s="4">
        <v>3</v>
      </c>
      <c r="AQ3211" s="4">
        <v>3</v>
      </c>
      <c r="AR3211" s="3" t="s">
        <v>64</v>
      </c>
      <c r="AS3211" s="3" t="s">
        <v>64</v>
      </c>
      <c r="AT3211" s="3" t="s">
        <v>64</v>
      </c>
      <c r="AV3211" s="6" t="str">
        <f>HYPERLINK("http://mcgill.on.worldcat.org/oclc/965754050","Catalog Record")</f>
        <v>Catalog Record</v>
      </c>
      <c r="AW3211" s="6" t="str">
        <f>HYPERLINK("http://www.worldcat.org/oclc/965754050","WorldCat Record")</f>
        <v>WorldCat Record</v>
      </c>
      <c r="AX3211" s="3" t="s">
        <v>32172</v>
      </c>
      <c r="AY3211" s="3" t="s">
        <v>32173</v>
      </c>
      <c r="AZ3211" s="3" t="s">
        <v>32174</v>
      </c>
      <c r="BA3211" s="3" t="s">
        <v>32174</v>
      </c>
      <c r="BB3211" s="3" t="s">
        <v>32175</v>
      </c>
      <c r="BC3211" s="3" t="s">
        <v>77</v>
      </c>
      <c r="BD3211" s="3" t="s">
        <v>78</v>
      </c>
      <c r="BE3211" s="3" t="s">
        <v>32176</v>
      </c>
      <c r="BF3211" s="3" t="s">
        <v>32175</v>
      </c>
      <c r="BG3211" s="3" t="s">
        <v>32177</v>
      </c>
      <c r="BH3211">
        <f t="shared" si="77"/>
        <v>0</v>
      </c>
    </row>
    <row r="3212" spans="1:60" ht="58" x14ac:dyDescent="0.35">
      <c r="A3212" s="2" t="s">
        <v>59</v>
      </c>
      <c r="B3212" s="2" t="s">
        <v>60</v>
      </c>
      <c r="C3212" s="2" t="s">
        <v>32178</v>
      </c>
      <c r="D3212" s="2" t="s">
        <v>32179</v>
      </c>
      <c r="E3212" s="2" t="s">
        <v>32180</v>
      </c>
      <c r="G3212" s="3" t="s">
        <v>64</v>
      </c>
      <c r="I3212" s="3" t="s">
        <v>64</v>
      </c>
      <c r="J3212" s="3" t="s">
        <v>64</v>
      </c>
      <c r="K3212" s="3" t="s">
        <v>65</v>
      </c>
      <c r="L3212" s="2" t="s">
        <v>32181</v>
      </c>
      <c r="M3212" s="2" t="s">
        <v>16855</v>
      </c>
      <c r="N3212" s="3" t="s">
        <v>67</v>
      </c>
      <c r="P3212" s="3" t="s">
        <v>102</v>
      </c>
      <c r="R3212" s="3" t="s">
        <v>70</v>
      </c>
      <c r="S3212" s="4">
        <v>0</v>
      </c>
      <c r="T3212" s="4">
        <v>0</v>
      </c>
      <c r="W3212" s="5" t="s">
        <v>72</v>
      </c>
      <c r="X3212" s="5" t="s">
        <v>72</v>
      </c>
      <c r="Y3212" s="4">
        <v>337</v>
      </c>
      <c r="Z3212" s="4">
        <v>20</v>
      </c>
      <c r="AA3212" s="4">
        <v>21</v>
      </c>
      <c r="AB3212" s="4">
        <v>1</v>
      </c>
      <c r="AC3212" s="4">
        <v>2</v>
      </c>
      <c r="AD3212" s="4">
        <v>38</v>
      </c>
      <c r="AE3212" s="4">
        <v>39</v>
      </c>
      <c r="AF3212" s="4">
        <v>0</v>
      </c>
      <c r="AG3212" s="4">
        <v>1</v>
      </c>
      <c r="AH3212" s="4">
        <v>38</v>
      </c>
      <c r="AI3212" s="4">
        <v>39</v>
      </c>
      <c r="AJ3212" s="4">
        <v>5</v>
      </c>
      <c r="AK3212" s="4">
        <v>6</v>
      </c>
      <c r="AL3212" s="4">
        <v>13</v>
      </c>
      <c r="AM3212" s="4">
        <v>13</v>
      </c>
      <c r="AN3212" s="4">
        <v>0</v>
      </c>
      <c r="AO3212" s="4">
        <v>0</v>
      </c>
      <c r="AP3212" s="4">
        <v>5</v>
      </c>
      <c r="AQ3212" s="4">
        <v>6</v>
      </c>
      <c r="AR3212" s="3" t="s">
        <v>64</v>
      </c>
      <c r="AS3212" s="3" t="s">
        <v>64</v>
      </c>
      <c r="AT3212" s="3" t="s">
        <v>64</v>
      </c>
      <c r="AV3212" s="6" t="str">
        <f>HYPERLINK("http://mcgill.on.worldcat.org/oclc/861072994","Catalog Record")</f>
        <v>Catalog Record</v>
      </c>
      <c r="AW3212" s="6" t="str">
        <f>HYPERLINK("http://www.worldcat.org/oclc/861072994","WorldCat Record")</f>
        <v>WorldCat Record</v>
      </c>
      <c r="AX3212" s="3" t="s">
        <v>32182</v>
      </c>
      <c r="AY3212" s="3" t="s">
        <v>32183</v>
      </c>
      <c r="AZ3212" s="3" t="s">
        <v>32184</v>
      </c>
      <c r="BA3212" s="3" t="s">
        <v>32184</v>
      </c>
      <c r="BB3212" s="3" t="s">
        <v>32185</v>
      </c>
      <c r="BC3212" s="3" t="s">
        <v>77</v>
      </c>
      <c r="BD3212" s="3" t="s">
        <v>78</v>
      </c>
      <c r="BE3212" s="3" t="s">
        <v>32186</v>
      </c>
      <c r="BF3212" s="3" t="s">
        <v>32185</v>
      </c>
      <c r="BG3212" s="3" t="s">
        <v>32187</v>
      </c>
      <c r="BH3212">
        <f t="shared" si="77"/>
        <v>0</v>
      </c>
    </row>
    <row r="3213" spans="1:60" ht="58" x14ac:dyDescent="0.35">
      <c r="A3213" s="2" t="s">
        <v>59</v>
      </c>
      <c r="B3213" s="2" t="s">
        <v>60</v>
      </c>
      <c r="C3213" s="2" t="s">
        <v>32188</v>
      </c>
      <c r="D3213" s="2" t="s">
        <v>32189</v>
      </c>
      <c r="E3213" s="2" t="s">
        <v>32190</v>
      </c>
      <c r="G3213" s="3" t="s">
        <v>64</v>
      </c>
      <c r="I3213" s="3" t="s">
        <v>64</v>
      </c>
      <c r="J3213" s="3" t="s">
        <v>64</v>
      </c>
      <c r="K3213" s="3" t="s">
        <v>65</v>
      </c>
      <c r="M3213" s="2" t="s">
        <v>16814</v>
      </c>
      <c r="N3213" s="3" t="s">
        <v>326</v>
      </c>
      <c r="P3213" s="3" t="s">
        <v>102</v>
      </c>
      <c r="R3213" s="3" t="s">
        <v>70</v>
      </c>
      <c r="S3213" s="4">
        <v>4</v>
      </c>
      <c r="T3213" s="4">
        <v>4</v>
      </c>
      <c r="U3213" s="5" t="s">
        <v>5872</v>
      </c>
      <c r="V3213" s="5" t="s">
        <v>5872</v>
      </c>
      <c r="W3213" s="5" t="s">
        <v>72</v>
      </c>
      <c r="X3213" s="5" t="s">
        <v>72</v>
      </c>
      <c r="Y3213" s="4">
        <v>109</v>
      </c>
      <c r="Z3213" s="4">
        <v>12</v>
      </c>
      <c r="AA3213" s="4">
        <v>33</v>
      </c>
      <c r="AB3213" s="4">
        <v>1</v>
      </c>
      <c r="AC3213" s="4">
        <v>7</v>
      </c>
      <c r="AD3213" s="4">
        <v>17</v>
      </c>
      <c r="AE3213" s="4">
        <v>32</v>
      </c>
      <c r="AF3213" s="4">
        <v>0</v>
      </c>
      <c r="AG3213" s="4">
        <v>1</v>
      </c>
      <c r="AH3213" s="4">
        <v>15</v>
      </c>
      <c r="AI3213" s="4">
        <v>28</v>
      </c>
      <c r="AJ3213" s="4">
        <v>4</v>
      </c>
      <c r="AK3213" s="4">
        <v>5</v>
      </c>
      <c r="AL3213" s="4">
        <v>6</v>
      </c>
      <c r="AM3213" s="4">
        <v>11</v>
      </c>
      <c r="AN3213" s="4">
        <v>0</v>
      </c>
      <c r="AO3213" s="4">
        <v>0</v>
      </c>
      <c r="AP3213" s="4">
        <v>5</v>
      </c>
      <c r="AQ3213" s="4">
        <v>6</v>
      </c>
      <c r="AR3213" s="3" t="s">
        <v>64</v>
      </c>
      <c r="AS3213" s="3" t="s">
        <v>64</v>
      </c>
      <c r="AT3213" s="3" t="s">
        <v>64</v>
      </c>
      <c r="AV3213" s="6" t="str">
        <f>HYPERLINK("http://mcgill.on.worldcat.org/oclc/606787488","Catalog Record")</f>
        <v>Catalog Record</v>
      </c>
      <c r="AW3213" s="6" t="str">
        <f>HYPERLINK("http://www.worldcat.org/oclc/606787488","WorldCat Record")</f>
        <v>WorldCat Record</v>
      </c>
      <c r="AX3213" s="3" t="s">
        <v>32191</v>
      </c>
      <c r="AY3213" s="3" t="s">
        <v>32192</v>
      </c>
      <c r="AZ3213" s="3" t="s">
        <v>32193</v>
      </c>
      <c r="BA3213" s="3" t="s">
        <v>32193</v>
      </c>
      <c r="BB3213" s="3" t="s">
        <v>32194</v>
      </c>
      <c r="BC3213" s="3" t="s">
        <v>77</v>
      </c>
      <c r="BD3213" s="3" t="s">
        <v>78</v>
      </c>
      <c r="BE3213" s="3" t="s">
        <v>32195</v>
      </c>
      <c r="BF3213" s="3" t="s">
        <v>32194</v>
      </c>
      <c r="BG3213" s="3" t="s">
        <v>32196</v>
      </c>
      <c r="BH3213">
        <f t="shared" si="77"/>
        <v>0</v>
      </c>
    </row>
    <row r="3214" spans="1:60" ht="58" x14ac:dyDescent="0.35">
      <c r="A3214" s="2" t="s">
        <v>59</v>
      </c>
      <c r="B3214" s="2" t="s">
        <v>60</v>
      </c>
      <c r="C3214" s="2" t="s">
        <v>32197</v>
      </c>
      <c r="D3214" s="2" t="s">
        <v>32198</v>
      </c>
      <c r="E3214" s="2" t="s">
        <v>32199</v>
      </c>
      <c r="G3214" s="3" t="s">
        <v>64</v>
      </c>
      <c r="I3214" s="3" t="s">
        <v>64</v>
      </c>
      <c r="J3214" s="3" t="s">
        <v>64</v>
      </c>
      <c r="K3214" s="3" t="s">
        <v>65</v>
      </c>
      <c r="L3214" s="2" t="s">
        <v>32200</v>
      </c>
      <c r="M3214" s="2" t="s">
        <v>15640</v>
      </c>
      <c r="N3214" s="3" t="s">
        <v>253</v>
      </c>
      <c r="P3214" s="3" t="s">
        <v>102</v>
      </c>
      <c r="R3214" s="3" t="s">
        <v>70</v>
      </c>
      <c r="S3214" s="4">
        <v>0</v>
      </c>
      <c r="T3214" s="4">
        <v>0</v>
      </c>
      <c r="W3214" s="5" t="s">
        <v>72</v>
      </c>
      <c r="X3214" s="5" t="s">
        <v>72</v>
      </c>
      <c r="Y3214" s="4">
        <v>232</v>
      </c>
      <c r="Z3214" s="4">
        <v>15</v>
      </c>
      <c r="AA3214" s="4">
        <v>15</v>
      </c>
      <c r="AB3214" s="4">
        <v>1</v>
      </c>
      <c r="AC3214" s="4">
        <v>1</v>
      </c>
      <c r="AD3214" s="4">
        <v>36</v>
      </c>
      <c r="AE3214" s="4">
        <v>36</v>
      </c>
      <c r="AF3214" s="4">
        <v>0</v>
      </c>
      <c r="AG3214" s="4">
        <v>0</v>
      </c>
      <c r="AH3214" s="4">
        <v>33</v>
      </c>
      <c r="AI3214" s="4">
        <v>33</v>
      </c>
      <c r="AJ3214" s="4">
        <v>3</v>
      </c>
      <c r="AK3214" s="4">
        <v>3</v>
      </c>
      <c r="AL3214" s="4">
        <v>12</v>
      </c>
      <c r="AM3214" s="4">
        <v>12</v>
      </c>
      <c r="AN3214" s="4">
        <v>0</v>
      </c>
      <c r="AO3214" s="4">
        <v>0</v>
      </c>
      <c r="AP3214" s="4">
        <v>5</v>
      </c>
      <c r="AQ3214" s="4">
        <v>5</v>
      </c>
      <c r="AR3214" s="3" t="s">
        <v>64</v>
      </c>
      <c r="AS3214" s="3" t="s">
        <v>64</v>
      </c>
      <c r="AT3214" s="3" t="s">
        <v>64</v>
      </c>
      <c r="AV3214" s="6" t="str">
        <f>HYPERLINK("http://mcgill.on.worldcat.org/oclc/894816185","Catalog Record")</f>
        <v>Catalog Record</v>
      </c>
      <c r="AW3214" s="6" t="str">
        <f>HYPERLINK("http://www.worldcat.org/oclc/894816185","WorldCat Record")</f>
        <v>WorldCat Record</v>
      </c>
      <c r="AX3214" s="3" t="s">
        <v>32201</v>
      </c>
      <c r="AY3214" s="3" t="s">
        <v>32202</v>
      </c>
      <c r="AZ3214" s="3" t="s">
        <v>32203</v>
      </c>
      <c r="BA3214" s="3" t="s">
        <v>32203</v>
      </c>
      <c r="BB3214" s="3" t="s">
        <v>32204</v>
      </c>
      <c r="BC3214" s="3" t="s">
        <v>77</v>
      </c>
      <c r="BD3214" s="3" t="s">
        <v>78</v>
      </c>
      <c r="BE3214" s="3" t="s">
        <v>32205</v>
      </c>
      <c r="BF3214" s="3" t="s">
        <v>32204</v>
      </c>
      <c r="BG3214" s="3" t="s">
        <v>32206</v>
      </c>
      <c r="BH3214">
        <f t="shared" si="77"/>
        <v>0</v>
      </c>
    </row>
    <row r="3215" spans="1:60" ht="58" x14ac:dyDescent="0.35">
      <c r="A3215" s="2" t="s">
        <v>59</v>
      </c>
      <c r="B3215" s="2" t="s">
        <v>60</v>
      </c>
      <c r="C3215" s="2" t="s">
        <v>32207</v>
      </c>
      <c r="D3215" s="2" t="s">
        <v>32208</v>
      </c>
      <c r="E3215" s="2" t="s">
        <v>32209</v>
      </c>
      <c r="G3215" s="3" t="s">
        <v>64</v>
      </c>
      <c r="I3215" s="3" t="s">
        <v>64</v>
      </c>
      <c r="J3215" s="3" t="s">
        <v>64</v>
      </c>
      <c r="K3215" s="3" t="s">
        <v>65</v>
      </c>
      <c r="L3215" s="2" t="s">
        <v>31034</v>
      </c>
      <c r="M3215" s="2" t="s">
        <v>15640</v>
      </c>
      <c r="N3215" s="3" t="s">
        <v>253</v>
      </c>
      <c r="P3215" s="3" t="s">
        <v>102</v>
      </c>
      <c r="R3215" s="3" t="s">
        <v>70</v>
      </c>
      <c r="S3215" s="4">
        <v>0</v>
      </c>
      <c r="T3215" s="4">
        <v>0</v>
      </c>
      <c r="W3215" s="5" t="s">
        <v>72</v>
      </c>
      <c r="X3215" s="5" t="s">
        <v>72</v>
      </c>
      <c r="Y3215" s="4">
        <v>311</v>
      </c>
      <c r="Z3215" s="4">
        <v>9</v>
      </c>
      <c r="AA3215" s="4">
        <v>10</v>
      </c>
      <c r="AB3215" s="4">
        <v>1</v>
      </c>
      <c r="AC3215" s="4">
        <v>2</v>
      </c>
      <c r="AD3215" s="4">
        <v>26</v>
      </c>
      <c r="AE3215" s="4">
        <v>26</v>
      </c>
      <c r="AF3215" s="4">
        <v>0</v>
      </c>
      <c r="AG3215" s="4">
        <v>0</v>
      </c>
      <c r="AH3215" s="4">
        <v>26</v>
      </c>
      <c r="AI3215" s="4">
        <v>26</v>
      </c>
      <c r="AJ3215" s="4">
        <v>1</v>
      </c>
      <c r="AK3215" s="4">
        <v>1</v>
      </c>
      <c r="AL3215" s="4">
        <v>9</v>
      </c>
      <c r="AM3215" s="4">
        <v>9</v>
      </c>
      <c r="AN3215" s="4">
        <v>0</v>
      </c>
      <c r="AO3215" s="4">
        <v>0</v>
      </c>
      <c r="AP3215" s="4">
        <v>1</v>
      </c>
      <c r="AQ3215" s="4">
        <v>1</v>
      </c>
      <c r="AR3215" s="3" t="s">
        <v>64</v>
      </c>
      <c r="AS3215" s="3" t="s">
        <v>64</v>
      </c>
      <c r="AT3215" s="3" t="s">
        <v>64</v>
      </c>
      <c r="AV3215" s="6" t="str">
        <f>HYPERLINK("http://mcgill.on.worldcat.org/oclc/903436514","Catalog Record")</f>
        <v>Catalog Record</v>
      </c>
      <c r="AW3215" s="6" t="str">
        <f>HYPERLINK("http://www.worldcat.org/oclc/903436514","WorldCat Record")</f>
        <v>WorldCat Record</v>
      </c>
      <c r="AX3215" s="3" t="s">
        <v>32210</v>
      </c>
      <c r="AY3215" s="3" t="s">
        <v>32211</v>
      </c>
      <c r="AZ3215" s="3" t="s">
        <v>32212</v>
      </c>
      <c r="BA3215" s="3" t="s">
        <v>32212</v>
      </c>
      <c r="BB3215" s="3" t="s">
        <v>32213</v>
      </c>
      <c r="BC3215" s="3" t="s">
        <v>77</v>
      </c>
      <c r="BD3215" s="3" t="s">
        <v>78</v>
      </c>
      <c r="BE3215" s="3" t="s">
        <v>32214</v>
      </c>
      <c r="BF3215" s="3" t="s">
        <v>32213</v>
      </c>
      <c r="BG3215" s="3" t="s">
        <v>32215</v>
      </c>
      <c r="BH3215">
        <f t="shared" si="77"/>
        <v>0</v>
      </c>
    </row>
    <row r="3216" spans="1:60" ht="58" x14ac:dyDescent="0.35">
      <c r="A3216" s="2" t="s">
        <v>59</v>
      </c>
      <c r="B3216" s="2" t="s">
        <v>60</v>
      </c>
      <c r="C3216" s="2" t="s">
        <v>32216</v>
      </c>
      <c r="D3216" s="2" t="s">
        <v>32217</v>
      </c>
      <c r="E3216" s="2" t="s">
        <v>32218</v>
      </c>
      <c r="G3216" s="3" t="s">
        <v>64</v>
      </c>
      <c r="I3216" s="3" t="s">
        <v>64</v>
      </c>
      <c r="J3216" s="3" t="s">
        <v>64</v>
      </c>
      <c r="K3216" s="3" t="s">
        <v>65</v>
      </c>
      <c r="L3216" s="2" t="s">
        <v>31034</v>
      </c>
      <c r="M3216" s="2" t="s">
        <v>16855</v>
      </c>
      <c r="N3216" s="3" t="s">
        <v>67</v>
      </c>
      <c r="P3216" s="3" t="s">
        <v>102</v>
      </c>
      <c r="R3216" s="3" t="s">
        <v>70</v>
      </c>
      <c r="S3216" s="4">
        <v>2</v>
      </c>
      <c r="T3216" s="4">
        <v>2</v>
      </c>
      <c r="U3216" s="5" t="s">
        <v>28559</v>
      </c>
      <c r="V3216" s="5" t="s">
        <v>28559</v>
      </c>
      <c r="W3216" s="5" t="s">
        <v>72</v>
      </c>
      <c r="X3216" s="5" t="s">
        <v>72</v>
      </c>
      <c r="Y3216" s="4">
        <v>179</v>
      </c>
      <c r="Z3216" s="4">
        <v>8</v>
      </c>
      <c r="AA3216" s="4">
        <v>8</v>
      </c>
      <c r="AB3216" s="4">
        <v>1</v>
      </c>
      <c r="AC3216" s="4">
        <v>1</v>
      </c>
      <c r="AD3216" s="4">
        <v>34</v>
      </c>
      <c r="AE3216" s="4">
        <v>34</v>
      </c>
      <c r="AF3216" s="4">
        <v>0</v>
      </c>
      <c r="AG3216" s="4">
        <v>0</v>
      </c>
      <c r="AH3216" s="4">
        <v>34</v>
      </c>
      <c r="AI3216" s="4">
        <v>34</v>
      </c>
      <c r="AJ3216" s="4">
        <v>3</v>
      </c>
      <c r="AK3216" s="4">
        <v>3</v>
      </c>
      <c r="AL3216" s="4">
        <v>12</v>
      </c>
      <c r="AM3216" s="4">
        <v>12</v>
      </c>
      <c r="AN3216" s="4">
        <v>0</v>
      </c>
      <c r="AO3216" s="4">
        <v>0</v>
      </c>
      <c r="AP3216" s="4">
        <v>3</v>
      </c>
      <c r="AQ3216" s="4">
        <v>3</v>
      </c>
      <c r="AR3216" s="3" t="s">
        <v>64</v>
      </c>
      <c r="AS3216" s="3" t="s">
        <v>64</v>
      </c>
      <c r="AT3216" s="3" t="s">
        <v>64</v>
      </c>
      <c r="AV3216" s="6" t="str">
        <f>HYPERLINK("http://mcgill.on.worldcat.org/oclc/864676598","Catalog Record")</f>
        <v>Catalog Record</v>
      </c>
      <c r="AW3216" s="6" t="str">
        <f>HYPERLINK("http://www.worldcat.org/oclc/864676598","WorldCat Record")</f>
        <v>WorldCat Record</v>
      </c>
      <c r="AX3216" s="3" t="s">
        <v>32219</v>
      </c>
      <c r="AY3216" s="3" t="s">
        <v>32220</v>
      </c>
      <c r="AZ3216" s="3" t="s">
        <v>32221</v>
      </c>
      <c r="BA3216" s="3" t="s">
        <v>32221</v>
      </c>
      <c r="BB3216" s="3" t="s">
        <v>32222</v>
      </c>
      <c r="BC3216" s="3" t="s">
        <v>77</v>
      </c>
      <c r="BD3216" s="3" t="s">
        <v>78</v>
      </c>
      <c r="BE3216" s="3" t="s">
        <v>32223</v>
      </c>
      <c r="BF3216" s="3" t="s">
        <v>32222</v>
      </c>
      <c r="BG3216" s="3" t="s">
        <v>32224</v>
      </c>
      <c r="BH3216">
        <f t="shared" si="77"/>
        <v>0</v>
      </c>
    </row>
    <row r="3217" spans="1:60" ht="58" x14ac:dyDescent="0.35">
      <c r="A3217" s="2" t="s">
        <v>59</v>
      </c>
      <c r="B3217" s="2" t="s">
        <v>60</v>
      </c>
      <c r="C3217" s="2" t="s">
        <v>32225</v>
      </c>
      <c r="D3217" s="2" t="s">
        <v>32226</v>
      </c>
      <c r="E3217" s="2" t="s">
        <v>32227</v>
      </c>
      <c r="G3217" s="3" t="s">
        <v>64</v>
      </c>
      <c r="I3217" s="3" t="s">
        <v>64</v>
      </c>
      <c r="J3217" s="3" t="s">
        <v>64</v>
      </c>
      <c r="K3217" s="3" t="s">
        <v>65</v>
      </c>
      <c r="L3217" s="2" t="s">
        <v>31034</v>
      </c>
      <c r="M3217" s="2" t="s">
        <v>18859</v>
      </c>
      <c r="N3217" s="3" t="s">
        <v>291</v>
      </c>
      <c r="P3217" s="3" t="s">
        <v>102</v>
      </c>
      <c r="R3217" s="3" t="s">
        <v>70</v>
      </c>
      <c r="S3217" s="4">
        <v>6</v>
      </c>
      <c r="T3217" s="4">
        <v>6</v>
      </c>
      <c r="U3217" s="5" t="s">
        <v>18028</v>
      </c>
      <c r="V3217" s="5" t="s">
        <v>18028</v>
      </c>
      <c r="W3217" s="5" t="s">
        <v>72</v>
      </c>
      <c r="X3217" s="5" t="s">
        <v>72</v>
      </c>
      <c r="Y3217" s="4">
        <v>588</v>
      </c>
      <c r="Z3217" s="4">
        <v>27</v>
      </c>
      <c r="AA3217" s="4">
        <v>41</v>
      </c>
      <c r="AB3217" s="4">
        <v>3</v>
      </c>
      <c r="AC3217" s="4">
        <v>5</v>
      </c>
      <c r="AD3217" s="4">
        <v>47</v>
      </c>
      <c r="AE3217" s="4">
        <v>70</v>
      </c>
      <c r="AF3217" s="4">
        <v>0</v>
      </c>
      <c r="AG3217" s="4">
        <v>1</v>
      </c>
      <c r="AH3217" s="4">
        <v>45</v>
      </c>
      <c r="AI3217" s="4">
        <v>58</v>
      </c>
      <c r="AJ3217" s="4">
        <v>6</v>
      </c>
      <c r="AK3217" s="4">
        <v>9</v>
      </c>
      <c r="AL3217" s="4">
        <v>18</v>
      </c>
      <c r="AM3217" s="4">
        <v>28</v>
      </c>
      <c r="AN3217" s="4">
        <v>0</v>
      </c>
      <c r="AO3217" s="4">
        <v>0</v>
      </c>
      <c r="AP3217" s="4">
        <v>7</v>
      </c>
      <c r="AQ3217" s="4">
        <v>15</v>
      </c>
      <c r="AR3217" s="3" t="s">
        <v>64</v>
      </c>
      <c r="AS3217" s="3" t="s">
        <v>64</v>
      </c>
      <c r="AT3217" s="3" t="s">
        <v>64</v>
      </c>
      <c r="AV3217" s="6" t="str">
        <f>HYPERLINK("http://mcgill.on.worldcat.org/oclc/68373210","Catalog Record")</f>
        <v>Catalog Record</v>
      </c>
      <c r="AW3217" s="6" t="str">
        <f>HYPERLINK("http://www.worldcat.org/oclc/68373210","WorldCat Record")</f>
        <v>WorldCat Record</v>
      </c>
      <c r="AX3217" s="3" t="s">
        <v>32228</v>
      </c>
      <c r="AY3217" s="3" t="s">
        <v>32229</v>
      </c>
      <c r="AZ3217" s="3" t="s">
        <v>32230</v>
      </c>
      <c r="BA3217" s="3" t="s">
        <v>32230</v>
      </c>
      <c r="BB3217" s="3" t="s">
        <v>32231</v>
      </c>
      <c r="BC3217" s="3" t="s">
        <v>77</v>
      </c>
      <c r="BD3217" s="3" t="s">
        <v>78</v>
      </c>
      <c r="BE3217" s="3" t="s">
        <v>32232</v>
      </c>
      <c r="BF3217" s="3" t="s">
        <v>32231</v>
      </c>
      <c r="BG3217" s="3" t="s">
        <v>32233</v>
      </c>
      <c r="BH3217">
        <f t="shared" si="77"/>
        <v>0</v>
      </c>
    </row>
    <row r="3218" spans="1:60" ht="58" x14ac:dyDescent="0.35">
      <c r="A3218" s="2" t="s">
        <v>59</v>
      </c>
      <c r="B3218" s="2" t="s">
        <v>60</v>
      </c>
      <c r="C3218" s="2" t="s">
        <v>32234</v>
      </c>
      <c r="D3218" s="2" t="s">
        <v>32235</v>
      </c>
      <c r="E3218" s="2" t="s">
        <v>32236</v>
      </c>
      <c r="G3218" s="3" t="s">
        <v>64</v>
      </c>
      <c r="I3218" s="3" t="s">
        <v>64</v>
      </c>
      <c r="J3218" s="3" t="s">
        <v>64</v>
      </c>
      <c r="K3218" s="3" t="s">
        <v>65</v>
      </c>
      <c r="L3218" s="2" t="s">
        <v>32237</v>
      </c>
      <c r="M3218" s="2" t="s">
        <v>14044</v>
      </c>
      <c r="N3218" s="3" t="s">
        <v>326</v>
      </c>
      <c r="P3218" s="3" t="s">
        <v>102</v>
      </c>
      <c r="R3218" s="3" t="s">
        <v>70</v>
      </c>
      <c r="S3218" s="4">
        <v>4</v>
      </c>
      <c r="T3218" s="4">
        <v>4</v>
      </c>
      <c r="U3218" s="5" t="s">
        <v>18028</v>
      </c>
      <c r="V3218" s="5" t="s">
        <v>18028</v>
      </c>
      <c r="W3218" s="5" t="s">
        <v>72</v>
      </c>
      <c r="X3218" s="5" t="s">
        <v>72</v>
      </c>
      <c r="Y3218" s="4">
        <v>387</v>
      </c>
      <c r="Z3218" s="4">
        <v>19</v>
      </c>
      <c r="AA3218" s="4">
        <v>20</v>
      </c>
      <c r="AB3218" s="4">
        <v>1</v>
      </c>
      <c r="AC3218" s="4">
        <v>2</v>
      </c>
      <c r="AD3218" s="4">
        <v>42</v>
      </c>
      <c r="AE3218" s="4">
        <v>43</v>
      </c>
      <c r="AF3218" s="4">
        <v>0</v>
      </c>
      <c r="AG3218" s="4">
        <v>1</v>
      </c>
      <c r="AH3218" s="4">
        <v>41</v>
      </c>
      <c r="AI3218" s="4">
        <v>41</v>
      </c>
      <c r="AJ3218" s="4">
        <v>6</v>
      </c>
      <c r="AK3218" s="4">
        <v>7</v>
      </c>
      <c r="AL3218" s="4">
        <v>15</v>
      </c>
      <c r="AM3218" s="4">
        <v>15</v>
      </c>
      <c r="AN3218" s="4">
        <v>0</v>
      </c>
      <c r="AO3218" s="4">
        <v>0</v>
      </c>
      <c r="AP3218" s="4">
        <v>6</v>
      </c>
      <c r="AQ3218" s="4">
        <v>6</v>
      </c>
      <c r="AR3218" s="3" t="s">
        <v>64</v>
      </c>
      <c r="AS3218" s="3" t="s">
        <v>64</v>
      </c>
      <c r="AT3218" s="3" t="s">
        <v>64</v>
      </c>
      <c r="AV3218" s="6" t="str">
        <f>HYPERLINK("http://mcgill.on.worldcat.org/oclc/601086457","Catalog Record")</f>
        <v>Catalog Record</v>
      </c>
      <c r="AW3218" s="6" t="str">
        <f>HYPERLINK("http://www.worldcat.org/oclc/601086457","WorldCat Record")</f>
        <v>WorldCat Record</v>
      </c>
      <c r="AX3218" s="3" t="s">
        <v>32238</v>
      </c>
      <c r="AY3218" s="3" t="s">
        <v>32239</v>
      </c>
      <c r="AZ3218" s="3" t="s">
        <v>32240</v>
      </c>
      <c r="BA3218" s="3" t="s">
        <v>32240</v>
      </c>
      <c r="BB3218" s="3" t="s">
        <v>32241</v>
      </c>
      <c r="BC3218" s="3" t="s">
        <v>77</v>
      </c>
      <c r="BD3218" s="3" t="s">
        <v>78</v>
      </c>
      <c r="BE3218" s="3" t="s">
        <v>32242</v>
      </c>
      <c r="BF3218" s="3" t="s">
        <v>32241</v>
      </c>
      <c r="BG3218" s="3" t="s">
        <v>32243</v>
      </c>
      <c r="BH3218">
        <f t="shared" si="77"/>
        <v>0</v>
      </c>
    </row>
    <row r="3219" spans="1:60" ht="58" x14ac:dyDescent="0.35">
      <c r="A3219" s="2" t="s">
        <v>59</v>
      </c>
      <c r="B3219" s="2" t="s">
        <v>60</v>
      </c>
      <c r="C3219" s="2" t="s">
        <v>32244</v>
      </c>
      <c r="D3219" s="2" t="s">
        <v>32245</v>
      </c>
      <c r="E3219" s="2" t="s">
        <v>32246</v>
      </c>
      <c r="G3219" s="3" t="s">
        <v>64</v>
      </c>
      <c r="I3219" s="3" t="s">
        <v>64</v>
      </c>
      <c r="J3219" s="3" t="s">
        <v>64</v>
      </c>
      <c r="K3219" s="3" t="s">
        <v>65</v>
      </c>
      <c r="L3219" s="2" t="s">
        <v>32247</v>
      </c>
      <c r="M3219" s="2" t="s">
        <v>32248</v>
      </c>
      <c r="N3219" s="3" t="s">
        <v>86</v>
      </c>
      <c r="P3219" s="3" t="s">
        <v>102</v>
      </c>
      <c r="Q3219" s="2" t="s">
        <v>32249</v>
      </c>
      <c r="R3219" s="3" t="s">
        <v>70</v>
      </c>
      <c r="S3219" s="4">
        <v>0</v>
      </c>
      <c r="T3219" s="4">
        <v>0</v>
      </c>
      <c r="W3219" s="5" t="s">
        <v>72</v>
      </c>
      <c r="X3219" s="5" t="s">
        <v>72</v>
      </c>
      <c r="Y3219" s="4">
        <v>112</v>
      </c>
      <c r="Z3219" s="4">
        <v>10</v>
      </c>
      <c r="AA3219" s="4">
        <v>115</v>
      </c>
      <c r="AB3219" s="4">
        <v>1</v>
      </c>
      <c r="AC3219" s="4">
        <v>16</v>
      </c>
      <c r="AD3219" s="4">
        <v>23</v>
      </c>
      <c r="AE3219" s="4">
        <v>111</v>
      </c>
      <c r="AF3219" s="4">
        <v>0</v>
      </c>
      <c r="AG3219" s="4">
        <v>8</v>
      </c>
      <c r="AH3219" s="4">
        <v>23</v>
      </c>
      <c r="AI3219" s="4">
        <v>71</v>
      </c>
      <c r="AJ3219" s="4">
        <v>4</v>
      </c>
      <c r="AK3219" s="4">
        <v>20</v>
      </c>
      <c r="AL3219" s="4">
        <v>8</v>
      </c>
      <c r="AM3219" s="4">
        <v>34</v>
      </c>
      <c r="AN3219" s="4">
        <v>0</v>
      </c>
      <c r="AO3219" s="4">
        <v>0</v>
      </c>
      <c r="AP3219" s="4">
        <v>4</v>
      </c>
      <c r="AQ3219" s="4">
        <v>44</v>
      </c>
      <c r="AR3219" s="3" t="s">
        <v>64</v>
      </c>
      <c r="AS3219" s="3" t="s">
        <v>64</v>
      </c>
      <c r="AT3219" s="3" t="s">
        <v>64</v>
      </c>
      <c r="AV3219" s="6" t="str">
        <f>HYPERLINK("http://mcgill.on.worldcat.org/oclc/777646716","Catalog Record")</f>
        <v>Catalog Record</v>
      </c>
      <c r="AW3219" s="6" t="str">
        <f>HYPERLINK("http://www.worldcat.org/oclc/777646716","WorldCat Record")</f>
        <v>WorldCat Record</v>
      </c>
      <c r="AX3219" s="3" t="s">
        <v>32250</v>
      </c>
      <c r="AY3219" s="3" t="s">
        <v>32251</v>
      </c>
      <c r="AZ3219" s="3" t="s">
        <v>32252</v>
      </c>
      <c r="BA3219" s="3" t="s">
        <v>32252</v>
      </c>
      <c r="BB3219" s="3" t="s">
        <v>32253</v>
      </c>
      <c r="BC3219" s="3" t="s">
        <v>77</v>
      </c>
      <c r="BD3219" s="3" t="s">
        <v>78</v>
      </c>
      <c r="BE3219" s="3" t="s">
        <v>32254</v>
      </c>
      <c r="BF3219" s="3" t="s">
        <v>32253</v>
      </c>
      <c r="BG3219" s="3" t="s">
        <v>32255</v>
      </c>
      <c r="BH3219">
        <f t="shared" si="77"/>
        <v>0</v>
      </c>
    </row>
    <row r="3220" spans="1:60" ht="58" x14ac:dyDescent="0.35">
      <c r="A3220" s="2" t="s">
        <v>59</v>
      </c>
      <c r="B3220" s="2" t="s">
        <v>60</v>
      </c>
      <c r="C3220" s="2" t="s">
        <v>32256</v>
      </c>
      <c r="D3220" s="2" t="s">
        <v>32257</v>
      </c>
      <c r="E3220" s="2" t="s">
        <v>32258</v>
      </c>
      <c r="G3220" s="3" t="s">
        <v>64</v>
      </c>
      <c r="I3220" s="3" t="s">
        <v>64</v>
      </c>
      <c r="J3220" s="3" t="s">
        <v>64</v>
      </c>
      <c r="K3220" s="3" t="s">
        <v>65</v>
      </c>
      <c r="L3220" s="2" t="s">
        <v>32247</v>
      </c>
      <c r="M3220" s="2" t="s">
        <v>14235</v>
      </c>
      <c r="N3220" s="3" t="s">
        <v>511</v>
      </c>
      <c r="P3220" s="3" t="s">
        <v>102</v>
      </c>
      <c r="R3220" s="3" t="s">
        <v>70</v>
      </c>
      <c r="S3220" s="4">
        <v>0</v>
      </c>
      <c r="T3220" s="4">
        <v>0</v>
      </c>
      <c r="W3220" s="5" t="s">
        <v>72</v>
      </c>
      <c r="X3220" s="5" t="s">
        <v>72</v>
      </c>
      <c r="Y3220" s="4">
        <v>249</v>
      </c>
      <c r="Z3220" s="4">
        <v>16</v>
      </c>
      <c r="AA3220" s="4">
        <v>105</v>
      </c>
      <c r="AB3220" s="4">
        <v>1</v>
      </c>
      <c r="AC3220" s="4">
        <v>18</v>
      </c>
      <c r="AD3220" s="4">
        <v>45</v>
      </c>
      <c r="AE3220" s="4">
        <v>115</v>
      </c>
      <c r="AF3220" s="4">
        <v>0</v>
      </c>
      <c r="AG3220" s="4">
        <v>8</v>
      </c>
      <c r="AH3220" s="4">
        <v>44</v>
      </c>
      <c r="AI3220" s="4">
        <v>79</v>
      </c>
      <c r="AJ3220" s="4">
        <v>6</v>
      </c>
      <c r="AK3220" s="4">
        <v>20</v>
      </c>
      <c r="AL3220" s="4">
        <v>19</v>
      </c>
      <c r="AM3220" s="4">
        <v>40</v>
      </c>
      <c r="AN3220" s="4">
        <v>0</v>
      </c>
      <c r="AO3220" s="4">
        <v>0</v>
      </c>
      <c r="AP3220" s="4">
        <v>6</v>
      </c>
      <c r="AQ3220" s="4">
        <v>41</v>
      </c>
      <c r="AR3220" s="3" t="s">
        <v>64</v>
      </c>
      <c r="AS3220" s="3" t="s">
        <v>64</v>
      </c>
      <c r="AT3220" s="3" t="s">
        <v>64</v>
      </c>
      <c r="AV3220" s="6" t="str">
        <f>HYPERLINK("http://mcgill.on.worldcat.org/oclc/550550784","Catalog Record")</f>
        <v>Catalog Record</v>
      </c>
      <c r="AW3220" s="6" t="str">
        <f>HYPERLINK("http://www.worldcat.org/oclc/550550784","WorldCat Record")</f>
        <v>WorldCat Record</v>
      </c>
      <c r="AX3220" s="3" t="s">
        <v>32259</v>
      </c>
      <c r="AY3220" s="3" t="s">
        <v>32260</v>
      </c>
      <c r="AZ3220" s="3" t="s">
        <v>32261</v>
      </c>
      <c r="BA3220" s="3" t="s">
        <v>32261</v>
      </c>
      <c r="BB3220" s="3" t="s">
        <v>32262</v>
      </c>
      <c r="BC3220" s="3" t="s">
        <v>77</v>
      </c>
      <c r="BD3220" s="3" t="s">
        <v>78</v>
      </c>
      <c r="BE3220" s="3" t="s">
        <v>32263</v>
      </c>
      <c r="BF3220" s="3" t="s">
        <v>32262</v>
      </c>
      <c r="BG3220" s="3" t="s">
        <v>32264</v>
      </c>
      <c r="BH3220">
        <f t="shared" si="77"/>
        <v>0</v>
      </c>
    </row>
    <row r="3221" spans="1:60" ht="58" x14ac:dyDescent="0.35">
      <c r="A3221" s="2" t="s">
        <v>59</v>
      </c>
      <c r="B3221" s="2" t="s">
        <v>60</v>
      </c>
      <c r="C3221" s="2" t="s">
        <v>32265</v>
      </c>
      <c r="D3221" s="2" t="s">
        <v>32266</v>
      </c>
      <c r="E3221" s="2" t="s">
        <v>32267</v>
      </c>
      <c r="G3221" s="3" t="s">
        <v>64</v>
      </c>
      <c r="I3221" s="3" t="s">
        <v>64</v>
      </c>
      <c r="J3221" s="3" t="s">
        <v>64</v>
      </c>
      <c r="K3221" s="3" t="s">
        <v>65</v>
      </c>
      <c r="L3221" s="2" t="s">
        <v>32268</v>
      </c>
      <c r="M3221" s="2" t="s">
        <v>18533</v>
      </c>
      <c r="N3221" s="3" t="s">
        <v>578</v>
      </c>
      <c r="O3221" s="2" t="s">
        <v>3787</v>
      </c>
      <c r="P3221" s="3" t="s">
        <v>102</v>
      </c>
      <c r="R3221" s="3" t="s">
        <v>70</v>
      </c>
      <c r="S3221" s="4">
        <v>0</v>
      </c>
      <c r="T3221" s="4">
        <v>0</v>
      </c>
      <c r="W3221" s="5" t="s">
        <v>72</v>
      </c>
      <c r="X3221" s="5" t="s">
        <v>72</v>
      </c>
      <c r="Y3221" s="4">
        <v>139</v>
      </c>
      <c r="Z3221" s="4">
        <v>4</v>
      </c>
      <c r="AA3221" s="4">
        <v>75</v>
      </c>
      <c r="AB3221" s="4">
        <v>1</v>
      </c>
      <c r="AC3221" s="4">
        <v>15</v>
      </c>
      <c r="AD3221" s="4">
        <v>25</v>
      </c>
      <c r="AE3221" s="4">
        <v>87</v>
      </c>
      <c r="AF3221" s="4">
        <v>0</v>
      </c>
      <c r="AG3221" s="4">
        <v>8</v>
      </c>
      <c r="AH3221" s="4">
        <v>25</v>
      </c>
      <c r="AI3221" s="4">
        <v>58</v>
      </c>
      <c r="AJ3221" s="4">
        <v>2</v>
      </c>
      <c r="AK3221" s="4">
        <v>16</v>
      </c>
      <c r="AL3221" s="4">
        <v>12</v>
      </c>
      <c r="AM3221" s="4">
        <v>28</v>
      </c>
      <c r="AN3221" s="4">
        <v>0</v>
      </c>
      <c r="AO3221" s="4">
        <v>0</v>
      </c>
      <c r="AP3221" s="4">
        <v>2</v>
      </c>
      <c r="AQ3221" s="4">
        <v>35</v>
      </c>
      <c r="AR3221" s="3" t="s">
        <v>64</v>
      </c>
      <c r="AS3221" s="3" t="s">
        <v>64</v>
      </c>
      <c r="AT3221" s="3" t="s">
        <v>64</v>
      </c>
      <c r="AV3221" s="6" t="str">
        <f>HYPERLINK("http://mcgill.on.worldcat.org/oclc/972384333","Catalog Record")</f>
        <v>Catalog Record</v>
      </c>
      <c r="AW3221" s="6" t="str">
        <f>HYPERLINK("http://www.worldcat.org/oclc/972384333","WorldCat Record")</f>
        <v>WorldCat Record</v>
      </c>
      <c r="AX3221" s="3" t="s">
        <v>32269</v>
      </c>
      <c r="AY3221" s="3" t="s">
        <v>32270</v>
      </c>
      <c r="AZ3221" s="3" t="s">
        <v>32271</v>
      </c>
      <c r="BA3221" s="3" t="s">
        <v>32271</v>
      </c>
      <c r="BB3221" s="3" t="s">
        <v>32272</v>
      </c>
      <c r="BC3221" s="3" t="s">
        <v>77</v>
      </c>
      <c r="BD3221" s="3" t="s">
        <v>78</v>
      </c>
      <c r="BE3221" s="3" t="s">
        <v>32273</v>
      </c>
      <c r="BF3221" s="3" t="s">
        <v>32272</v>
      </c>
      <c r="BG3221" s="3" t="s">
        <v>32274</v>
      </c>
      <c r="BH3221">
        <f t="shared" si="77"/>
        <v>0</v>
      </c>
    </row>
    <row r="3222" spans="1:60" ht="58" x14ac:dyDescent="0.35">
      <c r="A3222" s="2" t="s">
        <v>59</v>
      </c>
      <c r="B3222" s="2" t="s">
        <v>60</v>
      </c>
      <c r="C3222" s="2" t="s">
        <v>32275</v>
      </c>
      <c r="D3222" s="2" t="s">
        <v>32276</v>
      </c>
      <c r="E3222" s="2" t="s">
        <v>32277</v>
      </c>
      <c r="G3222" s="3" t="s">
        <v>64</v>
      </c>
      <c r="I3222" s="3" t="s">
        <v>64</v>
      </c>
      <c r="J3222" s="3" t="s">
        <v>64</v>
      </c>
      <c r="K3222" s="3" t="s">
        <v>65</v>
      </c>
      <c r="L3222" s="2" t="s">
        <v>32278</v>
      </c>
      <c r="M3222" s="2" t="s">
        <v>32279</v>
      </c>
      <c r="N3222" s="3" t="s">
        <v>1075</v>
      </c>
      <c r="P3222" s="3" t="s">
        <v>102</v>
      </c>
      <c r="R3222" s="3" t="s">
        <v>70</v>
      </c>
      <c r="S3222" s="4">
        <v>0</v>
      </c>
      <c r="T3222" s="4">
        <v>0</v>
      </c>
      <c r="W3222" s="5" t="s">
        <v>72</v>
      </c>
      <c r="X3222" s="5" t="s">
        <v>72</v>
      </c>
      <c r="Y3222" s="4">
        <v>271</v>
      </c>
      <c r="Z3222" s="4">
        <v>11</v>
      </c>
      <c r="AA3222" s="4">
        <v>100</v>
      </c>
      <c r="AB3222" s="4">
        <v>1</v>
      </c>
      <c r="AC3222" s="4">
        <v>15</v>
      </c>
      <c r="AD3222" s="4">
        <v>33</v>
      </c>
      <c r="AE3222" s="4">
        <v>97</v>
      </c>
      <c r="AF3222" s="4">
        <v>0</v>
      </c>
      <c r="AG3222" s="4">
        <v>8</v>
      </c>
      <c r="AH3222" s="4">
        <v>33</v>
      </c>
      <c r="AI3222" s="4">
        <v>64</v>
      </c>
      <c r="AJ3222" s="4">
        <v>3</v>
      </c>
      <c r="AK3222" s="4">
        <v>18</v>
      </c>
      <c r="AL3222" s="4">
        <v>12</v>
      </c>
      <c r="AM3222" s="4">
        <v>27</v>
      </c>
      <c r="AN3222" s="4">
        <v>0</v>
      </c>
      <c r="AO3222" s="4">
        <v>0</v>
      </c>
      <c r="AP3222" s="4">
        <v>3</v>
      </c>
      <c r="AQ3222" s="4">
        <v>39</v>
      </c>
      <c r="AR3222" s="3" t="s">
        <v>64</v>
      </c>
      <c r="AS3222" s="3" t="s">
        <v>64</v>
      </c>
      <c r="AT3222" s="3" t="s">
        <v>64</v>
      </c>
      <c r="AV3222" s="6" t="str">
        <f>HYPERLINK("http://mcgill.on.worldcat.org/oclc/794711895","Catalog Record")</f>
        <v>Catalog Record</v>
      </c>
      <c r="AW3222" s="6" t="str">
        <f>HYPERLINK("http://www.worldcat.org/oclc/794711895","WorldCat Record")</f>
        <v>WorldCat Record</v>
      </c>
      <c r="AX3222" s="3" t="s">
        <v>32280</v>
      </c>
      <c r="AY3222" s="3" t="s">
        <v>32281</v>
      </c>
      <c r="AZ3222" s="3" t="s">
        <v>32282</v>
      </c>
      <c r="BA3222" s="3" t="s">
        <v>32282</v>
      </c>
      <c r="BB3222" s="3" t="s">
        <v>32283</v>
      </c>
      <c r="BC3222" s="3" t="s">
        <v>77</v>
      </c>
      <c r="BD3222" s="3" t="s">
        <v>78</v>
      </c>
      <c r="BE3222" s="3" t="s">
        <v>32284</v>
      </c>
      <c r="BF3222" s="3" t="s">
        <v>32283</v>
      </c>
      <c r="BG3222" s="3" t="s">
        <v>32285</v>
      </c>
      <c r="BH3222">
        <f t="shared" si="77"/>
        <v>0</v>
      </c>
    </row>
    <row r="3223" spans="1:60" ht="58" x14ac:dyDescent="0.35">
      <c r="A3223" s="2" t="s">
        <v>59</v>
      </c>
      <c r="B3223" s="2" t="s">
        <v>60</v>
      </c>
      <c r="C3223" s="2" t="s">
        <v>32286</v>
      </c>
      <c r="D3223" s="2" t="s">
        <v>32287</v>
      </c>
      <c r="E3223" s="2" t="s">
        <v>32288</v>
      </c>
      <c r="G3223" s="3" t="s">
        <v>64</v>
      </c>
      <c r="I3223" s="3" t="s">
        <v>64</v>
      </c>
      <c r="J3223" s="3" t="s">
        <v>64</v>
      </c>
      <c r="K3223" s="3" t="s">
        <v>65</v>
      </c>
      <c r="L3223" s="2" t="s">
        <v>32289</v>
      </c>
      <c r="M3223" s="2" t="s">
        <v>14793</v>
      </c>
      <c r="N3223" s="3" t="s">
        <v>1075</v>
      </c>
      <c r="P3223" s="3" t="s">
        <v>102</v>
      </c>
      <c r="R3223" s="3" t="s">
        <v>70</v>
      </c>
      <c r="S3223" s="4">
        <v>0</v>
      </c>
      <c r="T3223" s="4">
        <v>0</v>
      </c>
      <c r="W3223" s="5" t="s">
        <v>72</v>
      </c>
      <c r="X3223" s="5" t="s">
        <v>72</v>
      </c>
      <c r="Y3223" s="4">
        <v>139</v>
      </c>
      <c r="Z3223" s="4">
        <v>12</v>
      </c>
      <c r="AA3223" s="4">
        <v>108</v>
      </c>
      <c r="AB3223" s="4">
        <v>1</v>
      </c>
      <c r="AC3223" s="4">
        <v>15</v>
      </c>
      <c r="AD3223" s="4">
        <v>28</v>
      </c>
      <c r="AE3223" s="4">
        <v>113</v>
      </c>
      <c r="AF3223" s="4">
        <v>0</v>
      </c>
      <c r="AG3223" s="4">
        <v>8</v>
      </c>
      <c r="AH3223" s="4">
        <v>28</v>
      </c>
      <c r="AI3223" s="4">
        <v>75</v>
      </c>
      <c r="AJ3223" s="4">
        <v>4</v>
      </c>
      <c r="AK3223" s="4">
        <v>20</v>
      </c>
      <c r="AL3223" s="4">
        <v>15</v>
      </c>
      <c r="AM3223" s="4">
        <v>37</v>
      </c>
      <c r="AN3223" s="4">
        <v>0</v>
      </c>
      <c r="AO3223" s="4">
        <v>0</v>
      </c>
      <c r="AP3223" s="4">
        <v>4</v>
      </c>
      <c r="AQ3223" s="4">
        <v>42</v>
      </c>
      <c r="AR3223" s="3" t="s">
        <v>64</v>
      </c>
      <c r="AS3223" s="3" t="s">
        <v>64</v>
      </c>
      <c r="AT3223" s="3" t="s">
        <v>64</v>
      </c>
      <c r="AV3223" s="6" t="str">
        <f>HYPERLINK("http://mcgill.on.worldcat.org/oclc/821560075","Catalog Record")</f>
        <v>Catalog Record</v>
      </c>
      <c r="AW3223" s="6" t="str">
        <f>HYPERLINK("http://www.worldcat.org/oclc/821560075","WorldCat Record")</f>
        <v>WorldCat Record</v>
      </c>
      <c r="AX3223" s="3" t="s">
        <v>32290</v>
      </c>
      <c r="AY3223" s="3" t="s">
        <v>32291</v>
      </c>
      <c r="AZ3223" s="3" t="s">
        <v>32292</v>
      </c>
      <c r="BA3223" s="3" t="s">
        <v>32292</v>
      </c>
      <c r="BB3223" s="3" t="s">
        <v>32293</v>
      </c>
      <c r="BC3223" s="3" t="s">
        <v>77</v>
      </c>
      <c r="BD3223" s="3" t="s">
        <v>78</v>
      </c>
      <c r="BE3223" s="3" t="s">
        <v>32294</v>
      </c>
      <c r="BF3223" s="3" t="s">
        <v>32293</v>
      </c>
      <c r="BG3223" s="3" t="s">
        <v>32295</v>
      </c>
      <c r="BH3223">
        <f t="shared" si="77"/>
        <v>0</v>
      </c>
    </row>
    <row r="3224" spans="1:60" ht="58" x14ac:dyDescent="0.35">
      <c r="A3224" s="2" t="s">
        <v>59</v>
      </c>
      <c r="B3224" s="2" t="s">
        <v>60</v>
      </c>
      <c r="C3224" s="2" t="s">
        <v>32296</v>
      </c>
      <c r="D3224" s="2" t="s">
        <v>32297</v>
      </c>
      <c r="E3224" s="2" t="s">
        <v>32298</v>
      </c>
      <c r="G3224" s="3" t="s">
        <v>64</v>
      </c>
      <c r="I3224" s="3" t="s">
        <v>64</v>
      </c>
      <c r="J3224" s="3" t="s">
        <v>64</v>
      </c>
      <c r="K3224" s="3" t="s">
        <v>65</v>
      </c>
      <c r="L3224" s="2" t="s">
        <v>32299</v>
      </c>
      <c r="M3224" s="2" t="s">
        <v>13017</v>
      </c>
      <c r="N3224" s="3" t="s">
        <v>86</v>
      </c>
      <c r="P3224" s="3" t="s">
        <v>102</v>
      </c>
      <c r="R3224" s="3" t="s">
        <v>70</v>
      </c>
      <c r="S3224" s="4">
        <v>0</v>
      </c>
      <c r="T3224" s="4">
        <v>0</v>
      </c>
      <c r="W3224" s="5" t="s">
        <v>72</v>
      </c>
      <c r="X3224" s="5" t="s">
        <v>72</v>
      </c>
      <c r="Y3224" s="4">
        <v>53</v>
      </c>
      <c r="Z3224" s="4">
        <v>6</v>
      </c>
      <c r="AA3224" s="4">
        <v>76</v>
      </c>
      <c r="AB3224" s="4">
        <v>1</v>
      </c>
      <c r="AC3224" s="4">
        <v>15</v>
      </c>
      <c r="AD3224" s="4">
        <v>7</v>
      </c>
      <c r="AE3224" s="4">
        <v>77</v>
      </c>
      <c r="AF3224" s="4">
        <v>0</v>
      </c>
      <c r="AG3224" s="4">
        <v>8</v>
      </c>
      <c r="AH3224" s="4">
        <v>6</v>
      </c>
      <c r="AI3224" s="4">
        <v>45</v>
      </c>
      <c r="AJ3224" s="4">
        <v>4</v>
      </c>
      <c r="AK3224" s="4">
        <v>18</v>
      </c>
      <c r="AL3224" s="4">
        <v>4</v>
      </c>
      <c r="AM3224" s="4">
        <v>21</v>
      </c>
      <c r="AN3224" s="4">
        <v>0</v>
      </c>
      <c r="AO3224" s="4">
        <v>0</v>
      </c>
      <c r="AP3224" s="4">
        <v>4</v>
      </c>
      <c r="AQ3224" s="4">
        <v>39</v>
      </c>
      <c r="AR3224" s="3" t="s">
        <v>64</v>
      </c>
      <c r="AS3224" s="3" t="s">
        <v>64</v>
      </c>
      <c r="AT3224" s="3" t="s">
        <v>64</v>
      </c>
      <c r="AV3224" s="6" t="str">
        <f>HYPERLINK("http://mcgill.on.worldcat.org/oclc/776919989","Catalog Record")</f>
        <v>Catalog Record</v>
      </c>
      <c r="AW3224" s="6" t="str">
        <f>HYPERLINK("http://www.worldcat.org/oclc/776919989","WorldCat Record")</f>
        <v>WorldCat Record</v>
      </c>
      <c r="AX3224" s="3" t="s">
        <v>32300</v>
      </c>
      <c r="AY3224" s="3" t="s">
        <v>32301</v>
      </c>
      <c r="AZ3224" s="3" t="s">
        <v>32302</v>
      </c>
      <c r="BA3224" s="3" t="s">
        <v>32302</v>
      </c>
      <c r="BB3224" s="3" t="s">
        <v>32303</v>
      </c>
      <c r="BC3224" s="3" t="s">
        <v>77</v>
      </c>
      <c r="BD3224" s="3" t="s">
        <v>78</v>
      </c>
      <c r="BE3224" s="3" t="s">
        <v>32304</v>
      </c>
      <c r="BF3224" s="3" t="s">
        <v>32303</v>
      </c>
      <c r="BG3224" s="3" t="s">
        <v>32305</v>
      </c>
      <c r="BH3224">
        <f t="shared" si="77"/>
        <v>0</v>
      </c>
    </row>
    <row r="3225" spans="1:60" ht="58" x14ac:dyDescent="0.35">
      <c r="A3225" s="2" t="s">
        <v>59</v>
      </c>
      <c r="B3225" s="2" t="s">
        <v>60</v>
      </c>
      <c r="C3225" s="2" t="s">
        <v>32306</v>
      </c>
      <c r="D3225" s="2" t="s">
        <v>32307</v>
      </c>
      <c r="E3225" s="2" t="s">
        <v>32308</v>
      </c>
      <c r="G3225" s="3" t="s">
        <v>64</v>
      </c>
      <c r="I3225" s="3" t="s">
        <v>64</v>
      </c>
      <c r="J3225" s="3" t="s">
        <v>64</v>
      </c>
      <c r="K3225" s="3" t="s">
        <v>65</v>
      </c>
      <c r="L3225" s="2" t="s">
        <v>32309</v>
      </c>
      <c r="M3225" s="2" t="s">
        <v>32248</v>
      </c>
      <c r="N3225" s="3" t="s">
        <v>86</v>
      </c>
      <c r="P3225" s="3" t="s">
        <v>102</v>
      </c>
      <c r="Q3225" s="2" t="s">
        <v>32249</v>
      </c>
      <c r="R3225" s="3" t="s">
        <v>70</v>
      </c>
      <c r="S3225" s="4">
        <v>0</v>
      </c>
      <c r="T3225" s="4">
        <v>0</v>
      </c>
      <c r="W3225" s="5" t="s">
        <v>72</v>
      </c>
      <c r="X3225" s="5" t="s">
        <v>72</v>
      </c>
      <c r="Y3225" s="4">
        <v>96</v>
      </c>
      <c r="Z3225" s="4">
        <v>9</v>
      </c>
      <c r="AA3225" s="4">
        <v>118</v>
      </c>
      <c r="AB3225" s="4">
        <v>1</v>
      </c>
      <c r="AC3225" s="4">
        <v>17</v>
      </c>
      <c r="AD3225" s="4">
        <v>22</v>
      </c>
      <c r="AE3225" s="4">
        <v>110</v>
      </c>
      <c r="AF3225" s="4">
        <v>0</v>
      </c>
      <c r="AG3225" s="4">
        <v>8</v>
      </c>
      <c r="AH3225" s="4">
        <v>21</v>
      </c>
      <c r="AI3225" s="4">
        <v>69</v>
      </c>
      <c r="AJ3225" s="4">
        <v>6</v>
      </c>
      <c r="AK3225" s="4">
        <v>22</v>
      </c>
      <c r="AL3225" s="4">
        <v>8</v>
      </c>
      <c r="AM3225" s="4">
        <v>31</v>
      </c>
      <c r="AN3225" s="4">
        <v>0</v>
      </c>
      <c r="AO3225" s="4">
        <v>0</v>
      </c>
      <c r="AP3225" s="4">
        <v>6</v>
      </c>
      <c r="AQ3225" s="4">
        <v>46</v>
      </c>
      <c r="AR3225" s="3" t="s">
        <v>64</v>
      </c>
      <c r="AS3225" s="3" t="s">
        <v>64</v>
      </c>
      <c r="AT3225" s="3" t="s">
        <v>64</v>
      </c>
      <c r="AV3225" s="6" t="str">
        <f>HYPERLINK("http://mcgill.on.worldcat.org/oclc/781499551","Catalog Record")</f>
        <v>Catalog Record</v>
      </c>
      <c r="AW3225" s="6" t="str">
        <f>HYPERLINK("http://www.worldcat.org/oclc/781499551","WorldCat Record")</f>
        <v>WorldCat Record</v>
      </c>
      <c r="AX3225" s="3" t="s">
        <v>32310</v>
      </c>
      <c r="AY3225" s="3" t="s">
        <v>32311</v>
      </c>
      <c r="AZ3225" s="3" t="s">
        <v>32312</v>
      </c>
      <c r="BA3225" s="3" t="s">
        <v>32312</v>
      </c>
      <c r="BB3225" s="3" t="s">
        <v>32313</v>
      </c>
      <c r="BC3225" s="3" t="s">
        <v>77</v>
      </c>
      <c r="BD3225" s="3" t="s">
        <v>78</v>
      </c>
      <c r="BE3225" s="3" t="s">
        <v>32314</v>
      </c>
      <c r="BF3225" s="3" t="s">
        <v>32313</v>
      </c>
      <c r="BG3225" s="3" t="s">
        <v>32315</v>
      </c>
      <c r="BH3225">
        <f t="shared" si="77"/>
        <v>0</v>
      </c>
    </row>
    <row r="3226" spans="1:60" ht="58" x14ac:dyDescent="0.35">
      <c r="A3226" s="2" t="s">
        <v>59</v>
      </c>
      <c r="B3226" s="2" t="s">
        <v>60</v>
      </c>
      <c r="C3226" s="2" t="s">
        <v>32316</v>
      </c>
      <c r="D3226" s="2" t="s">
        <v>32317</v>
      </c>
      <c r="E3226" s="2" t="s">
        <v>32318</v>
      </c>
      <c r="G3226" s="3" t="s">
        <v>64</v>
      </c>
      <c r="I3226" s="3" t="s">
        <v>64</v>
      </c>
      <c r="J3226" s="3" t="s">
        <v>64</v>
      </c>
      <c r="K3226" s="3" t="s">
        <v>65</v>
      </c>
      <c r="L3226" s="2" t="s">
        <v>32319</v>
      </c>
      <c r="M3226" s="2" t="s">
        <v>18156</v>
      </c>
      <c r="N3226" s="3" t="s">
        <v>326</v>
      </c>
      <c r="P3226" s="3" t="s">
        <v>102</v>
      </c>
      <c r="Q3226" s="2" t="s">
        <v>32320</v>
      </c>
      <c r="R3226" s="3" t="s">
        <v>70</v>
      </c>
      <c r="S3226" s="4">
        <v>0</v>
      </c>
      <c r="T3226" s="4">
        <v>0</v>
      </c>
      <c r="W3226" s="5" t="s">
        <v>72</v>
      </c>
      <c r="X3226" s="5" t="s">
        <v>72</v>
      </c>
      <c r="Y3226" s="4">
        <v>103</v>
      </c>
      <c r="Z3226" s="4">
        <v>9</v>
      </c>
      <c r="AA3226" s="4">
        <v>14</v>
      </c>
      <c r="AB3226" s="4">
        <v>1</v>
      </c>
      <c r="AC3226" s="4">
        <v>5</v>
      </c>
      <c r="AD3226" s="4">
        <v>22</v>
      </c>
      <c r="AE3226" s="4">
        <v>24</v>
      </c>
      <c r="AF3226" s="4">
        <v>0</v>
      </c>
      <c r="AG3226" s="4">
        <v>1</v>
      </c>
      <c r="AH3226" s="4">
        <v>22</v>
      </c>
      <c r="AI3226" s="4">
        <v>23</v>
      </c>
      <c r="AJ3226" s="4">
        <v>4</v>
      </c>
      <c r="AK3226" s="4">
        <v>5</v>
      </c>
      <c r="AL3226" s="4">
        <v>12</v>
      </c>
      <c r="AM3226" s="4">
        <v>13</v>
      </c>
      <c r="AN3226" s="4">
        <v>0</v>
      </c>
      <c r="AO3226" s="4">
        <v>0</v>
      </c>
      <c r="AP3226" s="4">
        <v>4</v>
      </c>
      <c r="AQ3226" s="4">
        <v>4</v>
      </c>
      <c r="AR3226" s="3" t="s">
        <v>64</v>
      </c>
      <c r="AS3226" s="3" t="s">
        <v>64</v>
      </c>
      <c r="AT3226" s="3" t="s">
        <v>64</v>
      </c>
      <c r="AV3226" s="6" t="str">
        <f>HYPERLINK("http://mcgill.on.worldcat.org/oclc/422757099","Catalog Record")</f>
        <v>Catalog Record</v>
      </c>
      <c r="AW3226" s="6" t="str">
        <f>HYPERLINK("http://www.worldcat.org/oclc/422757099","WorldCat Record")</f>
        <v>WorldCat Record</v>
      </c>
      <c r="AX3226" s="3" t="s">
        <v>32321</v>
      </c>
      <c r="AY3226" s="3" t="s">
        <v>32322</v>
      </c>
      <c r="AZ3226" s="3" t="s">
        <v>32323</v>
      </c>
      <c r="BA3226" s="3" t="s">
        <v>32323</v>
      </c>
      <c r="BB3226" s="3" t="s">
        <v>32324</v>
      </c>
      <c r="BC3226" s="3" t="s">
        <v>77</v>
      </c>
      <c r="BD3226" s="3" t="s">
        <v>78</v>
      </c>
      <c r="BE3226" s="3" t="s">
        <v>32325</v>
      </c>
      <c r="BF3226" s="3" t="s">
        <v>32324</v>
      </c>
      <c r="BG3226" s="3" t="s">
        <v>32326</v>
      </c>
      <c r="BH3226">
        <f t="shared" si="77"/>
        <v>0</v>
      </c>
    </row>
    <row r="3227" spans="1:60" ht="58" x14ac:dyDescent="0.35">
      <c r="A3227" s="2" t="s">
        <v>59</v>
      </c>
      <c r="B3227" s="2" t="s">
        <v>60</v>
      </c>
      <c r="C3227" s="2" t="s">
        <v>32327</v>
      </c>
      <c r="D3227" s="2" t="s">
        <v>32328</v>
      </c>
      <c r="E3227" s="2" t="s">
        <v>32329</v>
      </c>
      <c r="G3227" s="3" t="s">
        <v>64</v>
      </c>
      <c r="I3227" s="3" t="s">
        <v>64</v>
      </c>
      <c r="J3227" s="3" t="s">
        <v>64</v>
      </c>
      <c r="K3227" s="3" t="s">
        <v>65</v>
      </c>
      <c r="L3227" s="2" t="s">
        <v>32330</v>
      </c>
      <c r="M3227" s="2" t="s">
        <v>32248</v>
      </c>
      <c r="N3227" s="3" t="s">
        <v>86</v>
      </c>
      <c r="P3227" s="3" t="s">
        <v>102</v>
      </c>
      <c r="Q3227" s="2" t="s">
        <v>32249</v>
      </c>
      <c r="R3227" s="3" t="s">
        <v>70</v>
      </c>
      <c r="S3227" s="4">
        <v>1</v>
      </c>
      <c r="T3227" s="4">
        <v>1</v>
      </c>
      <c r="U3227" s="5" t="s">
        <v>32331</v>
      </c>
      <c r="V3227" s="5" t="s">
        <v>32331</v>
      </c>
      <c r="W3227" s="5" t="s">
        <v>72</v>
      </c>
      <c r="X3227" s="5" t="s">
        <v>72</v>
      </c>
      <c r="Y3227" s="4">
        <v>138</v>
      </c>
      <c r="Z3227" s="4">
        <v>9</v>
      </c>
      <c r="AA3227" s="4">
        <v>103</v>
      </c>
      <c r="AB3227" s="4">
        <v>1</v>
      </c>
      <c r="AC3227" s="4">
        <v>14</v>
      </c>
      <c r="AD3227" s="4">
        <v>23</v>
      </c>
      <c r="AE3227" s="4">
        <v>104</v>
      </c>
      <c r="AF3227" s="4">
        <v>0</v>
      </c>
      <c r="AG3227" s="4">
        <v>8</v>
      </c>
      <c r="AH3227" s="4">
        <v>23</v>
      </c>
      <c r="AI3227" s="4">
        <v>66</v>
      </c>
      <c r="AJ3227" s="4">
        <v>4</v>
      </c>
      <c r="AK3227" s="4">
        <v>20</v>
      </c>
      <c r="AL3227" s="4">
        <v>11</v>
      </c>
      <c r="AM3227" s="4">
        <v>32</v>
      </c>
      <c r="AN3227" s="4">
        <v>0</v>
      </c>
      <c r="AO3227" s="4">
        <v>0</v>
      </c>
      <c r="AP3227" s="4">
        <v>4</v>
      </c>
      <c r="AQ3227" s="4">
        <v>42</v>
      </c>
      <c r="AR3227" s="3" t="s">
        <v>64</v>
      </c>
      <c r="AS3227" s="3" t="s">
        <v>64</v>
      </c>
      <c r="AT3227" s="3" t="s">
        <v>64</v>
      </c>
      <c r="AV3227" s="6" t="str">
        <f>HYPERLINK("http://mcgill.on.worldcat.org/oclc/759912504","Catalog Record")</f>
        <v>Catalog Record</v>
      </c>
      <c r="AW3227" s="6" t="str">
        <f>HYPERLINK("http://www.worldcat.org/oclc/759912504","WorldCat Record")</f>
        <v>WorldCat Record</v>
      </c>
      <c r="AX3227" s="3" t="s">
        <v>32332</v>
      </c>
      <c r="AY3227" s="3" t="s">
        <v>32333</v>
      </c>
      <c r="AZ3227" s="3" t="s">
        <v>32334</v>
      </c>
      <c r="BA3227" s="3" t="s">
        <v>32334</v>
      </c>
      <c r="BB3227" s="3" t="s">
        <v>32335</v>
      </c>
      <c r="BC3227" s="3" t="s">
        <v>77</v>
      </c>
      <c r="BD3227" s="3" t="s">
        <v>78</v>
      </c>
      <c r="BE3227" s="3" t="s">
        <v>32336</v>
      </c>
      <c r="BF3227" s="3" t="s">
        <v>32335</v>
      </c>
      <c r="BG3227" s="3" t="s">
        <v>32337</v>
      </c>
      <c r="BH3227">
        <f t="shared" si="77"/>
        <v>0</v>
      </c>
    </row>
    <row r="3228" spans="1:60" ht="58" x14ac:dyDescent="0.35">
      <c r="A3228" s="2" t="s">
        <v>59</v>
      </c>
      <c r="B3228" s="2" t="s">
        <v>60</v>
      </c>
      <c r="C3228" s="2" t="s">
        <v>32338</v>
      </c>
      <c r="D3228" s="2" t="s">
        <v>32339</v>
      </c>
      <c r="E3228" s="2" t="s">
        <v>32340</v>
      </c>
      <c r="G3228" s="3" t="s">
        <v>64</v>
      </c>
      <c r="I3228" s="3" t="s">
        <v>64</v>
      </c>
      <c r="J3228" s="3" t="s">
        <v>128</v>
      </c>
      <c r="K3228" s="3" t="s">
        <v>65</v>
      </c>
      <c r="L3228" s="2" t="s">
        <v>32341</v>
      </c>
      <c r="M3228" s="2" t="s">
        <v>14044</v>
      </c>
      <c r="N3228" s="3" t="s">
        <v>326</v>
      </c>
      <c r="O3228" s="2" t="s">
        <v>172</v>
      </c>
      <c r="P3228" s="3" t="s">
        <v>102</v>
      </c>
      <c r="R3228" s="3" t="s">
        <v>70</v>
      </c>
      <c r="S3228" s="4">
        <v>2</v>
      </c>
      <c r="T3228" s="4">
        <v>2</v>
      </c>
      <c r="U3228" s="5" t="s">
        <v>23298</v>
      </c>
      <c r="V3228" s="5" t="s">
        <v>23298</v>
      </c>
      <c r="W3228" s="5" t="s">
        <v>72</v>
      </c>
      <c r="X3228" s="5" t="s">
        <v>72</v>
      </c>
      <c r="Y3228" s="4">
        <v>352</v>
      </c>
      <c r="Z3228" s="4">
        <v>25</v>
      </c>
      <c r="AA3228" s="4">
        <v>131</v>
      </c>
      <c r="AB3228" s="4">
        <v>2</v>
      </c>
      <c r="AC3228" s="4">
        <v>19</v>
      </c>
      <c r="AD3228" s="4">
        <v>58</v>
      </c>
      <c r="AE3228" s="4">
        <v>135</v>
      </c>
      <c r="AF3228" s="4">
        <v>1</v>
      </c>
      <c r="AG3228" s="4">
        <v>8</v>
      </c>
      <c r="AH3228" s="4">
        <v>49</v>
      </c>
      <c r="AI3228" s="4">
        <v>95</v>
      </c>
      <c r="AJ3228" s="4">
        <v>9</v>
      </c>
      <c r="AK3228" s="4">
        <v>23</v>
      </c>
      <c r="AL3228" s="4">
        <v>22</v>
      </c>
      <c r="AM3228" s="4">
        <v>47</v>
      </c>
      <c r="AN3228" s="4">
        <v>0</v>
      </c>
      <c r="AO3228" s="4">
        <v>0</v>
      </c>
      <c r="AP3228" s="4">
        <v>15</v>
      </c>
      <c r="AQ3228" s="4">
        <v>48</v>
      </c>
      <c r="AR3228" s="3" t="s">
        <v>64</v>
      </c>
      <c r="AS3228" s="3" t="s">
        <v>64</v>
      </c>
      <c r="AT3228" s="3" t="s">
        <v>64</v>
      </c>
      <c r="AV3228" s="6" t="str">
        <f>HYPERLINK("http://mcgill.on.worldcat.org/oclc/607574045","Catalog Record")</f>
        <v>Catalog Record</v>
      </c>
      <c r="AW3228" s="6" t="str">
        <f>HYPERLINK("http://www.worldcat.org/oclc/607574045","WorldCat Record")</f>
        <v>WorldCat Record</v>
      </c>
      <c r="AX3228" s="3" t="s">
        <v>32342</v>
      </c>
      <c r="AY3228" s="3" t="s">
        <v>32343</v>
      </c>
      <c r="AZ3228" s="3" t="s">
        <v>32344</v>
      </c>
      <c r="BA3228" s="3" t="s">
        <v>32344</v>
      </c>
      <c r="BB3228" s="3" t="s">
        <v>32345</v>
      </c>
      <c r="BC3228" s="3" t="s">
        <v>77</v>
      </c>
      <c r="BD3228" s="3" t="s">
        <v>78</v>
      </c>
      <c r="BE3228" s="3" t="s">
        <v>32346</v>
      </c>
      <c r="BF3228" s="3" t="s">
        <v>32345</v>
      </c>
      <c r="BG3228" s="3" t="s">
        <v>32347</v>
      </c>
      <c r="BH3228">
        <f t="shared" si="77"/>
        <v>0</v>
      </c>
    </row>
    <row r="3229" spans="1:60" ht="58" x14ac:dyDescent="0.35">
      <c r="A3229" s="2" t="s">
        <v>59</v>
      </c>
      <c r="B3229" s="2" t="s">
        <v>60</v>
      </c>
      <c r="C3229" s="2" t="s">
        <v>32348</v>
      </c>
      <c r="D3229" s="2" t="s">
        <v>32349</v>
      </c>
      <c r="E3229" s="2" t="s">
        <v>32350</v>
      </c>
      <c r="G3229" s="3" t="s">
        <v>64</v>
      </c>
      <c r="I3229" s="3" t="s">
        <v>64</v>
      </c>
      <c r="J3229" s="3" t="s">
        <v>64</v>
      </c>
      <c r="K3229" s="3" t="s">
        <v>65</v>
      </c>
      <c r="M3229" s="2" t="s">
        <v>16855</v>
      </c>
      <c r="N3229" s="3" t="s">
        <v>67</v>
      </c>
      <c r="P3229" s="3" t="s">
        <v>102</v>
      </c>
      <c r="R3229" s="3" t="s">
        <v>70</v>
      </c>
      <c r="S3229" s="4">
        <v>1</v>
      </c>
      <c r="T3229" s="4">
        <v>1</v>
      </c>
      <c r="U3229" s="5" t="s">
        <v>4061</v>
      </c>
      <c r="V3229" s="5" t="s">
        <v>4061</v>
      </c>
      <c r="W3229" s="5" t="s">
        <v>72</v>
      </c>
      <c r="X3229" s="5" t="s">
        <v>72</v>
      </c>
      <c r="Y3229" s="4">
        <v>181</v>
      </c>
      <c r="Z3229" s="4">
        <v>7</v>
      </c>
      <c r="AA3229" s="4">
        <v>102</v>
      </c>
      <c r="AB3229" s="4">
        <v>1</v>
      </c>
      <c r="AC3229" s="4">
        <v>14</v>
      </c>
      <c r="AD3229" s="4">
        <v>32</v>
      </c>
      <c r="AE3229" s="4">
        <v>100</v>
      </c>
      <c r="AF3229" s="4">
        <v>0</v>
      </c>
      <c r="AG3229" s="4">
        <v>8</v>
      </c>
      <c r="AH3229" s="4">
        <v>32</v>
      </c>
      <c r="AI3229" s="4">
        <v>64</v>
      </c>
      <c r="AJ3229" s="4">
        <v>2</v>
      </c>
      <c r="AK3229" s="4">
        <v>20</v>
      </c>
      <c r="AL3229" s="4">
        <v>14</v>
      </c>
      <c r="AM3229" s="4">
        <v>31</v>
      </c>
      <c r="AN3229" s="4">
        <v>0</v>
      </c>
      <c r="AO3229" s="4">
        <v>0</v>
      </c>
      <c r="AP3229" s="4">
        <v>2</v>
      </c>
      <c r="AQ3229" s="4">
        <v>42</v>
      </c>
      <c r="AR3229" s="3" t="s">
        <v>64</v>
      </c>
      <c r="AS3229" s="3" t="s">
        <v>64</v>
      </c>
      <c r="AT3229" s="3" t="s">
        <v>64</v>
      </c>
      <c r="AV3229" s="6" t="str">
        <f>HYPERLINK("http://mcgill.on.worldcat.org/oclc/871819688","Catalog Record")</f>
        <v>Catalog Record</v>
      </c>
      <c r="AW3229" s="6" t="str">
        <f>HYPERLINK("http://www.worldcat.org/oclc/871819688","WorldCat Record")</f>
        <v>WorldCat Record</v>
      </c>
      <c r="AX3229" s="3" t="s">
        <v>32351</v>
      </c>
      <c r="AY3229" s="3" t="s">
        <v>32352</v>
      </c>
      <c r="AZ3229" s="3" t="s">
        <v>32353</v>
      </c>
      <c r="BA3229" s="3" t="s">
        <v>32353</v>
      </c>
      <c r="BB3229" s="3" t="s">
        <v>32354</v>
      </c>
      <c r="BC3229" s="3" t="s">
        <v>77</v>
      </c>
      <c r="BD3229" s="3" t="s">
        <v>78</v>
      </c>
      <c r="BE3229" s="3" t="s">
        <v>32355</v>
      </c>
      <c r="BF3229" s="3" t="s">
        <v>32354</v>
      </c>
      <c r="BG3229" s="3" t="s">
        <v>32356</v>
      </c>
      <c r="BH3229">
        <f t="shared" si="77"/>
        <v>0</v>
      </c>
    </row>
    <row r="3230" spans="1:60" ht="58" x14ac:dyDescent="0.35">
      <c r="A3230" s="2" t="s">
        <v>59</v>
      </c>
      <c r="B3230" s="2" t="s">
        <v>60</v>
      </c>
      <c r="C3230" s="2" t="s">
        <v>32357</v>
      </c>
      <c r="D3230" s="2" t="s">
        <v>32358</v>
      </c>
      <c r="E3230" s="2" t="s">
        <v>32359</v>
      </c>
      <c r="G3230" s="3" t="s">
        <v>64</v>
      </c>
      <c r="I3230" s="3" t="s">
        <v>64</v>
      </c>
      <c r="J3230" s="3" t="s">
        <v>64</v>
      </c>
      <c r="K3230" s="3" t="s">
        <v>65</v>
      </c>
      <c r="L3230" s="2" t="s">
        <v>32360</v>
      </c>
      <c r="M3230" s="2" t="s">
        <v>32361</v>
      </c>
      <c r="N3230" s="3" t="s">
        <v>326</v>
      </c>
      <c r="P3230" s="3" t="s">
        <v>102</v>
      </c>
      <c r="R3230" s="3" t="s">
        <v>70</v>
      </c>
      <c r="S3230" s="4">
        <v>3</v>
      </c>
      <c r="T3230" s="4">
        <v>3</v>
      </c>
      <c r="U3230" s="5" t="s">
        <v>18078</v>
      </c>
      <c r="V3230" s="5" t="s">
        <v>18078</v>
      </c>
      <c r="W3230" s="5" t="s">
        <v>72</v>
      </c>
      <c r="X3230" s="5" t="s">
        <v>72</v>
      </c>
      <c r="Y3230" s="4">
        <v>83</v>
      </c>
      <c r="Z3230" s="4">
        <v>11</v>
      </c>
      <c r="AA3230" s="4">
        <v>29</v>
      </c>
      <c r="AB3230" s="4">
        <v>1</v>
      </c>
      <c r="AC3230" s="4">
        <v>3</v>
      </c>
      <c r="AD3230" s="4">
        <v>12</v>
      </c>
      <c r="AE3230" s="4">
        <v>21</v>
      </c>
      <c r="AF3230" s="4">
        <v>0</v>
      </c>
      <c r="AG3230" s="4">
        <v>0</v>
      </c>
      <c r="AH3230" s="4">
        <v>12</v>
      </c>
      <c r="AI3230" s="4">
        <v>19</v>
      </c>
      <c r="AJ3230" s="4">
        <v>4</v>
      </c>
      <c r="AK3230" s="4">
        <v>4</v>
      </c>
      <c r="AL3230" s="4">
        <v>5</v>
      </c>
      <c r="AM3230" s="4">
        <v>9</v>
      </c>
      <c r="AN3230" s="4">
        <v>0</v>
      </c>
      <c r="AO3230" s="4">
        <v>0</v>
      </c>
      <c r="AP3230" s="4">
        <v>4</v>
      </c>
      <c r="AQ3230" s="4">
        <v>6</v>
      </c>
      <c r="AR3230" s="3" t="s">
        <v>64</v>
      </c>
      <c r="AS3230" s="3" t="s">
        <v>64</v>
      </c>
      <c r="AT3230" s="3" t="s">
        <v>64</v>
      </c>
      <c r="AV3230" s="6" t="str">
        <f>HYPERLINK("http://mcgill.on.worldcat.org/oclc/630498138","Catalog Record")</f>
        <v>Catalog Record</v>
      </c>
      <c r="AW3230" s="6" t="str">
        <f>HYPERLINK("http://www.worldcat.org/oclc/630498138","WorldCat Record")</f>
        <v>WorldCat Record</v>
      </c>
      <c r="AX3230" s="3" t="s">
        <v>32362</v>
      </c>
      <c r="AY3230" s="3" t="s">
        <v>32363</v>
      </c>
      <c r="AZ3230" s="3" t="s">
        <v>32364</v>
      </c>
      <c r="BA3230" s="3" t="s">
        <v>32364</v>
      </c>
      <c r="BB3230" s="3" t="s">
        <v>32365</v>
      </c>
      <c r="BC3230" s="3" t="s">
        <v>77</v>
      </c>
      <c r="BD3230" s="3" t="s">
        <v>78</v>
      </c>
      <c r="BE3230" s="3" t="s">
        <v>32366</v>
      </c>
      <c r="BF3230" s="3" t="s">
        <v>32365</v>
      </c>
      <c r="BG3230" s="3" t="s">
        <v>32367</v>
      </c>
      <c r="BH3230">
        <f t="shared" si="77"/>
        <v>0</v>
      </c>
    </row>
    <row r="3231" spans="1:60" ht="58" x14ac:dyDescent="0.35">
      <c r="A3231" s="2" t="s">
        <v>59</v>
      </c>
      <c r="B3231" s="2" t="s">
        <v>60</v>
      </c>
      <c r="C3231" s="2" t="s">
        <v>32368</v>
      </c>
      <c r="D3231" s="2" t="s">
        <v>32369</v>
      </c>
      <c r="E3231" s="2" t="s">
        <v>32370</v>
      </c>
      <c r="G3231" s="3" t="s">
        <v>64</v>
      </c>
      <c r="I3231" s="3" t="s">
        <v>64</v>
      </c>
      <c r="J3231" s="3" t="s">
        <v>64</v>
      </c>
      <c r="K3231" s="3" t="s">
        <v>65</v>
      </c>
      <c r="M3231" s="2" t="s">
        <v>27292</v>
      </c>
      <c r="N3231" s="3" t="s">
        <v>434</v>
      </c>
      <c r="P3231" s="3" t="s">
        <v>102</v>
      </c>
      <c r="Q3231" s="2" t="s">
        <v>32371</v>
      </c>
      <c r="R3231" s="3" t="s">
        <v>70</v>
      </c>
      <c r="S3231" s="4">
        <v>5</v>
      </c>
      <c r="T3231" s="4">
        <v>5</v>
      </c>
      <c r="U3231" s="5" t="s">
        <v>18028</v>
      </c>
      <c r="V3231" s="5" t="s">
        <v>18028</v>
      </c>
      <c r="W3231" s="5" t="s">
        <v>72</v>
      </c>
      <c r="X3231" s="5" t="s">
        <v>72</v>
      </c>
      <c r="Y3231" s="4">
        <v>299</v>
      </c>
      <c r="Z3231" s="4">
        <v>16</v>
      </c>
      <c r="AA3231" s="4">
        <v>16</v>
      </c>
      <c r="AB3231" s="4">
        <v>1</v>
      </c>
      <c r="AC3231" s="4">
        <v>1</v>
      </c>
      <c r="AD3231" s="4">
        <v>26</v>
      </c>
      <c r="AE3231" s="4">
        <v>26</v>
      </c>
      <c r="AF3231" s="4">
        <v>0</v>
      </c>
      <c r="AG3231" s="4">
        <v>0</v>
      </c>
      <c r="AH3231" s="4">
        <v>26</v>
      </c>
      <c r="AI3231" s="4">
        <v>26</v>
      </c>
      <c r="AJ3231" s="4">
        <v>3</v>
      </c>
      <c r="AK3231" s="4">
        <v>3</v>
      </c>
      <c r="AL3231" s="4">
        <v>11</v>
      </c>
      <c r="AM3231" s="4">
        <v>11</v>
      </c>
      <c r="AN3231" s="4">
        <v>0</v>
      </c>
      <c r="AO3231" s="4">
        <v>0</v>
      </c>
      <c r="AP3231" s="4">
        <v>3</v>
      </c>
      <c r="AQ3231" s="4">
        <v>3</v>
      </c>
      <c r="AR3231" s="3" t="s">
        <v>64</v>
      </c>
      <c r="AS3231" s="3" t="s">
        <v>64</v>
      </c>
      <c r="AT3231" s="3" t="s">
        <v>128</v>
      </c>
      <c r="AU3231" s="6" t="str">
        <f>HYPERLINK("http://catalog.hathitrust.org/Record/005018548","HathiTrust Record")</f>
        <v>HathiTrust Record</v>
      </c>
      <c r="AV3231" s="6" t="str">
        <f>HYPERLINK("http://mcgill.on.worldcat.org/oclc/56317992","Catalog Record")</f>
        <v>Catalog Record</v>
      </c>
      <c r="AW3231" s="6" t="str">
        <f>HYPERLINK("http://www.worldcat.org/oclc/56317992","WorldCat Record")</f>
        <v>WorldCat Record</v>
      </c>
      <c r="AX3231" s="3" t="s">
        <v>32372</v>
      </c>
      <c r="AY3231" s="3" t="s">
        <v>32373</v>
      </c>
      <c r="AZ3231" s="3" t="s">
        <v>32374</v>
      </c>
      <c r="BA3231" s="3" t="s">
        <v>32374</v>
      </c>
      <c r="BB3231" s="3" t="s">
        <v>32375</v>
      </c>
      <c r="BC3231" s="3" t="s">
        <v>77</v>
      </c>
      <c r="BD3231" s="3" t="s">
        <v>78</v>
      </c>
      <c r="BE3231" s="3" t="s">
        <v>32376</v>
      </c>
      <c r="BF3231" s="3" t="s">
        <v>32375</v>
      </c>
      <c r="BG3231" s="3" t="s">
        <v>32377</v>
      </c>
      <c r="BH3231">
        <f t="shared" si="77"/>
        <v>0</v>
      </c>
    </row>
    <row r="3232" spans="1:60" ht="58" x14ac:dyDescent="0.35">
      <c r="A3232" s="2" t="s">
        <v>59</v>
      </c>
      <c r="B3232" s="2" t="s">
        <v>60</v>
      </c>
      <c r="C3232" s="2" t="s">
        <v>32378</v>
      </c>
      <c r="D3232" s="2" t="s">
        <v>32379</v>
      </c>
      <c r="E3232" s="2" t="s">
        <v>32380</v>
      </c>
      <c r="G3232" s="3" t="s">
        <v>64</v>
      </c>
      <c r="I3232" s="3" t="s">
        <v>64</v>
      </c>
      <c r="J3232" s="3" t="s">
        <v>64</v>
      </c>
      <c r="K3232" s="3" t="s">
        <v>65</v>
      </c>
      <c r="M3232" s="2" t="s">
        <v>15272</v>
      </c>
      <c r="N3232" s="3" t="s">
        <v>291</v>
      </c>
      <c r="P3232" s="3" t="s">
        <v>102</v>
      </c>
      <c r="Q3232" s="2" t="s">
        <v>32381</v>
      </c>
      <c r="R3232" s="3" t="s">
        <v>70</v>
      </c>
      <c r="S3232" s="4">
        <v>6</v>
      </c>
      <c r="T3232" s="4">
        <v>6</v>
      </c>
      <c r="U3232" s="5" t="s">
        <v>18028</v>
      </c>
      <c r="V3232" s="5" t="s">
        <v>18028</v>
      </c>
      <c r="W3232" s="5" t="s">
        <v>72</v>
      </c>
      <c r="X3232" s="5" t="s">
        <v>72</v>
      </c>
      <c r="Y3232" s="4">
        <v>360</v>
      </c>
      <c r="Z3232" s="4">
        <v>21</v>
      </c>
      <c r="AA3232" s="4">
        <v>53</v>
      </c>
      <c r="AB3232" s="4">
        <v>2</v>
      </c>
      <c r="AC3232" s="4">
        <v>7</v>
      </c>
      <c r="AD3232" s="4">
        <v>41</v>
      </c>
      <c r="AE3232" s="4">
        <v>53</v>
      </c>
      <c r="AF3232" s="4">
        <v>0</v>
      </c>
      <c r="AG3232" s="4">
        <v>1</v>
      </c>
      <c r="AH3232" s="4">
        <v>39</v>
      </c>
      <c r="AI3232" s="4">
        <v>49</v>
      </c>
      <c r="AJ3232" s="4">
        <v>5</v>
      </c>
      <c r="AK3232" s="4">
        <v>7</v>
      </c>
      <c r="AL3232" s="4">
        <v>19</v>
      </c>
      <c r="AM3232" s="4">
        <v>23</v>
      </c>
      <c r="AN3232" s="4">
        <v>0</v>
      </c>
      <c r="AO3232" s="4">
        <v>0</v>
      </c>
      <c r="AP3232" s="4">
        <v>6</v>
      </c>
      <c r="AQ3232" s="4">
        <v>10</v>
      </c>
      <c r="AR3232" s="3" t="s">
        <v>64</v>
      </c>
      <c r="AS3232" s="3" t="s">
        <v>64</v>
      </c>
      <c r="AT3232" s="3" t="s">
        <v>64</v>
      </c>
      <c r="AV3232" s="6" t="str">
        <f>HYPERLINK("http://mcgill.on.worldcat.org/oclc/71369253","Catalog Record")</f>
        <v>Catalog Record</v>
      </c>
      <c r="AW3232" s="6" t="str">
        <f>HYPERLINK("http://www.worldcat.org/oclc/71369253","WorldCat Record")</f>
        <v>WorldCat Record</v>
      </c>
      <c r="AX3232" s="3" t="s">
        <v>32382</v>
      </c>
      <c r="AY3232" s="3" t="s">
        <v>32383</v>
      </c>
      <c r="AZ3232" s="3" t="s">
        <v>32384</v>
      </c>
      <c r="BA3232" s="3" t="s">
        <v>32384</v>
      </c>
      <c r="BB3232" s="3" t="s">
        <v>32385</v>
      </c>
      <c r="BC3232" s="3" t="s">
        <v>77</v>
      </c>
      <c r="BD3232" s="3" t="s">
        <v>78</v>
      </c>
      <c r="BE3232" s="3" t="s">
        <v>32386</v>
      </c>
      <c r="BF3232" s="3" t="s">
        <v>32385</v>
      </c>
      <c r="BG3232" s="3" t="s">
        <v>32387</v>
      </c>
      <c r="BH3232">
        <f t="shared" si="77"/>
        <v>0</v>
      </c>
    </row>
    <row r="3233" spans="1:60" ht="58" x14ac:dyDescent="0.35">
      <c r="A3233" s="2" t="s">
        <v>59</v>
      </c>
      <c r="B3233" s="2" t="s">
        <v>60</v>
      </c>
      <c r="C3233" s="2" t="s">
        <v>32388</v>
      </c>
      <c r="D3233" s="2" t="s">
        <v>32389</v>
      </c>
      <c r="E3233" s="2" t="s">
        <v>32390</v>
      </c>
      <c r="G3233" s="3" t="s">
        <v>64</v>
      </c>
      <c r="I3233" s="3" t="s">
        <v>64</v>
      </c>
      <c r="J3233" s="3" t="s">
        <v>64</v>
      </c>
      <c r="K3233" s="3" t="s">
        <v>65</v>
      </c>
      <c r="M3233" s="2" t="s">
        <v>14793</v>
      </c>
      <c r="N3233" s="3" t="s">
        <v>1075</v>
      </c>
      <c r="P3233" s="3" t="s">
        <v>102</v>
      </c>
      <c r="R3233" s="3" t="s">
        <v>70</v>
      </c>
      <c r="S3233" s="4">
        <v>0</v>
      </c>
      <c r="T3233" s="4">
        <v>0</v>
      </c>
      <c r="W3233" s="5" t="s">
        <v>72</v>
      </c>
      <c r="X3233" s="5" t="s">
        <v>72</v>
      </c>
      <c r="Y3233" s="4">
        <v>194</v>
      </c>
      <c r="Z3233" s="4">
        <v>12</v>
      </c>
      <c r="AA3233" s="4">
        <v>17</v>
      </c>
      <c r="AB3233" s="4">
        <v>1</v>
      </c>
      <c r="AC3233" s="4">
        <v>6</v>
      </c>
      <c r="AD3233" s="4">
        <v>38</v>
      </c>
      <c r="AE3233" s="4">
        <v>48</v>
      </c>
      <c r="AF3233" s="4">
        <v>0</v>
      </c>
      <c r="AG3233" s="4">
        <v>1</v>
      </c>
      <c r="AH3233" s="4">
        <v>36</v>
      </c>
      <c r="AI3233" s="4">
        <v>45</v>
      </c>
      <c r="AJ3233" s="4">
        <v>4</v>
      </c>
      <c r="AK3233" s="4">
        <v>5</v>
      </c>
      <c r="AL3233" s="4">
        <v>17</v>
      </c>
      <c r="AM3233" s="4">
        <v>22</v>
      </c>
      <c r="AN3233" s="4">
        <v>0</v>
      </c>
      <c r="AO3233" s="4">
        <v>0</v>
      </c>
      <c r="AP3233" s="4">
        <v>5</v>
      </c>
      <c r="AQ3233" s="4">
        <v>5</v>
      </c>
      <c r="AR3233" s="3" t="s">
        <v>64</v>
      </c>
      <c r="AS3233" s="3" t="s">
        <v>64</v>
      </c>
      <c r="AT3233" s="3" t="s">
        <v>64</v>
      </c>
      <c r="AV3233" s="6" t="str">
        <f>HYPERLINK("http://mcgill.on.worldcat.org/oclc/827261195","Catalog Record")</f>
        <v>Catalog Record</v>
      </c>
      <c r="AW3233" s="6" t="str">
        <f>HYPERLINK("http://www.worldcat.org/oclc/827261195","WorldCat Record")</f>
        <v>WorldCat Record</v>
      </c>
      <c r="AX3233" s="3" t="s">
        <v>32391</v>
      </c>
      <c r="AY3233" s="3" t="s">
        <v>32392</v>
      </c>
      <c r="AZ3233" s="3" t="s">
        <v>32393</v>
      </c>
      <c r="BA3233" s="3" t="s">
        <v>32393</v>
      </c>
      <c r="BB3233" s="3" t="s">
        <v>32394</v>
      </c>
      <c r="BC3233" s="3" t="s">
        <v>77</v>
      </c>
      <c r="BD3233" s="3" t="s">
        <v>78</v>
      </c>
      <c r="BE3233" s="3" t="s">
        <v>32395</v>
      </c>
      <c r="BF3233" s="3" t="s">
        <v>32394</v>
      </c>
      <c r="BG3233" s="3" t="s">
        <v>32396</v>
      </c>
      <c r="BH3233">
        <f t="shared" si="77"/>
        <v>0</v>
      </c>
    </row>
    <row r="3234" spans="1:60" ht="58" x14ac:dyDescent="0.35">
      <c r="A3234" s="2" t="s">
        <v>59</v>
      </c>
      <c r="B3234" s="2" t="s">
        <v>60</v>
      </c>
      <c r="C3234" s="2" t="s">
        <v>32397</v>
      </c>
      <c r="D3234" s="2" t="s">
        <v>32398</v>
      </c>
      <c r="E3234" s="2" t="s">
        <v>32399</v>
      </c>
      <c r="G3234" s="3" t="s">
        <v>64</v>
      </c>
      <c r="I3234" s="3" t="s">
        <v>64</v>
      </c>
      <c r="J3234" s="3" t="s">
        <v>64</v>
      </c>
      <c r="K3234" s="3" t="s">
        <v>65</v>
      </c>
      <c r="L3234" s="2" t="s">
        <v>32400</v>
      </c>
      <c r="M3234" s="2" t="s">
        <v>16093</v>
      </c>
      <c r="N3234" s="3" t="s">
        <v>511</v>
      </c>
      <c r="P3234" s="3" t="s">
        <v>102</v>
      </c>
      <c r="Q3234" s="2" t="s">
        <v>30446</v>
      </c>
      <c r="R3234" s="3" t="s">
        <v>70</v>
      </c>
      <c r="S3234" s="4">
        <v>6</v>
      </c>
      <c r="T3234" s="4">
        <v>6</v>
      </c>
      <c r="U3234" s="5" t="s">
        <v>22116</v>
      </c>
      <c r="V3234" s="5" t="s">
        <v>22116</v>
      </c>
      <c r="W3234" s="5" t="s">
        <v>72</v>
      </c>
      <c r="X3234" s="5" t="s">
        <v>72</v>
      </c>
      <c r="Y3234" s="4">
        <v>183</v>
      </c>
      <c r="Z3234" s="4">
        <v>13</v>
      </c>
      <c r="AA3234" s="4">
        <v>13</v>
      </c>
      <c r="AB3234" s="4">
        <v>1</v>
      </c>
      <c r="AC3234" s="4">
        <v>1</v>
      </c>
      <c r="AD3234" s="4">
        <v>21</v>
      </c>
      <c r="AE3234" s="4">
        <v>21</v>
      </c>
      <c r="AF3234" s="4">
        <v>0</v>
      </c>
      <c r="AG3234" s="4">
        <v>0</v>
      </c>
      <c r="AH3234" s="4">
        <v>21</v>
      </c>
      <c r="AI3234" s="4">
        <v>21</v>
      </c>
      <c r="AJ3234" s="4">
        <v>4</v>
      </c>
      <c r="AK3234" s="4">
        <v>4</v>
      </c>
      <c r="AL3234" s="4">
        <v>12</v>
      </c>
      <c r="AM3234" s="4">
        <v>12</v>
      </c>
      <c r="AN3234" s="4">
        <v>0</v>
      </c>
      <c r="AO3234" s="4">
        <v>0</v>
      </c>
      <c r="AP3234" s="4">
        <v>4</v>
      </c>
      <c r="AQ3234" s="4">
        <v>4</v>
      </c>
      <c r="AR3234" s="3" t="s">
        <v>64</v>
      </c>
      <c r="AS3234" s="3" t="s">
        <v>64</v>
      </c>
      <c r="AT3234" s="3" t="s">
        <v>64</v>
      </c>
      <c r="AV3234" s="6" t="str">
        <f>HYPERLINK("http://mcgill.on.worldcat.org/oclc/422757127","Catalog Record")</f>
        <v>Catalog Record</v>
      </c>
      <c r="AW3234" s="6" t="str">
        <f>HYPERLINK("http://www.worldcat.org/oclc/422757127","WorldCat Record")</f>
        <v>WorldCat Record</v>
      </c>
      <c r="AX3234" s="3" t="s">
        <v>32401</v>
      </c>
      <c r="AY3234" s="3" t="s">
        <v>32402</v>
      </c>
      <c r="AZ3234" s="3" t="s">
        <v>32403</v>
      </c>
      <c r="BA3234" s="3" t="s">
        <v>32403</v>
      </c>
      <c r="BB3234" s="3" t="s">
        <v>32404</v>
      </c>
      <c r="BC3234" s="3" t="s">
        <v>77</v>
      </c>
      <c r="BD3234" s="3" t="s">
        <v>78</v>
      </c>
      <c r="BE3234" s="3" t="s">
        <v>32405</v>
      </c>
      <c r="BF3234" s="3" t="s">
        <v>32404</v>
      </c>
      <c r="BG3234" s="3" t="s">
        <v>32406</v>
      </c>
      <c r="BH3234">
        <f t="shared" si="77"/>
        <v>0</v>
      </c>
    </row>
    <row r="3235" spans="1:60" ht="58" x14ac:dyDescent="0.35">
      <c r="A3235" s="2" t="s">
        <v>59</v>
      </c>
      <c r="B3235" s="2" t="s">
        <v>60</v>
      </c>
      <c r="C3235" s="2" t="s">
        <v>32407</v>
      </c>
      <c r="D3235" s="2" t="s">
        <v>32408</v>
      </c>
      <c r="E3235" s="2" t="s">
        <v>32409</v>
      </c>
      <c r="G3235" s="3" t="s">
        <v>64</v>
      </c>
      <c r="I3235" s="3" t="s">
        <v>64</v>
      </c>
      <c r="J3235" s="3" t="s">
        <v>64</v>
      </c>
      <c r="K3235" s="3" t="s">
        <v>65</v>
      </c>
      <c r="M3235" s="2" t="s">
        <v>22298</v>
      </c>
      <c r="N3235" s="3" t="s">
        <v>511</v>
      </c>
      <c r="P3235" s="3" t="s">
        <v>102</v>
      </c>
      <c r="R3235" s="3" t="s">
        <v>70</v>
      </c>
      <c r="S3235" s="4">
        <v>2</v>
      </c>
      <c r="T3235" s="4">
        <v>2</v>
      </c>
      <c r="U3235" s="5" t="s">
        <v>22116</v>
      </c>
      <c r="V3235" s="5" t="s">
        <v>22116</v>
      </c>
      <c r="W3235" s="5" t="s">
        <v>72</v>
      </c>
      <c r="X3235" s="5" t="s">
        <v>72</v>
      </c>
      <c r="Y3235" s="4">
        <v>276</v>
      </c>
      <c r="Z3235" s="4">
        <v>13</v>
      </c>
      <c r="AA3235" s="4">
        <v>104</v>
      </c>
      <c r="AB3235" s="4">
        <v>2</v>
      </c>
      <c r="AC3235" s="4">
        <v>18</v>
      </c>
      <c r="AD3235" s="4">
        <v>50</v>
      </c>
      <c r="AE3235" s="4">
        <v>117</v>
      </c>
      <c r="AF3235" s="4">
        <v>0</v>
      </c>
      <c r="AG3235" s="4">
        <v>8</v>
      </c>
      <c r="AH3235" s="4">
        <v>49</v>
      </c>
      <c r="AI3235" s="4">
        <v>82</v>
      </c>
      <c r="AJ3235" s="4">
        <v>5</v>
      </c>
      <c r="AK3235" s="4">
        <v>20</v>
      </c>
      <c r="AL3235" s="4">
        <v>21</v>
      </c>
      <c r="AM3235" s="4">
        <v>38</v>
      </c>
      <c r="AN3235" s="4">
        <v>0</v>
      </c>
      <c r="AO3235" s="4">
        <v>0</v>
      </c>
      <c r="AP3235" s="4">
        <v>6</v>
      </c>
      <c r="AQ3235" s="4">
        <v>42</v>
      </c>
      <c r="AR3235" s="3" t="s">
        <v>64</v>
      </c>
      <c r="AS3235" s="3" t="s">
        <v>64</v>
      </c>
      <c r="AT3235" s="3" t="s">
        <v>64</v>
      </c>
      <c r="AV3235" s="6" t="str">
        <f>HYPERLINK("http://mcgill.on.worldcat.org/oclc/421532533","Catalog Record")</f>
        <v>Catalog Record</v>
      </c>
      <c r="AW3235" s="6" t="str">
        <f>HYPERLINK("http://www.worldcat.org/oclc/421532533","WorldCat Record")</f>
        <v>WorldCat Record</v>
      </c>
      <c r="AX3235" s="3" t="s">
        <v>32410</v>
      </c>
      <c r="AY3235" s="3" t="s">
        <v>32411</v>
      </c>
      <c r="AZ3235" s="3" t="s">
        <v>32412</v>
      </c>
      <c r="BA3235" s="3" t="s">
        <v>32412</v>
      </c>
      <c r="BB3235" s="3" t="s">
        <v>32413</v>
      </c>
      <c r="BC3235" s="3" t="s">
        <v>77</v>
      </c>
      <c r="BD3235" s="3" t="s">
        <v>78</v>
      </c>
      <c r="BE3235" s="3" t="s">
        <v>32414</v>
      </c>
      <c r="BF3235" s="3" t="s">
        <v>32413</v>
      </c>
      <c r="BG3235" s="3" t="s">
        <v>32415</v>
      </c>
      <c r="BH3235">
        <f t="shared" si="77"/>
        <v>0</v>
      </c>
    </row>
    <row r="3236" spans="1:60" ht="58" x14ac:dyDescent="0.35">
      <c r="A3236" s="2" t="s">
        <v>59</v>
      </c>
      <c r="B3236" s="2" t="s">
        <v>60</v>
      </c>
      <c r="C3236" s="2" t="s">
        <v>32416</v>
      </c>
      <c r="D3236" s="2" t="s">
        <v>32417</v>
      </c>
      <c r="E3236" s="2" t="s">
        <v>32418</v>
      </c>
      <c r="G3236" s="3" t="s">
        <v>64</v>
      </c>
      <c r="I3236" s="3" t="s">
        <v>64</v>
      </c>
      <c r="J3236" s="3" t="s">
        <v>64</v>
      </c>
      <c r="K3236" s="3" t="s">
        <v>65</v>
      </c>
      <c r="L3236" s="2" t="s">
        <v>32419</v>
      </c>
      <c r="M3236" s="2" t="s">
        <v>21041</v>
      </c>
      <c r="N3236" s="3" t="s">
        <v>1492</v>
      </c>
      <c r="P3236" s="3" t="s">
        <v>102</v>
      </c>
      <c r="R3236" s="3" t="s">
        <v>70</v>
      </c>
      <c r="S3236" s="4">
        <v>0</v>
      </c>
      <c r="T3236" s="4">
        <v>0</v>
      </c>
      <c r="W3236" s="5" t="s">
        <v>72</v>
      </c>
      <c r="X3236" s="5" t="s">
        <v>72</v>
      </c>
      <c r="Y3236" s="4">
        <v>144</v>
      </c>
      <c r="Z3236" s="4">
        <v>2</v>
      </c>
      <c r="AA3236" s="4">
        <v>3</v>
      </c>
      <c r="AB3236" s="4">
        <v>1</v>
      </c>
      <c r="AC3236" s="4">
        <v>2</v>
      </c>
      <c r="AD3236" s="4">
        <v>20</v>
      </c>
      <c r="AE3236" s="4">
        <v>21</v>
      </c>
      <c r="AF3236" s="4">
        <v>0</v>
      </c>
      <c r="AG3236" s="4">
        <v>1</v>
      </c>
      <c r="AH3236" s="4">
        <v>20</v>
      </c>
      <c r="AI3236" s="4">
        <v>20</v>
      </c>
      <c r="AJ3236" s="4">
        <v>0</v>
      </c>
      <c r="AK3236" s="4">
        <v>1</v>
      </c>
      <c r="AL3236" s="4">
        <v>7</v>
      </c>
      <c r="AM3236" s="4">
        <v>7</v>
      </c>
      <c r="AN3236" s="4">
        <v>0</v>
      </c>
      <c r="AO3236" s="4">
        <v>0</v>
      </c>
      <c r="AP3236" s="4">
        <v>0</v>
      </c>
      <c r="AQ3236" s="4">
        <v>0</v>
      </c>
      <c r="AR3236" s="3" t="s">
        <v>64</v>
      </c>
      <c r="AS3236" s="3" t="s">
        <v>64</v>
      </c>
      <c r="AT3236" s="3" t="s">
        <v>64</v>
      </c>
      <c r="AV3236" s="6" t="str">
        <f>HYPERLINK("http://mcgill.on.worldcat.org/oclc/1046993885","Catalog Record")</f>
        <v>Catalog Record</v>
      </c>
      <c r="AW3236" s="6" t="str">
        <f>HYPERLINK("http://www.worldcat.org/oclc/1046993885","WorldCat Record")</f>
        <v>WorldCat Record</v>
      </c>
      <c r="AX3236" s="3" t="s">
        <v>32420</v>
      </c>
      <c r="AY3236" s="3" t="s">
        <v>32421</v>
      </c>
      <c r="AZ3236" s="3" t="s">
        <v>32422</v>
      </c>
      <c r="BA3236" s="3" t="s">
        <v>32422</v>
      </c>
      <c r="BB3236" s="3" t="s">
        <v>32423</v>
      </c>
      <c r="BC3236" s="3" t="s">
        <v>77</v>
      </c>
      <c r="BD3236" s="3" t="s">
        <v>78</v>
      </c>
      <c r="BE3236" s="3" t="s">
        <v>32424</v>
      </c>
      <c r="BF3236" s="3" t="s">
        <v>32423</v>
      </c>
      <c r="BG3236" s="3" t="s">
        <v>32425</v>
      </c>
      <c r="BH3236">
        <f t="shared" si="77"/>
        <v>0</v>
      </c>
    </row>
    <row r="3237" spans="1:60" ht="58" x14ac:dyDescent="0.35">
      <c r="A3237" s="2" t="s">
        <v>59</v>
      </c>
      <c r="B3237" s="2" t="s">
        <v>60</v>
      </c>
      <c r="C3237" s="2" t="s">
        <v>32426</v>
      </c>
      <c r="D3237" s="2" t="s">
        <v>32427</v>
      </c>
      <c r="E3237" s="2" t="s">
        <v>32428</v>
      </c>
      <c r="G3237" s="3" t="s">
        <v>64</v>
      </c>
      <c r="I3237" s="3" t="s">
        <v>64</v>
      </c>
      <c r="J3237" s="3" t="s">
        <v>64</v>
      </c>
      <c r="K3237" s="3" t="s">
        <v>65</v>
      </c>
      <c r="L3237" s="2" t="s">
        <v>32429</v>
      </c>
      <c r="M3237" s="2" t="s">
        <v>15640</v>
      </c>
      <c r="N3237" s="3" t="s">
        <v>253</v>
      </c>
      <c r="P3237" s="3" t="s">
        <v>102</v>
      </c>
      <c r="R3237" s="3" t="s">
        <v>70</v>
      </c>
      <c r="S3237" s="4">
        <v>0</v>
      </c>
      <c r="T3237" s="4">
        <v>0</v>
      </c>
      <c r="W3237" s="5" t="s">
        <v>72</v>
      </c>
      <c r="X3237" s="5" t="s">
        <v>72</v>
      </c>
      <c r="Y3237" s="4">
        <v>171</v>
      </c>
      <c r="Z3237" s="4">
        <v>7</v>
      </c>
      <c r="AA3237" s="4">
        <v>78</v>
      </c>
      <c r="AB3237" s="4">
        <v>1</v>
      </c>
      <c r="AC3237" s="4">
        <v>14</v>
      </c>
      <c r="AD3237" s="4">
        <v>31</v>
      </c>
      <c r="AE3237" s="4">
        <v>102</v>
      </c>
      <c r="AF3237" s="4">
        <v>0</v>
      </c>
      <c r="AG3237" s="4">
        <v>8</v>
      </c>
      <c r="AH3237" s="4">
        <v>31</v>
      </c>
      <c r="AI3237" s="4">
        <v>69</v>
      </c>
      <c r="AJ3237" s="4">
        <v>4</v>
      </c>
      <c r="AK3237" s="4">
        <v>18</v>
      </c>
      <c r="AL3237" s="4">
        <v>10</v>
      </c>
      <c r="AM3237" s="4">
        <v>33</v>
      </c>
      <c r="AN3237" s="4">
        <v>0</v>
      </c>
      <c r="AO3237" s="4">
        <v>0</v>
      </c>
      <c r="AP3237" s="4">
        <v>4</v>
      </c>
      <c r="AQ3237" s="4">
        <v>38</v>
      </c>
      <c r="AR3237" s="3" t="s">
        <v>64</v>
      </c>
      <c r="AS3237" s="3" t="s">
        <v>64</v>
      </c>
      <c r="AT3237" s="3" t="s">
        <v>64</v>
      </c>
      <c r="AV3237" s="6" t="str">
        <f>HYPERLINK("http://mcgill.on.worldcat.org/oclc/895388261","Catalog Record")</f>
        <v>Catalog Record</v>
      </c>
      <c r="AW3237" s="6" t="str">
        <f>HYPERLINK("http://www.worldcat.org/oclc/895388261","WorldCat Record")</f>
        <v>WorldCat Record</v>
      </c>
      <c r="AX3237" s="3" t="s">
        <v>32430</v>
      </c>
      <c r="AY3237" s="3" t="s">
        <v>32431</v>
      </c>
      <c r="AZ3237" s="3" t="s">
        <v>32432</v>
      </c>
      <c r="BA3237" s="3" t="s">
        <v>32432</v>
      </c>
      <c r="BB3237" s="3" t="s">
        <v>32433</v>
      </c>
      <c r="BC3237" s="3" t="s">
        <v>77</v>
      </c>
      <c r="BD3237" s="3" t="s">
        <v>78</v>
      </c>
      <c r="BE3237" s="3" t="s">
        <v>32434</v>
      </c>
      <c r="BF3237" s="3" t="s">
        <v>32433</v>
      </c>
      <c r="BG3237" s="3" t="s">
        <v>32435</v>
      </c>
      <c r="BH3237">
        <f t="shared" si="77"/>
        <v>0</v>
      </c>
    </row>
    <row r="3238" spans="1:60" ht="58" x14ac:dyDescent="0.35">
      <c r="A3238" s="2" t="s">
        <v>59</v>
      </c>
      <c r="B3238" s="2" t="s">
        <v>60</v>
      </c>
      <c r="C3238" s="2" t="s">
        <v>32436</v>
      </c>
      <c r="D3238" s="2" t="s">
        <v>32437</v>
      </c>
      <c r="E3238" s="2" t="s">
        <v>32438</v>
      </c>
      <c r="G3238" s="3" t="s">
        <v>64</v>
      </c>
      <c r="I3238" s="3" t="s">
        <v>64</v>
      </c>
      <c r="J3238" s="3" t="s">
        <v>64</v>
      </c>
      <c r="K3238" s="3" t="s">
        <v>65</v>
      </c>
      <c r="L3238" s="2" t="s">
        <v>32439</v>
      </c>
      <c r="M3238" s="2" t="s">
        <v>22995</v>
      </c>
      <c r="N3238" s="3" t="s">
        <v>326</v>
      </c>
      <c r="P3238" s="3" t="s">
        <v>102</v>
      </c>
      <c r="R3238" s="3" t="s">
        <v>70</v>
      </c>
      <c r="S3238" s="4">
        <v>1</v>
      </c>
      <c r="T3238" s="4">
        <v>1</v>
      </c>
      <c r="U3238" s="5" t="s">
        <v>18101</v>
      </c>
      <c r="V3238" s="5" t="s">
        <v>18101</v>
      </c>
      <c r="W3238" s="5" t="s">
        <v>72</v>
      </c>
      <c r="X3238" s="5" t="s">
        <v>72</v>
      </c>
      <c r="Y3238" s="4">
        <v>245</v>
      </c>
      <c r="Z3238" s="4">
        <v>16</v>
      </c>
      <c r="AA3238" s="4">
        <v>17</v>
      </c>
      <c r="AB3238" s="4">
        <v>2</v>
      </c>
      <c r="AC3238" s="4">
        <v>3</v>
      </c>
      <c r="AD3238" s="4">
        <v>40</v>
      </c>
      <c r="AE3238" s="4">
        <v>41</v>
      </c>
      <c r="AF3238" s="4">
        <v>0</v>
      </c>
      <c r="AG3238" s="4">
        <v>1</v>
      </c>
      <c r="AH3238" s="4">
        <v>39</v>
      </c>
      <c r="AI3238" s="4">
        <v>39</v>
      </c>
      <c r="AJ3238" s="4">
        <v>5</v>
      </c>
      <c r="AK3238" s="4">
        <v>6</v>
      </c>
      <c r="AL3238" s="4">
        <v>16</v>
      </c>
      <c r="AM3238" s="4">
        <v>16</v>
      </c>
      <c r="AN3238" s="4">
        <v>0</v>
      </c>
      <c r="AO3238" s="4">
        <v>0</v>
      </c>
      <c r="AP3238" s="4">
        <v>5</v>
      </c>
      <c r="AQ3238" s="4">
        <v>5</v>
      </c>
      <c r="AR3238" s="3" t="s">
        <v>64</v>
      </c>
      <c r="AS3238" s="3" t="s">
        <v>64</v>
      </c>
      <c r="AT3238" s="3" t="s">
        <v>64</v>
      </c>
      <c r="AV3238" s="6" t="str">
        <f>HYPERLINK("http://mcgill.on.worldcat.org/oclc/674930278","Catalog Record")</f>
        <v>Catalog Record</v>
      </c>
      <c r="AW3238" s="6" t="str">
        <f>HYPERLINK("http://www.worldcat.org/oclc/674930278","WorldCat Record")</f>
        <v>WorldCat Record</v>
      </c>
      <c r="AX3238" s="3" t="s">
        <v>32440</v>
      </c>
      <c r="AY3238" s="3" t="s">
        <v>32441</v>
      </c>
      <c r="AZ3238" s="3" t="s">
        <v>32442</v>
      </c>
      <c r="BA3238" s="3" t="s">
        <v>32442</v>
      </c>
      <c r="BB3238" s="3" t="s">
        <v>32443</v>
      </c>
      <c r="BC3238" s="3" t="s">
        <v>77</v>
      </c>
      <c r="BD3238" s="3" t="s">
        <v>78</v>
      </c>
      <c r="BE3238" s="3" t="s">
        <v>32444</v>
      </c>
      <c r="BF3238" s="3" t="s">
        <v>32443</v>
      </c>
      <c r="BG3238" s="3" t="s">
        <v>32445</v>
      </c>
      <c r="BH3238">
        <f t="shared" si="77"/>
        <v>0</v>
      </c>
    </row>
    <row r="3239" spans="1:60" ht="58" x14ac:dyDescent="0.35">
      <c r="A3239" s="2" t="s">
        <v>59</v>
      </c>
      <c r="B3239" s="2" t="s">
        <v>60</v>
      </c>
      <c r="C3239" s="2" t="s">
        <v>32446</v>
      </c>
      <c r="D3239" s="2" t="s">
        <v>32447</v>
      </c>
      <c r="E3239" s="2" t="s">
        <v>32448</v>
      </c>
      <c r="G3239" s="3" t="s">
        <v>64</v>
      </c>
      <c r="I3239" s="3" t="s">
        <v>64</v>
      </c>
      <c r="J3239" s="3" t="s">
        <v>64</v>
      </c>
      <c r="K3239" s="3" t="s">
        <v>65</v>
      </c>
      <c r="L3239" s="2" t="s">
        <v>32449</v>
      </c>
      <c r="M3239" s="2" t="s">
        <v>29758</v>
      </c>
      <c r="N3239" s="3" t="s">
        <v>551</v>
      </c>
      <c r="P3239" s="3" t="s">
        <v>102</v>
      </c>
      <c r="R3239" s="3" t="s">
        <v>70</v>
      </c>
      <c r="S3239" s="4">
        <v>7</v>
      </c>
      <c r="T3239" s="4">
        <v>7</v>
      </c>
      <c r="U3239" s="5" t="s">
        <v>12738</v>
      </c>
      <c r="V3239" s="5" t="s">
        <v>12738</v>
      </c>
      <c r="W3239" s="5" t="s">
        <v>72</v>
      </c>
      <c r="X3239" s="5" t="s">
        <v>72</v>
      </c>
      <c r="Y3239" s="4">
        <v>311</v>
      </c>
      <c r="Z3239" s="4">
        <v>19</v>
      </c>
      <c r="AA3239" s="4">
        <v>19</v>
      </c>
      <c r="AB3239" s="4">
        <v>3</v>
      </c>
      <c r="AC3239" s="4">
        <v>3</v>
      </c>
      <c r="AD3239" s="4">
        <v>60</v>
      </c>
      <c r="AE3239" s="4">
        <v>60</v>
      </c>
      <c r="AF3239" s="4">
        <v>1</v>
      </c>
      <c r="AG3239" s="4">
        <v>1</v>
      </c>
      <c r="AH3239" s="4">
        <v>52</v>
      </c>
      <c r="AI3239" s="4">
        <v>52</v>
      </c>
      <c r="AJ3239" s="4">
        <v>11</v>
      </c>
      <c r="AK3239" s="4">
        <v>11</v>
      </c>
      <c r="AL3239" s="4">
        <v>26</v>
      </c>
      <c r="AM3239" s="4">
        <v>26</v>
      </c>
      <c r="AN3239" s="4">
        <v>0</v>
      </c>
      <c r="AO3239" s="4">
        <v>0</v>
      </c>
      <c r="AP3239" s="4">
        <v>14</v>
      </c>
      <c r="AQ3239" s="4">
        <v>14</v>
      </c>
      <c r="AR3239" s="3" t="s">
        <v>64</v>
      </c>
      <c r="AS3239" s="3" t="s">
        <v>64</v>
      </c>
      <c r="AT3239" s="3" t="s">
        <v>64</v>
      </c>
      <c r="AV3239" s="6" t="str">
        <f>HYPERLINK("http://mcgill.on.worldcat.org/oclc/310714520","Catalog Record")</f>
        <v>Catalog Record</v>
      </c>
      <c r="AW3239" s="6" t="str">
        <f>HYPERLINK("http://www.worldcat.org/oclc/310714520","WorldCat Record")</f>
        <v>WorldCat Record</v>
      </c>
      <c r="AX3239" s="3" t="s">
        <v>32450</v>
      </c>
      <c r="AY3239" s="3" t="s">
        <v>32451</v>
      </c>
      <c r="AZ3239" s="3" t="s">
        <v>32452</v>
      </c>
      <c r="BA3239" s="3" t="s">
        <v>32452</v>
      </c>
      <c r="BB3239" s="3" t="s">
        <v>32453</v>
      </c>
      <c r="BC3239" s="3" t="s">
        <v>77</v>
      </c>
      <c r="BD3239" s="3" t="s">
        <v>78</v>
      </c>
      <c r="BE3239" s="3" t="s">
        <v>32454</v>
      </c>
      <c r="BF3239" s="3" t="s">
        <v>32453</v>
      </c>
      <c r="BG3239" s="3" t="s">
        <v>32455</v>
      </c>
      <c r="BH3239">
        <f t="shared" si="77"/>
        <v>0</v>
      </c>
    </row>
    <row r="3240" spans="1:60" ht="58" x14ac:dyDescent="0.35">
      <c r="A3240" s="2" t="s">
        <v>59</v>
      </c>
      <c r="B3240" s="2" t="s">
        <v>60</v>
      </c>
      <c r="C3240" s="2" t="s">
        <v>32456</v>
      </c>
      <c r="D3240" s="2" t="s">
        <v>32457</v>
      </c>
      <c r="E3240" s="2" t="s">
        <v>32458</v>
      </c>
      <c r="G3240" s="3" t="s">
        <v>64</v>
      </c>
      <c r="I3240" s="3" t="s">
        <v>64</v>
      </c>
      <c r="J3240" s="3" t="s">
        <v>64</v>
      </c>
      <c r="K3240" s="3" t="s">
        <v>65</v>
      </c>
      <c r="L3240" s="2" t="s">
        <v>32459</v>
      </c>
      <c r="M3240" s="2" t="s">
        <v>16229</v>
      </c>
      <c r="N3240" s="3" t="s">
        <v>190</v>
      </c>
      <c r="P3240" s="3" t="s">
        <v>102</v>
      </c>
      <c r="R3240" s="3" t="s">
        <v>70</v>
      </c>
      <c r="S3240" s="4">
        <v>0</v>
      </c>
      <c r="T3240" s="4">
        <v>0</v>
      </c>
      <c r="W3240" s="5" t="s">
        <v>72</v>
      </c>
      <c r="X3240" s="5" t="s">
        <v>72</v>
      </c>
      <c r="Y3240" s="4">
        <v>129</v>
      </c>
      <c r="Z3240" s="4">
        <v>2</v>
      </c>
      <c r="AA3240" s="4">
        <v>3</v>
      </c>
      <c r="AB3240" s="4">
        <v>1</v>
      </c>
      <c r="AC3240" s="4">
        <v>2</v>
      </c>
      <c r="AD3240" s="4">
        <v>23</v>
      </c>
      <c r="AE3240" s="4">
        <v>24</v>
      </c>
      <c r="AF3240" s="4">
        <v>0</v>
      </c>
      <c r="AG3240" s="4">
        <v>1</v>
      </c>
      <c r="AH3240" s="4">
        <v>23</v>
      </c>
      <c r="AI3240" s="4">
        <v>23</v>
      </c>
      <c r="AJ3240" s="4">
        <v>1</v>
      </c>
      <c r="AK3240" s="4">
        <v>2</v>
      </c>
      <c r="AL3240" s="4">
        <v>10</v>
      </c>
      <c r="AM3240" s="4">
        <v>10</v>
      </c>
      <c r="AN3240" s="4">
        <v>0</v>
      </c>
      <c r="AO3240" s="4">
        <v>0</v>
      </c>
      <c r="AP3240" s="4">
        <v>1</v>
      </c>
      <c r="AQ3240" s="4">
        <v>1</v>
      </c>
      <c r="AR3240" s="3" t="s">
        <v>64</v>
      </c>
      <c r="AS3240" s="3" t="s">
        <v>64</v>
      </c>
      <c r="AT3240" s="3" t="s">
        <v>64</v>
      </c>
      <c r="AV3240" s="6" t="str">
        <f>HYPERLINK("http://mcgill.on.worldcat.org/oclc/1004981635","Catalog Record")</f>
        <v>Catalog Record</v>
      </c>
      <c r="AW3240" s="6" t="str">
        <f>HYPERLINK("http://www.worldcat.org/oclc/1004981635","WorldCat Record")</f>
        <v>WorldCat Record</v>
      </c>
      <c r="AX3240" s="3" t="s">
        <v>32460</v>
      </c>
      <c r="AY3240" s="3" t="s">
        <v>32461</v>
      </c>
      <c r="AZ3240" s="3" t="s">
        <v>32462</v>
      </c>
      <c r="BA3240" s="3" t="s">
        <v>32462</v>
      </c>
      <c r="BB3240" s="3" t="s">
        <v>32463</v>
      </c>
      <c r="BC3240" s="3" t="s">
        <v>77</v>
      </c>
      <c r="BD3240" s="3" t="s">
        <v>78</v>
      </c>
      <c r="BE3240" s="3" t="s">
        <v>32464</v>
      </c>
      <c r="BF3240" s="3" t="s">
        <v>32463</v>
      </c>
      <c r="BG3240" s="3" t="s">
        <v>32465</v>
      </c>
      <c r="BH3240">
        <f t="shared" si="77"/>
        <v>0</v>
      </c>
    </row>
    <row r="3241" spans="1:60" ht="58" x14ac:dyDescent="0.35">
      <c r="A3241" s="2" t="s">
        <v>59</v>
      </c>
      <c r="B3241" s="2" t="s">
        <v>60</v>
      </c>
      <c r="C3241" s="2" t="s">
        <v>32466</v>
      </c>
      <c r="D3241" s="2" t="s">
        <v>32467</v>
      </c>
      <c r="E3241" s="2" t="s">
        <v>32468</v>
      </c>
      <c r="G3241" s="3" t="s">
        <v>64</v>
      </c>
      <c r="I3241" s="3" t="s">
        <v>64</v>
      </c>
      <c r="J3241" s="3" t="s">
        <v>64</v>
      </c>
      <c r="K3241" s="3" t="s">
        <v>65</v>
      </c>
      <c r="L3241" s="2" t="s">
        <v>32469</v>
      </c>
      <c r="M3241" s="2" t="s">
        <v>14270</v>
      </c>
      <c r="N3241" s="3" t="s">
        <v>291</v>
      </c>
      <c r="P3241" s="3" t="s">
        <v>102</v>
      </c>
      <c r="R3241" s="3" t="s">
        <v>70</v>
      </c>
      <c r="S3241" s="4">
        <v>3</v>
      </c>
      <c r="T3241" s="4">
        <v>3</v>
      </c>
      <c r="U3241" s="5" t="s">
        <v>9311</v>
      </c>
      <c r="V3241" s="5" t="s">
        <v>9311</v>
      </c>
      <c r="W3241" s="5" t="s">
        <v>72</v>
      </c>
      <c r="X3241" s="5" t="s">
        <v>72</v>
      </c>
      <c r="Y3241" s="4">
        <v>187</v>
      </c>
      <c r="Z3241" s="4">
        <v>15</v>
      </c>
      <c r="AA3241" s="4">
        <v>17</v>
      </c>
      <c r="AB3241" s="4">
        <v>2</v>
      </c>
      <c r="AC3241" s="4">
        <v>4</v>
      </c>
      <c r="AD3241" s="4">
        <v>26</v>
      </c>
      <c r="AE3241" s="4">
        <v>26</v>
      </c>
      <c r="AF3241" s="4">
        <v>0</v>
      </c>
      <c r="AG3241" s="4">
        <v>0</v>
      </c>
      <c r="AH3241" s="4">
        <v>25</v>
      </c>
      <c r="AI3241" s="4">
        <v>25</v>
      </c>
      <c r="AJ3241" s="4">
        <v>3</v>
      </c>
      <c r="AK3241" s="4">
        <v>3</v>
      </c>
      <c r="AL3241" s="4">
        <v>13</v>
      </c>
      <c r="AM3241" s="4">
        <v>13</v>
      </c>
      <c r="AN3241" s="4">
        <v>0</v>
      </c>
      <c r="AO3241" s="4">
        <v>0</v>
      </c>
      <c r="AP3241" s="4">
        <v>4</v>
      </c>
      <c r="AQ3241" s="4">
        <v>4</v>
      </c>
      <c r="AR3241" s="3" t="s">
        <v>64</v>
      </c>
      <c r="AS3241" s="3" t="s">
        <v>64</v>
      </c>
      <c r="AT3241" s="3" t="s">
        <v>128</v>
      </c>
      <c r="AU3241" s="6" t="str">
        <f>HYPERLINK("http://catalog.hathitrust.org/Record/006954332","HathiTrust Record")</f>
        <v>HathiTrust Record</v>
      </c>
      <c r="AV3241" s="6" t="str">
        <f>HYPERLINK("http://mcgill.on.worldcat.org/oclc/76794721","Catalog Record")</f>
        <v>Catalog Record</v>
      </c>
      <c r="AW3241" s="6" t="str">
        <f>HYPERLINK("http://www.worldcat.org/oclc/76794721","WorldCat Record")</f>
        <v>WorldCat Record</v>
      </c>
      <c r="AX3241" s="3" t="s">
        <v>32470</v>
      </c>
      <c r="AY3241" s="3" t="s">
        <v>32471</v>
      </c>
      <c r="AZ3241" s="3" t="s">
        <v>32472</v>
      </c>
      <c r="BA3241" s="3" t="s">
        <v>32472</v>
      </c>
      <c r="BB3241" s="3" t="s">
        <v>32473</v>
      </c>
      <c r="BC3241" s="3" t="s">
        <v>77</v>
      </c>
      <c r="BD3241" s="3" t="s">
        <v>78</v>
      </c>
      <c r="BE3241" s="3" t="s">
        <v>32474</v>
      </c>
      <c r="BF3241" s="3" t="s">
        <v>32473</v>
      </c>
      <c r="BG3241" s="3" t="s">
        <v>32475</v>
      </c>
      <c r="BH3241">
        <f t="shared" si="77"/>
        <v>0</v>
      </c>
    </row>
    <row r="3242" spans="1:60" ht="58" x14ac:dyDescent="0.35">
      <c r="A3242" s="2" t="s">
        <v>59</v>
      </c>
      <c r="B3242" s="2" t="s">
        <v>60</v>
      </c>
      <c r="C3242" s="2" t="s">
        <v>32476</v>
      </c>
      <c r="D3242" s="2" t="s">
        <v>32477</v>
      </c>
      <c r="E3242" s="2" t="s">
        <v>32478</v>
      </c>
      <c r="G3242" s="3" t="s">
        <v>64</v>
      </c>
      <c r="I3242" s="3" t="s">
        <v>64</v>
      </c>
      <c r="J3242" s="3" t="s">
        <v>64</v>
      </c>
      <c r="K3242" s="3" t="s">
        <v>65</v>
      </c>
      <c r="L3242" s="2" t="s">
        <v>32479</v>
      </c>
      <c r="M3242" s="2" t="s">
        <v>15158</v>
      </c>
      <c r="N3242" s="3" t="s">
        <v>144</v>
      </c>
      <c r="P3242" s="3" t="s">
        <v>102</v>
      </c>
      <c r="R3242" s="3" t="s">
        <v>70</v>
      </c>
      <c r="S3242" s="4">
        <v>6</v>
      </c>
      <c r="T3242" s="4">
        <v>6</v>
      </c>
      <c r="U3242" s="5" t="s">
        <v>29534</v>
      </c>
      <c r="V3242" s="5" t="s">
        <v>29534</v>
      </c>
      <c r="W3242" s="5" t="s">
        <v>72</v>
      </c>
      <c r="X3242" s="5" t="s">
        <v>72</v>
      </c>
      <c r="Y3242" s="4">
        <v>433</v>
      </c>
      <c r="Z3242" s="4">
        <v>13</v>
      </c>
      <c r="AA3242" s="4">
        <v>95</v>
      </c>
      <c r="AB3242" s="4">
        <v>1</v>
      </c>
      <c r="AC3242" s="4">
        <v>18</v>
      </c>
      <c r="AD3242" s="4">
        <v>51</v>
      </c>
      <c r="AE3242" s="4">
        <v>104</v>
      </c>
      <c r="AF3242" s="4">
        <v>0</v>
      </c>
      <c r="AG3242" s="4">
        <v>8</v>
      </c>
      <c r="AH3242" s="4">
        <v>49</v>
      </c>
      <c r="AI3242" s="4">
        <v>71</v>
      </c>
      <c r="AJ3242" s="4">
        <v>5</v>
      </c>
      <c r="AK3242" s="4">
        <v>17</v>
      </c>
      <c r="AL3242" s="4">
        <v>21</v>
      </c>
      <c r="AM3242" s="4">
        <v>34</v>
      </c>
      <c r="AN3242" s="4">
        <v>0</v>
      </c>
      <c r="AO3242" s="4">
        <v>0</v>
      </c>
      <c r="AP3242" s="4">
        <v>6</v>
      </c>
      <c r="AQ3242" s="4">
        <v>39</v>
      </c>
      <c r="AR3242" s="3" t="s">
        <v>64</v>
      </c>
      <c r="AS3242" s="3" t="s">
        <v>64</v>
      </c>
      <c r="AT3242" s="3" t="s">
        <v>64</v>
      </c>
      <c r="AV3242" s="6" t="str">
        <f>HYPERLINK("http://mcgill.on.worldcat.org/oclc/173243722","Catalog Record")</f>
        <v>Catalog Record</v>
      </c>
      <c r="AW3242" s="6" t="str">
        <f>HYPERLINK("http://www.worldcat.org/oclc/173243722","WorldCat Record")</f>
        <v>WorldCat Record</v>
      </c>
      <c r="AX3242" s="3" t="s">
        <v>32480</v>
      </c>
      <c r="AY3242" s="3" t="s">
        <v>32481</v>
      </c>
      <c r="AZ3242" s="3" t="s">
        <v>32482</v>
      </c>
      <c r="BA3242" s="3" t="s">
        <v>32482</v>
      </c>
      <c r="BB3242" s="3" t="s">
        <v>32483</v>
      </c>
      <c r="BC3242" s="3" t="s">
        <v>77</v>
      </c>
      <c r="BD3242" s="3" t="s">
        <v>78</v>
      </c>
      <c r="BE3242" s="3" t="s">
        <v>32484</v>
      </c>
      <c r="BF3242" s="3" t="s">
        <v>32483</v>
      </c>
      <c r="BG3242" s="3" t="s">
        <v>32485</v>
      </c>
      <c r="BH3242">
        <f t="shared" si="77"/>
        <v>0</v>
      </c>
    </row>
    <row r="3243" spans="1:60" ht="58" x14ac:dyDescent="0.35">
      <c r="A3243" s="2" t="s">
        <v>59</v>
      </c>
      <c r="B3243" s="2" t="s">
        <v>60</v>
      </c>
      <c r="C3243" s="2" t="s">
        <v>32486</v>
      </c>
      <c r="D3243" s="2" t="s">
        <v>32487</v>
      </c>
      <c r="E3243" s="2" t="s">
        <v>32488</v>
      </c>
      <c r="G3243" s="3" t="s">
        <v>64</v>
      </c>
      <c r="I3243" s="3" t="s">
        <v>64</v>
      </c>
      <c r="J3243" s="3" t="s">
        <v>64</v>
      </c>
      <c r="K3243" s="3" t="s">
        <v>65</v>
      </c>
      <c r="L3243" s="2" t="s">
        <v>32489</v>
      </c>
      <c r="M3243" s="2" t="s">
        <v>19623</v>
      </c>
      <c r="N3243" s="3" t="s">
        <v>291</v>
      </c>
      <c r="P3243" s="3" t="s">
        <v>102</v>
      </c>
      <c r="R3243" s="3" t="s">
        <v>70</v>
      </c>
      <c r="S3243" s="4">
        <v>5</v>
      </c>
      <c r="T3243" s="4">
        <v>5</v>
      </c>
      <c r="U3243" s="5" t="s">
        <v>20195</v>
      </c>
      <c r="V3243" s="5" t="s">
        <v>20195</v>
      </c>
      <c r="W3243" s="5" t="s">
        <v>72</v>
      </c>
      <c r="X3243" s="5" t="s">
        <v>72</v>
      </c>
      <c r="Y3243" s="4">
        <v>366</v>
      </c>
      <c r="Z3243" s="4">
        <v>32</v>
      </c>
      <c r="AA3243" s="4">
        <v>119</v>
      </c>
      <c r="AB3243" s="4">
        <v>4</v>
      </c>
      <c r="AC3243" s="4">
        <v>19</v>
      </c>
      <c r="AD3243" s="4">
        <v>40</v>
      </c>
      <c r="AE3243" s="4">
        <v>112</v>
      </c>
      <c r="AF3243" s="4">
        <v>1</v>
      </c>
      <c r="AG3243" s="4">
        <v>8</v>
      </c>
      <c r="AH3243" s="4">
        <v>36</v>
      </c>
      <c r="AI3243" s="4">
        <v>75</v>
      </c>
      <c r="AJ3243" s="4">
        <v>7</v>
      </c>
      <c r="AK3243" s="4">
        <v>22</v>
      </c>
      <c r="AL3243" s="4">
        <v>16</v>
      </c>
      <c r="AM3243" s="4">
        <v>36</v>
      </c>
      <c r="AN3243" s="4">
        <v>0</v>
      </c>
      <c r="AO3243" s="4">
        <v>0</v>
      </c>
      <c r="AP3243" s="4">
        <v>9</v>
      </c>
      <c r="AQ3243" s="4">
        <v>45</v>
      </c>
      <c r="AR3243" s="3" t="s">
        <v>64</v>
      </c>
      <c r="AS3243" s="3" t="s">
        <v>64</v>
      </c>
      <c r="AT3243" s="3" t="s">
        <v>64</v>
      </c>
      <c r="AV3243" s="6" t="str">
        <f>HYPERLINK("http://mcgill.on.worldcat.org/oclc/166391433","Catalog Record")</f>
        <v>Catalog Record</v>
      </c>
      <c r="AW3243" s="6" t="str">
        <f>HYPERLINK("http://www.worldcat.org/oclc/166391433","WorldCat Record")</f>
        <v>WorldCat Record</v>
      </c>
      <c r="AX3243" s="3" t="s">
        <v>32490</v>
      </c>
      <c r="AY3243" s="3" t="s">
        <v>32491</v>
      </c>
      <c r="AZ3243" s="3" t="s">
        <v>32492</v>
      </c>
      <c r="BA3243" s="3" t="s">
        <v>32492</v>
      </c>
      <c r="BB3243" s="3" t="s">
        <v>32493</v>
      </c>
      <c r="BC3243" s="3" t="s">
        <v>77</v>
      </c>
      <c r="BD3243" s="3" t="s">
        <v>78</v>
      </c>
      <c r="BE3243" s="3" t="s">
        <v>32494</v>
      </c>
      <c r="BF3243" s="3" t="s">
        <v>32493</v>
      </c>
      <c r="BG3243" s="3" t="s">
        <v>32495</v>
      </c>
      <c r="BH3243">
        <f t="shared" si="77"/>
        <v>0</v>
      </c>
    </row>
    <row r="3244" spans="1:60" ht="58" x14ac:dyDescent="0.35">
      <c r="A3244" s="2" t="s">
        <v>59</v>
      </c>
      <c r="B3244" s="2" t="s">
        <v>60</v>
      </c>
      <c r="C3244" s="2" t="s">
        <v>32496</v>
      </c>
      <c r="D3244" s="2" t="s">
        <v>32497</v>
      </c>
      <c r="E3244" s="2" t="s">
        <v>32498</v>
      </c>
      <c r="G3244" s="3" t="s">
        <v>64</v>
      </c>
      <c r="I3244" s="3" t="s">
        <v>64</v>
      </c>
      <c r="J3244" s="3" t="s">
        <v>64</v>
      </c>
      <c r="K3244" s="3" t="s">
        <v>65</v>
      </c>
      <c r="L3244" s="2" t="s">
        <v>32499</v>
      </c>
      <c r="M3244" s="2" t="s">
        <v>31169</v>
      </c>
      <c r="N3244" s="3" t="s">
        <v>86</v>
      </c>
      <c r="P3244" s="3" t="s">
        <v>102</v>
      </c>
      <c r="R3244" s="3" t="s">
        <v>70</v>
      </c>
      <c r="S3244" s="4">
        <v>6</v>
      </c>
      <c r="T3244" s="4">
        <v>6</v>
      </c>
      <c r="U3244" s="5" t="s">
        <v>20195</v>
      </c>
      <c r="V3244" s="5" t="s">
        <v>20195</v>
      </c>
      <c r="W3244" s="5" t="s">
        <v>72</v>
      </c>
      <c r="X3244" s="5" t="s">
        <v>72</v>
      </c>
      <c r="Y3244" s="4">
        <v>149</v>
      </c>
      <c r="Z3244" s="4">
        <v>13</v>
      </c>
      <c r="AA3244" s="4">
        <v>18</v>
      </c>
      <c r="AB3244" s="4">
        <v>1</v>
      </c>
      <c r="AC3244" s="4">
        <v>6</v>
      </c>
      <c r="AD3244" s="4">
        <v>25</v>
      </c>
      <c r="AE3244" s="4">
        <v>27</v>
      </c>
      <c r="AF3244" s="4">
        <v>0</v>
      </c>
      <c r="AG3244" s="4">
        <v>1</v>
      </c>
      <c r="AH3244" s="4">
        <v>24</v>
      </c>
      <c r="AI3244" s="4">
        <v>25</v>
      </c>
      <c r="AJ3244" s="4">
        <v>4</v>
      </c>
      <c r="AK3244" s="4">
        <v>5</v>
      </c>
      <c r="AL3244" s="4">
        <v>14</v>
      </c>
      <c r="AM3244" s="4">
        <v>14</v>
      </c>
      <c r="AN3244" s="4">
        <v>0</v>
      </c>
      <c r="AO3244" s="4">
        <v>0</v>
      </c>
      <c r="AP3244" s="4">
        <v>5</v>
      </c>
      <c r="AQ3244" s="4">
        <v>5</v>
      </c>
      <c r="AR3244" s="3" t="s">
        <v>64</v>
      </c>
      <c r="AS3244" s="3" t="s">
        <v>64</v>
      </c>
      <c r="AT3244" s="3" t="s">
        <v>64</v>
      </c>
      <c r="AV3244" s="6" t="str">
        <f>HYPERLINK("http://mcgill.on.worldcat.org/oclc/759175616","Catalog Record")</f>
        <v>Catalog Record</v>
      </c>
      <c r="AW3244" s="6" t="str">
        <f>HYPERLINK("http://www.worldcat.org/oclc/759175616","WorldCat Record")</f>
        <v>WorldCat Record</v>
      </c>
      <c r="AX3244" s="3" t="s">
        <v>32500</v>
      </c>
      <c r="AY3244" s="3" t="s">
        <v>32501</v>
      </c>
      <c r="AZ3244" s="3" t="s">
        <v>32502</v>
      </c>
      <c r="BA3244" s="3" t="s">
        <v>32502</v>
      </c>
      <c r="BB3244" s="3" t="s">
        <v>32503</v>
      </c>
      <c r="BC3244" s="3" t="s">
        <v>77</v>
      </c>
      <c r="BD3244" s="3" t="s">
        <v>78</v>
      </c>
      <c r="BE3244" s="3" t="s">
        <v>32504</v>
      </c>
      <c r="BF3244" s="3" t="s">
        <v>32503</v>
      </c>
      <c r="BG3244" s="3" t="s">
        <v>32505</v>
      </c>
      <c r="BH3244">
        <f t="shared" si="77"/>
        <v>0</v>
      </c>
    </row>
    <row r="3245" spans="1:60" ht="58" x14ac:dyDescent="0.35">
      <c r="A3245" s="2" t="s">
        <v>59</v>
      </c>
      <c r="B3245" s="2" t="s">
        <v>60</v>
      </c>
      <c r="C3245" s="2" t="s">
        <v>32506</v>
      </c>
      <c r="D3245" s="2" t="s">
        <v>32507</v>
      </c>
      <c r="E3245" s="2" t="s">
        <v>32508</v>
      </c>
      <c r="G3245" s="3" t="s">
        <v>64</v>
      </c>
      <c r="I3245" s="3" t="s">
        <v>64</v>
      </c>
      <c r="J3245" s="3" t="s">
        <v>64</v>
      </c>
      <c r="K3245" s="3" t="s">
        <v>65</v>
      </c>
      <c r="L3245" s="2" t="s">
        <v>32509</v>
      </c>
      <c r="M3245" s="2" t="s">
        <v>17681</v>
      </c>
      <c r="N3245" s="3" t="s">
        <v>1075</v>
      </c>
      <c r="P3245" s="3" t="s">
        <v>102</v>
      </c>
      <c r="R3245" s="3" t="s">
        <v>70</v>
      </c>
      <c r="S3245" s="4">
        <v>0</v>
      </c>
      <c r="T3245" s="4">
        <v>0</v>
      </c>
      <c r="W3245" s="5" t="s">
        <v>72</v>
      </c>
      <c r="X3245" s="5" t="s">
        <v>72</v>
      </c>
      <c r="Y3245" s="4">
        <v>73</v>
      </c>
      <c r="Z3245" s="4">
        <v>12</v>
      </c>
      <c r="AA3245" s="4">
        <v>12</v>
      </c>
      <c r="AB3245" s="4">
        <v>1</v>
      </c>
      <c r="AC3245" s="4">
        <v>1</v>
      </c>
      <c r="AD3245" s="4">
        <v>22</v>
      </c>
      <c r="AE3245" s="4">
        <v>22</v>
      </c>
      <c r="AF3245" s="4">
        <v>0</v>
      </c>
      <c r="AG3245" s="4">
        <v>0</v>
      </c>
      <c r="AH3245" s="4">
        <v>17</v>
      </c>
      <c r="AI3245" s="4">
        <v>17</v>
      </c>
      <c r="AJ3245" s="4">
        <v>6</v>
      </c>
      <c r="AK3245" s="4">
        <v>6</v>
      </c>
      <c r="AL3245" s="4">
        <v>8</v>
      </c>
      <c r="AM3245" s="4">
        <v>8</v>
      </c>
      <c r="AN3245" s="4">
        <v>0</v>
      </c>
      <c r="AO3245" s="4">
        <v>0</v>
      </c>
      <c r="AP3245" s="4">
        <v>8</v>
      </c>
      <c r="AQ3245" s="4">
        <v>8</v>
      </c>
      <c r="AR3245" s="3" t="s">
        <v>64</v>
      </c>
      <c r="AS3245" s="3" t="s">
        <v>64</v>
      </c>
      <c r="AT3245" s="3" t="s">
        <v>64</v>
      </c>
      <c r="AV3245" s="6" t="str">
        <f>HYPERLINK("http://mcgill.on.worldcat.org/oclc/854610105","Catalog Record")</f>
        <v>Catalog Record</v>
      </c>
      <c r="AW3245" s="6" t="str">
        <f>HYPERLINK("http://www.worldcat.org/oclc/854610105","WorldCat Record")</f>
        <v>WorldCat Record</v>
      </c>
      <c r="AX3245" s="3" t="s">
        <v>32510</v>
      </c>
      <c r="AY3245" s="3" t="s">
        <v>32511</v>
      </c>
      <c r="AZ3245" s="3" t="s">
        <v>32512</v>
      </c>
      <c r="BA3245" s="3" t="s">
        <v>32512</v>
      </c>
      <c r="BB3245" s="3" t="s">
        <v>32513</v>
      </c>
      <c r="BC3245" s="3" t="s">
        <v>77</v>
      </c>
      <c r="BD3245" s="3" t="s">
        <v>78</v>
      </c>
      <c r="BE3245" s="3" t="s">
        <v>32514</v>
      </c>
      <c r="BF3245" s="3" t="s">
        <v>32513</v>
      </c>
      <c r="BG3245" s="3" t="s">
        <v>32515</v>
      </c>
      <c r="BH3245">
        <f t="shared" si="77"/>
        <v>0</v>
      </c>
    </row>
    <row r="3246" spans="1:60" ht="58" x14ac:dyDescent="0.35">
      <c r="A3246" s="2" t="s">
        <v>59</v>
      </c>
      <c r="B3246" s="2" t="s">
        <v>60</v>
      </c>
      <c r="C3246" s="2" t="s">
        <v>32516</v>
      </c>
      <c r="D3246" s="2" t="s">
        <v>32517</v>
      </c>
      <c r="E3246" s="2" t="s">
        <v>32518</v>
      </c>
      <c r="G3246" s="3" t="s">
        <v>64</v>
      </c>
      <c r="I3246" s="3" t="s">
        <v>64</v>
      </c>
      <c r="J3246" s="3" t="s">
        <v>64</v>
      </c>
      <c r="K3246" s="3" t="s">
        <v>65</v>
      </c>
      <c r="M3246" s="2" t="s">
        <v>32519</v>
      </c>
      <c r="N3246" s="3" t="s">
        <v>326</v>
      </c>
      <c r="O3246" s="2" t="s">
        <v>16791</v>
      </c>
      <c r="P3246" s="3" t="s">
        <v>102</v>
      </c>
      <c r="R3246" s="3" t="s">
        <v>70</v>
      </c>
      <c r="S3246" s="4">
        <v>0</v>
      </c>
      <c r="T3246" s="4">
        <v>0</v>
      </c>
      <c r="W3246" s="5" t="s">
        <v>72</v>
      </c>
      <c r="X3246" s="5" t="s">
        <v>72</v>
      </c>
      <c r="Y3246" s="4">
        <v>40</v>
      </c>
      <c r="Z3246" s="4">
        <v>5</v>
      </c>
      <c r="AA3246" s="4">
        <v>6</v>
      </c>
      <c r="AB3246" s="4">
        <v>1</v>
      </c>
      <c r="AC3246" s="4">
        <v>2</v>
      </c>
      <c r="AD3246" s="4">
        <v>13</v>
      </c>
      <c r="AE3246" s="4">
        <v>13</v>
      </c>
      <c r="AF3246" s="4">
        <v>0</v>
      </c>
      <c r="AG3246" s="4">
        <v>0</v>
      </c>
      <c r="AH3246" s="4">
        <v>10</v>
      </c>
      <c r="AI3246" s="4">
        <v>10</v>
      </c>
      <c r="AJ3246" s="4">
        <v>4</v>
      </c>
      <c r="AK3246" s="4">
        <v>4</v>
      </c>
      <c r="AL3246" s="4">
        <v>4</v>
      </c>
      <c r="AM3246" s="4">
        <v>4</v>
      </c>
      <c r="AN3246" s="4">
        <v>0</v>
      </c>
      <c r="AO3246" s="4">
        <v>0</v>
      </c>
      <c r="AP3246" s="4">
        <v>4</v>
      </c>
      <c r="AQ3246" s="4">
        <v>4</v>
      </c>
      <c r="AR3246" s="3" t="s">
        <v>64</v>
      </c>
      <c r="AS3246" s="3" t="s">
        <v>64</v>
      </c>
      <c r="AT3246" s="3" t="s">
        <v>64</v>
      </c>
      <c r="AV3246" s="6" t="str">
        <f>HYPERLINK("http://mcgill.on.worldcat.org/oclc/754728855","Catalog Record")</f>
        <v>Catalog Record</v>
      </c>
      <c r="AW3246" s="6" t="str">
        <f>HYPERLINK("http://www.worldcat.org/oclc/754728855","WorldCat Record")</f>
        <v>WorldCat Record</v>
      </c>
      <c r="AX3246" s="3" t="s">
        <v>32520</v>
      </c>
      <c r="AY3246" s="3" t="s">
        <v>32521</v>
      </c>
      <c r="AZ3246" s="3" t="s">
        <v>32522</v>
      </c>
      <c r="BA3246" s="3" t="s">
        <v>32522</v>
      </c>
      <c r="BB3246" s="3" t="s">
        <v>32523</v>
      </c>
      <c r="BC3246" s="3" t="s">
        <v>77</v>
      </c>
      <c r="BD3246" s="3" t="s">
        <v>78</v>
      </c>
      <c r="BE3246" s="3" t="s">
        <v>32524</v>
      </c>
      <c r="BF3246" s="3" t="s">
        <v>32523</v>
      </c>
      <c r="BG3246" s="3" t="s">
        <v>32525</v>
      </c>
      <c r="BH3246">
        <f t="shared" si="77"/>
        <v>0</v>
      </c>
    </row>
    <row r="3247" spans="1:60" ht="58" x14ac:dyDescent="0.35">
      <c r="A3247" s="2" t="s">
        <v>59</v>
      </c>
      <c r="B3247" s="2" t="s">
        <v>60</v>
      </c>
      <c r="C3247" s="2" t="s">
        <v>32526</v>
      </c>
      <c r="D3247" s="2" t="s">
        <v>32527</v>
      </c>
      <c r="E3247" s="2" t="s">
        <v>32528</v>
      </c>
      <c r="G3247" s="3" t="s">
        <v>64</v>
      </c>
      <c r="I3247" s="3" t="s">
        <v>64</v>
      </c>
      <c r="J3247" s="3" t="s">
        <v>64</v>
      </c>
      <c r="K3247" s="3" t="s">
        <v>65</v>
      </c>
      <c r="M3247" s="2" t="s">
        <v>32529</v>
      </c>
      <c r="N3247" s="3" t="s">
        <v>421</v>
      </c>
      <c r="P3247" s="3" t="s">
        <v>102</v>
      </c>
      <c r="R3247" s="3" t="s">
        <v>70</v>
      </c>
      <c r="S3247" s="4">
        <v>9</v>
      </c>
      <c r="T3247" s="4">
        <v>9</v>
      </c>
      <c r="U3247" s="5" t="s">
        <v>32530</v>
      </c>
      <c r="V3247" s="5" t="s">
        <v>32530</v>
      </c>
      <c r="W3247" s="5" t="s">
        <v>72</v>
      </c>
      <c r="X3247" s="5" t="s">
        <v>72</v>
      </c>
      <c r="Y3247" s="4">
        <v>204</v>
      </c>
      <c r="Z3247" s="4">
        <v>15</v>
      </c>
      <c r="AA3247" s="4">
        <v>16</v>
      </c>
      <c r="AB3247" s="4">
        <v>1</v>
      </c>
      <c r="AC3247" s="4">
        <v>2</v>
      </c>
      <c r="AD3247" s="4">
        <v>81</v>
      </c>
      <c r="AE3247" s="4">
        <v>81</v>
      </c>
      <c r="AF3247" s="4">
        <v>0</v>
      </c>
      <c r="AG3247" s="4">
        <v>0</v>
      </c>
      <c r="AH3247" s="4">
        <v>77</v>
      </c>
      <c r="AI3247" s="4">
        <v>77</v>
      </c>
      <c r="AJ3247" s="4">
        <v>7</v>
      </c>
      <c r="AK3247" s="4">
        <v>7</v>
      </c>
      <c r="AL3247" s="4">
        <v>45</v>
      </c>
      <c r="AM3247" s="4">
        <v>45</v>
      </c>
      <c r="AN3247" s="4">
        <v>0</v>
      </c>
      <c r="AO3247" s="4">
        <v>0</v>
      </c>
      <c r="AP3247" s="4">
        <v>7</v>
      </c>
      <c r="AQ3247" s="4">
        <v>7</v>
      </c>
      <c r="AR3247" s="3" t="s">
        <v>64</v>
      </c>
      <c r="AS3247" s="3" t="s">
        <v>64</v>
      </c>
      <c r="AT3247" s="3" t="s">
        <v>64</v>
      </c>
      <c r="AV3247" s="6" t="str">
        <f>HYPERLINK("http://mcgill.on.worldcat.org/oclc/36284005","Catalog Record")</f>
        <v>Catalog Record</v>
      </c>
      <c r="AW3247" s="6" t="str">
        <f>HYPERLINK("http://www.worldcat.org/oclc/36284005","WorldCat Record")</f>
        <v>WorldCat Record</v>
      </c>
      <c r="AX3247" s="3" t="s">
        <v>32531</v>
      </c>
      <c r="AY3247" s="3" t="s">
        <v>32532</v>
      </c>
      <c r="AZ3247" s="3" t="s">
        <v>32533</v>
      </c>
      <c r="BA3247" s="3" t="s">
        <v>32533</v>
      </c>
      <c r="BB3247" s="3" t="s">
        <v>32534</v>
      </c>
      <c r="BC3247" s="3" t="s">
        <v>77</v>
      </c>
      <c r="BD3247" s="3" t="s">
        <v>78</v>
      </c>
      <c r="BE3247" s="3" t="s">
        <v>32535</v>
      </c>
      <c r="BF3247" s="3" t="s">
        <v>32534</v>
      </c>
      <c r="BG3247" s="3" t="s">
        <v>32536</v>
      </c>
      <c r="BH3247">
        <f t="shared" si="77"/>
        <v>0</v>
      </c>
    </row>
    <row r="3248" spans="1:60" ht="58" x14ac:dyDescent="0.35">
      <c r="A3248" s="2" t="s">
        <v>59</v>
      </c>
      <c r="B3248" s="2" t="s">
        <v>60</v>
      </c>
      <c r="C3248" s="2" t="s">
        <v>32537</v>
      </c>
      <c r="D3248" s="2" t="s">
        <v>32538</v>
      </c>
      <c r="E3248" s="2" t="s">
        <v>32539</v>
      </c>
      <c r="G3248" s="3" t="s">
        <v>64</v>
      </c>
      <c r="I3248" s="3" t="s">
        <v>64</v>
      </c>
      <c r="J3248" s="3" t="s">
        <v>64</v>
      </c>
      <c r="K3248" s="3" t="s">
        <v>65</v>
      </c>
      <c r="L3248" s="2" t="s">
        <v>32540</v>
      </c>
      <c r="M3248" s="2" t="s">
        <v>32541</v>
      </c>
      <c r="N3248" s="3" t="s">
        <v>551</v>
      </c>
      <c r="P3248" s="3" t="s">
        <v>365</v>
      </c>
      <c r="R3248" s="3" t="s">
        <v>70</v>
      </c>
      <c r="S3248" s="4">
        <v>2</v>
      </c>
      <c r="T3248" s="4">
        <v>2</v>
      </c>
      <c r="U3248" s="5" t="s">
        <v>3431</v>
      </c>
      <c r="V3248" s="5" t="s">
        <v>3431</v>
      </c>
      <c r="W3248" s="5" t="s">
        <v>72</v>
      </c>
      <c r="X3248" s="5" t="s">
        <v>72</v>
      </c>
      <c r="Y3248" s="4">
        <v>13</v>
      </c>
      <c r="Z3248" s="4">
        <v>3</v>
      </c>
      <c r="AA3248" s="4">
        <v>3</v>
      </c>
      <c r="AB3248" s="4">
        <v>1</v>
      </c>
      <c r="AC3248" s="4">
        <v>1</v>
      </c>
      <c r="AD3248" s="4">
        <v>4</v>
      </c>
      <c r="AE3248" s="4">
        <v>4</v>
      </c>
      <c r="AF3248" s="4">
        <v>0</v>
      </c>
      <c r="AG3248" s="4">
        <v>0</v>
      </c>
      <c r="AH3248" s="4">
        <v>3</v>
      </c>
      <c r="AI3248" s="4">
        <v>3</v>
      </c>
      <c r="AJ3248" s="4">
        <v>1</v>
      </c>
      <c r="AK3248" s="4">
        <v>1</v>
      </c>
      <c r="AL3248" s="4">
        <v>4</v>
      </c>
      <c r="AM3248" s="4">
        <v>4</v>
      </c>
      <c r="AN3248" s="4">
        <v>0</v>
      </c>
      <c r="AO3248" s="4">
        <v>0</v>
      </c>
      <c r="AP3248" s="4">
        <v>1</v>
      </c>
      <c r="AQ3248" s="4">
        <v>1</v>
      </c>
      <c r="AR3248" s="3" t="s">
        <v>64</v>
      </c>
      <c r="AS3248" s="3" t="s">
        <v>64</v>
      </c>
      <c r="AT3248" s="3" t="s">
        <v>64</v>
      </c>
      <c r="AV3248" s="6" t="str">
        <f>HYPERLINK("http://mcgill.on.worldcat.org/oclc/526214442","Catalog Record")</f>
        <v>Catalog Record</v>
      </c>
      <c r="AW3248" s="6" t="str">
        <f>HYPERLINK("http://www.worldcat.org/oclc/526214442","WorldCat Record")</f>
        <v>WorldCat Record</v>
      </c>
      <c r="AX3248" s="3" t="s">
        <v>32542</v>
      </c>
      <c r="AY3248" s="3" t="s">
        <v>32543</v>
      </c>
      <c r="AZ3248" s="3" t="s">
        <v>32544</v>
      </c>
      <c r="BA3248" s="3" t="s">
        <v>32544</v>
      </c>
      <c r="BB3248" s="3" t="s">
        <v>32545</v>
      </c>
      <c r="BC3248" s="3" t="s">
        <v>77</v>
      </c>
      <c r="BD3248" s="3" t="s">
        <v>78</v>
      </c>
      <c r="BE3248" s="3" t="s">
        <v>32546</v>
      </c>
      <c r="BF3248" s="3" t="s">
        <v>32545</v>
      </c>
      <c r="BG3248" s="3" t="s">
        <v>32547</v>
      </c>
      <c r="BH3248">
        <f t="shared" si="77"/>
        <v>0</v>
      </c>
    </row>
    <row r="3249" spans="1:60" ht="58" x14ac:dyDescent="0.35">
      <c r="A3249" s="2" t="s">
        <v>59</v>
      </c>
      <c r="B3249" s="2" t="s">
        <v>60</v>
      </c>
      <c r="C3249" s="2" t="s">
        <v>32548</v>
      </c>
      <c r="D3249" s="2" t="s">
        <v>32549</v>
      </c>
      <c r="E3249" s="2" t="s">
        <v>32550</v>
      </c>
      <c r="G3249" s="3" t="s">
        <v>64</v>
      </c>
      <c r="I3249" s="3" t="s">
        <v>64</v>
      </c>
      <c r="J3249" s="3" t="s">
        <v>64</v>
      </c>
      <c r="K3249" s="3" t="s">
        <v>65</v>
      </c>
      <c r="L3249" s="2" t="s">
        <v>32551</v>
      </c>
      <c r="M3249" s="2" t="s">
        <v>32552</v>
      </c>
      <c r="N3249" s="3" t="s">
        <v>1275</v>
      </c>
      <c r="P3249" s="3" t="s">
        <v>68</v>
      </c>
      <c r="R3249" s="3" t="s">
        <v>70</v>
      </c>
      <c r="S3249" s="4">
        <v>3</v>
      </c>
      <c r="T3249" s="4">
        <v>3</v>
      </c>
      <c r="U3249" s="5" t="s">
        <v>15865</v>
      </c>
      <c r="V3249" s="5" t="s">
        <v>15865</v>
      </c>
      <c r="W3249" s="5" t="s">
        <v>72</v>
      </c>
      <c r="X3249" s="5" t="s">
        <v>72</v>
      </c>
      <c r="Y3249" s="4">
        <v>26</v>
      </c>
      <c r="Z3249" s="4">
        <v>20</v>
      </c>
      <c r="AA3249" s="4">
        <v>24</v>
      </c>
      <c r="AB3249" s="4">
        <v>12</v>
      </c>
      <c r="AC3249" s="4">
        <v>12</v>
      </c>
      <c r="AD3249" s="4">
        <v>13</v>
      </c>
      <c r="AE3249" s="4">
        <v>19</v>
      </c>
      <c r="AF3249" s="4">
        <v>5</v>
      </c>
      <c r="AG3249" s="4">
        <v>5</v>
      </c>
      <c r="AH3249" s="4">
        <v>5</v>
      </c>
      <c r="AI3249" s="4">
        <v>9</v>
      </c>
      <c r="AJ3249" s="4">
        <v>10</v>
      </c>
      <c r="AK3249" s="4">
        <v>14</v>
      </c>
      <c r="AL3249" s="4">
        <v>2</v>
      </c>
      <c r="AM3249" s="4">
        <v>3</v>
      </c>
      <c r="AN3249" s="4">
        <v>0</v>
      </c>
      <c r="AO3249" s="4">
        <v>0</v>
      </c>
      <c r="AP3249" s="4">
        <v>9</v>
      </c>
      <c r="AQ3249" s="4">
        <v>13</v>
      </c>
      <c r="AR3249" s="3" t="s">
        <v>128</v>
      </c>
      <c r="AS3249" s="3" t="s">
        <v>64</v>
      </c>
      <c r="AT3249" s="3" t="s">
        <v>64</v>
      </c>
      <c r="AV3249" s="6" t="str">
        <f>HYPERLINK("http://mcgill.on.worldcat.org/oclc/55958998","Catalog Record")</f>
        <v>Catalog Record</v>
      </c>
      <c r="AW3249" s="6" t="str">
        <f>HYPERLINK("http://www.worldcat.org/oclc/55958998","WorldCat Record")</f>
        <v>WorldCat Record</v>
      </c>
      <c r="AX3249" s="3" t="s">
        <v>32553</v>
      </c>
      <c r="AY3249" s="3" t="s">
        <v>32554</v>
      </c>
      <c r="AZ3249" s="3" t="s">
        <v>32555</v>
      </c>
      <c r="BA3249" s="3" t="s">
        <v>32555</v>
      </c>
      <c r="BB3249" s="3" t="s">
        <v>32556</v>
      </c>
      <c r="BC3249" s="3" t="s">
        <v>77</v>
      </c>
      <c r="BD3249" s="3" t="s">
        <v>78</v>
      </c>
      <c r="BE3249" s="3" t="s">
        <v>32557</v>
      </c>
      <c r="BF3249" s="3" t="s">
        <v>32556</v>
      </c>
      <c r="BG3249" s="3" t="s">
        <v>32558</v>
      </c>
      <c r="BH3249">
        <f t="shared" si="77"/>
        <v>0</v>
      </c>
    </row>
    <row r="3250" spans="1:60" ht="58" x14ac:dyDescent="0.35">
      <c r="A3250" s="2" t="s">
        <v>59</v>
      </c>
      <c r="B3250" s="2" t="s">
        <v>60</v>
      </c>
      <c r="C3250" s="2" t="s">
        <v>32559</v>
      </c>
      <c r="D3250" s="2" t="s">
        <v>32560</v>
      </c>
      <c r="E3250" s="2" t="s">
        <v>32561</v>
      </c>
      <c r="G3250" s="3" t="s">
        <v>64</v>
      </c>
      <c r="I3250" s="3" t="s">
        <v>64</v>
      </c>
      <c r="J3250" s="3" t="s">
        <v>64</v>
      </c>
      <c r="K3250" s="3" t="s">
        <v>65</v>
      </c>
      <c r="L3250" s="2" t="s">
        <v>32562</v>
      </c>
      <c r="M3250" s="2" t="s">
        <v>32563</v>
      </c>
      <c r="N3250" s="3" t="s">
        <v>3428</v>
      </c>
      <c r="P3250" s="3" t="s">
        <v>102</v>
      </c>
      <c r="R3250" s="3" t="s">
        <v>70</v>
      </c>
      <c r="S3250" s="4">
        <v>3</v>
      </c>
      <c r="T3250" s="4">
        <v>3</v>
      </c>
      <c r="U3250" s="5" t="s">
        <v>14861</v>
      </c>
      <c r="V3250" s="5" t="s">
        <v>14861</v>
      </c>
      <c r="W3250" s="5" t="s">
        <v>72</v>
      </c>
      <c r="X3250" s="5" t="s">
        <v>72</v>
      </c>
      <c r="Y3250" s="4">
        <v>155</v>
      </c>
      <c r="Z3250" s="4">
        <v>7</v>
      </c>
      <c r="AA3250" s="4">
        <v>7</v>
      </c>
      <c r="AB3250" s="4">
        <v>1</v>
      </c>
      <c r="AC3250" s="4">
        <v>1</v>
      </c>
      <c r="AD3250" s="4">
        <v>51</v>
      </c>
      <c r="AE3250" s="4">
        <v>51</v>
      </c>
      <c r="AF3250" s="4">
        <v>0</v>
      </c>
      <c r="AG3250" s="4">
        <v>0</v>
      </c>
      <c r="AH3250" s="4">
        <v>48</v>
      </c>
      <c r="AI3250" s="4">
        <v>48</v>
      </c>
      <c r="AJ3250" s="4">
        <v>4</v>
      </c>
      <c r="AK3250" s="4">
        <v>4</v>
      </c>
      <c r="AL3250" s="4">
        <v>27</v>
      </c>
      <c r="AM3250" s="4">
        <v>27</v>
      </c>
      <c r="AN3250" s="4">
        <v>0</v>
      </c>
      <c r="AO3250" s="4">
        <v>0</v>
      </c>
      <c r="AP3250" s="4">
        <v>5</v>
      </c>
      <c r="AQ3250" s="4">
        <v>5</v>
      </c>
      <c r="AR3250" s="3" t="s">
        <v>64</v>
      </c>
      <c r="AS3250" s="3" t="s">
        <v>64</v>
      </c>
      <c r="AT3250" s="3" t="s">
        <v>128</v>
      </c>
      <c r="AU3250" s="6" t="str">
        <f>HYPERLINK("http://catalog.hathitrust.org/Record/002982248","HathiTrust Record")</f>
        <v>HathiTrust Record</v>
      </c>
      <c r="AV3250" s="6" t="str">
        <f>HYPERLINK("http://mcgill.on.worldcat.org/oclc/31740178","Catalog Record")</f>
        <v>Catalog Record</v>
      </c>
      <c r="AW3250" s="6" t="str">
        <f>HYPERLINK("http://www.worldcat.org/oclc/31740178","WorldCat Record")</f>
        <v>WorldCat Record</v>
      </c>
      <c r="AX3250" s="3" t="s">
        <v>32564</v>
      </c>
      <c r="AY3250" s="3" t="s">
        <v>32565</v>
      </c>
      <c r="AZ3250" s="3" t="s">
        <v>32566</v>
      </c>
      <c r="BA3250" s="3" t="s">
        <v>32566</v>
      </c>
      <c r="BB3250" s="3" t="s">
        <v>32567</v>
      </c>
      <c r="BC3250" s="3" t="s">
        <v>77</v>
      </c>
      <c r="BD3250" s="3" t="s">
        <v>78</v>
      </c>
      <c r="BE3250" s="3" t="s">
        <v>32568</v>
      </c>
      <c r="BF3250" s="3" t="s">
        <v>32567</v>
      </c>
      <c r="BG3250" s="3" t="s">
        <v>32569</v>
      </c>
      <c r="BH3250">
        <f t="shared" si="77"/>
        <v>0</v>
      </c>
    </row>
    <row r="3251" spans="1:60" ht="58" x14ac:dyDescent="0.35">
      <c r="A3251" s="2" t="s">
        <v>59</v>
      </c>
      <c r="B3251" s="2" t="s">
        <v>60</v>
      </c>
      <c r="C3251" s="2" t="s">
        <v>32570</v>
      </c>
      <c r="D3251" s="2" t="s">
        <v>32571</v>
      </c>
      <c r="E3251" s="2" t="s">
        <v>32572</v>
      </c>
      <c r="G3251" s="3" t="s">
        <v>64</v>
      </c>
      <c r="I3251" s="3" t="s">
        <v>64</v>
      </c>
      <c r="J3251" s="3" t="s">
        <v>64</v>
      </c>
      <c r="K3251" s="3" t="s">
        <v>65</v>
      </c>
      <c r="L3251" s="2" t="s">
        <v>32573</v>
      </c>
      <c r="M3251" s="2" t="s">
        <v>32574</v>
      </c>
      <c r="N3251" s="3" t="s">
        <v>86</v>
      </c>
      <c r="O3251" s="2" t="s">
        <v>4790</v>
      </c>
      <c r="P3251" s="3" t="s">
        <v>365</v>
      </c>
      <c r="Q3251" s="2" t="s">
        <v>32575</v>
      </c>
      <c r="R3251" s="3" t="s">
        <v>70</v>
      </c>
      <c r="S3251" s="4">
        <v>0</v>
      </c>
      <c r="T3251" s="4">
        <v>0</v>
      </c>
      <c r="W3251" s="5" t="s">
        <v>72</v>
      </c>
      <c r="X3251" s="5" t="s">
        <v>72</v>
      </c>
      <c r="Y3251" s="4">
        <v>25</v>
      </c>
      <c r="Z3251" s="4">
        <v>3</v>
      </c>
      <c r="AA3251" s="4">
        <v>3</v>
      </c>
      <c r="AB3251" s="4">
        <v>1</v>
      </c>
      <c r="AC3251" s="4">
        <v>1</v>
      </c>
      <c r="AD3251" s="4">
        <v>13</v>
      </c>
      <c r="AE3251" s="4">
        <v>13</v>
      </c>
      <c r="AF3251" s="4">
        <v>0</v>
      </c>
      <c r="AG3251" s="4">
        <v>0</v>
      </c>
      <c r="AH3251" s="4">
        <v>12</v>
      </c>
      <c r="AI3251" s="4">
        <v>12</v>
      </c>
      <c r="AJ3251" s="4">
        <v>1</v>
      </c>
      <c r="AK3251" s="4">
        <v>1</v>
      </c>
      <c r="AL3251" s="4">
        <v>12</v>
      </c>
      <c r="AM3251" s="4">
        <v>12</v>
      </c>
      <c r="AN3251" s="4">
        <v>0</v>
      </c>
      <c r="AO3251" s="4">
        <v>0</v>
      </c>
      <c r="AP3251" s="4">
        <v>1</v>
      </c>
      <c r="AQ3251" s="4">
        <v>1</v>
      </c>
      <c r="AR3251" s="3" t="s">
        <v>64</v>
      </c>
      <c r="AS3251" s="3" t="s">
        <v>64</v>
      </c>
      <c r="AT3251" s="3" t="s">
        <v>64</v>
      </c>
      <c r="AV3251" s="6" t="str">
        <f>HYPERLINK("http://mcgill.on.worldcat.org/oclc/826639364","Catalog Record")</f>
        <v>Catalog Record</v>
      </c>
      <c r="AW3251" s="6" t="str">
        <f>HYPERLINK("http://www.worldcat.org/oclc/826639364","WorldCat Record")</f>
        <v>WorldCat Record</v>
      </c>
      <c r="AX3251" s="3" t="s">
        <v>32576</v>
      </c>
      <c r="AY3251" s="3" t="s">
        <v>32577</v>
      </c>
      <c r="AZ3251" s="3" t="s">
        <v>32578</v>
      </c>
      <c r="BA3251" s="3" t="s">
        <v>32578</v>
      </c>
      <c r="BB3251" s="3" t="s">
        <v>32579</v>
      </c>
      <c r="BC3251" s="3" t="s">
        <v>77</v>
      </c>
      <c r="BD3251" s="3" t="s">
        <v>78</v>
      </c>
      <c r="BE3251" s="3" t="s">
        <v>32580</v>
      </c>
      <c r="BF3251" s="3" t="s">
        <v>32579</v>
      </c>
      <c r="BG3251" s="3" t="s">
        <v>32581</v>
      </c>
      <c r="BH3251">
        <f t="shared" si="77"/>
        <v>0</v>
      </c>
    </row>
    <row r="3252" spans="1:60" ht="58" x14ac:dyDescent="0.35">
      <c r="A3252" s="2" t="s">
        <v>59</v>
      </c>
      <c r="B3252" s="2" t="s">
        <v>60</v>
      </c>
      <c r="C3252" s="2" t="s">
        <v>32582</v>
      </c>
      <c r="D3252" s="2" t="s">
        <v>32583</v>
      </c>
      <c r="E3252" s="2" t="s">
        <v>32584</v>
      </c>
      <c r="G3252" s="3" t="s">
        <v>64</v>
      </c>
      <c r="I3252" s="3" t="s">
        <v>64</v>
      </c>
      <c r="J3252" s="3" t="s">
        <v>64</v>
      </c>
      <c r="K3252" s="3" t="s">
        <v>65</v>
      </c>
      <c r="L3252" s="2" t="s">
        <v>32585</v>
      </c>
      <c r="M3252" s="2" t="s">
        <v>32586</v>
      </c>
      <c r="N3252" s="3" t="s">
        <v>5986</v>
      </c>
      <c r="P3252" s="3" t="s">
        <v>102</v>
      </c>
      <c r="R3252" s="3" t="s">
        <v>70</v>
      </c>
      <c r="S3252" s="4">
        <v>1</v>
      </c>
      <c r="T3252" s="4">
        <v>1</v>
      </c>
      <c r="U3252" s="5" t="s">
        <v>22671</v>
      </c>
      <c r="V3252" s="5" t="s">
        <v>22671</v>
      </c>
      <c r="W3252" s="5" t="s">
        <v>72</v>
      </c>
      <c r="X3252" s="5" t="s">
        <v>72</v>
      </c>
      <c r="Y3252" s="4">
        <v>270</v>
      </c>
      <c r="Z3252" s="4">
        <v>21</v>
      </c>
      <c r="AA3252" s="4">
        <v>21</v>
      </c>
      <c r="AB3252" s="4">
        <v>1</v>
      </c>
      <c r="AC3252" s="4">
        <v>1</v>
      </c>
      <c r="AD3252" s="4">
        <v>94</v>
      </c>
      <c r="AE3252" s="4">
        <v>95</v>
      </c>
      <c r="AF3252" s="4">
        <v>0</v>
      </c>
      <c r="AG3252" s="4">
        <v>0</v>
      </c>
      <c r="AH3252" s="4">
        <v>83</v>
      </c>
      <c r="AI3252" s="4">
        <v>84</v>
      </c>
      <c r="AJ3252" s="4">
        <v>15</v>
      </c>
      <c r="AK3252" s="4">
        <v>15</v>
      </c>
      <c r="AL3252" s="4">
        <v>46</v>
      </c>
      <c r="AM3252" s="4">
        <v>46</v>
      </c>
      <c r="AN3252" s="4">
        <v>0</v>
      </c>
      <c r="AO3252" s="4">
        <v>0</v>
      </c>
      <c r="AP3252" s="4">
        <v>18</v>
      </c>
      <c r="AQ3252" s="4">
        <v>18</v>
      </c>
      <c r="AR3252" s="3" t="s">
        <v>64</v>
      </c>
      <c r="AS3252" s="3" t="s">
        <v>64</v>
      </c>
      <c r="AT3252" s="3" t="s">
        <v>128</v>
      </c>
      <c r="AU3252" s="6" t="str">
        <f>HYPERLINK("http://catalog.hathitrust.org/Record/001164239","HathiTrust Record")</f>
        <v>HathiTrust Record</v>
      </c>
      <c r="AV3252" s="6" t="str">
        <f>HYPERLINK("http://mcgill.on.worldcat.org/oclc/860910","Catalog Record")</f>
        <v>Catalog Record</v>
      </c>
      <c r="AW3252" s="6" t="str">
        <f>HYPERLINK("http://www.worldcat.org/oclc/860910","WorldCat Record")</f>
        <v>WorldCat Record</v>
      </c>
      <c r="AX3252" s="3" t="s">
        <v>32587</v>
      </c>
      <c r="AY3252" s="3" t="s">
        <v>32588</v>
      </c>
      <c r="AZ3252" s="3" t="s">
        <v>32589</v>
      </c>
      <c r="BA3252" s="3" t="s">
        <v>32589</v>
      </c>
      <c r="BB3252" s="3" t="s">
        <v>32590</v>
      </c>
      <c r="BC3252" s="3" t="s">
        <v>77</v>
      </c>
      <c r="BD3252" s="3" t="s">
        <v>78</v>
      </c>
      <c r="BF3252" s="3" t="s">
        <v>32590</v>
      </c>
      <c r="BG3252" s="3" t="s">
        <v>32591</v>
      </c>
      <c r="BH3252">
        <f t="shared" si="77"/>
        <v>0</v>
      </c>
    </row>
    <row r="3253" spans="1:60" ht="58" x14ac:dyDescent="0.35">
      <c r="A3253" s="2" t="s">
        <v>59</v>
      </c>
      <c r="B3253" s="2" t="s">
        <v>60</v>
      </c>
      <c r="C3253" s="2" t="s">
        <v>32592</v>
      </c>
      <c r="D3253" s="2" t="s">
        <v>32593</v>
      </c>
      <c r="E3253" s="2" t="s">
        <v>32594</v>
      </c>
      <c r="G3253" s="3" t="s">
        <v>64</v>
      </c>
      <c r="I3253" s="3" t="s">
        <v>64</v>
      </c>
      <c r="J3253" s="3" t="s">
        <v>64</v>
      </c>
      <c r="K3253" s="3" t="s">
        <v>65</v>
      </c>
      <c r="L3253" s="2" t="s">
        <v>32595</v>
      </c>
      <c r="N3253" s="3" t="s">
        <v>3527</v>
      </c>
      <c r="P3253" s="3" t="s">
        <v>102</v>
      </c>
      <c r="Q3253" s="2" t="s">
        <v>32596</v>
      </c>
      <c r="R3253" s="3" t="s">
        <v>70</v>
      </c>
      <c r="S3253" s="4">
        <v>2</v>
      </c>
      <c r="T3253" s="4">
        <v>2</v>
      </c>
      <c r="U3253" s="5" t="s">
        <v>10073</v>
      </c>
      <c r="V3253" s="5" t="s">
        <v>10073</v>
      </c>
      <c r="W3253" s="5" t="s">
        <v>72</v>
      </c>
      <c r="X3253" s="5" t="s">
        <v>72</v>
      </c>
      <c r="Y3253" s="4">
        <v>59</v>
      </c>
      <c r="Z3253" s="4">
        <v>4</v>
      </c>
      <c r="AA3253" s="4">
        <v>4</v>
      </c>
      <c r="AB3253" s="4">
        <v>1</v>
      </c>
      <c r="AC3253" s="4">
        <v>1</v>
      </c>
      <c r="AD3253" s="4">
        <v>19</v>
      </c>
      <c r="AE3253" s="4">
        <v>19</v>
      </c>
      <c r="AF3253" s="4">
        <v>0</v>
      </c>
      <c r="AG3253" s="4">
        <v>0</v>
      </c>
      <c r="AH3253" s="4">
        <v>19</v>
      </c>
      <c r="AI3253" s="4">
        <v>19</v>
      </c>
      <c r="AJ3253" s="4">
        <v>3</v>
      </c>
      <c r="AK3253" s="4">
        <v>3</v>
      </c>
      <c r="AL3253" s="4">
        <v>10</v>
      </c>
      <c r="AM3253" s="4">
        <v>10</v>
      </c>
      <c r="AN3253" s="4">
        <v>0</v>
      </c>
      <c r="AO3253" s="4">
        <v>0</v>
      </c>
      <c r="AP3253" s="4">
        <v>3</v>
      </c>
      <c r="AQ3253" s="4">
        <v>3</v>
      </c>
      <c r="AR3253" s="3" t="s">
        <v>64</v>
      </c>
      <c r="AS3253" s="3" t="s">
        <v>64</v>
      </c>
      <c r="AT3253" s="3" t="s">
        <v>64</v>
      </c>
      <c r="AV3253" s="6" t="str">
        <f>HYPERLINK("http://mcgill.on.worldcat.org/oclc/577732","Catalog Record")</f>
        <v>Catalog Record</v>
      </c>
      <c r="AW3253" s="6" t="str">
        <f>HYPERLINK("http://www.worldcat.org/oclc/577732","WorldCat Record")</f>
        <v>WorldCat Record</v>
      </c>
      <c r="AX3253" s="3" t="s">
        <v>32597</v>
      </c>
      <c r="AY3253" s="3" t="s">
        <v>32598</v>
      </c>
      <c r="AZ3253" s="3" t="s">
        <v>32599</v>
      </c>
      <c r="BA3253" s="3" t="s">
        <v>32599</v>
      </c>
      <c r="BB3253" s="3" t="s">
        <v>32600</v>
      </c>
      <c r="BC3253" s="3" t="s">
        <v>77</v>
      </c>
      <c r="BD3253" s="3" t="s">
        <v>78</v>
      </c>
      <c r="BF3253" s="3" t="s">
        <v>32600</v>
      </c>
      <c r="BG3253" s="3" t="s">
        <v>32601</v>
      </c>
      <c r="BH3253">
        <f t="shared" si="77"/>
        <v>0</v>
      </c>
    </row>
    <row r="3254" spans="1:60" ht="58" x14ac:dyDescent="0.35">
      <c r="A3254" s="2" t="s">
        <v>59</v>
      </c>
      <c r="B3254" s="2" t="s">
        <v>60</v>
      </c>
      <c r="C3254" s="2" t="s">
        <v>32602</v>
      </c>
      <c r="D3254" s="2" t="s">
        <v>32603</v>
      </c>
      <c r="E3254" s="2" t="s">
        <v>32604</v>
      </c>
      <c r="G3254" s="3" t="s">
        <v>64</v>
      </c>
      <c r="I3254" s="3" t="s">
        <v>64</v>
      </c>
      <c r="J3254" s="3" t="s">
        <v>64</v>
      </c>
      <c r="K3254" s="3" t="s">
        <v>65</v>
      </c>
      <c r="L3254" s="2" t="s">
        <v>32605</v>
      </c>
      <c r="M3254" s="2" t="s">
        <v>32606</v>
      </c>
      <c r="N3254" s="3" t="s">
        <v>266</v>
      </c>
      <c r="P3254" s="3" t="s">
        <v>102</v>
      </c>
      <c r="R3254" s="3" t="s">
        <v>70</v>
      </c>
      <c r="S3254" s="4">
        <v>5</v>
      </c>
      <c r="T3254" s="4">
        <v>5</v>
      </c>
      <c r="U3254" s="5" t="s">
        <v>14454</v>
      </c>
      <c r="V3254" s="5" t="s">
        <v>14454</v>
      </c>
      <c r="W3254" s="5" t="s">
        <v>72</v>
      </c>
      <c r="X3254" s="5" t="s">
        <v>72</v>
      </c>
      <c r="Y3254" s="4">
        <v>449</v>
      </c>
      <c r="Z3254" s="4">
        <v>11</v>
      </c>
      <c r="AA3254" s="4">
        <v>42</v>
      </c>
      <c r="AB3254" s="4">
        <v>1</v>
      </c>
      <c r="AC3254" s="4">
        <v>4</v>
      </c>
      <c r="AD3254" s="4">
        <v>81</v>
      </c>
      <c r="AE3254" s="4">
        <v>126</v>
      </c>
      <c r="AF3254" s="4">
        <v>0</v>
      </c>
      <c r="AG3254" s="4">
        <v>3</v>
      </c>
      <c r="AH3254" s="4">
        <v>71</v>
      </c>
      <c r="AI3254" s="4">
        <v>103</v>
      </c>
      <c r="AJ3254" s="4">
        <v>8</v>
      </c>
      <c r="AK3254" s="4">
        <v>25</v>
      </c>
      <c r="AL3254" s="4">
        <v>41</v>
      </c>
      <c r="AM3254" s="4">
        <v>59</v>
      </c>
      <c r="AN3254" s="4">
        <v>0</v>
      </c>
      <c r="AO3254" s="4">
        <v>0</v>
      </c>
      <c r="AP3254" s="4">
        <v>9</v>
      </c>
      <c r="AQ3254" s="4">
        <v>26</v>
      </c>
      <c r="AR3254" s="3" t="s">
        <v>64</v>
      </c>
      <c r="AS3254" s="3" t="s">
        <v>64</v>
      </c>
      <c r="AT3254" s="3" t="s">
        <v>128</v>
      </c>
      <c r="AU3254" s="6" t="str">
        <f>HYPERLINK("http://catalog.hathitrust.org/Record/001164246","HathiTrust Record")</f>
        <v>HathiTrust Record</v>
      </c>
      <c r="AV3254" s="6" t="str">
        <f>HYPERLINK("http://mcgill.on.worldcat.org/oclc/575186","Catalog Record")</f>
        <v>Catalog Record</v>
      </c>
      <c r="AW3254" s="6" t="str">
        <f>HYPERLINK("http://www.worldcat.org/oclc/575186","WorldCat Record")</f>
        <v>WorldCat Record</v>
      </c>
      <c r="AX3254" s="3" t="s">
        <v>32607</v>
      </c>
      <c r="AY3254" s="3" t="s">
        <v>32608</v>
      </c>
      <c r="AZ3254" s="3" t="s">
        <v>32609</v>
      </c>
      <c r="BA3254" s="3" t="s">
        <v>32609</v>
      </c>
      <c r="BB3254" s="3" t="s">
        <v>32610</v>
      </c>
      <c r="BC3254" s="3" t="s">
        <v>77</v>
      </c>
      <c r="BD3254" s="3" t="s">
        <v>78</v>
      </c>
      <c r="BF3254" s="3" t="s">
        <v>32610</v>
      </c>
      <c r="BG3254" s="3" t="s">
        <v>32611</v>
      </c>
      <c r="BH3254">
        <f t="shared" si="77"/>
        <v>0</v>
      </c>
    </row>
    <row r="3255" spans="1:60" ht="58" x14ac:dyDescent="0.35">
      <c r="A3255" s="2" t="s">
        <v>59</v>
      </c>
      <c r="B3255" s="2" t="s">
        <v>60</v>
      </c>
      <c r="C3255" s="2" t="s">
        <v>32612</v>
      </c>
      <c r="D3255" s="2" t="s">
        <v>32613</v>
      </c>
      <c r="E3255" s="2" t="s">
        <v>32614</v>
      </c>
      <c r="G3255" s="3" t="s">
        <v>64</v>
      </c>
      <c r="I3255" s="3" t="s">
        <v>64</v>
      </c>
      <c r="J3255" s="3" t="s">
        <v>64</v>
      </c>
      <c r="K3255" s="3" t="s">
        <v>65</v>
      </c>
      <c r="L3255" s="2" t="s">
        <v>32615</v>
      </c>
      <c r="M3255" s="2" t="s">
        <v>32616</v>
      </c>
      <c r="N3255" s="3" t="s">
        <v>315</v>
      </c>
      <c r="P3255" s="3" t="s">
        <v>102</v>
      </c>
      <c r="R3255" s="3" t="s">
        <v>70</v>
      </c>
      <c r="S3255" s="4">
        <v>1</v>
      </c>
      <c r="T3255" s="4">
        <v>1</v>
      </c>
      <c r="U3255" s="5" t="s">
        <v>32617</v>
      </c>
      <c r="V3255" s="5" t="s">
        <v>32617</v>
      </c>
      <c r="W3255" s="5" t="s">
        <v>72</v>
      </c>
      <c r="X3255" s="5" t="s">
        <v>72</v>
      </c>
      <c r="Y3255" s="4">
        <v>342</v>
      </c>
      <c r="Z3255" s="4">
        <v>12</v>
      </c>
      <c r="AA3255" s="4">
        <v>13</v>
      </c>
      <c r="AB3255" s="4">
        <v>1</v>
      </c>
      <c r="AC3255" s="4">
        <v>2</v>
      </c>
      <c r="AD3255" s="4">
        <v>84</v>
      </c>
      <c r="AE3255" s="4">
        <v>86</v>
      </c>
      <c r="AF3255" s="4">
        <v>0</v>
      </c>
      <c r="AG3255" s="4">
        <v>1</v>
      </c>
      <c r="AH3255" s="4">
        <v>77</v>
      </c>
      <c r="AI3255" s="4">
        <v>78</v>
      </c>
      <c r="AJ3255" s="4">
        <v>9</v>
      </c>
      <c r="AK3255" s="4">
        <v>10</v>
      </c>
      <c r="AL3255" s="4">
        <v>45</v>
      </c>
      <c r="AM3255" s="4">
        <v>45</v>
      </c>
      <c r="AN3255" s="4">
        <v>0</v>
      </c>
      <c r="AO3255" s="4">
        <v>0</v>
      </c>
      <c r="AP3255" s="4">
        <v>9</v>
      </c>
      <c r="AQ3255" s="4">
        <v>9</v>
      </c>
      <c r="AR3255" s="3" t="s">
        <v>64</v>
      </c>
      <c r="AS3255" s="3" t="s">
        <v>64</v>
      </c>
      <c r="AT3255" s="3" t="s">
        <v>128</v>
      </c>
      <c r="AU3255" s="6" t="str">
        <f>HYPERLINK("http://catalog.hathitrust.org/Record/001164250","HathiTrust Record")</f>
        <v>HathiTrust Record</v>
      </c>
      <c r="AV3255" s="6" t="str">
        <f>HYPERLINK("http://mcgill.on.worldcat.org/oclc/443063","Catalog Record")</f>
        <v>Catalog Record</v>
      </c>
      <c r="AW3255" s="6" t="str">
        <f>HYPERLINK("http://www.worldcat.org/oclc/443063","WorldCat Record")</f>
        <v>WorldCat Record</v>
      </c>
      <c r="AX3255" s="3" t="s">
        <v>32618</v>
      </c>
      <c r="AY3255" s="3" t="s">
        <v>32619</v>
      </c>
      <c r="AZ3255" s="3" t="s">
        <v>32620</v>
      </c>
      <c r="BA3255" s="3" t="s">
        <v>32620</v>
      </c>
      <c r="BB3255" s="3" t="s">
        <v>32621</v>
      </c>
      <c r="BC3255" s="3" t="s">
        <v>77</v>
      </c>
      <c r="BD3255" s="3" t="s">
        <v>78</v>
      </c>
      <c r="BF3255" s="3" t="s">
        <v>32621</v>
      </c>
      <c r="BG3255" s="3" t="s">
        <v>32622</v>
      </c>
      <c r="BH3255">
        <f t="shared" si="77"/>
        <v>0</v>
      </c>
    </row>
    <row r="3256" spans="1:60" ht="72.5" x14ac:dyDescent="0.35">
      <c r="A3256" s="2" t="s">
        <v>59</v>
      </c>
      <c r="B3256" s="2" t="s">
        <v>60</v>
      </c>
      <c r="C3256" s="2" t="s">
        <v>32623</v>
      </c>
      <c r="D3256" s="2" t="s">
        <v>32624</v>
      </c>
      <c r="E3256" s="2" t="s">
        <v>32625</v>
      </c>
      <c r="G3256" s="3" t="s">
        <v>64</v>
      </c>
      <c r="I3256" s="3" t="s">
        <v>64</v>
      </c>
      <c r="J3256" s="3" t="s">
        <v>64</v>
      </c>
      <c r="K3256" s="3" t="s">
        <v>65</v>
      </c>
      <c r="L3256" s="2" t="s">
        <v>32626</v>
      </c>
      <c r="M3256" s="2" t="s">
        <v>32627</v>
      </c>
      <c r="N3256" s="3" t="s">
        <v>3330</v>
      </c>
      <c r="P3256" s="3" t="s">
        <v>102</v>
      </c>
      <c r="Q3256" s="2" t="s">
        <v>32628</v>
      </c>
      <c r="R3256" s="3" t="s">
        <v>70</v>
      </c>
      <c r="S3256" s="4">
        <v>9</v>
      </c>
      <c r="T3256" s="4">
        <v>9</v>
      </c>
      <c r="U3256" s="5" t="s">
        <v>32629</v>
      </c>
      <c r="V3256" s="5" t="s">
        <v>32629</v>
      </c>
      <c r="W3256" s="5" t="s">
        <v>72</v>
      </c>
      <c r="X3256" s="5" t="s">
        <v>72</v>
      </c>
      <c r="Y3256" s="4">
        <v>118</v>
      </c>
      <c r="Z3256" s="4">
        <v>10</v>
      </c>
      <c r="AA3256" s="4">
        <v>38</v>
      </c>
      <c r="AB3256" s="4">
        <v>2</v>
      </c>
      <c r="AC3256" s="4">
        <v>6</v>
      </c>
      <c r="AD3256" s="4">
        <v>59</v>
      </c>
      <c r="AE3256" s="4">
        <v>88</v>
      </c>
      <c r="AF3256" s="4">
        <v>0</v>
      </c>
      <c r="AG3256" s="4">
        <v>1</v>
      </c>
      <c r="AH3256" s="4">
        <v>55</v>
      </c>
      <c r="AI3256" s="4">
        <v>73</v>
      </c>
      <c r="AJ3256" s="4">
        <v>7</v>
      </c>
      <c r="AK3256" s="4">
        <v>13</v>
      </c>
      <c r="AL3256" s="4">
        <v>32</v>
      </c>
      <c r="AM3256" s="4">
        <v>41</v>
      </c>
      <c r="AN3256" s="4">
        <v>0</v>
      </c>
      <c r="AO3256" s="4">
        <v>0</v>
      </c>
      <c r="AP3256" s="4">
        <v>6</v>
      </c>
      <c r="AQ3256" s="4">
        <v>17</v>
      </c>
      <c r="AR3256" s="3" t="s">
        <v>64</v>
      </c>
      <c r="AS3256" s="3" t="s">
        <v>64</v>
      </c>
      <c r="AT3256" s="3" t="s">
        <v>128</v>
      </c>
      <c r="AU3256" s="6" t="str">
        <f>HYPERLINK("http://catalog.hathitrust.org/Record/000949979","HathiTrust Record")</f>
        <v>HathiTrust Record</v>
      </c>
      <c r="AV3256" s="6" t="str">
        <f>HYPERLINK("http://mcgill.on.worldcat.org/oclc/18904308","Catalog Record")</f>
        <v>Catalog Record</v>
      </c>
      <c r="AW3256" s="6" t="str">
        <f>HYPERLINK("http://www.worldcat.org/oclc/18904308","WorldCat Record")</f>
        <v>WorldCat Record</v>
      </c>
      <c r="AX3256" s="3" t="s">
        <v>32630</v>
      </c>
      <c r="AY3256" s="3" t="s">
        <v>32631</v>
      </c>
      <c r="AZ3256" s="3" t="s">
        <v>32632</v>
      </c>
      <c r="BA3256" s="3" t="s">
        <v>32632</v>
      </c>
      <c r="BB3256" s="3" t="s">
        <v>32633</v>
      </c>
      <c r="BC3256" s="3" t="s">
        <v>77</v>
      </c>
      <c r="BD3256" s="3" t="s">
        <v>78</v>
      </c>
      <c r="BF3256" s="3" t="s">
        <v>32633</v>
      </c>
      <c r="BG3256" s="3" t="s">
        <v>32634</v>
      </c>
      <c r="BH3256">
        <f t="shared" si="77"/>
        <v>0</v>
      </c>
    </row>
    <row r="3257" spans="1:60" ht="72.5" x14ac:dyDescent="0.35">
      <c r="A3257" s="2" t="s">
        <v>59</v>
      </c>
      <c r="B3257" s="2" t="s">
        <v>60</v>
      </c>
      <c r="C3257" s="2" t="s">
        <v>32635</v>
      </c>
      <c r="D3257" s="2" t="s">
        <v>32636</v>
      </c>
      <c r="E3257" s="2" t="s">
        <v>32637</v>
      </c>
      <c r="G3257" s="3" t="s">
        <v>64</v>
      </c>
      <c r="I3257" s="3" t="s">
        <v>64</v>
      </c>
      <c r="J3257" s="3" t="s">
        <v>64</v>
      </c>
      <c r="K3257" s="3" t="s">
        <v>65</v>
      </c>
      <c r="L3257" s="2" t="s">
        <v>32638</v>
      </c>
      <c r="M3257" s="2" t="s">
        <v>32639</v>
      </c>
      <c r="N3257" s="3" t="s">
        <v>2067</v>
      </c>
      <c r="P3257" s="3" t="s">
        <v>102</v>
      </c>
      <c r="R3257" s="3" t="s">
        <v>70</v>
      </c>
      <c r="S3257" s="4">
        <v>2</v>
      </c>
      <c r="T3257" s="4">
        <v>2</v>
      </c>
      <c r="U3257" s="5" t="s">
        <v>10073</v>
      </c>
      <c r="V3257" s="5" t="s">
        <v>10073</v>
      </c>
      <c r="W3257" s="5" t="s">
        <v>72</v>
      </c>
      <c r="X3257" s="5" t="s">
        <v>72</v>
      </c>
      <c r="Y3257" s="4">
        <v>14</v>
      </c>
      <c r="Z3257" s="4">
        <v>9</v>
      </c>
      <c r="AA3257" s="4">
        <v>9</v>
      </c>
      <c r="AB3257" s="4">
        <v>1</v>
      </c>
      <c r="AC3257" s="4">
        <v>1</v>
      </c>
      <c r="AD3257" s="4">
        <v>7</v>
      </c>
      <c r="AE3257" s="4">
        <v>7</v>
      </c>
      <c r="AF3257" s="4">
        <v>0</v>
      </c>
      <c r="AG3257" s="4">
        <v>0</v>
      </c>
      <c r="AH3257" s="4">
        <v>5</v>
      </c>
      <c r="AI3257" s="4">
        <v>5</v>
      </c>
      <c r="AJ3257" s="4">
        <v>5</v>
      </c>
      <c r="AK3257" s="4">
        <v>5</v>
      </c>
      <c r="AL3257" s="4">
        <v>3</v>
      </c>
      <c r="AM3257" s="4">
        <v>3</v>
      </c>
      <c r="AN3257" s="4">
        <v>0</v>
      </c>
      <c r="AO3257" s="4">
        <v>0</v>
      </c>
      <c r="AP3257" s="4">
        <v>4</v>
      </c>
      <c r="AQ3257" s="4">
        <v>4</v>
      </c>
      <c r="AR3257" s="3" t="s">
        <v>128</v>
      </c>
      <c r="AS3257" s="3" t="s">
        <v>64</v>
      </c>
      <c r="AT3257" s="3" t="s">
        <v>64</v>
      </c>
      <c r="AV3257" s="6" t="str">
        <f>HYPERLINK("http://mcgill.on.worldcat.org/oclc/20853671","Catalog Record")</f>
        <v>Catalog Record</v>
      </c>
      <c r="AW3257" s="6" t="str">
        <f>HYPERLINK("http://www.worldcat.org/oclc/20853671","WorldCat Record")</f>
        <v>WorldCat Record</v>
      </c>
      <c r="AX3257" s="3" t="s">
        <v>32640</v>
      </c>
      <c r="AY3257" s="3" t="s">
        <v>32641</v>
      </c>
      <c r="AZ3257" s="3" t="s">
        <v>32642</v>
      </c>
      <c r="BA3257" s="3" t="s">
        <v>32642</v>
      </c>
      <c r="BB3257" s="3" t="s">
        <v>32643</v>
      </c>
      <c r="BC3257" s="3" t="s">
        <v>77</v>
      </c>
      <c r="BD3257" s="3" t="s">
        <v>78</v>
      </c>
      <c r="BE3257" s="3" t="s">
        <v>32644</v>
      </c>
      <c r="BF3257" s="3" t="s">
        <v>32643</v>
      </c>
      <c r="BG3257" s="3" t="s">
        <v>32645</v>
      </c>
      <c r="BH3257">
        <f t="shared" si="77"/>
        <v>0</v>
      </c>
    </row>
    <row r="3258" spans="1:60" ht="58" x14ac:dyDescent="0.35">
      <c r="A3258" s="2" t="s">
        <v>59</v>
      </c>
      <c r="B3258" s="2" t="s">
        <v>60</v>
      </c>
      <c r="C3258" s="2" t="s">
        <v>32646</v>
      </c>
      <c r="D3258" s="2" t="s">
        <v>32647</v>
      </c>
      <c r="E3258" s="2" t="s">
        <v>32648</v>
      </c>
      <c r="G3258" s="3" t="s">
        <v>64</v>
      </c>
      <c r="I3258" s="3" t="s">
        <v>128</v>
      </c>
      <c r="J3258" s="3" t="s">
        <v>64</v>
      </c>
      <c r="K3258" s="3" t="s">
        <v>65</v>
      </c>
      <c r="L3258" s="2" t="s">
        <v>32649</v>
      </c>
      <c r="M3258" s="2" t="s">
        <v>32650</v>
      </c>
      <c r="N3258" s="3" t="s">
        <v>101</v>
      </c>
      <c r="O3258" s="2" t="s">
        <v>117</v>
      </c>
      <c r="P3258" s="3" t="s">
        <v>102</v>
      </c>
      <c r="R3258" s="3" t="s">
        <v>70</v>
      </c>
      <c r="S3258" s="4">
        <v>28</v>
      </c>
      <c r="T3258" s="4">
        <v>46</v>
      </c>
      <c r="U3258" s="5" t="s">
        <v>19277</v>
      </c>
      <c r="V3258" s="5" t="s">
        <v>23792</v>
      </c>
      <c r="W3258" s="5" t="s">
        <v>72</v>
      </c>
      <c r="X3258" s="5" t="s">
        <v>72</v>
      </c>
      <c r="Y3258" s="4">
        <v>1749</v>
      </c>
      <c r="Z3258" s="4">
        <v>65</v>
      </c>
      <c r="AA3258" s="4">
        <v>85</v>
      </c>
      <c r="AB3258" s="4">
        <v>5</v>
      </c>
      <c r="AC3258" s="4">
        <v>11</v>
      </c>
      <c r="AD3258" s="4">
        <v>125</v>
      </c>
      <c r="AE3258" s="4">
        <v>139</v>
      </c>
      <c r="AF3258" s="4">
        <v>1</v>
      </c>
      <c r="AG3258" s="4">
        <v>5</v>
      </c>
      <c r="AH3258" s="4">
        <v>104</v>
      </c>
      <c r="AI3258" s="4">
        <v>109</v>
      </c>
      <c r="AJ3258" s="4">
        <v>18</v>
      </c>
      <c r="AK3258" s="4">
        <v>26</v>
      </c>
      <c r="AL3258" s="4">
        <v>56</v>
      </c>
      <c r="AM3258" s="4">
        <v>58</v>
      </c>
      <c r="AN3258" s="4">
        <v>0</v>
      </c>
      <c r="AO3258" s="4">
        <v>0</v>
      </c>
      <c r="AP3258" s="4">
        <v>28</v>
      </c>
      <c r="AQ3258" s="4">
        <v>36</v>
      </c>
      <c r="AR3258" s="3" t="s">
        <v>64</v>
      </c>
      <c r="AS3258" s="3" t="s">
        <v>64</v>
      </c>
      <c r="AT3258" s="3" t="s">
        <v>64</v>
      </c>
      <c r="AV3258" s="6" t="str">
        <f>HYPERLINK("http://mcgill.on.worldcat.org/oclc/51305782","Catalog Record")</f>
        <v>Catalog Record</v>
      </c>
      <c r="AW3258" s="6" t="str">
        <f>HYPERLINK("http://www.worldcat.org/oclc/51305782","WorldCat Record")</f>
        <v>WorldCat Record</v>
      </c>
      <c r="AX3258" s="3" t="s">
        <v>32651</v>
      </c>
      <c r="AY3258" s="3" t="s">
        <v>32652</v>
      </c>
      <c r="AZ3258" s="3" t="s">
        <v>32653</v>
      </c>
      <c r="BA3258" s="3" t="s">
        <v>32653</v>
      </c>
      <c r="BB3258" s="3" t="s">
        <v>32654</v>
      </c>
      <c r="BC3258" s="3" t="s">
        <v>77</v>
      </c>
      <c r="BD3258" s="3" t="s">
        <v>78</v>
      </c>
      <c r="BE3258" s="3" t="s">
        <v>32655</v>
      </c>
      <c r="BF3258" s="3" t="s">
        <v>32654</v>
      </c>
      <c r="BG3258" s="3" t="s">
        <v>32656</v>
      </c>
      <c r="BH3258">
        <f t="shared" si="77"/>
        <v>0</v>
      </c>
    </row>
    <row r="3259" spans="1:60" ht="58" x14ac:dyDescent="0.35">
      <c r="A3259" s="2" t="s">
        <v>59</v>
      </c>
      <c r="B3259" s="2" t="s">
        <v>60</v>
      </c>
      <c r="C3259" s="2" t="s">
        <v>32646</v>
      </c>
      <c r="D3259" s="2" t="s">
        <v>32647</v>
      </c>
      <c r="E3259" s="2" t="s">
        <v>32648</v>
      </c>
      <c r="G3259" s="3" t="s">
        <v>64</v>
      </c>
      <c r="I3259" s="3" t="s">
        <v>128</v>
      </c>
      <c r="J3259" s="3" t="s">
        <v>64</v>
      </c>
      <c r="K3259" s="3" t="s">
        <v>65</v>
      </c>
      <c r="L3259" s="2" t="s">
        <v>32649</v>
      </c>
      <c r="M3259" s="2" t="s">
        <v>32650</v>
      </c>
      <c r="N3259" s="3" t="s">
        <v>101</v>
      </c>
      <c r="O3259" s="2" t="s">
        <v>117</v>
      </c>
      <c r="P3259" s="3" t="s">
        <v>102</v>
      </c>
      <c r="R3259" s="3" t="s">
        <v>70</v>
      </c>
      <c r="S3259" s="4">
        <v>18</v>
      </c>
      <c r="T3259" s="4">
        <v>46</v>
      </c>
      <c r="U3259" s="5" t="s">
        <v>23792</v>
      </c>
      <c r="V3259" s="5" t="s">
        <v>23792</v>
      </c>
      <c r="W3259" s="5" t="s">
        <v>72</v>
      </c>
      <c r="X3259" s="5" t="s">
        <v>72</v>
      </c>
      <c r="Y3259" s="4">
        <v>1749</v>
      </c>
      <c r="Z3259" s="4">
        <v>65</v>
      </c>
      <c r="AA3259" s="4">
        <v>85</v>
      </c>
      <c r="AB3259" s="4">
        <v>5</v>
      </c>
      <c r="AC3259" s="4">
        <v>11</v>
      </c>
      <c r="AD3259" s="4">
        <v>125</v>
      </c>
      <c r="AE3259" s="4">
        <v>139</v>
      </c>
      <c r="AF3259" s="4">
        <v>1</v>
      </c>
      <c r="AG3259" s="4">
        <v>5</v>
      </c>
      <c r="AH3259" s="4">
        <v>104</v>
      </c>
      <c r="AI3259" s="4">
        <v>109</v>
      </c>
      <c r="AJ3259" s="4">
        <v>18</v>
      </c>
      <c r="AK3259" s="4">
        <v>26</v>
      </c>
      <c r="AL3259" s="4">
        <v>56</v>
      </c>
      <c r="AM3259" s="4">
        <v>58</v>
      </c>
      <c r="AN3259" s="4">
        <v>0</v>
      </c>
      <c r="AO3259" s="4">
        <v>0</v>
      </c>
      <c r="AP3259" s="4">
        <v>28</v>
      </c>
      <c r="AQ3259" s="4">
        <v>36</v>
      </c>
      <c r="AR3259" s="3" t="s">
        <v>64</v>
      </c>
      <c r="AS3259" s="3" t="s">
        <v>64</v>
      </c>
      <c r="AT3259" s="3" t="s">
        <v>64</v>
      </c>
      <c r="AV3259" s="6" t="str">
        <f>HYPERLINK("http://mcgill.on.worldcat.org/oclc/51305782","Catalog Record")</f>
        <v>Catalog Record</v>
      </c>
      <c r="AW3259" s="6" t="str">
        <f>HYPERLINK("http://www.worldcat.org/oclc/51305782","WorldCat Record")</f>
        <v>WorldCat Record</v>
      </c>
      <c r="AX3259" s="3" t="s">
        <v>32651</v>
      </c>
      <c r="AY3259" s="3" t="s">
        <v>32652</v>
      </c>
      <c r="AZ3259" s="3" t="s">
        <v>32653</v>
      </c>
      <c r="BA3259" s="3" t="s">
        <v>32653</v>
      </c>
      <c r="BB3259" s="3" t="s">
        <v>32657</v>
      </c>
      <c r="BC3259" s="3" t="s">
        <v>77</v>
      </c>
      <c r="BD3259" s="3" t="s">
        <v>78</v>
      </c>
      <c r="BE3259" s="3" t="s">
        <v>32655</v>
      </c>
      <c r="BF3259" s="3" t="s">
        <v>32657</v>
      </c>
      <c r="BG3259" s="3" t="s">
        <v>32658</v>
      </c>
      <c r="BH3259">
        <f t="shared" si="77"/>
        <v>0</v>
      </c>
    </row>
    <row r="3260" spans="1:60" ht="87" x14ac:dyDescent="0.35">
      <c r="A3260" s="2" t="s">
        <v>59</v>
      </c>
      <c r="B3260" s="2" t="s">
        <v>60</v>
      </c>
      <c r="C3260" s="2" t="s">
        <v>32659</v>
      </c>
      <c r="D3260" s="2" t="s">
        <v>32660</v>
      </c>
      <c r="E3260" s="2" t="s">
        <v>32661</v>
      </c>
      <c r="G3260" s="3" t="s">
        <v>64</v>
      </c>
      <c r="I3260" s="3" t="s">
        <v>64</v>
      </c>
      <c r="J3260" s="3" t="s">
        <v>64</v>
      </c>
      <c r="K3260" s="3" t="s">
        <v>65</v>
      </c>
      <c r="M3260" s="2" t="s">
        <v>32662</v>
      </c>
      <c r="N3260" s="3" t="s">
        <v>551</v>
      </c>
      <c r="P3260" s="3" t="s">
        <v>68</v>
      </c>
      <c r="Q3260" s="2" t="s">
        <v>32663</v>
      </c>
      <c r="R3260" s="3" t="s">
        <v>70</v>
      </c>
      <c r="S3260" s="4">
        <v>3</v>
      </c>
      <c r="T3260" s="4">
        <v>3</v>
      </c>
      <c r="U3260" s="5" t="s">
        <v>13933</v>
      </c>
      <c r="V3260" s="5" t="s">
        <v>13933</v>
      </c>
      <c r="W3260" s="5" t="s">
        <v>72</v>
      </c>
      <c r="X3260" s="5" t="s">
        <v>72</v>
      </c>
      <c r="Y3260" s="4">
        <v>29</v>
      </c>
      <c r="Z3260" s="4">
        <v>2</v>
      </c>
      <c r="AA3260" s="4">
        <v>7</v>
      </c>
      <c r="AB3260" s="4">
        <v>1</v>
      </c>
      <c r="AC3260" s="4">
        <v>3</v>
      </c>
      <c r="AD3260" s="4">
        <v>15</v>
      </c>
      <c r="AE3260" s="4">
        <v>24</v>
      </c>
      <c r="AF3260" s="4">
        <v>0</v>
      </c>
      <c r="AG3260" s="4">
        <v>2</v>
      </c>
      <c r="AH3260" s="4">
        <v>13</v>
      </c>
      <c r="AI3260" s="4">
        <v>21</v>
      </c>
      <c r="AJ3260" s="4">
        <v>1</v>
      </c>
      <c r="AK3260" s="4">
        <v>5</v>
      </c>
      <c r="AL3260" s="4">
        <v>12</v>
      </c>
      <c r="AM3260" s="4">
        <v>17</v>
      </c>
      <c r="AN3260" s="4">
        <v>0</v>
      </c>
      <c r="AO3260" s="4">
        <v>0</v>
      </c>
      <c r="AP3260" s="4">
        <v>1</v>
      </c>
      <c r="AQ3260" s="4">
        <v>4</v>
      </c>
      <c r="AR3260" s="3" t="s">
        <v>64</v>
      </c>
      <c r="AS3260" s="3" t="s">
        <v>64</v>
      </c>
      <c r="AT3260" s="3" t="s">
        <v>64</v>
      </c>
      <c r="AV3260" s="6" t="str">
        <f>HYPERLINK("http://mcgill.on.worldcat.org/oclc/438966132","Catalog Record")</f>
        <v>Catalog Record</v>
      </c>
      <c r="AW3260" s="6" t="str">
        <f>HYPERLINK("http://www.worldcat.org/oclc/438966132","WorldCat Record")</f>
        <v>WorldCat Record</v>
      </c>
      <c r="AX3260" s="3" t="s">
        <v>32664</v>
      </c>
      <c r="AY3260" s="3" t="s">
        <v>32665</v>
      </c>
      <c r="AZ3260" s="3" t="s">
        <v>32666</v>
      </c>
      <c r="BA3260" s="3" t="s">
        <v>32666</v>
      </c>
      <c r="BB3260" s="3" t="s">
        <v>32667</v>
      </c>
      <c r="BC3260" s="3" t="s">
        <v>77</v>
      </c>
      <c r="BD3260" s="3" t="s">
        <v>78</v>
      </c>
      <c r="BE3260" s="3" t="s">
        <v>32668</v>
      </c>
      <c r="BF3260" s="3" t="s">
        <v>32667</v>
      </c>
      <c r="BG3260" s="3" t="s">
        <v>32669</v>
      </c>
      <c r="BH3260">
        <f t="shared" si="77"/>
        <v>0</v>
      </c>
    </row>
    <row r="3261" spans="1:60" ht="58" x14ac:dyDescent="0.35">
      <c r="A3261" s="2" t="s">
        <v>59</v>
      </c>
      <c r="B3261" s="2" t="s">
        <v>60</v>
      </c>
      <c r="C3261" s="2" t="s">
        <v>32670</v>
      </c>
      <c r="D3261" s="2" t="s">
        <v>32671</v>
      </c>
      <c r="E3261" s="2" t="s">
        <v>32672</v>
      </c>
      <c r="G3261" s="3" t="s">
        <v>64</v>
      </c>
      <c r="I3261" s="3" t="s">
        <v>64</v>
      </c>
      <c r="J3261" s="3" t="s">
        <v>64</v>
      </c>
      <c r="K3261" s="3" t="s">
        <v>65</v>
      </c>
      <c r="L3261" s="2" t="s">
        <v>32673</v>
      </c>
      <c r="M3261" s="2" t="s">
        <v>32674</v>
      </c>
      <c r="N3261" s="3" t="s">
        <v>1075</v>
      </c>
      <c r="P3261" s="3" t="s">
        <v>102</v>
      </c>
      <c r="R3261" s="3" t="s">
        <v>70</v>
      </c>
      <c r="S3261" s="4">
        <v>8</v>
      </c>
      <c r="T3261" s="4">
        <v>8</v>
      </c>
      <c r="U3261" s="5" t="s">
        <v>5146</v>
      </c>
      <c r="V3261" s="5" t="s">
        <v>5146</v>
      </c>
      <c r="W3261" s="5" t="s">
        <v>72</v>
      </c>
      <c r="X3261" s="5" t="s">
        <v>72</v>
      </c>
      <c r="Y3261" s="4">
        <v>53</v>
      </c>
      <c r="Z3261" s="4">
        <v>6</v>
      </c>
      <c r="AA3261" s="4">
        <v>57</v>
      </c>
      <c r="AB3261" s="4">
        <v>1</v>
      </c>
      <c r="AC3261" s="4">
        <v>10</v>
      </c>
      <c r="AD3261" s="4">
        <v>10</v>
      </c>
      <c r="AE3261" s="4">
        <v>106</v>
      </c>
      <c r="AF3261" s="4">
        <v>0</v>
      </c>
      <c r="AG3261" s="4">
        <v>5</v>
      </c>
      <c r="AH3261" s="4">
        <v>6</v>
      </c>
      <c r="AI3261" s="4">
        <v>87</v>
      </c>
      <c r="AJ3261" s="4">
        <v>3</v>
      </c>
      <c r="AK3261" s="4">
        <v>22</v>
      </c>
      <c r="AL3261" s="4">
        <v>3</v>
      </c>
      <c r="AM3261" s="4">
        <v>49</v>
      </c>
      <c r="AN3261" s="4">
        <v>0</v>
      </c>
      <c r="AO3261" s="4">
        <v>0</v>
      </c>
      <c r="AP3261" s="4">
        <v>5</v>
      </c>
      <c r="AQ3261" s="4">
        <v>26</v>
      </c>
      <c r="AR3261" s="3" t="s">
        <v>64</v>
      </c>
      <c r="AS3261" s="3" t="s">
        <v>64</v>
      </c>
      <c r="AT3261" s="3" t="s">
        <v>64</v>
      </c>
      <c r="AV3261" s="6" t="str">
        <f>HYPERLINK("http://mcgill.on.worldcat.org/oclc/862806821","Catalog Record")</f>
        <v>Catalog Record</v>
      </c>
      <c r="AW3261" s="6" t="str">
        <f>HYPERLINK("http://www.worldcat.org/oclc/862806821","WorldCat Record")</f>
        <v>WorldCat Record</v>
      </c>
      <c r="AX3261" s="3" t="s">
        <v>32675</v>
      </c>
      <c r="AY3261" s="3" t="s">
        <v>32676</v>
      </c>
      <c r="AZ3261" s="3" t="s">
        <v>32677</v>
      </c>
      <c r="BA3261" s="3" t="s">
        <v>32677</v>
      </c>
      <c r="BB3261" s="3" t="s">
        <v>32678</v>
      </c>
      <c r="BC3261" s="3" t="s">
        <v>77</v>
      </c>
      <c r="BD3261" s="3" t="s">
        <v>78</v>
      </c>
      <c r="BE3261" s="3" t="s">
        <v>32679</v>
      </c>
      <c r="BF3261" s="3" t="s">
        <v>32678</v>
      </c>
      <c r="BG3261" s="3" t="s">
        <v>32680</v>
      </c>
      <c r="BH3261">
        <f t="shared" si="77"/>
        <v>0</v>
      </c>
    </row>
    <row r="3262" spans="1:60" ht="72.5" x14ac:dyDescent="0.35">
      <c r="A3262" s="2" t="s">
        <v>59</v>
      </c>
      <c r="B3262" s="2" t="s">
        <v>60</v>
      </c>
      <c r="C3262" s="2" t="s">
        <v>32681</v>
      </c>
      <c r="D3262" s="2" t="s">
        <v>32682</v>
      </c>
      <c r="E3262" s="2" t="s">
        <v>32683</v>
      </c>
      <c r="G3262" s="3" t="s">
        <v>64</v>
      </c>
      <c r="I3262" s="3" t="s">
        <v>64</v>
      </c>
      <c r="J3262" s="3" t="s">
        <v>64</v>
      </c>
      <c r="K3262" s="3" t="s">
        <v>65</v>
      </c>
      <c r="M3262" s="2" t="s">
        <v>32684</v>
      </c>
      <c r="N3262" s="3" t="s">
        <v>171</v>
      </c>
      <c r="P3262" s="3" t="s">
        <v>68</v>
      </c>
      <c r="Q3262" s="2" t="s">
        <v>32685</v>
      </c>
      <c r="R3262" s="3" t="s">
        <v>70</v>
      </c>
      <c r="S3262" s="4">
        <v>4</v>
      </c>
      <c r="T3262" s="4">
        <v>4</v>
      </c>
      <c r="U3262" s="5" t="s">
        <v>14057</v>
      </c>
      <c r="V3262" s="5" t="s">
        <v>14057</v>
      </c>
      <c r="W3262" s="5" t="s">
        <v>72</v>
      </c>
      <c r="X3262" s="5" t="s">
        <v>72</v>
      </c>
      <c r="Y3262" s="4">
        <v>40</v>
      </c>
      <c r="Z3262" s="4">
        <v>5</v>
      </c>
      <c r="AA3262" s="4">
        <v>12</v>
      </c>
      <c r="AB3262" s="4">
        <v>2</v>
      </c>
      <c r="AC3262" s="4">
        <v>5</v>
      </c>
      <c r="AD3262" s="4">
        <v>18</v>
      </c>
      <c r="AE3262" s="4">
        <v>35</v>
      </c>
      <c r="AF3262" s="4">
        <v>0</v>
      </c>
      <c r="AG3262" s="4">
        <v>3</v>
      </c>
      <c r="AH3262" s="4">
        <v>17</v>
      </c>
      <c r="AI3262" s="4">
        <v>31</v>
      </c>
      <c r="AJ3262" s="4">
        <v>3</v>
      </c>
      <c r="AK3262" s="4">
        <v>9</v>
      </c>
      <c r="AL3262" s="4">
        <v>11</v>
      </c>
      <c r="AM3262" s="4">
        <v>20</v>
      </c>
      <c r="AN3262" s="4">
        <v>0</v>
      </c>
      <c r="AO3262" s="4">
        <v>0</v>
      </c>
      <c r="AP3262" s="4">
        <v>3</v>
      </c>
      <c r="AQ3262" s="4">
        <v>8</v>
      </c>
      <c r="AR3262" s="3" t="s">
        <v>64</v>
      </c>
      <c r="AS3262" s="3" t="s">
        <v>64</v>
      </c>
      <c r="AT3262" s="3" t="s">
        <v>64</v>
      </c>
      <c r="AV3262" s="6" t="str">
        <f>HYPERLINK("http://mcgill.on.worldcat.org/oclc/70218675","Catalog Record")</f>
        <v>Catalog Record</v>
      </c>
      <c r="AW3262" s="6" t="str">
        <f>HYPERLINK("http://www.worldcat.org/oclc/70218675","WorldCat Record")</f>
        <v>WorldCat Record</v>
      </c>
      <c r="AX3262" s="3" t="s">
        <v>32686</v>
      </c>
      <c r="AY3262" s="3" t="s">
        <v>32687</v>
      </c>
      <c r="AZ3262" s="3" t="s">
        <v>32688</v>
      </c>
      <c r="BA3262" s="3" t="s">
        <v>32688</v>
      </c>
      <c r="BB3262" s="3" t="s">
        <v>32689</v>
      </c>
      <c r="BC3262" s="3" t="s">
        <v>77</v>
      </c>
      <c r="BD3262" s="3" t="s">
        <v>78</v>
      </c>
      <c r="BE3262" s="3" t="s">
        <v>32690</v>
      </c>
      <c r="BF3262" s="3" t="s">
        <v>32689</v>
      </c>
      <c r="BG3262" s="3" t="s">
        <v>32691</v>
      </c>
      <c r="BH3262">
        <f t="shared" si="77"/>
        <v>0</v>
      </c>
    </row>
    <row r="3263" spans="1:60" ht="58" x14ac:dyDescent="0.35">
      <c r="A3263" s="2" t="s">
        <v>59</v>
      </c>
      <c r="B3263" s="2" t="s">
        <v>60</v>
      </c>
      <c r="C3263" s="2" t="s">
        <v>32692</v>
      </c>
      <c r="D3263" s="2" t="s">
        <v>32693</v>
      </c>
      <c r="E3263" s="2" t="s">
        <v>32694</v>
      </c>
      <c r="G3263" s="3" t="s">
        <v>64</v>
      </c>
      <c r="I3263" s="3" t="s">
        <v>64</v>
      </c>
      <c r="J3263" s="3" t="s">
        <v>64</v>
      </c>
      <c r="K3263" s="3" t="s">
        <v>65</v>
      </c>
      <c r="M3263" s="2" t="s">
        <v>2000</v>
      </c>
      <c r="N3263" s="3" t="s">
        <v>1250</v>
      </c>
      <c r="P3263" s="3" t="s">
        <v>102</v>
      </c>
      <c r="Q3263" s="2" t="s">
        <v>32695</v>
      </c>
      <c r="R3263" s="3" t="s">
        <v>70</v>
      </c>
      <c r="S3263" s="4">
        <v>30</v>
      </c>
      <c r="T3263" s="4">
        <v>30</v>
      </c>
      <c r="U3263" s="5" t="s">
        <v>269</v>
      </c>
      <c r="V3263" s="5" t="s">
        <v>269</v>
      </c>
      <c r="W3263" s="5" t="s">
        <v>72</v>
      </c>
      <c r="X3263" s="5" t="s">
        <v>72</v>
      </c>
      <c r="Y3263" s="4">
        <v>654</v>
      </c>
      <c r="Z3263" s="4">
        <v>24</v>
      </c>
      <c r="AA3263" s="4">
        <v>29</v>
      </c>
      <c r="AB3263" s="4">
        <v>2</v>
      </c>
      <c r="AC3263" s="4">
        <v>7</v>
      </c>
      <c r="AD3263" s="4">
        <v>104</v>
      </c>
      <c r="AE3263" s="4">
        <v>105</v>
      </c>
      <c r="AF3263" s="4">
        <v>1</v>
      </c>
      <c r="AG3263" s="4">
        <v>2</v>
      </c>
      <c r="AH3263" s="4">
        <v>94</v>
      </c>
      <c r="AI3263" s="4">
        <v>94</v>
      </c>
      <c r="AJ3263" s="4">
        <v>10</v>
      </c>
      <c r="AK3263" s="4">
        <v>11</v>
      </c>
      <c r="AL3263" s="4">
        <v>53</v>
      </c>
      <c r="AM3263" s="4">
        <v>53</v>
      </c>
      <c r="AN3263" s="4">
        <v>0</v>
      </c>
      <c r="AO3263" s="4">
        <v>0</v>
      </c>
      <c r="AP3263" s="4">
        <v>13</v>
      </c>
      <c r="AQ3263" s="4">
        <v>13</v>
      </c>
      <c r="AR3263" s="3" t="s">
        <v>64</v>
      </c>
      <c r="AS3263" s="3" t="s">
        <v>64</v>
      </c>
      <c r="AT3263" s="3" t="s">
        <v>64</v>
      </c>
      <c r="AV3263" s="6" t="str">
        <f>HYPERLINK("http://mcgill.on.worldcat.org/oclc/28375376","Catalog Record")</f>
        <v>Catalog Record</v>
      </c>
      <c r="AW3263" s="6" t="str">
        <f>HYPERLINK("http://www.worldcat.org/oclc/28375376","WorldCat Record")</f>
        <v>WorldCat Record</v>
      </c>
      <c r="AX3263" s="3" t="s">
        <v>32696</v>
      </c>
      <c r="AY3263" s="3" t="s">
        <v>32697</v>
      </c>
      <c r="AZ3263" s="3" t="s">
        <v>32698</v>
      </c>
      <c r="BA3263" s="3" t="s">
        <v>32698</v>
      </c>
      <c r="BB3263" s="3" t="s">
        <v>32699</v>
      </c>
      <c r="BC3263" s="3" t="s">
        <v>77</v>
      </c>
      <c r="BD3263" s="3" t="s">
        <v>78</v>
      </c>
      <c r="BE3263" s="3" t="s">
        <v>32700</v>
      </c>
      <c r="BF3263" s="3" t="s">
        <v>32699</v>
      </c>
      <c r="BG3263" s="3" t="s">
        <v>32701</v>
      </c>
      <c r="BH3263">
        <f t="shared" si="77"/>
        <v>0</v>
      </c>
    </row>
    <row r="3264" spans="1:60" ht="58" x14ac:dyDescent="0.35">
      <c r="A3264" s="2" t="s">
        <v>59</v>
      </c>
      <c r="B3264" s="2" t="s">
        <v>60</v>
      </c>
      <c r="C3264" s="2" t="s">
        <v>32702</v>
      </c>
      <c r="D3264" s="2" t="s">
        <v>32703</v>
      </c>
      <c r="E3264" s="2" t="s">
        <v>32704</v>
      </c>
      <c r="G3264" s="3" t="s">
        <v>64</v>
      </c>
      <c r="I3264" s="3" t="s">
        <v>64</v>
      </c>
      <c r="J3264" s="3" t="s">
        <v>128</v>
      </c>
      <c r="K3264" s="3" t="s">
        <v>65</v>
      </c>
      <c r="L3264" s="2" t="s">
        <v>32705</v>
      </c>
      <c r="M3264" s="2" t="s">
        <v>32706</v>
      </c>
      <c r="N3264" s="3" t="s">
        <v>5262</v>
      </c>
      <c r="O3264" s="2" t="s">
        <v>32707</v>
      </c>
      <c r="P3264" s="3" t="s">
        <v>102</v>
      </c>
      <c r="R3264" s="3" t="s">
        <v>70</v>
      </c>
      <c r="S3264" s="4">
        <v>1</v>
      </c>
      <c r="T3264" s="4">
        <v>1</v>
      </c>
      <c r="U3264" s="5" t="s">
        <v>17854</v>
      </c>
      <c r="V3264" s="5" t="s">
        <v>17854</v>
      </c>
      <c r="W3264" s="5" t="s">
        <v>72</v>
      </c>
      <c r="X3264" s="5" t="s">
        <v>72</v>
      </c>
      <c r="Y3264" s="4">
        <v>217</v>
      </c>
      <c r="Z3264" s="4">
        <v>11</v>
      </c>
      <c r="AA3264" s="4">
        <v>20</v>
      </c>
      <c r="AB3264" s="4">
        <v>1</v>
      </c>
      <c r="AC3264" s="4">
        <v>2</v>
      </c>
      <c r="AD3264" s="4">
        <v>76</v>
      </c>
      <c r="AE3264" s="4">
        <v>94</v>
      </c>
      <c r="AF3264" s="4">
        <v>0</v>
      </c>
      <c r="AG3264" s="4">
        <v>1</v>
      </c>
      <c r="AH3264" s="4">
        <v>71</v>
      </c>
      <c r="AI3264" s="4">
        <v>85</v>
      </c>
      <c r="AJ3264" s="4">
        <v>7</v>
      </c>
      <c r="AK3264" s="4">
        <v>13</v>
      </c>
      <c r="AL3264" s="4">
        <v>46</v>
      </c>
      <c r="AM3264" s="4">
        <v>48</v>
      </c>
      <c r="AN3264" s="4">
        <v>0</v>
      </c>
      <c r="AO3264" s="4">
        <v>0</v>
      </c>
      <c r="AP3264" s="4">
        <v>8</v>
      </c>
      <c r="AQ3264" s="4">
        <v>14</v>
      </c>
      <c r="AR3264" s="3" t="s">
        <v>64</v>
      </c>
      <c r="AS3264" s="3" t="s">
        <v>64</v>
      </c>
      <c r="AT3264" s="3" t="s">
        <v>128</v>
      </c>
      <c r="AU3264" s="6" t="str">
        <f>HYPERLINK("http://catalog.hathitrust.org/Record/001164281","HathiTrust Record")</f>
        <v>HathiTrust Record</v>
      </c>
      <c r="AV3264" s="6" t="str">
        <f>HYPERLINK("http://mcgill.on.worldcat.org/oclc/768573","Catalog Record")</f>
        <v>Catalog Record</v>
      </c>
      <c r="AW3264" s="6" t="str">
        <f>HYPERLINK("http://www.worldcat.org/oclc/768573","WorldCat Record")</f>
        <v>WorldCat Record</v>
      </c>
      <c r="AX3264" s="3" t="s">
        <v>32708</v>
      </c>
      <c r="AY3264" s="3" t="s">
        <v>32709</v>
      </c>
      <c r="AZ3264" s="3" t="s">
        <v>32710</v>
      </c>
      <c r="BA3264" s="3" t="s">
        <v>32710</v>
      </c>
      <c r="BB3264" s="3" t="s">
        <v>32711</v>
      </c>
      <c r="BC3264" s="3" t="s">
        <v>77</v>
      </c>
      <c r="BD3264" s="3" t="s">
        <v>78</v>
      </c>
      <c r="BF3264" s="3" t="s">
        <v>32711</v>
      </c>
      <c r="BG3264" s="3" t="s">
        <v>32712</v>
      </c>
      <c r="BH3264">
        <f t="shared" si="77"/>
        <v>0</v>
      </c>
    </row>
    <row r="3265" spans="1:60" ht="87" x14ac:dyDescent="0.35">
      <c r="A3265" s="2" t="s">
        <v>59</v>
      </c>
      <c r="B3265" s="2" t="s">
        <v>60</v>
      </c>
      <c r="C3265" s="2" t="s">
        <v>32713</v>
      </c>
      <c r="D3265" s="2" t="s">
        <v>32714</v>
      </c>
      <c r="E3265" s="2" t="s">
        <v>32715</v>
      </c>
      <c r="G3265" s="3" t="s">
        <v>64</v>
      </c>
      <c r="I3265" s="3" t="s">
        <v>64</v>
      </c>
      <c r="J3265" s="3" t="s">
        <v>64</v>
      </c>
      <c r="K3265" s="3" t="s">
        <v>65</v>
      </c>
      <c r="M3265" s="2" t="s">
        <v>32716</v>
      </c>
      <c r="N3265" s="3" t="s">
        <v>551</v>
      </c>
      <c r="P3265" s="3" t="s">
        <v>102</v>
      </c>
      <c r="Q3265" s="2" t="s">
        <v>32717</v>
      </c>
      <c r="R3265" s="3" t="s">
        <v>70</v>
      </c>
      <c r="S3265" s="4">
        <v>6</v>
      </c>
      <c r="T3265" s="4">
        <v>6</v>
      </c>
      <c r="U3265" s="5" t="s">
        <v>16184</v>
      </c>
      <c r="V3265" s="5" t="s">
        <v>16184</v>
      </c>
      <c r="W3265" s="5" t="s">
        <v>72</v>
      </c>
      <c r="X3265" s="5" t="s">
        <v>72</v>
      </c>
      <c r="Y3265" s="4">
        <v>157</v>
      </c>
      <c r="Z3265" s="4">
        <v>12</v>
      </c>
      <c r="AA3265" s="4">
        <v>53</v>
      </c>
      <c r="AB3265" s="4">
        <v>2</v>
      </c>
      <c r="AC3265" s="4">
        <v>10</v>
      </c>
      <c r="AD3265" s="4">
        <v>46</v>
      </c>
      <c r="AE3265" s="4">
        <v>90</v>
      </c>
      <c r="AF3265" s="4">
        <v>0</v>
      </c>
      <c r="AG3265" s="4">
        <v>2</v>
      </c>
      <c r="AH3265" s="4">
        <v>42</v>
      </c>
      <c r="AI3265" s="4">
        <v>72</v>
      </c>
      <c r="AJ3265" s="4">
        <v>6</v>
      </c>
      <c r="AK3265" s="4">
        <v>15</v>
      </c>
      <c r="AL3265" s="4">
        <v>30</v>
      </c>
      <c r="AM3265" s="4">
        <v>41</v>
      </c>
      <c r="AN3265" s="4">
        <v>0</v>
      </c>
      <c r="AO3265" s="4">
        <v>0</v>
      </c>
      <c r="AP3265" s="4">
        <v>6</v>
      </c>
      <c r="AQ3265" s="4">
        <v>22</v>
      </c>
      <c r="AR3265" s="3" t="s">
        <v>64</v>
      </c>
      <c r="AS3265" s="3" t="s">
        <v>64</v>
      </c>
      <c r="AT3265" s="3" t="s">
        <v>64</v>
      </c>
      <c r="AV3265" s="6" t="str">
        <f>HYPERLINK("http://mcgill.on.worldcat.org/oclc/319794585","Catalog Record")</f>
        <v>Catalog Record</v>
      </c>
      <c r="AW3265" s="6" t="str">
        <f>HYPERLINK("http://www.worldcat.org/oclc/319794585","WorldCat Record")</f>
        <v>WorldCat Record</v>
      </c>
      <c r="AX3265" s="3" t="s">
        <v>32718</v>
      </c>
      <c r="AY3265" s="3" t="s">
        <v>32719</v>
      </c>
      <c r="AZ3265" s="3" t="s">
        <v>32720</v>
      </c>
      <c r="BA3265" s="3" t="s">
        <v>32720</v>
      </c>
      <c r="BB3265" s="3" t="s">
        <v>32721</v>
      </c>
      <c r="BC3265" s="3" t="s">
        <v>77</v>
      </c>
      <c r="BD3265" s="3" t="s">
        <v>78</v>
      </c>
      <c r="BE3265" s="3" t="s">
        <v>32722</v>
      </c>
      <c r="BF3265" s="3" t="s">
        <v>32721</v>
      </c>
      <c r="BG3265" s="3" t="s">
        <v>32723</v>
      </c>
      <c r="BH3265">
        <f t="shared" si="77"/>
        <v>0</v>
      </c>
    </row>
    <row r="3266" spans="1:60" ht="58" x14ac:dyDescent="0.35">
      <c r="A3266" s="2" t="s">
        <v>59</v>
      </c>
      <c r="B3266" s="2" t="s">
        <v>60</v>
      </c>
      <c r="C3266" s="2" t="s">
        <v>32724</v>
      </c>
      <c r="D3266" s="2" t="s">
        <v>32725</v>
      </c>
      <c r="E3266" s="2" t="s">
        <v>32726</v>
      </c>
      <c r="G3266" s="3" t="s">
        <v>64</v>
      </c>
      <c r="I3266" s="3" t="s">
        <v>64</v>
      </c>
      <c r="J3266" s="3" t="s">
        <v>128</v>
      </c>
      <c r="K3266" s="3" t="s">
        <v>65</v>
      </c>
      <c r="L3266" s="2" t="s">
        <v>14108</v>
      </c>
      <c r="M3266" s="2" t="s">
        <v>25698</v>
      </c>
      <c r="N3266" s="3" t="s">
        <v>1763</v>
      </c>
      <c r="O3266" s="2" t="s">
        <v>32727</v>
      </c>
      <c r="P3266" s="3" t="s">
        <v>102</v>
      </c>
      <c r="R3266" s="3" t="s">
        <v>70</v>
      </c>
      <c r="S3266" s="4">
        <v>31</v>
      </c>
      <c r="T3266" s="4">
        <v>31</v>
      </c>
      <c r="U3266" s="5" t="s">
        <v>32728</v>
      </c>
      <c r="V3266" s="5" t="s">
        <v>32728</v>
      </c>
      <c r="W3266" s="5" t="s">
        <v>72</v>
      </c>
      <c r="X3266" s="5" t="s">
        <v>72</v>
      </c>
      <c r="Y3266" s="4">
        <v>280</v>
      </c>
      <c r="Z3266" s="4">
        <v>17</v>
      </c>
      <c r="AA3266" s="4">
        <v>63</v>
      </c>
      <c r="AB3266" s="4">
        <v>3</v>
      </c>
      <c r="AC3266" s="4">
        <v>12</v>
      </c>
      <c r="AD3266" s="4">
        <v>68</v>
      </c>
      <c r="AE3266" s="4">
        <v>140</v>
      </c>
      <c r="AF3266" s="4">
        <v>1</v>
      </c>
      <c r="AG3266" s="4">
        <v>4</v>
      </c>
      <c r="AH3266" s="4">
        <v>61</v>
      </c>
      <c r="AI3266" s="4">
        <v>113</v>
      </c>
      <c r="AJ3266" s="4">
        <v>8</v>
      </c>
      <c r="AK3266" s="4">
        <v>25</v>
      </c>
      <c r="AL3266" s="4">
        <v>31</v>
      </c>
      <c r="AM3266" s="4">
        <v>58</v>
      </c>
      <c r="AN3266" s="4">
        <v>0</v>
      </c>
      <c r="AO3266" s="4">
        <v>0</v>
      </c>
      <c r="AP3266" s="4">
        <v>9</v>
      </c>
      <c r="AQ3266" s="4">
        <v>33</v>
      </c>
      <c r="AR3266" s="3" t="s">
        <v>64</v>
      </c>
      <c r="AS3266" s="3" t="s">
        <v>64</v>
      </c>
      <c r="AT3266" s="3" t="s">
        <v>128</v>
      </c>
      <c r="AU3266" s="6" t="str">
        <f>HYPERLINK("http://catalog.hathitrust.org/Record/000415924","HathiTrust Record")</f>
        <v>HathiTrust Record</v>
      </c>
      <c r="AV3266" s="6" t="str">
        <f>HYPERLINK("http://mcgill.on.worldcat.org/oclc/10072899","Catalog Record")</f>
        <v>Catalog Record</v>
      </c>
      <c r="AW3266" s="6" t="str">
        <f>HYPERLINK("http://www.worldcat.org/oclc/10072899","WorldCat Record")</f>
        <v>WorldCat Record</v>
      </c>
      <c r="AX3266" s="3" t="s">
        <v>32729</v>
      </c>
      <c r="AY3266" s="3" t="s">
        <v>32730</v>
      </c>
      <c r="AZ3266" s="3" t="s">
        <v>32731</v>
      </c>
      <c r="BA3266" s="3" t="s">
        <v>32731</v>
      </c>
      <c r="BB3266" s="3" t="s">
        <v>32732</v>
      </c>
      <c r="BC3266" s="3" t="s">
        <v>77</v>
      </c>
      <c r="BD3266" s="3" t="s">
        <v>78</v>
      </c>
      <c r="BE3266" s="3" t="s">
        <v>32733</v>
      </c>
      <c r="BF3266" s="3" t="s">
        <v>32732</v>
      </c>
      <c r="BG3266" s="3" t="s">
        <v>32734</v>
      </c>
      <c r="BH3266">
        <f t="shared" ref="BH3266:BH3329" si="78">IF(COUNTIF($BF$1:$BF$5431,BF3266)=1,0,1)</f>
        <v>0</v>
      </c>
    </row>
    <row r="3267" spans="1:60" ht="58" x14ac:dyDescent="0.35">
      <c r="A3267" s="2" t="s">
        <v>59</v>
      </c>
      <c r="B3267" s="2" t="s">
        <v>60</v>
      </c>
      <c r="C3267" s="2" t="s">
        <v>32735</v>
      </c>
      <c r="D3267" s="2" t="s">
        <v>32736</v>
      </c>
      <c r="E3267" s="2" t="s">
        <v>32737</v>
      </c>
      <c r="G3267" s="3" t="s">
        <v>64</v>
      </c>
      <c r="I3267" s="3" t="s">
        <v>64</v>
      </c>
      <c r="J3267" s="3" t="s">
        <v>128</v>
      </c>
      <c r="K3267" s="3" t="s">
        <v>65</v>
      </c>
      <c r="L3267" s="2" t="s">
        <v>14108</v>
      </c>
      <c r="M3267" s="2" t="s">
        <v>28346</v>
      </c>
      <c r="N3267" s="3" t="s">
        <v>3428</v>
      </c>
      <c r="O3267" s="2" t="s">
        <v>7660</v>
      </c>
      <c r="P3267" s="3" t="s">
        <v>102</v>
      </c>
      <c r="R3267" s="3" t="s">
        <v>70</v>
      </c>
      <c r="S3267" s="4">
        <v>92</v>
      </c>
      <c r="T3267" s="4">
        <v>92</v>
      </c>
      <c r="U3267" s="5" t="s">
        <v>4248</v>
      </c>
      <c r="V3267" s="5" t="s">
        <v>4248</v>
      </c>
      <c r="W3267" s="5" t="s">
        <v>72</v>
      </c>
      <c r="X3267" s="5" t="s">
        <v>72</v>
      </c>
      <c r="Y3267" s="4">
        <v>433</v>
      </c>
      <c r="Z3267" s="4">
        <v>20</v>
      </c>
      <c r="AA3267" s="4">
        <v>63</v>
      </c>
      <c r="AB3267" s="4">
        <v>4</v>
      </c>
      <c r="AC3267" s="4">
        <v>12</v>
      </c>
      <c r="AD3267" s="4">
        <v>86</v>
      </c>
      <c r="AE3267" s="4">
        <v>140</v>
      </c>
      <c r="AF3267" s="4">
        <v>1</v>
      </c>
      <c r="AG3267" s="4">
        <v>4</v>
      </c>
      <c r="AH3267" s="4">
        <v>80</v>
      </c>
      <c r="AI3267" s="4">
        <v>113</v>
      </c>
      <c r="AJ3267" s="4">
        <v>8</v>
      </c>
      <c r="AK3267" s="4">
        <v>25</v>
      </c>
      <c r="AL3267" s="4">
        <v>40</v>
      </c>
      <c r="AM3267" s="4">
        <v>58</v>
      </c>
      <c r="AN3267" s="4">
        <v>0</v>
      </c>
      <c r="AO3267" s="4">
        <v>0</v>
      </c>
      <c r="AP3267" s="4">
        <v>11</v>
      </c>
      <c r="AQ3267" s="4">
        <v>33</v>
      </c>
      <c r="AR3267" s="3" t="s">
        <v>64</v>
      </c>
      <c r="AS3267" s="3" t="s">
        <v>64</v>
      </c>
      <c r="AT3267" s="3" t="s">
        <v>128</v>
      </c>
      <c r="AU3267" s="6" t="str">
        <f>HYPERLINK("http://catalog.hathitrust.org/Record/002989134","HathiTrust Record")</f>
        <v>HathiTrust Record</v>
      </c>
      <c r="AV3267" s="6" t="str">
        <f>HYPERLINK("http://mcgill.on.worldcat.org/oclc/31435460","Catalog Record")</f>
        <v>Catalog Record</v>
      </c>
      <c r="AW3267" s="6" t="str">
        <f>HYPERLINK("http://www.worldcat.org/oclc/31435460","WorldCat Record")</f>
        <v>WorldCat Record</v>
      </c>
      <c r="AX3267" s="3" t="s">
        <v>32729</v>
      </c>
      <c r="AY3267" s="3" t="s">
        <v>32738</v>
      </c>
      <c r="AZ3267" s="3" t="s">
        <v>32739</v>
      </c>
      <c r="BA3267" s="3" t="s">
        <v>32739</v>
      </c>
      <c r="BB3267" s="3" t="s">
        <v>32740</v>
      </c>
      <c r="BC3267" s="3" t="s">
        <v>77</v>
      </c>
      <c r="BD3267" s="3" t="s">
        <v>78</v>
      </c>
      <c r="BE3267" s="3" t="s">
        <v>32741</v>
      </c>
      <c r="BF3267" s="3" t="s">
        <v>32740</v>
      </c>
      <c r="BG3267" s="3" t="s">
        <v>32742</v>
      </c>
      <c r="BH3267">
        <f t="shared" si="78"/>
        <v>0</v>
      </c>
    </row>
    <row r="3268" spans="1:60" ht="58" x14ac:dyDescent="0.35">
      <c r="A3268" s="2" t="s">
        <v>59</v>
      </c>
      <c r="B3268" s="2" t="s">
        <v>60</v>
      </c>
      <c r="C3268" s="2" t="s">
        <v>32743</v>
      </c>
      <c r="D3268" s="2" t="s">
        <v>32744</v>
      </c>
      <c r="E3268" s="2" t="s">
        <v>32745</v>
      </c>
      <c r="G3268" s="3" t="s">
        <v>64</v>
      </c>
      <c r="I3268" s="3" t="s">
        <v>64</v>
      </c>
      <c r="J3268" s="3" t="s">
        <v>64</v>
      </c>
      <c r="K3268" s="3" t="s">
        <v>65</v>
      </c>
      <c r="L3268" s="2" t="s">
        <v>32746</v>
      </c>
      <c r="M3268" s="2" t="s">
        <v>32747</v>
      </c>
      <c r="N3268" s="3" t="s">
        <v>4972</v>
      </c>
      <c r="O3268" s="2" t="s">
        <v>32748</v>
      </c>
      <c r="P3268" s="3" t="s">
        <v>102</v>
      </c>
      <c r="R3268" s="3" t="s">
        <v>70</v>
      </c>
      <c r="S3268" s="4">
        <v>13</v>
      </c>
      <c r="T3268" s="4">
        <v>13</v>
      </c>
      <c r="U3268" s="5" t="s">
        <v>8209</v>
      </c>
      <c r="V3268" s="5" t="s">
        <v>8209</v>
      </c>
      <c r="W3268" s="5" t="s">
        <v>72</v>
      </c>
      <c r="X3268" s="5" t="s">
        <v>72</v>
      </c>
      <c r="Y3268" s="4">
        <v>440</v>
      </c>
      <c r="Z3268" s="4">
        <v>21</v>
      </c>
      <c r="AA3268" s="4">
        <v>35</v>
      </c>
      <c r="AB3268" s="4">
        <v>2</v>
      </c>
      <c r="AC3268" s="4">
        <v>5</v>
      </c>
      <c r="AD3268" s="4">
        <v>65</v>
      </c>
      <c r="AE3268" s="4">
        <v>118</v>
      </c>
      <c r="AF3268" s="4">
        <v>0</v>
      </c>
      <c r="AG3268" s="4">
        <v>2</v>
      </c>
      <c r="AH3268" s="4">
        <v>56</v>
      </c>
      <c r="AI3268" s="4">
        <v>104</v>
      </c>
      <c r="AJ3268" s="4">
        <v>8</v>
      </c>
      <c r="AK3268" s="4">
        <v>13</v>
      </c>
      <c r="AL3268" s="4">
        <v>34</v>
      </c>
      <c r="AM3268" s="4">
        <v>56</v>
      </c>
      <c r="AN3268" s="4">
        <v>0</v>
      </c>
      <c r="AO3268" s="4">
        <v>0</v>
      </c>
      <c r="AP3268" s="4">
        <v>13</v>
      </c>
      <c r="AQ3268" s="4">
        <v>19</v>
      </c>
      <c r="AR3268" s="3" t="s">
        <v>64</v>
      </c>
      <c r="AS3268" s="3" t="s">
        <v>64</v>
      </c>
      <c r="AT3268" s="3" t="s">
        <v>128</v>
      </c>
      <c r="AU3268" s="6" t="str">
        <f>HYPERLINK("http://catalog.hathitrust.org/Record/006188134","HathiTrust Record")</f>
        <v>HathiTrust Record</v>
      </c>
      <c r="AV3268" s="6" t="str">
        <f>HYPERLINK("http://mcgill.on.worldcat.org/oclc/597331","Catalog Record")</f>
        <v>Catalog Record</v>
      </c>
      <c r="AW3268" s="6" t="str">
        <f>HYPERLINK("http://www.worldcat.org/oclc/597331","WorldCat Record")</f>
        <v>WorldCat Record</v>
      </c>
      <c r="AX3268" s="3" t="s">
        <v>32749</v>
      </c>
      <c r="AY3268" s="3" t="s">
        <v>32750</v>
      </c>
      <c r="AZ3268" s="3" t="s">
        <v>32751</v>
      </c>
      <c r="BA3268" s="3" t="s">
        <v>32751</v>
      </c>
      <c r="BB3268" s="3" t="s">
        <v>32752</v>
      </c>
      <c r="BC3268" s="3" t="s">
        <v>77</v>
      </c>
      <c r="BD3268" s="3" t="s">
        <v>165</v>
      </c>
      <c r="BF3268" s="3" t="s">
        <v>32752</v>
      </c>
      <c r="BG3268" s="3" t="s">
        <v>32753</v>
      </c>
      <c r="BH3268">
        <f t="shared" si="78"/>
        <v>0</v>
      </c>
    </row>
    <row r="3269" spans="1:60" ht="72.5" x14ac:dyDescent="0.35">
      <c r="A3269" s="2" t="s">
        <v>59</v>
      </c>
      <c r="B3269" s="2" t="s">
        <v>60</v>
      </c>
      <c r="C3269" s="2" t="s">
        <v>32754</v>
      </c>
      <c r="D3269" s="2" t="s">
        <v>32755</v>
      </c>
      <c r="E3269" s="2" t="s">
        <v>32756</v>
      </c>
      <c r="G3269" s="3" t="s">
        <v>64</v>
      </c>
      <c r="I3269" s="3" t="s">
        <v>64</v>
      </c>
      <c r="J3269" s="3" t="s">
        <v>64</v>
      </c>
      <c r="K3269" s="3" t="s">
        <v>65</v>
      </c>
      <c r="L3269" s="2" t="s">
        <v>32746</v>
      </c>
      <c r="M3269" s="2" t="s">
        <v>32757</v>
      </c>
      <c r="N3269" s="3" t="s">
        <v>116</v>
      </c>
      <c r="P3269" s="3" t="s">
        <v>102</v>
      </c>
      <c r="R3269" s="3" t="s">
        <v>70</v>
      </c>
      <c r="S3269" s="4">
        <v>14</v>
      </c>
      <c r="T3269" s="4">
        <v>14</v>
      </c>
      <c r="U3269" s="5" t="s">
        <v>306</v>
      </c>
      <c r="V3269" s="5" t="s">
        <v>306</v>
      </c>
      <c r="W3269" s="5" t="s">
        <v>72</v>
      </c>
      <c r="X3269" s="5" t="s">
        <v>72</v>
      </c>
      <c r="Y3269" s="4">
        <v>351</v>
      </c>
      <c r="Z3269" s="4">
        <v>16</v>
      </c>
      <c r="AA3269" s="4">
        <v>21</v>
      </c>
      <c r="AB3269" s="4">
        <v>1</v>
      </c>
      <c r="AC3269" s="4">
        <v>3</v>
      </c>
      <c r="AD3269" s="4">
        <v>78</v>
      </c>
      <c r="AE3269" s="4">
        <v>85</v>
      </c>
      <c r="AF3269" s="4">
        <v>0</v>
      </c>
      <c r="AG3269" s="4">
        <v>1</v>
      </c>
      <c r="AH3269" s="4">
        <v>71</v>
      </c>
      <c r="AI3269" s="4">
        <v>76</v>
      </c>
      <c r="AJ3269" s="4">
        <v>8</v>
      </c>
      <c r="AK3269" s="4">
        <v>11</v>
      </c>
      <c r="AL3269" s="4">
        <v>39</v>
      </c>
      <c r="AM3269" s="4">
        <v>43</v>
      </c>
      <c r="AN3269" s="4">
        <v>0</v>
      </c>
      <c r="AO3269" s="4">
        <v>0</v>
      </c>
      <c r="AP3269" s="4">
        <v>10</v>
      </c>
      <c r="AQ3269" s="4">
        <v>12</v>
      </c>
      <c r="AR3269" s="3" t="s">
        <v>64</v>
      </c>
      <c r="AS3269" s="3" t="s">
        <v>64</v>
      </c>
      <c r="AT3269" s="3" t="s">
        <v>64</v>
      </c>
      <c r="AV3269" s="6" t="str">
        <f>HYPERLINK("http://mcgill.on.worldcat.org/oclc/45618293","Catalog Record")</f>
        <v>Catalog Record</v>
      </c>
      <c r="AW3269" s="6" t="str">
        <f>HYPERLINK("http://www.worldcat.org/oclc/45618293","WorldCat Record")</f>
        <v>WorldCat Record</v>
      </c>
      <c r="AX3269" s="3" t="s">
        <v>32758</v>
      </c>
      <c r="AY3269" s="3" t="s">
        <v>32759</v>
      </c>
      <c r="AZ3269" s="3" t="s">
        <v>32760</v>
      </c>
      <c r="BA3269" s="3" t="s">
        <v>32760</v>
      </c>
      <c r="BB3269" s="3" t="s">
        <v>32761</v>
      </c>
      <c r="BC3269" s="3" t="s">
        <v>77</v>
      </c>
      <c r="BD3269" s="3" t="s">
        <v>78</v>
      </c>
      <c r="BE3269" s="3" t="s">
        <v>32762</v>
      </c>
      <c r="BF3269" s="3" t="s">
        <v>32761</v>
      </c>
      <c r="BG3269" s="3" t="s">
        <v>32763</v>
      </c>
      <c r="BH3269">
        <f t="shared" si="78"/>
        <v>0</v>
      </c>
    </row>
    <row r="3270" spans="1:60" ht="58" x14ac:dyDescent="0.35">
      <c r="A3270" s="2" t="s">
        <v>59</v>
      </c>
      <c r="B3270" s="2" t="s">
        <v>60</v>
      </c>
      <c r="C3270" s="2" t="s">
        <v>32764</v>
      </c>
      <c r="D3270" s="2" t="s">
        <v>32765</v>
      </c>
      <c r="E3270" s="2" t="s">
        <v>32766</v>
      </c>
      <c r="G3270" s="3" t="s">
        <v>64</v>
      </c>
      <c r="I3270" s="3" t="s">
        <v>64</v>
      </c>
      <c r="J3270" s="3" t="s">
        <v>128</v>
      </c>
      <c r="K3270" s="3" t="s">
        <v>65</v>
      </c>
      <c r="L3270" s="2" t="s">
        <v>32767</v>
      </c>
      <c r="M3270" s="2" t="s">
        <v>32768</v>
      </c>
      <c r="N3270" s="3" t="s">
        <v>1017</v>
      </c>
      <c r="P3270" s="3" t="s">
        <v>102</v>
      </c>
      <c r="R3270" s="3" t="s">
        <v>70</v>
      </c>
      <c r="S3270" s="4">
        <v>7</v>
      </c>
      <c r="T3270" s="4">
        <v>7</v>
      </c>
      <c r="U3270" s="5" t="s">
        <v>14841</v>
      </c>
      <c r="V3270" s="5" t="s">
        <v>14841</v>
      </c>
      <c r="W3270" s="5" t="s">
        <v>72</v>
      </c>
      <c r="X3270" s="5" t="s">
        <v>72</v>
      </c>
      <c r="Y3270" s="4">
        <v>245</v>
      </c>
      <c r="Z3270" s="4">
        <v>13</v>
      </c>
      <c r="AA3270" s="4">
        <v>41</v>
      </c>
      <c r="AB3270" s="4">
        <v>3</v>
      </c>
      <c r="AC3270" s="4">
        <v>5</v>
      </c>
      <c r="AD3270" s="4">
        <v>37</v>
      </c>
      <c r="AE3270" s="4">
        <v>119</v>
      </c>
      <c r="AF3270" s="4">
        <v>1</v>
      </c>
      <c r="AG3270" s="4">
        <v>2</v>
      </c>
      <c r="AH3270" s="4">
        <v>28</v>
      </c>
      <c r="AI3270" s="4">
        <v>102</v>
      </c>
      <c r="AJ3270" s="4">
        <v>6</v>
      </c>
      <c r="AK3270" s="4">
        <v>18</v>
      </c>
      <c r="AL3270" s="4">
        <v>22</v>
      </c>
      <c r="AM3270" s="4">
        <v>58</v>
      </c>
      <c r="AN3270" s="4">
        <v>0</v>
      </c>
      <c r="AO3270" s="4">
        <v>0</v>
      </c>
      <c r="AP3270" s="4">
        <v>7</v>
      </c>
      <c r="AQ3270" s="4">
        <v>21</v>
      </c>
      <c r="AR3270" s="3" t="s">
        <v>64</v>
      </c>
      <c r="AS3270" s="3" t="s">
        <v>64</v>
      </c>
      <c r="AT3270" s="3" t="s">
        <v>128</v>
      </c>
      <c r="AU3270" s="6" t="str">
        <f>HYPERLINK("http://catalog.hathitrust.org/Record/001164286","HathiTrust Record")</f>
        <v>HathiTrust Record</v>
      </c>
      <c r="AV3270" s="6" t="str">
        <f>HYPERLINK("http://mcgill.on.worldcat.org/oclc/129214","Catalog Record")</f>
        <v>Catalog Record</v>
      </c>
      <c r="AW3270" s="6" t="str">
        <f>HYPERLINK("http://www.worldcat.org/oclc/129214","WorldCat Record")</f>
        <v>WorldCat Record</v>
      </c>
      <c r="AX3270" s="3" t="s">
        <v>32769</v>
      </c>
      <c r="AY3270" s="3" t="s">
        <v>32770</v>
      </c>
      <c r="AZ3270" s="3" t="s">
        <v>32771</v>
      </c>
      <c r="BA3270" s="3" t="s">
        <v>32771</v>
      </c>
      <c r="BB3270" s="3" t="s">
        <v>32772</v>
      </c>
      <c r="BC3270" s="3" t="s">
        <v>77</v>
      </c>
      <c r="BD3270" s="3" t="s">
        <v>78</v>
      </c>
      <c r="BE3270" s="3" t="s">
        <v>32773</v>
      </c>
      <c r="BF3270" s="3" t="s">
        <v>32772</v>
      </c>
      <c r="BG3270" s="3" t="s">
        <v>32774</v>
      </c>
      <c r="BH3270">
        <f t="shared" si="78"/>
        <v>0</v>
      </c>
    </row>
    <row r="3271" spans="1:60" ht="58" x14ac:dyDescent="0.35">
      <c r="A3271" s="2" t="s">
        <v>59</v>
      </c>
      <c r="B3271" s="2" t="s">
        <v>60</v>
      </c>
      <c r="C3271" s="2" t="s">
        <v>32775</v>
      </c>
      <c r="D3271" s="2" t="s">
        <v>32776</v>
      </c>
      <c r="E3271" s="2" t="s">
        <v>32777</v>
      </c>
      <c r="F3271" s="3" t="s">
        <v>529</v>
      </c>
      <c r="G3271" s="3" t="s">
        <v>128</v>
      </c>
      <c r="I3271" s="3" t="s">
        <v>64</v>
      </c>
      <c r="J3271" s="3" t="s">
        <v>64</v>
      </c>
      <c r="K3271" s="3" t="s">
        <v>65</v>
      </c>
      <c r="M3271" s="2" t="s">
        <v>32778</v>
      </c>
      <c r="N3271" s="3" t="s">
        <v>116</v>
      </c>
      <c r="P3271" s="3" t="s">
        <v>102</v>
      </c>
      <c r="R3271" s="3" t="s">
        <v>70</v>
      </c>
      <c r="S3271" s="4">
        <v>3</v>
      </c>
      <c r="T3271" s="4">
        <v>11</v>
      </c>
      <c r="U3271" s="5" t="s">
        <v>32779</v>
      </c>
      <c r="V3271" s="5" t="s">
        <v>14841</v>
      </c>
      <c r="W3271" s="5" t="s">
        <v>72</v>
      </c>
      <c r="X3271" s="5" t="s">
        <v>72</v>
      </c>
      <c r="Y3271" s="4">
        <v>339</v>
      </c>
      <c r="Z3271" s="4">
        <v>18</v>
      </c>
      <c r="AA3271" s="4">
        <v>18</v>
      </c>
      <c r="AB3271" s="4">
        <v>3</v>
      </c>
      <c r="AC3271" s="4">
        <v>3</v>
      </c>
      <c r="AD3271" s="4">
        <v>87</v>
      </c>
      <c r="AE3271" s="4">
        <v>87</v>
      </c>
      <c r="AF3271" s="4">
        <v>1</v>
      </c>
      <c r="AG3271" s="4">
        <v>1</v>
      </c>
      <c r="AH3271" s="4">
        <v>80</v>
      </c>
      <c r="AI3271" s="4">
        <v>80</v>
      </c>
      <c r="AJ3271" s="4">
        <v>8</v>
      </c>
      <c r="AK3271" s="4">
        <v>8</v>
      </c>
      <c r="AL3271" s="4">
        <v>44</v>
      </c>
      <c r="AM3271" s="4">
        <v>44</v>
      </c>
      <c r="AN3271" s="4">
        <v>0</v>
      </c>
      <c r="AO3271" s="4">
        <v>0</v>
      </c>
      <c r="AP3271" s="4">
        <v>9</v>
      </c>
      <c r="AQ3271" s="4">
        <v>9</v>
      </c>
      <c r="AR3271" s="3" t="s">
        <v>64</v>
      </c>
      <c r="AS3271" s="3" t="s">
        <v>64</v>
      </c>
      <c r="AT3271" s="3" t="s">
        <v>64</v>
      </c>
      <c r="AV3271" s="6" t="str">
        <f>HYPERLINK("http://mcgill.on.worldcat.org/oclc/46944624","Catalog Record")</f>
        <v>Catalog Record</v>
      </c>
      <c r="AW3271" s="6" t="str">
        <f>HYPERLINK("http://www.worldcat.org/oclc/46944624","WorldCat Record")</f>
        <v>WorldCat Record</v>
      </c>
      <c r="AX3271" s="3" t="s">
        <v>32780</v>
      </c>
      <c r="AY3271" s="3" t="s">
        <v>32781</v>
      </c>
      <c r="AZ3271" s="3" t="s">
        <v>32782</v>
      </c>
      <c r="BA3271" s="3" t="s">
        <v>32782</v>
      </c>
      <c r="BB3271" s="3" t="s">
        <v>32783</v>
      </c>
      <c r="BC3271" s="3" t="s">
        <v>77</v>
      </c>
      <c r="BD3271" s="3" t="s">
        <v>78</v>
      </c>
      <c r="BE3271" s="3" t="s">
        <v>32784</v>
      </c>
      <c r="BF3271" s="3" t="s">
        <v>32783</v>
      </c>
      <c r="BG3271" s="3" t="s">
        <v>32785</v>
      </c>
      <c r="BH3271">
        <f t="shared" si="78"/>
        <v>0</v>
      </c>
    </row>
    <row r="3272" spans="1:60" ht="58" x14ac:dyDescent="0.35">
      <c r="A3272" s="2" t="s">
        <v>59</v>
      </c>
      <c r="B3272" s="2" t="s">
        <v>60</v>
      </c>
      <c r="C3272" s="2" t="s">
        <v>32775</v>
      </c>
      <c r="D3272" s="2" t="s">
        <v>32776</v>
      </c>
      <c r="E3272" s="2" t="s">
        <v>32777</v>
      </c>
      <c r="F3272" s="3" t="s">
        <v>525</v>
      </c>
      <c r="G3272" s="3" t="s">
        <v>128</v>
      </c>
      <c r="I3272" s="3" t="s">
        <v>64</v>
      </c>
      <c r="J3272" s="3" t="s">
        <v>64</v>
      </c>
      <c r="K3272" s="3" t="s">
        <v>65</v>
      </c>
      <c r="M3272" s="2" t="s">
        <v>32778</v>
      </c>
      <c r="N3272" s="3" t="s">
        <v>116</v>
      </c>
      <c r="P3272" s="3" t="s">
        <v>102</v>
      </c>
      <c r="R3272" s="3" t="s">
        <v>70</v>
      </c>
      <c r="S3272" s="4">
        <v>8</v>
      </c>
      <c r="T3272" s="4">
        <v>11</v>
      </c>
      <c r="U3272" s="5" t="s">
        <v>14841</v>
      </c>
      <c r="V3272" s="5" t="s">
        <v>14841</v>
      </c>
      <c r="W3272" s="5" t="s">
        <v>72</v>
      </c>
      <c r="X3272" s="5" t="s">
        <v>72</v>
      </c>
      <c r="Y3272" s="4">
        <v>339</v>
      </c>
      <c r="Z3272" s="4">
        <v>18</v>
      </c>
      <c r="AA3272" s="4">
        <v>18</v>
      </c>
      <c r="AB3272" s="4">
        <v>3</v>
      </c>
      <c r="AC3272" s="4">
        <v>3</v>
      </c>
      <c r="AD3272" s="4">
        <v>87</v>
      </c>
      <c r="AE3272" s="4">
        <v>87</v>
      </c>
      <c r="AF3272" s="4">
        <v>1</v>
      </c>
      <c r="AG3272" s="4">
        <v>1</v>
      </c>
      <c r="AH3272" s="4">
        <v>80</v>
      </c>
      <c r="AI3272" s="4">
        <v>80</v>
      </c>
      <c r="AJ3272" s="4">
        <v>8</v>
      </c>
      <c r="AK3272" s="4">
        <v>8</v>
      </c>
      <c r="AL3272" s="4">
        <v>44</v>
      </c>
      <c r="AM3272" s="4">
        <v>44</v>
      </c>
      <c r="AN3272" s="4">
        <v>0</v>
      </c>
      <c r="AO3272" s="4">
        <v>0</v>
      </c>
      <c r="AP3272" s="4">
        <v>9</v>
      </c>
      <c r="AQ3272" s="4">
        <v>9</v>
      </c>
      <c r="AR3272" s="3" t="s">
        <v>64</v>
      </c>
      <c r="AS3272" s="3" t="s">
        <v>64</v>
      </c>
      <c r="AT3272" s="3" t="s">
        <v>64</v>
      </c>
      <c r="AV3272" s="6" t="str">
        <f>HYPERLINK("http://mcgill.on.worldcat.org/oclc/46944624","Catalog Record")</f>
        <v>Catalog Record</v>
      </c>
      <c r="AW3272" s="6" t="str">
        <f>HYPERLINK("http://www.worldcat.org/oclc/46944624","WorldCat Record")</f>
        <v>WorldCat Record</v>
      </c>
      <c r="AX3272" s="3" t="s">
        <v>32780</v>
      </c>
      <c r="AY3272" s="3" t="s">
        <v>32781</v>
      </c>
      <c r="AZ3272" s="3" t="s">
        <v>32782</v>
      </c>
      <c r="BA3272" s="3" t="s">
        <v>32782</v>
      </c>
      <c r="BB3272" s="3" t="s">
        <v>32786</v>
      </c>
      <c r="BC3272" s="3" t="s">
        <v>77</v>
      </c>
      <c r="BD3272" s="3" t="s">
        <v>78</v>
      </c>
      <c r="BE3272" s="3" t="s">
        <v>32784</v>
      </c>
      <c r="BF3272" s="3" t="s">
        <v>32786</v>
      </c>
      <c r="BG3272" s="3" t="s">
        <v>32787</v>
      </c>
      <c r="BH3272">
        <f t="shared" si="78"/>
        <v>0</v>
      </c>
    </row>
    <row r="3273" spans="1:60" ht="58" x14ac:dyDescent="0.35">
      <c r="A3273" s="2" t="s">
        <v>59</v>
      </c>
      <c r="B3273" s="2" t="s">
        <v>60</v>
      </c>
      <c r="C3273" s="2" t="s">
        <v>32788</v>
      </c>
      <c r="D3273" s="2" t="s">
        <v>32789</v>
      </c>
      <c r="E3273" s="2" t="s">
        <v>32790</v>
      </c>
      <c r="G3273" s="3" t="s">
        <v>64</v>
      </c>
      <c r="I3273" s="3" t="s">
        <v>64</v>
      </c>
      <c r="J3273" s="3" t="s">
        <v>64</v>
      </c>
      <c r="K3273" s="3" t="s">
        <v>65</v>
      </c>
      <c r="L3273" s="2" t="s">
        <v>32791</v>
      </c>
      <c r="M3273" s="2" t="s">
        <v>32792</v>
      </c>
      <c r="N3273" s="3" t="s">
        <v>498</v>
      </c>
      <c r="P3273" s="3" t="s">
        <v>102</v>
      </c>
      <c r="Q3273" s="2" t="s">
        <v>25372</v>
      </c>
      <c r="R3273" s="3" t="s">
        <v>70</v>
      </c>
      <c r="S3273" s="4">
        <v>24</v>
      </c>
      <c r="T3273" s="4">
        <v>24</v>
      </c>
      <c r="U3273" s="5" t="s">
        <v>19277</v>
      </c>
      <c r="V3273" s="5" t="s">
        <v>19277</v>
      </c>
      <c r="W3273" s="5" t="s">
        <v>72</v>
      </c>
      <c r="X3273" s="5" t="s">
        <v>72</v>
      </c>
      <c r="Y3273" s="4">
        <v>515</v>
      </c>
      <c r="Z3273" s="4">
        <v>27</v>
      </c>
      <c r="AA3273" s="4">
        <v>28</v>
      </c>
      <c r="AB3273" s="4">
        <v>2</v>
      </c>
      <c r="AC3273" s="4">
        <v>3</v>
      </c>
      <c r="AD3273" s="4">
        <v>92</v>
      </c>
      <c r="AE3273" s="4">
        <v>93</v>
      </c>
      <c r="AF3273" s="4">
        <v>1</v>
      </c>
      <c r="AG3273" s="4">
        <v>2</v>
      </c>
      <c r="AH3273" s="4">
        <v>77</v>
      </c>
      <c r="AI3273" s="4">
        <v>77</v>
      </c>
      <c r="AJ3273" s="4">
        <v>17</v>
      </c>
      <c r="AK3273" s="4">
        <v>18</v>
      </c>
      <c r="AL3273" s="4">
        <v>43</v>
      </c>
      <c r="AM3273" s="4">
        <v>43</v>
      </c>
      <c r="AN3273" s="4">
        <v>0</v>
      </c>
      <c r="AO3273" s="4">
        <v>0</v>
      </c>
      <c r="AP3273" s="4">
        <v>20</v>
      </c>
      <c r="AQ3273" s="4">
        <v>20</v>
      </c>
      <c r="AR3273" s="3" t="s">
        <v>64</v>
      </c>
      <c r="AS3273" s="3" t="s">
        <v>64</v>
      </c>
      <c r="AT3273" s="3" t="s">
        <v>128</v>
      </c>
      <c r="AU3273" s="6" t="str">
        <f>HYPERLINK("http://catalog.hathitrust.org/Record/001164289","HathiTrust Record")</f>
        <v>HathiTrust Record</v>
      </c>
      <c r="AV3273" s="6" t="str">
        <f>HYPERLINK("http://mcgill.on.worldcat.org/oclc/695744","Catalog Record")</f>
        <v>Catalog Record</v>
      </c>
      <c r="AW3273" s="6" t="str">
        <f>HYPERLINK("http://www.worldcat.org/oclc/695744","WorldCat Record")</f>
        <v>WorldCat Record</v>
      </c>
      <c r="AX3273" s="3" t="s">
        <v>32793</v>
      </c>
      <c r="AY3273" s="3" t="s">
        <v>32794</v>
      </c>
      <c r="AZ3273" s="3" t="s">
        <v>32795</v>
      </c>
      <c r="BA3273" s="3" t="s">
        <v>32795</v>
      </c>
      <c r="BB3273" s="3" t="s">
        <v>32796</v>
      </c>
      <c r="BC3273" s="3" t="s">
        <v>77</v>
      </c>
      <c r="BD3273" s="3" t="s">
        <v>78</v>
      </c>
      <c r="BE3273" s="3" t="s">
        <v>32797</v>
      </c>
      <c r="BF3273" s="3" t="s">
        <v>32796</v>
      </c>
      <c r="BG3273" s="3" t="s">
        <v>32798</v>
      </c>
      <c r="BH3273">
        <f t="shared" si="78"/>
        <v>0</v>
      </c>
    </row>
    <row r="3274" spans="1:60" ht="58" x14ac:dyDescent="0.35">
      <c r="A3274" s="2" t="s">
        <v>59</v>
      </c>
      <c r="B3274" s="2" t="s">
        <v>60</v>
      </c>
      <c r="C3274" s="2" t="s">
        <v>32799</v>
      </c>
      <c r="D3274" s="2" t="s">
        <v>32800</v>
      </c>
      <c r="E3274" s="2" t="s">
        <v>32801</v>
      </c>
      <c r="G3274" s="3" t="s">
        <v>64</v>
      </c>
      <c r="I3274" s="3" t="s">
        <v>64</v>
      </c>
      <c r="J3274" s="3" t="s">
        <v>64</v>
      </c>
      <c r="K3274" s="3" t="s">
        <v>65</v>
      </c>
      <c r="L3274" s="2" t="s">
        <v>32802</v>
      </c>
      <c r="M3274" s="2" t="s">
        <v>32803</v>
      </c>
      <c r="N3274" s="3" t="s">
        <v>481</v>
      </c>
      <c r="P3274" s="3" t="s">
        <v>102</v>
      </c>
      <c r="Q3274" s="2" t="s">
        <v>32804</v>
      </c>
      <c r="R3274" s="3" t="s">
        <v>70</v>
      </c>
      <c r="S3274" s="4">
        <v>12</v>
      </c>
      <c r="T3274" s="4">
        <v>12</v>
      </c>
      <c r="U3274" s="5" t="s">
        <v>19710</v>
      </c>
      <c r="V3274" s="5" t="s">
        <v>19710</v>
      </c>
      <c r="W3274" s="5" t="s">
        <v>72</v>
      </c>
      <c r="X3274" s="5" t="s">
        <v>72</v>
      </c>
      <c r="Y3274" s="4">
        <v>170</v>
      </c>
      <c r="Z3274" s="4">
        <v>15</v>
      </c>
      <c r="AA3274" s="4">
        <v>16</v>
      </c>
      <c r="AB3274" s="4">
        <v>1</v>
      </c>
      <c r="AC3274" s="4">
        <v>2</v>
      </c>
      <c r="AD3274" s="4">
        <v>63</v>
      </c>
      <c r="AE3274" s="4">
        <v>64</v>
      </c>
      <c r="AF3274" s="4">
        <v>0</v>
      </c>
      <c r="AG3274" s="4">
        <v>1</v>
      </c>
      <c r="AH3274" s="4">
        <v>56</v>
      </c>
      <c r="AI3274" s="4">
        <v>56</v>
      </c>
      <c r="AJ3274" s="4">
        <v>12</v>
      </c>
      <c r="AK3274" s="4">
        <v>13</v>
      </c>
      <c r="AL3274" s="4">
        <v>33</v>
      </c>
      <c r="AM3274" s="4">
        <v>33</v>
      </c>
      <c r="AN3274" s="4">
        <v>0</v>
      </c>
      <c r="AO3274" s="4">
        <v>0</v>
      </c>
      <c r="AP3274" s="4">
        <v>11</v>
      </c>
      <c r="AQ3274" s="4">
        <v>11</v>
      </c>
      <c r="AR3274" s="3" t="s">
        <v>64</v>
      </c>
      <c r="AS3274" s="3" t="s">
        <v>64</v>
      </c>
      <c r="AT3274" s="3" t="s">
        <v>128</v>
      </c>
      <c r="AU3274" s="6" t="str">
        <f>HYPERLINK("http://catalog.hathitrust.org/Record/001164290","HathiTrust Record")</f>
        <v>HathiTrust Record</v>
      </c>
      <c r="AV3274" s="6" t="str">
        <f>HYPERLINK("http://mcgill.on.worldcat.org/oclc/90763","Catalog Record")</f>
        <v>Catalog Record</v>
      </c>
      <c r="AW3274" s="6" t="str">
        <f>HYPERLINK("http://www.worldcat.org/oclc/90763","WorldCat Record")</f>
        <v>WorldCat Record</v>
      </c>
      <c r="AX3274" s="3" t="s">
        <v>32805</v>
      </c>
      <c r="AY3274" s="3" t="s">
        <v>32806</v>
      </c>
      <c r="AZ3274" s="3" t="s">
        <v>32807</v>
      </c>
      <c r="BA3274" s="3" t="s">
        <v>32807</v>
      </c>
      <c r="BB3274" s="3" t="s">
        <v>32808</v>
      </c>
      <c r="BC3274" s="3" t="s">
        <v>77</v>
      </c>
      <c r="BD3274" s="3" t="s">
        <v>78</v>
      </c>
      <c r="BF3274" s="3" t="s">
        <v>32808</v>
      </c>
      <c r="BG3274" s="3" t="s">
        <v>32809</v>
      </c>
      <c r="BH3274">
        <f t="shared" si="78"/>
        <v>0</v>
      </c>
    </row>
    <row r="3275" spans="1:60" ht="58" x14ac:dyDescent="0.35">
      <c r="A3275" s="2" t="s">
        <v>59</v>
      </c>
      <c r="B3275" s="2" t="s">
        <v>60</v>
      </c>
      <c r="C3275" s="2" t="s">
        <v>32810</v>
      </c>
      <c r="D3275" s="2" t="s">
        <v>32811</v>
      </c>
      <c r="E3275" s="2" t="s">
        <v>32812</v>
      </c>
      <c r="G3275" s="3" t="s">
        <v>64</v>
      </c>
      <c r="I3275" s="3" t="s">
        <v>64</v>
      </c>
      <c r="J3275" s="3" t="s">
        <v>128</v>
      </c>
      <c r="K3275" s="3" t="s">
        <v>65</v>
      </c>
      <c r="L3275" s="2" t="s">
        <v>32813</v>
      </c>
      <c r="M3275" s="2" t="s">
        <v>14475</v>
      </c>
      <c r="N3275" s="3" t="s">
        <v>364</v>
      </c>
      <c r="O3275" s="2" t="s">
        <v>7660</v>
      </c>
      <c r="P3275" s="3" t="s">
        <v>102</v>
      </c>
      <c r="R3275" s="3" t="s">
        <v>70</v>
      </c>
      <c r="S3275" s="4">
        <v>18</v>
      </c>
      <c r="T3275" s="4">
        <v>18</v>
      </c>
      <c r="U3275" s="5" t="s">
        <v>8905</v>
      </c>
      <c r="V3275" s="5" t="s">
        <v>8905</v>
      </c>
      <c r="W3275" s="5" t="s">
        <v>72</v>
      </c>
      <c r="X3275" s="5" t="s">
        <v>72</v>
      </c>
      <c r="Y3275" s="4">
        <v>404</v>
      </c>
      <c r="Z3275" s="4">
        <v>23</v>
      </c>
      <c r="AA3275" s="4">
        <v>35</v>
      </c>
      <c r="AB3275" s="4">
        <v>3</v>
      </c>
      <c r="AC3275" s="4">
        <v>5</v>
      </c>
      <c r="AD3275" s="4">
        <v>95</v>
      </c>
      <c r="AE3275" s="4">
        <v>117</v>
      </c>
      <c r="AF3275" s="4">
        <v>1</v>
      </c>
      <c r="AG3275" s="4">
        <v>3</v>
      </c>
      <c r="AH3275" s="4">
        <v>86</v>
      </c>
      <c r="AI3275" s="4">
        <v>102</v>
      </c>
      <c r="AJ3275" s="4">
        <v>15</v>
      </c>
      <c r="AK3275" s="4">
        <v>20</v>
      </c>
      <c r="AL3275" s="4">
        <v>44</v>
      </c>
      <c r="AM3275" s="4">
        <v>53</v>
      </c>
      <c r="AN3275" s="4">
        <v>0</v>
      </c>
      <c r="AO3275" s="4">
        <v>0</v>
      </c>
      <c r="AP3275" s="4">
        <v>15</v>
      </c>
      <c r="AQ3275" s="4">
        <v>22</v>
      </c>
      <c r="AR3275" s="3" t="s">
        <v>64</v>
      </c>
      <c r="AS3275" s="3" t="s">
        <v>64</v>
      </c>
      <c r="AT3275" s="3" t="s">
        <v>128</v>
      </c>
      <c r="AU3275" s="6" t="str">
        <f>HYPERLINK("http://catalog.hathitrust.org/Record/001164292","HathiTrust Record")</f>
        <v>HathiTrust Record</v>
      </c>
      <c r="AV3275" s="6" t="str">
        <f>HYPERLINK("http://mcgill.on.worldcat.org/oclc/549304","Catalog Record")</f>
        <v>Catalog Record</v>
      </c>
      <c r="AW3275" s="6" t="str">
        <f>HYPERLINK("http://www.worldcat.org/oclc/549304","WorldCat Record")</f>
        <v>WorldCat Record</v>
      </c>
      <c r="AX3275" s="3" t="s">
        <v>32814</v>
      </c>
      <c r="AY3275" s="3" t="s">
        <v>32815</v>
      </c>
      <c r="AZ3275" s="3" t="s">
        <v>32816</v>
      </c>
      <c r="BA3275" s="3" t="s">
        <v>32816</v>
      </c>
      <c r="BB3275" s="3" t="s">
        <v>32817</v>
      </c>
      <c r="BC3275" s="3" t="s">
        <v>77</v>
      </c>
      <c r="BD3275" s="3" t="s">
        <v>78</v>
      </c>
      <c r="BE3275" s="3" t="s">
        <v>32818</v>
      </c>
      <c r="BF3275" s="3" t="s">
        <v>32817</v>
      </c>
      <c r="BG3275" s="3" t="s">
        <v>32819</v>
      </c>
      <c r="BH3275">
        <f t="shared" si="78"/>
        <v>0</v>
      </c>
    </row>
    <row r="3276" spans="1:60" ht="58" x14ac:dyDescent="0.35">
      <c r="A3276" s="2" t="s">
        <v>59</v>
      </c>
      <c r="B3276" s="2" t="s">
        <v>60</v>
      </c>
      <c r="C3276" s="2" t="s">
        <v>32820</v>
      </c>
      <c r="D3276" s="2" t="s">
        <v>32821</v>
      </c>
      <c r="E3276" s="2" t="s">
        <v>32822</v>
      </c>
      <c r="G3276" s="3" t="s">
        <v>64</v>
      </c>
      <c r="I3276" s="3" t="s">
        <v>64</v>
      </c>
      <c r="J3276" s="3" t="s">
        <v>128</v>
      </c>
      <c r="K3276" s="3" t="s">
        <v>65</v>
      </c>
      <c r="L3276" s="2" t="s">
        <v>32823</v>
      </c>
      <c r="M3276" s="2" t="s">
        <v>32824</v>
      </c>
      <c r="N3276" s="3" t="s">
        <v>4548</v>
      </c>
      <c r="P3276" s="3" t="s">
        <v>102</v>
      </c>
      <c r="R3276" s="3" t="s">
        <v>70</v>
      </c>
      <c r="S3276" s="4">
        <v>12</v>
      </c>
      <c r="T3276" s="4">
        <v>12</v>
      </c>
      <c r="U3276" s="5" t="s">
        <v>724</v>
      </c>
      <c r="V3276" s="5" t="s">
        <v>724</v>
      </c>
      <c r="W3276" s="5" t="s">
        <v>72</v>
      </c>
      <c r="X3276" s="5" t="s">
        <v>72</v>
      </c>
      <c r="Y3276" s="4">
        <v>746</v>
      </c>
      <c r="Z3276" s="4">
        <v>32</v>
      </c>
      <c r="AA3276" s="4">
        <v>63</v>
      </c>
      <c r="AB3276" s="4">
        <v>3</v>
      </c>
      <c r="AC3276" s="4">
        <v>12</v>
      </c>
      <c r="AD3276" s="4">
        <v>109</v>
      </c>
      <c r="AE3276" s="4">
        <v>140</v>
      </c>
      <c r="AF3276" s="4">
        <v>1</v>
      </c>
      <c r="AG3276" s="4">
        <v>4</v>
      </c>
      <c r="AH3276" s="4">
        <v>92</v>
      </c>
      <c r="AI3276" s="4">
        <v>113</v>
      </c>
      <c r="AJ3276" s="4">
        <v>14</v>
      </c>
      <c r="AK3276" s="4">
        <v>25</v>
      </c>
      <c r="AL3276" s="4">
        <v>53</v>
      </c>
      <c r="AM3276" s="4">
        <v>58</v>
      </c>
      <c r="AN3276" s="4">
        <v>0</v>
      </c>
      <c r="AO3276" s="4">
        <v>0</v>
      </c>
      <c r="AP3276" s="4">
        <v>21</v>
      </c>
      <c r="AQ3276" s="4">
        <v>33</v>
      </c>
      <c r="AR3276" s="3" t="s">
        <v>64</v>
      </c>
      <c r="AS3276" s="3" t="s">
        <v>64</v>
      </c>
      <c r="AT3276" s="3" t="s">
        <v>128</v>
      </c>
      <c r="AU3276" s="6" t="str">
        <f>HYPERLINK("http://catalog.hathitrust.org/Record/001164293","HathiTrust Record")</f>
        <v>HathiTrust Record</v>
      </c>
      <c r="AV3276" s="6" t="str">
        <f>HYPERLINK("http://mcgill.on.worldcat.org/oclc/575208","Catalog Record")</f>
        <v>Catalog Record</v>
      </c>
      <c r="AW3276" s="6" t="str">
        <f>HYPERLINK("http://www.worldcat.org/oclc/575208","WorldCat Record")</f>
        <v>WorldCat Record</v>
      </c>
      <c r="AX3276" s="3" t="s">
        <v>32729</v>
      </c>
      <c r="AY3276" s="3" t="s">
        <v>32825</v>
      </c>
      <c r="AZ3276" s="3" t="s">
        <v>32826</v>
      </c>
      <c r="BA3276" s="3" t="s">
        <v>32826</v>
      </c>
      <c r="BB3276" s="3" t="s">
        <v>32827</v>
      </c>
      <c r="BC3276" s="3" t="s">
        <v>77</v>
      </c>
      <c r="BD3276" s="3" t="s">
        <v>78</v>
      </c>
      <c r="BF3276" s="3" t="s">
        <v>32827</v>
      </c>
      <c r="BG3276" s="3" t="s">
        <v>32828</v>
      </c>
      <c r="BH3276">
        <f t="shared" si="78"/>
        <v>0</v>
      </c>
    </row>
    <row r="3277" spans="1:60" ht="58" x14ac:dyDescent="0.35">
      <c r="A3277" s="2" t="s">
        <v>59</v>
      </c>
      <c r="B3277" s="2" t="s">
        <v>60</v>
      </c>
      <c r="C3277" s="2" t="s">
        <v>32829</v>
      </c>
      <c r="D3277" s="2" t="s">
        <v>32830</v>
      </c>
      <c r="E3277" s="2" t="s">
        <v>32831</v>
      </c>
      <c r="G3277" s="3" t="s">
        <v>64</v>
      </c>
      <c r="I3277" s="3" t="s">
        <v>64</v>
      </c>
      <c r="J3277" s="3" t="s">
        <v>128</v>
      </c>
      <c r="K3277" s="3" t="s">
        <v>65</v>
      </c>
      <c r="L3277" s="2" t="s">
        <v>32832</v>
      </c>
      <c r="M3277" s="2" t="s">
        <v>32833</v>
      </c>
      <c r="N3277" s="3" t="s">
        <v>1017</v>
      </c>
      <c r="O3277" s="2" t="s">
        <v>3787</v>
      </c>
      <c r="P3277" s="3" t="s">
        <v>102</v>
      </c>
      <c r="R3277" s="3" t="s">
        <v>70</v>
      </c>
      <c r="S3277" s="4">
        <v>15</v>
      </c>
      <c r="T3277" s="4">
        <v>15</v>
      </c>
      <c r="U3277" s="5" t="s">
        <v>7994</v>
      </c>
      <c r="V3277" s="5" t="s">
        <v>7994</v>
      </c>
      <c r="W3277" s="5" t="s">
        <v>72</v>
      </c>
      <c r="X3277" s="5" t="s">
        <v>72</v>
      </c>
      <c r="Y3277" s="4">
        <v>455</v>
      </c>
      <c r="Z3277" s="4">
        <v>25</v>
      </c>
      <c r="AA3277" s="4">
        <v>63</v>
      </c>
      <c r="AB3277" s="4">
        <v>3</v>
      </c>
      <c r="AC3277" s="4">
        <v>12</v>
      </c>
      <c r="AD3277" s="4">
        <v>91</v>
      </c>
      <c r="AE3277" s="4">
        <v>140</v>
      </c>
      <c r="AF3277" s="4">
        <v>1</v>
      </c>
      <c r="AG3277" s="4">
        <v>4</v>
      </c>
      <c r="AH3277" s="4">
        <v>81</v>
      </c>
      <c r="AI3277" s="4">
        <v>113</v>
      </c>
      <c r="AJ3277" s="4">
        <v>14</v>
      </c>
      <c r="AK3277" s="4">
        <v>25</v>
      </c>
      <c r="AL3277" s="4">
        <v>45</v>
      </c>
      <c r="AM3277" s="4">
        <v>58</v>
      </c>
      <c r="AN3277" s="4">
        <v>0</v>
      </c>
      <c r="AO3277" s="4">
        <v>0</v>
      </c>
      <c r="AP3277" s="4">
        <v>14</v>
      </c>
      <c r="AQ3277" s="4">
        <v>33</v>
      </c>
      <c r="AR3277" s="3" t="s">
        <v>64</v>
      </c>
      <c r="AS3277" s="3" t="s">
        <v>64</v>
      </c>
      <c r="AT3277" s="3" t="s">
        <v>128</v>
      </c>
      <c r="AU3277" s="6" t="str">
        <f>HYPERLINK("http://catalog.hathitrust.org/Record/001164294","HathiTrust Record")</f>
        <v>HathiTrust Record</v>
      </c>
      <c r="AV3277" s="6" t="str">
        <f>HYPERLINK("http://mcgill.on.worldcat.org/oclc/68231","Catalog Record")</f>
        <v>Catalog Record</v>
      </c>
      <c r="AW3277" s="6" t="str">
        <f>HYPERLINK("http://www.worldcat.org/oclc/68231","WorldCat Record")</f>
        <v>WorldCat Record</v>
      </c>
      <c r="AX3277" s="3" t="s">
        <v>32729</v>
      </c>
      <c r="AY3277" s="3" t="s">
        <v>32834</v>
      </c>
      <c r="AZ3277" s="3" t="s">
        <v>32835</v>
      </c>
      <c r="BA3277" s="3" t="s">
        <v>32835</v>
      </c>
      <c r="BB3277" s="3" t="s">
        <v>32836</v>
      </c>
      <c r="BC3277" s="3" t="s">
        <v>77</v>
      </c>
      <c r="BD3277" s="3" t="s">
        <v>78</v>
      </c>
      <c r="BE3277" s="3" t="s">
        <v>32837</v>
      </c>
      <c r="BF3277" s="3" t="s">
        <v>32836</v>
      </c>
      <c r="BG3277" s="3" t="s">
        <v>32838</v>
      </c>
      <c r="BH3277">
        <f t="shared" si="78"/>
        <v>0</v>
      </c>
    </row>
    <row r="3278" spans="1:60" ht="58" x14ac:dyDescent="0.35">
      <c r="A3278" s="2" t="s">
        <v>59</v>
      </c>
      <c r="B3278" s="2" t="s">
        <v>60</v>
      </c>
      <c r="C3278" s="2" t="s">
        <v>32839</v>
      </c>
      <c r="D3278" s="2" t="s">
        <v>32840</v>
      </c>
      <c r="E3278" s="2" t="s">
        <v>32841</v>
      </c>
      <c r="G3278" s="3" t="s">
        <v>64</v>
      </c>
      <c r="I3278" s="3" t="s">
        <v>64</v>
      </c>
      <c r="J3278" s="3" t="s">
        <v>64</v>
      </c>
      <c r="K3278" s="3" t="s">
        <v>65</v>
      </c>
      <c r="L3278" s="2" t="s">
        <v>32813</v>
      </c>
      <c r="M3278" s="2" t="s">
        <v>803</v>
      </c>
      <c r="N3278" s="3" t="s">
        <v>405</v>
      </c>
      <c r="O3278" s="2" t="s">
        <v>32842</v>
      </c>
      <c r="P3278" s="3" t="s">
        <v>102</v>
      </c>
      <c r="R3278" s="3" t="s">
        <v>70</v>
      </c>
      <c r="S3278" s="4">
        <v>18</v>
      </c>
      <c r="T3278" s="4">
        <v>18</v>
      </c>
      <c r="U3278" s="5" t="s">
        <v>8209</v>
      </c>
      <c r="V3278" s="5" t="s">
        <v>8209</v>
      </c>
      <c r="W3278" s="5" t="s">
        <v>72</v>
      </c>
      <c r="X3278" s="5" t="s">
        <v>72</v>
      </c>
      <c r="Y3278" s="4">
        <v>453</v>
      </c>
      <c r="Z3278" s="4">
        <v>21</v>
      </c>
      <c r="AA3278" s="4">
        <v>21</v>
      </c>
      <c r="AB3278" s="4">
        <v>2</v>
      </c>
      <c r="AC3278" s="4">
        <v>2</v>
      </c>
      <c r="AD3278" s="4">
        <v>90</v>
      </c>
      <c r="AE3278" s="4">
        <v>90</v>
      </c>
      <c r="AF3278" s="4">
        <v>1</v>
      </c>
      <c r="AG3278" s="4">
        <v>1</v>
      </c>
      <c r="AH3278" s="4">
        <v>81</v>
      </c>
      <c r="AI3278" s="4">
        <v>81</v>
      </c>
      <c r="AJ3278" s="4">
        <v>13</v>
      </c>
      <c r="AK3278" s="4">
        <v>13</v>
      </c>
      <c r="AL3278" s="4">
        <v>44</v>
      </c>
      <c r="AM3278" s="4">
        <v>44</v>
      </c>
      <c r="AN3278" s="4">
        <v>0</v>
      </c>
      <c r="AO3278" s="4">
        <v>0</v>
      </c>
      <c r="AP3278" s="4">
        <v>14</v>
      </c>
      <c r="AQ3278" s="4">
        <v>14</v>
      </c>
      <c r="AR3278" s="3" t="s">
        <v>64</v>
      </c>
      <c r="AS3278" s="3" t="s">
        <v>64</v>
      </c>
      <c r="AT3278" s="3" t="s">
        <v>128</v>
      </c>
      <c r="AU3278" s="6" t="str">
        <f>HYPERLINK("http://catalog.hathitrust.org/Record/004468039","HathiTrust Record")</f>
        <v>HathiTrust Record</v>
      </c>
      <c r="AV3278" s="6" t="str">
        <f>HYPERLINK("http://mcgill.on.worldcat.org/oclc/2373005","Catalog Record")</f>
        <v>Catalog Record</v>
      </c>
      <c r="AW3278" s="6" t="str">
        <f>HYPERLINK("http://www.worldcat.org/oclc/2373005","WorldCat Record")</f>
        <v>WorldCat Record</v>
      </c>
      <c r="AX3278" s="3" t="s">
        <v>32843</v>
      </c>
      <c r="AY3278" s="3" t="s">
        <v>32844</v>
      </c>
      <c r="AZ3278" s="3" t="s">
        <v>32845</v>
      </c>
      <c r="BA3278" s="3" t="s">
        <v>32845</v>
      </c>
      <c r="BB3278" s="3" t="s">
        <v>32846</v>
      </c>
      <c r="BC3278" s="3" t="s">
        <v>77</v>
      </c>
      <c r="BD3278" s="3" t="s">
        <v>78</v>
      </c>
      <c r="BE3278" s="3" t="s">
        <v>32847</v>
      </c>
      <c r="BF3278" s="3" t="s">
        <v>32846</v>
      </c>
      <c r="BG3278" s="3" t="s">
        <v>32848</v>
      </c>
      <c r="BH3278">
        <f t="shared" si="78"/>
        <v>0</v>
      </c>
    </row>
    <row r="3279" spans="1:60" ht="58" x14ac:dyDescent="0.35">
      <c r="A3279" s="2" t="s">
        <v>59</v>
      </c>
      <c r="B3279" s="2" t="s">
        <v>60</v>
      </c>
      <c r="C3279" s="2" t="s">
        <v>32849</v>
      </c>
      <c r="D3279" s="2" t="s">
        <v>32850</v>
      </c>
      <c r="E3279" s="2" t="s">
        <v>32851</v>
      </c>
      <c r="G3279" s="3" t="s">
        <v>64</v>
      </c>
      <c r="I3279" s="3" t="s">
        <v>64</v>
      </c>
      <c r="J3279" s="3" t="s">
        <v>64</v>
      </c>
      <c r="K3279" s="3" t="s">
        <v>65</v>
      </c>
      <c r="L3279" s="2" t="s">
        <v>2921</v>
      </c>
      <c r="M3279" s="2" t="s">
        <v>32852</v>
      </c>
      <c r="N3279" s="3" t="s">
        <v>685</v>
      </c>
      <c r="P3279" s="3" t="s">
        <v>102</v>
      </c>
      <c r="Q3279" s="2" t="s">
        <v>32853</v>
      </c>
      <c r="R3279" s="3" t="s">
        <v>70</v>
      </c>
      <c r="S3279" s="4">
        <v>2</v>
      </c>
      <c r="T3279" s="4">
        <v>2</v>
      </c>
      <c r="U3279" s="5" t="s">
        <v>5442</v>
      </c>
      <c r="V3279" s="5" t="s">
        <v>5442</v>
      </c>
      <c r="W3279" s="5" t="s">
        <v>72</v>
      </c>
      <c r="X3279" s="5" t="s">
        <v>72</v>
      </c>
      <c r="Y3279" s="4">
        <v>88</v>
      </c>
      <c r="Z3279" s="4">
        <v>11</v>
      </c>
      <c r="AA3279" s="4">
        <v>11</v>
      </c>
      <c r="AB3279" s="4">
        <v>1</v>
      </c>
      <c r="AC3279" s="4">
        <v>1</v>
      </c>
      <c r="AD3279" s="4">
        <v>30</v>
      </c>
      <c r="AE3279" s="4">
        <v>30</v>
      </c>
      <c r="AF3279" s="4">
        <v>0</v>
      </c>
      <c r="AG3279" s="4">
        <v>0</v>
      </c>
      <c r="AH3279" s="4">
        <v>29</v>
      </c>
      <c r="AI3279" s="4">
        <v>29</v>
      </c>
      <c r="AJ3279" s="4">
        <v>6</v>
      </c>
      <c r="AK3279" s="4">
        <v>6</v>
      </c>
      <c r="AL3279" s="4">
        <v>18</v>
      </c>
      <c r="AM3279" s="4">
        <v>18</v>
      </c>
      <c r="AN3279" s="4">
        <v>0</v>
      </c>
      <c r="AO3279" s="4">
        <v>0</v>
      </c>
      <c r="AP3279" s="4">
        <v>6</v>
      </c>
      <c r="AQ3279" s="4">
        <v>6</v>
      </c>
      <c r="AR3279" s="3" t="s">
        <v>64</v>
      </c>
      <c r="AS3279" s="3" t="s">
        <v>64</v>
      </c>
      <c r="AT3279" s="3" t="s">
        <v>128</v>
      </c>
      <c r="AU3279" s="6" t="str">
        <f>HYPERLINK("http://catalog.hathitrust.org/Record/007417810","HathiTrust Record")</f>
        <v>HathiTrust Record</v>
      </c>
      <c r="AV3279" s="6" t="str">
        <f>HYPERLINK("http://mcgill.on.worldcat.org/oclc/4215460","Catalog Record")</f>
        <v>Catalog Record</v>
      </c>
      <c r="AW3279" s="6" t="str">
        <f>HYPERLINK("http://www.worldcat.org/oclc/4215460","WorldCat Record")</f>
        <v>WorldCat Record</v>
      </c>
      <c r="AX3279" s="3" t="s">
        <v>32854</v>
      </c>
      <c r="AY3279" s="3" t="s">
        <v>32855</v>
      </c>
      <c r="AZ3279" s="3" t="s">
        <v>32856</v>
      </c>
      <c r="BA3279" s="3" t="s">
        <v>32856</v>
      </c>
      <c r="BB3279" s="3" t="s">
        <v>32857</v>
      </c>
      <c r="BC3279" s="3" t="s">
        <v>77</v>
      </c>
      <c r="BD3279" s="3" t="s">
        <v>165</v>
      </c>
      <c r="BF3279" s="3" t="s">
        <v>32857</v>
      </c>
      <c r="BG3279" s="3" t="s">
        <v>32858</v>
      </c>
      <c r="BH3279">
        <f t="shared" si="78"/>
        <v>0</v>
      </c>
    </row>
    <row r="3280" spans="1:60" ht="72.5" x14ac:dyDescent="0.35">
      <c r="A3280" s="2" t="s">
        <v>59</v>
      </c>
      <c r="B3280" s="2" t="s">
        <v>60</v>
      </c>
      <c r="C3280" s="2" t="s">
        <v>32859</v>
      </c>
      <c r="D3280" s="2" t="s">
        <v>32860</v>
      </c>
      <c r="E3280" s="2" t="s">
        <v>32861</v>
      </c>
      <c r="G3280" s="3" t="s">
        <v>64</v>
      </c>
      <c r="I3280" s="3" t="s">
        <v>64</v>
      </c>
      <c r="J3280" s="3" t="s">
        <v>64</v>
      </c>
      <c r="K3280" s="3" t="s">
        <v>65</v>
      </c>
      <c r="L3280" s="2" t="s">
        <v>32862</v>
      </c>
      <c r="M3280" s="2" t="s">
        <v>32863</v>
      </c>
      <c r="N3280" s="3" t="s">
        <v>190</v>
      </c>
      <c r="O3280" s="2" t="s">
        <v>32864</v>
      </c>
      <c r="P3280" s="3" t="s">
        <v>102</v>
      </c>
      <c r="R3280" s="3" t="s">
        <v>70</v>
      </c>
      <c r="S3280" s="4">
        <v>4</v>
      </c>
      <c r="T3280" s="4">
        <v>4</v>
      </c>
      <c r="U3280" s="5" t="s">
        <v>32865</v>
      </c>
      <c r="V3280" s="5" t="s">
        <v>32865</v>
      </c>
      <c r="W3280" s="5" t="s">
        <v>72</v>
      </c>
      <c r="X3280" s="5" t="s">
        <v>72</v>
      </c>
      <c r="Y3280" s="4">
        <v>720</v>
      </c>
      <c r="Z3280" s="4">
        <v>12</v>
      </c>
      <c r="AA3280" s="4">
        <v>20</v>
      </c>
      <c r="AB3280" s="4">
        <v>2</v>
      </c>
      <c r="AC3280" s="4">
        <v>6</v>
      </c>
      <c r="AD3280" s="4">
        <v>34</v>
      </c>
      <c r="AE3280" s="4">
        <v>50</v>
      </c>
      <c r="AF3280" s="4">
        <v>0</v>
      </c>
      <c r="AG3280" s="4">
        <v>1</v>
      </c>
      <c r="AH3280" s="4">
        <v>32</v>
      </c>
      <c r="AI3280" s="4">
        <v>45</v>
      </c>
      <c r="AJ3280" s="4">
        <v>3</v>
      </c>
      <c r="AK3280" s="4">
        <v>6</v>
      </c>
      <c r="AL3280" s="4">
        <v>21</v>
      </c>
      <c r="AM3280" s="4">
        <v>27</v>
      </c>
      <c r="AN3280" s="4">
        <v>0</v>
      </c>
      <c r="AO3280" s="4">
        <v>0</v>
      </c>
      <c r="AP3280" s="4">
        <v>2</v>
      </c>
      <c r="AQ3280" s="4">
        <v>4</v>
      </c>
      <c r="AR3280" s="3" t="s">
        <v>64</v>
      </c>
      <c r="AS3280" s="3" t="s">
        <v>64</v>
      </c>
      <c r="AT3280" s="3" t="s">
        <v>64</v>
      </c>
      <c r="AV3280" s="6" t="str">
        <f>HYPERLINK("http://mcgill.on.worldcat.org/oclc/1003797025","Catalog Record")</f>
        <v>Catalog Record</v>
      </c>
      <c r="AW3280" s="6" t="str">
        <f>HYPERLINK("http://www.worldcat.org/oclc/1003797025","WorldCat Record")</f>
        <v>WorldCat Record</v>
      </c>
      <c r="AX3280" s="3" t="s">
        <v>32866</v>
      </c>
      <c r="AY3280" s="3" t="s">
        <v>32867</v>
      </c>
      <c r="AZ3280" s="3" t="s">
        <v>32868</v>
      </c>
      <c r="BA3280" s="3" t="s">
        <v>32868</v>
      </c>
      <c r="BB3280" s="3" t="s">
        <v>32869</v>
      </c>
      <c r="BC3280" s="3" t="s">
        <v>77</v>
      </c>
      <c r="BD3280" s="3" t="s">
        <v>78</v>
      </c>
      <c r="BE3280" s="3" t="s">
        <v>32870</v>
      </c>
      <c r="BF3280" s="3" t="s">
        <v>32869</v>
      </c>
      <c r="BG3280" s="3" t="s">
        <v>32871</v>
      </c>
      <c r="BH3280">
        <f t="shared" si="78"/>
        <v>0</v>
      </c>
    </row>
    <row r="3281" spans="1:60" ht="58" x14ac:dyDescent="0.35">
      <c r="A3281" s="2" t="s">
        <v>59</v>
      </c>
      <c r="B3281" s="2" t="s">
        <v>60</v>
      </c>
      <c r="C3281" s="2" t="s">
        <v>32872</v>
      </c>
      <c r="D3281" s="2" t="s">
        <v>32873</v>
      </c>
      <c r="E3281" s="2" t="s">
        <v>32874</v>
      </c>
      <c r="G3281" s="3" t="s">
        <v>64</v>
      </c>
      <c r="I3281" s="3" t="s">
        <v>64</v>
      </c>
      <c r="J3281" s="3" t="s">
        <v>64</v>
      </c>
      <c r="K3281" s="3" t="s">
        <v>65</v>
      </c>
      <c r="L3281" s="2" t="s">
        <v>32875</v>
      </c>
      <c r="M3281" s="2" t="s">
        <v>32876</v>
      </c>
      <c r="N3281" s="3" t="s">
        <v>5986</v>
      </c>
      <c r="P3281" s="3" t="s">
        <v>102</v>
      </c>
      <c r="R3281" s="3" t="s">
        <v>70</v>
      </c>
      <c r="S3281" s="4">
        <v>6</v>
      </c>
      <c r="T3281" s="4">
        <v>6</v>
      </c>
      <c r="U3281" s="5" t="s">
        <v>724</v>
      </c>
      <c r="V3281" s="5" t="s">
        <v>724</v>
      </c>
      <c r="W3281" s="5" t="s">
        <v>72</v>
      </c>
      <c r="X3281" s="5" t="s">
        <v>72</v>
      </c>
      <c r="Y3281" s="4">
        <v>175</v>
      </c>
      <c r="Z3281" s="4">
        <v>8</v>
      </c>
      <c r="AA3281" s="4">
        <v>8</v>
      </c>
      <c r="AB3281" s="4">
        <v>3</v>
      </c>
      <c r="AC3281" s="4">
        <v>3</v>
      </c>
      <c r="AD3281" s="4">
        <v>60</v>
      </c>
      <c r="AE3281" s="4">
        <v>60</v>
      </c>
      <c r="AF3281" s="4">
        <v>1</v>
      </c>
      <c r="AG3281" s="4">
        <v>1</v>
      </c>
      <c r="AH3281" s="4">
        <v>56</v>
      </c>
      <c r="AI3281" s="4">
        <v>56</v>
      </c>
      <c r="AJ3281" s="4">
        <v>6</v>
      </c>
      <c r="AK3281" s="4">
        <v>6</v>
      </c>
      <c r="AL3281" s="4">
        <v>27</v>
      </c>
      <c r="AM3281" s="4">
        <v>27</v>
      </c>
      <c r="AN3281" s="4">
        <v>0</v>
      </c>
      <c r="AO3281" s="4">
        <v>0</v>
      </c>
      <c r="AP3281" s="4">
        <v>5</v>
      </c>
      <c r="AQ3281" s="4">
        <v>5</v>
      </c>
      <c r="AR3281" s="3" t="s">
        <v>64</v>
      </c>
      <c r="AS3281" s="3" t="s">
        <v>64</v>
      </c>
      <c r="AT3281" s="3" t="s">
        <v>128</v>
      </c>
      <c r="AU3281" s="6" t="str">
        <f>HYPERLINK("http://catalog.hathitrust.org/Record/001164267","HathiTrust Record")</f>
        <v>HathiTrust Record</v>
      </c>
      <c r="AV3281" s="6" t="str">
        <f>HYPERLINK("http://mcgill.on.worldcat.org/oclc/430628","Catalog Record")</f>
        <v>Catalog Record</v>
      </c>
      <c r="AW3281" s="6" t="str">
        <f>HYPERLINK("http://www.worldcat.org/oclc/430628","WorldCat Record")</f>
        <v>WorldCat Record</v>
      </c>
      <c r="AX3281" s="3" t="s">
        <v>32877</v>
      </c>
      <c r="AY3281" s="3" t="s">
        <v>32878</v>
      </c>
      <c r="AZ3281" s="3" t="s">
        <v>32879</v>
      </c>
      <c r="BA3281" s="3" t="s">
        <v>32879</v>
      </c>
      <c r="BB3281" s="3" t="s">
        <v>32880</v>
      </c>
      <c r="BC3281" s="3" t="s">
        <v>77</v>
      </c>
      <c r="BD3281" s="3" t="s">
        <v>78</v>
      </c>
      <c r="BF3281" s="3" t="s">
        <v>32880</v>
      </c>
      <c r="BG3281" s="3" t="s">
        <v>32881</v>
      </c>
      <c r="BH3281">
        <f t="shared" si="78"/>
        <v>0</v>
      </c>
    </row>
    <row r="3282" spans="1:60" ht="58" x14ac:dyDescent="0.35">
      <c r="A3282" s="2" t="s">
        <v>59</v>
      </c>
      <c r="B3282" s="2" t="s">
        <v>60</v>
      </c>
      <c r="C3282" s="2" t="s">
        <v>32882</v>
      </c>
      <c r="D3282" s="2" t="s">
        <v>32883</v>
      </c>
      <c r="E3282" s="2" t="s">
        <v>32884</v>
      </c>
      <c r="G3282" s="3" t="s">
        <v>64</v>
      </c>
      <c r="I3282" s="3" t="s">
        <v>64</v>
      </c>
      <c r="J3282" s="3" t="s">
        <v>128</v>
      </c>
      <c r="K3282" s="3" t="s">
        <v>65</v>
      </c>
      <c r="L3282" s="2" t="s">
        <v>32885</v>
      </c>
      <c r="M3282" s="2" t="s">
        <v>32886</v>
      </c>
      <c r="N3282" s="3" t="s">
        <v>116</v>
      </c>
      <c r="P3282" s="3" t="s">
        <v>102</v>
      </c>
      <c r="R3282" s="3" t="s">
        <v>70</v>
      </c>
      <c r="S3282" s="4">
        <v>35</v>
      </c>
      <c r="T3282" s="4">
        <v>35</v>
      </c>
      <c r="U3282" s="5" t="s">
        <v>13101</v>
      </c>
      <c r="V3282" s="5" t="s">
        <v>13101</v>
      </c>
      <c r="W3282" s="5" t="s">
        <v>72</v>
      </c>
      <c r="X3282" s="5" t="s">
        <v>72</v>
      </c>
      <c r="Y3282" s="4">
        <v>729</v>
      </c>
      <c r="Z3282" s="4">
        <v>28</v>
      </c>
      <c r="AA3282" s="4">
        <v>64</v>
      </c>
      <c r="AB3282" s="4">
        <v>2</v>
      </c>
      <c r="AC3282" s="4">
        <v>8</v>
      </c>
      <c r="AD3282" s="4">
        <v>88</v>
      </c>
      <c r="AE3282" s="4">
        <v>118</v>
      </c>
      <c r="AF3282" s="4">
        <v>0</v>
      </c>
      <c r="AG3282" s="4">
        <v>3</v>
      </c>
      <c r="AH3282" s="4">
        <v>81</v>
      </c>
      <c r="AI3282" s="4">
        <v>98</v>
      </c>
      <c r="AJ3282" s="4">
        <v>5</v>
      </c>
      <c r="AK3282" s="4">
        <v>17</v>
      </c>
      <c r="AL3282" s="4">
        <v>46</v>
      </c>
      <c r="AM3282" s="4">
        <v>52</v>
      </c>
      <c r="AN3282" s="4">
        <v>0</v>
      </c>
      <c r="AO3282" s="4">
        <v>0</v>
      </c>
      <c r="AP3282" s="4">
        <v>7</v>
      </c>
      <c r="AQ3282" s="4">
        <v>26</v>
      </c>
      <c r="AR3282" s="3" t="s">
        <v>64</v>
      </c>
      <c r="AS3282" s="3" t="s">
        <v>64</v>
      </c>
      <c r="AT3282" s="3" t="s">
        <v>128</v>
      </c>
      <c r="AU3282" s="6" t="str">
        <f>HYPERLINK("http://catalog.hathitrust.org/Record/004023160","HathiTrust Record")</f>
        <v>HathiTrust Record</v>
      </c>
      <c r="AV3282" s="6" t="str">
        <f>HYPERLINK("http://mcgill.on.worldcat.org/oclc/39001197","Catalog Record")</f>
        <v>Catalog Record</v>
      </c>
      <c r="AW3282" s="6" t="str">
        <f>HYPERLINK("http://www.worldcat.org/oclc/39001197","WorldCat Record")</f>
        <v>WorldCat Record</v>
      </c>
      <c r="AX3282" s="3" t="s">
        <v>32887</v>
      </c>
      <c r="AY3282" s="3" t="s">
        <v>32888</v>
      </c>
      <c r="AZ3282" s="3" t="s">
        <v>32889</v>
      </c>
      <c r="BA3282" s="3" t="s">
        <v>32889</v>
      </c>
      <c r="BB3282" s="3" t="s">
        <v>32890</v>
      </c>
      <c r="BC3282" s="3" t="s">
        <v>77</v>
      </c>
      <c r="BD3282" s="3" t="s">
        <v>78</v>
      </c>
      <c r="BE3282" s="3" t="s">
        <v>32891</v>
      </c>
      <c r="BF3282" s="3" t="s">
        <v>32890</v>
      </c>
      <c r="BG3282" s="3" t="s">
        <v>32892</v>
      </c>
      <c r="BH3282">
        <f t="shared" si="78"/>
        <v>0</v>
      </c>
    </row>
    <row r="3283" spans="1:60" ht="58" x14ac:dyDescent="0.35">
      <c r="A3283" s="2" t="s">
        <v>59</v>
      </c>
      <c r="B3283" s="2" t="s">
        <v>60</v>
      </c>
      <c r="C3283" s="2" t="s">
        <v>32893</v>
      </c>
      <c r="D3283" s="2" t="s">
        <v>32894</v>
      </c>
      <c r="E3283" s="2" t="s">
        <v>32884</v>
      </c>
      <c r="G3283" s="3" t="s">
        <v>64</v>
      </c>
      <c r="I3283" s="3" t="s">
        <v>64</v>
      </c>
      <c r="J3283" s="3" t="s">
        <v>128</v>
      </c>
      <c r="K3283" s="3" t="s">
        <v>65</v>
      </c>
      <c r="L3283" s="2" t="s">
        <v>32885</v>
      </c>
      <c r="M3283" s="2" t="s">
        <v>32895</v>
      </c>
      <c r="N3283" s="3" t="s">
        <v>551</v>
      </c>
      <c r="O3283" s="2" t="s">
        <v>172</v>
      </c>
      <c r="P3283" s="3" t="s">
        <v>102</v>
      </c>
      <c r="R3283" s="3" t="s">
        <v>70</v>
      </c>
      <c r="S3283" s="4">
        <v>16</v>
      </c>
      <c r="T3283" s="4">
        <v>16</v>
      </c>
      <c r="U3283" s="5" t="s">
        <v>19277</v>
      </c>
      <c r="V3283" s="5" t="s">
        <v>19277</v>
      </c>
      <c r="W3283" s="5" t="s">
        <v>72</v>
      </c>
      <c r="X3283" s="5" t="s">
        <v>72</v>
      </c>
      <c r="Y3283" s="4">
        <v>530</v>
      </c>
      <c r="Z3283" s="4">
        <v>23</v>
      </c>
      <c r="AA3283" s="4">
        <v>64</v>
      </c>
      <c r="AB3283" s="4">
        <v>2</v>
      </c>
      <c r="AC3283" s="4">
        <v>8</v>
      </c>
      <c r="AD3283" s="4">
        <v>62</v>
      </c>
      <c r="AE3283" s="4">
        <v>118</v>
      </c>
      <c r="AF3283" s="4">
        <v>1</v>
      </c>
      <c r="AG3283" s="4">
        <v>3</v>
      </c>
      <c r="AH3283" s="4">
        <v>51</v>
      </c>
      <c r="AI3283" s="4">
        <v>98</v>
      </c>
      <c r="AJ3283" s="4">
        <v>9</v>
      </c>
      <c r="AK3283" s="4">
        <v>17</v>
      </c>
      <c r="AL3283" s="4">
        <v>31</v>
      </c>
      <c r="AM3283" s="4">
        <v>52</v>
      </c>
      <c r="AN3283" s="4">
        <v>0</v>
      </c>
      <c r="AO3283" s="4">
        <v>0</v>
      </c>
      <c r="AP3283" s="4">
        <v>14</v>
      </c>
      <c r="AQ3283" s="4">
        <v>26</v>
      </c>
      <c r="AR3283" s="3" t="s">
        <v>64</v>
      </c>
      <c r="AS3283" s="3" t="s">
        <v>64</v>
      </c>
      <c r="AT3283" s="3" t="s">
        <v>64</v>
      </c>
      <c r="AV3283" s="6" t="str">
        <f>HYPERLINK("http://mcgill.on.worldcat.org/oclc/428777216","Catalog Record")</f>
        <v>Catalog Record</v>
      </c>
      <c r="AW3283" s="6" t="str">
        <f>HYPERLINK("http://www.worldcat.org/oclc/428777216","WorldCat Record")</f>
        <v>WorldCat Record</v>
      </c>
      <c r="AX3283" s="3" t="s">
        <v>32887</v>
      </c>
      <c r="AY3283" s="3" t="s">
        <v>32896</v>
      </c>
      <c r="AZ3283" s="3" t="s">
        <v>32897</v>
      </c>
      <c r="BA3283" s="3" t="s">
        <v>32897</v>
      </c>
      <c r="BB3283" s="3" t="s">
        <v>32898</v>
      </c>
      <c r="BC3283" s="3" t="s">
        <v>77</v>
      </c>
      <c r="BD3283" s="3" t="s">
        <v>78</v>
      </c>
      <c r="BE3283" s="3" t="s">
        <v>32899</v>
      </c>
      <c r="BF3283" s="3" t="s">
        <v>32898</v>
      </c>
      <c r="BG3283" s="3" t="s">
        <v>32900</v>
      </c>
      <c r="BH3283">
        <f t="shared" si="78"/>
        <v>0</v>
      </c>
    </row>
    <row r="3284" spans="1:60" ht="58" x14ac:dyDescent="0.35">
      <c r="A3284" s="2" t="s">
        <v>59</v>
      </c>
      <c r="B3284" s="2" t="s">
        <v>60</v>
      </c>
      <c r="C3284" s="2" t="s">
        <v>32901</v>
      </c>
      <c r="D3284" s="2" t="s">
        <v>32902</v>
      </c>
      <c r="E3284" s="2" t="s">
        <v>32903</v>
      </c>
      <c r="G3284" s="3" t="s">
        <v>64</v>
      </c>
      <c r="I3284" s="3" t="s">
        <v>64</v>
      </c>
      <c r="J3284" s="3" t="s">
        <v>64</v>
      </c>
      <c r="K3284" s="3" t="s">
        <v>65</v>
      </c>
      <c r="M3284" s="2" t="s">
        <v>25754</v>
      </c>
      <c r="N3284" s="3" t="s">
        <v>153</v>
      </c>
      <c r="P3284" s="3" t="s">
        <v>102</v>
      </c>
      <c r="R3284" s="3" t="s">
        <v>70</v>
      </c>
      <c r="S3284" s="4">
        <v>13</v>
      </c>
      <c r="T3284" s="4">
        <v>13</v>
      </c>
      <c r="U3284" s="5" t="s">
        <v>16184</v>
      </c>
      <c r="V3284" s="5" t="s">
        <v>16184</v>
      </c>
      <c r="W3284" s="5" t="s">
        <v>72</v>
      </c>
      <c r="X3284" s="5" t="s">
        <v>72</v>
      </c>
      <c r="Y3284" s="4">
        <v>342</v>
      </c>
      <c r="Z3284" s="4">
        <v>16</v>
      </c>
      <c r="AA3284" s="4">
        <v>18</v>
      </c>
      <c r="AB3284" s="4">
        <v>2</v>
      </c>
      <c r="AC3284" s="4">
        <v>3</v>
      </c>
      <c r="AD3284" s="4">
        <v>84</v>
      </c>
      <c r="AE3284" s="4">
        <v>85</v>
      </c>
      <c r="AF3284" s="4">
        <v>1</v>
      </c>
      <c r="AG3284" s="4">
        <v>2</v>
      </c>
      <c r="AH3284" s="4">
        <v>78</v>
      </c>
      <c r="AI3284" s="4">
        <v>78</v>
      </c>
      <c r="AJ3284" s="4">
        <v>11</v>
      </c>
      <c r="AK3284" s="4">
        <v>12</v>
      </c>
      <c r="AL3284" s="4">
        <v>38</v>
      </c>
      <c r="AM3284" s="4">
        <v>38</v>
      </c>
      <c r="AN3284" s="4">
        <v>0</v>
      </c>
      <c r="AO3284" s="4">
        <v>0</v>
      </c>
      <c r="AP3284" s="4">
        <v>11</v>
      </c>
      <c r="AQ3284" s="4">
        <v>11</v>
      </c>
      <c r="AR3284" s="3" t="s">
        <v>64</v>
      </c>
      <c r="AS3284" s="3" t="s">
        <v>64</v>
      </c>
      <c r="AT3284" s="3" t="s">
        <v>64</v>
      </c>
      <c r="AV3284" s="6" t="str">
        <f>HYPERLINK("http://mcgill.on.worldcat.org/oclc/38856035","Catalog Record")</f>
        <v>Catalog Record</v>
      </c>
      <c r="AW3284" s="6" t="str">
        <f>HYPERLINK("http://www.worldcat.org/oclc/38856035","WorldCat Record")</f>
        <v>WorldCat Record</v>
      </c>
      <c r="AX3284" s="3" t="s">
        <v>32904</v>
      </c>
      <c r="AY3284" s="3" t="s">
        <v>32905</v>
      </c>
      <c r="AZ3284" s="3" t="s">
        <v>32906</v>
      </c>
      <c r="BA3284" s="3" t="s">
        <v>32906</v>
      </c>
      <c r="BB3284" s="3" t="s">
        <v>32907</v>
      </c>
      <c r="BC3284" s="3" t="s">
        <v>77</v>
      </c>
      <c r="BD3284" s="3" t="s">
        <v>78</v>
      </c>
      <c r="BE3284" s="3" t="s">
        <v>32908</v>
      </c>
      <c r="BF3284" s="3" t="s">
        <v>32907</v>
      </c>
      <c r="BG3284" s="3" t="s">
        <v>32909</v>
      </c>
      <c r="BH3284">
        <f t="shared" si="78"/>
        <v>0</v>
      </c>
    </row>
    <row r="3285" spans="1:60" ht="58" x14ac:dyDescent="0.35">
      <c r="A3285" s="2" t="s">
        <v>59</v>
      </c>
      <c r="B3285" s="2" t="s">
        <v>60</v>
      </c>
      <c r="C3285" s="2" t="s">
        <v>32910</v>
      </c>
      <c r="D3285" s="2" t="s">
        <v>32911</v>
      </c>
      <c r="E3285" s="2" t="s">
        <v>32912</v>
      </c>
      <c r="G3285" s="3" t="s">
        <v>64</v>
      </c>
      <c r="I3285" s="3" t="s">
        <v>64</v>
      </c>
      <c r="J3285" s="3" t="s">
        <v>64</v>
      </c>
      <c r="K3285" s="3" t="s">
        <v>65</v>
      </c>
      <c r="L3285" s="2" t="s">
        <v>32913</v>
      </c>
      <c r="M3285" s="2" t="s">
        <v>19592</v>
      </c>
      <c r="N3285" s="3" t="s">
        <v>86</v>
      </c>
      <c r="P3285" s="3" t="s">
        <v>102</v>
      </c>
      <c r="Q3285" s="2" t="s">
        <v>8981</v>
      </c>
      <c r="R3285" s="3" t="s">
        <v>70</v>
      </c>
      <c r="S3285" s="4">
        <v>3</v>
      </c>
      <c r="T3285" s="4">
        <v>3</v>
      </c>
      <c r="U3285" s="5" t="s">
        <v>5002</v>
      </c>
      <c r="V3285" s="5" t="s">
        <v>5002</v>
      </c>
      <c r="W3285" s="5" t="s">
        <v>72</v>
      </c>
      <c r="X3285" s="5" t="s">
        <v>72</v>
      </c>
      <c r="Y3285" s="4">
        <v>77</v>
      </c>
      <c r="Z3285" s="4">
        <v>8</v>
      </c>
      <c r="AA3285" s="4">
        <v>29</v>
      </c>
      <c r="AB3285" s="4">
        <v>1</v>
      </c>
      <c r="AC3285" s="4">
        <v>8</v>
      </c>
      <c r="AD3285" s="4">
        <v>24</v>
      </c>
      <c r="AE3285" s="4">
        <v>64</v>
      </c>
      <c r="AF3285" s="4">
        <v>0</v>
      </c>
      <c r="AG3285" s="4">
        <v>3</v>
      </c>
      <c r="AH3285" s="4">
        <v>22</v>
      </c>
      <c r="AI3285" s="4">
        <v>54</v>
      </c>
      <c r="AJ3285" s="4">
        <v>4</v>
      </c>
      <c r="AK3285" s="4">
        <v>14</v>
      </c>
      <c r="AL3285" s="4">
        <v>14</v>
      </c>
      <c r="AM3285" s="4">
        <v>28</v>
      </c>
      <c r="AN3285" s="4">
        <v>0</v>
      </c>
      <c r="AO3285" s="4">
        <v>0</v>
      </c>
      <c r="AP3285" s="4">
        <v>5</v>
      </c>
      <c r="AQ3285" s="4">
        <v>15</v>
      </c>
      <c r="AR3285" s="3" t="s">
        <v>64</v>
      </c>
      <c r="AS3285" s="3" t="s">
        <v>64</v>
      </c>
      <c r="AT3285" s="3" t="s">
        <v>64</v>
      </c>
      <c r="AV3285" s="6" t="str">
        <f>HYPERLINK("http://mcgill.on.worldcat.org/oclc/807567411","Catalog Record")</f>
        <v>Catalog Record</v>
      </c>
      <c r="AW3285" s="6" t="str">
        <f>HYPERLINK("http://www.worldcat.org/oclc/807567411","WorldCat Record")</f>
        <v>WorldCat Record</v>
      </c>
      <c r="AX3285" s="3" t="s">
        <v>32914</v>
      </c>
      <c r="AY3285" s="3" t="s">
        <v>32915</v>
      </c>
      <c r="AZ3285" s="3" t="s">
        <v>32916</v>
      </c>
      <c r="BA3285" s="3" t="s">
        <v>32916</v>
      </c>
      <c r="BB3285" s="3" t="s">
        <v>32917</v>
      </c>
      <c r="BC3285" s="3" t="s">
        <v>77</v>
      </c>
      <c r="BD3285" s="3" t="s">
        <v>78</v>
      </c>
      <c r="BE3285" s="3" t="s">
        <v>32918</v>
      </c>
      <c r="BF3285" s="3" t="s">
        <v>32917</v>
      </c>
      <c r="BG3285" s="3" t="s">
        <v>32919</v>
      </c>
      <c r="BH3285">
        <f t="shared" si="78"/>
        <v>0</v>
      </c>
    </row>
    <row r="3286" spans="1:60" ht="58" x14ac:dyDescent="0.35">
      <c r="A3286" s="2" t="s">
        <v>59</v>
      </c>
      <c r="B3286" s="2" t="s">
        <v>60</v>
      </c>
      <c r="C3286" s="2" t="s">
        <v>32920</v>
      </c>
      <c r="D3286" s="2" t="s">
        <v>32921</v>
      </c>
      <c r="E3286" s="2" t="s">
        <v>32922</v>
      </c>
      <c r="G3286" s="3" t="s">
        <v>64</v>
      </c>
      <c r="I3286" s="3" t="s">
        <v>64</v>
      </c>
      <c r="J3286" s="3" t="s">
        <v>64</v>
      </c>
      <c r="K3286" s="3" t="s">
        <v>65</v>
      </c>
      <c r="L3286" s="2" t="s">
        <v>32923</v>
      </c>
      <c r="M3286" s="2" t="s">
        <v>32924</v>
      </c>
      <c r="N3286" s="3" t="s">
        <v>2067</v>
      </c>
      <c r="P3286" s="3" t="s">
        <v>102</v>
      </c>
      <c r="Q3286" s="2" t="s">
        <v>14685</v>
      </c>
      <c r="R3286" s="3" t="s">
        <v>70</v>
      </c>
      <c r="S3286" s="4">
        <v>12</v>
      </c>
      <c r="T3286" s="4">
        <v>12</v>
      </c>
      <c r="U3286" s="5" t="s">
        <v>14674</v>
      </c>
      <c r="V3286" s="5" t="s">
        <v>14674</v>
      </c>
      <c r="W3286" s="5" t="s">
        <v>72</v>
      </c>
      <c r="X3286" s="5" t="s">
        <v>72</v>
      </c>
      <c r="Y3286" s="4">
        <v>331</v>
      </c>
      <c r="Z3286" s="4">
        <v>21</v>
      </c>
      <c r="AA3286" s="4">
        <v>23</v>
      </c>
      <c r="AB3286" s="4">
        <v>3</v>
      </c>
      <c r="AC3286" s="4">
        <v>5</v>
      </c>
      <c r="AD3286" s="4">
        <v>101</v>
      </c>
      <c r="AE3286" s="4">
        <v>102</v>
      </c>
      <c r="AF3286" s="4">
        <v>1</v>
      </c>
      <c r="AG3286" s="4">
        <v>2</v>
      </c>
      <c r="AH3286" s="4">
        <v>89</v>
      </c>
      <c r="AI3286" s="4">
        <v>89</v>
      </c>
      <c r="AJ3286" s="4">
        <v>14</v>
      </c>
      <c r="AK3286" s="4">
        <v>15</v>
      </c>
      <c r="AL3286" s="4">
        <v>46</v>
      </c>
      <c r="AM3286" s="4">
        <v>46</v>
      </c>
      <c r="AN3286" s="4">
        <v>0</v>
      </c>
      <c r="AO3286" s="4">
        <v>0</v>
      </c>
      <c r="AP3286" s="4">
        <v>16</v>
      </c>
      <c r="AQ3286" s="4">
        <v>16</v>
      </c>
      <c r="AR3286" s="3" t="s">
        <v>64</v>
      </c>
      <c r="AS3286" s="3" t="s">
        <v>64</v>
      </c>
      <c r="AT3286" s="3" t="s">
        <v>64</v>
      </c>
      <c r="AV3286" s="6" t="str">
        <f>HYPERLINK("http://mcgill.on.worldcat.org/oclc/18909337","Catalog Record")</f>
        <v>Catalog Record</v>
      </c>
      <c r="AW3286" s="6" t="str">
        <f>HYPERLINK("http://www.worldcat.org/oclc/18909337","WorldCat Record")</f>
        <v>WorldCat Record</v>
      </c>
      <c r="AX3286" s="3" t="s">
        <v>32925</v>
      </c>
      <c r="AY3286" s="3" t="s">
        <v>32926</v>
      </c>
      <c r="AZ3286" s="3" t="s">
        <v>32927</v>
      </c>
      <c r="BA3286" s="3" t="s">
        <v>32927</v>
      </c>
      <c r="BB3286" s="3" t="s">
        <v>32928</v>
      </c>
      <c r="BC3286" s="3" t="s">
        <v>77</v>
      </c>
      <c r="BD3286" s="3" t="s">
        <v>78</v>
      </c>
      <c r="BE3286" s="3" t="s">
        <v>32929</v>
      </c>
      <c r="BF3286" s="3" t="s">
        <v>32928</v>
      </c>
      <c r="BG3286" s="3" t="s">
        <v>32930</v>
      </c>
      <c r="BH3286">
        <f t="shared" si="78"/>
        <v>0</v>
      </c>
    </row>
    <row r="3287" spans="1:60" ht="58" x14ac:dyDescent="0.35">
      <c r="A3287" s="2" t="s">
        <v>59</v>
      </c>
      <c r="B3287" s="2" t="s">
        <v>60</v>
      </c>
      <c r="C3287" s="2" t="s">
        <v>32931</v>
      </c>
      <c r="D3287" s="2" t="s">
        <v>32932</v>
      </c>
      <c r="E3287" s="2" t="s">
        <v>32933</v>
      </c>
      <c r="G3287" s="3" t="s">
        <v>64</v>
      </c>
      <c r="I3287" s="3" t="s">
        <v>64</v>
      </c>
      <c r="J3287" s="3" t="s">
        <v>64</v>
      </c>
      <c r="K3287" s="3" t="s">
        <v>65</v>
      </c>
      <c r="L3287" s="2" t="s">
        <v>32934</v>
      </c>
      <c r="M3287" s="2" t="s">
        <v>32935</v>
      </c>
      <c r="N3287" s="3" t="s">
        <v>364</v>
      </c>
      <c r="P3287" s="3" t="s">
        <v>102</v>
      </c>
      <c r="R3287" s="3" t="s">
        <v>70</v>
      </c>
      <c r="S3287" s="4">
        <v>1</v>
      </c>
      <c r="T3287" s="4">
        <v>1</v>
      </c>
      <c r="U3287" s="5" t="s">
        <v>16007</v>
      </c>
      <c r="V3287" s="5" t="s">
        <v>16007</v>
      </c>
      <c r="W3287" s="5" t="s">
        <v>72</v>
      </c>
      <c r="X3287" s="5" t="s">
        <v>72</v>
      </c>
      <c r="Y3287" s="4">
        <v>280</v>
      </c>
      <c r="Z3287" s="4">
        <v>17</v>
      </c>
      <c r="AA3287" s="4">
        <v>18</v>
      </c>
      <c r="AB3287" s="4">
        <v>1</v>
      </c>
      <c r="AC3287" s="4">
        <v>2</v>
      </c>
      <c r="AD3287" s="4">
        <v>75</v>
      </c>
      <c r="AE3287" s="4">
        <v>75</v>
      </c>
      <c r="AF3287" s="4">
        <v>0</v>
      </c>
      <c r="AG3287" s="4">
        <v>0</v>
      </c>
      <c r="AH3287" s="4">
        <v>68</v>
      </c>
      <c r="AI3287" s="4">
        <v>68</v>
      </c>
      <c r="AJ3287" s="4">
        <v>12</v>
      </c>
      <c r="AK3287" s="4">
        <v>12</v>
      </c>
      <c r="AL3287" s="4">
        <v>35</v>
      </c>
      <c r="AM3287" s="4">
        <v>35</v>
      </c>
      <c r="AN3287" s="4">
        <v>0</v>
      </c>
      <c r="AO3287" s="4">
        <v>0</v>
      </c>
      <c r="AP3287" s="4">
        <v>13</v>
      </c>
      <c r="AQ3287" s="4">
        <v>13</v>
      </c>
      <c r="AR3287" s="3" t="s">
        <v>64</v>
      </c>
      <c r="AS3287" s="3" t="s">
        <v>64</v>
      </c>
      <c r="AT3287" s="3" t="s">
        <v>128</v>
      </c>
      <c r="AU3287" s="6" t="str">
        <f>HYPERLINK("http://catalog.hathitrust.org/Record/000961485","HathiTrust Record")</f>
        <v>HathiTrust Record</v>
      </c>
      <c r="AV3287" s="6" t="str">
        <f>HYPERLINK("http://mcgill.on.worldcat.org/oclc/715154","Catalog Record")</f>
        <v>Catalog Record</v>
      </c>
      <c r="AW3287" s="6" t="str">
        <f>HYPERLINK("http://www.worldcat.org/oclc/715154","WorldCat Record")</f>
        <v>WorldCat Record</v>
      </c>
      <c r="AX3287" s="3" t="s">
        <v>32936</v>
      </c>
      <c r="AY3287" s="3" t="s">
        <v>32937</v>
      </c>
      <c r="AZ3287" s="3" t="s">
        <v>32938</v>
      </c>
      <c r="BA3287" s="3" t="s">
        <v>32938</v>
      </c>
      <c r="BB3287" s="3" t="s">
        <v>32939</v>
      </c>
      <c r="BC3287" s="3" t="s">
        <v>77</v>
      </c>
      <c r="BD3287" s="3" t="s">
        <v>78</v>
      </c>
      <c r="BE3287" s="3" t="s">
        <v>32940</v>
      </c>
      <c r="BF3287" s="3" t="s">
        <v>32939</v>
      </c>
      <c r="BG3287" s="3" t="s">
        <v>32941</v>
      </c>
      <c r="BH3287">
        <f t="shared" si="78"/>
        <v>0</v>
      </c>
    </row>
    <row r="3288" spans="1:60" ht="58" x14ac:dyDescent="0.35">
      <c r="A3288" s="2" t="s">
        <v>59</v>
      </c>
      <c r="B3288" s="2" t="s">
        <v>60</v>
      </c>
      <c r="C3288" s="2" t="s">
        <v>32942</v>
      </c>
      <c r="D3288" s="2" t="s">
        <v>32943</v>
      </c>
      <c r="E3288" s="2" t="s">
        <v>32944</v>
      </c>
      <c r="G3288" s="3" t="s">
        <v>64</v>
      </c>
      <c r="I3288" s="3" t="s">
        <v>64</v>
      </c>
      <c r="J3288" s="3" t="s">
        <v>128</v>
      </c>
      <c r="K3288" s="3" t="s">
        <v>65</v>
      </c>
      <c r="L3288" s="2" t="s">
        <v>23753</v>
      </c>
      <c r="M3288" s="2" t="s">
        <v>32945</v>
      </c>
      <c r="N3288" s="3" t="s">
        <v>3527</v>
      </c>
      <c r="O3288" s="2" t="s">
        <v>32946</v>
      </c>
      <c r="P3288" s="3" t="s">
        <v>68</v>
      </c>
      <c r="Q3288" s="2" t="s">
        <v>32947</v>
      </c>
      <c r="R3288" s="3" t="s">
        <v>70</v>
      </c>
      <c r="S3288" s="4">
        <v>4</v>
      </c>
      <c r="T3288" s="4">
        <v>4</v>
      </c>
      <c r="U3288" s="5" t="s">
        <v>6890</v>
      </c>
      <c r="V3288" s="5" t="s">
        <v>6890</v>
      </c>
      <c r="W3288" s="5" t="s">
        <v>72</v>
      </c>
      <c r="X3288" s="5" t="s">
        <v>72</v>
      </c>
      <c r="Y3288" s="4">
        <v>58</v>
      </c>
      <c r="Z3288" s="4">
        <v>7</v>
      </c>
      <c r="AA3288" s="4">
        <v>28</v>
      </c>
      <c r="AB3288" s="4">
        <v>1</v>
      </c>
      <c r="AC3288" s="4">
        <v>10</v>
      </c>
      <c r="AD3288" s="4">
        <v>18</v>
      </c>
      <c r="AE3288" s="4">
        <v>61</v>
      </c>
      <c r="AF3288" s="4">
        <v>0</v>
      </c>
      <c r="AG3288" s="4">
        <v>4</v>
      </c>
      <c r="AH3288" s="4">
        <v>14</v>
      </c>
      <c r="AI3288" s="4">
        <v>49</v>
      </c>
      <c r="AJ3288" s="4">
        <v>4</v>
      </c>
      <c r="AK3288" s="4">
        <v>12</v>
      </c>
      <c r="AL3288" s="4">
        <v>6</v>
      </c>
      <c r="AM3288" s="4">
        <v>31</v>
      </c>
      <c r="AN3288" s="4">
        <v>0</v>
      </c>
      <c r="AO3288" s="4">
        <v>1</v>
      </c>
      <c r="AP3288" s="4">
        <v>5</v>
      </c>
      <c r="AQ3288" s="4">
        <v>14</v>
      </c>
      <c r="AR3288" s="3" t="s">
        <v>64</v>
      </c>
      <c r="AS3288" s="3" t="s">
        <v>64</v>
      </c>
      <c r="AT3288" s="3" t="s">
        <v>128</v>
      </c>
      <c r="AU3288" s="6" t="str">
        <f>HYPERLINK("http://catalog.hathitrust.org/Record/001175671","HathiTrust Record")</f>
        <v>HathiTrust Record</v>
      </c>
      <c r="AV3288" s="6" t="str">
        <f>HYPERLINK("http://mcgill.on.worldcat.org/oclc/6132444","Catalog Record")</f>
        <v>Catalog Record</v>
      </c>
      <c r="AW3288" s="6" t="str">
        <f>HYPERLINK("http://www.worldcat.org/oclc/6132444","WorldCat Record")</f>
        <v>WorldCat Record</v>
      </c>
      <c r="AX3288" s="3" t="s">
        <v>32948</v>
      </c>
      <c r="AY3288" s="3" t="s">
        <v>32949</v>
      </c>
      <c r="AZ3288" s="3" t="s">
        <v>32950</v>
      </c>
      <c r="BA3288" s="3" t="s">
        <v>32950</v>
      </c>
      <c r="BB3288" s="3" t="s">
        <v>32951</v>
      </c>
      <c r="BC3288" s="3" t="s">
        <v>77</v>
      </c>
      <c r="BD3288" s="3" t="s">
        <v>78</v>
      </c>
      <c r="BF3288" s="3" t="s">
        <v>32951</v>
      </c>
      <c r="BG3288" s="3" t="s">
        <v>32952</v>
      </c>
      <c r="BH3288">
        <f t="shared" si="78"/>
        <v>0</v>
      </c>
    </row>
    <row r="3289" spans="1:60" ht="58" x14ac:dyDescent="0.35">
      <c r="A3289" s="2" t="s">
        <v>59</v>
      </c>
      <c r="B3289" s="2" t="s">
        <v>60</v>
      </c>
      <c r="C3289" s="2" t="s">
        <v>32953</v>
      </c>
      <c r="D3289" s="2" t="s">
        <v>32954</v>
      </c>
      <c r="E3289" s="2" t="s">
        <v>32955</v>
      </c>
      <c r="G3289" s="3" t="s">
        <v>64</v>
      </c>
      <c r="I3289" s="3" t="s">
        <v>64</v>
      </c>
      <c r="J3289" s="3" t="s">
        <v>64</v>
      </c>
      <c r="K3289" s="3" t="s">
        <v>65</v>
      </c>
      <c r="L3289" s="2" t="s">
        <v>32956</v>
      </c>
      <c r="M3289" s="2" t="s">
        <v>18166</v>
      </c>
      <c r="N3289" s="3" t="s">
        <v>551</v>
      </c>
      <c r="P3289" s="3" t="s">
        <v>102</v>
      </c>
      <c r="R3289" s="3" t="s">
        <v>70</v>
      </c>
      <c r="S3289" s="4">
        <v>6</v>
      </c>
      <c r="T3289" s="4">
        <v>6</v>
      </c>
      <c r="U3289" s="5" t="s">
        <v>4043</v>
      </c>
      <c r="V3289" s="5" t="s">
        <v>4043</v>
      </c>
      <c r="W3289" s="5" t="s">
        <v>72</v>
      </c>
      <c r="X3289" s="5" t="s">
        <v>72</v>
      </c>
      <c r="Y3289" s="4">
        <v>97</v>
      </c>
      <c r="Z3289" s="4">
        <v>7</v>
      </c>
      <c r="AA3289" s="4">
        <v>20</v>
      </c>
      <c r="AB3289" s="4">
        <v>2</v>
      </c>
      <c r="AC3289" s="4">
        <v>5</v>
      </c>
      <c r="AD3289" s="4">
        <v>17</v>
      </c>
      <c r="AE3289" s="4">
        <v>24</v>
      </c>
      <c r="AF3289" s="4">
        <v>0</v>
      </c>
      <c r="AG3289" s="4">
        <v>1</v>
      </c>
      <c r="AH3289" s="4">
        <v>17</v>
      </c>
      <c r="AI3289" s="4">
        <v>21</v>
      </c>
      <c r="AJ3289" s="4">
        <v>4</v>
      </c>
      <c r="AK3289" s="4">
        <v>6</v>
      </c>
      <c r="AL3289" s="4">
        <v>8</v>
      </c>
      <c r="AM3289" s="4">
        <v>10</v>
      </c>
      <c r="AN3289" s="4">
        <v>0</v>
      </c>
      <c r="AO3289" s="4">
        <v>0</v>
      </c>
      <c r="AP3289" s="4">
        <v>4</v>
      </c>
      <c r="AQ3289" s="4">
        <v>6</v>
      </c>
      <c r="AR3289" s="3" t="s">
        <v>64</v>
      </c>
      <c r="AS3289" s="3" t="s">
        <v>64</v>
      </c>
      <c r="AT3289" s="3" t="s">
        <v>128</v>
      </c>
      <c r="AU3289" s="6" t="str">
        <f>HYPERLINK("http://catalog.hathitrust.org/Record/005964853","HathiTrust Record")</f>
        <v>HathiTrust Record</v>
      </c>
      <c r="AV3289" s="6" t="str">
        <f>HYPERLINK("http://mcgill.on.worldcat.org/oclc/122284896","Catalog Record")</f>
        <v>Catalog Record</v>
      </c>
      <c r="AW3289" s="6" t="str">
        <f>HYPERLINK("http://www.worldcat.org/oclc/122284896","WorldCat Record")</f>
        <v>WorldCat Record</v>
      </c>
      <c r="AX3289" s="3" t="s">
        <v>32957</v>
      </c>
      <c r="AY3289" s="3" t="s">
        <v>32958</v>
      </c>
      <c r="AZ3289" s="3" t="s">
        <v>32959</v>
      </c>
      <c r="BA3289" s="3" t="s">
        <v>32959</v>
      </c>
      <c r="BB3289" s="3" t="s">
        <v>32960</v>
      </c>
      <c r="BC3289" s="3" t="s">
        <v>77</v>
      </c>
      <c r="BD3289" s="3" t="s">
        <v>78</v>
      </c>
      <c r="BE3289" s="3" t="s">
        <v>32961</v>
      </c>
      <c r="BF3289" s="3" t="s">
        <v>32960</v>
      </c>
      <c r="BG3289" s="3" t="s">
        <v>32962</v>
      </c>
      <c r="BH3289">
        <f t="shared" si="78"/>
        <v>0</v>
      </c>
    </row>
    <row r="3290" spans="1:60" ht="58" x14ac:dyDescent="0.35">
      <c r="A3290" s="2" t="s">
        <v>59</v>
      </c>
      <c r="B3290" s="2" t="s">
        <v>60</v>
      </c>
      <c r="C3290" s="2" t="s">
        <v>32963</v>
      </c>
      <c r="D3290" s="2" t="s">
        <v>32964</v>
      </c>
      <c r="E3290" s="2" t="s">
        <v>32965</v>
      </c>
      <c r="G3290" s="3" t="s">
        <v>64</v>
      </c>
      <c r="I3290" s="3" t="s">
        <v>64</v>
      </c>
      <c r="J3290" s="3" t="s">
        <v>64</v>
      </c>
      <c r="K3290" s="3" t="s">
        <v>65</v>
      </c>
      <c r="M3290" s="2" t="s">
        <v>32966</v>
      </c>
      <c r="N3290" s="3" t="s">
        <v>253</v>
      </c>
      <c r="P3290" s="3" t="s">
        <v>102</v>
      </c>
      <c r="R3290" s="3" t="s">
        <v>70</v>
      </c>
      <c r="S3290" s="4">
        <v>13</v>
      </c>
      <c r="T3290" s="4">
        <v>13</v>
      </c>
      <c r="U3290" s="5" t="s">
        <v>32967</v>
      </c>
      <c r="V3290" s="5" t="s">
        <v>32967</v>
      </c>
      <c r="W3290" s="5" t="s">
        <v>72</v>
      </c>
      <c r="X3290" s="5" t="s">
        <v>72</v>
      </c>
      <c r="Y3290" s="4">
        <v>743</v>
      </c>
      <c r="Z3290" s="4">
        <v>41</v>
      </c>
      <c r="AA3290" s="4">
        <v>53</v>
      </c>
      <c r="AB3290" s="4">
        <v>4</v>
      </c>
      <c r="AC3290" s="4">
        <v>11</v>
      </c>
      <c r="AD3290" s="4">
        <v>82</v>
      </c>
      <c r="AE3290" s="4">
        <v>105</v>
      </c>
      <c r="AF3290" s="4">
        <v>1</v>
      </c>
      <c r="AG3290" s="4">
        <v>4</v>
      </c>
      <c r="AH3290" s="4">
        <v>69</v>
      </c>
      <c r="AI3290" s="4">
        <v>86</v>
      </c>
      <c r="AJ3290" s="4">
        <v>13</v>
      </c>
      <c r="AK3290" s="4">
        <v>18</v>
      </c>
      <c r="AL3290" s="4">
        <v>40</v>
      </c>
      <c r="AM3290" s="4">
        <v>49</v>
      </c>
      <c r="AN3290" s="4">
        <v>0</v>
      </c>
      <c r="AO3290" s="4">
        <v>0</v>
      </c>
      <c r="AP3290" s="4">
        <v>17</v>
      </c>
      <c r="AQ3290" s="4">
        <v>23</v>
      </c>
      <c r="AR3290" s="3" t="s">
        <v>64</v>
      </c>
      <c r="AS3290" s="3" t="s">
        <v>64</v>
      </c>
      <c r="AT3290" s="3" t="s">
        <v>64</v>
      </c>
      <c r="AV3290" s="6" t="str">
        <f>HYPERLINK("http://mcgill.on.worldcat.org/oclc/894625451","Catalog Record")</f>
        <v>Catalog Record</v>
      </c>
      <c r="AW3290" s="6" t="str">
        <f>HYPERLINK("http://www.worldcat.org/oclc/894625451","WorldCat Record")</f>
        <v>WorldCat Record</v>
      </c>
      <c r="AX3290" s="3" t="s">
        <v>32968</v>
      </c>
      <c r="AY3290" s="3" t="s">
        <v>32969</v>
      </c>
      <c r="AZ3290" s="3" t="s">
        <v>32970</v>
      </c>
      <c r="BA3290" s="3" t="s">
        <v>32970</v>
      </c>
      <c r="BB3290" s="3" t="s">
        <v>32971</v>
      </c>
      <c r="BC3290" s="3" t="s">
        <v>77</v>
      </c>
      <c r="BD3290" s="3" t="s">
        <v>78</v>
      </c>
      <c r="BE3290" s="3" t="s">
        <v>32972</v>
      </c>
      <c r="BF3290" s="3" t="s">
        <v>32971</v>
      </c>
      <c r="BG3290" s="3" t="s">
        <v>32973</v>
      </c>
      <c r="BH3290">
        <f t="shared" si="78"/>
        <v>0</v>
      </c>
    </row>
    <row r="3291" spans="1:60" ht="58" x14ac:dyDescent="0.35">
      <c r="A3291" s="2" t="s">
        <v>59</v>
      </c>
      <c r="B3291" s="2" t="s">
        <v>60</v>
      </c>
      <c r="C3291" s="2" t="s">
        <v>32974</v>
      </c>
      <c r="D3291" s="2" t="s">
        <v>32975</v>
      </c>
      <c r="E3291" s="2" t="s">
        <v>32976</v>
      </c>
      <c r="G3291" s="3" t="s">
        <v>64</v>
      </c>
      <c r="I3291" s="3" t="s">
        <v>64</v>
      </c>
      <c r="J3291" s="3" t="s">
        <v>64</v>
      </c>
      <c r="K3291" s="3" t="s">
        <v>65</v>
      </c>
      <c r="L3291" s="2" t="s">
        <v>32977</v>
      </c>
      <c r="M3291" s="2" t="s">
        <v>32978</v>
      </c>
      <c r="N3291" s="3" t="s">
        <v>1275</v>
      </c>
      <c r="P3291" s="3" t="s">
        <v>68</v>
      </c>
      <c r="Q3291" s="2" t="s">
        <v>32979</v>
      </c>
      <c r="R3291" s="3" t="s">
        <v>70</v>
      </c>
      <c r="S3291" s="4">
        <v>5</v>
      </c>
      <c r="T3291" s="4">
        <v>5</v>
      </c>
      <c r="U3291" s="5" t="s">
        <v>6890</v>
      </c>
      <c r="V3291" s="5" t="s">
        <v>6890</v>
      </c>
      <c r="W3291" s="5" t="s">
        <v>72</v>
      </c>
      <c r="X3291" s="5" t="s">
        <v>72</v>
      </c>
      <c r="Y3291" s="4">
        <v>23</v>
      </c>
      <c r="Z3291" s="4">
        <v>1</v>
      </c>
      <c r="AA3291" s="4">
        <v>12</v>
      </c>
      <c r="AB3291" s="4">
        <v>1</v>
      </c>
      <c r="AC3291" s="4">
        <v>8</v>
      </c>
      <c r="AD3291" s="4">
        <v>10</v>
      </c>
      <c r="AE3291" s="4">
        <v>15</v>
      </c>
      <c r="AF3291" s="4">
        <v>0</v>
      </c>
      <c r="AG3291" s="4">
        <v>3</v>
      </c>
      <c r="AH3291" s="4">
        <v>9</v>
      </c>
      <c r="AI3291" s="4">
        <v>11</v>
      </c>
      <c r="AJ3291" s="4">
        <v>0</v>
      </c>
      <c r="AK3291" s="4">
        <v>4</v>
      </c>
      <c r="AL3291" s="4">
        <v>7</v>
      </c>
      <c r="AM3291" s="4">
        <v>7</v>
      </c>
      <c r="AN3291" s="4">
        <v>0</v>
      </c>
      <c r="AO3291" s="4">
        <v>0</v>
      </c>
      <c r="AP3291" s="4">
        <v>0</v>
      </c>
      <c r="AQ3291" s="4">
        <v>4</v>
      </c>
      <c r="AR3291" s="3" t="s">
        <v>64</v>
      </c>
      <c r="AS3291" s="3" t="s">
        <v>64</v>
      </c>
      <c r="AT3291" s="3" t="s">
        <v>64</v>
      </c>
      <c r="AV3291" s="6" t="str">
        <f>HYPERLINK("http://mcgill.on.worldcat.org/oclc/54929189","Catalog Record")</f>
        <v>Catalog Record</v>
      </c>
      <c r="AW3291" s="6" t="str">
        <f>HYPERLINK("http://www.worldcat.org/oclc/54929189","WorldCat Record")</f>
        <v>WorldCat Record</v>
      </c>
      <c r="AX3291" s="3" t="s">
        <v>32980</v>
      </c>
      <c r="AY3291" s="3" t="s">
        <v>32981</v>
      </c>
      <c r="AZ3291" s="3" t="s">
        <v>32982</v>
      </c>
      <c r="BA3291" s="3" t="s">
        <v>32982</v>
      </c>
      <c r="BB3291" s="3" t="s">
        <v>32983</v>
      </c>
      <c r="BC3291" s="3" t="s">
        <v>77</v>
      </c>
      <c r="BD3291" s="3" t="s">
        <v>78</v>
      </c>
      <c r="BE3291" s="3" t="s">
        <v>32984</v>
      </c>
      <c r="BF3291" s="3" t="s">
        <v>32983</v>
      </c>
      <c r="BG3291" s="3" t="s">
        <v>32985</v>
      </c>
      <c r="BH3291">
        <f t="shared" si="78"/>
        <v>0</v>
      </c>
    </row>
    <row r="3292" spans="1:60" ht="58" x14ac:dyDescent="0.35">
      <c r="A3292" s="2" t="s">
        <v>59</v>
      </c>
      <c r="B3292" s="2" t="s">
        <v>60</v>
      </c>
      <c r="C3292" s="2" t="s">
        <v>32986</v>
      </c>
      <c r="D3292" s="2" t="s">
        <v>32987</v>
      </c>
      <c r="E3292" s="2" t="s">
        <v>32988</v>
      </c>
      <c r="G3292" s="3" t="s">
        <v>64</v>
      </c>
      <c r="I3292" s="3" t="s">
        <v>64</v>
      </c>
      <c r="J3292" s="3" t="s">
        <v>64</v>
      </c>
      <c r="K3292" s="3" t="s">
        <v>65</v>
      </c>
      <c r="L3292" s="2" t="s">
        <v>32989</v>
      </c>
      <c r="M3292" s="2" t="s">
        <v>32990</v>
      </c>
      <c r="N3292" s="3" t="s">
        <v>551</v>
      </c>
      <c r="P3292" s="3" t="s">
        <v>102</v>
      </c>
      <c r="R3292" s="3" t="s">
        <v>70</v>
      </c>
      <c r="S3292" s="4">
        <v>9</v>
      </c>
      <c r="T3292" s="4">
        <v>9</v>
      </c>
      <c r="U3292" s="5" t="s">
        <v>6727</v>
      </c>
      <c r="V3292" s="5" t="s">
        <v>6727</v>
      </c>
      <c r="W3292" s="5" t="s">
        <v>72</v>
      </c>
      <c r="X3292" s="5" t="s">
        <v>72</v>
      </c>
      <c r="Y3292" s="4">
        <v>1519</v>
      </c>
      <c r="Z3292" s="4">
        <v>52</v>
      </c>
      <c r="AA3292" s="4">
        <v>59</v>
      </c>
      <c r="AB3292" s="4">
        <v>5</v>
      </c>
      <c r="AC3292" s="4">
        <v>7</v>
      </c>
      <c r="AD3292" s="4">
        <v>76</v>
      </c>
      <c r="AE3292" s="4">
        <v>79</v>
      </c>
      <c r="AF3292" s="4">
        <v>1</v>
      </c>
      <c r="AG3292" s="4">
        <v>3</v>
      </c>
      <c r="AH3292" s="4">
        <v>69</v>
      </c>
      <c r="AI3292" s="4">
        <v>70</v>
      </c>
      <c r="AJ3292" s="4">
        <v>12</v>
      </c>
      <c r="AK3292" s="4">
        <v>15</v>
      </c>
      <c r="AL3292" s="4">
        <v>39</v>
      </c>
      <c r="AM3292" s="4">
        <v>39</v>
      </c>
      <c r="AN3292" s="4">
        <v>0</v>
      </c>
      <c r="AO3292" s="4">
        <v>0</v>
      </c>
      <c r="AP3292" s="4">
        <v>15</v>
      </c>
      <c r="AQ3292" s="4">
        <v>17</v>
      </c>
      <c r="AR3292" s="3" t="s">
        <v>64</v>
      </c>
      <c r="AS3292" s="3" t="s">
        <v>64</v>
      </c>
      <c r="AT3292" s="3" t="s">
        <v>64</v>
      </c>
      <c r="AV3292" s="6" t="str">
        <f>HYPERLINK("http://mcgill.on.worldcat.org/oclc/277203534","Catalog Record")</f>
        <v>Catalog Record</v>
      </c>
      <c r="AW3292" s="6" t="str">
        <f>HYPERLINK("http://www.worldcat.org/oclc/277203534","WorldCat Record")</f>
        <v>WorldCat Record</v>
      </c>
      <c r="AX3292" s="3" t="s">
        <v>32991</v>
      </c>
      <c r="AY3292" s="3" t="s">
        <v>32992</v>
      </c>
      <c r="AZ3292" s="3" t="s">
        <v>32993</v>
      </c>
      <c r="BA3292" s="3" t="s">
        <v>32993</v>
      </c>
      <c r="BB3292" s="3" t="s">
        <v>32994</v>
      </c>
      <c r="BC3292" s="3" t="s">
        <v>77</v>
      </c>
      <c r="BD3292" s="3" t="s">
        <v>78</v>
      </c>
      <c r="BE3292" s="3" t="s">
        <v>32995</v>
      </c>
      <c r="BF3292" s="3" t="s">
        <v>32994</v>
      </c>
      <c r="BG3292" s="3" t="s">
        <v>32996</v>
      </c>
      <c r="BH3292">
        <f t="shared" si="78"/>
        <v>0</v>
      </c>
    </row>
    <row r="3293" spans="1:60" ht="101.5" x14ac:dyDescent="0.35">
      <c r="A3293" s="2" t="s">
        <v>59</v>
      </c>
      <c r="B3293" s="2" t="s">
        <v>60</v>
      </c>
      <c r="C3293" s="2" t="s">
        <v>32997</v>
      </c>
      <c r="D3293" s="2" t="s">
        <v>32998</v>
      </c>
      <c r="E3293" s="2" t="s">
        <v>32999</v>
      </c>
      <c r="G3293" s="3" t="s">
        <v>64</v>
      </c>
      <c r="H3293" s="3" t="s">
        <v>183</v>
      </c>
      <c r="I3293" s="3" t="s">
        <v>64</v>
      </c>
      <c r="J3293" s="3" t="s">
        <v>64</v>
      </c>
      <c r="K3293" s="3" t="s">
        <v>65</v>
      </c>
      <c r="M3293" s="2" t="s">
        <v>33000</v>
      </c>
      <c r="N3293" s="3" t="s">
        <v>326</v>
      </c>
      <c r="P3293" s="3" t="s">
        <v>102</v>
      </c>
      <c r="R3293" s="3" t="s">
        <v>70</v>
      </c>
      <c r="S3293" s="4">
        <v>0</v>
      </c>
      <c r="T3293" s="4">
        <v>0</v>
      </c>
      <c r="W3293" s="5" t="s">
        <v>3805</v>
      </c>
      <c r="X3293" s="5" t="s">
        <v>3805</v>
      </c>
      <c r="Y3293" s="4">
        <v>155</v>
      </c>
      <c r="Z3293" s="4">
        <v>13</v>
      </c>
      <c r="AA3293" s="4">
        <v>20</v>
      </c>
      <c r="AB3293" s="4">
        <v>2</v>
      </c>
      <c r="AC3293" s="4">
        <v>4</v>
      </c>
      <c r="AD3293" s="4">
        <v>21</v>
      </c>
      <c r="AE3293" s="4">
        <v>36</v>
      </c>
      <c r="AF3293" s="4">
        <v>0</v>
      </c>
      <c r="AG3293" s="4">
        <v>2</v>
      </c>
      <c r="AH3293" s="4">
        <v>16</v>
      </c>
      <c r="AI3293" s="4">
        <v>29</v>
      </c>
      <c r="AJ3293" s="4">
        <v>3</v>
      </c>
      <c r="AK3293" s="4">
        <v>7</v>
      </c>
      <c r="AL3293" s="4">
        <v>11</v>
      </c>
      <c r="AM3293" s="4">
        <v>17</v>
      </c>
      <c r="AN3293" s="4">
        <v>0</v>
      </c>
      <c r="AO3293" s="4">
        <v>0</v>
      </c>
      <c r="AP3293" s="4">
        <v>6</v>
      </c>
      <c r="AQ3293" s="4">
        <v>10</v>
      </c>
      <c r="AR3293" s="3" t="s">
        <v>64</v>
      </c>
      <c r="AS3293" s="3" t="s">
        <v>64</v>
      </c>
      <c r="AT3293" s="3" t="s">
        <v>64</v>
      </c>
      <c r="AV3293" s="6" t="str">
        <f>HYPERLINK("http://mcgill.on.worldcat.org/oclc/697520571","Catalog Record")</f>
        <v>Catalog Record</v>
      </c>
      <c r="AW3293" s="6" t="str">
        <f>HYPERLINK("http://www.worldcat.org/oclc/697520571","WorldCat Record")</f>
        <v>WorldCat Record</v>
      </c>
      <c r="AX3293" s="3" t="s">
        <v>33001</v>
      </c>
      <c r="AY3293" s="3" t="s">
        <v>33002</v>
      </c>
      <c r="AZ3293" s="3" t="s">
        <v>33003</v>
      </c>
      <c r="BA3293" s="3" t="s">
        <v>33003</v>
      </c>
      <c r="BB3293" s="3" t="s">
        <v>33004</v>
      </c>
      <c r="BC3293" s="3" t="s">
        <v>77</v>
      </c>
      <c r="BD3293" s="3" t="s">
        <v>78</v>
      </c>
      <c r="BE3293" s="3" t="s">
        <v>33005</v>
      </c>
      <c r="BF3293" s="3" t="s">
        <v>33004</v>
      </c>
      <c r="BG3293" s="3" t="s">
        <v>33006</v>
      </c>
      <c r="BH3293">
        <f t="shared" si="78"/>
        <v>0</v>
      </c>
    </row>
    <row r="3294" spans="1:60" ht="58" x14ac:dyDescent="0.35">
      <c r="A3294" s="2" t="s">
        <v>59</v>
      </c>
      <c r="B3294" s="2" t="s">
        <v>60</v>
      </c>
      <c r="C3294" s="2" t="s">
        <v>33007</v>
      </c>
      <c r="D3294" s="2" t="s">
        <v>33008</v>
      </c>
      <c r="E3294" s="2" t="s">
        <v>33009</v>
      </c>
      <c r="G3294" s="3" t="s">
        <v>64</v>
      </c>
      <c r="I3294" s="3" t="s">
        <v>64</v>
      </c>
      <c r="J3294" s="3" t="s">
        <v>64</v>
      </c>
      <c r="K3294" s="3" t="s">
        <v>65</v>
      </c>
      <c r="L3294" s="2" t="s">
        <v>33010</v>
      </c>
      <c r="M3294" s="2" t="s">
        <v>33011</v>
      </c>
      <c r="N3294" s="3" t="s">
        <v>1275</v>
      </c>
      <c r="P3294" s="3" t="s">
        <v>68</v>
      </c>
      <c r="Q3294" s="2" t="s">
        <v>33012</v>
      </c>
      <c r="R3294" s="3" t="s">
        <v>70</v>
      </c>
      <c r="S3294" s="4">
        <v>7</v>
      </c>
      <c r="T3294" s="4">
        <v>7</v>
      </c>
      <c r="U3294" s="5" t="s">
        <v>6890</v>
      </c>
      <c r="V3294" s="5" t="s">
        <v>6890</v>
      </c>
      <c r="W3294" s="5" t="s">
        <v>72</v>
      </c>
      <c r="X3294" s="5" t="s">
        <v>72</v>
      </c>
      <c r="Y3294" s="4">
        <v>48</v>
      </c>
      <c r="Z3294" s="4">
        <v>4</v>
      </c>
      <c r="AA3294" s="4">
        <v>19</v>
      </c>
      <c r="AB3294" s="4">
        <v>1</v>
      </c>
      <c r="AC3294" s="4">
        <v>9</v>
      </c>
      <c r="AD3294" s="4">
        <v>25</v>
      </c>
      <c r="AE3294" s="4">
        <v>34</v>
      </c>
      <c r="AF3294" s="4">
        <v>0</v>
      </c>
      <c r="AG3294" s="4">
        <v>4</v>
      </c>
      <c r="AH3294" s="4">
        <v>24</v>
      </c>
      <c r="AI3294" s="4">
        <v>28</v>
      </c>
      <c r="AJ3294" s="4">
        <v>1</v>
      </c>
      <c r="AK3294" s="4">
        <v>8</v>
      </c>
      <c r="AL3294" s="4">
        <v>18</v>
      </c>
      <c r="AM3294" s="4">
        <v>18</v>
      </c>
      <c r="AN3294" s="4">
        <v>0</v>
      </c>
      <c r="AO3294" s="4">
        <v>0</v>
      </c>
      <c r="AP3294" s="4">
        <v>1</v>
      </c>
      <c r="AQ3294" s="4">
        <v>8</v>
      </c>
      <c r="AR3294" s="3" t="s">
        <v>64</v>
      </c>
      <c r="AS3294" s="3" t="s">
        <v>64</v>
      </c>
      <c r="AT3294" s="3" t="s">
        <v>64</v>
      </c>
      <c r="AV3294" s="6" t="str">
        <f>HYPERLINK("http://mcgill.on.worldcat.org/oclc/54079347","Catalog Record")</f>
        <v>Catalog Record</v>
      </c>
      <c r="AW3294" s="6" t="str">
        <f>HYPERLINK("http://www.worldcat.org/oclc/54079347","WorldCat Record")</f>
        <v>WorldCat Record</v>
      </c>
      <c r="AX3294" s="3" t="s">
        <v>33013</v>
      </c>
      <c r="AY3294" s="3" t="s">
        <v>33014</v>
      </c>
      <c r="AZ3294" s="3" t="s">
        <v>33015</v>
      </c>
      <c r="BA3294" s="3" t="s">
        <v>33015</v>
      </c>
      <c r="BB3294" s="3" t="s">
        <v>33016</v>
      </c>
      <c r="BC3294" s="3" t="s">
        <v>77</v>
      </c>
      <c r="BD3294" s="3" t="s">
        <v>78</v>
      </c>
      <c r="BE3294" s="3" t="s">
        <v>33017</v>
      </c>
      <c r="BF3294" s="3" t="s">
        <v>33016</v>
      </c>
      <c r="BG3294" s="3" t="s">
        <v>33018</v>
      </c>
      <c r="BH3294">
        <f t="shared" si="78"/>
        <v>0</v>
      </c>
    </row>
    <row r="3295" spans="1:60" ht="58" x14ac:dyDescent="0.35">
      <c r="A3295" s="2" t="s">
        <v>59</v>
      </c>
      <c r="B3295" s="2" t="s">
        <v>60</v>
      </c>
      <c r="C3295" s="2" t="s">
        <v>33019</v>
      </c>
      <c r="D3295" s="2" t="s">
        <v>33020</v>
      </c>
      <c r="E3295" s="2" t="s">
        <v>33021</v>
      </c>
      <c r="G3295" s="3" t="s">
        <v>64</v>
      </c>
      <c r="I3295" s="3" t="s">
        <v>64</v>
      </c>
      <c r="J3295" s="3" t="s">
        <v>64</v>
      </c>
      <c r="K3295" s="3" t="s">
        <v>65</v>
      </c>
      <c r="L3295" s="2" t="s">
        <v>33010</v>
      </c>
      <c r="M3295" s="2" t="s">
        <v>33022</v>
      </c>
      <c r="N3295" s="3" t="s">
        <v>291</v>
      </c>
      <c r="P3295" s="3" t="s">
        <v>102</v>
      </c>
      <c r="R3295" s="3" t="s">
        <v>70</v>
      </c>
      <c r="S3295" s="4">
        <v>13</v>
      </c>
      <c r="T3295" s="4">
        <v>13</v>
      </c>
      <c r="U3295" s="5" t="s">
        <v>6890</v>
      </c>
      <c r="V3295" s="5" t="s">
        <v>6890</v>
      </c>
      <c r="W3295" s="5" t="s">
        <v>72</v>
      </c>
      <c r="X3295" s="5" t="s">
        <v>72</v>
      </c>
      <c r="Y3295" s="4">
        <v>126</v>
      </c>
      <c r="Z3295" s="4">
        <v>7</v>
      </c>
      <c r="AA3295" s="4">
        <v>7</v>
      </c>
      <c r="AB3295" s="4">
        <v>1</v>
      </c>
      <c r="AC3295" s="4">
        <v>1</v>
      </c>
      <c r="AD3295" s="4">
        <v>14</v>
      </c>
      <c r="AE3295" s="4">
        <v>14</v>
      </c>
      <c r="AF3295" s="4">
        <v>0</v>
      </c>
      <c r="AG3295" s="4">
        <v>0</v>
      </c>
      <c r="AH3295" s="4">
        <v>12</v>
      </c>
      <c r="AI3295" s="4">
        <v>12</v>
      </c>
      <c r="AJ3295" s="4">
        <v>5</v>
      </c>
      <c r="AK3295" s="4">
        <v>5</v>
      </c>
      <c r="AL3295" s="4">
        <v>10</v>
      </c>
      <c r="AM3295" s="4">
        <v>10</v>
      </c>
      <c r="AN3295" s="4">
        <v>0</v>
      </c>
      <c r="AO3295" s="4">
        <v>0</v>
      </c>
      <c r="AP3295" s="4">
        <v>5</v>
      </c>
      <c r="AQ3295" s="4">
        <v>5</v>
      </c>
      <c r="AR3295" s="3" t="s">
        <v>64</v>
      </c>
      <c r="AS3295" s="3" t="s">
        <v>64</v>
      </c>
      <c r="AT3295" s="3" t="s">
        <v>64</v>
      </c>
      <c r="AV3295" s="6" t="str">
        <f>HYPERLINK("http://mcgill.on.worldcat.org/oclc/137313173","Catalog Record")</f>
        <v>Catalog Record</v>
      </c>
      <c r="AW3295" s="6" t="str">
        <f>HYPERLINK("http://www.worldcat.org/oclc/137313173","WorldCat Record")</f>
        <v>WorldCat Record</v>
      </c>
      <c r="AX3295" s="3" t="s">
        <v>33023</v>
      </c>
      <c r="AY3295" s="3" t="s">
        <v>33024</v>
      </c>
      <c r="AZ3295" s="3" t="s">
        <v>33025</v>
      </c>
      <c r="BA3295" s="3" t="s">
        <v>33025</v>
      </c>
      <c r="BB3295" s="3" t="s">
        <v>33026</v>
      </c>
      <c r="BC3295" s="3" t="s">
        <v>77</v>
      </c>
      <c r="BD3295" s="3" t="s">
        <v>78</v>
      </c>
      <c r="BE3295" s="3" t="s">
        <v>33027</v>
      </c>
      <c r="BF3295" s="3" t="s">
        <v>33026</v>
      </c>
      <c r="BG3295" s="3" t="s">
        <v>33028</v>
      </c>
      <c r="BH3295">
        <f t="shared" si="78"/>
        <v>0</v>
      </c>
    </row>
    <row r="3296" spans="1:60" ht="58" x14ac:dyDescent="0.35">
      <c r="A3296" s="2" t="s">
        <v>59</v>
      </c>
      <c r="B3296" s="2" t="s">
        <v>60</v>
      </c>
      <c r="C3296" s="2" t="s">
        <v>33029</v>
      </c>
      <c r="D3296" s="2" t="s">
        <v>33030</v>
      </c>
      <c r="E3296" s="2" t="s">
        <v>33031</v>
      </c>
      <c r="G3296" s="3" t="s">
        <v>64</v>
      </c>
      <c r="I3296" s="3" t="s">
        <v>64</v>
      </c>
      <c r="J3296" s="3" t="s">
        <v>64</v>
      </c>
      <c r="K3296" s="3" t="s">
        <v>65</v>
      </c>
      <c r="M3296" s="2" t="s">
        <v>33032</v>
      </c>
      <c r="N3296" s="3" t="s">
        <v>1615</v>
      </c>
      <c r="P3296" s="3" t="s">
        <v>68</v>
      </c>
      <c r="Q3296" s="2" t="s">
        <v>13319</v>
      </c>
      <c r="R3296" s="3" t="s">
        <v>70</v>
      </c>
      <c r="S3296" s="4">
        <v>22</v>
      </c>
      <c r="T3296" s="4">
        <v>22</v>
      </c>
      <c r="U3296" s="5" t="s">
        <v>5002</v>
      </c>
      <c r="V3296" s="5" t="s">
        <v>5002</v>
      </c>
      <c r="W3296" s="5" t="s">
        <v>72</v>
      </c>
      <c r="X3296" s="5" t="s">
        <v>72</v>
      </c>
      <c r="Y3296" s="4">
        <v>96</v>
      </c>
      <c r="Z3296" s="4">
        <v>9</v>
      </c>
      <c r="AA3296" s="4">
        <v>17</v>
      </c>
      <c r="AB3296" s="4">
        <v>1</v>
      </c>
      <c r="AC3296" s="4">
        <v>8</v>
      </c>
      <c r="AD3296" s="4">
        <v>36</v>
      </c>
      <c r="AE3296" s="4">
        <v>41</v>
      </c>
      <c r="AF3296" s="4">
        <v>0</v>
      </c>
      <c r="AG3296" s="4">
        <v>4</v>
      </c>
      <c r="AH3296" s="4">
        <v>32</v>
      </c>
      <c r="AI3296" s="4">
        <v>34</v>
      </c>
      <c r="AJ3296" s="4">
        <v>6</v>
      </c>
      <c r="AK3296" s="4">
        <v>11</v>
      </c>
      <c r="AL3296" s="4">
        <v>19</v>
      </c>
      <c r="AM3296" s="4">
        <v>19</v>
      </c>
      <c r="AN3296" s="4">
        <v>5</v>
      </c>
      <c r="AO3296" s="4">
        <v>5</v>
      </c>
      <c r="AP3296" s="4">
        <v>6</v>
      </c>
      <c r="AQ3296" s="4">
        <v>10</v>
      </c>
      <c r="AR3296" s="3" t="s">
        <v>64</v>
      </c>
      <c r="AS3296" s="3" t="s">
        <v>64</v>
      </c>
      <c r="AT3296" s="3" t="s">
        <v>128</v>
      </c>
      <c r="AU3296" s="6" t="str">
        <f>HYPERLINK("http://catalog.hathitrust.org/Record/003149065","HathiTrust Record")</f>
        <v>HathiTrust Record</v>
      </c>
      <c r="AV3296" s="6" t="str">
        <f>HYPERLINK("http://mcgill.on.worldcat.org/oclc/36892620","Catalog Record")</f>
        <v>Catalog Record</v>
      </c>
      <c r="AW3296" s="6" t="str">
        <f>HYPERLINK("http://www.worldcat.org/oclc/36892620","WorldCat Record")</f>
        <v>WorldCat Record</v>
      </c>
      <c r="AX3296" s="3" t="s">
        <v>33033</v>
      </c>
      <c r="AY3296" s="3" t="s">
        <v>33034</v>
      </c>
      <c r="AZ3296" s="3" t="s">
        <v>33035</v>
      </c>
      <c r="BA3296" s="3" t="s">
        <v>33035</v>
      </c>
      <c r="BB3296" s="3" t="s">
        <v>33036</v>
      </c>
      <c r="BC3296" s="3" t="s">
        <v>77</v>
      </c>
      <c r="BD3296" s="3" t="s">
        <v>78</v>
      </c>
      <c r="BE3296" s="3" t="s">
        <v>33037</v>
      </c>
      <c r="BF3296" s="3" t="s">
        <v>33036</v>
      </c>
      <c r="BG3296" s="3" t="s">
        <v>33038</v>
      </c>
      <c r="BH3296">
        <f t="shared" si="78"/>
        <v>0</v>
      </c>
    </row>
    <row r="3297" spans="1:60" ht="58" x14ac:dyDescent="0.35">
      <c r="A3297" s="2" t="s">
        <v>59</v>
      </c>
      <c r="B3297" s="2" t="s">
        <v>60</v>
      </c>
      <c r="C3297" s="2" t="s">
        <v>33039</v>
      </c>
      <c r="D3297" s="2" t="s">
        <v>33040</v>
      </c>
      <c r="E3297" s="2" t="s">
        <v>33041</v>
      </c>
      <c r="G3297" s="3" t="s">
        <v>64</v>
      </c>
      <c r="I3297" s="3" t="s">
        <v>64</v>
      </c>
      <c r="J3297" s="3" t="s">
        <v>128</v>
      </c>
      <c r="K3297" s="3" t="s">
        <v>65</v>
      </c>
      <c r="L3297" s="2" t="s">
        <v>26130</v>
      </c>
      <c r="M3297" s="2" t="s">
        <v>33042</v>
      </c>
      <c r="N3297" s="3" t="s">
        <v>33043</v>
      </c>
      <c r="P3297" s="3" t="s">
        <v>102</v>
      </c>
      <c r="Q3297" s="2" t="s">
        <v>33044</v>
      </c>
      <c r="R3297" s="3" t="s">
        <v>70</v>
      </c>
      <c r="S3297" s="4">
        <v>2</v>
      </c>
      <c r="T3297" s="4">
        <v>2</v>
      </c>
      <c r="U3297" s="5" t="s">
        <v>24168</v>
      </c>
      <c r="V3297" s="5" t="s">
        <v>24168</v>
      </c>
      <c r="W3297" s="5" t="s">
        <v>72</v>
      </c>
      <c r="X3297" s="5" t="s">
        <v>72</v>
      </c>
      <c r="Y3297" s="4">
        <v>24</v>
      </c>
      <c r="Z3297" s="4">
        <v>4</v>
      </c>
      <c r="AA3297" s="4">
        <v>36</v>
      </c>
      <c r="AB3297" s="4">
        <v>1</v>
      </c>
      <c r="AC3297" s="4">
        <v>2</v>
      </c>
      <c r="AD3297" s="4">
        <v>10</v>
      </c>
      <c r="AE3297" s="4">
        <v>93</v>
      </c>
      <c r="AF3297" s="4">
        <v>0</v>
      </c>
      <c r="AG3297" s="4">
        <v>1</v>
      </c>
      <c r="AH3297" s="4">
        <v>10</v>
      </c>
      <c r="AI3297" s="4">
        <v>79</v>
      </c>
      <c r="AJ3297" s="4">
        <v>1</v>
      </c>
      <c r="AK3297" s="4">
        <v>15</v>
      </c>
      <c r="AL3297" s="4">
        <v>6</v>
      </c>
      <c r="AM3297" s="4">
        <v>42</v>
      </c>
      <c r="AN3297" s="4">
        <v>0</v>
      </c>
      <c r="AO3297" s="4">
        <v>0</v>
      </c>
      <c r="AP3297" s="4">
        <v>1</v>
      </c>
      <c r="AQ3297" s="4">
        <v>19</v>
      </c>
      <c r="AR3297" s="3" t="s">
        <v>64</v>
      </c>
      <c r="AS3297" s="3" t="s">
        <v>128</v>
      </c>
      <c r="AT3297" s="3" t="s">
        <v>64</v>
      </c>
      <c r="AU3297" s="6" t="str">
        <f>HYPERLINK("http://catalog.hathitrust.org/Record/100191593","HathiTrust Record")</f>
        <v>HathiTrust Record</v>
      </c>
      <c r="AV3297" s="6" t="str">
        <f>HYPERLINK("http://mcgill.on.worldcat.org/oclc/7004525","Catalog Record")</f>
        <v>Catalog Record</v>
      </c>
      <c r="AW3297" s="6" t="str">
        <f>HYPERLINK("http://www.worldcat.org/oclc/7004525","WorldCat Record")</f>
        <v>WorldCat Record</v>
      </c>
      <c r="AX3297" s="3" t="s">
        <v>33045</v>
      </c>
      <c r="AY3297" s="3" t="s">
        <v>33046</v>
      </c>
      <c r="AZ3297" s="3" t="s">
        <v>33047</v>
      </c>
      <c r="BA3297" s="3" t="s">
        <v>33047</v>
      </c>
      <c r="BB3297" s="3" t="s">
        <v>33048</v>
      </c>
      <c r="BC3297" s="3" t="s">
        <v>77</v>
      </c>
      <c r="BD3297" s="3" t="s">
        <v>78</v>
      </c>
      <c r="BF3297" s="3" t="s">
        <v>33048</v>
      </c>
      <c r="BG3297" s="3" t="s">
        <v>33049</v>
      </c>
      <c r="BH3297">
        <f t="shared" si="78"/>
        <v>0</v>
      </c>
    </row>
    <row r="3298" spans="1:60" ht="58" x14ac:dyDescent="0.35">
      <c r="A3298" s="2" t="s">
        <v>59</v>
      </c>
      <c r="B3298" s="2" t="s">
        <v>60</v>
      </c>
      <c r="C3298" s="2" t="s">
        <v>33050</v>
      </c>
      <c r="D3298" s="2" t="s">
        <v>33051</v>
      </c>
      <c r="E3298" s="2" t="s">
        <v>33052</v>
      </c>
      <c r="G3298" s="3" t="s">
        <v>64</v>
      </c>
      <c r="I3298" s="3" t="s">
        <v>128</v>
      </c>
      <c r="J3298" s="3" t="s">
        <v>64</v>
      </c>
      <c r="K3298" s="3" t="s">
        <v>65</v>
      </c>
      <c r="L3298" s="2" t="s">
        <v>6874</v>
      </c>
      <c r="M3298" s="2" t="s">
        <v>33053</v>
      </c>
      <c r="N3298" s="3" t="s">
        <v>67</v>
      </c>
      <c r="P3298" s="3" t="s">
        <v>102</v>
      </c>
      <c r="Q3298" s="2" t="s">
        <v>33054</v>
      </c>
      <c r="R3298" s="3" t="s">
        <v>70</v>
      </c>
      <c r="S3298" s="4">
        <v>9</v>
      </c>
      <c r="T3298" s="4">
        <v>11</v>
      </c>
      <c r="U3298" s="5" t="s">
        <v>14301</v>
      </c>
      <c r="V3298" s="5" t="s">
        <v>14301</v>
      </c>
      <c r="W3298" s="5" t="s">
        <v>72</v>
      </c>
      <c r="X3298" s="5" t="s">
        <v>72</v>
      </c>
      <c r="Y3298" s="4">
        <v>544</v>
      </c>
      <c r="Z3298" s="4">
        <v>32</v>
      </c>
      <c r="AA3298" s="4">
        <v>38</v>
      </c>
      <c r="AB3298" s="4">
        <v>3</v>
      </c>
      <c r="AC3298" s="4">
        <v>9</v>
      </c>
      <c r="AD3298" s="4">
        <v>90</v>
      </c>
      <c r="AE3298" s="4">
        <v>94</v>
      </c>
      <c r="AF3298" s="4">
        <v>0</v>
      </c>
      <c r="AG3298" s="4">
        <v>4</v>
      </c>
      <c r="AH3298" s="4">
        <v>81</v>
      </c>
      <c r="AI3298" s="4">
        <v>82</v>
      </c>
      <c r="AJ3298" s="4">
        <v>11</v>
      </c>
      <c r="AK3298" s="4">
        <v>15</v>
      </c>
      <c r="AL3298" s="4">
        <v>51</v>
      </c>
      <c r="AM3298" s="4">
        <v>51</v>
      </c>
      <c r="AN3298" s="4">
        <v>0</v>
      </c>
      <c r="AO3298" s="4">
        <v>0</v>
      </c>
      <c r="AP3298" s="4">
        <v>12</v>
      </c>
      <c r="AQ3298" s="4">
        <v>15</v>
      </c>
      <c r="AR3298" s="3" t="s">
        <v>64</v>
      </c>
      <c r="AS3298" s="3" t="s">
        <v>64</v>
      </c>
      <c r="AT3298" s="3" t="s">
        <v>64</v>
      </c>
      <c r="AV3298" s="6" t="str">
        <f>HYPERLINK("http://mcgill.on.worldcat.org/oclc/861478375","Catalog Record")</f>
        <v>Catalog Record</v>
      </c>
      <c r="AW3298" s="6" t="str">
        <f>HYPERLINK("http://www.worldcat.org/oclc/861478375","WorldCat Record")</f>
        <v>WorldCat Record</v>
      </c>
      <c r="AX3298" s="3" t="s">
        <v>33055</v>
      </c>
      <c r="AY3298" s="3" t="s">
        <v>33056</v>
      </c>
      <c r="AZ3298" s="3" t="s">
        <v>33057</v>
      </c>
      <c r="BA3298" s="3" t="s">
        <v>33057</v>
      </c>
      <c r="BB3298" s="3" t="s">
        <v>33058</v>
      </c>
      <c r="BC3298" s="3" t="s">
        <v>77</v>
      </c>
      <c r="BD3298" s="3" t="s">
        <v>78</v>
      </c>
      <c r="BE3298" s="3" t="s">
        <v>33059</v>
      </c>
      <c r="BF3298" s="3" t="s">
        <v>33058</v>
      </c>
      <c r="BG3298" s="3" t="s">
        <v>33060</v>
      </c>
      <c r="BH3298">
        <f t="shared" si="78"/>
        <v>0</v>
      </c>
    </row>
    <row r="3299" spans="1:60" ht="58" x14ac:dyDescent="0.35">
      <c r="A3299" s="2" t="s">
        <v>59</v>
      </c>
      <c r="B3299" s="2" t="s">
        <v>60</v>
      </c>
      <c r="C3299" s="2" t="s">
        <v>33050</v>
      </c>
      <c r="D3299" s="2" t="s">
        <v>33051</v>
      </c>
      <c r="E3299" s="2" t="s">
        <v>33052</v>
      </c>
      <c r="G3299" s="3" t="s">
        <v>64</v>
      </c>
      <c r="I3299" s="3" t="s">
        <v>128</v>
      </c>
      <c r="J3299" s="3" t="s">
        <v>64</v>
      </c>
      <c r="K3299" s="3" t="s">
        <v>65</v>
      </c>
      <c r="L3299" s="2" t="s">
        <v>6874</v>
      </c>
      <c r="M3299" s="2" t="s">
        <v>33053</v>
      </c>
      <c r="N3299" s="3" t="s">
        <v>67</v>
      </c>
      <c r="P3299" s="3" t="s">
        <v>102</v>
      </c>
      <c r="Q3299" s="2" t="s">
        <v>33054</v>
      </c>
      <c r="R3299" s="3" t="s">
        <v>70</v>
      </c>
      <c r="S3299" s="4">
        <v>2</v>
      </c>
      <c r="T3299" s="4">
        <v>11</v>
      </c>
      <c r="U3299" s="5" t="s">
        <v>2162</v>
      </c>
      <c r="V3299" s="5" t="s">
        <v>14301</v>
      </c>
      <c r="W3299" s="5" t="s">
        <v>72</v>
      </c>
      <c r="X3299" s="5" t="s">
        <v>72</v>
      </c>
      <c r="Y3299" s="4">
        <v>544</v>
      </c>
      <c r="Z3299" s="4">
        <v>32</v>
      </c>
      <c r="AA3299" s="4">
        <v>38</v>
      </c>
      <c r="AB3299" s="4">
        <v>3</v>
      </c>
      <c r="AC3299" s="4">
        <v>9</v>
      </c>
      <c r="AD3299" s="4">
        <v>90</v>
      </c>
      <c r="AE3299" s="4">
        <v>94</v>
      </c>
      <c r="AF3299" s="4">
        <v>0</v>
      </c>
      <c r="AG3299" s="4">
        <v>4</v>
      </c>
      <c r="AH3299" s="4">
        <v>81</v>
      </c>
      <c r="AI3299" s="4">
        <v>82</v>
      </c>
      <c r="AJ3299" s="4">
        <v>11</v>
      </c>
      <c r="AK3299" s="4">
        <v>15</v>
      </c>
      <c r="AL3299" s="4">
        <v>51</v>
      </c>
      <c r="AM3299" s="4">
        <v>51</v>
      </c>
      <c r="AN3299" s="4">
        <v>0</v>
      </c>
      <c r="AO3299" s="4">
        <v>0</v>
      </c>
      <c r="AP3299" s="4">
        <v>12</v>
      </c>
      <c r="AQ3299" s="4">
        <v>15</v>
      </c>
      <c r="AR3299" s="3" t="s">
        <v>64</v>
      </c>
      <c r="AS3299" s="3" t="s">
        <v>64</v>
      </c>
      <c r="AT3299" s="3" t="s">
        <v>64</v>
      </c>
      <c r="AV3299" s="6" t="str">
        <f>HYPERLINK("http://mcgill.on.worldcat.org/oclc/861478375","Catalog Record")</f>
        <v>Catalog Record</v>
      </c>
      <c r="AW3299" s="6" t="str">
        <f>HYPERLINK("http://www.worldcat.org/oclc/861478375","WorldCat Record")</f>
        <v>WorldCat Record</v>
      </c>
      <c r="AX3299" s="3" t="s">
        <v>33055</v>
      </c>
      <c r="AY3299" s="3" t="s">
        <v>33056</v>
      </c>
      <c r="AZ3299" s="3" t="s">
        <v>33057</v>
      </c>
      <c r="BA3299" s="3" t="s">
        <v>33057</v>
      </c>
      <c r="BB3299" s="3" t="s">
        <v>33061</v>
      </c>
      <c r="BC3299" s="3" t="s">
        <v>77</v>
      </c>
      <c r="BD3299" s="3" t="s">
        <v>78</v>
      </c>
      <c r="BE3299" s="3" t="s">
        <v>33059</v>
      </c>
      <c r="BF3299" s="3" t="s">
        <v>33061</v>
      </c>
      <c r="BG3299" s="3" t="s">
        <v>33062</v>
      </c>
      <c r="BH3299">
        <f t="shared" si="78"/>
        <v>0</v>
      </c>
    </row>
    <row r="3300" spans="1:60" ht="72.5" x14ac:dyDescent="0.35">
      <c r="A3300" s="2" t="s">
        <v>59</v>
      </c>
      <c r="B3300" s="2" t="s">
        <v>60</v>
      </c>
      <c r="C3300" s="2" t="s">
        <v>33063</v>
      </c>
      <c r="D3300" s="2" t="s">
        <v>33064</v>
      </c>
      <c r="E3300" s="2" t="s">
        <v>33065</v>
      </c>
      <c r="G3300" s="3" t="s">
        <v>64</v>
      </c>
      <c r="I3300" s="3" t="s">
        <v>64</v>
      </c>
      <c r="J3300" s="3" t="s">
        <v>64</v>
      </c>
      <c r="K3300" s="3" t="s">
        <v>65</v>
      </c>
      <c r="L3300" s="2" t="s">
        <v>33066</v>
      </c>
      <c r="M3300" s="2" t="s">
        <v>33067</v>
      </c>
      <c r="N3300" s="3" t="s">
        <v>874</v>
      </c>
      <c r="P3300" s="3" t="s">
        <v>102</v>
      </c>
      <c r="R3300" s="3" t="s">
        <v>70</v>
      </c>
      <c r="S3300" s="4">
        <v>4</v>
      </c>
      <c r="T3300" s="4">
        <v>4</v>
      </c>
      <c r="U3300" s="5" t="s">
        <v>19277</v>
      </c>
      <c r="V3300" s="5" t="s">
        <v>19277</v>
      </c>
      <c r="W3300" s="5" t="s">
        <v>72</v>
      </c>
      <c r="X3300" s="5" t="s">
        <v>72</v>
      </c>
      <c r="Y3300" s="4">
        <v>7</v>
      </c>
      <c r="Z3300" s="4">
        <v>1</v>
      </c>
      <c r="AA3300" s="4">
        <v>1</v>
      </c>
      <c r="AB3300" s="4">
        <v>1</v>
      </c>
      <c r="AC3300" s="4">
        <v>1</v>
      </c>
      <c r="AD3300" s="4">
        <v>1</v>
      </c>
      <c r="AE3300" s="4">
        <v>1</v>
      </c>
      <c r="AF3300" s="4">
        <v>0</v>
      </c>
      <c r="AG3300" s="4">
        <v>0</v>
      </c>
      <c r="AH3300" s="4">
        <v>1</v>
      </c>
      <c r="AI3300" s="4">
        <v>1</v>
      </c>
      <c r="AJ3300" s="4">
        <v>0</v>
      </c>
      <c r="AK3300" s="4">
        <v>0</v>
      </c>
      <c r="AL3300" s="4">
        <v>1</v>
      </c>
      <c r="AM3300" s="4">
        <v>1</v>
      </c>
      <c r="AN3300" s="4">
        <v>0</v>
      </c>
      <c r="AO3300" s="4">
        <v>0</v>
      </c>
      <c r="AP3300" s="4">
        <v>0</v>
      </c>
      <c r="AQ3300" s="4">
        <v>0</v>
      </c>
      <c r="AR3300" s="3" t="s">
        <v>64</v>
      </c>
      <c r="AS3300" s="3" t="s">
        <v>64</v>
      </c>
      <c r="AT3300" s="3" t="s">
        <v>64</v>
      </c>
      <c r="AV3300" s="6" t="str">
        <f>HYPERLINK("http://mcgill.on.worldcat.org/oclc/61543300","Catalog Record")</f>
        <v>Catalog Record</v>
      </c>
      <c r="AW3300" s="6" t="str">
        <f>HYPERLINK("http://www.worldcat.org/oclc/61543300","WorldCat Record")</f>
        <v>WorldCat Record</v>
      </c>
      <c r="AX3300" s="3" t="s">
        <v>33068</v>
      </c>
      <c r="AY3300" s="3" t="s">
        <v>33069</v>
      </c>
      <c r="AZ3300" s="3" t="s">
        <v>33070</v>
      </c>
      <c r="BA3300" s="3" t="s">
        <v>33070</v>
      </c>
      <c r="BB3300" s="3" t="s">
        <v>33071</v>
      </c>
      <c r="BC3300" s="3" t="s">
        <v>77</v>
      </c>
      <c r="BD3300" s="3" t="s">
        <v>78</v>
      </c>
      <c r="BF3300" s="3" t="s">
        <v>33071</v>
      </c>
      <c r="BG3300" s="3" t="s">
        <v>33072</v>
      </c>
      <c r="BH3300">
        <f t="shared" si="78"/>
        <v>0</v>
      </c>
    </row>
    <row r="3301" spans="1:60" ht="58" x14ac:dyDescent="0.35">
      <c r="A3301" s="2" t="s">
        <v>59</v>
      </c>
      <c r="B3301" s="2" t="s">
        <v>60</v>
      </c>
      <c r="C3301" s="2" t="s">
        <v>33073</v>
      </c>
      <c r="D3301" s="2" t="s">
        <v>33074</v>
      </c>
      <c r="E3301" s="2" t="s">
        <v>33075</v>
      </c>
      <c r="G3301" s="3" t="s">
        <v>64</v>
      </c>
      <c r="I3301" s="3" t="s">
        <v>64</v>
      </c>
      <c r="J3301" s="3" t="s">
        <v>64</v>
      </c>
      <c r="K3301" s="3" t="s">
        <v>65</v>
      </c>
      <c r="L3301" s="2" t="s">
        <v>33076</v>
      </c>
      <c r="M3301" s="2" t="s">
        <v>33077</v>
      </c>
      <c r="N3301" s="3" t="s">
        <v>1047</v>
      </c>
      <c r="P3301" s="3" t="s">
        <v>102</v>
      </c>
      <c r="R3301" s="3" t="s">
        <v>70</v>
      </c>
      <c r="S3301" s="4">
        <v>3</v>
      </c>
      <c r="T3301" s="4">
        <v>3</v>
      </c>
      <c r="U3301" s="5" t="s">
        <v>14476</v>
      </c>
      <c r="V3301" s="5" t="s">
        <v>14476</v>
      </c>
      <c r="W3301" s="5" t="s">
        <v>72</v>
      </c>
      <c r="X3301" s="5" t="s">
        <v>72</v>
      </c>
      <c r="Y3301" s="4">
        <v>147</v>
      </c>
      <c r="Z3301" s="4">
        <v>9</v>
      </c>
      <c r="AA3301" s="4">
        <v>10</v>
      </c>
      <c r="AB3301" s="4">
        <v>1</v>
      </c>
      <c r="AC3301" s="4">
        <v>2</v>
      </c>
      <c r="AD3301" s="4">
        <v>43</v>
      </c>
      <c r="AE3301" s="4">
        <v>44</v>
      </c>
      <c r="AF3301" s="4">
        <v>0</v>
      </c>
      <c r="AG3301" s="4">
        <v>1</v>
      </c>
      <c r="AH3301" s="4">
        <v>40</v>
      </c>
      <c r="AI3301" s="4">
        <v>40</v>
      </c>
      <c r="AJ3301" s="4">
        <v>6</v>
      </c>
      <c r="AK3301" s="4">
        <v>7</v>
      </c>
      <c r="AL3301" s="4">
        <v>21</v>
      </c>
      <c r="AM3301" s="4">
        <v>21</v>
      </c>
      <c r="AN3301" s="4">
        <v>2</v>
      </c>
      <c r="AO3301" s="4">
        <v>2</v>
      </c>
      <c r="AP3301" s="4">
        <v>5</v>
      </c>
      <c r="AQ3301" s="4">
        <v>5</v>
      </c>
      <c r="AR3301" s="3" t="s">
        <v>64</v>
      </c>
      <c r="AS3301" s="3" t="s">
        <v>64</v>
      </c>
      <c r="AT3301" s="3" t="s">
        <v>128</v>
      </c>
      <c r="AU3301" s="6" t="str">
        <f>HYPERLINK("http://catalog.hathitrust.org/Record/000231286","HathiTrust Record")</f>
        <v>HathiTrust Record</v>
      </c>
      <c r="AV3301" s="6" t="str">
        <f>HYPERLINK("http://mcgill.on.worldcat.org/oclc/8552129","Catalog Record")</f>
        <v>Catalog Record</v>
      </c>
      <c r="AW3301" s="6" t="str">
        <f>HYPERLINK("http://www.worldcat.org/oclc/8552129","WorldCat Record")</f>
        <v>WorldCat Record</v>
      </c>
      <c r="AX3301" s="3" t="s">
        <v>33078</v>
      </c>
      <c r="AY3301" s="3" t="s">
        <v>33079</v>
      </c>
      <c r="AZ3301" s="3" t="s">
        <v>33080</v>
      </c>
      <c r="BA3301" s="3" t="s">
        <v>33080</v>
      </c>
      <c r="BB3301" s="3" t="s">
        <v>33081</v>
      </c>
      <c r="BC3301" s="3" t="s">
        <v>77</v>
      </c>
      <c r="BD3301" s="3" t="s">
        <v>78</v>
      </c>
      <c r="BE3301" s="3" t="s">
        <v>33082</v>
      </c>
      <c r="BF3301" s="3" t="s">
        <v>33081</v>
      </c>
      <c r="BG3301" s="3" t="s">
        <v>33083</v>
      </c>
      <c r="BH3301">
        <f t="shared" si="78"/>
        <v>0</v>
      </c>
    </row>
    <row r="3302" spans="1:60" ht="58" x14ac:dyDescent="0.35">
      <c r="A3302" s="2" t="s">
        <v>59</v>
      </c>
      <c r="B3302" s="2" t="s">
        <v>60</v>
      </c>
      <c r="C3302" s="2" t="s">
        <v>33084</v>
      </c>
      <c r="D3302" s="2" t="s">
        <v>33085</v>
      </c>
      <c r="E3302" s="2" t="s">
        <v>33086</v>
      </c>
      <c r="G3302" s="3" t="s">
        <v>64</v>
      </c>
      <c r="I3302" s="3" t="s">
        <v>64</v>
      </c>
      <c r="J3302" s="3" t="s">
        <v>64</v>
      </c>
      <c r="K3302" s="3" t="s">
        <v>65</v>
      </c>
      <c r="L3302" s="2" t="s">
        <v>33087</v>
      </c>
      <c r="M3302" s="2" t="s">
        <v>33088</v>
      </c>
      <c r="N3302" s="3" t="s">
        <v>768</v>
      </c>
      <c r="P3302" s="3" t="s">
        <v>102</v>
      </c>
      <c r="R3302" s="3" t="s">
        <v>70</v>
      </c>
      <c r="S3302" s="4">
        <v>3</v>
      </c>
      <c r="T3302" s="4">
        <v>3</v>
      </c>
      <c r="U3302" s="5" t="s">
        <v>10236</v>
      </c>
      <c r="V3302" s="5" t="s">
        <v>10236</v>
      </c>
      <c r="W3302" s="5" t="s">
        <v>72</v>
      </c>
      <c r="X3302" s="5" t="s">
        <v>72</v>
      </c>
      <c r="Y3302" s="4">
        <v>183</v>
      </c>
      <c r="Z3302" s="4">
        <v>8</v>
      </c>
      <c r="AA3302" s="4">
        <v>9</v>
      </c>
      <c r="AB3302" s="4">
        <v>1</v>
      </c>
      <c r="AC3302" s="4">
        <v>2</v>
      </c>
      <c r="AD3302" s="4">
        <v>57</v>
      </c>
      <c r="AE3302" s="4">
        <v>58</v>
      </c>
      <c r="AF3302" s="4">
        <v>0</v>
      </c>
      <c r="AG3302" s="4">
        <v>1</v>
      </c>
      <c r="AH3302" s="4">
        <v>53</v>
      </c>
      <c r="AI3302" s="4">
        <v>54</v>
      </c>
      <c r="AJ3302" s="4">
        <v>4</v>
      </c>
      <c r="AK3302" s="4">
        <v>5</v>
      </c>
      <c r="AL3302" s="4">
        <v>35</v>
      </c>
      <c r="AM3302" s="4">
        <v>35</v>
      </c>
      <c r="AN3302" s="4">
        <v>0</v>
      </c>
      <c r="AO3302" s="4">
        <v>0</v>
      </c>
      <c r="AP3302" s="4">
        <v>4</v>
      </c>
      <c r="AQ3302" s="4">
        <v>5</v>
      </c>
      <c r="AR3302" s="3" t="s">
        <v>64</v>
      </c>
      <c r="AS3302" s="3" t="s">
        <v>64</v>
      </c>
      <c r="AT3302" s="3" t="s">
        <v>128</v>
      </c>
      <c r="AU3302" s="6" t="str">
        <f>HYPERLINK("http://catalog.hathitrust.org/Record/000220348","HathiTrust Record")</f>
        <v>HathiTrust Record</v>
      </c>
      <c r="AV3302" s="6" t="str">
        <f>HYPERLINK("http://mcgill.on.worldcat.org/oclc/4431797","Catalog Record")</f>
        <v>Catalog Record</v>
      </c>
      <c r="AW3302" s="6" t="str">
        <f>HYPERLINK("http://www.worldcat.org/oclc/4431797","WorldCat Record")</f>
        <v>WorldCat Record</v>
      </c>
      <c r="AX3302" s="3" t="s">
        <v>33089</v>
      </c>
      <c r="AY3302" s="3" t="s">
        <v>33090</v>
      </c>
      <c r="AZ3302" s="3" t="s">
        <v>33091</v>
      </c>
      <c r="BA3302" s="3" t="s">
        <v>33091</v>
      </c>
      <c r="BB3302" s="3" t="s">
        <v>33092</v>
      </c>
      <c r="BC3302" s="3" t="s">
        <v>77</v>
      </c>
      <c r="BD3302" s="3" t="s">
        <v>78</v>
      </c>
      <c r="BF3302" s="3" t="s">
        <v>33092</v>
      </c>
      <c r="BG3302" s="3" t="s">
        <v>33093</v>
      </c>
      <c r="BH3302">
        <f t="shared" si="78"/>
        <v>0</v>
      </c>
    </row>
    <row r="3303" spans="1:60" ht="58" x14ac:dyDescent="0.35">
      <c r="A3303" s="2" t="s">
        <v>59</v>
      </c>
      <c r="B3303" s="2" t="s">
        <v>60</v>
      </c>
      <c r="C3303" s="2" t="s">
        <v>33094</v>
      </c>
      <c r="D3303" s="2" t="s">
        <v>33095</v>
      </c>
      <c r="E3303" s="2" t="s">
        <v>33096</v>
      </c>
      <c r="G3303" s="3" t="s">
        <v>64</v>
      </c>
      <c r="I3303" s="3" t="s">
        <v>64</v>
      </c>
      <c r="J3303" s="3" t="s">
        <v>64</v>
      </c>
      <c r="K3303" s="3" t="s">
        <v>65</v>
      </c>
      <c r="L3303" s="2" t="s">
        <v>33097</v>
      </c>
      <c r="M3303" s="2" t="s">
        <v>897</v>
      </c>
      <c r="N3303" s="3" t="s">
        <v>898</v>
      </c>
      <c r="P3303" s="3" t="s">
        <v>102</v>
      </c>
      <c r="Q3303" s="2" t="s">
        <v>33098</v>
      </c>
      <c r="R3303" s="3" t="s">
        <v>70</v>
      </c>
      <c r="S3303" s="4">
        <v>8</v>
      </c>
      <c r="T3303" s="4">
        <v>8</v>
      </c>
      <c r="U3303" s="5" t="s">
        <v>10236</v>
      </c>
      <c r="V3303" s="5" t="s">
        <v>10236</v>
      </c>
      <c r="W3303" s="5" t="s">
        <v>72</v>
      </c>
      <c r="X3303" s="5" t="s">
        <v>72</v>
      </c>
      <c r="Y3303" s="4">
        <v>262</v>
      </c>
      <c r="Z3303" s="4">
        <v>13</v>
      </c>
      <c r="AA3303" s="4">
        <v>13</v>
      </c>
      <c r="AB3303" s="4">
        <v>1</v>
      </c>
      <c r="AC3303" s="4">
        <v>1</v>
      </c>
      <c r="AD3303" s="4">
        <v>88</v>
      </c>
      <c r="AE3303" s="4">
        <v>91</v>
      </c>
      <c r="AF3303" s="4">
        <v>0</v>
      </c>
      <c r="AG3303" s="4">
        <v>0</v>
      </c>
      <c r="AH3303" s="4">
        <v>80</v>
      </c>
      <c r="AI3303" s="4">
        <v>82</v>
      </c>
      <c r="AJ3303" s="4">
        <v>9</v>
      </c>
      <c r="AK3303" s="4">
        <v>9</v>
      </c>
      <c r="AL3303" s="4">
        <v>45</v>
      </c>
      <c r="AM3303" s="4">
        <v>48</v>
      </c>
      <c r="AN3303" s="4">
        <v>0</v>
      </c>
      <c r="AO3303" s="4">
        <v>0</v>
      </c>
      <c r="AP3303" s="4">
        <v>10</v>
      </c>
      <c r="AQ3303" s="4">
        <v>10</v>
      </c>
      <c r="AR3303" s="3" t="s">
        <v>64</v>
      </c>
      <c r="AS3303" s="3" t="s">
        <v>128</v>
      </c>
      <c r="AT3303" s="3" t="s">
        <v>64</v>
      </c>
      <c r="AU3303" s="6" t="str">
        <f>HYPERLINK("http://catalog.hathitrust.org/Record/000763086","HathiTrust Record")</f>
        <v>HathiTrust Record</v>
      </c>
      <c r="AV3303" s="6" t="str">
        <f>HYPERLINK("http://mcgill.on.worldcat.org/oclc/6648428","Catalog Record")</f>
        <v>Catalog Record</v>
      </c>
      <c r="AW3303" s="6" t="str">
        <f>HYPERLINK("http://www.worldcat.org/oclc/6648428","WorldCat Record")</f>
        <v>WorldCat Record</v>
      </c>
      <c r="AX3303" s="3" t="s">
        <v>33099</v>
      </c>
      <c r="AY3303" s="3" t="s">
        <v>33100</v>
      </c>
      <c r="AZ3303" s="3" t="s">
        <v>33101</v>
      </c>
      <c r="BA3303" s="3" t="s">
        <v>33101</v>
      </c>
      <c r="BB3303" s="3" t="s">
        <v>33102</v>
      </c>
      <c r="BC3303" s="3" t="s">
        <v>77</v>
      </c>
      <c r="BD3303" s="3" t="s">
        <v>78</v>
      </c>
      <c r="BE3303" s="3" t="s">
        <v>33103</v>
      </c>
      <c r="BF3303" s="3" t="s">
        <v>33102</v>
      </c>
      <c r="BG3303" s="3" t="s">
        <v>33104</v>
      </c>
      <c r="BH3303">
        <f t="shared" si="78"/>
        <v>0</v>
      </c>
    </row>
    <row r="3304" spans="1:60" ht="58" x14ac:dyDescent="0.35">
      <c r="A3304" s="2" t="s">
        <v>59</v>
      </c>
      <c r="B3304" s="2" t="s">
        <v>60</v>
      </c>
      <c r="C3304" s="2" t="s">
        <v>33105</v>
      </c>
      <c r="D3304" s="2" t="s">
        <v>33106</v>
      </c>
      <c r="E3304" s="2" t="s">
        <v>33107</v>
      </c>
      <c r="G3304" s="3" t="s">
        <v>64</v>
      </c>
      <c r="I3304" s="3" t="s">
        <v>64</v>
      </c>
      <c r="J3304" s="3" t="s">
        <v>64</v>
      </c>
      <c r="K3304" s="3" t="s">
        <v>65</v>
      </c>
      <c r="M3304" s="2" t="s">
        <v>9047</v>
      </c>
      <c r="N3304" s="3" t="s">
        <v>1075</v>
      </c>
      <c r="P3304" s="3" t="s">
        <v>102</v>
      </c>
      <c r="R3304" s="3" t="s">
        <v>70</v>
      </c>
      <c r="S3304" s="4">
        <v>9</v>
      </c>
      <c r="T3304" s="4">
        <v>9</v>
      </c>
      <c r="U3304" s="5" t="s">
        <v>33108</v>
      </c>
      <c r="V3304" s="5" t="s">
        <v>33108</v>
      </c>
      <c r="W3304" s="5" t="s">
        <v>72</v>
      </c>
      <c r="X3304" s="5" t="s">
        <v>72</v>
      </c>
      <c r="Y3304" s="4">
        <v>188</v>
      </c>
      <c r="Z3304" s="4">
        <v>21</v>
      </c>
      <c r="AA3304" s="4">
        <v>41</v>
      </c>
      <c r="AB3304" s="4">
        <v>1</v>
      </c>
      <c r="AC3304" s="4">
        <v>6</v>
      </c>
      <c r="AD3304" s="4">
        <v>60</v>
      </c>
      <c r="AE3304" s="4">
        <v>98</v>
      </c>
      <c r="AF3304" s="4">
        <v>0</v>
      </c>
      <c r="AG3304" s="4">
        <v>2</v>
      </c>
      <c r="AH3304" s="4">
        <v>54</v>
      </c>
      <c r="AI3304" s="4">
        <v>83</v>
      </c>
      <c r="AJ3304" s="4">
        <v>9</v>
      </c>
      <c r="AK3304" s="4">
        <v>15</v>
      </c>
      <c r="AL3304" s="4">
        <v>31</v>
      </c>
      <c r="AM3304" s="4">
        <v>44</v>
      </c>
      <c r="AN3304" s="4">
        <v>0</v>
      </c>
      <c r="AO3304" s="4">
        <v>0</v>
      </c>
      <c r="AP3304" s="4">
        <v>12</v>
      </c>
      <c r="AQ3304" s="4">
        <v>23</v>
      </c>
      <c r="AR3304" s="3" t="s">
        <v>64</v>
      </c>
      <c r="AS3304" s="3" t="s">
        <v>64</v>
      </c>
      <c r="AT3304" s="3" t="s">
        <v>64</v>
      </c>
      <c r="AV3304" s="6" t="str">
        <f>HYPERLINK("http://mcgill.on.worldcat.org/oclc/808009203","Catalog Record")</f>
        <v>Catalog Record</v>
      </c>
      <c r="AW3304" s="6" t="str">
        <f>HYPERLINK("http://www.worldcat.org/oclc/808009203","WorldCat Record")</f>
        <v>WorldCat Record</v>
      </c>
      <c r="AX3304" s="3" t="s">
        <v>33109</v>
      </c>
      <c r="AY3304" s="3" t="s">
        <v>33110</v>
      </c>
      <c r="AZ3304" s="3" t="s">
        <v>33111</v>
      </c>
      <c r="BA3304" s="3" t="s">
        <v>33111</v>
      </c>
      <c r="BB3304" s="3" t="s">
        <v>33112</v>
      </c>
      <c r="BC3304" s="3" t="s">
        <v>77</v>
      </c>
      <c r="BD3304" s="3" t="s">
        <v>78</v>
      </c>
      <c r="BE3304" s="3" t="s">
        <v>33113</v>
      </c>
      <c r="BF3304" s="3" t="s">
        <v>33112</v>
      </c>
      <c r="BG3304" s="3" t="s">
        <v>33114</v>
      </c>
      <c r="BH3304">
        <f t="shared" si="78"/>
        <v>0</v>
      </c>
    </row>
    <row r="3305" spans="1:60" ht="58" x14ac:dyDescent="0.35">
      <c r="A3305" s="2" t="s">
        <v>59</v>
      </c>
      <c r="B3305" s="2" t="s">
        <v>60</v>
      </c>
      <c r="C3305" s="2" t="s">
        <v>33115</v>
      </c>
      <c r="D3305" s="2" t="s">
        <v>33116</v>
      </c>
      <c r="E3305" s="2" t="s">
        <v>33117</v>
      </c>
      <c r="G3305" s="3" t="s">
        <v>64</v>
      </c>
      <c r="I3305" s="3" t="s">
        <v>64</v>
      </c>
      <c r="J3305" s="3" t="s">
        <v>64</v>
      </c>
      <c r="K3305" s="3" t="s">
        <v>65</v>
      </c>
      <c r="L3305" s="2" t="s">
        <v>33118</v>
      </c>
      <c r="M3305" s="2" t="s">
        <v>33119</v>
      </c>
      <c r="N3305" s="3" t="s">
        <v>3444</v>
      </c>
      <c r="P3305" s="3" t="s">
        <v>102</v>
      </c>
      <c r="Q3305" s="2" t="s">
        <v>33120</v>
      </c>
      <c r="R3305" s="3" t="s">
        <v>70</v>
      </c>
      <c r="S3305" s="4">
        <v>12</v>
      </c>
      <c r="T3305" s="4">
        <v>12</v>
      </c>
      <c r="U3305" s="5" t="s">
        <v>5158</v>
      </c>
      <c r="V3305" s="5" t="s">
        <v>5158</v>
      </c>
      <c r="W3305" s="5" t="s">
        <v>72</v>
      </c>
      <c r="X3305" s="5" t="s">
        <v>72</v>
      </c>
      <c r="Y3305" s="4">
        <v>153</v>
      </c>
      <c r="Z3305" s="4">
        <v>10</v>
      </c>
      <c r="AA3305" s="4">
        <v>12</v>
      </c>
      <c r="AB3305" s="4">
        <v>1</v>
      </c>
      <c r="AC3305" s="4">
        <v>2</v>
      </c>
      <c r="AD3305" s="4">
        <v>58</v>
      </c>
      <c r="AE3305" s="4">
        <v>61</v>
      </c>
      <c r="AF3305" s="4">
        <v>0</v>
      </c>
      <c r="AG3305" s="4">
        <v>1</v>
      </c>
      <c r="AH3305" s="4">
        <v>55</v>
      </c>
      <c r="AI3305" s="4">
        <v>57</v>
      </c>
      <c r="AJ3305" s="4">
        <v>5</v>
      </c>
      <c r="AK3305" s="4">
        <v>7</v>
      </c>
      <c r="AL3305" s="4">
        <v>38</v>
      </c>
      <c r="AM3305" s="4">
        <v>39</v>
      </c>
      <c r="AN3305" s="4">
        <v>0</v>
      </c>
      <c r="AO3305" s="4">
        <v>0</v>
      </c>
      <c r="AP3305" s="4">
        <v>5</v>
      </c>
      <c r="AQ3305" s="4">
        <v>6</v>
      </c>
      <c r="AR3305" s="3" t="s">
        <v>64</v>
      </c>
      <c r="AS3305" s="3" t="s">
        <v>64</v>
      </c>
      <c r="AT3305" s="3" t="s">
        <v>64</v>
      </c>
      <c r="AU3305" s="6" t="str">
        <f>HYPERLINK("http://catalog.hathitrust.org/Record/001164271","HathiTrust Record")</f>
        <v>HathiTrust Record</v>
      </c>
      <c r="AV3305" s="6" t="str">
        <f>HYPERLINK("http://mcgill.on.worldcat.org/oclc/1413784","Catalog Record")</f>
        <v>Catalog Record</v>
      </c>
      <c r="AW3305" s="6" t="str">
        <f>HYPERLINK("http://www.worldcat.org/oclc/1413784","WorldCat Record")</f>
        <v>WorldCat Record</v>
      </c>
      <c r="AX3305" s="3" t="s">
        <v>33121</v>
      </c>
      <c r="AY3305" s="3" t="s">
        <v>33122</v>
      </c>
      <c r="AZ3305" s="3" t="s">
        <v>33123</v>
      </c>
      <c r="BA3305" s="3" t="s">
        <v>33123</v>
      </c>
      <c r="BB3305" s="3" t="s">
        <v>33124</v>
      </c>
      <c r="BC3305" s="3" t="s">
        <v>77</v>
      </c>
      <c r="BD3305" s="3" t="s">
        <v>165</v>
      </c>
      <c r="BF3305" s="3" t="s">
        <v>33124</v>
      </c>
      <c r="BG3305" s="3" t="s">
        <v>33125</v>
      </c>
      <c r="BH3305">
        <f t="shared" si="78"/>
        <v>0</v>
      </c>
    </row>
    <row r="3306" spans="1:60" ht="58" x14ac:dyDescent="0.35">
      <c r="A3306" s="2" t="s">
        <v>59</v>
      </c>
      <c r="B3306" s="2" t="s">
        <v>60</v>
      </c>
      <c r="C3306" s="2" t="s">
        <v>33126</v>
      </c>
      <c r="D3306" s="2" t="s">
        <v>33127</v>
      </c>
      <c r="E3306" s="2" t="s">
        <v>33128</v>
      </c>
      <c r="G3306" s="3" t="s">
        <v>64</v>
      </c>
      <c r="I3306" s="3" t="s">
        <v>64</v>
      </c>
      <c r="J3306" s="3" t="s">
        <v>64</v>
      </c>
      <c r="K3306" s="3" t="s">
        <v>65</v>
      </c>
      <c r="L3306" s="2" t="s">
        <v>240</v>
      </c>
      <c r="M3306" s="2" t="s">
        <v>33129</v>
      </c>
      <c r="N3306" s="3" t="s">
        <v>7935</v>
      </c>
      <c r="P3306" s="3" t="s">
        <v>102</v>
      </c>
      <c r="R3306" s="3" t="s">
        <v>70</v>
      </c>
      <c r="S3306" s="4">
        <v>8</v>
      </c>
      <c r="T3306" s="4">
        <v>8</v>
      </c>
      <c r="U3306" s="5" t="s">
        <v>33130</v>
      </c>
      <c r="V3306" s="5" t="s">
        <v>33130</v>
      </c>
      <c r="W3306" s="5" t="s">
        <v>72</v>
      </c>
      <c r="X3306" s="5" t="s">
        <v>72</v>
      </c>
      <c r="Y3306" s="4">
        <v>87</v>
      </c>
      <c r="Z3306" s="4">
        <v>7</v>
      </c>
      <c r="AA3306" s="4">
        <v>8</v>
      </c>
      <c r="AB3306" s="4">
        <v>1</v>
      </c>
      <c r="AC3306" s="4">
        <v>1</v>
      </c>
      <c r="AD3306" s="4">
        <v>31</v>
      </c>
      <c r="AE3306" s="4">
        <v>36</v>
      </c>
      <c r="AF3306" s="4">
        <v>0</v>
      </c>
      <c r="AG3306" s="4">
        <v>0</v>
      </c>
      <c r="AH3306" s="4">
        <v>30</v>
      </c>
      <c r="AI3306" s="4">
        <v>35</v>
      </c>
      <c r="AJ3306" s="4">
        <v>2</v>
      </c>
      <c r="AK3306" s="4">
        <v>3</v>
      </c>
      <c r="AL3306" s="4">
        <v>20</v>
      </c>
      <c r="AM3306" s="4">
        <v>23</v>
      </c>
      <c r="AN3306" s="4">
        <v>0</v>
      </c>
      <c r="AO3306" s="4">
        <v>0</v>
      </c>
      <c r="AP3306" s="4">
        <v>3</v>
      </c>
      <c r="AQ3306" s="4">
        <v>4</v>
      </c>
      <c r="AR3306" s="3" t="s">
        <v>64</v>
      </c>
      <c r="AS3306" s="3" t="s">
        <v>64</v>
      </c>
      <c r="AT3306" s="3" t="s">
        <v>128</v>
      </c>
      <c r="AU3306" s="6" t="str">
        <f>HYPERLINK("http://catalog.hathitrust.org/Record/006055923","HathiTrust Record")</f>
        <v>HathiTrust Record</v>
      </c>
      <c r="AV3306" s="6" t="str">
        <f>HYPERLINK("http://mcgill.on.worldcat.org/oclc/3722956","Catalog Record")</f>
        <v>Catalog Record</v>
      </c>
      <c r="AW3306" s="6" t="str">
        <f>HYPERLINK("http://www.worldcat.org/oclc/3722956","WorldCat Record")</f>
        <v>WorldCat Record</v>
      </c>
      <c r="AX3306" s="3" t="s">
        <v>33131</v>
      </c>
      <c r="AY3306" s="3" t="s">
        <v>33132</v>
      </c>
      <c r="AZ3306" s="3" t="s">
        <v>33133</v>
      </c>
      <c r="BA3306" s="3" t="s">
        <v>33133</v>
      </c>
      <c r="BB3306" s="3" t="s">
        <v>33134</v>
      </c>
      <c r="BC3306" s="3" t="s">
        <v>77</v>
      </c>
      <c r="BD3306" s="3" t="s">
        <v>78</v>
      </c>
      <c r="BF3306" s="3" t="s">
        <v>33134</v>
      </c>
      <c r="BG3306" s="3" t="s">
        <v>33135</v>
      </c>
      <c r="BH3306">
        <f t="shared" si="78"/>
        <v>0</v>
      </c>
    </row>
    <row r="3307" spans="1:60" ht="58" x14ac:dyDescent="0.35">
      <c r="A3307" s="2" t="s">
        <v>59</v>
      </c>
      <c r="B3307" s="2" t="s">
        <v>60</v>
      </c>
      <c r="C3307" s="2" t="s">
        <v>33136</v>
      </c>
      <c r="D3307" s="2" t="s">
        <v>33137</v>
      </c>
      <c r="E3307" s="2" t="s">
        <v>33138</v>
      </c>
      <c r="G3307" s="3" t="s">
        <v>64</v>
      </c>
      <c r="I3307" s="3" t="s">
        <v>128</v>
      </c>
      <c r="J3307" s="3" t="s">
        <v>64</v>
      </c>
      <c r="K3307" s="3" t="s">
        <v>65</v>
      </c>
      <c r="L3307" s="2" t="s">
        <v>33139</v>
      </c>
      <c r="M3307" s="2" t="s">
        <v>33140</v>
      </c>
      <c r="N3307" s="3" t="s">
        <v>116</v>
      </c>
      <c r="P3307" s="3" t="s">
        <v>102</v>
      </c>
      <c r="R3307" s="3" t="s">
        <v>70</v>
      </c>
      <c r="S3307" s="4">
        <v>12</v>
      </c>
      <c r="T3307" s="4">
        <v>38</v>
      </c>
      <c r="U3307" s="5" t="s">
        <v>33141</v>
      </c>
      <c r="V3307" s="5" t="s">
        <v>8209</v>
      </c>
      <c r="W3307" s="5" t="s">
        <v>72</v>
      </c>
      <c r="X3307" s="5" t="s">
        <v>72</v>
      </c>
      <c r="Y3307" s="4">
        <v>1714</v>
      </c>
      <c r="Z3307" s="4">
        <v>62</v>
      </c>
      <c r="AA3307" s="4">
        <v>139</v>
      </c>
      <c r="AB3307" s="4">
        <v>3</v>
      </c>
      <c r="AC3307" s="4">
        <v>20</v>
      </c>
      <c r="AD3307" s="4">
        <v>141</v>
      </c>
      <c r="AE3307" s="4">
        <v>163</v>
      </c>
      <c r="AF3307" s="4">
        <v>1</v>
      </c>
      <c r="AG3307" s="4">
        <v>8</v>
      </c>
      <c r="AH3307" s="4">
        <v>111</v>
      </c>
      <c r="AI3307" s="4">
        <v>118</v>
      </c>
      <c r="AJ3307" s="4">
        <v>21</v>
      </c>
      <c r="AK3307" s="4">
        <v>26</v>
      </c>
      <c r="AL3307" s="4">
        <v>57</v>
      </c>
      <c r="AM3307" s="4">
        <v>60</v>
      </c>
      <c r="AN3307" s="4">
        <v>0</v>
      </c>
      <c r="AO3307" s="4">
        <v>0</v>
      </c>
      <c r="AP3307" s="4">
        <v>38</v>
      </c>
      <c r="AQ3307" s="4">
        <v>54</v>
      </c>
      <c r="AR3307" s="3" t="s">
        <v>64</v>
      </c>
      <c r="AS3307" s="3" t="s">
        <v>64</v>
      </c>
      <c r="AT3307" s="3" t="s">
        <v>64</v>
      </c>
      <c r="AV3307" s="6" t="str">
        <f>HYPERLINK("http://mcgill.on.worldcat.org/oclc/45123204","Catalog Record")</f>
        <v>Catalog Record</v>
      </c>
      <c r="AW3307" s="6" t="str">
        <f>HYPERLINK("http://www.worldcat.org/oclc/45123204","WorldCat Record")</f>
        <v>WorldCat Record</v>
      </c>
      <c r="AX3307" s="3" t="s">
        <v>33142</v>
      </c>
      <c r="AY3307" s="3" t="s">
        <v>33143</v>
      </c>
      <c r="AZ3307" s="3" t="s">
        <v>33144</v>
      </c>
      <c r="BA3307" s="3" t="s">
        <v>33144</v>
      </c>
      <c r="BB3307" s="3" t="s">
        <v>33145</v>
      </c>
      <c r="BC3307" s="3" t="s">
        <v>77</v>
      </c>
      <c r="BD3307" s="3" t="s">
        <v>78</v>
      </c>
      <c r="BE3307" s="3" t="s">
        <v>33146</v>
      </c>
      <c r="BF3307" s="3" t="s">
        <v>33145</v>
      </c>
      <c r="BG3307" s="3" t="s">
        <v>33147</v>
      </c>
      <c r="BH3307">
        <f t="shared" si="78"/>
        <v>0</v>
      </c>
    </row>
    <row r="3308" spans="1:60" ht="58" x14ac:dyDescent="0.35">
      <c r="A3308" s="2" t="s">
        <v>59</v>
      </c>
      <c r="B3308" s="2" t="s">
        <v>60</v>
      </c>
      <c r="C3308" s="2" t="s">
        <v>33136</v>
      </c>
      <c r="D3308" s="2" t="s">
        <v>33137</v>
      </c>
      <c r="E3308" s="2" t="s">
        <v>33138</v>
      </c>
      <c r="G3308" s="3" t="s">
        <v>64</v>
      </c>
      <c r="I3308" s="3" t="s">
        <v>128</v>
      </c>
      <c r="J3308" s="3" t="s">
        <v>64</v>
      </c>
      <c r="K3308" s="3" t="s">
        <v>65</v>
      </c>
      <c r="L3308" s="2" t="s">
        <v>33139</v>
      </c>
      <c r="M3308" s="2" t="s">
        <v>33140</v>
      </c>
      <c r="N3308" s="3" t="s">
        <v>116</v>
      </c>
      <c r="P3308" s="3" t="s">
        <v>102</v>
      </c>
      <c r="R3308" s="3" t="s">
        <v>70</v>
      </c>
      <c r="S3308" s="4">
        <v>10</v>
      </c>
      <c r="T3308" s="4">
        <v>38</v>
      </c>
      <c r="U3308" s="5" t="s">
        <v>8209</v>
      </c>
      <c r="V3308" s="5" t="s">
        <v>8209</v>
      </c>
      <c r="W3308" s="5" t="s">
        <v>72</v>
      </c>
      <c r="X3308" s="5" t="s">
        <v>72</v>
      </c>
      <c r="Y3308" s="4">
        <v>1714</v>
      </c>
      <c r="Z3308" s="4">
        <v>62</v>
      </c>
      <c r="AA3308" s="4">
        <v>139</v>
      </c>
      <c r="AB3308" s="4">
        <v>3</v>
      </c>
      <c r="AC3308" s="4">
        <v>20</v>
      </c>
      <c r="AD3308" s="4">
        <v>141</v>
      </c>
      <c r="AE3308" s="4">
        <v>163</v>
      </c>
      <c r="AF3308" s="4">
        <v>1</v>
      </c>
      <c r="AG3308" s="4">
        <v>8</v>
      </c>
      <c r="AH3308" s="4">
        <v>111</v>
      </c>
      <c r="AI3308" s="4">
        <v>118</v>
      </c>
      <c r="AJ3308" s="4">
        <v>21</v>
      </c>
      <c r="AK3308" s="4">
        <v>26</v>
      </c>
      <c r="AL3308" s="4">
        <v>57</v>
      </c>
      <c r="AM3308" s="4">
        <v>60</v>
      </c>
      <c r="AN3308" s="4">
        <v>0</v>
      </c>
      <c r="AO3308" s="4">
        <v>0</v>
      </c>
      <c r="AP3308" s="4">
        <v>38</v>
      </c>
      <c r="AQ3308" s="4">
        <v>54</v>
      </c>
      <c r="AR3308" s="3" t="s">
        <v>64</v>
      </c>
      <c r="AS3308" s="3" t="s">
        <v>64</v>
      </c>
      <c r="AT3308" s="3" t="s">
        <v>64</v>
      </c>
      <c r="AV3308" s="6" t="str">
        <f>HYPERLINK("http://mcgill.on.worldcat.org/oclc/45123204","Catalog Record")</f>
        <v>Catalog Record</v>
      </c>
      <c r="AW3308" s="6" t="str">
        <f>HYPERLINK("http://www.worldcat.org/oclc/45123204","WorldCat Record")</f>
        <v>WorldCat Record</v>
      </c>
      <c r="AX3308" s="3" t="s">
        <v>33142</v>
      </c>
      <c r="AY3308" s="3" t="s">
        <v>33143</v>
      </c>
      <c r="AZ3308" s="3" t="s">
        <v>33144</v>
      </c>
      <c r="BA3308" s="3" t="s">
        <v>33144</v>
      </c>
      <c r="BB3308" s="3" t="s">
        <v>33148</v>
      </c>
      <c r="BC3308" s="3" t="s">
        <v>77</v>
      </c>
      <c r="BD3308" s="3" t="s">
        <v>78</v>
      </c>
      <c r="BE3308" s="3" t="s">
        <v>33146</v>
      </c>
      <c r="BF3308" s="3" t="s">
        <v>33148</v>
      </c>
      <c r="BG3308" s="3" t="s">
        <v>33149</v>
      </c>
      <c r="BH3308">
        <f t="shared" si="78"/>
        <v>0</v>
      </c>
    </row>
    <row r="3309" spans="1:60" ht="58" x14ac:dyDescent="0.35">
      <c r="A3309" s="2" t="s">
        <v>59</v>
      </c>
      <c r="B3309" s="2" t="s">
        <v>60</v>
      </c>
      <c r="C3309" s="2" t="s">
        <v>33136</v>
      </c>
      <c r="D3309" s="2" t="s">
        <v>33137</v>
      </c>
      <c r="E3309" s="2" t="s">
        <v>33138</v>
      </c>
      <c r="G3309" s="3" t="s">
        <v>64</v>
      </c>
      <c r="I3309" s="3" t="s">
        <v>128</v>
      </c>
      <c r="J3309" s="3" t="s">
        <v>64</v>
      </c>
      <c r="K3309" s="3" t="s">
        <v>65</v>
      </c>
      <c r="L3309" s="2" t="s">
        <v>33139</v>
      </c>
      <c r="M3309" s="2" t="s">
        <v>33140</v>
      </c>
      <c r="N3309" s="3" t="s">
        <v>116</v>
      </c>
      <c r="P3309" s="3" t="s">
        <v>102</v>
      </c>
      <c r="R3309" s="3" t="s">
        <v>70</v>
      </c>
      <c r="S3309" s="4">
        <v>16</v>
      </c>
      <c r="T3309" s="4">
        <v>38</v>
      </c>
      <c r="U3309" s="5" t="s">
        <v>33150</v>
      </c>
      <c r="V3309" s="5" t="s">
        <v>8209</v>
      </c>
      <c r="W3309" s="5" t="s">
        <v>72</v>
      </c>
      <c r="X3309" s="5" t="s">
        <v>72</v>
      </c>
      <c r="Y3309" s="4">
        <v>1714</v>
      </c>
      <c r="Z3309" s="4">
        <v>62</v>
      </c>
      <c r="AA3309" s="4">
        <v>139</v>
      </c>
      <c r="AB3309" s="4">
        <v>3</v>
      </c>
      <c r="AC3309" s="4">
        <v>20</v>
      </c>
      <c r="AD3309" s="4">
        <v>141</v>
      </c>
      <c r="AE3309" s="4">
        <v>163</v>
      </c>
      <c r="AF3309" s="4">
        <v>1</v>
      </c>
      <c r="AG3309" s="4">
        <v>8</v>
      </c>
      <c r="AH3309" s="4">
        <v>111</v>
      </c>
      <c r="AI3309" s="4">
        <v>118</v>
      </c>
      <c r="AJ3309" s="4">
        <v>21</v>
      </c>
      <c r="AK3309" s="4">
        <v>26</v>
      </c>
      <c r="AL3309" s="4">
        <v>57</v>
      </c>
      <c r="AM3309" s="4">
        <v>60</v>
      </c>
      <c r="AN3309" s="4">
        <v>0</v>
      </c>
      <c r="AO3309" s="4">
        <v>0</v>
      </c>
      <c r="AP3309" s="4">
        <v>38</v>
      </c>
      <c r="AQ3309" s="4">
        <v>54</v>
      </c>
      <c r="AR3309" s="3" t="s">
        <v>64</v>
      </c>
      <c r="AS3309" s="3" t="s">
        <v>64</v>
      </c>
      <c r="AT3309" s="3" t="s">
        <v>64</v>
      </c>
      <c r="AV3309" s="6" t="str">
        <f>HYPERLINK("http://mcgill.on.worldcat.org/oclc/45123204","Catalog Record")</f>
        <v>Catalog Record</v>
      </c>
      <c r="AW3309" s="6" t="str">
        <f>HYPERLINK("http://www.worldcat.org/oclc/45123204","WorldCat Record")</f>
        <v>WorldCat Record</v>
      </c>
      <c r="AX3309" s="3" t="s">
        <v>33142</v>
      </c>
      <c r="AY3309" s="3" t="s">
        <v>33143</v>
      </c>
      <c r="AZ3309" s="3" t="s">
        <v>33144</v>
      </c>
      <c r="BA3309" s="3" t="s">
        <v>33144</v>
      </c>
      <c r="BB3309" s="3" t="s">
        <v>33151</v>
      </c>
      <c r="BC3309" s="3" t="s">
        <v>77</v>
      </c>
      <c r="BD3309" s="3" t="s">
        <v>78</v>
      </c>
      <c r="BE3309" s="3" t="s">
        <v>33146</v>
      </c>
      <c r="BF3309" s="3" t="s">
        <v>33151</v>
      </c>
      <c r="BG3309" s="3" t="s">
        <v>33152</v>
      </c>
      <c r="BH3309">
        <f t="shared" si="78"/>
        <v>0</v>
      </c>
    </row>
    <row r="3310" spans="1:60" ht="58" x14ac:dyDescent="0.35">
      <c r="A3310" s="2" t="s">
        <v>59</v>
      </c>
      <c r="B3310" s="2" t="s">
        <v>60</v>
      </c>
      <c r="C3310" s="2" t="s">
        <v>33153</v>
      </c>
      <c r="D3310" s="2" t="s">
        <v>33154</v>
      </c>
      <c r="E3310" s="2" t="s">
        <v>33155</v>
      </c>
      <c r="G3310" s="3" t="s">
        <v>64</v>
      </c>
      <c r="I3310" s="3" t="s">
        <v>64</v>
      </c>
      <c r="J3310" s="3" t="s">
        <v>64</v>
      </c>
      <c r="K3310" s="3" t="s">
        <v>65</v>
      </c>
      <c r="L3310" s="2" t="s">
        <v>33156</v>
      </c>
      <c r="M3310" s="2" t="s">
        <v>33157</v>
      </c>
      <c r="N3310" s="3" t="s">
        <v>1004</v>
      </c>
      <c r="P3310" s="3" t="s">
        <v>102</v>
      </c>
      <c r="R3310" s="3" t="s">
        <v>70</v>
      </c>
      <c r="S3310" s="4">
        <v>23</v>
      </c>
      <c r="T3310" s="4">
        <v>23</v>
      </c>
      <c r="U3310" s="5" t="s">
        <v>10236</v>
      </c>
      <c r="V3310" s="5" t="s">
        <v>10236</v>
      </c>
      <c r="W3310" s="5" t="s">
        <v>72</v>
      </c>
      <c r="X3310" s="5" t="s">
        <v>72</v>
      </c>
      <c r="Y3310" s="4">
        <v>6</v>
      </c>
      <c r="Z3310" s="4">
        <v>3</v>
      </c>
      <c r="AA3310" s="4">
        <v>9</v>
      </c>
      <c r="AB3310" s="4">
        <v>1</v>
      </c>
      <c r="AC3310" s="4">
        <v>2</v>
      </c>
      <c r="AD3310" s="4">
        <v>2</v>
      </c>
      <c r="AE3310" s="4">
        <v>46</v>
      </c>
      <c r="AF3310" s="4">
        <v>0</v>
      </c>
      <c r="AG3310" s="4">
        <v>1</v>
      </c>
      <c r="AH3310" s="4">
        <v>2</v>
      </c>
      <c r="AI3310" s="4">
        <v>43</v>
      </c>
      <c r="AJ3310" s="4">
        <v>1</v>
      </c>
      <c r="AK3310" s="4">
        <v>5</v>
      </c>
      <c r="AL3310" s="4">
        <v>2</v>
      </c>
      <c r="AM3310" s="4">
        <v>27</v>
      </c>
      <c r="AN3310" s="4">
        <v>0</v>
      </c>
      <c r="AO3310" s="4">
        <v>0</v>
      </c>
      <c r="AP3310" s="4">
        <v>1</v>
      </c>
      <c r="AQ3310" s="4">
        <v>4</v>
      </c>
      <c r="AR3310" s="3" t="s">
        <v>64</v>
      </c>
      <c r="AS3310" s="3" t="s">
        <v>64</v>
      </c>
      <c r="AT3310" s="3" t="s">
        <v>64</v>
      </c>
      <c r="AV3310" s="6" t="str">
        <f>HYPERLINK("http://mcgill.on.worldcat.org/oclc/427110587","Catalog Record")</f>
        <v>Catalog Record</v>
      </c>
      <c r="AW3310" s="6" t="str">
        <f>HYPERLINK("http://www.worldcat.org/oclc/427110587","WorldCat Record")</f>
        <v>WorldCat Record</v>
      </c>
      <c r="AX3310" s="3" t="s">
        <v>33158</v>
      </c>
      <c r="AY3310" s="3" t="s">
        <v>33159</v>
      </c>
      <c r="AZ3310" s="3" t="s">
        <v>33160</v>
      </c>
      <c r="BA3310" s="3" t="s">
        <v>33160</v>
      </c>
      <c r="BB3310" s="3" t="s">
        <v>33161</v>
      </c>
      <c r="BC3310" s="3" t="s">
        <v>77</v>
      </c>
      <c r="BD3310" s="3" t="s">
        <v>78</v>
      </c>
      <c r="BF3310" s="3" t="s">
        <v>33161</v>
      </c>
      <c r="BG3310" s="3" t="s">
        <v>33162</v>
      </c>
      <c r="BH3310">
        <f t="shared" si="78"/>
        <v>0</v>
      </c>
    </row>
    <row r="3311" spans="1:60" ht="58" x14ac:dyDescent="0.35">
      <c r="A3311" s="2" t="s">
        <v>59</v>
      </c>
      <c r="B3311" s="2" t="s">
        <v>60</v>
      </c>
      <c r="C3311" s="2" t="s">
        <v>33163</v>
      </c>
      <c r="D3311" s="2" t="s">
        <v>33164</v>
      </c>
      <c r="E3311" s="2" t="s">
        <v>33165</v>
      </c>
      <c r="G3311" s="3" t="s">
        <v>64</v>
      </c>
      <c r="I3311" s="3" t="s">
        <v>64</v>
      </c>
      <c r="J3311" s="3" t="s">
        <v>64</v>
      </c>
      <c r="K3311" s="3" t="s">
        <v>65</v>
      </c>
      <c r="L3311" s="2" t="s">
        <v>27347</v>
      </c>
      <c r="M3311" s="2" t="s">
        <v>33166</v>
      </c>
      <c r="N3311" s="3" t="s">
        <v>3527</v>
      </c>
      <c r="P3311" s="3" t="s">
        <v>102</v>
      </c>
      <c r="R3311" s="3" t="s">
        <v>70</v>
      </c>
      <c r="S3311" s="4">
        <v>11</v>
      </c>
      <c r="T3311" s="4">
        <v>11</v>
      </c>
      <c r="U3311" s="5" t="s">
        <v>11814</v>
      </c>
      <c r="V3311" s="5" t="s">
        <v>11814</v>
      </c>
      <c r="W3311" s="5" t="s">
        <v>72</v>
      </c>
      <c r="X3311" s="5" t="s">
        <v>72</v>
      </c>
      <c r="Y3311" s="4">
        <v>293</v>
      </c>
      <c r="Z3311" s="4">
        <v>16</v>
      </c>
      <c r="AA3311" s="4">
        <v>44</v>
      </c>
      <c r="AB3311" s="4">
        <v>3</v>
      </c>
      <c r="AC3311" s="4">
        <v>6</v>
      </c>
      <c r="AD3311" s="4">
        <v>55</v>
      </c>
      <c r="AE3311" s="4">
        <v>109</v>
      </c>
      <c r="AF3311" s="4">
        <v>1</v>
      </c>
      <c r="AG3311" s="4">
        <v>3</v>
      </c>
      <c r="AH3311" s="4">
        <v>46</v>
      </c>
      <c r="AI3311" s="4">
        <v>89</v>
      </c>
      <c r="AJ3311" s="4">
        <v>10</v>
      </c>
      <c r="AK3311" s="4">
        <v>19</v>
      </c>
      <c r="AL3311" s="4">
        <v>23</v>
      </c>
      <c r="AM3311" s="4">
        <v>50</v>
      </c>
      <c r="AN3311" s="4">
        <v>0</v>
      </c>
      <c r="AO3311" s="4">
        <v>1</v>
      </c>
      <c r="AP3311" s="4">
        <v>13</v>
      </c>
      <c r="AQ3311" s="4">
        <v>25</v>
      </c>
      <c r="AR3311" s="3" t="s">
        <v>64</v>
      </c>
      <c r="AS3311" s="3" t="s">
        <v>128</v>
      </c>
      <c r="AT3311" s="3" t="s">
        <v>64</v>
      </c>
      <c r="AU3311" s="6" t="str">
        <f>HYPERLINK("http://catalog.hathitrust.org/Record/001760515","HathiTrust Record")</f>
        <v>HathiTrust Record</v>
      </c>
      <c r="AV3311" s="6" t="str">
        <f>HYPERLINK("http://mcgill.on.worldcat.org/oclc/575157","Catalog Record")</f>
        <v>Catalog Record</v>
      </c>
      <c r="AW3311" s="6" t="str">
        <f>HYPERLINK("http://www.worldcat.org/oclc/575157","WorldCat Record")</f>
        <v>WorldCat Record</v>
      </c>
      <c r="AX3311" s="3" t="s">
        <v>33167</v>
      </c>
      <c r="AY3311" s="3" t="s">
        <v>33168</v>
      </c>
      <c r="AZ3311" s="3" t="s">
        <v>33169</v>
      </c>
      <c r="BA3311" s="3" t="s">
        <v>33169</v>
      </c>
      <c r="BB3311" s="3" t="s">
        <v>33170</v>
      </c>
      <c r="BC3311" s="3" t="s">
        <v>77</v>
      </c>
      <c r="BD3311" s="3" t="s">
        <v>78</v>
      </c>
      <c r="BF3311" s="3" t="s">
        <v>33170</v>
      </c>
      <c r="BG3311" s="3" t="s">
        <v>33171</v>
      </c>
      <c r="BH3311">
        <f t="shared" si="78"/>
        <v>0</v>
      </c>
    </row>
    <row r="3312" spans="1:60" ht="58" x14ac:dyDescent="0.35">
      <c r="A3312" s="2" t="s">
        <v>59</v>
      </c>
      <c r="B3312" s="2" t="s">
        <v>60</v>
      </c>
      <c r="C3312" s="2" t="s">
        <v>33172</v>
      </c>
      <c r="D3312" s="2" t="s">
        <v>33173</v>
      </c>
      <c r="E3312" s="2" t="s">
        <v>33174</v>
      </c>
      <c r="G3312" s="3" t="s">
        <v>64</v>
      </c>
      <c r="I3312" s="3" t="s">
        <v>64</v>
      </c>
      <c r="J3312" s="3" t="s">
        <v>128</v>
      </c>
      <c r="K3312" s="3" t="s">
        <v>65</v>
      </c>
      <c r="L3312" s="2" t="s">
        <v>27347</v>
      </c>
      <c r="M3312" s="2" t="s">
        <v>33175</v>
      </c>
      <c r="N3312" s="3" t="s">
        <v>3272</v>
      </c>
      <c r="P3312" s="3" t="s">
        <v>102</v>
      </c>
      <c r="R3312" s="3" t="s">
        <v>70</v>
      </c>
      <c r="S3312" s="4">
        <v>4</v>
      </c>
      <c r="T3312" s="4">
        <v>4</v>
      </c>
      <c r="U3312" s="5" t="s">
        <v>19277</v>
      </c>
      <c r="V3312" s="5" t="s">
        <v>19277</v>
      </c>
      <c r="W3312" s="5" t="s">
        <v>72</v>
      </c>
      <c r="X3312" s="5" t="s">
        <v>72</v>
      </c>
      <c r="Y3312" s="4">
        <v>186</v>
      </c>
      <c r="Z3312" s="4">
        <v>5</v>
      </c>
      <c r="AA3312" s="4">
        <v>23</v>
      </c>
      <c r="AB3312" s="4">
        <v>1</v>
      </c>
      <c r="AC3312" s="4">
        <v>2</v>
      </c>
      <c r="AD3312" s="4">
        <v>55</v>
      </c>
      <c r="AE3312" s="4">
        <v>100</v>
      </c>
      <c r="AF3312" s="4">
        <v>0</v>
      </c>
      <c r="AG3312" s="4">
        <v>1</v>
      </c>
      <c r="AH3312" s="4">
        <v>52</v>
      </c>
      <c r="AI3312" s="4">
        <v>87</v>
      </c>
      <c r="AJ3312" s="4">
        <v>1</v>
      </c>
      <c r="AK3312" s="4">
        <v>11</v>
      </c>
      <c r="AL3312" s="4">
        <v>33</v>
      </c>
      <c r="AM3312" s="4">
        <v>51</v>
      </c>
      <c r="AN3312" s="4">
        <v>0</v>
      </c>
      <c r="AO3312" s="4">
        <v>0</v>
      </c>
      <c r="AP3312" s="4">
        <v>2</v>
      </c>
      <c r="AQ3312" s="4">
        <v>15</v>
      </c>
      <c r="AR3312" s="3" t="s">
        <v>64</v>
      </c>
      <c r="AS3312" s="3" t="s">
        <v>64</v>
      </c>
      <c r="AT3312" s="3" t="s">
        <v>64</v>
      </c>
      <c r="AU3312" s="6" t="str">
        <f>HYPERLINK("http://catalog.hathitrust.org/Record/001164326","HathiTrust Record")</f>
        <v>HathiTrust Record</v>
      </c>
      <c r="AV3312" s="6" t="str">
        <f>HYPERLINK("http://mcgill.on.worldcat.org/oclc/2522516","Catalog Record")</f>
        <v>Catalog Record</v>
      </c>
      <c r="AW3312" s="6" t="str">
        <f>HYPERLINK("http://www.worldcat.org/oclc/2522516","WorldCat Record")</f>
        <v>WorldCat Record</v>
      </c>
      <c r="AX3312" s="3" t="s">
        <v>33176</v>
      </c>
      <c r="AY3312" s="3" t="s">
        <v>33177</v>
      </c>
      <c r="AZ3312" s="3" t="s">
        <v>33178</v>
      </c>
      <c r="BA3312" s="3" t="s">
        <v>33178</v>
      </c>
      <c r="BB3312" s="3" t="s">
        <v>33179</v>
      </c>
      <c r="BC3312" s="3" t="s">
        <v>77</v>
      </c>
      <c r="BD3312" s="3" t="s">
        <v>78</v>
      </c>
      <c r="BF3312" s="3" t="s">
        <v>33179</v>
      </c>
      <c r="BG3312" s="3" t="s">
        <v>33180</v>
      </c>
      <c r="BH3312">
        <f t="shared" si="78"/>
        <v>0</v>
      </c>
    </row>
    <row r="3313" spans="1:60" ht="87" x14ac:dyDescent="0.35">
      <c r="A3313" s="2" t="s">
        <v>59</v>
      </c>
      <c r="B3313" s="2" t="s">
        <v>60</v>
      </c>
      <c r="C3313" s="2" t="s">
        <v>33181</v>
      </c>
      <c r="D3313" s="2" t="s">
        <v>33182</v>
      </c>
      <c r="E3313" s="2" t="s">
        <v>33183</v>
      </c>
      <c r="G3313" s="3" t="s">
        <v>64</v>
      </c>
      <c r="I3313" s="3" t="s">
        <v>64</v>
      </c>
      <c r="J3313" s="3" t="s">
        <v>64</v>
      </c>
      <c r="K3313" s="3" t="s">
        <v>65</v>
      </c>
      <c r="L3313" s="2" t="s">
        <v>21300</v>
      </c>
      <c r="M3313" s="2" t="s">
        <v>33184</v>
      </c>
      <c r="N3313" s="3" t="s">
        <v>1075</v>
      </c>
      <c r="O3313" s="2" t="s">
        <v>21302</v>
      </c>
      <c r="P3313" s="3" t="s">
        <v>102</v>
      </c>
      <c r="R3313" s="3" t="s">
        <v>70</v>
      </c>
      <c r="S3313" s="4">
        <v>1</v>
      </c>
      <c r="T3313" s="4">
        <v>1</v>
      </c>
      <c r="U3313" s="5" t="s">
        <v>6890</v>
      </c>
      <c r="V3313" s="5" t="s">
        <v>6890</v>
      </c>
      <c r="W3313" s="5" t="s">
        <v>72</v>
      </c>
      <c r="X3313" s="5" t="s">
        <v>72</v>
      </c>
      <c r="Y3313" s="4">
        <v>87</v>
      </c>
      <c r="Z3313" s="4">
        <v>6</v>
      </c>
      <c r="AA3313" s="4">
        <v>11</v>
      </c>
      <c r="AB3313" s="4">
        <v>1</v>
      </c>
      <c r="AC3313" s="4">
        <v>1</v>
      </c>
      <c r="AD3313" s="4">
        <v>41</v>
      </c>
      <c r="AE3313" s="4">
        <v>44</v>
      </c>
      <c r="AF3313" s="4">
        <v>0</v>
      </c>
      <c r="AG3313" s="4">
        <v>0</v>
      </c>
      <c r="AH3313" s="4">
        <v>38</v>
      </c>
      <c r="AI3313" s="4">
        <v>41</v>
      </c>
      <c r="AJ3313" s="4">
        <v>4</v>
      </c>
      <c r="AK3313" s="4">
        <v>6</v>
      </c>
      <c r="AL3313" s="4">
        <v>25</v>
      </c>
      <c r="AM3313" s="4">
        <v>26</v>
      </c>
      <c r="AN3313" s="4">
        <v>0</v>
      </c>
      <c r="AO3313" s="4">
        <v>0</v>
      </c>
      <c r="AP3313" s="4">
        <v>5</v>
      </c>
      <c r="AQ3313" s="4">
        <v>7</v>
      </c>
      <c r="AR3313" s="3" t="s">
        <v>64</v>
      </c>
      <c r="AS3313" s="3" t="s">
        <v>64</v>
      </c>
      <c r="AT3313" s="3" t="s">
        <v>64</v>
      </c>
      <c r="AV3313" s="6" t="str">
        <f>HYPERLINK("http://mcgill.on.worldcat.org/oclc/861773861","Catalog Record")</f>
        <v>Catalog Record</v>
      </c>
      <c r="AW3313" s="6" t="str">
        <f>HYPERLINK("http://www.worldcat.org/oclc/861773861","WorldCat Record")</f>
        <v>WorldCat Record</v>
      </c>
      <c r="AX3313" s="3" t="s">
        <v>33185</v>
      </c>
      <c r="AY3313" s="3" t="s">
        <v>33186</v>
      </c>
      <c r="AZ3313" s="3" t="s">
        <v>33187</v>
      </c>
      <c r="BA3313" s="3" t="s">
        <v>33187</v>
      </c>
      <c r="BB3313" s="3" t="s">
        <v>33188</v>
      </c>
      <c r="BC3313" s="3" t="s">
        <v>77</v>
      </c>
      <c r="BD3313" s="3" t="s">
        <v>78</v>
      </c>
      <c r="BE3313" s="3" t="s">
        <v>33189</v>
      </c>
      <c r="BF3313" s="3" t="s">
        <v>33188</v>
      </c>
      <c r="BG3313" s="3" t="s">
        <v>33190</v>
      </c>
      <c r="BH3313">
        <f t="shared" si="78"/>
        <v>0</v>
      </c>
    </row>
    <row r="3314" spans="1:60" ht="58" x14ac:dyDescent="0.35">
      <c r="A3314" s="2" t="s">
        <v>59</v>
      </c>
      <c r="B3314" s="2" t="s">
        <v>60</v>
      </c>
      <c r="C3314" s="2" t="s">
        <v>33191</v>
      </c>
      <c r="D3314" s="2" t="s">
        <v>33192</v>
      </c>
      <c r="E3314" s="2" t="s">
        <v>33193</v>
      </c>
      <c r="G3314" s="3" t="s">
        <v>64</v>
      </c>
      <c r="I3314" s="3" t="s">
        <v>64</v>
      </c>
      <c r="J3314" s="3" t="s">
        <v>128</v>
      </c>
      <c r="K3314" s="3" t="s">
        <v>65</v>
      </c>
      <c r="L3314" s="2" t="s">
        <v>33194</v>
      </c>
      <c r="M3314" s="2" t="s">
        <v>33195</v>
      </c>
      <c r="N3314" s="3" t="s">
        <v>131</v>
      </c>
      <c r="P3314" s="3" t="s">
        <v>102</v>
      </c>
      <c r="R3314" s="3" t="s">
        <v>70</v>
      </c>
      <c r="S3314" s="4">
        <v>12</v>
      </c>
      <c r="T3314" s="4">
        <v>12</v>
      </c>
      <c r="U3314" s="5" t="s">
        <v>19277</v>
      </c>
      <c r="V3314" s="5" t="s">
        <v>19277</v>
      </c>
      <c r="W3314" s="5" t="s">
        <v>72</v>
      </c>
      <c r="X3314" s="5" t="s">
        <v>72</v>
      </c>
      <c r="Y3314" s="4">
        <v>335</v>
      </c>
      <c r="Z3314" s="4">
        <v>11</v>
      </c>
      <c r="AA3314" s="4">
        <v>36</v>
      </c>
      <c r="AB3314" s="4">
        <v>3</v>
      </c>
      <c r="AC3314" s="4">
        <v>7</v>
      </c>
      <c r="AD3314" s="4">
        <v>50</v>
      </c>
      <c r="AE3314" s="4">
        <v>116</v>
      </c>
      <c r="AF3314" s="4">
        <v>1</v>
      </c>
      <c r="AG3314" s="4">
        <v>3</v>
      </c>
      <c r="AH3314" s="4">
        <v>43</v>
      </c>
      <c r="AI3314" s="4">
        <v>97</v>
      </c>
      <c r="AJ3314" s="4">
        <v>8</v>
      </c>
      <c r="AK3314" s="4">
        <v>18</v>
      </c>
      <c r="AL3314" s="4">
        <v>24</v>
      </c>
      <c r="AM3314" s="4">
        <v>56</v>
      </c>
      <c r="AN3314" s="4">
        <v>0</v>
      </c>
      <c r="AO3314" s="4">
        <v>5</v>
      </c>
      <c r="AP3314" s="4">
        <v>9</v>
      </c>
      <c r="AQ3314" s="4">
        <v>22</v>
      </c>
      <c r="AR3314" s="3" t="s">
        <v>64</v>
      </c>
      <c r="AS3314" s="3" t="s">
        <v>64</v>
      </c>
      <c r="AT3314" s="3" t="s">
        <v>128</v>
      </c>
      <c r="AU3314" s="6" t="str">
        <f>HYPERLINK("http://catalog.hathitrust.org/Record/001164329","HathiTrust Record")</f>
        <v>HathiTrust Record</v>
      </c>
      <c r="AV3314" s="6" t="str">
        <f>HYPERLINK("http://mcgill.on.worldcat.org/oclc/778820","Catalog Record")</f>
        <v>Catalog Record</v>
      </c>
      <c r="AW3314" s="6" t="str">
        <f>HYPERLINK("http://www.worldcat.org/oclc/778820","WorldCat Record")</f>
        <v>WorldCat Record</v>
      </c>
      <c r="AX3314" s="3" t="s">
        <v>33196</v>
      </c>
      <c r="AY3314" s="3" t="s">
        <v>33197</v>
      </c>
      <c r="AZ3314" s="3" t="s">
        <v>33198</v>
      </c>
      <c r="BA3314" s="3" t="s">
        <v>33198</v>
      </c>
      <c r="BB3314" s="3" t="s">
        <v>33199</v>
      </c>
      <c r="BC3314" s="3" t="s">
        <v>77</v>
      </c>
      <c r="BD3314" s="3" t="s">
        <v>78</v>
      </c>
      <c r="BF3314" s="3" t="s">
        <v>33199</v>
      </c>
      <c r="BG3314" s="3" t="s">
        <v>33200</v>
      </c>
      <c r="BH3314">
        <f t="shared" si="78"/>
        <v>0</v>
      </c>
    </row>
    <row r="3315" spans="1:60" ht="58" x14ac:dyDescent="0.35">
      <c r="A3315" s="2" t="s">
        <v>59</v>
      </c>
      <c r="B3315" s="2" t="s">
        <v>60</v>
      </c>
      <c r="C3315" s="2" t="s">
        <v>33201</v>
      </c>
      <c r="D3315" s="2" t="s">
        <v>33202</v>
      </c>
      <c r="E3315" s="2" t="s">
        <v>33203</v>
      </c>
      <c r="G3315" s="3" t="s">
        <v>64</v>
      </c>
      <c r="I3315" s="3" t="s">
        <v>64</v>
      </c>
      <c r="J3315" s="3" t="s">
        <v>64</v>
      </c>
      <c r="K3315" s="3" t="s">
        <v>65</v>
      </c>
      <c r="L3315" s="2" t="s">
        <v>33204</v>
      </c>
      <c r="M3315" s="2" t="s">
        <v>33205</v>
      </c>
      <c r="N3315" s="3" t="s">
        <v>511</v>
      </c>
      <c r="P3315" s="3" t="s">
        <v>102</v>
      </c>
      <c r="R3315" s="3" t="s">
        <v>70</v>
      </c>
      <c r="S3315" s="4">
        <v>3</v>
      </c>
      <c r="T3315" s="4">
        <v>3</v>
      </c>
      <c r="U3315" s="5" t="s">
        <v>33206</v>
      </c>
      <c r="V3315" s="5" t="s">
        <v>33206</v>
      </c>
      <c r="W3315" s="5" t="s">
        <v>72</v>
      </c>
      <c r="X3315" s="5" t="s">
        <v>72</v>
      </c>
      <c r="Y3315" s="4">
        <v>208</v>
      </c>
      <c r="Z3315" s="4">
        <v>19</v>
      </c>
      <c r="AA3315" s="4">
        <v>40</v>
      </c>
      <c r="AB3315" s="4">
        <v>1</v>
      </c>
      <c r="AC3315" s="4">
        <v>6</v>
      </c>
      <c r="AD3315" s="4">
        <v>85</v>
      </c>
      <c r="AE3315" s="4">
        <v>115</v>
      </c>
      <c r="AF3315" s="4">
        <v>0</v>
      </c>
      <c r="AG3315" s="4">
        <v>2</v>
      </c>
      <c r="AH3315" s="4">
        <v>78</v>
      </c>
      <c r="AI3315" s="4">
        <v>97</v>
      </c>
      <c r="AJ3315" s="4">
        <v>10</v>
      </c>
      <c r="AK3315" s="4">
        <v>16</v>
      </c>
      <c r="AL3315" s="4">
        <v>46</v>
      </c>
      <c r="AM3315" s="4">
        <v>52</v>
      </c>
      <c r="AN3315" s="4">
        <v>0</v>
      </c>
      <c r="AO3315" s="4">
        <v>0</v>
      </c>
      <c r="AP3315" s="4">
        <v>13</v>
      </c>
      <c r="AQ3315" s="4">
        <v>25</v>
      </c>
      <c r="AR3315" s="3" t="s">
        <v>64</v>
      </c>
      <c r="AS3315" s="3" t="s">
        <v>64</v>
      </c>
      <c r="AT3315" s="3" t="s">
        <v>64</v>
      </c>
      <c r="AV3315" s="6" t="str">
        <f>HYPERLINK("http://mcgill.on.worldcat.org/oclc/428033347","Catalog Record")</f>
        <v>Catalog Record</v>
      </c>
      <c r="AW3315" s="6" t="str">
        <f>HYPERLINK("http://www.worldcat.org/oclc/428033347","WorldCat Record")</f>
        <v>WorldCat Record</v>
      </c>
      <c r="AX3315" s="3" t="s">
        <v>33207</v>
      </c>
      <c r="AY3315" s="3" t="s">
        <v>33208</v>
      </c>
      <c r="AZ3315" s="3" t="s">
        <v>33209</v>
      </c>
      <c r="BA3315" s="3" t="s">
        <v>33209</v>
      </c>
      <c r="BB3315" s="3" t="s">
        <v>33210</v>
      </c>
      <c r="BC3315" s="3" t="s">
        <v>77</v>
      </c>
      <c r="BD3315" s="3" t="s">
        <v>78</v>
      </c>
      <c r="BE3315" s="3" t="s">
        <v>33211</v>
      </c>
      <c r="BF3315" s="3" t="s">
        <v>33210</v>
      </c>
      <c r="BG3315" s="3" t="s">
        <v>33212</v>
      </c>
      <c r="BH3315">
        <f t="shared" si="78"/>
        <v>0</v>
      </c>
    </row>
    <row r="3316" spans="1:60" ht="58" x14ac:dyDescent="0.35">
      <c r="A3316" s="2" t="s">
        <v>59</v>
      </c>
      <c r="B3316" s="2" t="s">
        <v>60</v>
      </c>
      <c r="C3316" s="2" t="s">
        <v>33213</v>
      </c>
      <c r="D3316" s="2" t="s">
        <v>33214</v>
      </c>
      <c r="E3316" s="2" t="s">
        <v>33215</v>
      </c>
      <c r="G3316" s="3" t="s">
        <v>64</v>
      </c>
      <c r="I3316" s="3" t="s">
        <v>64</v>
      </c>
      <c r="J3316" s="3" t="s">
        <v>64</v>
      </c>
      <c r="K3316" s="3" t="s">
        <v>65</v>
      </c>
      <c r="L3316" s="2" t="s">
        <v>33216</v>
      </c>
      <c r="M3316" s="2" t="s">
        <v>33217</v>
      </c>
      <c r="N3316" s="3" t="s">
        <v>3584</v>
      </c>
      <c r="P3316" s="3" t="s">
        <v>102</v>
      </c>
      <c r="R3316" s="3" t="s">
        <v>70</v>
      </c>
      <c r="S3316" s="4">
        <v>11</v>
      </c>
      <c r="T3316" s="4">
        <v>11</v>
      </c>
      <c r="U3316" s="5" t="s">
        <v>33130</v>
      </c>
      <c r="V3316" s="5" t="s">
        <v>33130</v>
      </c>
      <c r="W3316" s="5" t="s">
        <v>72</v>
      </c>
      <c r="X3316" s="5" t="s">
        <v>72</v>
      </c>
      <c r="Y3316" s="4">
        <v>286</v>
      </c>
      <c r="Z3316" s="4">
        <v>20</v>
      </c>
      <c r="AA3316" s="4">
        <v>21</v>
      </c>
      <c r="AB3316" s="4">
        <v>3</v>
      </c>
      <c r="AC3316" s="4">
        <v>4</v>
      </c>
      <c r="AD3316" s="4">
        <v>90</v>
      </c>
      <c r="AE3316" s="4">
        <v>91</v>
      </c>
      <c r="AF3316" s="4">
        <v>1</v>
      </c>
      <c r="AG3316" s="4">
        <v>2</v>
      </c>
      <c r="AH3316" s="4">
        <v>82</v>
      </c>
      <c r="AI3316" s="4">
        <v>82</v>
      </c>
      <c r="AJ3316" s="4">
        <v>14</v>
      </c>
      <c r="AK3316" s="4">
        <v>15</v>
      </c>
      <c r="AL3316" s="4">
        <v>44</v>
      </c>
      <c r="AM3316" s="4">
        <v>44</v>
      </c>
      <c r="AN3316" s="4">
        <v>0</v>
      </c>
      <c r="AO3316" s="4">
        <v>0</v>
      </c>
      <c r="AP3316" s="4">
        <v>14</v>
      </c>
      <c r="AQ3316" s="4">
        <v>14</v>
      </c>
      <c r="AR3316" s="3" t="s">
        <v>64</v>
      </c>
      <c r="AS3316" s="3" t="s">
        <v>64</v>
      </c>
      <c r="AT3316" s="3" t="s">
        <v>128</v>
      </c>
      <c r="AU3316" s="6" t="str">
        <f>HYPERLINK("http://catalog.hathitrust.org/Record/000213197","HathiTrust Record")</f>
        <v>HathiTrust Record</v>
      </c>
      <c r="AV3316" s="6" t="str">
        <f>HYPERLINK("http://mcgill.on.worldcat.org/oclc/2955774","Catalog Record")</f>
        <v>Catalog Record</v>
      </c>
      <c r="AW3316" s="6" t="str">
        <f>HYPERLINK("http://www.worldcat.org/oclc/2955774","WorldCat Record")</f>
        <v>WorldCat Record</v>
      </c>
      <c r="AX3316" s="3" t="s">
        <v>33218</v>
      </c>
      <c r="AY3316" s="3" t="s">
        <v>33219</v>
      </c>
      <c r="AZ3316" s="3" t="s">
        <v>33220</v>
      </c>
      <c r="BA3316" s="3" t="s">
        <v>33220</v>
      </c>
      <c r="BB3316" s="3" t="s">
        <v>33221</v>
      </c>
      <c r="BC3316" s="3" t="s">
        <v>77</v>
      </c>
      <c r="BD3316" s="3" t="s">
        <v>78</v>
      </c>
      <c r="BE3316" s="3" t="s">
        <v>33222</v>
      </c>
      <c r="BF3316" s="3" t="s">
        <v>33221</v>
      </c>
      <c r="BG3316" s="3" t="s">
        <v>33223</v>
      </c>
      <c r="BH3316">
        <f t="shared" si="78"/>
        <v>0</v>
      </c>
    </row>
    <row r="3317" spans="1:60" ht="58" x14ac:dyDescent="0.35">
      <c r="A3317" s="2" t="s">
        <v>59</v>
      </c>
      <c r="B3317" s="2" t="s">
        <v>60</v>
      </c>
      <c r="C3317" s="2" t="s">
        <v>33224</v>
      </c>
      <c r="D3317" s="2" t="s">
        <v>33225</v>
      </c>
      <c r="E3317" s="2" t="s">
        <v>33226</v>
      </c>
      <c r="G3317" s="3" t="s">
        <v>64</v>
      </c>
      <c r="I3317" s="3" t="s">
        <v>64</v>
      </c>
      <c r="J3317" s="3" t="s">
        <v>64</v>
      </c>
      <c r="K3317" s="3" t="s">
        <v>65</v>
      </c>
      <c r="L3317" s="2" t="s">
        <v>33227</v>
      </c>
      <c r="M3317" s="2" t="s">
        <v>33228</v>
      </c>
      <c r="N3317" s="3" t="s">
        <v>1938</v>
      </c>
      <c r="P3317" s="3" t="s">
        <v>102</v>
      </c>
      <c r="R3317" s="3" t="s">
        <v>70</v>
      </c>
      <c r="S3317" s="4">
        <v>42</v>
      </c>
      <c r="T3317" s="4">
        <v>42</v>
      </c>
      <c r="U3317" s="5" t="s">
        <v>7748</v>
      </c>
      <c r="V3317" s="5" t="s">
        <v>7748</v>
      </c>
      <c r="W3317" s="5" t="s">
        <v>72</v>
      </c>
      <c r="X3317" s="5" t="s">
        <v>72</v>
      </c>
      <c r="Y3317" s="4">
        <v>96</v>
      </c>
      <c r="Z3317" s="4">
        <v>16</v>
      </c>
      <c r="AA3317" s="4">
        <v>29</v>
      </c>
      <c r="AB3317" s="4">
        <v>1</v>
      </c>
      <c r="AC3317" s="4">
        <v>4</v>
      </c>
      <c r="AD3317" s="4">
        <v>43</v>
      </c>
      <c r="AE3317" s="4">
        <v>87</v>
      </c>
      <c r="AF3317" s="4">
        <v>0</v>
      </c>
      <c r="AG3317" s="4">
        <v>3</v>
      </c>
      <c r="AH3317" s="4">
        <v>38</v>
      </c>
      <c r="AI3317" s="4">
        <v>75</v>
      </c>
      <c r="AJ3317" s="4">
        <v>11</v>
      </c>
      <c r="AK3317" s="4">
        <v>17</v>
      </c>
      <c r="AL3317" s="4">
        <v>21</v>
      </c>
      <c r="AM3317" s="4">
        <v>38</v>
      </c>
      <c r="AN3317" s="4">
        <v>0</v>
      </c>
      <c r="AO3317" s="4">
        <v>0</v>
      </c>
      <c r="AP3317" s="4">
        <v>11</v>
      </c>
      <c r="AQ3317" s="4">
        <v>19</v>
      </c>
      <c r="AR3317" s="3" t="s">
        <v>64</v>
      </c>
      <c r="AS3317" s="3" t="s">
        <v>64</v>
      </c>
      <c r="AT3317" s="3" t="s">
        <v>128</v>
      </c>
      <c r="AU3317" s="6" t="str">
        <f>HYPERLINK("http://catalog.hathitrust.org/Record/002433095","HathiTrust Record")</f>
        <v>HathiTrust Record</v>
      </c>
      <c r="AV3317" s="6" t="str">
        <f>HYPERLINK("http://mcgill.on.worldcat.org/oclc/36101488","Catalog Record")</f>
        <v>Catalog Record</v>
      </c>
      <c r="AW3317" s="6" t="str">
        <f>HYPERLINK("http://www.worldcat.org/oclc/36101488","WorldCat Record")</f>
        <v>WorldCat Record</v>
      </c>
      <c r="AX3317" s="3" t="s">
        <v>33229</v>
      </c>
      <c r="AY3317" s="3" t="s">
        <v>33230</v>
      </c>
      <c r="AZ3317" s="3" t="s">
        <v>33231</v>
      </c>
      <c r="BA3317" s="3" t="s">
        <v>33231</v>
      </c>
      <c r="BB3317" s="3" t="s">
        <v>33232</v>
      </c>
      <c r="BC3317" s="3" t="s">
        <v>77</v>
      </c>
      <c r="BD3317" s="3" t="s">
        <v>78</v>
      </c>
      <c r="BE3317" s="3" t="s">
        <v>33233</v>
      </c>
      <c r="BF3317" s="3" t="s">
        <v>33232</v>
      </c>
      <c r="BG3317" s="3" t="s">
        <v>33234</v>
      </c>
      <c r="BH3317">
        <f t="shared" si="78"/>
        <v>0</v>
      </c>
    </row>
    <row r="3318" spans="1:60" ht="58" x14ac:dyDescent="0.35">
      <c r="A3318" s="2" t="s">
        <v>59</v>
      </c>
      <c r="B3318" s="2" t="s">
        <v>60</v>
      </c>
      <c r="C3318" s="2" t="s">
        <v>33235</v>
      </c>
      <c r="D3318" s="2" t="s">
        <v>33236</v>
      </c>
      <c r="E3318" s="2" t="s">
        <v>33237</v>
      </c>
      <c r="G3318" s="3" t="s">
        <v>64</v>
      </c>
      <c r="I3318" s="3" t="s">
        <v>64</v>
      </c>
      <c r="J3318" s="3" t="s">
        <v>64</v>
      </c>
      <c r="K3318" s="3" t="s">
        <v>65</v>
      </c>
      <c r="L3318" s="2" t="s">
        <v>33238</v>
      </c>
      <c r="M3318" s="2" t="s">
        <v>33239</v>
      </c>
      <c r="N3318" s="3" t="s">
        <v>1087</v>
      </c>
      <c r="P3318" s="3" t="s">
        <v>102</v>
      </c>
      <c r="Q3318" s="2" t="s">
        <v>33240</v>
      </c>
      <c r="R3318" s="3" t="s">
        <v>70</v>
      </c>
      <c r="S3318" s="4">
        <v>26</v>
      </c>
      <c r="T3318" s="4">
        <v>26</v>
      </c>
      <c r="U3318" s="5" t="s">
        <v>18312</v>
      </c>
      <c r="V3318" s="5" t="s">
        <v>18312</v>
      </c>
      <c r="W3318" s="5" t="s">
        <v>72</v>
      </c>
      <c r="X3318" s="5" t="s">
        <v>72</v>
      </c>
      <c r="Y3318" s="4">
        <v>348</v>
      </c>
      <c r="Z3318" s="4">
        <v>23</v>
      </c>
      <c r="AA3318" s="4">
        <v>99</v>
      </c>
      <c r="AB3318" s="4">
        <v>1</v>
      </c>
      <c r="AC3318" s="4">
        <v>17</v>
      </c>
      <c r="AD3318" s="4">
        <v>108</v>
      </c>
      <c r="AE3318" s="4">
        <v>149</v>
      </c>
      <c r="AF3318" s="4">
        <v>0</v>
      </c>
      <c r="AG3318" s="4">
        <v>8</v>
      </c>
      <c r="AH3318" s="4">
        <v>95</v>
      </c>
      <c r="AI3318" s="4">
        <v>107</v>
      </c>
      <c r="AJ3318" s="4">
        <v>12</v>
      </c>
      <c r="AK3318" s="4">
        <v>24</v>
      </c>
      <c r="AL3318" s="4">
        <v>58</v>
      </c>
      <c r="AM3318" s="4">
        <v>60</v>
      </c>
      <c r="AN3318" s="4">
        <v>0</v>
      </c>
      <c r="AO3318" s="4">
        <v>0</v>
      </c>
      <c r="AP3318" s="4">
        <v>17</v>
      </c>
      <c r="AQ3318" s="4">
        <v>48</v>
      </c>
      <c r="AR3318" s="3" t="s">
        <v>64</v>
      </c>
      <c r="AS3318" s="3" t="s">
        <v>64</v>
      </c>
      <c r="AT3318" s="3" t="s">
        <v>64</v>
      </c>
      <c r="AV3318" s="6" t="str">
        <f>HYPERLINK("http://mcgill.on.worldcat.org/oclc/24246910","Catalog Record")</f>
        <v>Catalog Record</v>
      </c>
      <c r="AW3318" s="6" t="str">
        <f>HYPERLINK("http://www.worldcat.org/oclc/24246910","WorldCat Record")</f>
        <v>WorldCat Record</v>
      </c>
      <c r="AX3318" s="3" t="s">
        <v>33241</v>
      </c>
      <c r="AY3318" s="3" t="s">
        <v>33242</v>
      </c>
      <c r="AZ3318" s="3" t="s">
        <v>33243</v>
      </c>
      <c r="BA3318" s="3" t="s">
        <v>33243</v>
      </c>
      <c r="BB3318" s="3" t="s">
        <v>33244</v>
      </c>
      <c r="BC3318" s="3" t="s">
        <v>77</v>
      </c>
      <c r="BD3318" s="3" t="s">
        <v>78</v>
      </c>
      <c r="BE3318" s="3" t="s">
        <v>33245</v>
      </c>
      <c r="BF3318" s="3" t="s">
        <v>33244</v>
      </c>
      <c r="BG3318" s="3" t="s">
        <v>33246</v>
      </c>
      <c r="BH3318">
        <f t="shared" si="78"/>
        <v>0</v>
      </c>
    </row>
    <row r="3319" spans="1:60" ht="58" x14ac:dyDescent="0.35">
      <c r="A3319" s="2" t="s">
        <v>59</v>
      </c>
      <c r="B3319" s="2" t="s">
        <v>60</v>
      </c>
      <c r="C3319" s="2" t="s">
        <v>33247</v>
      </c>
      <c r="D3319" s="2" t="s">
        <v>33248</v>
      </c>
      <c r="E3319" s="2" t="s">
        <v>33249</v>
      </c>
      <c r="G3319" s="3" t="s">
        <v>64</v>
      </c>
      <c r="I3319" s="3" t="s">
        <v>64</v>
      </c>
      <c r="J3319" s="3" t="s">
        <v>64</v>
      </c>
      <c r="K3319" s="3" t="s">
        <v>65</v>
      </c>
      <c r="L3319" s="2" t="s">
        <v>33250</v>
      </c>
      <c r="M3319" s="2" t="s">
        <v>33251</v>
      </c>
      <c r="N3319" s="3" t="s">
        <v>2067</v>
      </c>
      <c r="P3319" s="3" t="s">
        <v>102</v>
      </c>
      <c r="Q3319" s="2" t="s">
        <v>33252</v>
      </c>
      <c r="R3319" s="3" t="s">
        <v>70</v>
      </c>
      <c r="S3319" s="4">
        <v>53</v>
      </c>
      <c r="T3319" s="4">
        <v>53</v>
      </c>
      <c r="U3319" s="5" t="s">
        <v>9951</v>
      </c>
      <c r="V3319" s="5" t="s">
        <v>9951</v>
      </c>
      <c r="W3319" s="5" t="s">
        <v>72</v>
      </c>
      <c r="X3319" s="5" t="s">
        <v>72</v>
      </c>
      <c r="Y3319" s="4">
        <v>745</v>
      </c>
      <c r="Z3319" s="4">
        <v>18</v>
      </c>
      <c r="AA3319" s="4">
        <v>60</v>
      </c>
      <c r="AB3319" s="4">
        <v>1</v>
      </c>
      <c r="AC3319" s="4">
        <v>7</v>
      </c>
      <c r="AD3319" s="4">
        <v>69</v>
      </c>
      <c r="AE3319" s="4">
        <v>141</v>
      </c>
      <c r="AF3319" s="4">
        <v>0</v>
      </c>
      <c r="AG3319" s="4">
        <v>4</v>
      </c>
      <c r="AH3319" s="4">
        <v>62</v>
      </c>
      <c r="AI3319" s="4">
        <v>113</v>
      </c>
      <c r="AJ3319" s="4">
        <v>3</v>
      </c>
      <c r="AK3319" s="4">
        <v>21</v>
      </c>
      <c r="AL3319" s="4">
        <v>33</v>
      </c>
      <c r="AM3319" s="4">
        <v>58</v>
      </c>
      <c r="AN3319" s="4">
        <v>0</v>
      </c>
      <c r="AO3319" s="4">
        <v>0</v>
      </c>
      <c r="AP3319" s="4">
        <v>7</v>
      </c>
      <c r="AQ3319" s="4">
        <v>35</v>
      </c>
      <c r="AR3319" s="3" t="s">
        <v>64</v>
      </c>
      <c r="AS3319" s="3" t="s">
        <v>64</v>
      </c>
      <c r="AT3319" s="3" t="s">
        <v>64</v>
      </c>
      <c r="AV3319" s="6" t="str">
        <f>HYPERLINK("http://mcgill.on.worldcat.org/oclc/21672438","Catalog Record")</f>
        <v>Catalog Record</v>
      </c>
      <c r="AW3319" s="6" t="str">
        <f>HYPERLINK("http://www.worldcat.org/oclc/21672438","WorldCat Record")</f>
        <v>WorldCat Record</v>
      </c>
      <c r="AX3319" s="3" t="s">
        <v>33253</v>
      </c>
      <c r="AY3319" s="3" t="s">
        <v>33254</v>
      </c>
      <c r="AZ3319" s="3" t="s">
        <v>33255</v>
      </c>
      <c r="BA3319" s="3" t="s">
        <v>33255</v>
      </c>
      <c r="BB3319" s="3" t="s">
        <v>33256</v>
      </c>
      <c r="BC3319" s="3" t="s">
        <v>77</v>
      </c>
      <c r="BD3319" s="3" t="s">
        <v>78</v>
      </c>
      <c r="BE3319" s="3" t="s">
        <v>33257</v>
      </c>
      <c r="BF3319" s="3" t="s">
        <v>33256</v>
      </c>
      <c r="BG3319" s="3" t="s">
        <v>33258</v>
      </c>
      <c r="BH3319">
        <f t="shared" si="78"/>
        <v>0</v>
      </c>
    </row>
    <row r="3320" spans="1:60" ht="58" x14ac:dyDescent="0.35">
      <c r="A3320" s="2" t="s">
        <v>59</v>
      </c>
      <c r="B3320" s="2" t="s">
        <v>60</v>
      </c>
      <c r="C3320" s="2" t="s">
        <v>33259</v>
      </c>
      <c r="D3320" s="2" t="s">
        <v>33260</v>
      </c>
      <c r="E3320" s="2" t="s">
        <v>33261</v>
      </c>
      <c r="G3320" s="3" t="s">
        <v>64</v>
      </c>
      <c r="I3320" s="3" t="s">
        <v>64</v>
      </c>
      <c r="J3320" s="3" t="s">
        <v>64</v>
      </c>
      <c r="K3320" s="3" t="s">
        <v>65</v>
      </c>
      <c r="L3320" s="2" t="s">
        <v>33250</v>
      </c>
      <c r="M3320" s="2" t="s">
        <v>33262</v>
      </c>
      <c r="N3320" s="3" t="s">
        <v>3330</v>
      </c>
      <c r="P3320" s="3" t="s">
        <v>68</v>
      </c>
      <c r="Q3320" s="2" t="s">
        <v>33263</v>
      </c>
      <c r="R3320" s="3" t="s">
        <v>70</v>
      </c>
      <c r="S3320" s="4">
        <v>5</v>
      </c>
      <c r="T3320" s="4">
        <v>5</v>
      </c>
      <c r="U3320" s="5" t="s">
        <v>9951</v>
      </c>
      <c r="V3320" s="5" t="s">
        <v>9951</v>
      </c>
      <c r="W3320" s="5" t="s">
        <v>72</v>
      </c>
      <c r="X3320" s="5" t="s">
        <v>72</v>
      </c>
      <c r="Y3320" s="4">
        <v>173</v>
      </c>
      <c r="Z3320" s="4">
        <v>15</v>
      </c>
      <c r="AA3320" s="4">
        <v>18</v>
      </c>
      <c r="AB3320" s="4">
        <v>13</v>
      </c>
      <c r="AC3320" s="4">
        <v>14</v>
      </c>
      <c r="AD3320" s="4">
        <v>15</v>
      </c>
      <c r="AE3320" s="4">
        <v>18</v>
      </c>
      <c r="AF3320" s="4">
        <v>5</v>
      </c>
      <c r="AG3320" s="4">
        <v>5</v>
      </c>
      <c r="AH3320" s="4">
        <v>11</v>
      </c>
      <c r="AI3320" s="4">
        <v>12</v>
      </c>
      <c r="AJ3320" s="4">
        <v>4</v>
      </c>
      <c r="AK3320" s="4">
        <v>5</v>
      </c>
      <c r="AL3320" s="4">
        <v>6</v>
      </c>
      <c r="AM3320" s="4">
        <v>6</v>
      </c>
      <c r="AN3320" s="4">
        <v>0</v>
      </c>
      <c r="AO3320" s="4">
        <v>0</v>
      </c>
      <c r="AP3320" s="4">
        <v>4</v>
      </c>
      <c r="AQ3320" s="4">
        <v>5</v>
      </c>
      <c r="AR3320" s="3" t="s">
        <v>64</v>
      </c>
      <c r="AS3320" s="3" t="s">
        <v>64</v>
      </c>
      <c r="AT3320" s="3" t="s">
        <v>128</v>
      </c>
      <c r="AU3320" s="6" t="str">
        <f>HYPERLINK("http://catalog.hathitrust.org/Record/006188141","HathiTrust Record")</f>
        <v>HathiTrust Record</v>
      </c>
      <c r="AV3320" s="6" t="str">
        <f>HYPERLINK("http://mcgill.on.worldcat.org/oclc/18170363","Catalog Record")</f>
        <v>Catalog Record</v>
      </c>
      <c r="AW3320" s="6" t="str">
        <f>HYPERLINK("http://www.worldcat.org/oclc/18170363","WorldCat Record")</f>
        <v>WorldCat Record</v>
      </c>
      <c r="AX3320" s="3" t="s">
        <v>33264</v>
      </c>
      <c r="AY3320" s="3" t="s">
        <v>33265</v>
      </c>
      <c r="AZ3320" s="3" t="s">
        <v>33266</v>
      </c>
      <c r="BA3320" s="3" t="s">
        <v>33266</v>
      </c>
      <c r="BB3320" s="3" t="s">
        <v>33267</v>
      </c>
      <c r="BC3320" s="3" t="s">
        <v>77</v>
      </c>
      <c r="BD3320" s="3" t="s">
        <v>78</v>
      </c>
      <c r="BE3320" s="3" t="s">
        <v>33268</v>
      </c>
      <c r="BF3320" s="3" t="s">
        <v>33267</v>
      </c>
      <c r="BG3320" s="3" t="s">
        <v>33269</v>
      </c>
      <c r="BH3320">
        <f t="shared" si="78"/>
        <v>0</v>
      </c>
    </row>
    <row r="3321" spans="1:60" ht="130.5" x14ac:dyDescent="0.35">
      <c r="A3321" s="2" t="s">
        <v>59</v>
      </c>
      <c r="B3321" s="2" t="s">
        <v>60</v>
      </c>
      <c r="C3321" s="2" t="s">
        <v>33270</v>
      </c>
      <c r="D3321" s="2" t="s">
        <v>33271</v>
      </c>
      <c r="E3321" s="2" t="s">
        <v>33272</v>
      </c>
      <c r="G3321" s="3" t="s">
        <v>64</v>
      </c>
      <c r="I3321" s="3" t="s">
        <v>64</v>
      </c>
      <c r="J3321" s="3" t="s">
        <v>64</v>
      </c>
      <c r="K3321" s="3" t="s">
        <v>65</v>
      </c>
      <c r="L3321" s="2" t="s">
        <v>33273</v>
      </c>
      <c r="M3321" s="2" t="s">
        <v>33274</v>
      </c>
      <c r="N3321" s="3" t="s">
        <v>1938</v>
      </c>
      <c r="P3321" s="3" t="s">
        <v>102</v>
      </c>
      <c r="R3321" s="3" t="s">
        <v>70</v>
      </c>
      <c r="S3321" s="4">
        <v>7</v>
      </c>
      <c r="T3321" s="4">
        <v>7</v>
      </c>
      <c r="U3321" s="5" t="s">
        <v>10236</v>
      </c>
      <c r="V3321" s="5" t="s">
        <v>10236</v>
      </c>
      <c r="W3321" s="5" t="s">
        <v>72</v>
      </c>
      <c r="X3321" s="5" t="s">
        <v>72</v>
      </c>
      <c r="Y3321" s="4">
        <v>3</v>
      </c>
      <c r="Z3321" s="4">
        <v>3</v>
      </c>
      <c r="AA3321" s="4">
        <v>3</v>
      </c>
      <c r="AB3321" s="4">
        <v>2</v>
      </c>
      <c r="AC3321" s="4">
        <v>2</v>
      </c>
      <c r="AD3321" s="4">
        <v>1</v>
      </c>
      <c r="AE3321" s="4">
        <v>1</v>
      </c>
      <c r="AF3321" s="4">
        <v>0</v>
      </c>
      <c r="AG3321" s="4">
        <v>0</v>
      </c>
      <c r="AH3321" s="4">
        <v>0</v>
      </c>
      <c r="AI3321" s="4">
        <v>0</v>
      </c>
      <c r="AJ3321" s="4">
        <v>1</v>
      </c>
      <c r="AK3321" s="4">
        <v>1</v>
      </c>
      <c r="AL3321" s="4">
        <v>0</v>
      </c>
      <c r="AM3321" s="4">
        <v>0</v>
      </c>
      <c r="AN3321" s="4">
        <v>0</v>
      </c>
      <c r="AO3321" s="4">
        <v>0</v>
      </c>
      <c r="AP3321" s="4">
        <v>0</v>
      </c>
      <c r="AQ3321" s="4">
        <v>0</v>
      </c>
      <c r="AR3321" s="3" t="s">
        <v>64</v>
      </c>
      <c r="AS3321" s="3" t="s">
        <v>64</v>
      </c>
      <c r="AT3321" s="3" t="s">
        <v>64</v>
      </c>
      <c r="AV3321" s="6" t="str">
        <f>HYPERLINK("http://mcgill.on.worldcat.org/oclc/61651445","Catalog Record")</f>
        <v>Catalog Record</v>
      </c>
      <c r="AW3321" s="6" t="str">
        <f>HYPERLINK("http://www.worldcat.org/oclc/61651445","WorldCat Record")</f>
        <v>WorldCat Record</v>
      </c>
      <c r="AX3321" s="3" t="s">
        <v>33275</v>
      </c>
      <c r="AY3321" s="3" t="s">
        <v>33276</v>
      </c>
      <c r="AZ3321" s="3" t="s">
        <v>33277</v>
      </c>
      <c r="BA3321" s="3" t="s">
        <v>33277</v>
      </c>
      <c r="BB3321" s="3" t="s">
        <v>33278</v>
      </c>
      <c r="BC3321" s="3" t="s">
        <v>77</v>
      </c>
      <c r="BD3321" s="3" t="s">
        <v>78</v>
      </c>
      <c r="BE3321" s="3" t="s">
        <v>33279</v>
      </c>
      <c r="BF3321" s="3" t="s">
        <v>33278</v>
      </c>
      <c r="BG3321" s="3" t="s">
        <v>33280</v>
      </c>
      <c r="BH3321">
        <f t="shared" si="78"/>
        <v>0</v>
      </c>
    </row>
    <row r="3322" spans="1:60" ht="58" x14ac:dyDescent="0.35">
      <c r="A3322" s="2" t="s">
        <v>59</v>
      </c>
      <c r="B3322" s="2" t="s">
        <v>60</v>
      </c>
      <c r="C3322" s="2" t="s">
        <v>33281</v>
      </c>
      <c r="D3322" s="2" t="s">
        <v>33282</v>
      </c>
      <c r="E3322" s="2" t="s">
        <v>33283</v>
      </c>
      <c r="G3322" s="3" t="s">
        <v>64</v>
      </c>
      <c r="I3322" s="3" t="s">
        <v>64</v>
      </c>
      <c r="J3322" s="3" t="s">
        <v>64</v>
      </c>
      <c r="K3322" s="3" t="s">
        <v>65</v>
      </c>
      <c r="M3322" s="2" t="s">
        <v>33284</v>
      </c>
      <c r="N3322" s="3" t="s">
        <v>67</v>
      </c>
      <c r="O3322" s="2" t="s">
        <v>33285</v>
      </c>
      <c r="P3322" s="3" t="s">
        <v>102</v>
      </c>
      <c r="R3322" s="3" t="s">
        <v>70</v>
      </c>
      <c r="S3322" s="4">
        <v>18</v>
      </c>
      <c r="T3322" s="4">
        <v>18</v>
      </c>
      <c r="U3322" s="5" t="s">
        <v>16120</v>
      </c>
      <c r="V3322" s="5" t="s">
        <v>16120</v>
      </c>
      <c r="W3322" s="5" t="s">
        <v>72</v>
      </c>
      <c r="X3322" s="5" t="s">
        <v>72</v>
      </c>
      <c r="Y3322" s="4">
        <v>155</v>
      </c>
      <c r="Z3322" s="4">
        <v>10</v>
      </c>
      <c r="AA3322" s="4">
        <v>63</v>
      </c>
      <c r="AB3322" s="4">
        <v>2</v>
      </c>
      <c r="AC3322" s="4">
        <v>9</v>
      </c>
      <c r="AD3322" s="4">
        <v>18</v>
      </c>
      <c r="AE3322" s="4">
        <v>122</v>
      </c>
      <c r="AF3322" s="4">
        <v>0</v>
      </c>
      <c r="AG3322" s="4">
        <v>2</v>
      </c>
      <c r="AH3322" s="4">
        <v>15</v>
      </c>
      <c r="AI3322" s="4">
        <v>105</v>
      </c>
      <c r="AJ3322" s="4">
        <v>5</v>
      </c>
      <c r="AK3322" s="4">
        <v>18</v>
      </c>
      <c r="AL3322" s="4">
        <v>6</v>
      </c>
      <c r="AM3322" s="4">
        <v>53</v>
      </c>
      <c r="AN3322" s="4">
        <v>0</v>
      </c>
      <c r="AO3322" s="4">
        <v>0</v>
      </c>
      <c r="AP3322" s="4">
        <v>5</v>
      </c>
      <c r="AQ3322" s="4">
        <v>25</v>
      </c>
      <c r="AR3322" s="3" t="s">
        <v>64</v>
      </c>
      <c r="AS3322" s="3" t="s">
        <v>64</v>
      </c>
      <c r="AT3322" s="3" t="s">
        <v>64</v>
      </c>
      <c r="AV3322" s="6" t="str">
        <f>HYPERLINK("http://mcgill.on.worldcat.org/oclc/55495402","Catalog Record")</f>
        <v>Catalog Record</v>
      </c>
      <c r="AW3322" s="6" t="str">
        <f>HYPERLINK("http://www.worldcat.org/oclc/55495402","WorldCat Record")</f>
        <v>WorldCat Record</v>
      </c>
      <c r="AX3322" s="3" t="s">
        <v>33286</v>
      </c>
      <c r="AY3322" s="3" t="s">
        <v>33287</v>
      </c>
      <c r="AZ3322" s="3" t="s">
        <v>33288</v>
      </c>
      <c r="BA3322" s="3" t="s">
        <v>33288</v>
      </c>
      <c r="BB3322" s="3" t="s">
        <v>33289</v>
      </c>
      <c r="BC3322" s="3" t="s">
        <v>77</v>
      </c>
      <c r="BD3322" s="3" t="s">
        <v>78</v>
      </c>
      <c r="BE3322" s="3" t="s">
        <v>33290</v>
      </c>
      <c r="BF3322" s="3" t="s">
        <v>33289</v>
      </c>
      <c r="BG3322" s="3" t="s">
        <v>33291</v>
      </c>
      <c r="BH3322">
        <f t="shared" si="78"/>
        <v>0</v>
      </c>
    </row>
    <row r="3323" spans="1:60" ht="58" x14ac:dyDescent="0.35">
      <c r="A3323" s="2" t="s">
        <v>59</v>
      </c>
      <c r="B3323" s="2" t="s">
        <v>60</v>
      </c>
      <c r="C3323" s="2" t="s">
        <v>33292</v>
      </c>
      <c r="D3323" s="2" t="s">
        <v>33293</v>
      </c>
      <c r="E3323" s="2" t="s">
        <v>33294</v>
      </c>
      <c r="G3323" s="3" t="s">
        <v>64</v>
      </c>
      <c r="I3323" s="3" t="s">
        <v>64</v>
      </c>
      <c r="J3323" s="3" t="s">
        <v>64</v>
      </c>
      <c r="K3323" s="3" t="s">
        <v>65</v>
      </c>
      <c r="L3323" s="2" t="s">
        <v>33295</v>
      </c>
      <c r="M3323" s="2" t="s">
        <v>33296</v>
      </c>
      <c r="N3323" s="3" t="s">
        <v>4872</v>
      </c>
      <c r="P3323" s="3" t="s">
        <v>102</v>
      </c>
      <c r="R3323" s="3" t="s">
        <v>70</v>
      </c>
      <c r="S3323" s="4">
        <v>4</v>
      </c>
      <c r="T3323" s="4">
        <v>4</v>
      </c>
      <c r="U3323" s="5" t="s">
        <v>10236</v>
      </c>
      <c r="V3323" s="5" t="s">
        <v>10236</v>
      </c>
      <c r="W3323" s="5" t="s">
        <v>72</v>
      </c>
      <c r="X3323" s="5" t="s">
        <v>72</v>
      </c>
      <c r="Y3323" s="4">
        <v>197</v>
      </c>
      <c r="Z3323" s="4">
        <v>14</v>
      </c>
      <c r="AA3323" s="4">
        <v>15</v>
      </c>
      <c r="AB3323" s="4">
        <v>4</v>
      </c>
      <c r="AC3323" s="4">
        <v>5</v>
      </c>
      <c r="AD3323" s="4">
        <v>63</v>
      </c>
      <c r="AE3323" s="4">
        <v>73</v>
      </c>
      <c r="AF3323" s="4">
        <v>1</v>
      </c>
      <c r="AG3323" s="4">
        <v>2</v>
      </c>
      <c r="AH3323" s="4">
        <v>57</v>
      </c>
      <c r="AI3323" s="4">
        <v>64</v>
      </c>
      <c r="AJ3323" s="4">
        <v>9</v>
      </c>
      <c r="AK3323" s="4">
        <v>10</v>
      </c>
      <c r="AL3323" s="4">
        <v>31</v>
      </c>
      <c r="AM3323" s="4">
        <v>39</v>
      </c>
      <c r="AN3323" s="4">
        <v>0</v>
      </c>
      <c r="AO3323" s="4">
        <v>0</v>
      </c>
      <c r="AP3323" s="4">
        <v>9</v>
      </c>
      <c r="AQ3323" s="4">
        <v>10</v>
      </c>
      <c r="AR3323" s="3" t="s">
        <v>64</v>
      </c>
      <c r="AS3323" s="3" t="s">
        <v>64</v>
      </c>
      <c r="AT3323" s="3" t="s">
        <v>128</v>
      </c>
      <c r="AU3323" s="6" t="str">
        <f>HYPERLINK("http://catalog.hathitrust.org/Record/001164331","HathiTrust Record")</f>
        <v>HathiTrust Record</v>
      </c>
      <c r="AV3323" s="6" t="str">
        <f>HYPERLINK("http://mcgill.on.worldcat.org/oclc/860956","Catalog Record")</f>
        <v>Catalog Record</v>
      </c>
      <c r="AW3323" s="6" t="str">
        <f>HYPERLINK("http://www.worldcat.org/oclc/860956","WorldCat Record")</f>
        <v>WorldCat Record</v>
      </c>
      <c r="AX3323" s="3" t="s">
        <v>33297</v>
      </c>
      <c r="AY3323" s="3" t="s">
        <v>33298</v>
      </c>
      <c r="AZ3323" s="3" t="s">
        <v>33299</v>
      </c>
      <c r="BA3323" s="3" t="s">
        <v>33299</v>
      </c>
      <c r="BB3323" s="3" t="s">
        <v>33300</v>
      </c>
      <c r="BC3323" s="3" t="s">
        <v>77</v>
      </c>
      <c r="BD3323" s="3" t="s">
        <v>78</v>
      </c>
      <c r="BF3323" s="3" t="s">
        <v>33300</v>
      </c>
      <c r="BG3323" s="3" t="s">
        <v>33301</v>
      </c>
      <c r="BH3323">
        <f t="shared" si="78"/>
        <v>0</v>
      </c>
    </row>
    <row r="3324" spans="1:60" ht="58" x14ac:dyDescent="0.35">
      <c r="A3324" s="2" t="s">
        <v>59</v>
      </c>
      <c r="B3324" s="2" t="s">
        <v>60</v>
      </c>
      <c r="C3324" s="2" t="s">
        <v>33302</v>
      </c>
      <c r="D3324" s="2" t="s">
        <v>33303</v>
      </c>
      <c r="E3324" s="2" t="s">
        <v>33304</v>
      </c>
      <c r="G3324" s="3" t="s">
        <v>64</v>
      </c>
      <c r="I3324" s="3" t="s">
        <v>64</v>
      </c>
      <c r="J3324" s="3" t="s">
        <v>64</v>
      </c>
      <c r="K3324" s="3" t="s">
        <v>65</v>
      </c>
      <c r="L3324" s="2" t="s">
        <v>33305</v>
      </c>
      <c r="M3324" s="2" t="s">
        <v>33306</v>
      </c>
      <c r="N3324" s="3" t="s">
        <v>11160</v>
      </c>
      <c r="P3324" s="3" t="s">
        <v>102</v>
      </c>
      <c r="R3324" s="3" t="s">
        <v>70</v>
      </c>
      <c r="S3324" s="4">
        <v>24</v>
      </c>
      <c r="T3324" s="4">
        <v>24</v>
      </c>
      <c r="U3324" s="5" t="s">
        <v>9951</v>
      </c>
      <c r="V3324" s="5" t="s">
        <v>9951</v>
      </c>
      <c r="W3324" s="5" t="s">
        <v>72</v>
      </c>
      <c r="X3324" s="5" t="s">
        <v>72</v>
      </c>
      <c r="Y3324" s="4">
        <v>602</v>
      </c>
      <c r="Z3324" s="4">
        <v>22</v>
      </c>
      <c r="AA3324" s="4">
        <v>36</v>
      </c>
      <c r="AB3324" s="4">
        <v>3</v>
      </c>
      <c r="AC3324" s="4">
        <v>4</v>
      </c>
      <c r="AD3324" s="4">
        <v>104</v>
      </c>
      <c r="AE3324" s="4">
        <v>128</v>
      </c>
      <c r="AF3324" s="4">
        <v>2</v>
      </c>
      <c r="AG3324" s="4">
        <v>2</v>
      </c>
      <c r="AH3324" s="4">
        <v>87</v>
      </c>
      <c r="AI3324" s="4">
        <v>106</v>
      </c>
      <c r="AJ3324" s="4">
        <v>12</v>
      </c>
      <c r="AK3324" s="4">
        <v>21</v>
      </c>
      <c r="AL3324" s="4">
        <v>50</v>
      </c>
      <c r="AM3324" s="4">
        <v>59</v>
      </c>
      <c r="AN3324" s="4">
        <v>5</v>
      </c>
      <c r="AO3324" s="4">
        <v>5</v>
      </c>
      <c r="AP3324" s="4">
        <v>17</v>
      </c>
      <c r="AQ3324" s="4">
        <v>28</v>
      </c>
      <c r="AR3324" s="3" t="s">
        <v>64</v>
      </c>
      <c r="AS3324" s="3" t="s">
        <v>64</v>
      </c>
      <c r="AT3324" s="3" t="s">
        <v>128</v>
      </c>
      <c r="AU3324" s="6" t="str">
        <f>HYPERLINK("http://catalog.hathitrust.org/Record/001164332","HathiTrust Record")</f>
        <v>HathiTrust Record</v>
      </c>
      <c r="AV3324" s="6" t="str">
        <f>HYPERLINK("http://mcgill.on.worldcat.org/oclc/6164537","Catalog Record")</f>
        <v>Catalog Record</v>
      </c>
      <c r="AW3324" s="6" t="str">
        <f>HYPERLINK("http://www.worldcat.org/oclc/6164537","WorldCat Record")</f>
        <v>WorldCat Record</v>
      </c>
      <c r="AX3324" s="3" t="s">
        <v>33307</v>
      </c>
      <c r="AY3324" s="3" t="s">
        <v>33308</v>
      </c>
      <c r="AZ3324" s="3" t="s">
        <v>33309</v>
      </c>
      <c r="BA3324" s="3" t="s">
        <v>33309</v>
      </c>
      <c r="BB3324" s="3" t="s">
        <v>33310</v>
      </c>
      <c r="BC3324" s="3" t="s">
        <v>77</v>
      </c>
      <c r="BD3324" s="3" t="s">
        <v>78</v>
      </c>
      <c r="BF3324" s="3" t="s">
        <v>33310</v>
      </c>
      <c r="BG3324" s="3" t="s">
        <v>33311</v>
      </c>
      <c r="BH3324">
        <f t="shared" si="78"/>
        <v>0</v>
      </c>
    </row>
    <row r="3325" spans="1:60" ht="58" x14ac:dyDescent="0.35">
      <c r="A3325" s="2" t="s">
        <v>59</v>
      </c>
      <c r="B3325" s="2" t="s">
        <v>60</v>
      </c>
      <c r="C3325" s="2" t="s">
        <v>33312</v>
      </c>
      <c r="D3325" s="2" t="s">
        <v>33313</v>
      </c>
      <c r="E3325" s="2" t="s">
        <v>33314</v>
      </c>
      <c r="G3325" s="3" t="s">
        <v>64</v>
      </c>
      <c r="I3325" s="3" t="s">
        <v>64</v>
      </c>
      <c r="J3325" s="3" t="s">
        <v>128</v>
      </c>
      <c r="K3325" s="3" t="s">
        <v>65</v>
      </c>
      <c r="L3325" s="2" t="s">
        <v>27347</v>
      </c>
      <c r="M3325" s="2" t="s">
        <v>33296</v>
      </c>
      <c r="N3325" s="3" t="s">
        <v>4872</v>
      </c>
      <c r="P3325" s="3" t="s">
        <v>102</v>
      </c>
      <c r="R3325" s="3" t="s">
        <v>70</v>
      </c>
      <c r="S3325" s="4">
        <v>4</v>
      </c>
      <c r="T3325" s="4">
        <v>4</v>
      </c>
      <c r="U3325" s="5" t="s">
        <v>11814</v>
      </c>
      <c r="V3325" s="5" t="s">
        <v>11814</v>
      </c>
      <c r="W3325" s="5" t="s">
        <v>72</v>
      </c>
      <c r="X3325" s="5" t="s">
        <v>72</v>
      </c>
      <c r="Y3325" s="4">
        <v>173</v>
      </c>
      <c r="Z3325" s="4">
        <v>11</v>
      </c>
      <c r="AA3325" s="4">
        <v>23</v>
      </c>
      <c r="AB3325" s="4">
        <v>3</v>
      </c>
      <c r="AC3325" s="4">
        <v>5</v>
      </c>
      <c r="AD3325" s="4">
        <v>50</v>
      </c>
      <c r="AE3325" s="4">
        <v>89</v>
      </c>
      <c r="AF3325" s="4">
        <v>1</v>
      </c>
      <c r="AG3325" s="4">
        <v>2</v>
      </c>
      <c r="AH3325" s="4">
        <v>46</v>
      </c>
      <c r="AI3325" s="4">
        <v>80</v>
      </c>
      <c r="AJ3325" s="4">
        <v>6</v>
      </c>
      <c r="AK3325" s="4">
        <v>11</v>
      </c>
      <c r="AL3325" s="4">
        <v>23</v>
      </c>
      <c r="AM3325" s="4">
        <v>47</v>
      </c>
      <c r="AN3325" s="4">
        <v>0</v>
      </c>
      <c r="AO3325" s="4">
        <v>0</v>
      </c>
      <c r="AP3325" s="4">
        <v>7</v>
      </c>
      <c r="AQ3325" s="4">
        <v>12</v>
      </c>
      <c r="AR3325" s="3" t="s">
        <v>64</v>
      </c>
      <c r="AS3325" s="3" t="s">
        <v>64</v>
      </c>
      <c r="AT3325" s="3" t="s">
        <v>128</v>
      </c>
      <c r="AU3325" s="6" t="str">
        <f>HYPERLINK("http://catalog.hathitrust.org/Record/001164335","HathiTrust Record")</f>
        <v>HathiTrust Record</v>
      </c>
      <c r="AV3325" s="6" t="str">
        <f>HYPERLINK("http://mcgill.on.worldcat.org/oclc/861931","Catalog Record")</f>
        <v>Catalog Record</v>
      </c>
      <c r="AW3325" s="6" t="str">
        <f>HYPERLINK("http://www.worldcat.org/oclc/861931","WorldCat Record")</f>
        <v>WorldCat Record</v>
      </c>
      <c r="AX3325" s="3" t="s">
        <v>33315</v>
      </c>
      <c r="AY3325" s="3" t="s">
        <v>33316</v>
      </c>
      <c r="AZ3325" s="3" t="s">
        <v>33317</v>
      </c>
      <c r="BA3325" s="3" t="s">
        <v>33317</v>
      </c>
      <c r="BB3325" s="3" t="s">
        <v>33318</v>
      </c>
      <c r="BC3325" s="3" t="s">
        <v>77</v>
      </c>
      <c r="BD3325" s="3" t="s">
        <v>78</v>
      </c>
      <c r="BF3325" s="3" t="s">
        <v>33318</v>
      </c>
      <c r="BG3325" s="3" t="s">
        <v>33319</v>
      </c>
      <c r="BH3325">
        <f t="shared" si="78"/>
        <v>0</v>
      </c>
    </row>
    <row r="3326" spans="1:60" ht="58" x14ac:dyDescent="0.35">
      <c r="A3326" s="2" t="s">
        <v>59</v>
      </c>
      <c r="B3326" s="2" t="s">
        <v>60</v>
      </c>
      <c r="C3326" s="2" t="s">
        <v>33320</v>
      </c>
      <c r="D3326" s="2" t="s">
        <v>33321</v>
      </c>
      <c r="E3326" s="2" t="s">
        <v>33322</v>
      </c>
      <c r="G3326" s="3" t="s">
        <v>64</v>
      </c>
      <c r="I3326" s="3" t="s">
        <v>64</v>
      </c>
      <c r="J3326" s="3" t="s">
        <v>64</v>
      </c>
      <c r="K3326" s="3" t="s">
        <v>65</v>
      </c>
      <c r="M3326" s="2" t="s">
        <v>33323</v>
      </c>
      <c r="N3326" s="3" t="s">
        <v>144</v>
      </c>
      <c r="P3326" s="3" t="s">
        <v>102</v>
      </c>
      <c r="Q3326" s="2" t="s">
        <v>33324</v>
      </c>
      <c r="R3326" s="3" t="s">
        <v>70</v>
      </c>
      <c r="S3326" s="4">
        <v>16</v>
      </c>
      <c r="T3326" s="4">
        <v>16</v>
      </c>
      <c r="U3326" s="5" t="s">
        <v>7407</v>
      </c>
      <c r="V3326" s="5" t="s">
        <v>7407</v>
      </c>
      <c r="W3326" s="5" t="s">
        <v>72</v>
      </c>
      <c r="X3326" s="5" t="s">
        <v>72</v>
      </c>
      <c r="Y3326" s="4">
        <v>184</v>
      </c>
      <c r="Z3326" s="4">
        <v>14</v>
      </c>
      <c r="AA3326" s="4">
        <v>56</v>
      </c>
      <c r="AB3326" s="4">
        <v>1</v>
      </c>
      <c r="AC3326" s="4">
        <v>7</v>
      </c>
      <c r="AD3326" s="4">
        <v>61</v>
      </c>
      <c r="AE3326" s="4">
        <v>95</v>
      </c>
      <c r="AF3326" s="4">
        <v>0</v>
      </c>
      <c r="AG3326" s="4">
        <v>1</v>
      </c>
      <c r="AH3326" s="4">
        <v>55</v>
      </c>
      <c r="AI3326" s="4">
        <v>79</v>
      </c>
      <c r="AJ3326" s="4">
        <v>9</v>
      </c>
      <c r="AK3326" s="4">
        <v>13</v>
      </c>
      <c r="AL3326" s="4">
        <v>38</v>
      </c>
      <c r="AM3326" s="4">
        <v>48</v>
      </c>
      <c r="AN3326" s="4">
        <v>0</v>
      </c>
      <c r="AO3326" s="4">
        <v>0</v>
      </c>
      <c r="AP3326" s="4">
        <v>9</v>
      </c>
      <c r="AQ3326" s="4">
        <v>22</v>
      </c>
      <c r="AR3326" s="3" t="s">
        <v>64</v>
      </c>
      <c r="AS3326" s="3" t="s">
        <v>64</v>
      </c>
      <c r="AT3326" s="3" t="s">
        <v>64</v>
      </c>
      <c r="AV3326" s="6" t="str">
        <f>HYPERLINK("http://mcgill.on.worldcat.org/oclc/173808202","Catalog Record")</f>
        <v>Catalog Record</v>
      </c>
      <c r="AW3326" s="6" t="str">
        <f>HYPERLINK("http://www.worldcat.org/oclc/173808202","WorldCat Record")</f>
        <v>WorldCat Record</v>
      </c>
      <c r="AX3326" s="3" t="s">
        <v>33325</v>
      </c>
      <c r="AY3326" s="3" t="s">
        <v>33326</v>
      </c>
      <c r="AZ3326" s="3" t="s">
        <v>33327</v>
      </c>
      <c r="BA3326" s="3" t="s">
        <v>33327</v>
      </c>
      <c r="BB3326" s="3" t="s">
        <v>33328</v>
      </c>
      <c r="BC3326" s="3" t="s">
        <v>77</v>
      </c>
      <c r="BD3326" s="3" t="s">
        <v>78</v>
      </c>
      <c r="BE3326" s="3" t="s">
        <v>33329</v>
      </c>
      <c r="BF3326" s="3" t="s">
        <v>33328</v>
      </c>
      <c r="BG3326" s="3" t="s">
        <v>33330</v>
      </c>
      <c r="BH3326">
        <f t="shared" si="78"/>
        <v>0</v>
      </c>
    </row>
    <row r="3327" spans="1:60" ht="58" x14ac:dyDescent="0.35">
      <c r="A3327" s="2" t="s">
        <v>59</v>
      </c>
      <c r="B3327" s="2" t="s">
        <v>60</v>
      </c>
      <c r="C3327" s="2" t="s">
        <v>33331</v>
      </c>
      <c r="D3327" s="2" t="s">
        <v>33332</v>
      </c>
      <c r="E3327" s="2" t="s">
        <v>33333</v>
      </c>
      <c r="G3327" s="3" t="s">
        <v>64</v>
      </c>
      <c r="I3327" s="3" t="s">
        <v>64</v>
      </c>
      <c r="J3327" s="3" t="s">
        <v>64</v>
      </c>
      <c r="K3327" s="3" t="s">
        <v>65</v>
      </c>
      <c r="L3327" s="2" t="s">
        <v>33334</v>
      </c>
      <c r="M3327" s="2" t="s">
        <v>33335</v>
      </c>
      <c r="N3327" s="3" t="s">
        <v>153</v>
      </c>
      <c r="P3327" s="3" t="s">
        <v>102</v>
      </c>
      <c r="R3327" s="3" t="s">
        <v>70</v>
      </c>
      <c r="S3327" s="4">
        <v>4</v>
      </c>
      <c r="T3327" s="4">
        <v>4</v>
      </c>
      <c r="U3327" s="5" t="s">
        <v>33108</v>
      </c>
      <c r="V3327" s="5" t="s">
        <v>33108</v>
      </c>
      <c r="W3327" s="5" t="s">
        <v>72</v>
      </c>
      <c r="X3327" s="5" t="s">
        <v>72</v>
      </c>
      <c r="Y3327" s="4">
        <v>230</v>
      </c>
      <c r="Z3327" s="4">
        <v>14</v>
      </c>
      <c r="AA3327" s="4">
        <v>15</v>
      </c>
      <c r="AB3327" s="4">
        <v>1</v>
      </c>
      <c r="AC3327" s="4">
        <v>2</v>
      </c>
      <c r="AD3327" s="4">
        <v>67</v>
      </c>
      <c r="AE3327" s="4">
        <v>68</v>
      </c>
      <c r="AF3327" s="4">
        <v>0</v>
      </c>
      <c r="AG3327" s="4">
        <v>1</v>
      </c>
      <c r="AH3327" s="4">
        <v>61</v>
      </c>
      <c r="AI3327" s="4">
        <v>61</v>
      </c>
      <c r="AJ3327" s="4">
        <v>7</v>
      </c>
      <c r="AK3327" s="4">
        <v>8</v>
      </c>
      <c r="AL3327" s="4">
        <v>36</v>
      </c>
      <c r="AM3327" s="4">
        <v>36</v>
      </c>
      <c r="AN3327" s="4">
        <v>0</v>
      </c>
      <c r="AO3327" s="4">
        <v>0</v>
      </c>
      <c r="AP3327" s="4">
        <v>10</v>
      </c>
      <c r="AQ3327" s="4">
        <v>10</v>
      </c>
      <c r="AR3327" s="3" t="s">
        <v>64</v>
      </c>
      <c r="AS3327" s="3" t="s">
        <v>64</v>
      </c>
      <c r="AT3327" s="3" t="s">
        <v>64</v>
      </c>
      <c r="AV3327" s="6" t="str">
        <f>HYPERLINK("http://mcgill.on.worldcat.org/oclc/38862458","Catalog Record")</f>
        <v>Catalog Record</v>
      </c>
      <c r="AW3327" s="6" t="str">
        <f>HYPERLINK("http://www.worldcat.org/oclc/38862458","WorldCat Record")</f>
        <v>WorldCat Record</v>
      </c>
      <c r="AX3327" s="3" t="s">
        <v>33336</v>
      </c>
      <c r="AY3327" s="3" t="s">
        <v>33337</v>
      </c>
      <c r="AZ3327" s="3" t="s">
        <v>33338</v>
      </c>
      <c r="BA3327" s="3" t="s">
        <v>33338</v>
      </c>
      <c r="BB3327" s="3" t="s">
        <v>33339</v>
      </c>
      <c r="BC3327" s="3" t="s">
        <v>77</v>
      </c>
      <c r="BD3327" s="3" t="s">
        <v>78</v>
      </c>
      <c r="BE3327" s="3" t="s">
        <v>33340</v>
      </c>
      <c r="BF3327" s="3" t="s">
        <v>33339</v>
      </c>
      <c r="BG3327" s="3" t="s">
        <v>33341</v>
      </c>
      <c r="BH3327">
        <f t="shared" si="78"/>
        <v>0</v>
      </c>
    </row>
    <row r="3328" spans="1:60" ht="72.5" x14ac:dyDescent="0.35">
      <c r="A3328" s="2" t="s">
        <v>59</v>
      </c>
      <c r="B3328" s="2" t="s">
        <v>60</v>
      </c>
      <c r="C3328" s="2" t="s">
        <v>33342</v>
      </c>
      <c r="D3328" s="2" t="s">
        <v>33343</v>
      </c>
      <c r="E3328" s="2" t="s">
        <v>33344</v>
      </c>
      <c r="G3328" s="3" t="s">
        <v>64</v>
      </c>
      <c r="I3328" s="3" t="s">
        <v>64</v>
      </c>
      <c r="J3328" s="3" t="s">
        <v>64</v>
      </c>
      <c r="K3328" s="3" t="s">
        <v>65</v>
      </c>
      <c r="M3328" s="2" t="s">
        <v>33345</v>
      </c>
      <c r="N3328" s="3" t="s">
        <v>3047</v>
      </c>
      <c r="P3328" s="3" t="s">
        <v>68</v>
      </c>
      <c r="R3328" s="3" t="s">
        <v>70</v>
      </c>
      <c r="S3328" s="4">
        <v>1</v>
      </c>
      <c r="T3328" s="4">
        <v>1</v>
      </c>
      <c r="U3328" s="5" t="s">
        <v>23007</v>
      </c>
      <c r="V3328" s="5" t="s">
        <v>23007</v>
      </c>
      <c r="W3328" s="5" t="s">
        <v>72</v>
      </c>
      <c r="X3328" s="5" t="s">
        <v>72</v>
      </c>
      <c r="Y3328" s="4">
        <v>133</v>
      </c>
      <c r="Z3328" s="4">
        <v>11</v>
      </c>
      <c r="AA3328" s="4">
        <v>15</v>
      </c>
      <c r="AB3328" s="4">
        <v>1</v>
      </c>
      <c r="AC3328" s="4">
        <v>4</v>
      </c>
      <c r="AD3328" s="4">
        <v>53</v>
      </c>
      <c r="AE3328" s="4">
        <v>57</v>
      </c>
      <c r="AF3328" s="4">
        <v>0</v>
      </c>
      <c r="AG3328" s="4">
        <v>3</v>
      </c>
      <c r="AH3328" s="4">
        <v>50</v>
      </c>
      <c r="AI3328" s="4">
        <v>52</v>
      </c>
      <c r="AJ3328" s="4">
        <v>5</v>
      </c>
      <c r="AK3328" s="4">
        <v>9</v>
      </c>
      <c r="AL3328" s="4">
        <v>38</v>
      </c>
      <c r="AM3328" s="4">
        <v>38</v>
      </c>
      <c r="AN3328" s="4">
        <v>0</v>
      </c>
      <c r="AO3328" s="4">
        <v>0</v>
      </c>
      <c r="AP3328" s="4">
        <v>5</v>
      </c>
      <c r="AQ3328" s="4">
        <v>8</v>
      </c>
      <c r="AR3328" s="3" t="s">
        <v>64</v>
      </c>
      <c r="AS3328" s="3" t="s">
        <v>64</v>
      </c>
      <c r="AT3328" s="3" t="s">
        <v>64</v>
      </c>
      <c r="AV3328" s="6" t="str">
        <f>HYPERLINK("http://mcgill.on.worldcat.org/oclc/18290823","Catalog Record")</f>
        <v>Catalog Record</v>
      </c>
      <c r="AW3328" s="6" t="str">
        <f>HYPERLINK("http://www.worldcat.org/oclc/18290823","WorldCat Record")</f>
        <v>WorldCat Record</v>
      </c>
      <c r="AX3328" s="3" t="s">
        <v>33346</v>
      </c>
      <c r="AY3328" s="3" t="s">
        <v>33347</v>
      </c>
      <c r="AZ3328" s="3" t="s">
        <v>33348</v>
      </c>
      <c r="BA3328" s="3" t="s">
        <v>33348</v>
      </c>
      <c r="BB3328" s="3" t="s">
        <v>33349</v>
      </c>
      <c r="BC3328" s="3" t="s">
        <v>77</v>
      </c>
      <c r="BD3328" s="3" t="s">
        <v>78</v>
      </c>
      <c r="BE3328" s="3" t="s">
        <v>33350</v>
      </c>
      <c r="BF3328" s="3" t="s">
        <v>33349</v>
      </c>
      <c r="BG3328" s="3" t="s">
        <v>33351</v>
      </c>
      <c r="BH3328">
        <f t="shared" si="78"/>
        <v>0</v>
      </c>
    </row>
    <row r="3329" spans="1:60" ht="58" x14ac:dyDescent="0.35">
      <c r="A3329" s="2" t="s">
        <v>59</v>
      </c>
      <c r="B3329" s="2" t="s">
        <v>60</v>
      </c>
      <c r="C3329" s="2" t="s">
        <v>33352</v>
      </c>
      <c r="D3329" s="2" t="s">
        <v>33353</v>
      </c>
      <c r="E3329" s="2" t="s">
        <v>33354</v>
      </c>
      <c r="G3329" s="3" t="s">
        <v>64</v>
      </c>
      <c r="I3329" s="3" t="s">
        <v>128</v>
      </c>
      <c r="J3329" s="3" t="s">
        <v>64</v>
      </c>
      <c r="K3329" s="3" t="s">
        <v>65</v>
      </c>
      <c r="M3329" s="2" t="s">
        <v>33355</v>
      </c>
      <c r="N3329" s="3" t="s">
        <v>421</v>
      </c>
      <c r="P3329" s="3" t="s">
        <v>102</v>
      </c>
      <c r="Q3329" s="2" t="s">
        <v>103</v>
      </c>
      <c r="R3329" s="3" t="s">
        <v>70</v>
      </c>
      <c r="S3329" s="4">
        <v>13</v>
      </c>
      <c r="T3329" s="4">
        <v>13</v>
      </c>
      <c r="U3329" s="5" t="s">
        <v>33356</v>
      </c>
      <c r="V3329" s="5" t="s">
        <v>33356</v>
      </c>
      <c r="W3329" s="5" t="s">
        <v>72</v>
      </c>
      <c r="X3329" s="5" t="s">
        <v>72</v>
      </c>
      <c r="Y3329" s="4">
        <v>207</v>
      </c>
      <c r="Z3329" s="4">
        <v>19</v>
      </c>
      <c r="AA3329" s="4">
        <v>19</v>
      </c>
      <c r="AB3329" s="4">
        <v>1</v>
      </c>
      <c r="AC3329" s="4">
        <v>1</v>
      </c>
      <c r="AD3329" s="4">
        <v>82</v>
      </c>
      <c r="AE3329" s="4">
        <v>82</v>
      </c>
      <c r="AF3329" s="4">
        <v>0</v>
      </c>
      <c r="AG3329" s="4">
        <v>0</v>
      </c>
      <c r="AH3329" s="4">
        <v>74</v>
      </c>
      <c r="AI3329" s="4">
        <v>74</v>
      </c>
      <c r="AJ3329" s="4">
        <v>12</v>
      </c>
      <c r="AK3329" s="4">
        <v>12</v>
      </c>
      <c r="AL3329" s="4">
        <v>46</v>
      </c>
      <c r="AM3329" s="4">
        <v>46</v>
      </c>
      <c r="AN3329" s="4">
        <v>0</v>
      </c>
      <c r="AO3329" s="4">
        <v>0</v>
      </c>
      <c r="AP3329" s="4">
        <v>12</v>
      </c>
      <c r="AQ3329" s="4">
        <v>12</v>
      </c>
      <c r="AR3329" s="3" t="s">
        <v>64</v>
      </c>
      <c r="AS3329" s="3" t="s">
        <v>64</v>
      </c>
      <c r="AT3329" s="3" t="s">
        <v>128</v>
      </c>
      <c r="AU3329" s="6" t="str">
        <f>HYPERLINK("http://catalog.hathitrust.org/Record/003172826","HathiTrust Record")</f>
        <v>HathiTrust Record</v>
      </c>
      <c r="AV3329" s="6" t="str">
        <f>HYPERLINK("http://mcgill.on.worldcat.org/oclc/39216914","Catalog Record")</f>
        <v>Catalog Record</v>
      </c>
      <c r="AW3329" s="6" t="str">
        <f>HYPERLINK("http://www.worldcat.org/oclc/39216914","WorldCat Record")</f>
        <v>WorldCat Record</v>
      </c>
      <c r="AX3329" s="3" t="s">
        <v>33357</v>
      </c>
      <c r="AY3329" s="3" t="s">
        <v>33358</v>
      </c>
      <c r="AZ3329" s="3" t="s">
        <v>33359</v>
      </c>
      <c r="BA3329" s="3" t="s">
        <v>33359</v>
      </c>
      <c r="BB3329" s="3" t="s">
        <v>33360</v>
      </c>
      <c r="BC3329" s="3" t="s">
        <v>77</v>
      </c>
      <c r="BD3329" s="3" t="s">
        <v>78</v>
      </c>
      <c r="BE3329" s="3" t="s">
        <v>33361</v>
      </c>
      <c r="BF3329" s="3" t="s">
        <v>33360</v>
      </c>
      <c r="BG3329" s="3" t="s">
        <v>33362</v>
      </c>
      <c r="BH3329">
        <f t="shared" si="78"/>
        <v>0</v>
      </c>
    </row>
    <row r="3330" spans="1:60" ht="116" x14ac:dyDescent="0.35">
      <c r="A3330" s="2" t="s">
        <v>59</v>
      </c>
      <c r="B3330" s="2" t="s">
        <v>60</v>
      </c>
      <c r="C3330" s="2" t="s">
        <v>33363</v>
      </c>
      <c r="D3330" s="2" t="s">
        <v>33364</v>
      </c>
      <c r="E3330" s="2" t="s">
        <v>33365</v>
      </c>
      <c r="G3330" s="3" t="s">
        <v>64</v>
      </c>
      <c r="I3330" s="3" t="s">
        <v>64</v>
      </c>
      <c r="J3330" s="3" t="s">
        <v>64</v>
      </c>
      <c r="K3330" s="3" t="s">
        <v>65</v>
      </c>
      <c r="L3330" s="2" t="s">
        <v>33366</v>
      </c>
      <c r="M3330" s="2" t="s">
        <v>25698</v>
      </c>
      <c r="N3330" s="3" t="s">
        <v>1763</v>
      </c>
      <c r="O3330" s="2" t="s">
        <v>33367</v>
      </c>
      <c r="P3330" s="3" t="s">
        <v>102</v>
      </c>
      <c r="R3330" s="3" t="s">
        <v>70</v>
      </c>
      <c r="S3330" s="4">
        <v>20</v>
      </c>
      <c r="T3330" s="4">
        <v>20</v>
      </c>
      <c r="U3330" s="5" t="s">
        <v>13521</v>
      </c>
      <c r="V3330" s="5" t="s">
        <v>13521</v>
      </c>
      <c r="W3330" s="5" t="s">
        <v>72</v>
      </c>
      <c r="X3330" s="5" t="s">
        <v>72</v>
      </c>
      <c r="Y3330" s="4">
        <v>369</v>
      </c>
      <c r="Z3330" s="4">
        <v>21</v>
      </c>
      <c r="AA3330" s="4">
        <v>25</v>
      </c>
      <c r="AB3330" s="4">
        <v>1</v>
      </c>
      <c r="AC3330" s="4">
        <v>2</v>
      </c>
      <c r="AD3330" s="4">
        <v>103</v>
      </c>
      <c r="AE3330" s="4">
        <v>106</v>
      </c>
      <c r="AF3330" s="4">
        <v>0</v>
      </c>
      <c r="AG3330" s="4">
        <v>1</v>
      </c>
      <c r="AH3330" s="4">
        <v>92</v>
      </c>
      <c r="AI3330" s="4">
        <v>93</v>
      </c>
      <c r="AJ3330" s="4">
        <v>13</v>
      </c>
      <c r="AK3330" s="4">
        <v>16</v>
      </c>
      <c r="AL3330" s="4">
        <v>48</v>
      </c>
      <c r="AM3330" s="4">
        <v>48</v>
      </c>
      <c r="AN3330" s="4">
        <v>0</v>
      </c>
      <c r="AO3330" s="4">
        <v>0</v>
      </c>
      <c r="AP3330" s="4">
        <v>15</v>
      </c>
      <c r="AQ3330" s="4">
        <v>17</v>
      </c>
      <c r="AR3330" s="3" t="s">
        <v>64</v>
      </c>
      <c r="AS3330" s="3" t="s">
        <v>64</v>
      </c>
      <c r="AT3330" s="3" t="s">
        <v>128</v>
      </c>
      <c r="AU3330" s="6" t="str">
        <f>HYPERLINK("http://catalog.hathitrust.org/Record/000120780","HathiTrust Record")</f>
        <v>HathiTrust Record</v>
      </c>
      <c r="AV3330" s="6" t="str">
        <f>HYPERLINK("http://mcgill.on.worldcat.org/oclc/9852803","Catalog Record")</f>
        <v>Catalog Record</v>
      </c>
      <c r="AW3330" s="6" t="str">
        <f>HYPERLINK("http://www.worldcat.org/oclc/9852803","WorldCat Record")</f>
        <v>WorldCat Record</v>
      </c>
      <c r="AX3330" s="3" t="s">
        <v>33368</v>
      </c>
      <c r="AY3330" s="3" t="s">
        <v>33369</v>
      </c>
      <c r="AZ3330" s="3" t="s">
        <v>33370</v>
      </c>
      <c r="BA3330" s="3" t="s">
        <v>33370</v>
      </c>
      <c r="BB3330" s="3" t="s">
        <v>33371</v>
      </c>
      <c r="BC3330" s="3" t="s">
        <v>77</v>
      </c>
      <c r="BD3330" s="3" t="s">
        <v>78</v>
      </c>
      <c r="BE3330" s="3" t="s">
        <v>33372</v>
      </c>
      <c r="BF3330" s="3" t="s">
        <v>33371</v>
      </c>
      <c r="BG3330" s="3" t="s">
        <v>33373</v>
      </c>
      <c r="BH3330">
        <f t="shared" ref="BH3330:BH3393" si="79">IF(COUNTIF($BF$1:$BF$5431,BF3330)=1,0,1)</f>
        <v>0</v>
      </c>
    </row>
    <row r="3331" spans="1:60" ht="58" x14ac:dyDescent="0.35">
      <c r="A3331" s="2" t="s">
        <v>59</v>
      </c>
      <c r="B3331" s="2" t="s">
        <v>60</v>
      </c>
      <c r="C3331" s="2" t="s">
        <v>33374</v>
      </c>
      <c r="D3331" s="2" t="s">
        <v>33375</v>
      </c>
      <c r="E3331" s="2" t="s">
        <v>33376</v>
      </c>
      <c r="G3331" s="3" t="s">
        <v>64</v>
      </c>
      <c r="I3331" s="3" t="s">
        <v>128</v>
      </c>
      <c r="J3331" s="3" t="s">
        <v>64</v>
      </c>
      <c r="K3331" s="3" t="s">
        <v>65</v>
      </c>
      <c r="L3331" s="2" t="s">
        <v>33377</v>
      </c>
      <c r="M3331" s="2" t="s">
        <v>33378</v>
      </c>
      <c r="N3331" s="3" t="s">
        <v>7840</v>
      </c>
      <c r="P3331" s="3" t="s">
        <v>102</v>
      </c>
      <c r="Q3331" s="2" t="s">
        <v>33379</v>
      </c>
      <c r="R3331" s="3" t="s">
        <v>70</v>
      </c>
      <c r="S3331" s="4">
        <v>6</v>
      </c>
      <c r="T3331" s="4">
        <v>6</v>
      </c>
      <c r="U3331" s="5" t="s">
        <v>33380</v>
      </c>
      <c r="V3331" s="5" t="s">
        <v>33380</v>
      </c>
      <c r="W3331" s="5" t="s">
        <v>72</v>
      </c>
      <c r="X3331" s="5" t="s">
        <v>72</v>
      </c>
      <c r="Y3331" s="4">
        <v>117</v>
      </c>
      <c r="Z3331" s="4">
        <v>4</v>
      </c>
      <c r="AA3331" s="4">
        <v>27</v>
      </c>
      <c r="AB3331" s="4">
        <v>1</v>
      </c>
      <c r="AC3331" s="4">
        <v>5</v>
      </c>
      <c r="AD3331" s="4">
        <v>41</v>
      </c>
      <c r="AE3331" s="4">
        <v>101</v>
      </c>
      <c r="AF3331" s="4">
        <v>0</v>
      </c>
      <c r="AG3331" s="4">
        <v>3</v>
      </c>
      <c r="AH3331" s="4">
        <v>38</v>
      </c>
      <c r="AI3331" s="4">
        <v>89</v>
      </c>
      <c r="AJ3331" s="4">
        <v>2</v>
      </c>
      <c r="AK3331" s="4">
        <v>16</v>
      </c>
      <c r="AL3331" s="4">
        <v>30</v>
      </c>
      <c r="AM3331" s="4">
        <v>53</v>
      </c>
      <c r="AN3331" s="4">
        <v>0</v>
      </c>
      <c r="AO3331" s="4">
        <v>0</v>
      </c>
      <c r="AP3331" s="4">
        <v>2</v>
      </c>
      <c r="AQ3331" s="4">
        <v>18</v>
      </c>
      <c r="AR3331" s="3" t="s">
        <v>64</v>
      </c>
      <c r="AS3331" s="3" t="s">
        <v>128</v>
      </c>
      <c r="AT3331" s="3" t="s">
        <v>64</v>
      </c>
      <c r="AU3331" s="6" t="str">
        <f>HYPERLINK("http://catalog.hathitrust.org/Record/001164340","HathiTrust Record")</f>
        <v>HathiTrust Record</v>
      </c>
      <c r="AV3331" s="6" t="str">
        <f>HYPERLINK("http://mcgill.on.worldcat.org/oclc/26222326","Catalog Record")</f>
        <v>Catalog Record</v>
      </c>
      <c r="AW3331" s="6" t="str">
        <f>HYPERLINK("http://www.worldcat.org/oclc/26222326","WorldCat Record")</f>
        <v>WorldCat Record</v>
      </c>
      <c r="AX3331" s="3" t="s">
        <v>33381</v>
      </c>
      <c r="AY3331" s="3" t="s">
        <v>33382</v>
      </c>
      <c r="AZ3331" s="3" t="s">
        <v>33383</v>
      </c>
      <c r="BA3331" s="3" t="s">
        <v>33383</v>
      </c>
      <c r="BB3331" s="3" t="s">
        <v>33384</v>
      </c>
      <c r="BC3331" s="3" t="s">
        <v>77</v>
      </c>
      <c r="BD3331" s="3" t="s">
        <v>78</v>
      </c>
      <c r="BF3331" s="3" t="s">
        <v>33384</v>
      </c>
      <c r="BG3331" s="3" t="s">
        <v>33385</v>
      </c>
      <c r="BH3331">
        <f t="shared" si="79"/>
        <v>0</v>
      </c>
    </row>
    <row r="3332" spans="1:60" ht="58" x14ac:dyDescent="0.35">
      <c r="A3332" s="2" t="s">
        <v>59</v>
      </c>
      <c r="B3332" s="2" t="s">
        <v>60</v>
      </c>
      <c r="C3332" s="2" t="s">
        <v>33386</v>
      </c>
      <c r="D3332" s="2" t="s">
        <v>33387</v>
      </c>
      <c r="E3332" s="2" t="s">
        <v>33388</v>
      </c>
      <c r="G3332" s="3" t="s">
        <v>64</v>
      </c>
      <c r="I3332" s="3" t="s">
        <v>64</v>
      </c>
      <c r="J3332" s="3" t="s">
        <v>64</v>
      </c>
      <c r="K3332" s="3" t="s">
        <v>65</v>
      </c>
      <c r="M3332" s="2" t="s">
        <v>33389</v>
      </c>
      <c r="N3332" s="3" t="s">
        <v>1615</v>
      </c>
      <c r="P3332" s="3" t="s">
        <v>102</v>
      </c>
      <c r="Q3332" s="2" t="s">
        <v>33390</v>
      </c>
      <c r="R3332" s="3" t="s">
        <v>70</v>
      </c>
      <c r="S3332" s="4">
        <v>3</v>
      </c>
      <c r="T3332" s="4">
        <v>3</v>
      </c>
      <c r="U3332" s="5" t="s">
        <v>33391</v>
      </c>
      <c r="V3332" s="5" t="s">
        <v>33391</v>
      </c>
      <c r="W3332" s="5" t="s">
        <v>72</v>
      </c>
      <c r="X3332" s="5" t="s">
        <v>72</v>
      </c>
      <c r="Y3332" s="4">
        <v>155</v>
      </c>
      <c r="Z3332" s="4">
        <v>9</v>
      </c>
      <c r="AA3332" s="4">
        <v>10</v>
      </c>
      <c r="AB3332" s="4">
        <v>1</v>
      </c>
      <c r="AC3332" s="4">
        <v>2</v>
      </c>
      <c r="AD3332" s="4">
        <v>60</v>
      </c>
      <c r="AE3332" s="4">
        <v>61</v>
      </c>
      <c r="AF3332" s="4">
        <v>0</v>
      </c>
      <c r="AG3332" s="4">
        <v>1</v>
      </c>
      <c r="AH3332" s="4">
        <v>57</v>
      </c>
      <c r="AI3332" s="4">
        <v>57</v>
      </c>
      <c r="AJ3332" s="4">
        <v>6</v>
      </c>
      <c r="AK3332" s="4">
        <v>7</v>
      </c>
      <c r="AL3332" s="4">
        <v>38</v>
      </c>
      <c r="AM3332" s="4">
        <v>38</v>
      </c>
      <c r="AN3332" s="4">
        <v>0</v>
      </c>
      <c r="AO3332" s="4">
        <v>0</v>
      </c>
      <c r="AP3332" s="4">
        <v>6</v>
      </c>
      <c r="AQ3332" s="4">
        <v>6</v>
      </c>
      <c r="AR3332" s="3" t="s">
        <v>64</v>
      </c>
      <c r="AS3332" s="3" t="s">
        <v>64</v>
      </c>
      <c r="AT3332" s="3" t="s">
        <v>64</v>
      </c>
      <c r="AV3332" s="6" t="str">
        <f>HYPERLINK("http://mcgill.on.worldcat.org/oclc/34675250","Catalog Record")</f>
        <v>Catalog Record</v>
      </c>
      <c r="AW3332" s="6" t="str">
        <f>HYPERLINK("http://www.worldcat.org/oclc/34675250","WorldCat Record")</f>
        <v>WorldCat Record</v>
      </c>
      <c r="AX3332" s="3" t="s">
        <v>33392</v>
      </c>
      <c r="AY3332" s="3" t="s">
        <v>33393</v>
      </c>
      <c r="AZ3332" s="3" t="s">
        <v>33394</v>
      </c>
      <c r="BA3332" s="3" t="s">
        <v>33394</v>
      </c>
      <c r="BB3332" s="3" t="s">
        <v>33395</v>
      </c>
      <c r="BC3332" s="3" t="s">
        <v>77</v>
      </c>
      <c r="BD3332" s="3" t="s">
        <v>78</v>
      </c>
      <c r="BE3332" s="3" t="s">
        <v>33396</v>
      </c>
      <c r="BF3332" s="3" t="s">
        <v>33395</v>
      </c>
      <c r="BG3332" s="3" t="s">
        <v>33397</v>
      </c>
      <c r="BH3332">
        <f t="shared" si="79"/>
        <v>0</v>
      </c>
    </row>
    <row r="3333" spans="1:60" ht="58" x14ac:dyDescent="0.35">
      <c r="A3333" s="2" t="s">
        <v>59</v>
      </c>
      <c r="B3333" s="2" t="s">
        <v>60</v>
      </c>
      <c r="C3333" s="2" t="s">
        <v>33398</v>
      </c>
      <c r="D3333" s="2" t="s">
        <v>33399</v>
      </c>
      <c r="E3333" s="2" t="s">
        <v>33400</v>
      </c>
      <c r="G3333" s="3" t="s">
        <v>64</v>
      </c>
      <c r="I3333" s="3" t="s">
        <v>64</v>
      </c>
      <c r="J3333" s="3" t="s">
        <v>64</v>
      </c>
      <c r="K3333" s="3" t="s">
        <v>65</v>
      </c>
      <c r="M3333" s="2" t="s">
        <v>33401</v>
      </c>
      <c r="N3333" s="3" t="s">
        <v>1938</v>
      </c>
      <c r="P3333" s="3" t="s">
        <v>102</v>
      </c>
      <c r="Q3333" s="2" t="s">
        <v>33402</v>
      </c>
      <c r="R3333" s="3" t="s">
        <v>70</v>
      </c>
      <c r="S3333" s="4">
        <v>4</v>
      </c>
      <c r="T3333" s="4">
        <v>4</v>
      </c>
      <c r="U3333" s="5" t="s">
        <v>1264</v>
      </c>
      <c r="V3333" s="5" t="s">
        <v>1264</v>
      </c>
      <c r="W3333" s="5" t="s">
        <v>72</v>
      </c>
      <c r="X3333" s="5" t="s">
        <v>72</v>
      </c>
      <c r="Y3333" s="4">
        <v>203</v>
      </c>
      <c r="Z3333" s="4">
        <v>14</v>
      </c>
      <c r="AA3333" s="4">
        <v>15</v>
      </c>
      <c r="AB3333" s="4">
        <v>1</v>
      </c>
      <c r="AC3333" s="4">
        <v>2</v>
      </c>
      <c r="AD3333" s="4">
        <v>66</v>
      </c>
      <c r="AE3333" s="4">
        <v>67</v>
      </c>
      <c r="AF3333" s="4">
        <v>0</v>
      </c>
      <c r="AG3333" s="4">
        <v>1</v>
      </c>
      <c r="AH3333" s="4">
        <v>60</v>
      </c>
      <c r="AI3333" s="4">
        <v>60</v>
      </c>
      <c r="AJ3333" s="4">
        <v>9</v>
      </c>
      <c r="AK3333" s="4">
        <v>10</v>
      </c>
      <c r="AL3333" s="4">
        <v>41</v>
      </c>
      <c r="AM3333" s="4">
        <v>41</v>
      </c>
      <c r="AN3333" s="4">
        <v>0</v>
      </c>
      <c r="AO3333" s="4">
        <v>0</v>
      </c>
      <c r="AP3333" s="4">
        <v>10</v>
      </c>
      <c r="AQ3333" s="4">
        <v>10</v>
      </c>
      <c r="AR3333" s="3" t="s">
        <v>64</v>
      </c>
      <c r="AS3333" s="3" t="s">
        <v>64</v>
      </c>
      <c r="AT3333" s="3" t="s">
        <v>128</v>
      </c>
      <c r="AU3333" s="6" t="str">
        <f>HYPERLINK("http://catalog.hathitrust.org/Record/002469414","HathiTrust Record")</f>
        <v>HathiTrust Record</v>
      </c>
      <c r="AV3333" s="6" t="str">
        <f>HYPERLINK("http://mcgill.on.worldcat.org/oclc/25205191","Catalog Record")</f>
        <v>Catalog Record</v>
      </c>
      <c r="AW3333" s="6" t="str">
        <f>HYPERLINK("http://www.worldcat.org/oclc/25205191","WorldCat Record")</f>
        <v>WorldCat Record</v>
      </c>
      <c r="AX3333" s="3" t="s">
        <v>33403</v>
      </c>
      <c r="AY3333" s="3" t="s">
        <v>33404</v>
      </c>
      <c r="AZ3333" s="3" t="s">
        <v>33405</v>
      </c>
      <c r="BA3333" s="3" t="s">
        <v>33405</v>
      </c>
      <c r="BB3333" s="3" t="s">
        <v>33406</v>
      </c>
      <c r="BC3333" s="3" t="s">
        <v>77</v>
      </c>
      <c r="BD3333" s="3" t="s">
        <v>78</v>
      </c>
      <c r="BE3333" s="3" t="s">
        <v>33407</v>
      </c>
      <c r="BF3333" s="3" t="s">
        <v>33406</v>
      </c>
      <c r="BG3333" s="3" t="s">
        <v>33408</v>
      </c>
      <c r="BH3333">
        <f t="shared" si="79"/>
        <v>0</v>
      </c>
    </row>
    <row r="3334" spans="1:60" ht="58" x14ac:dyDescent="0.35">
      <c r="A3334" s="2" t="s">
        <v>59</v>
      </c>
      <c r="B3334" s="2" t="s">
        <v>60</v>
      </c>
      <c r="C3334" s="2" t="s">
        <v>33409</v>
      </c>
      <c r="D3334" s="2" t="s">
        <v>33410</v>
      </c>
      <c r="E3334" s="2" t="s">
        <v>33411</v>
      </c>
      <c r="G3334" s="3" t="s">
        <v>64</v>
      </c>
      <c r="I3334" s="3" t="s">
        <v>64</v>
      </c>
      <c r="J3334" s="3" t="s">
        <v>64</v>
      </c>
      <c r="K3334" s="3" t="s">
        <v>65</v>
      </c>
      <c r="L3334" s="2" t="s">
        <v>33412</v>
      </c>
      <c r="M3334" s="2" t="s">
        <v>33413</v>
      </c>
      <c r="N3334" s="3" t="s">
        <v>1061</v>
      </c>
      <c r="P3334" s="3" t="s">
        <v>102</v>
      </c>
      <c r="Q3334" s="2" t="s">
        <v>33414</v>
      </c>
      <c r="R3334" s="3" t="s">
        <v>70</v>
      </c>
      <c r="S3334" s="4">
        <v>14</v>
      </c>
      <c r="T3334" s="4">
        <v>14</v>
      </c>
      <c r="U3334" s="5" t="s">
        <v>33391</v>
      </c>
      <c r="V3334" s="5" t="s">
        <v>33391</v>
      </c>
      <c r="W3334" s="5" t="s">
        <v>72</v>
      </c>
      <c r="X3334" s="5" t="s">
        <v>72</v>
      </c>
      <c r="Y3334" s="4">
        <v>316</v>
      </c>
      <c r="Z3334" s="4">
        <v>25</v>
      </c>
      <c r="AA3334" s="4">
        <v>27</v>
      </c>
      <c r="AB3334" s="4">
        <v>3</v>
      </c>
      <c r="AC3334" s="4">
        <v>4</v>
      </c>
      <c r="AD3334" s="4">
        <v>103</v>
      </c>
      <c r="AE3334" s="4">
        <v>106</v>
      </c>
      <c r="AF3334" s="4">
        <v>1</v>
      </c>
      <c r="AG3334" s="4">
        <v>2</v>
      </c>
      <c r="AH3334" s="4">
        <v>90</v>
      </c>
      <c r="AI3334" s="4">
        <v>91</v>
      </c>
      <c r="AJ3334" s="4">
        <v>14</v>
      </c>
      <c r="AK3334" s="4">
        <v>15</v>
      </c>
      <c r="AL3334" s="4">
        <v>51</v>
      </c>
      <c r="AM3334" s="4">
        <v>52</v>
      </c>
      <c r="AN3334" s="4">
        <v>0</v>
      </c>
      <c r="AO3334" s="4">
        <v>0</v>
      </c>
      <c r="AP3334" s="4">
        <v>18</v>
      </c>
      <c r="AQ3334" s="4">
        <v>19</v>
      </c>
      <c r="AR3334" s="3" t="s">
        <v>64</v>
      </c>
      <c r="AS3334" s="3" t="s">
        <v>64</v>
      </c>
      <c r="AT3334" s="3" t="s">
        <v>128</v>
      </c>
      <c r="AU3334" s="6" t="str">
        <f>HYPERLINK("http://catalog.hathitrust.org/Record/000577300","HathiTrust Record")</f>
        <v>HathiTrust Record</v>
      </c>
      <c r="AV3334" s="6" t="str">
        <f>HYPERLINK("http://mcgill.on.worldcat.org/oclc/11867376","Catalog Record")</f>
        <v>Catalog Record</v>
      </c>
      <c r="AW3334" s="6" t="str">
        <f>HYPERLINK("http://www.worldcat.org/oclc/11867376","WorldCat Record")</f>
        <v>WorldCat Record</v>
      </c>
      <c r="AX3334" s="3" t="s">
        <v>33415</v>
      </c>
      <c r="AY3334" s="3" t="s">
        <v>33416</v>
      </c>
      <c r="AZ3334" s="3" t="s">
        <v>33417</v>
      </c>
      <c r="BA3334" s="3" t="s">
        <v>33417</v>
      </c>
      <c r="BB3334" s="3" t="s">
        <v>33418</v>
      </c>
      <c r="BC3334" s="3" t="s">
        <v>77</v>
      </c>
      <c r="BD3334" s="3" t="s">
        <v>78</v>
      </c>
      <c r="BE3334" s="3" t="s">
        <v>33419</v>
      </c>
      <c r="BF3334" s="3" t="s">
        <v>33418</v>
      </c>
      <c r="BG3334" s="3" t="s">
        <v>33420</v>
      </c>
      <c r="BH3334">
        <f t="shared" si="79"/>
        <v>0</v>
      </c>
    </row>
    <row r="3335" spans="1:60" ht="58" x14ac:dyDescent="0.35">
      <c r="A3335" s="2" t="s">
        <v>59</v>
      </c>
      <c r="B3335" s="2" t="s">
        <v>60</v>
      </c>
      <c r="C3335" s="2" t="s">
        <v>33421</v>
      </c>
      <c r="D3335" s="2" t="s">
        <v>33422</v>
      </c>
      <c r="E3335" s="2" t="s">
        <v>33423</v>
      </c>
      <c r="G3335" s="3" t="s">
        <v>64</v>
      </c>
      <c r="I3335" s="3" t="s">
        <v>64</v>
      </c>
      <c r="J3335" s="3" t="s">
        <v>64</v>
      </c>
      <c r="K3335" s="3" t="s">
        <v>65</v>
      </c>
      <c r="L3335" s="2" t="s">
        <v>33424</v>
      </c>
      <c r="M3335" s="2" t="s">
        <v>33425</v>
      </c>
      <c r="N3335" s="3" t="s">
        <v>1075</v>
      </c>
      <c r="P3335" s="3" t="s">
        <v>68</v>
      </c>
      <c r="Q3335" s="2" t="s">
        <v>33426</v>
      </c>
      <c r="R3335" s="3" t="s">
        <v>70</v>
      </c>
      <c r="S3335" s="4">
        <v>3</v>
      </c>
      <c r="T3335" s="4">
        <v>3</v>
      </c>
      <c r="U3335" s="5" t="s">
        <v>12841</v>
      </c>
      <c r="V3335" s="5" t="s">
        <v>12841</v>
      </c>
      <c r="W3335" s="5" t="s">
        <v>72</v>
      </c>
      <c r="X3335" s="5" t="s">
        <v>72</v>
      </c>
      <c r="Y3335" s="4">
        <v>50</v>
      </c>
      <c r="Z3335" s="4">
        <v>7</v>
      </c>
      <c r="AA3335" s="4">
        <v>11</v>
      </c>
      <c r="AB3335" s="4">
        <v>1</v>
      </c>
      <c r="AC3335" s="4">
        <v>4</v>
      </c>
      <c r="AD3335" s="4">
        <v>23</v>
      </c>
      <c r="AE3335" s="4">
        <v>25</v>
      </c>
      <c r="AF3335" s="4">
        <v>0</v>
      </c>
      <c r="AG3335" s="4">
        <v>1</v>
      </c>
      <c r="AH3335" s="4">
        <v>21</v>
      </c>
      <c r="AI3335" s="4">
        <v>22</v>
      </c>
      <c r="AJ3335" s="4">
        <v>3</v>
      </c>
      <c r="AK3335" s="4">
        <v>5</v>
      </c>
      <c r="AL3335" s="4">
        <v>18</v>
      </c>
      <c r="AM3335" s="4">
        <v>18</v>
      </c>
      <c r="AN3335" s="4">
        <v>0</v>
      </c>
      <c r="AO3335" s="4">
        <v>0</v>
      </c>
      <c r="AP3335" s="4">
        <v>3</v>
      </c>
      <c r="AQ3335" s="4">
        <v>4</v>
      </c>
      <c r="AR3335" s="3" t="s">
        <v>64</v>
      </c>
      <c r="AS3335" s="3" t="s">
        <v>64</v>
      </c>
      <c r="AT3335" s="3" t="s">
        <v>64</v>
      </c>
      <c r="AV3335" s="6" t="str">
        <f>HYPERLINK("http://mcgill.on.worldcat.org/oclc/864819272","Catalog Record")</f>
        <v>Catalog Record</v>
      </c>
      <c r="AW3335" s="6" t="str">
        <f>HYPERLINK("http://www.worldcat.org/oclc/864819272","WorldCat Record")</f>
        <v>WorldCat Record</v>
      </c>
      <c r="AX3335" s="3" t="s">
        <v>33427</v>
      </c>
      <c r="AY3335" s="3" t="s">
        <v>33428</v>
      </c>
      <c r="AZ3335" s="3" t="s">
        <v>33429</v>
      </c>
      <c r="BA3335" s="3" t="s">
        <v>33429</v>
      </c>
      <c r="BB3335" s="3" t="s">
        <v>33430</v>
      </c>
      <c r="BC3335" s="3" t="s">
        <v>77</v>
      </c>
      <c r="BD3335" s="3" t="s">
        <v>78</v>
      </c>
      <c r="BE3335" s="3" t="s">
        <v>33431</v>
      </c>
      <c r="BF3335" s="3" t="s">
        <v>33430</v>
      </c>
      <c r="BG3335" s="3" t="s">
        <v>33432</v>
      </c>
      <c r="BH3335">
        <f t="shared" si="79"/>
        <v>0</v>
      </c>
    </row>
    <row r="3336" spans="1:60" ht="72.5" x14ac:dyDescent="0.35">
      <c r="A3336" s="2" t="s">
        <v>59</v>
      </c>
      <c r="B3336" s="2" t="s">
        <v>60</v>
      </c>
      <c r="C3336" s="2" t="s">
        <v>33433</v>
      </c>
      <c r="D3336" s="2" t="s">
        <v>33434</v>
      </c>
      <c r="E3336" s="2" t="s">
        <v>33435</v>
      </c>
      <c r="G3336" s="3" t="s">
        <v>64</v>
      </c>
      <c r="I3336" s="3" t="s">
        <v>64</v>
      </c>
      <c r="J3336" s="3" t="s">
        <v>64</v>
      </c>
      <c r="K3336" s="3" t="s">
        <v>65</v>
      </c>
      <c r="M3336" s="2" t="s">
        <v>33436</v>
      </c>
      <c r="N3336" s="3" t="s">
        <v>1087</v>
      </c>
      <c r="P3336" s="3" t="s">
        <v>102</v>
      </c>
      <c r="Q3336" s="2" t="s">
        <v>33437</v>
      </c>
      <c r="R3336" s="3" t="s">
        <v>70</v>
      </c>
      <c r="S3336" s="4">
        <v>4</v>
      </c>
      <c r="T3336" s="4">
        <v>4</v>
      </c>
      <c r="U3336" s="5" t="s">
        <v>1116</v>
      </c>
      <c r="V3336" s="5" t="s">
        <v>1116</v>
      </c>
      <c r="W3336" s="5" t="s">
        <v>72</v>
      </c>
      <c r="X3336" s="5" t="s">
        <v>72</v>
      </c>
      <c r="Y3336" s="4">
        <v>178</v>
      </c>
      <c r="Z3336" s="4">
        <v>8</v>
      </c>
      <c r="AA3336" s="4">
        <v>9</v>
      </c>
      <c r="AB3336" s="4">
        <v>1</v>
      </c>
      <c r="AC3336" s="4">
        <v>2</v>
      </c>
      <c r="AD3336" s="4">
        <v>62</v>
      </c>
      <c r="AE3336" s="4">
        <v>63</v>
      </c>
      <c r="AF3336" s="4">
        <v>0</v>
      </c>
      <c r="AG3336" s="4">
        <v>1</v>
      </c>
      <c r="AH3336" s="4">
        <v>59</v>
      </c>
      <c r="AI3336" s="4">
        <v>59</v>
      </c>
      <c r="AJ3336" s="4">
        <v>5</v>
      </c>
      <c r="AK3336" s="4">
        <v>6</v>
      </c>
      <c r="AL3336" s="4">
        <v>42</v>
      </c>
      <c r="AM3336" s="4">
        <v>42</v>
      </c>
      <c r="AN3336" s="4">
        <v>0</v>
      </c>
      <c r="AO3336" s="4">
        <v>0</v>
      </c>
      <c r="AP3336" s="4">
        <v>5</v>
      </c>
      <c r="AQ3336" s="4">
        <v>5</v>
      </c>
      <c r="AR3336" s="3" t="s">
        <v>64</v>
      </c>
      <c r="AS3336" s="3" t="s">
        <v>64</v>
      </c>
      <c r="AT3336" s="3" t="s">
        <v>128</v>
      </c>
      <c r="AU3336" s="6" t="str">
        <f>HYPERLINK("http://catalog.hathitrust.org/Record/004041576","HathiTrust Record")</f>
        <v>HathiTrust Record</v>
      </c>
      <c r="AV3336" s="6" t="str">
        <f>HYPERLINK("http://mcgill.on.worldcat.org/oclc/25712130","Catalog Record")</f>
        <v>Catalog Record</v>
      </c>
      <c r="AW3336" s="6" t="str">
        <f>HYPERLINK("http://www.worldcat.org/oclc/25712130","WorldCat Record")</f>
        <v>WorldCat Record</v>
      </c>
      <c r="AX3336" s="3" t="s">
        <v>33438</v>
      </c>
      <c r="AY3336" s="3" t="s">
        <v>33439</v>
      </c>
      <c r="AZ3336" s="3" t="s">
        <v>33440</v>
      </c>
      <c r="BA3336" s="3" t="s">
        <v>33440</v>
      </c>
      <c r="BB3336" s="3" t="s">
        <v>33441</v>
      </c>
      <c r="BC3336" s="3" t="s">
        <v>77</v>
      </c>
      <c r="BD3336" s="3" t="s">
        <v>78</v>
      </c>
      <c r="BE3336" s="3" t="s">
        <v>33442</v>
      </c>
      <c r="BF3336" s="3" t="s">
        <v>33441</v>
      </c>
      <c r="BG3336" s="3" t="s">
        <v>33443</v>
      </c>
      <c r="BH3336">
        <f t="shared" si="79"/>
        <v>0</v>
      </c>
    </row>
    <row r="3337" spans="1:60" ht="58" x14ac:dyDescent="0.35">
      <c r="A3337" s="2" t="s">
        <v>59</v>
      </c>
      <c r="B3337" s="2" t="s">
        <v>60</v>
      </c>
      <c r="C3337" s="2" t="s">
        <v>33444</v>
      </c>
      <c r="D3337" s="2" t="s">
        <v>33445</v>
      </c>
      <c r="E3337" s="2" t="s">
        <v>33446</v>
      </c>
      <c r="G3337" s="3" t="s">
        <v>64</v>
      </c>
      <c r="I3337" s="3" t="s">
        <v>64</v>
      </c>
      <c r="J3337" s="3" t="s">
        <v>64</v>
      </c>
      <c r="K3337" s="3" t="s">
        <v>65</v>
      </c>
      <c r="L3337" s="2" t="s">
        <v>33447</v>
      </c>
      <c r="M3337" s="2" t="s">
        <v>33448</v>
      </c>
      <c r="N3337" s="3" t="s">
        <v>421</v>
      </c>
      <c r="P3337" s="3" t="s">
        <v>33449</v>
      </c>
      <c r="R3337" s="3" t="s">
        <v>70</v>
      </c>
      <c r="S3337" s="4">
        <v>3</v>
      </c>
      <c r="T3337" s="4">
        <v>3</v>
      </c>
      <c r="U3337" s="5" t="s">
        <v>14841</v>
      </c>
      <c r="V3337" s="5" t="s">
        <v>14841</v>
      </c>
      <c r="W3337" s="5" t="s">
        <v>72</v>
      </c>
      <c r="X3337" s="5" t="s">
        <v>72</v>
      </c>
      <c r="Y3337" s="4">
        <v>36</v>
      </c>
      <c r="Z3337" s="4">
        <v>2</v>
      </c>
      <c r="AA3337" s="4">
        <v>2</v>
      </c>
      <c r="AB3337" s="4">
        <v>1</v>
      </c>
      <c r="AC3337" s="4">
        <v>1</v>
      </c>
      <c r="AD3337" s="4">
        <v>13</v>
      </c>
      <c r="AE3337" s="4">
        <v>13</v>
      </c>
      <c r="AF3337" s="4">
        <v>0</v>
      </c>
      <c r="AG3337" s="4">
        <v>0</v>
      </c>
      <c r="AH3337" s="4">
        <v>13</v>
      </c>
      <c r="AI3337" s="4">
        <v>13</v>
      </c>
      <c r="AJ3337" s="4">
        <v>1</v>
      </c>
      <c r="AK3337" s="4">
        <v>1</v>
      </c>
      <c r="AL3337" s="4">
        <v>7</v>
      </c>
      <c r="AM3337" s="4">
        <v>7</v>
      </c>
      <c r="AN3337" s="4">
        <v>0</v>
      </c>
      <c r="AO3337" s="4">
        <v>0</v>
      </c>
      <c r="AP3337" s="4">
        <v>1</v>
      </c>
      <c r="AQ3337" s="4">
        <v>1</v>
      </c>
      <c r="AR3337" s="3" t="s">
        <v>64</v>
      </c>
      <c r="AS3337" s="3" t="s">
        <v>64</v>
      </c>
      <c r="AT3337" s="3" t="s">
        <v>128</v>
      </c>
      <c r="AU3337" s="6" t="str">
        <f>HYPERLINK("http://catalog.hathitrust.org/Record/102033331","HathiTrust Record")</f>
        <v>HathiTrust Record</v>
      </c>
      <c r="AV3337" s="6" t="str">
        <f>HYPERLINK("http://mcgill.on.worldcat.org/oclc/44477232","Catalog Record")</f>
        <v>Catalog Record</v>
      </c>
      <c r="AW3337" s="6" t="str">
        <f>HYPERLINK("http://www.worldcat.org/oclc/44477232","WorldCat Record")</f>
        <v>WorldCat Record</v>
      </c>
      <c r="AX3337" s="3" t="s">
        <v>33450</v>
      </c>
      <c r="AY3337" s="3" t="s">
        <v>33451</v>
      </c>
      <c r="AZ3337" s="3" t="s">
        <v>33452</v>
      </c>
      <c r="BA3337" s="3" t="s">
        <v>33452</v>
      </c>
      <c r="BB3337" s="3" t="s">
        <v>33453</v>
      </c>
      <c r="BC3337" s="3" t="s">
        <v>77</v>
      </c>
      <c r="BD3337" s="3" t="s">
        <v>78</v>
      </c>
      <c r="BE3337" s="3" t="s">
        <v>33454</v>
      </c>
      <c r="BF3337" s="3" t="s">
        <v>33453</v>
      </c>
      <c r="BG3337" s="3" t="s">
        <v>33455</v>
      </c>
      <c r="BH3337">
        <f t="shared" si="79"/>
        <v>0</v>
      </c>
    </row>
    <row r="3338" spans="1:60" ht="58" x14ac:dyDescent="0.35">
      <c r="A3338" s="2" t="s">
        <v>59</v>
      </c>
      <c r="B3338" s="2" t="s">
        <v>60</v>
      </c>
      <c r="C3338" s="2" t="s">
        <v>33456</v>
      </c>
      <c r="D3338" s="2" t="s">
        <v>33457</v>
      </c>
      <c r="E3338" s="2" t="s">
        <v>33458</v>
      </c>
      <c r="G3338" s="3" t="s">
        <v>64</v>
      </c>
      <c r="I3338" s="3" t="s">
        <v>64</v>
      </c>
      <c r="J3338" s="3" t="s">
        <v>128</v>
      </c>
      <c r="K3338" s="3" t="s">
        <v>65</v>
      </c>
      <c r="L3338" s="2" t="s">
        <v>33459</v>
      </c>
      <c r="M3338" s="2" t="s">
        <v>33460</v>
      </c>
      <c r="N3338" s="3" t="s">
        <v>922</v>
      </c>
      <c r="P3338" s="3" t="s">
        <v>102</v>
      </c>
      <c r="Q3338" s="2" t="s">
        <v>33461</v>
      </c>
      <c r="R3338" s="3" t="s">
        <v>70</v>
      </c>
      <c r="S3338" s="4">
        <v>12</v>
      </c>
      <c r="T3338" s="4">
        <v>12</v>
      </c>
      <c r="U3338" s="5" t="s">
        <v>1005</v>
      </c>
      <c r="V3338" s="5" t="s">
        <v>1005</v>
      </c>
      <c r="W3338" s="5" t="s">
        <v>72</v>
      </c>
      <c r="X3338" s="5" t="s">
        <v>72</v>
      </c>
      <c r="Y3338" s="4">
        <v>254</v>
      </c>
      <c r="Z3338" s="4">
        <v>24</v>
      </c>
      <c r="AA3338" s="4">
        <v>39</v>
      </c>
      <c r="AB3338" s="4">
        <v>1</v>
      </c>
      <c r="AC3338" s="4">
        <v>5</v>
      </c>
      <c r="AD3338" s="4">
        <v>92</v>
      </c>
      <c r="AE3338" s="4">
        <v>109</v>
      </c>
      <c r="AF3338" s="4">
        <v>0</v>
      </c>
      <c r="AG3338" s="4">
        <v>2</v>
      </c>
      <c r="AH3338" s="4">
        <v>84</v>
      </c>
      <c r="AI3338" s="4">
        <v>91</v>
      </c>
      <c r="AJ3338" s="4">
        <v>15</v>
      </c>
      <c r="AK3338" s="4">
        <v>19</v>
      </c>
      <c r="AL3338" s="4">
        <v>48</v>
      </c>
      <c r="AM3338" s="4">
        <v>50</v>
      </c>
      <c r="AN3338" s="4">
        <v>0</v>
      </c>
      <c r="AO3338" s="4">
        <v>0</v>
      </c>
      <c r="AP3338" s="4">
        <v>16</v>
      </c>
      <c r="AQ3338" s="4">
        <v>25</v>
      </c>
      <c r="AR3338" s="3" t="s">
        <v>64</v>
      </c>
      <c r="AS3338" s="3" t="s">
        <v>64</v>
      </c>
      <c r="AT3338" s="3" t="s">
        <v>128</v>
      </c>
      <c r="AU3338" s="6" t="str">
        <f>HYPERLINK("http://catalog.hathitrust.org/Record/001164350","HathiTrust Record")</f>
        <v>HathiTrust Record</v>
      </c>
      <c r="AV3338" s="6" t="str">
        <f>HYPERLINK("http://mcgill.on.worldcat.org/oclc/632612","Catalog Record")</f>
        <v>Catalog Record</v>
      </c>
      <c r="AW3338" s="6" t="str">
        <f>HYPERLINK("http://www.worldcat.org/oclc/632612","WorldCat Record")</f>
        <v>WorldCat Record</v>
      </c>
      <c r="AX3338" s="3" t="s">
        <v>33462</v>
      </c>
      <c r="AY3338" s="3" t="s">
        <v>33463</v>
      </c>
      <c r="AZ3338" s="3" t="s">
        <v>33464</v>
      </c>
      <c r="BA3338" s="3" t="s">
        <v>33464</v>
      </c>
      <c r="BB3338" s="3" t="s">
        <v>33465</v>
      </c>
      <c r="BC3338" s="3" t="s">
        <v>77</v>
      </c>
      <c r="BD3338" s="3" t="s">
        <v>78</v>
      </c>
      <c r="BF3338" s="3" t="s">
        <v>33465</v>
      </c>
      <c r="BG3338" s="3" t="s">
        <v>33466</v>
      </c>
      <c r="BH3338">
        <f t="shared" si="79"/>
        <v>0</v>
      </c>
    </row>
    <row r="3339" spans="1:60" ht="58" x14ac:dyDescent="0.35">
      <c r="A3339" s="2" t="s">
        <v>59</v>
      </c>
      <c r="B3339" s="2" t="s">
        <v>60</v>
      </c>
      <c r="C3339" s="2" t="s">
        <v>33467</v>
      </c>
      <c r="D3339" s="2" t="s">
        <v>33468</v>
      </c>
      <c r="E3339" s="2" t="s">
        <v>33469</v>
      </c>
      <c r="G3339" s="3" t="s">
        <v>64</v>
      </c>
      <c r="I3339" s="3" t="s">
        <v>64</v>
      </c>
      <c r="J3339" s="3" t="s">
        <v>128</v>
      </c>
      <c r="K3339" s="3" t="s">
        <v>65</v>
      </c>
      <c r="L3339" s="2" t="s">
        <v>33470</v>
      </c>
      <c r="M3339" s="2" t="s">
        <v>33471</v>
      </c>
      <c r="N3339" s="3" t="s">
        <v>86</v>
      </c>
      <c r="P3339" s="3" t="s">
        <v>102</v>
      </c>
      <c r="Q3339" s="2" t="s">
        <v>33472</v>
      </c>
      <c r="R3339" s="3" t="s">
        <v>70</v>
      </c>
      <c r="S3339" s="4">
        <v>4</v>
      </c>
      <c r="T3339" s="4">
        <v>4</v>
      </c>
      <c r="U3339" s="5" t="s">
        <v>4017</v>
      </c>
      <c r="V3339" s="5" t="s">
        <v>4017</v>
      </c>
      <c r="W3339" s="5" t="s">
        <v>72</v>
      </c>
      <c r="X3339" s="5" t="s">
        <v>72</v>
      </c>
      <c r="Y3339" s="4">
        <v>3</v>
      </c>
      <c r="Z3339" s="4">
        <v>2</v>
      </c>
      <c r="AA3339" s="4">
        <v>39</v>
      </c>
      <c r="AB3339" s="4">
        <v>1</v>
      </c>
      <c r="AC3339" s="4">
        <v>5</v>
      </c>
      <c r="AD3339" s="4">
        <v>1</v>
      </c>
      <c r="AE3339" s="4">
        <v>109</v>
      </c>
      <c r="AF3339" s="4">
        <v>0</v>
      </c>
      <c r="AG3339" s="4">
        <v>2</v>
      </c>
      <c r="AH3339" s="4">
        <v>0</v>
      </c>
      <c r="AI3339" s="4">
        <v>91</v>
      </c>
      <c r="AJ3339" s="4">
        <v>0</v>
      </c>
      <c r="AK3339" s="4">
        <v>19</v>
      </c>
      <c r="AL3339" s="4">
        <v>0</v>
      </c>
      <c r="AM3339" s="4">
        <v>50</v>
      </c>
      <c r="AN3339" s="4">
        <v>0</v>
      </c>
      <c r="AO3339" s="4">
        <v>0</v>
      </c>
      <c r="AP3339" s="4">
        <v>1</v>
      </c>
      <c r="AQ3339" s="4">
        <v>25</v>
      </c>
      <c r="AR3339" s="3" t="s">
        <v>64</v>
      </c>
      <c r="AS3339" s="3" t="s">
        <v>64</v>
      </c>
      <c r="AT3339" s="3" t="s">
        <v>64</v>
      </c>
      <c r="AV3339" s="6" t="str">
        <f>HYPERLINK("http://mcgill.on.worldcat.org/oclc/814137252","Catalog Record")</f>
        <v>Catalog Record</v>
      </c>
      <c r="AW3339" s="6" t="str">
        <f>HYPERLINK("http://www.worldcat.org/oclc/814137252","WorldCat Record")</f>
        <v>WorldCat Record</v>
      </c>
      <c r="AX3339" s="3" t="s">
        <v>33462</v>
      </c>
      <c r="AY3339" s="3" t="s">
        <v>33473</v>
      </c>
      <c r="AZ3339" s="3" t="s">
        <v>33474</v>
      </c>
      <c r="BA3339" s="3" t="s">
        <v>33474</v>
      </c>
      <c r="BB3339" s="3" t="s">
        <v>33475</v>
      </c>
      <c r="BC3339" s="3" t="s">
        <v>77</v>
      </c>
      <c r="BD3339" s="3" t="s">
        <v>78</v>
      </c>
      <c r="BE3339" s="3" t="s">
        <v>33476</v>
      </c>
      <c r="BF3339" s="3" t="s">
        <v>33475</v>
      </c>
      <c r="BG3339" s="3" t="s">
        <v>33477</v>
      </c>
      <c r="BH3339">
        <f t="shared" si="79"/>
        <v>0</v>
      </c>
    </row>
    <row r="3340" spans="1:60" ht="72.5" x14ac:dyDescent="0.35">
      <c r="A3340" s="2" t="s">
        <v>59</v>
      </c>
      <c r="B3340" s="2" t="s">
        <v>1025</v>
      </c>
      <c r="C3340" s="2" t="s">
        <v>33478</v>
      </c>
      <c r="D3340" s="2" t="s">
        <v>33479</v>
      </c>
      <c r="E3340" s="2" t="s">
        <v>33480</v>
      </c>
      <c r="G3340" s="3" t="s">
        <v>64</v>
      </c>
      <c r="I3340" s="3" t="s">
        <v>64</v>
      </c>
      <c r="J3340" s="3" t="s">
        <v>64</v>
      </c>
      <c r="K3340" s="3" t="s">
        <v>65</v>
      </c>
      <c r="L3340" s="2" t="s">
        <v>33481</v>
      </c>
      <c r="M3340" s="2" t="s">
        <v>33482</v>
      </c>
      <c r="N3340" s="3" t="s">
        <v>1763</v>
      </c>
      <c r="P3340" s="3" t="s">
        <v>102</v>
      </c>
      <c r="Q3340" s="2" t="s">
        <v>33483</v>
      </c>
      <c r="R3340" s="3" t="s">
        <v>70</v>
      </c>
      <c r="S3340" s="4">
        <v>6</v>
      </c>
      <c r="T3340" s="4">
        <v>6</v>
      </c>
      <c r="U3340" s="5" t="s">
        <v>33484</v>
      </c>
      <c r="V3340" s="5" t="s">
        <v>33484</v>
      </c>
      <c r="W3340" s="5" t="s">
        <v>72</v>
      </c>
      <c r="X3340" s="5" t="s">
        <v>72</v>
      </c>
      <c r="Y3340" s="4">
        <v>164</v>
      </c>
      <c r="Z3340" s="4">
        <v>15</v>
      </c>
      <c r="AA3340" s="4">
        <v>15</v>
      </c>
      <c r="AB3340" s="4">
        <v>4</v>
      </c>
      <c r="AC3340" s="4">
        <v>4</v>
      </c>
      <c r="AD3340" s="4">
        <v>65</v>
      </c>
      <c r="AE3340" s="4">
        <v>65</v>
      </c>
      <c r="AF3340" s="4">
        <v>1</v>
      </c>
      <c r="AG3340" s="4">
        <v>1</v>
      </c>
      <c r="AH3340" s="4">
        <v>58</v>
      </c>
      <c r="AI3340" s="4">
        <v>58</v>
      </c>
      <c r="AJ3340" s="4">
        <v>10</v>
      </c>
      <c r="AK3340" s="4">
        <v>10</v>
      </c>
      <c r="AL3340" s="4">
        <v>41</v>
      </c>
      <c r="AM3340" s="4">
        <v>41</v>
      </c>
      <c r="AN3340" s="4">
        <v>0</v>
      </c>
      <c r="AO3340" s="4">
        <v>0</v>
      </c>
      <c r="AP3340" s="4">
        <v>10</v>
      </c>
      <c r="AQ3340" s="4">
        <v>10</v>
      </c>
      <c r="AR3340" s="3" t="s">
        <v>64</v>
      </c>
      <c r="AS3340" s="3" t="s">
        <v>64</v>
      </c>
      <c r="AT3340" s="3" t="s">
        <v>128</v>
      </c>
      <c r="AU3340" s="6" t="str">
        <f>HYPERLINK("http://catalog.hathitrust.org/Record/000287416","HathiTrust Record")</f>
        <v>HathiTrust Record</v>
      </c>
      <c r="AV3340" s="6" t="str">
        <f>HYPERLINK("http://mcgill.on.worldcat.org/oclc/10402816","Catalog Record")</f>
        <v>Catalog Record</v>
      </c>
      <c r="AW3340" s="6" t="str">
        <f>HYPERLINK("http://www.worldcat.org/oclc/10402816","WorldCat Record")</f>
        <v>WorldCat Record</v>
      </c>
      <c r="AX3340" s="3" t="s">
        <v>33485</v>
      </c>
      <c r="AY3340" s="3" t="s">
        <v>33486</v>
      </c>
      <c r="AZ3340" s="3" t="s">
        <v>33487</v>
      </c>
      <c r="BA3340" s="3" t="s">
        <v>33487</v>
      </c>
      <c r="BB3340" s="3" t="s">
        <v>33488</v>
      </c>
      <c r="BC3340" s="3" t="s">
        <v>77</v>
      </c>
      <c r="BD3340" s="3" t="s">
        <v>165</v>
      </c>
      <c r="BE3340" s="3" t="s">
        <v>33489</v>
      </c>
      <c r="BF3340" s="3" t="s">
        <v>33488</v>
      </c>
      <c r="BG3340" s="3" t="s">
        <v>33490</v>
      </c>
      <c r="BH3340">
        <f t="shared" si="79"/>
        <v>0</v>
      </c>
    </row>
    <row r="3341" spans="1:60" ht="58" x14ac:dyDescent="0.35">
      <c r="A3341" s="2" t="s">
        <v>59</v>
      </c>
      <c r="B3341" s="2" t="s">
        <v>60</v>
      </c>
      <c r="C3341" s="2" t="s">
        <v>33491</v>
      </c>
      <c r="D3341" s="2" t="s">
        <v>33492</v>
      </c>
      <c r="E3341" s="2" t="s">
        <v>33493</v>
      </c>
      <c r="G3341" s="3" t="s">
        <v>64</v>
      </c>
      <c r="I3341" s="3" t="s">
        <v>64</v>
      </c>
      <c r="J3341" s="3" t="s">
        <v>64</v>
      </c>
      <c r="K3341" s="3" t="s">
        <v>65</v>
      </c>
      <c r="L3341" s="2" t="s">
        <v>33494</v>
      </c>
      <c r="M3341" s="2" t="s">
        <v>33495</v>
      </c>
      <c r="N3341" s="3" t="s">
        <v>3047</v>
      </c>
      <c r="P3341" s="3" t="s">
        <v>102</v>
      </c>
      <c r="R3341" s="3" t="s">
        <v>70</v>
      </c>
      <c r="S3341" s="4">
        <v>1</v>
      </c>
      <c r="T3341" s="4">
        <v>1</v>
      </c>
      <c r="U3341" s="5" t="s">
        <v>32967</v>
      </c>
      <c r="V3341" s="5" t="s">
        <v>32967</v>
      </c>
      <c r="W3341" s="5" t="s">
        <v>72</v>
      </c>
      <c r="X3341" s="5" t="s">
        <v>72</v>
      </c>
      <c r="Y3341" s="4">
        <v>157</v>
      </c>
      <c r="Z3341" s="4">
        <v>8</v>
      </c>
      <c r="AA3341" s="4">
        <v>9</v>
      </c>
      <c r="AB3341" s="4">
        <v>2</v>
      </c>
      <c r="AC3341" s="4">
        <v>3</v>
      </c>
      <c r="AD3341" s="4">
        <v>52</v>
      </c>
      <c r="AE3341" s="4">
        <v>53</v>
      </c>
      <c r="AF3341" s="4">
        <v>0</v>
      </c>
      <c r="AG3341" s="4">
        <v>1</v>
      </c>
      <c r="AH3341" s="4">
        <v>49</v>
      </c>
      <c r="AI3341" s="4">
        <v>49</v>
      </c>
      <c r="AJ3341" s="4">
        <v>5</v>
      </c>
      <c r="AK3341" s="4">
        <v>6</v>
      </c>
      <c r="AL3341" s="4">
        <v>29</v>
      </c>
      <c r="AM3341" s="4">
        <v>29</v>
      </c>
      <c r="AN3341" s="4">
        <v>0</v>
      </c>
      <c r="AO3341" s="4">
        <v>0</v>
      </c>
      <c r="AP3341" s="4">
        <v>4</v>
      </c>
      <c r="AQ3341" s="4">
        <v>4</v>
      </c>
      <c r="AR3341" s="3" t="s">
        <v>64</v>
      </c>
      <c r="AS3341" s="3" t="s">
        <v>64</v>
      </c>
      <c r="AT3341" s="3" t="s">
        <v>128</v>
      </c>
      <c r="AU3341" s="6" t="str">
        <f>HYPERLINK("http://catalog.hathitrust.org/Record/000881881","HathiTrust Record")</f>
        <v>HathiTrust Record</v>
      </c>
      <c r="AV3341" s="6" t="str">
        <f>HYPERLINK("http://mcgill.on.worldcat.org/oclc/16465273","Catalog Record")</f>
        <v>Catalog Record</v>
      </c>
      <c r="AW3341" s="6" t="str">
        <f>HYPERLINK("http://www.worldcat.org/oclc/16465273","WorldCat Record")</f>
        <v>WorldCat Record</v>
      </c>
      <c r="AX3341" s="3" t="s">
        <v>33496</v>
      </c>
      <c r="AY3341" s="3" t="s">
        <v>33497</v>
      </c>
      <c r="AZ3341" s="3" t="s">
        <v>33498</v>
      </c>
      <c r="BA3341" s="3" t="s">
        <v>33498</v>
      </c>
      <c r="BB3341" s="3" t="s">
        <v>33499</v>
      </c>
      <c r="BC3341" s="3" t="s">
        <v>77</v>
      </c>
      <c r="BD3341" s="3" t="s">
        <v>78</v>
      </c>
      <c r="BE3341" s="3" t="s">
        <v>33500</v>
      </c>
      <c r="BF3341" s="3" t="s">
        <v>33499</v>
      </c>
      <c r="BG3341" s="3" t="s">
        <v>33501</v>
      </c>
      <c r="BH3341">
        <f t="shared" si="79"/>
        <v>0</v>
      </c>
    </row>
    <row r="3342" spans="1:60" ht="58" x14ac:dyDescent="0.35">
      <c r="A3342" s="2" t="s">
        <v>59</v>
      </c>
      <c r="B3342" s="2" t="s">
        <v>60</v>
      </c>
      <c r="C3342" s="2" t="s">
        <v>33502</v>
      </c>
      <c r="D3342" s="2" t="s">
        <v>33503</v>
      </c>
      <c r="E3342" s="2" t="s">
        <v>33504</v>
      </c>
      <c r="G3342" s="3" t="s">
        <v>64</v>
      </c>
      <c r="I3342" s="3" t="s">
        <v>64</v>
      </c>
      <c r="J3342" s="3" t="s">
        <v>64</v>
      </c>
      <c r="K3342" s="3" t="s">
        <v>65</v>
      </c>
      <c r="M3342" s="2" t="s">
        <v>19372</v>
      </c>
      <c r="N3342" s="3" t="s">
        <v>253</v>
      </c>
      <c r="P3342" s="3" t="s">
        <v>102</v>
      </c>
      <c r="R3342" s="3" t="s">
        <v>70</v>
      </c>
      <c r="S3342" s="4">
        <v>0</v>
      </c>
      <c r="T3342" s="4">
        <v>0</v>
      </c>
      <c r="W3342" s="5" t="s">
        <v>72</v>
      </c>
      <c r="X3342" s="5" t="s">
        <v>72</v>
      </c>
      <c r="Y3342" s="4">
        <v>42</v>
      </c>
      <c r="Z3342" s="4">
        <v>4</v>
      </c>
      <c r="AA3342" s="4">
        <v>68</v>
      </c>
      <c r="AB3342" s="4">
        <v>1</v>
      </c>
      <c r="AC3342" s="4">
        <v>14</v>
      </c>
      <c r="AD3342" s="4">
        <v>15</v>
      </c>
      <c r="AE3342" s="4">
        <v>80</v>
      </c>
      <c r="AF3342" s="4">
        <v>0</v>
      </c>
      <c r="AG3342" s="4">
        <v>8</v>
      </c>
      <c r="AH3342" s="4">
        <v>15</v>
      </c>
      <c r="AI3342" s="4">
        <v>51</v>
      </c>
      <c r="AJ3342" s="4">
        <v>2</v>
      </c>
      <c r="AK3342" s="4">
        <v>16</v>
      </c>
      <c r="AL3342" s="4">
        <v>7</v>
      </c>
      <c r="AM3342" s="4">
        <v>25</v>
      </c>
      <c r="AN3342" s="4">
        <v>0</v>
      </c>
      <c r="AO3342" s="4">
        <v>0</v>
      </c>
      <c r="AP3342" s="4">
        <v>2</v>
      </c>
      <c r="AQ3342" s="4">
        <v>35</v>
      </c>
      <c r="AR3342" s="3" t="s">
        <v>64</v>
      </c>
      <c r="AS3342" s="3" t="s">
        <v>64</v>
      </c>
      <c r="AT3342" s="3" t="s">
        <v>64</v>
      </c>
      <c r="AV3342" s="6" t="str">
        <f>HYPERLINK("http://mcgill.on.worldcat.org/oclc/921918689","Catalog Record")</f>
        <v>Catalog Record</v>
      </c>
      <c r="AW3342" s="6" t="str">
        <f>HYPERLINK("http://www.worldcat.org/oclc/921918689","WorldCat Record")</f>
        <v>WorldCat Record</v>
      </c>
      <c r="AX3342" s="3" t="s">
        <v>33505</v>
      </c>
      <c r="AY3342" s="3" t="s">
        <v>33506</v>
      </c>
      <c r="AZ3342" s="3" t="s">
        <v>33507</v>
      </c>
      <c r="BA3342" s="3" t="s">
        <v>33507</v>
      </c>
      <c r="BB3342" s="3" t="s">
        <v>33508</v>
      </c>
      <c r="BC3342" s="3" t="s">
        <v>77</v>
      </c>
      <c r="BD3342" s="3" t="s">
        <v>78</v>
      </c>
      <c r="BE3342" s="3" t="s">
        <v>33509</v>
      </c>
      <c r="BF3342" s="3" t="s">
        <v>33508</v>
      </c>
      <c r="BG3342" s="3" t="s">
        <v>33510</v>
      </c>
      <c r="BH3342">
        <f t="shared" si="79"/>
        <v>0</v>
      </c>
    </row>
    <row r="3343" spans="1:60" ht="58" x14ac:dyDescent="0.35">
      <c r="A3343" s="2" t="s">
        <v>59</v>
      </c>
      <c r="B3343" s="2" t="s">
        <v>60</v>
      </c>
      <c r="C3343" s="2" t="s">
        <v>33511</v>
      </c>
      <c r="D3343" s="2" t="s">
        <v>33512</v>
      </c>
      <c r="E3343" s="2" t="s">
        <v>33513</v>
      </c>
      <c r="G3343" s="3" t="s">
        <v>64</v>
      </c>
      <c r="I3343" s="3" t="s">
        <v>64</v>
      </c>
      <c r="J3343" s="3" t="s">
        <v>64</v>
      </c>
      <c r="K3343" s="3" t="s">
        <v>65</v>
      </c>
      <c r="M3343" s="2" t="s">
        <v>20347</v>
      </c>
      <c r="N3343" s="3" t="s">
        <v>67</v>
      </c>
      <c r="P3343" s="3" t="s">
        <v>102</v>
      </c>
      <c r="R3343" s="3" t="s">
        <v>70</v>
      </c>
      <c r="S3343" s="4">
        <v>2</v>
      </c>
      <c r="T3343" s="4">
        <v>2</v>
      </c>
      <c r="U3343" s="5" t="s">
        <v>15069</v>
      </c>
      <c r="V3343" s="5" t="s">
        <v>15069</v>
      </c>
      <c r="W3343" s="5" t="s">
        <v>72</v>
      </c>
      <c r="X3343" s="5" t="s">
        <v>72</v>
      </c>
      <c r="Y3343" s="4">
        <v>27</v>
      </c>
      <c r="Z3343" s="4">
        <v>5</v>
      </c>
      <c r="AA3343" s="4">
        <v>6</v>
      </c>
      <c r="AB3343" s="4">
        <v>1</v>
      </c>
      <c r="AC3343" s="4">
        <v>2</v>
      </c>
      <c r="AD3343" s="4">
        <v>8</v>
      </c>
      <c r="AE3343" s="4">
        <v>8</v>
      </c>
      <c r="AF3343" s="4">
        <v>0</v>
      </c>
      <c r="AG3343" s="4">
        <v>0</v>
      </c>
      <c r="AH3343" s="4">
        <v>7</v>
      </c>
      <c r="AI3343" s="4">
        <v>7</v>
      </c>
      <c r="AJ3343" s="4">
        <v>3</v>
      </c>
      <c r="AK3343" s="4">
        <v>3</v>
      </c>
      <c r="AL3343" s="4">
        <v>3</v>
      </c>
      <c r="AM3343" s="4">
        <v>3</v>
      </c>
      <c r="AN3343" s="4">
        <v>0</v>
      </c>
      <c r="AO3343" s="4">
        <v>0</v>
      </c>
      <c r="AP3343" s="4">
        <v>3</v>
      </c>
      <c r="AQ3343" s="4">
        <v>3</v>
      </c>
      <c r="AR3343" s="3" t="s">
        <v>64</v>
      </c>
      <c r="AS3343" s="3" t="s">
        <v>64</v>
      </c>
      <c r="AT3343" s="3" t="s">
        <v>64</v>
      </c>
      <c r="AV3343" s="6" t="str">
        <f>HYPERLINK("http://mcgill.on.worldcat.org/oclc/878511196","Catalog Record")</f>
        <v>Catalog Record</v>
      </c>
      <c r="AW3343" s="6" t="str">
        <f>HYPERLINK("http://www.worldcat.org/oclc/878511196","WorldCat Record")</f>
        <v>WorldCat Record</v>
      </c>
      <c r="AX3343" s="3" t="s">
        <v>33514</v>
      </c>
      <c r="AY3343" s="3" t="s">
        <v>33515</v>
      </c>
      <c r="AZ3343" s="3" t="s">
        <v>33516</v>
      </c>
      <c r="BA3343" s="3" t="s">
        <v>33516</v>
      </c>
      <c r="BB3343" s="3" t="s">
        <v>33517</v>
      </c>
      <c r="BC3343" s="3" t="s">
        <v>77</v>
      </c>
      <c r="BD3343" s="3" t="s">
        <v>78</v>
      </c>
      <c r="BE3343" s="3" t="s">
        <v>33518</v>
      </c>
      <c r="BF3343" s="3" t="s">
        <v>33517</v>
      </c>
      <c r="BG3343" s="3" t="s">
        <v>33519</v>
      </c>
      <c r="BH3343">
        <f t="shared" si="79"/>
        <v>0</v>
      </c>
    </row>
    <row r="3344" spans="1:60" ht="58" x14ac:dyDescent="0.35">
      <c r="A3344" s="2" t="s">
        <v>59</v>
      </c>
      <c r="B3344" s="2" t="s">
        <v>60</v>
      </c>
      <c r="C3344" s="2" t="s">
        <v>33520</v>
      </c>
      <c r="D3344" s="2" t="s">
        <v>33521</v>
      </c>
      <c r="E3344" s="2" t="s">
        <v>33522</v>
      </c>
      <c r="G3344" s="3" t="s">
        <v>64</v>
      </c>
      <c r="I3344" s="3" t="s">
        <v>64</v>
      </c>
      <c r="J3344" s="3" t="s">
        <v>64</v>
      </c>
      <c r="K3344" s="3" t="s">
        <v>65</v>
      </c>
      <c r="L3344" s="2" t="s">
        <v>33523</v>
      </c>
      <c r="M3344" s="2" t="s">
        <v>33524</v>
      </c>
      <c r="N3344" s="3" t="s">
        <v>291</v>
      </c>
      <c r="P3344" s="3" t="s">
        <v>102</v>
      </c>
      <c r="R3344" s="3" t="s">
        <v>70</v>
      </c>
      <c r="S3344" s="4">
        <v>14</v>
      </c>
      <c r="T3344" s="4">
        <v>14</v>
      </c>
      <c r="U3344" s="5" t="s">
        <v>1846</v>
      </c>
      <c r="V3344" s="5" t="s">
        <v>1846</v>
      </c>
      <c r="W3344" s="5" t="s">
        <v>72</v>
      </c>
      <c r="X3344" s="5" t="s">
        <v>72</v>
      </c>
      <c r="Y3344" s="4">
        <v>514</v>
      </c>
      <c r="Z3344" s="4">
        <v>28</v>
      </c>
      <c r="AA3344" s="4">
        <v>111</v>
      </c>
      <c r="AB3344" s="4">
        <v>3</v>
      </c>
      <c r="AC3344" s="4">
        <v>18</v>
      </c>
      <c r="AD3344" s="4">
        <v>43</v>
      </c>
      <c r="AE3344" s="4">
        <v>100</v>
      </c>
      <c r="AF3344" s="4">
        <v>1</v>
      </c>
      <c r="AG3344" s="4">
        <v>8</v>
      </c>
      <c r="AH3344" s="4">
        <v>39</v>
      </c>
      <c r="AI3344" s="4">
        <v>67</v>
      </c>
      <c r="AJ3344" s="4">
        <v>7</v>
      </c>
      <c r="AK3344" s="4">
        <v>19</v>
      </c>
      <c r="AL3344" s="4">
        <v>20</v>
      </c>
      <c r="AM3344" s="4">
        <v>33</v>
      </c>
      <c r="AN3344" s="4">
        <v>0</v>
      </c>
      <c r="AO3344" s="4">
        <v>0</v>
      </c>
      <c r="AP3344" s="4">
        <v>9</v>
      </c>
      <c r="AQ3344" s="4">
        <v>40</v>
      </c>
      <c r="AR3344" s="3" t="s">
        <v>64</v>
      </c>
      <c r="AS3344" s="3" t="s">
        <v>64</v>
      </c>
      <c r="AT3344" s="3" t="s">
        <v>64</v>
      </c>
      <c r="AV3344" s="6" t="str">
        <f>HYPERLINK("http://mcgill.on.worldcat.org/oclc/80019818","Catalog Record")</f>
        <v>Catalog Record</v>
      </c>
      <c r="AW3344" s="6" t="str">
        <f>HYPERLINK("http://www.worldcat.org/oclc/80019818","WorldCat Record")</f>
        <v>WorldCat Record</v>
      </c>
      <c r="AX3344" s="3" t="s">
        <v>33525</v>
      </c>
      <c r="AY3344" s="3" t="s">
        <v>33526</v>
      </c>
      <c r="AZ3344" s="3" t="s">
        <v>33527</v>
      </c>
      <c r="BA3344" s="3" t="s">
        <v>33527</v>
      </c>
      <c r="BB3344" s="3" t="s">
        <v>33528</v>
      </c>
      <c r="BC3344" s="3" t="s">
        <v>77</v>
      </c>
      <c r="BD3344" s="3" t="s">
        <v>78</v>
      </c>
      <c r="BE3344" s="3" t="s">
        <v>33529</v>
      </c>
      <c r="BF3344" s="3" t="s">
        <v>33528</v>
      </c>
      <c r="BG3344" s="3" t="s">
        <v>33530</v>
      </c>
      <c r="BH3344">
        <f t="shared" si="79"/>
        <v>0</v>
      </c>
    </row>
    <row r="3345" spans="1:60" ht="58" x14ac:dyDescent="0.35">
      <c r="A3345" s="2" t="s">
        <v>59</v>
      </c>
      <c r="B3345" s="2" t="s">
        <v>60</v>
      </c>
      <c r="C3345" s="2" t="s">
        <v>33531</v>
      </c>
      <c r="D3345" s="2" t="s">
        <v>33532</v>
      </c>
      <c r="E3345" s="2" t="s">
        <v>33533</v>
      </c>
      <c r="G3345" s="3" t="s">
        <v>64</v>
      </c>
      <c r="I3345" s="3" t="s">
        <v>64</v>
      </c>
      <c r="J3345" s="3" t="s">
        <v>64</v>
      </c>
      <c r="K3345" s="3" t="s">
        <v>65</v>
      </c>
      <c r="L3345" s="2" t="s">
        <v>14750</v>
      </c>
      <c r="M3345" s="2" t="s">
        <v>33534</v>
      </c>
      <c r="N3345" s="3" t="s">
        <v>481</v>
      </c>
      <c r="P3345" s="3" t="s">
        <v>102</v>
      </c>
      <c r="R3345" s="3" t="s">
        <v>70</v>
      </c>
      <c r="S3345" s="4">
        <v>22</v>
      </c>
      <c r="T3345" s="4">
        <v>22</v>
      </c>
      <c r="U3345" s="5" t="s">
        <v>18167</v>
      </c>
      <c r="V3345" s="5" t="s">
        <v>18167</v>
      </c>
      <c r="W3345" s="5" t="s">
        <v>72</v>
      </c>
      <c r="X3345" s="5" t="s">
        <v>72</v>
      </c>
      <c r="Y3345" s="4">
        <v>863</v>
      </c>
      <c r="Z3345" s="4">
        <v>32</v>
      </c>
      <c r="AA3345" s="4">
        <v>35</v>
      </c>
      <c r="AB3345" s="4">
        <v>4</v>
      </c>
      <c r="AC3345" s="4">
        <v>7</v>
      </c>
      <c r="AD3345" s="4">
        <v>101</v>
      </c>
      <c r="AE3345" s="4">
        <v>103</v>
      </c>
      <c r="AF3345" s="4">
        <v>1</v>
      </c>
      <c r="AG3345" s="4">
        <v>3</v>
      </c>
      <c r="AH3345" s="4">
        <v>88</v>
      </c>
      <c r="AI3345" s="4">
        <v>88</v>
      </c>
      <c r="AJ3345" s="4">
        <v>17</v>
      </c>
      <c r="AK3345" s="4">
        <v>19</v>
      </c>
      <c r="AL3345" s="4">
        <v>47</v>
      </c>
      <c r="AM3345" s="4">
        <v>47</v>
      </c>
      <c r="AN3345" s="4">
        <v>0</v>
      </c>
      <c r="AO3345" s="4">
        <v>0</v>
      </c>
      <c r="AP3345" s="4">
        <v>18</v>
      </c>
      <c r="AQ3345" s="4">
        <v>19</v>
      </c>
      <c r="AR3345" s="3" t="s">
        <v>64</v>
      </c>
      <c r="AS3345" s="3" t="s">
        <v>64</v>
      </c>
      <c r="AT3345" s="3" t="s">
        <v>128</v>
      </c>
      <c r="AU3345" s="6" t="str">
        <f>HYPERLINK("http://catalog.hathitrust.org/Record/000000225","HathiTrust Record")</f>
        <v>HathiTrust Record</v>
      </c>
      <c r="AV3345" s="6" t="str">
        <f>HYPERLINK("http://mcgill.on.worldcat.org/oclc/21757","Catalog Record")</f>
        <v>Catalog Record</v>
      </c>
      <c r="AW3345" s="6" t="str">
        <f>HYPERLINK("http://www.worldcat.org/oclc/21757","WorldCat Record")</f>
        <v>WorldCat Record</v>
      </c>
      <c r="AX3345" s="3" t="s">
        <v>33535</v>
      </c>
      <c r="AY3345" s="3" t="s">
        <v>33536</v>
      </c>
      <c r="AZ3345" s="3" t="s">
        <v>33537</v>
      </c>
      <c r="BA3345" s="3" t="s">
        <v>33537</v>
      </c>
      <c r="BB3345" s="3" t="s">
        <v>33538</v>
      </c>
      <c r="BC3345" s="3" t="s">
        <v>77</v>
      </c>
      <c r="BD3345" s="3" t="s">
        <v>78</v>
      </c>
      <c r="BE3345" s="3" t="s">
        <v>33539</v>
      </c>
      <c r="BF3345" s="3" t="s">
        <v>33538</v>
      </c>
      <c r="BG3345" s="3" t="s">
        <v>33540</v>
      </c>
      <c r="BH3345">
        <f t="shared" si="79"/>
        <v>0</v>
      </c>
    </row>
    <row r="3346" spans="1:60" ht="58" x14ac:dyDescent="0.35">
      <c r="A3346" s="2" t="s">
        <v>59</v>
      </c>
      <c r="B3346" s="2" t="s">
        <v>60</v>
      </c>
      <c r="C3346" s="2" t="s">
        <v>33541</v>
      </c>
      <c r="D3346" s="2" t="s">
        <v>33542</v>
      </c>
      <c r="E3346" s="2" t="s">
        <v>33543</v>
      </c>
      <c r="G3346" s="3" t="s">
        <v>64</v>
      </c>
      <c r="I3346" s="3" t="s">
        <v>64</v>
      </c>
      <c r="J3346" s="3" t="s">
        <v>64</v>
      </c>
      <c r="K3346" s="3" t="s">
        <v>65</v>
      </c>
      <c r="M3346" s="2" t="s">
        <v>33544</v>
      </c>
      <c r="N3346" s="3" t="s">
        <v>1263</v>
      </c>
      <c r="P3346" s="3" t="s">
        <v>102</v>
      </c>
      <c r="Q3346" s="2" t="s">
        <v>33545</v>
      </c>
      <c r="R3346" s="3" t="s">
        <v>70</v>
      </c>
      <c r="S3346" s="4">
        <v>19</v>
      </c>
      <c r="T3346" s="4">
        <v>19</v>
      </c>
      <c r="U3346" s="5" t="s">
        <v>18167</v>
      </c>
      <c r="V3346" s="5" t="s">
        <v>18167</v>
      </c>
      <c r="W3346" s="5" t="s">
        <v>72</v>
      </c>
      <c r="X3346" s="5" t="s">
        <v>72</v>
      </c>
      <c r="Y3346" s="4">
        <v>142</v>
      </c>
      <c r="Z3346" s="4">
        <v>10</v>
      </c>
      <c r="AA3346" s="4">
        <v>10</v>
      </c>
      <c r="AB3346" s="4">
        <v>2</v>
      </c>
      <c r="AC3346" s="4">
        <v>2</v>
      </c>
      <c r="AD3346" s="4">
        <v>62</v>
      </c>
      <c r="AE3346" s="4">
        <v>62</v>
      </c>
      <c r="AF3346" s="4">
        <v>0</v>
      </c>
      <c r="AG3346" s="4">
        <v>0</v>
      </c>
      <c r="AH3346" s="4">
        <v>59</v>
      </c>
      <c r="AI3346" s="4">
        <v>59</v>
      </c>
      <c r="AJ3346" s="4">
        <v>5</v>
      </c>
      <c r="AK3346" s="4">
        <v>5</v>
      </c>
      <c r="AL3346" s="4">
        <v>38</v>
      </c>
      <c r="AM3346" s="4">
        <v>38</v>
      </c>
      <c r="AN3346" s="4">
        <v>0</v>
      </c>
      <c r="AO3346" s="4">
        <v>0</v>
      </c>
      <c r="AP3346" s="4">
        <v>5</v>
      </c>
      <c r="AQ3346" s="4">
        <v>5</v>
      </c>
      <c r="AR3346" s="3" t="s">
        <v>64</v>
      </c>
      <c r="AS3346" s="3" t="s">
        <v>64</v>
      </c>
      <c r="AT3346" s="3" t="s">
        <v>128</v>
      </c>
      <c r="AU3346" s="6" t="str">
        <f>HYPERLINK("http://catalog.hathitrust.org/Record/002638225","HathiTrust Record")</f>
        <v>HathiTrust Record</v>
      </c>
      <c r="AV3346" s="6" t="str">
        <f>HYPERLINK("http://mcgill.on.worldcat.org/oclc/26263831","Catalog Record")</f>
        <v>Catalog Record</v>
      </c>
      <c r="AW3346" s="6" t="str">
        <f>HYPERLINK("http://www.worldcat.org/oclc/26263831","WorldCat Record")</f>
        <v>WorldCat Record</v>
      </c>
      <c r="AX3346" s="3" t="s">
        <v>33546</v>
      </c>
      <c r="AY3346" s="3" t="s">
        <v>33547</v>
      </c>
      <c r="AZ3346" s="3" t="s">
        <v>33548</v>
      </c>
      <c r="BA3346" s="3" t="s">
        <v>33548</v>
      </c>
      <c r="BB3346" s="3" t="s">
        <v>33549</v>
      </c>
      <c r="BC3346" s="3" t="s">
        <v>77</v>
      </c>
      <c r="BD3346" s="3" t="s">
        <v>78</v>
      </c>
      <c r="BE3346" s="3" t="s">
        <v>33550</v>
      </c>
      <c r="BF3346" s="3" t="s">
        <v>33549</v>
      </c>
      <c r="BG3346" s="3" t="s">
        <v>33551</v>
      </c>
      <c r="BH3346">
        <f t="shared" si="79"/>
        <v>0</v>
      </c>
    </row>
    <row r="3347" spans="1:60" ht="58" x14ac:dyDescent="0.35">
      <c r="A3347" s="2" t="s">
        <v>59</v>
      </c>
      <c r="B3347" s="2" t="s">
        <v>60</v>
      </c>
      <c r="C3347" s="2" t="s">
        <v>33552</v>
      </c>
      <c r="D3347" s="2" t="s">
        <v>33553</v>
      </c>
      <c r="E3347" s="2" t="s">
        <v>33554</v>
      </c>
      <c r="G3347" s="3" t="s">
        <v>64</v>
      </c>
      <c r="I3347" s="3" t="s">
        <v>64</v>
      </c>
      <c r="J3347" s="3" t="s">
        <v>64</v>
      </c>
      <c r="K3347" s="3" t="s">
        <v>65</v>
      </c>
      <c r="M3347" s="2" t="s">
        <v>33555</v>
      </c>
      <c r="N3347" s="3" t="s">
        <v>171</v>
      </c>
      <c r="P3347" s="3" t="s">
        <v>102</v>
      </c>
      <c r="R3347" s="3" t="s">
        <v>70</v>
      </c>
      <c r="S3347" s="4">
        <v>4</v>
      </c>
      <c r="T3347" s="4">
        <v>4</v>
      </c>
      <c r="U3347" s="5" t="s">
        <v>17315</v>
      </c>
      <c r="V3347" s="5" t="s">
        <v>17315</v>
      </c>
      <c r="W3347" s="5" t="s">
        <v>72</v>
      </c>
      <c r="X3347" s="5" t="s">
        <v>72</v>
      </c>
      <c r="Y3347" s="4">
        <v>44</v>
      </c>
      <c r="Z3347" s="4">
        <v>4</v>
      </c>
      <c r="AA3347" s="4">
        <v>5</v>
      </c>
      <c r="AB3347" s="4">
        <v>3</v>
      </c>
      <c r="AC3347" s="4">
        <v>4</v>
      </c>
      <c r="AD3347" s="4">
        <v>5</v>
      </c>
      <c r="AE3347" s="4">
        <v>5</v>
      </c>
      <c r="AF3347" s="4">
        <v>0</v>
      </c>
      <c r="AG3347" s="4">
        <v>0</v>
      </c>
      <c r="AH3347" s="4">
        <v>5</v>
      </c>
      <c r="AI3347" s="4">
        <v>5</v>
      </c>
      <c r="AJ3347" s="4">
        <v>1</v>
      </c>
      <c r="AK3347" s="4">
        <v>1</v>
      </c>
      <c r="AL3347" s="4">
        <v>2</v>
      </c>
      <c r="AM3347" s="4">
        <v>2</v>
      </c>
      <c r="AN3347" s="4">
        <v>0</v>
      </c>
      <c r="AO3347" s="4">
        <v>0</v>
      </c>
      <c r="AP3347" s="4">
        <v>1</v>
      </c>
      <c r="AQ3347" s="4">
        <v>1</v>
      </c>
      <c r="AR3347" s="3" t="s">
        <v>64</v>
      </c>
      <c r="AS3347" s="3" t="s">
        <v>64</v>
      </c>
      <c r="AT3347" s="3" t="s">
        <v>64</v>
      </c>
      <c r="AV3347" s="6" t="str">
        <f>HYPERLINK("http://mcgill.on.worldcat.org/oclc/154308950","Catalog Record")</f>
        <v>Catalog Record</v>
      </c>
      <c r="AW3347" s="6" t="str">
        <f>HYPERLINK("http://www.worldcat.org/oclc/154308950","WorldCat Record")</f>
        <v>WorldCat Record</v>
      </c>
      <c r="AX3347" s="3" t="s">
        <v>33556</v>
      </c>
      <c r="AY3347" s="3" t="s">
        <v>33557</v>
      </c>
      <c r="AZ3347" s="3" t="s">
        <v>33558</v>
      </c>
      <c r="BA3347" s="3" t="s">
        <v>33558</v>
      </c>
      <c r="BB3347" s="3" t="s">
        <v>33559</v>
      </c>
      <c r="BC3347" s="3" t="s">
        <v>77</v>
      </c>
      <c r="BD3347" s="3" t="s">
        <v>78</v>
      </c>
      <c r="BE3347" s="3" t="s">
        <v>33560</v>
      </c>
      <c r="BF3347" s="3" t="s">
        <v>33559</v>
      </c>
      <c r="BG3347" s="3" t="s">
        <v>33561</v>
      </c>
      <c r="BH3347">
        <f t="shared" si="79"/>
        <v>0</v>
      </c>
    </row>
    <row r="3348" spans="1:60" ht="72.5" x14ac:dyDescent="0.35">
      <c r="A3348" s="2" t="s">
        <v>59</v>
      </c>
      <c r="B3348" s="2" t="s">
        <v>60</v>
      </c>
      <c r="C3348" s="2" t="s">
        <v>33562</v>
      </c>
      <c r="D3348" s="2" t="s">
        <v>33563</v>
      </c>
      <c r="E3348" s="2" t="s">
        <v>33564</v>
      </c>
      <c r="G3348" s="3" t="s">
        <v>64</v>
      </c>
      <c r="I3348" s="3" t="s">
        <v>64</v>
      </c>
      <c r="J3348" s="3" t="s">
        <v>64</v>
      </c>
      <c r="K3348" s="3" t="s">
        <v>65</v>
      </c>
      <c r="L3348" s="2" t="s">
        <v>33565</v>
      </c>
      <c r="M3348" s="2" t="s">
        <v>33566</v>
      </c>
      <c r="N3348" s="3" t="s">
        <v>242</v>
      </c>
      <c r="P3348" s="3" t="s">
        <v>102</v>
      </c>
      <c r="R3348" s="3" t="s">
        <v>70</v>
      </c>
      <c r="S3348" s="4">
        <v>5</v>
      </c>
      <c r="T3348" s="4">
        <v>5</v>
      </c>
      <c r="U3348" s="5" t="s">
        <v>14949</v>
      </c>
      <c r="V3348" s="5" t="s">
        <v>14949</v>
      </c>
      <c r="W3348" s="5" t="s">
        <v>72</v>
      </c>
      <c r="X3348" s="5" t="s">
        <v>72</v>
      </c>
      <c r="Y3348" s="4">
        <v>7</v>
      </c>
      <c r="Z3348" s="4">
        <v>1</v>
      </c>
      <c r="AA3348" s="4">
        <v>26</v>
      </c>
      <c r="AB3348" s="4">
        <v>1</v>
      </c>
      <c r="AC3348" s="4">
        <v>5</v>
      </c>
      <c r="AD3348" s="4">
        <v>2</v>
      </c>
      <c r="AE3348" s="4">
        <v>105</v>
      </c>
      <c r="AF3348" s="4">
        <v>0</v>
      </c>
      <c r="AG3348" s="4">
        <v>2</v>
      </c>
      <c r="AH3348" s="4">
        <v>2</v>
      </c>
      <c r="AI3348" s="4">
        <v>95</v>
      </c>
      <c r="AJ3348" s="4">
        <v>0</v>
      </c>
      <c r="AK3348" s="4">
        <v>16</v>
      </c>
      <c r="AL3348" s="4">
        <v>1</v>
      </c>
      <c r="AM3348" s="4">
        <v>53</v>
      </c>
      <c r="AN3348" s="4">
        <v>0</v>
      </c>
      <c r="AO3348" s="4">
        <v>0</v>
      </c>
      <c r="AP3348" s="4">
        <v>0</v>
      </c>
      <c r="AQ3348" s="4">
        <v>16</v>
      </c>
      <c r="AR3348" s="3" t="s">
        <v>64</v>
      </c>
      <c r="AS3348" s="3" t="s">
        <v>64</v>
      </c>
      <c r="AT3348" s="3" t="s">
        <v>64</v>
      </c>
      <c r="AV3348" s="6" t="str">
        <f>HYPERLINK("http://mcgill.on.worldcat.org/oclc/27735826","Catalog Record")</f>
        <v>Catalog Record</v>
      </c>
      <c r="AW3348" s="6" t="str">
        <f>HYPERLINK("http://www.worldcat.org/oclc/27735826","WorldCat Record")</f>
        <v>WorldCat Record</v>
      </c>
      <c r="AX3348" s="3" t="s">
        <v>33567</v>
      </c>
      <c r="AY3348" s="3" t="s">
        <v>33568</v>
      </c>
      <c r="AZ3348" s="3" t="s">
        <v>33569</v>
      </c>
      <c r="BA3348" s="3" t="s">
        <v>33569</v>
      </c>
      <c r="BB3348" s="3" t="s">
        <v>33570</v>
      </c>
      <c r="BC3348" s="3" t="s">
        <v>77</v>
      </c>
      <c r="BD3348" s="3" t="s">
        <v>78</v>
      </c>
      <c r="BF3348" s="3" t="s">
        <v>33570</v>
      </c>
      <c r="BG3348" s="3" t="s">
        <v>33571</v>
      </c>
      <c r="BH3348">
        <f t="shared" si="79"/>
        <v>0</v>
      </c>
    </row>
    <row r="3349" spans="1:60" ht="58" x14ac:dyDescent="0.35">
      <c r="A3349" s="2" t="s">
        <v>59</v>
      </c>
      <c r="B3349" s="2" t="s">
        <v>60</v>
      </c>
      <c r="C3349" s="2" t="s">
        <v>33572</v>
      </c>
      <c r="D3349" s="2" t="s">
        <v>33573</v>
      </c>
      <c r="E3349" s="2" t="s">
        <v>33574</v>
      </c>
      <c r="G3349" s="3" t="s">
        <v>64</v>
      </c>
      <c r="I3349" s="3" t="s">
        <v>64</v>
      </c>
      <c r="J3349" s="3" t="s">
        <v>64</v>
      </c>
      <c r="K3349" s="3" t="s">
        <v>65</v>
      </c>
      <c r="L3349" s="2" t="s">
        <v>33575</v>
      </c>
      <c r="M3349" s="2" t="s">
        <v>33576</v>
      </c>
      <c r="N3349" s="3" t="s">
        <v>3721</v>
      </c>
      <c r="P3349" s="3" t="s">
        <v>102</v>
      </c>
      <c r="Q3349" s="2" t="s">
        <v>33577</v>
      </c>
      <c r="R3349" s="3" t="s">
        <v>70</v>
      </c>
      <c r="S3349" s="4">
        <v>4</v>
      </c>
      <c r="T3349" s="4">
        <v>4</v>
      </c>
      <c r="U3349" s="5" t="s">
        <v>10073</v>
      </c>
      <c r="V3349" s="5" t="s">
        <v>10073</v>
      </c>
      <c r="W3349" s="5" t="s">
        <v>72</v>
      </c>
      <c r="X3349" s="5" t="s">
        <v>72</v>
      </c>
      <c r="Y3349" s="4">
        <v>13</v>
      </c>
      <c r="Z3349" s="4">
        <v>3</v>
      </c>
      <c r="AA3349" s="4">
        <v>3</v>
      </c>
      <c r="AB3349" s="4">
        <v>1</v>
      </c>
      <c r="AC3349" s="4">
        <v>1</v>
      </c>
      <c r="AD3349" s="4">
        <v>8</v>
      </c>
      <c r="AE3349" s="4">
        <v>9</v>
      </c>
      <c r="AF3349" s="4">
        <v>0</v>
      </c>
      <c r="AG3349" s="4">
        <v>0</v>
      </c>
      <c r="AH3349" s="4">
        <v>8</v>
      </c>
      <c r="AI3349" s="4">
        <v>9</v>
      </c>
      <c r="AJ3349" s="4">
        <v>1</v>
      </c>
      <c r="AK3349" s="4">
        <v>1</v>
      </c>
      <c r="AL3349" s="4">
        <v>5</v>
      </c>
      <c r="AM3349" s="4">
        <v>6</v>
      </c>
      <c r="AN3349" s="4">
        <v>0</v>
      </c>
      <c r="AO3349" s="4">
        <v>0</v>
      </c>
      <c r="AP3349" s="4">
        <v>1</v>
      </c>
      <c r="AQ3349" s="4">
        <v>1</v>
      </c>
      <c r="AR3349" s="3" t="s">
        <v>64</v>
      </c>
      <c r="AS3349" s="3" t="s">
        <v>64</v>
      </c>
      <c r="AT3349" s="3" t="s">
        <v>64</v>
      </c>
      <c r="AV3349" s="6" t="str">
        <f>HYPERLINK("http://mcgill.on.worldcat.org/oclc/5802181","Catalog Record")</f>
        <v>Catalog Record</v>
      </c>
      <c r="AW3349" s="6" t="str">
        <f>HYPERLINK("http://www.worldcat.org/oclc/5802181","WorldCat Record")</f>
        <v>WorldCat Record</v>
      </c>
      <c r="AX3349" s="3" t="s">
        <v>33578</v>
      </c>
      <c r="AY3349" s="3" t="s">
        <v>33579</v>
      </c>
      <c r="AZ3349" s="3" t="s">
        <v>33580</v>
      </c>
      <c r="BA3349" s="3" t="s">
        <v>33580</v>
      </c>
      <c r="BB3349" s="3" t="s">
        <v>33581</v>
      </c>
      <c r="BC3349" s="3" t="s">
        <v>77</v>
      </c>
      <c r="BD3349" s="3" t="s">
        <v>78</v>
      </c>
      <c r="BF3349" s="3" t="s">
        <v>33581</v>
      </c>
      <c r="BG3349" s="3" t="s">
        <v>33582</v>
      </c>
      <c r="BH3349">
        <f t="shared" si="79"/>
        <v>0</v>
      </c>
    </row>
    <row r="3350" spans="1:60" ht="58" x14ac:dyDescent="0.35">
      <c r="A3350" s="2" t="s">
        <v>59</v>
      </c>
      <c r="B3350" s="2" t="s">
        <v>60</v>
      </c>
      <c r="C3350" s="2" t="s">
        <v>33583</v>
      </c>
      <c r="D3350" s="2" t="s">
        <v>33584</v>
      </c>
      <c r="E3350" s="2" t="s">
        <v>33585</v>
      </c>
      <c r="G3350" s="3" t="s">
        <v>64</v>
      </c>
      <c r="I3350" s="3" t="s">
        <v>64</v>
      </c>
      <c r="J3350" s="3" t="s">
        <v>64</v>
      </c>
      <c r="K3350" s="3" t="s">
        <v>65</v>
      </c>
      <c r="L3350" s="2" t="s">
        <v>33586</v>
      </c>
      <c r="M3350" s="2" t="s">
        <v>15858</v>
      </c>
      <c r="N3350" s="3" t="s">
        <v>1275</v>
      </c>
      <c r="P3350" s="3" t="s">
        <v>102</v>
      </c>
      <c r="Q3350" s="2" t="s">
        <v>17587</v>
      </c>
      <c r="R3350" s="3" t="s">
        <v>70</v>
      </c>
      <c r="S3350" s="4">
        <v>11</v>
      </c>
      <c r="T3350" s="4">
        <v>11</v>
      </c>
      <c r="U3350" s="5" t="s">
        <v>17269</v>
      </c>
      <c r="V3350" s="5" t="s">
        <v>17269</v>
      </c>
      <c r="W3350" s="5" t="s">
        <v>72</v>
      </c>
      <c r="X3350" s="5" t="s">
        <v>72</v>
      </c>
      <c r="Y3350" s="4">
        <v>283</v>
      </c>
      <c r="Z3350" s="4">
        <v>18</v>
      </c>
      <c r="AA3350" s="4">
        <v>44</v>
      </c>
      <c r="AB3350" s="4">
        <v>2</v>
      </c>
      <c r="AC3350" s="4">
        <v>8</v>
      </c>
      <c r="AD3350" s="4">
        <v>43</v>
      </c>
      <c r="AE3350" s="4">
        <v>57</v>
      </c>
      <c r="AF3350" s="4">
        <v>0</v>
      </c>
      <c r="AG3350" s="4">
        <v>1</v>
      </c>
      <c r="AH3350" s="4">
        <v>41</v>
      </c>
      <c r="AI3350" s="4">
        <v>52</v>
      </c>
      <c r="AJ3350" s="4">
        <v>7</v>
      </c>
      <c r="AK3350" s="4">
        <v>8</v>
      </c>
      <c r="AL3350" s="4">
        <v>19</v>
      </c>
      <c r="AM3350" s="4">
        <v>24</v>
      </c>
      <c r="AN3350" s="4">
        <v>0</v>
      </c>
      <c r="AO3350" s="4">
        <v>0</v>
      </c>
      <c r="AP3350" s="4">
        <v>7</v>
      </c>
      <c r="AQ3350" s="4">
        <v>9</v>
      </c>
      <c r="AR3350" s="3" t="s">
        <v>64</v>
      </c>
      <c r="AS3350" s="3" t="s">
        <v>64</v>
      </c>
      <c r="AT3350" s="3" t="s">
        <v>64</v>
      </c>
      <c r="AV3350" s="6" t="str">
        <f>HYPERLINK("http://mcgill.on.worldcat.org/oclc/54694711","Catalog Record")</f>
        <v>Catalog Record</v>
      </c>
      <c r="AW3350" s="6" t="str">
        <f>HYPERLINK("http://www.worldcat.org/oclc/54694711","WorldCat Record")</f>
        <v>WorldCat Record</v>
      </c>
      <c r="AX3350" s="3" t="s">
        <v>33587</v>
      </c>
      <c r="AY3350" s="3" t="s">
        <v>33588</v>
      </c>
      <c r="AZ3350" s="3" t="s">
        <v>33589</v>
      </c>
      <c r="BA3350" s="3" t="s">
        <v>33589</v>
      </c>
      <c r="BB3350" s="3" t="s">
        <v>33590</v>
      </c>
      <c r="BC3350" s="3" t="s">
        <v>77</v>
      </c>
      <c r="BD3350" s="3" t="s">
        <v>78</v>
      </c>
      <c r="BE3350" s="3" t="s">
        <v>33591</v>
      </c>
      <c r="BF3350" s="3" t="s">
        <v>33590</v>
      </c>
      <c r="BG3350" s="3" t="s">
        <v>33592</v>
      </c>
      <c r="BH3350">
        <f t="shared" si="79"/>
        <v>0</v>
      </c>
    </row>
    <row r="3351" spans="1:60" ht="58" x14ac:dyDescent="0.35">
      <c r="A3351" s="2" t="s">
        <v>59</v>
      </c>
      <c r="B3351" s="2" t="s">
        <v>60</v>
      </c>
      <c r="C3351" s="2" t="s">
        <v>33593</v>
      </c>
      <c r="D3351" s="2" t="s">
        <v>33594</v>
      </c>
      <c r="E3351" s="2" t="s">
        <v>33595</v>
      </c>
      <c r="G3351" s="3" t="s">
        <v>64</v>
      </c>
      <c r="I3351" s="3" t="s">
        <v>64</v>
      </c>
      <c r="J3351" s="3" t="s">
        <v>64</v>
      </c>
      <c r="K3351" s="3" t="s">
        <v>65</v>
      </c>
      <c r="L3351" s="2" t="s">
        <v>14108</v>
      </c>
      <c r="M3351" s="2" t="s">
        <v>33596</v>
      </c>
      <c r="N3351" s="3" t="s">
        <v>315</v>
      </c>
      <c r="P3351" s="3" t="s">
        <v>102</v>
      </c>
      <c r="R3351" s="3" t="s">
        <v>70</v>
      </c>
      <c r="S3351" s="4">
        <v>2</v>
      </c>
      <c r="T3351" s="4">
        <v>2</v>
      </c>
      <c r="U3351" s="5" t="s">
        <v>10073</v>
      </c>
      <c r="V3351" s="5" t="s">
        <v>10073</v>
      </c>
      <c r="W3351" s="5" t="s">
        <v>72</v>
      </c>
      <c r="X3351" s="5" t="s">
        <v>72</v>
      </c>
      <c r="Y3351" s="4">
        <v>2</v>
      </c>
      <c r="Z3351" s="4">
        <v>1</v>
      </c>
      <c r="AA3351" s="4">
        <v>3</v>
      </c>
      <c r="AB3351" s="4">
        <v>1</v>
      </c>
      <c r="AC3351" s="4">
        <v>1</v>
      </c>
      <c r="AD3351" s="4">
        <v>0</v>
      </c>
      <c r="AE3351" s="4">
        <v>8</v>
      </c>
      <c r="AF3351" s="4">
        <v>0</v>
      </c>
      <c r="AG3351" s="4">
        <v>0</v>
      </c>
      <c r="AH3351" s="4">
        <v>0</v>
      </c>
      <c r="AI3351" s="4">
        <v>8</v>
      </c>
      <c r="AJ3351" s="4">
        <v>0</v>
      </c>
      <c r="AK3351" s="4">
        <v>1</v>
      </c>
      <c r="AL3351" s="4">
        <v>0</v>
      </c>
      <c r="AM3351" s="4">
        <v>5</v>
      </c>
      <c r="AN3351" s="4">
        <v>0</v>
      </c>
      <c r="AO3351" s="4">
        <v>0</v>
      </c>
      <c r="AP3351" s="4">
        <v>0</v>
      </c>
      <c r="AQ3351" s="4">
        <v>1</v>
      </c>
      <c r="AR3351" s="3" t="s">
        <v>64</v>
      </c>
      <c r="AS3351" s="3" t="s">
        <v>64</v>
      </c>
      <c r="AT3351" s="3" t="s">
        <v>64</v>
      </c>
      <c r="AV3351" s="6" t="str">
        <f>HYPERLINK("http://mcgill.on.worldcat.org/oclc/61611016","Catalog Record")</f>
        <v>Catalog Record</v>
      </c>
      <c r="AW3351" s="6" t="str">
        <f>HYPERLINK("http://www.worldcat.org/oclc/61611016","WorldCat Record")</f>
        <v>WorldCat Record</v>
      </c>
      <c r="AX3351" s="3" t="s">
        <v>33597</v>
      </c>
      <c r="AY3351" s="3" t="s">
        <v>33598</v>
      </c>
      <c r="AZ3351" s="3" t="s">
        <v>33599</v>
      </c>
      <c r="BA3351" s="3" t="s">
        <v>33599</v>
      </c>
      <c r="BB3351" s="3" t="s">
        <v>33600</v>
      </c>
      <c r="BC3351" s="3" t="s">
        <v>77</v>
      </c>
      <c r="BD3351" s="3" t="s">
        <v>78</v>
      </c>
      <c r="BF3351" s="3" t="s">
        <v>33600</v>
      </c>
      <c r="BG3351" s="3" t="s">
        <v>33601</v>
      </c>
      <c r="BH3351">
        <f t="shared" si="79"/>
        <v>0</v>
      </c>
    </row>
    <row r="3352" spans="1:60" ht="58" x14ac:dyDescent="0.35">
      <c r="A3352" s="2" t="s">
        <v>59</v>
      </c>
      <c r="B3352" s="2" t="s">
        <v>60</v>
      </c>
      <c r="C3352" s="2" t="s">
        <v>33602</v>
      </c>
      <c r="D3352" s="2" t="s">
        <v>33603</v>
      </c>
      <c r="E3352" s="2" t="s">
        <v>33604</v>
      </c>
      <c r="G3352" s="3" t="s">
        <v>64</v>
      </c>
      <c r="I3352" s="3" t="s">
        <v>64</v>
      </c>
      <c r="J3352" s="3" t="s">
        <v>64</v>
      </c>
      <c r="K3352" s="3" t="s">
        <v>65</v>
      </c>
      <c r="L3352" s="2" t="s">
        <v>14108</v>
      </c>
      <c r="M3352" s="2" t="s">
        <v>33605</v>
      </c>
      <c r="N3352" s="3" t="s">
        <v>1750</v>
      </c>
      <c r="P3352" s="3" t="s">
        <v>102</v>
      </c>
      <c r="Q3352" s="2" t="s">
        <v>33606</v>
      </c>
      <c r="R3352" s="3" t="s">
        <v>70</v>
      </c>
      <c r="S3352" s="4">
        <v>7</v>
      </c>
      <c r="T3352" s="4">
        <v>7</v>
      </c>
      <c r="U3352" s="5" t="s">
        <v>10073</v>
      </c>
      <c r="V3352" s="5" t="s">
        <v>10073</v>
      </c>
      <c r="W3352" s="5" t="s">
        <v>72</v>
      </c>
      <c r="X3352" s="5" t="s">
        <v>72</v>
      </c>
      <c r="Y3352" s="4">
        <v>99</v>
      </c>
      <c r="Z3352" s="4">
        <v>8</v>
      </c>
      <c r="AA3352" s="4">
        <v>8</v>
      </c>
      <c r="AB3352" s="4">
        <v>1</v>
      </c>
      <c r="AC3352" s="4">
        <v>1</v>
      </c>
      <c r="AD3352" s="4">
        <v>34</v>
      </c>
      <c r="AE3352" s="4">
        <v>34</v>
      </c>
      <c r="AF3352" s="4">
        <v>0</v>
      </c>
      <c r="AG3352" s="4">
        <v>0</v>
      </c>
      <c r="AH3352" s="4">
        <v>32</v>
      </c>
      <c r="AI3352" s="4">
        <v>32</v>
      </c>
      <c r="AJ3352" s="4">
        <v>5</v>
      </c>
      <c r="AK3352" s="4">
        <v>5</v>
      </c>
      <c r="AL3352" s="4">
        <v>14</v>
      </c>
      <c r="AM3352" s="4">
        <v>14</v>
      </c>
      <c r="AN3352" s="4">
        <v>5</v>
      </c>
      <c r="AO3352" s="4">
        <v>5</v>
      </c>
      <c r="AP3352" s="4">
        <v>6</v>
      </c>
      <c r="AQ3352" s="4">
        <v>6</v>
      </c>
      <c r="AR3352" s="3" t="s">
        <v>64</v>
      </c>
      <c r="AS3352" s="3" t="s">
        <v>64</v>
      </c>
      <c r="AT3352" s="3" t="s">
        <v>128</v>
      </c>
      <c r="AU3352" s="6" t="str">
        <f>HYPERLINK("http://catalog.hathitrust.org/Record/101815859","HathiTrust Record")</f>
        <v>HathiTrust Record</v>
      </c>
      <c r="AV3352" s="6" t="str">
        <f>HYPERLINK("http://mcgill.on.worldcat.org/oclc/1248756","Catalog Record")</f>
        <v>Catalog Record</v>
      </c>
      <c r="AW3352" s="6" t="str">
        <f>HYPERLINK("http://www.worldcat.org/oclc/1248756","WorldCat Record")</f>
        <v>WorldCat Record</v>
      </c>
      <c r="AX3352" s="3" t="s">
        <v>33607</v>
      </c>
      <c r="AY3352" s="3" t="s">
        <v>33608</v>
      </c>
      <c r="AZ3352" s="3" t="s">
        <v>33609</v>
      </c>
      <c r="BA3352" s="3" t="s">
        <v>33609</v>
      </c>
      <c r="BB3352" s="3" t="s">
        <v>33610</v>
      </c>
      <c r="BC3352" s="3" t="s">
        <v>77</v>
      </c>
      <c r="BD3352" s="3" t="s">
        <v>78</v>
      </c>
      <c r="BF3352" s="3" t="s">
        <v>33610</v>
      </c>
      <c r="BG3352" s="3" t="s">
        <v>33611</v>
      </c>
      <c r="BH3352">
        <f t="shared" si="79"/>
        <v>0</v>
      </c>
    </row>
    <row r="3353" spans="1:60" ht="58" x14ac:dyDescent="0.35">
      <c r="A3353" s="2" t="s">
        <v>59</v>
      </c>
      <c r="B3353" s="2" t="s">
        <v>60</v>
      </c>
      <c r="C3353" s="2" t="s">
        <v>33612</v>
      </c>
      <c r="D3353" s="2" t="s">
        <v>33613</v>
      </c>
      <c r="E3353" s="2" t="s">
        <v>33614</v>
      </c>
      <c r="G3353" s="3" t="s">
        <v>64</v>
      </c>
      <c r="I3353" s="3" t="s">
        <v>64</v>
      </c>
      <c r="J3353" s="3" t="s">
        <v>64</v>
      </c>
      <c r="K3353" s="3" t="s">
        <v>65</v>
      </c>
      <c r="L3353" s="2" t="s">
        <v>33615</v>
      </c>
      <c r="M3353" s="2" t="s">
        <v>17565</v>
      </c>
      <c r="N3353" s="3" t="s">
        <v>86</v>
      </c>
      <c r="P3353" s="3" t="s">
        <v>102</v>
      </c>
      <c r="Q3353" s="2" t="s">
        <v>22169</v>
      </c>
      <c r="R3353" s="3" t="s">
        <v>70</v>
      </c>
      <c r="S3353" s="4">
        <v>0</v>
      </c>
      <c r="T3353" s="4">
        <v>0</v>
      </c>
      <c r="W3353" s="5" t="s">
        <v>72</v>
      </c>
      <c r="X3353" s="5" t="s">
        <v>72</v>
      </c>
      <c r="Y3353" s="4">
        <v>175</v>
      </c>
      <c r="Z3353" s="4">
        <v>10</v>
      </c>
      <c r="AA3353" s="4">
        <v>114</v>
      </c>
      <c r="AB3353" s="4">
        <v>2</v>
      </c>
      <c r="AC3353" s="4">
        <v>17</v>
      </c>
      <c r="AD3353" s="4">
        <v>40</v>
      </c>
      <c r="AE3353" s="4">
        <v>120</v>
      </c>
      <c r="AF3353" s="4">
        <v>0</v>
      </c>
      <c r="AG3353" s="4">
        <v>8</v>
      </c>
      <c r="AH3353" s="4">
        <v>38</v>
      </c>
      <c r="AI3353" s="4">
        <v>79</v>
      </c>
      <c r="AJ3353" s="4">
        <v>4</v>
      </c>
      <c r="AK3353" s="4">
        <v>20</v>
      </c>
      <c r="AL3353" s="4">
        <v>16</v>
      </c>
      <c r="AM3353" s="4">
        <v>40</v>
      </c>
      <c r="AN3353" s="4">
        <v>0</v>
      </c>
      <c r="AO3353" s="4">
        <v>0</v>
      </c>
      <c r="AP3353" s="4">
        <v>5</v>
      </c>
      <c r="AQ3353" s="4">
        <v>45</v>
      </c>
      <c r="AR3353" s="3" t="s">
        <v>64</v>
      </c>
      <c r="AS3353" s="3" t="s">
        <v>64</v>
      </c>
      <c r="AT3353" s="3" t="s">
        <v>64</v>
      </c>
      <c r="AV3353" s="6" t="str">
        <f>HYPERLINK("http://mcgill.on.worldcat.org/oclc/760990505","Catalog Record")</f>
        <v>Catalog Record</v>
      </c>
      <c r="AW3353" s="6" t="str">
        <f>HYPERLINK("http://www.worldcat.org/oclc/760990505","WorldCat Record")</f>
        <v>WorldCat Record</v>
      </c>
      <c r="AX3353" s="3" t="s">
        <v>33616</v>
      </c>
      <c r="AY3353" s="3" t="s">
        <v>33617</v>
      </c>
      <c r="AZ3353" s="3" t="s">
        <v>33618</v>
      </c>
      <c r="BA3353" s="3" t="s">
        <v>33618</v>
      </c>
      <c r="BB3353" s="3" t="s">
        <v>33619</v>
      </c>
      <c r="BC3353" s="3" t="s">
        <v>77</v>
      </c>
      <c r="BD3353" s="3" t="s">
        <v>78</v>
      </c>
      <c r="BE3353" s="3" t="s">
        <v>33620</v>
      </c>
      <c r="BF3353" s="3" t="s">
        <v>33619</v>
      </c>
      <c r="BG3353" s="3" t="s">
        <v>33621</v>
      </c>
      <c r="BH3353">
        <f t="shared" si="79"/>
        <v>0</v>
      </c>
    </row>
    <row r="3354" spans="1:60" ht="58" x14ac:dyDescent="0.35">
      <c r="A3354" s="2" t="s">
        <v>59</v>
      </c>
      <c r="B3354" s="2" t="s">
        <v>60</v>
      </c>
      <c r="C3354" s="2" t="s">
        <v>33622</v>
      </c>
      <c r="D3354" s="2" t="s">
        <v>33623</v>
      </c>
      <c r="E3354" s="2" t="s">
        <v>33624</v>
      </c>
      <c r="G3354" s="3" t="s">
        <v>64</v>
      </c>
      <c r="I3354" s="3" t="s">
        <v>64</v>
      </c>
      <c r="J3354" s="3" t="s">
        <v>64</v>
      </c>
      <c r="K3354" s="3" t="s">
        <v>65</v>
      </c>
      <c r="L3354" s="2" t="s">
        <v>33625</v>
      </c>
      <c r="M3354" s="2" t="s">
        <v>17391</v>
      </c>
      <c r="N3354" s="3" t="s">
        <v>86</v>
      </c>
      <c r="P3354" s="3" t="s">
        <v>102</v>
      </c>
      <c r="R3354" s="3" t="s">
        <v>70</v>
      </c>
      <c r="S3354" s="4">
        <v>0</v>
      </c>
      <c r="T3354" s="4">
        <v>0</v>
      </c>
      <c r="W3354" s="5" t="s">
        <v>72</v>
      </c>
      <c r="X3354" s="5" t="s">
        <v>72</v>
      </c>
      <c r="Y3354" s="4">
        <v>99</v>
      </c>
      <c r="Z3354" s="4">
        <v>9</v>
      </c>
      <c r="AA3354" s="4">
        <v>21</v>
      </c>
      <c r="AB3354" s="4">
        <v>2</v>
      </c>
      <c r="AC3354" s="4">
        <v>6</v>
      </c>
      <c r="AD3354" s="4">
        <v>24</v>
      </c>
      <c r="AE3354" s="4">
        <v>37</v>
      </c>
      <c r="AF3354" s="4">
        <v>0</v>
      </c>
      <c r="AG3354" s="4">
        <v>1</v>
      </c>
      <c r="AH3354" s="4">
        <v>24</v>
      </c>
      <c r="AI3354" s="4">
        <v>34</v>
      </c>
      <c r="AJ3354" s="4">
        <v>4</v>
      </c>
      <c r="AK3354" s="4">
        <v>5</v>
      </c>
      <c r="AL3354" s="4">
        <v>13</v>
      </c>
      <c r="AM3354" s="4">
        <v>18</v>
      </c>
      <c r="AN3354" s="4">
        <v>0</v>
      </c>
      <c r="AO3354" s="4">
        <v>0</v>
      </c>
      <c r="AP3354" s="4">
        <v>4</v>
      </c>
      <c r="AQ3354" s="4">
        <v>6</v>
      </c>
      <c r="AR3354" s="3" t="s">
        <v>64</v>
      </c>
      <c r="AS3354" s="3" t="s">
        <v>64</v>
      </c>
      <c r="AT3354" s="3" t="s">
        <v>64</v>
      </c>
      <c r="AV3354" s="6" t="str">
        <f>HYPERLINK("http://mcgill.on.worldcat.org/oclc/721891519","Catalog Record")</f>
        <v>Catalog Record</v>
      </c>
      <c r="AW3354" s="6" t="str">
        <f>HYPERLINK("http://www.worldcat.org/oclc/721891519","WorldCat Record")</f>
        <v>WorldCat Record</v>
      </c>
      <c r="AX3354" s="3" t="s">
        <v>33626</v>
      </c>
      <c r="AY3354" s="3" t="s">
        <v>33627</v>
      </c>
      <c r="AZ3354" s="3" t="s">
        <v>33628</v>
      </c>
      <c r="BA3354" s="3" t="s">
        <v>33628</v>
      </c>
      <c r="BB3354" s="3" t="s">
        <v>33629</v>
      </c>
      <c r="BC3354" s="3" t="s">
        <v>77</v>
      </c>
      <c r="BD3354" s="3" t="s">
        <v>78</v>
      </c>
      <c r="BE3354" s="3" t="s">
        <v>33630</v>
      </c>
      <c r="BF3354" s="3" t="s">
        <v>33629</v>
      </c>
      <c r="BG3354" s="3" t="s">
        <v>33631</v>
      </c>
      <c r="BH3354">
        <f t="shared" si="79"/>
        <v>0</v>
      </c>
    </row>
    <row r="3355" spans="1:60" ht="58" x14ac:dyDescent="0.35">
      <c r="A3355" s="2" t="s">
        <v>59</v>
      </c>
      <c r="B3355" s="2" t="s">
        <v>60</v>
      </c>
      <c r="C3355" s="2" t="s">
        <v>33632</v>
      </c>
      <c r="D3355" s="2" t="s">
        <v>33633</v>
      </c>
      <c r="E3355" s="2" t="s">
        <v>33634</v>
      </c>
      <c r="G3355" s="3" t="s">
        <v>64</v>
      </c>
      <c r="I3355" s="3" t="s">
        <v>64</v>
      </c>
      <c r="J3355" s="3" t="s">
        <v>64</v>
      </c>
      <c r="K3355" s="3" t="s">
        <v>65</v>
      </c>
      <c r="L3355" s="2" t="s">
        <v>20048</v>
      </c>
      <c r="M3355" s="2" t="s">
        <v>33635</v>
      </c>
      <c r="N3355" s="3" t="s">
        <v>551</v>
      </c>
      <c r="P3355" s="3" t="s">
        <v>102</v>
      </c>
      <c r="R3355" s="3" t="s">
        <v>70</v>
      </c>
      <c r="S3355" s="4">
        <v>3</v>
      </c>
      <c r="T3355" s="4">
        <v>3</v>
      </c>
      <c r="U3355" s="5" t="s">
        <v>17269</v>
      </c>
      <c r="V3355" s="5" t="s">
        <v>17269</v>
      </c>
      <c r="W3355" s="5" t="s">
        <v>72</v>
      </c>
      <c r="X3355" s="5" t="s">
        <v>72</v>
      </c>
      <c r="Y3355" s="4">
        <v>194</v>
      </c>
      <c r="Z3355" s="4">
        <v>19</v>
      </c>
      <c r="AA3355" s="4">
        <v>49</v>
      </c>
      <c r="AB3355" s="4">
        <v>2</v>
      </c>
      <c r="AC3355" s="4">
        <v>7</v>
      </c>
      <c r="AD3355" s="4">
        <v>29</v>
      </c>
      <c r="AE3355" s="4">
        <v>44</v>
      </c>
      <c r="AF3355" s="4">
        <v>0</v>
      </c>
      <c r="AG3355" s="4">
        <v>0</v>
      </c>
      <c r="AH3355" s="4">
        <v>26</v>
      </c>
      <c r="AI3355" s="4">
        <v>37</v>
      </c>
      <c r="AJ3355" s="4">
        <v>9</v>
      </c>
      <c r="AK3355" s="4">
        <v>10</v>
      </c>
      <c r="AL3355" s="4">
        <v>12</v>
      </c>
      <c r="AM3355" s="4">
        <v>18</v>
      </c>
      <c r="AN3355" s="4">
        <v>0</v>
      </c>
      <c r="AO3355" s="4">
        <v>0</v>
      </c>
      <c r="AP3355" s="4">
        <v>9</v>
      </c>
      <c r="AQ3355" s="4">
        <v>13</v>
      </c>
      <c r="AR3355" s="3" t="s">
        <v>64</v>
      </c>
      <c r="AS3355" s="3" t="s">
        <v>64</v>
      </c>
      <c r="AT3355" s="3" t="s">
        <v>64</v>
      </c>
      <c r="AV3355" s="6" t="str">
        <f>HYPERLINK("http://mcgill.on.worldcat.org/oclc/320193394","Catalog Record")</f>
        <v>Catalog Record</v>
      </c>
      <c r="AW3355" s="6" t="str">
        <f>HYPERLINK("http://www.worldcat.org/oclc/320193394","WorldCat Record")</f>
        <v>WorldCat Record</v>
      </c>
      <c r="AX3355" s="3" t="s">
        <v>33636</v>
      </c>
      <c r="AY3355" s="3" t="s">
        <v>33637</v>
      </c>
      <c r="AZ3355" s="3" t="s">
        <v>33638</v>
      </c>
      <c r="BA3355" s="3" t="s">
        <v>33638</v>
      </c>
      <c r="BB3355" s="3" t="s">
        <v>33639</v>
      </c>
      <c r="BC3355" s="3" t="s">
        <v>77</v>
      </c>
      <c r="BD3355" s="3" t="s">
        <v>78</v>
      </c>
      <c r="BE3355" s="3" t="s">
        <v>33640</v>
      </c>
      <c r="BF3355" s="3" t="s">
        <v>33639</v>
      </c>
      <c r="BG3355" s="3" t="s">
        <v>33641</v>
      </c>
      <c r="BH3355">
        <f t="shared" si="79"/>
        <v>0</v>
      </c>
    </row>
    <row r="3356" spans="1:60" ht="58" x14ac:dyDescent="0.35">
      <c r="A3356" s="2" t="s">
        <v>59</v>
      </c>
      <c r="B3356" s="2" t="s">
        <v>60</v>
      </c>
      <c r="C3356" s="2" t="s">
        <v>33642</v>
      </c>
      <c r="D3356" s="2" t="s">
        <v>33643</v>
      </c>
      <c r="E3356" s="2" t="s">
        <v>33644</v>
      </c>
      <c r="G3356" s="3" t="s">
        <v>64</v>
      </c>
      <c r="I3356" s="3" t="s">
        <v>128</v>
      </c>
      <c r="J3356" s="3" t="s">
        <v>128</v>
      </c>
      <c r="K3356" s="3" t="s">
        <v>65</v>
      </c>
      <c r="L3356" s="2" t="s">
        <v>33645</v>
      </c>
      <c r="M3356" s="2" t="s">
        <v>14826</v>
      </c>
      <c r="N3356" s="3" t="s">
        <v>1275</v>
      </c>
      <c r="P3356" s="3" t="s">
        <v>102</v>
      </c>
      <c r="R3356" s="3" t="s">
        <v>70</v>
      </c>
      <c r="S3356" s="4">
        <v>29</v>
      </c>
      <c r="T3356" s="4">
        <v>33</v>
      </c>
      <c r="U3356" s="5" t="s">
        <v>8511</v>
      </c>
      <c r="V3356" s="5" t="s">
        <v>8511</v>
      </c>
      <c r="W3356" s="5" t="s">
        <v>72</v>
      </c>
      <c r="X3356" s="5" t="s">
        <v>72</v>
      </c>
      <c r="Y3356" s="4">
        <v>241</v>
      </c>
      <c r="Z3356" s="4">
        <v>15</v>
      </c>
      <c r="AA3356" s="4">
        <v>83</v>
      </c>
      <c r="AB3356" s="4">
        <v>2</v>
      </c>
      <c r="AC3356" s="4">
        <v>15</v>
      </c>
      <c r="AD3356" s="4">
        <v>38</v>
      </c>
      <c r="AE3356" s="4">
        <v>98</v>
      </c>
      <c r="AF3356" s="4">
        <v>0</v>
      </c>
      <c r="AG3356" s="4">
        <v>8</v>
      </c>
      <c r="AH3356" s="4">
        <v>36</v>
      </c>
      <c r="AI3356" s="4">
        <v>67</v>
      </c>
      <c r="AJ3356" s="4">
        <v>7</v>
      </c>
      <c r="AK3356" s="4">
        <v>19</v>
      </c>
      <c r="AL3356" s="4">
        <v>16</v>
      </c>
      <c r="AM3356" s="4">
        <v>33</v>
      </c>
      <c r="AN3356" s="4">
        <v>0</v>
      </c>
      <c r="AO3356" s="4">
        <v>0</v>
      </c>
      <c r="AP3356" s="4">
        <v>6</v>
      </c>
      <c r="AQ3356" s="4">
        <v>37</v>
      </c>
      <c r="AR3356" s="3" t="s">
        <v>64</v>
      </c>
      <c r="AS3356" s="3" t="s">
        <v>64</v>
      </c>
      <c r="AT3356" s="3" t="s">
        <v>128</v>
      </c>
      <c r="AU3356" s="6" t="str">
        <f>HYPERLINK("http://catalog.hathitrust.org/Record/004920171","HathiTrust Record")</f>
        <v>HathiTrust Record</v>
      </c>
      <c r="AV3356" s="6" t="str">
        <f>HYPERLINK("http://mcgill.on.worldcat.org/oclc/54694700","Catalog Record")</f>
        <v>Catalog Record</v>
      </c>
      <c r="AW3356" s="6" t="str">
        <f>HYPERLINK("http://www.worldcat.org/oclc/54694700","WorldCat Record")</f>
        <v>WorldCat Record</v>
      </c>
      <c r="AX3356" s="3" t="s">
        <v>33646</v>
      </c>
      <c r="AY3356" s="3" t="s">
        <v>33647</v>
      </c>
      <c r="AZ3356" s="3" t="s">
        <v>33648</v>
      </c>
      <c r="BA3356" s="3" t="s">
        <v>33648</v>
      </c>
      <c r="BB3356" s="3" t="s">
        <v>33649</v>
      </c>
      <c r="BC3356" s="3" t="s">
        <v>77</v>
      </c>
      <c r="BD3356" s="3" t="s">
        <v>78</v>
      </c>
      <c r="BE3356" s="3" t="s">
        <v>33650</v>
      </c>
      <c r="BF3356" s="3" t="s">
        <v>33649</v>
      </c>
      <c r="BG3356" s="3" t="s">
        <v>33651</v>
      </c>
      <c r="BH3356">
        <f t="shared" si="79"/>
        <v>0</v>
      </c>
    </row>
    <row r="3357" spans="1:60" ht="58" x14ac:dyDescent="0.35">
      <c r="A3357" s="2" t="s">
        <v>59</v>
      </c>
      <c r="B3357" s="2" t="s">
        <v>60</v>
      </c>
      <c r="C3357" s="2" t="s">
        <v>33642</v>
      </c>
      <c r="D3357" s="2" t="s">
        <v>33643</v>
      </c>
      <c r="E3357" s="2" t="s">
        <v>33644</v>
      </c>
      <c r="G3357" s="3" t="s">
        <v>64</v>
      </c>
      <c r="I3357" s="3" t="s">
        <v>128</v>
      </c>
      <c r="J3357" s="3" t="s">
        <v>128</v>
      </c>
      <c r="K3357" s="3" t="s">
        <v>65</v>
      </c>
      <c r="L3357" s="2" t="s">
        <v>33645</v>
      </c>
      <c r="M3357" s="2" t="s">
        <v>14826</v>
      </c>
      <c r="N3357" s="3" t="s">
        <v>1275</v>
      </c>
      <c r="P3357" s="3" t="s">
        <v>102</v>
      </c>
      <c r="R3357" s="3" t="s">
        <v>70</v>
      </c>
      <c r="S3357" s="4">
        <v>4</v>
      </c>
      <c r="T3357" s="4">
        <v>33</v>
      </c>
      <c r="U3357" s="5" t="s">
        <v>33652</v>
      </c>
      <c r="V3357" s="5" t="s">
        <v>8511</v>
      </c>
      <c r="W3357" s="5" t="s">
        <v>72</v>
      </c>
      <c r="X3357" s="5" t="s">
        <v>72</v>
      </c>
      <c r="Y3357" s="4">
        <v>241</v>
      </c>
      <c r="Z3357" s="4">
        <v>15</v>
      </c>
      <c r="AA3357" s="4">
        <v>83</v>
      </c>
      <c r="AB3357" s="4">
        <v>2</v>
      </c>
      <c r="AC3357" s="4">
        <v>15</v>
      </c>
      <c r="AD3357" s="4">
        <v>38</v>
      </c>
      <c r="AE3357" s="4">
        <v>98</v>
      </c>
      <c r="AF3357" s="4">
        <v>0</v>
      </c>
      <c r="AG3357" s="4">
        <v>8</v>
      </c>
      <c r="AH3357" s="4">
        <v>36</v>
      </c>
      <c r="AI3357" s="4">
        <v>67</v>
      </c>
      <c r="AJ3357" s="4">
        <v>7</v>
      </c>
      <c r="AK3357" s="4">
        <v>19</v>
      </c>
      <c r="AL3357" s="4">
        <v>16</v>
      </c>
      <c r="AM3357" s="4">
        <v>33</v>
      </c>
      <c r="AN3357" s="4">
        <v>0</v>
      </c>
      <c r="AO3357" s="4">
        <v>0</v>
      </c>
      <c r="AP3357" s="4">
        <v>6</v>
      </c>
      <c r="AQ3357" s="4">
        <v>37</v>
      </c>
      <c r="AR3357" s="3" t="s">
        <v>64</v>
      </c>
      <c r="AS3357" s="3" t="s">
        <v>64</v>
      </c>
      <c r="AT3357" s="3" t="s">
        <v>128</v>
      </c>
      <c r="AU3357" s="6" t="str">
        <f>HYPERLINK("http://catalog.hathitrust.org/Record/004920171","HathiTrust Record")</f>
        <v>HathiTrust Record</v>
      </c>
      <c r="AV3357" s="6" t="str">
        <f>HYPERLINK("http://mcgill.on.worldcat.org/oclc/54694700","Catalog Record")</f>
        <v>Catalog Record</v>
      </c>
      <c r="AW3357" s="6" t="str">
        <f>HYPERLINK("http://www.worldcat.org/oclc/54694700","WorldCat Record")</f>
        <v>WorldCat Record</v>
      </c>
      <c r="AX3357" s="3" t="s">
        <v>33646</v>
      </c>
      <c r="AY3357" s="3" t="s">
        <v>33647</v>
      </c>
      <c r="AZ3357" s="3" t="s">
        <v>33648</v>
      </c>
      <c r="BA3357" s="3" t="s">
        <v>33648</v>
      </c>
      <c r="BB3357" s="3" t="s">
        <v>33653</v>
      </c>
      <c r="BC3357" s="3" t="s">
        <v>77</v>
      </c>
      <c r="BD3357" s="3" t="s">
        <v>78</v>
      </c>
      <c r="BE3357" s="3" t="s">
        <v>33650</v>
      </c>
      <c r="BF3357" s="3" t="s">
        <v>33653</v>
      </c>
      <c r="BG3357" s="3" t="s">
        <v>33654</v>
      </c>
      <c r="BH3357">
        <f t="shared" si="79"/>
        <v>0</v>
      </c>
    </row>
    <row r="3358" spans="1:60" ht="58" x14ac:dyDescent="0.35">
      <c r="A3358" s="2" t="s">
        <v>59</v>
      </c>
      <c r="B3358" s="2" t="s">
        <v>60</v>
      </c>
      <c r="C3358" s="2" t="s">
        <v>33655</v>
      </c>
      <c r="D3358" s="2" t="s">
        <v>33656</v>
      </c>
      <c r="E3358" s="2" t="s">
        <v>33644</v>
      </c>
      <c r="G3358" s="3" t="s">
        <v>64</v>
      </c>
      <c r="I3358" s="3" t="s">
        <v>64</v>
      </c>
      <c r="J3358" s="3" t="s">
        <v>128</v>
      </c>
      <c r="K3358" s="3" t="s">
        <v>65</v>
      </c>
      <c r="L3358" s="2" t="s">
        <v>31373</v>
      </c>
      <c r="M3358" s="2" t="s">
        <v>18134</v>
      </c>
      <c r="N3358" s="3" t="s">
        <v>326</v>
      </c>
      <c r="O3358" s="2" t="s">
        <v>172</v>
      </c>
      <c r="P3358" s="3" t="s">
        <v>102</v>
      </c>
      <c r="R3358" s="3" t="s">
        <v>70</v>
      </c>
      <c r="S3358" s="4">
        <v>3</v>
      </c>
      <c r="T3358" s="4">
        <v>3</v>
      </c>
      <c r="U3358" s="5" t="s">
        <v>33657</v>
      </c>
      <c r="V3358" s="5" t="s">
        <v>33657</v>
      </c>
      <c r="W3358" s="5" t="s">
        <v>72</v>
      </c>
      <c r="X3358" s="5" t="s">
        <v>72</v>
      </c>
      <c r="Y3358" s="4">
        <v>210</v>
      </c>
      <c r="Z3358" s="4">
        <v>10</v>
      </c>
      <c r="AA3358" s="4">
        <v>83</v>
      </c>
      <c r="AB3358" s="4">
        <v>1</v>
      </c>
      <c r="AC3358" s="4">
        <v>15</v>
      </c>
      <c r="AD3358" s="4">
        <v>25</v>
      </c>
      <c r="AE3358" s="4">
        <v>98</v>
      </c>
      <c r="AF3358" s="4">
        <v>0</v>
      </c>
      <c r="AG3358" s="4">
        <v>8</v>
      </c>
      <c r="AH3358" s="4">
        <v>25</v>
      </c>
      <c r="AI3358" s="4">
        <v>67</v>
      </c>
      <c r="AJ3358" s="4">
        <v>4</v>
      </c>
      <c r="AK3358" s="4">
        <v>19</v>
      </c>
      <c r="AL3358" s="4">
        <v>16</v>
      </c>
      <c r="AM3358" s="4">
        <v>33</v>
      </c>
      <c r="AN3358" s="4">
        <v>0</v>
      </c>
      <c r="AO3358" s="4">
        <v>0</v>
      </c>
      <c r="AP3358" s="4">
        <v>4</v>
      </c>
      <c r="AQ3358" s="4">
        <v>37</v>
      </c>
      <c r="AR3358" s="3" t="s">
        <v>64</v>
      </c>
      <c r="AS3358" s="3" t="s">
        <v>64</v>
      </c>
      <c r="AT3358" s="3" t="s">
        <v>64</v>
      </c>
      <c r="AV3358" s="6" t="str">
        <f>HYPERLINK("http://mcgill.on.worldcat.org/oclc/701243162","Catalog Record")</f>
        <v>Catalog Record</v>
      </c>
      <c r="AW3358" s="6" t="str">
        <f>HYPERLINK("http://www.worldcat.org/oclc/701243162","WorldCat Record")</f>
        <v>WorldCat Record</v>
      </c>
      <c r="AX3358" s="3" t="s">
        <v>33646</v>
      </c>
      <c r="AY3358" s="3" t="s">
        <v>33658</v>
      </c>
      <c r="AZ3358" s="3" t="s">
        <v>33659</v>
      </c>
      <c r="BA3358" s="3" t="s">
        <v>33659</v>
      </c>
      <c r="BB3358" s="3" t="s">
        <v>33660</v>
      </c>
      <c r="BC3358" s="3" t="s">
        <v>77</v>
      </c>
      <c r="BD3358" s="3" t="s">
        <v>78</v>
      </c>
      <c r="BE3358" s="3" t="s">
        <v>33661</v>
      </c>
      <c r="BF3358" s="3" t="s">
        <v>33660</v>
      </c>
      <c r="BG3358" s="3" t="s">
        <v>33662</v>
      </c>
      <c r="BH3358">
        <f t="shared" si="79"/>
        <v>0</v>
      </c>
    </row>
    <row r="3359" spans="1:60" ht="58" x14ac:dyDescent="0.35">
      <c r="A3359" s="2" t="s">
        <v>59</v>
      </c>
      <c r="B3359" s="2" t="s">
        <v>60</v>
      </c>
      <c r="C3359" s="2" t="s">
        <v>33663</v>
      </c>
      <c r="D3359" s="2" t="s">
        <v>33664</v>
      </c>
      <c r="E3359" s="2" t="s">
        <v>33665</v>
      </c>
      <c r="G3359" s="3" t="s">
        <v>64</v>
      </c>
      <c r="I3359" s="3" t="s">
        <v>64</v>
      </c>
      <c r="J3359" s="3" t="s">
        <v>64</v>
      </c>
      <c r="K3359" s="3" t="s">
        <v>65</v>
      </c>
      <c r="L3359" s="2" t="s">
        <v>20085</v>
      </c>
      <c r="M3359" s="2" t="s">
        <v>33666</v>
      </c>
      <c r="N3359" s="3" t="s">
        <v>392</v>
      </c>
      <c r="P3359" s="3" t="s">
        <v>102</v>
      </c>
      <c r="R3359" s="3" t="s">
        <v>70</v>
      </c>
      <c r="S3359" s="4">
        <v>11</v>
      </c>
      <c r="T3359" s="4">
        <v>11</v>
      </c>
      <c r="U3359" s="5" t="s">
        <v>14488</v>
      </c>
      <c r="V3359" s="5" t="s">
        <v>14488</v>
      </c>
      <c r="W3359" s="5" t="s">
        <v>72</v>
      </c>
      <c r="X3359" s="5" t="s">
        <v>72</v>
      </c>
      <c r="Y3359" s="4">
        <v>401</v>
      </c>
      <c r="Z3359" s="4">
        <v>14</v>
      </c>
      <c r="AA3359" s="4">
        <v>100</v>
      </c>
      <c r="AB3359" s="4">
        <v>2</v>
      </c>
      <c r="AC3359" s="4">
        <v>20</v>
      </c>
      <c r="AD3359" s="4">
        <v>86</v>
      </c>
      <c r="AE3359" s="4">
        <v>143</v>
      </c>
      <c r="AF3359" s="4">
        <v>0</v>
      </c>
      <c r="AG3359" s="4">
        <v>10</v>
      </c>
      <c r="AH3359" s="4">
        <v>82</v>
      </c>
      <c r="AI3359" s="4">
        <v>104</v>
      </c>
      <c r="AJ3359" s="4">
        <v>7</v>
      </c>
      <c r="AK3359" s="4">
        <v>21</v>
      </c>
      <c r="AL3359" s="4">
        <v>44</v>
      </c>
      <c r="AM3359" s="4">
        <v>55</v>
      </c>
      <c r="AN3359" s="4">
        <v>0</v>
      </c>
      <c r="AO3359" s="4">
        <v>0</v>
      </c>
      <c r="AP3359" s="4">
        <v>7</v>
      </c>
      <c r="AQ3359" s="4">
        <v>44</v>
      </c>
      <c r="AR3359" s="3" t="s">
        <v>64</v>
      </c>
      <c r="AS3359" s="3" t="s">
        <v>64</v>
      </c>
      <c r="AT3359" s="3" t="s">
        <v>64</v>
      </c>
      <c r="AV3359" s="6" t="str">
        <f>HYPERLINK("http://mcgill.on.worldcat.org/oclc/38976196","Catalog Record")</f>
        <v>Catalog Record</v>
      </c>
      <c r="AW3359" s="6" t="str">
        <f>HYPERLINK("http://www.worldcat.org/oclc/38976196","WorldCat Record")</f>
        <v>WorldCat Record</v>
      </c>
      <c r="AX3359" s="3" t="s">
        <v>33667</v>
      </c>
      <c r="AY3359" s="3" t="s">
        <v>33668</v>
      </c>
      <c r="AZ3359" s="3" t="s">
        <v>33669</v>
      </c>
      <c r="BA3359" s="3" t="s">
        <v>33669</v>
      </c>
      <c r="BB3359" s="3" t="s">
        <v>33670</v>
      </c>
      <c r="BC3359" s="3" t="s">
        <v>77</v>
      </c>
      <c r="BD3359" s="3" t="s">
        <v>78</v>
      </c>
      <c r="BE3359" s="3" t="s">
        <v>33671</v>
      </c>
      <c r="BF3359" s="3" t="s">
        <v>33670</v>
      </c>
      <c r="BG3359" s="3" t="s">
        <v>33672</v>
      </c>
      <c r="BH3359">
        <f t="shared" si="79"/>
        <v>0</v>
      </c>
    </row>
    <row r="3360" spans="1:60" ht="58" x14ac:dyDescent="0.35">
      <c r="A3360" s="2" t="s">
        <v>59</v>
      </c>
      <c r="B3360" s="2" t="s">
        <v>60</v>
      </c>
      <c r="C3360" s="2" t="s">
        <v>33673</v>
      </c>
      <c r="D3360" s="2" t="s">
        <v>33674</v>
      </c>
      <c r="E3360" s="2" t="s">
        <v>33675</v>
      </c>
      <c r="G3360" s="3" t="s">
        <v>64</v>
      </c>
      <c r="I3360" s="3" t="s">
        <v>64</v>
      </c>
      <c r="J3360" s="3" t="s">
        <v>64</v>
      </c>
      <c r="K3360" s="3" t="s">
        <v>65</v>
      </c>
      <c r="M3360" s="2" t="s">
        <v>33676</v>
      </c>
      <c r="N3360" s="3" t="s">
        <v>421</v>
      </c>
      <c r="P3360" s="3" t="s">
        <v>102</v>
      </c>
      <c r="R3360" s="3" t="s">
        <v>70</v>
      </c>
      <c r="S3360" s="4">
        <v>28</v>
      </c>
      <c r="T3360" s="4">
        <v>28</v>
      </c>
      <c r="U3360" s="5" t="s">
        <v>14157</v>
      </c>
      <c r="V3360" s="5" t="s">
        <v>14157</v>
      </c>
      <c r="W3360" s="5" t="s">
        <v>72</v>
      </c>
      <c r="X3360" s="5" t="s">
        <v>72</v>
      </c>
      <c r="Y3360" s="4">
        <v>590</v>
      </c>
      <c r="Z3360" s="4">
        <v>37</v>
      </c>
      <c r="AA3360" s="4">
        <v>135</v>
      </c>
      <c r="AB3360" s="4">
        <v>4</v>
      </c>
      <c r="AC3360" s="4">
        <v>21</v>
      </c>
      <c r="AD3360" s="4">
        <v>109</v>
      </c>
      <c r="AE3360" s="4">
        <v>154</v>
      </c>
      <c r="AF3360" s="4">
        <v>1</v>
      </c>
      <c r="AG3360" s="4">
        <v>8</v>
      </c>
      <c r="AH3360" s="4">
        <v>94</v>
      </c>
      <c r="AI3360" s="4">
        <v>110</v>
      </c>
      <c r="AJ3360" s="4">
        <v>18</v>
      </c>
      <c r="AK3360" s="4">
        <v>25</v>
      </c>
      <c r="AL3360" s="4">
        <v>48</v>
      </c>
      <c r="AM3360" s="4">
        <v>56</v>
      </c>
      <c r="AN3360" s="4">
        <v>0</v>
      </c>
      <c r="AO3360" s="4">
        <v>0</v>
      </c>
      <c r="AP3360" s="4">
        <v>21</v>
      </c>
      <c r="AQ3360" s="4">
        <v>52</v>
      </c>
      <c r="AR3360" s="3" t="s">
        <v>64</v>
      </c>
      <c r="AS3360" s="3" t="s">
        <v>64</v>
      </c>
      <c r="AT3360" s="3" t="s">
        <v>64</v>
      </c>
      <c r="AV3360" s="6" t="str">
        <f>HYPERLINK("http://mcgill.on.worldcat.org/oclc/37004499","Catalog Record")</f>
        <v>Catalog Record</v>
      </c>
      <c r="AW3360" s="6" t="str">
        <f>HYPERLINK("http://www.worldcat.org/oclc/37004499","WorldCat Record")</f>
        <v>WorldCat Record</v>
      </c>
      <c r="AX3360" s="3" t="s">
        <v>33677</v>
      </c>
      <c r="AY3360" s="3" t="s">
        <v>33678</v>
      </c>
      <c r="AZ3360" s="3" t="s">
        <v>33679</v>
      </c>
      <c r="BA3360" s="3" t="s">
        <v>33679</v>
      </c>
      <c r="BB3360" s="3" t="s">
        <v>33680</v>
      </c>
      <c r="BC3360" s="3" t="s">
        <v>77</v>
      </c>
      <c r="BD3360" s="3" t="s">
        <v>78</v>
      </c>
      <c r="BE3360" s="3" t="s">
        <v>33681</v>
      </c>
      <c r="BF3360" s="3" t="s">
        <v>33680</v>
      </c>
      <c r="BG3360" s="3" t="s">
        <v>33682</v>
      </c>
      <c r="BH3360">
        <f t="shared" si="79"/>
        <v>0</v>
      </c>
    </row>
    <row r="3361" spans="1:60" ht="58" x14ac:dyDescent="0.35">
      <c r="A3361" s="2" t="s">
        <v>59</v>
      </c>
      <c r="B3361" s="2" t="s">
        <v>60</v>
      </c>
      <c r="C3361" s="2" t="s">
        <v>33683</v>
      </c>
      <c r="D3361" s="2" t="s">
        <v>33684</v>
      </c>
      <c r="E3361" s="2" t="s">
        <v>33685</v>
      </c>
      <c r="G3361" s="3" t="s">
        <v>64</v>
      </c>
      <c r="I3361" s="3" t="s">
        <v>64</v>
      </c>
      <c r="J3361" s="3" t="s">
        <v>64</v>
      </c>
      <c r="K3361" s="3" t="s">
        <v>65</v>
      </c>
      <c r="L3361" s="2" t="s">
        <v>33686</v>
      </c>
      <c r="M3361" s="2" t="s">
        <v>16814</v>
      </c>
      <c r="N3361" s="3" t="s">
        <v>326</v>
      </c>
      <c r="P3361" s="3" t="s">
        <v>102</v>
      </c>
      <c r="Q3361" s="2" t="s">
        <v>15094</v>
      </c>
      <c r="R3361" s="3" t="s">
        <v>70</v>
      </c>
      <c r="S3361" s="4">
        <v>3</v>
      </c>
      <c r="T3361" s="4">
        <v>3</v>
      </c>
      <c r="U3361" s="5" t="s">
        <v>8511</v>
      </c>
      <c r="V3361" s="5" t="s">
        <v>8511</v>
      </c>
      <c r="W3361" s="5" t="s">
        <v>72</v>
      </c>
      <c r="X3361" s="5" t="s">
        <v>72</v>
      </c>
      <c r="Y3361" s="4">
        <v>132</v>
      </c>
      <c r="Z3361" s="4">
        <v>12</v>
      </c>
      <c r="AA3361" s="4">
        <v>16</v>
      </c>
      <c r="AB3361" s="4">
        <v>1</v>
      </c>
      <c r="AC3361" s="4">
        <v>4</v>
      </c>
      <c r="AD3361" s="4">
        <v>30</v>
      </c>
      <c r="AE3361" s="4">
        <v>32</v>
      </c>
      <c r="AF3361" s="4">
        <v>0</v>
      </c>
      <c r="AG3361" s="4">
        <v>1</v>
      </c>
      <c r="AH3361" s="4">
        <v>27</v>
      </c>
      <c r="AI3361" s="4">
        <v>28</v>
      </c>
      <c r="AJ3361" s="4">
        <v>5</v>
      </c>
      <c r="AK3361" s="4">
        <v>6</v>
      </c>
      <c r="AL3361" s="4">
        <v>13</v>
      </c>
      <c r="AM3361" s="4">
        <v>14</v>
      </c>
      <c r="AN3361" s="4">
        <v>0</v>
      </c>
      <c r="AO3361" s="4">
        <v>0</v>
      </c>
      <c r="AP3361" s="4">
        <v>7</v>
      </c>
      <c r="AQ3361" s="4">
        <v>7</v>
      </c>
      <c r="AR3361" s="3" t="s">
        <v>64</v>
      </c>
      <c r="AS3361" s="3" t="s">
        <v>64</v>
      </c>
      <c r="AT3361" s="3" t="s">
        <v>64</v>
      </c>
      <c r="AV3361" s="6" t="str">
        <f>HYPERLINK("http://mcgill.on.worldcat.org/oclc/548555615","Catalog Record")</f>
        <v>Catalog Record</v>
      </c>
      <c r="AW3361" s="6" t="str">
        <f>HYPERLINK("http://www.worldcat.org/oclc/548555615","WorldCat Record")</f>
        <v>WorldCat Record</v>
      </c>
      <c r="AX3361" s="3" t="s">
        <v>33687</v>
      </c>
      <c r="AY3361" s="3" t="s">
        <v>33688</v>
      </c>
      <c r="AZ3361" s="3" t="s">
        <v>33689</v>
      </c>
      <c r="BA3361" s="3" t="s">
        <v>33689</v>
      </c>
      <c r="BB3361" s="3" t="s">
        <v>33690</v>
      </c>
      <c r="BC3361" s="3" t="s">
        <v>77</v>
      </c>
      <c r="BD3361" s="3" t="s">
        <v>78</v>
      </c>
      <c r="BE3361" s="3" t="s">
        <v>33691</v>
      </c>
      <c r="BF3361" s="3" t="s">
        <v>33690</v>
      </c>
      <c r="BG3361" s="3" t="s">
        <v>33692</v>
      </c>
      <c r="BH3361">
        <f t="shared" si="79"/>
        <v>0</v>
      </c>
    </row>
    <row r="3362" spans="1:60" ht="58" x14ac:dyDescent="0.35">
      <c r="A3362" s="2" t="s">
        <v>59</v>
      </c>
      <c r="B3362" s="2" t="s">
        <v>60</v>
      </c>
      <c r="C3362" s="2" t="s">
        <v>33693</v>
      </c>
      <c r="D3362" s="2" t="s">
        <v>33694</v>
      </c>
      <c r="E3362" s="2" t="s">
        <v>33695</v>
      </c>
      <c r="G3362" s="3" t="s">
        <v>64</v>
      </c>
      <c r="I3362" s="3" t="s">
        <v>64</v>
      </c>
      <c r="J3362" s="3" t="s">
        <v>64</v>
      </c>
      <c r="K3362" s="3" t="s">
        <v>65</v>
      </c>
      <c r="L3362" s="2" t="s">
        <v>33696</v>
      </c>
      <c r="M3362" s="2" t="s">
        <v>24363</v>
      </c>
      <c r="N3362" s="3" t="s">
        <v>159</v>
      </c>
      <c r="P3362" s="3" t="s">
        <v>102</v>
      </c>
      <c r="R3362" s="3" t="s">
        <v>70</v>
      </c>
      <c r="S3362" s="4">
        <v>7</v>
      </c>
      <c r="T3362" s="4">
        <v>7</v>
      </c>
      <c r="U3362" s="5" t="s">
        <v>17315</v>
      </c>
      <c r="V3362" s="5" t="s">
        <v>17315</v>
      </c>
      <c r="W3362" s="5" t="s">
        <v>72</v>
      </c>
      <c r="X3362" s="5" t="s">
        <v>72</v>
      </c>
      <c r="Y3362" s="4">
        <v>263</v>
      </c>
      <c r="Z3362" s="4">
        <v>11</v>
      </c>
      <c r="AA3362" s="4">
        <v>12</v>
      </c>
      <c r="AB3362" s="4">
        <v>2</v>
      </c>
      <c r="AC3362" s="4">
        <v>3</v>
      </c>
      <c r="AD3362" s="4">
        <v>77</v>
      </c>
      <c r="AE3362" s="4">
        <v>78</v>
      </c>
      <c r="AF3362" s="4">
        <v>1</v>
      </c>
      <c r="AG3362" s="4">
        <v>2</v>
      </c>
      <c r="AH3362" s="4">
        <v>72</v>
      </c>
      <c r="AI3362" s="4">
        <v>72</v>
      </c>
      <c r="AJ3362" s="4">
        <v>8</v>
      </c>
      <c r="AK3362" s="4">
        <v>9</v>
      </c>
      <c r="AL3362" s="4">
        <v>42</v>
      </c>
      <c r="AM3362" s="4">
        <v>42</v>
      </c>
      <c r="AN3362" s="4">
        <v>0</v>
      </c>
      <c r="AO3362" s="4">
        <v>0</v>
      </c>
      <c r="AP3362" s="4">
        <v>8</v>
      </c>
      <c r="AQ3362" s="4">
        <v>8</v>
      </c>
      <c r="AR3362" s="3" t="s">
        <v>64</v>
      </c>
      <c r="AS3362" s="3" t="s">
        <v>64</v>
      </c>
      <c r="AT3362" s="3" t="s">
        <v>64</v>
      </c>
      <c r="AV3362" s="6" t="str">
        <f>HYPERLINK("http://mcgill.on.worldcat.org/oclc/48045730","Catalog Record")</f>
        <v>Catalog Record</v>
      </c>
      <c r="AW3362" s="6" t="str">
        <f>HYPERLINK("http://www.worldcat.org/oclc/48045730","WorldCat Record")</f>
        <v>WorldCat Record</v>
      </c>
      <c r="AX3362" s="3" t="s">
        <v>33697</v>
      </c>
      <c r="AY3362" s="3" t="s">
        <v>33698</v>
      </c>
      <c r="AZ3362" s="3" t="s">
        <v>33699</v>
      </c>
      <c r="BA3362" s="3" t="s">
        <v>33699</v>
      </c>
      <c r="BB3362" s="3" t="s">
        <v>33700</v>
      </c>
      <c r="BC3362" s="3" t="s">
        <v>77</v>
      </c>
      <c r="BD3362" s="3" t="s">
        <v>78</v>
      </c>
      <c r="BE3362" s="3" t="s">
        <v>33701</v>
      </c>
      <c r="BF3362" s="3" t="s">
        <v>33700</v>
      </c>
      <c r="BG3362" s="3" t="s">
        <v>33702</v>
      </c>
      <c r="BH3362">
        <f t="shared" si="79"/>
        <v>0</v>
      </c>
    </row>
    <row r="3363" spans="1:60" ht="58" x14ac:dyDescent="0.35">
      <c r="A3363" s="2" t="s">
        <v>59</v>
      </c>
      <c r="B3363" s="2" t="s">
        <v>60</v>
      </c>
      <c r="C3363" s="2" t="s">
        <v>33703</v>
      </c>
      <c r="D3363" s="2" t="s">
        <v>33704</v>
      </c>
      <c r="E3363" s="2" t="s">
        <v>33705</v>
      </c>
      <c r="G3363" s="3" t="s">
        <v>64</v>
      </c>
      <c r="I3363" s="3" t="s">
        <v>64</v>
      </c>
      <c r="J3363" s="3" t="s">
        <v>64</v>
      </c>
      <c r="K3363" s="3" t="s">
        <v>65</v>
      </c>
      <c r="M3363" s="2" t="s">
        <v>17671</v>
      </c>
      <c r="N3363" s="3" t="s">
        <v>67</v>
      </c>
      <c r="P3363" s="3" t="s">
        <v>102</v>
      </c>
      <c r="R3363" s="3" t="s">
        <v>70</v>
      </c>
      <c r="S3363" s="4">
        <v>1</v>
      </c>
      <c r="T3363" s="4">
        <v>1</v>
      </c>
      <c r="U3363" s="5" t="s">
        <v>23320</v>
      </c>
      <c r="V3363" s="5" t="s">
        <v>23320</v>
      </c>
      <c r="W3363" s="5" t="s">
        <v>72</v>
      </c>
      <c r="X3363" s="5" t="s">
        <v>72</v>
      </c>
      <c r="Y3363" s="4">
        <v>29</v>
      </c>
      <c r="Z3363" s="4">
        <v>3</v>
      </c>
      <c r="AA3363" s="4">
        <v>5</v>
      </c>
      <c r="AB3363" s="4">
        <v>1</v>
      </c>
      <c r="AC3363" s="4">
        <v>2</v>
      </c>
      <c r="AD3363" s="4">
        <v>9</v>
      </c>
      <c r="AE3363" s="4">
        <v>9</v>
      </c>
      <c r="AF3363" s="4">
        <v>0</v>
      </c>
      <c r="AG3363" s="4">
        <v>0</v>
      </c>
      <c r="AH3363" s="4">
        <v>9</v>
      </c>
      <c r="AI3363" s="4">
        <v>9</v>
      </c>
      <c r="AJ3363" s="4">
        <v>1</v>
      </c>
      <c r="AK3363" s="4">
        <v>1</v>
      </c>
      <c r="AL3363" s="4">
        <v>6</v>
      </c>
      <c r="AM3363" s="4">
        <v>6</v>
      </c>
      <c r="AN3363" s="4">
        <v>0</v>
      </c>
      <c r="AO3363" s="4">
        <v>0</v>
      </c>
      <c r="AP3363" s="4">
        <v>1</v>
      </c>
      <c r="AQ3363" s="4">
        <v>1</v>
      </c>
      <c r="AR3363" s="3" t="s">
        <v>64</v>
      </c>
      <c r="AS3363" s="3" t="s">
        <v>64</v>
      </c>
      <c r="AT3363" s="3" t="s">
        <v>64</v>
      </c>
      <c r="AV3363" s="6" t="str">
        <f>HYPERLINK("http://mcgill.on.worldcat.org/oclc/868042573","Catalog Record")</f>
        <v>Catalog Record</v>
      </c>
      <c r="AW3363" s="6" t="str">
        <f>HYPERLINK("http://www.worldcat.org/oclc/868042573","WorldCat Record")</f>
        <v>WorldCat Record</v>
      </c>
      <c r="AX3363" s="3" t="s">
        <v>33706</v>
      </c>
      <c r="AY3363" s="3" t="s">
        <v>33707</v>
      </c>
      <c r="AZ3363" s="3" t="s">
        <v>33708</v>
      </c>
      <c r="BA3363" s="3" t="s">
        <v>33708</v>
      </c>
      <c r="BB3363" s="3" t="s">
        <v>33709</v>
      </c>
      <c r="BC3363" s="3" t="s">
        <v>77</v>
      </c>
      <c r="BD3363" s="3" t="s">
        <v>78</v>
      </c>
      <c r="BE3363" s="3" t="s">
        <v>33710</v>
      </c>
      <c r="BF3363" s="3" t="s">
        <v>33709</v>
      </c>
      <c r="BG3363" s="3" t="s">
        <v>33711</v>
      </c>
      <c r="BH3363">
        <f t="shared" si="79"/>
        <v>0</v>
      </c>
    </row>
    <row r="3364" spans="1:60" ht="58" x14ac:dyDescent="0.35">
      <c r="A3364" s="2" t="s">
        <v>59</v>
      </c>
      <c r="B3364" s="2" t="s">
        <v>60</v>
      </c>
      <c r="C3364" s="2" t="s">
        <v>33712</v>
      </c>
      <c r="D3364" s="2" t="s">
        <v>33713</v>
      </c>
      <c r="E3364" s="2" t="s">
        <v>33714</v>
      </c>
      <c r="G3364" s="3" t="s">
        <v>64</v>
      </c>
      <c r="I3364" s="3" t="s">
        <v>64</v>
      </c>
      <c r="J3364" s="3" t="s">
        <v>64</v>
      </c>
      <c r="K3364" s="3" t="s">
        <v>65</v>
      </c>
      <c r="L3364" s="2" t="s">
        <v>33715</v>
      </c>
      <c r="M3364" s="2" t="s">
        <v>33716</v>
      </c>
      <c r="N3364" s="3" t="s">
        <v>3330</v>
      </c>
      <c r="P3364" s="3" t="s">
        <v>102</v>
      </c>
      <c r="Q3364" s="2" t="s">
        <v>33717</v>
      </c>
      <c r="R3364" s="3" t="s">
        <v>70</v>
      </c>
      <c r="S3364" s="4">
        <v>9</v>
      </c>
      <c r="T3364" s="4">
        <v>9</v>
      </c>
      <c r="U3364" s="5" t="s">
        <v>14431</v>
      </c>
      <c r="V3364" s="5" t="s">
        <v>14431</v>
      </c>
      <c r="W3364" s="5" t="s">
        <v>72</v>
      </c>
      <c r="X3364" s="5" t="s">
        <v>72</v>
      </c>
      <c r="Y3364" s="4">
        <v>246</v>
      </c>
      <c r="Z3364" s="4">
        <v>11</v>
      </c>
      <c r="AA3364" s="4">
        <v>13</v>
      </c>
      <c r="AB3364" s="4">
        <v>3</v>
      </c>
      <c r="AC3364" s="4">
        <v>5</v>
      </c>
      <c r="AD3364" s="4">
        <v>80</v>
      </c>
      <c r="AE3364" s="4">
        <v>81</v>
      </c>
      <c r="AF3364" s="4">
        <v>1</v>
      </c>
      <c r="AG3364" s="4">
        <v>2</v>
      </c>
      <c r="AH3364" s="4">
        <v>74</v>
      </c>
      <c r="AI3364" s="4">
        <v>74</v>
      </c>
      <c r="AJ3364" s="4">
        <v>8</v>
      </c>
      <c r="AK3364" s="4">
        <v>9</v>
      </c>
      <c r="AL3364" s="4">
        <v>41</v>
      </c>
      <c r="AM3364" s="4">
        <v>41</v>
      </c>
      <c r="AN3364" s="4">
        <v>0</v>
      </c>
      <c r="AO3364" s="4">
        <v>0</v>
      </c>
      <c r="AP3364" s="4">
        <v>6</v>
      </c>
      <c r="AQ3364" s="4">
        <v>6</v>
      </c>
      <c r="AR3364" s="3" t="s">
        <v>64</v>
      </c>
      <c r="AS3364" s="3" t="s">
        <v>64</v>
      </c>
      <c r="AT3364" s="3" t="s">
        <v>128</v>
      </c>
      <c r="AU3364" s="6" t="str">
        <f>HYPERLINK("http://catalog.hathitrust.org/Record/001074135","HathiTrust Record")</f>
        <v>HathiTrust Record</v>
      </c>
      <c r="AV3364" s="6" t="str">
        <f>HYPERLINK("http://mcgill.on.worldcat.org/oclc/18072484","Catalog Record")</f>
        <v>Catalog Record</v>
      </c>
      <c r="AW3364" s="6" t="str">
        <f>HYPERLINK("http://www.worldcat.org/oclc/18072484","WorldCat Record")</f>
        <v>WorldCat Record</v>
      </c>
      <c r="AX3364" s="3" t="s">
        <v>33718</v>
      </c>
      <c r="AY3364" s="3" t="s">
        <v>33719</v>
      </c>
      <c r="AZ3364" s="3" t="s">
        <v>33720</v>
      </c>
      <c r="BA3364" s="3" t="s">
        <v>33720</v>
      </c>
      <c r="BB3364" s="3" t="s">
        <v>33721</v>
      </c>
      <c r="BC3364" s="3" t="s">
        <v>77</v>
      </c>
      <c r="BD3364" s="3" t="s">
        <v>78</v>
      </c>
      <c r="BE3364" s="3" t="s">
        <v>33722</v>
      </c>
      <c r="BF3364" s="3" t="s">
        <v>33721</v>
      </c>
      <c r="BG3364" s="3" t="s">
        <v>33723</v>
      </c>
      <c r="BH3364">
        <f t="shared" si="79"/>
        <v>0</v>
      </c>
    </row>
    <row r="3365" spans="1:60" ht="58" x14ac:dyDescent="0.35">
      <c r="A3365" s="2" t="s">
        <v>59</v>
      </c>
      <c r="B3365" s="2" t="s">
        <v>60</v>
      </c>
      <c r="C3365" s="2" t="s">
        <v>33724</v>
      </c>
      <c r="D3365" s="2" t="s">
        <v>33725</v>
      </c>
      <c r="E3365" s="2" t="s">
        <v>33726</v>
      </c>
      <c r="G3365" s="3" t="s">
        <v>64</v>
      </c>
      <c r="I3365" s="3" t="s">
        <v>64</v>
      </c>
      <c r="J3365" s="3" t="s">
        <v>64</v>
      </c>
      <c r="K3365" s="3" t="s">
        <v>65</v>
      </c>
      <c r="L3365" s="2" t="s">
        <v>33727</v>
      </c>
      <c r="M3365" s="2" t="s">
        <v>33728</v>
      </c>
      <c r="N3365" s="3" t="s">
        <v>86</v>
      </c>
      <c r="P3365" s="3" t="s">
        <v>102</v>
      </c>
      <c r="Q3365" s="2" t="s">
        <v>3876</v>
      </c>
      <c r="R3365" s="3" t="s">
        <v>70</v>
      </c>
      <c r="S3365" s="4">
        <v>1</v>
      </c>
      <c r="T3365" s="4">
        <v>1</v>
      </c>
      <c r="U3365" s="5" t="s">
        <v>23483</v>
      </c>
      <c r="V3365" s="5" t="s">
        <v>23483</v>
      </c>
      <c r="W3365" s="5" t="s">
        <v>72</v>
      </c>
      <c r="X3365" s="5" t="s">
        <v>72</v>
      </c>
      <c r="Y3365" s="4">
        <v>211</v>
      </c>
      <c r="Z3365" s="4">
        <v>9</v>
      </c>
      <c r="AA3365" s="4">
        <v>78</v>
      </c>
      <c r="AB3365" s="4">
        <v>1</v>
      </c>
      <c r="AC3365" s="4">
        <v>15</v>
      </c>
      <c r="AD3365" s="4">
        <v>73</v>
      </c>
      <c r="AE3365" s="4">
        <v>124</v>
      </c>
      <c r="AF3365" s="4">
        <v>0</v>
      </c>
      <c r="AG3365" s="4">
        <v>8</v>
      </c>
      <c r="AH3365" s="4">
        <v>70</v>
      </c>
      <c r="AI3365" s="4">
        <v>93</v>
      </c>
      <c r="AJ3365" s="4">
        <v>6</v>
      </c>
      <c r="AK3365" s="4">
        <v>21</v>
      </c>
      <c r="AL3365" s="4">
        <v>46</v>
      </c>
      <c r="AM3365" s="4">
        <v>54</v>
      </c>
      <c r="AN3365" s="4">
        <v>0</v>
      </c>
      <c r="AO3365" s="4">
        <v>0</v>
      </c>
      <c r="AP3365" s="4">
        <v>6</v>
      </c>
      <c r="AQ3365" s="4">
        <v>38</v>
      </c>
      <c r="AR3365" s="3" t="s">
        <v>64</v>
      </c>
      <c r="AS3365" s="3" t="s">
        <v>64</v>
      </c>
      <c r="AT3365" s="3" t="s">
        <v>64</v>
      </c>
      <c r="AV3365" s="6" t="str">
        <f>HYPERLINK("http://mcgill.on.worldcat.org/oclc/733731452","Catalog Record")</f>
        <v>Catalog Record</v>
      </c>
      <c r="AW3365" s="6" t="str">
        <f>HYPERLINK("http://www.worldcat.org/oclc/733731452","WorldCat Record")</f>
        <v>WorldCat Record</v>
      </c>
      <c r="AX3365" s="3" t="s">
        <v>33729</v>
      </c>
      <c r="AY3365" s="3" t="s">
        <v>33730</v>
      </c>
      <c r="AZ3365" s="3" t="s">
        <v>33731</v>
      </c>
      <c r="BA3365" s="3" t="s">
        <v>33731</v>
      </c>
      <c r="BB3365" s="3" t="s">
        <v>33732</v>
      </c>
      <c r="BC3365" s="3" t="s">
        <v>77</v>
      </c>
      <c r="BD3365" s="3" t="s">
        <v>78</v>
      </c>
      <c r="BE3365" s="3" t="s">
        <v>33733</v>
      </c>
      <c r="BF3365" s="3" t="s">
        <v>33732</v>
      </c>
      <c r="BG3365" s="3" t="s">
        <v>33734</v>
      </c>
      <c r="BH3365">
        <f t="shared" si="79"/>
        <v>0</v>
      </c>
    </row>
    <row r="3366" spans="1:60" ht="72.5" x14ac:dyDescent="0.35">
      <c r="A3366" s="2" t="s">
        <v>59</v>
      </c>
      <c r="B3366" s="2" t="s">
        <v>60</v>
      </c>
      <c r="C3366" s="2" t="s">
        <v>33735</v>
      </c>
      <c r="D3366" s="2" t="s">
        <v>33736</v>
      </c>
      <c r="E3366" s="2" t="s">
        <v>33737</v>
      </c>
      <c r="G3366" s="3" t="s">
        <v>64</v>
      </c>
      <c r="I3366" s="3" t="s">
        <v>64</v>
      </c>
      <c r="J3366" s="3" t="s">
        <v>64</v>
      </c>
      <c r="K3366" s="3" t="s">
        <v>65</v>
      </c>
      <c r="M3366" s="2" t="s">
        <v>33738</v>
      </c>
      <c r="N3366" s="3" t="s">
        <v>511</v>
      </c>
      <c r="P3366" s="3" t="s">
        <v>102</v>
      </c>
      <c r="Q3366" s="2" t="s">
        <v>4419</v>
      </c>
      <c r="R3366" s="3" t="s">
        <v>70</v>
      </c>
      <c r="S3366" s="4">
        <v>0</v>
      </c>
      <c r="T3366" s="4">
        <v>0</v>
      </c>
      <c r="W3366" s="5" t="s">
        <v>72</v>
      </c>
      <c r="X3366" s="5" t="s">
        <v>72</v>
      </c>
      <c r="Y3366" s="4">
        <v>149</v>
      </c>
      <c r="Z3366" s="4">
        <v>10</v>
      </c>
      <c r="AA3366" s="4">
        <v>10</v>
      </c>
      <c r="AB3366" s="4">
        <v>1</v>
      </c>
      <c r="AC3366" s="4">
        <v>1</v>
      </c>
      <c r="AD3366" s="4">
        <v>56</v>
      </c>
      <c r="AE3366" s="4">
        <v>57</v>
      </c>
      <c r="AF3366" s="4">
        <v>0</v>
      </c>
      <c r="AG3366" s="4">
        <v>0</v>
      </c>
      <c r="AH3366" s="4">
        <v>53</v>
      </c>
      <c r="AI3366" s="4">
        <v>54</v>
      </c>
      <c r="AJ3366" s="4">
        <v>7</v>
      </c>
      <c r="AK3366" s="4">
        <v>7</v>
      </c>
      <c r="AL3366" s="4">
        <v>34</v>
      </c>
      <c r="AM3366" s="4">
        <v>35</v>
      </c>
      <c r="AN3366" s="4">
        <v>0</v>
      </c>
      <c r="AO3366" s="4">
        <v>0</v>
      </c>
      <c r="AP3366" s="4">
        <v>7</v>
      </c>
      <c r="AQ3366" s="4">
        <v>7</v>
      </c>
      <c r="AR3366" s="3" t="s">
        <v>64</v>
      </c>
      <c r="AS3366" s="3" t="s">
        <v>64</v>
      </c>
      <c r="AT3366" s="3" t="s">
        <v>64</v>
      </c>
      <c r="AV3366" s="6" t="str">
        <f>HYPERLINK("http://mcgill.on.worldcat.org/oclc/437115055","Catalog Record")</f>
        <v>Catalog Record</v>
      </c>
      <c r="AW3366" s="6" t="str">
        <f>HYPERLINK("http://www.worldcat.org/oclc/437115055","WorldCat Record")</f>
        <v>WorldCat Record</v>
      </c>
      <c r="AX3366" s="3" t="s">
        <v>33739</v>
      </c>
      <c r="AY3366" s="3" t="s">
        <v>33740</v>
      </c>
      <c r="AZ3366" s="3" t="s">
        <v>33741</v>
      </c>
      <c r="BA3366" s="3" t="s">
        <v>33741</v>
      </c>
      <c r="BB3366" s="3" t="s">
        <v>33742</v>
      </c>
      <c r="BC3366" s="3" t="s">
        <v>77</v>
      </c>
      <c r="BD3366" s="3" t="s">
        <v>78</v>
      </c>
      <c r="BE3366" s="3" t="s">
        <v>33743</v>
      </c>
      <c r="BF3366" s="3" t="s">
        <v>33742</v>
      </c>
      <c r="BG3366" s="3" t="s">
        <v>33744</v>
      </c>
      <c r="BH3366">
        <f t="shared" si="79"/>
        <v>0</v>
      </c>
    </row>
    <row r="3367" spans="1:60" ht="58" x14ac:dyDescent="0.35">
      <c r="A3367" s="2" t="s">
        <v>59</v>
      </c>
      <c r="B3367" s="2" t="s">
        <v>60</v>
      </c>
      <c r="C3367" s="2" t="s">
        <v>33745</v>
      </c>
      <c r="D3367" s="2" t="s">
        <v>33746</v>
      </c>
      <c r="E3367" s="2" t="s">
        <v>33747</v>
      </c>
      <c r="G3367" s="3" t="s">
        <v>64</v>
      </c>
      <c r="I3367" s="3" t="s">
        <v>64</v>
      </c>
      <c r="J3367" s="3" t="s">
        <v>64</v>
      </c>
      <c r="K3367" s="3" t="s">
        <v>65</v>
      </c>
      <c r="L3367" s="2" t="s">
        <v>33748</v>
      </c>
      <c r="M3367" s="2" t="s">
        <v>33749</v>
      </c>
      <c r="N3367" s="3" t="s">
        <v>86</v>
      </c>
      <c r="P3367" s="3" t="s">
        <v>102</v>
      </c>
      <c r="R3367" s="3" t="s">
        <v>70</v>
      </c>
      <c r="S3367" s="4">
        <v>0</v>
      </c>
      <c r="T3367" s="4">
        <v>0</v>
      </c>
      <c r="W3367" s="5" t="s">
        <v>72</v>
      </c>
      <c r="X3367" s="5" t="s">
        <v>72</v>
      </c>
      <c r="Y3367" s="4">
        <v>84</v>
      </c>
      <c r="Z3367" s="4">
        <v>6</v>
      </c>
      <c r="AA3367" s="4">
        <v>6</v>
      </c>
      <c r="AB3367" s="4">
        <v>1</v>
      </c>
      <c r="AC3367" s="4">
        <v>1</v>
      </c>
      <c r="AD3367" s="4">
        <v>34</v>
      </c>
      <c r="AE3367" s="4">
        <v>34</v>
      </c>
      <c r="AF3367" s="4">
        <v>0</v>
      </c>
      <c r="AG3367" s="4">
        <v>0</v>
      </c>
      <c r="AH3367" s="4">
        <v>33</v>
      </c>
      <c r="AI3367" s="4">
        <v>33</v>
      </c>
      <c r="AJ3367" s="4">
        <v>3</v>
      </c>
      <c r="AK3367" s="4">
        <v>3</v>
      </c>
      <c r="AL3367" s="4">
        <v>20</v>
      </c>
      <c r="AM3367" s="4">
        <v>20</v>
      </c>
      <c r="AN3367" s="4">
        <v>0</v>
      </c>
      <c r="AO3367" s="4">
        <v>0</v>
      </c>
      <c r="AP3367" s="4">
        <v>3</v>
      </c>
      <c r="AQ3367" s="4">
        <v>3</v>
      </c>
      <c r="AR3367" s="3" t="s">
        <v>64</v>
      </c>
      <c r="AS3367" s="3" t="s">
        <v>64</v>
      </c>
      <c r="AT3367" s="3" t="s">
        <v>64</v>
      </c>
      <c r="AV3367" s="6" t="str">
        <f>HYPERLINK("http://mcgill.on.worldcat.org/oclc/799251927","Catalog Record")</f>
        <v>Catalog Record</v>
      </c>
      <c r="AW3367" s="6" t="str">
        <f>HYPERLINK("http://www.worldcat.org/oclc/799251927","WorldCat Record")</f>
        <v>WorldCat Record</v>
      </c>
      <c r="AX3367" s="3" t="s">
        <v>33750</v>
      </c>
      <c r="AY3367" s="3" t="s">
        <v>33751</v>
      </c>
      <c r="AZ3367" s="3" t="s">
        <v>33752</v>
      </c>
      <c r="BA3367" s="3" t="s">
        <v>33752</v>
      </c>
      <c r="BB3367" s="3" t="s">
        <v>33753</v>
      </c>
      <c r="BC3367" s="3" t="s">
        <v>77</v>
      </c>
      <c r="BD3367" s="3" t="s">
        <v>78</v>
      </c>
      <c r="BE3367" s="3" t="s">
        <v>33754</v>
      </c>
      <c r="BF3367" s="3" t="s">
        <v>33753</v>
      </c>
      <c r="BG3367" s="3" t="s">
        <v>33755</v>
      </c>
      <c r="BH3367">
        <f t="shared" si="79"/>
        <v>0</v>
      </c>
    </row>
    <row r="3368" spans="1:60" ht="72.5" x14ac:dyDescent="0.35">
      <c r="A3368" s="2" t="s">
        <v>59</v>
      </c>
      <c r="B3368" s="2" t="s">
        <v>1025</v>
      </c>
      <c r="C3368" s="2" t="s">
        <v>33756</v>
      </c>
      <c r="D3368" s="2" t="s">
        <v>33757</v>
      </c>
      <c r="E3368" s="2" t="s">
        <v>33758</v>
      </c>
      <c r="G3368" s="3" t="s">
        <v>64</v>
      </c>
      <c r="I3368" s="3" t="s">
        <v>64</v>
      </c>
      <c r="J3368" s="3" t="s">
        <v>64</v>
      </c>
      <c r="K3368" s="3" t="s">
        <v>65</v>
      </c>
      <c r="M3368" s="2" t="s">
        <v>33759</v>
      </c>
      <c r="N3368" s="3" t="s">
        <v>116</v>
      </c>
      <c r="P3368" s="3" t="s">
        <v>102</v>
      </c>
      <c r="R3368" s="3" t="s">
        <v>70</v>
      </c>
      <c r="S3368" s="4">
        <v>1</v>
      </c>
      <c r="T3368" s="4">
        <v>1</v>
      </c>
      <c r="U3368" s="5" t="s">
        <v>13854</v>
      </c>
      <c r="V3368" s="5" t="s">
        <v>13854</v>
      </c>
      <c r="W3368" s="5" t="s">
        <v>72</v>
      </c>
      <c r="X3368" s="5" t="s">
        <v>72</v>
      </c>
      <c r="Y3368" s="4">
        <v>48</v>
      </c>
      <c r="Z3368" s="4">
        <v>4</v>
      </c>
      <c r="AA3368" s="4">
        <v>4</v>
      </c>
      <c r="AB3368" s="4">
        <v>1</v>
      </c>
      <c r="AC3368" s="4">
        <v>1</v>
      </c>
      <c r="AD3368" s="4">
        <v>26</v>
      </c>
      <c r="AE3368" s="4">
        <v>26</v>
      </c>
      <c r="AF3368" s="4">
        <v>0</v>
      </c>
      <c r="AG3368" s="4">
        <v>0</v>
      </c>
      <c r="AH3368" s="4">
        <v>26</v>
      </c>
      <c r="AI3368" s="4">
        <v>26</v>
      </c>
      <c r="AJ3368" s="4">
        <v>2</v>
      </c>
      <c r="AK3368" s="4">
        <v>2</v>
      </c>
      <c r="AL3368" s="4">
        <v>20</v>
      </c>
      <c r="AM3368" s="4">
        <v>20</v>
      </c>
      <c r="AN3368" s="4">
        <v>0</v>
      </c>
      <c r="AO3368" s="4">
        <v>0</v>
      </c>
      <c r="AP3368" s="4">
        <v>2</v>
      </c>
      <c r="AQ3368" s="4">
        <v>2</v>
      </c>
      <c r="AR3368" s="3" t="s">
        <v>64</v>
      </c>
      <c r="AS3368" s="3" t="s">
        <v>64</v>
      </c>
      <c r="AT3368" s="3" t="s">
        <v>128</v>
      </c>
      <c r="AU3368" s="6" t="str">
        <f>HYPERLINK("http://catalog.hathitrust.org/Record/004962285","HathiTrust Record")</f>
        <v>HathiTrust Record</v>
      </c>
      <c r="AV3368" s="6" t="str">
        <f>HYPERLINK("http://mcgill.on.worldcat.org/oclc/47917885","Catalog Record")</f>
        <v>Catalog Record</v>
      </c>
      <c r="AW3368" s="6" t="str">
        <f>HYPERLINK("http://www.worldcat.org/oclc/47917885","WorldCat Record")</f>
        <v>WorldCat Record</v>
      </c>
      <c r="AX3368" s="3" t="s">
        <v>33760</v>
      </c>
      <c r="AY3368" s="3" t="s">
        <v>33761</v>
      </c>
      <c r="AZ3368" s="3" t="s">
        <v>33762</v>
      </c>
      <c r="BA3368" s="3" t="s">
        <v>33762</v>
      </c>
      <c r="BB3368" s="3" t="s">
        <v>33763</v>
      </c>
      <c r="BC3368" s="3" t="s">
        <v>77</v>
      </c>
      <c r="BD3368" s="3" t="s">
        <v>78</v>
      </c>
      <c r="BF3368" s="3" t="s">
        <v>33763</v>
      </c>
      <c r="BG3368" s="3" t="s">
        <v>33764</v>
      </c>
      <c r="BH3368">
        <f t="shared" si="79"/>
        <v>0</v>
      </c>
    </row>
    <row r="3369" spans="1:60" ht="58" x14ac:dyDescent="0.35">
      <c r="A3369" s="2" t="s">
        <v>59</v>
      </c>
      <c r="B3369" s="2" t="s">
        <v>60</v>
      </c>
      <c r="C3369" s="2" t="s">
        <v>33765</v>
      </c>
      <c r="D3369" s="2" t="s">
        <v>33766</v>
      </c>
      <c r="E3369" s="2" t="s">
        <v>33767</v>
      </c>
      <c r="G3369" s="3" t="s">
        <v>64</v>
      </c>
      <c r="I3369" s="3" t="s">
        <v>128</v>
      </c>
      <c r="J3369" s="3" t="s">
        <v>64</v>
      </c>
      <c r="K3369" s="3" t="s">
        <v>65</v>
      </c>
      <c r="L3369" s="2" t="s">
        <v>5438</v>
      </c>
      <c r="M3369" s="2" t="s">
        <v>33768</v>
      </c>
      <c r="N3369" s="3" t="s">
        <v>3272</v>
      </c>
      <c r="P3369" s="3" t="s">
        <v>102</v>
      </c>
      <c r="R3369" s="3" t="s">
        <v>70</v>
      </c>
      <c r="S3369" s="4">
        <v>2</v>
      </c>
      <c r="T3369" s="4">
        <v>2</v>
      </c>
      <c r="U3369" s="5" t="s">
        <v>10073</v>
      </c>
      <c r="V3369" s="5" t="s">
        <v>10073</v>
      </c>
      <c r="W3369" s="5" t="s">
        <v>72</v>
      </c>
      <c r="X3369" s="5" t="s">
        <v>72</v>
      </c>
      <c r="Y3369" s="4">
        <v>157</v>
      </c>
      <c r="Z3369" s="4">
        <v>8</v>
      </c>
      <c r="AA3369" s="4">
        <v>8</v>
      </c>
      <c r="AB3369" s="4">
        <v>1</v>
      </c>
      <c r="AC3369" s="4">
        <v>1</v>
      </c>
      <c r="AD3369" s="4">
        <v>63</v>
      </c>
      <c r="AE3369" s="4">
        <v>64</v>
      </c>
      <c r="AF3369" s="4">
        <v>0</v>
      </c>
      <c r="AG3369" s="4">
        <v>0</v>
      </c>
      <c r="AH3369" s="4">
        <v>59</v>
      </c>
      <c r="AI3369" s="4">
        <v>60</v>
      </c>
      <c r="AJ3369" s="4">
        <v>6</v>
      </c>
      <c r="AK3369" s="4">
        <v>6</v>
      </c>
      <c r="AL3369" s="4">
        <v>38</v>
      </c>
      <c r="AM3369" s="4">
        <v>38</v>
      </c>
      <c r="AN3369" s="4">
        <v>0</v>
      </c>
      <c r="AO3369" s="4">
        <v>0</v>
      </c>
      <c r="AP3369" s="4">
        <v>5</v>
      </c>
      <c r="AQ3369" s="4">
        <v>5</v>
      </c>
      <c r="AR3369" s="3" t="s">
        <v>64</v>
      </c>
      <c r="AS3369" s="3" t="s">
        <v>128</v>
      </c>
      <c r="AT3369" s="3" t="s">
        <v>64</v>
      </c>
      <c r="AU3369" s="6" t="str">
        <f>HYPERLINK("http://catalog.hathitrust.org/Record/001164921","HathiTrust Record")</f>
        <v>HathiTrust Record</v>
      </c>
      <c r="AV3369" s="6" t="str">
        <f>HYPERLINK("http://mcgill.on.worldcat.org/oclc/2365147","Catalog Record")</f>
        <v>Catalog Record</v>
      </c>
      <c r="AW3369" s="6" t="str">
        <f>HYPERLINK("http://www.worldcat.org/oclc/2365147","WorldCat Record")</f>
        <v>WorldCat Record</v>
      </c>
      <c r="AX3369" s="3" t="s">
        <v>33769</v>
      </c>
      <c r="AY3369" s="3" t="s">
        <v>33770</v>
      </c>
      <c r="AZ3369" s="3" t="s">
        <v>33771</v>
      </c>
      <c r="BA3369" s="3" t="s">
        <v>33771</v>
      </c>
      <c r="BB3369" s="3" t="s">
        <v>33772</v>
      </c>
      <c r="BC3369" s="3" t="s">
        <v>77</v>
      </c>
      <c r="BD3369" s="3" t="s">
        <v>78</v>
      </c>
      <c r="BF3369" s="3" t="s">
        <v>33772</v>
      </c>
      <c r="BG3369" s="3" t="s">
        <v>33773</v>
      </c>
      <c r="BH3369">
        <f t="shared" si="79"/>
        <v>0</v>
      </c>
    </row>
    <row r="3370" spans="1:60" ht="72.5" x14ac:dyDescent="0.35">
      <c r="A3370" s="2" t="s">
        <v>59</v>
      </c>
      <c r="B3370" s="2" t="s">
        <v>60</v>
      </c>
      <c r="C3370" s="2" t="s">
        <v>33774</v>
      </c>
      <c r="D3370" s="2" t="s">
        <v>33775</v>
      </c>
      <c r="E3370" s="2" t="s">
        <v>33776</v>
      </c>
      <c r="G3370" s="3" t="s">
        <v>64</v>
      </c>
      <c r="I3370" s="3" t="s">
        <v>64</v>
      </c>
      <c r="J3370" s="3" t="s">
        <v>64</v>
      </c>
      <c r="K3370" s="3" t="s">
        <v>65</v>
      </c>
      <c r="L3370" s="2" t="s">
        <v>33777</v>
      </c>
      <c r="M3370" s="2" t="s">
        <v>33778</v>
      </c>
      <c r="N3370" s="3" t="s">
        <v>3804</v>
      </c>
      <c r="P3370" s="3" t="s">
        <v>102</v>
      </c>
      <c r="R3370" s="3" t="s">
        <v>70</v>
      </c>
      <c r="S3370" s="4">
        <v>3</v>
      </c>
      <c r="T3370" s="4">
        <v>3</v>
      </c>
      <c r="U3370" s="5" t="s">
        <v>10629</v>
      </c>
      <c r="V3370" s="5" t="s">
        <v>10629</v>
      </c>
      <c r="W3370" s="5" t="s">
        <v>72</v>
      </c>
      <c r="X3370" s="5" t="s">
        <v>72</v>
      </c>
      <c r="Y3370" s="4">
        <v>311</v>
      </c>
      <c r="Z3370" s="4">
        <v>16</v>
      </c>
      <c r="AA3370" s="4">
        <v>20</v>
      </c>
      <c r="AB3370" s="4">
        <v>2</v>
      </c>
      <c r="AC3370" s="4">
        <v>5</v>
      </c>
      <c r="AD3370" s="4">
        <v>91</v>
      </c>
      <c r="AE3370" s="4">
        <v>93</v>
      </c>
      <c r="AF3370" s="4">
        <v>0</v>
      </c>
      <c r="AG3370" s="4">
        <v>1</v>
      </c>
      <c r="AH3370" s="4">
        <v>84</v>
      </c>
      <c r="AI3370" s="4">
        <v>84</v>
      </c>
      <c r="AJ3370" s="4">
        <v>8</v>
      </c>
      <c r="AK3370" s="4">
        <v>9</v>
      </c>
      <c r="AL3370" s="4">
        <v>47</v>
      </c>
      <c r="AM3370" s="4">
        <v>47</v>
      </c>
      <c r="AN3370" s="4">
        <v>0</v>
      </c>
      <c r="AO3370" s="4">
        <v>0</v>
      </c>
      <c r="AP3370" s="4">
        <v>9</v>
      </c>
      <c r="AQ3370" s="4">
        <v>10</v>
      </c>
      <c r="AR3370" s="3" t="s">
        <v>64</v>
      </c>
      <c r="AS3370" s="3" t="s">
        <v>64</v>
      </c>
      <c r="AT3370" s="3" t="s">
        <v>128</v>
      </c>
      <c r="AU3370" s="6" t="str">
        <f>HYPERLINK("http://catalog.hathitrust.org/Record/001164635","HathiTrust Record")</f>
        <v>HathiTrust Record</v>
      </c>
      <c r="AV3370" s="6" t="str">
        <f>HYPERLINK("http://mcgill.on.worldcat.org/oclc/575216","Catalog Record")</f>
        <v>Catalog Record</v>
      </c>
      <c r="AW3370" s="6" t="str">
        <f>HYPERLINK("http://www.worldcat.org/oclc/575216","WorldCat Record")</f>
        <v>WorldCat Record</v>
      </c>
      <c r="AX3370" s="3" t="s">
        <v>33779</v>
      </c>
      <c r="AY3370" s="3" t="s">
        <v>33780</v>
      </c>
      <c r="AZ3370" s="3" t="s">
        <v>33781</v>
      </c>
      <c r="BA3370" s="3" t="s">
        <v>33781</v>
      </c>
      <c r="BB3370" s="3" t="s">
        <v>33782</v>
      </c>
      <c r="BC3370" s="3" t="s">
        <v>77</v>
      </c>
      <c r="BD3370" s="3" t="s">
        <v>78</v>
      </c>
      <c r="BE3370" s="3" t="s">
        <v>33783</v>
      </c>
      <c r="BF3370" s="3" t="s">
        <v>33782</v>
      </c>
      <c r="BG3370" s="3" t="s">
        <v>33784</v>
      </c>
      <c r="BH3370">
        <f t="shared" si="79"/>
        <v>0</v>
      </c>
    </row>
    <row r="3371" spans="1:60" ht="58" x14ac:dyDescent="0.35">
      <c r="A3371" s="2" t="s">
        <v>59</v>
      </c>
      <c r="B3371" s="2" t="s">
        <v>60</v>
      </c>
      <c r="C3371" s="2" t="s">
        <v>33785</v>
      </c>
      <c r="D3371" s="2" t="s">
        <v>33786</v>
      </c>
      <c r="E3371" s="2" t="s">
        <v>33787</v>
      </c>
      <c r="G3371" s="3" t="s">
        <v>64</v>
      </c>
      <c r="I3371" s="3" t="s">
        <v>64</v>
      </c>
      <c r="J3371" s="3" t="s">
        <v>64</v>
      </c>
      <c r="K3371" s="3" t="s">
        <v>65</v>
      </c>
      <c r="L3371" s="2" t="s">
        <v>33788</v>
      </c>
      <c r="M3371" s="2" t="s">
        <v>33789</v>
      </c>
      <c r="N3371" s="3" t="s">
        <v>2067</v>
      </c>
      <c r="P3371" s="3" t="s">
        <v>102</v>
      </c>
      <c r="R3371" s="3" t="s">
        <v>70</v>
      </c>
      <c r="S3371" s="4">
        <v>1</v>
      </c>
      <c r="T3371" s="4">
        <v>1</v>
      </c>
      <c r="U3371" s="5" t="s">
        <v>7801</v>
      </c>
      <c r="V3371" s="5" t="s">
        <v>7801</v>
      </c>
      <c r="W3371" s="5" t="s">
        <v>72</v>
      </c>
      <c r="X3371" s="5" t="s">
        <v>72</v>
      </c>
      <c r="Y3371" s="4">
        <v>3</v>
      </c>
      <c r="Z3371" s="4">
        <v>1</v>
      </c>
      <c r="AA3371" s="4">
        <v>1</v>
      </c>
      <c r="AB3371" s="4">
        <v>1</v>
      </c>
      <c r="AC3371" s="4">
        <v>1</v>
      </c>
      <c r="AD3371" s="4">
        <v>1</v>
      </c>
      <c r="AE3371" s="4">
        <v>1</v>
      </c>
      <c r="AF3371" s="4">
        <v>0</v>
      </c>
      <c r="AG3371" s="4">
        <v>0</v>
      </c>
      <c r="AH3371" s="4">
        <v>1</v>
      </c>
      <c r="AI3371" s="4">
        <v>1</v>
      </c>
      <c r="AJ3371" s="4">
        <v>0</v>
      </c>
      <c r="AK3371" s="4">
        <v>0</v>
      </c>
      <c r="AL3371" s="4">
        <v>1</v>
      </c>
      <c r="AM3371" s="4">
        <v>1</v>
      </c>
      <c r="AN3371" s="4">
        <v>0</v>
      </c>
      <c r="AO3371" s="4">
        <v>0</v>
      </c>
      <c r="AP3371" s="4">
        <v>0</v>
      </c>
      <c r="AQ3371" s="4">
        <v>0</v>
      </c>
      <c r="AR3371" s="3" t="s">
        <v>64</v>
      </c>
      <c r="AS3371" s="3" t="s">
        <v>64</v>
      </c>
      <c r="AT3371" s="3" t="s">
        <v>64</v>
      </c>
      <c r="AV3371" s="6" t="str">
        <f>HYPERLINK("http://mcgill.on.worldcat.org/oclc/25887040","Catalog Record")</f>
        <v>Catalog Record</v>
      </c>
      <c r="AW3371" s="6" t="str">
        <f>HYPERLINK("http://www.worldcat.org/oclc/25887040","WorldCat Record")</f>
        <v>WorldCat Record</v>
      </c>
      <c r="AX3371" s="3" t="s">
        <v>33790</v>
      </c>
      <c r="AY3371" s="3" t="s">
        <v>33791</v>
      </c>
      <c r="AZ3371" s="3" t="s">
        <v>33792</v>
      </c>
      <c r="BA3371" s="3" t="s">
        <v>33792</v>
      </c>
      <c r="BB3371" s="3" t="s">
        <v>33793</v>
      </c>
      <c r="BC3371" s="3" t="s">
        <v>77</v>
      </c>
      <c r="BD3371" s="3" t="s">
        <v>78</v>
      </c>
      <c r="BF3371" s="3" t="s">
        <v>33793</v>
      </c>
      <c r="BG3371" s="3" t="s">
        <v>33794</v>
      </c>
      <c r="BH3371">
        <f t="shared" si="79"/>
        <v>0</v>
      </c>
    </row>
    <row r="3372" spans="1:60" ht="72.5" x14ac:dyDescent="0.35">
      <c r="A3372" s="2" t="s">
        <v>59</v>
      </c>
      <c r="B3372" s="2" t="s">
        <v>60</v>
      </c>
      <c r="C3372" s="2" t="s">
        <v>33795</v>
      </c>
      <c r="D3372" s="2" t="s">
        <v>33796</v>
      </c>
      <c r="E3372" s="2" t="s">
        <v>33797</v>
      </c>
      <c r="G3372" s="3" t="s">
        <v>64</v>
      </c>
      <c r="I3372" s="3" t="s">
        <v>64</v>
      </c>
      <c r="J3372" s="3" t="s">
        <v>64</v>
      </c>
      <c r="K3372" s="3" t="s">
        <v>65</v>
      </c>
      <c r="L3372" s="2" t="s">
        <v>10560</v>
      </c>
      <c r="M3372" s="2" t="s">
        <v>33798</v>
      </c>
      <c r="N3372" s="3" t="s">
        <v>159</v>
      </c>
      <c r="P3372" s="3" t="s">
        <v>102</v>
      </c>
      <c r="Q3372" s="2" t="s">
        <v>33799</v>
      </c>
      <c r="R3372" s="3" t="s">
        <v>70</v>
      </c>
      <c r="S3372" s="4">
        <v>5</v>
      </c>
      <c r="T3372" s="4">
        <v>5</v>
      </c>
      <c r="U3372" s="5" t="s">
        <v>33800</v>
      </c>
      <c r="V3372" s="5" t="s">
        <v>33800</v>
      </c>
      <c r="W3372" s="5" t="s">
        <v>72</v>
      </c>
      <c r="X3372" s="5" t="s">
        <v>72</v>
      </c>
      <c r="Y3372" s="4">
        <v>219</v>
      </c>
      <c r="Z3372" s="4">
        <v>13</v>
      </c>
      <c r="AA3372" s="4">
        <v>14</v>
      </c>
      <c r="AB3372" s="4">
        <v>2</v>
      </c>
      <c r="AC3372" s="4">
        <v>3</v>
      </c>
      <c r="AD3372" s="4">
        <v>87</v>
      </c>
      <c r="AE3372" s="4">
        <v>88</v>
      </c>
      <c r="AF3372" s="4">
        <v>0</v>
      </c>
      <c r="AG3372" s="4">
        <v>1</v>
      </c>
      <c r="AH3372" s="4">
        <v>82</v>
      </c>
      <c r="AI3372" s="4">
        <v>82</v>
      </c>
      <c r="AJ3372" s="4">
        <v>9</v>
      </c>
      <c r="AK3372" s="4">
        <v>10</v>
      </c>
      <c r="AL3372" s="4">
        <v>50</v>
      </c>
      <c r="AM3372" s="4">
        <v>50</v>
      </c>
      <c r="AN3372" s="4">
        <v>0</v>
      </c>
      <c r="AO3372" s="4">
        <v>0</v>
      </c>
      <c r="AP3372" s="4">
        <v>9</v>
      </c>
      <c r="AQ3372" s="4">
        <v>9</v>
      </c>
      <c r="AR3372" s="3" t="s">
        <v>64</v>
      </c>
      <c r="AS3372" s="3" t="s">
        <v>64</v>
      </c>
      <c r="AT3372" s="3" t="s">
        <v>64</v>
      </c>
      <c r="AV3372" s="6" t="str">
        <f>HYPERLINK("http://mcgill.on.worldcat.org/oclc/47224789","Catalog Record")</f>
        <v>Catalog Record</v>
      </c>
      <c r="AW3372" s="6" t="str">
        <f>HYPERLINK("http://www.worldcat.org/oclc/47224789","WorldCat Record")</f>
        <v>WorldCat Record</v>
      </c>
      <c r="AX3372" s="3" t="s">
        <v>33801</v>
      </c>
      <c r="AY3372" s="3" t="s">
        <v>33802</v>
      </c>
      <c r="AZ3372" s="3" t="s">
        <v>33803</v>
      </c>
      <c r="BA3372" s="3" t="s">
        <v>33803</v>
      </c>
      <c r="BB3372" s="3" t="s">
        <v>33804</v>
      </c>
      <c r="BC3372" s="3" t="s">
        <v>77</v>
      </c>
      <c r="BD3372" s="3" t="s">
        <v>78</v>
      </c>
      <c r="BE3372" s="3" t="s">
        <v>33805</v>
      </c>
      <c r="BF3372" s="3" t="s">
        <v>33804</v>
      </c>
      <c r="BG3372" s="3" t="s">
        <v>33806</v>
      </c>
      <c r="BH3372">
        <f t="shared" si="79"/>
        <v>0</v>
      </c>
    </row>
    <row r="3373" spans="1:60" ht="58" x14ac:dyDescent="0.35">
      <c r="A3373" s="2" t="s">
        <v>59</v>
      </c>
      <c r="B3373" s="2" t="s">
        <v>60</v>
      </c>
      <c r="C3373" s="2" t="s">
        <v>33807</v>
      </c>
      <c r="D3373" s="2" t="s">
        <v>33808</v>
      </c>
      <c r="E3373" s="2" t="s">
        <v>33809</v>
      </c>
      <c r="G3373" s="3" t="s">
        <v>64</v>
      </c>
      <c r="I3373" s="3" t="s">
        <v>64</v>
      </c>
      <c r="J3373" s="3" t="s">
        <v>64</v>
      </c>
      <c r="K3373" s="3" t="s">
        <v>65</v>
      </c>
      <c r="L3373" s="2" t="s">
        <v>33810</v>
      </c>
      <c r="M3373" s="2" t="s">
        <v>33811</v>
      </c>
      <c r="N3373" s="3" t="s">
        <v>922</v>
      </c>
      <c r="P3373" s="3" t="s">
        <v>102</v>
      </c>
      <c r="R3373" s="3" t="s">
        <v>70</v>
      </c>
      <c r="S3373" s="4">
        <v>1</v>
      </c>
      <c r="T3373" s="4">
        <v>1</v>
      </c>
      <c r="U3373" s="5" t="s">
        <v>5738</v>
      </c>
      <c r="V3373" s="5" t="s">
        <v>5738</v>
      </c>
      <c r="W3373" s="5" t="s">
        <v>72</v>
      </c>
      <c r="X3373" s="5" t="s">
        <v>72</v>
      </c>
      <c r="Y3373" s="4">
        <v>280</v>
      </c>
      <c r="Z3373" s="4">
        <v>12</v>
      </c>
      <c r="AA3373" s="4">
        <v>14</v>
      </c>
      <c r="AB3373" s="4">
        <v>1</v>
      </c>
      <c r="AC3373" s="4">
        <v>3</v>
      </c>
      <c r="AD3373" s="4">
        <v>85</v>
      </c>
      <c r="AE3373" s="4">
        <v>87</v>
      </c>
      <c r="AF3373" s="4">
        <v>0</v>
      </c>
      <c r="AG3373" s="4">
        <v>2</v>
      </c>
      <c r="AH3373" s="4">
        <v>79</v>
      </c>
      <c r="AI3373" s="4">
        <v>79</v>
      </c>
      <c r="AJ3373" s="4">
        <v>9</v>
      </c>
      <c r="AK3373" s="4">
        <v>11</v>
      </c>
      <c r="AL3373" s="4">
        <v>44</v>
      </c>
      <c r="AM3373" s="4">
        <v>44</v>
      </c>
      <c r="AN3373" s="4">
        <v>0</v>
      </c>
      <c r="AO3373" s="4">
        <v>0</v>
      </c>
      <c r="AP3373" s="4">
        <v>9</v>
      </c>
      <c r="AQ3373" s="4">
        <v>10</v>
      </c>
      <c r="AR3373" s="3" t="s">
        <v>64</v>
      </c>
      <c r="AS3373" s="3" t="s">
        <v>64</v>
      </c>
      <c r="AT3373" s="3" t="s">
        <v>128</v>
      </c>
      <c r="AU3373" s="6" t="str">
        <f>HYPERLINK("http://catalog.hathitrust.org/Record/001164681","HathiTrust Record")</f>
        <v>HathiTrust Record</v>
      </c>
      <c r="AV3373" s="6" t="str">
        <f>HYPERLINK("http://mcgill.on.worldcat.org/oclc/297579","Catalog Record")</f>
        <v>Catalog Record</v>
      </c>
      <c r="AW3373" s="6" t="str">
        <f>HYPERLINK("http://www.worldcat.org/oclc/297579","WorldCat Record")</f>
        <v>WorldCat Record</v>
      </c>
      <c r="AX3373" s="3" t="s">
        <v>33812</v>
      </c>
      <c r="AY3373" s="3" t="s">
        <v>33813</v>
      </c>
      <c r="AZ3373" s="3" t="s">
        <v>33814</v>
      </c>
      <c r="BA3373" s="3" t="s">
        <v>33814</v>
      </c>
      <c r="BB3373" s="3" t="s">
        <v>33815</v>
      </c>
      <c r="BC3373" s="3" t="s">
        <v>77</v>
      </c>
      <c r="BD3373" s="3" t="s">
        <v>78</v>
      </c>
      <c r="BE3373" s="3" t="s">
        <v>33816</v>
      </c>
      <c r="BF3373" s="3" t="s">
        <v>33815</v>
      </c>
      <c r="BG3373" s="3" t="s">
        <v>33817</v>
      </c>
      <c r="BH3373">
        <f t="shared" si="79"/>
        <v>0</v>
      </c>
    </row>
    <row r="3374" spans="1:60" ht="58" x14ac:dyDescent="0.35">
      <c r="A3374" s="2" t="s">
        <v>59</v>
      </c>
      <c r="B3374" s="2" t="s">
        <v>60</v>
      </c>
      <c r="C3374" s="2" t="s">
        <v>33818</v>
      </c>
      <c r="D3374" s="2" t="s">
        <v>33819</v>
      </c>
      <c r="E3374" s="2" t="s">
        <v>33820</v>
      </c>
      <c r="G3374" s="3" t="s">
        <v>64</v>
      </c>
      <c r="I3374" s="3" t="s">
        <v>64</v>
      </c>
      <c r="J3374" s="3" t="s">
        <v>64</v>
      </c>
      <c r="K3374" s="3" t="s">
        <v>65</v>
      </c>
      <c r="L3374" s="2" t="s">
        <v>33821</v>
      </c>
      <c r="M3374" s="2" t="s">
        <v>8389</v>
      </c>
      <c r="N3374" s="3" t="s">
        <v>511</v>
      </c>
      <c r="P3374" s="3" t="s">
        <v>102</v>
      </c>
      <c r="R3374" s="3" t="s">
        <v>70</v>
      </c>
      <c r="S3374" s="4">
        <v>3</v>
      </c>
      <c r="T3374" s="4">
        <v>3</v>
      </c>
      <c r="U3374" s="5" t="s">
        <v>33822</v>
      </c>
      <c r="V3374" s="5" t="s">
        <v>33822</v>
      </c>
      <c r="W3374" s="5" t="s">
        <v>72</v>
      </c>
      <c r="X3374" s="5" t="s">
        <v>72</v>
      </c>
      <c r="Y3374" s="4">
        <v>206</v>
      </c>
      <c r="Z3374" s="4">
        <v>15</v>
      </c>
      <c r="AA3374" s="4">
        <v>80</v>
      </c>
      <c r="AB3374" s="4">
        <v>1</v>
      </c>
      <c r="AC3374" s="4">
        <v>17</v>
      </c>
      <c r="AD3374" s="4">
        <v>69</v>
      </c>
      <c r="AE3374" s="4">
        <v>123</v>
      </c>
      <c r="AF3374" s="4">
        <v>0</v>
      </c>
      <c r="AG3374" s="4">
        <v>8</v>
      </c>
      <c r="AH3374" s="4">
        <v>64</v>
      </c>
      <c r="AI3374" s="4">
        <v>90</v>
      </c>
      <c r="AJ3374" s="4">
        <v>8</v>
      </c>
      <c r="AK3374" s="4">
        <v>20</v>
      </c>
      <c r="AL3374" s="4">
        <v>40</v>
      </c>
      <c r="AM3374" s="4">
        <v>52</v>
      </c>
      <c r="AN3374" s="4">
        <v>5</v>
      </c>
      <c r="AO3374" s="4">
        <v>5</v>
      </c>
      <c r="AP3374" s="4">
        <v>10</v>
      </c>
      <c r="AQ3374" s="4">
        <v>40</v>
      </c>
      <c r="AR3374" s="3" t="s">
        <v>64</v>
      </c>
      <c r="AS3374" s="3" t="s">
        <v>64</v>
      </c>
      <c r="AT3374" s="3" t="s">
        <v>128</v>
      </c>
      <c r="AU3374" s="6" t="str">
        <f>HYPERLINK("http://catalog.hathitrust.org/Record/008465064","HathiTrust Record")</f>
        <v>HathiTrust Record</v>
      </c>
      <c r="AV3374" s="6" t="str">
        <f>HYPERLINK("http://mcgill.on.worldcat.org/oclc/475454160","Catalog Record")</f>
        <v>Catalog Record</v>
      </c>
      <c r="AW3374" s="6" t="str">
        <f>HYPERLINK("http://www.worldcat.org/oclc/475454160","WorldCat Record")</f>
        <v>WorldCat Record</v>
      </c>
      <c r="AX3374" s="3" t="s">
        <v>33823</v>
      </c>
      <c r="AY3374" s="3" t="s">
        <v>33824</v>
      </c>
      <c r="AZ3374" s="3" t="s">
        <v>33825</v>
      </c>
      <c r="BA3374" s="3" t="s">
        <v>33825</v>
      </c>
      <c r="BB3374" s="3" t="s">
        <v>33826</v>
      </c>
      <c r="BC3374" s="3" t="s">
        <v>77</v>
      </c>
      <c r="BD3374" s="3" t="s">
        <v>78</v>
      </c>
      <c r="BE3374" s="3" t="s">
        <v>33827</v>
      </c>
      <c r="BF3374" s="3" t="s">
        <v>33826</v>
      </c>
      <c r="BG3374" s="3" t="s">
        <v>33828</v>
      </c>
      <c r="BH3374">
        <f t="shared" si="79"/>
        <v>0</v>
      </c>
    </row>
    <row r="3375" spans="1:60" ht="58" x14ac:dyDescent="0.35">
      <c r="A3375" s="2" t="s">
        <v>59</v>
      </c>
      <c r="B3375" s="2" t="s">
        <v>60</v>
      </c>
      <c r="C3375" s="2" t="s">
        <v>33829</v>
      </c>
      <c r="D3375" s="2" t="s">
        <v>33830</v>
      </c>
      <c r="E3375" s="2" t="s">
        <v>33831</v>
      </c>
      <c r="G3375" s="3" t="s">
        <v>64</v>
      </c>
      <c r="I3375" s="3" t="s">
        <v>64</v>
      </c>
      <c r="J3375" s="3" t="s">
        <v>64</v>
      </c>
      <c r="K3375" s="3" t="s">
        <v>65</v>
      </c>
      <c r="L3375" s="2" t="s">
        <v>33832</v>
      </c>
      <c r="M3375" s="2" t="s">
        <v>33833</v>
      </c>
      <c r="N3375" s="3" t="s">
        <v>3721</v>
      </c>
      <c r="P3375" s="3" t="s">
        <v>102</v>
      </c>
      <c r="R3375" s="3" t="s">
        <v>70</v>
      </c>
      <c r="S3375" s="4">
        <v>2</v>
      </c>
      <c r="T3375" s="4">
        <v>2</v>
      </c>
      <c r="U3375" s="5" t="s">
        <v>19060</v>
      </c>
      <c r="V3375" s="5" t="s">
        <v>19060</v>
      </c>
      <c r="W3375" s="5" t="s">
        <v>72</v>
      </c>
      <c r="X3375" s="5" t="s">
        <v>72</v>
      </c>
      <c r="Y3375" s="4">
        <v>113</v>
      </c>
      <c r="Z3375" s="4">
        <v>8</v>
      </c>
      <c r="AA3375" s="4">
        <v>9</v>
      </c>
      <c r="AB3375" s="4">
        <v>1</v>
      </c>
      <c r="AC3375" s="4">
        <v>2</v>
      </c>
      <c r="AD3375" s="4">
        <v>36</v>
      </c>
      <c r="AE3375" s="4">
        <v>37</v>
      </c>
      <c r="AF3375" s="4">
        <v>0</v>
      </c>
      <c r="AG3375" s="4">
        <v>1</v>
      </c>
      <c r="AH3375" s="4">
        <v>33</v>
      </c>
      <c r="AI3375" s="4">
        <v>33</v>
      </c>
      <c r="AJ3375" s="4">
        <v>6</v>
      </c>
      <c r="AK3375" s="4">
        <v>7</v>
      </c>
      <c r="AL3375" s="4">
        <v>24</v>
      </c>
      <c r="AM3375" s="4">
        <v>24</v>
      </c>
      <c r="AN3375" s="4">
        <v>0</v>
      </c>
      <c r="AO3375" s="4">
        <v>0</v>
      </c>
      <c r="AP3375" s="4">
        <v>6</v>
      </c>
      <c r="AQ3375" s="4">
        <v>6</v>
      </c>
      <c r="AR3375" s="3" t="s">
        <v>64</v>
      </c>
      <c r="AS3375" s="3" t="s">
        <v>64</v>
      </c>
      <c r="AT3375" s="3" t="s">
        <v>128</v>
      </c>
      <c r="AU3375" s="6" t="str">
        <f>HYPERLINK("http://catalog.hathitrust.org/Record/007885509","HathiTrust Record")</f>
        <v>HathiTrust Record</v>
      </c>
      <c r="AV3375" s="6" t="str">
        <f>HYPERLINK("http://mcgill.on.worldcat.org/oclc/5196423","Catalog Record")</f>
        <v>Catalog Record</v>
      </c>
      <c r="AW3375" s="6" t="str">
        <f>HYPERLINK("http://www.worldcat.org/oclc/5196423","WorldCat Record")</f>
        <v>WorldCat Record</v>
      </c>
      <c r="AX3375" s="3" t="s">
        <v>33834</v>
      </c>
      <c r="AY3375" s="3" t="s">
        <v>33835</v>
      </c>
      <c r="AZ3375" s="3" t="s">
        <v>33836</v>
      </c>
      <c r="BA3375" s="3" t="s">
        <v>33836</v>
      </c>
      <c r="BB3375" s="3" t="s">
        <v>33837</v>
      </c>
      <c r="BC3375" s="3" t="s">
        <v>77</v>
      </c>
      <c r="BD3375" s="3" t="s">
        <v>78</v>
      </c>
      <c r="BF3375" s="3" t="s">
        <v>33837</v>
      </c>
      <c r="BG3375" s="3" t="s">
        <v>33838</v>
      </c>
      <c r="BH3375">
        <f t="shared" si="79"/>
        <v>0</v>
      </c>
    </row>
    <row r="3376" spans="1:60" ht="58" x14ac:dyDescent="0.35">
      <c r="A3376" s="2" t="s">
        <v>59</v>
      </c>
      <c r="B3376" s="2" t="s">
        <v>60</v>
      </c>
      <c r="C3376" s="2" t="s">
        <v>33839</v>
      </c>
      <c r="D3376" s="2" t="s">
        <v>33840</v>
      </c>
      <c r="E3376" s="2" t="s">
        <v>33841</v>
      </c>
      <c r="G3376" s="3" t="s">
        <v>64</v>
      </c>
      <c r="I3376" s="3" t="s">
        <v>64</v>
      </c>
      <c r="J3376" s="3" t="s">
        <v>64</v>
      </c>
      <c r="K3376" s="3" t="s">
        <v>65</v>
      </c>
      <c r="L3376" s="2" t="s">
        <v>33842</v>
      </c>
      <c r="M3376" s="2" t="s">
        <v>33843</v>
      </c>
      <c r="N3376" s="3" t="s">
        <v>67</v>
      </c>
      <c r="P3376" s="3" t="s">
        <v>102</v>
      </c>
      <c r="R3376" s="3" t="s">
        <v>70</v>
      </c>
      <c r="S3376" s="4">
        <v>0</v>
      </c>
      <c r="T3376" s="4">
        <v>0</v>
      </c>
      <c r="W3376" s="5" t="s">
        <v>72</v>
      </c>
      <c r="X3376" s="5" t="s">
        <v>72</v>
      </c>
      <c r="Y3376" s="4">
        <v>37</v>
      </c>
      <c r="Z3376" s="4">
        <v>3</v>
      </c>
      <c r="AA3376" s="4">
        <v>3</v>
      </c>
      <c r="AB3376" s="4">
        <v>1</v>
      </c>
      <c r="AC3376" s="4">
        <v>1</v>
      </c>
      <c r="AD3376" s="4">
        <v>19</v>
      </c>
      <c r="AE3376" s="4">
        <v>19</v>
      </c>
      <c r="AF3376" s="4">
        <v>0</v>
      </c>
      <c r="AG3376" s="4">
        <v>0</v>
      </c>
      <c r="AH3376" s="4">
        <v>17</v>
      </c>
      <c r="AI3376" s="4">
        <v>17</v>
      </c>
      <c r="AJ3376" s="4">
        <v>1</v>
      </c>
      <c r="AK3376" s="4">
        <v>1</v>
      </c>
      <c r="AL3376" s="4">
        <v>14</v>
      </c>
      <c r="AM3376" s="4">
        <v>14</v>
      </c>
      <c r="AN3376" s="4">
        <v>0</v>
      </c>
      <c r="AO3376" s="4">
        <v>0</v>
      </c>
      <c r="AP3376" s="4">
        <v>1</v>
      </c>
      <c r="AQ3376" s="4">
        <v>1</v>
      </c>
      <c r="AR3376" s="3" t="s">
        <v>64</v>
      </c>
      <c r="AS3376" s="3" t="s">
        <v>64</v>
      </c>
      <c r="AT3376" s="3" t="s">
        <v>64</v>
      </c>
      <c r="AV3376" s="6" t="str">
        <f>HYPERLINK("http://mcgill.on.worldcat.org/oclc/885162640","Catalog Record")</f>
        <v>Catalog Record</v>
      </c>
      <c r="AW3376" s="6" t="str">
        <f>HYPERLINK("http://www.worldcat.org/oclc/885162640","WorldCat Record")</f>
        <v>WorldCat Record</v>
      </c>
      <c r="AX3376" s="3" t="s">
        <v>33844</v>
      </c>
      <c r="AY3376" s="3" t="s">
        <v>33845</v>
      </c>
      <c r="AZ3376" s="3" t="s">
        <v>33846</v>
      </c>
      <c r="BA3376" s="3" t="s">
        <v>33846</v>
      </c>
      <c r="BB3376" s="3" t="s">
        <v>33847</v>
      </c>
      <c r="BC3376" s="3" t="s">
        <v>77</v>
      </c>
      <c r="BD3376" s="3" t="s">
        <v>78</v>
      </c>
      <c r="BF3376" s="3" t="s">
        <v>33847</v>
      </c>
      <c r="BG3376" s="3" t="s">
        <v>33848</v>
      </c>
      <c r="BH3376">
        <f t="shared" si="79"/>
        <v>0</v>
      </c>
    </row>
    <row r="3377" spans="1:60" ht="58" x14ac:dyDescent="0.35">
      <c r="A3377" s="2" t="s">
        <v>59</v>
      </c>
      <c r="B3377" s="2" t="s">
        <v>60</v>
      </c>
      <c r="C3377" s="2" t="s">
        <v>33849</v>
      </c>
      <c r="D3377" s="2" t="s">
        <v>33850</v>
      </c>
      <c r="E3377" s="2" t="s">
        <v>33851</v>
      </c>
      <c r="G3377" s="3" t="s">
        <v>64</v>
      </c>
      <c r="I3377" s="3" t="s">
        <v>64</v>
      </c>
      <c r="J3377" s="3" t="s">
        <v>64</v>
      </c>
      <c r="K3377" s="3" t="s">
        <v>183</v>
      </c>
      <c r="L3377" s="2" t="s">
        <v>33852</v>
      </c>
      <c r="M3377" s="2" t="s">
        <v>33853</v>
      </c>
      <c r="N3377" s="3" t="s">
        <v>898</v>
      </c>
      <c r="P3377" s="3" t="s">
        <v>102</v>
      </c>
      <c r="R3377" s="3" t="s">
        <v>70</v>
      </c>
      <c r="S3377" s="4">
        <v>4</v>
      </c>
      <c r="T3377" s="4">
        <v>4</v>
      </c>
      <c r="U3377" s="5" t="s">
        <v>1628</v>
      </c>
      <c r="V3377" s="5" t="s">
        <v>1628</v>
      </c>
      <c r="W3377" s="5" t="s">
        <v>72</v>
      </c>
      <c r="X3377" s="5" t="s">
        <v>72</v>
      </c>
      <c r="Y3377" s="4">
        <v>11</v>
      </c>
      <c r="Z3377" s="4">
        <v>1</v>
      </c>
      <c r="AA3377" s="4">
        <v>1</v>
      </c>
      <c r="AB3377" s="4">
        <v>1</v>
      </c>
      <c r="AC3377" s="4">
        <v>1</v>
      </c>
      <c r="AD3377" s="4">
        <v>6</v>
      </c>
      <c r="AE3377" s="4">
        <v>8</v>
      </c>
      <c r="AF3377" s="4">
        <v>0</v>
      </c>
      <c r="AG3377" s="4">
        <v>0</v>
      </c>
      <c r="AH3377" s="4">
        <v>6</v>
      </c>
      <c r="AI3377" s="4">
        <v>8</v>
      </c>
      <c r="AJ3377" s="4">
        <v>0</v>
      </c>
      <c r="AK3377" s="4">
        <v>0</v>
      </c>
      <c r="AL3377" s="4">
        <v>5</v>
      </c>
      <c r="AM3377" s="4">
        <v>5</v>
      </c>
      <c r="AN3377" s="4">
        <v>0</v>
      </c>
      <c r="AO3377" s="4">
        <v>0</v>
      </c>
      <c r="AP3377" s="4">
        <v>0</v>
      </c>
      <c r="AQ3377" s="4">
        <v>0</v>
      </c>
      <c r="AR3377" s="3" t="s">
        <v>64</v>
      </c>
      <c r="AS3377" s="3" t="s">
        <v>128</v>
      </c>
      <c r="AT3377" s="3" t="s">
        <v>64</v>
      </c>
      <c r="AU3377" s="6" t="str">
        <f>HYPERLINK("http://catalog.hathitrust.org/Record/002439019","HathiTrust Record")</f>
        <v>HathiTrust Record</v>
      </c>
      <c r="AV3377" s="6" t="str">
        <f>HYPERLINK("http://mcgill.on.worldcat.org/oclc/6550775","Catalog Record")</f>
        <v>Catalog Record</v>
      </c>
      <c r="AW3377" s="6" t="str">
        <f>HYPERLINK("http://www.worldcat.org/oclc/6550775","WorldCat Record")</f>
        <v>WorldCat Record</v>
      </c>
      <c r="AX3377" s="3" t="s">
        <v>33854</v>
      </c>
      <c r="AY3377" s="3" t="s">
        <v>33855</v>
      </c>
      <c r="AZ3377" s="3" t="s">
        <v>33856</v>
      </c>
      <c r="BA3377" s="3" t="s">
        <v>33856</v>
      </c>
      <c r="BB3377" s="3" t="s">
        <v>33857</v>
      </c>
      <c r="BC3377" s="3" t="s">
        <v>77</v>
      </c>
      <c r="BD3377" s="3" t="s">
        <v>78</v>
      </c>
      <c r="BF3377" s="3" t="s">
        <v>33857</v>
      </c>
      <c r="BG3377" s="3" t="s">
        <v>33858</v>
      </c>
      <c r="BH3377">
        <f t="shared" si="79"/>
        <v>0</v>
      </c>
    </row>
    <row r="3378" spans="1:60" ht="72.5" x14ac:dyDescent="0.35">
      <c r="A3378" s="2" t="s">
        <v>59</v>
      </c>
      <c r="B3378" s="2" t="s">
        <v>60</v>
      </c>
      <c r="C3378" s="2" t="s">
        <v>33859</v>
      </c>
      <c r="D3378" s="2" t="s">
        <v>33860</v>
      </c>
      <c r="E3378" s="2" t="s">
        <v>33861</v>
      </c>
      <c r="G3378" s="3" t="s">
        <v>64</v>
      </c>
      <c r="I3378" s="3" t="s">
        <v>64</v>
      </c>
      <c r="J3378" s="3" t="s">
        <v>64</v>
      </c>
      <c r="K3378" s="3" t="s">
        <v>65</v>
      </c>
      <c r="L3378" s="2" t="s">
        <v>33862</v>
      </c>
      <c r="M3378" s="2" t="s">
        <v>33863</v>
      </c>
      <c r="N3378" s="3" t="s">
        <v>190</v>
      </c>
      <c r="O3378" s="2" t="s">
        <v>13831</v>
      </c>
      <c r="P3378" s="3" t="s">
        <v>102</v>
      </c>
      <c r="Q3378" s="2" t="s">
        <v>33864</v>
      </c>
      <c r="R3378" s="3" t="s">
        <v>70</v>
      </c>
      <c r="S3378" s="4">
        <v>13</v>
      </c>
      <c r="T3378" s="4">
        <v>13</v>
      </c>
      <c r="U3378" s="5" t="s">
        <v>8992</v>
      </c>
      <c r="V3378" s="5" t="s">
        <v>8992</v>
      </c>
      <c r="W3378" s="5" t="s">
        <v>72</v>
      </c>
      <c r="X3378" s="5" t="s">
        <v>72</v>
      </c>
      <c r="Y3378" s="4">
        <v>2455</v>
      </c>
      <c r="Z3378" s="4">
        <v>31</v>
      </c>
      <c r="AA3378" s="4">
        <v>42</v>
      </c>
      <c r="AB3378" s="4">
        <v>3</v>
      </c>
      <c r="AC3378" s="4">
        <v>8</v>
      </c>
      <c r="AD3378" s="4">
        <v>97</v>
      </c>
      <c r="AE3378" s="4">
        <v>100</v>
      </c>
      <c r="AF3378" s="4">
        <v>2</v>
      </c>
      <c r="AG3378" s="4">
        <v>3</v>
      </c>
      <c r="AH3378" s="4">
        <v>86</v>
      </c>
      <c r="AI3378" s="4">
        <v>87</v>
      </c>
      <c r="AJ3378" s="4">
        <v>9</v>
      </c>
      <c r="AK3378" s="4">
        <v>11</v>
      </c>
      <c r="AL3378" s="4">
        <v>51</v>
      </c>
      <c r="AM3378" s="4">
        <v>51</v>
      </c>
      <c r="AN3378" s="4">
        <v>0</v>
      </c>
      <c r="AO3378" s="4">
        <v>0</v>
      </c>
      <c r="AP3378" s="4">
        <v>14</v>
      </c>
      <c r="AQ3378" s="4">
        <v>16</v>
      </c>
      <c r="AR3378" s="3" t="s">
        <v>64</v>
      </c>
      <c r="AS3378" s="3" t="s">
        <v>64</v>
      </c>
      <c r="AT3378" s="3" t="s">
        <v>64</v>
      </c>
      <c r="AV3378" s="6" t="str">
        <f>HYPERLINK("http://mcgill.on.worldcat.org/oclc/1029886122","Catalog Record")</f>
        <v>Catalog Record</v>
      </c>
      <c r="AW3378" s="6" t="str">
        <f>HYPERLINK("http://www.worldcat.org/oclc/1029886122","WorldCat Record")</f>
        <v>WorldCat Record</v>
      </c>
      <c r="AX3378" s="3" t="s">
        <v>33865</v>
      </c>
      <c r="AY3378" s="3" t="s">
        <v>33866</v>
      </c>
      <c r="AZ3378" s="3" t="s">
        <v>33867</v>
      </c>
      <c r="BA3378" s="3" t="s">
        <v>33867</v>
      </c>
      <c r="BB3378" s="3" t="s">
        <v>33868</v>
      </c>
      <c r="BC3378" s="3" t="s">
        <v>77</v>
      </c>
      <c r="BD3378" s="3" t="s">
        <v>165</v>
      </c>
      <c r="BE3378" s="3" t="s">
        <v>33869</v>
      </c>
      <c r="BF3378" s="3" t="s">
        <v>33868</v>
      </c>
      <c r="BG3378" s="3" t="s">
        <v>33870</v>
      </c>
      <c r="BH3378">
        <f t="shared" si="79"/>
        <v>0</v>
      </c>
    </row>
    <row r="3379" spans="1:60" ht="72.5" x14ac:dyDescent="0.35">
      <c r="A3379" s="2" t="s">
        <v>1932</v>
      </c>
      <c r="B3379" s="2" t="s">
        <v>7461</v>
      </c>
      <c r="C3379" s="2" t="s">
        <v>33871</v>
      </c>
      <c r="D3379" s="2" t="s">
        <v>33872</v>
      </c>
      <c r="E3379" s="2" t="s">
        <v>33873</v>
      </c>
      <c r="G3379" s="3" t="s">
        <v>64</v>
      </c>
      <c r="I3379" s="3" t="s">
        <v>128</v>
      </c>
      <c r="J3379" s="3" t="s">
        <v>64</v>
      </c>
      <c r="K3379" s="3" t="s">
        <v>65</v>
      </c>
      <c r="L3379" s="2" t="s">
        <v>33874</v>
      </c>
      <c r="M3379" s="2" t="s">
        <v>33875</v>
      </c>
      <c r="N3379" s="3" t="s">
        <v>1047</v>
      </c>
      <c r="P3379" s="3" t="s">
        <v>102</v>
      </c>
      <c r="Q3379" s="2" t="s">
        <v>33876</v>
      </c>
      <c r="R3379" s="3" t="s">
        <v>70</v>
      </c>
      <c r="S3379" s="4">
        <v>0</v>
      </c>
      <c r="T3379" s="4">
        <v>3</v>
      </c>
      <c r="V3379" s="5" t="s">
        <v>15675</v>
      </c>
      <c r="W3379" s="5" t="s">
        <v>72</v>
      </c>
      <c r="X3379" s="5" t="s">
        <v>72</v>
      </c>
      <c r="Y3379" s="4">
        <v>487</v>
      </c>
      <c r="Z3379" s="4">
        <v>18</v>
      </c>
      <c r="AA3379" s="4">
        <v>21</v>
      </c>
      <c r="AB3379" s="4">
        <v>3</v>
      </c>
      <c r="AC3379" s="4">
        <v>5</v>
      </c>
      <c r="AD3379" s="4">
        <v>106</v>
      </c>
      <c r="AE3379" s="4">
        <v>109</v>
      </c>
      <c r="AF3379" s="4">
        <v>0</v>
      </c>
      <c r="AG3379" s="4">
        <v>2</v>
      </c>
      <c r="AH3379" s="4">
        <v>98</v>
      </c>
      <c r="AI3379" s="4">
        <v>98</v>
      </c>
      <c r="AJ3379" s="4">
        <v>12</v>
      </c>
      <c r="AK3379" s="4">
        <v>14</v>
      </c>
      <c r="AL3379" s="4">
        <v>50</v>
      </c>
      <c r="AM3379" s="4">
        <v>50</v>
      </c>
      <c r="AN3379" s="4">
        <v>0</v>
      </c>
      <c r="AO3379" s="4">
        <v>0</v>
      </c>
      <c r="AP3379" s="4">
        <v>11</v>
      </c>
      <c r="AQ3379" s="4">
        <v>13</v>
      </c>
      <c r="AR3379" s="3" t="s">
        <v>64</v>
      </c>
      <c r="AS3379" s="3" t="s">
        <v>128</v>
      </c>
      <c r="AT3379" s="3" t="s">
        <v>64</v>
      </c>
      <c r="AU3379" s="6" t="str">
        <f>HYPERLINK("http://catalog.hathitrust.org/Record/000233096","HathiTrust Record")</f>
        <v>HathiTrust Record</v>
      </c>
      <c r="AV3379" s="6" t="str">
        <f>HYPERLINK("http://mcgill.on.worldcat.org/oclc/8890031","Catalog Record")</f>
        <v>Catalog Record</v>
      </c>
      <c r="AW3379" s="6" t="str">
        <f>HYPERLINK("http://www.worldcat.org/oclc/8890031","WorldCat Record")</f>
        <v>WorldCat Record</v>
      </c>
      <c r="AX3379" s="3" t="s">
        <v>33877</v>
      </c>
      <c r="AY3379" s="3" t="s">
        <v>33878</v>
      </c>
      <c r="AZ3379" s="3" t="s">
        <v>33879</v>
      </c>
      <c r="BA3379" s="3" t="s">
        <v>33879</v>
      </c>
      <c r="BB3379" s="3" t="s">
        <v>33880</v>
      </c>
      <c r="BC3379" s="3" t="s">
        <v>77</v>
      </c>
      <c r="BD3379" s="3" t="s">
        <v>78</v>
      </c>
      <c r="BF3379" s="3" t="s">
        <v>33880</v>
      </c>
      <c r="BG3379" s="3" t="s">
        <v>33881</v>
      </c>
      <c r="BH3379">
        <f t="shared" si="79"/>
        <v>0</v>
      </c>
    </row>
    <row r="3380" spans="1:60" ht="58" x14ac:dyDescent="0.35">
      <c r="A3380" s="2" t="s">
        <v>59</v>
      </c>
      <c r="B3380" s="2" t="s">
        <v>60</v>
      </c>
      <c r="C3380" s="2" t="s">
        <v>33882</v>
      </c>
      <c r="D3380" s="2" t="s">
        <v>33883</v>
      </c>
      <c r="E3380" s="2" t="s">
        <v>33873</v>
      </c>
      <c r="G3380" s="3" t="s">
        <v>64</v>
      </c>
      <c r="I3380" s="3" t="s">
        <v>128</v>
      </c>
      <c r="J3380" s="3" t="s">
        <v>64</v>
      </c>
      <c r="K3380" s="3" t="s">
        <v>65</v>
      </c>
      <c r="L3380" s="2" t="s">
        <v>33874</v>
      </c>
      <c r="M3380" s="2" t="s">
        <v>33875</v>
      </c>
      <c r="N3380" s="3" t="s">
        <v>1047</v>
      </c>
      <c r="P3380" s="3" t="s">
        <v>102</v>
      </c>
      <c r="Q3380" s="2" t="s">
        <v>33876</v>
      </c>
      <c r="R3380" s="3" t="s">
        <v>70</v>
      </c>
      <c r="S3380" s="4">
        <v>0</v>
      </c>
      <c r="T3380" s="4">
        <v>3</v>
      </c>
      <c r="V3380" s="5" t="s">
        <v>15675</v>
      </c>
      <c r="W3380" s="5" t="s">
        <v>72</v>
      </c>
      <c r="X3380" s="5" t="s">
        <v>72</v>
      </c>
      <c r="Y3380" s="4">
        <v>487</v>
      </c>
      <c r="Z3380" s="4">
        <v>18</v>
      </c>
      <c r="AA3380" s="4">
        <v>21</v>
      </c>
      <c r="AB3380" s="4">
        <v>3</v>
      </c>
      <c r="AC3380" s="4">
        <v>5</v>
      </c>
      <c r="AD3380" s="4">
        <v>106</v>
      </c>
      <c r="AE3380" s="4">
        <v>109</v>
      </c>
      <c r="AF3380" s="4">
        <v>0</v>
      </c>
      <c r="AG3380" s="4">
        <v>2</v>
      </c>
      <c r="AH3380" s="4">
        <v>98</v>
      </c>
      <c r="AI3380" s="4">
        <v>98</v>
      </c>
      <c r="AJ3380" s="4">
        <v>12</v>
      </c>
      <c r="AK3380" s="4">
        <v>14</v>
      </c>
      <c r="AL3380" s="4">
        <v>50</v>
      </c>
      <c r="AM3380" s="4">
        <v>50</v>
      </c>
      <c r="AN3380" s="4">
        <v>0</v>
      </c>
      <c r="AO3380" s="4">
        <v>0</v>
      </c>
      <c r="AP3380" s="4">
        <v>11</v>
      </c>
      <c r="AQ3380" s="4">
        <v>13</v>
      </c>
      <c r="AR3380" s="3" t="s">
        <v>64</v>
      </c>
      <c r="AS3380" s="3" t="s">
        <v>128</v>
      </c>
      <c r="AT3380" s="3" t="s">
        <v>64</v>
      </c>
      <c r="AU3380" s="6" t="str">
        <f>HYPERLINK("http://catalog.hathitrust.org/Record/000233096","HathiTrust Record")</f>
        <v>HathiTrust Record</v>
      </c>
      <c r="AV3380" s="6" t="str">
        <f>HYPERLINK("http://mcgill.on.worldcat.org/oclc/8890031","Catalog Record")</f>
        <v>Catalog Record</v>
      </c>
      <c r="AW3380" s="6" t="str">
        <f>HYPERLINK("http://www.worldcat.org/oclc/8890031","WorldCat Record")</f>
        <v>WorldCat Record</v>
      </c>
      <c r="AX3380" s="3" t="s">
        <v>33877</v>
      </c>
      <c r="AY3380" s="3" t="s">
        <v>33878</v>
      </c>
      <c r="AZ3380" s="3" t="s">
        <v>33879</v>
      </c>
      <c r="BA3380" s="3" t="s">
        <v>33879</v>
      </c>
      <c r="BB3380" s="3" t="s">
        <v>33884</v>
      </c>
      <c r="BC3380" s="3" t="s">
        <v>77</v>
      </c>
      <c r="BD3380" s="3" t="s">
        <v>78</v>
      </c>
      <c r="BF3380" s="3" t="s">
        <v>33884</v>
      </c>
      <c r="BG3380" s="3" t="s">
        <v>33885</v>
      </c>
      <c r="BH3380">
        <f t="shared" si="79"/>
        <v>0</v>
      </c>
    </row>
    <row r="3381" spans="1:60" ht="58" x14ac:dyDescent="0.35">
      <c r="A3381" s="2" t="s">
        <v>59</v>
      </c>
      <c r="B3381" s="2" t="s">
        <v>60</v>
      </c>
      <c r="C3381" s="2" t="s">
        <v>33886</v>
      </c>
      <c r="D3381" s="2" t="s">
        <v>33887</v>
      </c>
      <c r="E3381" s="2" t="s">
        <v>33888</v>
      </c>
      <c r="G3381" s="3" t="s">
        <v>64</v>
      </c>
      <c r="I3381" s="3" t="s">
        <v>64</v>
      </c>
      <c r="J3381" s="3" t="s">
        <v>64</v>
      </c>
      <c r="K3381" s="3" t="s">
        <v>65</v>
      </c>
      <c r="L3381" s="2" t="s">
        <v>33889</v>
      </c>
      <c r="M3381" s="2" t="s">
        <v>33890</v>
      </c>
      <c r="N3381" s="3" t="s">
        <v>378</v>
      </c>
      <c r="O3381" s="2" t="s">
        <v>2149</v>
      </c>
      <c r="P3381" s="3" t="s">
        <v>102</v>
      </c>
      <c r="Q3381" s="2" t="s">
        <v>33891</v>
      </c>
      <c r="R3381" s="3" t="s">
        <v>70</v>
      </c>
      <c r="S3381" s="4">
        <v>9</v>
      </c>
      <c r="T3381" s="4">
        <v>9</v>
      </c>
      <c r="U3381" s="5" t="s">
        <v>6902</v>
      </c>
      <c r="V3381" s="5" t="s">
        <v>6902</v>
      </c>
      <c r="W3381" s="5" t="s">
        <v>72</v>
      </c>
      <c r="X3381" s="5" t="s">
        <v>72</v>
      </c>
      <c r="Y3381" s="4">
        <v>533</v>
      </c>
      <c r="Z3381" s="4">
        <v>19</v>
      </c>
      <c r="AA3381" s="4">
        <v>21</v>
      </c>
      <c r="AB3381" s="4">
        <v>4</v>
      </c>
      <c r="AC3381" s="4">
        <v>6</v>
      </c>
      <c r="AD3381" s="4">
        <v>97</v>
      </c>
      <c r="AE3381" s="4">
        <v>99</v>
      </c>
      <c r="AF3381" s="4">
        <v>1</v>
      </c>
      <c r="AG3381" s="4">
        <v>3</v>
      </c>
      <c r="AH3381" s="4">
        <v>92</v>
      </c>
      <c r="AI3381" s="4">
        <v>93</v>
      </c>
      <c r="AJ3381" s="4">
        <v>9</v>
      </c>
      <c r="AK3381" s="4">
        <v>11</v>
      </c>
      <c r="AL3381" s="4">
        <v>50</v>
      </c>
      <c r="AM3381" s="4">
        <v>50</v>
      </c>
      <c r="AN3381" s="4">
        <v>0</v>
      </c>
      <c r="AO3381" s="4">
        <v>0</v>
      </c>
      <c r="AP3381" s="4">
        <v>9</v>
      </c>
      <c r="AQ3381" s="4">
        <v>10</v>
      </c>
      <c r="AR3381" s="3" t="s">
        <v>64</v>
      </c>
      <c r="AS3381" s="3" t="s">
        <v>64</v>
      </c>
      <c r="AT3381" s="3" t="s">
        <v>64</v>
      </c>
      <c r="AV3381" s="6" t="str">
        <f>HYPERLINK("http://mcgill.on.worldcat.org/oclc/13396275","Catalog Record")</f>
        <v>Catalog Record</v>
      </c>
      <c r="AW3381" s="6" t="str">
        <f>HYPERLINK("http://www.worldcat.org/oclc/13396275","WorldCat Record")</f>
        <v>WorldCat Record</v>
      </c>
      <c r="AX3381" s="3" t="s">
        <v>33892</v>
      </c>
      <c r="AY3381" s="3" t="s">
        <v>33893</v>
      </c>
      <c r="AZ3381" s="3" t="s">
        <v>33894</v>
      </c>
      <c r="BA3381" s="3" t="s">
        <v>33894</v>
      </c>
      <c r="BB3381" s="3" t="s">
        <v>33895</v>
      </c>
      <c r="BC3381" s="3" t="s">
        <v>77</v>
      </c>
      <c r="BD3381" s="3" t="s">
        <v>78</v>
      </c>
      <c r="BE3381" s="3" t="s">
        <v>33896</v>
      </c>
      <c r="BF3381" s="3" t="s">
        <v>33895</v>
      </c>
      <c r="BG3381" s="3" t="s">
        <v>33897</v>
      </c>
      <c r="BH3381">
        <f t="shared" si="79"/>
        <v>0</v>
      </c>
    </row>
    <row r="3382" spans="1:60" ht="58" x14ac:dyDescent="0.35">
      <c r="A3382" s="2" t="s">
        <v>59</v>
      </c>
      <c r="B3382" s="2" t="s">
        <v>60</v>
      </c>
      <c r="C3382" s="2" t="s">
        <v>33898</v>
      </c>
      <c r="D3382" s="2" t="s">
        <v>33899</v>
      </c>
      <c r="E3382" s="2" t="s">
        <v>33900</v>
      </c>
      <c r="G3382" s="3" t="s">
        <v>64</v>
      </c>
      <c r="I3382" s="3" t="s">
        <v>64</v>
      </c>
      <c r="J3382" s="3" t="s">
        <v>64</v>
      </c>
      <c r="K3382" s="3" t="s">
        <v>65</v>
      </c>
      <c r="L3382" s="2" t="s">
        <v>33901</v>
      </c>
      <c r="M3382" s="2" t="s">
        <v>33902</v>
      </c>
      <c r="N3382" s="3" t="s">
        <v>253</v>
      </c>
      <c r="P3382" s="3" t="s">
        <v>102</v>
      </c>
      <c r="R3382" s="3" t="s">
        <v>70</v>
      </c>
      <c r="S3382" s="4">
        <v>1</v>
      </c>
      <c r="T3382" s="4">
        <v>1</v>
      </c>
      <c r="U3382" s="5" t="s">
        <v>33903</v>
      </c>
      <c r="V3382" s="5" t="s">
        <v>33903</v>
      </c>
      <c r="W3382" s="5" t="s">
        <v>72</v>
      </c>
      <c r="X3382" s="5" t="s">
        <v>72</v>
      </c>
      <c r="Y3382" s="4">
        <v>514</v>
      </c>
      <c r="Z3382" s="4">
        <v>30</v>
      </c>
      <c r="AA3382" s="4">
        <v>34</v>
      </c>
      <c r="AB3382" s="4">
        <v>2</v>
      </c>
      <c r="AC3382" s="4">
        <v>5</v>
      </c>
      <c r="AD3382" s="4">
        <v>48</v>
      </c>
      <c r="AE3382" s="4">
        <v>58</v>
      </c>
      <c r="AF3382" s="4">
        <v>0</v>
      </c>
      <c r="AG3382" s="4">
        <v>0</v>
      </c>
      <c r="AH3382" s="4">
        <v>43</v>
      </c>
      <c r="AI3382" s="4">
        <v>52</v>
      </c>
      <c r="AJ3382" s="4">
        <v>8</v>
      </c>
      <c r="AK3382" s="4">
        <v>8</v>
      </c>
      <c r="AL3382" s="4">
        <v>24</v>
      </c>
      <c r="AM3382" s="4">
        <v>27</v>
      </c>
      <c r="AN3382" s="4">
        <v>0</v>
      </c>
      <c r="AO3382" s="4">
        <v>0</v>
      </c>
      <c r="AP3382" s="4">
        <v>10</v>
      </c>
      <c r="AQ3382" s="4">
        <v>11</v>
      </c>
      <c r="AR3382" s="3" t="s">
        <v>64</v>
      </c>
      <c r="AS3382" s="3" t="s">
        <v>64</v>
      </c>
      <c r="AT3382" s="3" t="s">
        <v>64</v>
      </c>
      <c r="AV3382" s="6" t="str">
        <f>HYPERLINK("http://mcgill.on.worldcat.org/oclc/891854169","Catalog Record")</f>
        <v>Catalog Record</v>
      </c>
      <c r="AW3382" s="6" t="str">
        <f>HYPERLINK("http://www.worldcat.org/oclc/891854169","WorldCat Record")</f>
        <v>WorldCat Record</v>
      </c>
      <c r="AX3382" s="3" t="s">
        <v>33904</v>
      </c>
      <c r="AY3382" s="3" t="s">
        <v>33905</v>
      </c>
      <c r="AZ3382" s="3" t="s">
        <v>33906</v>
      </c>
      <c r="BA3382" s="3" t="s">
        <v>33906</v>
      </c>
      <c r="BB3382" s="3" t="s">
        <v>33907</v>
      </c>
      <c r="BC3382" s="3" t="s">
        <v>77</v>
      </c>
      <c r="BD3382" s="3" t="s">
        <v>78</v>
      </c>
      <c r="BE3382" s="3" t="s">
        <v>33908</v>
      </c>
      <c r="BF3382" s="3" t="s">
        <v>33907</v>
      </c>
      <c r="BG3382" s="3" t="s">
        <v>33909</v>
      </c>
      <c r="BH3382">
        <f t="shared" si="79"/>
        <v>0</v>
      </c>
    </row>
    <row r="3383" spans="1:60" ht="58" x14ac:dyDescent="0.35">
      <c r="A3383" s="2" t="s">
        <v>59</v>
      </c>
      <c r="B3383" s="2" t="s">
        <v>60</v>
      </c>
      <c r="C3383" s="2" t="s">
        <v>33910</v>
      </c>
      <c r="D3383" s="2" t="s">
        <v>33911</v>
      </c>
      <c r="E3383" s="2" t="s">
        <v>33912</v>
      </c>
      <c r="G3383" s="3" t="s">
        <v>64</v>
      </c>
      <c r="I3383" s="3" t="s">
        <v>64</v>
      </c>
      <c r="J3383" s="3" t="s">
        <v>64</v>
      </c>
      <c r="K3383" s="3" t="s">
        <v>65</v>
      </c>
      <c r="L3383" s="2" t="s">
        <v>33913</v>
      </c>
      <c r="N3383" s="3" t="s">
        <v>4548</v>
      </c>
      <c r="P3383" s="3" t="s">
        <v>102</v>
      </c>
      <c r="R3383" s="3" t="s">
        <v>70</v>
      </c>
      <c r="S3383" s="4">
        <v>4</v>
      </c>
      <c r="T3383" s="4">
        <v>4</v>
      </c>
      <c r="U3383" s="5" t="s">
        <v>10329</v>
      </c>
      <c r="V3383" s="5" t="s">
        <v>10329</v>
      </c>
      <c r="W3383" s="5" t="s">
        <v>72</v>
      </c>
      <c r="X3383" s="5" t="s">
        <v>72</v>
      </c>
      <c r="Y3383" s="4">
        <v>217</v>
      </c>
      <c r="Z3383" s="4">
        <v>11</v>
      </c>
      <c r="AA3383" s="4">
        <v>11</v>
      </c>
      <c r="AB3383" s="4">
        <v>1</v>
      </c>
      <c r="AC3383" s="4">
        <v>1</v>
      </c>
      <c r="AD3383" s="4">
        <v>85</v>
      </c>
      <c r="AE3383" s="4">
        <v>85</v>
      </c>
      <c r="AF3383" s="4">
        <v>0</v>
      </c>
      <c r="AG3383" s="4">
        <v>0</v>
      </c>
      <c r="AH3383" s="4">
        <v>79</v>
      </c>
      <c r="AI3383" s="4">
        <v>79</v>
      </c>
      <c r="AJ3383" s="4">
        <v>7</v>
      </c>
      <c r="AK3383" s="4">
        <v>7</v>
      </c>
      <c r="AL3383" s="4">
        <v>46</v>
      </c>
      <c r="AM3383" s="4">
        <v>46</v>
      </c>
      <c r="AN3383" s="4">
        <v>0</v>
      </c>
      <c r="AO3383" s="4">
        <v>0</v>
      </c>
      <c r="AP3383" s="4">
        <v>6</v>
      </c>
      <c r="AQ3383" s="4">
        <v>6</v>
      </c>
      <c r="AR3383" s="3" t="s">
        <v>64</v>
      </c>
      <c r="AS3383" s="3" t="s">
        <v>64</v>
      </c>
      <c r="AT3383" s="3" t="s">
        <v>64</v>
      </c>
      <c r="AU3383" s="6" t="str">
        <f>HYPERLINK("http://catalog.hathitrust.org/Record/001164846","HathiTrust Record")</f>
        <v>HathiTrust Record</v>
      </c>
      <c r="AV3383" s="6" t="str">
        <f>HYPERLINK("http://mcgill.on.worldcat.org/oclc/863699","Catalog Record")</f>
        <v>Catalog Record</v>
      </c>
      <c r="AW3383" s="6" t="str">
        <f>HYPERLINK("http://www.worldcat.org/oclc/863699","WorldCat Record")</f>
        <v>WorldCat Record</v>
      </c>
      <c r="AX3383" s="3" t="s">
        <v>33914</v>
      </c>
      <c r="AY3383" s="3" t="s">
        <v>33915</v>
      </c>
      <c r="AZ3383" s="3" t="s">
        <v>33916</v>
      </c>
      <c r="BA3383" s="3" t="s">
        <v>33916</v>
      </c>
      <c r="BB3383" s="3" t="s">
        <v>33917</v>
      </c>
      <c r="BC3383" s="3" t="s">
        <v>77</v>
      </c>
      <c r="BD3383" s="3" t="s">
        <v>78</v>
      </c>
      <c r="BF3383" s="3" t="s">
        <v>33917</v>
      </c>
      <c r="BG3383" s="3" t="s">
        <v>33918</v>
      </c>
      <c r="BH3383">
        <f t="shared" si="79"/>
        <v>0</v>
      </c>
    </row>
    <row r="3384" spans="1:60" ht="58" x14ac:dyDescent="0.35">
      <c r="A3384" s="2" t="s">
        <v>59</v>
      </c>
      <c r="B3384" s="2" t="s">
        <v>60</v>
      </c>
      <c r="C3384" s="2" t="s">
        <v>33919</v>
      </c>
      <c r="D3384" s="2" t="s">
        <v>33920</v>
      </c>
      <c r="E3384" s="2" t="s">
        <v>33921</v>
      </c>
      <c r="G3384" s="3" t="s">
        <v>64</v>
      </c>
      <c r="I3384" s="3" t="s">
        <v>64</v>
      </c>
      <c r="J3384" s="3" t="s">
        <v>64</v>
      </c>
      <c r="K3384" s="3" t="s">
        <v>65</v>
      </c>
      <c r="L3384" s="2" t="s">
        <v>33922</v>
      </c>
      <c r="M3384" s="2" t="s">
        <v>33923</v>
      </c>
      <c r="N3384" s="3" t="s">
        <v>86</v>
      </c>
      <c r="P3384" s="3" t="s">
        <v>102</v>
      </c>
      <c r="R3384" s="3" t="s">
        <v>70</v>
      </c>
      <c r="S3384" s="4">
        <v>0</v>
      </c>
      <c r="T3384" s="4">
        <v>0</v>
      </c>
      <c r="W3384" s="5" t="s">
        <v>72</v>
      </c>
      <c r="X3384" s="5" t="s">
        <v>72</v>
      </c>
      <c r="Y3384" s="4">
        <v>70</v>
      </c>
      <c r="Z3384" s="4">
        <v>3</v>
      </c>
      <c r="AA3384" s="4">
        <v>10</v>
      </c>
      <c r="AB3384" s="4">
        <v>1</v>
      </c>
      <c r="AC3384" s="4">
        <v>3</v>
      </c>
      <c r="AD3384" s="4">
        <v>23</v>
      </c>
      <c r="AE3384" s="4">
        <v>53</v>
      </c>
      <c r="AF3384" s="4">
        <v>0</v>
      </c>
      <c r="AG3384" s="4">
        <v>0</v>
      </c>
      <c r="AH3384" s="4">
        <v>23</v>
      </c>
      <c r="AI3384" s="4">
        <v>53</v>
      </c>
      <c r="AJ3384" s="4">
        <v>2</v>
      </c>
      <c r="AK3384" s="4">
        <v>3</v>
      </c>
      <c r="AL3384" s="4">
        <v>11</v>
      </c>
      <c r="AM3384" s="4">
        <v>25</v>
      </c>
      <c r="AN3384" s="4">
        <v>0</v>
      </c>
      <c r="AO3384" s="4">
        <v>0</v>
      </c>
      <c r="AP3384" s="4">
        <v>2</v>
      </c>
      <c r="AQ3384" s="4">
        <v>3</v>
      </c>
      <c r="AR3384" s="3" t="s">
        <v>64</v>
      </c>
      <c r="AS3384" s="3" t="s">
        <v>64</v>
      </c>
      <c r="AT3384" s="3" t="s">
        <v>64</v>
      </c>
      <c r="AV3384" s="6" t="str">
        <f>HYPERLINK("http://mcgill.on.worldcat.org/oclc/775898162","Catalog Record")</f>
        <v>Catalog Record</v>
      </c>
      <c r="AW3384" s="6" t="str">
        <f>HYPERLINK("http://www.worldcat.org/oclc/775898162","WorldCat Record")</f>
        <v>WorldCat Record</v>
      </c>
      <c r="AX3384" s="3" t="s">
        <v>33924</v>
      </c>
      <c r="AY3384" s="3" t="s">
        <v>33925</v>
      </c>
      <c r="AZ3384" s="3" t="s">
        <v>33926</v>
      </c>
      <c r="BA3384" s="3" t="s">
        <v>33926</v>
      </c>
      <c r="BB3384" s="3" t="s">
        <v>33927</v>
      </c>
      <c r="BC3384" s="3" t="s">
        <v>77</v>
      </c>
      <c r="BD3384" s="3" t="s">
        <v>78</v>
      </c>
      <c r="BE3384" s="3" t="s">
        <v>33928</v>
      </c>
      <c r="BF3384" s="3" t="s">
        <v>33927</v>
      </c>
      <c r="BG3384" s="3" t="s">
        <v>33929</v>
      </c>
      <c r="BH3384">
        <f t="shared" si="79"/>
        <v>0</v>
      </c>
    </row>
    <row r="3385" spans="1:60" ht="58" x14ac:dyDescent="0.35">
      <c r="A3385" s="2" t="s">
        <v>59</v>
      </c>
      <c r="B3385" s="2" t="s">
        <v>60</v>
      </c>
      <c r="C3385" s="2" t="s">
        <v>33930</v>
      </c>
      <c r="D3385" s="2" t="s">
        <v>33931</v>
      </c>
      <c r="E3385" s="2" t="s">
        <v>33932</v>
      </c>
      <c r="G3385" s="3" t="s">
        <v>64</v>
      </c>
      <c r="I3385" s="3" t="s">
        <v>64</v>
      </c>
      <c r="J3385" s="3" t="s">
        <v>64</v>
      </c>
      <c r="K3385" s="3" t="s">
        <v>65</v>
      </c>
      <c r="M3385" s="2" t="s">
        <v>33933</v>
      </c>
      <c r="N3385" s="3" t="s">
        <v>578</v>
      </c>
      <c r="P3385" s="3" t="s">
        <v>102</v>
      </c>
      <c r="R3385" s="3" t="s">
        <v>70</v>
      </c>
      <c r="S3385" s="4">
        <v>3</v>
      </c>
      <c r="T3385" s="4">
        <v>3</v>
      </c>
      <c r="U3385" s="5" t="s">
        <v>8379</v>
      </c>
      <c r="V3385" s="5" t="s">
        <v>8379</v>
      </c>
      <c r="W3385" s="5" t="s">
        <v>72</v>
      </c>
      <c r="X3385" s="5" t="s">
        <v>72</v>
      </c>
      <c r="Y3385" s="4">
        <v>1054</v>
      </c>
      <c r="Z3385" s="4">
        <v>21</v>
      </c>
      <c r="AA3385" s="4">
        <v>28</v>
      </c>
      <c r="AB3385" s="4">
        <v>3</v>
      </c>
      <c r="AC3385" s="4">
        <v>7</v>
      </c>
      <c r="AD3385" s="4">
        <v>64</v>
      </c>
      <c r="AE3385" s="4">
        <v>71</v>
      </c>
      <c r="AF3385" s="4">
        <v>1</v>
      </c>
      <c r="AG3385" s="4">
        <v>2</v>
      </c>
      <c r="AH3385" s="4">
        <v>57</v>
      </c>
      <c r="AI3385" s="4">
        <v>63</v>
      </c>
      <c r="AJ3385" s="4">
        <v>5</v>
      </c>
      <c r="AK3385" s="4">
        <v>8</v>
      </c>
      <c r="AL3385" s="4">
        <v>37</v>
      </c>
      <c r="AM3385" s="4">
        <v>39</v>
      </c>
      <c r="AN3385" s="4">
        <v>0</v>
      </c>
      <c r="AO3385" s="4">
        <v>0</v>
      </c>
      <c r="AP3385" s="4">
        <v>6</v>
      </c>
      <c r="AQ3385" s="4">
        <v>8</v>
      </c>
      <c r="AR3385" s="3" t="s">
        <v>64</v>
      </c>
      <c r="AS3385" s="3" t="s">
        <v>64</v>
      </c>
      <c r="AT3385" s="3" t="s">
        <v>64</v>
      </c>
      <c r="AV3385" s="6" t="str">
        <f>HYPERLINK("http://mcgill.on.worldcat.org/oclc/953599088","Catalog Record")</f>
        <v>Catalog Record</v>
      </c>
      <c r="AW3385" s="6" t="str">
        <f>HYPERLINK("http://www.worldcat.org/oclc/953599088","WorldCat Record")</f>
        <v>WorldCat Record</v>
      </c>
      <c r="AX3385" s="3" t="s">
        <v>33934</v>
      </c>
      <c r="AY3385" s="3" t="s">
        <v>33935</v>
      </c>
      <c r="AZ3385" s="3" t="s">
        <v>33936</v>
      </c>
      <c r="BA3385" s="3" t="s">
        <v>33936</v>
      </c>
      <c r="BB3385" s="3" t="s">
        <v>33937</v>
      </c>
      <c r="BC3385" s="3" t="s">
        <v>77</v>
      </c>
      <c r="BD3385" s="3" t="s">
        <v>78</v>
      </c>
      <c r="BE3385" s="3" t="s">
        <v>33938</v>
      </c>
      <c r="BF3385" s="3" t="s">
        <v>33937</v>
      </c>
      <c r="BG3385" s="3" t="s">
        <v>33939</v>
      </c>
      <c r="BH3385">
        <f t="shared" si="79"/>
        <v>0</v>
      </c>
    </row>
    <row r="3386" spans="1:60" ht="58" x14ac:dyDescent="0.35">
      <c r="A3386" s="2" t="s">
        <v>59</v>
      </c>
      <c r="B3386" s="2" t="s">
        <v>60</v>
      </c>
      <c r="C3386" s="2" t="s">
        <v>33940</v>
      </c>
      <c r="D3386" s="2" t="s">
        <v>33941</v>
      </c>
      <c r="E3386" s="2" t="s">
        <v>33942</v>
      </c>
      <c r="G3386" s="3" t="s">
        <v>64</v>
      </c>
      <c r="I3386" s="3" t="s">
        <v>64</v>
      </c>
      <c r="J3386" s="3" t="s">
        <v>64</v>
      </c>
      <c r="K3386" s="3" t="s">
        <v>65</v>
      </c>
      <c r="L3386" s="2" t="s">
        <v>33943</v>
      </c>
      <c r="M3386" s="2" t="s">
        <v>33944</v>
      </c>
      <c r="N3386" s="3" t="s">
        <v>578</v>
      </c>
      <c r="P3386" s="3" t="s">
        <v>102</v>
      </c>
      <c r="R3386" s="3" t="s">
        <v>70</v>
      </c>
      <c r="S3386" s="4">
        <v>0</v>
      </c>
      <c r="T3386" s="4">
        <v>0</v>
      </c>
      <c r="W3386" s="5" t="s">
        <v>72</v>
      </c>
      <c r="X3386" s="5" t="s">
        <v>72</v>
      </c>
      <c r="Y3386" s="4">
        <v>387</v>
      </c>
      <c r="Z3386" s="4">
        <v>5</v>
      </c>
      <c r="AA3386" s="4">
        <v>10</v>
      </c>
      <c r="AB3386" s="4">
        <v>2</v>
      </c>
      <c r="AC3386" s="4">
        <v>5</v>
      </c>
      <c r="AD3386" s="4">
        <v>34</v>
      </c>
      <c r="AE3386" s="4">
        <v>39</v>
      </c>
      <c r="AF3386" s="4">
        <v>0</v>
      </c>
      <c r="AG3386" s="4">
        <v>1</v>
      </c>
      <c r="AH3386" s="4">
        <v>32</v>
      </c>
      <c r="AI3386" s="4">
        <v>34</v>
      </c>
      <c r="AJ3386" s="4">
        <v>0</v>
      </c>
      <c r="AK3386" s="4">
        <v>2</v>
      </c>
      <c r="AL3386" s="4">
        <v>25</v>
      </c>
      <c r="AM3386" s="4">
        <v>25</v>
      </c>
      <c r="AN3386" s="4">
        <v>0</v>
      </c>
      <c r="AO3386" s="4">
        <v>0</v>
      </c>
      <c r="AP3386" s="4">
        <v>0</v>
      </c>
      <c r="AQ3386" s="4">
        <v>3</v>
      </c>
      <c r="AR3386" s="3" t="s">
        <v>64</v>
      </c>
      <c r="AS3386" s="3" t="s">
        <v>64</v>
      </c>
      <c r="AT3386" s="3" t="s">
        <v>64</v>
      </c>
      <c r="AV3386" s="6" t="str">
        <f>HYPERLINK("http://mcgill.on.worldcat.org/oclc/974677704","Catalog Record")</f>
        <v>Catalog Record</v>
      </c>
      <c r="AW3386" s="6" t="str">
        <f>HYPERLINK("http://www.worldcat.org/oclc/974677704","WorldCat Record")</f>
        <v>WorldCat Record</v>
      </c>
      <c r="AX3386" s="3" t="s">
        <v>33945</v>
      </c>
      <c r="AY3386" s="3" t="s">
        <v>33946</v>
      </c>
      <c r="AZ3386" s="3" t="s">
        <v>33947</v>
      </c>
      <c r="BA3386" s="3" t="s">
        <v>33947</v>
      </c>
      <c r="BB3386" s="3" t="s">
        <v>33948</v>
      </c>
      <c r="BC3386" s="3" t="s">
        <v>77</v>
      </c>
      <c r="BD3386" s="3" t="s">
        <v>78</v>
      </c>
      <c r="BE3386" s="3" t="s">
        <v>33949</v>
      </c>
      <c r="BF3386" s="3" t="s">
        <v>33948</v>
      </c>
      <c r="BG3386" s="3" t="s">
        <v>33950</v>
      </c>
      <c r="BH3386">
        <f t="shared" si="79"/>
        <v>0</v>
      </c>
    </row>
    <row r="3387" spans="1:60" ht="58" x14ac:dyDescent="0.35">
      <c r="A3387" s="2" t="s">
        <v>59</v>
      </c>
      <c r="B3387" s="2" t="s">
        <v>60</v>
      </c>
      <c r="C3387" s="2" t="s">
        <v>33951</v>
      </c>
      <c r="D3387" s="2" t="s">
        <v>33952</v>
      </c>
      <c r="E3387" s="2" t="s">
        <v>33953</v>
      </c>
      <c r="G3387" s="3" t="s">
        <v>64</v>
      </c>
      <c r="I3387" s="3" t="s">
        <v>64</v>
      </c>
      <c r="J3387" s="3" t="s">
        <v>64</v>
      </c>
      <c r="K3387" s="3" t="s">
        <v>65</v>
      </c>
      <c r="L3387" s="2" t="s">
        <v>33954</v>
      </c>
      <c r="M3387" s="2" t="s">
        <v>33955</v>
      </c>
      <c r="N3387" s="3" t="s">
        <v>1263</v>
      </c>
      <c r="P3387" s="3" t="s">
        <v>102</v>
      </c>
      <c r="R3387" s="3" t="s">
        <v>70</v>
      </c>
      <c r="S3387" s="4">
        <v>4</v>
      </c>
      <c r="T3387" s="4">
        <v>4</v>
      </c>
      <c r="U3387" s="5" t="s">
        <v>9731</v>
      </c>
      <c r="V3387" s="5" t="s">
        <v>9731</v>
      </c>
      <c r="W3387" s="5" t="s">
        <v>72</v>
      </c>
      <c r="X3387" s="5" t="s">
        <v>72</v>
      </c>
      <c r="Y3387" s="4">
        <v>362</v>
      </c>
      <c r="Z3387" s="4">
        <v>14</v>
      </c>
      <c r="AA3387" s="4">
        <v>14</v>
      </c>
      <c r="AB3387" s="4">
        <v>2</v>
      </c>
      <c r="AC3387" s="4">
        <v>2</v>
      </c>
      <c r="AD3387" s="4">
        <v>100</v>
      </c>
      <c r="AE3387" s="4">
        <v>100</v>
      </c>
      <c r="AF3387" s="4">
        <v>0</v>
      </c>
      <c r="AG3387" s="4">
        <v>0</v>
      </c>
      <c r="AH3387" s="4">
        <v>94</v>
      </c>
      <c r="AI3387" s="4">
        <v>94</v>
      </c>
      <c r="AJ3387" s="4">
        <v>8</v>
      </c>
      <c r="AK3387" s="4">
        <v>8</v>
      </c>
      <c r="AL3387" s="4">
        <v>51</v>
      </c>
      <c r="AM3387" s="4">
        <v>51</v>
      </c>
      <c r="AN3387" s="4">
        <v>0</v>
      </c>
      <c r="AO3387" s="4">
        <v>0</v>
      </c>
      <c r="AP3387" s="4">
        <v>9</v>
      </c>
      <c r="AQ3387" s="4">
        <v>9</v>
      </c>
      <c r="AR3387" s="3" t="s">
        <v>64</v>
      </c>
      <c r="AS3387" s="3" t="s">
        <v>64</v>
      </c>
      <c r="AT3387" s="3" t="s">
        <v>64</v>
      </c>
      <c r="AV3387" s="6" t="str">
        <f>HYPERLINK("http://mcgill.on.worldcat.org/oclc/26856142","Catalog Record")</f>
        <v>Catalog Record</v>
      </c>
      <c r="AW3387" s="6" t="str">
        <f>HYPERLINK("http://www.worldcat.org/oclc/26856142","WorldCat Record")</f>
        <v>WorldCat Record</v>
      </c>
      <c r="AX3387" s="3" t="s">
        <v>33956</v>
      </c>
      <c r="AY3387" s="3" t="s">
        <v>33957</v>
      </c>
      <c r="AZ3387" s="3" t="s">
        <v>33958</v>
      </c>
      <c r="BA3387" s="3" t="s">
        <v>33958</v>
      </c>
      <c r="BB3387" s="3" t="s">
        <v>33959</v>
      </c>
      <c r="BC3387" s="3" t="s">
        <v>77</v>
      </c>
      <c r="BD3387" s="3" t="s">
        <v>78</v>
      </c>
      <c r="BE3387" s="3" t="s">
        <v>33960</v>
      </c>
      <c r="BF3387" s="3" t="s">
        <v>33959</v>
      </c>
      <c r="BG3387" s="3" t="s">
        <v>33961</v>
      </c>
      <c r="BH3387">
        <f t="shared" si="79"/>
        <v>0</v>
      </c>
    </row>
    <row r="3388" spans="1:60" ht="58" x14ac:dyDescent="0.35">
      <c r="A3388" s="2" t="s">
        <v>59</v>
      </c>
      <c r="B3388" s="2" t="s">
        <v>60</v>
      </c>
      <c r="C3388" s="2" t="s">
        <v>33962</v>
      </c>
      <c r="D3388" s="2" t="s">
        <v>33963</v>
      </c>
      <c r="E3388" s="2" t="s">
        <v>33964</v>
      </c>
      <c r="G3388" s="3" t="s">
        <v>64</v>
      </c>
      <c r="I3388" s="3" t="s">
        <v>64</v>
      </c>
      <c r="J3388" s="3" t="s">
        <v>64</v>
      </c>
      <c r="K3388" s="3" t="s">
        <v>65</v>
      </c>
      <c r="M3388" s="2" t="s">
        <v>15555</v>
      </c>
      <c r="N3388" s="3" t="s">
        <v>1075</v>
      </c>
      <c r="P3388" s="3" t="s">
        <v>102</v>
      </c>
      <c r="R3388" s="3" t="s">
        <v>70</v>
      </c>
      <c r="S3388" s="4">
        <v>1</v>
      </c>
      <c r="T3388" s="4">
        <v>1</v>
      </c>
      <c r="U3388" s="5" t="s">
        <v>33965</v>
      </c>
      <c r="V3388" s="5" t="s">
        <v>33965</v>
      </c>
      <c r="W3388" s="5" t="s">
        <v>72</v>
      </c>
      <c r="X3388" s="5" t="s">
        <v>72</v>
      </c>
      <c r="Y3388" s="4">
        <v>374</v>
      </c>
      <c r="Z3388" s="4">
        <v>17</v>
      </c>
      <c r="AA3388" s="4">
        <v>21</v>
      </c>
      <c r="AB3388" s="4">
        <v>2</v>
      </c>
      <c r="AC3388" s="4">
        <v>4</v>
      </c>
      <c r="AD3388" s="4">
        <v>70</v>
      </c>
      <c r="AE3388" s="4">
        <v>81</v>
      </c>
      <c r="AF3388" s="4">
        <v>1</v>
      </c>
      <c r="AG3388" s="4">
        <v>1</v>
      </c>
      <c r="AH3388" s="4">
        <v>62</v>
      </c>
      <c r="AI3388" s="4">
        <v>71</v>
      </c>
      <c r="AJ3388" s="4">
        <v>13</v>
      </c>
      <c r="AK3388" s="4">
        <v>14</v>
      </c>
      <c r="AL3388" s="4">
        <v>29</v>
      </c>
      <c r="AM3388" s="4">
        <v>36</v>
      </c>
      <c r="AN3388" s="4">
        <v>0</v>
      </c>
      <c r="AO3388" s="4">
        <v>0</v>
      </c>
      <c r="AP3388" s="4">
        <v>15</v>
      </c>
      <c r="AQ3388" s="4">
        <v>17</v>
      </c>
      <c r="AR3388" s="3" t="s">
        <v>64</v>
      </c>
      <c r="AS3388" s="3" t="s">
        <v>64</v>
      </c>
      <c r="AT3388" s="3" t="s">
        <v>64</v>
      </c>
      <c r="AV3388" s="6" t="str">
        <f>HYPERLINK("http://mcgill.on.worldcat.org/oclc/864366349","Catalog Record")</f>
        <v>Catalog Record</v>
      </c>
      <c r="AW3388" s="6" t="str">
        <f>HYPERLINK("http://www.worldcat.org/oclc/864366349","WorldCat Record")</f>
        <v>WorldCat Record</v>
      </c>
      <c r="AX3388" s="3" t="s">
        <v>33966</v>
      </c>
      <c r="AY3388" s="3" t="s">
        <v>33967</v>
      </c>
      <c r="AZ3388" s="3" t="s">
        <v>33968</v>
      </c>
      <c r="BA3388" s="3" t="s">
        <v>33968</v>
      </c>
      <c r="BB3388" s="3" t="s">
        <v>33969</v>
      </c>
      <c r="BC3388" s="3" t="s">
        <v>77</v>
      </c>
      <c r="BD3388" s="3" t="s">
        <v>78</v>
      </c>
      <c r="BE3388" s="3" t="s">
        <v>33970</v>
      </c>
      <c r="BF3388" s="3" t="s">
        <v>33969</v>
      </c>
      <c r="BG3388" s="3" t="s">
        <v>33971</v>
      </c>
      <c r="BH3388">
        <f t="shared" si="79"/>
        <v>0</v>
      </c>
    </row>
    <row r="3389" spans="1:60" ht="72.5" x14ac:dyDescent="0.35">
      <c r="A3389" s="2" t="s">
        <v>59</v>
      </c>
      <c r="B3389" s="2" t="s">
        <v>1025</v>
      </c>
      <c r="C3389" s="2" t="s">
        <v>33972</v>
      </c>
      <c r="D3389" s="2" t="s">
        <v>33973</v>
      </c>
      <c r="E3389" s="2" t="s">
        <v>33974</v>
      </c>
      <c r="G3389" s="3" t="s">
        <v>64</v>
      </c>
      <c r="I3389" s="3" t="s">
        <v>64</v>
      </c>
      <c r="J3389" s="3" t="s">
        <v>64</v>
      </c>
      <c r="K3389" s="3" t="s">
        <v>65</v>
      </c>
      <c r="M3389" s="2" t="s">
        <v>33975</v>
      </c>
      <c r="N3389" s="3" t="s">
        <v>551</v>
      </c>
      <c r="P3389" s="3" t="s">
        <v>102</v>
      </c>
      <c r="Q3389" s="2" t="s">
        <v>33976</v>
      </c>
      <c r="R3389" s="3" t="s">
        <v>70</v>
      </c>
      <c r="S3389" s="4">
        <v>4</v>
      </c>
      <c r="T3389" s="4">
        <v>4</v>
      </c>
      <c r="U3389" s="5" t="s">
        <v>380</v>
      </c>
      <c r="V3389" s="5" t="s">
        <v>380</v>
      </c>
      <c r="W3389" s="5" t="s">
        <v>72</v>
      </c>
      <c r="X3389" s="5" t="s">
        <v>72</v>
      </c>
      <c r="Y3389" s="4">
        <v>86</v>
      </c>
      <c r="Z3389" s="4">
        <v>6</v>
      </c>
      <c r="AA3389" s="4">
        <v>6</v>
      </c>
      <c r="AB3389" s="4">
        <v>2</v>
      </c>
      <c r="AC3389" s="4">
        <v>2</v>
      </c>
      <c r="AD3389" s="4">
        <v>37</v>
      </c>
      <c r="AE3389" s="4">
        <v>37</v>
      </c>
      <c r="AF3389" s="4">
        <v>0</v>
      </c>
      <c r="AG3389" s="4">
        <v>0</v>
      </c>
      <c r="AH3389" s="4">
        <v>36</v>
      </c>
      <c r="AI3389" s="4">
        <v>36</v>
      </c>
      <c r="AJ3389" s="4">
        <v>2</v>
      </c>
      <c r="AK3389" s="4">
        <v>2</v>
      </c>
      <c r="AL3389" s="4">
        <v>29</v>
      </c>
      <c r="AM3389" s="4">
        <v>29</v>
      </c>
      <c r="AN3389" s="4">
        <v>0</v>
      </c>
      <c r="AO3389" s="4">
        <v>0</v>
      </c>
      <c r="AP3389" s="4">
        <v>2</v>
      </c>
      <c r="AQ3389" s="4">
        <v>2</v>
      </c>
      <c r="AR3389" s="3" t="s">
        <v>64</v>
      </c>
      <c r="AS3389" s="3" t="s">
        <v>64</v>
      </c>
      <c r="AT3389" s="3" t="s">
        <v>64</v>
      </c>
      <c r="AV3389" s="6" t="str">
        <f>HYPERLINK("http://mcgill.on.worldcat.org/oclc/501736533","Catalog Record")</f>
        <v>Catalog Record</v>
      </c>
      <c r="AW3389" s="6" t="str">
        <f>HYPERLINK("http://www.worldcat.org/oclc/501736533","WorldCat Record")</f>
        <v>WorldCat Record</v>
      </c>
      <c r="AX3389" s="3" t="s">
        <v>33977</v>
      </c>
      <c r="AY3389" s="3" t="s">
        <v>33978</v>
      </c>
      <c r="AZ3389" s="3" t="s">
        <v>33979</v>
      </c>
      <c r="BA3389" s="3" t="s">
        <v>33979</v>
      </c>
      <c r="BB3389" s="3" t="s">
        <v>33980</v>
      </c>
      <c r="BC3389" s="3" t="s">
        <v>77</v>
      </c>
      <c r="BD3389" s="3" t="s">
        <v>78</v>
      </c>
      <c r="BE3389" s="3" t="s">
        <v>33981</v>
      </c>
      <c r="BF3389" s="3" t="s">
        <v>33980</v>
      </c>
      <c r="BG3389" s="3" t="s">
        <v>33982</v>
      </c>
      <c r="BH3389">
        <f t="shared" si="79"/>
        <v>0</v>
      </c>
    </row>
    <row r="3390" spans="1:60" ht="58" x14ac:dyDescent="0.35">
      <c r="A3390" s="2" t="s">
        <v>6202</v>
      </c>
      <c r="B3390" s="2" t="s">
        <v>6203</v>
      </c>
      <c r="C3390" s="2" t="s">
        <v>33983</v>
      </c>
      <c r="D3390" s="2" t="s">
        <v>33984</v>
      </c>
      <c r="E3390" s="2" t="s">
        <v>33985</v>
      </c>
      <c r="G3390" s="3" t="s">
        <v>64</v>
      </c>
      <c r="I3390" s="3" t="s">
        <v>128</v>
      </c>
      <c r="J3390" s="3" t="s">
        <v>64</v>
      </c>
      <c r="K3390" s="3" t="s">
        <v>65</v>
      </c>
      <c r="L3390" s="2" t="s">
        <v>33986</v>
      </c>
      <c r="M3390" s="2" t="s">
        <v>33987</v>
      </c>
      <c r="N3390" s="3" t="s">
        <v>498</v>
      </c>
      <c r="P3390" s="3" t="s">
        <v>102</v>
      </c>
      <c r="R3390" s="3" t="s">
        <v>70</v>
      </c>
      <c r="S3390" s="4">
        <v>5</v>
      </c>
      <c r="T3390" s="4">
        <v>5</v>
      </c>
      <c r="U3390" s="5" t="s">
        <v>33988</v>
      </c>
      <c r="V3390" s="5" t="s">
        <v>33988</v>
      </c>
      <c r="W3390" s="5" t="s">
        <v>72</v>
      </c>
      <c r="X3390" s="5" t="s">
        <v>72</v>
      </c>
      <c r="Y3390" s="4">
        <v>275</v>
      </c>
      <c r="Z3390" s="4">
        <v>15</v>
      </c>
      <c r="AA3390" s="4">
        <v>16</v>
      </c>
      <c r="AB3390" s="4">
        <v>2</v>
      </c>
      <c r="AC3390" s="4">
        <v>3</v>
      </c>
      <c r="AD3390" s="4">
        <v>87</v>
      </c>
      <c r="AE3390" s="4">
        <v>87</v>
      </c>
      <c r="AF3390" s="4">
        <v>0</v>
      </c>
      <c r="AG3390" s="4">
        <v>0</v>
      </c>
      <c r="AH3390" s="4">
        <v>81</v>
      </c>
      <c r="AI3390" s="4">
        <v>81</v>
      </c>
      <c r="AJ3390" s="4">
        <v>9</v>
      </c>
      <c r="AK3390" s="4">
        <v>9</v>
      </c>
      <c r="AL3390" s="4">
        <v>51</v>
      </c>
      <c r="AM3390" s="4">
        <v>51</v>
      </c>
      <c r="AN3390" s="4">
        <v>0</v>
      </c>
      <c r="AO3390" s="4">
        <v>0</v>
      </c>
      <c r="AP3390" s="4">
        <v>8</v>
      </c>
      <c r="AQ3390" s="4">
        <v>8</v>
      </c>
      <c r="AR3390" s="3" t="s">
        <v>64</v>
      </c>
      <c r="AS3390" s="3" t="s">
        <v>64</v>
      </c>
      <c r="AT3390" s="3" t="s">
        <v>128</v>
      </c>
      <c r="AU3390" s="6" t="str">
        <f>HYPERLINK("http://catalog.hathitrust.org/Record/000022562","HathiTrust Record")</f>
        <v>HathiTrust Record</v>
      </c>
      <c r="AV3390" s="6" t="str">
        <f>HYPERLINK("http://mcgill.on.worldcat.org/oclc/1414875","Catalog Record")</f>
        <v>Catalog Record</v>
      </c>
      <c r="AW3390" s="6" t="str">
        <f>HYPERLINK("http://www.worldcat.org/oclc/1414875","WorldCat Record")</f>
        <v>WorldCat Record</v>
      </c>
      <c r="AX3390" s="3" t="s">
        <v>33989</v>
      </c>
      <c r="AY3390" s="3" t="s">
        <v>33990</v>
      </c>
      <c r="AZ3390" s="3" t="s">
        <v>33991</v>
      </c>
      <c r="BA3390" s="3" t="s">
        <v>33991</v>
      </c>
      <c r="BB3390" s="3" t="s">
        <v>33992</v>
      </c>
      <c r="BC3390" s="3" t="s">
        <v>77</v>
      </c>
      <c r="BD3390" s="3" t="s">
        <v>78</v>
      </c>
      <c r="BF3390" s="3" t="s">
        <v>33992</v>
      </c>
      <c r="BG3390" s="3" t="s">
        <v>33993</v>
      </c>
      <c r="BH3390">
        <f t="shared" si="79"/>
        <v>0</v>
      </c>
    </row>
    <row r="3391" spans="1:60" ht="58" x14ac:dyDescent="0.35">
      <c r="A3391" s="2" t="s">
        <v>59</v>
      </c>
      <c r="B3391" s="2" t="s">
        <v>6744</v>
      </c>
      <c r="C3391" s="2" t="s">
        <v>33996</v>
      </c>
      <c r="D3391" s="2" t="s">
        <v>33997</v>
      </c>
      <c r="E3391" s="2" t="s">
        <v>33998</v>
      </c>
      <c r="G3391" s="3" t="s">
        <v>64</v>
      </c>
      <c r="I3391" s="3" t="s">
        <v>128</v>
      </c>
      <c r="J3391" s="3" t="s">
        <v>128</v>
      </c>
      <c r="K3391" s="3" t="s">
        <v>65</v>
      </c>
      <c r="L3391" s="2" t="s">
        <v>33999</v>
      </c>
      <c r="M3391" s="2" t="s">
        <v>34000</v>
      </c>
      <c r="N3391" s="3" t="s">
        <v>481</v>
      </c>
      <c r="P3391" s="3" t="s">
        <v>102</v>
      </c>
      <c r="Q3391" s="2" t="s">
        <v>34001</v>
      </c>
      <c r="R3391" s="3" t="s">
        <v>70</v>
      </c>
      <c r="S3391" s="4">
        <v>0</v>
      </c>
      <c r="T3391" s="4">
        <v>5</v>
      </c>
      <c r="V3391" s="5" t="s">
        <v>269</v>
      </c>
      <c r="W3391" s="5" t="s">
        <v>72</v>
      </c>
      <c r="X3391" s="5" t="s">
        <v>72</v>
      </c>
      <c r="Y3391" s="4">
        <v>93</v>
      </c>
      <c r="Z3391" s="4">
        <v>15</v>
      </c>
      <c r="AA3391" s="4">
        <v>66</v>
      </c>
      <c r="AB3391" s="4">
        <v>1</v>
      </c>
      <c r="AC3391" s="4">
        <v>8</v>
      </c>
      <c r="AD3391" s="4">
        <v>29</v>
      </c>
      <c r="AE3391" s="4">
        <v>114</v>
      </c>
      <c r="AF3391" s="4">
        <v>0</v>
      </c>
      <c r="AG3391" s="4">
        <v>5</v>
      </c>
      <c r="AH3391" s="4">
        <v>21</v>
      </c>
      <c r="AI3391" s="4">
        <v>83</v>
      </c>
      <c r="AJ3391" s="4">
        <v>5</v>
      </c>
      <c r="AK3391" s="4">
        <v>25</v>
      </c>
      <c r="AL3391" s="4">
        <v>14</v>
      </c>
      <c r="AM3391" s="4">
        <v>45</v>
      </c>
      <c r="AN3391" s="4">
        <v>0</v>
      </c>
      <c r="AO3391" s="4">
        <v>0</v>
      </c>
      <c r="AP3391" s="4">
        <v>9</v>
      </c>
      <c r="AQ3391" s="4">
        <v>39</v>
      </c>
      <c r="AR3391" s="3" t="s">
        <v>64</v>
      </c>
      <c r="AS3391" s="3" t="s">
        <v>64</v>
      </c>
      <c r="AT3391" s="3" t="s">
        <v>128</v>
      </c>
      <c r="AU3391" s="6" t="str">
        <f>HYPERLINK("http://catalog.hathitrust.org/Record/003025339","HathiTrust Record")</f>
        <v>HathiTrust Record</v>
      </c>
      <c r="AV3391" s="6" t="str">
        <f>HYPERLINK("http://mcgill.on.worldcat.org/oclc/19628","Catalog Record")</f>
        <v>Catalog Record</v>
      </c>
      <c r="AW3391" s="6" t="str">
        <f>HYPERLINK("http://www.worldcat.org/oclc/19628","WorldCat Record")</f>
        <v>WorldCat Record</v>
      </c>
      <c r="AX3391" s="3" t="s">
        <v>34002</v>
      </c>
      <c r="AY3391" s="3" t="s">
        <v>34003</v>
      </c>
      <c r="AZ3391" s="3" t="s">
        <v>34004</v>
      </c>
      <c r="BA3391" s="3" t="s">
        <v>34004</v>
      </c>
      <c r="BB3391" s="3" t="s">
        <v>34005</v>
      </c>
      <c r="BC3391" s="3" t="s">
        <v>77</v>
      </c>
      <c r="BD3391" s="3" t="s">
        <v>78</v>
      </c>
      <c r="BE3391" s="3" t="s">
        <v>34006</v>
      </c>
      <c r="BF3391" s="3" t="s">
        <v>34005</v>
      </c>
      <c r="BG3391" s="3" t="s">
        <v>34007</v>
      </c>
      <c r="BH3391">
        <f t="shared" si="79"/>
        <v>0</v>
      </c>
    </row>
    <row r="3392" spans="1:60" ht="58" x14ac:dyDescent="0.35">
      <c r="A3392" s="2" t="s">
        <v>59</v>
      </c>
      <c r="B3392" s="2" t="s">
        <v>60</v>
      </c>
      <c r="C3392" s="2" t="s">
        <v>33996</v>
      </c>
      <c r="D3392" s="2" t="s">
        <v>33997</v>
      </c>
      <c r="E3392" s="2" t="s">
        <v>33998</v>
      </c>
      <c r="G3392" s="3" t="s">
        <v>64</v>
      </c>
      <c r="I3392" s="3" t="s">
        <v>128</v>
      </c>
      <c r="J3392" s="3" t="s">
        <v>128</v>
      </c>
      <c r="K3392" s="3" t="s">
        <v>65</v>
      </c>
      <c r="L3392" s="2" t="s">
        <v>33999</v>
      </c>
      <c r="M3392" s="2" t="s">
        <v>34000</v>
      </c>
      <c r="N3392" s="3" t="s">
        <v>481</v>
      </c>
      <c r="P3392" s="3" t="s">
        <v>102</v>
      </c>
      <c r="Q3392" s="2" t="s">
        <v>34001</v>
      </c>
      <c r="R3392" s="3" t="s">
        <v>70</v>
      </c>
      <c r="S3392" s="4">
        <v>5</v>
      </c>
      <c r="T3392" s="4">
        <v>5</v>
      </c>
      <c r="U3392" s="5" t="s">
        <v>269</v>
      </c>
      <c r="V3392" s="5" t="s">
        <v>269</v>
      </c>
      <c r="W3392" s="5" t="s">
        <v>72</v>
      </c>
      <c r="X3392" s="5" t="s">
        <v>72</v>
      </c>
      <c r="Y3392" s="4">
        <v>93</v>
      </c>
      <c r="Z3392" s="4">
        <v>15</v>
      </c>
      <c r="AA3392" s="4">
        <v>66</v>
      </c>
      <c r="AB3392" s="4">
        <v>1</v>
      </c>
      <c r="AC3392" s="4">
        <v>8</v>
      </c>
      <c r="AD3392" s="4">
        <v>29</v>
      </c>
      <c r="AE3392" s="4">
        <v>114</v>
      </c>
      <c r="AF3392" s="4">
        <v>0</v>
      </c>
      <c r="AG3392" s="4">
        <v>5</v>
      </c>
      <c r="AH3392" s="4">
        <v>21</v>
      </c>
      <c r="AI3392" s="4">
        <v>83</v>
      </c>
      <c r="AJ3392" s="4">
        <v>5</v>
      </c>
      <c r="AK3392" s="4">
        <v>25</v>
      </c>
      <c r="AL3392" s="4">
        <v>14</v>
      </c>
      <c r="AM3392" s="4">
        <v>45</v>
      </c>
      <c r="AN3392" s="4">
        <v>0</v>
      </c>
      <c r="AO3392" s="4">
        <v>0</v>
      </c>
      <c r="AP3392" s="4">
        <v>9</v>
      </c>
      <c r="AQ3392" s="4">
        <v>39</v>
      </c>
      <c r="AR3392" s="3" t="s">
        <v>64</v>
      </c>
      <c r="AS3392" s="3" t="s">
        <v>64</v>
      </c>
      <c r="AT3392" s="3" t="s">
        <v>128</v>
      </c>
      <c r="AU3392" s="6" t="str">
        <f>HYPERLINK("http://catalog.hathitrust.org/Record/003025339","HathiTrust Record")</f>
        <v>HathiTrust Record</v>
      </c>
      <c r="AV3392" s="6" t="str">
        <f>HYPERLINK("http://mcgill.on.worldcat.org/oclc/19628","Catalog Record")</f>
        <v>Catalog Record</v>
      </c>
      <c r="AW3392" s="6" t="str">
        <f>HYPERLINK("http://www.worldcat.org/oclc/19628","WorldCat Record")</f>
        <v>WorldCat Record</v>
      </c>
      <c r="AX3392" s="3" t="s">
        <v>34002</v>
      </c>
      <c r="AY3392" s="3" t="s">
        <v>34003</v>
      </c>
      <c r="AZ3392" s="3" t="s">
        <v>34004</v>
      </c>
      <c r="BA3392" s="3" t="s">
        <v>34004</v>
      </c>
      <c r="BB3392" s="3" t="s">
        <v>34008</v>
      </c>
      <c r="BC3392" s="3" t="s">
        <v>77</v>
      </c>
      <c r="BD3392" s="3" t="s">
        <v>78</v>
      </c>
      <c r="BE3392" s="3" t="s">
        <v>34006</v>
      </c>
      <c r="BF3392" s="3" t="s">
        <v>34008</v>
      </c>
      <c r="BG3392" s="3" t="s">
        <v>34009</v>
      </c>
      <c r="BH3392">
        <f t="shared" si="79"/>
        <v>0</v>
      </c>
    </row>
    <row r="3393" spans="1:60" ht="58" x14ac:dyDescent="0.35">
      <c r="A3393" s="2" t="s">
        <v>59</v>
      </c>
      <c r="B3393" s="2" t="s">
        <v>60</v>
      </c>
      <c r="C3393" s="2" t="s">
        <v>34010</v>
      </c>
      <c r="D3393" s="2" t="s">
        <v>34011</v>
      </c>
      <c r="E3393" s="2" t="s">
        <v>34012</v>
      </c>
      <c r="G3393" s="3" t="s">
        <v>64</v>
      </c>
      <c r="I3393" s="3" t="s">
        <v>128</v>
      </c>
      <c r="J3393" s="3" t="s">
        <v>128</v>
      </c>
      <c r="K3393" s="3" t="s">
        <v>65</v>
      </c>
      <c r="L3393" s="2" t="s">
        <v>33999</v>
      </c>
      <c r="M3393" s="2" t="s">
        <v>34013</v>
      </c>
      <c r="N3393" s="3" t="s">
        <v>7285</v>
      </c>
      <c r="O3393" s="2" t="s">
        <v>34014</v>
      </c>
      <c r="P3393" s="3" t="s">
        <v>102</v>
      </c>
      <c r="Q3393" s="2" t="s">
        <v>34001</v>
      </c>
      <c r="R3393" s="3" t="s">
        <v>70</v>
      </c>
      <c r="S3393" s="4">
        <v>10</v>
      </c>
      <c r="T3393" s="4">
        <v>10</v>
      </c>
      <c r="U3393" s="5" t="s">
        <v>269</v>
      </c>
      <c r="V3393" s="5" t="s">
        <v>269</v>
      </c>
      <c r="W3393" s="5" t="s">
        <v>72</v>
      </c>
      <c r="X3393" s="5" t="s">
        <v>72</v>
      </c>
      <c r="Y3393" s="4">
        <v>146</v>
      </c>
      <c r="Z3393" s="4">
        <v>20</v>
      </c>
      <c r="AA3393" s="4">
        <v>66</v>
      </c>
      <c r="AB3393" s="4">
        <v>1</v>
      </c>
      <c r="AC3393" s="4">
        <v>8</v>
      </c>
      <c r="AD3393" s="4">
        <v>63</v>
      </c>
      <c r="AE3393" s="4">
        <v>114</v>
      </c>
      <c r="AF3393" s="4">
        <v>0</v>
      </c>
      <c r="AG3393" s="4">
        <v>5</v>
      </c>
      <c r="AH3393" s="4">
        <v>53</v>
      </c>
      <c r="AI3393" s="4">
        <v>83</v>
      </c>
      <c r="AJ3393" s="4">
        <v>11</v>
      </c>
      <c r="AK3393" s="4">
        <v>25</v>
      </c>
      <c r="AL3393" s="4">
        <v>30</v>
      </c>
      <c r="AM3393" s="4">
        <v>45</v>
      </c>
      <c r="AN3393" s="4">
        <v>0</v>
      </c>
      <c r="AO3393" s="4">
        <v>0</v>
      </c>
      <c r="AP3393" s="4">
        <v>13</v>
      </c>
      <c r="AQ3393" s="4">
        <v>39</v>
      </c>
      <c r="AR3393" s="3" t="s">
        <v>64</v>
      </c>
      <c r="AS3393" s="3" t="s">
        <v>64</v>
      </c>
      <c r="AT3393" s="3" t="s">
        <v>128</v>
      </c>
      <c r="AU3393" s="6" t="str">
        <f>HYPERLINK("http://catalog.hathitrust.org/Record/003005308","HathiTrust Record")</f>
        <v>HathiTrust Record</v>
      </c>
      <c r="AV3393" s="6" t="str">
        <f>HYPERLINK("http://mcgill.on.worldcat.org/oclc/129699","Catalog Record")</f>
        <v>Catalog Record</v>
      </c>
      <c r="AW3393" s="6" t="str">
        <f>HYPERLINK("http://www.worldcat.org/oclc/129699","WorldCat Record")</f>
        <v>WorldCat Record</v>
      </c>
      <c r="AX3393" s="3" t="s">
        <v>34002</v>
      </c>
      <c r="AY3393" s="3" t="s">
        <v>34015</v>
      </c>
      <c r="AZ3393" s="3" t="s">
        <v>34016</v>
      </c>
      <c r="BA3393" s="3" t="s">
        <v>34016</v>
      </c>
      <c r="BB3393" s="3" t="s">
        <v>34017</v>
      </c>
      <c r="BC3393" s="3" t="s">
        <v>77</v>
      </c>
      <c r="BD3393" s="3" t="s">
        <v>78</v>
      </c>
      <c r="BE3393" s="3" t="s">
        <v>34018</v>
      </c>
      <c r="BF3393" s="3" t="s">
        <v>34017</v>
      </c>
      <c r="BG3393" s="3" t="s">
        <v>34019</v>
      </c>
      <c r="BH3393">
        <f t="shared" si="79"/>
        <v>0</v>
      </c>
    </row>
    <row r="3394" spans="1:60" ht="58" x14ac:dyDescent="0.35">
      <c r="A3394" s="2" t="s">
        <v>59</v>
      </c>
      <c r="B3394" s="2" t="s">
        <v>60</v>
      </c>
      <c r="C3394" s="2" t="s">
        <v>34010</v>
      </c>
      <c r="D3394" s="2" t="s">
        <v>34011</v>
      </c>
      <c r="E3394" s="2" t="s">
        <v>34012</v>
      </c>
      <c r="G3394" s="3" t="s">
        <v>64</v>
      </c>
      <c r="I3394" s="3" t="s">
        <v>128</v>
      </c>
      <c r="J3394" s="3" t="s">
        <v>128</v>
      </c>
      <c r="K3394" s="3" t="s">
        <v>65</v>
      </c>
      <c r="L3394" s="2" t="s">
        <v>33999</v>
      </c>
      <c r="M3394" s="2" t="s">
        <v>34013</v>
      </c>
      <c r="N3394" s="3" t="s">
        <v>7285</v>
      </c>
      <c r="O3394" s="2" t="s">
        <v>34014</v>
      </c>
      <c r="P3394" s="3" t="s">
        <v>102</v>
      </c>
      <c r="Q3394" s="2" t="s">
        <v>34001</v>
      </c>
      <c r="R3394" s="3" t="s">
        <v>70</v>
      </c>
      <c r="S3394" s="4">
        <v>0</v>
      </c>
      <c r="T3394" s="4">
        <v>10</v>
      </c>
      <c r="V3394" s="5" t="s">
        <v>269</v>
      </c>
      <c r="W3394" s="5" t="s">
        <v>72</v>
      </c>
      <c r="X3394" s="5" t="s">
        <v>72</v>
      </c>
      <c r="Y3394" s="4">
        <v>146</v>
      </c>
      <c r="Z3394" s="4">
        <v>20</v>
      </c>
      <c r="AA3394" s="4">
        <v>66</v>
      </c>
      <c r="AB3394" s="4">
        <v>1</v>
      </c>
      <c r="AC3394" s="4">
        <v>8</v>
      </c>
      <c r="AD3394" s="4">
        <v>63</v>
      </c>
      <c r="AE3394" s="4">
        <v>114</v>
      </c>
      <c r="AF3394" s="4">
        <v>0</v>
      </c>
      <c r="AG3394" s="4">
        <v>5</v>
      </c>
      <c r="AH3394" s="4">
        <v>53</v>
      </c>
      <c r="AI3394" s="4">
        <v>83</v>
      </c>
      <c r="AJ3394" s="4">
        <v>11</v>
      </c>
      <c r="AK3394" s="4">
        <v>25</v>
      </c>
      <c r="AL3394" s="4">
        <v>30</v>
      </c>
      <c r="AM3394" s="4">
        <v>45</v>
      </c>
      <c r="AN3394" s="4">
        <v>0</v>
      </c>
      <c r="AO3394" s="4">
        <v>0</v>
      </c>
      <c r="AP3394" s="4">
        <v>13</v>
      </c>
      <c r="AQ3394" s="4">
        <v>39</v>
      </c>
      <c r="AR3394" s="3" t="s">
        <v>64</v>
      </c>
      <c r="AS3394" s="3" t="s">
        <v>64</v>
      </c>
      <c r="AT3394" s="3" t="s">
        <v>128</v>
      </c>
      <c r="AU3394" s="6" t="str">
        <f>HYPERLINK("http://catalog.hathitrust.org/Record/003005308","HathiTrust Record")</f>
        <v>HathiTrust Record</v>
      </c>
      <c r="AV3394" s="6" t="str">
        <f>HYPERLINK("http://mcgill.on.worldcat.org/oclc/129699","Catalog Record")</f>
        <v>Catalog Record</v>
      </c>
      <c r="AW3394" s="6" t="str">
        <f>HYPERLINK("http://www.worldcat.org/oclc/129699","WorldCat Record")</f>
        <v>WorldCat Record</v>
      </c>
      <c r="AX3394" s="3" t="s">
        <v>34002</v>
      </c>
      <c r="AY3394" s="3" t="s">
        <v>34015</v>
      </c>
      <c r="AZ3394" s="3" t="s">
        <v>34016</v>
      </c>
      <c r="BA3394" s="3" t="s">
        <v>34016</v>
      </c>
      <c r="BB3394" s="3" t="s">
        <v>34020</v>
      </c>
      <c r="BC3394" s="3" t="s">
        <v>77</v>
      </c>
      <c r="BD3394" s="3" t="s">
        <v>78</v>
      </c>
      <c r="BE3394" s="3" t="s">
        <v>34018</v>
      </c>
      <c r="BF3394" s="3" t="s">
        <v>34020</v>
      </c>
      <c r="BG3394" s="3" t="s">
        <v>34021</v>
      </c>
      <c r="BH3394">
        <f t="shared" ref="BH3394:BH3457" si="80">IF(COUNTIF($BF$1:$BF$5431,BF3394)=1,0,1)</f>
        <v>0</v>
      </c>
    </row>
    <row r="3395" spans="1:60" ht="58" x14ac:dyDescent="0.35">
      <c r="A3395" s="2" t="s">
        <v>59</v>
      </c>
      <c r="B3395" s="2" t="s">
        <v>60</v>
      </c>
      <c r="C3395" s="2" t="s">
        <v>34022</v>
      </c>
      <c r="D3395" s="2" t="s">
        <v>34023</v>
      </c>
      <c r="E3395" s="2" t="s">
        <v>34024</v>
      </c>
      <c r="G3395" s="3" t="s">
        <v>64</v>
      </c>
      <c r="I3395" s="3" t="s">
        <v>128</v>
      </c>
      <c r="J3395" s="3" t="s">
        <v>64</v>
      </c>
      <c r="K3395" s="3" t="s">
        <v>65</v>
      </c>
      <c r="L3395" s="2" t="s">
        <v>34025</v>
      </c>
      <c r="M3395" s="2" t="s">
        <v>34026</v>
      </c>
      <c r="N3395" s="3" t="s">
        <v>4548</v>
      </c>
      <c r="P3395" s="3" t="s">
        <v>68</v>
      </c>
      <c r="R3395" s="3" t="s">
        <v>70</v>
      </c>
      <c r="S3395" s="4">
        <v>6</v>
      </c>
      <c r="T3395" s="4">
        <v>21</v>
      </c>
      <c r="U3395" s="5" t="s">
        <v>34027</v>
      </c>
      <c r="V3395" s="5" t="s">
        <v>14247</v>
      </c>
      <c r="W3395" s="5" t="s">
        <v>72</v>
      </c>
      <c r="X3395" s="5" t="s">
        <v>72</v>
      </c>
      <c r="Y3395" s="4">
        <v>125</v>
      </c>
      <c r="Z3395" s="4">
        <v>35</v>
      </c>
      <c r="AA3395" s="4">
        <v>53</v>
      </c>
      <c r="AB3395" s="4">
        <v>3</v>
      </c>
      <c r="AC3395" s="4">
        <v>15</v>
      </c>
      <c r="AD3395" s="4">
        <v>62</v>
      </c>
      <c r="AE3395" s="4">
        <v>70</v>
      </c>
      <c r="AF3395" s="4">
        <v>1</v>
      </c>
      <c r="AG3395" s="4">
        <v>6</v>
      </c>
      <c r="AH3395" s="4">
        <v>44</v>
      </c>
      <c r="AI3395" s="4">
        <v>46</v>
      </c>
      <c r="AJ3395" s="4">
        <v>16</v>
      </c>
      <c r="AK3395" s="4">
        <v>23</v>
      </c>
      <c r="AL3395" s="4">
        <v>29</v>
      </c>
      <c r="AM3395" s="4">
        <v>29</v>
      </c>
      <c r="AN3395" s="4">
        <v>0</v>
      </c>
      <c r="AO3395" s="4">
        <v>0</v>
      </c>
      <c r="AP3395" s="4">
        <v>26</v>
      </c>
      <c r="AQ3395" s="4">
        <v>32</v>
      </c>
      <c r="AR3395" s="3" t="s">
        <v>128</v>
      </c>
      <c r="AS3395" s="3" t="s">
        <v>64</v>
      </c>
      <c r="AT3395" s="3" t="s">
        <v>128</v>
      </c>
      <c r="AU3395" s="6" t="str">
        <f>HYPERLINK("http://catalog.hathitrust.org/Record/003025379","HathiTrust Record")</f>
        <v>HathiTrust Record</v>
      </c>
      <c r="AV3395" s="6" t="str">
        <f>HYPERLINK("http://mcgill.on.worldcat.org/oclc/3143770","Catalog Record")</f>
        <v>Catalog Record</v>
      </c>
      <c r="AW3395" s="6" t="str">
        <f>HYPERLINK("http://www.worldcat.org/oclc/3143770","WorldCat Record")</f>
        <v>WorldCat Record</v>
      </c>
      <c r="AX3395" s="3" t="s">
        <v>34028</v>
      </c>
      <c r="AY3395" s="3" t="s">
        <v>34029</v>
      </c>
      <c r="AZ3395" s="3" t="s">
        <v>34030</v>
      </c>
      <c r="BA3395" s="3" t="s">
        <v>34030</v>
      </c>
      <c r="BB3395" s="3" t="s">
        <v>34031</v>
      </c>
      <c r="BC3395" s="3" t="s">
        <v>77</v>
      </c>
      <c r="BD3395" s="3" t="s">
        <v>78</v>
      </c>
      <c r="BF3395" s="3" t="s">
        <v>34031</v>
      </c>
      <c r="BG3395" s="3" t="s">
        <v>34032</v>
      </c>
      <c r="BH3395">
        <f t="shared" si="80"/>
        <v>0</v>
      </c>
    </row>
    <row r="3396" spans="1:60" ht="58" x14ac:dyDescent="0.35">
      <c r="A3396" s="2" t="s">
        <v>59</v>
      </c>
      <c r="B3396" s="2" t="s">
        <v>60</v>
      </c>
      <c r="C3396" s="2" t="s">
        <v>34022</v>
      </c>
      <c r="D3396" s="2" t="s">
        <v>34023</v>
      </c>
      <c r="E3396" s="2" t="s">
        <v>34024</v>
      </c>
      <c r="G3396" s="3" t="s">
        <v>64</v>
      </c>
      <c r="I3396" s="3" t="s">
        <v>128</v>
      </c>
      <c r="J3396" s="3" t="s">
        <v>64</v>
      </c>
      <c r="K3396" s="3" t="s">
        <v>65</v>
      </c>
      <c r="L3396" s="2" t="s">
        <v>34025</v>
      </c>
      <c r="M3396" s="2" t="s">
        <v>34026</v>
      </c>
      <c r="N3396" s="3" t="s">
        <v>4548</v>
      </c>
      <c r="P3396" s="3" t="s">
        <v>68</v>
      </c>
      <c r="R3396" s="3" t="s">
        <v>70</v>
      </c>
      <c r="S3396" s="4">
        <v>15</v>
      </c>
      <c r="T3396" s="4">
        <v>21</v>
      </c>
      <c r="U3396" s="5" t="s">
        <v>14247</v>
      </c>
      <c r="V3396" s="5" t="s">
        <v>14247</v>
      </c>
      <c r="W3396" s="5" t="s">
        <v>72</v>
      </c>
      <c r="X3396" s="5" t="s">
        <v>72</v>
      </c>
      <c r="Y3396" s="4">
        <v>125</v>
      </c>
      <c r="Z3396" s="4">
        <v>35</v>
      </c>
      <c r="AA3396" s="4">
        <v>53</v>
      </c>
      <c r="AB3396" s="4">
        <v>3</v>
      </c>
      <c r="AC3396" s="4">
        <v>15</v>
      </c>
      <c r="AD3396" s="4">
        <v>62</v>
      </c>
      <c r="AE3396" s="4">
        <v>70</v>
      </c>
      <c r="AF3396" s="4">
        <v>1</v>
      </c>
      <c r="AG3396" s="4">
        <v>6</v>
      </c>
      <c r="AH3396" s="4">
        <v>44</v>
      </c>
      <c r="AI3396" s="4">
        <v>46</v>
      </c>
      <c r="AJ3396" s="4">
        <v>16</v>
      </c>
      <c r="AK3396" s="4">
        <v>23</v>
      </c>
      <c r="AL3396" s="4">
        <v>29</v>
      </c>
      <c r="AM3396" s="4">
        <v>29</v>
      </c>
      <c r="AN3396" s="4">
        <v>0</v>
      </c>
      <c r="AO3396" s="4">
        <v>0</v>
      </c>
      <c r="AP3396" s="4">
        <v>26</v>
      </c>
      <c r="AQ3396" s="4">
        <v>32</v>
      </c>
      <c r="AR3396" s="3" t="s">
        <v>128</v>
      </c>
      <c r="AS3396" s="3" t="s">
        <v>64</v>
      </c>
      <c r="AT3396" s="3" t="s">
        <v>128</v>
      </c>
      <c r="AU3396" s="6" t="str">
        <f>HYPERLINK("http://catalog.hathitrust.org/Record/003025379","HathiTrust Record")</f>
        <v>HathiTrust Record</v>
      </c>
      <c r="AV3396" s="6" t="str">
        <f>HYPERLINK("http://mcgill.on.worldcat.org/oclc/3143770","Catalog Record")</f>
        <v>Catalog Record</v>
      </c>
      <c r="AW3396" s="6" t="str">
        <f>HYPERLINK("http://www.worldcat.org/oclc/3143770","WorldCat Record")</f>
        <v>WorldCat Record</v>
      </c>
      <c r="AX3396" s="3" t="s">
        <v>34028</v>
      </c>
      <c r="AY3396" s="3" t="s">
        <v>34029</v>
      </c>
      <c r="AZ3396" s="3" t="s">
        <v>34030</v>
      </c>
      <c r="BA3396" s="3" t="s">
        <v>34030</v>
      </c>
      <c r="BB3396" s="3" t="s">
        <v>34033</v>
      </c>
      <c r="BC3396" s="3" t="s">
        <v>77</v>
      </c>
      <c r="BD3396" s="3" t="s">
        <v>78</v>
      </c>
      <c r="BF3396" s="3" t="s">
        <v>34033</v>
      </c>
      <c r="BG3396" s="3" t="s">
        <v>34034</v>
      </c>
      <c r="BH3396">
        <f t="shared" si="80"/>
        <v>0</v>
      </c>
    </row>
    <row r="3397" spans="1:60" ht="58" x14ac:dyDescent="0.35">
      <c r="A3397" s="2" t="s">
        <v>59</v>
      </c>
      <c r="B3397" s="2" t="s">
        <v>60</v>
      </c>
      <c r="C3397" s="2" t="s">
        <v>34035</v>
      </c>
      <c r="D3397" s="2" t="s">
        <v>34036</v>
      </c>
      <c r="E3397" s="2" t="s">
        <v>34037</v>
      </c>
      <c r="G3397" s="3" t="s">
        <v>64</v>
      </c>
      <c r="I3397" s="3" t="s">
        <v>64</v>
      </c>
      <c r="J3397" s="3" t="s">
        <v>64</v>
      </c>
      <c r="K3397" s="3" t="s">
        <v>65</v>
      </c>
      <c r="L3397" s="2" t="s">
        <v>34038</v>
      </c>
      <c r="M3397" s="2" t="s">
        <v>34039</v>
      </c>
      <c r="N3397" s="3" t="s">
        <v>6324</v>
      </c>
      <c r="P3397" s="3" t="s">
        <v>102</v>
      </c>
      <c r="R3397" s="3" t="s">
        <v>70</v>
      </c>
      <c r="S3397" s="4">
        <v>19</v>
      </c>
      <c r="T3397" s="4">
        <v>19</v>
      </c>
      <c r="U3397" s="5" t="s">
        <v>28433</v>
      </c>
      <c r="V3397" s="5" t="s">
        <v>28433</v>
      </c>
      <c r="W3397" s="5" t="s">
        <v>72</v>
      </c>
      <c r="X3397" s="5" t="s">
        <v>72</v>
      </c>
      <c r="Y3397" s="4">
        <v>1</v>
      </c>
      <c r="Z3397" s="4">
        <v>1</v>
      </c>
      <c r="AA3397" s="4">
        <v>5</v>
      </c>
      <c r="AB3397" s="4">
        <v>1</v>
      </c>
      <c r="AC3397" s="4">
        <v>1</v>
      </c>
      <c r="AD3397" s="4">
        <v>0</v>
      </c>
      <c r="AE3397" s="4">
        <v>4</v>
      </c>
      <c r="AF3397" s="4">
        <v>0</v>
      </c>
      <c r="AG3397" s="4">
        <v>0</v>
      </c>
      <c r="AH3397" s="4">
        <v>0</v>
      </c>
      <c r="AI3397" s="4">
        <v>4</v>
      </c>
      <c r="AJ3397" s="4">
        <v>0</v>
      </c>
      <c r="AK3397" s="4">
        <v>3</v>
      </c>
      <c r="AL3397" s="4">
        <v>0</v>
      </c>
      <c r="AM3397" s="4">
        <v>2</v>
      </c>
      <c r="AN3397" s="4">
        <v>0</v>
      </c>
      <c r="AO3397" s="4">
        <v>0</v>
      </c>
      <c r="AP3397" s="4">
        <v>0</v>
      </c>
      <c r="AQ3397" s="4">
        <v>3</v>
      </c>
      <c r="AR3397" s="3" t="s">
        <v>64</v>
      </c>
      <c r="AS3397" s="3" t="s">
        <v>64</v>
      </c>
      <c r="AT3397" s="3" t="s">
        <v>64</v>
      </c>
      <c r="AV3397" s="6" t="str">
        <f>HYPERLINK("http://mcgill.on.worldcat.org/oclc/61543592","Catalog Record")</f>
        <v>Catalog Record</v>
      </c>
      <c r="AW3397" s="6" t="str">
        <f>HYPERLINK("http://www.worldcat.org/oclc/61543592","WorldCat Record")</f>
        <v>WorldCat Record</v>
      </c>
      <c r="AX3397" s="3" t="s">
        <v>34040</v>
      </c>
      <c r="AY3397" s="3" t="s">
        <v>34041</v>
      </c>
      <c r="AZ3397" s="3" t="s">
        <v>34042</v>
      </c>
      <c r="BA3397" s="3" t="s">
        <v>34042</v>
      </c>
      <c r="BB3397" s="3" t="s">
        <v>34043</v>
      </c>
      <c r="BC3397" s="3" t="s">
        <v>77</v>
      </c>
      <c r="BD3397" s="3" t="s">
        <v>78</v>
      </c>
      <c r="BF3397" s="3" t="s">
        <v>34043</v>
      </c>
      <c r="BG3397" s="3" t="s">
        <v>34044</v>
      </c>
      <c r="BH3397">
        <f t="shared" si="80"/>
        <v>0</v>
      </c>
    </row>
    <row r="3398" spans="1:60" ht="72.5" x14ac:dyDescent="0.35">
      <c r="A3398" s="2" t="s">
        <v>59</v>
      </c>
      <c r="B3398" s="2" t="s">
        <v>60</v>
      </c>
      <c r="C3398" s="2" t="s">
        <v>34045</v>
      </c>
      <c r="D3398" s="2" t="s">
        <v>34046</v>
      </c>
      <c r="E3398" s="2" t="s">
        <v>34047</v>
      </c>
      <c r="G3398" s="3" t="s">
        <v>64</v>
      </c>
      <c r="I3398" s="3" t="s">
        <v>128</v>
      </c>
      <c r="J3398" s="3" t="s">
        <v>64</v>
      </c>
      <c r="K3398" s="3" t="s">
        <v>65</v>
      </c>
      <c r="L3398" s="2" t="s">
        <v>34048</v>
      </c>
      <c r="M3398" s="2" t="s">
        <v>34049</v>
      </c>
      <c r="N3398" s="3" t="s">
        <v>1750</v>
      </c>
      <c r="P3398" s="3" t="s">
        <v>102</v>
      </c>
      <c r="Q3398" s="2" t="s">
        <v>34050</v>
      </c>
      <c r="R3398" s="3" t="s">
        <v>70</v>
      </c>
      <c r="S3398" s="4">
        <v>8</v>
      </c>
      <c r="T3398" s="4">
        <v>11</v>
      </c>
      <c r="U3398" s="5" t="s">
        <v>28433</v>
      </c>
      <c r="V3398" s="5" t="s">
        <v>28433</v>
      </c>
      <c r="W3398" s="5" t="s">
        <v>72</v>
      </c>
      <c r="X3398" s="5" t="s">
        <v>72</v>
      </c>
      <c r="Y3398" s="4">
        <v>43</v>
      </c>
      <c r="Z3398" s="4">
        <v>10</v>
      </c>
      <c r="AA3398" s="4">
        <v>25</v>
      </c>
      <c r="AB3398" s="4">
        <v>1</v>
      </c>
      <c r="AC3398" s="4">
        <v>2</v>
      </c>
      <c r="AD3398" s="4">
        <v>26</v>
      </c>
      <c r="AE3398" s="4">
        <v>47</v>
      </c>
      <c r="AF3398" s="4">
        <v>0</v>
      </c>
      <c r="AG3398" s="4">
        <v>1</v>
      </c>
      <c r="AH3398" s="4">
        <v>20</v>
      </c>
      <c r="AI3398" s="4">
        <v>32</v>
      </c>
      <c r="AJ3398" s="4">
        <v>2</v>
      </c>
      <c r="AK3398" s="4">
        <v>11</v>
      </c>
      <c r="AL3398" s="4">
        <v>18</v>
      </c>
      <c r="AM3398" s="4">
        <v>20</v>
      </c>
      <c r="AN3398" s="4">
        <v>0</v>
      </c>
      <c r="AO3398" s="4">
        <v>0</v>
      </c>
      <c r="AP3398" s="4">
        <v>5</v>
      </c>
      <c r="AQ3398" s="4">
        <v>16</v>
      </c>
      <c r="AR3398" s="3" t="s">
        <v>128</v>
      </c>
      <c r="AS3398" s="3" t="s">
        <v>64</v>
      </c>
      <c r="AT3398" s="3" t="s">
        <v>128</v>
      </c>
      <c r="AU3398" s="6" t="str">
        <f>HYPERLINK("http://catalog.hathitrust.org/Record/000253190","HathiTrust Record")</f>
        <v>HathiTrust Record</v>
      </c>
      <c r="AV3398" s="6" t="str">
        <f>HYPERLINK("http://mcgill.on.worldcat.org/oclc/3069379","Catalog Record")</f>
        <v>Catalog Record</v>
      </c>
      <c r="AW3398" s="6" t="str">
        <f>HYPERLINK("http://www.worldcat.org/oclc/3069379","WorldCat Record")</f>
        <v>WorldCat Record</v>
      </c>
      <c r="AX3398" s="3" t="s">
        <v>34051</v>
      </c>
      <c r="AY3398" s="3" t="s">
        <v>34052</v>
      </c>
      <c r="AZ3398" s="3" t="s">
        <v>34053</v>
      </c>
      <c r="BA3398" s="3" t="s">
        <v>34053</v>
      </c>
      <c r="BB3398" s="3" t="s">
        <v>34054</v>
      </c>
      <c r="BC3398" s="3" t="s">
        <v>77</v>
      </c>
      <c r="BD3398" s="3" t="s">
        <v>78</v>
      </c>
      <c r="BF3398" s="3" t="s">
        <v>34054</v>
      </c>
      <c r="BG3398" s="3" t="s">
        <v>34055</v>
      </c>
      <c r="BH3398">
        <f t="shared" si="80"/>
        <v>0</v>
      </c>
    </row>
    <row r="3399" spans="1:60" ht="72.5" x14ac:dyDescent="0.35">
      <c r="A3399" s="2" t="s">
        <v>59</v>
      </c>
      <c r="B3399" s="2" t="s">
        <v>60</v>
      </c>
      <c r="C3399" s="2" t="s">
        <v>34045</v>
      </c>
      <c r="D3399" s="2" t="s">
        <v>34046</v>
      </c>
      <c r="E3399" s="2" t="s">
        <v>34047</v>
      </c>
      <c r="G3399" s="3" t="s">
        <v>64</v>
      </c>
      <c r="I3399" s="3" t="s">
        <v>128</v>
      </c>
      <c r="J3399" s="3" t="s">
        <v>64</v>
      </c>
      <c r="K3399" s="3" t="s">
        <v>65</v>
      </c>
      <c r="L3399" s="2" t="s">
        <v>34048</v>
      </c>
      <c r="M3399" s="2" t="s">
        <v>34049</v>
      </c>
      <c r="N3399" s="3" t="s">
        <v>1750</v>
      </c>
      <c r="P3399" s="3" t="s">
        <v>102</v>
      </c>
      <c r="Q3399" s="2" t="s">
        <v>34050</v>
      </c>
      <c r="R3399" s="3" t="s">
        <v>70</v>
      </c>
      <c r="S3399" s="4">
        <v>3</v>
      </c>
      <c r="T3399" s="4">
        <v>11</v>
      </c>
      <c r="U3399" s="5" t="s">
        <v>34056</v>
      </c>
      <c r="V3399" s="5" t="s">
        <v>28433</v>
      </c>
      <c r="W3399" s="5" t="s">
        <v>72</v>
      </c>
      <c r="X3399" s="5" t="s">
        <v>72</v>
      </c>
      <c r="Y3399" s="4">
        <v>43</v>
      </c>
      <c r="Z3399" s="4">
        <v>10</v>
      </c>
      <c r="AA3399" s="4">
        <v>25</v>
      </c>
      <c r="AB3399" s="4">
        <v>1</v>
      </c>
      <c r="AC3399" s="4">
        <v>2</v>
      </c>
      <c r="AD3399" s="4">
        <v>26</v>
      </c>
      <c r="AE3399" s="4">
        <v>47</v>
      </c>
      <c r="AF3399" s="4">
        <v>0</v>
      </c>
      <c r="AG3399" s="4">
        <v>1</v>
      </c>
      <c r="AH3399" s="4">
        <v>20</v>
      </c>
      <c r="AI3399" s="4">
        <v>32</v>
      </c>
      <c r="AJ3399" s="4">
        <v>2</v>
      </c>
      <c r="AK3399" s="4">
        <v>11</v>
      </c>
      <c r="AL3399" s="4">
        <v>18</v>
      </c>
      <c r="AM3399" s="4">
        <v>20</v>
      </c>
      <c r="AN3399" s="4">
        <v>0</v>
      </c>
      <c r="AO3399" s="4">
        <v>0</v>
      </c>
      <c r="AP3399" s="4">
        <v>5</v>
      </c>
      <c r="AQ3399" s="4">
        <v>16</v>
      </c>
      <c r="AR3399" s="3" t="s">
        <v>128</v>
      </c>
      <c r="AS3399" s="3" t="s">
        <v>64</v>
      </c>
      <c r="AT3399" s="3" t="s">
        <v>128</v>
      </c>
      <c r="AU3399" s="6" t="str">
        <f>HYPERLINK("http://catalog.hathitrust.org/Record/000253190","HathiTrust Record")</f>
        <v>HathiTrust Record</v>
      </c>
      <c r="AV3399" s="6" t="str">
        <f>HYPERLINK("http://mcgill.on.worldcat.org/oclc/3069379","Catalog Record")</f>
        <v>Catalog Record</v>
      </c>
      <c r="AW3399" s="6" t="str">
        <f>HYPERLINK("http://www.worldcat.org/oclc/3069379","WorldCat Record")</f>
        <v>WorldCat Record</v>
      </c>
      <c r="AX3399" s="3" t="s">
        <v>34051</v>
      </c>
      <c r="AY3399" s="3" t="s">
        <v>34052</v>
      </c>
      <c r="AZ3399" s="3" t="s">
        <v>34053</v>
      </c>
      <c r="BA3399" s="3" t="s">
        <v>34053</v>
      </c>
      <c r="BB3399" s="3" t="s">
        <v>34057</v>
      </c>
      <c r="BC3399" s="3" t="s">
        <v>77</v>
      </c>
      <c r="BD3399" s="3" t="s">
        <v>78</v>
      </c>
      <c r="BF3399" s="3" t="s">
        <v>34057</v>
      </c>
      <c r="BG3399" s="3" t="s">
        <v>34058</v>
      </c>
      <c r="BH3399">
        <f t="shared" si="80"/>
        <v>0</v>
      </c>
    </row>
    <row r="3400" spans="1:60" ht="58" x14ac:dyDescent="0.35">
      <c r="A3400" s="2" t="s">
        <v>59</v>
      </c>
      <c r="B3400" s="2" t="s">
        <v>60</v>
      </c>
      <c r="C3400" s="2" t="s">
        <v>34059</v>
      </c>
      <c r="D3400" s="2" t="s">
        <v>34060</v>
      </c>
      <c r="E3400" s="2" t="s">
        <v>34061</v>
      </c>
      <c r="G3400" s="3" t="s">
        <v>64</v>
      </c>
      <c r="I3400" s="3" t="s">
        <v>64</v>
      </c>
      <c r="J3400" s="3" t="s">
        <v>128</v>
      </c>
      <c r="K3400" s="3" t="s">
        <v>65</v>
      </c>
      <c r="L3400" s="2" t="s">
        <v>34062</v>
      </c>
      <c r="M3400" s="2" t="s">
        <v>34063</v>
      </c>
      <c r="N3400" s="3" t="s">
        <v>7800</v>
      </c>
      <c r="O3400" s="2" t="s">
        <v>172</v>
      </c>
      <c r="P3400" s="3" t="s">
        <v>102</v>
      </c>
      <c r="R3400" s="3" t="s">
        <v>70</v>
      </c>
      <c r="S3400" s="4">
        <v>4</v>
      </c>
      <c r="T3400" s="4">
        <v>4</v>
      </c>
      <c r="U3400" s="5" t="s">
        <v>2601</v>
      </c>
      <c r="V3400" s="5" t="s">
        <v>2601</v>
      </c>
      <c r="W3400" s="5" t="s">
        <v>72</v>
      </c>
      <c r="X3400" s="5" t="s">
        <v>72</v>
      </c>
      <c r="Y3400" s="4">
        <v>1</v>
      </c>
      <c r="Z3400" s="4">
        <v>1</v>
      </c>
      <c r="AA3400" s="4">
        <v>8</v>
      </c>
      <c r="AB3400" s="4">
        <v>1</v>
      </c>
      <c r="AC3400" s="4">
        <v>2</v>
      </c>
      <c r="AD3400" s="4">
        <v>0</v>
      </c>
      <c r="AE3400" s="4">
        <v>6</v>
      </c>
      <c r="AF3400" s="4">
        <v>0</v>
      </c>
      <c r="AG3400" s="4">
        <v>0</v>
      </c>
      <c r="AH3400" s="4">
        <v>0</v>
      </c>
      <c r="AI3400" s="4">
        <v>5</v>
      </c>
      <c r="AJ3400" s="4">
        <v>0</v>
      </c>
      <c r="AK3400" s="4">
        <v>4</v>
      </c>
      <c r="AL3400" s="4">
        <v>0</v>
      </c>
      <c r="AM3400" s="4">
        <v>2</v>
      </c>
      <c r="AN3400" s="4">
        <v>0</v>
      </c>
      <c r="AO3400" s="4">
        <v>0</v>
      </c>
      <c r="AP3400" s="4">
        <v>0</v>
      </c>
      <c r="AQ3400" s="4">
        <v>3</v>
      </c>
      <c r="AR3400" s="3" t="s">
        <v>128</v>
      </c>
      <c r="AS3400" s="3" t="s">
        <v>64</v>
      </c>
      <c r="AT3400" s="3" t="s">
        <v>64</v>
      </c>
      <c r="AV3400" s="6" t="str">
        <f>HYPERLINK("http://mcgill.on.worldcat.org/oclc/61611459","Catalog Record")</f>
        <v>Catalog Record</v>
      </c>
      <c r="AW3400" s="6" t="str">
        <f>HYPERLINK("http://www.worldcat.org/oclc/61611459","WorldCat Record")</f>
        <v>WorldCat Record</v>
      </c>
      <c r="AX3400" s="3" t="s">
        <v>34064</v>
      </c>
      <c r="AY3400" s="3" t="s">
        <v>34065</v>
      </c>
      <c r="AZ3400" s="3" t="s">
        <v>34066</v>
      </c>
      <c r="BA3400" s="3" t="s">
        <v>34066</v>
      </c>
      <c r="BB3400" s="3" t="s">
        <v>34067</v>
      </c>
      <c r="BC3400" s="3" t="s">
        <v>77</v>
      </c>
      <c r="BD3400" s="3" t="s">
        <v>78</v>
      </c>
      <c r="BF3400" s="3" t="s">
        <v>34067</v>
      </c>
      <c r="BG3400" s="3" t="s">
        <v>34068</v>
      </c>
      <c r="BH3400">
        <f t="shared" si="80"/>
        <v>0</v>
      </c>
    </row>
    <row r="3401" spans="1:60" ht="72.5" x14ac:dyDescent="0.35">
      <c r="A3401" s="2" t="s">
        <v>59</v>
      </c>
      <c r="B3401" s="2" t="s">
        <v>60</v>
      </c>
      <c r="C3401" s="2" t="s">
        <v>34069</v>
      </c>
      <c r="D3401" s="2" t="s">
        <v>34070</v>
      </c>
      <c r="E3401" s="2" t="s">
        <v>34071</v>
      </c>
      <c r="G3401" s="3" t="s">
        <v>64</v>
      </c>
      <c r="I3401" s="3" t="s">
        <v>64</v>
      </c>
      <c r="J3401" s="3" t="s">
        <v>64</v>
      </c>
      <c r="K3401" s="3" t="s">
        <v>65</v>
      </c>
      <c r="L3401" s="2" t="s">
        <v>34072</v>
      </c>
      <c r="M3401" s="2" t="s">
        <v>34073</v>
      </c>
      <c r="N3401" s="3" t="s">
        <v>874</v>
      </c>
      <c r="P3401" s="3" t="s">
        <v>102</v>
      </c>
      <c r="R3401" s="3" t="s">
        <v>70</v>
      </c>
      <c r="S3401" s="4">
        <v>3</v>
      </c>
      <c r="T3401" s="4">
        <v>3</v>
      </c>
      <c r="U3401" s="5" t="s">
        <v>19896</v>
      </c>
      <c r="V3401" s="5" t="s">
        <v>19896</v>
      </c>
      <c r="W3401" s="5" t="s">
        <v>72</v>
      </c>
      <c r="X3401" s="5" t="s">
        <v>72</v>
      </c>
      <c r="Y3401" s="4">
        <v>90</v>
      </c>
      <c r="Z3401" s="4">
        <v>35</v>
      </c>
      <c r="AA3401" s="4">
        <v>36</v>
      </c>
      <c r="AB3401" s="4">
        <v>3</v>
      </c>
      <c r="AC3401" s="4">
        <v>3</v>
      </c>
      <c r="AD3401" s="4">
        <v>40</v>
      </c>
      <c r="AE3401" s="4">
        <v>41</v>
      </c>
      <c r="AF3401" s="4">
        <v>1</v>
      </c>
      <c r="AG3401" s="4">
        <v>1</v>
      </c>
      <c r="AH3401" s="4">
        <v>30</v>
      </c>
      <c r="AI3401" s="4">
        <v>31</v>
      </c>
      <c r="AJ3401" s="4">
        <v>14</v>
      </c>
      <c r="AK3401" s="4">
        <v>15</v>
      </c>
      <c r="AL3401" s="4">
        <v>16</v>
      </c>
      <c r="AM3401" s="4">
        <v>16</v>
      </c>
      <c r="AN3401" s="4">
        <v>0</v>
      </c>
      <c r="AO3401" s="4">
        <v>0</v>
      </c>
      <c r="AP3401" s="4">
        <v>15</v>
      </c>
      <c r="AQ3401" s="4">
        <v>16</v>
      </c>
      <c r="AR3401" s="3" t="s">
        <v>128</v>
      </c>
      <c r="AS3401" s="3" t="s">
        <v>64</v>
      </c>
      <c r="AT3401" s="3" t="s">
        <v>128</v>
      </c>
      <c r="AU3401" s="6" t="str">
        <f>HYPERLINK("http://catalog.hathitrust.org/Record/000105900","HathiTrust Record")</f>
        <v>HathiTrust Record</v>
      </c>
      <c r="AV3401" s="6" t="str">
        <f>HYPERLINK("http://mcgill.on.worldcat.org/oclc/11536676","Catalog Record")</f>
        <v>Catalog Record</v>
      </c>
      <c r="AW3401" s="6" t="str">
        <f>HYPERLINK("http://www.worldcat.org/oclc/11536676","WorldCat Record")</f>
        <v>WorldCat Record</v>
      </c>
      <c r="AX3401" s="3" t="s">
        <v>34074</v>
      </c>
      <c r="AY3401" s="3" t="s">
        <v>34075</v>
      </c>
      <c r="AZ3401" s="3" t="s">
        <v>34076</v>
      </c>
      <c r="BA3401" s="3" t="s">
        <v>34076</v>
      </c>
      <c r="BB3401" s="3" t="s">
        <v>34077</v>
      </c>
      <c r="BC3401" s="3" t="s">
        <v>77</v>
      </c>
      <c r="BD3401" s="3" t="s">
        <v>78</v>
      </c>
      <c r="BE3401" s="3" t="s">
        <v>34078</v>
      </c>
      <c r="BF3401" s="3" t="s">
        <v>34077</v>
      </c>
      <c r="BG3401" s="3" t="s">
        <v>34079</v>
      </c>
      <c r="BH3401">
        <f t="shared" si="80"/>
        <v>0</v>
      </c>
    </row>
    <row r="3402" spans="1:60" ht="87" x14ac:dyDescent="0.35">
      <c r="A3402" s="2" t="s">
        <v>59</v>
      </c>
      <c r="B3402" s="2" t="s">
        <v>60</v>
      </c>
      <c r="C3402" s="2" t="s">
        <v>34080</v>
      </c>
      <c r="D3402" s="2" t="s">
        <v>34081</v>
      </c>
      <c r="E3402" s="2" t="s">
        <v>34082</v>
      </c>
      <c r="G3402" s="3" t="s">
        <v>64</v>
      </c>
      <c r="I3402" s="3" t="s">
        <v>64</v>
      </c>
      <c r="J3402" s="3" t="s">
        <v>64</v>
      </c>
      <c r="K3402" s="3" t="s">
        <v>65</v>
      </c>
      <c r="M3402" s="2" t="s">
        <v>34083</v>
      </c>
      <c r="N3402" s="3" t="s">
        <v>144</v>
      </c>
      <c r="P3402" s="3" t="s">
        <v>102</v>
      </c>
      <c r="R3402" s="3" t="s">
        <v>70</v>
      </c>
      <c r="S3402" s="4">
        <v>8</v>
      </c>
      <c r="T3402" s="4">
        <v>8</v>
      </c>
      <c r="U3402" s="5" t="s">
        <v>15865</v>
      </c>
      <c r="V3402" s="5" t="s">
        <v>15865</v>
      </c>
      <c r="W3402" s="5" t="s">
        <v>72</v>
      </c>
      <c r="X3402" s="5" t="s">
        <v>72</v>
      </c>
      <c r="Y3402" s="4">
        <v>66</v>
      </c>
      <c r="Z3402" s="4">
        <v>35</v>
      </c>
      <c r="AA3402" s="4">
        <v>36</v>
      </c>
      <c r="AB3402" s="4">
        <v>19</v>
      </c>
      <c r="AC3402" s="4">
        <v>19</v>
      </c>
      <c r="AD3402" s="4">
        <v>16</v>
      </c>
      <c r="AE3402" s="4">
        <v>17</v>
      </c>
      <c r="AF3402" s="4">
        <v>7</v>
      </c>
      <c r="AG3402" s="4">
        <v>7</v>
      </c>
      <c r="AH3402" s="4">
        <v>6</v>
      </c>
      <c r="AI3402" s="4">
        <v>7</v>
      </c>
      <c r="AJ3402" s="4">
        <v>12</v>
      </c>
      <c r="AK3402" s="4">
        <v>13</v>
      </c>
      <c r="AL3402" s="4">
        <v>1</v>
      </c>
      <c r="AM3402" s="4">
        <v>1</v>
      </c>
      <c r="AN3402" s="4">
        <v>0</v>
      </c>
      <c r="AO3402" s="4">
        <v>0</v>
      </c>
      <c r="AP3402" s="4">
        <v>12</v>
      </c>
      <c r="AQ3402" s="4">
        <v>13</v>
      </c>
      <c r="AR3402" s="3" t="s">
        <v>128</v>
      </c>
      <c r="AS3402" s="3" t="s">
        <v>64</v>
      </c>
      <c r="AT3402" s="3" t="s">
        <v>64</v>
      </c>
      <c r="AV3402" s="6" t="str">
        <f>HYPERLINK("http://mcgill.on.worldcat.org/oclc/248944786","Catalog Record")</f>
        <v>Catalog Record</v>
      </c>
      <c r="AW3402" s="6" t="str">
        <f>HYPERLINK("http://www.worldcat.org/oclc/248944786","WorldCat Record")</f>
        <v>WorldCat Record</v>
      </c>
      <c r="AX3402" s="3" t="s">
        <v>34084</v>
      </c>
      <c r="AY3402" s="3" t="s">
        <v>34085</v>
      </c>
      <c r="AZ3402" s="3" t="s">
        <v>34086</v>
      </c>
      <c r="BA3402" s="3" t="s">
        <v>34086</v>
      </c>
      <c r="BB3402" s="3" t="s">
        <v>34087</v>
      </c>
      <c r="BC3402" s="3" t="s">
        <v>77</v>
      </c>
      <c r="BD3402" s="3" t="s">
        <v>78</v>
      </c>
      <c r="BE3402" s="3" t="s">
        <v>34088</v>
      </c>
      <c r="BF3402" s="3" t="s">
        <v>34087</v>
      </c>
      <c r="BG3402" s="3" t="s">
        <v>34089</v>
      </c>
      <c r="BH3402">
        <f t="shared" si="80"/>
        <v>0</v>
      </c>
    </row>
    <row r="3403" spans="1:60" ht="72.5" x14ac:dyDescent="0.35">
      <c r="A3403" s="2" t="s">
        <v>59</v>
      </c>
      <c r="B3403" s="2" t="s">
        <v>60</v>
      </c>
      <c r="C3403" s="2" t="s">
        <v>34090</v>
      </c>
      <c r="D3403" s="2" t="s">
        <v>34091</v>
      </c>
      <c r="E3403" s="2" t="s">
        <v>34092</v>
      </c>
      <c r="G3403" s="3" t="s">
        <v>64</v>
      </c>
      <c r="I3403" s="3" t="s">
        <v>128</v>
      </c>
      <c r="J3403" s="3" t="s">
        <v>64</v>
      </c>
      <c r="K3403" s="3" t="s">
        <v>65</v>
      </c>
      <c r="M3403" s="2" t="s">
        <v>34083</v>
      </c>
      <c r="N3403" s="3" t="s">
        <v>144</v>
      </c>
      <c r="P3403" s="3" t="s">
        <v>102</v>
      </c>
      <c r="R3403" s="3" t="s">
        <v>70</v>
      </c>
      <c r="S3403" s="4">
        <v>5</v>
      </c>
      <c r="T3403" s="4">
        <v>8</v>
      </c>
      <c r="U3403" s="5" t="s">
        <v>19896</v>
      </c>
      <c r="V3403" s="5" t="s">
        <v>19896</v>
      </c>
      <c r="W3403" s="5" t="s">
        <v>72</v>
      </c>
      <c r="X3403" s="5" t="s">
        <v>72</v>
      </c>
      <c r="Y3403" s="4">
        <v>141</v>
      </c>
      <c r="Z3403" s="4">
        <v>89</v>
      </c>
      <c r="AA3403" s="4">
        <v>94</v>
      </c>
      <c r="AB3403" s="4">
        <v>5</v>
      </c>
      <c r="AC3403" s="4">
        <v>9</v>
      </c>
      <c r="AD3403" s="4">
        <v>67</v>
      </c>
      <c r="AE3403" s="4">
        <v>69</v>
      </c>
      <c r="AF3403" s="4">
        <v>2</v>
      </c>
      <c r="AG3403" s="4">
        <v>4</v>
      </c>
      <c r="AH3403" s="4">
        <v>33</v>
      </c>
      <c r="AI3403" s="4">
        <v>34</v>
      </c>
      <c r="AJ3403" s="4">
        <v>27</v>
      </c>
      <c r="AK3403" s="4">
        <v>29</v>
      </c>
      <c r="AL3403" s="4">
        <v>17</v>
      </c>
      <c r="AM3403" s="4">
        <v>17</v>
      </c>
      <c r="AN3403" s="4">
        <v>0</v>
      </c>
      <c r="AO3403" s="4">
        <v>0</v>
      </c>
      <c r="AP3403" s="4">
        <v>42</v>
      </c>
      <c r="AQ3403" s="4">
        <v>43</v>
      </c>
      <c r="AR3403" s="3" t="s">
        <v>128</v>
      </c>
      <c r="AS3403" s="3" t="s">
        <v>64</v>
      </c>
      <c r="AT3403" s="3" t="s">
        <v>128</v>
      </c>
      <c r="AU3403" s="6" t="str">
        <f>HYPERLINK("http://catalog.hathitrust.org/Record/005933922","HathiTrust Record")</f>
        <v>HathiTrust Record</v>
      </c>
      <c r="AV3403" s="6" t="str">
        <f>HYPERLINK("http://mcgill.on.worldcat.org/oclc/244205576","Catalog Record")</f>
        <v>Catalog Record</v>
      </c>
      <c r="AW3403" s="6" t="str">
        <f>HYPERLINK("http://www.worldcat.org/oclc/244205576","WorldCat Record")</f>
        <v>WorldCat Record</v>
      </c>
      <c r="AX3403" s="3" t="s">
        <v>34093</v>
      </c>
      <c r="AY3403" s="3" t="s">
        <v>34094</v>
      </c>
      <c r="AZ3403" s="3" t="s">
        <v>34095</v>
      </c>
      <c r="BA3403" s="3" t="s">
        <v>34095</v>
      </c>
      <c r="BB3403" s="3" t="s">
        <v>34096</v>
      </c>
      <c r="BC3403" s="3" t="s">
        <v>77</v>
      </c>
      <c r="BD3403" s="3" t="s">
        <v>78</v>
      </c>
      <c r="BE3403" s="3" t="s">
        <v>34097</v>
      </c>
      <c r="BF3403" s="3" t="s">
        <v>34096</v>
      </c>
      <c r="BG3403" s="3" t="s">
        <v>34098</v>
      </c>
      <c r="BH3403">
        <f t="shared" si="80"/>
        <v>0</v>
      </c>
    </row>
    <row r="3404" spans="1:60" ht="72.5" x14ac:dyDescent="0.35">
      <c r="A3404" s="2" t="s">
        <v>59</v>
      </c>
      <c r="B3404" s="2" t="s">
        <v>60</v>
      </c>
      <c r="C3404" s="2" t="s">
        <v>34090</v>
      </c>
      <c r="D3404" s="2" t="s">
        <v>34091</v>
      </c>
      <c r="E3404" s="2" t="s">
        <v>34092</v>
      </c>
      <c r="G3404" s="3" t="s">
        <v>64</v>
      </c>
      <c r="I3404" s="3" t="s">
        <v>128</v>
      </c>
      <c r="J3404" s="3" t="s">
        <v>64</v>
      </c>
      <c r="K3404" s="3" t="s">
        <v>65</v>
      </c>
      <c r="M3404" s="2" t="s">
        <v>34083</v>
      </c>
      <c r="N3404" s="3" t="s">
        <v>144</v>
      </c>
      <c r="P3404" s="3" t="s">
        <v>102</v>
      </c>
      <c r="R3404" s="3" t="s">
        <v>70</v>
      </c>
      <c r="S3404" s="4">
        <v>3</v>
      </c>
      <c r="T3404" s="4">
        <v>8</v>
      </c>
      <c r="U3404" s="5" t="s">
        <v>34099</v>
      </c>
      <c r="V3404" s="5" t="s">
        <v>19896</v>
      </c>
      <c r="W3404" s="5" t="s">
        <v>72</v>
      </c>
      <c r="X3404" s="5" t="s">
        <v>72</v>
      </c>
      <c r="Y3404" s="4">
        <v>141</v>
      </c>
      <c r="Z3404" s="4">
        <v>89</v>
      </c>
      <c r="AA3404" s="4">
        <v>94</v>
      </c>
      <c r="AB3404" s="4">
        <v>5</v>
      </c>
      <c r="AC3404" s="4">
        <v>9</v>
      </c>
      <c r="AD3404" s="4">
        <v>67</v>
      </c>
      <c r="AE3404" s="4">
        <v>69</v>
      </c>
      <c r="AF3404" s="4">
        <v>2</v>
      </c>
      <c r="AG3404" s="4">
        <v>4</v>
      </c>
      <c r="AH3404" s="4">
        <v>33</v>
      </c>
      <c r="AI3404" s="4">
        <v>34</v>
      </c>
      <c r="AJ3404" s="4">
        <v>27</v>
      </c>
      <c r="AK3404" s="4">
        <v>29</v>
      </c>
      <c r="AL3404" s="4">
        <v>17</v>
      </c>
      <c r="AM3404" s="4">
        <v>17</v>
      </c>
      <c r="AN3404" s="4">
        <v>0</v>
      </c>
      <c r="AO3404" s="4">
        <v>0</v>
      </c>
      <c r="AP3404" s="4">
        <v>42</v>
      </c>
      <c r="AQ3404" s="4">
        <v>43</v>
      </c>
      <c r="AR3404" s="3" t="s">
        <v>128</v>
      </c>
      <c r="AS3404" s="3" t="s">
        <v>64</v>
      </c>
      <c r="AT3404" s="3" t="s">
        <v>128</v>
      </c>
      <c r="AU3404" s="6" t="str">
        <f>HYPERLINK("http://catalog.hathitrust.org/Record/005933922","HathiTrust Record")</f>
        <v>HathiTrust Record</v>
      </c>
      <c r="AV3404" s="6" t="str">
        <f>HYPERLINK("http://mcgill.on.worldcat.org/oclc/244205576","Catalog Record")</f>
        <v>Catalog Record</v>
      </c>
      <c r="AW3404" s="6" t="str">
        <f>HYPERLINK("http://www.worldcat.org/oclc/244205576","WorldCat Record")</f>
        <v>WorldCat Record</v>
      </c>
      <c r="AX3404" s="3" t="s">
        <v>34093</v>
      </c>
      <c r="AY3404" s="3" t="s">
        <v>34094</v>
      </c>
      <c r="AZ3404" s="3" t="s">
        <v>34095</v>
      </c>
      <c r="BA3404" s="3" t="s">
        <v>34095</v>
      </c>
      <c r="BB3404" s="3" t="s">
        <v>34100</v>
      </c>
      <c r="BC3404" s="3" t="s">
        <v>77</v>
      </c>
      <c r="BD3404" s="3" t="s">
        <v>78</v>
      </c>
      <c r="BE3404" s="3" t="s">
        <v>34097</v>
      </c>
      <c r="BF3404" s="3" t="s">
        <v>34100</v>
      </c>
      <c r="BG3404" s="3" t="s">
        <v>34101</v>
      </c>
      <c r="BH3404">
        <f t="shared" si="80"/>
        <v>0</v>
      </c>
    </row>
    <row r="3405" spans="1:60" ht="58" x14ac:dyDescent="0.35">
      <c r="A3405" s="2" t="s">
        <v>59</v>
      </c>
      <c r="B3405" s="2" t="s">
        <v>60</v>
      </c>
      <c r="C3405" s="2" t="s">
        <v>34102</v>
      </c>
      <c r="D3405" s="2" t="s">
        <v>34103</v>
      </c>
      <c r="E3405" s="2" t="s">
        <v>34104</v>
      </c>
      <c r="G3405" s="3" t="s">
        <v>64</v>
      </c>
      <c r="I3405" s="3" t="s">
        <v>128</v>
      </c>
      <c r="J3405" s="3" t="s">
        <v>64</v>
      </c>
      <c r="K3405" s="3" t="s">
        <v>65</v>
      </c>
      <c r="M3405" s="2" t="s">
        <v>34105</v>
      </c>
      <c r="N3405" s="3" t="s">
        <v>378</v>
      </c>
      <c r="P3405" s="3" t="s">
        <v>102</v>
      </c>
      <c r="R3405" s="3" t="s">
        <v>70</v>
      </c>
      <c r="S3405" s="4">
        <v>35</v>
      </c>
      <c r="T3405" s="4">
        <v>35</v>
      </c>
      <c r="U3405" s="5" t="s">
        <v>34106</v>
      </c>
      <c r="V3405" s="5" t="s">
        <v>34106</v>
      </c>
      <c r="W3405" s="5" t="s">
        <v>72</v>
      </c>
      <c r="X3405" s="5" t="s">
        <v>72</v>
      </c>
      <c r="Y3405" s="4">
        <v>126</v>
      </c>
      <c r="Z3405" s="4">
        <v>54</v>
      </c>
      <c r="AA3405" s="4">
        <v>60</v>
      </c>
      <c r="AB3405" s="4">
        <v>4</v>
      </c>
      <c r="AC3405" s="4">
        <v>9</v>
      </c>
      <c r="AD3405" s="4">
        <v>74</v>
      </c>
      <c r="AE3405" s="4">
        <v>79</v>
      </c>
      <c r="AF3405" s="4">
        <v>2</v>
      </c>
      <c r="AG3405" s="4">
        <v>6</v>
      </c>
      <c r="AH3405" s="4">
        <v>52</v>
      </c>
      <c r="AI3405" s="4">
        <v>53</v>
      </c>
      <c r="AJ3405" s="4">
        <v>21</v>
      </c>
      <c r="AK3405" s="4">
        <v>25</v>
      </c>
      <c r="AL3405" s="4">
        <v>26</v>
      </c>
      <c r="AM3405" s="4">
        <v>26</v>
      </c>
      <c r="AN3405" s="4">
        <v>0</v>
      </c>
      <c r="AO3405" s="4">
        <v>0</v>
      </c>
      <c r="AP3405" s="4">
        <v>31</v>
      </c>
      <c r="AQ3405" s="4">
        <v>35</v>
      </c>
      <c r="AR3405" s="3" t="s">
        <v>128</v>
      </c>
      <c r="AS3405" s="3" t="s">
        <v>64</v>
      </c>
      <c r="AT3405" s="3" t="s">
        <v>64</v>
      </c>
      <c r="AV3405" s="6" t="str">
        <f>HYPERLINK("http://mcgill.on.worldcat.org/oclc/14971873","Catalog Record")</f>
        <v>Catalog Record</v>
      </c>
      <c r="AW3405" s="6" t="str">
        <f>HYPERLINK("http://www.worldcat.org/oclc/14971873","WorldCat Record")</f>
        <v>WorldCat Record</v>
      </c>
      <c r="AX3405" s="3" t="s">
        <v>34107</v>
      </c>
      <c r="AY3405" s="3" t="s">
        <v>34108</v>
      </c>
      <c r="AZ3405" s="3" t="s">
        <v>34109</v>
      </c>
      <c r="BA3405" s="3" t="s">
        <v>34109</v>
      </c>
      <c r="BB3405" s="3" t="s">
        <v>34110</v>
      </c>
      <c r="BC3405" s="3" t="s">
        <v>77</v>
      </c>
      <c r="BD3405" s="3" t="s">
        <v>78</v>
      </c>
      <c r="BE3405" s="3" t="s">
        <v>34111</v>
      </c>
      <c r="BF3405" s="3" t="s">
        <v>34110</v>
      </c>
      <c r="BG3405" s="3" t="s">
        <v>34112</v>
      </c>
      <c r="BH3405">
        <f t="shared" si="80"/>
        <v>0</v>
      </c>
    </row>
    <row r="3406" spans="1:60" ht="58" x14ac:dyDescent="0.35">
      <c r="A3406" s="2" t="s">
        <v>59</v>
      </c>
      <c r="B3406" s="2" t="s">
        <v>60</v>
      </c>
      <c r="C3406" s="2" t="s">
        <v>34113</v>
      </c>
      <c r="D3406" s="2" t="s">
        <v>34114</v>
      </c>
      <c r="E3406" s="2" t="s">
        <v>34115</v>
      </c>
      <c r="G3406" s="3" t="s">
        <v>64</v>
      </c>
      <c r="I3406" s="3" t="s">
        <v>128</v>
      </c>
      <c r="J3406" s="3" t="s">
        <v>64</v>
      </c>
      <c r="K3406" s="3" t="s">
        <v>65</v>
      </c>
      <c r="M3406" s="2" t="s">
        <v>34116</v>
      </c>
      <c r="N3406" s="3" t="s">
        <v>1615</v>
      </c>
      <c r="P3406" s="3" t="s">
        <v>102</v>
      </c>
      <c r="R3406" s="3" t="s">
        <v>70</v>
      </c>
      <c r="S3406" s="4">
        <v>28</v>
      </c>
      <c r="T3406" s="4">
        <v>53</v>
      </c>
      <c r="U3406" s="5" t="s">
        <v>34106</v>
      </c>
      <c r="V3406" s="5" t="s">
        <v>34106</v>
      </c>
      <c r="W3406" s="5" t="s">
        <v>72</v>
      </c>
      <c r="X3406" s="5" t="s">
        <v>72</v>
      </c>
      <c r="Y3406" s="4">
        <v>65</v>
      </c>
      <c r="Z3406" s="4">
        <v>38</v>
      </c>
      <c r="AA3406" s="4">
        <v>40</v>
      </c>
      <c r="AB3406" s="4">
        <v>2</v>
      </c>
      <c r="AC3406" s="4">
        <v>4</v>
      </c>
      <c r="AD3406" s="4">
        <v>40</v>
      </c>
      <c r="AE3406" s="4">
        <v>41</v>
      </c>
      <c r="AF3406" s="4">
        <v>1</v>
      </c>
      <c r="AG3406" s="4">
        <v>2</v>
      </c>
      <c r="AH3406" s="4">
        <v>26</v>
      </c>
      <c r="AI3406" s="4">
        <v>26</v>
      </c>
      <c r="AJ3406" s="4">
        <v>19</v>
      </c>
      <c r="AK3406" s="4">
        <v>20</v>
      </c>
      <c r="AL3406" s="4">
        <v>12</v>
      </c>
      <c r="AM3406" s="4">
        <v>12</v>
      </c>
      <c r="AN3406" s="4">
        <v>0</v>
      </c>
      <c r="AO3406" s="4">
        <v>0</v>
      </c>
      <c r="AP3406" s="4">
        <v>22</v>
      </c>
      <c r="AQ3406" s="4">
        <v>22</v>
      </c>
      <c r="AR3406" s="3" t="s">
        <v>128</v>
      </c>
      <c r="AS3406" s="3" t="s">
        <v>64</v>
      </c>
      <c r="AT3406" s="3" t="s">
        <v>64</v>
      </c>
      <c r="AV3406" s="6" t="str">
        <f>HYPERLINK("http://mcgill.on.worldcat.org/oclc/35699101","Catalog Record")</f>
        <v>Catalog Record</v>
      </c>
      <c r="AW3406" s="6" t="str">
        <f>HYPERLINK("http://www.worldcat.org/oclc/35699101","WorldCat Record")</f>
        <v>WorldCat Record</v>
      </c>
      <c r="AX3406" s="3" t="s">
        <v>34117</v>
      </c>
      <c r="AY3406" s="3" t="s">
        <v>34118</v>
      </c>
      <c r="AZ3406" s="3" t="s">
        <v>34119</v>
      </c>
      <c r="BA3406" s="3" t="s">
        <v>34119</v>
      </c>
      <c r="BB3406" s="3" t="s">
        <v>34120</v>
      </c>
      <c r="BC3406" s="3" t="s">
        <v>77</v>
      </c>
      <c r="BD3406" s="3" t="s">
        <v>78</v>
      </c>
      <c r="BE3406" s="3" t="s">
        <v>34121</v>
      </c>
      <c r="BF3406" s="3" t="s">
        <v>34120</v>
      </c>
      <c r="BG3406" s="3" t="s">
        <v>34122</v>
      </c>
      <c r="BH3406">
        <f t="shared" si="80"/>
        <v>0</v>
      </c>
    </row>
    <row r="3407" spans="1:60" ht="58" x14ac:dyDescent="0.35">
      <c r="A3407" s="2" t="s">
        <v>59</v>
      </c>
      <c r="B3407" s="2" t="s">
        <v>60</v>
      </c>
      <c r="C3407" s="2" t="s">
        <v>34113</v>
      </c>
      <c r="D3407" s="2" t="s">
        <v>34114</v>
      </c>
      <c r="E3407" s="2" t="s">
        <v>34115</v>
      </c>
      <c r="G3407" s="3" t="s">
        <v>64</v>
      </c>
      <c r="I3407" s="3" t="s">
        <v>128</v>
      </c>
      <c r="J3407" s="3" t="s">
        <v>64</v>
      </c>
      <c r="K3407" s="3" t="s">
        <v>65</v>
      </c>
      <c r="M3407" s="2" t="s">
        <v>34116</v>
      </c>
      <c r="N3407" s="3" t="s">
        <v>1615</v>
      </c>
      <c r="P3407" s="3" t="s">
        <v>102</v>
      </c>
      <c r="R3407" s="3" t="s">
        <v>70</v>
      </c>
      <c r="S3407" s="4">
        <v>25</v>
      </c>
      <c r="T3407" s="4">
        <v>53</v>
      </c>
      <c r="U3407" s="5" t="s">
        <v>118</v>
      </c>
      <c r="V3407" s="5" t="s">
        <v>34106</v>
      </c>
      <c r="W3407" s="5" t="s">
        <v>72</v>
      </c>
      <c r="X3407" s="5" t="s">
        <v>72</v>
      </c>
      <c r="Y3407" s="4">
        <v>65</v>
      </c>
      <c r="Z3407" s="4">
        <v>38</v>
      </c>
      <c r="AA3407" s="4">
        <v>40</v>
      </c>
      <c r="AB3407" s="4">
        <v>2</v>
      </c>
      <c r="AC3407" s="4">
        <v>4</v>
      </c>
      <c r="AD3407" s="4">
        <v>40</v>
      </c>
      <c r="AE3407" s="4">
        <v>41</v>
      </c>
      <c r="AF3407" s="4">
        <v>1</v>
      </c>
      <c r="AG3407" s="4">
        <v>2</v>
      </c>
      <c r="AH3407" s="4">
        <v>26</v>
      </c>
      <c r="AI3407" s="4">
        <v>26</v>
      </c>
      <c r="AJ3407" s="4">
        <v>19</v>
      </c>
      <c r="AK3407" s="4">
        <v>20</v>
      </c>
      <c r="AL3407" s="4">
        <v>12</v>
      </c>
      <c r="AM3407" s="4">
        <v>12</v>
      </c>
      <c r="AN3407" s="4">
        <v>0</v>
      </c>
      <c r="AO3407" s="4">
        <v>0</v>
      </c>
      <c r="AP3407" s="4">
        <v>22</v>
      </c>
      <c r="AQ3407" s="4">
        <v>22</v>
      </c>
      <c r="AR3407" s="3" t="s">
        <v>128</v>
      </c>
      <c r="AS3407" s="3" t="s">
        <v>64</v>
      </c>
      <c r="AT3407" s="3" t="s">
        <v>64</v>
      </c>
      <c r="AV3407" s="6" t="str">
        <f>HYPERLINK("http://mcgill.on.worldcat.org/oclc/35699101","Catalog Record")</f>
        <v>Catalog Record</v>
      </c>
      <c r="AW3407" s="6" t="str">
        <f>HYPERLINK("http://www.worldcat.org/oclc/35699101","WorldCat Record")</f>
        <v>WorldCat Record</v>
      </c>
      <c r="AX3407" s="3" t="s">
        <v>34117</v>
      </c>
      <c r="AY3407" s="3" t="s">
        <v>34118</v>
      </c>
      <c r="AZ3407" s="3" t="s">
        <v>34119</v>
      </c>
      <c r="BA3407" s="3" t="s">
        <v>34119</v>
      </c>
      <c r="BB3407" s="3" t="s">
        <v>34123</v>
      </c>
      <c r="BC3407" s="3" t="s">
        <v>77</v>
      </c>
      <c r="BD3407" s="3" t="s">
        <v>78</v>
      </c>
      <c r="BE3407" s="3" t="s">
        <v>34121</v>
      </c>
      <c r="BF3407" s="3" t="s">
        <v>34123</v>
      </c>
      <c r="BG3407" s="3" t="s">
        <v>34124</v>
      </c>
      <c r="BH3407">
        <f t="shared" si="80"/>
        <v>0</v>
      </c>
    </row>
    <row r="3408" spans="1:60" ht="58" x14ac:dyDescent="0.35">
      <c r="A3408" s="2" t="s">
        <v>59</v>
      </c>
      <c r="B3408" s="2" t="s">
        <v>60</v>
      </c>
      <c r="C3408" s="2" t="s">
        <v>34125</v>
      </c>
      <c r="D3408" s="2" t="s">
        <v>34126</v>
      </c>
      <c r="E3408" s="2" t="s">
        <v>34127</v>
      </c>
      <c r="G3408" s="3" t="s">
        <v>64</v>
      </c>
      <c r="I3408" s="3" t="s">
        <v>64</v>
      </c>
      <c r="J3408" s="3" t="s">
        <v>128</v>
      </c>
      <c r="K3408" s="3" t="s">
        <v>65</v>
      </c>
      <c r="L3408" s="2" t="s">
        <v>34128</v>
      </c>
      <c r="N3408" s="3" t="s">
        <v>315</v>
      </c>
      <c r="P3408" s="3" t="s">
        <v>102</v>
      </c>
      <c r="R3408" s="3" t="s">
        <v>70</v>
      </c>
      <c r="S3408" s="4">
        <v>1</v>
      </c>
      <c r="T3408" s="4">
        <v>1</v>
      </c>
      <c r="U3408" s="5" t="s">
        <v>16597</v>
      </c>
      <c r="V3408" s="5" t="s">
        <v>16597</v>
      </c>
      <c r="W3408" s="5" t="s">
        <v>72</v>
      </c>
      <c r="X3408" s="5" t="s">
        <v>72</v>
      </c>
      <c r="Y3408" s="4">
        <v>21</v>
      </c>
      <c r="Z3408" s="4">
        <v>6</v>
      </c>
      <c r="AA3408" s="4">
        <v>11</v>
      </c>
      <c r="AB3408" s="4">
        <v>1</v>
      </c>
      <c r="AC3408" s="4">
        <v>1</v>
      </c>
      <c r="AD3408" s="4">
        <v>15</v>
      </c>
      <c r="AE3408" s="4">
        <v>22</v>
      </c>
      <c r="AF3408" s="4">
        <v>0</v>
      </c>
      <c r="AG3408" s="4">
        <v>0</v>
      </c>
      <c r="AH3408" s="4">
        <v>13</v>
      </c>
      <c r="AI3408" s="4">
        <v>19</v>
      </c>
      <c r="AJ3408" s="4">
        <v>4</v>
      </c>
      <c r="AK3408" s="4">
        <v>7</v>
      </c>
      <c r="AL3408" s="4">
        <v>7</v>
      </c>
      <c r="AM3408" s="4">
        <v>11</v>
      </c>
      <c r="AN3408" s="4">
        <v>0</v>
      </c>
      <c r="AO3408" s="4">
        <v>0</v>
      </c>
      <c r="AP3408" s="4">
        <v>3</v>
      </c>
      <c r="AQ3408" s="4">
        <v>7</v>
      </c>
      <c r="AR3408" s="3" t="s">
        <v>128</v>
      </c>
      <c r="AS3408" s="3" t="s">
        <v>64</v>
      </c>
      <c r="AT3408" s="3" t="s">
        <v>128</v>
      </c>
      <c r="AU3408" s="6" t="str">
        <f>HYPERLINK("http://catalog.hathitrust.org/Record/003018805","HathiTrust Record")</f>
        <v>HathiTrust Record</v>
      </c>
      <c r="AV3408" s="6" t="str">
        <f>HYPERLINK("http://mcgill.on.worldcat.org/oclc/58266","Catalog Record")</f>
        <v>Catalog Record</v>
      </c>
      <c r="AW3408" s="6" t="str">
        <f>HYPERLINK("http://www.worldcat.org/oclc/58266","WorldCat Record")</f>
        <v>WorldCat Record</v>
      </c>
      <c r="AX3408" s="3" t="s">
        <v>34129</v>
      </c>
      <c r="AY3408" s="3" t="s">
        <v>34130</v>
      </c>
      <c r="AZ3408" s="3" t="s">
        <v>34131</v>
      </c>
      <c r="BA3408" s="3" t="s">
        <v>34131</v>
      </c>
      <c r="BB3408" s="3" t="s">
        <v>34132</v>
      </c>
      <c r="BC3408" s="3" t="s">
        <v>77</v>
      </c>
      <c r="BD3408" s="3" t="s">
        <v>78</v>
      </c>
      <c r="BF3408" s="3" t="s">
        <v>34132</v>
      </c>
      <c r="BG3408" s="3" t="s">
        <v>34133</v>
      </c>
      <c r="BH3408">
        <f t="shared" si="80"/>
        <v>0</v>
      </c>
    </row>
    <row r="3409" spans="1:60" ht="58" x14ac:dyDescent="0.35">
      <c r="A3409" s="2" t="s">
        <v>59</v>
      </c>
      <c r="B3409" s="2" t="s">
        <v>60</v>
      </c>
      <c r="C3409" s="2" t="s">
        <v>34134</v>
      </c>
      <c r="D3409" s="2" t="s">
        <v>34135</v>
      </c>
      <c r="E3409" s="2" t="s">
        <v>34136</v>
      </c>
      <c r="G3409" s="3" t="s">
        <v>64</v>
      </c>
      <c r="I3409" s="3" t="s">
        <v>128</v>
      </c>
      <c r="J3409" s="3" t="s">
        <v>64</v>
      </c>
      <c r="K3409" s="3" t="s">
        <v>65</v>
      </c>
      <c r="L3409" s="2" t="s">
        <v>34137</v>
      </c>
      <c r="N3409" s="3" t="s">
        <v>2923</v>
      </c>
      <c r="P3409" s="3" t="s">
        <v>102</v>
      </c>
      <c r="R3409" s="3" t="s">
        <v>70</v>
      </c>
      <c r="S3409" s="4">
        <v>1</v>
      </c>
      <c r="T3409" s="4">
        <v>4</v>
      </c>
      <c r="U3409" s="5" t="s">
        <v>133</v>
      </c>
      <c r="V3409" s="5" t="s">
        <v>133</v>
      </c>
      <c r="W3409" s="5" t="s">
        <v>72</v>
      </c>
      <c r="X3409" s="5" t="s">
        <v>72</v>
      </c>
      <c r="Y3409" s="4">
        <v>30</v>
      </c>
      <c r="Z3409" s="4">
        <v>7</v>
      </c>
      <c r="AA3409" s="4">
        <v>19</v>
      </c>
      <c r="AB3409" s="4">
        <v>1</v>
      </c>
      <c r="AC3409" s="4">
        <v>3</v>
      </c>
      <c r="AD3409" s="4">
        <v>15</v>
      </c>
      <c r="AE3409" s="4">
        <v>23</v>
      </c>
      <c r="AF3409" s="4">
        <v>0</v>
      </c>
      <c r="AG3409" s="4">
        <v>1</v>
      </c>
      <c r="AH3409" s="4">
        <v>14</v>
      </c>
      <c r="AI3409" s="4">
        <v>18</v>
      </c>
      <c r="AJ3409" s="4">
        <v>2</v>
      </c>
      <c r="AK3409" s="4">
        <v>9</v>
      </c>
      <c r="AL3409" s="4">
        <v>10</v>
      </c>
      <c r="AM3409" s="4">
        <v>11</v>
      </c>
      <c r="AN3409" s="4">
        <v>5</v>
      </c>
      <c r="AO3409" s="4">
        <v>5</v>
      </c>
      <c r="AP3409" s="4">
        <v>2</v>
      </c>
      <c r="AQ3409" s="4">
        <v>7</v>
      </c>
      <c r="AR3409" s="3" t="s">
        <v>128</v>
      </c>
      <c r="AS3409" s="3" t="s">
        <v>64</v>
      </c>
      <c r="AT3409" s="3" t="s">
        <v>128</v>
      </c>
      <c r="AU3409" s="6" t="str">
        <f>HYPERLINK("http://catalog.hathitrust.org/Record/007310140","HathiTrust Record")</f>
        <v>HathiTrust Record</v>
      </c>
      <c r="AV3409" s="6" t="str">
        <f>HYPERLINK("http://mcgill.on.worldcat.org/oclc/12059173","Catalog Record")</f>
        <v>Catalog Record</v>
      </c>
      <c r="AW3409" s="6" t="str">
        <f>HYPERLINK("http://www.worldcat.org/oclc/12059173","WorldCat Record")</f>
        <v>WorldCat Record</v>
      </c>
      <c r="AX3409" s="3" t="s">
        <v>34138</v>
      </c>
      <c r="AY3409" s="3" t="s">
        <v>34139</v>
      </c>
      <c r="AZ3409" s="3" t="s">
        <v>34140</v>
      </c>
      <c r="BA3409" s="3" t="s">
        <v>34140</v>
      </c>
      <c r="BB3409" s="3" t="s">
        <v>34141</v>
      </c>
      <c r="BC3409" s="3" t="s">
        <v>77</v>
      </c>
      <c r="BD3409" s="3" t="s">
        <v>78</v>
      </c>
      <c r="BF3409" s="3" t="s">
        <v>34141</v>
      </c>
      <c r="BG3409" s="3" t="s">
        <v>34142</v>
      </c>
      <c r="BH3409">
        <f t="shared" si="80"/>
        <v>0</v>
      </c>
    </row>
    <row r="3410" spans="1:60" ht="58" x14ac:dyDescent="0.35">
      <c r="A3410" s="2" t="s">
        <v>59</v>
      </c>
      <c r="B3410" s="2" t="s">
        <v>60</v>
      </c>
      <c r="C3410" s="2" t="s">
        <v>34134</v>
      </c>
      <c r="D3410" s="2" t="s">
        <v>34135</v>
      </c>
      <c r="E3410" s="2" t="s">
        <v>34136</v>
      </c>
      <c r="G3410" s="3" t="s">
        <v>64</v>
      </c>
      <c r="I3410" s="3" t="s">
        <v>128</v>
      </c>
      <c r="J3410" s="3" t="s">
        <v>64</v>
      </c>
      <c r="K3410" s="3" t="s">
        <v>65</v>
      </c>
      <c r="L3410" s="2" t="s">
        <v>34137</v>
      </c>
      <c r="N3410" s="3" t="s">
        <v>2923</v>
      </c>
      <c r="P3410" s="3" t="s">
        <v>102</v>
      </c>
      <c r="R3410" s="3" t="s">
        <v>70</v>
      </c>
      <c r="S3410" s="4">
        <v>3</v>
      </c>
      <c r="T3410" s="4">
        <v>4</v>
      </c>
      <c r="U3410" s="5" t="s">
        <v>14812</v>
      </c>
      <c r="V3410" s="5" t="s">
        <v>133</v>
      </c>
      <c r="W3410" s="5" t="s">
        <v>72</v>
      </c>
      <c r="X3410" s="5" t="s">
        <v>72</v>
      </c>
      <c r="Y3410" s="4">
        <v>30</v>
      </c>
      <c r="Z3410" s="4">
        <v>7</v>
      </c>
      <c r="AA3410" s="4">
        <v>19</v>
      </c>
      <c r="AB3410" s="4">
        <v>1</v>
      </c>
      <c r="AC3410" s="4">
        <v>3</v>
      </c>
      <c r="AD3410" s="4">
        <v>15</v>
      </c>
      <c r="AE3410" s="4">
        <v>23</v>
      </c>
      <c r="AF3410" s="4">
        <v>0</v>
      </c>
      <c r="AG3410" s="4">
        <v>1</v>
      </c>
      <c r="AH3410" s="4">
        <v>14</v>
      </c>
      <c r="AI3410" s="4">
        <v>18</v>
      </c>
      <c r="AJ3410" s="4">
        <v>2</v>
      </c>
      <c r="AK3410" s="4">
        <v>9</v>
      </c>
      <c r="AL3410" s="4">
        <v>10</v>
      </c>
      <c r="AM3410" s="4">
        <v>11</v>
      </c>
      <c r="AN3410" s="4">
        <v>5</v>
      </c>
      <c r="AO3410" s="4">
        <v>5</v>
      </c>
      <c r="AP3410" s="4">
        <v>2</v>
      </c>
      <c r="AQ3410" s="4">
        <v>7</v>
      </c>
      <c r="AR3410" s="3" t="s">
        <v>128</v>
      </c>
      <c r="AS3410" s="3" t="s">
        <v>64</v>
      </c>
      <c r="AT3410" s="3" t="s">
        <v>128</v>
      </c>
      <c r="AU3410" s="6" t="str">
        <f>HYPERLINK("http://catalog.hathitrust.org/Record/007310140","HathiTrust Record")</f>
        <v>HathiTrust Record</v>
      </c>
      <c r="AV3410" s="6" t="str">
        <f>HYPERLINK("http://mcgill.on.worldcat.org/oclc/12059173","Catalog Record")</f>
        <v>Catalog Record</v>
      </c>
      <c r="AW3410" s="6" t="str">
        <f>HYPERLINK("http://www.worldcat.org/oclc/12059173","WorldCat Record")</f>
        <v>WorldCat Record</v>
      </c>
      <c r="AX3410" s="3" t="s">
        <v>34138</v>
      </c>
      <c r="AY3410" s="3" t="s">
        <v>34139</v>
      </c>
      <c r="AZ3410" s="3" t="s">
        <v>34140</v>
      </c>
      <c r="BA3410" s="3" t="s">
        <v>34140</v>
      </c>
      <c r="BB3410" s="3" t="s">
        <v>34143</v>
      </c>
      <c r="BC3410" s="3" t="s">
        <v>77</v>
      </c>
      <c r="BD3410" s="3" t="s">
        <v>78</v>
      </c>
      <c r="BF3410" s="3" t="s">
        <v>34143</v>
      </c>
      <c r="BG3410" s="3" t="s">
        <v>34144</v>
      </c>
      <c r="BH3410">
        <f t="shared" si="80"/>
        <v>0</v>
      </c>
    </row>
    <row r="3411" spans="1:60" ht="58" x14ac:dyDescent="0.35">
      <c r="A3411" s="2" t="s">
        <v>59</v>
      </c>
      <c r="B3411" s="2" t="s">
        <v>60</v>
      </c>
      <c r="C3411" s="2" t="s">
        <v>34145</v>
      </c>
      <c r="D3411" s="2" t="s">
        <v>34146</v>
      </c>
      <c r="E3411" s="2" t="s">
        <v>34147</v>
      </c>
      <c r="G3411" s="3" t="s">
        <v>64</v>
      </c>
      <c r="I3411" s="3" t="s">
        <v>64</v>
      </c>
      <c r="J3411" s="3" t="s">
        <v>64</v>
      </c>
      <c r="K3411" s="3" t="s">
        <v>65</v>
      </c>
      <c r="L3411" s="2" t="s">
        <v>34148</v>
      </c>
      <c r="M3411" s="2" t="s">
        <v>34149</v>
      </c>
      <c r="N3411" s="3" t="s">
        <v>24283</v>
      </c>
      <c r="P3411" s="3" t="s">
        <v>102</v>
      </c>
      <c r="R3411" s="3" t="s">
        <v>70</v>
      </c>
      <c r="S3411" s="4">
        <v>18</v>
      </c>
      <c r="T3411" s="4">
        <v>18</v>
      </c>
      <c r="U3411" s="5" t="s">
        <v>34150</v>
      </c>
      <c r="V3411" s="5" t="s">
        <v>34150</v>
      </c>
      <c r="W3411" s="5" t="s">
        <v>72</v>
      </c>
      <c r="X3411" s="5" t="s">
        <v>72</v>
      </c>
      <c r="Y3411" s="4">
        <v>154</v>
      </c>
      <c r="Z3411" s="4">
        <v>38</v>
      </c>
      <c r="AA3411" s="4">
        <v>44</v>
      </c>
      <c r="AB3411" s="4">
        <v>3</v>
      </c>
      <c r="AC3411" s="4">
        <v>7</v>
      </c>
      <c r="AD3411" s="4">
        <v>76</v>
      </c>
      <c r="AE3411" s="4">
        <v>82</v>
      </c>
      <c r="AF3411" s="4">
        <v>1</v>
      </c>
      <c r="AG3411" s="4">
        <v>4</v>
      </c>
      <c r="AH3411" s="4">
        <v>62</v>
      </c>
      <c r="AI3411" s="4">
        <v>64</v>
      </c>
      <c r="AJ3411" s="4">
        <v>19</v>
      </c>
      <c r="AK3411" s="4">
        <v>23</v>
      </c>
      <c r="AL3411" s="4">
        <v>36</v>
      </c>
      <c r="AM3411" s="4">
        <v>36</v>
      </c>
      <c r="AN3411" s="4">
        <v>0</v>
      </c>
      <c r="AO3411" s="4">
        <v>0</v>
      </c>
      <c r="AP3411" s="4">
        <v>24</v>
      </c>
      <c r="AQ3411" s="4">
        <v>28</v>
      </c>
      <c r="AR3411" s="3" t="s">
        <v>128</v>
      </c>
      <c r="AS3411" s="3" t="s">
        <v>128</v>
      </c>
      <c r="AT3411" s="3" t="s">
        <v>64</v>
      </c>
      <c r="AU3411" s="6" t="str">
        <f>HYPERLINK("http://catalog.hathitrust.org/Record/001165046","HathiTrust Record")</f>
        <v>HathiTrust Record</v>
      </c>
      <c r="AV3411" s="6" t="str">
        <f>HYPERLINK("http://mcgill.on.worldcat.org/oclc/832008","Catalog Record")</f>
        <v>Catalog Record</v>
      </c>
      <c r="AW3411" s="6" t="str">
        <f>HYPERLINK("http://www.worldcat.org/oclc/832008","WorldCat Record")</f>
        <v>WorldCat Record</v>
      </c>
      <c r="AX3411" s="3" t="s">
        <v>34151</v>
      </c>
      <c r="AY3411" s="3" t="s">
        <v>34152</v>
      </c>
      <c r="AZ3411" s="3" t="s">
        <v>34153</v>
      </c>
      <c r="BA3411" s="3" t="s">
        <v>34153</v>
      </c>
      <c r="BB3411" s="3" t="s">
        <v>34154</v>
      </c>
      <c r="BC3411" s="3" t="s">
        <v>77</v>
      </c>
      <c r="BD3411" s="3" t="s">
        <v>78</v>
      </c>
      <c r="BF3411" s="3" t="s">
        <v>34154</v>
      </c>
      <c r="BG3411" s="3" t="s">
        <v>34155</v>
      </c>
      <c r="BH3411">
        <f t="shared" si="80"/>
        <v>0</v>
      </c>
    </row>
    <row r="3412" spans="1:60" ht="58" x14ac:dyDescent="0.35">
      <c r="A3412" s="2" t="s">
        <v>59</v>
      </c>
      <c r="B3412" s="2" t="s">
        <v>60</v>
      </c>
      <c r="C3412" s="2" t="s">
        <v>34156</v>
      </c>
      <c r="D3412" s="2" t="s">
        <v>34157</v>
      </c>
      <c r="E3412" s="2" t="s">
        <v>34158</v>
      </c>
      <c r="G3412" s="3" t="s">
        <v>64</v>
      </c>
      <c r="I3412" s="3" t="s">
        <v>64</v>
      </c>
      <c r="J3412" s="3" t="s">
        <v>64</v>
      </c>
      <c r="K3412" s="3" t="s">
        <v>65</v>
      </c>
      <c r="L3412" s="2" t="s">
        <v>34159</v>
      </c>
      <c r="M3412" s="2" t="s">
        <v>34160</v>
      </c>
      <c r="N3412" s="3" t="s">
        <v>685</v>
      </c>
      <c r="P3412" s="3" t="s">
        <v>102</v>
      </c>
      <c r="R3412" s="3" t="s">
        <v>70</v>
      </c>
      <c r="S3412" s="4">
        <v>6</v>
      </c>
      <c r="T3412" s="4">
        <v>6</v>
      </c>
      <c r="U3412" s="5" t="s">
        <v>34161</v>
      </c>
      <c r="V3412" s="5" t="s">
        <v>34161</v>
      </c>
      <c r="W3412" s="5" t="s">
        <v>72</v>
      </c>
      <c r="X3412" s="5" t="s">
        <v>72</v>
      </c>
      <c r="Y3412" s="4">
        <v>2</v>
      </c>
      <c r="Z3412" s="4">
        <v>2</v>
      </c>
      <c r="AA3412" s="4">
        <v>2</v>
      </c>
      <c r="AB3412" s="4">
        <v>1</v>
      </c>
      <c r="AC3412" s="4">
        <v>1</v>
      </c>
      <c r="AD3412" s="4">
        <v>1</v>
      </c>
      <c r="AE3412" s="4">
        <v>1</v>
      </c>
      <c r="AF3412" s="4">
        <v>0</v>
      </c>
      <c r="AG3412" s="4">
        <v>0</v>
      </c>
      <c r="AH3412" s="4">
        <v>1</v>
      </c>
      <c r="AI3412" s="4">
        <v>1</v>
      </c>
      <c r="AJ3412" s="4">
        <v>1</v>
      </c>
      <c r="AK3412" s="4">
        <v>1</v>
      </c>
      <c r="AL3412" s="4">
        <v>0</v>
      </c>
      <c r="AM3412" s="4">
        <v>0</v>
      </c>
      <c r="AN3412" s="4">
        <v>0</v>
      </c>
      <c r="AO3412" s="4">
        <v>0</v>
      </c>
      <c r="AP3412" s="4">
        <v>1</v>
      </c>
      <c r="AQ3412" s="4">
        <v>1</v>
      </c>
      <c r="AR3412" s="3" t="s">
        <v>128</v>
      </c>
      <c r="AS3412" s="3" t="s">
        <v>64</v>
      </c>
      <c r="AT3412" s="3" t="s">
        <v>64</v>
      </c>
      <c r="AV3412" s="6" t="str">
        <f>HYPERLINK("http://mcgill.on.worldcat.org/oclc/61609837","Catalog Record")</f>
        <v>Catalog Record</v>
      </c>
      <c r="AW3412" s="6" t="str">
        <f>HYPERLINK("http://www.worldcat.org/oclc/61609837","WorldCat Record")</f>
        <v>WorldCat Record</v>
      </c>
      <c r="AX3412" s="3" t="s">
        <v>34162</v>
      </c>
      <c r="AY3412" s="3" t="s">
        <v>34163</v>
      </c>
      <c r="AZ3412" s="3" t="s">
        <v>34164</v>
      </c>
      <c r="BA3412" s="3" t="s">
        <v>34164</v>
      </c>
      <c r="BB3412" s="3" t="s">
        <v>34165</v>
      </c>
      <c r="BC3412" s="3" t="s">
        <v>77</v>
      </c>
      <c r="BD3412" s="3" t="s">
        <v>78</v>
      </c>
      <c r="BF3412" s="3" t="s">
        <v>34165</v>
      </c>
      <c r="BG3412" s="3" t="s">
        <v>34166</v>
      </c>
      <c r="BH3412">
        <f t="shared" si="80"/>
        <v>0</v>
      </c>
    </row>
    <row r="3413" spans="1:60" ht="58" x14ac:dyDescent="0.35">
      <c r="A3413" s="2" t="s">
        <v>59</v>
      </c>
      <c r="B3413" s="2" t="s">
        <v>6744</v>
      </c>
      <c r="C3413" s="2" t="s">
        <v>34167</v>
      </c>
      <c r="D3413" s="2" t="s">
        <v>34168</v>
      </c>
      <c r="E3413" s="2" t="s">
        <v>34169</v>
      </c>
      <c r="G3413" s="3" t="s">
        <v>64</v>
      </c>
      <c r="I3413" s="3" t="s">
        <v>128</v>
      </c>
      <c r="J3413" s="3" t="s">
        <v>64</v>
      </c>
      <c r="K3413" s="3" t="s">
        <v>65</v>
      </c>
      <c r="L3413" s="2" t="s">
        <v>34170</v>
      </c>
      <c r="M3413" s="2" t="s">
        <v>34171</v>
      </c>
      <c r="N3413" s="3" t="s">
        <v>3721</v>
      </c>
      <c r="P3413" s="3" t="s">
        <v>68</v>
      </c>
      <c r="R3413" s="3" t="s">
        <v>70</v>
      </c>
      <c r="S3413" s="4">
        <v>0</v>
      </c>
      <c r="T3413" s="4">
        <v>21</v>
      </c>
      <c r="V3413" s="5" t="s">
        <v>14247</v>
      </c>
      <c r="W3413" s="5" t="s">
        <v>72</v>
      </c>
      <c r="X3413" s="5" t="s">
        <v>72</v>
      </c>
      <c r="Y3413" s="4">
        <v>89</v>
      </c>
      <c r="Z3413" s="4">
        <v>34</v>
      </c>
      <c r="AA3413" s="4">
        <v>53</v>
      </c>
      <c r="AB3413" s="4">
        <v>6</v>
      </c>
      <c r="AC3413" s="4">
        <v>20</v>
      </c>
      <c r="AD3413" s="4">
        <v>55</v>
      </c>
      <c r="AE3413" s="4">
        <v>62</v>
      </c>
      <c r="AF3413" s="4">
        <v>2</v>
      </c>
      <c r="AG3413" s="4">
        <v>8</v>
      </c>
      <c r="AH3413" s="4">
        <v>39</v>
      </c>
      <c r="AI3413" s="4">
        <v>40</v>
      </c>
      <c r="AJ3413" s="4">
        <v>18</v>
      </c>
      <c r="AK3413" s="4">
        <v>22</v>
      </c>
      <c r="AL3413" s="4">
        <v>26</v>
      </c>
      <c r="AM3413" s="4">
        <v>26</v>
      </c>
      <c r="AN3413" s="4">
        <v>0</v>
      </c>
      <c r="AO3413" s="4">
        <v>0</v>
      </c>
      <c r="AP3413" s="4">
        <v>24</v>
      </c>
      <c r="AQ3413" s="4">
        <v>30</v>
      </c>
      <c r="AR3413" s="3" t="s">
        <v>128</v>
      </c>
      <c r="AS3413" s="3" t="s">
        <v>64</v>
      </c>
      <c r="AT3413" s="3" t="s">
        <v>128</v>
      </c>
      <c r="AU3413" s="6" t="str">
        <f>HYPERLINK("http://catalog.hathitrust.org/Record/000183664","HathiTrust Record")</f>
        <v>HathiTrust Record</v>
      </c>
      <c r="AV3413" s="6" t="str">
        <f>HYPERLINK("http://mcgill.on.worldcat.org/oclc/6522321","Catalog Record")</f>
        <v>Catalog Record</v>
      </c>
      <c r="AW3413" s="6" t="str">
        <f>HYPERLINK("http://www.worldcat.org/oclc/6522321","WorldCat Record")</f>
        <v>WorldCat Record</v>
      </c>
      <c r="AX3413" s="3" t="s">
        <v>34172</v>
      </c>
      <c r="AY3413" s="3" t="s">
        <v>34173</v>
      </c>
      <c r="AZ3413" s="3" t="s">
        <v>34174</v>
      </c>
      <c r="BA3413" s="3" t="s">
        <v>34174</v>
      </c>
      <c r="BB3413" s="3" t="s">
        <v>34175</v>
      </c>
      <c r="BC3413" s="3" t="s">
        <v>77</v>
      </c>
      <c r="BD3413" s="3" t="s">
        <v>78</v>
      </c>
      <c r="BE3413" s="3" t="s">
        <v>34176</v>
      </c>
      <c r="BF3413" s="3" t="s">
        <v>34175</v>
      </c>
      <c r="BG3413" s="3" t="s">
        <v>34177</v>
      </c>
      <c r="BH3413">
        <f t="shared" si="80"/>
        <v>0</v>
      </c>
    </row>
    <row r="3414" spans="1:60" ht="58" x14ac:dyDescent="0.35">
      <c r="A3414" s="2" t="s">
        <v>59</v>
      </c>
      <c r="B3414" s="2" t="s">
        <v>60</v>
      </c>
      <c r="C3414" s="2" t="s">
        <v>34167</v>
      </c>
      <c r="D3414" s="2" t="s">
        <v>34168</v>
      </c>
      <c r="E3414" s="2" t="s">
        <v>34169</v>
      </c>
      <c r="G3414" s="3" t="s">
        <v>64</v>
      </c>
      <c r="I3414" s="3" t="s">
        <v>128</v>
      </c>
      <c r="J3414" s="3" t="s">
        <v>64</v>
      </c>
      <c r="K3414" s="3" t="s">
        <v>65</v>
      </c>
      <c r="L3414" s="2" t="s">
        <v>34170</v>
      </c>
      <c r="M3414" s="2" t="s">
        <v>34171</v>
      </c>
      <c r="N3414" s="3" t="s">
        <v>3721</v>
      </c>
      <c r="P3414" s="3" t="s">
        <v>68</v>
      </c>
      <c r="R3414" s="3" t="s">
        <v>70</v>
      </c>
      <c r="S3414" s="4">
        <v>11</v>
      </c>
      <c r="T3414" s="4">
        <v>21</v>
      </c>
      <c r="U3414" s="5" t="s">
        <v>22191</v>
      </c>
      <c r="V3414" s="5" t="s">
        <v>14247</v>
      </c>
      <c r="W3414" s="5" t="s">
        <v>72</v>
      </c>
      <c r="X3414" s="5" t="s">
        <v>72</v>
      </c>
      <c r="Y3414" s="4">
        <v>89</v>
      </c>
      <c r="Z3414" s="4">
        <v>34</v>
      </c>
      <c r="AA3414" s="4">
        <v>53</v>
      </c>
      <c r="AB3414" s="4">
        <v>6</v>
      </c>
      <c r="AC3414" s="4">
        <v>20</v>
      </c>
      <c r="AD3414" s="4">
        <v>55</v>
      </c>
      <c r="AE3414" s="4">
        <v>62</v>
      </c>
      <c r="AF3414" s="4">
        <v>2</v>
      </c>
      <c r="AG3414" s="4">
        <v>8</v>
      </c>
      <c r="AH3414" s="4">
        <v>39</v>
      </c>
      <c r="AI3414" s="4">
        <v>40</v>
      </c>
      <c r="AJ3414" s="4">
        <v>18</v>
      </c>
      <c r="AK3414" s="4">
        <v>22</v>
      </c>
      <c r="AL3414" s="4">
        <v>26</v>
      </c>
      <c r="AM3414" s="4">
        <v>26</v>
      </c>
      <c r="AN3414" s="4">
        <v>0</v>
      </c>
      <c r="AO3414" s="4">
        <v>0</v>
      </c>
      <c r="AP3414" s="4">
        <v>24</v>
      </c>
      <c r="AQ3414" s="4">
        <v>30</v>
      </c>
      <c r="AR3414" s="3" t="s">
        <v>128</v>
      </c>
      <c r="AS3414" s="3" t="s">
        <v>64</v>
      </c>
      <c r="AT3414" s="3" t="s">
        <v>128</v>
      </c>
      <c r="AU3414" s="6" t="str">
        <f>HYPERLINK("http://catalog.hathitrust.org/Record/000183664","HathiTrust Record")</f>
        <v>HathiTrust Record</v>
      </c>
      <c r="AV3414" s="6" t="str">
        <f>HYPERLINK("http://mcgill.on.worldcat.org/oclc/6522321","Catalog Record")</f>
        <v>Catalog Record</v>
      </c>
      <c r="AW3414" s="6" t="str">
        <f>HYPERLINK("http://www.worldcat.org/oclc/6522321","WorldCat Record")</f>
        <v>WorldCat Record</v>
      </c>
      <c r="AX3414" s="3" t="s">
        <v>34172</v>
      </c>
      <c r="AY3414" s="3" t="s">
        <v>34173</v>
      </c>
      <c r="AZ3414" s="3" t="s">
        <v>34174</v>
      </c>
      <c r="BA3414" s="3" t="s">
        <v>34174</v>
      </c>
      <c r="BB3414" s="3" t="s">
        <v>34178</v>
      </c>
      <c r="BC3414" s="3" t="s">
        <v>77</v>
      </c>
      <c r="BD3414" s="3" t="s">
        <v>78</v>
      </c>
      <c r="BE3414" s="3" t="s">
        <v>34176</v>
      </c>
      <c r="BF3414" s="3" t="s">
        <v>34178</v>
      </c>
      <c r="BG3414" s="3" t="s">
        <v>34179</v>
      </c>
      <c r="BH3414">
        <f t="shared" si="80"/>
        <v>0</v>
      </c>
    </row>
    <row r="3415" spans="1:60" ht="58" x14ac:dyDescent="0.35">
      <c r="A3415" s="2" t="s">
        <v>59</v>
      </c>
      <c r="B3415" s="2" t="s">
        <v>60</v>
      </c>
      <c r="C3415" s="2" t="s">
        <v>34167</v>
      </c>
      <c r="D3415" s="2" t="s">
        <v>34168</v>
      </c>
      <c r="E3415" s="2" t="s">
        <v>34169</v>
      </c>
      <c r="G3415" s="3" t="s">
        <v>64</v>
      </c>
      <c r="I3415" s="3" t="s">
        <v>128</v>
      </c>
      <c r="J3415" s="3" t="s">
        <v>64</v>
      </c>
      <c r="K3415" s="3" t="s">
        <v>65</v>
      </c>
      <c r="L3415" s="2" t="s">
        <v>34170</v>
      </c>
      <c r="M3415" s="2" t="s">
        <v>34171</v>
      </c>
      <c r="N3415" s="3" t="s">
        <v>3721</v>
      </c>
      <c r="P3415" s="3" t="s">
        <v>68</v>
      </c>
      <c r="R3415" s="3" t="s">
        <v>70</v>
      </c>
      <c r="S3415" s="4">
        <v>10</v>
      </c>
      <c r="T3415" s="4">
        <v>21</v>
      </c>
      <c r="U3415" s="5" t="s">
        <v>14247</v>
      </c>
      <c r="V3415" s="5" t="s">
        <v>14247</v>
      </c>
      <c r="W3415" s="5" t="s">
        <v>72</v>
      </c>
      <c r="X3415" s="5" t="s">
        <v>72</v>
      </c>
      <c r="Y3415" s="4">
        <v>89</v>
      </c>
      <c r="Z3415" s="4">
        <v>34</v>
      </c>
      <c r="AA3415" s="4">
        <v>53</v>
      </c>
      <c r="AB3415" s="4">
        <v>6</v>
      </c>
      <c r="AC3415" s="4">
        <v>20</v>
      </c>
      <c r="AD3415" s="4">
        <v>55</v>
      </c>
      <c r="AE3415" s="4">
        <v>62</v>
      </c>
      <c r="AF3415" s="4">
        <v>2</v>
      </c>
      <c r="AG3415" s="4">
        <v>8</v>
      </c>
      <c r="AH3415" s="4">
        <v>39</v>
      </c>
      <c r="AI3415" s="4">
        <v>40</v>
      </c>
      <c r="AJ3415" s="4">
        <v>18</v>
      </c>
      <c r="AK3415" s="4">
        <v>22</v>
      </c>
      <c r="AL3415" s="4">
        <v>26</v>
      </c>
      <c r="AM3415" s="4">
        <v>26</v>
      </c>
      <c r="AN3415" s="4">
        <v>0</v>
      </c>
      <c r="AO3415" s="4">
        <v>0</v>
      </c>
      <c r="AP3415" s="4">
        <v>24</v>
      </c>
      <c r="AQ3415" s="4">
        <v>30</v>
      </c>
      <c r="AR3415" s="3" t="s">
        <v>128</v>
      </c>
      <c r="AS3415" s="3" t="s">
        <v>64</v>
      </c>
      <c r="AT3415" s="3" t="s">
        <v>128</v>
      </c>
      <c r="AU3415" s="6" t="str">
        <f>HYPERLINK("http://catalog.hathitrust.org/Record/000183664","HathiTrust Record")</f>
        <v>HathiTrust Record</v>
      </c>
      <c r="AV3415" s="6" t="str">
        <f>HYPERLINK("http://mcgill.on.worldcat.org/oclc/6522321","Catalog Record")</f>
        <v>Catalog Record</v>
      </c>
      <c r="AW3415" s="6" t="str">
        <f>HYPERLINK("http://www.worldcat.org/oclc/6522321","WorldCat Record")</f>
        <v>WorldCat Record</v>
      </c>
      <c r="AX3415" s="3" t="s">
        <v>34172</v>
      </c>
      <c r="AY3415" s="3" t="s">
        <v>34173</v>
      </c>
      <c r="AZ3415" s="3" t="s">
        <v>34174</v>
      </c>
      <c r="BA3415" s="3" t="s">
        <v>34174</v>
      </c>
      <c r="BB3415" s="3" t="s">
        <v>34180</v>
      </c>
      <c r="BC3415" s="3" t="s">
        <v>77</v>
      </c>
      <c r="BD3415" s="3" t="s">
        <v>78</v>
      </c>
      <c r="BE3415" s="3" t="s">
        <v>34176</v>
      </c>
      <c r="BF3415" s="3" t="s">
        <v>34180</v>
      </c>
      <c r="BG3415" s="3" t="s">
        <v>34181</v>
      </c>
      <c r="BH3415">
        <f t="shared" si="80"/>
        <v>0</v>
      </c>
    </row>
    <row r="3416" spans="1:60" ht="58" x14ac:dyDescent="0.35">
      <c r="A3416" s="2" t="s">
        <v>59</v>
      </c>
      <c r="B3416" s="2" t="s">
        <v>60</v>
      </c>
      <c r="C3416" s="2" t="s">
        <v>34182</v>
      </c>
      <c r="D3416" s="2" t="s">
        <v>34183</v>
      </c>
      <c r="E3416" s="2" t="s">
        <v>34184</v>
      </c>
      <c r="G3416" s="3" t="s">
        <v>64</v>
      </c>
      <c r="I3416" s="3" t="s">
        <v>64</v>
      </c>
      <c r="J3416" s="3" t="s">
        <v>64</v>
      </c>
      <c r="K3416" s="3" t="s">
        <v>65</v>
      </c>
      <c r="L3416" s="2" t="s">
        <v>34185</v>
      </c>
      <c r="M3416" s="2" t="s">
        <v>34186</v>
      </c>
      <c r="N3416" s="3" t="s">
        <v>1250</v>
      </c>
      <c r="P3416" s="3" t="s">
        <v>102</v>
      </c>
      <c r="R3416" s="3" t="s">
        <v>70</v>
      </c>
      <c r="S3416" s="4">
        <v>16</v>
      </c>
      <c r="T3416" s="4">
        <v>16</v>
      </c>
      <c r="U3416" s="5" t="s">
        <v>269</v>
      </c>
      <c r="V3416" s="5" t="s">
        <v>269</v>
      </c>
      <c r="W3416" s="5" t="s">
        <v>72</v>
      </c>
      <c r="X3416" s="5" t="s">
        <v>72</v>
      </c>
      <c r="Y3416" s="4">
        <v>89</v>
      </c>
      <c r="Z3416" s="4">
        <v>55</v>
      </c>
      <c r="AA3416" s="4">
        <v>144</v>
      </c>
      <c r="AB3416" s="4">
        <v>1</v>
      </c>
      <c r="AC3416" s="4">
        <v>23</v>
      </c>
      <c r="AD3416" s="4">
        <v>44</v>
      </c>
      <c r="AE3416" s="4">
        <v>110</v>
      </c>
      <c r="AF3416" s="4">
        <v>0</v>
      </c>
      <c r="AG3416" s="4">
        <v>9</v>
      </c>
      <c r="AH3416" s="4">
        <v>27</v>
      </c>
      <c r="AI3416" s="4">
        <v>61</v>
      </c>
      <c r="AJ3416" s="4">
        <v>17</v>
      </c>
      <c r="AK3416" s="4">
        <v>28</v>
      </c>
      <c r="AL3416" s="4">
        <v>10</v>
      </c>
      <c r="AM3416" s="4">
        <v>27</v>
      </c>
      <c r="AN3416" s="4">
        <v>0</v>
      </c>
      <c r="AO3416" s="4">
        <v>0</v>
      </c>
      <c r="AP3416" s="4">
        <v>27</v>
      </c>
      <c r="AQ3416" s="4">
        <v>58</v>
      </c>
      <c r="AR3416" s="3" t="s">
        <v>128</v>
      </c>
      <c r="AS3416" s="3" t="s">
        <v>64</v>
      </c>
      <c r="AT3416" s="3" t="s">
        <v>64</v>
      </c>
      <c r="AV3416" s="6" t="str">
        <f>HYPERLINK("http://mcgill.on.worldcat.org/oclc/31289005","Catalog Record")</f>
        <v>Catalog Record</v>
      </c>
      <c r="AW3416" s="6" t="str">
        <f>HYPERLINK("http://www.worldcat.org/oclc/31289005","WorldCat Record")</f>
        <v>WorldCat Record</v>
      </c>
      <c r="AX3416" s="3" t="s">
        <v>34187</v>
      </c>
      <c r="AY3416" s="3" t="s">
        <v>34188</v>
      </c>
      <c r="AZ3416" s="3" t="s">
        <v>34189</v>
      </c>
      <c r="BA3416" s="3" t="s">
        <v>34189</v>
      </c>
      <c r="BB3416" s="3" t="s">
        <v>34190</v>
      </c>
      <c r="BC3416" s="3" t="s">
        <v>77</v>
      </c>
      <c r="BD3416" s="3" t="s">
        <v>78</v>
      </c>
      <c r="BE3416" s="3" t="s">
        <v>34191</v>
      </c>
      <c r="BF3416" s="3" t="s">
        <v>34190</v>
      </c>
      <c r="BG3416" s="3" t="s">
        <v>34192</v>
      </c>
      <c r="BH3416">
        <f t="shared" si="80"/>
        <v>0</v>
      </c>
    </row>
    <row r="3417" spans="1:60" ht="58" x14ac:dyDescent="0.35">
      <c r="A3417" s="2" t="s">
        <v>59</v>
      </c>
      <c r="B3417" s="2" t="s">
        <v>60</v>
      </c>
      <c r="C3417" s="2" t="s">
        <v>34193</v>
      </c>
      <c r="D3417" s="2" t="s">
        <v>34194</v>
      </c>
      <c r="E3417" s="2" t="s">
        <v>34195</v>
      </c>
      <c r="G3417" s="3" t="s">
        <v>64</v>
      </c>
      <c r="I3417" s="3" t="s">
        <v>64</v>
      </c>
      <c r="J3417" s="3" t="s">
        <v>64</v>
      </c>
      <c r="K3417" s="3" t="s">
        <v>65</v>
      </c>
      <c r="L3417" s="2" t="s">
        <v>34185</v>
      </c>
      <c r="M3417" s="2" t="s">
        <v>34196</v>
      </c>
      <c r="N3417" s="3" t="s">
        <v>511</v>
      </c>
      <c r="P3417" s="3" t="s">
        <v>102</v>
      </c>
      <c r="R3417" s="3" t="s">
        <v>70</v>
      </c>
      <c r="S3417" s="4">
        <v>2</v>
      </c>
      <c r="T3417" s="4">
        <v>2</v>
      </c>
      <c r="U3417" s="5" t="s">
        <v>4804</v>
      </c>
      <c r="V3417" s="5" t="s">
        <v>4804</v>
      </c>
      <c r="W3417" s="5" t="s">
        <v>72</v>
      </c>
      <c r="X3417" s="5" t="s">
        <v>72</v>
      </c>
      <c r="Y3417" s="4">
        <v>20</v>
      </c>
      <c r="Z3417" s="4">
        <v>15</v>
      </c>
      <c r="AA3417" s="4">
        <v>56</v>
      </c>
      <c r="AB3417" s="4">
        <v>1</v>
      </c>
      <c r="AC3417" s="4">
        <v>4</v>
      </c>
      <c r="AD3417" s="4">
        <v>10</v>
      </c>
      <c r="AE3417" s="4">
        <v>31</v>
      </c>
      <c r="AF3417" s="4">
        <v>0</v>
      </c>
      <c r="AG3417" s="4">
        <v>2</v>
      </c>
      <c r="AH3417" s="4">
        <v>8</v>
      </c>
      <c r="AI3417" s="4">
        <v>10</v>
      </c>
      <c r="AJ3417" s="4">
        <v>8</v>
      </c>
      <c r="AK3417" s="4">
        <v>17</v>
      </c>
      <c r="AL3417" s="4">
        <v>2</v>
      </c>
      <c r="AM3417" s="4">
        <v>2</v>
      </c>
      <c r="AN3417" s="4">
        <v>0</v>
      </c>
      <c r="AO3417" s="4">
        <v>0</v>
      </c>
      <c r="AP3417" s="4">
        <v>7</v>
      </c>
      <c r="AQ3417" s="4">
        <v>27</v>
      </c>
      <c r="AR3417" s="3" t="s">
        <v>128</v>
      </c>
      <c r="AS3417" s="3" t="s">
        <v>64</v>
      </c>
      <c r="AT3417" s="3" t="s">
        <v>64</v>
      </c>
      <c r="AV3417" s="6" t="str">
        <f>HYPERLINK("http://mcgill.on.worldcat.org/oclc/659174181","Catalog Record")</f>
        <v>Catalog Record</v>
      </c>
      <c r="AW3417" s="6" t="str">
        <f>HYPERLINK("http://www.worldcat.org/oclc/659174181","WorldCat Record")</f>
        <v>WorldCat Record</v>
      </c>
      <c r="AX3417" s="3" t="s">
        <v>34197</v>
      </c>
      <c r="AY3417" s="3" t="s">
        <v>34198</v>
      </c>
      <c r="AZ3417" s="3" t="s">
        <v>34199</v>
      </c>
      <c r="BA3417" s="3" t="s">
        <v>34199</v>
      </c>
      <c r="BB3417" s="3" t="s">
        <v>34200</v>
      </c>
      <c r="BC3417" s="3" t="s">
        <v>77</v>
      </c>
      <c r="BD3417" s="3" t="s">
        <v>78</v>
      </c>
      <c r="BE3417" s="3" t="s">
        <v>34201</v>
      </c>
      <c r="BF3417" s="3" t="s">
        <v>34200</v>
      </c>
      <c r="BG3417" s="3" t="s">
        <v>34202</v>
      </c>
      <c r="BH3417">
        <f t="shared" si="80"/>
        <v>0</v>
      </c>
    </row>
    <row r="3418" spans="1:60" ht="58" x14ac:dyDescent="0.35">
      <c r="A3418" s="2" t="s">
        <v>59</v>
      </c>
      <c r="B3418" s="2" t="s">
        <v>60</v>
      </c>
      <c r="C3418" s="2" t="s">
        <v>34203</v>
      </c>
      <c r="D3418" s="2" t="s">
        <v>34204</v>
      </c>
      <c r="E3418" s="2" t="s">
        <v>34205</v>
      </c>
      <c r="G3418" s="3" t="s">
        <v>64</v>
      </c>
      <c r="I3418" s="3" t="s">
        <v>64</v>
      </c>
      <c r="J3418" s="3" t="s">
        <v>64</v>
      </c>
      <c r="K3418" s="3" t="s">
        <v>65</v>
      </c>
      <c r="L3418" s="2" t="s">
        <v>34206</v>
      </c>
      <c r="M3418" s="2" t="s">
        <v>34207</v>
      </c>
      <c r="N3418" s="3" t="s">
        <v>11160</v>
      </c>
      <c r="P3418" s="3" t="s">
        <v>102</v>
      </c>
      <c r="R3418" s="3" t="s">
        <v>70</v>
      </c>
      <c r="S3418" s="4">
        <v>6</v>
      </c>
      <c r="T3418" s="4">
        <v>6</v>
      </c>
      <c r="U3418" s="5" t="s">
        <v>26181</v>
      </c>
      <c r="V3418" s="5" t="s">
        <v>26181</v>
      </c>
      <c r="W3418" s="5" t="s">
        <v>72</v>
      </c>
      <c r="X3418" s="5" t="s">
        <v>72</v>
      </c>
      <c r="Y3418" s="4">
        <v>1</v>
      </c>
      <c r="Z3418" s="4">
        <v>1</v>
      </c>
      <c r="AA3418" s="4">
        <v>5</v>
      </c>
      <c r="AB3418" s="4">
        <v>1</v>
      </c>
      <c r="AC3418" s="4">
        <v>1</v>
      </c>
      <c r="AD3418" s="4">
        <v>0</v>
      </c>
      <c r="AE3418" s="4">
        <v>4</v>
      </c>
      <c r="AF3418" s="4">
        <v>0</v>
      </c>
      <c r="AG3418" s="4">
        <v>0</v>
      </c>
      <c r="AH3418" s="4">
        <v>0</v>
      </c>
      <c r="AI3418" s="4">
        <v>3</v>
      </c>
      <c r="AJ3418" s="4">
        <v>0</v>
      </c>
      <c r="AK3418" s="4">
        <v>3</v>
      </c>
      <c r="AL3418" s="4">
        <v>0</v>
      </c>
      <c r="AM3418" s="4">
        <v>2</v>
      </c>
      <c r="AN3418" s="4">
        <v>0</v>
      </c>
      <c r="AO3418" s="4">
        <v>0</v>
      </c>
      <c r="AP3418" s="4">
        <v>0</v>
      </c>
      <c r="AQ3418" s="4">
        <v>3</v>
      </c>
      <c r="AR3418" s="3" t="s">
        <v>64</v>
      </c>
      <c r="AS3418" s="3" t="s">
        <v>64</v>
      </c>
      <c r="AT3418" s="3" t="s">
        <v>64</v>
      </c>
      <c r="AV3418" s="6" t="str">
        <f>HYPERLINK("http://mcgill.on.worldcat.org/oclc/61544772","Catalog Record")</f>
        <v>Catalog Record</v>
      </c>
      <c r="AW3418" s="6" t="str">
        <f>HYPERLINK("http://www.worldcat.org/oclc/61544772","WorldCat Record")</f>
        <v>WorldCat Record</v>
      </c>
      <c r="AX3418" s="3" t="s">
        <v>34208</v>
      </c>
      <c r="AY3418" s="3" t="s">
        <v>34209</v>
      </c>
      <c r="AZ3418" s="3" t="s">
        <v>34210</v>
      </c>
      <c r="BA3418" s="3" t="s">
        <v>34210</v>
      </c>
      <c r="BB3418" s="3" t="s">
        <v>34211</v>
      </c>
      <c r="BC3418" s="3" t="s">
        <v>2891</v>
      </c>
      <c r="BD3418" s="3" t="s">
        <v>78</v>
      </c>
      <c r="BF3418" s="3" t="s">
        <v>34211</v>
      </c>
      <c r="BG3418" s="3" t="s">
        <v>34212</v>
      </c>
      <c r="BH3418">
        <f t="shared" si="80"/>
        <v>0</v>
      </c>
    </row>
    <row r="3419" spans="1:60" ht="58" x14ac:dyDescent="0.35">
      <c r="A3419" s="2" t="s">
        <v>59</v>
      </c>
      <c r="B3419" s="2" t="s">
        <v>60</v>
      </c>
      <c r="C3419" s="2" t="s">
        <v>34213</v>
      </c>
      <c r="D3419" s="2" t="s">
        <v>34214</v>
      </c>
      <c r="E3419" s="2" t="s">
        <v>34215</v>
      </c>
      <c r="G3419" s="3" t="s">
        <v>64</v>
      </c>
      <c r="I3419" s="3" t="s">
        <v>64</v>
      </c>
      <c r="J3419" s="3" t="s">
        <v>64</v>
      </c>
      <c r="K3419" s="3" t="s">
        <v>65</v>
      </c>
      <c r="L3419" s="2" t="s">
        <v>34216</v>
      </c>
      <c r="M3419" s="2" t="s">
        <v>34217</v>
      </c>
      <c r="N3419" s="3" t="s">
        <v>1004</v>
      </c>
      <c r="P3419" s="3" t="s">
        <v>102</v>
      </c>
      <c r="R3419" s="3" t="s">
        <v>70</v>
      </c>
      <c r="S3419" s="4">
        <v>5</v>
      </c>
      <c r="T3419" s="4">
        <v>5</v>
      </c>
      <c r="U3419" s="5" t="s">
        <v>17854</v>
      </c>
      <c r="V3419" s="5" t="s">
        <v>17854</v>
      </c>
      <c r="W3419" s="5" t="s">
        <v>72</v>
      </c>
      <c r="X3419" s="5" t="s">
        <v>72</v>
      </c>
      <c r="Y3419" s="4">
        <v>73</v>
      </c>
      <c r="Z3419" s="4">
        <v>32</v>
      </c>
      <c r="AA3419" s="4">
        <v>33</v>
      </c>
      <c r="AB3419" s="4">
        <v>4</v>
      </c>
      <c r="AC3419" s="4">
        <v>5</v>
      </c>
      <c r="AD3419" s="4">
        <v>36</v>
      </c>
      <c r="AE3419" s="4">
        <v>37</v>
      </c>
      <c r="AF3419" s="4">
        <v>1</v>
      </c>
      <c r="AG3419" s="4">
        <v>2</v>
      </c>
      <c r="AH3419" s="4">
        <v>28</v>
      </c>
      <c r="AI3419" s="4">
        <v>28</v>
      </c>
      <c r="AJ3419" s="4">
        <v>16</v>
      </c>
      <c r="AK3419" s="4">
        <v>17</v>
      </c>
      <c r="AL3419" s="4">
        <v>16</v>
      </c>
      <c r="AM3419" s="4">
        <v>16</v>
      </c>
      <c r="AN3419" s="4">
        <v>2</v>
      </c>
      <c r="AO3419" s="4">
        <v>2</v>
      </c>
      <c r="AP3419" s="4">
        <v>17</v>
      </c>
      <c r="AQ3419" s="4">
        <v>17</v>
      </c>
      <c r="AR3419" s="3" t="s">
        <v>128</v>
      </c>
      <c r="AS3419" s="3" t="s">
        <v>64</v>
      </c>
      <c r="AT3419" s="3" t="s">
        <v>128</v>
      </c>
      <c r="AU3419" s="6" t="str">
        <f>HYPERLINK("http://catalog.hathitrust.org/Record/000348012","HathiTrust Record")</f>
        <v>HathiTrust Record</v>
      </c>
      <c r="AV3419" s="6" t="str">
        <f>HYPERLINK("http://mcgill.on.worldcat.org/oclc/12237190","Catalog Record")</f>
        <v>Catalog Record</v>
      </c>
      <c r="AW3419" s="6" t="str">
        <f>HYPERLINK("http://www.worldcat.org/oclc/12237190","WorldCat Record")</f>
        <v>WorldCat Record</v>
      </c>
      <c r="AX3419" s="3" t="s">
        <v>34218</v>
      </c>
      <c r="AY3419" s="3" t="s">
        <v>34219</v>
      </c>
      <c r="AZ3419" s="3" t="s">
        <v>34220</v>
      </c>
      <c r="BA3419" s="3" t="s">
        <v>34220</v>
      </c>
      <c r="BB3419" s="3" t="s">
        <v>34221</v>
      </c>
      <c r="BC3419" s="3" t="s">
        <v>77</v>
      </c>
      <c r="BD3419" s="3" t="s">
        <v>78</v>
      </c>
      <c r="BE3419" s="3" t="s">
        <v>34222</v>
      </c>
      <c r="BF3419" s="3" t="s">
        <v>34221</v>
      </c>
      <c r="BG3419" s="3" t="s">
        <v>34223</v>
      </c>
      <c r="BH3419">
        <f t="shared" si="80"/>
        <v>0</v>
      </c>
    </row>
    <row r="3420" spans="1:60" ht="58" x14ac:dyDescent="0.35">
      <c r="A3420" s="2" t="s">
        <v>59</v>
      </c>
      <c r="B3420" s="2" t="s">
        <v>60</v>
      </c>
      <c r="C3420" s="2" t="s">
        <v>34224</v>
      </c>
      <c r="D3420" s="2" t="s">
        <v>34225</v>
      </c>
      <c r="E3420" s="2" t="s">
        <v>34226</v>
      </c>
      <c r="G3420" s="3" t="s">
        <v>64</v>
      </c>
      <c r="I3420" s="3" t="s">
        <v>64</v>
      </c>
      <c r="J3420" s="3" t="s">
        <v>64</v>
      </c>
      <c r="K3420" s="3" t="s">
        <v>65</v>
      </c>
      <c r="M3420" s="2" t="s">
        <v>34227</v>
      </c>
      <c r="N3420" s="3" t="s">
        <v>578</v>
      </c>
      <c r="P3420" s="3" t="s">
        <v>68</v>
      </c>
      <c r="R3420" s="3" t="s">
        <v>70</v>
      </c>
      <c r="S3420" s="4">
        <v>0</v>
      </c>
      <c r="T3420" s="4">
        <v>0</v>
      </c>
      <c r="W3420" s="5" t="s">
        <v>72</v>
      </c>
      <c r="X3420" s="5" t="s">
        <v>72</v>
      </c>
      <c r="Y3420" s="4">
        <v>6</v>
      </c>
      <c r="Z3420" s="4">
        <v>4</v>
      </c>
      <c r="AA3420" s="4">
        <v>21</v>
      </c>
      <c r="AB3420" s="4">
        <v>2</v>
      </c>
      <c r="AC3420" s="4">
        <v>18</v>
      </c>
      <c r="AD3420" s="4">
        <v>4</v>
      </c>
      <c r="AE3420" s="4">
        <v>11</v>
      </c>
      <c r="AF3420" s="4">
        <v>0</v>
      </c>
      <c r="AG3420" s="4">
        <v>6</v>
      </c>
      <c r="AH3420" s="4">
        <v>3</v>
      </c>
      <c r="AI3420" s="4">
        <v>4</v>
      </c>
      <c r="AJ3420" s="4">
        <v>2</v>
      </c>
      <c r="AK3420" s="4">
        <v>7</v>
      </c>
      <c r="AL3420" s="4">
        <v>1</v>
      </c>
      <c r="AM3420" s="4">
        <v>1</v>
      </c>
      <c r="AN3420" s="4">
        <v>0</v>
      </c>
      <c r="AO3420" s="4">
        <v>0</v>
      </c>
      <c r="AP3420" s="4">
        <v>2</v>
      </c>
      <c r="AQ3420" s="4">
        <v>7</v>
      </c>
      <c r="AR3420" s="3" t="s">
        <v>128</v>
      </c>
      <c r="AS3420" s="3" t="s">
        <v>64</v>
      </c>
      <c r="AT3420" s="3" t="s">
        <v>64</v>
      </c>
      <c r="AV3420" s="6" t="str">
        <f>HYPERLINK("http://mcgill.on.worldcat.org/oclc/1016456673","Catalog Record")</f>
        <v>Catalog Record</v>
      </c>
      <c r="AW3420" s="6" t="str">
        <f>HYPERLINK("http://www.worldcat.org/oclc/1016456673","WorldCat Record")</f>
        <v>WorldCat Record</v>
      </c>
      <c r="AX3420" s="3" t="s">
        <v>34228</v>
      </c>
      <c r="AY3420" s="3" t="s">
        <v>34229</v>
      </c>
      <c r="AZ3420" s="3" t="s">
        <v>34230</v>
      </c>
      <c r="BA3420" s="3" t="s">
        <v>34230</v>
      </c>
      <c r="BB3420" s="3" t="s">
        <v>34231</v>
      </c>
      <c r="BC3420" s="3" t="s">
        <v>77</v>
      </c>
      <c r="BD3420" s="3" t="s">
        <v>78</v>
      </c>
      <c r="BE3420" s="3" t="s">
        <v>34232</v>
      </c>
      <c r="BF3420" s="3" t="s">
        <v>34231</v>
      </c>
      <c r="BG3420" s="3" t="s">
        <v>34233</v>
      </c>
      <c r="BH3420">
        <f t="shared" si="80"/>
        <v>0</v>
      </c>
    </row>
    <row r="3421" spans="1:60" ht="58" x14ac:dyDescent="0.35">
      <c r="A3421" s="2" t="s">
        <v>59</v>
      </c>
      <c r="B3421" s="2" t="s">
        <v>60</v>
      </c>
      <c r="C3421" s="2" t="s">
        <v>34234</v>
      </c>
      <c r="D3421" s="2" t="s">
        <v>34235</v>
      </c>
      <c r="E3421" s="2" t="s">
        <v>34236</v>
      </c>
      <c r="G3421" s="3" t="s">
        <v>64</v>
      </c>
      <c r="I3421" s="3" t="s">
        <v>64</v>
      </c>
      <c r="J3421" s="3" t="s">
        <v>64</v>
      </c>
      <c r="K3421" s="3" t="s">
        <v>65</v>
      </c>
      <c r="L3421" s="2" t="s">
        <v>34237</v>
      </c>
      <c r="N3421" s="3" t="s">
        <v>1615</v>
      </c>
      <c r="P3421" s="3" t="s">
        <v>102</v>
      </c>
      <c r="R3421" s="3" t="s">
        <v>70</v>
      </c>
      <c r="S3421" s="4">
        <v>12</v>
      </c>
      <c r="T3421" s="4">
        <v>12</v>
      </c>
      <c r="U3421" s="5" t="s">
        <v>14365</v>
      </c>
      <c r="V3421" s="5" t="s">
        <v>14365</v>
      </c>
      <c r="W3421" s="5" t="s">
        <v>72</v>
      </c>
      <c r="X3421" s="5" t="s">
        <v>72</v>
      </c>
      <c r="Y3421" s="4">
        <v>5</v>
      </c>
      <c r="Z3421" s="4">
        <v>4</v>
      </c>
      <c r="AA3421" s="4">
        <v>6</v>
      </c>
      <c r="AB3421" s="4">
        <v>1</v>
      </c>
      <c r="AC3421" s="4">
        <v>2</v>
      </c>
      <c r="AD3421" s="4">
        <v>1</v>
      </c>
      <c r="AE3421" s="4">
        <v>8</v>
      </c>
      <c r="AF3421" s="4">
        <v>0</v>
      </c>
      <c r="AG3421" s="4">
        <v>1</v>
      </c>
      <c r="AH3421" s="4">
        <v>1</v>
      </c>
      <c r="AI3421" s="4">
        <v>6</v>
      </c>
      <c r="AJ3421" s="4">
        <v>1</v>
      </c>
      <c r="AK3421" s="4">
        <v>3</v>
      </c>
      <c r="AL3421" s="4">
        <v>1</v>
      </c>
      <c r="AM3421" s="4">
        <v>5</v>
      </c>
      <c r="AN3421" s="4">
        <v>0</v>
      </c>
      <c r="AO3421" s="4">
        <v>0</v>
      </c>
      <c r="AP3421" s="4">
        <v>1</v>
      </c>
      <c r="AQ3421" s="4">
        <v>1</v>
      </c>
      <c r="AR3421" s="3" t="s">
        <v>64</v>
      </c>
      <c r="AS3421" s="3" t="s">
        <v>64</v>
      </c>
      <c r="AT3421" s="3" t="s">
        <v>64</v>
      </c>
      <c r="AV3421" s="6" t="str">
        <f>HYPERLINK("http://mcgill.on.worldcat.org/oclc/221783800","Catalog Record")</f>
        <v>Catalog Record</v>
      </c>
      <c r="AW3421" s="6" t="str">
        <f>HYPERLINK("http://www.worldcat.org/oclc/221783800","WorldCat Record")</f>
        <v>WorldCat Record</v>
      </c>
      <c r="AX3421" s="3" t="s">
        <v>34238</v>
      </c>
      <c r="AY3421" s="3" t="s">
        <v>34239</v>
      </c>
      <c r="AZ3421" s="3" t="s">
        <v>34240</v>
      </c>
      <c r="BA3421" s="3" t="s">
        <v>34240</v>
      </c>
      <c r="BB3421" s="3" t="s">
        <v>34241</v>
      </c>
      <c r="BC3421" s="3" t="s">
        <v>2891</v>
      </c>
      <c r="BD3421" s="3" t="s">
        <v>78</v>
      </c>
      <c r="BE3421" s="3" t="s">
        <v>34242</v>
      </c>
      <c r="BF3421" s="3" t="s">
        <v>34241</v>
      </c>
      <c r="BG3421" s="3" t="s">
        <v>34243</v>
      </c>
      <c r="BH3421">
        <f t="shared" si="80"/>
        <v>0</v>
      </c>
    </row>
    <row r="3422" spans="1:60" ht="58" x14ac:dyDescent="0.35">
      <c r="A3422" s="2" t="s">
        <v>59</v>
      </c>
      <c r="B3422" s="2" t="s">
        <v>60</v>
      </c>
      <c r="C3422" s="2" t="s">
        <v>34244</v>
      </c>
      <c r="D3422" s="2" t="s">
        <v>34245</v>
      </c>
      <c r="E3422" s="2" t="s">
        <v>34246</v>
      </c>
      <c r="G3422" s="3" t="s">
        <v>64</v>
      </c>
      <c r="I3422" s="3" t="s">
        <v>64</v>
      </c>
      <c r="J3422" s="3" t="s">
        <v>64</v>
      </c>
      <c r="K3422" s="3" t="s">
        <v>65</v>
      </c>
      <c r="L3422" s="2" t="s">
        <v>34247</v>
      </c>
      <c r="M3422" s="2" t="s">
        <v>34248</v>
      </c>
      <c r="N3422" s="3" t="s">
        <v>1275</v>
      </c>
      <c r="P3422" s="3" t="s">
        <v>68</v>
      </c>
      <c r="Q3422" s="2" t="s">
        <v>25236</v>
      </c>
      <c r="R3422" s="3" t="s">
        <v>70</v>
      </c>
      <c r="S3422" s="4">
        <v>17</v>
      </c>
      <c r="T3422" s="4">
        <v>17</v>
      </c>
      <c r="U3422" s="5" t="s">
        <v>12841</v>
      </c>
      <c r="V3422" s="5" t="s">
        <v>12841</v>
      </c>
      <c r="W3422" s="5" t="s">
        <v>72</v>
      </c>
      <c r="X3422" s="5" t="s">
        <v>72</v>
      </c>
      <c r="Y3422" s="4">
        <v>53</v>
      </c>
      <c r="Z3422" s="4">
        <v>23</v>
      </c>
      <c r="AA3422" s="4">
        <v>124</v>
      </c>
      <c r="AB3422" s="4">
        <v>13</v>
      </c>
      <c r="AC3422" s="4">
        <v>26</v>
      </c>
      <c r="AD3422" s="4">
        <v>15</v>
      </c>
      <c r="AE3422" s="4">
        <v>101</v>
      </c>
      <c r="AF3422" s="4">
        <v>6</v>
      </c>
      <c r="AG3422" s="4">
        <v>9</v>
      </c>
      <c r="AH3422" s="4">
        <v>6</v>
      </c>
      <c r="AI3422" s="4">
        <v>54</v>
      </c>
      <c r="AJ3422" s="4">
        <v>12</v>
      </c>
      <c r="AK3422" s="4">
        <v>27</v>
      </c>
      <c r="AL3422" s="4">
        <v>2</v>
      </c>
      <c r="AM3422" s="4">
        <v>25</v>
      </c>
      <c r="AN3422" s="4">
        <v>0</v>
      </c>
      <c r="AO3422" s="4">
        <v>0</v>
      </c>
      <c r="AP3422" s="4">
        <v>12</v>
      </c>
      <c r="AQ3422" s="4">
        <v>56</v>
      </c>
      <c r="AR3422" s="3" t="s">
        <v>128</v>
      </c>
      <c r="AS3422" s="3" t="s">
        <v>64</v>
      </c>
      <c r="AT3422" s="3" t="s">
        <v>64</v>
      </c>
      <c r="AV3422" s="6" t="str">
        <f>HYPERLINK("http://mcgill.on.worldcat.org/oclc/55744734","Catalog Record")</f>
        <v>Catalog Record</v>
      </c>
      <c r="AW3422" s="6" t="str">
        <f>HYPERLINK("http://www.worldcat.org/oclc/55744734","WorldCat Record")</f>
        <v>WorldCat Record</v>
      </c>
      <c r="AX3422" s="3" t="s">
        <v>34249</v>
      </c>
      <c r="AY3422" s="3" t="s">
        <v>34250</v>
      </c>
      <c r="AZ3422" s="3" t="s">
        <v>34251</v>
      </c>
      <c r="BA3422" s="3" t="s">
        <v>34251</v>
      </c>
      <c r="BB3422" s="3" t="s">
        <v>34252</v>
      </c>
      <c r="BC3422" s="3" t="s">
        <v>77</v>
      </c>
      <c r="BD3422" s="3" t="s">
        <v>78</v>
      </c>
      <c r="BE3422" s="3" t="s">
        <v>34253</v>
      </c>
      <c r="BF3422" s="3" t="s">
        <v>34252</v>
      </c>
      <c r="BG3422" s="3" t="s">
        <v>34254</v>
      </c>
      <c r="BH3422">
        <f t="shared" si="80"/>
        <v>0</v>
      </c>
    </row>
    <row r="3423" spans="1:60" ht="58" x14ac:dyDescent="0.35">
      <c r="A3423" s="2" t="s">
        <v>59</v>
      </c>
      <c r="B3423" s="2" t="s">
        <v>60</v>
      </c>
      <c r="C3423" s="2" t="s">
        <v>34255</v>
      </c>
      <c r="D3423" s="2" t="s">
        <v>34256</v>
      </c>
      <c r="E3423" s="2" t="s">
        <v>34257</v>
      </c>
      <c r="G3423" s="3" t="s">
        <v>64</v>
      </c>
      <c r="I3423" s="3" t="s">
        <v>64</v>
      </c>
      <c r="J3423" s="3" t="s">
        <v>64</v>
      </c>
      <c r="K3423" s="3" t="s">
        <v>65</v>
      </c>
      <c r="L3423" s="2" t="s">
        <v>34258</v>
      </c>
      <c r="M3423" s="2" t="s">
        <v>34259</v>
      </c>
      <c r="N3423" s="3" t="s">
        <v>537</v>
      </c>
      <c r="P3423" s="3" t="s">
        <v>68</v>
      </c>
      <c r="Q3423" s="2" t="s">
        <v>34260</v>
      </c>
      <c r="R3423" s="3" t="s">
        <v>70</v>
      </c>
      <c r="S3423" s="4">
        <v>0</v>
      </c>
      <c r="T3423" s="4">
        <v>0</v>
      </c>
      <c r="W3423" s="5" t="s">
        <v>72</v>
      </c>
      <c r="X3423" s="5" t="s">
        <v>72</v>
      </c>
      <c r="Y3423" s="4">
        <v>14</v>
      </c>
      <c r="Z3423" s="4">
        <v>9</v>
      </c>
      <c r="AA3423" s="4">
        <v>22</v>
      </c>
      <c r="AB3423" s="4">
        <v>4</v>
      </c>
      <c r="AC3423" s="4">
        <v>14</v>
      </c>
      <c r="AD3423" s="4">
        <v>10</v>
      </c>
      <c r="AE3423" s="4">
        <v>16</v>
      </c>
      <c r="AF3423" s="4">
        <v>2</v>
      </c>
      <c r="AG3423" s="4">
        <v>6</v>
      </c>
      <c r="AH3423" s="4">
        <v>7</v>
      </c>
      <c r="AI3423" s="4">
        <v>8</v>
      </c>
      <c r="AJ3423" s="4">
        <v>5</v>
      </c>
      <c r="AK3423" s="4">
        <v>11</v>
      </c>
      <c r="AL3423" s="4">
        <v>3</v>
      </c>
      <c r="AM3423" s="4">
        <v>3</v>
      </c>
      <c r="AN3423" s="4">
        <v>0</v>
      </c>
      <c r="AO3423" s="4">
        <v>0</v>
      </c>
      <c r="AP3423" s="4">
        <v>6</v>
      </c>
      <c r="AQ3423" s="4">
        <v>9</v>
      </c>
      <c r="AR3423" s="3" t="s">
        <v>128</v>
      </c>
      <c r="AS3423" s="3" t="s">
        <v>64</v>
      </c>
      <c r="AT3423" s="3" t="s">
        <v>64</v>
      </c>
      <c r="AV3423" s="6" t="str">
        <f>HYPERLINK("http://mcgill.on.worldcat.org/oclc/964819516","Catalog Record")</f>
        <v>Catalog Record</v>
      </c>
      <c r="AW3423" s="6" t="str">
        <f>HYPERLINK("http://www.worldcat.org/oclc/964819516","WorldCat Record")</f>
        <v>WorldCat Record</v>
      </c>
      <c r="AX3423" s="3" t="s">
        <v>34261</v>
      </c>
      <c r="AY3423" s="3" t="s">
        <v>34262</v>
      </c>
      <c r="AZ3423" s="3" t="s">
        <v>34263</v>
      </c>
      <c r="BA3423" s="3" t="s">
        <v>34263</v>
      </c>
      <c r="BB3423" s="3" t="s">
        <v>34264</v>
      </c>
      <c r="BC3423" s="3" t="s">
        <v>77</v>
      </c>
      <c r="BD3423" s="3" t="s">
        <v>78</v>
      </c>
      <c r="BE3423" s="3" t="s">
        <v>34265</v>
      </c>
      <c r="BF3423" s="3" t="s">
        <v>34264</v>
      </c>
      <c r="BG3423" s="3" t="s">
        <v>34266</v>
      </c>
      <c r="BH3423">
        <f t="shared" si="80"/>
        <v>0</v>
      </c>
    </row>
    <row r="3424" spans="1:60" ht="58" x14ac:dyDescent="0.35">
      <c r="A3424" s="2" t="s">
        <v>59</v>
      </c>
      <c r="B3424" s="2" t="s">
        <v>60</v>
      </c>
      <c r="C3424" s="2" t="s">
        <v>34267</v>
      </c>
      <c r="D3424" s="2" t="s">
        <v>34268</v>
      </c>
      <c r="E3424" s="2" t="s">
        <v>34269</v>
      </c>
      <c r="G3424" s="3" t="s">
        <v>64</v>
      </c>
      <c r="I3424" s="3" t="s">
        <v>64</v>
      </c>
      <c r="J3424" s="3" t="s">
        <v>64</v>
      </c>
      <c r="K3424" s="3" t="s">
        <v>65</v>
      </c>
      <c r="L3424" s="2" t="s">
        <v>34270</v>
      </c>
      <c r="M3424" s="2" t="s">
        <v>34271</v>
      </c>
      <c r="N3424" s="3" t="s">
        <v>291</v>
      </c>
      <c r="P3424" s="3" t="s">
        <v>68</v>
      </c>
      <c r="R3424" s="3" t="s">
        <v>70</v>
      </c>
      <c r="S3424" s="4">
        <v>4</v>
      </c>
      <c r="T3424" s="4">
        <v>4</v>
      </c>
      <c r="U3424" s="5" t="s">
        <v>15865</v>
      </c>
      <c r="V3424" s="5" t="s">
        <v>15865</v>
      </c>
      <c r="W3424" s="5" t="s">
        <v>72</v>
      </c>
      <c r="X3424" s="5" t="s">
        <v>72</v>
      </c>
      <c r="Y3424" s="4">
        <v>26</v>
      </c>
      <c r="Z3424" s="4">
        <v>16</v>
      </c>
      <c r="AA3424" s="4">
        <v>17</v>
      </c>
      <c r="AB3424" s="4">
        <v>10</v>
      </c>
      <c r="AC3424" s="4">
        <v>11</v>
      </c>
      <c r="AD3424" s="4">
        <v>10</v>
      </c>
      <c r="AE3424" s="4">
        <v>12</v>
      </c>
      <c r="AF3424" s="4">
        <v>4</v>
      </c>
      <c r="AG3424" s="4">
        <v>5</v>
      </c>
      <c r="AH3424" s="4">
        <v>6</v>
      </c>
      <c r="AI3424" s="4">
        <v>7</v>
      </c>
      <c r="AJ3424" s="4">
        <v>8</v>
      </c>
      <c r="AK3424" s="4">
        <v>8</v>
      </c>
      <c r="AL3424" s="4">
        <v>2</v>
      </c>
      <c r="AM3424" s="4">
        <v>3</v>
      </c>
      <c r="AN3424" s="4">
        <v>0</v>
      </c>
      <c r="AO3424" s="4">
        <v>0</v>
      </c>
      <c r="AP3424" s="4">
        <v>7</v>
      </c>
      <c r="AQ3424" s="4">
        <v>8</v>
      </c>
      <c r="AR3424" s="3" t="s">
        <v>128</v>
      </c>
      <c r="AS3424" s="3" t="s">
        <v>64</v>
      </c>
      <c r="AT3424" s="3" t="s">
        <v>64</v>
      </c>
      <c r="AV3424" s="6" t="str">
        <f>HYPERLINK("http://mcgill.on.worldcat.org/oclc/86226373","Catalog Record")</f>
        <v>Catalog Record</v>
      </c>
      <c r="AW3424" s="6" t="str">
        <f>HYPERLINK("http://www.worldcat.org/oclc/86226373","WorldCat Record")</f>
        <v>WorldCat Record</v>
      </c>
      <c r="AX3424" s="3" t="s">
        <v>34272</v>
      </c>
      <c r="AY3424" s="3" t="s">
        <v>34273</v>
      </c>
      <c r="AZ3424" s="3" t="s">
        <v>34274</v>
      </c>
      <c r="BA3424" s="3" t="s">
        <v>34274</v>
      </c>
      <c r="BB3424" s="3" t="s">
        <v>34275</v>
      </c>
      <c r="BC3424" s="3" t="s">
        <v>77</v>
      </c>
      <c r="BD3424" s="3" t="s">
        <v>78</v>
      </c>
      <c r="BE3424" s="3" t="s">
        <v>34276</v>
      </c>
      <c r="BF3424" s="3" t="s">
        <v>34275</v>
      </c>
      <c r="BG3424" s="3" t="s">
        <v>34277</v>
      </c>
      <c r="BH3424">
        <f t="shared" si="80"/>
        <v>0</v>
      </c>
    </row>
    <row r="3425" spans="1:60" ht="58" x14ac:dyDescent="0.35">
      <c r="A3425" s="2" t="s">
        <v>59</v>
      </c>
      <c r="B3425" s="2" t="s">
        <v>60</v>
      </c>
      <c r="C3425" s="2" t="s">
        <v>34278</v>
      </c>
      <c r="D3425" s="2" t="s">
        <v>34279</v>
      </c>
      <c r="E3425" s="2" t="s">
        <v>34280</v>
      </c>
      <c r="G3425" s="3" t="s">
        <v>64</v>
      </c>
      <c r="I3425" s="3" t="s">
        <v>64</v>
      </c>
      <c r="J3425" s="3" t="s">
        <v>64</v>
      </c>
      <c r="K3425" s="3" t="s">
        <v>65</v>
      </c>
      <c r="L3425" s="2" t="s">
        <v>34281</v>
      </c>
      <c r="M3425" s="2" t="s">
        <v>34282</v>
      </c>
      <c r="N3425" s="3" t="s">
        <v>253</v>
      </c>
      <c r="P3425" s="3" t="s">
        <v>102</v>
      </c>
      <c r="R3425" s="3" t="s">
        <v>70</v>
      </c>
      <c r="S3425" s="4">
        <v>1</v>
      </c>
      <c r="T3425" s="4">
        <v>1</v>
      </c>
      <c r="U3425" s="5" t="s">
        <v>4804</v>
      </c>
      <c r="V3425" s="5" t="s">
        <v>4804</v>
      </c>
      <c r="W3425" s="5" t="s">
        <v>72</v>
      </c>
      <c r="X3425" s="5" t="s">
        <v>72</v>
      </c>
      <c r="Y3425" s="4">
        <v>13</v>
      </c>
      <c r="Z3425" s="4">
        <v>7</v>
      </c>
      <c r="AA3425" s="4">
        <v>7</v>
      </c>
      <c r="AB3425" s="4">
        <v>1</v>
      </c>
      <c r="AC3425" s="4">
        <v>1</v>
      </c>
      <c r="AD3425" s="4">
        <v>4</v>
      </c>
      <c r="AE3425" s="4">
        <v>4</v>
      </c>
      <c r="AF3425" s="4">
        <v>0</v>
      </c>
      <c r="AG3425" s="4">
        <v>0</v>
      </c>
      <c r="AH3425" s="4">
        <v>2</v>
      </c>
      <c r="AI3425" s="4">
        <v>2</v>
      </c>
      <c r="AJ3425" s="4">
        <v>3</v>
      </c>
      <c r="AK3425" s="4">
        <v>3</v>
      </c>
      <c r="AL3425" s="4">
        <v>0</v>
      </c>
      <c r="AM3425" s="4">
        <v>0</v>
      </c>
      <c r="AN3425" s="4">
        <v>0</v>
      </c>
      <c r="AO3425" s="4">
        <v>0</v>
      </c>
      <c r="AP3425" s="4">
        <v>2</v>
      </c>
      <c r="AQ3425" s="4">
        <v>2</v>
      </c>
      <c r="AR3425" s="3" t="s">
        <v>128</v>
      </c>
      <c r="AS3425" s="3" t="s">
        <v>64</v>
      </c>
      <c r="AT3425" s="3" t="s">
        <v>64</v>
      </c>
      <c r="AV3425" s="6" t="str">
        <f>HYPERLINK("http://mcgill.on.worldcat.org/oclc/921167398","Catalog Record")</f>
        <v>Catalog Record</v>
      </c>
      <c r="AW3425" s="6" t="str">
        <f>HYPERLINK("http://www.worldcat.org/oclc/921167398","WorldCat Record")</f>
        <v>WorldCat Record</v>
      </c>
      <c r="AX3425" s="3" t="s">
        <v>34283</v>
      </c>
      <c r="AY3425" s="3" t="s">
        <v>34284</v>
      </c>
      <c r="AZ3425" s="3" t="s">
        <v>34285</v>
      </c>
      <c r="BA3425" s="3" t="s">
        <v>34285</v>
      </c>
      <c r="BB3425" s="3" t="s">
        <v>34286</v>
      </c>
      <c r="BC3425" s="3" t="s">
        <v>77</v>
      </c>
      <c r="BD3425" s="3" t="s">
        <v>78</v>
      </c>
      <c r="BE3425" s="3" t="s">
        <v>34287</v>
      </c>
      <c r="BF3425" s="3" t="s">
        <v>34286</v>
      </c>
      <c r="BG3425" s="3" t="s">
        <v>34288</v>
      </c>
      <c r="BH3425">
        <f t="shared" si="80"/>
        <v>0</v>
      </c>
    </row>
    <row r="3426" spans="1:60" ht="58" x14ac:dyDescent="0.35">
      <c r="A3426" s="2" t="s">
        <v>59</v>
      </c>
      <c r="B3426" s="2" t="s">
        <v>60</v>
      </c>
      <c r="C3426" s="2" t="s">
        <v>34289</v>
      </c>
      <c r="D3426" s="2" t="s">
        <v>34290</v>
      </c>
      <c r="E3426" s="2" t="s">
        <v>34291</v>
      </c>
      <c r="G3426" s="3" t="s">
        <v>64</v>
      </c>
      <c r="I3426" s="3" t="s">
        <v>64</v>
      </c>
      <c r="J3426" s="3" t="s">
        <v>64</v>
      </c>
      <c r="K3426" s="3" t="s">
        <v>65</v>
      </c>
      <c r="L3426" s="2" t="s">
        <v>34292</v>
      </c>
      <c r="M3426" s="2" t="s">
        <v>34293</v>
      </c>
      <c r="N3426" s="3" t="s">
        <v>1017</v>
      </c>
      <c r="P3426" s="3" t="s">
        <v>102</v>
      </c>
      <c r="R3426" s="3" t="s">
        <v>70</v>
      </c>
      <c r="S3426" s="4">
        <v>12</v>
      </c>
      <c r="T3426" s="4">
        <v>12</v>
      </c>
      <c r="U3426" s="5" t="s">
        <v>21220</v>
      </c>
      <c r="V3426" s="5" t="s">
        <v>21220</v>
      </c>
      <c r="W3426" s="5" t="s">
        <v>72</v>
      </c>
      <c r="X3426" s="5" t="s">
        <v>72</v>
      </c>
      <c r="Y3426" s="4">
        <v>5</v>
      </c>
      <c r="Z3426" s="4">
        <v>4</v>
      </c>
      <c r="AA3426" s="4">
        <v>6</v>
      </c>
      <c r="AB3426" s="4">
        <v>1</v>
      </c>
      <c r="AC3426" s="4">
        <v>3</v>
      </c>
      <c r="AD3426" s="4">
        <v>2</v>
      </c>
      <c r="AE3426" s="4">
        <v>3</v>
      </c>
      <c r="AF3426" s="4">
        <v>0</v>
      </c>
      <c r="AG3426" s="4">
        <v>1</v>
      </c>
      <c r="AH3426" s="4">
        <v>1</v>
      </c>
      <c r="AI3426" s="4">
        <v>1</v>
      </c>
      <c r="AJ3426" s="4">
        <v>2</v>
      </c>
      <c r="AK3426" s="4">
        <v>3</v>
      </c>
      <c r="AL3426" s="4">
        <v>1</v>
      </c>
      <c r="AM3426" s="4">
        <v>1</v>
      </c>
      <c r="AN3426" s="4">
        <v>0</v>
      </c>
      <c r="AO3426" s="4">
        <v>0</v>
      </c>
      <c r="AP3426" s="4">
        <v>1</v>
      </c>
      <c r="AQ3426" s="4">
        <v>1</v>
      </c>
      <c r="AR3426" s="3" t="s">
        <v>128</v>
      </c>
      <c r="AS3426" s="3" t="s">
        <v>64</v>
      </c>
      <c r="AT3426" s="3" t="s">
        <v>64</v>
      </c>
      <c r="AV3426" s="6" t="str">
        <f>HYPERLINK("http://mcgill.on.worldcat.org/oclc/15881237","Catalog Record")</f>
        <v>Catalog Record</v>
      </c>
      <c r="AW3426" s="6" t="str">
        <f>HYPERLINK("http://www.worldcat.org/oclc/15881237","WorldCat Record")</f>
        <v>WorldCat Record</v>
      </c>
      <c r="AX3426" s="3" t="s">
        <v>34294</v>
      </c>
      <c r="AY3426" s="3" t="s">
        <v>34295</v>
      </c>
      <c r="AZ3426" s="3" t="s">
        <v>34296</v>
      </c>
      <c r="BA3426" s="3" t="s">
        <v>34296</v>
      </c>
      <c r="BB3426" s="3" t="s">
        <v>34297</v>
      </c>
      <c r="BC3426" s="3" t="s">
        <v>77</v>
      </c>
      <c r="BD3426" s="3" t="s">
        <v>78</v>
      </c>
      <c r="BF3426" s="3" t="s">
        <v>34297</v>
      </c>
      <c r="BG3426" s="3" t="s">
        <v>34298</v>
      </c>
      <c r="BH3426">
        <f t="shared" si="80"/>
        <v>0</v>
      </c>
    </row>
    <row r="3427" spans="1:60" ht="87" x14ac:dyDescent="0.35">
      <c r="A3427" s="2" t="s">
        <v>59</v>
      </c>
      <c r="B3427" s="2" t="s">
        <v>60</v>
      </c>
      <c r="C3427" s="2" t="s">
        <v>34299</v>
      </c>
      <c r="D3427" s="2" t="s">
        <v>34300</v>
      </c>
      <c r="E3427" s="2" t="s">
        <v>34301</v>
      </c>
      <c r="G3427" s="3" t="s">
        <v>64</v>
      </c>
      <c r="I3427" s="3" t="s">
        <v>64</v>
      </c>
      <c r="J3427" s="3" t="s">
        <v>64</v>
      </c>
      <c r="K3427" s="3" t="s">
        <v>65</v>
      </c>
      <c r="L3427" s="2" t="s">
        <v>34302</v>
      </c>
      <c r="M3427" s="2" t="s">
        <v>34303</v>
      </c>
      <c r="N3427" s="3" t="s">
        <v>434</v>
      </c>
      <c r="P3427" s="3" t="s">
        <v>68</v>
      </c>
      <c r="R3427" s="3" t="s">
        <v>70</v>
      </c>
      <c r="S3427" s="4">
        <v>7</v>
      </c>
      <c r="T3427" s="4">
        <v>7</v>
      </c>
      <c r="U3427" s="5" t="s">
        <v>8119</v>
      </c>
      <c r="V3427" s="5" t="s">
        <v>8119</v>
      </c>
      <c r="W3427" s="5" t="s">
        <v>72</v>
      </c>
      <c r="X3427" s="5" t="s">
        <v>72</v>
      </c>
      <c r="Y3427" s="4">
        <v>15</v>
      </c>
      <c r="Z3427" s="4">
        <v>4</v>
      </c>
      <c r="AA3427" s="4">
        <v>16</v>
      </c>
      <c r="AB3427" s="4">
        <v>1</v>
      </c>
      <c r="AC3427" s="4">
        <v>6</v>
      </c>
      <c r="AD3427" s="4">
        <v>8</v>
      </c>
      <c r="AE3427" s="4">
        <v>12</v>
      </c>
      <c r="AF3427" s="4">
        <v>0</v>
      </c>
      <c r="AG3427" s="4">
        <v>1</v>
      </c>
      <c r="AH3427" s="4">
        <v>6</v>
      </c>
      <c r="AI3427" s="4">
        <v>7</v>
      </c>
      <c r="AJ3427" s="4">
        <v>2</v>
      </c>
      <c r="AK3427" s="4">
        <v>6</v>
      </c>
      <c r="AL3427" s="4">
        <v>4</v>
      </c>
      <c r="AM3427" s="4">
        <v>5</v>
      </c>
      <c r="AN3427" s="4">
        <v>0</v>
      </c>
      <c r="AO3427" s="4">
        <v>0</v>
      </c>
      <c r="AP3427" s="4">
        <v>3</v>
      </c>
      <c r="AQ3427" s="4">
        <v>5</v>
      </c>
      <c r="AR3427" s="3" t="s">
        <v>128</v>
      </c>
      <c r="AS3427" s="3" t="s">
        <v>64</v>
      </c>
      <c r="AT3427" s="3" t="s">
        <v>64</v>
      </c>
      <c r="AV3427" s="6" t="str">
        <f>HYPERLINK("http://mcgill.on.worldcat.org/oclc/61464178","Catalog Record")</f>
        <v>Catalog Record</v>
      </c>
      <c r="AW3427" s="6" t="str">
        <f>HYPERLINK("http://www.worldcat.org/oclc/61464178","WorldCat Record")</f>
        <v>WorldCat Record</v>
      </c>
      <c r="AX3427" s="3" t="s">
        <v>34304</v>
      </c>
      <c r="AY3427" s="3" t="s">
        <v>34305</v>
      </c>
      <c r="AZ3427" s="3" t="s">
        <v>34306</v>
      </c>
      <c r="BA3427" s="3" t="s">
        <v>34306</v>
      </c>
      <c r="BB3427" s="3" t="s">
        <v>34307</v>
      </c>
      <c r="BC3427" s="3" t="s">
        <v>77</v>
      </c>
      <c r="BD3427" s="3" t="s">
        <v>78</v>
      </c>
      <c r="BE3427" s="3" t="s">
        <v>34308</v>
      </c>
      <c r="BF3427" s="3" t="s">
        <v>34307</v>
      </c>
      <c r="BG3427" s="3" t="s">
        <v>34309</v>
      </c>
      <c r="BH3427">
        <f t="shared" si="80"/>
        <v>0</v>
      </c>
    </row>
    <row r="3428" spans="1:60" ht="58" x14ac:dyDescent="0.35">
      <c r="A3428" s="2" t="s">
        <v>59</v>
      </c>
      <c r="B3428" s="2" t="s">
        <v>60</v>
      </c>
      <c r="C3428" s="2" t="s">
        <v>34310</v>
      </c>
      <c r="D3428" s="2" t="s">
        <v>34311</v>
      </c>
      <c r="E3428" s="2" t="s">
        <v>34312</v>
      </c>
      <c r="G3428" s="3" t="s">
        <v>64</v>
      </c>
      <c r="I3428" s="3" t="s">
        <v>64</v>
      </c>
      <c r="J3428" s="3" t="s">
        <v>64</v>
      </c>
      <c r="K3428" s="3" t="s">
        <v>65</v>
      </c>
      <c r="L3428" s="2" t="s">
        <v>34313</v>
      </c>
      <c r="M3428" s="2" t="s">
        <v>34314</v>
      </c>
      <c r="N3428" s="3" t="s">
        <v>190</v>
      </c>
      <c r="P3428" s="3" t="s">
        <v>68</v>
      </c>
      <c r="Q3428" s="2" t="s">
        <v>34315</v>
      </c>
      <c r="R3428" s="3" t="s">
        <v>70</v>
      </c>
      <c r="S3428" s="4">
        <v>0</v>
      </c>
      <c r="T3428" s="4">
        <v>0</v>
      </c>
      <c r="W3428" s="5" t="s">
        <v>72</v>
      </c>
      <c r="X3428" s="5" t="s">
        <v>72</v>
      </c>
      <c r="Y3428" s="4">
        <v>3</v>
      </c>
      <c r="Z3428" s="4">
        <v>3</v>
      </c>
      <c r="AA3428" s="4">
        <v>9</v>
      </c>
      <c r="AB3428" s="4">
        <v>2</v>
      </c>
      <c r="AC3428" s="4">
        <v>6</v>
      </c>
      <c r="AD3428" s="4">
        <v>2</v>
      </c>
      <c r="AE3428" s="4">
        <v>6</v>
      </c>
      <c r="AF3428" s="4">
        <v>1</v>
      </c>
      <c r="AG3428" s="4">
        <v>3</v>
      </c>
      <c r="AH3428" s="4">
        <v>0</v>
      </c>
      <c r="AI3428" s="4">
        <v>0</v>
      </c>
      <c r="AJ3428" s="4">
        <v>2</v>
      </c>
      <c r="AK3428" s="4">
        <v>5</v>
      </c>
      <c r="AL3428" s="4">
        <v>0</v>
      </c>
      <c r="AM3428" s="4">
        <v>0</v>
      </c>
      <c r="AN3428" s="4">
        <v>0</v>
      </c>
      <c r="AO3428" s="4">
        <v>0</v>
      </c>
      <c r="AP3428" s="4">
        <v>2</v>
      </c>
      <c r="AQ3428" s="4">
        <v>4</v>
      </c>
      <c r="AR3428" s="3" t="s">
        <v>128</v>
      </c>
      <c r="AS3428" s="3" t="s">
        <v>64</v>
      </c>
      <c r="AT3428" s="3" t="s">
        <v>64</v>
      </c>
      <c r="AV3428" s="6" t="str">
        <f>HYPERLINK("http://mcgill.on.worldcat.org/oclc/1066115922","Catalog Record")</f>
        <v>Catalog Record</v>
      </c>
      <c r="AW3428" s="6" t="str">
        <f>HYPERLINK("http://www.worldcat.org/oclc/1066115922","WorldCat Record")</f>
        <v>WorldCat Record</v>
      </c>
      <c r="AX3428" s="3" t="s">
        <v>34316</v>
      </c>
      <c r="AY3428" s="3" t="s">
        <v>34317</v>
      </c>
      <c r="AZ3428" s="3" t="s">
        <v>34318</v>
      </c>
      <c r="BA3428" s="3" t="s">
        <v>34318</v>
      </c>
      <c r="BB3428" s="3" t="s">
        <v>34319</v>
      </c>
      <c r="BC3428" s="3" t="s">
        <v>77</v>
      </c>
      <c r="BD3428" s="3" t="s">
        <v>78</v>
      </c>
      <c r="BE3428" s="3" t="s">
        <v>34320</v>
      </c>
      <c r="BF3428" s="3" t="s">
        <v>34319</v>
      </c>
      <c r="BG3428" s="3" t="s">
        <v>34321</v>
      </c>
      <c r="BH3428">
        <f t="shared" si="80"/>
        <v>0</v>
      </c>
    </row>
    <row r="3429" spans="1:60" ht="58" x14ac:dyDescent="0.35">
      <c r="A3429" s="2" t="s">
        <v>59</v>
      </c>
      <c r="B3429" s="2" t="s">
        <v>60</v>
      </c>
      <c r="C3429" s="2" t="s">
        <v>34322</v>
      </c>
      <c r="D3429" s="2" t="s">
        <v>34323</v>
      </c>
      <c r="E3429" s="2" t="s">
        <v>34324</v>
      </c>
      <c r="G3429" s="3" t="s">
        <v>64</v>
      </c>
      <c r="I3429" s="3" t="s">
        <v>64</v>
      </c>
      <c r="J3429" s="3" t="s">
        <v>128</v>
      </c>
      <c r="K3429" s="3" t="s">
        <v>65</v>
      </c>
      <c r="L3429" s="2" t="s">
        <v>34325</v>
      </c>
      <c r="M3429" s="2" t="s">
        <v>34326</v>
      </c>
      <c r="N3429" s="3" t="s">
        <v>116</v>
      </c>
      <c r="O3429" s="2" t="s">
        <v>87</v>
      </c>
      <c r="P3429" s="3" t="s">
        <v>68</v>
      </c>
      <c r="R3429" s="3" t="s">
        <v>70</v>
      </c>
      <c r="S3429" s="4">
        <v>7</v>
      </c>
      <c r="T3429" s="4">
        <v>7</v>
      </c>
      <c r="U3429" s="5" t="s">
        <v>16276</v>
      </c>
      <c r="V3429" s="5" t="s">
        <v>16276</v>
      </c>
      <c r="W3429" s="5" t="s">
        <v>72</v>
      </c>
      <c r="X3429" s="5" t="s">
        <v>72</v>
      </c>
      <c r="Y3429" s="4">
        <v>10</v>
      </c>
      <c r="Z3429" s="4">
        <v>8</v>
      </c>
      <c r="AA3429" s="4">
        <v>30</v>
      </c>
      <c r="AB3429" s="4">
        <v>5</v>
      </c>
      <c r="AC3429" s="4">
        <v>16</v>
      </c>
      <c r="AD3429" s="4">
        <v>5</v>
      </c>
      <c r="AE3429" s="4">
        <v>18</v>
      </c>
      <c r="AF3429" s="4">
        <v>2</v>
      </c>
      <c r="AG3429" s="4">
        <v>7</v>
      </c>
      <c r="AH3429" s="4">
        <v>2</v>
      </c>
      <c r="AI3429" s="4">
        <v>8</v>
      </c>
      <c r="AJ3429" s="4">
        <v>5</v>
      </c>
      <c r="AK3429" s="4">
        <v>14</v>
      </c>
      <c r="AL3429" s="4">
        <v>0</v>
      </c>
      <c r="AM3429" s="4">
        <v>2</v>
      </c>
      <c r="AN3429" s="4">
        <v>0</v>
      </c>
      <c r="AO3429" s="4">
        <v>0</v>
      </c>
      <c r="AP3429" s="4">
        <v>2</v>
      </c>
      <c r="AQ3429" s="4">
        <v>14</v>
      </c>
      <c r="AR3429" s="3" t="s">
        <v>128</v>
      </c>
      <c r="AS3429" s="3" t="s">
        <v>64</v>
      </c>
      <c r="AT3429" s="3" t="s">
        <v>64</v>
      </c>
      <c r="AV3429" s="6" t="str">
        <f>HYPERLINK("http://mcgill.on.worldcat.org/oclc/47272868","Catalog Record")</f>
        <v>Catalog Record</v>
      </c>
      <c r="AW3429" s="6" t="str">
        <f>HYPERLINK("http://www.worldcat.org/oclc/47272868","WorldCat Record")</f>
        <v>WorldCat Record</v>
      </c>
      <c r="AX3429" s="3" t="s">
        <v>34327</v>
      </c>
      <c r="AY3429" s="3" t="s">
        <v>34328</v>
      </c>
      <c r="AZ3429" s="3" t="s">
        <v>34329</v>
      </c>
      <c r="BA3429" s="3" t="s">
        <v>34329</v>
      </c>
      <c r="BB3429" s="3" t="s">
        <v>34330</v>
      </c>
      <c r="BC3429" s="3" t="s">
        <v>77</v>
      </c>
      <c r="BD3429" s="3" t="s">
        <v>78</v>
      </c>
      <c r="BE3429" s="3" t="s">
        <v>34331</v>
      </c>
      <c r="BF3429" s="3" t="s">
        <v>34330</v>
      </c>
      <c r="BG3429" s="3" t="s">
        <v>34332</v>
      </c>
      <c r="BH3429">
        <f t="shared" si="80"/>
        <v>0</v>
      </c>
    </row>
    <row r="3430" spans="1:60" ht="58" x14ac:dyDescent="0.35">
      <c r="A3430" s="2" t="s">
        <v>59</v>
      </c>
      <c r="B3430" s="2" t="s">
        <v>60</v>
      </c>
      <c r="C3430" s="2" t="s">
        <v>34333</v>
      </c>
      <c r="D3430" s="2" t="s">
        <v>34334</v>
      </c>
      <c r="E3430" s="2" t="s">
        <v>34335</v>
      </c>
      <c r="G3430" s="3" t="s">
        <v>64</v>
      </c>
      <c r="I3430" s="3" t="s">
        <v>64</v>
      </c>
      <c r="J3430" s="3" t="s">
        <v>64</v>
      </c>
      <c r="K3430" s="3" t="s">
        <v>65</v>
      </c>
      <c r="L3430" s="2" t="s">
        <v>34336</v>
      </c>
      <c r="M3430" s="2" t="s">
        <v>34337</v>
      </c>
      <c r="N3430" s="3" t="s">
        <v>144</v>
      </c>
      <c r="P3430" s="3" t="s">
        <v>102</v>
      </c>
      <c r="R3430" s="3" t="s">
        <v>70</v>
      </c>
      <c r="S3430" s="4">
        <v>6</v>
      </c>
      <c r="T3430" s="4">
        <v>6</v>
      </c>
      <c r="U3430" s="5" t="s">
        <v>16276</v>
      </c>
      <c r="V3430" s="5" t="s">
        <v>16276</v>
      </c>
      <c r="W3430" s="5" t="s">
        <v>72</v>
      </c>
      <c r="X3430" s="5" t="s">
        <v>72</v>
      </c>
      <c r="Y3430" s="4">
        <v>43</v>
      </c>
      <c r="Z3430" s="4">
        <v>30</v>
      </c>
      <c r="AA3430" s="4">
        <v>33</v>
      </c>
      <c r="AB3430" s="4">
        <v>2</v>
      </c>
      <c r="AC3430" s="4">
        <v>3</v>
      </c>
      <c r="AD3430" s="4">
        <v>15</v>
      </c>
      <c r="AE3430" s="4">
        <v>15</v>
      </c>
      <c r="AF3430" s="4">
        <v>0</v>
      </c>
      <c r="AG3430" s="4">
        <v>0</v>
      </c>
      <c r="AH3430" s="4">
        <v>12</v>
      </c>
      <c r="AI3430" s="4">
        <v>12</v>
      </c>
      <c r="AJ3430" s="4">
        <v>8</v>
      </c>
      <c r="AK3430" s="4">
        <v>8</v>
      </c>
      <c r="AL3430" s="4">
        <v>5</v>
      </c>
      <c r="AM3430" s="4">
        <v>5</v>
      </c>
      <c r="AN3430" s="4">
        <v>0</v>
      </c>
      <c r="AO3430" s="4">
        <v>0</v>
      </c>
      <c r="AP3430" s="4">
        <v>8</v>
      </c>
      <c r="AQ3430" s="4">
        <v>8</v>
      </c>
      <c r="AR3430" s="3" t="s">
        <v>128</v>
      </c>
      <c r="AS3430" s="3" t="s">
        <v>64</v>
      </c>
      <c r="AT3430" s="3" t="s">
        <v>64</v>
      </c>
      <c r="AV3430" s="6" t="str">
        <f>HYPERLINK("http://mcgill.on.worldcat.org/oclc/191759655","Catalog Record")</f>
        <v>Catalog Record</v>
      </c>
      <c r="AW3430" s="6" t="str">
        <f>HYPERLINK("http://www.worldcat.org/oclc/191759655","WorldCat Record")</f>
        <v>WorldCat Record</v>
      </c>
      <c r="AX3430" s="3" t="s">
        <v>34338</v>
      </c>
      <c r="AY3430" s="3" t="s">
        <v>34339</v>
      </c>
      <c r="AZ3430" s="3" t="s">
        <v>34340</v>
      </c>
      <c r="BA3430" s="3" t="s">
        <v>34340</v>
      </c>
      <c r="BB3430" s="3" t="s">
        <v>34341</v>
      </c>
      <c r="BC3430" s="3" t="s">
        <v>77</v>
      </c>
      <c r="BD3430" s="3" t="s">
        <v>78</v>
      </c>
      <c r="BE3430" s="3" t="s">
        <v>34342</v>
      </c>
      <c r="BF3430" s="3" t="s">
        <v>34341</v>
      </c>
      <c r="BG3430" s="3" t="s">
        <v>34343</v>
      </c>
      <c r="BH3430">
        <f t="shared" si="80"/>
        <v>0</v>
      </c>
    </row>
    <row r="3431" spans="1:60" ht="58" x14ac:dyDescent="0.35">
      <c r="A3431" s="2" t="s">
        <v>59</v>
      </c>
      <c r="B3431" s="2" t="s">
        <v>60</v>
      </c>
      <c r="C3431" s="2" t="s">
        <v>34344</v>
      </c>
      <c r="D3431" s="2" t="s">
        <v>34345</v>
      </c>
      <c r="E3431" s="2" t="s">
        <v>34346</v>
      </c>
      <c r="G3431" s="3" t="s">
        <v>64</v>
      </c>
      <c r="I3431" s="3" t="s">
        <v>64</v>
      </c>
      <c r="J3431" s="3" t="s">
        <v>64</v>
      </c>
      <c r="K3431" s="3" t="s">
        <v>65</v>
      </c>
      <c r="L3431" s="2" t="s">
        <v>34347</v>
      </c>
      <c r="M3431" s="2" t="s">
        <v>34348</v>
      </c>
      <c r="N3431" s="3" t="s">
        <v>86</v>
      </c>
      <c r="O3431" s="2" t="s">
        <v>2149</v>
      </c>
      <c r="P3431" s="3" t="s">
        <v>102</v>
      </c>
      <c r="R3431" s="3" t="s">
        <v>70</v>
      </c>
      <c r="S3431" s="4">
        <v>4</v>
      </c>
      <c r="T3431" s="4">
        <v>4</v>
      </c>
      <c r="U3431" s="5" t="s">
        <v>3572</v>
      </c>
      <c r="V3431" s="5" t="s">
        <v>3572</v>
      </c>
      <c r="W3431" s="5" t="s">
        <v>72</v>
      </c>
      <c r="X3431" s="5" t="s">
        <v>72</v>
      </c>
      <c r="Y3431" s="4">
        <v>21</v>
      </c>
      <c r="Z3431" s="4">
        <v>18</v>
      </c>
      <c r="AA3431" s="4">
        <v>18</v>
      </c>
      <c r="AB3431" s="4">
        <v>1</v>
      </c>
      <c r="AC3431" s="4">
        <v>1</v>
      </c>
      <c r="AD3431" s="4">
        <v>7</v>
      </c>
      <c r="AE3431" s="4">
        <v>7</v>
      </c>
      <c r="AF3431" s="4">
        <v>0</v>
      </c>
      <c r="AG3431" s="4">
        <v>0</v>
      </c>
      <c r="AH3431" s="4">
        <v>4</v>
      </c>
      <c r="AI3431" s="4">
        <v>4</v>
      </c>
      <c r="AJ3431" s="4">
        <v>4</v>
      </c>
      <c r="AK3431" s="4">
        <v>4</v>
      </c>
      <c r="AL3431" s="4">
        <v>1</v>
      </c>
      <c r="AM3431" s="4">
        <v>1</v>
      </c>
      <c r="AN3431" s="4">
        <v>0</v>
      </c>
      <c r="AO3431" s="4">
        <v>0</v>
      </c>
      <c r="AP3431" s="4">
        <v>5</v>
      </c>
      <c r="AQ3431" s="4">
        <v>5</v>
      </c>
      <c r="AR3431" s="3" t="s">
        <v>128</v>
      </c>
      <c r="AS3431" s="3" t="s">
        <v>64</v>
      </c>
      <c r="AT3431" s="3" t="s">
        <v>64</v>
      </c>
      <c r="AV3431" s="6" t="str">
        <f>HYPERLINK("http://mcgill.on.worldcat.org/oclc/777304440","Catalog Record")</f>
        <v>Catalog Record</v>
      </c>
      <c r="AW3431" s="6" t="str">
        <f>HYPERLINK("http://www.worldcat.org/oclc/777304440","WorldCat Record")</f>
        <v>WorldCat Record</v>
      </c>
      <c r="AX3431" s="3" t="s">
        <v>34349</v>
      </c>
      <c r="AY3431" s="3" t="s">
        <v>34350</v>
      </c>
      <c r="AZ3431" s="3" t="s">
        <v>34351</v>
      </c>
      <c r="BA3431" s="3" t="s">
        <v>34351</v>
      </c>
      <c r="BB3431" s="3" t="s">
        <v>34352</v>
      </c>
      <c r="BC3431" s="3" t="s">
        <v>77</v>
      </c>
      <c r="BD3431" s="3" t="s">
        <v>165</v>
      </c>
      <c r="BE3431" s="3" t="s">
        <v>34353</v>
      </c>
      <c r="BF3431" s="3" t="s">
        <v>34352</v>
      </c>
      <c r="BG3431" s="3" t="s">
        <v>34354</v>
      </c>
      <c r="BH3431">
        <f t="shared" si="80"/>
        <v>0</v>
      </c>
    </row>
    <row r="3432" spans="1:60" ht="58" x14ac:dyDescent="0.35">
      <c r="A3432" s="2" t="s">
        <v>59</v>
      </c>
      <c r="B3432" s="2" t="s">
        <v>60</v>
      </c>
      <c r="C3432" s="2" t="s">
        <v>34355</v>
      </c>
      <c r="D3432" s="2" t="s">
        <v>34356</v>
      </c>
      <c r="E3432" s="2" t="s">
        <v>34357</v>
      </c>
      <c r="G3432" s="3" t="s">
        <v>64</v>
      </c>
      <c r="I3432" s="3" t="s">
        <v>64</v>
      </c>
      <c r="J3432" s="3" t="s">
        <v>64</v>
      </c>
      <c r="K3432" s="3" t="s">
        <v>65</v>
      </c>
      <c r="L3432" s="2" t="s">
        <v>34358</v>
      </c>
      <c r="M3432" s="2" t="s">
        <v>34359</v>
      </c>
      <c r="N3432" s="3" t="s">
        <v>34360</v>
      </c>
      <c r="P3432" s="3" t="s">
        <v>102</v>
      </c>
      <c r="R3432" s="3" t="s">
        <v>70</v>
      </c>
      <c r="S3432" s="4">
        <v>9</v>
      </c>
      <c r="T3432" s="4">
        <v>9</v>
      </c>
      <c r="U3432" s="5" t="s">
        <v>18167</v>
      </c>
      <c r="V3432" s="5" t="s">
        <v>18167</v>
      </c>
      <c r="W3432" s="5" t="s">
        <v>72</v>
      </c>
      <c r="X3432" s="5" t="s">
        <v>72</v>
      </c>
      <c r="Y3432" s="4">
        <v>24</v>
      </c>
      <c r="Z3432" s="4">
        <v>13</v>
      </c>
      <c r="AA3432" s="4">
        <v>14</v>
      </c>
      <c r="AB3432" s="4">
        <v>1</v>
      </c>
      <c r="AC3432" s="4">
        <v>1</v>
      </c>
      <c r="AD3432" s="4">
        <v>13</v>
      </c>
      <c r="AE3432" s="4">
        <v>15</v>
      </c>
      <c r="AF3432" s="4">
        <v>0</v>
      </c>
      <c r="AG3432" s="4">
        <v>0</v>
      </c>
      <c r="AH3432" s="4">
        <v>9</v>
      </c>
      <c r="AI3432" s="4">
        <v>10</v>
      </c>
      <c r="AJ3432" s="4">
        <v>6</v>
      </c>
      <c r="AK3432" s="4">
        <v>6</v>
      </c>
      <c r="AL3432" s="4">
        <v>5</v>
      </c>
      <c r="AM3432" s="4">
        <v>6</v>
      </c>
      <c r="AN3432" s="4">
        <v>0</v>
      </c>
      <c r="AO3432" s="4">
        <v>0</v>
      </c>
      <c r="AP3432" s="4">
        <v>5</v>
      </c>
      <c r="AQ3432" s="4">
        <v>6</v>
      </c>
      <c r="AR3432" s="3" t="s">
        <v>128</v>
      </c>
      <c r="AS3432" s="3" t="s">
        <v>64</v>
      </c>
      <c r="AT3432" s="3" t="s">
        <v>64</v>
      </c>
      <c r="AV3432" s="6" t="str">
        <f>HYPERLINK("http://mcgill.on.worldcat.org/oclc/3722082","Catalog Record")</f>
        <v>Catalog Record</v>
      </c>
      <c r="AW3432" s="6" t="str">
        <f>HYPERLINK("http://www.worldcat.org/oclc/3722082","WorldCat Record")</f>
        <v>WorldCat Record</v>
      </c>
      <c r="AX3432" s="3" t="s">
        <v>34361</v>
      </c>
      <c r="AY3432" s="3" t="s">
        <v>34362</v>
      </c>
      <c r="AZ3432" s="3" t="s">
        <v>34363</v>
      </c>
      <c r="BA3432" s="3" t="s">
        <v>34363</v>
      </c>
      <c r="BB3432" s="3" t="s">
        <v>34364</v>
      </c>
      <c r="BC3432" s="3" t="s">
        <v>77</v>
      </c>
      <c r="BD3432" s="3" t="s">
        <v>78</v>
      </c>
      <c r="BF3432" s="3" t="s">
        <v>34364</v>
      </c>
      <c r="BG3432" s="3" t="s">
        <v>34365</v>
      </c>
      <c r="BH3432">
        <f t="shared" si="80"/>
        <v>0</v>
      </c>
    </row>
    <row r="3433" spans="1:60" ht="58" x14ac:dyDescent="0.35">
      <c r="A3433" s="2" t="s">
        <v>59</v>
      </c>
      <c r="B3433" s="2" t="s">
        <v>60</v>
      </c>
      <c r="C3433" s="2" t="s">
        <v>34366</v>
      </c>
      <c r="D3433" s="2" t="s">
        <v>34367</v>
      </c>
      <c r="E3433" s="2" t="s">
        <v>34368</v>
      </c>
      <c r="G3433" s="3" t="s">
        <v>64</v>
      </c>
      <c r="I3433" s="3" t="s">
        <v>64</v>
      </c>
      <c r="J3433" s="3" t="s">
        <v>64</v>
      </c>
      <c r="K3433" s="3" t="s">
        <v>183</v>
      </c>
      <c r="L3433" s="2" t="s">
        <v>34369</v>
      </c>
      <c r="M3433" s="2" t="s">
        <v>34370</v>
      </c>
      <c r="N3433" s="3" t="s">
        <v>3795</v>
      </c>
      <c r="P3433" s="3" t="s">
        <v>102</v>
      </c>
      <c r="R3433" s="3" t="s">
        <v>70</v>
      </c>
      <c r="S3433" s="4">
        <v>2</v>
      </c>
      <c r="T3433" s="4">
        <v>2</v>
      </c>
      <c r="U3433" s="5" t="s">
        <v>16276</v>
      </c>
      <c r="V3433" s="5" t="s">
        <v>16276</v>
      </c>
      <c r="W3433" s="5" t="s">
        <v>72</v>
      </c>
      <c r="X3433" s="5" t="s">
        <v>72</v>
      </c>
      <c r="Y3433" s="4">
        <v>94</v>
      </c>
      <c r="Z3433" s="4">
        <v>15</v>
      </c>
      <c r="AA3433" s="4">
        <v>17</v>
      </c>
      <c r="AB3433" s="4">
        <v>1</v>
      </c>
      <c r="AC3433" s="4">
        <v>1</v>
      </c>
      <c r="AD3433" s="4">
        <v>52</v>
      </c>
      <c r="AE3433" s="4">
        <v>54</v>
      </c>
      <c r="AF3433" s="4">
        <v>0</v>
      </c>
      <c r="AG3433" s="4">
        <v>0</v>
      </c>
      <c r="AH3433" s="4">
        <v>44</v>
      </c>
      <c r="AI3433" s="4">
        <v>46</v>
      </c>
      <c r="AJ3433" s="4">
        <v>8</v>
      </c>
      <c r="AK3433" s="4">
        <v>9</v>
      </c>
      <c r="AL3433" s="4">
        <v>29</v>
      </c>
      <c r="AM3433" s="4">
        <v>29</v>
      </c>
      <c r="AN3433" s="4">
        <v>0</v>
      </c>
      <c r="AO3433" s="4">
        <v>0</v>
      </c>
      <c r="AP3433" s="4">
        <v>10</v>
      </c>
      <c r="AQ3433" s="4">
        <v>11</v>
      </c>
      <c r="AR3433" s="3" t="s">
        <v>64</v>
      </c>
      <c r="AS3433" s="3" t="s">
        <v>128</v>
      </c>
      <c r="AT3433" s="3" t="s">
        <v>64</v>
      </c>
      <c r="AU3433" s="6" t="str">
        <f>HYPERLINK("http://catalog.hathitrust.org/Record/000961932","HathiTrust Record")</f>
        <v>HathiTrust Record</v>
      </c>
      <c r="AV3433" s="6" t="str">
        <f>HYPERLINK("http://mcgill.on.worldcat.org/oclc/1746896","Catalog Record")</f>
        <v>Catalog Record</v>
      </c>
      <c r="AW3433" s="6" t="str">
        <f>HYPERLINK("http://www.worldcat.org/oclc/1746896","WorldCat Record")</f>
        <v>WorldCat Record</v>
      </c>
      <c r="AX3433" s="3" t="s">
        <v>34371</v>
      </c>
      <c r="AY3433" s="3" t="s">
        <v>34372</v>
      </c>
      <c r="AZ3433" s="3" t="s">
        <v>34373</v>
      </c>
      <c r="BA3433" s="3" t="s">
        <v>34373</v>
      </c>
      <c r="BB3433" s="3" t="s">
        <v>34374</v>
      </c>
      <c r="BC3433" s="3" t="s">
        <v>77</v>
      </c>
      <c r="BD3433" s="3" t="s">
        <v>78</v>
      </c>
      <c r="BF3433" s="3" t="s">
        <v>34374</v>
      </c>
      <c r="BG3433" s="3" t="s">
        <v>34375</v>
      </c>
      <c r="BH3433">
        <f t="shared" si="80"/>
        <v>0</v>
      </c>
    </row>
    <row r="3434" spans="1:60" ht="58" x14ac:dyDescent="0.35">
      <c r="A3434" s="2" t="s">
        <v>59</v>
      </c>
      <c r="B3434" s="2" t="s">
        <v>60</v>
      </c>
      <c r="C3434" s="2" t="s">
        <v>34376</v>
      </c>
      <c r="D3434" s="2" t="s">
        <v>34377</v>
      </c>
      <c r="E3434" s="2" t="s">
        <v>34378</v>
      </c>
      <c r="G3434" s="3" t="s">
        <v>64</v>
      </c>
      <c r="I3434" s="3" t="s">
        <v>64</v>
      </c>
      <c r="J3434" s="3" t="s">
        <v>64</v>
      </c>
      <c r="K3434" s="3" t="s">
        <v>65</v>
      </c>
      <c r="L3434" s="2" t="s">
        <v>34379</v>
      </c>
      <c r="M3434" s="2" t="s">
        <v>34380</v>
      </c>
      <c r="N3434" s="3" t="s">
        <v>1075</v>
      </c>
      <c r="P3434" s="3" t="s">
        <v>102</v>
      </c>
      <c r="R3434" s="3" t="s">
        <v>70</v>
      </c>
      <c r="S3434" s="4">
        <v>2</v>
      </c>
      <c r="T3434" s="4">
        <v>2</v>
      </c>
      <c r="U3434" s="5" t="s">
        <v>16276</v>
      </c>
      <c r="V3434" s="5" t="s">
        <v>16276</v>
      </c>
      <c r="W3434" s="5" t="s">
        <v>72</v>
      </c>
      <c r="X3434" s="5" t="s">
        <v>72</v>
      </c>
      <c r="Y3434" s="4">
        <v>53</v>
      </c>
      <c r="Z3434" s="4">
        <v>25</v>
      </c>
      <c r="AA3434" s="4">
        <v>66</v>
      </c>
      <c r="AB3434" s="4">
        <v>1</v>
      </c>
      <c r="AC3434" s="4">
        <v>7</v>
      </c>
      <c r="AD3434" s="4">
        <v>25</v>
      </c>
      <c r="AE3434" s="4">
        <v>57</v>
      </c>
      <c r="AF3434" s="4">
        <v>0</v>
      </c>
      <c r="AG3434" s="4">
        <v>3</v>
      </c>
      <c r="AH3434" s="4">
        <v>20</v>
      </c>
      <c r="AI3434" s="4">
        <v>33</v>
      </c>
      <c r="AJ3434" s="4">
        <v>7</v>
      </c>
      <c r="AK3434" s="4">
        <v>16</v>
      </c>
      <c r="AL3434" s="4">
        <v>11</v>
      </c>
      <c r="AM3434" s="4">
        <v>17</v>
      </c>
      <c r="AN3434" s="4">
        <v>0</v>
      </c>
      <c r="AO3434" s="4">
        <v>0</v>
      </c>
      <c r="AP3434" s="4">
        <v>8</v>
      </c>
      <c r="AQ3434" s="4">
        <v>30</v>
      </c>
      <c r="AR3434" s="3" t="s">
        <v>128</v>
      </c>
      <c r="AS3434" s="3" t="s">
        <v>64</v>
      </c>
      <c r="AT3434" s="3" t="s">
        <v>64</v>
      </c>
      <c r="AV3434" s="6" t="str">
        <f>HYPERLINK("http://mcgill.on.worldcat.org/oclc/855199873","Catalog Record")</f>
        <v>Catalog Record</v>
      </c>
      <c r="AW3434" s="6" t="str">
        <f>HYPERLINK("http://www.worldcat.org/oclc/855199873","WorldCat Record")</f>
        <v>WorldCat Record</v>
      </c>
      <c r="AX3434" s="3" t="s">
        <v>34381</v>
      </c>
      <c r="AY3434" s="3" t="s">
        <v>34382</v>
      </c>
      <c r="AZ3434" s="3" t="s">
        <v>34383</v>
      </c>
      <c r="BA3434" s="3" t="s">
        <v>34383</v>
      </c>
      <c r="BB3434" s="3" t="s">
        <v>34384</v>
      </c>
      <c r="BC3434" s="3" t="s">
        <v>77</v>
      </c>
      <c r="BD3434" s="3" t="s">
        <v>78</v>
      </c>
      <c r="BE3434" s="3" t="s">
        <v>34385</v>
      </c>
      <c r="BF3434" s="3" t="s">
        <v>34384</v>
      </c>
      <c r="BG3434" s="3" t="s">
        <v>34386</v>
      </c>
      <c r="BH3434">
        <f t="shared" si="80"/>
        <v>0</v>
      </c>
    </row>
    <row r="3435" spans="1:60" ht="58" x14ac:dyDescent="0.35">
      <c r="A3435" s="2" t="s">
        <v>59</v>
      </c>
      <c r="B3435" s="2" t="s">
        <v>60</v>
      </c>
      <c r="C3435" s="2" t="s">
        <v>34387</v>
      </c>
      <c r="D3435" s="2" t="s">
        <v>34388</v>
      </c>
      <c r="E3435" s="2" t="s">
        <v>34389</v>
      </c>
      <c r="G3435" s="3" t="s">
        <v>64</v>
      </c>
      <c r="I3435" s="3" t="s">
        <v>128</v>
      </c>
      <c r="J3435" s="3" t="s">
        <v>64</v>
      </c>
      <c r="K3435" s="3" t="s">
        <v>65</v>
      </c>
      <c r="L3435" s="2" t="s">
        <v>34390</v>
      </c>
      <c r="M3435" s="2" t="s">
        <v>34391</v>
      </c>
      <c r="N3435" s="3" t="s">
        <v>3584</v>
      </c>
      <c r="P3435" s="3" t="s">
        <v>102</v>
      </c>
      <c r="R3435" s="3" t="s">
        <v>70</v>
      </c>
      <c r="S3435" s="4">
        <v>14</v>
      </c>
      <c r="T3435" s="4">
        <v>15</v>
      </c>
      <c r="U3435" s="5" t="s">
        <v>14247</v>
      </c>
      <c r="V3435" s="5" t="s">
        <v>14247</v>
      </c>
      <c r="W3435" s="5" t="s">
        <v>72</v>
      </c>
      <c r="X3435" s="5" t="s">
        <v>72</v>
      </c>
      <c r="Y3435" s="4">
        <v>76</v>
      </c>
      <c r="Z3435" s="4">
        <v>17</v>
      </c>
      <c r="AA3435" s="4">
        <v>26</v>
      </c>
      <c r="AB3435" s="4">
        <v>4</v>
      </c>
      <c r="AC3435" s="4">
        <v>8</v>
      </c>
      <c r="AD3435" s="4">
        <v>34</v>
      </c>
      <c r="AE3435" s="4">
        <v>42</v>
      </c>
      <c r="AF3435" s="4">
        <v>1</v>
      </c>
      <c r="AG3435" s="4">
        <v>4</v>
      </c>
      <c r="AH3435" s="4">
        <v>29</v>
      </c>
      <c r="AI3435" s="4">
        <v>32</v>
      </c>
      <c r="AJ3435" s="4">
        <v>9</v>
      </c>
      <c r="AK3435" s="4">
        <v>17</v>
      </c>
      <c r="AL3435" s="4">
        <v>19</v>
      </c>
      <c r="AM3435" s="4">
        <v>19</v>
      </c>
      <c r="AN3435" s="4">
        <v>0</v>
      </c>
      <c r="AO3435" s="4">
        <v>0</v>
      </c>
      <c r="AP3435" s="4">
        <v>8</v>
      </c>
      <c r="AQ3435" s="4">
        <v>14</v>
      </c>
      <c r="AR3435" s="3" t="s">
        <v>64</v>
      </c>
      <c r="AS3435" s="3" t="s">
        <v>64</v>
      </c>
      <c r="AT3435" s="3" t="s">
        <v>128</v>
      </c>
      <c r="AU3435" s="6" t="str">
        <f>HYPERLINK("http://catalog.hathitrust.org/Record/000087505","HathiTrust Record")</f>
        <v>HathiTrust Record</v>
      </c>
      <c r="AV3435" s="6" t="str">
        <f>HYPERLINK("http://mcgill.on.worldcat.org/oclc/3481863","Catalog Record")</f>
        <v>Catalog Record</v>
      </c>
      <c r="AW3435" s="6" t="str">
        <f>HYPERLINK("http://www.worldcat.org/oclc/3481863","WorldCat Record")</f>
        <v>WorldCat Record</v>
      </c>
      <c r="AX3435" s="3" t="s">
        <v>34392</v>
      </c>
      <c r="AY3435" s="3" t="s">
        <v>34393</v>
      </c>
      <c r="AZ3435" s="3" t="s">
        <v>34394</v>
      </c>
      <c r="BA3435" s="3" t="s">
        <v>34394</v>
      </c>
      <c r="BB3435" s="3" t="s">
        <v>34395</v>
      </c>
      <c r="BC3435" s="3" t="s">
        <v>77</v>
      </c>
      <c r="BD3435" s="3" t="s">
        <v>78</v>
      </c>
      <c r="BE3435" s="3" t="s">
        <v>34396</v>
      </c>
      <c r="BF3435" s="3" t="s">
        <v>34395</v>
      </c>
      <c r="BG3435" s="3" t="s">
        <v>34397</v>
      </c>
      <c r="BH3435">
        <f t="shared" si="80"/>
        <v>0</v>
      </c>
    </row>
    <row r="3436" spans="1:60" ht="72.5" x14ac:dyDescent="0.35">
      <c r="A3436" s="2" t="s">
        <v>59</v>
      </c>
      <c r="B3436" s="2" t="s">
        <v>60</v>
      </c>
      <c r="C3436" s="2" t="s">
        <v>34398</v>
      </c>
      <c r="D3436" s="2" t="s">
        <v>34399</v>
      </c>
      <c r="E3436" s="2" t="s">
        <v>34400</v>
      </c>
      <c r="G3436" s="3" t="s">
        <v>64</v>
      </c>
      <c r="I3436" s="3" t="s">
        <v>128</v>
      </c>
      <c r="J3436" s="3" t="s">
        <v>64</v>
      </c>
      <c r="K3436" s="3" t="s">
        <v>65</v>
      </c>
      <c r="L3436" s="2" t="s">
        <v>34401</v>
      </c>
      <c r="M3436" s="2" t="s">
        <v>34402</v>
      </c>
      <c r="N3436" s="3" t="s">
        <v>922</v>
      </c>
      <c r="P3436" s="3" t="s">
        <v>102</v>
      </c>
      <c r="R3436" s="3" t="s">
        <v>70</v>
      </c>
      <c r="S3436" s="4">
        <v>1</v>
      </c>
      <c r="T3436" s="4">
        <v>1</v>
      </c>
      <c r="U3436" s="5" t="s">
        <v>34403</v>
      </c>
      <c r="V3436" s="5" t="s">
        <v>34403</v>
      </c>
      <c r="W3436" s="5" t="s">
        <v>72</v>
      </c>
      <c r="X3436" s="5" t="s">
        <v>72</v>
      </c>
      <c r="Y3436" s="4">
        <v>2</v>
      </c>
      <c r="Z3436" s="4">
        <v>2</v>
      </c>
      <c r="AA3436" s="4">
        <v>2</v>
      </c>
      <c r="AB3436" s="4">
        <v>1</v>
      </c>
      <c r="AC3436" s="4">
        <v>1</v>
      </c>
      <c r="AD3436" s="4">
        <v>1</v>
      </c>
      <c r="AE3436" s="4">
        <v>1</v>
      </c>
      <c r="AF3436" s="4">
        <v>0</v>
      </c>
      <c r="AG3436" s="4">
        <v>0</v>
      </c>
      <c r="AH3436" s="4">
        <v>0</v>
      </c>
      <c r="AI3436" s="4">
        <v>0</v>
      </c>
      <c r="AJ3436" s="4">
        <v>1</v>
      </c>
      <c r="AK3436" s="4">
        <v>1</v>
      </c>
      <c r="AL3436" s="4">
        <v>0</v>
      </c>
      <c r="AM3436" s="4">
        <v>0</v>
      </c>
      <c r="AN3436" s="4">
        <v>0</v>
      </c>
      <c r="AO3436" s="4">
        <v>0</v>
      </c>
      <c r="AP3436" s="4">
        <v>0</v>
      </c>
      <c r="AQ3436" s="4">
        <v>0</v>
      </c>
      <c r="AR3436" s="3" t="s">
        <v>128</v>
      </c>
      <c r="AS3436" s="3" t="s">
        <v>64</v>
      </c>
      <c r="AT3436" s="3" t="s">
        <v>64</v>
      </c>
      <c r="AV3436" s="6" t="str">
        <f>HYPERLINK("http://mcgill.on.worldcat.org/oclc/15776101","Catalog Record")</f>
        <v>Catalog Record</v>
      </c>
      <c r="AW3436" s="6" t="str">
        <f>HYPERLINK("http://www.worldcat.org/oclc/15776101","WorldCat Record")</f>
        <v>WorldCat Record</v>
      </c>
      <c r="AX3436" s="3" t="s">
        <v>34404</v>
      </c>
      <c r="AY3436" s="3" t="s">
        <v>34405</v>
      </c>
      <c r="AZ3436" s="3" t="s">
        <v>34406</v>
      </c>
      <c r="BA3436" s="3" t="s">
        <v>34406</v>
      </c>
      <c r="BB3436" s="3" t="s">
        <v>34407</v>
      </c>
      <c r="BC3436" s="3" t="s">
        <v>77</v>
      </c>
      <c r="BD3436" s="3" t="s">
        <v>78</v>
      </c>
      <c r="BF3436" s="3" t="s">
        <v>34407</v>
      </c>
      <c r="BG3436" s="3" t="s">
        <v>34408</v>
      </c>
      <c r="BH3436">
        <f t="shared" si="80"/>
        <v>0</v>
      </c>
    </row>
    <row r="3437" spans="1:60" ht="72.5" x14ac:dyDescent="0.35">
      <c r="A3437" s="2" t="s">
        <v>59</v>
      </c>
      <c r="B3437" s="2" t="s">
        <v>60</v>
      </c>
      <c r="C3437" s="2" t="s">
        <v>34409</v>
      </c>
      <c r="D3437" s="2" t="s">
        <v>34410</v>
      </c>
      <c r="E3437" s="2" t="s">
        <v>34411</v>
      </c>
      <c r="G3437" s="3" t="s">
        <v>64</v>
      </c>
      <c r="I3437" s="3" t="s">
        <v>64</v>
      </c>
      <c r="J3437" s="3" t="s">
        <v>64</v>
      </c>
      <c r="K3437" s="3" t="s">
        <v>65</v>
      </c>
      <c r="L3437" s="2" t="s">
        <v>34401</v>
      </c>
      <c r="M3437" s="2" t="s">
        <v>34412</v>
      </c>
      <c r="N3437" s="3" t="s">
        <v>364</v>
      </c>
      <c r="P3437" s="3" t="s">
        <v>102</v>
      </c>
      <c r="R3437" s="3" t="s">
        <v>70</v>
      </c>
      <c r="S3437" s="4">
        <v>1</v>
      </c>
      <c r="T3437" s="4">
        <v>1</v>
      </c>
      <c r="U3437" s="5" t="s">
        <v>2601</v>
      </c>
      <c r="V3437" s="5" t="s">
        <v>2601</v>
      </c>
      <c r="W3437" s="5" t="s">
        <v>72</v>
      </c>
      <c r="X3437" s="5" t="s">
        <v>72</v>
      </c>
      <c r="Y3437" s="4">
        <v>3</v>
      </c>
      <c r="Z3437" s="4">
        <v>3</v>
      </c>
      <c r="AA3437" s="4">
        <v>3</v>
      </c>
      <c r="AB3437" s="4">
        <v>1</v>
      </c>
      <c r="AC3437" s="4">
        <v>1</v>
      </c>
      <c r="AD3437" s="4">
        <v>1</v>
      </c>
      <c r="AE3437" s="4">
        <v>1</v>
      </c>
      <c r="AF3437" s="4">
        <v>0</v>
      </c>
      <c r="AG3437" s="4">
        <v>0</v>
      </c>
      <c r="AH3437" s="4">
        <v>0</v>
      </c>
      <c r="AI3437" s="4">
        <v>0</v>
      </c>
      <c r="AJ3437" s="4">
        <v>1</v>
      </c>
      <c r="AK3437" s="4">
        <v>1</v>
      </c>
      <c r="AL3437" s="4">
        <v>0</v>
      </c>
      <c r="AM3437" s="4">
        <v>0</v>
      </c>
      <c r="AN3437" s="4">
        <v>0</v>
      </c>
      <c r="AO3437" s="4">
        <v>0</v>
      </c>
      <c r="AP3437" s="4">
        <v>0</v>
      </c>
      <c r="AQ3437" s="4">
        <v>0</v>
      </c>
      <c r="AR3437" s="3" t="s">
        <v>128</v>
      </c>
      <c r="AS3437" s="3" t="s">
        <v>64</v>
      </c>
      <c r="AT3437" s="3" t="s">
        <v>64</v>
      </c>
      <c r="AV3437" s="6" t="str">
        <f>HYPERLINK("http://mcgill.on.worldcat.org/oclc/61573631","Catalog Record")</f>
        <v>Catalog Record</v>
      </c>
      <c r="AW3437" s="6" t="str">
        <f>HYPERLINK("http://www.worldcat.org/oclc/61573631","WorldCat Record")</f>
        <v>WorldCat Record</v>
      </c>
      <c r="AX3437" s="3" t="s">
        <v>34413</v>
      </c>
      <c r="AY3437" s="3" t="s">
        <v>34414</v>
      </c>
      <c r="AZ3437" s="3" t="s">
        <v>34415</v>
      </c>
      <c r="BA3437" s="3" t="s">
        <v>34415</v>
      </c>
      <c r="BB3437" s="3" t="s">
        <v>34416</v>
      </c>
      <c r="BC3437" s="3" t="s">
        <v>77</v>
      </c>
      <c r="BD3437" s="3" t="s">
        <v>78</v>
      </c>
      <c r="BF3437" s="3" t="s">
        <v>34416</v>
      </c>
      <c r="BG3437" s="3" t="s">
        <v>34417</v>
      </c>
      <c r="BH3437">
        <f t="shared" si="80"/>
        <v>0</v>
      </c>
    </row>
    <row r="3438" spans="1:60" ht="72.5" x14ac:dyDescent="0.35">
      <c r="A3438" s="2" t="s">
        <v>59</v>
      </c>
      <c r="B3438" s="2" t="s">
        <v>60</v>
      </c>
      <c r="C3438" s="2" t="s">
        <v>34418</v>
      </c>
      <c r="D3438" s="2" t="s">
        <v>34419</v>
      </c>
      <c r="E3438" s="2" t="s">
        <v>34420</v>
      </c>
      <c r="G3438" s="3" t="s">
        <v>64</v>
      </c>
      <c r="I3438" s="3" t="s">
        <v>128</v>
      </c>
      <c r="J3438" s="3" t="s">
        <v>64</v>
      </c>
      <c r="K3438" s="3" t="s">
        <v>65</v>
      </c>
      <c r="L3438" s="2" t="s">
        <v>34401</v>
      </c>
      <c r="M3438" s="2" t="s">
        <v>34421</v>
      </c>
      <c r="N3438" s="3" t="s">
        <v>498</v>
      </c>
      <c r="P3438" s="3" t="s">
        <v>102</v>
      </c>
      <c r="R3438" s="3" t="s">
        <v>70</v>
      </c>
      <c r="S3438" s="4">
        <v>3</v>
      </c>
      <c r="T3438" s="4">
        <v>3</v>
      </c>
      <c r="U3438" s="5" t="s">
        <v>34422</v>
      </c>
      <c r="V3438" s="5" t="s">
        <v>34422</v>
      </c>
      <c r="W3438" s="5" t="s">
        <v>72</v>
      </c>
      <c r="X3438" s="5" t="s">
        <v>72</v>
      </c>
      <c r="Y3438" s="4">
        <v>6</v>
      </c>
      <c r="Z3438" s="4">
        <v>5</v>
      </c>
      <c r="AA3438" s="4">
        <v>6</v>
      </c>
      <c r="AB3438" s="4">
        <v>1</v>
      </c>
      <c r="AC3438" s="4">
        <v>2</v>
      </c>
      <c r="AD3438" s="4">
        <v>5</v>
      </c>
      <c r="AE3438" s="4">
        <v>6</v>
      </c>
      <c r="AF3438" s="4">
        <v>0</v>
      </c>
      <c r="AG3438" s="4">
        <v>1</v>
      </c>
      <c r="AH3438" s="4">
        <v>4</v>
      </c>
      <c r="AI3438" s="4">
        <v>5</v>
      </c>
      <c r="AJ3438" s="4">
        <v>4</v>
      </c>
      <c r="AK3438" s="4">
        <v>5</v>
      </c>
      <c r="AL3438" s="4">
        <v>1</v>
      </c>
      <c r="AM3438" s="4">
        <v>1</v>
      </c>
      <c r="AN3438" s="4">
        <v>0</v>
      </c>
      <c r="AO3438" s="4">
        <v>0</v>
      </c>
      <c r="AP3438" s="4">
        <v>3</v>
      </c>
      <c r="AQ3438" s="4">
        <v>4</v>
      </c>
      <c r="AR3438" s="3" t="s">
        <v>128</v>
      </c>
      <c r="AS3438" s="3" t="s">
        <v>64</v>
      </c>
      <c r="AT3438" s="3" t="s">
        <v>64</v>
      </c>
      <c r="AV3438" s="6" t="str">
        <f>HYPERLINK("http://mcgill.on.worldcat.org/oclc/15840507","Catalog Record")</f>
        <v>Catalog Record</v>
      </c>
      <c r="AW3438" s="6" t="str">
        <f>HYPERLINK("http://www.worldcat.org/oclc/15840507","WorldCat Record")</f>
        <v>WorldCat Record</v>
      </c>
      <c r="AX3438" s="3" t="s">
        <v>34423</v>
      </c>
      <c r="AY3438" s="3" t="s">
        <v>34424</v>
      </c>
      <c r="AZ3438" s="3" t="s">
        <v>34425</v>
      </c>
      <c r="BA3438" s="3" t="s">
        <v>34425</v>
      </c>
      <c r="BB3438" s="3" t="s">
        <v>34426</v>
      </c>
      <c r="BC3438" s="3" t="s">
        <v>77</v>
      </c>
      <c r="BD3438" s="3" t="s">
        <v>78</v>
      </c>
      <c r="BF3438" s="3" t="s">
        <v>34426</v>
      </c>
      <c r="BG3438" s="3" t="s">
        <v>34427</v>
      </c>
      <c r="BH3438">
        <f t="shared" si="80"/>
        <v>0</v>
      </c>
    </row>
    <row r="3439" spans="1:60" ht="72.5" x14ac:dyDescent="0.35">
      <c r="A3439" s="2" t="s">
        <v>59</v>
      </c>
      <c r="B3439" s="2" t="s">
        <v>60</v>
      </c>
      <c r="C3439" s="2" t="s">
        <v>34428</v>
      </c>
      <c r="D3439" s="2" t="s">
        <v>34429</v>
      </c>
      <c r="E3439" s="2" t="s">
        <v>34430</v>
      </c>
      <c r="G3439" s="3" t="s">
        <v>64</v>
      </c>
      <c r="I3439" s="3" t="s">
        <v>128</v>
      </c>
      <c r="J3439" s="3" t="s">
        <v>64</v>
      </c>
      <c r="K3439" s="3" t="s">
        <v>65</v>
      </c>
      <c r="L3439" s="2" t="s">
        <v>34401</v>
      </c>
      <c r="M3439" s="2" t="s">
        <v>34421</v>
      </c>
      <c r="N3439" s="3" t="s">
        <v>498</v>
      </c>
      <c r="P3439" s="3" t="s">
        <v>102</v>
      </c>
      <c r="R3439" s="3" t="s">
        <v>70</v>
      </c>
      <c r="S3439" s="4">
        <v>1</v>
      </c>
      <c r="T3439" s="4">
        <v>1</v>
      </c>
      <c r="U3439" s="5" t="s">
        <v>17763</v>
      </c>
      <c r="V3439" s="5" t="s">
        <v>17763</v>
      </c>
      <c r="W3439" s="5" t="s">
        <v>72</v>
      </c>
      <c r="X3439" s="5" t="s">
        <v>72</v>
      </c>
      <c r="Y3439" s="4">
        <v>2</v>
      </c>
      <c r="Z3439" s="4">
        <v>2</v>
      </c>
      <c r="AA3439" s="4">
        <v>3</v>
      </c>
      <c r="AB3439" s="4">
        <v>1</v>
      </c>
      <c r="AC3439" s="4">
        <v>2</v>
      </c>
      <c r="AD3439" s="4">
        <v>1</v>
      </c>
      <c r="AE3439" s="4">
        <v>1</v>
      </c>
      <c r="AF3439" s="4">
        <v>0</v>
      </c>
      <c r="AG3439" s="4">
        <v>0</v>
      </c>
      <c r="AH3439" s="4">
        <v>0</v>
      </c>
      <c r="AI3439" s="4">
        <v>0</v>
      </c>
      <c r="AJ3439" s="4">
        <v>1</v>
      </c>
      <c r="AK3439" s="4">
        <v>1</v>
      </c>
      <c r="AL3439" s="4">
        <v>0</v>
      </c>
      <c r="AM3439" s="4">
        <v>0</v>
      </c>
      <c r="AN3439" s="4">
        <v>0</v>
      </c>
      <c r="AO3439" s="4">
        <v>0</v>
      </c>
      <c r="AP3439" s="4">
        <v>0</v>
      </c>
      <c r="AQ3439" s="4">
        <v>0</v>
      </c>
      <c r="AR3439" s="3" t="s">
        <v>128</v>
      </c>
      <c r="AS3439" s="3" t="s">
        <v>64</v>
      </c>
      <c r="AT3439" s="3" t="s">
        <v>64</v>
      </c>
      <c r="AV3439" s="6" t="str">
        <f>HYPERLINK("http://mcgill.on.worldcat.org/oclc/15779229","Catalog Record")</f>
        <v>Catalog Record</v>
      </c>
      <c r="AW3439" s="6" t="str">
        <f>HYPERLINK("http://www.worldcat.org/oclc/15779229","WorldCat Record")</f>
        <v>WorldCat Record</v>
      </c>
      <c r="AX3439" s="3" t="s">
        <v>34431</v>
      </c>
      <c r="AY3439" s="3" t="s">
        <v>34432</v>
      </c>
      <c r="AZ3439" s="3" t="s">
        <v>34433</v>
      </c>
      <c r="BA3439" s="3" t="s">
        <v>34433</v>
      </c>
      <c r="BB3439" s="3" t="s">
        <v>34434</v>
      </c>
      <c r="BC3439" s="3" t="s">
        <v>77</v>
      </c>
      <c r="BD3439" s="3" t="s">
        <v>78</v>
      </c>
      <c r="BF3439" s="3" t="s">
        <v>34434</v>
      </c>
      <c r="BG3439" s="3" t="s">
        <v>34435</v>
      </c>
      <c r="BH3439">
        <f t="shared" si="80"/>
        <v>0</v>
      </c>
    </row>
    <row r="3440" spans="1:60" ht="72.5" x14ac:dyDescent="0.35">
      <c r="A3440" s="2" t="s">
        <v>59</v>
      </c>
      <c r="B3440" s="2" t="s">
        <v>60</v>
      </c>
      <c r="C3440" s="2" t="s">
        <v>34436</v>
      </c>
      <c r="D3440" s="2" t="s">
        <v>34437</v>
      </c>
      <c r="E3440" s="2" t="s">
        <v>34438</v>
      </c>
      <c r="G3440" s="3" t="s">
        <v>64</v>
      </c>
      <c r="I3440" s="3" t="s">
        <v>64</v>
      </c>
      <c r="J3440" s="3" t="s">
        <v>64</v>
      </c>
      <c r="K3440" s="3" t="s">
        <v>65</v>
      </c>
      <c r="L3440" s="2" t="s">
        <v>34439</v>
      </c>
      <c r="M3440" s="2" t="s">
        <v>34421</v>
      </c>
      <c r="N3440" s="3" t="s">
        <v>498</v>
      </c>
      <c r="P3440" s="3" t="s">
        <v>68</v>
      </c>
      <c r="R3440" s="3" t="s">
        <v>70</v>
      </c>
      <c r="S3440" s="4">
        <v>4</v>
      </c>
      <c r="T3440" s="4">
        <v>4</v>
      </c>
      <c r="U3440" s="5" t="s">
        <v>34440</v>
      </c>
      <c r="V3440" s="5" t="s">
        <v>34440</v>
      </c>
      <c r="W3440" s="5" t="s">
        <v>72</v>
      </c>
      <c r="X3440" s="5" t="s">
        <v>72</v>
      </c>
      <c r="Y3440" s="4">
        <v>3</v>
      </c>
      <c r="Z3440" s="4">
        <v>1</v>
      </c>
      <c r="AA3440" s="4">
        <v>5</v>
      </c>
      <c r="AB3440" s="4">
        <v>1</v>
      </c>
      <c r="AC3440" s="4">
        <v>2</v>
      </c>
      <c r="AD3440" s="4">
        <v>2</v>
      </c>
      <c r="AE3440" s="4">
        <v>5</v>
      </c>
      <c r="AF3440" s="4">
        <v>0</v>
      </c>
      <c r="AG3440" s="4">
        <v>0</v>
      </c>
      <c r="AH3440" s="4">
        <v>2</v>
      </c>
      <c r="AI3440" s="4">
        <v>4</v>
      </c>
      <c r="AJ3440" s="4">
        <v>0</v>
      </c>
      <c r="AK3440" s="4">
        <v>3</v>
      </c>
      <c r="AL3440" s="4">
        <v>1</v>
      </c>
      <c r="AM3440" s="4">
        <v>1</v>
      </c>
      <c r="AN3440" s="4">
        <v>0</v>
      </c>
      <c r="AO3440" s="4">
        <v>0</v>
      </c>
      <c r="AP3440" s="4">
        <v>0</v>
      </c>
      <c r="AQ3440" s="4">
        <v>2</v>
      </c>
      <c r="AR3440" s="3" t="s">
        <v>128</v>
      </c>
      <c r="AS3440" s="3" t="s">
        <v>64</v>
      </c>
      <c r="AT3440" s="3" t="s">
        <v>64</v>
      </c>
      <c r="AV3440" s="6" t="str">
        <f>HYPERLINK("http://mcgill.on.worldcat.org/oclc/2165654","Catalog Record")</f>
        <v>Catalog Record</v>
      </c>
      <c r="AW3440" s="6" t="str">
        <f>HYPERLINK("http://www.worldcat.org/oclc/2165654","WorldCat Record")</f>
        <v>WorldCat Record</v>
      </c>
      <c r="AX3440" s="3" t="s">
        <v>34441</v>
      </c>
      <c r="AY3440" s="3" t="s">
        <v>34442</v>
      </c>
      <c r="AZ3440" s="3" t="s">
        <v>34443</v>
      </c>
      <c r="BA3440" s="3" t="s">
        <v>34443</v>
      </c>
      <c r="BB3440" s="3" t="s">
        <v>34444</v>
      </c>
      <c r="BC3440" s="3" t="s">
        <v>77</v>
      </c>
      <c r="BD3440" s="3" t="s">
        <v>78</v>
      </c>
      <c r="BF3440" s="3" t="s">
        <v>34444</v>
      </c>
      <c r="BG3440" s="3" t="s">
        <v>34445</v>
      </c>
      <c r="BH3440">
        <f t="shared" si="80"/>
        <v>0</v>
      </c>
    </row>
    <row r="3441" spans="1:60" ht="58" x14ac:dyDescent="0.35">
      <c r="A3441" s="2" t="s">
        <v>59</v>
      </c>
      <c r="B3441" s="2" t="s">
        <v>60</v>
      </c>
      <c r="C3441" s="2" t="s">
        <v>34446</v>
      </c>
      <c r="D3441" s="2" t="s">
        <v>34447</v>
      </c>
      <c r="E3441" s="2" t="s">
        <v>34448</v>
      </c>
      <c r="G3441" s="3" t="s">
        <v>64</v>
      </c>
      <c r="I3441" s="3" t="s">
        <v>128</v>
      </c>
      <c r="J3441" s="3" t="s">
        <v>64</v>
      </c>
      <c r="K3441" s="3" t="s">
        <v>65</v>
      </c>
      <c r="L3441" s="2" t="s">
        <v>34449</v>
      </c>
      <c r="N3441" s="3" t="s">
        <v>34450</v>
      </c>
      <c r="P3441" s="3" t="s">
        <v>102</v>
      </c>
      <c r="R3441" s="3" t="s">
        <v>70</v>
      </c>
      <c r="S3441" s="4">
        <v>6</v>
      </c>
      <c r="T3441" s="4">
        <v>7</v>
      </c>
      <c r="U3441" s="5" t="s">
        <v>34451</v>
      </c>
      <c r="V3441" s="5" t="s">
        <v>34452</v>
      </c>
      <c r="W3441" s="5" t="s">
        <v>72</v>
      </c>
      <c r="X3441" s="5" t="s">
        <v>72</v>
      </c>
      <c r="Y3441" s="4">
        <v>10</v>
      </c>
      <c r="Z3441" s="4">
        <v>4</v>
      </c>
      <c r="AA3441" s="4">
        <v>4</v>
      </c>
      <c r="AB3441" s="4">
        <v>1</v>
      </c>
      <c r="AC3441" s="4">
        <v>1</v>
      </c>
      <c r="AD3441" s="4">
        <v>6</v>
      </c>
      <c r="AE3441" s="4">
        <v>6</v>
      </c>
      <c r="AF3441" s="4">
        <v>0</v>
      </c>
      <c r="AG3441" s="4">
        <v>0</v>
      </c>
      <c r="AH3441" s="4">
        <v>6</v>
      </c>
      <c r="AI3441" s="4">
        <v>6</v>
      </c>
      <c r="AJ3441" s="4">
        <v>2</v>
      </c>
      <c r="AK3441" s="4">
        <v>2</v>
      </c>
      <c r="AL3441" s="4">
        <v>4</v>
      </c>
      <c r="AM3441" s="4">
        <v>4</v>
      </c>
      <c r="AN3441" s="4">
        <v>0</v>
      </c>
      <c r="AO3441" s="4">
        <v>0</v>
      </c>
      <c r="AP3441" s="4">
        <v>2</v>
      </c>
      <c r="AQ3441" s="4">
        <v>2</v>
      </c>
      <c r="AR3441" s="3" t="s">
        <v>128</v>
      </c>
      <c r="AS3441" s="3" t="s">
        <v>64</v>
      </c>
      <c r="AT3441" s="3" t="s">
        <v>64</v>
      </c>
      <c r="AV3441" s="6" t="str">
        <f>HYPERLINK("http://mcgill.on.worldcat.org/oclc/18355541","Catalog Record")</f>
        <v>Catalog Record</v>
      </c>
      <c r="AW3441" s="6" t="str">
        <f>HYPERLINK("http://www.worldcat.org/oclc/18355541","WorldCat Record")</f>
        <v>WorldCat Record</v>
      </c>
      <c r="AX3441" s="3" t="s">
        <v>34453</v>
      </c>
      <c r="AY3441" s="3" t="s">
        <v>34454</v>
      </c>
      <c r="AZ3441" s="3" t="s">
        <v>34455</v>
      </c>
      <c r="BA3441" s="3" t="s">
        <v>34455</v>
      </c>
      <c r="BB3441" s="3" t="s">
        <v>34456</v>
      </c>
      <c r="BC3441" s="3" t="s">
        <v>77</v>
      </c>
      <c r="BD3441" s="3" t="s">
        <v>78</v>
      </c>
      <c r="BF3441" s="3" t="s">
        <v>34456</v>
      </c>
      <c r="BG3441" s="3" t="s">
        <v>34457</v>
      </c>
      <c r="BH3441">
        <f t="shared" si="80"/>
        <v>0</v>
      </c>
    </row>
    <row r="3442" spans="1:60" ht="58" x14ac:dyDescent="0.35">
      <c r="A3442" s="2" t="s">
        <v>59</v>
      </c>
      <c r="B3442" s="2" t="s">
        <v>60</v>
      </c>
      <c r="C3442" s="2" t="s">
        <v>34458</v>
      </c>
      <c r="D3442" s="2" t="s">
        <v>34459</v>
      </c>
      <c r="E3442" s="2" t="s">
        <v>34460</v>
      </c>
      <c r="G3442" s="3" t="s">
        <v>64</v>
      </c>
      <c r="I3442" s="3" t="s">
        <v>128</v>
      </c>
      <c r="J3442" s="3" t="s">
        <v>128</v>
      </c>
      <c r="K3442" s="3" t="s">
        <v>65</v>
      </c>
      <c r="L3442" s="2" t="s">
        <v>34461</v>
      </c>
      <c r="N3442" s="3" t="s">
        <v>3527</v>
      </c>
      <c r="P3442" s="3" t="s">
        <v>102</v>
      </c>
      <c r="R3442" s="3" t="s">
        <v>70</v>
      </c>
      <c r="S3442" s="4">
        <v>2</v>
      </c>
      <c r="T3442" s="4">
        <v>7</v>
      </c>
      <c r="U3442" s="5" t="s">
        <v>7309</v>
      </c>
      <c r="V3442" s="5" t="s">
        <v>7309</v>
      </c>
      <c r="W3442" s="5" t="s">
        <v>72</v>
      </c>
      <c r="X3442" s="5" t="s">
        <v>72</v>
      </c>
      <c r="Y3442" s="4">
        <v>3</v>
      </c>
      <c r="Z3442" s="4">
        <v>1</v>
      </c>
      <c r="AA3442" s="4">
        <v>6</v>
      </c>
      <c r="AB3442" s="4">
        <v>1</v>
      </c>
      <c r="AC3442" s="4">
        <v>1</v>
      </c>
      <c r="AD3442" s="4">
        <v>1</v>
      </c>
      <c r="AE3442" s="4">
        <v>7</v>
      </c>
      <c r="AF3442" s="4">
        <v>0</v>
      </c>
      <c r="AG3442" s="4">
        <v>0</v>
      </c>
      <c r="AH3442" s="4">
        <v>1</v>
      </c>
      <c r="AI3442" s="4">
        <v>6</v>
      </c>
      <c r="AJ3442" s="4">
        <v>0</v>
      </c>
      <c r="AK3442" s="4">
        <v>4</v>
      </c>
      <c r="AL3442" s="4">
        <v>1</v>
      </c>
      <c r="AM3442" s="4">
        <v>4</v>
      </c>
      <c r="AN3442" s="4">
        <v>0</v>
      </c>
      <c r="AO3442" s="4">
        <v>0</v>
      </c>
      <c r="AP3442" s="4">
        <v>0</v>
      </c>
      <c r="AQ3442" s="4">
        <v>3</v>
      </c>
      <c r="AR3442" s="3" t="s">
        <v>128</v>
      </c>
      <c r="AS3442" s="3" t="s">
        <v>64</v>
      </c>
      <c r="AT3442" s="3" t="s">
        <v>64</v>
      </c>
      <c r="AV3442" s="6" t="str">
        <f>HYPERLINK("http://mcgill.on.worldcat.org/oclc/18355572","Catalog Record")</f>
        <v>Catalog Record</v>
      </c>
      <c r="AW3442" s="6" t="str">
        <f>HYPERLINK("http://www.worldcat.org/oclc/18355572","WorldCat Record")</f>
        <v>WorldCat Record</v>
      </c>
      <c r="AX3442" s="3" t="s">
        <v>34462</v>
      </c>
      <c r="AY3442" s="3" t="s">
        <v>34463</v>
      </c>
      <c r="AZ3442" s="3" t="s">
        <v>34464</v>
      </c>
      <c r="BA3442" s="3" t="s">
        <v>34464</v>
      </c>
      <c r="BB3442" s="3" t="s">
        <v>34465</v>
      </c>
      <c r="BC3442" s="3" t="s">
        <v>77</v>
      </c>
      <c r="BD3442" s="3" t="s">
        <v>78</v>
      </c>
      <c r="BF3442" s="3" t="s">
        <v>34465</v>
      </c>
      <c r="BG3442" s="3" t="s">
        <v>34466</v>
      </c>
      <c r="BH3442">
        <f t="shared" si="80"/>
        <v>0</v>
      </c>
    </row>
    <row r="3443" spans="1:60" ht="58" x14ac:dyDescent="0.35">
      <c r="A3443" s="2" t="s">
        <v>59</v>
      </c>
      <c r="B3443" s="2" t="s">
        <v>60</v>
      </c>
      <c r="C3443" s="2" t="s">
        <v>34458</v>
      </c>
      <c r="D3443" s="2" t="s">
        <v>34459</v>
      </c>
      <c r="E3443" s="2" t="s">
        <v>34460</v>
      </c>
      <c r="G3443" s="3" t="s">
        <v>64</v>
      </c>
      <c r="I3443" s="3" t="s">
        <v>128</v>
      </c>
      <c r="J3443" s="3" t="s">
        <v>128</v>
      </c>
      <c r="K3443" s="3" t="s">
        <v>65</v>
      </c>
      <c r="L3443" s="2" t="s">
        <v>34461</v>
      </c>
      <c r="N3443" s="3" t="s">
        <v>3527</v>
      </c>
      <c r="P3443" s="3" t="s">
        <v>102</v>
      </c>
      <c r="R3443" s="3" t="s">
        <v>70</v>
      </c>
      <c r="S3443" s="4">
        <v>5</v>
      </c>
      <c r="T3443" s="4">
        <v>7</v>
      </c>
      <c r="U3443" s="5" t="s">
        <v>17932</v>
      </c>
      <c r="V3443" s="5" t="s">
        <v>7309</v>
      </c>
      <c r="W3443" s="5" t="s">
        <v>72</v>
      </c>
      <c r="X3443" s="5" t="s">
        <v>72</v>
      </c>
      <c r="Y3443" s="4">
        <v>3</v>
      </c>
      <c r="Z3443" s="4">
        <v>1</v>
      </c>
      <c r="AA3443" s="4">
        <v>6</v>
      </c>
      <c r="AB3443" s="4">
        <v>1</v>
      </c>
      <c r="AC3443" s="4">
        <v>1</v>
      </c>
      <c r="AD3443" s="4">
        <v>1</v>
      </c>
      <c r="AE3443" s="4">
        <v>7</v>
      </c>
      <c r="AF3443" s="4">
        <v>0</v>
      </c>
      <c r="AG3443" s="4">
        <v>0</v>
      </c>
      <c r="AH3443" s="4">
        <v>1</v>
      </c>
      <c r="AI3443" s="4">
        <v>6</v>
      </c>
      <c r="AJ3443" s="4">
        <v>0</v>
      </c>
      <c r="AK3443" s="4">
        <v>4</v>
      </c>
      <c r="AL3443" s="4">
        <v>1</v>
      </c>
      <c r="AM3443" s="4">
        <v>4</v>
      </c>
      <c r="AN3443" s="4">
        <v>0</v>
      </c>
      <c r="AO3443" s="4">
        <v>0</v>
      </c>
      <c r="AP3443" s="4">
        <v>0</v>
      </c>
      <c r="AQ3443" s="4">
        <v>3</v>
      </c>
      <c r="AR3443" s="3" t="s">
        <v>128</v>
      </c>
      <c r="AS3443" s="3" t="s">
        <v>64</v>
      </c>
      <c r="AT3443" s="3" t="s">
        <v>64</v>
      </c>
      <c r="AV3443" s="6" t="str">
        <f>HYPERLINK("http://mcgill.on.worldcat.org/oclc/18355572","Catalog Record")</f>
        <v>Catalog Record</v>
      </c>
      <c r="AW3443" s="6" t="str">
        <f>HYPERLINK("http://www.worldcat.org/oclc/18355572","WorldCat Record")</f>
        <v>WorldCat Record</v>
      </c>
      <c r="AX3443" s="3" t="s">
        <v>34462</v>
      </c>
      <c r="AY3443" s="3" t="s">
        <v>34463</v>
      </c>
      <c r="AZ3443" s="3" t="s">
        <v>34464</v>
      </c>
      <c r="BA3443" s="3" t="s">
        <v>34464</v>
      </c>
      <c r="BB3443" s="3" t="s">
        <v>34467</v>
      </c>
      <c r="BC3443" s="3" t="s">
        <v>77</v>
      </c>
      <c r="BD3443" s="3" t="s">
        <v>165</v>
      </c>
      <c r="BF3443" s="3" t="s">
        <v>34467</v>
      </c>
      <c r="BG3443" s="3" t="s">
        <v>34468</v>
      </c>
      <c r="BH3443">
        <f t="shared" si="80"/>
        <v>0</v>
      </c>
    </row>
    <row r="3444" spans="1:60" ht="58" x14ac:dyDescent="0.35">
      <c r="A3444" s="2" t="s">
        <v>59</v>
      </c>
      <c r="B3444" s="2" t="s">
        <v>60</v>
      </c>
      <c r="C3444" s="2" t="s">
        <v>34469</v>
      </c>
      <c r="D3444" s="2" t="s">
        <v>34470</v>
      </c>
      <c r="E3444" s="2" t="s">
        <v>34471</v>
      </c>
      <c r="G3444" s="3" t="s">
        <v>64</v>
      </c>
      <c r="I3444" s="3" t="s">
        <v>128</v>
      </c>
      <c r="J3444" s="3" t="s">
        <v>64</v>
      </c>
      <c r="K3444" s="3" t="s">
        <v>65</v>
      </c>
      <c r="L3444" s="2" t="s">
        <v>34472</v>
      </c>
      <c r="M3444" s="2" t="s">
        <v>34473</v>
      </c>
      <c r="N3444" s="3" t="s">
        <v>1047</v>
      </c>
      <c r="P3444" s="3" t="s">
        <v>102</v>
      </c>
      <c r="R3444" s="3" t="s">
        <v>70</v>
      </c>
      <c r="S3444" s="4">
        <v>5</v>
      </c>
      <c r="T3444" s="4">
        <v>16</v>
      </c>
      <c r="U3444" s="5" t="s">
        <v>34474</v>
      </c>
      <c r="V3444" s="5" t="s">
        <v>17932</v>
      </c>
      <c r="W3444" s="5" t="s">
        <v>72</v>
      </c>
      <c r="X3444" s="5" t="s">
        <v>72</v>
      </c>
      <c r="Y3444" s="4">
        <v>1</v>
      </c>
      <c r="Z3444" s="4">
        <v>1</v>
      </c>
      <c r="AA3444" s="4">
        <v>1</v>
      </c>
      <c r="AB3444" s="4">
        <v>1</v>
      </c>
      <c r="AC3444" s="4">
        <v>1</v>
      </c>
      <c r="AD3444" s="4">
        <v>0</v>
      </c>
      <c r="AE3444" s="4">
        <v>0</v>
      </c>
      <c r="AF3444" s="4">
        <v>0</v>
      </c>
      <c r="AG3444" s="4">
        <v>0</v>
      </c>
      <c r="AH3444" s="4">
        <v>0</v>
      </c>
      <c r="AI3444" s="4">
        <v>0</v>
      </c>
      <c r="AJ3444" s="4">
        <v>0</v>
      </c>
      <c r="AK3444" s="4">
        <v>0</v>
      </c>
      <c r="AL3444" s="4">
        <v>0</v>
      </c>
      <c r="AM3444" s="4">
        <v>0</v>
      </c>
      <c r="AN3444" s="4">
        <v>0</v>
      </c>
      <c r="AO3444" s="4">
        <v>0</v>
      </c>
      <c r="AP3444" s="4">
        <v>0</v>
      </c>
      <c r="AQ3444" s="4">
        <v>0</v>
      </c>
      <c r="AR3444" s="3" t="s">
        <v>128</v>
      </c>
      <c r="AS3444" s="3" t="s">
        <v>64</v>
      </c>
      <c r="AT3444" s="3" t="s">
        <v>64</v>
      </c>
      <c r="AV3444" s="6" t="str">
        <f>HYPERLINK("http://mcgill.on.worldcat.org/oclc/61553931","Catalog Record")</f>
        <v>Catalog Record</v>
      </c>
      <c r="AW3444" s="6" t="str">
        <f>HYPERLINK("http://www.worldcat.org/oclc/61553931","WorldCat Record")</f>
        <v>WorldCat Record</v>
      </c>
      <c r="AX3444" s="3" t="s">
        <v>34475</v>
      </c>
      <c r="AY3444" s="3" t="s">
        <v>34476</v>
      </c>
      <c r="AZ3444" s="3" t="s">
        <v>34477</v>
      </c>
      <c r="BA3444" s="3" t="s">
        <v>34477</v>
      </c>
      <c r="BB3444" s="3" t="s">
        <v>34478</v>
      </c>
      <c r="BC3444" s="3" t="s">
        <v>77</v>
      </c>
      <c r="BD3444" s="3" t="s">
        <v>78</v>
      </c>
      <c r="BF3444" s="3" t="s">
        <v>34478</v>
      </c>
      <c r="BG3444" s="3" t="s">
        <v>34479</v>
      </c>
      <c r="BH3444">
        <f t="shared" si="80"/>
        <v>0</v>
      </c>
    </row>
    <row r="3445" spans="1:60" ht="58" x14ac:dyDescent="0.35">
      <c r="A3445" s="2" t="s">
        <v>59</v>
      </c>
      <c r="B3445" s="2" t="s">
        <v>60</v>
      </c>
      <c r="C3445" s="2" t="s">
        <v>34469</v>
      </c>
      <c r="D3445" s="2" t="s">
        <v>34470</v>
      </c>
      <c r="E3445" s="2" t="s">
        <v>34471</v>
      </c>
      <c r="G3445" s="3" t="s">
        <v>64</v>
      </c>
      <c r="I3445" s="3" t="s">
        <v>128</v>
      </c>
      <c r="J3445" s="3" t="s">
        <v>64</v>
      </c>
      <c r="K3445" s="3" t="s">
        <v>65</v>
      </c>
      <c r="L3445" s="2" t="s">
        <v>34472</v>
      </c>
      <c r="M3445" s="2" t="s">
        <v>34473</v>
      </c>
      <c r="N3445" s="3" t="s">
        <v>1047</v>
      </c>
      <c r="P3445" s="3" t="s">
        <v>102</v>
      </c>
      <c r="R3445" s="3" t="s">
        <v>70</v>
      </c>
      <c r="S3445" s="4">
        <v>2</v>
      </c>
      <c r="T3445" s="4">
        <v>16</v>
      </c>
      <c r="U3445" s="5" t="s">
        <v>34480</v>
      </c>
      <c r="V3445" s="5" t="s">
        <v>17932</v>
      </c>
      <c r="W3445" s="5" t="s">
        <v>72</v>
      </c>
      <c r="X3445" s="5" t="s">
        <v>72</v>
      </c>
      <c r="Y3445" s="4">
        <v>1</v>
      </c>
      <c r="Z3445" s="4">
        <v>1</v>
      </c>
      <c r="AA3445" s="4">
        <v>1</v>
      </c>
      <c r="AB3445" s="4">
        <v>1</v>
      </c>
      <c r="AC3445" s="4">
        <v>1</v>
      </c>
      <c r="AD3445" s="4">
        <v>0</v>
      </c>
      <c r="AE3445" s="4">
        <v>0</v>
      </c>
      <c r="AF3445" s="4">
        <v>0</v>
      </c>
      <c r="AG3445" s="4">
        <v>0</v>
      </c>
      <c r="AH3445" s="4">
        <v>0</v>
      </c>
      <c r="AI3445" s="4">
        <v>0</v>
      </c>
      <c r="AJ3445" s="4">
        <v>0</v>
      </c>
      <c r="AK3445" s="4">
        <v>0</v>
      </c>
      <c r="AL3445" s="4">
        <v>0</v>
      </c>
      <c r="AM3445" s="4">
        <v>0</v>
      </c>
      <c r="AN3445" s="4">
        <v>0</v>
      </c>
      <c r="AO3445" s="4">
        <v>0</v>
      </c>
      <c r="AP3445" s="4">
        <v>0</v>
      </c>
      <c r="AQ3445" s="4">
        <v>0</v>
      </c>
      <c r="AR3445" s="3" t="s">
        <v>128</v>
      </c>
      <c r="AS3445" s="3" t="s">
        <v>64</v>
      </c>
      <c r="AT3445" s="3" t="s">
        <v>64</v>
      </c>
      <c r="AV3445" s="6" t="str">
        <f>HYPERLINK("http://mcgill.on.worldcat.org/oclc/61553931","Catalog Record")</f>
        <v>Catalog Record</v>
      </c>
      <c r="AW3445" s="6" t="str">
        <f>HYPERLINK("http://www.worldcat.org/oclc/61553931","WorldCat Record")</f>
        <v>WorldCat Record</v>
      </c>
      <c r="AX3445" s="3" t="s">
        <v>34475</v>
      </c>
      <c r="AY3445" s="3" t="s">
        <v>34476</v>
      </c>
      <c r="AZ3445" s="3" t="s">
        <v>34477</v>
      </c>
      <c r="BA3445" s="3" t="s">
        <v>34477</v>
      </c>
      <c r="BB3445" s="3" t="s">
        <v>34481</v>
      </c>
      <c r="BC3445" s="3" t="s">
        <v>77</v>
      </c>
      <c r="BD3445" s="3" t="s">
        <v>78</v>
      </c>
      <c r="BF3445" s="3" t="s">
        <v>34481</v>
      </c>
      <c r="BG3445" s="3" t="s">
        <v>34482</v>
      </c>
      <c r="BH3445">
        <f t="shared" si="80"/>
        <v>0</v>
      </c>
    </row>
    <row r="3446" spans="1:60" ht="58" x14ac:dyDescent="0.35">
      <c r="A3446" s="2" t="s">
        <v>59</v>
      </c>
      <c r="B3446" s="2" t="s">
        <v>60</v>
      </c>
      <c r="C3446" s="2" t="s">
        <v>34469</v>
      </c>
      <c r="D3446" s="2" t="s">
        <v>34470</v>
      </c>
      <c r="E3446" s="2" t="s">
        <v>34471</v>
      </c>
      <c r="G3446" s="3" t="s">
        <v>64</v>
      </c>
      <c r="I3446" s="3" t="s">
        <v>128</v>
      </c>
      <c r="J3446" s="3" t="s">
        <v>64</v>
      </c>
      <c r="K3446" s="3" t="s">
        <v>65</v>
      </c>
      <c r="L3446" s="2" t="s">
        <v>34472</v>
      </c>
      <c r="M3446" s="2" t="s">
        <v>34473</v>
      </c>
      <c r="N3446" s="3" t="s">
        <v>1047</v>
      </c>
      <c r="P3446" s="3" t="s">
        <v>102</v>
      </c>
      <c r="R3446" s="3" t="s">
        <v>70</v>
      </c>
      <c r="S3446" s="4">
        <v>9</v>
      </c>
      <c r="T3446" s="4">
        <v>16</v>
      </c>
      <c r="U3446" s="5" t="s">
        <v>17932</v>
      </c>
      <c r="V3446" s="5" t="s">
        <v>17932</v>
      </c>
      <c r="W3446" s="5" t="s">
        <v>72</v>
      </c>
      <c r="X3446" s="5" t="s">
        <v>72</v>
      </c>
      <c r="Y3446" s="4">
        <v>1</v>
      </c>
      <c r="Z3446" s="4">
        <v>1</v>
      </c>
      <c r="AA3446" s="4">
        <v>1</v>
      </c>
      <c r="AB3446" s="4">
        <v>1</v>
      </c>
      <c r="AC3446" s="4">
        <v>1</v>
      </c>
      <c r="AD3446" s="4">
        <v>0</v>
      </c>
      <c r="AE3446" s="4">
        <v>0</v>
      </c>
      <c r="AF3446" s="4">
        <v>0</v>
      </c>
      <c r="AG3446" s="4">
        <v>0</v>
      </c>
      <c r="AH3446" s="4">
        <v>0</v>
      </c>
      <c r="AI3446" s="4">
        <v>0</v>
      </c>
      <c r="AJ3446" s="4">
        <v>0</v>
      </c>
      <c r="AK3446" s="4">
        <v>0</v>
      </c>
      <c r="AL3446" s="4">
        <v>0</v>
      </c>
      <c r="AM3446" s="4">
        <v>0</v>
      </c>
      <c r="AN3446" s="4">
        <v>0</v>
      </c>
      <c r="AO3446" s="4">
        <v>0</v>
      </c>
      <c r="AP3446" s="4">
        <v>0</v>
      </c>
      <c r="AQ3446" s="4">
        <v>0</v>
      </c>
      <c r="AR3446" s="3" t="s">
        <v>128</v>
      </c>
      <c r="AS3446" s="3" t="s">
        <v>64</v>
      </c>
      <c r="AT3446" s="3" t="s">
        <v>64</v>
      </c>
      <c r="AV3446" s="6" t="str">
        <f>HYPERLINK("http://mcgill.on.worldcat.org/oclc/61553931","Catalog Record")</f>
        <v>Catalog Record</v>
      </c>
      <c r="AW3446" s="6" t="str">
        <f>HYPERLINK("http://www.worldcat.org/oclc/61553931","WorldCat Record")</f>
        <v>WorldCat Record</v>
      </c>
      <c r="AX3446" s="3" t="s">
        <v>34475</v>
      </c>
      <c r="AY3446" s="3" t="s">
        <v>34476</v>
      </c>
      <c r="AZ3446" s="3" t="s">
        <v>34477</v>
      </c>
      <c r="BA3446" s="3" t="s">
        <v>34477</v>
      </c>
      <c r="BB3446" s="3" t="s">
        <v>34483</v>
      </c>
      <c r="BC3446" s="3" t="s">
        <v>77</v>
      </c>
      <c r="BD3446" s="3" t="s">
        <v>78</v>
      </c>
      <c r="BF3446" s="3" t="s">
        <v>34483</v>
      </c>
      <c r="BG3446" s="3" t="s">
        <v>34484</v>
      </c>
      <c r="BH3446">
        <f t="shared" si="80"/>
        <v>0</v>
      </c>
    </row>
    <row r="3447" spans="1:60" ht="58" x14ac:dyDescent="0.35">
      <c r="A3447" s="2" t="s">
        <v>1040</v>
      </c>
      <c r="B3447" s="2" t="s">
        <v>60</v>
      </c>
      <c r="C3447" s="2" t="s">
        <v>34485</v>
      </c>
      <c r="D3447" s="2" t="s">
        <v>34486</v>
      </c>
      <c r="E3447" s="2" t="s">
        <v>34487</v>
      </c>
      <c r="G3447" s="3" t="s">
        <v>64</v>
      </c>
      <c r="I3447" s="3" t="s">
        <v>128</v>
      </c>
      <c r="J3447" s="3" t="s">
        <v>64</v>
      </c>
      <c r="K3447" s="3" t="s">
        <v>65</v>
      </c>
      <c r="L3447" s="2" t="s">
        <v>34472</v>
      </c>
      <c r="M3447" s="2" t="s">
        <v>34488</v>
      </c>
      <c r="N3447" s="3" t="s">
        <v>3428</v>
      </c>
      <c r="P3447" s="3" t="s">
        <v>102</v>
      </c>
      <c r="R3447" s="3" t="s">
        <v>70</v>
      </c>
      <c r="S3447" s="4">
        <v>0</v>
      </c>
      <c r="T3447" s="4">
        <v>8</v>
      </c>
      <c r="V3447" s="5" t="s">
        <v>13652</v>
      </c>
      <c r="W3447" s="5" t="s">
        <v>72</v>
      </c>
      <c r="X3447" s="5" t="s">
        <v>72</v>
      </c>
      <c r="Y3447" s="4">
        <v>1</v>
      </c>
      <c r="Z3447" s="4">
        <v>1</v>
      </c>
      <c r="AA3447" s="4">
        <v>1</v>
      </c>
      <c r="AB3447" s="4">
        <v>1</v>
      </c>
      <c r="AC3447" s="4">
        <v>1</v>
      </c>
      <c r="AD3447" s="4">
        <v>0</v>
      </c>
      <c r="AE3447" s="4">
        <v>0</v>
      </c>
      <c r="AF3447" s="4">
        <v>0</v>
      </c>
      <c r="AG3447" s="4">
        <v>0</v>
      </c>
      <c r="AH3447" s="4">
        <v>0</v>
      </c>
      <c r="AI3447" s="4">
        <v>0</v>
      </c>
      <c r="AJ3447" s="4">
        <v>0</v>
      </c>
      <c r="AK3447" s="4">
        <v>0</v>
      </c>
      <c r="AL3447" s="4">
        <v>0</v>
      </c>
      <c r="AM3447" s="4">
        <v>0</v>
      </c>
      <c r="AN3447" s="4">
        <v>0</v>
      </c>
      <c r="AO3447" s="4">
        <v>0</v>
      </c>
      <c r="AP3447" s="4">
        <v>0</v>
      </c>
      <c r="AQ3447" s="4">
        <v>0</v>
      </c>
      <c r="AR3447" s="3" t="s">
        <v>128</v>
      </c>
      <c r="AS3447" s="3" t="s">
        <v>64</v>
      </c>
      <c r="AT3447" s="3" t="s">
        <v>64</v>
      </c>
      <c r="AV3447" s="6" t="str">
        <f>HYPERLINK("http://mcgill.on.worldcat.org/oclc/427977494","Catalog Record")</f>
        <v>Catalog Record</v>
      </c>
      <c r="AW3447" s="6" t="str">
        <f>HYPERLINK("http://www.worldcat.org/oclc/427977494","WorldCat Record")</f>
        <v>WorldCat Record</v>
      </c>
      <c r="AX3447" s="3" t="s">
        <v>34489</v>
      </c>
      <c r="AY3447" s="3" t="s">
        <v>34490</v>
      </c>
      <c r="AZ3447" s="3" t="s">
        <v>34491</v>
      </c>
      <c r="BA3447" s="3" t="s">
        <v>34491</v>
      </c>
      <c r="BB3447" s="3" t="s">
        <v>34492</v>
      </c>
      <c r="BC3447" s="3" t="s">
        <v>34493</v>
      </c>
      <c r="BD3447" s="3" t="s">
        <v>78</v>
      </c>
      <c r="BF3447" s="3" t="s">
        <v>34492</v>
      </c>
      <c r="BG3447" s="3" t="s">
        <v>34494</v>
      </c>
      <c r="BH3447">
        <f t="shared" si="80"/>
        <v>0</v>
      </c>
    </row>
    <row r="3448" spans="1:60" ht="58" x14ac:dyDescent="0.35">
      <c r="A3448" s="2" t="s">
        <v>59</v>
      </c>
      <c r="B3448" s="2" t="s">
        <v>60</v>
      </c>
      <c r="C3448" s="2" t="s">
        <v>34495</v>
      </c>
      <c r="D3448" s="2" t="s">
        <v>34486</v>
      </c>
      <c r="E3448" s="2" t="s">
        <v>34487</v>
      </c>
      <c r="G3448" s="3" t="s">
        <v>64</v>
      </c>
      <c r="I3448" s="3" t="s">
        <v>128</v>
      </c>
      <c r="J3448" s="3" t="s">
        <v>64</v>
      </c>
      <c r="K3448" s="3" t="s">
        <v>65</v>
      </c>
      <c r="L3448" s="2" t="s">
        <v>34472</v>
      </c>
      <c r="M3448" s="2" t="s">
        <v>34488</v>
      </c>
      <c r="N3448" s="3" t="s">
        <v>3428</v>
      </c>
      <c r="P3448" s="3" t="s">
        <v>102</v>
      </c>
      <c r="R3448" s="3" t="s">
        <v>70</v>
      </c>
      <c r="S3448" s="4">
        <v>3</v>
      </c>
      <c r="T3448" s="4">
        <v>8</v>
      </c>
      <c r="U3448" s="5" t="s">
        <v>13652</v>
      </c>
      <c r="V3448" s="5" t="s">
        <v>13652</v>
      </c>
      <c r="W3448" s="5" t="s">
        <v>72</v>
      </c>
      <c r="X3448" s="5" t="s">
        <v>72</v>
      </c>
      <c r="Y3448" s="4">
        <v>1</v>
      </c>
      <c r="Z3448" s="4">
        <v>1</v>
      </c>
      <c r="AA3448" s="4">
        <v>1</v>
      </c>
      <c r="AB3448" s="4">
        <v>1</v>
      </c>
      <c r="AC3448" s="4">
        <v>1</v>
      </c>
      <c r="AD3448" s="4">
        <v>0</v>
      </c>
      <c r="AE3448" s="4">
        <v>0</v>
      </c>
      <c r="AF3448" s="4">
        <v>0</v>
      </c>
      <c r="AG3448" s="4">
        <v>0</v>
      </c>
      <c r="AH3448" s="4">
        <v>0</v>
      </c>
      <c r="AI3448" s="4">
        <v>0</v>
      </c>
      <c r="AJ3448" s="4">
        <v>0</v>
      </c>
      <c r="AK3448" s="4">
        <v>0</v>
      </c>
      <c r="AL3448" s="4">
        <v>0</v>
      </c>
      <c r="AM3448" s="4">
        <v>0</v>
      </c>
      <c r="AN3448" s="4">
        <v>0</v>
      </c>
      <c r="AO3448" s="4">
        <v>0</v>
      </c>
      <c r="AP3448" s="4">
        <v>0</v>
      </c>
      <c r="AQ3448" s="4">
        <v>0</v>
      </c>
      <c r="AR3448" s="3" t="s">
        <v>128</v>
      </c>
      <c r="AS3448" s="3" t="s">
        <v>64</v>
      </c>
      <c r="AT3448" s="3" t="s">
        <v>64</v>
      </c>
      <c r="AV3448" s="6" t="str">
        <f>HYPERLINK("http://mcgill.on.worldcat.org/oclc/427977494","Catalog Record")</f>
        <v>Catalog Record</v>
      </c>
      <c r="AW3448" s="6" t="str">
        <f>HYPERLINK("http://www.worldcat.org/oclc/427977494","WorldCat Record")</f>
        <v>WorldCat Record</v>
      </c>
      <c r="AX3448" s="3" t="s">
        <v>34489</v>
      </c>
      <c r="AY3448" s="3" t="s">
        <v>34490</v>
      </c>
      <c r="AZ3448" s="3" t="s">
        <v>34491</v>
      </c>
      <c r="BA3448" s="3" t="s">
        <v>34491</v>
      </c>
      <c r="BB3448" s="3" t="s">
        <v>34496</v>
      </c>
      <c r="BC3448" s="3" t="s">
        <v>34493</v>
      </c>
      <c r="BD3448" s="3" t="s">
        <v>78</v>
      </c>
      <c r="BF3448" s="3" t="s">
        <v>34496</v>
      </c>
      <c r="BG3448" s="3" t="s">
        <v>34497</v>
      </c>
      <c r="BH3448">
        <f t="shared" si="80"/>
        <v>0</v>
      </c>
    </row>
    <row r="3449" spans="1:60" ht="58" x14ac:dyDescent="0.35">
      <c r="A3449" s="2" t="s">
        <v>1040</v>
      </c>
      <c r="B3449" s="2" t="s">
        <v>60</v>
      </c>
      <c r="C3449" s="2" t="s">
        <v>34495</v>
      </c>
      <c r="D3449" s="2" t="s">
        <v>34486</v>
      </c>
      <c r="E3449" s="2" t="s">
        <v>34487</v>
      </c>
      <c r="G3449" s="3" t="s">
        <v>64</v>
      </c>
      <c r="I3449" s="3" t="s">
        <v>128</v>
      </c>
      <c r="J3449" s="3" t="s">
        <v>64</v>
      </c>
      <c r="K3449" s="3" t="s">
        <v>65</v>
      </c>
      <c r="L3449" s="2" t="s">
        <v>34472</v>
      </c>
      <c r="M3449" s="2" t="s">
        <v>34488</v>
      </c>
      <c r="N3449" s="3" t="s">
        <v>3428</v>
      </c>
      <c r="P3449" s="3" t="s">
        <v>102</v>
      </c>
      <c r="R3449" s="3" t="s">
        <v>70</v>
      </c>
      <c r="S3449" s="4">
        <v>0</v>
      </c>
      <c r="T3449" s="4">
        <v>8</v>
      </c>
      <c r="V3449" s="5" t="s">
        <v>13652</v>
      </c>
      <c r="W3449" s="5" t="s">
        <v>72</v>
      </c>
      <c r="X3449" s="5" t="s">
        <v>72</v>
      </c>
      <c r="Y3449" s="4">
        <v>1</v>
      </c>
      <c r="Z3449" s="4">
        <v>1</v>
      </c>
      <c r="AA3449" s="4">
        <v>1</v>
      </c>
      <c r="AB3449" s="4">
        <v>1</v>
      </c>
      <c r="AC3449" s="4">
        <v>1</v>
      </c>
      <c r="AD3449" s="4">
        <v>0</v>
      </c>
      <c r="AE3449" s="4">
        <v>0</v>
      </c>
      <c r="AF3449" s="4">
        <v>0</v>
      </c>
      <c r="AG3449" s="4">
        <v>0</v>
      </c>
      <c r="AH3449" s="4">
        <v>0</v>
      </c>
      <c r="AI3449" s="4">
        <v>0</v>
      </c>
      <c r="AJ3449" s="4">
        <v>0</v>
      </c>
      <c r="AK3449" s="4">
        <v>0</v>
      </c>
      <c r="AL3449" s="4">
        <v>0</v>
      </c>
      <c r="AM3449" s="4">
        <v>0</v>
      </c>
      <c r="AN3449" s="4">
        <v>0</v>
      </c>
      <c r="AO3449" s="4">
        <v>0</v>
      </c>
      <c r="AP3449" s="4">
        <v>0</v>
      </c>
      <c r="AQ3449" s="4">
        <v>0</v>
      </c>
      <c r="AR3449" s="3" t="s">
        <v>128</v>
      </c>
      <c r="AS3449" s="3" t="s">
        <v>64</v>
      </c>
      <c r="AT3449" s="3" t="s">
        <v>64</v>
      </c>
      <c r="AV3449" s="6" t="str">
        <f>HYPERLINK("http://mcgill.on.worldcat.org/oclc/427977494","Catalog Record")</f>
        <v>Catalog Record</v>
      </c>
      <c r="AW3449" s="6" t="str">
        <f>HYPERLINK("http://www.worldcat.org/oclc/427977494","WorldCat Record")</f>
        <v>WorldCat Record</v>
      </c>
      <c r="AX3449" s="3" t="s">
        <v>34489</v>
      </c>
      <c r="AY3449" s="3" t="s">
        <v>34490</v>
      </c>
      <c r="AZ3449" s="3" t="s">
        <v>34491</v>
      </c>
      <c r="BA3449" s="3" t="s">
        <v>34491</v>
      </c>
      <c r="BB3449" s="3" t="s">
        <v>34498</v>
      </c>
      <c r="BC3449" s="3" t="s">
        <v>34493</v>
      </c>
      <c r="BD3449" s="3" t="s">
        <v>78</v>
      </c>
      <c r="BF3449" s="3" t="s">
        <v>34498</v>
      </c>
      <c r="BG3449" s="3" t="s">
        <v>34499</v>
      </c>
      <c r="BH3449">
        <f t="shared" si="80"/>
        <v>0</v>
      </c>
    </row>
    <row r="3450" spans="1:60" ht="58" x14ac:dyDescent="0.35">
      <c r="A3450" s="2" t="s">
        <v>59</v>
      </c>
      <c r="B3450" s="2" t="s">
        <v>60</v>
      </c>
      <c r="C3450" s="2" t="s">
        <v>34495</v>
      </c>
      <c r="D3450" s="2" t="s">
        <v>34486</v>
      </c>
      <c r="E3450" s="2" t="s">
        <v>34487</v>
      </c>
      <c r="G3450" s="3" t="s">
        <v>64</v>
      </c>
      <c r="I3450" s="3" t="s">
        <v>128</v>
      </c>
      <c r="J3450" s="3" t="s">
        <v>64</v>
      </c>
      <c r="K3450" s="3" t="s">
        <v>65</v>
      </c>
      <c r="L3450" s="2" t="s">
        <v>34472</v>
      </c>
      <c r="M3450" s="2" t="s">
        <v>34488</v>
      </c>
      <c r="N3450" s="3" t="s">
        <v>3428</v>
      </c>
      <c r="P3450" s="3" t="s">
        <v>102</v>
      </c>
      <c r="R3450" s="3" t="s">
        <v>70</v>
      </c>
      <c r="S3450" s="4">
        <v>5</v>
      </c>
      <c r="T3450" s="4">
        <v>8</v>
      </c>
      <c r="U3450" s="5" t="s">
        <v>18230</v>
      </c>
      <c r="V3450" s="5" t="s">
        <v>13652</v>
      </c>
      <c r="W3450" s="5" t="s">
        <v>72</v>
      </c>
      <c r="X3450" s="5" t="s">
        <v>72</v>
      </c>
      <c r="Y3450" s="4">
        <v>1</v>
      </c>
      <c r="Z3450" s="4">
        <v>1</v>
      </c>
      <c r="AA3450" s="4">
        <v>1</v>
      </c>
      <c r="AB3450" s="4">
        <v>1</v>
      </c>
      <c r="AC3450" s="4">
        <v>1</v>
      </c>
      <c r="AD3450" s="4">
        <v>0</v>
      </c>
      <c r="AE3450" s="4">
        <v>0</v>
      </c>
      <c r="AF3450" s="4">
        <v>0</v>
      </c>
      <c r="AG3450" s="4">
        <v>0</v>
      </c>
      <c r="AH3450" s="4">
        <v>0</v>
      </c>
      <c r="AI3450" s="4">
        <v>0</v>
      </c>
      <c r="AJ3450" s="4">
        <v>0</v>
      </c>
      <c r="AK3450" s="4">
        <v>0</v>
      </c>
      <c r="AL3450" s="4">
        <v>0</v>
      </c>
      <c r="AM3450" s="4">
        <v>0</v>
      </c>
      <c r="AN3450" s="4">
        <v>0</v>
      </c>
      <c r="AO3450" s="4">
        <v>0</v>
      </c>
      <c r="AP3450" s="4">
        <v>0</v>
      </c>
      <c r="AQ3450" s="4">
        <v>0</v>
      </c>
      <c r="AR3450" s="3" t="s">
        <v>128</v>
      </c>
      <c r="AS3450" s="3" t="s">
        <v>64</v>
      </c>
      <c r="AT3450" s="3" t="s">
        <v>64</v>
      </c>
      <c r="AV3450" s="6" t="str">
        <f>HYPERLINK("http://mcgill.on.worldcat.org/oclc/427977494","Catalog Record")</f>
        <v>Catalog Record</v>
      </c>
      <c r="AW3450" s="6" t="str">
        <f>HYPERLINK("http://www.worldcat.org/oclc/427977494","WorldCat Record")</f>
        <v>WorldCat Record</v>
      </c>
      <c r="AX3450" s="3" t="s">
        <v>34489</v>
      </c>
      <c r="AY3450" s="3" t="s">
        <v>34490</v>
      </c>
      <c r="AZ3450" s="3" t="s">
        <v>34491</v>
      </c>
      <c r="BA3450" s="3" t="s">
        <v>34491</v>
      </c>
      <c r="BB3450" s="3" t="s">
        <v>34500</v>
      </c>
      <c r="BC3450" s="3" t="s">
        <v>34493</v>
      </c>
      <c r="BD3450" s="3" t="s">
        <v>78</v>
      </c>
      <c r="BF3450" s="3" t="s">
        <v>34500</v>
      </c>
      <c r="BG3450" s="3" t="s">
        <v>34501</v>
      </c>
      <c r="BH3450">
        <f t="shared" si="80"/>
        <v>0</v>
      </c>
    </row>
    <row r="3451" spans="1:60" ht="58" x14ac:dyDescent="0.35">
      <c r="A3451" s="2" t="s">
        <v>59</v>
      </c>
      <c r="B3451" s="2" t="s">
        <v>60</v>
      </c>
      <c r="C3451" s="2" t="s">
        <v>34502</v>
      </c>
      <c r="D3451" s="2" t="s">
        <v>34503</v>
      </c>
      <c r="E3451" s="2" t="s">
        <v>34504</v>
      </c>
      <c r="F3451" s="3" t="s">
        <v>34505</v>
      </c>
      <c r="G3451" s="3" t="s">
        <v>128</v>
      </c>
      <c r="I3451" s="3" t="s">
        <v>128</v>
      </c>
      <c r="J3451" s="3" t="s">
        <v>64</v>
      </c>
      <c r="K3451" s="3" t="s">
        <v>65</v>
      </c>
      <c r="L3451" s="2" t="s">
        <v>34472</v>
      </c>
      <c r="M3451" s="2" t="s">
        <v>34506</v>
      </c>
      <c r="N3451" s="3" t="s">
        <v>1087</v>
      </c>
      <c r="P3451" s="3" t="s">
        <v>102</v>
      </c>
      <c r="R3451" s="3" t="s">
        <v>70</v>
      </c>
      <c r="S3451" s="4">
        <v>0</v>
      </c>
      <c r="T3451" s="4">
        <v>12</v>
      </c>
      <c r="V3451" s="5" t="s">
        <v>17932</v>
      </c>
      <c r="W3451" s="5" t="s">
        <v>72</v>
      </c>
      <c r="X3451" s="5" t="s">
        <v>72</v>
      </c>
      <c r="Y3451" s="4">
        <v>1</v>
      </c>
      <c r="Z3451" s="4">
        <v>1</v>
      </c>
      <c r="AA3451" s="4">
        <v>1</v>
      </c>
      <c r="AB3451" s="4">
        <v>1</v>
      </c>
      <c r="AC3451" s="4">
        <v>1</v>
      </c>
      <c r="AD3451" s="4">
        <v>0</v>
      </c>
      <c r="AE3451" s="4">
        <v>0</v>
      </c>
      <c r="AF3451" s="4">
        <v>0</v>
      </c>
      <c r="AG3451" s="4">
        <v>0</v>
      </c>
      <c r="AH3451" s="4">
        <v>0</v>
      </c>
      <c r="AI3451" s="4">
        <v>0</v>
      </c>
      <c r="AJ3451" s="4">
        <v>0</v>
      </c>
      <c r="AK3451" s="4">
        <v>0</v>
      </c>
      <c r="AL3451" s="4">
        <v>0</v>
      </c>
      <c r="AM3451" s="4">
        <v>0</v>
      </c>
      <c r="AN3451" s="4">
        <v>0</v>
      </c>
      <c r="AO3451" s="4">
        <v>0</v>
      </c>
      <c r="AP3451" s="4">
        <v>0</v>
      </c>
      <c r="AQ3451" s="4">
        <v>0</v>
      </c>
      <c r="AR3451" s="3" t="s">
        <v>128</v>
      </c>
      <c r="AS3451" s="3" t="s">
        <v>64</v>
      </c>
      <c r="AT3451" s="3" t="s">
        <v>64</v>
      </c>
      <c r="AV3451" s="6" t="str">
        <f>HYPERLINK("http://mcgill.on.worldcat.org/oclc/61656169","Catalog Record")</f>
        <v>Catalog Record</v>
      </c>
      <c r="AW3451" s="6" t="str">
        <f>HYPERLINK("http://www.worldcat.org/oclc/61656169","WorldCat Record")</f>
        <v>WorldCat Record</v>
      </c>
      <c r="AX3451" s="3" t="s">
        <v>34507</v>
      </c>
      <c r="AY3451" s="3" t="s">
        <v>34508</v>
      </c>
      <c r="AZ3451" s="3" t="s">
        <v>34509</v>
      </c>
      <c r="BA3451" s="3" t="s">
        <v>34509</v>
      </c>
      <c r="BB3451" s="3" t="s">
        <v>34510</v>
      </c>
      <c r="BC3451" s="3" t="s">
        <v>77</v>
      </c>
      <c r="BD3451" s="3" t="s">
        <v>78</v>
      </c>
      <c r="BF3451" s="3" t="s">
        <v>34510</v>
      </c>
      <c r="BG3451" s="3" t="s">
        <v>34511</v>
      </c>
      <c r="BH3451">
        <f t="shared" si="80"/>
        <v>0</v>
      </c>
    </row>
    <row r="3452" spans="1:60" ht="58" x14ac:dyDescent="0.35">
      <c r="A3452" s="2" t="s">
        <v>59</v>
      </c>
      <c r="B3452" s="2" t="s">
        <v>60</v>
      </c>
      <c r="C3452" s="2" t="s">
        <v>34502</v>
      </c>
      <c r="D3452" s="2" t="s">
        <v>34503</v>
      </c>
      <c r="E3452" s="2" t="s">
        <v>34504</v>
      </c>
      <c r="F3452" s="3" t="s">
        <v>34505</v>
      </c>
      <c r="G3452" s="3" t="s">
        <v>128</v>
      </c>
      <c r="I3452" s="3" t="s">
        <v>128</v>
      </c>
      <c r="J3452" s="3" t="s">
        <v>64</v>
      </c>
      <c r="K3452" s="3" t="s">
        <v>65</v>
      </c>
      <c r="L3452" s="2" t="s">
        <v>34472</v>
      </c>
      <c r="M3452" s="2" t="s">
        <v>34506</v>
      </c>
      <c r="N3452" s="3" t="s">
        <v>1087</v>
      </c>
      <c r="P3452" s="3" t="s">
        <v>102</v>
      </c>
      <c r="R3452" s="3" t="s">
        <v>70</v>
      </c>
      <c r="S3452" s="4">
        <v>12</v>
      </c>
      <c r="T3452" s="4">
        <v>12</v>
      </c>
      <c r="U3452" s="5" t="s">
        <v>17932</v>
      </c>
      <c r="V3452" s="5" t="s">
        <v>17932</v>
      </c>
      <c r="W3452" s="5" t="s">
        <v>72</v>
      </c>
      <c r="X3452" s="5" t="s">
        <v>72</v>
      </c>
      <c r="Y3452" s="4">
        <v>1</v>
      </c>
      <c r="Z3452" s="4">
        <v>1</v>
      </c>
      <c r="AA3452" s="4">
        <v>1</v>
      </c>
      <c r="AB3452" s="4">
        <v>1</v>
      </c>
      <c r="AC3452" s="4">
        <v>1</v>
      </c>
      <c r="AD3452" s="4">
        <v>0</v>
      </c>
      <c r="AE3452" s="4">
        <v>0</v>
      </c>
      <c r="AF3452" s="4">
        <v>0</v>
      </c>
      <c r="AG3452" s="4">
        <v>0</v>
      </c>
      <c r="AH3452" s="4">
        <v>0</v>
      </c>
      <c r="AI3452" s="4">
        <v>0</v>
      </c>
      <c r="AJ3452" s="4">
        <v>0</v>
      </c>
      <c r="AK3452" s="4">
        <v>0</v>
      </c>
      <c r="AL3452" s="4">
        <v>0</v>
      </c>
      <c r="AM3452" s="4">
        <v>0</v>
      </c>
      <c r="AN3452" s="4">
        <v>0</v>
      </c>
      <c r="AO3452" s="4">
        <v>0</v>
      </c>
      <c r="AP3452" s="4">
        <v>0</v>
      </c>
      <c r="AQ3452" s="4">
        <v>0</v>
      </c>
      <c r="AR3452" s="3" t="s">
        <v>128</v>
      </c>
      <c r="AS3452" s="3" t="s">
        <v>64</v>
      </c>
      <c r="AT3452" s="3" t="s">
        <v>64</v>
      </c>
      <c r="AV3452" s="6" t="str">
        <f>HYPERLINK("http://mcgill.on.worldcat.org/oclc/61656169","Catalog Record")</f>
        <v>Catalog Record</v>
      </c>
      <c r="AW3452" s="6" t="str">
        <f>HYPERLINK("http://www.worldcat.org/oclc/61656169","WorldCat Record")</f>
        <v>WorldCat Record</v>
      </c>
      <c r="AX3452" s="3" t="s">
        <v>34507</v>
      </c>
      <c r="AY3452" s="3" t="s">
        <v>34508</v>
      </c>
      <c r="AZ3452" s="3" t="s">
        <v>34509</v>
      </c>
      <c r="BA3452" s="3" t="s">
        <v>34509</v>
      </c>
      <c r="BB3452" s="3" t="s">
        <v>34512</v>
      </c>
      <c r="BC3452" s="3" t="s">
        <v>77</v>
      </c>
      <c r="BD3452" s="3" t="s">
        <v>165</v>
      </c>
      <c r="BF3452" s="3" t="s">
        <v>34512</v>
      </c>
      <c r="BG3452" s="3" t="s">
        <v>34513</v>
      </c>
      <c r="BH3452">
        <f t="shared" si="80"/>
        <v>0</v>
      </c>
    </row>
    <row r="3453" spans="1:60" ht="58" x14ac:dyDescent="0.35">
      <c r="A3453" s="2" t="s">
        <v>1040</v>
      </c>
      <c r="B3453" s="2" t="s">
        <v>60</v>
      </c>
      <c r="C3453" s="2" t="s">
        <v>34502</v>
      </c>
      <c r="D3453" s="2" t="s">
        <v>34503</v>
      </c>
      <c r="E3453" s="2" t="s">
        <v>34504</v>
      </c>
      <c r="F3453" s="3" t="s">
        <v>34505</v>
      </c>
      <c r="G3453" s="3" t="s">
        <v>128</v>
      </c>
      <c r="I3453" s="3" t="s">
        <v>128</v>
      </c>
      <c r="J3453" s="3" t="s">
        <v>64</v>
      </c>
      <c r="K3453" s="3" t="s">
        <v>65</v>
      </c>
      <c r="L3453" s="2" t="s">
        <v>34472</v>
      </c>
      <c r="M3453" s="2" t="s">
        <v>34506</v>
      </c>
      <c r="N3453" s="3" t="s">
        <v>1087</v>
      </c>
      <c r="P3453" s="3" t="s">
        <v>102</v>
      </c>
      <c r="R3453" s="3" t="s">
        <v>70</v>
      </c>
      <c r="S3453" s="4">
        <v>0</v>
      </c>
      <c r="T3453" s="4">
        <v>12</v>
      </c>
      <c r="V3453" s="5" t="s">
        <v>17932</v>
      </c>
      <c r="W3453" s="5" t="s">
        <v>72</v>
      </c>
      <c r="X3453" s="5" t="s">
        <v>72</v>
      </c>
      <c r="Y3453" s="4">
        <v>1</v>
      </c>
      <c r="Z3453" s="4">
        <v>1</v>
      </c>
      <c r="AA3453" s="4">
        <v>1</v>
      </c>
      <c r="AB3453" s="4">
        <v>1</v>
      </c>
      <c r="AC3453" s="4">
        <v>1</v>
      </c>
      <c r="AD3453" s="4">
        <v>0</v>
      </c>
      <c r="AE3453" s="4">
        <v>0</v>
      </c>
      <c r="AF3453" s="4">
        <v>0</v>
      </c>
      <c r="AG3453" s="4">
        <v>0</v>
      </c>
      <c r="AH3453" s="4">
        <v>0</v>
      </c>
      <c r="AI3453" s="4">
        <v>0</v>
      </c>
      <c r="AJ3453" s="4">
        <v>0</v>
      </c>
      <c r="AK3453" s="4">
        <v>0</v>
      </c>
      <c r="AL3453" s="4">
        <v>0</v>
      </c>
      <c r="AM3453" s="4">
        <v>0</v>
      </c>
      <c r="AN3453" s="4">
        <v>0</v>
      </c>
      <c r="AO3453" s="4">
        <v>0</v>
      </c>
      <c r="AP3453" s="4">
        <v>0</v>
      </c>
      <c r="AQ3453" s="4">
        <v>0</v>
      </c>
      <c r="AR3453" s="3" t="s">
        <v>128</v>
      </c>
      <c r="AS3453" s="3" t="s">
        <v>64</v>
      </c>
      <c r="AT3453" s="3" t="s">
        <v>64</v>
      </c>
      <c r="AV3453" s="6" t="str">
        <f>HYPERLINK("http://mcgill.on.worldcat.org/oclc/61656169","Catalog Record")</f>
        <v>Catalog Record</v>
      </c>
      <c r="AW3453" s="6" t="str">
        <f>HYPERLINK("http://www.worldcat.org/oclc/61656169","WorldCat Record")</f>
        <v>WorldCat Record</v>
      </c>
      <c r="AX3453" s="3" t="s">
        <v>34507</v>
      </c>
      <c r="AY3453" s="3" t="s">
        <v>34508</v>
      </c>
      <c r="AZ3453" s="3" t="s">
        <v>34509</v>
      </c>
      <c r="BA3453" s="3" t="s">
        <v>34509</v>
      </c>
      <c r="BB3453" s="3" t="s">
        <v>34514</v>
      </c>
      <c r="BC3453" s="3" t="s">
        <v>77</v>
      </c>
      <c r="BD3453" s="3" t="s">
        <v>78</v>
      </c>
      <c r="BF3453" s="3" t="s">
        <v>34514</v>
      </c>
      <c r="BG3453" s="3" t="s">
        <v>34515</v>
      </c>
      <c r="BH3453">
        <f t="shared" si="80"/>
        <v>0</v>
      </c>
    </row>
    <row r="3454" spans="1:60" ht="72.5" x14ac:dyDescent="0.35">
      <c r="A3454" s="2" t="s">
        <v>59</v>
      </c>
      <c r="B3454" s="2" t="s">
        <v>60</v>
      </c>
      <c r="C3454" s="2" t="s">
        <v>34516</v>
      </c>
      <c r="D3454" s="2" t="s">
        <v>34517</v>
      </c>
      <c r="E3454" s="2" t="s">
        <v>34518</v>
      </c>
      <c r="G3454" s="3" t="s">
        <v>64</v>
      </c>
      <c r="I3454" s="3" t="s">
        <v>128</v>
      </c>
      <c r="J3454" s="3" t="s">
        <v>64</v>
      </c>
      <c r="K3454" s="3" t="s">
        <v>65</v>
      </c>
      <c r="L3454" s="2" t="s">
        <v>34519</v>
      </c>
      <c r="M3454" s="2" t="s">
        <v>34520</v>
      </c>
      <c r="N3454" s="3" t="s">
        <v>364</v>
      </c>
      <c r="P3454" s="3" t="s">
        <v>102</v>
      </c>
      <c r="R3454" s="3" t="s">
        <v>70</v>
      </c>
      <c r="S3454" s="4">
        <v>3</v>
      </c>
      <c r="T3454" s="4">
        <v>21</v>
      </c>
      <c r="U3454" s="5" t="s">
        <v>14247</v>
      </c>
      <c r="V3454" s="5" t="s">
        <v>7309</v>
      </c>
      <c r="W3454" s="5" t="s">
        <v>72</v>
      </c>
      <c r="X3454" s="5" t="s">
        <v>72</v>
      </c>
      <c r="Y3454" s="4">
        <v>248</v>
      </c>
      <c r="Z3454" s="4">
        <v>64</v>
      </c>
      <c r="AA3454" s="4">
        <v>78</v>
      </c>
      <c r="AB3454" s="4">
        <v>4</v>
      </c>
      <c r="AC3454" s="4">
        <v>9</v>
      </c>
      <c r="AD3454" s="4">
        <v>97</v>
      </c>
      <c r="AE3454" s="4">
        <v>105</v>
      </c>
      <c r="AF3454" s="4">
        <v>2</v>
      </c>
      <c r="AG3454" s="4">
        <v>5</v>
      </c>
      <c r="AH3454" s="4">
        <v>72</v>
      </c>
      <c r="AI3454" s="4">
        <v>72</v>
      </c>
      <c r="AJ3454" s="4">
        <v>21</v>
      </c>
      <c r="AK3454" s="4">
        <v>25</v>
      </c>
      <c r="AL3454" s="4">
        <v>38</v>
      </c>
      <c r="AM3454" s="4">
        <v>38</v>
      </c>
      <c r="AN3454" s="4">
        <v>0</v>
      </c>
      <c r="AO3454" s="4">
        <v>0</v>
      </c>
      <c r="AP3454" s="4">
        <v>33</v>
      </c>
      <c r="AQ3454" s="4">
        <v>40</v>
      </c>
      <c r="AR3454" s="3" t="s">
        <v>128</v>
      </c>
      <c r="AS3454" s="3" t="s">
        <v>64</v>
      </c>
      <c r="AT3454" s="3" t="s">
        <v>128</v>
      </c>
      <c r="AU3454" s="6" t="str">
        <f>HYPERLINK("http://catalog.hathitrust.org/Record/001165055","HathiTrust Record")</f>
        <v>HathiTrust Record</v>
      </c>
      <c r="AV3454" s="6" t="str">
        <f>HYPERLINK("http://mcgill.on.worldcat.org/oclc/803561","Catalog Record")</f>
        <v>Catalog Record</v>
      </c>
      <c r="AW3454" s="6" t="str">
        <f>HYPERLINK("http://www.worldcat.org/oclc/803561","WorldCat Record")</f>
        <v>WorldCat Record</v>
      </c>
      <c r="AX3454" s="3" t="s">
        <v>34521</v>
      </c>
      <c r="AY3454" s="3" t="s">
        <v>34522</v>
      </c>
      <c r="AZ3454" s="3" t="s">
        <v>34523</v>
      </c>
      <c r="BA3454" s="3" t="s">
        <v>34523</v>
      </c>
      <c r="BB3454" s="3" t="s">
        <v>34524</v>
      </c>
      <c r="BC3454" s="3" t="s">
        <v>2891</v>
      </c>
      <c r="BD3454" s="3" t="s">
        <v>78</v>
      </c>
      <c r="BE3454" s="3" t="s">
        <v>34525</v>
      </c>
      <c r="BF3454" s="3" t="s">
        <v>34524</v>
      </c>
      <c r="BG3454" s="3" t="s">
        <v>34526</v>
      </c>
      <c r="BH3454">
        <f t="shared" si="80"/>
        <v>0</v>
      </c>
    </row>
    <row r="3455" spans="1:60" ht="72.5" x14ac:dyDescent="0.35">
      <c r="A3455" s="2" t="s">
        <v>59</v>
      </c>
      <c r="B3455" s="2" t="s">
        <v>60</v>
      </c>
      <c r="C3455" s="2" t="s">
        <v>34516</v>
      </c>
      <c r="D3455" s="2" t="s">
        <v>34517</v>
      </c>
      <c r="E3455" s="2" t="s">
        <v>34518</v>
      </c>
      <c r="G3455" s="3" t="s">
        <v>64</v>
      </c>
      <c r="I3455" s="3" t="s">
        <v>128</v>
      </c>
      <c r="J3455" s="3" t="s">
        <v>64</v>
      </c>
      <c r="K3455" s="3" t="s">
        <v>65</v>
      </c>
      <c r="L3455" s="2" t="s">
        <v>34519</v>
      </c>
      <c r="M3455" s="2" t="s">
        <v>34520</v>
      </c>
      <c r="N3455" s="3" t="s">
        <v>364</v>
      </c>
      <c r="P3455" s="3" t="s">
        <v>102</v>
      </c>
      <c r="R3455" s="3" t="s">
        <v>70</v>
      </c>
      <c r="S3455" s="4">
        <v>18</v>
      </c>
      <c r="T3455" s="4">
        <v>21</v>
      </c>
      <c r="U3455" s="5" t="s">
        <v>7309</v>
      </c>
      <c r="V3455" s="5" t="s">
        <v>7309</v>
      </c>
      <c r="W3455" s="5" t="s">
        <v>72</v>
      </c>
      <c r="X3455" s="5" t="s">
        <v>72</v>
      </c>
      <c r="Y3455" s="4">
        <v>248</v>
      </c>
      <c r="Z3455" s="4">
        <v>64</v>
      </c>
      <c r="AA3455" s="4">
        <v>78</v>
      </c>
      <c r="AB3455" s="4">
        <v>4</v>
      </c>
      <c r="AC3455" s="4">
        <v>9</v>
      </c>
      <c r="AD3455" s="4">
        <v>97</v>
      </c>
      <c r="AE3455" s="4">
        <v>105</v>
      </c>
      <c r="AF3455" s="4">
        <v>2</v>
      </c>
      <c r="AG3455" s="4">
        <v>5</v>
      </c>
      <c r="AH3455" s="4">
        <v>72</v>
      </c>
      <c r="AI3455" s="4">
        <v>72</v>
      </c>
      <c r="AJ3455" s="4">
        <v>21</v>
      </c>
      <c r="AK3455" s="4">
        <v>25</v>
      </c>
      <c r="AL3455" s="4">
        <v>38</v>
      </c>
      <c r="AM3455" s="4">
        <v>38</v>
      </c>
      <c r="AN3455" s="4">
        <v>0</v>
      </c>
      <c r="AO3455" s="4">
        <v>0</v>
      </c>
      <c r="AP3455" s="4">
        <v>33</v>
      </c>
      <c r="AQ3455" s="4">
        <v>40</v>
      </c>
      <c r="AR3455" s="3" t="s">
        <v>128</v>
      </c>
      <c r="AS3455" s="3" t="s">
        <v>64</v>
      </c>
      <c r="AT3455" s="3" t="s">
        <v>128</v>
      </c>
      <c r="AU3455" s="6" t="str">
        <f>HYPERLINK("http://catalog.hathitrust.org/Record/001165055","HathiTrust Record")</f>
        <v>HathiTrust Record</v>
      </c>
      <c r="AV3455" s="6" t="str">
        <f>HYPERLINK("http://mcgill.on.worldcat.org/oclc/803561","Catalog Record")</f>
        <v>Catalog Record</v>
      </c>
      <c r="AW3455" s="6" t="str">
        <f>HYPERLINK("http://www.worldcat.org/oclc/803561","WorldCat Record")</f>
        <v>WorldCat Record</v>
      </c>
      <c r="AX3455" s="3" t="s">
        <v>34521</v>
      </c>
      <c r="AY3455" s="3" t="s">
        <v>34522</v>
      </c>
      <c r="AZ3455" s="3" t="s">
        <v>34523</v>
      </c>
      <c r="BA3455" s="3" t="s">
        <v>34523</v>
      </c>
      <c r="BB3455" s="3" t="s">
        <v>34527</v>
      </c>
      <c r="BC3455" s="3" t="s">
        <v>2891</v>
      </c>
      <c r="BD3455" s="3" t="s">
        <v>78</v>
      </c>
      <c r="BE3455" s="3" t="s">
        <v>34525</v>
      </c>
      <c r="BF3455" s="3" t="s">
        <v>34527</v>
      </c>
      <c r="BG3455" s="3" t="s">
        <v>34528</v>
      </c>
      <c r="BH3455">
        <f t="shared" si="80"/>
        <v>0</v>
      </c>
    </row>
    <row r="3456" spans="1:60" ht="116" x14ac:dyDescent="0.35">
      <c r="A3456" s="2" t="s">
        <v>59</v>
      </c>
      <c r="B3456" s="2" t="s">
        <v>60</v>
      </c>
      <c r="C3456" s="2" t="s">
        <v>34529</v>
      </c>
      <c r="D3456" s="2" t="s">
        <v>34530</v>
      </c>
      <c r="E3456" s="2" t="s">
        <v>34531</v>
      </c>
      <c r="G3456" s="3" t="s">
        <v>64</v>
      </c>
      <c r="I3456" s="3" t="s">
        <v>64</v>
      </c>
      <c r="J3456" s="3" t="s">
        <v>64</v>
      </c>
      <c r="K3456" s="3" t="s">
        <v>65</v>
      </c>
      <c r="M3456" s="2" t="s">
        <v>34532</v>
      </c>
      <c r="N3456" s="3" t="s">
        <v>1615</v>
      </c>
      <c r="P3456" s="3" t="s">
        <v>102</v>
      </c>
      <c r="R3456" s="3" t="s">
        <v>70</v>
      </c>
      <c r="S3456" s="4">
        <v>6</v>
      </c>
      <c r="T3456" s="4">
        <v>6</v>
      </c>
      <c r="U3456" s="5" t="s">
        <v>14247</v>
      </c>
      <c r="V3456" s="5" t="s">
        <v>14247</v>
      </c>
      <c r="W3456" s="5" t="s">
        <v>72</v>
      </c>
      <c r="X3456" s="5" t="s">
        <v>72</v>
      </c>
      <c r="Y3456" s="4">
        <v>39</v>
      </c>
      <c r="Z3456" s="4">
        <v>23</v>
      </c>
      <c r="AA3456" s="4">
        <v>26</v>
      </c>
      <c r="AB3456" s="4">
        <v>1</v>
      </c>
      <c r="AC3456" s="4">
        <v>2</v>
      </c>
      <c r="AD3456" s="4">
        <v>26</v>
      </c>
      <c r="AE3456" s="4">
        <v>28</v>
      </c>
      <c r="AF3456" s="4">
        <v>0</v>
      </c>
      <c r="AG3456" s="4">
        <v>1</v>
      </c>
      <c r="AH3456" s="4">
        <v>15</v>
      </c>
      <c r="AI3456" s="4">
        <v>16</v>
      </c>
      <c r="AJ3456" s="4">
        <v>13</v>
      </c>
      <c r="AK3456" s="4">
        <v>14</v>
      </c>
      <c r="AL3456" s="4">
        <v>7</v>
      </c>
      <c r="AM3456" s="4">
        <v>7</v>
      </c>
      <c r="AN3456" s="4">
        <v>0</v>
      </c>
      <c r="AO3456" s="4">
        <v>0</v>
      </c>
      <c r="AP3456" s="4">
        <v>15</v>
      </c>
      <c r="AQ3456" s="4">
        <v>17</v>
      </c>
      <c r="AR3456" s="3" t="s">
        <v>128</v>
      </c>
      <c r="AS3456" s="3" t="s">
        <v>64</v>
      </c>
      <c r="AT3456" s="3" t="s">
        <v>128</v>
      </c>
      <c r="AU3456" s="6" t="str">
        <f>HYPERLINK("http://catalog.hathitrust.org/Record/006174304","HathiTrust Record")</f>
        <v>HathiTrust Record</v>
      </c>
      <c r="AV3456" s="6" t="str">
        <f>HYPERLINK("http://mcgill.on.worldcat.org/oclc/36044295","Catalog Record")</f>
        <v>Catalog Record</v>
      </c>
      <c r="AW3456" s="6" t="str">
        <f>HYPERLINK("http://www.worldcat.org/oclc/36044295","WorldCat Record")</f>
        <v>WorldCat Record</v>
      </c>
      <c r="AX3456" s="3" t="s">
        <v>34533</v>
      </c>
      <c r="AY3456" s="3" t="s">
        <v>34534</v>
      </c>
      <c r="AZ3456" s="3" t="s">
        <v>34535</v>
      </c>
      <c r="BA3456" s="3" t="s">
        <v>34535</v>
      </c>
      <c r="BB3456" s="3" t="s">
        <v>34536</v>
      </c>
      <c r="BC3456" s="3" t="s">
        <v>77</v>
      </c>
      <c r="BD3456" s="3" t="s">
        <v>78</v>
      </c>
      <c r="BE3456" s="3" t="s">
        <v>34537</v>
      </c>
      <c r="BF3456" s="3" t="s">
        <v>34536</v>
      </c>
      <c r="BG3456" s="3" t="s">
        <v>34538</v>
      </c>
      <c r="BH3456">
        <f t="shared" si="80"/>
        <v>0</v>
      </c>
    </row>
    <row r="3457" spans="1:60" ht="58" x14ac:dyDescent="0.35">
      <c r="A3457" s="2" t="s">
        <v>59</v>
      </c>
      <c r="B3457" s="2" t="s">
        <v>60</v>
      </c>
      <c r="C3457" s="2" t="s">
        <v>34539</v>
      </c>
      <c r="D3457" s="2" t="s">
        <v>34540</v>
      </c>
      <c r="E3457" s="2" t="s">
        <v>34541</v>
      </c>
      <c r="G3457" s="3" t="s">
        <v>64</v>
      </c>
      <c r="I3457" s="3" t="s">
        <v>64</v>
      </c>
      <c r="J3457" s="3" t="s">
        <v>64</v>
      </c>
      <c r="K3457" s="3" t="s">
        <v>65</v>
      </c>
      <c r="L3457" s="2" t="s">
        <v>34542</v>
      </c>
      <c r="M3457" s="2" t="s">
        <v>34543</v>
      </c>
      <c r="N3457" s="3" t="s">
        <v>768</v>
      </c>
      <c r="P3457" s="3" t="s">
        <v>102</v>
      </c>
      <c r="R3457" s="3" t="s">
        <v>70</v>
      </c>
      <c r="S3457" s="4">
        <v>2</v>
      </c>
      <c r="T3457" s="4">
        <v>2</v>
      </c>
      <c r="U3457" s="5" t="s">
        <v>34544</v>
      </c>
      <c r="V3457" s="5" t="s">
        <v>34544</v>
      </c>
      <c r="W3457" s="5" t="s">
        <v>72</v>
      </c>
      <c r="X3457" s="5" t="s">
        <v>72</v>
      </c>
      <c r="Y3457" s="4">
        <v>115</v>
      </c>
      <c r="Z3457" s="4">
        <v>47</v>
      </c>
      <c r="AA3457" s="4">
        <v>48</v>
      </c>
      <c r="AB3457" s="4">
        <v>4</v>
      </c>
      <c r="AC3457" s="4">
        <v>5</v>
      </c>
      <c r="AD3457" s="4">
        <v>52</v>
      </c>
      <c r="AE3457" s="4">
        <v>52</v>
      </c>
      <c r="AF3457" s="4">
        <v>1</v>
      </c>
      <c r="AG3457" s="4">
        <v>1</v>
      </c>
      <c r="AH3457" s="4">
        <v>33</v>
      </c>
      <c r="AI3457" s="4">
        <v>33</v>
      </c>
      <c r="AJ3457" s="4">
        <v>17</v>
      </c>
      <c r="AK3457" s="4">
        <v>17</v>
      </c>
      <c r="AL3457" s="4">
        <v>17</v>
      </c>
      <c r="AM3457" s="4">
        <v>17</v>
      </c>
      <c r="AN3457" s="4">
        <v>0</v>
      </c>
      <c r="AO3457" s="4">
        <v>0</v>
      </c>
      <c r="AP3457" s="4">
        <v>24</v>
      </c>
      <c r="AQ3457" s="4">
        <v>24</v>
      </c>
      <c r="AR3457" s="3" t="s">
        <v>128</v>
      </c>
      <c r="AS3457" s="3" t="s">
        <v>64</v>
      </c>
      <c r="AT3457" s="3" t="s">
        <v>128</v>
      </c>
      <c r="AU3457" s="6" t="str">
        <f>HYPERLINK("http://catalog.hathitrust.org/Record/000718132","HathiTrust Record")</f>
        <v>HathiTrust Record</v>
      </c>
      <c r="AV3457" s="6" t="str">
        <f>HYPERLINK("http://mcgill.on.worldcat.org/oclc/4807961","Catalog Record")</f>
        <v>Catalog Record</v>
      </c>
      <c r="AW3457" s="6" t="str">
        <f>HYPERLINK("http://www.worldcat.org/oclc/4807961","WorldCat Record")</f>
        <v>WorldCat Record</v>
      </c>
      <c r="AX3457" s="3" t="s">
        <v>34545</v>
      </c>
      <c r="AY3457" s="3" t="s">
        <v>34546</v>
      </c>
      <c r="AZ3457" s="3" t="s">
        <v>34547</v>
      </c>
      <c r="BA3457" s="3" t="s">
        <v>34547</v>
      </c>
      <c r="BB3457" s="3" t="s">
        <v>34548</v>
      </c>
      <c r="BC3457" s="3" t="s">
        <v>77</v>
      </c>
      <c r="BD3457" s="3" t="s">
        <v>78</v>
      </c>
      <c r="BE3457" s="3" t="s">
        <v>34549</v>
      </c>
      <c r="BF3457" s="3" t="s">
        <v>34548</v>
      </c>
      <c r="BG3457" s="3" t="s">
        <v>34550</v>
      </c>
      <c r="BH3457">
        <f t="shared" si="80"/>
        <v>0</v>
      </c>
    </row>
    <row r="3458" spans="1:60" ht="58" x14ac:dyDescent="0.35">
      <c r="A3458" s="2" t="s">
        <v>59</v>
      </c>
      <c r="B3458" s="2" t="s">
        <v>60</v>
      </c>
      <c r="C3458" s="2" t="s">
        <v>34551</v>
      </c>
      <c r="D3458" s="2" t="s">
        <v>34552</v>
      </c>
      <c r="E3458" s="2" t="s">
        <v>34553</v>
      </c>
      <c r="G3458" s="3" t="s">
        <v>64</v>
      </c>
      <c r="I3458" s="3" t="s">
        <v>64</v>
      </c>
      <c r="J3458" s="3" t="s">
        <v>64</v>
      </c>
      <c r="K3458" s="3" t="s">
        <v>65</v>
      </c>
      <c r="L3458" s="2" t="s">
        <v>34554</v>
      </c>
      <c r="M3458" s="2" t="s">
        <v>34555</v>
      </c>
      <c r="N3458" s="3" t="s">
        <v>551</v>
      </c>
      <c r="O3458" s="2" t="s">
        <v>34556</v>
      </c>
      <c r="P3458" s="3" t="s">
        <v>102</v>
      </c>
      <c r="R3458" s="3" t="s">
        <v>70</v>
      </c>
      <c r="S3458" s="4">
        <v>1</v>
      </c>
      <c r="T3458" s="4">
        <v>1</v>
      </c>
      <c r="U3458" s="5" t="s">
        <v>4804</v>
      </c>
      <c r="V3458" s="5" t="s">
        <v>4804</v>
      </c>
      <c r="W3458" s="5" t="s">
        <v>72</v>
      </c>
      <c r="X3458" s="5" t="s">
        <v>72</v>
      </c>
      <c r="Y3458" s="4">
        <v>11</v>
      </c>
      <c r="Z3458" s="4">
        <v>8</v>
      </c>
      <c r="AA3458" s="4">
        <v>8</v>
      </c>
      <c r="AB3458" s="4">
        <v>1</v>
      </c>
      <c r="AC3458" s="4">
        <v>1</v>
      </c>
      <c r="AD3458" s="4">
        <v>7</v>
      </c>
      <c r="AE3458" s="4">
        <v>7</v>
      </c>
      <c r="AF3458" s="4">
        <v>0</v>
      </c>
      <c r="AG3458" s="4">
        <v>0</v>
      </c>
      <c r="AH3458" s="4">
        <v>4</v>
      </c>
      <c r="AI3458" s="4">
        <v>4</v>
      </c>
      <c r="AJ3458" s="4">
        <v>5</v>
      </c>
      <c r="AK3458" s="4">
        <v>5</v>
      </c>
      <c r="AL3458" s="4">
        <v>2</v>
      </c>
      <c r="AM3458" s="4">
        <v>2</v>
      </c>
      <c r="AN3458" s="4">
        <v>0</v>
      </c>
      <c r="AO3458" s="4">
        <v>0</v>
      </c>
      <c r="AP3458" s="4">
        <v>4</v>
      </c>
      <c r="AQ3458" s="4">
        <v>4</v>
      </c>
      <c r="AR3458" s="3" t="s">
        <v>128</v>
      </c>
      <c r="AS3458" s="3" t="s">
        <v>64</v>
      </c>
      <c r="AT3458" s="3" t="s">
        <v>64</v>
      </c>
      <c r="AV3458" s="6" t="str">
        <f>HYPERLINK("http://mcgill.on.worldcat.org/oclc/426222602","Catalog Record")</f>
        <v>Catalog Record</v>
      </c>
      <c r="AW3458" s="6" t="str">
        <f>HYPERLINK("http://www.worldcat.org/oclc/426222602","WorldCat Record")</f>
        <v>WorldCat Record</v>
      </c>
      <c r="AX3458" s="3" t="s">
        <v>34557</v>
      </c>
      <c r="AY3458" s="3" t="s">
        <v>34558</v>
      </c>
      <c r="AZ3458" s="3" t="s">
        <v>34559</v>
      </c>
      <c r="BA3458" s="3" t="s">
        <v>34559</v>
      </c>
      <c r="BB3458" s="3" t="s">
        <v>34560</v>
      </c>
      <c r="BC3458" s="3" t="s">
        <v>77</v>
      </c>
      <c r="BD3458" s="3" t="s">
        <v>78</v>
      </c>
      <c r="BE3458" s="3" t="s">
        <v>34561</v>
      </c>
      <c r="BF3458" s="3" t="s">
        <v>34560</v>
      </c>
      <c r="BG3458" s="3" t="s">
        <v>34562</v>
      </c>
      <c r="BH3458">
        <f t="shared" ref="BH3458:BH3521" si="81">IF(COUNTIF($BF$1:$BF$5431,BF3458)=1,0,1)</f>
        <v>0</v>
      </c>
    </row>
    <row r="3459" spans="1:60" ht="58" x14ac:dyDescent="0.35">
      <c r="A3459" s="2" t="s">
        <v>59</v>
      </c>
      <c r="B3459" s="2" t="s">
        <v>60</v>
      </c>
      <c r="C3459" s="2" t="s">
        <v>34563</v>
      </c>
      <c r="D3459" s="2" t="s">
        <v>34564</v>
      </c>
      <c r="E3459" s="2" t="s">
        <v>34565</v>
      </c>
      <c r="G3459" s="3" t="s">
        <v>64</v>
      </c>
      <c r="I3459" s="3" t="s">
        <v>128</v>
      </c>
      <c r="J3459" s="3" t="s">
        <v>64</v>
      </c>
      <c r="K3459" s="3" t="s">
        <v>65</v>
      </c>
      <c r="L3459" s="2" t="s">
        <v>34566</v>
      </c>
      <c r="M3459" s="2" t="s">
        <v>34567</v>
      </c>
      <c r="N3459" s="3" t="s">
        <v>190</v>
      </c>
      <c r="P3459" s="3" t="s">
        <v>68</v>
      </c>
      <c r="R3459" s="3" t="s">
        <v>70</v>
      </c>
      <c r="S3459" s="4">
        <v>0</v>
      </c>
      <c r="T3459" s="4">
        <v>0</v>
      </c>
      <c r="W3459" s="5" t="s">
        <v>72</v>
      </c>
      <c r="X3459" s="5" t="s">
        <v>72</v>
      </c>
      <c r="Y3459" s="4">
        <v>5</v>
      </c>
      <c r="Z3459" s="4">
        <v>3</v>
      </c>
      <c r="AA3459" s="4">
        <v>51</v>
      </c>
      <c r="AB3459" s="4">
        <v>2</v>
      </c>
      <c r="AC3459" s="4">
        <v>17</v>
      </c>
      <c r="AD3459" s="4">
        <v>1</v>
      </c>
      <c r="AE3459" s="4">
        <v>30</v>
      </c>
      <c r="AF3459" s="4">
        <v>0</v>
      </c>
      <c r="AG3459" s="4">
        <v>8</v>
      </c>
      <c r="AH3459" s="4">
        <v>1</v>
      </c>
      <c r="AI3459" s="4">
        <v>7</v>
      </c>
      <c r="AJ3459" s="4">
        <v>1</v>
      </c>
      <c r="AK3459" s="4">
        <v>16</v>
      </c>
      <c r="AL3459" s="4">
        <v>0</v>
      </c>
      <c r="AM3459" s="4">
        <v>0</v>
      </c>
      <c r="AN3459" s="4">
        <v>0</v>
      </c>
      <c r="AO3459" s="4">
        <v>0</v>
      </c>
      <c r="AP3459" s="4">
        <v>1</v>
      </c>
      <c r="AQ3459" s="4">
        <v>28</v>
      </c>
      <c r="AR3459" s="3" t="s">
        <v>128</v>
      </c>
      <c r="AS3459" s="3" t="s">
        <v>64</v>
      </c>
      <c r="AT3459" s="3" t="s">
        <v>64</v>
      </c>
      <c r="AV3459" s="6" t="str">
        <f>HYPERLINK("http://mcgill.on.worldcat.org/oclc/1032381205","Catalog Record")</f>
        <v>Catalog Record</v>
      </c>
      <c r="AW3459" s="6" t="str">
        <f>HYPERLINK("http://www.worldcat.org/oclc/1032381205","WorldCat Record")</f>
        <v>WorldCat Record</v>
      </c>
      <c r="AX3459" s="3" t="s">
        <v>34568</v>
      </c>
      <c r="AY3459" s="3" t="s">
        <v>34569</v>
      </c>
      <c r="AZ3459" s="3" t="s">
        <v>34570</v>
      </c>
      <c r="BA3459" s="3" t="s">
        <v>34570</v>
      </c>
      <c r="BB3459" s="3" t="s">
        <v>34571</v>
      </c>
      <c r="BC3459" s="3" t="s">
        <v>77</v>
      </c>
      <c r="BD3459" s="3" t="s">
        <v>78</v>
      </c>
      <c r="BE3459" s="3" t="s">
        <v>34572</v>
      </c>
      <c r="BF3459" s="3" t="s">
        <v>34571</v>
      </c>
      <c r="BG3459" s="3" t="s">
        <v>34573</v>
      </c>
      <c r="BH3459">
        <f t="shared" si="81"/>
        <v>0</v>
      </c>
    </row>
    <row r="3460" spans="1:60" ht="58" x14ac:dyDescent="0.35">
      <c r="A3460" s="2" t="s">
        <v>59</v>
      </c>
      <c r="B3460" s="2" t="s">
        <v>60</v>
      </c>
      <c r="C3460" s="2" t="s">
        <v>34563</v>
      </c>
      <c r="D3460" s="2" t="s">
        <v>34564</v>
      </c>
      <c r="E3460" s="2" t="s">
        <v>34565</v>
      </c>
      <c r="G3460" s="3" t="s">
        <v>64</v>
      </c>
      <c r="I3460" s="3" t="s">
        <v>128</v>
      </c>
      <c r="J3460" s="3" t="s">
        <v>64</v>
      </c>
      <c r="K3460" s="3" t="s">
        <v>65</v>
      </c>
      <c r="L3460" s="2" t="s">
        <v>34566</v>
      </c>
      <c r="M3460" s="2" t="s">
        <v>34567</v>
      </c>
      <c r="N3460" s="3" t="s">
        <v>190</v>
      </c>
      <c r="P3460" s="3" t="s">
        <v>68</v>
      </c>
      <c r="R3460" s="3" t="s">
        <v>70</v>
      </c>
      <c r="S3460" s="4">
        <v>0</v>
      </c>
      <c r="T3460" s="4">
        <v>0</v>
      </c>
      <c r="W3460" s="5" t="s">
        <v>72</v>
      </c>
      <c r="X3460" s="5" t="s">
        <v>72</v>
      </c>
      <c r="Y3460" s="4">
        <v>5</v>
      </c>
      <c r="Z3460" s="4">
        <v>3</v>
      </c>
      <c r="AA3460" s="4">
        <v>51</v>
      </c>
      <c r="AB3460" s="4">
        <v>2</v>
      </c>
      <c r="AC3460" s="4">
        <v>17</v>
      </c>
      <c r="AD3460" s="4">
        <v>1</v>
      </c>
      <c r="AE3460" s="4">
        <v>30</v>
      </c>
      <c r="AF3460" s="4">
        <v>0</v>
      </c>
      <c r="AG3460" s="4">
        <v>8</v>
      </c>
      <c r="AH3460" s="4">
        <v>1</v>
      </c>
      <c r="AI3460" s="4">
        <v>7</v>
      </c>
      <c r="AJ3460" s="4">
        <v>1</v>
      </c>
      <c r="AK3460" s="4">
        <v>16</v>
      </c>
      <c r="AL3460" s="4">
        <v>0</v>
      </c>
      <c r="AM3460" s="4">
        <v>0</v>
      </c>
      <c r="AN3460" s="4">
        <v>0</v>
      </c>
      <c r="AO3460" s="4">
        <v>0</v>
      </c>
      <c r="AP3460" s="4">
        <v>1</v>
      </c>
      <c r="AQ3460" s="4">
        <v>28</v>
      </c>
      <c r="AR3460" s="3" t="s">
        <v>128</v>
      </c>
      <c r="AS3460" s="3" t="s">
        <v>64</v>
      </c>
      <c r="AT3460" s="3" t="s">
        <v>64</v>
      </c>
      <c r="AV3460" s="6" t="str">
        <f>HYPERLINK("http://mcgill.on.worldcat.org/oclc/1032381205","Catalog Record")</f>
        <v>Catalog Record</v>
      </c>
      <c r="AW3460" s="6" t="str">
        <f>HYPERLINK("http://www.worldcat.org/oclc/1032381205","WorldCat Record")</f>
        <v>WorldCat Record</v>
      </c>
      <c r="AX3460" s="3" t="s">
        <v>34568</v>
      </c>
      <c r="AY3460" s="3" t="s">
        <v>34569</v>
      </c>
      <c r="AZ3460" s="3" t="s">
        <v>34570</v>
      </c>
      <c r="BA3460" s="3" t="s">
        <v>34570</v>
      </c>
      <c r="BB3460" s="3" t="s">
        <v>34574</v>
      </c>
      <c r="BC3460" s="3" t="s">
        <v>77</v>
      </c>
      <c r="BD3460" s="3" t="s">
        <v>78</v>
      </c>
      <c r="BE3460" s="3" t="s">
        <v>34572</v>
      </c>
      <c r="BF3460" s="3" t="s">
        <v>34574</v>
      </c>
      <c r="BG3460" s="3" t="s">
        <v>34575</v>
      </c>
      <c r="BH3460">
        <f t="shared" si="81"/>
        <v>0</v>
      </c>
    </row>
    <row r="3461" spans="1:60" ht="72.5" x14ac:dyDescent="0.35">
      <c r="A3461" s="2" t="s">
        <v>59</v>
      </c>
      <c r="B3461" s="2" t="s">
        <v>60</v>
      </c>
      <c r="C3461" s="2" t="s">
        <v>34576</v>
      </c>
      <c r="D3461" s="2" t="s">
        <v>34577</v>
      </c>
      <c r="E3461" s="2" t="s">
        <v>34578</v>
      </c>
      <c r="G3461" s="3" t="s">
        <v>64</v>
      </c>
      <c r="I3461" s="3" t="s">
        <v>64</v>
      </c>
      <c r="J3461" s="3" t="s">
        <v>128</v>
      </c>
      <c r="K3461" s="3" t="s">
        <v>65</v>
      </c>
      <c r="L3461" s="2" t="s">
        <v>34579</v>
      </c>
      <c r="M3461" s="2" t="s">
        <v>34580</v>
      </c>
      <c r="N3461" s="3" t="s">
        <v>421</v>
      </c>
      <c r="P3461" s="3" t="s">
        <v>102</v>
      </c>
      <c r="Q3461" s="2" t="s">
        <v>34581</v>
      </c>
      <c r="R3461" s="3" t="s">
        <v>70</v>
      </c>
      <c r="S3461" s="4">
        <v>23</v>
      </c>
      <c r="T3461" s="4">
        <v>23</v>
      </c>
      <c r="U3461" s="5" t="s">
        <v>3608</v>
      </c>
      <c r="V3461" s="5" t="s">
        <v>3608</v>
      </c>
      <c r="W3461" s="5" t="s">
        <v>72</v>
      </c>
      <c r="X3461" s="5" t="s">
        <v>72</v>
      </c>
      <c r="Y3461" s="4">
        <v>33</v>
      </c>
      <c r="Z3461" s="4">
        <v>14</v>
      </c>
      <c r="AA3461" s="4">
        <v>19</v>
      </c>
      <c r="AB3461" s="4">
        <v>3</v>
      </c>
      <c r="AC3461" s="4">
        <v>7</v>
      </c>
      <c r="AD3461" s="4">
        <v>16</v>
      </c>
      <c r="AE3461" s="4">
        <v>23</v>
      </c>
      <c r="AF3461" s="4">
        <v>1</v>
      </c>
      <c r="AG3461" s="4">
        <v>4</v>
      </c>
      <c r="AH3461" s="4">
        <v>10</v>
      </c>
      <c r="AI3461" s="4">
        <v>15</v>
      </c>
      <c r="AJ3461" s="4">
        <v>6</v>
      </c>
      <c r="AK3461" s="4">
        <v>9</v>
      </c>
      <c r="AL3461" s="4">
        <v>7</v>
      </c>
      <c r="AM3461" s="4">
        <v>10</v>
      </c>
      <c r="AN3461" s="4">
        <v>0</v>
      </c>
      <c r="AO3461" s="4">
        <v>0</v>
      </c>
      <c r="AP3461" s="4">
        <v>6</v>
      </c>
      <c r="AQ3461" s="4">
        <v>8</v>
      </c>
      <c r="AR3461" s="3" t="s">
        <v>128</v>
      </c>
      <c r="AS3461" s="3" t="s">
        <v>64</v>
      </c>
      <c r="AT3461" s="3" t="s">
        <v>64</v>
      </c>
      <c r="AV3461" s="6" t="str">
        <f>HYPERLINK("http://mcgill.on.worldcat.org/oclc/39655442","Catalog Record")</f>
        <v>Catalog Record</v>
      </c>
      <c r="AW3461" s="6" t="str">
        <f>HYPERLINK("http://www.worldcat.org/oclc/39655442","WorldCat Record")</f>
        <v>WorldCat Record</v>
      </c>
      <c r="AX3461" s="3" t="s">
        <v>34582</v>
      </c>
      <c r="AY3461" s="3" t="s">
        <v>34583</v>
      </c>
      <c r="AZ3461" s="3" t="s">
        <v>34584</v>
      </c>
      <c r="BA3461" s="3" t="s">
        <v>34584</v>
      </c>
      <c r="BB3461" s="3" t="s">
        <v>34585</v>
      </c>
      <c r="BC3461" s="3" t="s">
        <v>77</v>
      </c>
      <c r="BD3461" s="3" t="s">
        <v>78</v>
      </c>
      <c r="BE3461" s="3" t="s">
        <v>34586</v>
      </c>
      <c r="BF3461" s="3" t="s">
        <v>34585</v>
      </c>
      <c r="BG3461" s="3" t="s">
        <v>34587</v>
      </c>
      <c r="BH3461">
        <f t="shared" si="81"/>
        <v>0</v>
      </c>
    </row>
    <row r="3462" spans="1:60" ht="72.5" x14ac:dyDescent="0.35">
      <c r="A3462" s="2" t="s">
        <v>59</v>
      </c>
      <c r="B3462" s="2" t="s">
        <v>1025</v>
      </c>
      <c r="C3462" s="2" t="s">
        <v>34588</v>
      </c>
      <c r="D3462" s="2" t="s">
        <v>34589</v>
      </c>
      <c r="E3462" s="2" t="s">
        <v>34590</v>
      </c>
      <c r="G3462" s="3" t="s">
        <v>64</v>
      </c>
      <c r="I3462" s="3" t="s">
        <v>64</v>
      </c>
      <c r="J3462" s="3" t="s">
        <v>64</v>
      </c>
      <c r="K3462" s="3" t="s">
        <v>65</v>
      </c>
      <c r="L3462" s="2" t="s">
        <v>34591</v>
      </c>
      <c r="N3462" s="3" t="s">
        <v>1615</v>
      </c>
      <c r="P3462" s="3" t="s">
        <v>102</v>
      </c>
      <c r="R3462" s="3" t="s">
        <v>70</v>
      </c>
      <c r="S3462" s="4">
        <v>2</v>
      </c>
      <c r="T3462" s="4">
        <v>2</v>
      </c>
      <c r="U3462" s="5" t="s">
        <v>21360</v>
      </c>
      <c r="V3462" s="5" t="s">
        <v>21360</v>
      </c>
      <c r="W3462" s="5" t="s">
        <v>72</v>
      </c>
      <c r="X3462" s="5" t="s">
        <v>72</v>
      </c>
      <c r="Y3462" s="4">
        <v>1</v>
      </c>
      <c r="Z3462" s="4">
        <v>1</v>
      </c>
      <c r="AA3462" s="4">
        <v>1</v>
      </c>
      <c r="AB3462" s="4">
        <v>1</v>
      </c>
      <c r="AC3462" s="4">
        <v>1</v>
      </c>
      <c r="AD3462" s="4">
        <v>0</v>
      </c>
      <c r="AE3462" s="4">
        <v>0</v>
      </c>
      <c r="AF3462" s="4">
        <v>0</v>
      </c>
      <c r="AG3462" s="4">
        <v>0</v>
      </c>
      <c r="AH3462" s="4">
        <v>0</v>
      </c>
      <c r="AI3462" s="4">
        <v>0</v>
      </c>
      <c r="AJ3462" s="4">
        <v>0</v>
      </c>
      <c r="AK3462" s="4">
        <v>0</v>
      </c>
      <c r="AL3462" s="4">
        <v>0</v>
      </c>
      <c r="AM3462" s="4">
        <v>0</v>
      </c>
      <c r="AN3462" s="4">
        <v>0</v>
      </c>
      <c r="AO3462" s="4">
        <v>0</v>
      </c>
      <c r="AP3462" s="4">
        <v>0</v>
      </c>
      <c r="AQ3462" s="4">
        <v>0</v>
      </c>
      <c r="AR3462" s="3" t="s">
        <v>128</v>
      </c>
      <c r="AS3462" s="3" t="s">
        <v>64</v>
      </c>
      <c r="AT3462" s="3" t="s">
        <v>64</v>
      </c>
      <c r="AV3462" s="6" t="str">
        <f>HYPERLINK("http://mcgill.on.worldcat.org/oclc/864370255","Catalog Record")</f>
        <v>Catalog Record</v>
      </c>
      <c r="AW3462" s="6" t="str">
        <f>HYPERLINK("http://www.worldcat.org/oclc/864370255","WorldCat Record")</f>
        <v>WorldCat Record</v>
      </c>
      <c r="AX3462" s="3" t="s">
        <v>34592</v>
      </c>
      <c r="AY3462" s="3" t="s">
        <v>34593</v>
      </c>
      <c r="AZ3462" s="3" t="s">
        <v>34594</v>
      </c>
      <c r="BA3462" s="3" t="s">
        <v>34594</v>
      </c>
      <c r="BB3462" s="3" t="s">
        <v>34595</v>
      </c>
      <c r="BC3462" s="3" t="s">
        <v>77</v>
      </c>
      <c r="BD3462" s="3" t="s">
        <v>78</v>
      </c>
      <c r="BF3462" s="3" t="s">
        <v>34595</v>
      </c>
      <c r="BG3462" s="3" t="s">
        <v>34596</v>
      </c>
      <c r="BH3462">
        <f t="shared" si="81"/>
        <v>0</v>
      </c>
    </row>
    <row r="3463" spans="1:60" ht="58" x14ac:dyDescent="0.35">
      <c r="A3463" s="2" t="s">
        <v>59</v>
      </c>
      <c r="B3463" s="2" t="s">
        <v>60</v>
      </c>
      <c r="C3463" s="2" t="s">
        <v>34597</v>
      </c>
      <c r="D3463" s="2" t="s">
        <v>34598</v>
      </c>
      <c r="E3463" s="2" t="s">
        <v>34599</v>
      </c>
      <c r="G3463" s="3" t="s">
        <v>64</v>
      </c>
      <c r="I3463" s="3" t="s">
        <v>64</v>
      </c>
      <c r="J3463" s="3" t="s">
        <v>64</v>
      </c>
      <c r="K3463" s="3" t="s">
        <v>65</v>
      </c>
      <c r="M3463" s="2" t="s">
        <v>34600</v>
      </c>
      <c r="N3463" s="3" t="s">
        <v>67</v>
      </c>
      <c r="P3463" s="3" t="s">
        <v>102</v>
      </c>
      <c r="R3463" s="3" t="s">
        <v>70</v>
      </c>
      <c r="S3463" s="4">
        <v>0</v>
      </c>
      <c r="T3463" s="4">
        <v>0</v>
      </c>
      <c r="W3463" s="5" t="s">
        <v>72</v>
      </c>
      <c r="X3463" s="5" t="s">
        <v>72</v>
      </c>
      <c r="Y3463" s="4">
        <v>26</v>
      </c>
      <c r="Z3463" s="4">
        <v>2</v>
      </c>
      <c r="AA3463" s="4">
        <v>79</v>
      </c>
      <c r="AB3463" s="4">
        <v>1</v>
      </c>
      <c r="AC3463" s="4">
        <v>15</v>
      </c>
      <c r="AD3463" s="4">
        <v>4</v>
      </c>
      <c r="AE3463" s="4">
        <v>93</v>
      </c>
      <c r="AF3463" s="4">
        <v>0</v>
      </c>
      <c r="AG3463" s="4">
        <v>8</v>
      </c>
      <c r="AH3463" s="4">
        <v>3</v>
      </c>
      <c r="AI3463" s="4">
        <v>63</v>
      </c>
      <c r="AJ3463" s="4">
        <v>0</v>
      </c>
      <c r="AK3463" s="4">
        <v>20</v>
      </c>
      <c r="AL3463" s="4">
        <v>3</v>
      </c>
      <c r="AM3463" s="4">
        <v>36</v>
      </c>
      <c r="AN3463" s="4">
        <v>0</v>
      </c>
      <c r="AO3463" s="4">
        <v>0</v>
      </c>
      <c r="AP3463" s="4">
        <v>1</v>
      </c>
      <c r="AQ3463" s="4">
        <v>36</v>
      </c>
      <c r="AR3463" s="3" t="s">
        <v>64</v>
      </c>
      <c r="AS3463" s="3" t="s">
        <v>64</v>
      </c>
      <c r="AT3463" s="3" t="s">
        <v>64</v>
      </c>
      <c r="AV3463" s="6" t="str">
        <f>HYPERLINK("http://mcgill.on.worldcat.org/oclc/893409199","Catalog Record")</f>
        <v>Catalog Record</v>
      </c>
      <c r="AW3463" s="6" t="str">
        <f>HYPERLINK("http://www.worldcat.org/oclc/893409199","WorldCat Record")</f>
        <v>WorldCat Record</v>
      </c>
      <c r="AX3463" s="3" t="s">
        <v>34601</v>
      </c>
      <c r="AY3463" s="3" t="s">
        <v>34602</v>
      </c>
      <c r="AZ3463" s="3" t="s">
        <v>34603</v>
      </c>
      <c r="BA3463" s="3" t="s">
        <v>34603</v>
      </c>
      <c r="BB3463" s="3" t="s">
        <v>34604</v>
      </c>
      <c r="BC3463" s="3" t="s">
        <v>77</v>
      </c>
      <c r="BD3463" s="3" t="s">
        <v>78</v>
      </c>
      <c r="BE3463" s="3" t="s">
        <v>34605</v>
      </c>
      <c r="BF3463" s="3" t="s">
        <v>34604</v>
      </c>
      <c r="BG3463" s="3" t="s">
        <v>34606</v>
      </c>
      <c r="BH3463">
        <f t="shared" si="81"/>
        <v>0</v>
      </c>
    </row>
    <row r="3464" spans="1:60" ht="58" x14ac:dyDescent="0.35">
      <c r="A3464" s="2" t="s">
        <v>59</v>
      </c>
      <c r="B3464" s="2" t="s">
        <v>60</v>
      </c>
      <c r="C3464" s="2" t="s">
        <v>34607</v>
      </c>
      <c r="D3464" s="2" t="s">
        <v>34608</v>
      </c>
      <c r="E3464" s="2" t="s">
        <v>34609</v>
      </c>
      <c r="G3464" s="3" t="s">
        <v>64</v>
      </c>
      <c r="I3464" s="3" t="s">
        <v>64</v>
      </c>
      <c r="J3464" s="3" t="s">
        <v>64</v>
      </c>
      <c r="K3464" s="3" t="s">
        <v>65</v>
      </c>
      <c r="M3464" s="2" t="s">
        <v>34610</v>
      </c>
      <c r="N3464" s="3" t="s">
        <v>537</v>
      </c>
      <c r="P3464" s="3" t="s">
        <v>68</v>
      </c>
      <c r="Q3464" s="2" t="s">
        <v>34611</v>
      </c>
      <c r="R3464" s="3" t="s">
        <v>70</v>
      </c>
      <c r="S3464" s="4">
        <v>0</v>
      </c>
      <c r="T3464" s="4">
        <v>0</v>
      </c>
      <c r="W3464" s="5" t="s">
        <v>72</v>
      </c>
      <c r="X3464" s="5" t="s">
        <v>72</v>
      </c>
      <c r="Y3464" s="4">
        <v>33</v>
      </c>
      <c r="Z3464" s="4">
        <v>2</v>
      </c>
      <c r="AA3464" s="4">
        <v>5</v>
      </c>
      <c r="AB3464" s="4">
        <v>1</v>
      </c>
      <c r="AC3464" s="4">
        <v>3</v>
      </c>
      <c r="AD3464" s="4">
        <v>16</v>
      </c>
      <c r="AE3464" s="4">
        <v>20</v>
      </c>
      <c r="AF3464" s="4">
        <v>0</v>
      </c>
      <c r="AG3464" s="4">
        <v>2</v>
      </c>
      <c r="AH3464" s="4">
        <v>14</v>
      </c>
      <c r="AI3464" s="4">
        <v>16</v>
      </c>
      <c r="AJ3464" s="4">
        <v>1</v>
      </c>
      <c r="AK3464" s="4">
        <v>4</v>
      </c>
      <c r="AL3464" s="4">
        <v>13</v>
      </c>
      <c r="AM3464" s="4">
        <v>13</v>
      </c>
      <c r="AN3464" s="4">
        <v>0</v>
      </c>
      <c r="AO3464" s="4">
        <v>0</v>
      </c>
      <c r="AP3464" s="4">
        <v>1</v>
      </c>
      <c r="AQ3464" s="4">
        <v>3</v>
      </c>
      <c r="AR3464" s="3" t="s">
        <v>64</v>
      </c>
      <c r="AS3464" s="3" t="s">
        <v>64</v>
      </c>
      <c r="AT3464" s="3" t="s">
        <v>64</v>
      </c>
      <c r="AV3464" s="6" t="str">
        <f>HYPERLINK("http://mcgill.on.worldcat.org/oclc/962483916","Catalog Record")</f>
        <v>Catalog Record</v>
      </c>
      <c r="AW3464" s="6" t="str">
        <f>HYPERLINK("http://www.worldcat.org/oclc/962483916","WorldCat Record")</f>
        <v>WorldCat Record</v>
      </c>
      <c r="AX3464" s="3" t="s">
        <v>34612</v>
      </c>
      <c r="AY3464" s="3" t="s">
        <v>34613</v>
      </c>
      <c r="AZ3464" s="3" t="s">
        <v>34614</v>
      </c>
      <c r="BA3464" s="3" t="s">
        <v>34614</v>
      </c>
      <c r="BB3464" s="3" t="s">
        <v>34615</v>
      </c>
      <c r="BC3464" s="3" t="s">
        <v>77</v>
      </c>
      <c r="BD3464" s="3" t="s">
        <v>78</v>
      </c>
      <c r="BE3464" s="3" t="s">
        <v>34616</v>
      </c>
      <c r="BF3464" s="3" t="s">
        <v>34615</v>
      </c>
      <c r="BG3464" s="3" t="s">
        <v>34617</v>
      </c>
      <c r="BH3464">
        <f t="shared" si="81"/>
        <v>0</v>
      </c>
    </row>
    <row r="3465" spans="1:60" ht="58" x14ac:dyDescent="0.35">
      <c r="A3465" s="2" t="s">
        <v>59</v>
      </c>
      <c r="B3465" s="2" t="s">
        <v>60</v>
      </c>
      <c r="C3465" s="2" t="s">
        <v>34618</v>
      </c>
      <c r="D3465" s="2" t="s">
        <v>34619</v>
      </c>
      <c r="E3465" s="2" t="s">
        <v>34620</v>
      </c>
      <c r="G3465" s="3" t="s">
        <v>64</v>
      </c>
      <c r="I3465" s="3" t="s">
        <v>64</v>
      </c>
      <c r="J3465" s="3" t="s">
        <v>64</v>
      </c>
      <c r="K3465" s="3" t="s">
        <v>65</v>
      </c>
      <c r="L3465" s="2" t="s">
        <v>34621</v>
      </c>
      <c r="M3465" s="2" t="s">
        <v>34622</v>
      </c>
      <c r="N3465" s="3" t="s">
        <v>498</v>
      </c>
      <c r="P3465" s="3" t="s">
        <v>102</v>
      </c>
      <c r="Q3465" s="2" t="s">
        <v>34623</v>
      </c>
      <c r="R3465" s="3" t="s">
        <v>70</v>
      </c>
      <c r="S3465" s="4">
        <v>1</v>
      </c>
      <c r="T3465" s="4">
        <v>1</v>
      </c>
      <c r="U3465" s="5" t="s">
        <v>4130</v>
      </c>
      <c r="V3465" s="5" t="s">
        <v>4130</v>
      </c>
      <c r="W3465" s="5" t="s">
        <v>72</v>
      </c>
      <c r="X3465" s="5" t="s">
        <v>72</v>
      </c>
      <c r="Y3465" s="4">
        <v>87</v>
      </c>
      <c r="Z3465" s="4">
        <v>5</v>
      </c>
      <c r="AA3465" s="4">
        <v>5</v>
      </c>
      <c r="AB3465" s="4">
        <v>1</v>
      </c>
      <c r="AC3465" s="4">
        <v>1</v>
      </c>
      <c r="AD3465" s="4">
        <v>25</v>
      </c>
      <c r="AE3465" s="4">
        <v>25</v>
      </c>
      <c r="AF3465" s="4">
        <v>0</v>
      </c>
      <c r="AG3465" s="4">
        <v>0</v>
      </c>
      <c r="AH3465" s="4">
        <v>23</v>
      </c>
      <c r="AI3465" s="4">
        <v>23</v>
      </c>
      <c r="AJ3465" s="4">
        <v>2</v>
      </c>
      <c r="AK3465" s="4">
        <v>2</v>
      </c>
      <c r="AL3465" s="4">
        <v>16</v>
      </c>
      <c r="AM3465" s="4">
        <v>16</v>
      </c>
      <c r="AN3465" s="4">
        <v>0</v>
      </c>
      <c r="AO3465" s="4">
        <v>0</v>
      </c>
      <c r="AP3465" s="4">
        <v>2</v>
      </c>
      <c r="AQ3465" s="4">
        <v>2</v>
      </c>
      <c r="AR3465" s="3" t="s">
        <v>64</v>
      </c>
      <c r="AS3465" s="3" t="s">
        <v>64</v>
      </c>
      <c r="AT3465" s="3" t="s">
        <v>128</v>
      </c>
      <c r="AU3465" s="6" t="str">
        <f>HYPERLINK("http://catalog.hathitrust.org/Record/000034692","HathiTrust Record")</f>
        <v>HathiTrust Record</v>
      </c>
      <c r="AV3465" s="6" t="str">
        <f>HYPERLINK("http://mcgill.on.worldcat.org/oclc/1500641","Catalog Record")</f>
        <v>Catalog Record</v>
      </c>
      <c r="AW3465" s="6" t="str">
        <f>HYPERLINK("http://www.worldcat.org/oclc/1500641","WorldCat Record")</f>
        <v>WorldCat Record</v>
      </c>
      <c r="AX3465" s="3" t="s">
        <v>34624</v>
      </c>
      <c r="AY3465" s="3" t="s">
        <v>34625</v>
      </c>
      <c r="AZ3465" s="3" t="s">
        <v>34626</v>
      </c>
      <c r="BA3465" s="3" t="s">
        <v>34626</v>
      </c>
      <c r="BB3465" s="3" t="s">
        <v>34627</v>
      </c>
      <c r="BC3465" s="3" t="s">
        <v>77</v>
      </c>
      <c r="BD3465" s="3" t="s">
        <v>78</v>
      </c>
      <c r="BF3465" s="3" t="s">
        <v>34627</v>
      </c>
      <c r="BG3465" s="3" t="s">
        <v>34628</v>
      </c>
      <c r="BH3465">
        <f t="shared" si="81"/>
        <v>0</v>
      </c>
    </row>
    <row r="3466" spans="1:60" ht="58" x14ac:dyDescent="0.35">
      <c r="A3466" s="2" t="s">
        <v>59</v>
      </c>
      <c r="B3466" s="2" t="s">
        <v>60</v>
      </c>
      <c r="C3466" s="2" t="s">
        <v>34629</v>
      </c>
      <c r="D3466" s="2" t="s">
        <v>34630</v>
      </c>
      <c r="E3466" s="2" t="s">
        <v>34631</v>
      </c>
      <c r="G3466" s="3" t="s">
        <v>64</v>
      </c>
      <c r="I3466" s="3" t="s">
        <v>64</v>
      </c>
      <c r="J3466" s="3" t="s">
        <v>64</v>
      </c>
      <c r="K3466" s="3" t="s">
        <v>65</v>
      </c>
      <c r="L3466" s="2" t="s">
        <v>34632</v>
      </c>
      <c r="M3466" s="2" t="s">
        <v>34633</v>
      </c>
      <c r="N3466" s="3" t="s">
        <v>3330</v>
      </c>
      <c r="P3466" s="3" t="s">
        <v>68</v>
      </c>
      <c r="R3466" s="3" t="s">
        <v>70</v>
      </c>
      <c r="S3466" s="4">
        <v>2</v>
      </c>
      <c r="T3466" s="4">
        <v>2</v>
      </c>
      <c r="U3466" s="5" t="s">
        <v>980</v>
      </c>
      <c r="V3466" s="5" t="s">
        <v>980</v>
      </c>
      <c r="W3466" s="5" t="s">
        <v>72</v>
      </c>
      <c r="X3466" s="5" t="s">
        <v>72</v>
      </c>
      <c r="Y3466" s="4">
        <v>121</v>
      </c>
      <c r="Z3466" s="4">
        <v>11</v>
      </c>
      <c r="AA3466" s="4">
        <v>11</v>
      </c>
      <c r="AB3466" s="4">
        <v>1</v>
      </c>
      <c r="AC3466" s="4">
        <v>1</v>
      </c>
      <c r="AD3466" s="4">
        <v>53</v>
      </c>
      <c r="AE3466" s="4">
        <v>53</v>
      </c>
      <c r="AF3466" s="4">
        <v>0</v>
      </c>
      <c r="AG3466" s="4">
        <v>0</v>
      </c>
      <c r="AH3466" s="4">
        <v>49</v>
      </c>
      <c r="AI3466" s="4">
        <v>49</v>
      </c>
      <c r="AJ3466" s="4">
        <v>6</v>
      </c>
      <c r="AK3466" s="4">
        <v>6</v>
      </c>
      <c r="AL3466" s="4">
        <v>35</v>
      </c>
      <c r="AM3466" s="4">
        <v>35</v>
      </c>
      <c r="AN3466" s="4">
        <v>0</v>
      </c>
      <c r="AO3466" s="4">
        <v>0</v>
      </c>
      <c r="AP3466" s="4">
        <v>6</v>
      </c>
      <c r="AQ3466" s="4">
        <v>6</v>
      </c>
      <c r="AR3466" s="3" t="s">
        <v>64</v>
      </c>
      <c r="AS3466" s="3" t="s">
        <v>64</v>
      </c>
      <c r="AT3466" s="3" t="s">
        <v>64</v>
      </c>
      <c r="AV3466" s="6" t="str">
        <f>HYPERLINK("http://mcgill.on.worldcat.org/oclc/23144093","Catalog Record")</f>
        <v>Catalog Record</v>
      </c>
      <c r="AW3466" s="6" t="str">
        <f>HYPERLINK("http://www.worldcat.org/oclc/23144093","WorldCat Record")</f>
        <v>WorldCat Record</v>
      </c>
      <c r="AX3466" s="3" t="s">
        <v>34634</v>
      </c>
      <c r="AY3466" s="3" t="s">
        <v>34635</v>
      </c>
      <c r="AZ3466" s="3" t="s">
        <v>34636</v>
      </c>
      <c r="BA3466" s="3" t="s">
        <v>34636</v>
      </c>
      <c r="BB3466" s="3" t="s">
        <v>34637</v>
      </c>
      <c r="BC3466" s="3" t="s">
        <v>77</v>
      </c>
      <c r="BD3466" s="3" t="s">
        <v>78</v>
      </c>
      <c r="BE3466" s="3" t="s">
        <v>34638</v>
      </c>
      <c r="BF3466" s="3" t="s">
        <v>34637</v>
      </c>
      <c r="BG3466" s="3" t="s">
        <v>34639</v>
      </c>
      <c r="BH3466">
        <f t="shared" si="81"/>
        <v>0</v>
      </c>
    </row>
    <row r="3467" spans="1:60" ht="58" x14ac:dyDescent="0.35">
      <c r="A3467" s="2" t="s">
        <v>59</v>
      </c>
      <c r="B3467" s="2" t="s">
        <v>60</v>
      </c>
      <c r="C3467" s="2" t="s">
        <v>34640</v>
      </c>
      <c r="D3467" s="2" t="s">
        <v>34641</v>
      </c>
      <c r="E3467" s="2" t="s">
        <v>34642</v>
      </c>
      <c r="G3467" s="3" t="s">
        <v>64</v>
      </c>
      <c r="I3467" s="3" t="s">
        <v>64</v>
      </c>
      <c r="J3467" s="3" t="s">
        <v>64</v>
      </c>
      <c r="K3467" s="3" t="s">
        <v>65</v>
      </c>
      <c r="L3467" s="2" t="s">
        <v>34643</v>
      </c>
      <c r="M3467" s="2" t="s">
        <v>34644</v>
      </c>
      <c r="N3467" s="3" t="s">
        <v>405</v>
      </c>
      <c r="P3467" s="3" t="s">
        <v>102</v>
      </c>
      <c r="Q3467" s="2" t="s">
        <v>34645</v>
      </c>
      <c r="R3467" s="3" t="s">
        <v>70</v>
      </c>
      <c r="S3467" s="4">
        <v>8</v>
      </c>
      <c r="T3467" s="4">
        <v>8</v>
      </c>
      <c r="U3467" s="5" t="s">
        <v>10460</v>
      </c>
      <c r="V3467" s="5" t="s">
        <v>10460</v>
      </c>
      <c r="W3467" s="5" t="s">
        <v>72</v>
      </c>
      <c r="X3467" s="5" t="s">
        <v>72</v>
      </c>
      <c r="Y3467" s="4">
        <v>3</v>
      </c>
      <c r="Z3467" s="4">
        <v>2</v>
      </c>
      <c r="AA3467" s="4">
        <v>20</v>
      </c>
      <c r="AB3467" s="4">
        <v>1</v>
      </c>
      <c r="AC3467" s="4">
        <v>3</v>
      </c>
      <c r="AD3467" s="4">
        <v>2</v>
      </c>
      <c r="AE3467" s="4">
        <v>62</v>
      </c>
      <c r="AF3467" s="4">
        <v>0</v>
      </c>
      <c r="AG3467" s="4">
        <v>2</v>
      </c>
      <c r="AH3467" s="4">
        <v>1</v>
      </c>
      <c r="AI3467" s="4">
        <v>53</v>
      </c>
      <c r="AJ3467" s="4">
        <v>0</v>
      </c>
      <c r="AK3467" s="4">
        <v>11</v>
      </c>
      <c r="AL3467" s="4">
        <v>1</v>
      </c>
      <c r="AM3467" s="4">
        <v>30</v>
      </c>
      <c r="AN3467" s="4">
        <v>0</v>
      </c>
      <c r="AO3467" s="4">
        <v>0</v>
      </c>
      <c r="AP3467" s="4">
        <v>1</v>
      </c>
      <c r="AQ3467" s="4">
        <v>14</v>
      </c>
      <c r="AR3467" s="3" t="s">
        <v>64</v>
      </c>
      <c r="AS3467" s="3" t="s">
        <v>64</v>
      </c>
      <c r="AT3467" s="3" t="s">
        <v>128</v>
      </c>
      <c r="AU3467" s="6" t="str">
        <f>HYPERLINK("http://catalog.hathitrust.org/Record/000172872","HathiTrust Record")</f>
        <v>HathiTrust Record</v>
      </c>
      <c r="AV3467" s="6" t="str">
        <f>HYPERLINK("http://mcgill.on.worldcat.org/oclc/427027928","Catalog Record")</f>
        <v>Catalog Record</v>
      </c>
      <c r="AW3467" s="6" t="str">
        <f>HYPERLINK("http://www.worldcat.org/oclc/427027928","WorldCat Record")</f>
        <v>WorldCat Record</v>
      </c>
      <c r="AX3467" s="3" t="s">
        <v>34646</v>
      </c>
      <c r="AY3467" s="3" t="s">
        <v>34647</v>
      </c>
      <c r="AZ3467" s="3" t="s">
        <v>34648</v>
      </c>
      <c r="BA3467" s="3" t="s">
        <v>34648</v>
      </c>
      <c r="BB3467" s="3" t="s">
        <v>34649</v>
      </c>
      <c r="BC3467" s="3" t="s">
        <v>77</v>
      </c>
      <c r="BD3467" s="3" t="s">
        <v>78</v>
      </c>
      <c r="BE3467" s="3" t="s">
        <v>34650</v>
      </c>
      <c r="BF3467" s="3" t="s">
        <v>34649</v>
      </c>
      <c r="BG3467" s="3" t="s">
        <v>34651</v>
      </c>
      <c r="BH3467">
        <f t="shared" si="81"/>
        <v>0</v>
      </c>
    </row>
    <row r="3468" spans="1:60" ht="58" x14ac:dyDescent="0.35">
      <c r="A3468" s="2" t="s">
        <v>59</v>
      </c>
      <c r="B3468" s="2" t="s">
        <v>60</v>
      </c>
      <c r="C3468" s="2" t="s">
        <v>34652</v>
      </c>
      <c r="D3468" s="2" t="s">
        <v>34653</v>
      </c>
      <c r="E3468" s="2" t="s">
        <v>34654</v>
      </c>
      <c r="G3468" s="3" t="s">
        <v>64</v>
      </c>
      <c r="I3468" s="3" t="s">
        <v>64</v>
      </c>
      <c r="J3468" s="3" t="s">
        <v>128</v>
      </c>
      <c r="K3468" s="3" t="s">
        <v>65</v>
      </c>
      <c r="L3468" s="2" t="s">
        <v>34655</v>
      </c>
      <c r="M3468" s="2" t="s">
        <v>34656</v>
      </c>
      <c r="N3468" s="3" t="s">
        <v>7285</v>
      </c>
      <c r="O3468" s="2" t="s">
        <v>34657</v>
      </c>
      <c r="P3468" s="3" t="s">
        <v>102</v>
      </c>
      <c r="R3468" s="3" t="s">
        <v>70</v>
      </c>
      <c r="S3468" s="4">
        <v>6</v>
      </c>
      <c r="T3468" s="4">
        <v>6</v>
      </c>
      <c r="U3468" s="5" t="s">
        <v>14431</v>
      </c>
      <c r="V3468" s="5" t="s">
        <v>14431</v>
      </c>
      <c r="W3468" s="5" t="s">
        <v>72</v>
      </c>
      <c r="X3468" s="5" t="s">
        <v>72</v>
      </c>
      <c r="Y3468" s="4">
        <v>186</v>
      </c>
      <c r="Z3468" s="4">
        <v>13</v>
      </c>
      <c r="AA3468" s="4">
        <v>22</v>
      </c>
      <c r="AB3468" s="4">
        <v>1</v>
      </c>
      <c r="AC3468" s="4">
        <v>4</v>
      </c>
      <c r="AD3468" s="4">
        <v>51</v>
      </c>
      <c r="AE3468" s="4">
        <v>80</v>
      </c>
      <c r="AF3468" s="4">
        <v>0</v>
      </c>
      <c r="AG3468" s="4">
        <v>2</v>
      </c>
      <c r="AH3468" s="4">
        <v>45</v>
      </c>
      <c r="AI3468" s="4">
        <v>71</v>
      </c>
      <c r="AJ3468" s="4">
        <v>9</v>
      </c>
      <c r="AK3468" s="4">
        <v>14</v>
      </c>
      <c r="AL3468" s="4">
        <v>25</v>
      </c>
      <c r="AM3468" s="4">
        <v>38</v>
      </c>
      <c r="AN3468" s="4">
        <v>0</v>
      </c>
      <c r="AO3468" s="4">
        <v>0</v>
      </c>
      <c r="AP3468" s="4">
        <v>9</v>
      </c>
      <c r="AQ3468" s="4">
        <v>13</v>
      </c>
      <c r="AR3468" s="3" t="s">
        <v>64</v>
      </c>
      <c r="AS3468" s="3" t="s">
        <v>64</v>
      </c>
      <c r="AT3468" s="3" t="s">
        <v>128</v>
      </c>
      <c r="AU3468" s="6" t="str">
        <f>HYPERLINK("http://catalog.hathitrust.org/Record/001165154","HathiTrust Record")</f>
        <v>HathiTrust Record</v>
      </c>
      <c r="AV3468" s="6" t="str">
        <f>HYPERLINK("http://mcgill.on.worldcat.org/oclc/286368","Catalog Record")</f>
        <v>Catalog Record</v>
      </c>
      <c r="AW3468" s="6" t="str">
        <f>HYPERLINK("http://www.worldcat.org/oclc/286368","WorldCat Record")</f>
        <v>WorldCat Record</v>
      </c>
      <c r="AX3468" s="3" t="s">
        <v>34658</v>
      </c>
      <c r="AY3468" s="3" t="s">
        <v>34659</v>
      </c>
      <c r="AZ3468" s="3" t="s">
        <v>34660</v>
      </c>
      <c r="BA3468" s="3" t="s">
        <v>34660</v>
      </c>
      <c r="BB3468" s="3" t="s">
        <v>34661</v>
      </c>
      <c r="BC3468" s="3" t="s">
        <v>77</v>
      </c>
      <c r="BD3468" s="3" t="s">
        <v>78</v>
      </c>
      <c r="BE3468" s="3" t="s">
        <v>34662</v>
      </c>
      <c r="BF3468" s="3" t="s">
        <v>34661</v>
      </c>
      <c r="BG3468" s="3" t="s">
        <v>34663</v>
      </c>
      <c r="BH3468">
        <f t="shared" si="81"/>
        <v>0</v>
      </c>
    </row>
    <row r="3469" spans="1:60" ht="58" x14ac:dyDescent="0.35">
      <c r="A3469" s="2" t="s">
        <v>59</v>
      </c>
      <c r="B3469" s="2" t="s">
        <v>60</v>
      </c>
      <c r="C3469" s="2" t="s">
        <v>34664</v>
      </c>
      <c r="D3469" s="2" t="s">
        <v>34665</v>
      </c>
      <c r="E3469" s="2" t="s">
        <v>34666</v>
      </c>
      <c r="G3469" s="3" t="s">
        <v>64</v>
      </c>
      <c r="I3469" s="3" t="s">
        <v>64</v>
      </c>
      <c r="J3469" s="3" t="s">
        <v>64</v>
      </c>
      <c r="K3469" s="3" t="s">
        <v>65</v>
      </c>
      <c r="L3469" s="2" t="s">
        <v>34667</v>
      </c>
      <c r="M3469" s="2" t="s">
        <v>34668</v>
      </c>
      <c r="N3469" s="3" t="s">
        <v>1615</v>
      </c>
      <c r="P3469" s="3" t="s">
        <v>102</v>
      </c>
      <c r="Q3469" s="2" t="s">
        <v>34669</v>
      </c>
      <c r="R3469" s="3" t="s">
        <v>70</v>
      </c>
      <c r="S3469" s="4">
        <v>5</v>
      </c>
      <c r="T3469" s="4">
        <v>5</v>
      </c>
      <c r="U3469" s="5" t="s">
        <v>33391</v>
      </c>
      <c r="V3469" s="5" t="s">
        <v>33391</v>
      </c>
      <c r="W3469" s="5" t="s">
        <v>72</v>
      </c>
      <c r="X3469" s="5" t="s">
        <v>72</v>
      </c>
      <c r="Y3469" s="4">
        <v>184</v>
      </c>
      <c r="Z3469" s="4">
        <v>14</v>
      </c>
      <c r="AA3469" s="4">
        <v>14</v>
      </c>
      <c r="AB3469" s="4">
        <v>1</v>
      </c>
      <c r="AC3469" s="4">
        <v>1</v>
      </c>
      <c r="AD3469" s="4">
        <v>68</v>
      </c>
      <c r="AE3469" s="4">
        <v>68</v>
      </c>
      <c r="AF3469" s="4">
        <v>0</v>
      </c>
      <c r="AG3469" s="4">
        <v>0</v>
      </c>
      <c r="AH3469" s="4">
        <v>64</v>
      </c>
      <c r="AI3469" s="4">
        <v>64</v>
      </c>
      <c r="AJ3469" s="4">
        <v>7</v>
      </c>
      <c r="AK3469" s="4">
        <v>7</v>
      </c>
      <c r="AL3469" s="4">
        <v>39</v>
      </c>
      <c r="AM3469" s="4">
        <v>39</v>
      </c>
      <c r="AN3469" s="4">
        <v>0</v>
      </c>
      <c r="AO3469" s="4">
        <v>0</v>
      </c>
      <c r="AP3469" s="4">
        <v>8</v>
      </c>
      <c r="AQ3469" s="4">
        <v>8</v>
      </c>
      <c r="AR3469" s="3" t="s">
        <v>64</v>
      </c>
      <c r="AS3469" s="3" t="s">
        <v>64</v>
      </c>
      <c r="AT3469" s="3" t="s">
        <v>64</v>
      </c>
      <c r="AV3469" s="6" t="str">
        <f>HYPERLINK("http://mcgill.on.worldcat.org/oclc/35269883","Catalog Record")</f>
        <v>Catalog Record</v>
      </c>
      <c r="AW3469" s="6" t="str">
        <f>HYPERLINK("http://www.worldcat.org/oclc/35269883","WorldCat Record")</f>
        <v>WorldCat Record</v>
      </c>
      <c r="AX3469" s="3" t="s">
        <v>34670</v>
      </c>
      <c r="AY3469" s="3" t="s">
        <v>34671</v>
      </c>
      <c r="AZ3469" s="3" t="s">
        <v>34672</v>
      </c>
      <c r="BA3469" s="3" t="s">
        <v>34672</v>
      </c>
      <c r="BB3469" s="3" t="s">
        <v>34673</v>
      </c>
      <c r="BC3469" s="3" t="s">
        <v>77</v>
      </c>
      <c r="BD3469" s="3" t="s">
        <v>78</v>
      </c>
      <c r="BE3469" s="3" t="s">
        <v>34674</v>
      </c>
      <c r="BF3469" s="3" t="s">
        <v>34673</v>
      </c>
      <c r="BG3469" s="3" t="s">
        <v>34675</v>
      </c>
      <c r="BH3469">
        <f t="shared" si="81"/>
        <v>0</v>
      </c>
    </row>
    <row r="3470" spans="1:60" ht="58" x14ac:dyDescent="0.35">
      <c r="A3470" s="2" t="s">
        <v>59</v>
      </c>
      <c r="B3470" s="2" t="s">
        <v>60</v>
      </c>
      <c r="C3470" s="2" t="s">
        <v>34676</v>
      </c>
      <c r="D3470" s="2" t="s">
        <v>34677</v>
      </c>
      <c r="E3470" s="2" t="s">
        <v>34678</v>
      </c>
      <c r="G3470" s="3" t="s">
        <v>64</v>
      </c>
      <c r="I3470" s="3" t="s">
        <v>64</v>
      </c>
      <c r="J3470" s="3" t="s">
        <v>64</v>
      </c>
      <c r="K3470" s="3" t="s">
        <v>65</v>
      </c>
      <c r="L3470" s="2" t="s">
        <v>34679</v>
      </c>
      <c r="M3470" s="2" t="s">
        <v>34680</v>
      </c>
      <c r="N3470" s="3" t="s">
        <v>1031</v>
      </c>
      <c r="P3470" s="3" t="s">
        <v>102</v>
      </c>
      <c r="Q3470" s="2" t="s">
        <v>34681</v>
      </c>
      <c r="R3470" s="3" t="s">
        <v>70</v>
      </c>
      <c r="S3470" s="4">
        <v>2</v>
      </c>
      <c r="T3470" s="4">
        <v>2</v>
      </c>
      <c r="U3470" s="5" t="s">
        <v>24168</v>
      </c>
      <c r="V3470" s="5" t="s">
        <v>24168</v>
      </c>
      <c r="W3470" s="5" t="s">
        <v>72</v>
      </c>
      <c r="X3470" s="5" t="s">
        <v>72</v>
      </c>
      <c r="Y3470" s="4">
        <v>130</v>
      </c>
      <c r="Z3470" s="4">
        <v>12</v>
      </c>
      <c r="AA3470" s="4">
        <v>13</v>
      </c>
      <c r="AB3470" s="4">
        <v>2</v>
      </c>
      <c r="AC3470" s="4">
        <v>2</v>
      </c>
      <c r="AD3470" s="4">
        <v>55</v>
      </c>
      <c r="AE3470" s="4">
        <v>56</v>
      </c>
      <c r="AF3470" s="4">
        <v>1</v>
      </c>
      <c r="AG3470" s="4">
        <v>1</v>
      </c>
      <c r="AH3470" s="4">
        <v>50</v>
      </c>
      <c r="AI3470" s="4">
        <v>50</v>
      </c>
      <c r="AJ3470" s="4">
        <v>9</v>
      </c>
      <c r="AK3470" s="4">
        <v>9</v>
      </c>
      <c r="AL3470" s="4">
        <v>35</v>
      </c>
      <c r="AM3470" s="4">
        <v>35</v>
      </c>
      <c r="AN3470" s="4">
        <v>0</v>
      </c>
      <c r="AO3470" s="4">
        <v>0</v>
      </c>
      <c r="AP3470" s="4">
        <v>8</v>
      </c>
      <c r="AQ3470" s="4">
        <v>9</v>
      </c>
      <c r="AR3470" s="3" t="s">
        <v>64</v>
      </c>
      <c r="AS3470" s="3" t="s">
        <v>64</v>
      </c>
      <c r="AT3470" s="3" t="s">
        <v>64</v>
      </c>
      <c r="AV3470" s="6" t="str">
        <f>HYPERLINK("http://mcgill.on.worldcat.org/oclc/24318602","Catalog Record")</f>
        <v>Catalog Record</v>
      </c>
      <c r="AW3470" s="6" t="str">
        <f>HYPERLINK("http://www.worldcat.org/oclc/24318602","WorldCat Record")</f>
        <v>WorldCat Record</v>
      </c>
      <c r="AX3470" s="3" t="s">
        <v>34682</v>
      </c>
      <c r="AY3470" s="3" t="s">
        <v>34683</v>
      </c>
      <c r="AZ3470" s="3" t="s">
        <v>34684</v>
      </c>
      <c r="BA3470" s="3" t="s">
        <v>34684</v>
      </c>
      <c r="BB3470" s="3" t="s">
        <v>34685</v>
      </c>
      <c r="BC3470" s="3" t="s">
        <v>77</v>
      </c>
      <c r="BD3470" s="3" t="s">
        <v>78</v>
      </c>
      <c r="BF3470" s="3" t="s">
        <v>34685</v>
      </c>
      <c r="BG3470" s="3" t="s">
        <v>34686</v>
      </c>
      <c r="BH3470">
        <f t="shared" si="81"/>
        <v>0</v>
      </c>
    </row>
    <row r="3471" spans="1:60" ht="58" x14ac:dyDescent="0.35">
      <c r="A3471" s="2" t="s">
        <v>59</v>
      </c>
      <c r="B3471" s="2" t="s">
        <v>60</v>
      </c>
      <c r="C3471" s="2" t="s">
        <v>34687</v>
      </c>
      <c r="D3471" s="2" t="s">
        <v>34688</v>
      </c>
      <c r="E3471" s="2" t="s">
        <v>34689</v>
      </c>
      <c r="G3471" s="3" t="s">
        <v>64</v>
      </c>
      <c r="I3471" s="3" t="s">
        <v>64</v>
      </c>
      <c r="J3471" s="3" t="s">
        <v>64</v>
      </c>
      <c r="K3471" s="3" t="s">
        <v>65</v>
      </c>
      <c r="L3471" s="2" t="s">
        <v>34690</v>
      </c>
      <c r="M3471" s="2" t="s">
        <v>34691</v>
      </c>
      <c r="N3471" s="3" t="s">
        <v>304</v>
      </c>
      <c r="P3471" s="3" t="s">
        <v>102</v>
      </c>
      <c r="R3471" s="3" t="s">
        <v>70</v>
      </c>
      <c r="S3471" s="4">
        <v>12</v>
      </c>
      <c r="T3471" s="4">
        <v>12</v>
      </c>
      <c r="U3471" s="5" t="s">
        <v>380</v>
      </c>
      <c r="V3471" s="5" t="s">
        <v>380</v>
      </c>
      <c r="W3471" s="5" t="s">
        <v>72</v>
      </c>
      <c r="X3471" s="5" t="s">
        <v>72</v>
      </c>
      <c r="Y3471" s="4">
        <v>504</v>
      </c>
      <c r="Z3471" s="4">
        <v>34</v>
      </c>
      <c r="AA3471" s="4">
        <v>38</v>
      </c>
      <c r="AB3471" s="4">
        <v>3</v>
      </c>
      <c r="AC3471" s="4">
        <v>5</v>
      </c>
      <c r="AD3471" s="4">
        <v>112</v>
      </c>
      <c r="AE3471" s="4">
        <v>116</v>
      </c>
      <c r="AF3471" s="4">
        <v>1</v>
      </c>
      <c r="AG3471" s="4">
        <v>2</v>
      </c>
      <c r="AH3471" s="4">
        <v>95</v>
      </c>
      <c r="AI3471" s="4">
        <v>96</v>
      </c>
      <c r="AJ3471" s="4">
        <v>18</v>
      </c>
      <c r="AK3471" s="4">
        <v>20</v>
      </c>
      <c r="AL3471" s="4">
        <v>56</v>
      </c>
      <c r="AM3471" s="4">
        <v>56</v>
      </c>
      <c r="AN3471" s="4">
        <v>5</v>
      </c>
      <c r="AO3471" s="4">
        <v>5</v>
      </c>
      <c r="AP3471" s="4">
        <v>22</v>
      </c>
      <c r="AQ3471" s="4">
        <v>24</v>
      </c>
      <c r="AR3471" s="3" t="s">
        <v>64</v>
      </c>
      <c r="AS3471" s="3" t="s">
        <v>64</v>
      </c>
      <c r="AT3471" s="3" t="s">
        <v>128</v>
      </c>
      <c r="AU3471" s="6" t="str">
        <f>HYPERLINK("http://catalog.hathitrust.org/Record/001165168","HathiTrust Record")</f>
        <v>HathiTrust Record</v>
      </c>
      <c r="AV3471" s="6" t="str">
        <f>HYPERLINK("http://mcgill.on.worldcat.org/oclc/14607612","Catalog Record")</f>
        <v>Catalog Record</v>
      </c>
      <c r="AW3471" s="6" t="str">
        <f>HYPERLINK("http://www.worldcat.org/oclc/14607612","WorldCat Record")</f>
        <v>WorldCat Record</v>
      </c>
      <c r="AX3471" s="3" t="s">
        <v>34692</v>
      </c>
      <c r="AY3471" s="3" t="s">
        <v>34693</v>
      </c>
      <c r="AZ3471" s="3" t="s">
        <v>34694</v>
      </c>
      <c r="BA3471" s="3" t="s">
        <v>34694</v>
      </c>
      <c r="BB3471" s="3" t="s">
        <v>34695</v>
      </c>
      <c r="BC3471" s="3" t="s">
        <v>77</v>
      </c>
      <c r="BD3471" s="3" t="s">
        <v>78</v>
      </c>
      <c r="BF3471" s="3" t="s">
        <v>34695</v>
      </c>
      <c r="BG3471" s="3" t="s">
        <v>34696</v>
      </c>
      <c r="BH3471">
        <f t="shared" si="81"/>
        <v>0</v>
      </c>
    </row>
    <row r="3472" spans="1:60" ht="58" x14ac:dyDescent="0.35">
      <c r="A3472" s="2" t="s">
        <v>59</v>
      </c>
      <c r="B3472" s="2" t="s">
        <v>60</v>
      </c>
      <c r="C3472" s="2" t="s">
        <v>34697</v>
      </c>
      <c r="D3472" s="2" t="s">
        <v>34698</v>
      </c>
      <c r="E3472" s="2" t="s">
        <v>34699</v>
      </c>
      <c r="G3472" s="3" t="s">
        <v>64</v>
      </c>
      <c r="I3472" s="3" t="s">
        <v>64</v>
      </c>
      <c r="J3472" s="3" t="s">
        <v>64</v>
      </c>
      <c r="K3472" s="3" t="s">
        <v>65</v>
      </c>
      <c r="L3472" s="2" t="s">
        <v>34700</v>
      </c>
      <c r="M3472" s="2" t="s">
        <v>34701</v>
      </c>
      <c r="N3472" s="3" t="s">
        <v>253</v>
      </c>
      <c r="P3472" s="3" t="s">
        <v>102</v>
      </c>
      <c r="R3472" s="3" t="s">
        <v>70</v>
      </c>
      <c r="S3472" s="4">
        <v>3</v>
      </c>
      <c r="T3472" s="4">
        <v>3</v>
      </c>
      <c r="U3472" s="5" t="s">
        <v>5158</v>
      </c>
      <c r="V3472" s="5" t="s">
        <v>5158</v>
      </c>
      <c r="W3472" s="5" t="s">
        <v>72</v>
      </c>
      <c r="X3472" s="5" t="s">
        <v>72</v>
      </c>
      <c r="Y3472" s="4">
        <v>123</v>
      </c>
      <c r="Z3472" s="4">
        <v>9</v>
      </c>
      <c r="AA3472" s="4">
        <v>9</v>
      </c>
      <c r="AB3472" s="4">
        <v>1</v>
      </c>
      <c r="AC3472" s="4">
        <v>1</v>
      </c>
      <c r="AD3472" s="4">
        <v>40</v>
      </c>
      <c r="AE3472" s="4">
        <v>40</v>
      </c>
      <c r="AF3472" s="4">
        <v>0</v>
      </c>
      <c r="AG3472" s="4">
        <v>0</v>
      </c>
      <c r="AH3472" s="4">
        <v>40</v>
      </c>
      <c r="AI3472" s="4">
        <v>40</v>
      </c>
      <c r="AJ3472" s="4">
        <v>3</v>
      </c>
      <c r="AK3472" s="4">
        <v>3</v>
      </c>
      <c r="AL3472" s="4">
        <v>26</v>
      </c>
      <c r="AM3472" s="4">
        <v>26</v>
      </c>
      <c r="AN3472" s="4">
        <v>0</v>
      </c>
      <c r="AO3472" s="4">
        <v>0</v>
      </c>
      <c r="AP3472" s="4">
        <v>3</v>
      </c>
      <c r="AQ3472" s="4">
        <v>3</v>
      </c>
      <c r="AR3472" s="3" t="s">
        <v>64</v>
      </c>
      <c r="AS3472" s="3" t="s">
        <v>64</v>
      </c>
      <c r="AT3472" s="3" t="s">
        <v>64</v>
      </c>
      <c r="AV3472" s="6" t="str">
        <f>HYPERLINK("http://mcgill.on.worldcat.org/oclc/887941024","Catalog Record")</f>
        <v>Catalog Record</v>
      </c>
      <c r="AW3472" s="6" t="str">
        <f>HYPERLINK("http://www.worldcat.org/oclc/887941024","WorldCat Record")</f>
        <v>WorldCat Record</v>
      </c>
      <c r="AX3472" s="3" t="s">
        <v>34702</v>
      </c>
      <c r="AY3472" s="3" t="s">
        <v>34703</v>
      </c>
      <c r="AZ3472" s="3" t="s">
        <v>34704</v>
      </c>
      <c r="BA3472" s="3" t="s">
        <v>34704</v>
      </c>
      <c r="BB3472" s="3" t="s">
        <v>34705</v>
      </c>
      <c r="BC3472" s="3" t="s">
        <v>77</v>
      </c>
      <c r="BD3472" s="3" t="s">
        <v>165</v>
      </c>
      <c r="BE3472" s="3" t="s">
        <v>34706</v>
      </c>
      <c r="BF3472" s="3" t="s">
        <v>34705</v>
      </c>
      <c r="BG3472" s="3" t="s">
        <v>34707</v>
      </c>
      <c r="BH3472">
        <f t="shared" si="81"/>
        <v>0</v>
      </c>
    </row>
    <row r="3473" spans="1:60" ht="58" x14ac:dyDescent="0.35">
      <c r="A3473" s="2" t="s">
        <v>59</v>
      </c>
      <c r="B3473" s="2" t="s">
        <v>60</v>
      </c>
      <c r="C3473" s="2" t="s">
        <v>34708</v>
      </c>
      <c r="D3473" s="2" t="s">
        <v>34709</v>
      </c>
      <c r="E3473" s="2" t="s">
        <v>34710</v>
      </c>
      <c r="G3473" s="3" t="s">
        <v>64</v>
      </c>
      <c r="I3473" s="3" t="s">
        <v>64</v>
      </c>
      <c r="J3473" s="3" t="s">
        <v>64</v>
      </c>
      <c r="K3473" s="3" t="s">
        <v>65</v>
      </c>
      <c r="L3473" s="2" t="s">
        <v>34711</v>
      </c>
      <c r="M3473" s="2" t="s">
        <v>34712</v>
      </c>
      <c r="N3473" s="3" t="s">
        <v>67</v>
      </c>
      <c r="P3473" s="3" t="s">
        <v>102</v>
      </c>
      <c r="R3473" s="3" t="s">
        <v>70</v>
      </c>
      <c r="S3473" s="4">
        <v>3</v>
      </c>
      <c r="T3473" s="4">
        <v>3</v>
      </c>
      <c r="U3473" s="5" t="s">
        <v>1102</v>
      </c>
      <c r="V3473" s="5" t="s">
        <v>1102</v>
      </c>
      <c r="W3473" s="5" t="s">
        <v>72</v>
      </c>
      <c r="X3473" s="5" t="s">
        <v>72</v>
      </c>
      <c r="Y3473" s="4">
        <v>16</v>
      </c>
      <c r="Z3473" s="4">
        <v>3</v>
      </c>
      <c r="AA3473" s="4">
        <v>3</v>
      </c>
      <c r="AB3473" s="4">
        <v>1</v>
      </c>
      <c r="AC3473" s="4">
        <v>1</v>
      </c>
      <c r="AD3473" s="4">
        <v>6</v>
      </c>
      <c r="AE3473" s="4">
        <v>6</v>
      </c>
      <c r="AF3473" s="4">
        <v>0</v>
      </c>
      <c r="AG3473" s="4">
        <v>0</v>
      </c>
      <c r="AH3473" s="4">
        <v>6</v>
      </c>
      <c r="AI3473" s="4">
        <v>6</v>
      </c>
      <c r="AJ3473" s="4">
        <v>1</v>
      </c>
      <c r="AK3473" s="4">
        <v>1</v>
      </c>
      <c r="AL3473" s="4">
        <v>3</v>
      </c>
      <c r="AM3473" s="4">
        <v>3</v>
      </c>
      <c r="AN3473" s="4">
        <v>0</v>
      </c>
      <c r="AO3473" s="4">
        <v>0</v>
      </c>
      <c r="AP3473" s="4">
        <v>1</v>
      </c>
      <c r="AQ3473" s="4">
        <v>1</v>
      </c>
      <c r="AR3473" s="3" t="s">
        <v>64</v>
      </c>
      <c r="AS3473" s="3" t="s">
        <v>64</v>
      </c>
      <c r="AT3473" s="3" t="s">
        <v>64</v>
      </c>
      <c r="AV3473" s="6" t="str">
        <f>HYPERLINK("http://mcgill.on.worldcat.org/oclc/904484780","Catalog Record")</f>
        <v>Catalog Record</v>
      </c>
      <c r="AW3473" s="6" t="str">
        <f>HYPERLINK("http://www.worldcat.org/oclc/904484780","WorldCat Record")</f>
        <v>WorldCat Record</v>
      </c>
      <c r="AX3473" s="3" t="s">
        <v>34713</v>
      </c>
      <c r="AY3473" s="3" t="s">
        <v>34714</v>
      </c>
      <c r="AZ3473" s="3" t="s">
        <v>34715</v>
      </c>
      <c r="BA3473" s="3" t="s">
        <v>34715</v>
      </c>
      <c r="BB3473" s="3" t="s">
        <v>34716</v>
      </c>
      <c r="BC3473" s="3" t="s">
        <v>77</v>
      </c>
      <c r="BD3473" s="3" t="s">
        <v>78</v>
      </c>
      <c r="BE3473" s="3" t="s">
        <v>34717</v>
      </c>
      <c r="BF3473" s="3" t="s">
        <v>34716</v>
      </c>
      <c r="BG3473" s="3" t="s">
        <v>34718</v>
      </c>
      <c r="BH3473">
        <f t="shared" si="81"/>
        <v>0</v>
      </c>
    </row>
    <row r="3474" spans="1:60" ht="72.5" x14ac:dyDescent="0.35">
      <c r="A3474" s="2" t="s">
        <v>59</v>
      </c>
      <c r="B3474" s="2" t="s">
        <v>60</v>
      </c>
      <c r="C3474" s="2" t="s">
        <v>34719</v>
      </c>
      <c r="D3474" s="2" t="s">
        <v>34720</v>
      </c>
      <c r="E3474" s="2" t="s">
        <v>34721</v>
      </c>
      <c r="G3474" s="3" t="s">
        <v>64</v>
      </c>
      <c r="I3474" s="3" t="s">
        <v>64</v>
      </c>
      <c r="J3474" s="3" t="s">
        <v>64</v>
      </c>
      <c r="K3474" s="3" t="s">
        <v>65</v>
      </c>
      <c r="L3474" s="2" t="s">
        <v>34722</v>
      </c>
      <c r="M3474" s="2" t="s">
        <v>34723</v>
      </c>
      <c r="N3474" s="3" t="s">
        <v>1615</v>
      </c>
      <c r="P3474" s="3" t="s">
        <v>102</v>
      </c>
      <c r="R3474" s="3" t="s">
        <v>70</v>
      </c>
      <c r="S3474" s="4">
        <v>1</v>
      </c>
      <c r="T3474" s="4">
        <v>1</v>
      </c>
      <c r="U3474" s="5" t="s">
        <v>12425</v>
      </c>
      <c r="V3474" s="5" t="s">
        <v>12425</v>
      </c>
      <c r="W3474" s="5" t="s">
        <v>72</v>
      </c>
      <c r="X3474" s="5" t="s">
        <v>72</v>
      </c>
      <c r="Y3474" s="4">
        <v>24</v>
      </c>
      <c r="Z3474" s="4">
        <v>2</v>
      </c>
      <c r="AA3474" s="4">
        <v>2</v>
      </c>
      <c r="AB3474" s="4">
        <v>1</v>
      </c>
      <c r="AC3474" s="4">
        <v>1</v>
      </c>
      <c r="AD3474" s="4">
        <v>8</v>
      </c>
      <c r="AE3474" s="4">
        <v>8</v>
      </c>
      <c r="AF3474" s="4">
        <v>0</v>
      </c>
      <c r="AG3474" s="4">
        <v>0</v>
      </c>
      <c r="AH3474" s="4">
        <v>8</v>
      </c>
      <c r="AI3474" s="4">
        <v>8</v>
      </c>
      <c r="AJ3474" s="4">
        <v>1</v>
      </c>
      <c r="AK3474" s="4">
        <v>1</v>
      </c>
      <c r="AL3474" s="4">
        <v>5</v>
      </c>
      <c r="AM3474" s="4">
        <v>5</v>
      </c>
      <c r="AN3474" s="4">
        <v>0</v>
      </c>
      <c r="AO3474" s="4">
        <v>0</v>
      </c>
      <c r="AP3474" s="4">
        <v>1</v>
      </c>
      <c r="AQ3474" s="4">
        <v>1</v>
      </c>
      <c r="AR3474" s="3" t="s">
        <v>64</v>
      </c>
      <c r="AS3474" s="3" t="s">
        <v>64</v>
      </c>
      <c r="AT3474" s="3" t="s">
        <v>64</v>
      </c>
      <c r="AV3474" s="6" t="str">
        <f>HYPERLINK("http://mcgill.on.worldcat.org/oclc/37895730","Catalog Record")</f>
        <v>Catalog Record</v>
      </c>
      <c r="AW3474" s="6" t="str">
        <f>HYPERLINK("http://www.worldcat.org/oclc/37895730","WorldCat Record")</f>
        <v>WorldCat Record</v>
      </c>
      <c r="AX3474" s="3" t="s">
        <v>34724</v>
      </c>
      <c r="AY3474" s="3" t="s">
        <v>34725</v>
      </c>
      <c r="AZ3474" s="3" t="s">
        <v>34726</v>
      </c>
      <c r="BA3474" s="3" t="s">
        <v>34726</v>
      </c>
      <c r="BB3474" s="3" t="s">
        <v>34727</v>
      </c>
      <c r="BC3474" s="3" t="s">
        <v>77</v>
      </c>
      <c r="BD3474" s="3" t="s">
        <v>78</v>
      </c>
      <c r="BE3474" s="3" t="s">
        <v>34728</v>
      </c>
      <c r="BF3474" s="3" t="s">
        <v>34727</v>
      </c>
      <c r="BG3474" s="3" t="s">
        <v>34729</v>
      </c>
      <c r="BH3474">
        <f t="shared" si="81"/>
        <v>0</v>
      </c>
    </row>
    <row r="3475" spans="1:60" ht="72.5" x14ac:dyDescent="0.35">
      <c r="A3475" s="2" t="s">
        <v>59</v>
      </c>
      <c r="B3475" s="2" t="s">
        <v>60</v>
      </c>
      <c r="C3475" s="2" t="s">
        <v>34730</v>
      </c>
      <c r="D3475" s="2" t="s">
        <v>34731</v>
      </c>
      <c r="E3475" s="2" t="s">
        <v>34732</v>
      </c>
      <c r="G3475" s="3" t="s">
        <v>64</v>
      </c>
      <c r="I3475" s="3" t="s">
        <v>64</v>
      </c>
      <c r="J3475" s="3" t="s">
        <v>64</v>
      </c>
      <c r="K3475" s="3" t="s">
        <v>65</v>
      </c>
      <c r="L3475" s="2" t="s">
        <v>34733</v>
      </c>
      <c r="M3475" s="2" t="s">
        <v>1418</v>
      </c>
      <c r="N3475" s="3" t="s">
        <v>86</v>
      </c>
      <c r="P3475" s="3" t="s">
        <v>102</v>
      </c>
      <c r="R3475" s="3" t="s">
        <v>70</v>
      </c>
      <c r="S3475" s="4">
        <v>0</v>
      </c>
      <c r="T3475" s="4">
        <v>0</v>
      </c>
      <c r="W3475" s="5" t="s">
        <v>72</v>
      </c>
      <c r="X3475" s="5" t="s">
        <v>72</v>
      </c>
      <c r="Y3475" s="4">
        <v>202</v>
      </c>
      <c r="Z3475" s="4">
        <v>19</v>
      </c>
      <c r="AA3475" s="4">
        <v>19</v>
      </c>
      <c r="AB3475" s="4">
        <v>1</v>
      </c>
      <c r="AC3475" s="4">
        <v>1</v>
      </c>
      <c r="AD3475" s="4">
        <v>60</v>
      </c>
      <c r="AE3475" s="4">
        <v>60</v>
      </c>
      <c r="AF3475" s="4">
        <v>0</v>
      </c>
      <c r="AG3475" s="4">
        <v>0</v>
      </c>
      <c r="AH3475" s="4">
        <v>53</v>
      </c>
      <c r="AI3475" s="4">
        <v>53</v>
      </c>
      <c r="AJ3475" s="4">
        <v>9</v>
      </c>
      <c r="AK3475" s="4">
        <v>9</v>
      </c>
      <c r="AL3475" s="4">
        <v>31</v>
      </c>
      <c r="AM3475" s="4">
        <v>31</v>
      </c>
      <c r="AN3475" s="4">
        <v>5</v>
      </c>
      <c r="AO3475" s="4">
        <v>5</v>
      </c>
      <c r="AP3475" s="4">
        <v>12</v>
      </c>
      <c r="AQ3475" s="4">
        <v>12</v>
      </c>
      <c r="AR3475" s="3" t="s">
        <v>64</v>
      </c>
      <c r="AS3475" s="3" t="s">
        <v>64</v>
      </c>
      <c r="AT3475" s="3" t="s">
        <v>128</v>
      </c>
      <c r="AU3475" s="6" t="str">
        <f>HYPERLINK("http://catalog.hathitrust.org/Record/012116701","HathiTrust Record")</f>
        <v>HathiTrust Record</v>
      </c>
      <c r="AV3475" s="6" t="str">
        <f>HYPERLINK("http://mcgill.on.worldcat.org/oclc/788274332","Catalog Record")</f>
        <v>Catalog Record</v>
      </c>
      <c r="AW3475" s="6" t="str">
        <f>HYPERLINK("http://www.worldcat.org/oclc/788274332","WorldCat Record")</f>
        <v>WorldCat Record</v>
      </c>
      <c r="AX3475" s="3" t="s">
        <v>34734</v>
      </c>
      <c r="AY3475" s="3" t="s">
        <v>34735</v>
      </c>
      <c r="AZ3475" s="3" t="s">
        <v>34736</v>
      </c>
      <c r="BA3475" s="3" t="s">
        <v>34736</v>
      </c>
      <c r="BB3475" s="3" t="s">
        <v>34737</v>
      </c>
      <c r="BC3475" s="3" t="s">
        <v>77</v>
      </c>
      <c r="BD3475" s="3" t="s">
        <v>78</v>
      </c>
      <c r="BE3475" s="3" t="s">
        <v>34738</v>
      </c>
      <c r="BF3475" s="3" t="s">
        <v>34737</v>
      </c>
      <c r="BG3475" s="3" t="s">
        <v>34739</v>
      </c>
      <c r="BH3475">
        <f t="shared" si="81"/>
        <v>0</v>
      </c>
    </row>
    <row r="3476" spans="1:60" ht="72.5" x14ac:dyDescent="0.35">
      <c r="A3476" s="2" t="s">
        <v>59</v>
      </c>
      <c r="B3476" s="2" t="s">
        <v>60</v>
      </c>
      <c r="C3476" s="2" t="s">
        <v>34740</v>
      </c>
      <c r="D3476" s="2" t="s">
        <v>34741</v>
      </c>
      <c r="E3476" s="2" t="s">
        <v>34742</v>
      </c>
      <c r="G3476" s="3" t="s">
        <v>64</v>
      </c>
      <c r="I3476" s="3" t="s">
        <v>64</v>
      </c>
      <c r="J3476" s="3" t="s">
        <v>64</v>
      </c>
      <c r="K3476" s="3" t="s">
        <v>65</v>
      </c>
      <c r="M3476" s="2" t="s">
        <v>34743</v>
      </c>
      <c r="N3476" s="3" t="s">
        <v>551</v>
      </c>
      <c r="P3476" s="3" t="s">
        <v>102</v>
      </c>
      <c r="R3476" s="3" t="s">
        <v>70</v>
      </c>
      <c r="S3476" s="4">
        <v>11</v>
      </c>
      <c r="T3476" s="4">
        <v>11</v>
      </c>
      <c r="U3476" s="5" t="s">
        <v>24168</v>
      </c>
      <c r="V3476" s="5" t="s">
        <v>24168</v>
      </c>
      <c r="W3476" s="5" t="s">
        <v>72</v>
      </c>
      <c r="X3476" s="5" t="s">
        <v>72</v>
      </c>
      <c r="Y3476" s="4">
        <v>166</v>
      </c>
      <c r="Z3476" s="4">
        <v>18</v>
      </c>
      <c r="AA3476" s="4">
        <v>32</v>
      </c>
      <c r="AB3476" s="4">
        <v>3</v>
      </c>
      <c r="AC3476" s="4">
        <v>5</v>
      </c>
      <c r="AD3476" s="4">
        <v>59</v>
      </c>
      <c r="AE3476" s="4">
        <v>84</v>
      </c>
      <c r="AF3476" s="4">
        <v>0</v>
      </c>
      <c r="AG3476" s="4">
        <v>0</v>
      </c>
      <c r="AH3476" s="4">
        <v>52</v>
      </c>
      <c r="AI3476" s="4">
        <v>69</v>
      </c>
      <c r="AJ3476" s="4">
        <v>10</v>
      </c>
      <c r="AK3476" s="4">
        <v>12</v>
      </c>
      <c r="AL3476" s="4">
        <v>33</v>
      </c>
      <c r="AM3476" s="4">
        <v>41</v>
      </c>
      <c r="AN3476" s="4">
        <v>0</v>
      </c>
      <c r="AO3476" s="4">
        <v>0</v>
      </c>
      <c r="AP3476" s="4">
        <v>11</v>
      </c>
      <c r="AQ3476" s="4">
        <v>19</v>
      </c>
      <c r="AR3476" s="3" t="s">
        <v>64</v>
      </c>
      <c r="AS3476" s="3" t="s">
        <v>64</v>
      </c>
      <c r="AT3476" s="3" t="s">
        <v>64</v>
      </c>
      <c r="AV3476" s="6" t="str">
        <f>HYPERLINK("http://mcgill.on.worldcat.org/oclc/263993651","Catalog Record")</f>
        <v>Catalog Record</v>
      </c>
      <c r="AW3476" s="6" t="str">
        <f>HYPERLINK("http://www.worldcat.org/oclc/263993651","WorldCat Record")</f>
        <v>WorldCat Record</v>
      </c>
      <c r="AX3476" s="3" t="s">
        <v>34744</v>
      </c>
      <c r="AY3476" s="3" t="s">
        <v>34745</v>
      </c>
      <c r="AZ3476" s="3" t="s">
        <v>34746</v>
      </c>
      <c r="BA3476" s="3" t="s">
        <v>34746</v>
      </c>
      <c r="BB3476" s="3" t="s">
        <v>34747</v>
      </c>
      <c r="BC3476" s="3" t="s">
        <v>77</v>
      </c>
      <c r="BD3476" s="3" t="s">
        <v>78</v>
      </c>
      <c r="BE3476" s="3" t="s">
        <v>34748</v>
      </c>
      <c r="BF3476" s="3" t="s">
        <v>34747</v>
      </c>
      <c r="BG3476" s="3" t="s">
        <v>34749</v>
      </c>
      <c r="BH3476">
        <f t="shared" si="81"/>
        <v>0</v>
      </c>
    </row>
    <row r="3477" spans="1:60" ht="72.5" x14ac:dyDescent="0.35">
      <c r="A3477" s="2" t="s">
        <v>59</v>
      </c>
      <c r="B3477" s="2" t="s">
        <v>1025</v>
      </c>
      <c r="C3477" s="2" t="s">
        <v>34750</v>
      </c>
      <c r="D3477" s="2" t="s">
        <v>34751</v>
      </c>
      <c r="E3477" s="2" t="s">
        <v>34752</v>
      </c>
      <c r="G3477" s="3" t="s">
        <v>64</v>
      </c>
      <c r="I3477" s="3" t="s">
        <v>64</v>
      </c>
      <c r="J3477" s="3" t="s">
        <v>64</v>
      </c>
      <c r="K3477" s="3" t="s">
        <v>65</v>
      </c>
      <c r="L3477" s="2" t="s">
        <v>34753</v>
      </c>
      <c r="M3477" s="2" t="s">
        <v>34754</v>
      </c>
      <c r="N3477" s="3" t="s">
        <v>153</v>
      </c>
      <c r="P3477" s="3" t="s">
        <v>102</v>
      </c>
      <c r="R3477" s="3" t="s">
        <v>70</v>
      </c>
      <c r="S3477" s="4">
        <v>10</v>
      </c>
      <c r="T3477" s="4">
        <v>10</v>
      </c>
      <c r="U3477" s="5" t="s">
        <v>34755</v>
      </c>
      <c r="V3477" s="5" t="s">
        <v>34755</v>
      </c>
      <c r="W3477" s="5" t="s">
        <v>72</v>
      </c>
      <c r="X3477" s="5" t="s">
        <v>72</v>
      </c>
      <c r="Y3477" s="4">
        <v>320</v>
      </c>
      <c r="Z3477" s="4">
        <v>19</v>
      </c>
      <c r="AA3477" s="4">
        <v>20</v>
      </c>
      <c r="AB3477" s="4">
        <v>2</v>
      </c>
      <c r="AC3477" s="4">
        <v>3</v>
      </c>
      <c r="AD3477" s="4">
        <v>86</v>
      </c>
      <c r="AE3477" s="4">
        <v>87</v>
      </c>
      <c r="AF3477" s="4">
        <v>0</v>
      </c>
      <c r="AG3477" s="4">
        <v>1</v>
      </c>
      <c r="AH3477" s="4">
        <v>76</v>
      </c>
      <c r="AI3477" s="4">
        <v>76</v>
      </c>
      <c r="AJ3477" s="4">
        <v>11</v>
      </c>
      <c r="AK3477" s="4">
        <v>12</v>
      </c>
      <c r="AL3477" s="4">
        <v>47</v>
      </c>
      <c r="AM3477" s="4">
        <v>47</v>
      </c>
      <c r="AN3477" s="4">
        <v>0</v>
      </c>
      <c r="AO3477" s="4">
        <v>0</v>
      </c>
      <c r="AP3477" s="4">
        <v>11</v>
      </c>
      <c r="AQ3477" s="4">
        <v>12</v>
      </c>
      <c r="AR3477" s="3" t="s">
        <v>64</v>
      </c>
      <c r="AS3477" s="3" t="s">
        <v>64</v>
      </c>
      <c r="AT3477" s="3" t="s">
        <v>64</v>
      </c>
      <c r="AV3477" s="6" t="str">
        <f>HYPERLINK("http://mcgill.on.worldcat.org/oclc/39611860","Catalog Record")</f>
        <v>Catalog Record</v>
      </c>
      <c r="AW3477" s="6" t="str">
        <f>HYPERLINK("http://www.worldcat.org/oclc/39611860","WorldCat Record")</f>
        <v>WorldCat Record</v>
      </c>
      <c r="AX3477" s="3" t="s">
        <v>34756</v>
      </c>
      <c r="AY3477" s="3" t="s">
        <v>34757</v>
      </c>
      <c r="AZ3477" s="3" t="s">
        <v>34758</v>
      </c>
      <c r="BA3477" s="3" t="s">
        <v>34758</v>
      </c>
      <c r="BB3477" s="3" t="s">
        <v>34759</v>
      </c>
      <c r="BC3477" s="3" t="s">
        <v>77</v>
      </c>
      <c r="BD3477" s="3" t="s">
        <v>78</v>
      </c>
      <c r="BE3477" s="3" t="s">
        <v>34760</v>
      </c>
      <c r="BF3477" s="3" t="s">
        <v>34759</v>
      </c>
      <c r="BG3477" s="3" t="s">
        <v>34761</v>
      </c>
      <c r="BH3477">
        <f t="shared" si="81"/>
        <v>0</v>
      </c>
    </row>
    <row r="3478" spans="1:60" ht="58" x14ac:dyDescent="0.35">
      <c r="A3478" s="2" t="s">
        <v>59</v>
      </c>
      <c r="B3478" s="2" t="s">
        <v>60</v>
      </c>
      <c r="C3478" s="2" t="s">
        <v>34762</v>
      </c>
      <c r="D3478" s="2" t="s">
        <v>34763</v>
      </c>
      <c r="E3478" s="2" t="s">
        <v>34764</v>
      </c>
      <c r="G3478" s="3" t="s">
        <v>64</v>
      </c>
      <c r="I3478" s="3" t="s">
        <v>64</v>
      </c>
      <c r="J3478" s="3" t="s">
        <v>64</v>
      </c>
      <c r="K3478" s="3" t="s">
        <v>65</v>
      </c>
      <c r="L3478" s="2" t="s">
        <v>34765</v>
      </c>
      <c r="M3478" s="2" t="s">
        <v>34766</v>
      </c>
      <c r="N3478" s="3" t="s">
        <v>8584</v>
      </c>
      <c r="P3478" s="3" t="s">
        <v>102</v>
      </c>
      <c r="Q3478" s="2" t="s">
        <v>34767</v>
      </c>
      <c r="R3478" s="3" t="s">
        <v>70</v>
      </c>
      <c r="S3478" s="4">
        <v>2</v>
      </c>
      <c r="T3478" s="4">
        <v>2</v>
      </c>
      <c r="U3478" s="5" t="s">
        <v>22671</v>
      </c>
      <c r="V3478" s="5" t="s">
        <v>22671</v>
      </c>
      <c r="W3478" s="5" t="s">
        <v>72</v>
      </c>
      <c r="X3478" s="5" t="s">
        <v>72</v>
      </c>
      <c r="Y3478" s="4">
        <v>73</v>
      </c>
      <c r="Z3478" s="4">
        <v>6</v>
      </c>
      <c r="AA3478" s="4">
        <v>10</v>
      </c>
      <c r="AB3478" s="4">
        <v>1</v>
      </c>
      <c r="AC3478" s="4">
        <v>2</v>
      </c>
      <c r="AD3478" s="4">
        <v>32</v>
      </c>
      <c r="AE3478" s="4">
        <v>37</v>
      </c>
      <c r="AF3478" s="4">
        <v>0</v>
      </c>
      <c r="AG3478" s="4">
        <v>0</v>
      </c>
      <c r="AH3478" s="4">
        <v>29</v>
      </c>
      <c r="AI3478" s="4">
        <v>33</v>
      </c>
      <c r="AJ3478" s="4">
        <v>4</v>
      </c>
      <c r="AK3478" s="4">
        <v>5</v>
      </c>
      <c r="AL3478" s="4">
        <v>25</v>
      </c>
      <c r="AM3478" s="4">
        <v>26</v>
      </c>
      <c r="AN3478" s="4">
        <v>0</v>
      </c>
      <c r="AO3478" s="4">
        <v>0</v>
      </c>
      <c r="AP3478" s="4">
        <v>4</v>
      </c>
      <c r="AQ3478" s="4">
        <v>7</v>
      </c>
      <c r="AR3478" s="3" t="s">
        <v>64</v>
      </c>
      <c r="AS3478" s="3" t="s">
        <v>64</v>
      </c>
      <c r="AT3478" s="3" t="s">
        <v>64</v>
      </c>
      <c r="AU3478" s="6" t="str">
        <f>HYPERLINK("http://catalog.hathitrust.org/Record/001165195","HathiTrust Record")</f>
        <v>HathiTrust Record</v>
      </c>
      <c r="AV3478" s="6" t="str">
        <f>HYPERLINK("http://mcgill.on.worldcat.org/oclc/4790018","Catalog Record")</f>
        <v>Catalog Record</v>
      </c>
      <c r="AW3478" s="6" t="str">
        <f>HYPERLINK("http://www.worldcat.org/oclc/4790018","WorldCat Record")</f>
        <v>WorldCat Record</v>
      </c>
      <c r="AX3478" s="3" t="s">
        <v>34768</v>
      </c>
      <c r="AY3478" s="3" t="s">
        <v>34769</v>
      </c>
      <c r="AZ3478" s="3" t="s">
        <v>34770</v>
      </c>
      <c r="BA3478" s="3" t="s">
        <v>34770</v>
      </c>
      <c r="BB3478" s="3" t="s">
        <v>34771</v>
      </c>
      <c r="BC3478" s="3" t="s">
        <v>77</v>
      </c>
      <c r="BD3478" s="3" t="s">
        <v>78</v>
      </c>
      <c r="BF3478" s="3" t="s">
        <v>34771</v>
      </c>
      <c r="BG3478" s="3" t="s">
        <v>34772</v>
      </c>
      <c r="BH3478">
        <f t="shared" si="81"/>
        <v>0</v>
      </c>
    </row>
    <row r="3479" spans="1:60" ht="58" x14ac:dyDescent="0.35">
      <c r="A3479" s="2" t="s">
        <v>59</v>
      </c>
      <c r="B3479" s="2" t="s">
        <v>60</v>
      </c>
      <c r="C3479" s="2" t="s">
        <v>34773</v>
      </c>
      <c r="D3479" s="2" t="s">
        <v>34774</v>
      </c>
      <c r="E3479" s="2" t="s">
        <v>34775</v>
      </c>
      <c r="G3479" s="3" t="s">
        <v>64</v>
      </c>
      <c r="I3479" s="3" t="s">
        <v>64</v>
      </c>
      <c r="J3479" s="3" t="s">
        <v>64</v>
      </c>
      <c r="K3479" s="3" t="s">
        <v>65</v>
      </c>
      <c r="L3479" s="2" t="s">
        <v>34776</v>
      </c>
      <c r="M3479" s="2" t="s">
        <v>5551</v>
      </c>
      <c r="N3479" s="3" t="s">
        <v>326</v>
      </c>
      <c r="P3479" s="3" t="s">
        <v>102</v>
      </c>
      <c r="Q3479" s="2" t="s">
        <v>34777</v>
      </c>
      <c r="R3479" s="3" t="s">
        <v>70</v>
      </c>
      <c r="S3479" s="4">
        <v>1</v>
      </c>
      <c r="T3479" s="4">
        <v>1</v>
      </c>
      <c r="U3479" s="5" t="s">
        <v>34778</v>
      </c>
      <c r="V3479" s="5" t="s">
        <v>34778</v>
      </c>
      <c r="W3479" s="5" t="s">
        <v>72</v>
      </c>
      <c r="X3479" s="5" t="s">
        <v>72</v>
      </c>
      <c r="Y3479" s="4">
        <v>68</v>
      </c>
      <c r="Z3479" s="4">
        <v>6</v>
      </c>
      <c r="AA3479" s="4">
        <v>83</v>
      </c>
      <c r="AB3479" s="4">
        <v>1</v>
      </c>
      <c r="AC3479" s="4">
        <v>17</v>
      </c>
      <c r="AD3479" s="4">
        <v>21</v>
      </c>
      <c r="AE3479" s="4">
        <v>89</v>
      </c>
      <c r="AF3479" s="4">
        <v>0</v>
      </c>
      <c r="AG3479" s="4">
        <v>8</v>
      </c>
      <c r="AH3479" s="4">
        <v>20</v>
      </c>
      <c r="AI3479" s="4">
        <v>57</v>
      </c>
      <c r="AJ3479" s="4">
        <v>3</v>
      </c>
      <c r="AK3479" s="4">
        <v>17</v>
      </c>
      <c r="AL3479" s="4">
        <v>12</v>
      </c>
      <c r="AM3479" s="4">
        <v>29</v>
      </c>
      <c r="AN3479" s="4">
        <v>0</v>
      </c>
      <c r="AO3479" s="4">
        <v>0</v>
      </c>
      <c r="AP3479" s="4">
        <v>3</v>
      </c>
      <c r="AQ3479" s="4">
        <v>38</v>
      </c>
      <c r="AR3479" s="3" t="s">
        <v>64</v>
      </c>
      <c r="AS3479" s="3" t="s">
        <v>64</v>
      </c>
      <c r="AT3479" s="3" t="s">
        <v>64</v>
      </c>
      <c r="AV3479" s="6" t="str">
        <f>HYPERLINK("http://mcgill.on.worldcat.org/oclc/709666600","Catalog Record")</f>
        <v>Catalog Record</v>
      </c>
      <c r="AW3479" s="6" t="str">
        <f>HYPERLINK("http://www.worldcat.org/oclc/709666600","WorldCat Record")</f>
        <v>WorldCat Record</v>
      </c>
      <c r="AX3479" s="3" t="s">
        <v>34779</v>
      </c>
      <c r="AY3479" s="3" t="s">
        <v>34780</v>
      </c>
      <c r="AZ3479" s="3" t="s">
        <v>34781</v>
      </c>
      <c r="BA3479" s="3" t="s">
        <v>34781</v>
      </c>
      <c r="BB3479" s="3" t="s">
        <v>34782</v>
      </c>
      <c r="BC3479" s="3" t="s">
        <v>77</v>
      </c>
      <c r="BD3479" s="3" t="s">
        <v>78</v>
      </c>
      <c r="BE3479" s="3" t="s">
        <v>34783</v>
      </c>
      <c r="BF3479" s="3" t="s">
        <v>34782</v>
      </c>
      <c r="BG3479" s="3" t="s">
        <v>34784</v>
      </c>
      <c r="BH3479">
        <f t="shared" si="81"/>
        <v>0</v>
      </c>
    </row>
    <row r="3480" spans="1:60" ht="58" x14ac:dyDescent="0.35">
      <c r="A3480" s="2" t="s">
        <v>59</v>
      </c>
      <c r="B3480" s="2" t="s">
        <v>60</v>
      </c>
      <c r="C3480" s="2" t="s">
        <v>34785</v>
      </c>
      <c r="D3480" s="2" t="s">
        <v>34786</v>
      </c>
      <c r="E3480" s="2" t="s">
        <v>34787</v>
      </c>
      <c r="G3480" s="3" t="s">
        <v>64</v>
      </c>
      <c r="I3480" s="3" t="s">
        <v>64</v>
      </c>
      <c r="J3480" s="3" t="s">
        <v>64</v>
      </c>
      <c r="K3480" s="3" t="s">
        <v>65</v>
      </c>
      <c r="L3480" s="2" t="s">
        <v>34788</v>
      </c>
      <c r="M3480" s="2" t="s">
        <v>34789</v>
      </c>
      <c r="N3480" s="3" t="s">
        <v>266</v>
      </c>
      <c r="O3480" s="2" t="s">
        <v>172</v>
      </c>
      <c r="P3480" s="3" t="s">
        <v>102</v>
      </c>
      <c r="R3480" s="3" t="s">
        <v>70</v>
      </c>
      <c r="S3480" s="4">
        <v>3</v>
      </c>
      <c r="T3480" s="4">
        <v>3</v>
      </c>
      <c r="U3480" s="5" t="s">
        <v>14197</v>
      </c>
      <c r="V3480" s="5" t="s">
        <v>14197</v>
      </c>
      <c r="W3480" s="5" t="s">
        <v>72</v>
      </c>
      <c r="X3480" s="5" t="s">
        <v>72</v>
      </c>
      <c r="Y3480" s="4">
        <v>166</v>
      </c>
      <c r="Z3480" s="4">
        <v>8</v>
      </c>
      <c r="AA3480" s="4">
        <v>17</v>
      </c>
      <c r="AB3480" s="4">
        <v>1</v>
      </c>
      <c r="AC3480" s="4">
        <v>3</v>
      </c>
      <c r="AD3480" s="4">
        <v>61</v>
      </c>
      <c r="AE3480" s="4">
        <v>68</v>
      </c>
      <c r="AF3480" s="4">
        <v>0</v>
      </c>
      <c r="AG3480" s="4">
        <v>2</v>
      </c>
      <c r="AH3480" s="4">
        <v>54</v>
      </c>
      <c r="AI3480" s="4">
        <v>57</v>
      </c>
      <c r="AJ3480" s="4">
        <v>6</v>
      </c>
      <c r="AK3480" s="4">
        <v>13</v>
      </c>
      <c r="AL3480" s="4">
        <v>37</v>
      </c>
      <c r="AM3480" s="4">
        <v>38</v>
      </c>
      <c r="AN3480" s="4">
        <v>0</v>
      </c>
      <c r="AO3480" s="4">
        <v>0</v>
      </c>
      <c r="AP3480" s="4">
        <v>7</v>
      </c>
      <c r="AQ3480" s="4">
        <v>12</v>
      </c>
      <c r="AR3480" s="3" t="s">
        <v>64</v>
      </c>
      <c r="AS3480" s="3" t="s">
        <v>64</v>
      </c>
      <c r="AT3480" s="3" t="s">
        <v>128</v>
      </c>
      <c r="AU3480" s="6" t="str">
        <f>HYPERLINK("http://catalog.hathitrust.org/Record/001165214","HathiTrust Record")</f>
        <v>HathiTrust Record</v>
      </c>
      <c r="AV3480" s="6" t="str">
        <f>HYPERLINK("http://mcgill.on.worldcat.org/oclc/407259","Catalog Record")</f>
        <v>Catalog Record</v>
      </c>
      <c r="AW3480" s="6" t="str">
        <f>HYPERLINK("http://www.worldcat.org/oclc/407259","WorldCat Record")</f>
        <v>WorldCat Record</v>
      </c>
      <c r="AX3480" s="3" t="s">
        <v>34790</v>
      </c>
      <c r="AY3480" s="3" t="s">
        <v>34791</v>
      </c>
      <c r="AZ3480" s="3" t="s">
        <v>34792</v>
      </c>
      <c r="BA3480" s="3" t="s">
        <v>34792</v>
      </c>
      <c r="BB3480" s="3" t="s">
        <v>34793</v>
      </c>
      <c r="BC3480" s="3" t="s">
        <v>77</v>
      </c>
      <c r="BD3480" s="3" t="s">
        <v>78</v>
      </c>
      <c r="BF3480" s="3" t="s">
        <v>34793</v>
      </c>
      <c r="BG3480" s="3" t="s">
        <v>34794</v>
      </c>
      <c r="BH3480">
        <f t="shared" si="81"/>
        <v>0</v>
      </c>
    </row>
    <row r="3481" spans="1:60" ht="58" x14ac:dyDescent="0.35">
      <c r="A3481" s="2" t="s">
        <v>59</v>
      </c>
      <c r="B3481" s="2" t="s">
        <v>60</v>
      </c>
      <c r="C3481" s="2" t="s">
        <v>34795</v>
      </c>
      <c r="D3481" s="2" t="s">
        <v>34796</v>
      </c>
      <c r="E3481" s="2" t="s">
        <v>34797</v>
      </c>
      <c r="G3481" s="3" t="s">
        <v>64</v>
      </c>
      <c r="I3481" s="3" t="s">
        <v>64</v>
      </c>
      <c r="J3481" s="3" t="s">
        <v>64</v>
      </c>
      <c r="K3481" s="3" t="s">
        <v>65</v>
      </c>
      <c r="L3481" s="2" t="s">
        <v>34798</v>
      </c>
      <c r="M3481" s="2" t="s">
        <v>34799</v>
      </c>
      <c r="N3481" s="3" t="s">
        <v>511</v>
      </c>
      <c r="P3481" s="3" t="s">
        <v>102</v>
      </c>
      <c r="R3481" s="3" t="s">
        <v>70</v>
      </c>
      <c r="S3481" s="4">
        <v>1</v>
      </c>
      <c r="T3481" s="4">
        <v>1</v>
      </c>
      <c r="U3481" s="5" t="s">
        <v>34800</v>
      </c>
      <c r="V3481" s="5" t="s">
        <v>34800</v>
      </c>
      <c r="W3481" s="5" t="s">
        <v>72</v>
      </c>
      <c r="X3481" s="5" t="s">
        <v>72</v>
      </c>
      <c r="Y3481" s="4">
        <v>70</v>
      </c>
      <c r="Z3481" s="4">
        <v>5</v>
      </c>
      <c r="AA3481" s="4">
        <v>5</v>
      </c>
      <c r="AB3481" s="4">
        <v>1</v>
      </c>
      <c r="AC3481" s="4">
        <v>1</v>
      </c>
      <c r="AD3481" s="4">
        <v>20</v>
      </c>
      <c r="AE3481" s="4">
        <v>20</v>
      </c>
      <c r="AF3481" s="4">
        <v>0</v>
      </c>
      <c r="AG3481" s="4">
        <v>0</v>
      </c>
      <c r="AH3481" s="4">
        <v>19</v>
      </c>
      <c r="AI3481" s="4">
        <v>19</v>
      </c>
      <c r="AJ3481" s="4">
        <v>3</v>
      </c>
      <c r="AK3481" s="4">
        <v>3</v>
      </c>
      <c r="AL3481" s="4">
        <v>13</v>
      </c>
      <c r="AM3481" s="4">
        <v>13</v>
      </c>
      <c r="AN3481" s="4">
        <v>0</v>
      </c>
      <c r="AO3481" s="4">
        <v>0</v>
      </c>
      <c r="AP3481" s="4">
        <v>3</v>
      </c>
      <c r="AQ3481" s="4">
        <v>3</v>
      </c>
      <c r="AR3481" s="3" t="s">
        <v>64</v>
      </c>
      <c r="AS3481" s="3" t="s">
        <v>64</v>
      </c>
      <c r="AT3481" s="3" t="s">
        <v>64</v>
      </c>
      <c r="AV3481" s="6" t="str">
        <f>HYPERLINK("http://mcgill.on.worldcat.org/oclc/613434460","Catalog Record")</f>
        <v>Catalog Record</v>
      </c>
      <c r="AW3481" s="6" t="str">
        <f>HYPERLINK("http://www.worldcat.org/oclc/613434460","WorldCat Record")</f>
        <v>WorldCat Record</v>
      </c>
      <c r="AX3481" s="3" t="s">
        <v>34801</v>
      </c>
      <c r="AY3481" s="3" t="s">
        <v>34802</v>
      </c>
      <c r="AZ3481" s="3" t="s">
        <v>34803</v>
      </c>
      <c r="BA3481" s="3" t="s">
        <v>34803</v>
      </c>
      <c r="BB3481" s="3" t="s">
        <v>34804</v>
      </c>
      <c r="BC3481" s="3" t="s">
        <v>77</v>
      </c>
      <c r="BD3481" s="3" t="s">
        <v>78</v>
      </c>
      <c r="BE3481" s="3" t="s">
        <v>34805</v>
      </c>
      <c r="BF3481" s="3" t="s">
        <v>34804</v>
      </c>
      <c r="BG3481" s="3" t="s">
        <v>34806</v>
      </c>
      <c r="BH3481">
        <f t="shared" si="81"/>
        <v>0</v>
      </c>
    </row>
    <row r="3482" spans="1:60" ht="58" x14ac:dyDescent="0.35">
      <c r="A3482" s="2" t="s">
        <v>59</v>
      </c>
      <c r="B3482" s="2" t="s">
        <v>60</v>
      </c>
      <c r="C3482" s="2" t="s">
        <v>34808</v>
      </c>
      <c r="D3482" s="2" t="s">
        <v>34809</v>
      </c>
      <c r="E3482" s="2" t="s">
        <v>34810</v>
      </c>
      <c r="G3482" s="3" t="s">
        <v>64</v>
      </c>
      <c r="I3482" s="3" t="s">
        <v>64</v>
      </c>
      <c r="J3482" s="3" t="s">
        <v>64</v>
      </c>
      <c r="K3482" s="3" t="s">
        <v>65</v>
      </c>
      <c r="L3482" s="2" t="s">
        <v>34811</v>
      </c>
      <c r="M3482" s="2" t="s">
        <v>34812</v>
      </c>
      <c r="N3482" s="3" t="s">
        <v>7191</v>
      </c>
      <c r="P3482" s="3" t="s">
        <v>102</v>
      </c>
      <c r="R3482" s="3" t="s">
        <v>70</v>
      </c>
      <c r="S3482" s="4">
        <v>1</v>
      </c>
      <c r="T3482" s="4">
        <v>1</v>
      </c>
      <c r="U3482" s="5" t="s">
        <v>5158</v>
      </c>
      <c r="V3482" s="5" t="s">
        <v>5158</v>
      </c>
      <c r="W3482" s="5" t="s">
        <v>72</v>
      </c>
      <c r="X3482" s="5" t="s">
        <v>72</v>
      </c>
      <c r="Y3482" s="4">
        <v>2</v>
      </c>
      <c r="Z3482" s="4">
        <v>1</v>
      </c>
      <c r="AA3482" s="4">
        <v>1</v>
      </c>
      <c r="AB3482" s="4">
        <v>1</v>
      </c>
      <c r="AC3482" s="4">
        <v>1</v>
      </c>
      <c r="AD3482" s="4">
        <v>0</v>
      </c>
      <c r="AE3482" s="4">
        <v>0</v>
      </c>
      <c r="AF3482" s="4">
        <v>0</v>
      </c>
      <c r="AG3482" s="4">
        <v>0</v>
      </c>
      <c r="AH3482" s="4">
        <v>0</v>
      </c>
      <c r="AI3482" s="4">
        <v>0</v>
      </c>
      <c r="AJ3482" s="4">
        <v>0</v>
      </c>
      <c r="AK3482" s="4">
        <v>0</v>
      </c>
      <c r="AL3482" s="4">
        <v>0</v>
      </c>
      <c r="AM3482" s="4">
        <v>0</v>
      </c>
      <c r="AN3482" s="4">
        <v>0</v>
      </c>
      <c r="AO3482" s="4">
        <v>0</v>
      </c>
      <c r="AP3482" s="4">
        <v>0</v>
      </c>
      <c r="AQ3482" s="4">
        <v>0</v>
      </c>
      <c r="AR3482" s="3" t="s">
        <v>64</v>
      </c>
      <c r="AS3482" s="3" t="s">
        <v>64</v>
      </c>
      <c r="AT3482" s="3" t="s">
        <v>64</v>
      </c>
      <c r="AV3482" s="6" t="str">
        <f>HYPERLINK("http://mcgill.on.worldcat.org/oclc/61555919","Catalog Record")</f>
        <v>Catalog Record</v>
      </c>
      <c r="AW3482" s="6" t="str">
        <f>HYPERLINK("http://www.worldcat.org/oclc/61555919","WorldCat Record")</f>
        <v>WorldCat Record</v>
      </c>
      <c r="AX3482" s="3" t="s">
        <v>34813</v>
      </c>
      <c r="AY3482" s="3" t="s">
        <v>34814</v>
      </c>
      <c r="AZ3482" s="3" t="s">
        <v>34815</v>
      </c>
      <c r="BA3482" s="3" t="s">
        <v>34815</v>
      </c>
      <c r="BB3482" s="3" t="s">
        <v>34816</v>
      </c>
      <c r="BC3482" s="3" t="s">
        <v>77</v>
      </c>
      <c r="BD3482" s="3" t="s">
        <v>78</v>
      </c>
      <c r="BF3482" s="3" t="s">
        <v>34816</v>
      </c>
      <c r="BG3482" s="3" t="s">
        <v>34817</v>
      </c>
      <c r="BH3482">
        <f t="shared" si="81"/>
        <v>0</v>
      </c>
    </row>
    <row r="3483" spans="1:60" ht="58" x14ac:dyDescent="0.35">
      <c r="A3483" s="2" t="s">
        <v>59</v>
      </c>
      <c r="B3483" s="2" t="s">
        <v>60</v>
      </c>
      <c r="C3483" s="2" t="s">
        <v>34818</v>
      </c>
      <c r="D3483" s="2" t="s">
        <v>34819</v>
      </c>
      <c r="E3483" s="2" t="s">
        <v>34820</v>
      </c>
      <c r="G3483" s="3" t="s">
        <v>64</v>
      </c>
      <c r="I3483" s="3" t="s">
        <v>64</v>
      </c>
      <c r="J3483" s="3" t="s">
        <v>64</v>
      </c>
      <c r="K3483" s="3" t="s">
        <v>65</v>
      </c>
      <c r="L3483" s="2" t="s">
        <v>34807</v>
      </c>
      <c r="M3483" s="2" t="s">
        <v>34821</v>
      </c>
      <c r="N3483" s="3" t="s">
        <v>7191</v>
      </c>
      <c r="P3483" s="3" t="s">
        <v>102</v>
      </c>
      <c r="R3483" s="3" t="s">
        <v>70</v>
      </c>
      <c r="S3483" s="4">
        <v>2</v>
      </c>
      <c r="T3483" s="4">
        <v>2</v>
      </c>
      <c r="U3483" s="5" t="s">
        <v>5158</v>
      </c>
      <c r="V3483" s="5" t="s">
        <v>5158</v>
      </c>
      <c r="W3483" s="5" t="s">
        <v>72</v>
      </c>
      <c r="X3483" s="5" t="s">
        <v>72</v>
      </c>
      <c r="Y3483" s="4">
        <v>34</v>
      </c>
      <c r="Z3483" s="4">
        <v>2</v>
      </c>
      <c r="AA3483" s="4">
        <v>2</v>
      </c>
      <c r="AB3483" s="4">
        <v>1</v>
      </c>
      <c r="AC3483" s="4">
        <v>1</v>
      </c>
      <c r="AD3483" s="4">
        <v>17</v>
      </c>
      <c r="AE3483" s="4">
        <v>17</v>
      </c>
      <c r="AF3483" s="4">
        <v>0</v>
      </c>
      <c r="AG3483" s="4">
        <v>0</v>
      </c>
      <c r="AH3483" s="4">
        <v>16</v>
      </c>
      <c r="AI3483" s="4">
        <v>16</v>
      </c>
      <c r="AJ3483" s="4">
        <v>1</v>
      </c>
      <c r="AK3483" s="4">
        <v>1</v>
      </c>
      <c r="AL3483" s="4">
        <v>14</v>
      </c>
      <c r="AM3483" s="4">
        <v>14</v>
      </c>
      <c r="AN3483" s="4">
        <v>0</v>
      </c>
      <c r="AO3483" s="4">
        <v>0</v>
      </c>
      <c r="AP3483" s="4">
        <v>1</v>
      </c>
      <c r="AQ3483" s="4">
        <v>1</v>
      </c>
      <c r="AR3483" s="3" t="s">
        <v>64</v>
      </c>
      <c r="AS3483" s="3" t="s">
        <v>64</v>
      </c>
      <c r="AT3483" s="3" t="s">
        <v>64</v>
      </c>
      <c r="AU3483" s="6" t="str">
        <f>HYPERLINK("http://catalog.hathitrust.org/Record/001165267","HathiTrust Record")</f>
        <v>HathiTrust Record</v>
      </c>
      <c r="AV3483" s="6" t="str">
        <f>HYPERLINK("http://mcgill.on.worldcat.org/oclc/11856670","Catalog Record")</f>
        <v>Catalog Record</v>
      </c>
      <c r="AW3483" s="6" t="str">
        <f>HYPERLINK("http://www.worldcat.org/oclc/11856670","WorldCat Record")</f>
        <v>WorldCat Record</v>
      </c>
      <c r="AX3483" s="3" t="s">
        <v>34822</v>
      </c>
      <c r="AY3483" s="3" t="s">
        <v>34823</v>
      </c>
      <c r="AZ3483" s="3" t="s">
        <v>34824</v>
      </c>
      <c r="BA3483" s="3" t="s">
        <v>34824</v>
      </c>
      <c r="BB3483" s="3" t="s">
        <v>34825</v>
      </c>
      <c r="BC3483" s="3" t="s">
        <v>77</v>
      </c>
      <c r="BD3483" s="3" t="s">
        <v>78</v>
      </c>
      <c r="BF3483" s="3" t="s">
        <v>34825</v>
      </c>
      <c r="BG3483" s="3" t="s">
        <v>34826</v>
      </c>
      <c r="BH3483">
        <f t="shared" si="81"/>
        <v>0</v>
      </c>
    </row>
    <row r="3484" spans="1:60" ht="58" x14ac:dyDescent="0.35">
      <c r="A3484" s="2" t="s">
        <v>59</v>
      </c>
      <c r="B3484" s="2" t="s">
        <v>60</v>
      </c>
      <c r="C3484" s="2" t="s">
        <v>34827</v>
      </c>
      <c r="D3484" s="2" t="s">
        <v>34828</v>
      </c>
      <c r="E3484" s="2" t="s">
        <v>34829</v>
      </c>
      <c r="G3484" s="3" t="s">
        <v>64</v>
      </c>
      <c r="I3484" s="3" t="s">
        <v>64</v>
      </c>
      <c r="J3484" s="3" t="s">
        <v>64</v>
      </c>
      <c r="K3484" s="3" t="s">
        <v>183</v>
      </c>
      <c r="L3484" s="2" t="s">
        <v>34830</v>
      </c>
      <c r="M3484" s="2" t="s">
        <v>34831</v>
      </c>
      <c r="N3484" s="3" t="s">
        <v>34832</v>
      </c>
      <c r="P3484" s="3" t="s">
        <v>102</v>
      </c>
      <c r="R3484" s="3" t="s">
        <v>70</v>
      </c>
      <c r="S3484" s="4">
        <v>2</v>
      </c>
      <c r="T3484" s="4">
        <v>2</v>
      </c>
      <c r="U3484" s="5" t="s">
        <v>5158</v>
      </c>
      <c r="V3484" s="5" t="s">
        <v>5158</v>
      </c>
      <c r="W3484" s="5" t="s">
        <v>72</v>
      </c>
      <c r="X3484" s="5" t="s">
        <v>72</v>
      </c>
      <c r="Y3484" s="4">
        <v>48</v>
      </c>
      <c r="Z3484" s="4">
        <v>2</v>
      </c>
      <c r="AA3484" s="4">
        <v>2</v>
      </c>
      <c r="AB3484" s="4">
        <v>1</v>
      </c>
      <c r="AC3484" s="4">
        <v>1</v>
      </c>
      <c r="AD3484" s="4">
        <v>21</v>
      </c>
      <c r="AE3484" s="4">
        <v>26</v>
      </c>
      <c r="AF3484" s="4">
        <v>0</v>
      </c>
      <c r="AG3484" s="4">
        <v>0</v>
      </c>
      <c r="AH3484" s="4">
        <v>17</v>
      </c>
      <c r="AI3484" s="4">
        <v>22</v>
      </c>
      <c r="AJ3484" s="4">
        <v>1</v>
      </c>
      <c r="AK3484" s="4">
        <v>1</v>
      </c>
      <c r="AL3484" s="4">
        <v>15</v>
      </c>
      <c r="AM3484" s="4">
        <v>17</v>
      </c>
      <c r="AN3484" s="4">
        <v>0</v>
      </c>
      <c r="AO3484" s="4">
        <v>1</v>
      </c>
      <c r="AP3484" s="4">
        <v>1</v>
      </c>
      <c r="AQ3484" s="4">
        <v>1</v>
      </c>
      <c r="AR3484" s="3" t="s">
        <v>64</v>
      </c>
      <c r="AS3484" s="3" t="s">
        <v>128</v>
      </c>
      <c r="AT3484" s="3" t="s">
        <v>64</v>
      </c>
      <c r="AU3484" s="6" t="str">
        <f>HYPERLINK("http://catalog.hathitrust.org/Record/001165262","HathiTrust Record")</f>
        <v>HathiTrust Record</v>
      </c>
      <c r="AV3484" s="6" t="str">
        <f>HYPERLINK("http://mcgill.on.worldcat.org/oclc/3782622","Catalog Record")</f>
        <v>Catalog Record</v>
      </c>
      <c r="AW3484" s="6" t="str">
        <f>HYPERLINK("http://www.worldcat.org/oclc/3782622","WorldCat Record")</f>
        <v>WorldCat Record</v>
      </c>
      <c r="AX3484" s="3" t="s">
        <v>34833</v>
      </c>
      <c r="AY3484" s="3" t="s">
        <v>34834</v>
      </c>
      <c r="AZ3484" s="3" t="s">
        <v>34835</v>
      </c>
      <c r="BA3484" s="3" t="s">
        <v>34835</v>
      </c>
      <c r="BB3484" s="3" t="s">
        <v>34836</v>
      </c>
      <c r="BC3484" s="3" t="s">
        <v>77</v>
      </c>
      <c r="BD3484" s="3" t="s">
        <v>78</v>
      </c>
      <c r="BF3484" s="3" t="s">
        <v>34836</v>
      </c>
      <c r="BG3484" s="3" t="s">
        <v>34837</v>
      </c>
      <c r="BH3484">
        <f t="shared" si="81"/>
        <v>0</v>
      </c>
    </row>
    <row r="3485" spans="1:60" ht="58" x14ac:dyDescent="0.35">
      <c r="A3485" s="2" t="s">
        <v>59</v>
      </c>
      <c r="B3485" s="2" t="s">
        <v>60</v>
      </c>
      <c r="C3485" s="2" t="s">
        <v>34838</v>
      </c>
      <c r="D3485" s="2" t="s">
        <v>34839</v>
      </c>
      <c r="E3485" s="2" t="s">
        <v>34840</v>
      </c>
      <c r="G3485" s="3" t="s">
        <v>64</v>
      </c>
      <c r="I3485" s="3" t="s">
        <v>64</v>
      </c>
      <c r="J3485" s="3" t="s">
        <v>64</v>
      </c>
      <c r="K3485" s="3" t="s">
        <v>65</v>
      </c>
      <c r="L3485" s="2" t="s">
        <v>34841</v>
      </c>
      <c r="M3485" s="2" t="s">
        <v>34842</v>
      </c>
      <c r="N3485" s="3" t="s">
        <v>1004</v>
      </c>
      <c r="P3485" s="3" t="s">
        <v>102</v>
      </c>
      <c r="Q3485" s="2" t="s">
        <v>34843</v>
      </c>
      <c r="R3485" s="3" t="s">
        <v>70</v>
      </c>
      <c r="S3485" s="4">
        <v>8</v>
      </c>
      <c r="T3485" s="4">
        <v>8</v>
      </c>
      <c r="U3485" s="5" t="s">
        <v>5158</v>
      </c>
      <c r="V3485" s="5" t="s">
        <v>5158</v>
      </c>
      <c r="W3485" s="5" t="s">
        <v>72</v>
      </c>
      <c r="X3485" s="5" t="s">
        <v>72</v>
      </c>
      <c r="Y3485" s="4">
        <v>332</v>
      </c>
      <c r="Z3485" s="4">
        <v>22</v>
      </c>
      <c r="AA3485" s="4">
        <v>28</v>
      </c>
      <c r="AB3485" s="4">
        <v>3</v>
      </c>
      <c r="AC3485" s="4">
        <v>4</v>
      </c>
      <c r="AD3485" s="4">
        <v>109</v>
      </c>
      <c r="AE3485" s="4">
        <v>112</v>
      </c>
      <c r="AF3485" s="4">
        <v>1</v>
      </c>
      <c r="AG3485" s="4">
        <v>2</v>
      </c>
      <c r="AH3485" s="4">
        <v>94</v>
      </c>
      <c r="AI3485" s="4">
        <v>95</v>
      </c>
      <c r="AJ3485" s="4">
        <v>14</v>
      </c>
      <c r="AK3485" s="4">
        <v>17</v>
      </c>
      <c r="AL3485" s="4">
        <v>51</v>
      </c>
      <c r="AM3485" s="4">
        <v>52</v>
      </c>
      <c r="AN3485" s="4">
        <v>0</v>
      </c>
      <c r="AO3485" s="4">
        <v>0</v>
      </c>
      <c r="AP3485" s="4">
        <v>18</v>
      </c>
      <c r="AQ3485" s="4">
        <v>20</v>
      </c>
      <c r="AR3485" s="3" t="s">
        <v>64</v>
      </c>
      <c r="AS3485" s="3" t="s">
        <v>64</v>
      </c>
      <c r="AT3485" s="3" t="s">
        <v>128</v>
      </c>
      <c r="AU3485" s="6" t="str">
        <f>HYPERLINK("http://catalog.hathitrust.org/Record/000119350","HathiTrust Record")</f>
        <v>HathiTrust Record</v>
      </c>
      <c r="AV3485" s="6" t="str">
        <f>HYPERLINK("http://mcgill.on.worldcat.org/oclc/9393112","Catalog Record")</f>
        <v>Catalog Record</v>
      </c>
      <c r="AW3485" s="6" t="str">
        <f>HYPERLINK("http://www.worldcat.org/oclc/9393112","WorldCat Record")</f>
        <v>WorldCat Record</v>
      </c>
      <c r="AX3485" s="3" t="s">
        <v>34844</v>
      </c>
      <c r="AY3485" s="3" t="s">
        <v>34845</v>
      </c>
      <c r="AZ3485" s="3" t="s">
        <v>34846</v>
      </c>
      <c r="BA3485" s="3" t="s">
        <v>34846</v>
      </c>
      <c r="BB3485" s="3" t="s">
        <v>34847</v>
      </c>
      <c r="BC3485" s="3" t="s">
        <v>77</v>
      </c>
      <c r="BD3485" s="3" t="s">
        <v>165</v>
      </c>
      <c r="BE3485" s="3" t="s">
        <v>34848</v>
      </c>
      <c r="BF3485" s="3" t="s">
        <v>34847</v>
      </c>
      <c r="BG3485" s="3" t="s">
        <v>34849</v>
      </c>
      <c r="BH3485">
        <f t="shared" si="81"/>
        <v>0</v>
      </c>
    </row>
    <row r="3486" spans="1:60" ht="58" x14ac:dyDescent="0.35">
      <c r="A3486" s="2" t="s">
        <v>59</v>
      </c>
      <c r="B3486" s="2" t="s">
        <v>60</v>
      </c>
      <c r="C3486" s="2" t="s">
        <v>34850</v>
      </c>
      <c r="D3486" s="2" t="s">
        <v>34851</v>
      </c>
      <c r="E3486" s="2" t="s">
        <v>34852</v>
      </c>
      <c r="G3486" s="3" t="s">
        <v>64</v>
      </c>
      <c r="I3486" s="3" t="s">
        <v>128</v>
      </c>
      <c r="J3486" s="3" t="s">
        <v>64</v>
      </c>
      <c r="K3486" s="3" t="s">
        <v>65</v>
      </c>
      <c r="L3486" s="2" t="s">
        <v>34853</v>
      </c>
      <c r="M3486" s="2" t="s">
        <v>34854</v>
      </c>
      <c r="N3486" s="3" t="s">
        <v>253</v>
      </c>
      <c r="P3486" s="3" t="s">
        <v>102</v>
      </c>
      <c r="R3486" s="3" t="s">
        <v>70</v>
      </c>
      <c r="S3486" s="4">
        <v>0</v>
      </c>
      <c r="T3486" s="4">
        <v>0</v>
      </c>
      <c r="W3486" s="5" t="s">
        <v>72</v>
      </c>
      <c r="X3486" s="5" t="s">
        <v>72</v>
      </c>
      <c r="Y3486" s="4">
        <v>66</v>
      </c>
      <c r="Z3486" s="4">
        <v>7</v>
      </c>
      <c r="AA3486" s="4">
        <v>7</v>
      </c>
      <c r="AB3486" s="4">
        <v>1</v>
      </c>
      <c r="AC3486" s="4">
        <v>1</v>
      </c>
      <c r="AD3486" s="4">
        <v>31</v>
      </c>
      <c r="AE3486" s="4">
        <v>31</v>
      </c>
      <c r="AF3486" s="4">
        <v>0</v>
      </c>
      <c r="AG3486" s="4">
        <v>0</v>
      </c>
      <c r="AH3486" s="4">
        <v>29</v>
      </c>
      <c r="AI3486" s="4">
        <v>29</v>
      </c>
      <c r="AJ3486" s="4">
        <v>4</v>
      </c>
      <c r="AK3486" s="4">
        <v>4</v>
      </c>
      <c r="AL3486" s="4">
        <v>21</v>
      </c>
      <c r="AM3486" s="4">
        <v>21</v>
      </c>
      <c r="AN3486" s="4">
        <v>0</v>
      </c>
      <c r="AO3486" s="4">
        <v>0</v>
      </c>
      <c r="AP3486" s="4">
        <v>4</v>
      </c>
      <c r="AQ3486" s="4">
        <v>4</v>
      </c>
      <c r="AR3486" s="3" t="s">
        <v>64</v>
      </c>
      <c r="AS3486" s="3" t="s">
        <v>64</v>
      </c>
      <c r="AT3486" s="3" t="s">
        <v>64</v>
      </c>
      <c r="AV3486" s="6" t="str">
        <f>HYPERLINK("http://mcgill.on.worldcat.org/oclc/907094360","Catalog Record")</f>
        <v>Catalog Record</v>
      </c>
      <c r="AW3486" s="6" t="str">
        <f>HYPERLINK("http://www.worldcat.org/oclc/907094360","WorldCat Record")</f>
        <v>WorldCat Record</v>
      </c>
      <c r="AX3486" s="3" t="s">
        <v>34855</v>
      </c>
      <c r="AY3486" s="3" t="s">
        <v>34856</v>
      </c>
      <c r="AZ3486" s="3" t="s">
        <v>34857</v>
      </c>
      <c r="BA3486" s="3" t="s">
        <v>34857</v>
      </c>
      <c r="BB3486" s="3" t="s">
        <v>34858</v>
      </c>
      <c r="BC3486" s="3" t="s">
        <v>77</v>
      </c>
      <c r="BD3486" s="3" t="s">
        <v>78</v>
      </c>
      <c r="BE3486" s="3" t="s">
        <v>34859</v>
      </c>
      <c r="BF3486" s="3" t="s">
        <v>34858</v>
      </c>
      <c r="BG3486" s="3" t="s">
        <v>34860</v>
      </c>
      <c r="BH3486">
        <f t="shared" si="81"/>
        <v>0</v>
      </c>
    </row>
    <row r="3487" spans="1:60" ht="58" x14ac:dyDescent="0.35">
      <c r="A3487" s="2" t="s">
        <v>59</v>
      </c>
      <c r="B3487" s="2" t="s">
        <v>60</v>
      </c>
      <c r="C3487" s="2" t="s">
        <v>34850</v>
      </c>
      <c r="D3487" s="2" t="s">
        <v>34851</v>
      </c>
      <c r="E3487" s="2" t="s">
        <v>34852</v>
      </c>
      <c r="G3487" s="3" t="s">
        <v>64</v>
      </c>
      <c r="I3487" s="3" t="s">
        <v>128</v>
      </c>
      <c r="J3487" s="3" t="s">
        <v>64</v>
      </c>
      <c r="K3487" s="3" t="s">
        <v>65</v>
      </c>
      <c r="L3487" s="2" t="s">
        <v>34853</v>
      </c>
      <c r="M3487" s="2" t="s">
        <v>34854</v>
      </c>
      <c r="N3487" s="3" t="s">
        <v>253</v>
      </c>
      <c r="P3487" s="3" t="s">
        <v>102</v>
      </c>
      <c r="R3487" s="3" t="s">
        <v>70</v>
      </c>
      <c r="S3487" s="4">
        <v>0</v>
      </c>
      <c r="T3487" s="4">
        <v>0</v>
      </c>
      <c r="W3487" s="5" t="s">
        <v>72</v>
      </c>
      <c r="X3487" s="5" t="s">
        <v>72</v>
      </c>
      <c r="Y3487" s="4">
        <v>66</v>
      </c>
      <c r="Z3487" s="4">
        <v>7</v>
      </c>
      <c r="AA3487" s="4">
        <v>7</v>
      </c>
      <c r="AB3487" s="4">
        <v>1</v>
      </c>
      <c r="AC3487" s="4">
        <v>1</v>
      </c>
      <c r="AD3487" s="4">
        <v>31</v>
      </c>
      <c r="AE3487" s="4">
        <v>31</v>
      </c>
      <c r="AF3487" s="4">
        <v>0</v>
      </c>
      <c r="AG3487" s="4">
        <v>0</v>
      </c>
      <c r="AH3487" s="4">
        <v>29</v>
      </c>
      <c r="AI3487" s="4">
        <v>29</v>
      </c>
      <c r="AJ3487" s="4">
        <v>4</v>
      </c>
      <c r="AK3487" s="4">
        <v>4</v>
      </c>
      <c r="AL3487" s="4">
        <v>21</v>
      </c>
      <c r="AM3487" s="4">
        <v>21</v>
      </c>
      <c r="AN3487" s="4">
        <v>0</v>
      </c>
      <c r="AO3487" s="4">
        <v>0</v>
      </c>
      <c r="AP3487" s="4">
        <v>4</v>
      </c>
      <c r="AQ3487" s="4">
        <v>4</v>
      </c>
      <c r="AR3487" s="3" t="s">
        <v>64</v>
      </c>
      <c r="AS3487" s="3" t="s">
        <v>64</v>
      </c>
      <c r="AT3487" s="3" t="s">
        <v>64</v>
      </c>
      <c r="AV3487" s="6" t="str">
        <f>HYPERLINK("http://mcgill.on.worldcat.org/oclc/907094360","Catalog Record")</f>
        <v>Catalog Record</v>
      </c>
      <c r="AW3487" s="6" t="str">
        <f>HYPERLINK("http://www.worldcat.org/oclc/907094360","WorldCat Record")</f>
        <v>WorldCat Record</v>
      </c>
      <c r="AX3487" s="3" t="s">
        <v>34855</v>
      </c>
      <c r="AY3487" s="3" t="s">
        <v>34856</v>
      </c>
      <c r="AZ3487" s="3" t="s">
        <v>34857</v>
      </c>
      <c r="BA3487" s="3" t="s">
        <v>34857</v>
      </c>
      <c r="BB3487" s="3" t="s">
        <v>34861</v>
      </c>
      <c r="BC3487" s="3" t="s">
        <v>77</v>
      </c>
      <c r="BD3487" s="3" t="s">
        <v>78</v>
      </c>
      <c r="BE3487" s="3" t="s">
        <v>34859</v>
      </c>
      <c r="BF3487" s="3" t="s">
        <v>34861</v>
      </c>
      <c r="BG3487" s="3" t="s">
        <v>34862</v>
      </c>
      <c r="BH3487">
        <f t="shared" si="81"/>
        <v>0</v>
      </c>
    </row>
    <row r="3488" spans="1:60" ht="72.5" x14ac:dyDescent="0.35">
      <c r="A3488" s="2" t="s">
        <v>59</v>
      </c>
      <c r="B3488" s="2" t="s">
        <v>60</v>
      </c>
      <c r="C3488" s="2" t="s">
        <v>34863</v>
      </c>
      <c r="D3488" s="2" t="s">
        <v>34864</v>
      </c>
      <c r="E3488" s="2" t="s">
        <v>34865</v>
      </c>
      <c r="G3488" s="3" t="s">
        <v>64</v>
      </c>
      <c r="I3488" s="3" t="s">
        <v>64</v>
      </c>
      <c r="J3488" s="3" t="s">
        <v>64</v>
      </c>
      <c r="K3488" s="3" t="s">
        <v>65</v>
      </c>
      <c r="L3488" s="2" t="s">
        <v>34866</v>
      </c>
      <c r="M3488" s="2" t="s">
        <v>34867</v>
      </c>
      <c r="N3488" s="3" t="s">
        <v>1075</v>
      </c>
      <c r="P3488" s="3" t="s">
        <v>102</v>
      </c>
      <c r="R3488" s="3" t="s">
        <v>70</v>
      </c>
      <c r="S3488" s="4">
        <v>0</v>
      </c>
      <c r="T3488" s="4">
        <v>0</v>
      </c>
      <c r="W3488" s="5" t="s">
        <v>72</v>
      </c>
      <c r="X3488" s="5" t="s">
        <v>72</v>
      </c>
      <c r="Y3488" s="4">
        <v>28</v>
      </c>
      <c r="Z3488" s="4">
        <v>1</v>
      </c>
      <c r="AA3488" s="4">
        <v>1</v>
      </c>
      <c r="AB3488" s="4">
        <v>1</v>
      </c>
      <c r="AC3488" s="4">
        <v>1</v>
      </c>
      <c r="AD3488" s="4">
        <v>6</v>
      </c>
      <c r="AE3488" s="4">
        <v>6</v>
      </c>
      <c r="AF3488" s="4">
        <v>0</v>
      </c>
      <c r="AG3488" s="4">
        <v>0</v>
      </c>
      <c r="AH3488" s="4">
        <v>5</v>
      </c>
      <c r="AI3488" s="4">
        <v>5</v>
      </c>
      <c r="AJ3488" s="4">
        <v>0</v>
      </c>
      <c r="AK3488" s="4">
        <v>0</v>
      </c>
      <c r="AL3488" s="4">
        <v>5</v>
      </c>
      <c r="AM3488" s="4">
        <v>5</v>
      </c>
      <c r="AN3488" s="4">
        <v>0</v>
      </c>
      <c r="AO3488" s="4">
        <v>0</v>
      </c>
      <c r="AP3488" s="4">
        <v>0</v>
      </c>
      <c r="AQ3488" s="4">
        <v>0</v>
      </c>
      <c r="AR3488" s="3" t="s">
        <v>64</v>
      </c>
      <c r="AS3488" s="3" t="s">
        <v>64</v>
      </c>
      <c r="AT3488" s="3" t="s">
        <v>64</v>
      </c>
      <c r="AV3488" s="6" t="str">
        <f>HYPERLINK("http://mcgill.on.worldcat.org/oclc/880192533","Catalog Record")</f>
        <v>Catalog Record</v>
      </c>
      <c r="AW3488" s="6" t="str">
        <f>HYPERLINK("http://www.worldcat.org/oclc/880192533","WorldCat Record")</f>
        <v>WorldCat Record</v>
      </c>
      <c r="AX3488" s="3" t="s">
        <v>34868</v>
      </c>
      <c r="AY3488" s="3" t="s">
        <v>34869</v>
      </c>
      <c r="AZ3488" s="3" t="s">
        <v>34870</v>
      </c>
      <c r="BA3488" s="3" t="s">
        <v>34870</v>
      </c>
      <c r="BB3488" s="3" t="s">
        <v>34871</v>
      </c>
      <c r="BC3488" s="3" t="s">
        <v>77</v>
      </c>
      <c r="BD3488" s="3" t="s">
        <v>78</v>
      </c>
      <c r="BE3488" s="3" t="s">
        <v>34872</v>
      </c>
      <c r="BF3488" s="3" t="s">
        <v>34871</v>
      </c>
      <c r="BG3488" s="3" t="s">
        <v>34873</v>
      </c>
      <c r="BH3488">
        <f t="shared" si="81"/>
        <v>0</v>
      </c>
    </row>
    <row r="3489" spans="1:60" ht="72.5" x14ac:dyDescent="0.35">
      <c r="A3489" s="2" t="s">
        <v>59</v>
      </c>
      <c r="B3489" s="2" t="s">
        <v>60</v>
      </c>
      <c r="C3489" s="2" t="s">
        <v>34874</v>
      </c>
      <c r="D3489" s="2" t="s">
        <v>34875</v>
      </c>
      <c r="E3489" s="2" t="s">
        <v>34876</v>
      </c>
      <c r="G3489" s="3" t="s">
        <v>64</v>
      </c>
      <c r="I3489" s="3" t="s">
        <v>64</v>
      </c>
      <c r="J3489" s="3" t="s">
        <v>64</v>
      </c>
      <c r="K3489" s="3" t="s">
        <v>65</v>
      </c>
      <c r="M3489" s="2" t="s">
        <v>34877</v>
      </c>
      <c r="N3489" s="3" t="s">
        <v>86</v>
      </c>
      <c r="P3489" s="3" t="s">
        <v>102</v>
      </c>
      <c r="R3489" s="3" t="s">
        <v>70</v>
      </c>
      <c r="S3489" s="4">
        <v>1</v>
      </c>
      <c r="T3489" s="4">
        <v>1</v>
      </c>
      <c r="U3489" s="5" t="s">
        <v>34878</v>
      </c>
      <c r="V3489" s="5" t="s">
        <v>34878</v>
      </c>
      <c r="W3489" s="5" t="s">
        <v>72</v>
      </c>
      <c r="X3489" s="5" t="s">
        <v>72</v>
      </c>
      <c r="Y3489" s="4">
        <v>61</v>
      </c>
      <c r="Z3489" s="4">
        <v>1</v>
      </c>
      <c r="AA3489" s="4">
        <v>1</v>
      </c>
      <c r="AB3489" s="4">
        <v>1</v>
      </c>
      <c r="AC3489" s="4">
        <v>1</v>
      </c>
      <c r="AD3489" s="4">
        <v>12</v>
      </c>
      <c r="AE3489" s="4">
        <v>12</v>
      </c>
      <c r="AF3489" s="4">
        <v>0</v>
      </c>
      <c r="AG3489" s="4">
        <v>0</v>
      </c>
      <c r="AH3489" s="4">
        <v>11</v>
      </c>
      <c r="AI3489" s="4">
        <v>11</v>
      </c>
      <c r="AJ3489" s="4">
        <v>0</v>
      </c>
      <c r="AK3489" s="4">
        <v>0</v>
      </c>
      <c r="AL3489" s="4">
        <v>7</v>
      </c>
      <c r="AM3489" s="4">
        <v>7</v>
      </c>
      <c r="AN3489" s="4">
        <v>0</v>
      </c>
      <c r="AO3489" s="4">
        <v>0</v>
      </c>
      <c r="AP3489" s="4">
        <v>0</v>
      </c>
      <c r="AQ3489" s="4">
        <v>0</v>
      </c>
      <c r="AR3489" s="3" t="s">
        <v>64</v>
      </c>
      <c r="AS3489" s="3" t="s">
        <v>64</v>
      </c>
      <c r="AT3489" s="3" t="s">
        <v>64</v>
      </c>
      <c r="AV3489" s="6" t="str">
        <f>HYPERLINK("http://mcgill.on.worldcat.org/oclc/788263090","Catalog Record")</f>
        <v>Catalog Record</v>
      </c>
      <c r="AW3489" s="6" t="str">
        <f>HYPERLINK("http://www.worldcat.org/oclc/788263090","WorldCat Record")</f>
        <v>WorldCat Record</v>
      </c>
      <c r="AX3489" s="3" t="s">
        <v>34879</v>
      </c>
      <c r="AY3489" s="3" t="s">
        <v>34880</v>
      </c>
      <c r="AZ3489" s="3" t="s">
        <v>34881</v>
      </c>
      <c r="BA3489" s="3" t="s">
        <v>34881</v>
      </c>
      <c r="BB3489" s="3" t="s">
        <v>34882</v>
      </c>
      <c r="BC3489" s="3" t="s">
        <v>77</v>
      </c>
      <c r="BD3489" s="3" t="s">
        <v>78</v>
      </c>
      <c r="BE3489" s="3" t="s">
        <v>34883</v>
      </c>
      <c r="BF3489" s="3" t="s">
        <v>34882</v>
      </c>
      <c r="BG3489" s="3" t="s">
        <v>34884</v>
      </c>
      <c r="BH3489">
        <f t="shared" si="81"/>
        <v>0</v>
      </c>
    </row>
    <row r="3490" spans="1:60" ht="58" x14ac:dyDescent="0.35">
      <c r="A3490" s="2" t="s">
        <v>59</v>
      </c>
      <c r="B3490" s="2" t="s">
        <v>60</v>
      </c>
      <c r="C3490" s="2" t="s">
        <v>34885</v>
      </c>
      <c r="D3490" s="2" t="s">
        <v>34886</v>
      </c>
      <c r="E3490" s="2" t="s">
        <v>34887</v>
      </c>
      <c r="G3490" s="3" t="s">
        <v>64</v>
      </c>
      <c r="I3490" s="3" t="s">
        <v>64</v>
      </c>
      <c r="J3490" s="3" t="s">
        <v>64</v>
      </c>
      <c r="K3490" s="3" t="s">
        <v>65</v>
      </c>
      <c r="M3490" s="2" t="s">
        <v>34888</v>
      </c>
      <c r="N3490" s="3" t="s">
        <v>253</v>
      </c>
      <c r="P3490" s="3" t="s">
        <v>102</v>
      </c>
      <c r="Q3490" s="2" t="s">
        <v>34889</v>
      </c>
      <c r="R3490" s="3" t="s">
        <v>70</v>
      </c>
      <c r="S3490" s="4">
        <v>0</v>
      </c>
      <c r="T3490" s="4">
        <v>0</v>
      </c>
      <c r="W3490" s="5" t="s">
        <v>72</v>
      </c>
      <c r="X3490" s="5" t="s">
        <v>72</v>
      </c>
      <c r="Y3490" s="4">
        <v>72</v>
      </c>
      <c r="Z3490" s="4">
        <v>8</v>
      </c>
      <c r="AA3490" s="4">
        <v>10</v>
      </c>
      <c r="AB3490" s="4">
        <v>1</v>
      </c>
      <c r="AC3490" s="4">
        <v>3</v>
      </c>
      <c r="AD3490" s="4">
        <v>32</v>
      </c>
      <c r="AE3490" s="4">
        <v>33</v>
      </c>
      <c r="AF3490" s="4">
        <v>0</v>
      </c>
      <c r="AG3490" s="4">
        <v>1</v>
      </c>
      <c r="AH3490" s="4">
        <v>31</v>
      </c>
      <c r="AI3490" s="4">
        <v>31</v>
      </c>
      <c r="AJ3490" s="4">
        <v>3</v>
      </c>
      <c r="AK3490" s="4">
        <v>4</v>
      </c>
      <c r="AL3490" s="4">
        <v>22</v>
      </c>
      <c r="AM3490" s="4">
        <v>22</v>
      </c>
      <c r="AN3490" s="4">
        <v>0</v>
      </c>
      <c r="AO3490" s="4">
        <v>0</v>
      </c>
      <c r="AP3490" s="4">
        <v>3</v>
      </c>
      <c r="AQ3490" s="4">
        <v>3</v>
      </c>
      <c r="AR3490" s="3" t="s">
        <v>64</v>
      </c>
      <c r="AS3490" s="3" t="s">
        <v>64</v>
      </c>
      <c r="AT3490" s="3" t="s">
        <v>64</v>
      </c>
      <c r="AV3490" s="6" t="str">
        <f>HYPERLINK("http://mcgill.on.worldcat.org/oclc/920541312","Catalog Record")</f>
        <v>Catalog Record</v>
      </c>
      <c r="AW3490" s="6" t="str">
        <f>HYPERLINK("http://www.worldcat.org/oclc/920541312","WorldCat Record")</f>
        <v>WorldCat Record</v>
      </c>
      <c r="AX3490" s="3" t="s">
        <v>34890</v>
      </c>
      <c r="AY3490" s="3" t="s">
        <v>34891</v>
      </c>
      <c r="AZ3490" s="3" t="s">
        <v>34892</v>
      </c>
      <c r="BA3490" s="3" t="s">
        <v>34892</v>
      </c>
      <c r="BB3490" s="3" t="s">
        <v>34893</v>
      </c>
      <c r="BC3490" s="3" t="s">
        <v>77</v>
      </c>
      <c r="BD3490" s="3" t="s">
        <v>78</v>
      </c>
      <c r="BE3490" s="3" t="s">
        <v>34894</v>
      </c>
      <c r="BF3490" s="3" t="s">
        <v>34893</v>
      </c>
      <c r="BG3490" s="3" t="s">
        <v>34895</v>
      </c>
      <c r="BH3490">
        <f t="shared" si="81"/>
        <v>0</v>
      </c>
    </row>
    <row r="3491" spans="1:60" ht="58" x14ac:dyDescent="0.35">
      <c r="A3491" s="2" t="s">
        <v>59</v>
      </c>
      <c r="B3491" s="2" t="s">
        <v>60</v>
      </c>
      <c r="C3491" s="2" t="s">
        <v>34896</v>
      </c>
      <c r="D3491" s="2" t="s">
        <v>34897</v>
      </c>
      <c r="E3491" s="2" t="s">
        <v>34898</v>
      </c>
      <c r="G3491" s="3" t="s">
        <v>64</v>
      </c>
      <c r="H3491" s="3" t="s">
        <v>183</v>
      </c>
      <c r="I3491" s="3" t="s">
        <v>64</v>
      </c>
      <c r="J3491" s="3" t="s">
        <v>64</v>
      </c>
      <c r="K3491" s="3" t="s">
        <v>65</v>
      </c>
      <c r="L3491" s="2" t="s">
        <v>34899</v>
      </c>
      <c r="M3491" s="2" t="s">
        <v>34900</v>
      </c>
      <c r="N3491" s="3" t="s">
        <v>190</v>
      </c>
      <c r="P3491" s="3" t="s">
        <v>102</v>
      </c>
      <c r="R3491" s="3" t="s">
        <v>70</v>
      </c>
      <c r="S3491" s="4">
        <v>0</v>
      </c>
      <c r="T3491" s="4">
        <v>0</v>
      </c>
      <c r="W3491" s="5" t="s">
        <v>826</v>
      </c>
      <c r="X3491" s="5" t="s">
        <v>826</v>
      </c>
      <c r="Y3491" s="4">
        <v>45</v>
      </c>
      <c r="Z3491" s="4">
        <v>3</v>
      </c>
      <c r="AA3491" s="4">
        <v>9</v>
      </c>
      <c r="AB3491" s="4">
        <v>1</v>
      </c>
      <c r="AC3491" s="4">
        <v>4</v>
      </c>
      <c r="AD3491" s="4">
        <v>24</v>
      </c>
      <c r="AE3491" s="4">
        <v>32</v>
      </c>
      <c r="AF3491" s="4">
        <v>0</v>
      </c>
      <c r="AG3491" s="4">
        <v>1</v>
      </c>
      <c r="AH3491" s="4">
        <v>22</v>
      </c>
      <c r="AI3491" s="4">
        <v>27</v>
      </c>
      <c r="AJ3491" s="4">
        <v>1</v>
      </c>
      <c r="AK3491" s="4">
        <v>4</v>
      </c>
      <c r="AL3491" s="4">
        <v>16</v>
      </c>
      <c r="AM3491" s="4">
        <v>18</v>
      </c>
      <c r="AN3491" s="4">
        <v>0</v>
      </c>
      <c r="AO3491" s="4">
        <v>0</v>
      </c>
      <c r="AP3491" s="4">
        <v>2</v>
      </c>
      <c r="AQ3491" s="4">
        <v>6</v>
      </c>
      <c r="AR3491" s="3" t="s">
        <v>64</v>
      </c>
      <c r="AS3491" s="3" t="s">
        <v>64</v>
      </c>
      <c r="AT3491" s="3" t="s">
        <v>64</v>
      </c>
      <c r="AV3491" s="6" t="str">
        <f>HYPERLINK("http://mcgill.on.worldcat.org/oclc/1019632575","Catalog Record")</f>
        <v>Catalog Record</v>
      </c>
      <c r="AW3491" s="6" t="str">
        <f>HYPERLINK("http://www.worldcat.org/oclc/1019632575","WorldCat Record")</f>
        <v>WorldCat Record</v>
      </c>
      <c r="AX3491" s="3" t="s">
        <v>34901</v>
      </c>
      <c r="AY3491" s="3" t="s">
        <v>34902</v>
      </c>
      <c r="AZ3491" s="3" t="s">
        <v>34903</v>
      </c>
      <c r="BA3491" s="3" t="s">
        <v>34903</v>
      </c>
      <c r="BB3491" s="3" t="s">
        <v>34904</v>
      </c>
      <c r="BC3491" s="3" t="s">
        <v>77</v>
      </c>
      <c r="BD3491" s="3" t="s">
        <v>78</v>
      </c>
      <c r="BE3491" s="3" t="s">
        <v>34905</v>
      </c>
      <c r="BF3491" s="3" t="s">
        <v>34904</v>
      </c>
      <c r="BG3491" s="3" t="s">
        <v>34906</v>
      </c>
      <c r="BH3491">
        <f t="shared" si="81"/>
        <v>0</v>
      </c>
    </row>
    <row r="3492" spans="1:60" ht="58" x14ac:dyDescent="0.35">
      <c r="A3492" s="2" t="s">
        <v>59</v>
      </c>
      <c r="B3492" s="2" t="s">
        <v>60</v>
      </c>
      <c r="C3492" s="2" t="s">
        <v>34907</v>
      </c>
      <c r="D3492" s="2" t="s">
        <v>34908</v>
      </c>
      <c r="E3492" s="2" t="s">
        <v>34909</v>
      </c>
      <c r="G3492" s="3" t="s">
        <v>64</v>
      </c>
      <c r="I3492" s="3" t="s">
        <v>64</v>
      </c>
      <c r="J3492" s="3" t="s">
        <v>64</v>
      </c>
      <c r="K3492" s="3" t="s">
        <v>65</v>
      </c>
      <c r="M3492" s="2" t="s">
        <v>34910</v>
      </c>
      <c r="N3492" s="3" t="s">
        <v>1075</v>
      </c>
      <c r="P3492" s="3" t="s">
        <v>102</v>
      </c>
      <c r="R3492" s="3" t="s">
        <v>70</v>
      </c>
      <c r="S3492" s="4">
        <v>1</v>
      </c>
      <c r="T3492" s="4">
        <v>1</v>
      </c>
      <c r="U3492" s="5" t="s">
        <v>34878</v>
      </c>
      <c r="V3492" s="5" t="s">
        <v>34878</v>
      </c>
      <c r="W3492" s="5" t="s">
        <v>72</v>
      </c>
      <c r="X3492" s="5" t="s">
        <v>72</v>
      </c>
      <c r="Y3492" s="4">
        <v>83</v>
      </c>
      <c r="Z3492" s="4">
        <v>9</v>
      </c>
      <c r="AA3492" s="4">
        <v>9</v>
      </c>
      <c r="AB3492" s="4">
        <v>1</v>
      </c>
      <c r="AC3492" s="4">
        <v>1</v>
      </c>
      <c r="AD3492" s="4">
        <v>32</v>
      </c>
      <c r="AE3492" s="4">
        <v>32</v>
      </c>
      <c r="AF3492" s="4">
        <v>0</v>
      </c>
      <c r="AG3492" s="4">
        <v>0</v>
      </c>
      <c r="AH3492" s="4">
        <v>28</v>
      </c>
      <c r="AI3492" s="4">
        <v>28</v>
      </c>
      <c r="AJ3492" s="4">
        <v>5</v>
      </c>
      <c r="AK3492" s="4">
        <v>5</v>
      </c>
      <c r="AL3492" s="4">
        <v>18</v>
      </c>
      <c r="AM3492" s="4">
        <v>18</v>
      </c>
      <c r="AN3492" s="4">
        <v>0</v>
      </c>
      <c r="AO3492" s="4">
        <v>0</v>
      </c>
      <c r="AP3492" s="4">
        <v>6</v>
      </c>
      <c r="AQ3492" s="4">
        <v>6</v>
      </c>
      <c r="AR3492" s="3" t="s">
        <v>64</v>
      </c>
      <c r="AS3492" s="3" t="s">
        <v>64</v>
      </c>
      <c r="AT3492" s="3" t="s">
        <v>64</v>
      </c>
      <c r="AV3492" s="6" t="str">
        <f>HYPERLINK("http://mcgill.on.worldcat.org/oclc/819521716","Catalog Record")</f>
        <v>Catalog Record</v>
      </c>
      <c r="AW3492" s="6" t="str">
        <f>HYPERLINK("http://www.worldcat.org/oclc/819521716","WorldCat Record")</f>
        <v>WorldCat Record</v>
      </c>
      <c r="AX3492" s="3" t="s">
        <v>34911</v>
      </c>
      <c r="AY3492" s="3" t="s">
        <v>34912</v>
      </c>
      <c r="AZ3492" s="3" t="s">
        <v>34913</v>
      </c>
      <c r="BA3492" s="3" t="s">
        <v>34913</v>
      </c>
      <c r="BB3492" s="3" t="s">
        <v>34914</v>
      </c>
      <c r="BC3492" s="3" t="s">
        <v>77</v>
      </c>
      <c r="BD3492" s="3" t="s">
        <v>78</v>
      </c>
      <c r="BE3492" s="3" t="s">
        <v>34915</v>
      </c>
      <c r="BF3492" s="3" t="s">
        <v>34914</v>
      </c>
      <c r="BG3492" s="3" t="s">
        <v>34916</v>
      </c>
      <c r="BH3492">
        <f t="shared" si="81"/>
        <v>0</v>
      </c>
    </row>
    <row r="3493" spans="1:60" ht="58" x14ac:dyDescent="0.35">
      <c r="A3493" s="2" t="s">
        <v>59</v>
      </c>
      <c r="B3493" s="2" t="s">
        <v>60</v>
      </c>
      <c r="C3493" s="2" t="s">
        <v>34917</v>
      </c>
      <c r="D3493" s="2" t="s">
        <v>34918</v>
      </c>
      <c r="E3493" s="2" t="s">
        <v>34919</v>
      </c>
      <c r="F3493" s="3" t="s">
        <v>522</v>
      </c>
      <c r="G3493" s="3" t="s">
        <v>128</v>
      </c>
      <c r="I3493" s="3" t="s">
        <v>64</v>
      </c>
      <c r="J3493" s="3" t="s">
        <v>64</v>
      </c>
      <c r="K3493" s="3" t="s">
        <v>65</v>
      </c>
      <c r="M3493" s="2" t="s">
        <v>34920</v>
      </c>
      <c r="N3493" s="3" t="s">
        <v>3330</v>
      </c>
      <c r="P3493" s="3" t="s">
        <v>68</v>
      </c>
      <c r="R3493" s="3" t="s">
        <v>70</v>
      </c>
      <c r="S3493" s="4">
        <v>9</v>
      </c>
      <c r="T3493" s="4">
        <v>43</v>
      </c>
      <c r="U3493" s="5" t="s">
        <v>34921</v>
      </c>
      <c r="V3493" s="5" t="s">
        <v>4526</v>
      </c>
      <c r="W3493" s="5" t="s">
        <v>72</v>
      </c>
      <c r="X3493" s="5" t="s">
        <v>72</v>
      </c>
      <c r="Y3493" s="4">
        <v>156</v>
      </c>
      <c r="Z3493" s="4">
        <v>14</v>
      </c>
      <c r="AA3493" s="4">
        <v>23</v>
      </c>
      <c r="AB3493" s="4">
        <v>2</v>
      </c>
      <c r="AC3493" s="4">
        <v>7</v>
      </c>
      <c r="AD3493" s="4">
        <v>57</v>
      </c>
      <c r="AE3493" s="4">
        <v>77</v>
      </c>
      <c r="AF3493" s="4">
        <v>0</v>
      </c>
      <c r="AG3493" s="4">
        <v>3</v>
      </c>
      <c r="AH3493" s="4">
        <v>53</v>
      </c>
      <c r="AI3493" s="4">
        <v>67</v>
      </c>
      <c r="AJ3493" s="4">
        <v>7</v>
      </c>
      <c r="AK3493" s="4">
        <v>13</v>
      </c>
      <c r="AL3493" s="4">
        <v>39</v>
      </c>
      <c r="AM3493" s="4">
        <v>51</v>
      </c>
      <c r="AN3493" s="4">
        <v>0</v>
      </c>
      <c r="AO3493" s="4">
        <v>0</v>
      </c>
      <c r="AP3493" s="4">
        <v>7</v>
      </c>
      <c r="AQ3493" s="4">
        <v>13</v>
      </c>
      <c r="AR3493" s="3" t="s">
        <v>64</v>
      </c>
      <c r="AS3493" s="3" t="s">
        <v>64</v>
      </c>
      <c r="AT3493" s="3" t="s">
        <v>128</v>
      </c>
      <c r="AU3493" s="6" t="str">
        <f>HYPERLINK("http://catalog.hathitrust.org/Record/001301942","HathiTrust Record")</f>
        <v>HathiTrust Record</v>
      </c>
      <c r="AV3493" s="6" t="str">
        <f>HYPERLINK("http://mcgill.on.worldcat.org/oclc/20935085","Catalog Record")</f>
        <v>Catalog Record</v>
      </c>
      <c r="AW3493" s="6" t="str">
        <f>HYPERLINK("http://www.worldcat.org/oclc/20935085","WorldCat Record")</f>
        <v>WorldCat Record</v>
      </c>
      <c r="AX3493" s="3" t="s">
        <v>34922</v>
      </c>
      <c r="AY3493" s="3" t="s">
        <v>34923</v>
      </c>
      <c r="AZ3493" s="3" t="s">
        <v>34924</v>
      </c>
      <c r="BA3493" s="3" t="s">
        <v>34924</v>
      </c>
      <c r="BB3493" s="3" t="s">
        <v>34925</v>
      </c>
      <c r="BC3493" s="3" t="s">
        <v>77</v>
      </c>
      <c r="BD3493" s="3" t="s">
        <v>78</v>
      </c>
      <c r="BE3493" s="3" t="s">
        <v>34926</v>
      </c>
      <c r="BF3493" s="3" t="s">
        <v>34925</v>
      </c>
      <c r="BG3493" s="3" t="s">
        <v>34927</v>
      </c>
      <c r="BH3493">
        <f t="shared" si="81"/>
        <v>0</v>
      </c>
    </row>
    <row r="3494" spans="1:60" ht="58" x14ac:dyDescent="0.35">
      <c r="A3494" s="2" t="s">
        <v>59</v>
      </c>
      <c r="B3494" s="2" t="s">
        <v>60</v>
      </c>
      <c r="C3494" s="2" t="s">
        <v>34917</v>
      </c>
      <c r="D3494" s="2" t="s">
        <v>34918</v>
      </c>
      <c r="E3494" s="2" t="s">
        <v>34919</v>
      </c>
      <c r="F3494" s="3" t="s">
        <v>525</v>
      </c>
      <c r="G3494" s="3" t="s">
        <v>128</v>
      </c>
      <c r="I3494" s="3" t="s">
        <v>64</v>
      </c>
      <c r="J3494" s="3" t="s">
        <v>64</v>
      </c>
      <c r="K3494" s="3" t="s">
        <v>65</v>
      </c>
      <c r="M3494" s="2" t="s">
        <v>34920</v>
      </c>
      <c r="N3494" s="3" t="s">
        <v>3330</v>
      </c>
      <c r="P3494" s="3" t="s">
        <v>68</v>
      </c>
      <c r="R3494" s="3" t="s">
        <v>70</v>
      </c>
      <c r="S3494" s="4">
        <v>13</v>
      </c>
      <c r="T3494" s="4">
        <v>43</v>
      </c>
      <c r="U3494" s="5" t="s">
        <v>34928</v>
      </c>
      <c r="V3494" s="5" t="s">
        <v>4526</v>
      </c>
      <c r="W3494" s="5" t="s">
        <v>72</v>
      </c>
      <c r="X3494" s="5" t="s">
        <v>72</v>
      </c>
      <c r="Y3494" s="4">
        <v>156</v>
      </c>
      <c r="Z3494" s="4">
        <v>14</v>
      </c>
      <c r="AA3494" s="4">
        <v>23</v>
      </c>
      <c r="AB3494" s="4">
        <v>2</v>
      </c>
      <c r="AC3494" s="4">
        <v>7</v>
      </c>
      <c r="AD3494" s="4">
        <v>57</v>
      </c>
      <c r="AE3494" s="4">
        <v>77</v>
      </c>
      <c r="AF3494" s="4">
        <v>0</v>
      </c>
      <c r="AG3494" s="4">
        <v>3</v>
      </c>
      <c r="AH3494" s="4">
        <v>53</v>
      </c>
      <c r="AI3494" s="4">
        <v>67</v>
      </c>
      <c r="AJ3494" s="4">
        <v>7</v>
      </c>
      <c r="AK3494" s="4">
        <v>13</v>
      </c>
      <c r="AL3494" s="4">
        <v>39</v>
      </c>
      <c r="AM3494" s="4">
        <v>51</v>
      </c>
      <c r="AN3494" s="4">
        <v>0</v>
      </c>
      <c r="AO3494" s="4">
        <v>0</v>
      </c>
      <c r="AP3494" s="4">
        <v>7</v>
      </c>
      <c r="AQ3494" s="4">
        <v>13</v>
      </c>
      <c r="AR3494" s="3" t="s">
        <v>64</v>
      </c>
      <c r="AS3494" s="3" t="s">
        <v>64</v>
      </c>
      <c r="AT3494" s="3" t="s">
        <v>128</v>
      </c>
      <c r="AU3494" s="6" t="str">
        <f>HYPERLINK("http://catalog.hathitrust.org/Record/001301942","HathiTrust Record")</f>
        <v>HathiTrust Record</v>
      </c>
      <c r="AV3494" s="6" t="str">
        <f>HYPERLINK("http://mcgill.on.worldcat.org/oclc/20935085","Catalog Record")</f>
        <v>Catalog Record</v>
      </c>
      <c r="AW3494" s="6" t="str">
        <f>HYPERLINK("http://www.worldcat.org/oclc/20935085","WorldCat Record")</f>
        <v>WorldCat Record</v>
      </c>
      <c r="AX3494" s="3" t="s">
        <v>34922</v>
      </c>
      <c r="AY3494" s="3" t="s">
        <v>34923</v>
      </c>
      <c r="AZ3494" s="3" t="s">
        <v>34924</v>
      </c>
      <c r="BA3494" s="3" t="s">
        <v>34924</v>
      </c>
      <c r="BB3494" s="3" t="s">
        <v>34929</v>
      </c>
      <c r="BC3494" s="3" t="s">
        <v>77</v>
      </c>
      <c r="BD3494" s="3" t="s">
        <v>165</v>
      </c>
      <c r="BE3494" s="3" t="s">
        <v>34926</v>
      </c>
      <c r="BF3494" s="3" t="s">
        <v>34929</v>
      </c>
      <c r="BG3494" s="3" t="s">
        <v>34930</v>
      </c>
      <c r="BH3494">
        <f t="shared" si="81"/>
        <v>0</v>
      </c>
    </row>
    <row r="3495" spans="1:60" ht="58" x14ac:dyDescent="0.35">
      <c r="A3495" s="2" t="s">
        <v>59</v>
      </c>
      <c r="B3495" s="2" t="s">
        <v>60</v>
      </c>
      <c r="C3495" s="2" t="s">
        <v>34917</v>
      </c>
      <c r="D3495" s="2" t="s">
        <v>34918</v>
      </c>
      <c r="E3495" s="2" t="s">
        <v>34919</v>
      </c>
      <c r="F3495" s="3" t="s">
        <v>529</v>
      </c>
      <c r="G3495" s="3" t="s">
        <v>128</v>
      </c>
      <c r="I3495" s="3" t="s">
        <v>64</v>
      </c>
      <c r="J3495" s="3" t="s">
        <v>64</v>
      </c>
      <c r="K3495" s="3" t="s">
        <v>65</v>
      </c>
      <c r="M3495" s="2" t="s">
        <v>34920</v>
      </c>
      <c r="N3495" s="3" t="s">
        <v>3330</v>
      </c>
      <c r="P3495" s="3" t="s">
        <v>68</v>
      </c>
      <c r="R3495" s="3" t="s">
        <v>70</v>
      </c>
      <c r="S3495" s="4">
        <v>10</v>
      </c>
      <c r="T3495" s="4">
        <v>43</v>
      </c>
      <c r="U3495" s="5" t="s">
        <v>34921</v>
      </c>
      <c r="V3495" s="5" t="s">
        <v>4526</v>
      </c>
      <c r="W3495" s="5" t="s">
        <v>72</v>
      </c>
      <c r="X3495" s="5" t="s">
        <v>72</v>
      </c>
      <c r="Y3495" s="4">
        <v>156</v>
      </c>
      <c r="Z3495" s="4">
        <v>14</v>
      </c>
      <c r="AA3495" s="4">
        <v>23</v>
      </c>
      <c r="AB3495" s="4">
        <v>2</v>
      </c>
      <c r="AC3495" s="4">
        <v>7</v>
      </c>
      <c r="AD3495" s="4">
        <v>57</v>
      </c>
      <c r="AE3495" s="4">
        <v>77</v>
      </c>
      <c r="AF3495" s="4">
        <v>0</v>
      </c>
      <c r="AG3495" s="4">
        <v>3</v>
      </c>
      <c r="AH3495" s="4">
        <v>53</v>
      </c>
      <c r="AI3495" s="4">
        <v>67</v>
      </c>
      <c r="AJ3495" s="4">
        <v>7</v>
      </c>
      <c r="AK3495" s="4">
        <v>13</v>
      </c>
      <c r="AL3495" s="4">
        <v>39</v>
      </c>
      <c r="AM3495" s="4">
        <v>51</v>
      </c>
      <c r="AN3495" s="4">
        <v>0</v>
      </c>
      <c r="AO3495" s="4">
        <v>0</v>
      </c>
      <c r="AP3495" s="4">
        <v>7</v>
      </c>
      <c r="AQ3495" s="4">
        <v>13</v>
      </c>
      <c r="AR3495" s="3" t="s">
        <v>64</v>
      </c>
      <c r="AS3495" s="3" t="s">
        <v>64</v>
      </c>
      <c r="AT3495" s="3" t="s">
        <v>128</v>
      </c>
      <c r="AU3495" s="6" t="str">
        <f>HYPERLINK("http://catalog.hathitrust.org/Record/001301942","HathiTrust Record")</f>
        <v>HathiTrust Record</v>
      </c>
      <c r="AV3495" s="6" t="str">
        <f>HYPERLINK("http://mcgill.on.worldcat.org/oclc/20935085","Catalog Record")</f>
        <v>Catalog Record</v>
      </c>
      <c r="AW3495" s="6" t="str">
        <f>HYPERLINK("http://www.worldcat.org/oclc/20935085","WorldCat Record")</f>
        <v>WorldCat Record</v>
      </c>
      <c r="AX3495" s="3" t="s">
        <v>34922</v>
      </c>
      <c r="AY3495" s="3" t="s">
        <v>34923</v>
      </c>
      <c r="AZ3495" s="3" t="s">
        <v>34924</v>
      </c>
      <c r="BA3495" s="3" t="s">
        <v>34924</v>
      </c>
      <c r="BB3495" s="3" t="s">
        <v>34931</v>
      </c>
      <c r="BC3495" s="3" t="s">
        <v>77</v>
      </c>
      <c r="BD3495" s="3" t="s">
        <v>78</v>
      </c>
      <c r="BE3495" s="3" t="s">
        <v>34926</v>
      </c>
      <c r="BF3495" s="3" t="s">
        <v>34931</v>
      </c>
      <c r="BG3495" s="3" t="s">
        <v>34932</v>
      </c>
      <c r="BH3495">
        <f t="shared" si="81"/>
        <v>0</v>
      </c>
    </row>
    <row r="3496" spans="1:60" ht="58" x14ac:dyDescent="0.35">
      <c r="A3496" s="2" t="s">
        <v>59</v>
      </c>
      <c r="B3496" s="2" t="s">
        <v>60</v>
      </c>
      <c r="C3496" s="2" t="s">
        <v>34917</v>
      </c>
      <c r="D3496" s="2" t="s">
        <v>34918</v>
      </c>
      <c r="E3496" s="2" t="s">
        <v>34919</v>
      </c>
      <c r="F3496" s="3" t="s">
        <v>509</v>
      </c>
      <c r="G3496" s="3" t="s">
        <v>128</v>
      </c>
      <c r="I3496" s="3" t="s">
        <v>64</v>
      </c>
      <c r="J3496" s="3" t="s">
        <v>64</v>
      </c>
      <c r="K3496" s="3" t="s">
        <v>65</v>
      </c>
      <c r="M3496" s="2" t="s">
        <v>34920</v>
      </c>
      <c r="N3496" s="3" t="s">
        <v>3330</v>
      </c>
      <c r="P3496" s="3" t="s">
        <v>68</v>
      </c>
      <c r="R3496" s="3" t="s">
        <v>70</v>
      </c>
      <c r="S3496" s="4">
        <v>11</v>
      </c>
      <c r="T3496" s="4">
        <v>43</v>
      </c>
      <c r="U3496" s="5" t="s">
        <v>4526</v>
      </c>
      <c r="V3496" s="5" t="s">
        <v>4526</v>
      </c>
      <c r="W3496" s="5" t="s">
        <v>72</v>
      </c>
      <c r="X3496" s="5" t="s">
        <v>72</v>
      </c>
      <c r="Y3496" s="4">
        <v>156</v>
      </c>
      <c r="Z3496" s="4">
        <v>14</v>
      </c>
      <c r="AA3496" s="4">
        <v>23</v>
      </c>
      <c r="AB3496" s="4">
        <v>2</v>
      </c>
      <c r="AC3496" s="4">
        <v>7</v>
      </c>
      <c r="AD3496" s="4">
        <v>57</v>
      </c>
      <c r="AE3496" s="4">
        <v>77</v>
      </c>
      <c r="AF3496" s="4">
        <v>0</v>
      </c>
      <c r="AG3496" s="4">
        <v>3</v>
      </c>
      <c r="AH3496" s="4">
        <v>53</v>
      </c>
      <c r="AI3496" s="4">
        <v>67</v>
      </c>
      <c r="AJ3496" s="4">
        <v>7</v>
      </c>
      <c r="AK3496" s="4">
        <v>13</v>
      </c>
      <c r="AL3496" s="4">
        <v>39</v>
      </c>
      <c r="AM3496" s="4">
        <v>51</v>
      </c>
      <c r="AN3496" s="4">
        <v>0</v>
      </c>
      <c r="AO3496" s="4">
        <v>0</v>
      </c>
      <c r="AP3496" s="4">
        <v>7</v>
      </c>
      <c r="AQ3496" s="4">
        <v>13</v>
      </c>
      <c r="AR3496" s="3" t="s">
        <v>64</v>
      </c>
      <c r="AS3496" s="3" t="s">
        <v>64</v>
      </c>
      <c r="AT3496" s="3" t="s">
        <v>128</v>
      </c>
      <c r="AU3496" s="6" t="str">
        <f>HYPERLINK("http://catalog.hathitrust.org/Record/001301942","HathiTrust Record")</f>
        <v>HathiTrust Record</v>
      </c>
      <c r="AV3496" s="6" t="str">
        <f>HYPERLINK("http://mcgill.on.worldcat.org/oclc/20935085","Catalog Record")</f>
        <v>Catalog Record</v>
      </c>
      <c r="AW3496" s="6" t="str">
        <f>HYPERLINK("http://www.worldcat.org/oclc/20935085","WorldCat Record")</f>
        <v>WorldCat Record</v>
      </c>
      <c r="AX3496" s="3" t="s">
        <v>34922</v>
      </c>
      <c r="AY3496" s="3" t="s">
        <v>34923</v>
      </c>
      <c r="AZ3496" s="3" t="s">
        <v>34924</v>
      </c>
      <c r="BA3496" s="3" t="s">
        <v>34924</v>
      </c>
      <c r="BB3496" s="3" t="s">
        <v>34933</v>
      </c>
      <c r="BC3496" s="3" t="s">
        <v>77</v>
      </c>
      <c r="BD3496" s="3" t="s">
        <v>78</v>
      </c>
      <c r="BE3496" s="3" t="s">
        <v>34926</v>
      </c>
      <c r="BF3496" s="3" t="s">
        <v>34933</v>
      </c>
      <c r="BG3496" s="3" t="s">
        <v>34934</v>
      </c>
      <c r="BH3496">
        <f t="shared" si="81"/>
        <v>0</v>
      </c>
    </row>
    <row r="3497" spans="1:60" ht="58" x14ac:dyDescent="0.35">
      <c r="A3497" s="2" t="s">
        <v>59</v>
      </c>
      <c r="B3497" s="2" t="s">
        <v>60</v>
      </c>
      <c r="C3497" s="2" t="s">
        <v>34935</v>
      </c>
      <c r="D3497" s="2" t="s">
        <v>34936</v>
      </c>
      <c r="E3497" s="2" t="s">
        <v>34937</v>
      </c>
      <c r="G3497" s="3" t="s">
        <v>64</v>
      </c>
      <c r="I3497" s="3" t="s">
        <v>64</v>
      </c>
      <c r="J3497" s="3" t="s">
        <v>64</v>
      </c>
      <c r="K3497" s="3" t="s">
        <v>65</v>
      </c>
      <c r="L3497" s="2" t="s">
        <v>34938</v>
      </c>
      <c r="M3497" s="2" t="s">
        <v>34939</v>
      </c>
      <c r="N3497" s="3" t="s">
        <v>86</v>
      </c>
      <c r="P3497" s="3" t="s">
        <v>102</v>
      </c>
      <c r="Q3497" s="2" t="s">
        <v>34940</v>
      </c>
      <c r="R3497" s="3" t="s">
        <v>70</v>
      </c>
      <c r="S3497" s="4">
        <v>0</v>
      </c>
      <c r="T3497" s="4">
        <v>0</v>
      </c>
      <c r="W3497" s="5" t="s">
        <v>72</v>
      </c>
      <c r="X3497" s="5" t="s">
        <v>72</v>
      </c>
      <c r="Y3497" s="4">
        <v>40</v>
      </c>
      <c r="Z3497" s="4">
        <v>4</v>
      </c>
      <c r="AA3497" s="4">
        <v>4</v>
      </c>
      <c r="AB3497" s="4">
        <v>1</v>
      </c>
      <c r="AC3497" s="4">
        <v>1</v>
      </c>
      <c r="AD3497" s="4">
        <v>16</v>
      </c>
      <c r="AE3497" s="4">
        <v>16</v>
      </c>
      <c r="AF3497" s="4">
        <v>0</v>
      </c>
      <c r="AG3497" s="4">
        <v>0</v>
      </c>
      <c r="AH3497" s="4">
        <v>15</v>
      </c>
      <c r="AI3497" s="4">
        <v>15</v>
      </c>
      <c r="AJ3497" s="4">
        <v>2</v>
      </c>
      <c r="AK3497" s="4">
        <v>2</v>
      </c>
      <c r="AL3497" s="4">
        <v>13</v>
      </c>
      <c r="AM3497" s="4">
        <v>13</v>
      </c>
      <c r="AN3497" s="4">
        <v>0</v>
      </c>
      <c r="AO3497" s="4">
        <v>0</v>
      </c>
      <c r="AP3497" s="4">
        <v>2</v>
      </c>
      <c r="AQ3497" s="4">
        <v>2</v>
      </c>
      <c r="AR3497" s="3" t="s">
        <v>64</v>
      </c>
      <c r="AS3497" s="3" t="s">
        <v>64</v>
      </c>
      <c r="AT3497" s="3" t="s">
        <v>64</v>
      </c>
      <c r="AV3497" s="6" t="str">
        <f>HYPERLINK("http://mcgill.on.worldcat.org/oclc/826446819","Catalog Record")</f>
        <v>Catalog Record</v>
      </c>
      <c r="AW3497" s="6" t="str">
        <f>HYPERLINK("http://www.worldcat.org/oclc/826446819","WorldCat Record")</f>
        <v>WorldCat Record</v>
      </c>
      <c r="AX3497" s="3" t="s">
        <v>34941</v>
      </c>
      <c r="AY3497" s="3" t="s">
        <v>34942</v>
      </c>
      <c r="AZ3497" s="3" t="s">
        <v>34943</v>
      </c>
      <c r="BA3497" s="3" t="s">
        <v>34943</v>
      </c>
      <c r="BB3497" s="3" t="s">
        <v>34944</v>
      </c>
      <c r="BC3497" s="3" t="s">
        <v>77</v>
      </c>
      <c r="BD3497" s="3" t="s">
        <v>78</v>
      </c>
      <c r="BE3497" s="3" t="s">
        <v>34945</v>
      </c>
      <c r="BF3497" s="3" t="s">
        <v>34944</v>
      </c>
      <c r="BG3497" s="3" t="s">
        <v>34946</v>
      </c>
      <c r="BH3497">
        <f t="shared" si="81"/>
        <v>0</v>
      </c>
    </row>
    <row r="3498" spans="1:60" ht="58" x14ac:dyDescent="0.35">
      <c r="A3498" s="2" t="s">
        <v>59</v>
      </c>
      <c r="B3498" s="2" t="s">
        <v>60</v>
      </c>
      <c r="C3498" s="2" t="s">
        <v>34947</v>
      </c>
      <c r="D3498" s="2" t="s">
        <v>34948</v>
      </c>
      <c r="E3498" s="2" t="s">
        <v>34949</v>
      </c>
      <c r="G3498" s="3" t="s">
        <v>64</v>
      </c>
      <c r="I3498" s="3" t="s">
        <v>64</v>
      </c>
      <c r="J3498" s="3" t="s">
        <v>64</v>
      </c>
      <c r="K3498" s="3" t="s">
        <v>65</v>
      </c>
      <c r="L3498" s="2" t="s">
        <v>34950</v>
      </c>
      <c r="M3498" s="2" t="s">
        <v>34951</v>
      </c>
      <c r="N3498" s="3" t="s">
        <v>67</v>
      </c>
      <c r="P3498" s="3" t="s">
        <v>102</v>
      </c>
      <c r="Q3498" s="2" t="s">
        <v>34952</v>
      </c>
      <c r="R3498" s="3" t="s">
        <v>70</v>
      </c>
      <c r="S3498" s="4">
        <v>0</v>
      </c>
      <c r="T3498" s="4">
        <v>0</v>
      </c>
      <c r="W3498" s="5" t="s">
        <v>72</v>
      </c>
      <c r="X3498" s="5" t="s">
        <v>72</v>
      </c>
      <c r="Y3498" s="4">
        <v>72</v>
      </c>
      <c r="Z3498" s="4">
        <v>7</v>
      </c>
      <c r="AA3498" s="4">
        <v>8</v>
      </c>
      <c r="AB3498" s="4">
        <v>1</v>
      </c>
      <c r="AC3498" s="4">
        <v>2</v>
      </c>
      <c r="AD3498" s="4">
        <v>21</v>
      </c>
      <c r="AE3498" s="4">
        <v>22</v>
      </c>
      <c r="AF3498" s="4">
        <v>0</v>
      </c>
      <c r="AG3498" s="4">
        <v>0</v>
      </c>
      <c r="AH3498" s="4">
        <v>19</v>
      </c>
      <c r="AI3498" s="4">
        <v>20</v>
      </c>
      <c r="AJ3498" s="4">
        <v>4</v>
      </c>
      <c r="AK3498" s="4">
        <v>4</v>
      </c>
      <c r="AL3498" s="4">
        <v>16</v>
      </c>
      <c r="AM3498" s="4">
        <v>16</v>
      </c>
      <c r="AN3498" s="4">
        <v>0</v>
      </c>
      <c r="AO3498" s="4">
        <v>0</v>
      </c>
      <c r="AP3498" s="4">
        <v>4</v>
      </c>
      <c r="AQ3498" s="4">
        <v>4</v>
      </c>
      <c r="AR3498" s="3" t="s">
        <v>64</v>
      </c>
      <c r="AS3498" s="3" t="s">
        <v>64</v>
      </c>
      <c r="AT3498" s="3" t="s">
        <v>64</v>
      </c>
      <c r="AV3498" s="6" t="str">
        <f>HYPERLINK("http://mcgill.on.worldcat.org/oclc/875630778","Catalog Record")</f>
        <v>Catalog Record</v>
      </c>
      <c r="AW3498" s="6" t="str">
        <f>HYPERLINK("http://www.worldcat.org/oclc/875630778","WorldCat Record")</f>
        <v>WorldCat Record</v>
      </c>
      <c r="AX3498" s="3" t="s">
        <v>34953</v>
      </c>
      <c r="AY3498" s="3" t="s">
        <v>34954</v>
      </c>
      <c r="AZ3498" s="3" t="s">
        <v>34955</v>
      </c>
      <c r="BA3498" s="3" t="s">
        <v>34955</v>
      </c>
      <c r="BB3498" s="3" t="s">
        <v>34956</v>
      </c>
      <c r="BC3498" s="3" t="s">
        <v>77</v>
      </c>
      <c r="BD3498" s="3" t="s">
        <v>78</v>
      </c>
      <c r="BE3498" s="3" t="s">
        <v>34957</v>
      </c>
      <c r="BF3498" s="3" t="s">
        <v>34956</v>
      </c>
      <c r="BG3498" s="3" t="s">
        <v>34958</v>
      </c>
      <c r="BH3498">
        <f t="shared" si="81"/>
        <v>0</v>
      </c>
    </row>
    <row r="3499" spans="1:60" ht="58" x14ac:dyDescent="0.35">
      <c r="A3499" s="2" t="s">
        <v>59</v>
      </c>
      <c r="B3499" s="2" t="s">
        <v>60</v>
      </c>
      <c r="C3499" s="2" t="s">
        <v>34959</v>
      </c>
      <c r="D3499" s="2" t="s">
        <v>34960</v>
      </c>
      <c r="E3499" s="2" t="s">
        <v>34961</v>
      </c>
      <c r="G3499" s="3" t="s">
        <v>64</v>
      </c>
      <c r="I3499" s="3" t="s">
        <v>64</v>
      </c>
      <c r="J3499" s="3" t="s">
        <v>64</v>
      </c>
      <c r="K3499" s="3" t="s">
        <v>65</v>
      </c>
      <c r="L3499" s="2" t="s">
        <v>33424</v>
      </c>
      <c r="M3499" s="2" t="s">
        <v>34962</v>
      </c>
      <c r="N3499" s="3" t="s">
        <v>1061</v>
      </c>
      <c r="P3499" s="3" t="s">
        <v>68</v>
      </c>
      <c r="Q3499" s="2" t="s">
        <v>34963</v>
      </c>
      <c r="R3499" s="3" t="s">
        <v>70</v>
      </c>
      <c r="S3499" s="4">
        <v>2</v>
      </c>
      <c r="T3499" s="4">
        <v>2</v>
      </c>
      <c r="U3499" s="5" t="s">
        <v>18167</v>
      </c>
      <c r="V3499" s="5" t="s">
        <v>18167</v>
      </c>
      <c r="W3499" s="5" t="s">
        <v>72</v>
      </c>
      <c r="X3499" s="5" t="s">
        <v>72</v>
      </c>
      <c r="Y3499" s="4">
        <v>104</v>
      </c>
      <c r="Z3499" s="4">
        <v>7</v>
      </c>
      <c r="AA3499" s="4">
        <v>10</v>
      </c>
      <c r="AB3499" s="4">
        <v>1</v>
      </c>
      <c r="AC3499" s="4">
        <v>3</v>
      </c>
      <c r="AD3499" s="4">
        <v>47</v>
      </c>
      <c r="AE3499" s="4">
        <v>50</v>
      </c>
      <c r="AF3499" s="4">
        <v>0</v>
      </c>
      <c r="AG3499" s="4">
        <v>2</v>
      </c>
      <c r="AH3499" s="4">
        <v>41</v>
      </c>
      <c r="AI3499" s="4">
        <v>43</v>
      </c>
      <c r="AJ3499" s="4">
        <v>2</v>
      </c>
      <c r="AK3499" s="4">
        <v>5</v>
      </c>
      <c r="AL3499" s="4">
        <v>36</v>
      </c>
      <c r="AM3499" s="4">
        <v>36</v>
      </c>
      <c r="AN3499" s="4">
        <v>0</v>
      </c>
      <c r="AO3499" s="4">
        <v>0</v>
      </c>
      <c r="AP3499" s="4">
        <v>3</v>
      </c>
      <c r="AQ3499" s="4">
        <v>5</v>
      </c>
      <c r="AR3499" s="3" t="s">
        <v>64</v>
      </c>
      <c r="AS3499" s="3" t="s">
        <v>64</v>
      </c>
      <c r="AT3499" s="3" t="s">
        <v>64</v>
      </c>
      <c r="AV3499" s="6" t="str">
        <f>HYPERLINK("http://mcgill.on.worldcat.org/oclc/14913069","Catalog Record")</f>
        <v>Catalog Record</v>
      </c>
      <c r="AW3499" s="6" t="str">
        <f>HYPERLINK("http://www.worldcat.org/oclc/14913069","WorldCat Record")</f>
        <v>WorldCat Record</v>
      </c>
      <c r="AX3499" s="3" t="s">
        <v>34964</v>
      </c>
      <c r="AY3499" s="3" t="s">
        <v>34965</v>
      </c>
      <c r="AZ3499" s="3" t="s">
        <v>34966</v>
      </c>
      <c r="BA3499" s="3" t="s">
        <v>34966</v>
      </c>
      <c r="BB3499" s="3" t="s">
        <v>34967</v>
      </c>
      <c r="BC3499" s="3" t="s">
        <v>77</v>
      </c>
      <c r="BD3499" s="3" t="s">
        <v>78</v>
      </c>
      <c r="BE3499" s="3" t="s">
        <v>34968</v>
      </c>
      <c r="BF3499" s="3" t="s">
        <v>34967</v>
      </c>
      <c r="BG3499" s="3" t="s">
        <v>34969</v>
      </c>
      <c r="BH3499">
        <f t="shared" si="81"/>
        <v>0</v>
      </c>
    </row>
    <row r="3500" spans="1:60" ht="58" x14ac:dyDescent="0.35">
      <c r="A3500" s="2" t="s">
        <v>59</v>
      </c>
      <c r="B3500" s="2" t="s">
        <v>60</v>
      </c>
      <c r="C3500" s="2" t="s">
        <v>34970</v>
      </c>
      <c r="D3500" s="2" t="s">
        <v>34971</v>
      </c>
      <c r="E3500" s="2" t="s">
        <v>34972</v>
      </c>
      <c r="G3500" s="3" t="s">
        <v>64</v>
      </c>
      <c r="I3500" s="3" t="s">
        <v>64</v>
      </c>
      <c r="J3500" s="3" t="s">
        <v>64</v>
      </c>
      <c r="K3500" s="3" t="s">
        <v>65</v>
      </c>
      <c r="L3500" s="2" t="s">
        <v>34973</v>
      </c>
      <c r="M3500" s="2" t="s">
        <v>34974</v>
      </c>
      <c r="N3500" s="3" t="s">
        <v>3330</v>
      </c>
      <c r="P3500" s="3" t="s">
        <v>68</v>
      </c>
      <c r="Q3500" s="2" t="s">
        <v>34975</v>
      </c>
      <c r="R3500" s="3" t="s">
        <v>70</v>
      </c>
      <c r="S3500" s="4">
        <v>3</v>
      </c>
      <c r="T3500" s="4">
        <v>3</v>
      </c>
      <c r="U3500" s="5" t="s">
        <v>4526</v>
      </c>
      <c r="V3500" s="5" t="s">
        <v>4526</v>
      </c>
      <c r="W3500" s="5" t="s">
        <v>72</v>
      </c>
      <c r="X3500" s="5" t="s">
        <v>72</v>
      </c>
      <c r="Y3500" s="4">
        <v>172</v>
      </c>
      <c r="Z3500" s="4">
        <v>8</v>
      </c>
      <c r="AA3500" s="4">
        <v>23</v>
      </c>
      <c r="AB3500" s="4">
        <v>2</v>
      </c>
      <c r="AC3500" s="4">
        <v>6</v>
      </c>
      <c r="AD3500" s="4">
        <v>65</v>
      </c>
      <c r="AE3500" s="4">
        <v>78</v>
      </c>
      <c r="AF3500" s="4">
        <v>0</v>
      </c>
      <c r="AG3500" s="4">
        <v>4</v>
      </c>
      <c r="AH3500" s="4">
        <v>60</v>
      </c>
      <c r="AI3500" s="4">
        <v>67</v>
      </c>
      <c r="AJ3500" s="4">
        <v>5</v>
      </c>
      <c r="AK3500" s="4">
        <v>16</v>
      </c>
      <c r="AL3500" s="4">
        <v>43</v>
      </c>
      <c r="AM3500" s="4">
        <v>45</v>
      </c>
      <c r="AN3500" s="4">
        <v>0</v>
      </c>
      <c r="AO3500" s="4">
        <v>0</v>
      </c>
      <c r="AP3500" s="4">
        <v>6</v>
      </c>
      <c r="AQ3500" s="4">
        <v>14</v>
      </c>
      <c r="AR3500" s="3" t="s">
        <v>64</v>
      </c>
      <c r="AS3500" s="3" t="s">
        <v>64</v>
      </c>
      <c r="AT3500" s="3" t="s">
        <v>128</v>
      </c>
      <c r="AU3500" s="6" t="str">
        <f>HYPERLINK("http://catalog.hathitrust.org/Record/000945988","HathiTrust Record")</f>
        <v>HathiTrust Record</v>
      </c>
      <c r="AV3500" s="6" t="str">
        <f>HYPERLINK("http://mcgill.on.worldcat.org/oclc/18347165","Catalog Record")</f>
        <v>Catalog Record</v>
      </c>
      <c r="AW3500" s="6" t="str">
        <f>HYPERLINK("http://www.worldcat.org/oclc/18347165","WorldCat Record")</f>
        <v>WorldCat Record</v>
      </c>
      <c r="AX3500" s="3" t="s">
        <v>34976</v>
      </c>
      <c r="AY3500" s="3" t="s">
        <v>34977</v>
      </c>
      <c r="AZ3500" s="3" t="s">
        <v>34978</v>
      </c>
      <c r="BA3500" s="3" t="s">
        <v>34978</v>
      </c>
      <c r="BB3500" s="3" t="s">
        <v>34979</v>
      </c>
      <c r="BC3500" s="3" t="s">
        <v>77</v>
      </c>
      <c r="BD3500" s="3" t="s">
        <v>78</v>
      </c>
      <c r="BF3500" s="3" t="s">
        <v>34979</v>
      </c>
      <c r="BG3500" s="3" t="s">
        <v>34980</v>
      </c>
      <c r="BH3500">
        <f t="shared" si="81"/>
        <v>0</v>
      </c>
    </row>
    <row r="3501" spans="1:60" ht="58" x14ac:dyDescent="0.35">
      <c r="A3501" s="2" t="s">
        <v>59</v>
      </c>
      <c r="B3501" s="2" t="s">
        <v>60</v>
      </c>
      <c r="C3501" s="2" t="s">
        <v>34981</v>
      </c>
      <c r="D3501" s="2" t="s">
        <v>34982</v>
      </c>
      <c r="E3501" s="2" t="s">
        <v>34983</v>
      </c>
      <c r="G3501" s="3" t="s">
        <v>64</v>
      </c>
      <c r="I3501" s="3" t="s">
        <v>64</v>
      </c>
      <c r="J3501" s="3" t="s">
        <v>64</v>
      </c>
      <c r="K3501" s="3" t="s">
        <v>65</v>
      </c>
      <c r="L3501" s="2" t="s">
        <v>34984</v>
      </c>
      <c r="M3501" s="2" t="s">
        <v>34985</v>
      </c>
      <c r="N3501" s="3" t="s">
        <v>378</v>
      </c>
      <c r="P3501" s="3" t="s">
        <v>102</v>
      </c>
      <c r="R3501" s="3" t="s">
        <v>70</v>
      </c>
      <c r="S3501" s="4">
        <v>11</v>
      </c>
      <c r="T3501" s="4">
        <v>11</v>
      </c>
      <c r="U3501" s="5" t="s">
        <v>18312</v>
      </c>
      <c r="V3501" s="5" t="s">
        <v>18312</v>
      </c>
      <c r="W3501" s="5" t="s">
        <v>72</v>
      </c>
      <c r="X3501" s="5" t="s">
        <v>72</v>
      </c>
      <c r="Y3501" s="4">
        <v>169</v>
      </c>
      <c r="Z3501" s="4">
        <v>10</v>
      </c>
      <c r="AA3501" s="4">
        <v>13</v>
      </c>
      <c r="AB3501" s="4">
        <v>1</v>
      </c>
      <c r="AC3501" s="4">
        <v>4</v>
      </c>
      <c r="AD3501" s="4">
        <v>82</v>
      </c>
      <c r="AE3501" s="4">
        <v>85</v>
      </c>
      <c r="AF3501" s="4">
        <v>0</v>
      </c>
      <c r="AG3501" s="4">
        <v>2</v>
      </c>
      <c r="AH3501" s="4">
        <v>77</v>
      </c>
      <c r="AI3501" s="4">
        <v>78</v>
      </c>
      <c r="AJ3501" s="4">
        <v>6</v>
      </c>
      <c r="AK3501" s="4">
        <v>8</v>
      </c>
      <c r="AL3501" s="4">
        <v>47</v>
      </c>
      <c r="AM3501" s="4">
        <v>48</v>
      </c>
      <c r="AN3501" s="4">
        <v>0</v>
      </c>
      <c r="AO3501" s="4">
        <v>0</v>
      </c>
      <c r="AP3501" s="4">
        <v>5</v>
      </c>
      <c r="AQ3501" s="4">
        <v>6</v>
      </c>
      <c r="AR3501" s="3" t="s">
        <v>64</v>
      </c>
      <c r="AS3501" s="3" t="s">
        <v>64</v>
      </c>
      <c r="AT3501" s="3" t="s">
        <v>64</v>
      </c>
      <c r="AV3501" s="6" t="str">
        <f>HYPERLINK("http://mcgill.on.worldcat.org/oclc/12108234","Catalog Record")</f>
        <v>Catalog Record</v>
      </c>
      <c r="AW3501" s="6" t="str">
        <f>HYPERLINK("http://www.worldcat.org/oclc/12108234","WorldCat Record")</f>
        <v>WorldCat Record</v>
      </c>
      <c r="AX3501" s="3" t="s">
        <v>34986</v>
      </c>
      <c r="AY3501" s="3" t="s">
        <v>34987</v>
      </c>
      <c r="AZ3501" s="3" t="s">
        <v>34988</v>
      </c>
      <c r="BA3501" s="3" t="s">
        <v>34988</v>
      </c>
      <c r="BB3501" s="3" t="s">
        <v>34989</v>
      </c>
      <c r="BC3501" s="3" t="s">
        <v>77</v>
      </c>
      <c r="BD3501" s="3" t="s">
        <v>78</v>
      </c>
      <c r="BE3501" s="3" t="s">
        <v>34990</v>
      </c>
      <c r="BF3501" s="3" t="s">
        <v>34989</v>
      </c>
      <c r="BG3501" s="3" t="s">
        <v>34991</v>
      </c>
      <c r="BH3501">
        <f t="shared" si="81"/>
        <v>0</v>
      </c>
    </row>
    <row r="3502" spans="1:60" ht="58" x14ac:dyDescent="0.35">
      <c r="A3502" s="2" t="s">
        <v>59</v>
      </c>
      <c r="B3502" s="2" t="s">
        <v>60</v>
      </c>
      <c r="C3502" s="2" t="s">
        <v>34992</v>
      </c>
      <c r="D3502" s="2" t="s">
        <v>34993</v>
      </c>
      <c r="E3502" s="2" t="s">
        <v>34994</v>
      </c>
      <c r="G3502" s="3" t="s">
        <v>64</v>
      </c>
      <c r="I3502" s="3" t="s">
        <v>64</v>
      </c>
      <c r="J3502" s="3" t="s">
        <v>64</v>
      </c>
      <c r="K3502" s="3" t="s">
        <v>65</v>
      </c>
      <c r="L3502" s="2" t="s">
        <v>34995</v>
      </c>
      <c r="M3502" s="2" t="s">
        <v>34996</v>
      </c>
      <c r="N3502" s="3" t="s">
        <v>1031</v>
      </c>
      <c r="P3502" s="3" t="s">
        <v>102</v>
      </c>
      <c r="R3502" s="3" t="s">
        <v>70</v>
      </c>
      <c r="S3502" s="4">
        <v>7</v>
      </c>
      <c r="T3502" s="4">
        <v>7</v>
      </c>
      <c r="U3502" s="5" t="s">
        <v>34997</v>
      </c>
      <c r="V3502" s="5" t="s">
        <v>34997</v>
      </c>
      <c r="W3502" s="5" t="s">
        <v>72</v>
      </c>
      <c r="X3502" s="5" t="s">
        <v>72</v>
      </c>
      <c r="Y3502" s="4">
        <v>311</v>
      </c>
      <c r="Z3502" s="4">
        <v>15</v>
      </c>
      <c r="AA3502" s="4">
        <v>16</v>
      </c>
      <c r="AB3502" s="4">
        <v>2</v>
      </c>
      <c r="AC3502" s="4">
        <v>2</v>
      </c>
      <c r="AD3502" s="4">
        <v>102</v>
      </c>
      <c r="AE3502" s="4">
        <v>103</v>
      </c>
      <c r="AF3502" s="4">
        <v>1</v>
      </c>
      <c r="AG3502" s="4">
        <v>1</v>
      </c>
      <c r="AH3502" s="4">
        <v>93</v>
      </c>
      <c r="AI3502" s="4">
        <v>93</v>
      </c>
      <c r="AJ3502" s="4">
        <v>9</v>
      </c>
      <c r="AK3502" s="4">
        <v>10</v>
      </c>
      <c r="AL3502" s="4">
        <v>57</v>
      </c>
      <c r="AM3502" s="4">
        <v>57</v>
      </c>
      <c r="AN3502" s="4">
        <v>0</v>
      </c>
      <c r="AO3502" s="4">
        <v>0</v>
      </c>
      <c r="AP3502" s="4">
        <v>12</v>
      </c>
      <c r="AQ3502" s="4">
        <v>13</v>
      </c>
      <c r="AR3502" s="3" t="s">
        <v>64</v>
      </c>
      <c r="AS3502" s="3" t="s">
        <v>64</v>
      </c>
      <c r="AT3502" s="3" t="s">
        <v>64</v>
      </c>
      <c r="AV3502" s="6" t="str">
        <f>HYPERLINK("http://mcgill.on.worldcat.org/oclc/22422611","Catalog Record")</f>
        <v>Catalog Record</v>
      </c>
      <c r="AW3502" s="6" t="str">
        <f>HYPERLINK("http://www.worldcat.org/oclc/22422611","WorldCat Record")</f>
        <v>WorldCat Record</v>
      </c>
      <c r="AX3502" s="3" t="s">
        <v>34998</v>
      </c>
      <c r="AY3502" s="3" t="s">
        <v>34999</v>
      </c>
      <c r="AZ3502" s="3" t="s">
        <v>35000</v>
      </c>
      <c r="BA3502" s="3" t="s">
        <v>35000</v>
      </c>
      <c r="BB3502" s="3" t="s">
        <v>35001</v>
      </c>
      <c r="BC3502" s="3" t="s">
        <v>77</v>
      </c>
      <c r="BD3502" s="3" t="s">
        <v>78</v>
      </c>
      <c r="BE3502" s="3" t="s">
        <v>35002</v>
      </c>
      <c r="BF3502" s="3" t="s">
        <v>35001</v>
      </c>
      <c r="BG3502" s="3" t="s">
        <v>35003</v>
      </c>
      <c r="BH3502">
        <f t="shared" si="81"/>
        <v>0</v>
      </c>
    </row>
    <row r="3503" spans="1:60" ht="58" x14ac:dyDescent="0.35">
      <c r="A3503" s="2" t="s">
        <v>59</v>
      </c>
      <c r="B3503" s="2" t="s">
        <v>60</v>
      </c>
      <c r="C3503" s="2" t="s">
        <v>35004</v>
      </c>
      <c r="D3503" s="2" t="s">
        <v>35005</v>
      </c>
      <c r="E3503" s="2" t="s">
        <v>35006</v>
      </c>
      <c r="G3503" s="3" t="s">
        <v>64</v>
      </c>
      <c r="I3503" s="3" t="s">
        <v>64</v>
      </c>
      <c r="J3503" s="3" t="s">
        <v>64</v>
      </c>
      <c r="K3503" s="3" t="s">
        <v>65</v>
      </c>
      <c r="L3503" s="2" t="s">
        <v>35007</v>
      </c>
      <c r="M3503" s="2" t="s">
        <v>4606</v>
      </c>
      <c r="N3503" s="3" t="s">
        <v>1275</v>
      </c>
      <c r="P3503" s="3" t="s">
        <v>102</v>
      </c>
      <c r="Q3503" s="2" t="s">
        <v>35008</v>
      </c>
      <c r="R3503" s="3" t="s">
        <v>70</v>
      </c>
      <c r="S3503" s="4">
        <v>2</v>
      </c>
      <c r="T3503" s="4">
        <v>2</v>
      </c>
      <c r="U3503" s="5" t="s">
        <v>35009</v>
      </c>
      <c r="V3503" s="5" t="s">
        <v>35009</v>
      </c>
      <c r="W3503" s="5" t="s">
        <v>72</v>
      </c>
      <c r="X3503" s="5" t="s">
        <v>72</v>
      </c>
      <c r="Y3503" s="4">
        <v>257</v>
      </c>
      <c r="Z3503" s="4">
        <v>10</v>
      </c>
      <c r="AA3503" s="4">
        <v>14</v>
      </c>
      <c r="AB3503" s="4">
        <v>1</v>
      </c>
      <c r="AC3503" s="4">
        <v>1</v>
      </c>
      <c r="AD3503" s="4">
        <v>74</v>
      </c>
      <c r="AE3503" s="4">
        <v>76</v>
      </c>
      <c r="AF3503" s="4">
        <v>0</v>
      </c>
      <c r="AG3503" s="4">
        <v>0</v>
      </c>
      <c r="AH3503" s="4">
        <v>68</v>
      </c>
      <c r="AI3503" s="4">
        <v>70</v>
      </c>
      <c r="AJ3503" s="4">
        <v>7</v>
      </c>
      <c r="AK3503" s="4">
        <v>9</v>
      </c>
      <c r="AL3503" s="4">
        <v>44</v>
      </c>
      <c r="AM3503" s="4">
        <v>45</v>
      </c>
      <c r="AN3503" s="4">
        <v>0</v>
      </c>
      <c r="AO3503" s="4">
        <v>0</v>
      </c>
      <c r="AP3503" s="4">
        <v>8</v>
      </c>
      <c r="AQ3503" s="4">
        <v>10</v>
      </c>
      <c r="AR3503" s="3" t="s">
        <v>64</v>
      </c>
      <c r="AS3503" s="3" t="s">
        <v>64</v>
      </c>
      <c r="AT3503" s="3" t="s">
        <v>64</v>
      </c>
      <c r="AV3503" s="6" t="str">
        <f>HYPERLINK("http://mcgill.on.worldcat.org/oclc/52121462","Catalog Record")</f>
        <v>Catalog Record</v>
      </c>
      <c r="AW3503" s="6" t="str">
        <f>HYPERLINK("http://www.worldcat.org/oclc/52121462","WorldCat Record")</f>
        <v>WorldCat Record</v>
      </c>
      <c r="AX3503" s="3" t="s">
        <v>35010</v>
      </c>
      <c r="AY3503" s="3" t="s">
        <v>35011</v>
      </c>
      <c r="AZ3503" s="3" t="s">
        <v>35012</v>
      </c>
      <c r="BA3503" s="3" t="s">
        <v>35012</v>
      </c>
      <c r="BB3503" s="3" t="s">
        <v>35013</v>
      </c>
      <c r="BC3503" s="3" t="s">
        <v>77</v>
      </c>
      <c r="BD3503" s="3" t="s">
        <v>78</v>
      </c>
      <c r="BE3503" s="3" t="s">
        <v>35014</v>
      </c>
      <c r="BF3503" s="3" t="s">
        <v>35013</v>
      </c>
      <c r="BG3503" s="3" t="s">
        <v>35015</v>
      </c>
      <c r="BH3503">
        <f t="shared" si="81"/>
        <v>0</v>
      </c>
    </row>
    <row r="3504" spans="1:60" ht="58" x14ac:dyDescent="0.35">
      <c r="A3504" s="2" t="s">
        <v>59</v>
      </c>
      <c r="B3504" s="2" t="s">
        <v>60</v>
      </c>
      <c r="C3504" s="2" t="s">
        <v>35016</v>
      </c>
      <c r="D3504" s="2" t="s">
        <v>35017</v>
      </c>
      <c r="E3504" s="2" t="s">
        <v>35018</v>
      </c>
      <c r="G3504" s="3" t="s">
        <v>64</v>
      </c>
      <c r="I3504" s="3" t="s">
        <v>64</v>
      </c>
      <c r="J3504" s="3" t="s">
        <v>64</v>
      </c>
      <c r="K3504" s="3" t="s">
        <v>65</v>
      </c>
      <c r="L3504" s="2" t="s">
        <v>35019</v>
      </c>
      <c r="M3504" s="2" t="s">
        <v>35020</v>
      </c>
      <c r="N3504" s="3" t="s">
        <v>5986</v>
      </c>
      <c r="P3504" s="3" t="s">
        <v>102</v>
      </c>
      <c r="Q3504" s="2" t="s">
        <v>35021</v>
      </c>
      <c r="R3504" s="3" t="s">
        <v>70</v>
      </c>
      <c r="S3504" s="4">
        <v>2</v>
      </c>
      <c r="T3504" s="4">
        <v>2</v>
      </c>
      <c r="U3504" s="5" t="s">
        <v>12963</v>
      </c>
      <c r="V3504" s="5" t="s">
        <v>12963</v>
      </c>
      <c r="W3504" s="5" t="s">
        <v>72</v>
      </c>
      <c r="X3504" s="5" t="s">
        <v>72</v>
      </c>
      <c r="Y3504" s="4">
        <v>147</v>
      </c>
      <c r="Z3504" s="4">
        <v>11</v>
      </c>
      <c r="AA3504" s="4">
        <v>12</v>
      </c>
      <c r="AB3504" s="4">
        <v>1</v>
      </c>
      <c r="AC3504" s="4">
        <v>2</v>
      </c>
      <c r="AD3504" s="4">
        <v>51</v>
      </c>
      <c r="AE3504" s="4">
        <v>52</v>
      </c>
      <c r="AF3504" s="4">
        <v>0</v>
      </c>
      <c r="AG3504" s="4">
        <v>1</v>
      </c>
      <c r="AH3504" s="4">
        <v>47</v>
      </c>
      <c r="AI3504" s="4">
        <v>47</v>
      </c>
      <c r="AJ3504" s="4">
        <v>8</v>
      </c>
      <c r="AK3504" s="4">
        <v>9</v>
      </c>
      <c r="AL3504" s="4">
        <v>31</v>
      </c>
      <c r="AM3504" s="4">
        <v>31</v>
      </c>
      <c r="AN3504" s="4">
        <v>0</v>
      </c>
      <c r="AO3504" s="4">
        <v>0</v>
      </c>
      <c r="AP3504" s="4">
        <v>9</v>
      </c>
      <c r="AQ3504" s="4">
        <v>9</v>
      </c>
      <c r="AR3504" s="3" t="s">
        <v>64</v>
      </c>
      <c r="AS3504" s="3" t="s">
        <v>64</v>
      </c>
      <c r="AT3504" s="3" t="s">
        <v>128</v>
      </c>
      <c r="AU3504" s="6" t="str">
        <f>HYPERLINK("http://catalog.hathitrust.org/Record/003166938","HathiTrust Record")</f>
        <v>HathiTrust Record</v>
      </c>
      <c r="AV3504" s="6" t="str">
        <f>HYPERLINK("http://mcgill.on.worldcat.org/oclc/574310","Catalog Record")</f>
        <v>Catalog Record</v>
      </c>
      <c r="AW3504" s="6" t="str">
        <f>HYPERLINK("http://www.worldcat.org/oclc/574310","WorldCat Record")</f>
        <v>WorldCat Record</v>
      </c>
      <c r="AX3504" s="3" t="s">
        <v>35022</v>
      </c>
      <c r="AY3504" s="3" t="s">
        <v>35023</v>
      </c>
      <c r="AZ3504" s="3" t="s">
        <v>35024</v>
      </c>
      <c r="BA3504" s="3" t="s">
        <v>35024</v>
      </c>
      <c r="BB3504" s="3" t="s">
        <v>35025</v>
      </c>
      <c r="BC3504" s="3" t="s">
        <v>77</v>
      </c>
      <c r="BD3504" s="3" t="s">
        <v>78</v>
      </c>
      <c r="BF3504" s="3" t="s">
        <v>35025</v>
      </c>
      <c r="BG3504" s="3" t="s">
        <v>35026</v>
      </c>
      <c r="BH3504">
        <f t="shared" si="81"/>
        <v>0</v>
      </c>
    </row>
    <row r="3505" spans="1:60" ht="58" x14ac:dyDescent="0.35">
      <c r="A3505" s="2" t="s">
        <v>59</v>
      </c>
      <c r="B3505" s="2" t="s">
        <v>60</v>
      </c>
      <c r="C3505" s="2" t="s">
        <v>35027</v>
      </c>
      <c r="D3505" s="2" t="s">
        <v>35028</v>
      </c>
      <c r="E3505" s="2" t="s">
        <v>35029</v>
      </c>
      <c r="G3505" s="3" t="s">
        <v>64</v>
      </c>
      <c r="I3505" s="3" t="s">
        <v>64</v>
      </c>
      <c r="J3505" s="3" t="s">
        <v>64</v>
      </c>
      <c r="K3505" s="3" t="s">
        <v>65</v>
      </c>
      <c r="L3505" s="2" t="s">
        <v>35030</v>
      </c>
      <c r="M3505" s="2" t="s">
        <v>35031</v>
      </c>
      <c r="N3505" s="3" t="s">
        <v>1061</v>
      </c>
      <c r="P3505" s="3" t="s">
        <v>365</v>
      </c>
      <c r="Q3505" s="2" t="s">
        <v>35032</v>
      </c>
      <c r="R3505" s="3" t="s">
        <v>70</v>
      </c>
      <c r="S3505" s="4">
        <v>5</v>
      </c>
      <c r="T3505" s="4">
        <v>5</v>
      </c>
      <c r="U3505" s="5" t="s">
        <v>6272</v>
      </c>
      <c r="V3505" s="5" t="s">
        <v>6272</v>
      </c>
      <c r="W3505" s="5" t="s">
        <v>72</v>
      </c>
      <c r="X3505" s="5" t="s">
        <v>72</v>
      </c>
      <c r="Y3505" s="4">
        <v>25</v>
      </c>
      <c r="Z3505" s="4">
        <v>3</v>
      </c>
      <c r="AA3505" s="4">
        <v>4</v>
      </c>
      <c r="AB3505" s="4">
        <v>1</v>
      </c>
      <c r="AC3505" s="4">
        <v>1</v>
      </c>
      <c r="AD3505" s="4">
        <v>13</v>
      </c>
      <c r="AE3505" s="4">
        <v>16</v>
      </c>
      <c r="AF3505" s="4">
        <v>0</v>
      </c>
      <c r="AG3505" s="4">
        <v>0</v>
      </c>
      <c r="AH3505" s="4">
        <v>12</v>
      </c>
      <c r="AI3505" s="4">
        <v>15</v>
      </c>
      <c r="AJ3505" s="4">
        <v>1</v>
      </c>
      <c r="AK3505" s="4">
        <v>2</v>
      </c>
      <c r="AL3505" s="4">
        <v>9</v>
      </c>
      <c r="AM3505" s="4">
        <v>11</v>
      </c>
      <c r="AN3505" s="4">
        <v>0</v>
      </c>
      <c r="AO3505" s="4">
        <v>0</v>
      </c>
      <c r="AP3505" s="4">
        <v>1</v>
      </c>
      <c r="AQ3505" s="4">
        <v>2</v>
      </c>
      <c r="AR3505" s="3" t="s">
        <v>64</v>
      </c>
      <c r="AS3505" s="3" t="s">
        <v>64</v>
      </c>
      <c r="AT3505" s="3" t="s">
        <v>64</v>
      </c>
      <c r="AV3505" s="6" t="str">
        <f>HYPERLINK("http://mcgill.on.worldcat.org/oclc/12806692","Catalog Record")</f>
        <v>Catalog Record</v>
      </c>
      <c r="AW3505" s="6" t="str">
        <f>HYPERLINK("http://www.worldcat.org/oclc/12806692","WorldCat Record")</f>
        <v>WorldCat Record</v>
      </c>
      <c r="AX3505" s="3" t="s">
        <v>35033</v>
      </c>
      <c r="AY3505" s="3" t="s">
        <v>35034</v>
      </c>
      <c r="AZ3505" s="3" t="s">
        <v>35035</v>
      </c>
      <c r="BA3505" s="3" t="s">
        <v>35035</v>
      </c>
      <c r="BB3505" s="3" t="s">
        <v>35036</v>
      </c>
      <c r="BC3505" s="3" t="s">
        <v>77</v>
      </c>
      <c r="BD3505" s="3" t="s">
        <v>78</v>
      </c>
      <c r="BF3505" s="3" t="s">
        <v>35036</v>
      </c>
      <c r="BG3505" s="3" t="s">
        <v>35037</v>
      </c>
      <c r="BH3505">
        <f t="shared" si="81"/>
        <v>0</v>
      </c>
    </row>
    <row r="3506" spans="1:60" ht="58" x14ac:dyDescent="0.35">
      <c r="A3506" s="2" t="s">
        <v>59</v>
      </c>
      <c r="B3506" s="2" t="s">
        <v>60</v>
      </c>
      <c r="C3506" s="2" t="s">
        <v>35038</v>
      </c>
      <c r="D3506" s="2" t="s">
        <v>35039</v>
      </c>
      <c r="E3506" s="2" t="s">
        <v>35040</v>
      </c>
      <c r="G3506" s="3" t="s">
        <v>64</v>
      </c>
      <c r="I3506" s="3" t="s">
        <v>64</v>
      </c>
      <c r="J3506" s="3" t="s">
        <v>64</v>
      </c>
      <c r="K3506" s="3" t="s">
        <v>65</v>
      </c>
      <c r="M3506" s="2" t="s">
        <v>35041</v>
      </c>
      <c r="N3506" s="3" t="s">
        <v>551</v>
      </c>
      <c r="P3506" s="3" t="s">
        <v>102</v>
      </c>
      <c r="Q3506" s="2" t="s">
        <v>35042</v>
      </c>
      <c r="R3506" s="3" t="s">
        <v>70</v>
      </c>
      <c r="S3506" s="4">
        <v>1</v>
      </c>
      <c r="T3506" s="4">
        <v>1</v>
      </c>
      <c r="U3506" s="5" t="s">
        <v>6272</v>
      </c>
      <c r="V3506" s="5" t="s">
        <v>6272</v>
      </c>
      <c r="W3506" s="5" t="s">
        <v>72</v>
      </c>
      <c r="X3506" s="5" t="s">
        <v>72</v>
      </c>
      <c r="Y3506" s="4">
        <v>39</v>
      </c>
      <c r="Z3506" s="4">
        <v>5</v>
      </c>
      <c r="AA3506" s="4">
        <v>8</v>
      </c>
      <c r="AB3506" s="4">
        <v>4</v>
      </c>
      <c r="AC3506" s="4">
        <v>5</v>
      </c>
      <c r="AD3506" s="4">
        <v>10</v>
      </c>
      <c r="AE3506" s="4">
        <v>12</v>
      </c>
      <c r="AF3506" s="4">
        <v>0</v>
      </c>
      <c r="AG3506" s="4">
        <v>1</v>
      </c>
      <c r="AH3506" s="4">
        <v>9</v>
      </c>
      <c r="AI3506" s="4">
        <v>10</v>
      </c>
      <c r="AJ3506" s="4">
        <v>1</v>
      </c>
      <c r="AK3506" s="4">
        <v>3</v>
      </c>
      <c r="AL3506" s="4">
        <v>7</v>
      </c>
      <c r="AM3506" s="4">
        <v>8</v>
      </c>
      <c r="AN3506" s="4">
        <v>0</v>
      </c>
      <c r="AO3506" s="4">
        <v>0</v>
      </c>
      <c r="AP3506" s="4">
        <v>1</v>
      </c>
      <c r="AQ3506" s="4">
        <v>2</v>
      </c>
      <c r="AR3506" s="3" t="s">
        <v>64</v>
      </c>
      <c r="AS3506" s="3" t="s">
        <v>64</v>
      </c>
      <c r="AT3506" s="3" t="s">
        <v>64</v>
      </c>
      <c r="AV3506" s="6" t="str">
        <f>HYPERLINK("http://mcgill.on.worldcat.org/oclc/438111235","Catalog Record")</f>
        <v>Catalog Record</v>
      </c>
      <c r="AW3506" s="6" t="str">
        <f>HYPERLINK("http://www.worldcat.org/oclc/438111235","WorldCat Record")</f>
        <v>WorldCat Record</v>
      </c>
      <c r="AX3506" s="3" t="s">
        <v>35043</v>
      </c>
      <c r="AY3506" s="3" t="s">
        <v>35044</v>
      </c>
      <c r="AZ3506" s="3" t="s">
        <v>35045</v>
      </c>
      <c r="BA3506" s="3" t="s">
        <v>35045</v>
      </c>
      <c r="BB3506" s="3" t="s">
        <v>35046</v>
      </c>
      <c r="BC3506" s="3" t="s">
        <v>77</v>
      </c>
      <c r="BD3506" s="3" t="s">
        <v>78</v>
      </c>
      <c r="BF3506" s="3" t="s">
        <v>35046</v>
      </c>
      <c r="BG3506" s="3" t="s">
        <v>35047</v>
      </c>
      <c r="BH3506">
        <f t="shared" si="81"/>
        <v>0</v>
      </c>
    </row>
    <row r="3507" spans="1:60" ht="116" x14ac:dyDescent="0.35">
      <c r="A3507" s="2" t="s">
        <v>59</v>
      </c>
      <c r="B3507" s="2" t="s">
        <v>60</v>
      </c>
      <c r="C3507" s="2" t="s">
        <v>35048</v>
      </c>
      <c r="D3507" s="2" t="s">
        <v>35049</v>
      </c>
      <c r="E3507" s="2" t="s">
        <v>35050</v>
      </c>
      <c r="G3507" s="3" t="s">
        <v>64</v>
      </c>
      <c r="I3507" s="3" t="s">
        <v>64</v>
      </c>
      <c r="J3507" s="3" t="s">
        <v>64</v>
      </c>
      <c r="K3507" s="3" t="s">
        <v>65</v>
      </c>
      <c r="M3507" s="2" t="s">
        <v>35051</v>
      </c>
      <c r="N3507" s="3" t="s">
        <v>67</v>
      </c>
      <c r="P3507" s="3" t="s">
        <v>365</v>
      </c>
      <c r="R3507" s="3" t="s">
        <v>70</v>
      </c>
      <c r="S3507" s="4">
        <v>0</v>
      </c>
      <c r="T3507" s="4">
        <v>0</v>
      </c>
      <c r="W3507" s="5" t="s">
        <v>72</v>
      </c>
      <c r="X3507" s="5" t="s">
        <v>72</v>
      </c>
      <c r="Y3507" s="4">
        <v>20</v>
      </c>
      <c r="Z3507" s="4">
        <v>3</v>
      </c>
      <c r="AA3507" s="4">
        <v>3</v>
      </c>
      <c r="AB3507" s="4">
        <v>1</v>
      </c>
      <c r="AC3507" s="4">
        <v>1</v>
      </c>
      <c r="AD3507" s="4">
        <v>7</v>
      </c>
      <c r="AE3507" s="4">
        <v>7</v>
      </c>
      <c r="AF3507" s="4">
        <v>0</v>
      </c>
      <c r="AG3507" s="4">
        <v>0</v>
      </c>
      <c r="AH3507" s="4">
        <v>7</v>
      </c>
      <c r="AI3507" s="4">
        <v>7</v>
      </c>
      <c r="AJ3507" s="4">
        <v>1</v>
      </c>
      <c r="AK3507" s="4">
        <v>1</v>
      </c>
      <c r="AL3507" s="4">
        <v>6</v>
      </c>
      <c r="AM3507" s="4">
        <v>6</v>
      </c>
      <c r="AN3507" s="4">
        <v>0</v>
      </c>
      <c r="AO3507" s="4">
        <v>0</v>
      </c>
      <c r="AP3507" s="4">
        <v>1</v>
      </c>
      <c r="AQ3507" s="4">
        <v>1</v>
      </c>
      <c r="AR3507" s="3" t="s">
        <v>64</v>
      </c>
      <c r="AS3507" s="3" t="s">
        <v>64</v>
      </c>
      <c r="AT3507" s="3" t="s">
        <v>64</v>
      </c>
      <c r="AV3507" s="6" t="str">
        <f>HYPERLINK("http://mcgill.on.worldcat.org/oclc/879574456","Catalog Record")</f>
        <v>Catalog Record</v>
      </c>
      <c r="AW3507" s="6" t="str">
        <f>HYPERLINK("http://www.worldcat.org/oclc/879574456","WorldCat Record")</f>
        <v>WorldCat Record</v>
      </c>
      <c r="AX3507" s="3" t="s">
        <v>35052</v>
      </c>
      <c r="AY3507" s="3" t="s">
        <v>35053</v>
      </c>
      <c r="AZ3507" s="3" t="s">
        <v>35054</v>
      </c>
      <c r="BA3507" s="3" t="s">
        <v>35054</v>
      </c>
      <c r="BB3507" s="3" t="s">
        <v>35055</v>
      </c>
      <c r="BC3507" s="3" t="s">
        <v>77</v>
      </c>
      <c r="BD3507" s="3" t="s">
        <v>78</v>
      </c>
      <c r="BE3507" s="3" t="s">
        <v>35056</v>
      </c>
      <c r="BF3507" s="3" t="s">
        <v>35055</v>
      </c>
      <c r="BG3507" s="3" t="s">
        <v>35057</v>
      </c>
      <c r="BH3507">
        <f t="shared" si="81"/>
        <v>0</v>
      </c>
    </row>
    <row r="3508" spans="1:60" ht="58" x14ac:dyDescent="0.35">
      <c r="A3508" s="2" t="s">
        <v>59</v>
      </c>
      <c r="B3508" s="2" t="s">
        <v>60</v>
      </c>
      <c r="C3508" s="2" t="s">
        <v>35058</v>
      </c>
      <c r="D3508" s="2" t="s">
        <v>35059</v>
      </c>
      <c r="E3508" s="2" t="s">
        <v>35060</v>
      </c>
      <c r="G3508" s="3" t="s">
        <v>64</v>
      </c>
      <c r="I3508" s="3" t="s">
        <v>64</v>
      </c>
      <c r="J3508" s="3" t="s">
        <v>64</v>
      </c>
      <c r="K3508" s="3" t="s">
        <v>65</v>
      </c>
      <c r="M3508" s="2" t="s">
        <v>35061</v>
      </c>
      <c r="N3508" s="3" t="s">
        <v>67</v>
      </c>
      <c r="P3508" s="3" t="s">
        <v>365</v>
      </c>
      <c r="Q3508" s="2" t="s">
        <v>35062</v>
      </c>
      <c r="R3508" s="3" t="s">
        <v>70</v>
      </c>
      <c r="S3508" s="4">
        <v>0</v>
      </c>
      <c r="T3508" s="4">
        <v>0</v>
      </c>
      <c r="W3508" s="5" t="s">
        <v>72</v>
      </c>
      <c r="X3508" s="5" t="s">
        <v>72</v>
      </c>
      <c r="Y3508" s="4">
        <v>70</v>
      </c>
      <c r="Z3508" s="4">
        <v>5</v>
      </c>
      <c r="AA3508" s="4">
        <v>5</v>
      </c>
      <c r="AB3508" s="4">
        <v>1</v>
      </c>
      <c r="AC3508" s="4">
        <v>1</v>
      </c>
      <c r="AD3508" s="4">
        <v>38</v>
      </c>
      <c r="AE3508" s="4">
        <v>38</v>
      </c>
      <c r="AF3508" s="4">
        <v>0</v>
      </c>
      <c r="AG3508" s="4">
        <v>0</v>
      </c>
      <c r="AH3508" s="4">
        <v>37</v>
      </c>
      <c r="AI3508" s="4">
        <v>37</v>
      </c>
      <c r="AJ3508" s="4">
        <v>2</v>
      </c>
      <c r="AK3508" s="4">
        <v>2</v>
      </c>
      <c r="AL3508" s="4">
        <v>28</v>
      </c>
      <c r="AM3508" s="4">
        <v>28</v>
      </c>
      <c r="AN3508" s="4">
        <v>0</v>
      </c>
      <c r="AO3508" s="4">
        <v>0</v>
      </c>
      <c r="AP3508" s="4">
        <v>2</v>
      </c>
      <c r="AQ3508" s="4">
        <v>2</v>
      </c>
      <c r="AR3508" s="3" t="s">
        <v>64</v>
      </c>
      <c r="AS3508" s="3" t="s">
        <v>64</v>
      </c>
      <c r="AT3508" s="3" t="s">
        <v>64</v>
      </c>
      <c r="AV3508" s="6" t="str">
        <f>HYPERLINK("http://mcgill.on.worldcat.org/oclc/904782921","Catalog Record")</f>
        <v>Catalog Record</v>
      </c>
      <c r="AW3508" s="6" t="str">
        <f>HYPERLINK("http://www.worldcat.org/oclc/904782921","WorldCat Record")</f>
        <v>WorldCat Record</v>
      </c>
      <c r="AX3508" s="3" t="s">
        <v>35063</v>
      </c>
      <c r="AY3508" s="3" t="s">
        <v>35064</v>
      </c>
      <c r="AZ3508" s="3" t="s">
        <v>35065</v>
      </c>
      <c r="BA3508" s="3" t="s">
        <v>35065</v>
      </c>
      <c r="BB3508" s="3" t="s">
        <v>35066</v>
      </c>
      <c r="BC3508" s="3" t="s">
        <v>77</v>
      </c>
      <c r="BD3508" s="3" t="s">
        <v>78</v>
      </c>
      <c r="BE3508" s="3" t="s">
        <v>35067</v>
      </c>
      <c r="BF3508" s="3" t="s">
        <v>35066</v>
      </c>
      <c r="BG3508" s="3" t="s">
        <v>35068</v>
      </c>
      <c r="BH3508">
        <f t="shared" si="81"/>
        <v>0</v>
      </c>
    </row>
    <row r="3509" spans="1:60" ht="58" x14ac:dyDescent="0.35">
      <c r="A3509" s="2" t="s">
        <v>59</v>
      </c>
      <c r="B3509" s="2" t="s">
        <v>60</v>
      </c>
      <c r="C3509" s="2" t="s">
        <v>35069</v>
      </c>
      <c r="D3509" s="2" t="s">
        <v>35070</v>
      </c>
      <c r="E3509" s="2" t="s">
        <v>35071</v>
      </c>
      <c r="G3509" s="3" t="s">
        <v>64</v>
      </c>
      <c r="I3509" s="3" t="s">
        <v>64</v>
      </c>
      <c r="J3509" s="3" t="s">
        <v>64</v>
      </c>
      <c r="K3509" s="3" t="s">
        <v>65</v>
      </c>
      <c r="L3509" s="2" t="s">
        <v>35072</v>
      </c>
      <c r="M3509" s="2" t="s">
        <v>35073</v>
      </c>
      <c r="N3509" s="3" t="s">
        <v>86</v>
      </c>
      <c r="P3509" s="3" t="s">
        <v>365</v>
      </c>
      <c r="Q3509" s="2" t="s">
        <v>35074</v>
      </c>
      <c r="R3509" s="3" t="s">
        <v>70</v>
      </c>
      <c r="S3509" s="4">
        <v>0</v>
      </c>
      <c r="T3509" s="4">
        <v>0</v>
      </c>
      <c r="W3509" s="5" t="s">
        <v>72</v>
      </c>
      <c r="X3509" s="5" t="s">
        <v>72</v>
      </c>
      <c r="Y3509" s="4">
        <v>58</v>
      </c>
      <c r="Z3509" s="4">
        <v>4</v>
      </c>
      <c r="AA3509" s="4">
        <v>4</v>
      </c>
      <c r="AB3509" s="4">
        <v>1</v>
      </c>
      <c r="AC3509" s="4">
        <v>1</v>
      </c>
      <c r="AD3509" s="4">
        <v>27</v>
      </c>
      <c r="AE3509" s="4">
        <v>27</v>
      </c>
      <c r="AF3509" s="4">
        <v>0</v>
      </c>
      <c r="AG3509" s="4">
        <v>0</v>
      </c>
      <c r="AH3509" s="4">
        <v>26</v>
      </c>
      <c r="AI3509" s="4">
        <v>26</v>
      </c>
      <c r="AJ3509" s="4">
        <v>2</v>
      </c>
      <c r="AK3509" s="4">
        <v>2</v>
      </c>
      <c r="AL3509" s="4">
        <v>21</v>
      </c>
      <c r="AM3509" s="4">
        <v>21</v>
      </c>
      <c r="AN3509" s="4">
        <v>0</v>
      </c>
      <c r="AO3509" s="4">
        <v>0</v>
      </c>
      <c r="AP3509" s="4">
        <v>2</v>
      </c>
      <c r="AQ3509" s="4">
        <v>2</v>
      </c>
      <c r="AR3509" s="3" t="s">
        <v>64</v>
      </c>
      <c r="AS3509" s="3" t="s">
        <v>64</v>
      </c>
      <c r="AT3509" s="3" t="s">
        <v>64</v>
      </c>
      <c r="AV3509" s="6" t="str">
        <f>HYPERLINK("http://mcgill.on.worldcat.org/oclc/829405724","Catalog Record")</f>
        <v>Catalog Record</v>
      </c>
      <c r="AW3509" s="6" t="str">
        <f>HYPERLINK("http://www.worldcat.org/oclc/829405724","WorldCat Record")</f>
        <v>WorldCat Record</v>
      </c>
      <c r="AX3509" s="3" t="s">
        <v>35075</v>
      </c>
      <c r="AY3509" s="3" t="s">
        <v>35076</v>
      </c>
      <c r="AZ3509" s="3" t="s">
        <v>35077</v>
      </c>
      <c r="BA3509" s="3" t="s">
        <v>35077</v>
      </c>
      <c r="BB3509" s="3" t="s">
        <v>35078</v>
      </c>
      <c r="BC3509" s="3" t="s">
        <v>77</v>
      </c>
      <c r="BD3509" s="3" t="s">
        <v>78</v>
      </c>
      <c r="BE3509" s="3" t="s">
        <v>35079</v>
      </c>
      <c r="BF3509" s="3" t="s">
        <v>35078</v>
      </c>
      <c r="BG3509" s="3" t="s">
        <v>35080</v>
      </c>
      <c r="BH3509">
        <f t="shared" si="81"/>
        <v>0</v>
      </c>
    </row>
    <row r="3510" spans="1:60" ht="58" x14ac:dyDescent="0.35">
      <c r="A3510" s="2" t="s">
        <v>59</v>
      </c>
      <c r="B3510" s="2" t="s">
        <v>60</v>
      </c>
      <c r="C3510" s="2" t="s">
        <v>35081</v>
      </c>
      <c r="D3510" s="2" t="s">
        <v>35082</v>
      </c>
      <c r="E3510" s="2" t="s">
        <v>35083</v>
      </c>
      <c r="G3510" s="3" t="s">
        <v>64</v>
      </c>
      <c r="I3510" s="3" t="s">
        <v>64</v>
      </c>
      <c r="J3510" s="3" t="s">
        <v>64</v>
      </c>
      <c r="K3510" s="3" t="s">
        <v>65</v>
      </c>
      <c r="L3510" s="2" t="s">
        <v>35084</v>
      </c>
      <c r="M3510" s="2" t="s">
        <v>35085</v>
      </c>
      <c r="N3510" s="3" t="s">
        <v>3047</v>
      </c>
      <c r="P3510" s="3" t="s">
        <v>365</v>
      </c>
      <c r="Q3510" s="2" t="s">
        <v>35086</v>
      </c>
      <c r="R3510" s="3" t="s">
        <v>70</v>
      </c>
      <c r="S3510" s="4">
        <v>10</v>
      </c>
      <c r="T3510" s="4">
        <v>10</v>
      </c>
      <c r="U3510" s="5" t="s">
        <v>35087</v>
      </c>
      <c r="V3510" s="5" t="s">
        <v>35087</v>
      </c>
      <c r="W3510" s="5" t="s">
        <v>72</v>
      </c>
      <c r="X3510" s="5" t="s">
        <v>72</v>
      </c>
      <c r="Y3510" s="4">
        <v>72</v>
      </c>
      <c r="Z3510" s="4">
        <v>6</v>
      </c>
      <c r="AA3510" s="4">
        <v>7</v>
      </c>
      <c r="AB3510" s="4">
        <v>2</v>
      </c>
      <c r="AC3510" s="4">
        <v>3</v>
      </c>
      <c r="AD3510" s="4">
        <v>28</v>
      </c>
      <c r="AE3510" s="4">
        <v>29</v>
      </c>
      <c r="AF3510" s="4">
        <v>0</v>
      </c>
      <c r="AG3510" s="4">
        <v>1</v>
      </c>
      <c r="AH3510" s="4">
        <v>26</v>
      </c>
      <c r="AI3510" s="4">
        <v>26</v>
      </c>
      <c r="AJ3510" s="4">
        <v>2</v>
      </c>
      <c r="AK3510" s="4">
        <v>3</v>
      </c>
      <c r="AL3510" s="4">
        <v>23</v>
      </c>
      <c r="AM3510" s="4">
        <v>23</v>
      </c>
      <c r="AN3510" s="4">
        <v>0</v>
      </c>
      <c r="AO3510" s="4">
        <v>0</v>
      </c>
      <c r="AP3510" s="4">
        <v>2</v>
      </c>
      <c r="AQ3510" s="4">
        <v>3</v>
      </c>
      <c r="AR3510" s="3" t="s">
        <v>64</v>
      </c>
      <c r="AS3510" s="3" t="s">
        <v>64</v>
      </c>
      <c r="AT3510" s="3" t="s">
        <v>64</v>
      </c>
      <c r="AV3510" s="6" t="str">
        <f>HYPERLINK("http://mcgill.on.worldcat.org/oclc/20390955","Catalog Record")</f>
        <v>Catalog Record</v>
      </c>
      <c r="AW3510" s="6" t="str">
        <f>HYPERLINK("http://www.worldcat.org/oclc/20390955","WorldCat Record")</f>
        <v>WorldCat Record</v>
      </c>
      <c r="AX3510" s="3" t="s">
        <v>35088</v>
      </c>
      <c r="AY3510" s="3" t="s">
        <v>35089</v>
      </c>
      <c r="AZ3510" s="3" t="s">
        <v>35090</v>
      </c>
      <c r="BA3510" s="3" t="s">
        <v>35090</v>
      </c>
      <c r="BB3510" s="3" t="s">
        <v>35091</v>
      </c>
      <c r="BC3510" s="3" t="s">
        <v>77</v>
      </c>
      <c r="BD3510" s="3" t="s">
        <v>78</v>
      </c>
      <c r="BE3510" s="3" t="s">
        <v>35092</v>
      </c>
      <c r="BF3510" s="3" t="s">
        <v>35091</v>
      </c>
      <c r="BG3510" s="3" t="s">
        <v>35093</v>
      </c>
      <c r="BH3510">
        <f t="shared" si="81"/>
        <v>0</v>
      </c>
    </row>
    <row r="3511" spans="1:60" ht="116" x14ac:dyDescent="0.35">
      <c r="A3511" s="2" t="s">
        <v>59</v>
      </c>
      <c r="B3511" s="2" t="s">
        <v>1183</v>
      </c>
      <c r="C3511" s="2" t="s">
        <v>35094</v>
      </c>
      <c r="D3511" s="2" t="s">
        <v>35095</v>
      </c>
      <c r="E3511" s="2" t="s">
        <v>35096</v>
      </c>
      <c r="G3511" s="3" t="s">
        <v>64</v>
      </c>
      <c r="I3511" s="3" t="s">
        <v>64</v>
      </c>
      <c r="J3511" s="3" t="s">
        <v>64</v>
      </c>
      <c r="K3511" s="3" t="s">
        <v>65</v>
      </c>
      <c r="L3511" s="2" t="s">
        <v>35097</v>
      </c>
      <c r="M3511" s="2" t="s">
        <v>35098</v>
      </c>
      <c r="N3511" s="3" t="s">
        <v>1763</v>
      </c>
      <c r="O3511" s="2" t="s">
        <v>1189</v>
      </c>
      <c r="P3511" s="3" t="s">
        <v>1190</v>
      </c>
      <c r="R3511" s="3" t="s">
        <v>70</v>
      </c>
      <c r="S3511" s="4">
        <v>1</v>
      </c>
      <c r="T3511" s="4">
        <v>1</v>
      </c>
      <c r="U3511" s="5" t="s">
        <v>11358</v>
      </c>
      <c r="V3511" s="5" t="s">
        <v>11358</v>
      </c>
      <c r="W3511" s="5" t="s">
        <v>72</v>
      </c>
      <c r="X3511" s="5" t="s">
        <v>72</v>
      </c>
      <c r="Y3511" s="4">
        <v>7</v>
      </c>
      <c r="Z3511" s="4">
        <v>3</v>
      </c>
      <c r="AA3511" s="4">
        <v>3</v>
      </c>
      <c r="AB3511" s="4">
        <v>1</v>
      </c>
      <c r="AC3511" s="4">
        <v>1</v>
      </c>
      <c r="AD3511" s="4">
        <v>3</v>
      </c>
      <c r="AE3511" s="4">
        <v>3</v>
      </c>
      <c r="AF3511" s="4">
        <v>0</v>
      </c>
      <c r="AG3511" s="4">
        <v>0</v>
      </c>
      <c r="AH3511" s="4">
        <v>3</v>
      </c>
      <c r="AI3511" s="4">
        <v>3</v>
      </c>
      <c r="AJ3511" s="4">
        <v>1</v>
      </c>
      <c r="AK3511" s="4">
        <v>1</v>
      </c>
      <c r="AL3511" s="4">
        <v>2</v>
      </c>
      <c r="AM3511" s="4">
        <v>2</v>
      </c>
      <c r="AN3511" s="4">
        <v>0</v>
      </c>
      <c r="AO3511" s="4">
        <v>0</v>
      </c>
      <c r="AP3511" s="4">
        <v>1</v>
      </c>
      <c r="AQ3511" s="4">
        <v>1</v>
      </c>
      <c r="AR3511" s="3" t="s">
        <v>64</v>
      </c>
      <c r="AS3511" s="3" t="s">
        <v>64</v>
      </c>
      <c r="AT3511" s="3" t="s">
        <v>128</v>
      </c>
      <c r="AU3511" s="6" t="str">
        <f>HYPERLINK("http://catalog.hathitrust.org/Record/002167069","HathiTrust Record")</f>
        <v>HathiTrust Record</v>
      </c>
      <c r="AV3511" s="6" t="str">
        <f>HYPERLINK("http://mcgill.on.worldcat.org/oclc/22308085","Catalog Record")</f>
        <v>Catalog Record</v>
      </c>
      <c r="AW3511" s="6" t="str">
        <f>HYPERLINK("http://www.worldcat.org/oclc/22308085","WorldCat Record")</f>
        <v>WorldCat Record</v>
      </c>
      <c r="AX3511" s="3" t="s">
        <v>35099</v>
      </c>
      <c r="AY3511" s="3" t="s">
        <v>35100</v>
      </c>
      <c r="AZ3511" s="3" t="s">
        <v>35101</v>
      </c>
      <c r="BA3511" s="3" t="s">
        <v>35101</v>
      </c>
      <c r="BB3511" s="3" t="s">
        <v>35102</v>
      </c>
      <c r="BC3511" s="3" t="s">
        <v>77</v>
      </c>
      <c r="BD3511" s="3" t="s">
        <v>78</v>
      </c>
      <c r="BF3511" s="3" t="s">
        <v>35102</v>
      </c>
      <c r="BG3511" s="3" t="s">
        <v>35103</v>
      </c>
      <c r="BH3511">
        <f t="shared" si="81"/>
        <v>0</v>
      </c>
    </row>
    <row r="3512" spans="1:60" ht="58" x14ac:dyDescent="0.35">
      <c r="A3512" s="2" t="s">
        <v>59</v>
      </c>
      <c r="B3512" s="2" t="s">
        <v>60</v>
      </c>
      <c r="C3512" s="2" t="s">
        <v>35104</v>
      </c>
      <c r="D3512" s="2" t="s">
        <v>35105</v>
      </c>
      <c r="E3512" s="2" t="s">
        <v>35106</v>
      </c>
      <c r="G3512" s="3" t="s">
        <v>64</v>
      </c>
      <c r="I3512" s="3" t="s">
        <v>64</v>
      </c>
      <c r="J3512" s="3" t="s">
        <v>64</v>
      </c>
      <c r="K3512" s="3" t="s">
        <v>65</v>
      </c>
      <c r="L3512" s="2" t="s">
        <v>35107</v>
      </c>
      <c r="M3512" s="2" t="s">
        <v>35108</v>
      </c>
      <c r="N3512" s="3" t="s">
        <v>3721</v>
      </c>
      <c r="P3512" s="3" t="s">
        <v>102</v>
      </c>
      <c r="R3512" s="3" t="s">
        <v>70</v>
      </c>
      <c r="S3512" s="4">
        <v>13</v>
      </c>
      <c r="T3512" s="4">
        <v>13</v>
      </c>
      <c r="U3512" s="5" t="s">
        <v>13889</v>
      </c>
      <c r="V3512" s="5" t="s">
        <v>13889</v>
      </c>
      <c r="W3512" s="5" t="s">
        <v>72</v>
      </c>
      <c r="X3512" s="5" t="s">
        <v>72</v>
      </c>
      <c r="Y3512" s="4">
        <v>241</v>
      </c>
      <c r="Z3512" s="4">
        <v>17</v>
      </c>
      <c r="AA3512" s="4">
        <v>18</v>
      </c>
      <c r="AB3512" s="4">
        <v>1</v>
      </c>
      <c r="AC3512" s="4">
        <v>2</v>
      </c>
      <c r="AD3512" s="4">
        <v>85</v>
      </c>
      <c r="AE3512" s="4">
        <v>86</v>
      </c>
      <c r="AF3512" s="4">
        <v>0</v>
      </c>
      <c r="AG3512" s="4">
        <v>1</v>
      </c>
      <c r="AH3512" s="4">
        <v>77</v>
      </c>
      <c r="AI3512" s="4">
        <v>77</v>
      </c>
      <c r="AJ3512" s="4">
        <v>12</v>
      </c>
      <c r="AK3512" s="4">
        <v>13</v>
      </c>
      <c r="AL3512" s="4">
        <v>42</v>
      </c>
      <c r="AM3512" s="4">
        <v>42</v>
      </c>
      <c r="AN3512" s="4">
        <v>0</v>
      </c>
      <c r="AO3512" s="4">
        <v>0</v>
      </c>
      <c r="AP3512" s="4">
        <v>12</v>
      </c>
      <c r="AQ3512" s="4">
        <v>12</v>
      </c>
      <c r="AR3512" s="3" t="s">
        <v>64</v>
      </c>
      <c r="AS3512" s="3" t="s">
        <v>64</v>
      </c>
      <c r="AT3512" s="3" t="s">
        <v>128</v>
      </c>
      <c r="AU3512" s="6" t="str">
        <f>HYPERLINK("http://catalog.hathitrust.org/Record/000260471","HathiTrust Record")</f>
        <v>HathiTrust Record</v>
      </c>
      <c r="AV3512" s="6" t="str">
        <f>HYPERLINK("http://mcgill.on.worldcat.org/oclc/4664450","Catalog Record")</f>
        <v>Catalog Record</v>
      </c>
      <c r="AW3512" s="6" t="str">
        <f>HYPERLINK("http://www.worldcat.org/oclc/4664450","WorldCat Record")</f>
        <v>WorldCat Record</v>
      </c>
      <c r="AX3512" s="3" t="s">
        <v>35109</v>
      </c>
      <c r="AY3512" s="3" t="s">
        <v>35110</v>
      </c>
      <c r="AZ3512" s="3" t="s">
        <v>35111</v>
      </c>
      <c r="BA3512" s="3" t="s">
        <v>35111</v>
      </c>
      <c r="BB3512" s="3" t="s">
        <v>35112</v>
      </c>
      <c r="BC3512" s="3" t="s">
        <v>77</v>
      </c>
      <c r="BD3512" s="3" t="s">
        <v>78</v>
      </c>
      <c r="BE3512" s="3" t="s">
        <v>35113</v>
      </c>
      <c r="BF3512" s="3" t="s">
        <v>35112</v>
      </c>
      <c r="BG3512" s="3" t="s">
        <v>35114</v>
      </c>
      <c r="BH3512">
        <f t="shared" si="81"/>
        <v>0</v>
      </c>
    </row>
    <row r="3513" spans="1:60" ht="58" x14ac:dyDescent="0.35">
      <c r="A3513" s="2" t="s">
        <v>59</v>
      </c>
      <c r="B3513" s="2" t="s">
        <v>60</v>
      </c>
      <c r="C3513" s="2" t="s">
        <v>35115</v>
      </c>
      <c r="D3513" s="2" t="s">
        <v>35116</v>
      </c>
      <c r="E3513" s="2" t="s">
        <v>35117</v>
      </c>
      <c r="G3513" s="3" t="s">
        <v>64</v>
      </c>
      <c r="I3513" s="3" t="s">
        <v>64</v>
      </c>
      <c r="J3513" s="3" t="s">
        <v>64</v>
      </c>
      <c r="K3513" s="3" t="s">
        <v>65</v>
      </c>
      <c r="L3513" s="2" t="s">
        <v>35118</v>
      </c>
      <c r="M3513" s="2" t="s">
        <v>35119</v>
      </c>
      <c r="N3513" s="3" t="s">
        <v>511</v>
      </c>
      <c r="O3513" s="2" t="s">
        <v>117</v>
      </c>
      <c r="P3513" s="3" t="s">
        <v>102</v>
      </c>
      <c r="R3513" s="3" t="s">
        <v>70</v>
      </c>
      <c r="S3513" s="4">
        <v>1</v>
      </c>
      <c r="T3513" s="4">
        <v>1</v>
      </c>
      <c r="U3513" s="5" t="s">
        <v>35120</v>
      </c>
      <c r="V3513" s="5" t="s">
        <v>35120</v>
      </c>
      <c r="W3513" s="5" t="s">
        <v>72</v>
      </c>
      <c r="X3513" s="5" t="s">
        <v>72</v>
      </c>
      <c r="Y3513" s="4">
        <v>24</v>
      </c>
      <c r="Z3513" s="4">
        <v>4</v>
      </c>
      <c r="AA3513" s="4">
        <v>5</v>
      </c>
      <c r="AB3513" s="4">
        <v>1</v>
      </c>
      <c r="AC3513" s="4">
        <v>2</v>
      </c>
      <c r="AD3513" s="4">
        <v>4</v>
      </c>
      <c r="AE3513" s="4">
        <v>4</v>
      </c>
      <c r="AF3513" s="4">
        <v>0</v>
      </c>
      <c r="AG3513" s="4">
        <v>0</v>
      </c>
      <c r="AH3513" s="4">
        <v>4</v>
      </c>
      <c r="AI3513" s="4">
        <v>4</v>
      </c>
      <c r="AJ3513" s="4">
        <v>2</v>
      </c>
      <c r="AK3513" s="4">
        <v>2</v>
      </c>
      <c r="AL3513" s="4">
        <v>3</v>
      </c>
      <c r="AM3513" s="4">
        <v>3</v>
      </c>
      <c r="AN3513" s="4">
        <v>0</v>
      </c>
      <c r="AO3513" s="4">
        <v>0</v>
      </c>
      <c r="AP3513" s="4">
        <v>2</v>
      </c>
      <c r="AQ3513" s="4">
        <v>2</v>
      </c>
      <c r="AR3513" s="3" t="s">
        <v>64</v>
      </c>
      <c r="AS3513" s="3" t="s">
        <v>64</v>
      </c>
      <c r="AT3513" s="3" t="s">
        <v>64</v>
      </c>
      <c r="AV3513" s="6" t="str">
        <f>HYPERLINK("http://mcgill.on.worldcat.org/oclc/660845889","Catalog Record")</f>
        <v>Catalog Record</v>
      </c>
      <c r="AW3513" s="6" t="str">
        <f>HYPERLINK("http://www.worldcat.org/oclc/660845889","WorldCat Record")</f>
        <v>WorldCat Record</v>
      </c>
      <c r="AX3513" s="3" t="s">
        <v>35121</v>
      </c>
      <c r="AY3513" s="3" t="s">
        <v>35122</v>
      </c>
      <c r="AZ3513" s="3" t="s">
        <v>35123</v>
      </c>
      <c r="BA3513" s="3" t="s">
        <v>35123</v>
      </c>
      <c r="BB3513" s="3" t="s">
        <v>35124</v>
      </c>
      <c r="BC3513" s="3" t="s">
        <v>77</v>
      </c>
      <c r="BD3513" s="3" t="s">
        <v>78</v>
      </c>
      <c r="BE3513" s="3" t="s">
        <v>35125</v>
      </c>
      <c r="BF3513" s="3" t="s">
        <v>35124</v>
      </c>
      <c r="BG3513" s="3" t="s">
        <v>35126</v>
      </c>
      <c r="BH3513">
        <f t="shared" si="81"/>
        <v>0</v>
      </c>
    </row>
    <row r="3514" spans="1:60" ht="58" x14ac:dyDescent="0.35">
      <c r="A3514" s="2" t="s">
        <v>59</v>
      </c>
      <c r="B3514" s="2" t="s">
        <v>60</v>
      </c>
      <c r="C3514" s="2" t="s">
        <v>35127</v>
      </c>
      <c r="D3514" s="2" t="s">
        <v>35128</v>
      </c>
      <c r="E3514" s="2" t="s">
        <v>35129</v>
      </c>
      <c r="G3514" s="3" t="s">
        <v>64</v>
      </c>
      <c r="I3514" s="3" t="s">
        <v>64</v>
      </c>
      <c r="J3514" s="3" t="s">
        <v>128</v>
      </c>
      <c r="K3514" s="3" t="s">
        <v>65</v>
      </c>
      <c r="M3514" s="2" t="s">
        <v>35130</v>
      </c>
      <c r="N3514" s="3" t="s">
        <v>190</v>
      </c>
      <c r="P3514" s="3" t="s">
        <v>35131</v>
      </c>
      <c r="R3514" s="3" t="s">
        <v>70</v>
      </c>
      <c r="S3514" s="4">
        <v>0</v>
      </c>
      <c r="T3514" s="4">
        <v>0</v>
      </c>
      <c r="W3514" s="5" t="s">
        <v>17763</v>
      </c>
      <c r="X3514" s="5" t="s">
        <v>17763</v>
      </c>
      <c r="Y3514" s="4">
        <v>4</v>
      </c>
      <c r="Z3514" s="4">
        <v>1</v>
      </c>
      <c r="AA3514" s="4">
        <v>1</v>
      </c>
      <c r="AB3514" s="4">
        <v>1</v>
      </c>
      <c r="AC3514" s="4">
        <v>1</v>
      </c>
      <c r="AD3514" s="4">
        <v>2</v>
      </c>
      <c r="AE3514" s="4">
        <v>2</v>
      </c>
      <c r="AF3514" s="4">
        <v>0</v>
      </c>
      <c r="AG3514" s="4">
        <v>0</v>
      </c>
      <c r="AH3514" s="4">
        <v>2</v>
      </c>
      <c r="AI3514" s="4">
        <v>2</v>
      </c>
      <c r="AJ3514" s="4">
        <v>0</v>
      </c>
      <c r="AK3514" s="4">
        <v>0</v>
      </c>
      <c r="AL3514" s="4">
        <v>1</v>
      </c>
      <c r="AM3514" s="4">
        <v>1</v>
      </c>
      <c r="AN3514" s="4">
        <v>0</v>
      </c>
      <c r="AO3514" s="4">
        <v>0</v>
      </c>
      <c r="AP3514" s="4">
        <v>0</v>
      </c>
      <c r="AQ3514" s="4">
        <v>0</v>
      </c>
      <c r="AR3514" s="3" t="s">
        <v>64</v>
      </c>
      <c r="AS3514" s="3" t="s">
        <v>64</v>
      </c>
      <c r="AT3514" s="3" t="s">
        <v>64</v>
      </c>
      <c r="AV3514" s="6" t="str">
        <f>HYPERLINK("http://mcgill.on.worldcat.org/oclc/1096330301","Catalog Record")</f>
        <v>Catalog Record</v>
      </c>
      <c r="AW3514" s="6" t="str">
        <f>HYPERLINK("http://www.worldcat.org/oclc/1096330301","WorldCat Record")</f>
        <v>WorldCat Record</v>
      </c>
      <c r="AX3514" s="3" t="s">
        <v>35132</v>
      </c>
      <c r="AY3514" s="3" t="s">
        <v>35133</v>
      </c>
      <c r="AZ3514" s="3" t="s">
        <v>35134</v>
      </c>
      <c r="BA3514" s="3" t="s">
        <v>35134</v>
      </c>
      <c r="BB3514" s="3" t="s">
        <v>35135</v>
      </c>
      <c r="BC3514" s="3" t="s">
        <v>77</v>
      </c>
      <c r="BD3514" s="3" t="s">
        <v>78</v>
      </c>
      <c r="BE3514" s="3" t="s">
        <v>35136</v>
      </c>
      <c r="BF3514" s="3" t="s">
        <v>35135</v>
      </c>
      <c r="BG3514" s="3" t="s">
        <v>35137</v>
      </c>
      <c r="BH3514">
        <f t="shared" si="81"/>
        <v>0</v>
      </c>
    </row>
    <row r="3515" spans="1:60" ht="58" x14ac:dyDescent="0.35">
      <c r="A3515" s="2" t="s">
        <v>59</v>
      </c>
      <c r="B3515" s="2" t="s">
        <v>60</v>
      </c>
      <c r="C3515" s="2" t="s">
        <v>35127</v>
      </c>
      <c r="D3515" s="2" t="s">
        <v>35128</v>
      </c>
      <c r="E3515" s="2" t="s">
        <v>35138</v>
      </c>
      <c r="G3515" s="3" t="s">
        <v>64</v>
      </c>
      <c r="I3515" s="3" t="s">
        <v>64</v>
      </c>
      <c r="J3515" s="3" t="s">
        <v>128</v>
      </c>
      <c r="K3515" s="3" t="s">
        <v>65</v>
      </c>
      <c r="M3515" s="2" t="s">
        <v>35139</v>
      </c>
      <c r="N3515" s="3" t="s">
        <v>190</v>
      </c>
      <c r="P3515" s="3" t="s">
        <v>35131</v>
      </c>
      <c r="R3515" s="3" t="s">
        <v>70</v>
      </c>
      <c r="S3515" s="4">
        <v>0</v>
      </c>
      <c r="T3515" s="4">
        <v>0</v>
      </c>
      <c r="W3515" s="5" t="s">
        <v>17763</v>
      </c>
      <c r="X3515" s="5" t="s">
        <v>17763</v>
      </c>
      <c r="Y3515" s="4">
        <v>2</v>
      </c>
      <c r="Z3515" s="4">
        <v>1</v>
      </c>
      <c r="AA3515" s="4">
        <v>1</v>
      </c>
      <c r="AB3515" s="4">
        <v>1</v>
      </c>
      <c r="AC3515" s="4">
        <v>1</v>
      </c>
      <c r="AD3515" s="4">
        <v>0</v>
      </c>
      <c r="AE3515" s="4">
        <v>2</v>
      </c>
      <c r="AF3515" s="4">
        <v>0</v>
      </c>
      <c r="AG3515" s="4">
        <v>0</v>
      </c>
      <c r="AH3515" s="4">
        <v>0</v>
      </c>
      <c r="AI3515" s="4">
        <v>2</v>
      </c>
      <c r="AJ3515" s="4">
        <v>0</v>
      </c>
      <c r="AK3515" s="4">
        <v>0</v>
      </c>
      <c r="AL3515" s="4">
        <v>0</v>
      </c>
      <c r="AM3515" s="4">
        <v>1</v>
      </c>
      <c r="AN3515" s="4">
        <v>0</v>
      </c>
      <c r="AO3515" s="4">
        <v>0</v>
      </c>
      <c r="AP3515" s="4">
        <v>0</v>
      </c>
      <c r="AQ3515" s="4">
        <v>0</v>
      </c>
      <c r="AR3515" s="3" t="s">
        <v>64</v>
      </c>
      <c r="AS3515" s="3" t="s">
        <v>64</v>
      </c>
      <c r="AT3515" s="3" t="s">
        <v>64</v>
      </c>
      <c r="AV3515" s="6" t="str">
        <f>HYPERLINK("http://mcgill.on.worldcat.org/oclc/1073032272","Catalog Record")</f>
        <v>Catalog Record</v>
      </c>
      <c r="AW3515" s="6" t="str">
        <f>HYPERLINK("http://www.worldcat.org/oclc/1073032272","WorldCat Record")</f>
        <v>WorldCat Record</v>
      </c>
      <c r="AX3515" s="3" t="s">
        <v>35132</v>
      </c>
      <c r="AY3515" s="3" t="s">
        <v>35140</v>
      </c>
      <c r="AZ3515" s="3" t="s">
        <v>35141</v>
      </c>
      <c r="BA3515" s="3" t="s">
        <v>35141</v>
      </c>
      <c r="BB3515" s="3" t="s">
        <v>35142</v>
      </c>
      <c r="BC3515" s="3" t="s">
        <v>77</v>
      </c>
      <c r="BD3515" s="3" t="s">
        <v>78</v>
      </c>
      <c r="BE3515" s="3" t="s">
        <v>35136</v>
      </c>
      <c r="BF3515" s="3" t="s">
        <v>35142</v>
      </c>
      <c r="BG3515" s="3" t="s">
        <v>35143</v>
      </c>
      <c r="BH3515">
        <f t="shared" si="81"/>
        <v>0</v>
      </c>
    </row>
    <row r="3516" spans="1:60" ht="116" x14ac:dyDescent="0.35">
      <c r="A3516" s="2" t="s">
        <v>59</v>
      </c>
      <c r="B3516" s="2" t="s">
        <v>1183</v>
      </c>
      <c r="C3516" s="2" t="s">
        <v>35144</v>
      </c>
      <c r="D3516" s="2" t="s">
        <v>35145</v>
      </c>
      <c r="E3516" s="2" t="s">
        <v>35146</v>
      </c>
      <c r="F3516" s="3" t="s">
        <v>522</v>
      </c>
      <c r="G3516" s="3" t="s">
        <v>128</v>
      </c>
      <c r="I3516" s="3" t="s">
        <v>64</v>
      </c>
      <c r="J3516" s="3" t="s">
        <v>64</v>
      </c>
      <c r="K3516" s="3" t="s">
        <v>65</v>
      </c>
      <c r="M3516" s="2" t="s">
        <v>25848</v>
      </c>
      <c r="N3516" s="3" t="s">
        <v>578</v>
      </c>
      <c r="O3516" s="2" t="s">
        <v>1189</v>
      </c>
      <c r="P3516" s="3" t="s">
        <v>1190</v>
      </c>
      <c r="Q3516" s="2" t="s">
        <v>35147</v>
      </c>
      <c r="R3516" s="3" t="s">
        <v>70</v>
      </c>
      <c r="S3516" s="4">
        <v>0</v>
      </c>
      <c r="T3516" s="4">
        <v>2</v>
      </c>
      <c r="V3516" s="5" t="s">
        <v>5146</v>
      </c>
      <c r="W3516" s="5" t="s">
        <v>72</v>
      </c>
      <c r="X3516" s="5" t="s">
        <v>72</v>
      </c>
      <c r="Y3516" s="4">
        <v>23</v>
      </c>
      <c r="Z3516" s="4">
        <v>2</v>
      </c>
      <c r="AA3516" s="4">
        <v>2</v>
      </c>
      <c r="AB3516" s="4">
        <v>1</v>
      </c>
      <c r="AC3516" s="4">
        <v>1</v>
      </c>
      <c r="AD3516" s="4">
        <v>16</v>
      </c>
      <c r="AE3516" s="4">
        <v>16</v>
      </c>
      <c r="AF3516" s="4">
        <v>0</v>
      </c>
      <c r="AG3516" s="4">
        <v>0</v>
      </c>
      <c r="AH3516" s="4">
        <v>15</v>
      </c>
      <c r="AI3516" s="4">
        <v>15</v>
      </c>
      <c r="AJ3516" s="4">
        <v>1</v>
      </c>
      <c r="AK3516" s="4">
        <v>1</v>
      </c>
      <c r="AL3516" s="4">
        <v>14</v>
      </c>
      <c r="AM3516" s="4">
        <v>14</v>
      </c>
      <c r="AN3516" s="4">
        <v>0</v>
      </c>
      <c r="AO3516" s="4">
        <v>0</v>
      </c>
      <c r="AP3516" s="4">
        <v>1</v>
      </c>
      <c r="AQ3516" s="4">
        <v>1</v>
      </c>
      <c r="AR3516" s="3" t="s">
        <v>64</v>
      </c>
      <c r="AS3516" s="3" t="s">
        <v>64</v>
      </c>
      <c r="AT3516" s="3" t="s">
        <v>64</v>
      </c>
      <c r="AV3516" s="6" t="str">
        <f>HYPERLINK("http://mcgill.on.worldcat.org/oclc/1015940151","Catalog Record")</f>
        <v>Catalog Record</v>
      </c>
      <c r="AW3516" s="6" t="str">
        <f>HYPERLINK("http://www.worldcat.org/oclc/1015940151","WorldCat Record")</f>
        <v>WorldCat Record</v>
      </c>
      <c r="AX3516" s="3" t="s">
        <v>35148</v>
      </c>
      <c r="AY3516" s="3" t="s">
        <v>35149</v>
      </c>
      <c r="AZ3516" s="3" t="s">
        <v>35150</v>
      </c>
      <c r="BA3516" s="3" t="s">
        <v>35150</v>
      </c>
      <c r="BB3516" s="3" t="s">
        <v>35151</v>
      </c>
      <c r="BC3516" s="3" t="s">
        <v>77</v>
      </c>
      <c r="BD3516" s="3" t="s">
        <v>78</v>
      </c>
      <c r="BE3516" s="3" t="s">
        <v>35152</v>
      </c>
      <c r="BF3516" s="3" t="s">
        <v>35151</v>
      </c>
      <c r="BG3516" s="3" t="s">
        <v>35153</v>
      </c>
      <c r="BH3516">
        <f t="shared" si="81"/>
        <v>0</v>
      </c>
    </row>
    <row r="3517" spans="1:60" ht="116" x14ac:dyDescent="0.35">
      <c r="A3517" s="2" t="s">
        <v>59</v>
      </c>
      <c r="B3517" s="2" t="s">
        <v>1183</v>
      </c>
      <c r="C3517" s="2" t="s">
        <v>35144</v>
      </c>
      <c r="D3517" s="2" t="s">
        <v>35145</v>
      </c>
      <c r="E3517" s="2" t="s">
        <v>35146</v>
      </c>
      <c r="F3517" s="3" t="s">
        <v>529</v>
      </c>
      <c r="G3517" s="3" t="s">
        <v>128</v>
      </c>
      <c r="I3517" s="3" t="s">
        <v>64</v>
      </c>
      <c r="J3517" s="3" t="s">
        <v>64</v>
      </c>
      <c r="K3517" s="3" t="s">
        <v>65</v>
      </c>
      <c r="M3517" s="2" t="s">
        <v>25848</v>
      </c>
      <c r="N3517" s="3" t="s">
        <v>578</v>
      </c>
      <c r="O3517" s="2" t="s">
        <v>1189</v>
      </c>
      <c r="P3517" s="3" t="s">
        <v>1190</v>
      </c>
      <c r="Q3517" s="2" t="s">
        <v>35147</v>
      </c>
      <c r="R3517" s="3" t="s">
        <v>70</v>
      </c>
      <c r="S3517" s="4">
        <v>1</v>
      </c>
      <c r="T3517" s="4">
        <v>2</v>
      </c>
      <c r="U3517" s="5" t="s">
        <v>5146</v>
      </c>
      <c r="V3517" s="5" t="s">
        <v>5146</v>
      </c>
      <c r="W3517" s="5" t="s">
        <v>72</v>
      </c>
      <c r="X3517" s="5" t="s">
        <v>72</v>
      </c>
      <c r="Y3517" s="4">
        <v>23</v>
      </c>
      <c r="Z3517" s="4">
        <v>2</v>
      </c>
      <c r="AA3517" s="4">
        <v>2</v>
      </c>
      <c r="AB3517" s="4">
        <v>1</v>
      </c>
      <c r="AC3517" s="4">
        <v>1</v>
      </c>
      <c r="AD3517" s="4">
        <v>16</v>
      </c>
      <c r="AE3517" s="4">
        <v>16</v>
      </c>
      <c r="AF3517" s="4">
        <v>0</v>
      </c>
      <c r="AG3517" s="4">
        <v>0</v>
      </c>
      <c r="AH3517" s="4">
        <v>15</v>
      </c>
      <c r="AI3517" s="4">
        <v>15</v>
      </c>
      <c r="AJ3517" s="4">
        <v>1</v>
      </c>
      <c r="AK3517" s="4">
        <v>1</v>
      </c>
      <c r="AL3517" s="4">
        <v>14</v>
      </c>
      <c r="AM3517" s="4">
        <v>14</v>
      </c>
      <c r="AN3517" s="4">
        <v>0</v>
      </c>
      <c r="AO3517" s="4">
        <v>0</v>
      </c>
      <c r="AP3517" s="4">
        <v>1</v>
      </c>
      <c r="AQ3517" s="4">
        <v>1</v>
      </c>
      <c r="AR3517" s="3" t="s">
        <v>64</v>
      </c>
      <c r="AS3517" s="3" t="s">
        <v>64</v>
      </c>
      <c r="AT3517" s="3" t="s">
        <v>64</v>
      </c>
      <c r="AV3517" s="6" t="str">
        <f>HYPERLINK("http://mcgill.on.worldcat.org/oclc/1015940151","Catalog Record")</f>
        <v>Catalog Record</v>
      </c>
      <c r="AW3517" s="6" t="str">
        <f>HYPERLINK("http://www.worldcat.org/oclc/1015940151","WorldCat Record")</f>
        <v>WorldCat Record</v>
      </c>
      <c r="AX3517" s="3" t="s">
        <v>35148</v>
      </c>
      <c r="AY3517" s="3" t="s">
        <v>35149</v>
      </c>
      <c r="AZ3517" s="3" t="s">
        <v>35150</v>
      </c>
      <c r="BA3517" s="3" t="s">
        <v>35150</v>
      </c>
      <c r="BB3517" s="3" t="s">
        <v>35154</v>
      </c>
      <c r="BC3517" s="3" t="s">
        <v>77</v>
      </c>
      <c r="BD3517" s="3" t="s">
        <v>78</v>
      </c>
      <c r="BE3517" s="3" t="s">
        <v>35152</v>
      </c>
      <c r="BF3517" s="3" t="s">
        <v>35154</v>
      </c>
      <c r="BG3517" s="3" t="s">
        <v>35155</v>
      </c>
      <c r="BH3517">
        <f t="shared" si="81"/>
        <v>0</v>
      </c>
    </row>
    <row r="3518" spans="1:60" ht="116" x14ac:dyDescent="0.35">
      <c r="A3518" s="2" t="s">
        <v>59</v>
      </c>
      <c r="B3518" s="2" t="s">
        <v>1183</v>
      </c>
      <c r="C3518" s="2" t="s">
        <v>35144</v>
      </c>
      <c r="D3518" s="2" t="s">
        <v>35145</v>
      </c>
      <c r="E3518" s="2" t="s">
        <v>35146</v>
      </c>
      <c r="F3518" s="3" t="s">
        <v>509</v>
      </c>
      <c r="G3518" s="3" t="s">
        <v>128</v>
      </c>
      <c r="I3518" s="3" t="s">
        <v>64</v>
      </c>
      <c r="J3518" s="3" t="s">
        <v>64</v>
      </c>
      <c r="K3518" s="3" t="s">
        <v>65</v>
      </c>
      <c r="M3518" s="2" t="s">
        <v>25848</v>
      </c>
      <c r="N3518" s="3" t="s">
        <v>578</v>
      </c>
      <c r="O3518" s="2" t="s">
        <v>1189</v>
      </c>
      <c r="P3518" s="3" t="s">
        <v>1190</v>
      </c>
      <c r="Q3518" s="2" t="s">
        <v>35147</v>
      </c>
      <c r="R3518" s="3" t="s">
        <v>70</v>
      </c>
      <c r="S3518" s="4">
        <v>0</v>
      </c>
      <c r="T3518" s="4">
        <v>2</v>
      </c>
      <c r="V3518" s="5" t="s">
        <v>5146</v>
      </c>
      <c r="W3518" s="5" t="s">
        <v>72</v>
      </c>
      <c r="X3518" s="5" t="s">
        <v>72</v>
      </c>
      <c r="Y3518" s="4">
        <v>23</v>
      </c>
      <c r="Z3518" s="4">
        <v>2</v>
      </c>
      <c r="AA3518" s="4">
        <v>2</v>
      </c>
      <c r="AB3518" s="4">
        <v>1</v>
      </c>
      <c r="AC3518" s="4">
        <v>1</v>
      </c>
      <c r="AD3518" s="4">
        <v>16</v>
      </c>
      <c r="AE3518" s="4">
        <v>16</v>
      </c>
      <c r="AF3518" s="4">
        <v>0</v>
      </c>
      <c r="AG3518" s="4">
        <v>0</v>
      </c>
      <c r="AH3518" s="4">
        <v>15</v>
      </c>
      <c r="AI3518" s="4">
        <v>15</v>
      </c>
      <c r="AJ3518" s="4">
        <v>1</v>
      </c>
      <c r="AK3518" s="4">
        <v>1</v>
      </c>
      <c r="AL3518" s="4">
        <v>14</v>
      </c>
      <c r="AM3518" s="4">
        <v>14</v>
      </c>
      <c r="AN3518" s="4">
        <v>0</v>
      </c>
      <c r="AO3518" s="4">
        <v>0</v>
      </c>
      <c r="AP3518" s="4">
        <v>1</v>
      </c>
      <c r="AQ3518" s="4">
        <v>1</v>
      </c>
      <c r="AR3518" s="3" t="s">
        <v>64</v>
      </c>
      <c r="AS3518" s="3" t="s">
        <v>64</v>
      </c>
      <c r="AT3518" s="3" t="s">
        <v>64</v>
      </c>
      <c r="AV3518" s="6" t="str">
        <f>HYPERLINK("http://mcgill.on.worldcat.org/oclc/1015940151","Catalog Record")</f>
        <v>Catalog Record</v>
      </c>
      <c r="AW3518" s="6" t="str">
        <f>HYPERLINK("http://www.worldcat.org/oclc/1015940151","WorldCat Record")</f>
        <v>WorldCat Record</v>
      </c>
      <c r="AX3518" s="3" t="s">
        <v>35148</v>
      </c>
      <c r="AY3518" s="3" t="s">
        <v>35149</v>
      </c>
      <c r="AZ3518" s="3" t="s">
        <v>35150</v>
      </c>
      <c r="BA3518" s="3" t="s">
        <v>35150</v>
      </c>
      <c r="BB3518" s="3" t="s">
        <v>35156</v>
      </c>
      <c r="BC3518" s="3" t="s">
        <v>77</v>
      </c>
      <c r="BD3518" s="3" t="s">
        <v>78</v>
      </c>
      <c r="BE3518" s="3" t="s">
        <v>35152</v>
      </c>
      <c r="BF3518" s="3" t="s">
        <v>35156</v>
      </c>
      <c r="BG3518" s="3" t="s">
        <v>35157</v>
      </c>
      <c r="BH3518">
        <f t="shared" si="81"/>
        <v>0</v>
      </c>
    </row>
    <row r="3519" spans="1:60" ht="116" x14ac:dyDescent="0.35">
      <c r="A3519" s="2" t="s">
        <v>59</v>
      </c>
      <c r="B3519" s="2" t="s">
        <v>1183</v>
      </c>
      <c r="C3519" s="2" t="s">
        <v>35144</v>
      </c>
      <c r="D3519" s="2" t="s">
        <v>35145</v>
      </c>
      <c r="E3519" s="2" t="s">
        <v>35146</v>
      </c>
      <c r="F3519" s="3" t="s">
        <v>525</v>
      </c>
      <c r="G3519" s="3" t="s">
        <v>128</v>
      </c>
      <c r="I3519" s="3" t="s">
        <v>64</v>
      </c>
      <c r="J3519" s="3" t="s">
        <v>64</v>
      </c>
      <c r="K3519" s="3" t="s">
        <v>65</v>
      </c>
      <c r="M3519" s="2" t="s">
        <v>25848</v>
      </c>
      <c r="N3519" s="3" t="s">
        <v>578</v>
      </c>
      <c r="O3519" s="2" t="s">
        <v>1189</v>
      </c>
      <c r="P3519" s="3" t="s">
        <v>1190</v>
      </c>
      <c r="Q3519" s="2" t="s">
        <v>35147</v>
      </c>
      <c r="R3519" s="3" t="s">
        <v>70</v>
      </c>
      <c r="S3519" s="4">
        <v>1</v>
      </c>
      <c r="T3519" s="4">
        <v>2</v>
      </c>
      <c r="U3519" s="5" t="s">
        <v>5146</v>
      </c>
      <c r="V3519" s="5" t="s">
        <v>5146</v>
      </c>
      <c r="W3519" s="5" t="s">
        <v>72</v>
      </c>
      <c r="X3519" s="5" t="s">
        <v>72</v>
      </c>
      <c r="Y3519" s="4">
        <v>23</v>
      </c>
      <c r="Z3519" s="4">
        <v>2</v>
      </c>
      <c r="AA3519" s="4">
        <v>2</v>
      </c>
      <c r="AB3519" s="4">
        <v>1</v>
      </c>
      <c r="AC3519" s="4">
        <v>1</v>
      </c>
      <c r="AD3519" s="4">
        <v>16</v>
      </c>
      <c r="AE3519" s="4">
        <v>16</v>
      </c>
      <c r="AF3519" s="4">
        <v>0</v>
      </c>
      <c r="AG3519" s="4">
        <v>0</v>
      </c>
      <c r="AH3519" s="4">
        <v>15</v>
      </c>
      <c r="AI3519" s="4">
        <v>15</v>
      </c>
      <c r="AJ3519" s="4">
        <v>1</v>
      </c>
      <c r="AK3519" s="4">
        <v>1</v>
      </c>
      <c r="AL3519" s="4">
        <v>14</v>
      </c>
      <c r="AM3519" s="4">
        <v>14</v>
      </c>
      <c r="AN3519" s="4">
        <v>0</v>
      </c>
      <c r="AO3519" s="4">
        <v>0</v>
      </c>
      <c r="AP3519" s="4">
        <v>1</v>
      </c>
      <c r="AQ3519" s="4">
        <v>1</v>
      </c>
      <c r="AR3519" s="3" t="s">
        <v>64</v>
      </c>
      <c r="AS3519" s="3" t="s">
        <v>64</v>
      </c>
      <c r="AT3519" s="3" t="s">
        <v>64</v>
      </c>
      <c r="AV3519" s="6" t="str">
        <f>HYPERLINK("http://mcgill.on.worldcat.org/oclc/1015940151","Catalog Record")</f>
        <v>Catalog Record</v>
      </c>
      <c r="AW3519" s="6" t="str">
        <f>HYPERLINK("http://www.worldcat.org/oclc/1015940151","WorldCat Record")</f>
        <v>WorldCat Record</v>
      </c>
      <c r="AX3519" s="3" t="s">
        <v>35148</v>
      </c>
      <c r="AY3519" s="3" t="s">
        <v>35149</v>
      </c>
      <c r="AZ3519" s="3" t="s">
        <v>35150</v>
      </c>
      <c r="BA3519" s="3" t="s">
        <v>35150</v>
      </c>
      <c r="BB3519" s="3" t="s">
        <v>35158</v>
      </c>
      <c r="BC3519" s="3" t="s">
        <v>77</v>
      </c>
      <c r="BD3519" s="3" t="s">
        <v>78</v>
      </c>
      <c r="BE3519" s="3" t="s">
        <v>35152</v>
      </c>
      <c r="BF3519" s="3" t="s">
        <v>35158</v>
      </c>
      <c r="BG3519" s="3" t="s">
        <v>35159</v>
      </c>
      <c r="BH3519">
        <f t="shared" si="81"/>
        <v>0</v>
      </c>
    </row>
    <row r="3520" spans="1:60" ht="58" x14ac:dyDescent="0.35">
      <c r="A3520" s="2" t="s">
        <v>59</v>
      </c>
      <c r="B3520" s="2" t="s">
        <v>60</v>
      </c>
      <c r="C3520" s="2" t="s">
        <v>35160</v>
      </c>
      <c r="D3520" s="2" t="s">
        <v>35161</v>
      </c>
      <c r="E3520" s="2" t="s">
        <v>35162</v>
      </c>
      <c r="G3520" s="3" t="s">
        <v>64</v>
      </c>
      <c r="I3520" s="3" t="s">
        <v>128</v>
      </c>
      <c r="J3520" s="3" t="s">
        <v>64</v>
      </c>
      <c r="K3520" s="3" t="s">
        <v>65</v>
      </c>
      <c r="L3520" s="2" t="s">
        <v>35163</v>
      </c>
      <c r="M3520" s="2" t="s">
        <v>35164</v>
      </c>
      <c r="N3520" s="3" t="s">
        <v>1017</v>
      </c>
      <c r="O3520" s="2" t="s">
        <v>117</v>
      </c>
      <c r="P3520" s="3" t="s">
        <v>102</v>
      </c>
      <c r="R3520" s="3" t="s">
        <v>70</v>
      </c>
      <c r="S3520" s="4">
        <v>2</v>
      </c>
      <c r="T3520" s="4">
        <v>3</v>
      </c>
      <c r="U3520" s="5" t="s">
        <v>380</v>
      </c>
      <c r="V3520" s="5" t="s">
        <v>380</v>
      </c>
      <c r="W3520" s="5" t="s">
        <v>72</v>
      </c>
      <c r="X3520" s="5" t="s">
        <v>72</v>
      </c>
      <c r="Y3520" s="4">
        <v>117</v>
      </c>
      <c r="Z3520" s="4">
        <v>11</v>
      </c>
      <c r="AA3520" s="4">
        <v>13</v>
      </c>
      <c r="AB3520" s="4">
        <v>1</v>
      </c>
      <c r="AC3520" s="4">
        <v>2</v>
      </c>
      <c r="AD3520" s="4">
        <v>55</v>
      </c>
      <c r="AE3520" s="4">
        <v>56</v>
      </c>
      <c r="AF3520" s="4">
        <v>0</v>
      </c>
      <c r="AG3520" s="4">
        <v>1</v>
      </c>
      <c r="AH3520" s="4">
        <v>51</v>
      </c>
      <c r="AI3520" s="4">
        <v>51</v>
      </c>
      <c r="AJ3520" s="4">
        <v>8</v>
      </c>
      <c r="AK3520" s="4">
        <v>9</v>
      </c>
      <c r="AL3520" s="4">
        <v>32</v>
      </c>
      <c r="AM3520" s="4">
        <v>32</v>
      </c>
      <c r="AN3520" s="4">
        <v>0</v>
      </c>
      <c r="AO3520" s="4">
        <v>0</v>
      </c>
      <c r="AP3520" s="4">
        <v>7</v>
      </c>
      <c r="AQ3520" s="4">
        <v>7</v>
      </c>
      <c r="AR3520" s="3" t="s">
        <v>64</v>
      </c>
      <c r="AS3520" s="3" t="s">
        <v>64</v>
      </c>
      <c r="AT3520" s="3" t="s">
        <v>128</v>
      </c>
      <c r="AU3520" s="6" t="str">
        <f>HYPERLINK("http://catalog.hathitrust.org/Record/001165579","HathiTrust Record")</f>
        <v>HathiTrust Record</v>
      </c>
      <c r="AV3520" s="6" t="str">
        <f>HYPERLINK("http://mcgill.on.worldcat.org/oclc/111173","Catalog Record")</f>
        <v>Catalog Record</v>
      </c>
      <c r="AW3520" s="6" t="str">
        <f>HYPERLINK("http://www.worldcat.org/oclc/111173","WorldCat Record")</f>
        <v>WorldCat Record</v>
      </c>
      <c r="AX3520" s="3" t="s">
        <v>35165</v>
      </c>
      <c r="AY3520" s="3" t="s">
        <v>35166</v>
      </c>
      <c r="AZ3520" s="3" t="s">
        <v>35167</v>
      </c>
      <c r="BA3520" s="3" t="s">
        <v>35167</v>
      </c>
      <c r="BB3520" s="3" t="s">
        <v>35168</v>
      </c>
      <c r="BC3520" s="3" t="s">
        <v>77</v>
      </c>
      <c r="BD3520" s="3" t="s">
        <v>78</v>
      </c>
      <c r="BF3520" s="3" t="s">
        <v>35168</v>
      </c>
      <c r="BG3520" s="3" t="s">
        <v>35169</v>
      </c>
      <c r="BH3520">
        <f t="shared" si="81"/>
        <v>0</v>
      </c>
    </row>
    <row r="3521" spans="1:60" ht="58" x14ac:dyDescent="0.35">
      <c r="A3521" s="2" t="s">
        <v>59</v>
      </c>
      <c r="B3521" s="2" t="s">
        <v>60</v>
      </c>
      <c r="C3521" s="2" t="s">
        <v>35170</v>
      </c>
      <c r="D3521" s="2" t="s">
        <v>35171</v>
      </c>
      <c r="E3521" s="2" t="s">
        <v>35172</v>
      </c>
      <c r="G3521" s="3" t="s">
        <v>64</v>
      </c>
      <c r="I3521" s="3" t="s">
        <v>64</v>
      </c>
      <c r="J3521" s="3" t="s">
        <v>64</v>
      </c>
      <c r="K3521" s="3" t="s">
        <v>65</v>
      </c>
      <c r="L3521" s="2" t="s">
        <v>35173</v>
      </c>
      <c r="M3521" s="2" t="s">
        <v>35174</v>
      </c>
      <c r="N3521" s="3" t="s">
        <v>1250</v>
      </c>
      <c r="P3521" s="3" t="s">
        <v>102</v>
      </c>
      <c r="Q3521" s="2" t="s">
        <v>35175</v>
      </c>
      <c r="R3521" s="3" t="s">
        <v>70</v>
      </c>
      <c r="S3521" s="4">
        <v>3</v>
      </c>
      <c r="T3521" s="4">
        <v>3</v>
      </c>
      <c r="U3521" s="5" t="s">
        <v>380</v>
      </c>
      <c r="V3521" s="5" t="s">
        <v>380</v>
      </c>
      <c r="W3521" s="5" t="s">
        <v>72</v>
      </c>
      <c r="X3521" s="5" t="s">
        <v>72</v>
      </c>
      <c r="Y3521" s="4">
        <v>38</v>
      </c>
      <c r="Z3521" s="4">
        <v>5</v>
      </c>
      <c r="AA3521" s="4">
        <v>5</v>
      </c>
      <c r="AB3521" s="4">
        <v>1</v>
      </c>
      <c r="AC3521" s="4">
        <v>1</v>
      </c>
      <c r="AD3521" s="4">
        <v>18</v>
      </c>
      <c r="AE3521" s="4">
        <v>18</v>
      </c>
      <c r="AF3521" s="4">
        <v>0</v>
      </c>
      <c r="AG3521" s="4">
        <v>0</v>
      </c>
      <c r="AH3521" s="4">
        <v>15</v>
      </c>
      <c r="AI3521" s="4">
        <v>15</v>
      </c>
      <c r="AJ3521" s="4">
        <v>3</v>
      </c>
      <c r="AK3521" s="4">
        <v>3</v>
      </c>
      <c r="AL3521" s="4">
        <v>14</v>
      </c>
      <c r="AM3521" s="4">
        <v>14</v>
      </c>
      <c r="AN3521" s="4">
        <v>0</v>
      </c>
      <c r="AO3521" s="4">
        <v>0</v>
      </c>
      <c r="AP3521" s="4">
        <v>3</v>
      </c>
      <c r="AQ3521" s="4">
        <v>3</v>
      </c>
      <c r="AR3521" s="3" t="s">
        <v>64</v>
      </c>
      <c r="AS3521" s="3" t="s">
        <v>64</v>
      </c>
      <c r="AT3521" s="3" t="s">
        <v>64</v>
      </c>
      <c r="AV3521" s="6" t="str">
        <f>HYPERLINK("http://mcgill.on.worldcat.org/oclc/31707555","Catalog Record")</f>
        <v>Catalog Record</v>
      </c>
      <c r="AW3521" s="6" t="str">
        <f>HYPERLINK("http://www.worldcat.org/oclc/31707555","WorldCat Record")</f>
        <v>WorldCat Record</v>
      </c>
      <c r="AX3521" s="3" t="s">
        <v>35176</v>
      </c>
      <c r="AY3521" s="3" t="s">
        <v>35177</v>
      </c>
      <c r="AZ3521" s="3" t="s">
        <v>35178</v>
      </c>
      <c r="BA3521" s="3" t="s">
        <v>35178</v>
      </c>
      <c r="BB3521" s="3" t="s">
        <v>35179</v>
      </c>
      <c r="BC3521" s="3" t="s">
        <v>77</v>
      </c>
      <c r="BD3521" s="3" t="s">
        <v>78</v>
      </c>
      <c r="BE3521" s="3" t="s">
        <v>35180</v>
      </c>
      <c r="BF3521" s="3" t="s">
        <v>35179</v>
      </c>
      <c r="BG3521" s="3" t="s">
        <v>35181</v>
      </c>
      <c r="BH3521">
        <f t="shared" si="81"/>
        <v>0</v>
      </c>
    </row>
    <row r="3522" spans="1:60" ht="116" x14ac:dyDescent="0.35">
      <c r="A3522" s="2" t="s">
        <v>59</v>
      </c>
      <c r="B3522" s="2" t="s">
        <v>1183</v>
      </c>
      <c r="C3522" s="2" t="s">
        <v>35182</v>
      </c>
      <c r="D3522" s="2" t="s">
        <v>35183</v>
      </c>
      <c r="E3522" s="2" t="s">
        <v>35184</v>
      </c>
      <c r="G3522" s="3" t="s">
        <v>64</v>
      </c>
      <c r="I3522" s="3" t="s">
        <v>64</v>
      </c>
      <c r="J3522" s="3" t="s">
        <v>64</v>
      </c>
      <c r="K3522" s="3" t="s">
        <v>65</v>
      </c>
      <c r="M3522" s="2" t="s">
        <v>35185</v>
      </c>
      <c r="N3522" s="3" t="s">
        <v>578</v>
      </c>
      <c r="O3522" s="2" t="s">
        <v>5237</v>
      </c>
      <c r="P3522" s="3" t="s">
        <v>5238</v>
      </c>
      <c r="Q3522" s="2" t="s">
        <v>35186</v>
      </c>
      <c r="R3522" s="3" t="s">
        <v>70</v>
      </c>
      <c r="S3522" s="4">
        <v>0</v>
      </c>
      <c r="T3522" s="4">
        <v>0</v>
      </c>
      <c r="W3522" s="5" t="s">
        <v>72</v>
      </c>
      <c r="X3522" s="5" t="s">
        <v>72</v>
      </c>
      <c r="Y3522" s="4">
        <v>18</v>
      </c>
      <c r="Z3522" s="4">
        <v>3</v>
      </c>
      <c r="AA3522" s="4">
        <v>3</v>
      </c>
      <c r="AB3522" s="4">
        <v>1</v>
      </c>
      <c r="AC3522" s="4">
        <v>1</v>
      </c>
      <c r="AD3522" s="4">
        <v>17</v>
      </c>
      <c r="AE3522" s="4">
        <v>17</v>
      </c>
      <c r="AF3522" s="4">
        <v>0</v>
      </c>
      <c r="AG3522" s="4">
        <v>0</v>
      </c>
      <c r="AH3522" s="4">
        <v>16</v>
      </c>
      <c r="AI3522" s="4">
        <v>16</v>
      </c>
      <c r="AJ3522" s="4">
        <v>2</v>
      </c>
      <c r="AK3522" s="4">
        <v>2</v>
      </c>
      <c r="AL3522" s="4">
        <v>12</v>
      </c>
      <c r="AM3522" s="4">
        <v>12</v>
      </c>
      <c r="AN3522" s="4">
        <v>0</v>
      </c>
      <c r="AO3522" s="4">
        <v>0</v>
      </c>
      <c r="AP3522" s="4">
        <v>2</v>
      </c>
      <c r="AQ3522" s="4">
        <v>2</v>
      </c>
      <c r="AR3522" s="3" t="s">
        <v>64</v>
      </c>
      <c r="AS3522" s="3" t="s">
        <v>64</v>
      </c>
      <c r="AT3522" s="3" t="s">
        <v>64</v>
      </c>
      <c r="AV3522" s="6" t="str">
        <f>HYPERLINK("http://mcgill.on.worldcat.org/oclc/1019800342","Catalog Record")</f>
        <v>Catalog Record</v>
      </c>
      <c r="AW3522" s="6" t="str">
        <f>HYPERLINK("http://www.worldcat.org/oclc/1019800342","WorldCat Record")</f>
        <v>WorldCat Record</v>
      </c>
      <c r="AX3522" s="3" t="s">
        <v>35187</v>
      </c>
      <c r="AY3522" s="3" t="s">
        <v>35188</v>
      </c>
      <c r="AZ3522" s="3" t="s">
        <v>35189</v>
      </c>
      <c r="BA3522" s="3" t="s">
        <v>35189</v>
      </c>
      <c r="BB3522" s="3" t="s">
        <v>35190</v>
      </c>
      <c r="BC3522" s="3" t="s">
        <v>77</v>
      </c>
      <c r="BD3522" s="3" t="s">
        <v>78</v>
      </c>
      <c r="BE3522" s="3" t="s">
        <v>35191</v>
      </c>
      <c r="BF3522" s="3" t="s">
        <v>35190</v>
      </c>
      <c r="BG3522" s="3" t="s">
        <v>35192</v>
      </c>
      <c r="BH3522">
        <f t="shared" ref="BH3522:BH3585" si="82">IF(COUNTIF($BF$1:$BF$5431,BF3522)=1,0,1)</f>
        <v>0</v>
      </c>
    </row>
    <row r="3523" spans="1:60" ht="58" x14ac:dyDescent="0.35">
      <c r="A3523" s="2" t="s">
        <v>59</v>
      </c>
      <c r="B3523" s="2" t="s">
        <v>60</v>
      </c>
      <c r="C3523" s="2" t="s">
        <v>35193</v>
      </c>
      <c r="D3523" s="2" t="s">
        <v>35194</v>
      </c>
      <c r="E3523" s="2" t="s">
        <v>35195</v>
      </c>
      <c r="G3523" s="3" t="s">
        <v>64</v>
      </c>
      <c r="I3523" s="3" t="s">
        <v>64</v>
      </c>
      <c r="J3523" s="3" t="s">
        <v>64</v>
      </c>
      <c r="K3523" s="3" t="s">
        <v>65</v>
      </c>
      <c r="L3523" s="2" t="s">
        <v>35196</v>
      </c>
      <c r="M3523" s="2" t="s">
        <v>35197</v>
      </c>
      <c r="N3523" s="3" t="s">
        <v>511</v>
      </c>
      <c r="O3523" s="2" t="s">
        <v>4356</v>
      </c>
      <c r="P3523" s="3" t="s">
        <v>102</v>
      </c>
      <c r="R3523" s="3" t="s">
        <v>70</v>
      </c>
      <c r="S3523" s="4">
        <v>0</v>
      </c>
      <c r="T3523" s="4">
        <v>0</v>
      </c>
      <c r="W3523" s="5" t="s">
        <v>72</v>
      </c>
      <c r="X3523" s="5" t="s">
        <v>72</v>
      </c>
      <c r="Y3523" s="4">
        <v>50</v>
      </c>
      <c r="Z3523" s="4">
        <v>3</v>
      </c>
      <c r="AA3523" s="4">
        <v>3</v>
      </c>
      <c r="AB3523" s="4">
        <v>1</v>
      </c>
      <c r="AC3523" s="4">
        <v>1</v>
      </c>
      <c r="AD3523" s="4">
        <v>31</v>
      </c>
      <c r="AE3523" s="4">
        <v>31</v>
      </c>
      <c r="AF3523" s="4">
        <v>0</v>
      </c>
      <c r="AG3523" s="4">
        <v>0</v>
      </c>
      <c r="AH3523" s="4">
        <v>29</v>
      </c>
      <c r="AI3523" s="4">
        <v>29</v>
      </c>
      <c r="AJ3523" s="4">
        <v>2</v>
      </c>
      <c r="AK3523" s="4">
        <v>2</v>
      </c>
      <c r="AL3523" s="4">
        <v>25</v>
      </c>
      <c r="AM3523" s="4">
        <v>25</v>
      </c>
      <c r="AN3523" s="4">
        <v>0</v>
      </c>
      <c r="AO3523" s="4">
        <v>0</v>
      </c>
      <c r="AP3523" s="4">
        <v>2</v>
      </c>
      <c r="AQ3523" s="4">
        <v>2</v>
      </c>
      <c r="AR3523" s="3" t="s">
        <v>64</v>
      </c>
      <c r="AS3523" s="3" t="s">
        <v>64</v>
      </c>
      <c r="AT3523" s="3" t="s">
        <v>64</v>
      </c>
      <c r="AV3523" s="6" t="str">
        <f>HYPERLINK("http://mcgill.on.worldcat.org/oclc/747034949","Catalog Record")</f>
        <v>Catalog Record</v>
      </c>
      <c r="AW3523" s="6" t="str">
        <f>HYPERLINK("http://www.worldcat.org/oclc/747034949","WorldCat Record")</f>
        <v>WorldCat Record</v>
      </c>
      <c r="AX3523" s="3" t="s">
        <v>35198</v>
      </c>
      <c r="AY3523" s="3" t="s">
        <v>35199</v>
      </c>
      <c r="AZ3523" s="3" t="s">
        <v>35200</v>
      </c>
      <c r="BA3523" s="3" t="s">
        <v>35200</v>
      </c>
      <c r="BB3523" s="3" t="s">
        <v>35201</v>
      </c>
      <c r="BC3523" s="3" t="s">
        <v>77</v>
      </c>
      <c r="BD3523" s="3" t="s">
        <v>78</v>
      </c>
      <c r="BE3523" s="3" t="s">
        <v>35202</v>
      </c>
      <c r="BF3523" s="3" t="s">
        <v>35201</v>
      </c>
      <c r="BG3523" s="3" t="s">
        <v>35203</v>
      </c>
      <c r="BH3523">
        <f t="shared" si="82"/>
        <v>0</v>
      </c>
    </row>
    <row r="3524" spans="1:60" ht="58" x14ac:dyDescent="0.35">
      <c r="A3524" s="2" t="s">
        <v>6202</v>
      </c>
      <c r="B3524" s="2" t="s">
        <v>6203</v>
      </c>
      <c r="C3524" s="2" t="s">
        <v>35204</v>
      </c>
      <c r="D3524" s="2" t="s">
        <v>35205</v>
      </c>
      <c r="E3524" s="2" t="s">
        <v>35206</v>
      </c>
      <c r="G3524" s="3" t="s">
        <v>64</v>
      </c>
      <c r="I3524" s="3" t="s">
        <v>64</v>
      </c>
      <c r="J3524" s="3" t="s">
        <v>64</v>
      </c>
      <c r="K3524" s="3" t="s">
        <v>65</v>
      </c>
      <c r="M3524" s="2" t="s">
        <v>35207</v>
      </c>
      <c r="N3524" s="3" t="s">
        <v>1938</v>
      </c>
      <c r="P3524" s="3" t="s">
        <v>102</v>
      </c>
      <c r="R3524" s="3" t="s">
        <v>70</v>
      </c>
      <c r="S3524" s="4">
        <v>1</v>
      </c>
      <c r="T3524" s="4">
        <v>1</v>
      </c>
      <c r="U3524" s="5" t="s">
        <v>25521</v>
      </c>
      <c r="V3524" s="5" t="s">
        <v>25521</v>
      </c>
      <c r="W3524" s="5" t="s">
        <v>72</v>
      </c>
      <c r="X3524" s="5" t="s">
        <v>72</v>
      </c>
      <c r="Y3524" s="4">
        <v>7</v>
      </c>
      <c r="Z3524" s="4">
        <v>1</v>
      </c>
      <c r="AA3524" s="4">
        <v>1</v>
      </c>
      <c r="AB3524" s="4">
        <v>1</v>
      </c>
      <c r="AC3524" s="4">
        <v>1</v>
      </c>
      <c r="AD3524" s="4">
        <v>3</v>
      </c>
      <c r="AE3524" s="4">
        <v>5</v>
      </c>
      <c r="AF3524" s="4">
        <v>0</v>
      </c>
      <c r="AG3524" s="4">
        <v>0</v>
      </c>
      <c r="AH3524" s="4">
        <v>3</v>
      </c>
      <c r="AI3524" s="4">
        <v>4</v>
      </c>
      <c r="AJ3524" s="4">
        <v>0</v>
      </c>
      <c r="AK3524" s="4">
        <v>0</v>
      </c>
      <c r="AL3524" s="4">
        <v>2</v>
      </c>
      <c r="AM3524" s="4">
        <v>4</v>
      </c>
      <c r="AN3524" s="4">
        <v>0</v>
      </c>
      <c r="AO3524" s="4">
        <v>0</v>
      </c>
      <c r="AP3524" s="4">
        <v>0</v>
      </c>
      <c r="AQ3524" s="4">
        <v>0</v>
      </c>
      <c r="AR3524" s="3" t="s">
        <v>64</v>
      </c>
      <c r="AS3524" s="3" t="s">
        <v>64</v>
      </c>
      <c r="AT3524" s="3" t="s">
        <v>64</v>
      </c>
      <c r="AV3524" s="6" t="str">
        <f>HYPERLINK("http://mcgill.on.worldcat.org/oclc/28094917","Catalog Record")</f>
        <v>Catalog Record</v>
      </c>
      <c r="AW3524" s="6" t="str">
        <f>HYPERLINK("http://www.worldcat.org/oclc/28094917","WorldCat Record")</f>
        <v>WorldCat Record</v>
      </c>
      <c r="AX3524" s="3" t="s">
        <v>35208</v>
      </c>
      <c r="AY3524" s="3" t="s">
        <v>35209</v>
      </c>
      <c r="AZ3524" s="3" t="s">
        <v>35210</v>
      </c>
      <c r="BA3524" s="3" t="s">
        <v>35210</v>
      </c>
      <c r="BB3524" s="3" t="s">
        <v>35211</v>
      </c>
      <c r="BC3524" s="3" t="s">
        <v>77</v>
      </c>
      <c r="BD3524" s="3" t="s">
        <v>78</v>
      </c>
      <c r="BF3524" s="3" t="s">
        <v>35211</v>
      </c>
      <c r="BG3524" s="3" t="s">
        <v>35212</v>
      </c>
      <c r="BH3524">
        <f t="shared" si="82"/>
        <v>0</v>
      </c>
    </row>
    <row r="3525" spans="1:60" ht="58" x14ac:dyDescent="0.35">
      <c r="A3525" s="2" t="s">
        <v>59</v>
      </c>
      <c r="B3525" s="2" t="s">
        <v>60</v>
      </c>
      <c r="C3525" s="2" t="s">
        <v>35213</v>
      </c>
      <c r="D3525" s="2" t="s">
        <v>35214</v>
      </c>
      <c r="E3525" s="2" t="s">
        <v>26805</v>
      </c>
      <c r="G3525" s="3" t="s">
        <v>64</v>
      </c>
      <c r="I3525" s="3" t="s">
        <v>128</v>
      </c>
      <c r="J3525" s="3" t="s">
        <v>64</v>
      </c>
      <c r="K3525" s="3" t="s">
        <v>65</v>
      </c>
      <c r="L3525" s="2" t="s">
        <v>26806</v>
      </c>
      <c r="M3525" s="2" t="s">
        <v>26807</v>
      </c>
      <c r="N3525" s="3" t="s">
        <v>4872</v>
      </c>
      <c r="P3525" s="3" t="s">
        <v>102</v>
      </c>
      <c r="Q3525" s="2" t="s">
        <v>26808</v>
      </c>
      <c r="R3525" s="3" t="s">
        <v>70</v>
      </c>
      <c r="S3525" s="4">
        <v>0</v>
      </c>
      <c r="T3525" s="4">
        <v>2</v>
      </c>
      <c r="V3525" s="5" t="s">
        <v>14133</v>
      </c>
      <c r="W3525" s="5" t="s">
        <v>72</v>
      </c>
      <c r="X3525" s="5" t="s">
        <v>72</v>
      </c>
      <c r="Y3525" s="4">
        <v>499</v>
      </c>
      <c r="Z3525" s="4">
        <v>25</v>
      </c>
      <c r="AA3525" s="4">
        <v>29</v>
      </c>
      <c r="AB3525" s="4">
        <v>2</v>
      </c>
      <c r="AC3525" s="4">
        <v>6</v>
      </c>
      <c r="AD3525" s="4">
        <v>98</v>
      </c>
      <c r="AE3525" s="4">
        <v>101</v>
      </c>
      <c r="AF3525" s="4">
        <v>1</v>
      </c>
      <c r="AG3525" s="4">
        <v>4</v>
      </c>
      <c r="AH3525" s="4">
        <v>87</v>
      </c>
      <c r="AI3525" s="4">
        <v>88</v>
      </c>
      <c r="AJ3525" s="4">
        <v>16</v>
      </c>
      <c r="AK3525" s="4">
        <v>19</v>
      </c>
      <c r="AL3525" s="4">
        <v>43</v>
      </c>
      <c r="AM3525" s="4">
        <v>43</v>
      </c>
      <c r="AN3525" s="4">
        <v>0</v>
      </c>
      <c r="AO3525" s="4">
        <v>0</v>
      </c>
      <c r="AP3525" s="4">
        <v>20</v>
      </c>
      <c r="AQ3525" s="4">
        <v>22</v>
      </c>
      <c r="AR3525" s="3" t="s">
        <v>64</v>
      </c>
      <c r="AS3525" s="3" t="s">
        <v>64</v>
      </c>
      <c r="AT3525" s="3" t="s">
        <v>128</v>
      </c>
      <c r="AU3525" s="6" t="str">
        <f>HYPERLINK("http://catalog.hathitrust.org/Record/001633735","HathiTrust Record")</f>
        <v>HathiTrust Record</v>
      </c>
      <c r="AV3525" s="6" t="str">
        <f>HYPERLINK("http://mcgill.on.worldcat.org/oclc/426910","Catalog Record")</f>
        <v>Catalog Record</v>
      </c>
      <c r="AW3525" s="6" t="str">
        <f>HYPERLINK("http://www.worldcat.org/oclc/426910","WorldCat Record")</f>
        <v>WorldCat Record</v>
      </c>
      <c r="AX3525" s="3" t="s">
        <v>26809</v>
      </c>
      <c r="AY3525" s="3" t="s">
        <v>26810</v>
      </c>
      <c r="AZ3525" s="3" t="s">
        <v>26811</v>
      </c>
      <c r="BA3525" s="3" t="s">
        <v>26811</v>
      </c>
      <c r="BB3525" s="3" t="s">
        <v>35215</v>
      </c>
      <c r="BC3525" s="3" t="s">
        <v>77</v>
      </c>
      <c r="BD3525" s="3" t="s">
        <v>78</v>
      </c>
      <c r="BF3525" s="3" t="s">
        <v>35215</v>
      </c>
      <c r="BG3525" s="3" t="s">
        <v>35216</v>
      </c>
      <c r="BH3525">
        <f t="shared" si="82"/>
        <v>0</v>
      </c>
    </row>
    <row r="3526" spans="1:60" ht="116" x14ac:dyDescent="0.35">
      <c r="A3526" s="2" t="s">
        <v>59</v>
      </c>
      <c r="B3526" s="2" t="s">
        <v>1183</v>
      </c>
      <c r="C3526" s="2" t="s">
        <v>35217</v>
      </c>
      <c r="D3526" s="2" t="s">
        <v>35218</v>
      </c>
      <c r="E3526" s="2" t="s">
        <v>35219</v>
      </c>
      <c r="F3526" s="3" t="s">
        <v>525</v>
      </c>
      <c r="G3526" s="3" t="s">
        <v>128</v>
      </c>
      <c r="I3526" s="3" t="s">
        <v>64</v>
      </c>
      <c r="J3526" s="3" t="s">
        <v>64</v>
      </c>
      <c r="K3526" s="3" t="s">
        <v>65</v>
      </c>
      <c r="M3526" s="2" t="s">
        <v>35220</v>
      </c>
      <c r="N3526" s="3" t="s">
        <v>511</v>
      </c>
      <c r="O3526" s="2" t="s">
        <v>1189</v>
      </c>
      <c r="P3526" s="3" t="s">
        <v>1190</v>
      </c>
      <c r="Q3526" s="2" t="s">
        <v>35221</v>
      </c>
      <c r="R3526" s="3" t="s">
        <v>70</v>
      </c>
      <c r="S3526" s="4">
        <v>0</v>
      </c>
      <c r="T3526" s="4">
        <v>0</v>
      </c>
      <c r="W3526" s="5" t="s">
        <v>72</v>
      </c>
      <c r="X3526" s="5" t="s">
        <v>72</v>
      </c>
      <c r="Y3526" s="4">
        <v>29</v>
      </c>
      <c r="Z3526" s="4">
        <v>4</v>
      </c>
      <c r="AA3526" s="4">
        <v>4</v>
      </c>
      <c r="AB3526" s="4">
        <v>1</v>
      </c>
      <c r="AC3526" s="4">
        <v>1</v>
      </c>
      <c r="AD3526" s="4">
        <v>19</v>
      </c>
      <c r="AE3526" s="4">
        <v>19</v>
      </c>
      <c r="AF3526" s="4">
        <v>0</v>
      </c>
      <c r="AG3526" s="4">
        <v>0</v>
      </c>
      <c r="AH3526" s="4">
        <v>18</v>
      </c>
      <c r="AI3526" s="4">
        <v>18</v>
      </c>
      <c r="AJ3526" s="4">
        <v>2</v>
      </c>
      <c r="AK3526" s="4">
        <v>2</v>
      </c>
      <c r="AL3526" s="4">
        <v>15</v>
      </c>
      <c r="AM3526" s="4">
        <v>15</v>
      </c>
      <c r="AN3526" s="4">
        <v>0</v>
      </c>
      <c r="AO3526" s="4">
        <v>0</v>
      </c>
      <c r="AP3526" s="4">
        <v>2</v>
      </c>
      <c r="AQ3526" s="4">
        <v>2</v>
      </c>
      <c r="AR3526" s="3" t="s">
        <v>64</v>
      </c>
      <c r="AS3526" s="3" t="s">
        <v>64</v>
      </c>
      <c r="AT3526" s="3" t="s">
        <v>64</v>
      </c>
      <c r="AV3526" s="6" t="str">
        <f>HYPERLINK("http://mcgill.on.worldcat.org/oclc/618504737","Catalog Record")</f>
        <v>Catalog Record</v>
      </c>
      <c r="AW3526" s="6" t="str">
        <f>HYPERLINK("http://www.worldcat.org/oclc/618504737","WorldCat Record")</f>
        <v>WorldCat Record</v>
      </c>
      <c r="AX3526" s="3" t="s">
        <v>35222</v>
      </c>
      <c r="AY3526" s="3" t="s">
        <v>35223</v>
      </c>
      <c r="AZ3526" s="3" t="s">
        <v>35224</v>
      </c>
      <c r="BA3526" s="3" t="s">
        <v>35224</v>
      </c>
      <c r="BB3526" s="3" t="s">
        <v>35225</v>
      </c>
      <c r="BC3526" s="3" t="s">
        <v>77</v>
      </c>
      <c r="BD3526" s="3" t="s">
        <v>78</v>
      </c>
      <c r="BE3526" s="3" t="s">
        <v>35226</v>
      </c>
      <c r="BF3526" s="3" t="s">
        <v>35225</v>
      </c>
      <c r="BG3526" s="3" t="s">
        <v>35227</v>
      </c>
      <c r="BH3526">
        <f t="shared" si="82"/>
        <v>0</v>
      </c>
    </row>
    <row r="3527" spans="1:60" ht="116" x14ac:dyDescent="0.35">
      <c r="A3527" s="2" t="s">
        <v>59</v>
      </c>
      <c r="B3527" s="2" t="s">
        <v>1183</v>
      </c>
      <c r="C3527" s="2" t="s">
        <v>35217</v>
      </c>
      <c r="D3527" s="2" t="s">
        <v>35218</v>
      </c>
      <c r="E3527" s="2" t="s">
        <v>35219</v>
      </c>
      <c r="F3527" s="3" t="s">
        <v>529</v>
      </c>
      <c r="G3527" s="3" t="s">
        <v>128</v>
      </c>
      <c r="I3527" s="3" t="s">
        <v>64</v>
      </c>
      <c r="J3527" s="3" t="s">
        <v>64</v>
      </c>
      <c r="K3527" s="3" t="s">
        <v>65</v>
      </c>
      <c r="M3527" s="2" t="s">
        <v>35220</v>
      </c>
      <c r="N3527" s="3" t="s">
        <v>511</v>
      </c>
      <c r="O3527" s="2" t="s">
        <v>1189</v>
      </c>
      <c r="P3527" s="3" t="s">
        <v>1190</v>
      </c>
      <c r="Q3527" s="2" t="s">
        <v>35221</v>
      </c>
      <c r="R3527" s="3" t="s">
        <v>70</v>
      </c>
      <c r="S3527" s="4">
        <v>0</v>
      </c>
      <c r="T3527" s="4">
        <v>0</v>
      </c>
      <c r="W3527" s="5" t="s">
        <v>72</v>
      </c>
      <c r="X3527" s="5" t="s">
        <v>72</v>
      </c>
      <c r="Y3527" s="4">
        <v>29</v>
      </c>
      <c r="Z3527" s="4">
        <v>4</v>
      </c>
      <c r="AA3527" s="4">
        <v>4</v>
      </c>
      <c r="AB3527" s="4">
        <v>1</v>
      </c>
      <c r="AC3527" s="4">
        <v>1</v>
      </c>
      <c r="AD3527" s="4">
        <v>19</v>
      </c>
      <c r="AE3527" s="4">
        <v>19</v>
      </c>
      <c r="AF3527" s="4">
        <v>0</v>
      </c>
      <c r="AG3527" s="4">
        <v>0</v>
      </c>
      <c r="AH3527" s="4">
        <v>18</v>
      </c>
      <c r="AI3527" s="4">
        <v>18</v>
      </c>
      <c r="AJ3527" s="4">
        <v>2</v>
      </c>
      <c r="AK3527" s="4">
        <v>2</v>
      </c>
      <c r="AL3527" s="4">
        <v>15</v>
      </c>
      <c r="AM3527" s="4">
        <v>15</v>
      </c>
      <c r="AN3527" s="4">
        <v>0</v>
      </c>
      <c r="AO3527" s="4">
        <v>0</v>
      </c>
      <c r="AP3527" s="4">
        <v>2</v>
      </c>
      <c r="AQ3527" s="4">
        <v>2</v>
      </c>
      <c r="AR3527" s="3" t="s">
        <v>64</v>
      </c>
      <c r="AS3527" s="3" t="s">
        <v>64</v>
      </c>
      <c r="AT3527" s="3" t="s">
        <v>64</v>
      </c>
      <c r="AV3527" s="6" t="str">
        <f>HYPERLINK("http://mcgill.on.worldcat.org/oclc/618504737","Catalog Record")</f>
        <v>Catalog Record</v>
      </c>
      <c r="AW3527" s="6" t="str">
        <f>HYPERLINK("http://www.worldcat.org/oclc/618504737","WorldCat Record")</f>
        <v>WorldCat Record</v>
      </c>
      <c r="AX3527" s="3" t="s">
        <v>35222</v>
      </c>
      <c r="AY3527" s="3" t="s">
        <v>35223</v>
      </c>
      <c r="AZ3527" s="3" t="s">
        <v>35224</v>
      </c>
      <c r="BA3527" s="3" t="s">
        <v>35224</v>
      </c>
      <c r="BB3527" s="3" t="s">
        <v>35228</v>
      </c>
      <c r="BC3527" s="3" t="s">
        <v>77</v>
      </c>
      <c r="BD3527" s="3" t="s">
        <v>78</v>
      </c>
      <c r="BE3527" s="3" t="s">
        <v>35226</v>
      </c>
      <c r="BF3527" s="3" t="s">
        <v>35228</v>
      </c>
      <c r="BG3527" s="3" t="s">
        <v>35229</v>
      </c>
      <c r="BH3527">
        <f t="shared" si="82"/>
        <v>0</v>
      </c>
    </row>
    <row r="3528" spans="1:60" ht="116" x14ac:dyDescent="0.35">
      <c r="A3528" s="2" t="s">
        <v>59</v>
      </c>
      <c r="B3528" s="2" t="s">
        <v>1183</v>
      </c>
      <c r="C3528" s="2" t="s">
        <v>35217</v>
      </c>
      <c r="D3528" s="2" t="s">
        <v>35218</v>
      </c>
      <c r="E3528" s="2" t="s">
        <v>35219</v>
      </c>
      <c r="F3528" s="3" t="s">
        <v>522</v>
      </c>
      <c r="G3528" s="3" t="s">
        <v>128</v>
      </c>
      <c r="I3528" s="3" t="s">
        <v>64</v>
      </c>
      <c r="J3528" s="3" t="s">
        <v>64</v>
      </c>
      <c r="K3528" s="3" t="s">
        <v>65</v>
      </c>
      <c r="M3528" s="2" t="s">
        <v>35220</v>
      </c>
      <c r="N3528" s="3" t="s">
        <v>511</v>
      </c>
      <c r="O3528" s="2" t="s">
        <v>1189</v>
      </c>
      <c r="P3528" s="3" t="s">
        <v>1190</v>
      </c>
      <c r="Q3528" s="2" t="s">
        <v>35221</v>
      </c>
      <c r="R3528" s="3" t="s">
        <v>70</v>
      </c>
      <c r="S3528" s="4">
        <v>0</v>
      </c>
      <c r="T3528" s="4">
        <v>0</v>
      </c>
      <c r="W3528" s="5" t="s">
        <v>72</v>
      </c>
      <c r="X3528" s="5" t="s">
        <v>72</v>
      </c>
      <c r="Y3528" s="4">
        <v>29</v>
      </c>
      <c r="Z3528" s="4">
        <v>4</v>
      </c>
      <c r="AA3528" s="4">
        <v>4</v>
      </c>
      <c r="AB3528" s="4">
        <v>1</v>
      </c>
      <c r="AC3528" s="4">
        <v>1</v>
      </c>
      <c r="AD3528" s="4">
        <v>19</v>
      </c>
      <c r="AE3528" s="4">
        <v>19</v>
      </c>
      <c r="AF3528" s="4">
        <v>0</v>
      </c>
      <c r="AG3528" s="4">
        <v>0</v>
      </c>
      <c r="AH3528" s="4">
        <v>18</v>
      </c>
      <c r="AI3528" s="4">
        <v>18</v>
      </c>
      <c r="AJ3528" s="4">
        <v>2</v>
      </c>
      <c r="AK3528" s="4">
        <v>2</v>
      </c>
      <c r="AL3528" s="4">
        <v>15</v>
      </c>
      <c r="AM3528" s="4">
        <v>15</v>
      </c>
      <c r="AN3528" s="4">
        <v>0</v>
      </c>
      <c r="AO3528" s="4">
        <v>0</v>
      </c>
      <c r="AP3528" s="4">
        <v>2</v>
      </c>
      <c r="AQ3528" s="4">
        <v>2</v>
      </c>
      <c r="AR3528" s="3" t="s">
        <v>64</v>
      </c>
      <c r="AS3528" s="3" t="s">
        <v>64</v>
      </c>
      <c r="AT3528" s="3" t="s">
        <v>64</v>
      </c>
      <c r="AV3528" s="6" t="str">
        <f>HYPERLINK("http://mcgill.on.worldcat.org/oclc/618504737","Catalog Record")</f>
        <v>Catalog Record</v>
      </c>
      <c r="AW3528" s="6" t="str">
        <f>HYPERLINK("http://www.worldcat.org/oclc/618504737","WorldCat Record")</f>
        <v>WorldCat Record</v>
      </c>
      <c r="AX3528" s="3" t="s">
        <v>35222</v>
      </c>
      <c r="AY3528" s="3" t="s">
        <v>35223</v>
      </c>
      <c r="AZ3528" s="3" t="s">
        <v>35224</v>
      </c>
      <c r="BA3528" s="3" t="s">
        <v>35224</v>
      </c>
      <c r="BB3528" s="3" t="s">
        <v>35230</v>
      </c>
      <c r="BC3528" s="3" t="s">
        <v>77</v>
      </c>
      <c r="BD3528" s="3" t="s">
        <v>78</v>
      </c>
      <c r="BE3528" s="3" t="s">
        <v>35226</v>
      </c>
      <c r="BF3528" s="3" t="s">
        <v>35230</v>
      </c>
      <c r="BG3528" s="3" t="s">
        <v>35231</v>
      </c>
      <c r="BH3528">
        <f t="shared" si="82"/>
        <v>0</v>
      </c>
    </row>
    <row r="3529" spans="1:60" ht="116" x14ac:dyDescent="0.35">
      <c r="A3529" s="2" t="s">
        <v>59</v>
      </c>
      <c r="B3529" s="2" t="s">
        <v>1183</v>
      </c>
      <c r="C3529" s="2" t="s">
        <v>35217</v>
      </c>
      <c r="D3529" s="2" t="s">
        <v>35218</v>
      </c>
      <c r="E3529" s="2" t="s">
        <v>35219</v>
      </c>
      <c r="F3529" s="3" t="s">
        <v>509</v>
      </c>
      <c r="G3529" s="3" t="s">
        <v>128</v>
      </c>
      <c r="I3529" s="3" t="s">
        <v>64</v>
      </c>
      <c r="J3529" s="3" t="s">
        <v>64</v>
      </c>
      <c r="K3529" s="3" t="s">
        <v>65</v>
      </c>
      <c r="M3529" s="2" t="s">
        <v>35220</v>
      </c>
      <c r="N3529" s="3" t="s">
        <v>511</v>
      </c>
      <c r="O3529" s="2" t="s">
        <v>1189</v>
      </c>
      <c r="P3529" s="3" t="s">
        <v>1190</v>
      </c>
      <c r="Q3529" s="2" t="s">
        <v>35221</v>
      </c>
      <c r="R3529" s="3" t="s">
        <v>70</v>
      </c>
      <c r="S3529" s="4">
        <v>0</v>
      </c>
      <c r="T3529" s="4">
        <v>0</v>
      </c>
      <c r="W3529" s="5" t="s">
        <v>72</v>
      </c>
      <c r="X3529" s="5" t="s">
        <v>72</v>
      </c>
      <c r="Y3529" s="4">
        <v>29</v>
      </c>
      <c r="Z3529" s="4">
        <v>4</v>
      </c>
      <c r="AA3529" s="4">
        <v>4</v>
      </c>
      <c r="AB3529" s="4">
        <v>1</v>
      </c>
      <c r="AC3529" s="4">
        <v>1</v>
      </c>
      <c r="AD3529" s="4">
        <v>19</v>
      </c>
      <c r="AE3529" s="4">
        <v>19</v>
      </c>
      <c r="AF3529" s="4">
        <v>0</v>
      </c>
      <c r="AG3529" s="4">
        <v>0</v>
      </c>
      <c r="AH3529" s="4">
        <v>18</v>
      </c>
      <c r="AI3529" s="4">
        <v>18</v>
      </c>
      <c r="AJ3529" s="4">
        <v>2</v>
      </c>
      <c r="AK3529" s="4">
        <v>2</v>
      </c>
      <c r="AL3529" s="4">
        <v>15</v>
      </c>
      <c r="AM3529" s="4">
        <v>15</v>
      </c>
      <c r="AN3529" s="4">
        <v>0</v>
      </c>
      <c r="AO3529" s="4">
        <v>0</v>
      </c>
      <c r="AP3529" s="4">
        <v>2</v>
      </c>
      <c r="AQ3529" s="4">
        <v>2</v>
      </c>
      <c r="AR3529" s="3" t="s">
        <v>64</v>
      </c>
      <c r="AS3529" s="3" t="s">
        <v>64</v>
      </c>
      <c r="AT3529" s="3" t="s">
        <v>64</v>
      </c>
      <c r="AV3529" s="6" t="str">
        <f>HYPERLINK("http://mcgill.on.worldcat.org/oclc/618504737","Catalog Record")</f>
        <v>Catalog Record</v>
      </c>
      <c r="AW3529" s="6" t="str">
        <f>HYPERLINK("http://www.worldcat.org/oclc/618504737","WorldCat Record")</f>
        <v>WorldCat Record</v>
      </c>
      <c r="AX3529" s="3" t="s">
        <v>35222</v>
      </c>
      <c r="AY3529" s="3" t="s">
        <v>35223</v>
      </c>
      <c r="AZ3529" s="3" t="s">
        <v>35224</v>
      </c>
      <c r="BA3529" s="3" t="s">
        <v>35224</v>
      </c>
      <c r="BB3529" s="3" t="s">
        <v>35232</v>
      </c>
      <c r="BC3529" s="3" t="s">
        <v>77</v>
      </c>
      <c r="BD3529" s="3" t="s">
        <v>78</v>
      </c>
      <c r="BE3529" s="3" t="s">
        <v>35226</v>
      </c>
      <c r="BF3529" s="3" t="s">
        <v>35232</v>
      </c>
      <c r="BG3529" s="3" t="s">
        <v>35233</v>
      </c>
      <c r="BH3529">
        <f t="shared" si="82"/>
        <v>0</v>
      </c>
    </row>
    <row r="3530" spans="1:60" ht="101.5" x14ac:dyDescent="0.35">
      <c r="A3530" s="2" t="s">
        <v>59</v>
      </c>
      <c r="B3530" s="2" t="s">
        <v>60</v>
      </c>
      <c r="C3530" s="2" t="s">
        <v>35234</v>
      </c>
      <c r="D3530" s="2" t="s">
        <v>35235</v>
      </c>
      <c r="E3530" s="2" t="s">
        <v>35236</v>
      </c>
      <c r="G3530" s="3" t="s">
        <v>64</v>
      </c>
      <c r="I3530" s="3" t="s">
        <v>128</v>
      </c>
      <c r="J3530" s="3" t="s">
        <v>64</v>
      </c>
      <c r="K3530" s="3" t="s">
        <v>65</v>
      </c>
      <c r="L3530" s="2" t="s">
        <v>35237</v>
      </c>
      <c r="M3530" s="2" t="s">
        <v>35238</v>
      </c>
      <c r="N3530" s="3" t="s">
        <v>7204</v>
      </c>
      <c r="P3530" s="3" t="s">
        <v>102</v>
      </c>
      <c r="R3530" s="3" t="s">
        <v>70</v>
      </c>
      <c r="S3530" s="4">
        <v>5</v>
      </c>
      <c r="T3530" s="4">
        <v>5</v>
      </c>
      <c r="U3530" s="5" t="s">
        <v>11685</v>
      </c>
      <c r="V3530" s="5" t="s">
        <v>11685</v>
      </c>
      <c r="W3530" s="5" t="s">
        <v>72</v>
      </c>
      <c r="X3530" s="5" t="s">
        <v>72</v>
      </c>
      <c r="Y3530" s="4">
        <v>61</v>
      </c>
      <c r="Z3530" s="4">
        <v>26</v>
      </c>
      <c r="AA3530" s="4">
        <v>28</v>
      </c>
      <c r="AB3530" s="4">
        <v>2</v>
      </c>
      <c r="AC3530" s="4">
        <v>2</v>
      </c>
      <c r="AD3530" s="4">
        <v>38</v>
      </c>
      <c r="AE3530" s="4">
        <v>39</v>
      </c>
      <c r="AF3530" s="4">
        <v>0</v>
      </c>
      <c r="AG3530" s="4">
        <v>0</v>
      </c>
      <c r="AH3530" s="4">
        <v>29</v>
      </c>
      <c r="AI3530" s="4">
        <v>30</v>
      </c>
      <c r="AJ3530" s="4">
        <v>9</v>
      </c>
      <c r="AK3530" s="4">
        <v>10</v>
      </c>
      <c r="AL3530" s="4">
        <v>17</v>
      </c>
      <c r="AM3530" s="4">
        <v>17</v>
      </c>
      <c r="AN3530" s="4">
        <v>0</v>
      </c>
      <c r="AO3530" s="4">
        <v>0</v>
      </c>
      <c r="AP3530" s="4">
        <v>13</v>
      </c>
      <c r="AQ3530" s="4">
        <v>14</v>
      </c>
      <c r="AR3530" s="3" t="s">
        <v>64</v>
      </c>
      <c r="AS3530" s="3" t="s">
        <v>64</v>
      </c>
      <c r="AT3530" s="3" t="s">
        <v>64</v>
      </c>
      <c r="AV3530" s="6" t="str">
        <f>HYPERLINK("http://mcgill.on.worldcat.org/oclc/3827009","Catalog Record")</f>
        <v>Catalog Record</v>
      </c>
      <c r="AW3530" s="6" t="str">
        <f>HYPERLINK("http://www.worldcat.org/oclc/3827009","WorldCat Record")</f>
        <v>WorldCat Record</v>
      </c>
      <c r="AX3530" s="3" t="s">
        <v>35239</v>
      </c>
      <c r="AY3530" s="3" t="s">
        <v>35240</v>
      </c>
      <c r="AZ3530" s="3" t="s">
        <v>35241</v>
      </c>
      <c r="BA3530" s="3" t="s">
        <v>35241</v>
      </c>
      <c r="BB3530" s="3" t="s">
        <v>35242</v>
      </c>
      <c r="BC3530" s="3" t="s">
        <v>77</v>
      </c>
      <c r="BD3530" s="3" t="s">
        <v>78</v>
      </c>
      <c r="BF3530" s="3" t="s">
        <v>35242</v>
      </c>
      <c r="BG3530" s="3" t="s">
        <v>35243</v>
      </c>
      <c r="BH3530">
        <f t="shared" si="82"/>
        <v>0</v>
      </c>
    </row>
    <row r="3531" spans="1:60" ht="58" x14ac:dyDescent="0.35">
      <c r="A3531" s="2" t="s">
        <v>6202</v>
      </c>
      <c r="B3531" s="2" t="s">
        <v>6203</v>
      </c>
      <c r="C3531" s="2" t="s">
        <v>35244</v>
      </c>
      <c r="D3531" s="2" t="s">
        <v>35245</v>
      </c>
      <c r="E3531" s="2" t="s">
        <v>35246</v>
      </c>
      <c r="G3531" s="3" t="s">
        <v>64</v>
      </c>
      <c r="I3531" s="3" t="s">
        <v>64</v>
      </c>
      <c r="J3531" s="3" t="s">
        <v>64</v>
      </c>
      <c r="K3531" s="3" t="s">
        <v>65</v>
      </c>
      <c r="L3531" s="2" t="s">
        <v>35247</v>
      </c>
      <c r="M3531" s="2" t="s">
        <v>35248</v>
      </c>
      <c r="N3531" s="3" t="s">
        <v>7285</v>
      </c>
      <c r="P3531" s="3" t="s">
        <v>102</v>
      </c>
      <c r="Q3531" s="2" t="s">
        <v>35249</v>
      </c>
      <c r="R3531" s="3" t="s">
        <v>70</v>
      </c>
      <c r="S3531" s="4">
        <v>1</v>
      </c>
      <c r="T3531" s="4">
        <v>1</v>
      </c>
      <c r="U3531" s="5" t="s">
        <v>11860</v>
      </c>
      <c r="V3531" s="5" t="s">
        <v>11860</v>
      </c>
      <c r="W3531" s="5" t="s">
        <v>72</v>
      </c>
      <c r="X3531" s="5" t="s">
        <v>72</v>
      </c>
      <c r="Y3531" s="4">
        <v>8</v>
      </c>
      <c r="Z3531" s="4">
        <v>3</v>
      </c>
      <c r="AA3531" s="4">
        <v>3</v>
      </c>
      <c r="AB3531" s="4">
        <v>1</v>
      </c>
      <c r="AC3531" s="4">
        <v>1</v>
      </c>
      <c r="AD3531" s="4">
        <v>6</v>
      </c>
      <c r="AE3531" s="4">
        <v>6</v>
      </c>
      <c r="AF3531" s="4">
        <v>0</v>
      </c>
      <c r="AG3531" s="4">
        <v>0</v>
      </c>
      <c r="AH3531" s="4">
        <v>4</v>
      </c>
      <c r="AI3531" s="4">
        <v>4</v>
      </c>
      <c r="AJ3531" s="4">
        <v>2</v>
      </c>
      <c r="AK3531" s="4">
        <v>2</v>
      </c>
      <c r="AL3531" s="4">
        <v>3</v>
      </c>
      <c r="AM3531" s="4">
        <v>3</v>
      </c>
      <c r="AN3531" s="4">
        <v>0</v>
      </c>
      <c r="AO3531" s="4">
        <v>0</v>
      </c>
      <c r="AP3531" s="4">
        <v>2</v>
      </c>
      <c r="AQ3531" s="4">
        <v>2</v>
      </c>
      <c r="AR3531" s="3" t="s">
        <v>128</v>
      </c>
      <c r="AS3531" s="3" t="s">
        <v>64</v>
      </c>
      <c r="AT3531" s="3" t="s">
        <v>64</v>
      </c>
      <c r="AV3531" s="6" t="str">
        <f>HYPERLINK("http://mcgill.on.worldcat.org/oclc/4549812","Catalog Record")</f>
        <v>Catalog Record</v>
      </c>
      <c r="AW3531" s="6" t="str">
        <f>HYPERLINK("http://www.worldcat.org/oclc/4549812","WorldCat Record")</f>
        <v>WorldCat Record</v>
      </c>
      <c r="AX3531" s="3" t="s">
        <v>35250</v>
      </c>
      <c r="AY3531" s="3" t="s">
        <v>35251</v>
      </c>
      <c r="AZ3531" s="3" t="s">
        <v>35252</v>
      </c>
      <c r="BA3531" s="3" t="s">
        <v>35252</v>
      </c>
      <c r="BB3531" s="3" t="s">
        <v>35253</v>
      </c>
      <c r="BC3531" s="3" t="s">
        <v>77</v>
      </c>
      <c r="BD3531" s="3" t="s">
        <v>78</v>
      </c>
      <c r="BF3531" s="3" t="s">
        <v>35253</v>
      </c>
      <c r="BG3531" s="3" t="s">
        <v>35254</v>
      </c>
      <c r="BH3531">
        <f t="shared" si="82"/>
        <v>0</v>
      </c>
    </row>
    <row r="3532" spans="1:60" ht="58" x14ac:dyDescent="0.35">
      <c r="A3532" s="2" t="s">
        <v>59</v>
      </c>
      <c r="B3532" s="2" t="s">
        <v>60</v>
      </c>
      <c r="C3532" s="2" t="s">
        <v>35256</v>
      </c>
      <c r="D3532" s="2" t="s">
        <v>35257</v>
      </c>
      <c r="E3532" s="2" t="s">
        <v>35258</v>
      </c>
      <c r="F3532" s="3" t="s">
        <v>529</v>
      </c>
      <c r="G3532" s="3" t="s">
        <v>128</v>
      </c>
      <c r="I3532" s="3" t="s">
        <v>64</v>
      </c>
      <c r="J3532" s="3" t="s">
        <v>64</v>
      </c>
      <c r="K3532" s="3" t="s">
        <v>65</v>
      </c>
      <c r="M3532" s="2" t="s">
        <v>35259</v>
      </c>
      <c r="N3532" s="3" t="s">
        <v>253</v>
      </c>
      <c r="P3532" s="3" t="s">
        <v>102</v>
      </c>
      <c r="Q3532" s="2" t="s">
        <v>35260</v>
      </c>
      <c r="R3532" s="3" t="s">
        <v>70</v>
      </c>
      <c r="S3532" s="4">
        <v>1</v>
      </c>
      <c r="T3532" s="4">
        <v>2</v>
      </c>
      <c r="U3532" s="5" t="s">
        <v>6751</v>
      </c>
      <c r="V3532" s="5" t="s">
        <v>6751</v>
      </c>
      <c r="W3532" s="5" t="s">
        <v>72</v>
      </c>
      <c r="X3532" s="5" t="s">
        <v>72</v>
      </c>
      <c r="Y3532" s="4">
        <v>53</v>
      </c>
      <c r="Z3532" s="4">
        <v>5</v>
      </c>
      <c r="AA3532" s="4">
        <v>6</v>
      </c>
      <c r="AB3532" s="4">
        <v>1</v>
      </c>
      <c r="AC3532" s="4">
        <v>1</v>
      </c>
      <c r="AD3532" s="4">
        <v>17</v>
      </c>
      <c r="AE3532" s="4">
        <v>19</v>
      </c>
      <c r="AF3532" s="4">
        <v>0</v>
      </c>
      <c r="AG3532" s="4">
        <v>0</v>
      </c>
      <c r="AH3532" s="4">
        <v>15</v>
      </c>
      <c r="AI3532" s="4">
        <v>17</v>
      </c>
      <c r="AJ3532" s="4">
        <v>3</v>
      </c>
      <c r="AK3532" s="4">
        <v>4</v>
      </c>
      <c r="AL3532" s="4">
        <v>13</v>
      </c>
      <c r="AM3532" s="4">
        <v>14</v>
      </c>
      <c r="AN3532" s="4">
        <v>0</v>
      </c>
      <c r="AO3532" s="4">
        <v>0</v>
      </c>
      <c r="AP3532" s="4">
        <v>3</v>
      </c>
      <c r="AQ3532" s="4">
        <v>4</v>
      </c>
      <c r="AR3532" s="3" t="s">
        <v>64</v>
      </c>
      <c r="AS3532" s="3" t="s">
        <v>64</v>
      </c>
      <c r="AT3532" s="3" t="s">
        <v>64</v>
      </c>
      <c r="AV3532" s="6" t="str">
        <f>HYPERLINK("http://mcgill.on.worldcat.org/oclc/933210970","Catalog Record")</f>
        <v>Catalog Record</v>
      </c>
      <c r="AW3532" s="6" t="str">
        <f>HYPERLINK("http://www.worldcat.org/oclc/933210970","WorldCat Record")</f>
        <v>WorldCat Record</v>
      </c>
      <c r="AX3532" s="3" t="s">
        <v>35261</v>
      </c>
      <c r="AY3532" s="3" t="s">
        <v>35262</v>
      </c>
      <c r="AZ3532" s="3" t="s">
        <v>35263</v>
      </c>
      <c r="BA3532" s="3" t="s">
        <v>35263</v>
      </c>
      <c r="BB3532" s="3" t="s">
        <v>35264</v>
      </c>
      <c r="BC3532" s="3" t="s">
        <v>77</v>
      </c>
      <c r="BD3532" s="3" t="s">
        <v>78</v>
      </c>
      <c r="BE3532" s="3" t="s">
        <v>35265</v>
      </c>
      <c r="BF3532" s="3" t="s">
        <v>35264</v>
      </c>
      <c r="BG3532" s="3" t="s">
        <v>35266</v>
      </c>
      <c r="BH3532">
        <f t="shared" si="82"/>
        <v>0</v>
      </c>
    </row>
    <row r="3533" spans="1:60" ht="58" x14ac:dyDescent="0.35">
      <c r="A3533" s="2" t="s">
        <v>59</v>
      </c>
      <c r="B3533" s="2" t="s">
        <v>60</v>
      </c>
      <c r="C3533" s="2" t="s">
        <v>35256</v>
      </c>
      <c r="D3533" s="2" t="s">
        <v>35257</v>
      </c>
      <c r="E3533" s="2" t="s">
        <v>35258</v>
      </c>
      <c r="F3533" s="3" t="s">
        <v>525</v>
      </c>
      <c r="G3533" s="3" t="s">
        <v>128</v>
      </c>
      <c r="I3533" s="3" t="s">
        <v>64</v>
      </c>
      <c r="J3533" s="3" t="s">
        <v>64</v>
      </c>
      <c r="K3533" s="3" t="s">
        <v>65</v>
      </c>
      <c r="M3533" s="2" t="s">
        <v>35259</v>
      </c>
      <c r="N3533" s="3" t="s">
        <v>253</v>
      </c>
      <c r="P3533" s="3" t="s">
        <v>102</v>
      </c>
      <c r="Q3533" s="2" t="s">
        <v>35260</v>
      </c>
      <c r="R3533" s="3" t="s">
        <v>70</v>
      </c>
      <c r="S3533" s="4">
        <v>1</v>
      </c>
      <c r="T3533" s="4">
        <v>2</v>
      </c>
      <c r="U3533" s="5" t="s">
        <v>6751</v>
      </c>
      <c r="V3533" s="5" t="s">
        <v>6751</v>
      </c>
      <c r="W3533" s="5" t="s">
        <v>72</v>
      </c>
      <c r="X3533" s="5" t="s">
        <v>72</v>
      </c>
      <c r="Y3533" s="4">
        <v>53</v>
      </c>
      <c r="Z3533" s="4">
        <v>5</v>
      </c>
      <c r="AA3533" s="4">
        <v>6</v>
      </c>
      <c r="AB3533" s="4">
        <v>1</v>
      </c>
      <c r="AC3533" s="4">
        <v>1</v>
      </c>
      <c r="AD3533" s="4">
        <v>17</v>
      </c>
      <c r="AE3533" s="4">
        <v>19</v>
      </c>
      <c r="AF3533" s="4">
        <v>0</v>
      </c>
      <c r="AG3533" s="4">
        <v>0</v>
      </c>
      <c r="AH3533" s="4">
        <v>15</v>
      </c>
      <c r="AI3533" s="4">
        <v>17</v>
      </c>
      <c r="AJ3533" s="4">
        <v>3</v>
      </c>
      <c r="AK3533" s="4">
        <v>4</v>
      </c>
      <c r="AL3533" s="4">
        <v>13</v>
      </c>
      <c r="AM3533" s="4">
        <v>14</v>
      </c>
      <c r="AN3533" s="4">
        <v>0</v>
      </c>
      <c r="AO3533" s="4">
        <v>0</v>
      </c>
      <c r="AP3533" s="4">
        <v>3</v>
      </c>
      <c r="AQ3533" s="4">
        <v>4</v>
      </c>
      <c r="AR3533" s="3" t="s">
        <v>64</v>
      </c>
      <c r="AS3533" s="3" t="s">
        <v>64</v>
      </c>
      <c r="AT3533" s="3" t="s">
        <v>64</v>
      </c>
      <c r="AV3533" s="6" t="str">
        <f>HYPERLINK("http://mcgill.on.worldcat.org/oclc/933210970","Catalog Record")</f>
        <v>Catalog Record</v>
      </c>
      <c r="AW3533" s="6" t="str">
        <f>HYPERLINK("http://www.worldcat.org/oclc/933210970","WorldCat Record")</f>
        <v>WorldCat Record</v>
      </c>
      <c r="AX3533" s="3" t="s">
        <v>35261</v>
      </c>
      <c r="AY3533" s="3" t="s">
        <v>35262</v>
      </c>
      <c r="AZ3533" s="3" t="s">
        <v>35263</v>
      </c>
      <c r="BA3533" s="3" t="s">
        <v>35263</v>
      </c>
      <c r="BB3533" s="3" t="s">
        <v>35267</v>
      </c>
      <c r="BC3533" s="3" t="s">
        <v>77</v>
      </c>
      <c r="BD3533" s="3" t="s">
        <v>78</v>
      </c>
      <c r="BE3533" s="3" t="s">
        <v>35265</v>
      </c>
      <c r="BF3533" s="3" t="s">
        <v>35267</v>
      </c>
      <c r="BG3533" s="3" t="s">
        <v>35268</v>
      </c>
      <c r="BH3533">
        <f t="shared" si="82"/>
        <v>0</v>
      </c>
    </row>
    <row r="3534" spans="1:60" ht="58" x14ac:dyDescent="0.35">
      <c r="A3534" s="2" t="s">
        <v>6202</v>
      </c>
      <c r="B3534" s="2" t="s">
        <v>6203</v>
      </c>
      <c r="C3534" s="2" t="s">
        <v>35269</v>
      </c>
      <c r="D3534" s="2" t="s">
        <v>35270</v>
      </c>
      <c r="E3534" s="2" t="s">
        <v>35271</v>
      </c>
      <c r="G3534" s="3" t="s">
        <v>64</v>
      </c>
      <c r="I3534" s="3" t="s">
        <v>64</v>
      </c>
      <c r="J3534" s="3" t="s">
        <v>64</v>
      </c>
      <c r="K3534" s="3" t="s">
        <v>65</v>
      </c>
      <c r="L3534" s="2" t="s">
        <v>35272</v>
      </c>
      <c r="M3534" s="2" t="s">
        <v>35273</v>
      </c>
      <c r="N3534" s="3" t="s">
        <v>11160</v>
      </c>
      <c r="P3534" s="3" t="s">
        <v>102</v>
      </c>
      <c r="Q3534" s="2" t="s">
        <v>35274</v>
      </c>
      <c r="R3534" s="3" t="s">
        <v>70</v>
      </c>
      <c r="S3534" s="4">
        <v>1</v>
      </c>
      <c r="T3534" s="4">
        <v>1</v>
      </c>
      <c r="U3534" s="5" t="s">
        <v>3677</v>
      </c>
      <c r="V3534" s="5" t="s">
        <v>3677</v>
      </c>
      <c r="W3534" s="5" t="s">
        <v>72</v>
      </c>
      <c r="X3534" s="5" t="s">
        <v>72</v>
      </c>
      <c r="Y3534" s="4">
        <v>123</v>
      </c>
      <c r="Z3534" s="4">
        <v>8</v>
      </c>
      <c r="AA3534" s="4">
        <v>9</v>
      </c>
      <c r="AB3534" s="4">
        <v>1</v>
      </c>
      <c r="AC3534" s="4">
        <v>1</v>
      </c>
      <c r="AD3534" s="4">
        <v>61</v>
      </c>
      <c r="AE3534" s="4">
        <v>63</v>
      </c>
      <c r="AF3534" s="4">
        <v>0</v>
      </c>
      <c r="AG3534" s="4">
        <v>0</v>
      </c>
      <c r="AH3534" s="4">
        <v>55</v>
      </c>
      <c r="AI3534" s="4">
        <v>56</v>
      </c>
      <c r="AJ3534" s="4">
        <v>5</v>
      </c>
      <c r="AK3534" s="4">
        <v>6</v>
      </c>
      <c r="AL3534" s="4">
        <v>41</v>
      </c>
      <c r="AM3534" s="4">
        <v>41</v>
      </c>
      <c r="AN3534" s="4">
        <v>0</v>
      </c>
      <c r="AO3534" s="4">
        <v>0</v>
      </c>
      <c r="AP3534" s="4">
        <v>4</v>
      </c>
      <c r="AQ3534" s="4">
        <v>5</v>
      </c>
      <c r="AR3534" s="3" t="s">
        <v>64</v>
      </c>
      <c r="AS3534" s="3" t="s">
        <v>64</v>
      </c>
      <c r="AT3534" s="3" t="s">
        <v>128</v>
      </c>
      <c r="AU3534" s="6" t="str">
        <f>HYPERLINK("http://catalog.hathitrust.org/Record/001165922","HathiTrust Record")</f>
        <v>HathiTrust Record</v>
      </c>
      <c r="AV3534" s="6" t="str">
        <f>HYPERLINK("http://mcgill.on.worldcat.org/oclc/1066301","Catalog Record")</f>
        <v>Catalog Record</v>
      </c>
      <c r="AW3534" s="6" t="str">
        <f>HYPERLINK("http://www.worldcat.org/oclc/1066301","WorldCat Record")</f>
        <v>WorldCat Record</v>
      </c>
      <c r="AX3534" s="3" t="s">
        <v>35275</v>
      </c>
      <c r="AY3534" s="3" t="s">
        <v>35276</v>
      </c>
      <c r="AZ3534" s="3" t="s">
        <v>35277</v>
      </c>
      <c r="BA3534" s="3" t="s">
        <v>35277</v>
      </c>
      <c r="BB3534" s="3" t="s">
        <v>35278</v>
      </c>
      <c r="BC3534" s="3" t="s">
        <v>77</v>
      </c>
      <c r="BD3534" s="3" t="s">
        <v>78</v>
      </c>
      <c r="BF3534" s="3" t="s">
        <v>35278</v>
      </c>
      <c r="BG3534" s="3" t="s">
        <v>35279</v>
      </c>
      <c r="BH3534">
        <f t="shared" si="82"/>
        <v>0</v>
      </c>
    </row>
    <row r="3535" spans="1:60" ht="58" x14ac:dyDescent="0.35">
      <c r="A3535" s="2" t="s">
        <v>59</v>
      </c>
      <c r="B3535" s="2" t="s">
        <v>60</v>
      </c>
      <c r="C3535" s="2" t="s">
        <v>35280</v>
      </c>
      <c r="D3535" s="2" t="s">
        <v>35281</v>
      </c>
      <c r="E3535" s="2" t="s">
        <v>35282</v>
      </c>
      <c r="G3535" s="3" t="s">
        <v>64</v>
      </c>
      <c r="I3535" s="3" t="s">
        <v>64</v>
      </c>
      <c r="J3535" s="3" t="s">
        <v>64</v>
      </c>
      <c r="K3535" s="3" t="s">
        <v>65</v>
      </c>
      <c r="L3535" s="2" t="s">
        <v>35283</v>
      </c>
      <c r="M3535" s="2" t="s">
        <v>35284</v>
      </c>
      <c r="N3535" s="3" t="s">
        <v>3428</v>
      </c>
      <c r="P3535" s="3" t="s">
        <v>102</v>
      </c>
      <c r="Q3535" s="2" t="s">
        <v>35285</v>
      </c>
      <c r="R3535" s="3" t="s">
        <v>70</v>
      </c>
      <c r="S3535" s="4">
        <v>1</v>
      </c>
      <c r="T3535" s="4">
        <v>1</v>
      </c>
      <c r="U3535" s="5" t="s">
        <v>13640</v>
      </c>
      <c r="V3535" s="5" t="s">
        <v>13640</v>
      </c>
      <c r="W3535" s="5" t="s">
        <v>72</v>
      </c>
      <c r="X3535" s="5" t="s">
        <v>72</v>
      </c>
      <c r="Y3535" s="4">
        <v>151</v>
      </c>
      <c r="Z3535" s="4">
        <v>10</v>
      </c>
      <c r="AA3535" s="4">
        <v>10</v>
      </c>
      <c r="AB3535" s="4">
        <v>1</v>
      </c>
      <c r="AC3535" s="4">
        <v>1</v>
      </c>
      <c r="AD3535" s="4">
        <v>75</v>
      </c>
      <c r="AE3535" s="4">
        <v>76</v>
      </c>
      <c r="AF3535" s="4">
        <v>0</v>
      </c>
      <c r="AG3535" s="4">
        <v>0</v>
      </c>
      <c r="AH3535" s="4">
        <v>70</v>
      </c>
      <c r="AI3535" s="4">
        <v>71</v>
      </c>
      <c r="AJ3535" s="4">
        <v>5</v>
      </c>
      <c r="AK3535" s="4">
        <v>5</v>
      </c>
      <c r="AL3535" s="4">
        <v>45</v>
      </c>
      <c r="AM3535" s="4">
        <v>46</v>
      </c>
      <c r="AN3535" s="4">
        <v>0</v>
      </c>
      <c r="AO3535" s="4">
        <v>0</v>
      </c>
      <c r="AP3535" s="4">
        <v>6</v>
      </c>
      <c r="AQ3535" s="4">
        <v>6</v>
      </c>
      <c r="AR3535" s="3" t="s">
        <v>64</v>
      </c>
      <c r="AS3535" s="3" t="s">
        <v>64</v>
      </c>
      <c r="AT3535" s="3" t="s">
        <v>128</v>
      </c>
      <c r="AU3535" s="6" t="str">
        <f>HYPERLINK("http://catalog.hathitrust.org/Record/003024642","HathiTrust Record")</f>
        <v>HathiTrust Record</v>
      </c>
      <c r="AV3535" s="6" t="str">
        <f>HYPERLINK("http://mcgill.on.worldcat.org/oclc/32947881","Catalog Record")</f>
        <v>Catalog Record</v>
      </c>
      <c r="AW3535" s="6" t="str">
        <f>HYPERLINK("http://www.worldcat.org/oclc/32947881","WorldCat Record")</f>
        <v>WorldCat Record</v>
      </c>
      <c r="AX3535" s="3" t="s">
        <v>35286</v>
      </c>
      <c r="AY3535" s="3" t="s">
        <v>35287</v>
      </c>
      <c r="AZ3535" s="3" t="s">
        <v>35288</v>
      </c>
      <c r="BA3535" s="3" t="s">
        <v>35288</v>
      </c>
      <c r="BB3535" s="3" t="s">
        <v>35289</v>
      </c>
      <c r="BC3535" s="3" t="s">
        <v>77</v>
      </c>
      <c r="BD3535" s="3" t="s">
        <v>78</v>
      </c>
      <c r="BE3535" s="3" t="s">
        <v>35290</v>
      </c>
      <c r="BF3535" s="3" t="s">
        <v>35289</v>
      </c>
      <c r="BG3535" s="3" t="s">
        <v>35291</v>
      </c>
      <c r="BH3535">
        <f t="shared" si="82"/>
        <v>0</v>
      </c>
    </row>
    <row r="3536" spans="1:60" ht="87" x14ac:dyDescent="0.35">
      <c r="A3536" s="2" t="s">
        <v>59</v>
      </c>
      <c r="B3536" s="2" t="s">
        <v>60</v>
      </c>
      <c r="C3536" s="2" t="s">
        <v>35292</v>
      </c>
      <c r="D3536" s="2" t="s">
        <v>35293</v>
      </c>
      <c r="E3536" s="2" t="s">
        <v>35294</v>
      </c>
      <c r="G3536" s="3" t="s">
        <v>64</v>
      </c>
      <c r="I3536" s="3" t="s">
        <v>64</v>
      </c>
      <c r="J3536" s="3" t="s">
        <v>64</v>
      </c>
      <c r="K3536" s="3" t="s">
        <v>65</v>
      </c>
      <c r="M3536" s="2" t="s">
        <v>6369</v>
      </c>
      <c r="N3536" s="3" t="s">
        <v>326</v>
      </c>
      <c r="P3536" s="3" t="s">
        <v>365</v>
      </c>
      <c r="Q3536" s="2" t="s">
        <v>35295</v>
      </c>
      <c r="R3536" s="3" t="s">
        <v>70</v>
      </c>
      <c r="S3536" s="4">
        <v>0</v>
      </c>
      <c r="T3536" s="4">
        <v>0</v>
      </c>
      <c r="W3536" s="5" t="s">
        <v>72</v>
      </c>
      <c r="X3536" s="5" t="s">
        <v>72</v>
      </c>
      <c r="Y3536" s="4">
        <v>46</v>
      </c>
      <c r="Z3536" s="4">
        <v>4</v>
      </c>
      <c r="AA3536" s="4">
        <v>4</v>
      </c>
      <c r="AB3536" s="4">
        <v>1</v>
      </c>
      <c r="AC3536" s="4">
        <v>1</v>
      </c>
      <c r="AD3536" s="4">
        <v>25</v>
      </c>
      <c r="AE3536" s="4">
        <v>25</v>
      </c>
      <c r="AF3536" s="4">
        <v>0</v>
      </c>
      <c r="AG3536" s="4">
        <v>0</v>
      </c>
      <c r="AH3536" s="4">
        <v>24</v>
      </c>
      <c r="AI3536" s="4">
        <v>24</v>
      </c>
      <c r="AJ3536" s="4">
        <v>1</v>
      </c>
      <c r="AK3536" s="4">
        <v>1</v>
      </c>
      <c r="AL3536" s="4">
        <v>20</v>
      </c>
      <c r="AM3536" s="4">
        <v>20</v>
      </c>
      <c r="AN3536" s="4">
        <v>0</v>
      </c>
      <c r="AO3536" s="4">
        <v>0</v>
      </c>
      <c r="AP3536" s="4">
        <v>1</v>
      </c>
      <c r="AQ3536" s="4">
        <v>1</v>
      </c>
      <c r="AR3536" s="3" t="s">
        <v>64</v>
      </c>
      <c r="AS3536" s="3" t="s">
        <v>64</v>
      </c>
      <c r="AT3536" s="3" t="s">
        <v>64</v>
      </c>
      <c r="AV3536" s="6" t="str">
        <f>HYPERLINK("http://mcgill.on.worldcat.org/oclc/773016817","Catalog Record")</f>
        <v>Catalog Record</v>
      </c>
      <c r="AW3536" s="6" t="str">
        <f>HYPERLINK("http://www.worldcat.org/oclc/773016817","WorldCat Record")</f>
        <v>WorldCat Record</v>
      </c>
      <c r="AX3536" s="3" t="s">
        <v>35296</v>
      </c>
      <c r="AY3536" s="3" t="s">
        <v>35297</v>
      </c>
      <c r="AZ3536" s="3" t="s">
        <v>35298</v>
      </c>
      <c r="BA3536" s="3" t="s">
        <v>35298</v>
      </c>
      <c r="BB3536" s="3" t="s">
        <v>35299</v>
      </c>
      <c r="BC3536" s="3" t="s">
        <v>77</v>
      </c>
      <c r="BD3536" s="3" t="s">
        <v>78</v>
      </c>
      <c r="BE3536" s="3" t="s">
        <v>35300</v>
      </c>
      <c r="BF3536" s="3" t="s">
        <v>35299</v>
      </c>
      <c r="BG3536" s="3" t="s">
        <v>35301</v>
      </c>
      <c r="BH3536">
        <f t="shared" si="82"/>
        <v>0</v>
      </c>
    </row>
    <row r="3537" spans="1:60" ht="72.5" x14ac:dyDescent="0.35">
      <c r="A3537" s="2" t="s">
        <v>59</v>
      </c>
      <c r="B3537" s="2" t="s">
        <v>60</v>
      </c>
      <c r="C3537" s="2" t="s">
        <v>35302</v>
      </c>
      <c r="D3537" s="2" t="s">
        <v>35303</v>
      </c>
      <c r="E3537" s="2" t="s">
        <v>35304</v>
      </c>
      <c r="G3537" s="3" t="s">
        <v>64</v>
      </c>
      <c r="I3537" s="3" t="s">
        <v>64</v>
      </c>
      <c r="J3537" s="3" t="s">
        <v>64</v>
      </c>
      <c r="K3537" s="3" t="s">
        <v>65</v>
      </c>
      <c r="L3537" s="2" t="s">
        <v>35305</v>
      </c>
      <c r="M3537" s="2" t="s">
        <v>6507</v>
      </c>
      <c r="N3537" s="3" t="s">
        <v>86</v>
      </c>
      <c r="P3537" s="3" t="s">
        <v>365</v>
      </c>
      <c r="Q3537" s="2" t="s">
        <v>35306</v>
      </c>
      <c r="R3537" s="3" t="s">
        <v>70</v>
      </c>
      <c r="S3537" s="4">
        <v>0</v>
      </c>
      <c r="T3537" s="4">
        <v>0</v>
      </c>
      <c r="W3537" s="5" t="s">
        <v>72</v>
      </c>
      <c r="X3537" s="5" t="s">
        <v>72</v>
      </c>
      <c r="Y3537" s="4">
        <v>48</v>
      </c>
      <c r="Z3537" s="4">
        <v>3</v>
      </c>
      <c r="AA3537" s="4">
        <v>3</v>
      </c>
      <c r="AB3537" s="4">
        <v>1</v>
      </c>
      <c r="AC3537" s="4">
        <v>1</v>
      </c>
      <c r="AD3537" s="4">
        <v>20</v>
      </c>
      <c r="AE3537" s="4">
        <v>20</v>
      </c>
      <c r="AF3537" s="4">
        <v>0</v>
      </c>
      <c r="AG3537" s="4">
        <v>0</v>
      </c>
      <c r="AH3537" s="4">
        <v>19</v>
      </c>
      <c r="AI3537" s="4">
        <v>19</v>
      </c>
      <c r="AJ3537" s="4">
        <v>1</v>
      </c>
      <c r="AK3537" s="4">
        <v>1</v>
      </c>
      <c r="AL3537" s="4">
        <v>16</v>
      </c>
      <c r="AM3537" s="4">
        <v>16</v>
      </c>
      <c r="AN3537" s="4">
        <v>0</v>
      </c>
      <c r="AO3537" s="4">
        <v>0</v>
      </c>
      <c r="AP3537" s="4">
        <v>1</v>
      </c>
      <c r="AQ3537" s="4">
        <v>1</v>
      </c>
      <c r="AR3537" s="3" t="s">
        <v>64</v>
      </c>
      <c r="AS3537" s="3" t="s">
        <v>64</v>
      </c>
      <c r="AT3537" s="3" t="s">
        <v>128</v>
      </c>
      <c r="AU3537" s="6" t="str">
        <f>HYPERLINK("http://catalog.hathitrust.org/Record/100896344","HathiTrust Record")</f>
        <v>HathiTrust Record</v>
      </c>
      <c r="AV3537" s="6" t="str">
        <f>HYPERLINK("http://mcgill.on.worldcat.org/oclc/811589204","Catalog Record")</f>
        <v>Catalog Record</v>
      </c>
      <c r="AW3537" s="6" t="str">
        <f>HYPERLINK("http://www.worldcat.org/oclc/811589204","WorldCat Record")</f>
        <v>WorldCat Record</v>
      </c>
      <c r="AX3537" s="3" t="s">
        <v>35307</v>
      </c>
      <c r="AY3537" s="3" t="s">
        <v>35308</v>
      </c>
      <c r="AZ3537" s="3" t="s">
        <v>35309</v>
      </c>
      <c r="BA3537" s="3" t="s">
        <v>35309</v>
      </c>
      <c r="BB3537" s="3" t="s">
        <v>35310</v>
      </c>
      <c r="BC3537" s="3" t="s">
        <v>77</v>
      </c>
      <c r="BD3537" s="3" t="s">
        <v>78</v>
      </c>
      <c r="BE3537" s="3" t="s">
        <v>35311</v>
      </c>
      <c r="BF3537" s="3" t="s">
        <v>35310</v>
      </c>
      <c r="BG3537" s="3" t="s">
        <v>35312</v>
      </c>
      <c r="BH3537">
        <f t="shared" si="82"/>
        <v>0</v>
      </c>
    </row>
    <row r="3538" spans="1:60" ht="87" x14ac:dyDescent="0.35">
      <c r="A3538" s="2" t="s">
        <v>59</v>
      </c>
      <c r="B3538" s="2" t="s">
        <v>60</v>
      </c>
      <c r="C3538" s="2" t="s">
        <v>35313</v>
      </c>
      <c r="D3538" s="2" t="s">
        <v>35314</v>
      </c>
      <c r="E3538" s="2" t="s">
        <v>35315</v>
      </c>
      <c r="F3538" s="3" t="s">
        <v>35316</v>
      </c>
      <c r="G3538" s="3" t="s">
        <v>128</v>
      </c>
      <c r="I3538" s="3" t="s">
        <v>128</v>
      </c>
      <c r="J3538" s="3" t="s">
        <v>64</v>
      </c>
      <c r="K3538" s="3" t="s">
        <v>65</v>
      </c>
      <c r="L3538" s="2" t="s">
        <v>35317</v>
      </c>
      <c r="M3538" s="2" t="s">
        <v>35318</v>
      </c>
      <c r="N3538" s="3" t="s">
        <v>922</v>
      </c>
      <c r="P3538" s="3" t="s">
        <v>4873</v>
      </c>
      <c r="R3538" s="3" t="s">
        <v>70</v>
      </c>
      <c r="S3538" s="4">
        <v>0</v>
      </c>
      <c r="T3538" s="4">
        <v>1</v>
      </c>
      <c r="V3538" s="5" t="s">
        <v>8957</v>
      </c>
      <c r="W3538" s="5" t="s">
        <v>72</v>
      </c>
      <c r="X3538" s="5" t="s">
        <v>72</v>
      </c>
      <c r="Y3538" s="4">
        <v>58</v>
      </c>
      <c r="Z3538" s="4">
        <v>6</v>
      </c>
      <c r="AA3538" s="4">
        <v>6</v>
      </c>
      <c r="AB3538" s="4">
        <v>1</v>
      </c>
      <c r="AC3538" s="4">
        <v>1</v>
      </c>
      <c r="AD3538" s="4">
        <v>36</v>
      </c>
      <c r="AE3538" s="4">
        <v>42</v>
      </c>
      <c r="AF3538" s="4">
        <v>0</v>
      </c>
      <c r="AG3538" s="4">
        <v>0</v>
      </c>
      <c r="AH3538" s="4">
        <v>34</v>
      </c>
      <c r="AI3538" s="4">
        <v>40</v>
      </c>
      <c r="AJ3538" s="4">
        <v>4</v>
      </c>
      <c r="AK3538" s="4">
        <v>4</v>
      </c>
      <c r="AL3538" s="4">
        <v>29</v>
      </c>
      <c r="AM3538" s="4">
        <v>34</v>
      </c>
      <c r="AN3538" s="4">
        <v>0</v>
      </c>
      <c r="AO3538" s="4">
        <v>0</v>
      </c>
      <c r="AP3538" s="4">
        <v>4</v>
      </c>
      <c r="AQ3538" s="4">
        <v>4</v>
      </c>
      <c r="AR3538" s="3" t="s">
        <v>64</v>
      </c>
      <c r="AS3538" s="3" t="s">
        <v>64</v>
      </c>
      <c r="AT3538" s="3" t="s">
        <v>128</v>
      </c>
      <c r="AU3538" s="6" t="str">
        <f t="shared" ref="AU3538:AU3543" si="83">HYPERLINK("http://catalog.hathitrust.org/Record/001761653","HathiTrust Record")</f>
        <v>HathiTrust Record</v>
      </c>
      <c r="AV3538" s="6" t="str">
        <f t="shared" ref="AV3538:AV3543" si="84">HYPERLINK("http://mcgill.on.worldcat.org/oclc/17920552","Catalog Record")</f>
        <v>Catalog Record</v>
      </c>
      <c r="AW3538" s="6" t="str">
        <f t="shared" ref="AW3538:AW3543" si="85">HYPERLINK("http://www.worldcat.org/oclc/17920552","WorldCat Record")</f>
        <v>WorldCat Record</v>
      </c>
      <c r="AX3538" s="3" t="s">
        <v>35319</v>
      </c>
      <c r="AY3538" s="3" t="s">
        <v>35320</v>
      </c>
      <c r="AZ3538" s="3" t="s">
        <v>35321</v>
      </c>
      <c r="BA3538" s="3" t="s">
        <v>35321</v>
      </c>
      <c r="BB3538" s="3" t="s">
        <v>35322</v>
      </c>
      <c r="BC3538" s="3" t="s">
        <v>77</v>
      </c>
      <c r="BD3538" s="3" t="s">
        <v>78</v>
      </c>
      <c r="BF3538" s="3" t="s">
        <v>35322</v>
      </c>
      <c r="BG3538" s="3" t="s">
        <v>35323</v>
      </c>
      <c r="BH3538">
        <f t="shared" si="82"/>
        <v>0</v>
      </c>
    </row>
    <row r="3539" spans="1:60" ht="87" x14ac:dyDescent="0.35">
      <c r="A3539" s="2" t="s">
        <v>59</v>
      </c>
      <c r="B3539" s="2" t="s">
        <v>60</v>
      </c>
      <c r="C3539" s="2" t="s">
        <v>35313</v>
      </c>
      <c r="D3539" s="2" t="s">
        <v>35314</v>
      </c>
      <c r="E3539" s="2" t="s">
        <v>35315</v>
      </c>
      <c r="G3539" s="3" t="s">
        <v>128</v>
      </c>
      <c r="I3539" s="3" t="s">
        <v>128</v>
      </c>
      <c r="J3539" s="3" t="s">
        <v>64</v>
      </c>
      <c r="K3539" s="3" t="s">
        <v>65</v>
      </c>
      <c r="L3539" s="2" t="s">
        <v>35317</v>
      </c>
      <c r="M3539" s="2" t="s">
        <v>35318</v>
      </c>
      <c r="N3539" s="3" t="s">
        <v>922</v>
      </c>
      <c r="P3539" s="3" t="s">
        <v>4873</v>
      </c>
      <c r="R3539" s="3" t="s">
        <v>70</v>
      </c>
      <c r="S3539" s="4">
        <v>0</v>
      </c>
      <c r="T3539" s="4">
        <v>1</v>
      </c>
      <c r="V3539" s="5" t="s">
        <v>8957</v>
      </c>
      <c r="W3539" s="5" t="s">
        <v>72</v>
      </c>
      <c r="X3539" s="5" t="s">
        <v>72</v>
      </c>
      <c r="Y3539" s="4">
        <v>58</v>
      </c>
      <c r="Z3539" s="4">
        <v>6</v>
      </c>
      <c r="AA3539" s="4">
        <v>6</v>
      </c>
      <c r="AB3539" s="4">
        <v>1</v>
      </c>
      <c r="AC3539" s="4">
        <v>1</v>
      </c>
      <c r="AD3539" s="4">
        <v>36</v>
      </c>
      <c r="AE3539" s="4">
        <v>42</v>
      </c>
      <c r="AF3539" s="4">
        <v>0</v>
      </c>
      <c r="AG3539" s="4">
        <v>0</v>
      </c>
      <c r="AH3539" s="4">
        <v>34</v>
      </c>
      <c r="AI3539" s="4">
        <v>40</v>
      </c>
      <c r="AJ3539" s="4">
        <v>4</v>
      </c>
      <c r="AK3539" s="4">
        <v>4</v>
      </c>
      <c r="AL3539" s="4">
        <v>29</v>
      </c>
      <c r="AM3539" s="4">
        <v>34</v>
      </c>
      <c r="AN3539" s="4">
        <v>0</v>
      </c>
      <c r="AO3539" s="4">
        <v>0</v>
      </c>
      <c r="AP3539" s="4">
        <v>4</v>
      </c>
      <c r="AQ3539" s="4">
        <v>4</v>
      </c>
      <c r="AR3539" s="3" t="s">
        <v>64</v>
      </c>
      <c r="AS3539" s="3" t="s">
        <v>64</v>
      </c>
      <c r="AT3539" s="3" t="s">
        <v>128</v>
      </c>
      <c r="AU3539" s="6" t="str">
        <f t="shared" si="83"/>
        <v>HathiTrust Record</v>
      </c>
      <c r="AV3539" s="6" t="str">
        <f t="shared" si="84"/>
        <v>Catalog Record</v>
      </c>
      <c r="AW3539" s="6" t="str">
        <f t="shared" si="85"/>
        <v>WorldCat Record</v>
      </c>
      <c r="AX3539" s="3" t="s">
        <v>35319</v>
      </c>
      <c r="AY3539" s="3" t="s">
        <v>35320</v>
      </c>
      <c r="AZ3539" s="3" t="s">
        <v>35321</v>
      </c>
      <c r="BA3539" s="3" t="s">
        <v>35321</v>
      </c>
      <c r="BB3539" s="3" t="s">
        <v>35324</v>
      </c>
      <c r="BC3539" s="3" t="s">
        <v>77</v>
      </c>
      <c r="BD3539" s="3" t="s">
        <v>78</v>
      </c>
      <c r="BF3539" s="3" t="s">
        <v>35324</v>
      </c>
      <c r="BG3539" s="3" t="s">
        <v>35325</v>
      </c>
      <c r="BH3539">
        <f t="shared" si="82"/>
        <v>0</v>
      </c>
    </row>
    <row r="3540" spans="1:60" ht="87" x14ac:dyDescent="0.35">
      <c r="A3540" s="2" t="s">
        <v>6202</v>
      </c>
      <c r="B3540" s="2" t="s">
        <v>6203</v>
      </c>
      <c r="C3540" s="2" t="s">
        <v>35326</v>
      </c>
      <c r="D3540" s="2" t="s">
        <v>35327</v>
      </c>
      <c r="E3540" s="2" t="s">
        <v>35315</v>
      </c>
      <c r="F3540" s="3" t="s">
        <v>35328</v>
      </c>
      <c r="G3540" s="3" t="s">
        <v>128</v>
      </c>
      <c r="I3540" s="3" t="s">
        <v>128</v>
      </c>
      <c r="J3540" s="3" t="s">
        <v>64</v>
      </c>
      <c r="K3540" s="3" t="s">
        <v>65</v>
      </c>
      <c r="L3540" s="2" t="s">
        <v>35317</v>
      </c>
      <c r="M3540" s="2" t="s">
        <v>35318</v>
      </c>
      <c r="N3540" s="3" t="s">
        <v>922</v>
      </c>
      <c r="P3540" s="3" t="s">
        <v>4873</v>
      </c>
      <c r="R3540" s="3" t="s">
        <v>70</v>
      </c>
      <c r="S3540" s="4">
        <v>1</v>
      </c>
      <c r="T3540" s="4">
        <v>1</v>
      </c>
      <c r="U3540" s="5" t="s">
        <v>8957</v>
      </c>
      <c r="V3540" s="5" t="s">
        <v>8957</v>
      </c>
      <c r="W3540" s="5" t="s">
        <v>72</v>
      </c>
      <c r="X3540" s="5" t="s">
        <v>72</v>
      </c>
      <c r="Y3540" s="4">
        <v>58</v>
      </c>
      <c r="Z3540" s="4">
        <v>6</v>
      </c>
      <c r="AA3540" s="4">
        <v>6</v>
      </c>
      <c r="AB3540" s="4">
        <v>1</v>
      </c>
      <c r="AC3540" s="4">
        <v>1</v>
      </c>
      <c r="AD3540" s="4">
        <v>36</v>
      </c>
      <c r="AE3540" s="4">
        <v>42</v>
      </c>
      <c r="AF3540" s="4">
        <v>0</v>
      </c>
      <c r="AG3540" s="4">
        <v>0</v>
      </c>
      <c r="AH3540" s="4">
        <v>34</v>
      </c>
      <c r="AI3540" s="4">
        <v>40</v>
      </c>
      <c r="AJ3540" s="4">
        <v>4</v>
      </c>
      <c r="AK3540" s="4">
        <v>4</v>
      </c>
      <c r="AL3540" s="4">
        <v>29</v>
      </c>
      <c r="AM3540" s="4">
        <v>34</v>
      </c>
      <c r="AN3540" s="4">
        <v>0</v>
      </c>
      <c r="AO3540" s="4">
        <v>0</v>
      </c>
      <c r="AP3540" s="4">
        <v>4</v>
      </c>
      <c r="AQ3540" s="4">
        <v>4</v>
      </c>
      <c r="AR3540" s="3" t="s">
        <v>64</v>
      </c>
      <c r="AS3540" s="3" t="s">
        <v>64</v>
      </c>
      <c r="AT3540" s="3" t="s">
        <v>128</v>
      </c>
      <c r="AU3540" s="6" t="str">
        <f t="shared" si="83"/>
        <v>HathiTrust Record</v>
      </c>
      <c r="AV3540" s="6" t="str">
        <f t="shared" si="84"/>
        <v>Catalog Record</v>
      </c>
      <c r="AW3540" s="6" t="str">
        <f t="shared" si="85"/>
        <v>WorldCat Record</v>
      </c>
      <c r="AX3540" s="3" t="s">
        <v>35319</v>
      </c>
      <c r="AY3540" s="3" t="s">
        <v>35320</v>
      </c>
      <c r="AZ3540" s="3" t="s">
        <v>35321</v>
      </c>
      <c r="BA3540" s="3" t="s">
        <v>35321</v>
      </c>
      <c r="BB3540" s="3" t="s">
        <v>35329</v>
      </c>
      <c r="BC3540" s="3" t="s">
        <v>77</v>
      </c>
      <c r="BD3540" s="3" t="s">
        <v>78</v>
      </c>
      <c r="BF3540" s="3" t="s">
        <v>35329</v>
      </c>
      <c r="BG3540" s="3" t="s">
        <v>35330</v>
      </c>
      <c r="BH3540">
        <f t="shared" si="82"/>
        <v>0</v>
      </c>
    </row>
    <row r="3541" spans="1:60" ht="87" x14ac:dyDescent="0.35">
      <c r="A3541" s="2" t="s">
        <v>6202</v>
      </c>
      <c r="B3541" s="2" t="s">
        <v>6203</v>
      </c>
      <c r="C3541" s="2" t="s">
        <v>35326</v>
      </c>
      <c r="D3541" s="2" t="s">
        <v>35327</v>
      </c>
      <c r="E3541" s="2" t="s">
        <v>35315</v>
      </c>
      <c r="F3541" s="3" t="s">
        <v>35331</v>
      </c>
      <c r="G3541" s="3" t="s">
        <v>128</v>
      </c>
      <c r="I3541" s="3" t="s">
        <v>128</v>
      </c>
      <c r="J3541" s="3" t="s">
        <v>64</v>
      </c>
      <c r="K3541" s="3" t="s">
        <v>65</v>
      </c>
      <c r="L3541" s="2" t="s">
        <v>35317</v>
      </c>
      <c r="M3541" s="2" t="s">
        <v>35318</v>
      </c>
      <c r="N3541" s="3" t="s">
        <v>922</v>
      </c>
      <c r="P3541" s="3" t="s">
        <v>4873</v>
      </c>
      <c r="R3541" s="3" t="s">
        <v>70</v>
      </c>
      <c r="S3541" s="4">
        <v>0</v>
      </c>
      <c r="T3541" s="4">
        <v>1</v>
      </c>
      <c r="V3541" s="5" t="s">
        <v>8957</v>
      </c>
      <c r="W3541" s="5" t="s">
        <v>72</v>
      </c>
      <c r="X3541" s="5" t="s">
        <v>72</v>
      </c>
      <c r="Y3541" s="4">
        <v>58</v>
      </c>
      <c r="Z3541" s="4">
        <v>6</v>
      </c>
      <c r="AA3541" s="4">
        <v>6</v>
      </c>
      <c r="AB3541" s="4">
        <v>1</v>
      </c>
      <c r="AC3541" s="4">
        <v>1</v>
      </c>
      <c r="AD3541" s="4">
        <v>36</v>
      </c>
      <c r="AE3541" s="4">
        <v>42</v>
      </c>
      <c r="AF3541" s="4">
        <v>0</v>
      </c>
      <c r="AG3541" s="4">
        <v>0</v>
      </c>
      <c r="AH3541" s="4">
        <v>34</v>
      </c>
      <c r="AI3541" s="4">
        <v>40</v>
      </c>
      <c r="AJ3541" s="4">
        <v>4</v>
      </c>
      <c r="AK3541" s="4">
        <v>4</v>
      </c>
      <c r="AL3541" s="4">
        <v>29</v>
      </c>
      <c r="AM3541" s="4">
        <v>34</v>
      </c>
      <c r="AN3541" s="4">
        <v>0</v>
      </c>
      <c r="AO3541" s="4">
        <v>0</v>
      </c>
      <c r="AP3541" s="4">
        <v>4</v>
      </c>
      <c r="AQ3541" s="4">
        <v>4</v>
      </c>
      <c r="AR3541" s="3" t="s">
        <v>64</v>
      </c>
      <c r="AS3541" s="3" t="s">
        <v>64</v>
      </c>
      <c r="AT3541" s="3" t="s">
        <v>128</v>
      </c>
      <c r="AU3541" s="6" t="str">
        <f t="shared" si="83"/>
        <v>HathiTrust Record</v>
      </c>
      <c r="AV3541" s="6" t="str">
        <f t="shared" si="84"/>
        <v>Catalog Record</v>
      </c>
      <c r="AW3541" s="6" t="str">
        <f t="shared" si="85"/>
        <v>WorldCat Record</v>
      </c>
      <c r="AX3541" s="3" t="s">
        <v>35319</v>
      </c>
      <c r="AY3541" s="3" t="s">
        <v>35320</v>
      </c>
      <c r="AZ3541" s="3" t="s">
        <v>35321</v>
      </c>
      <c r="BA3541" s="3" t="s">
        <v>35321</v>
      </c>
      <c r="BB3541" s="3" t="s">
        <v>35332</v>
      </c>
      <c r="BC3541" s="3" t="s">
        <v>77</v>
      </c>
      <c r="BD3541" s="3" t="s">
        <v>78</v>
      </c>
      <c r="BF3541" s="3" t="s">
        <v>35332</v>
      </c>
      <c r="BG3541" s="3" t="s">
        <v>35333</v>
      </c>
      <c r="BH3541">
        <f t="shared" si="82"/>
        <v>0</v>
      </c>
    </row>
    <row r="3542" spans="1:60" ht="87" x14ac:dyDescent="0.35">
      <c r="A3542" s="2" t="s">
        <v>6202</v>
      </c>
      <c r="B3542" s="2" t="s">
        <v>6203</v>
      </c>
      <c r="C3542" s="2" t="s">
        <v>35326</v>
      </c>
      <c r="D3542" s="2" t="s">
        <v>35327</v>
      </c>
      <c r="E3542" s="2" t="s">
        <v>35315</v>
      </c>
      <c r="F3542" s="3" t="s">
        <v>35334</v>
      </c>
      <c r="G3542" s="3" t="s">
        <v>128</v>
      </c>
      <c r="I3542" s="3" t="s">
        <v>128</v>
      </c>
      <c r="J3542" s="3" t="s">
        <v>64</v>
      </c>
      <c r="K3542" s="3" t="s">
        <v>65</v>
      </c>
      <c r="L3542" s="2" t="s">
        <v>35317</v>
      </c>
      <c r="M3542" s="2" t="s">
        <v>35318</v>
      </c>
      <c r="N3542" s="3" t="s">
        <v>922</v>
      </c>
      <c r="P3542" s="3" t="s">
        <v>4873</v>
      </c>
      <c r="R3542" s="3" t="s">
        <v>70</v>
      </c>
      <c r="S3542" s="4">
        <v>0</v>
      </c>
      <c r="T3542" s="4">
        <v>1</v>
      </c>
      <c r="V3542" s="5" t="s">
        <v>8957</v>
      </c>
      <c r="W3542" s="5" t="s">
        <v>72</v>
      </c>
      <c r="X3542" s="5" t="s">
        <v>72</v>
      </c>
      <c r="Y3542" s="4">
        <v>58</v>
      </c>
      <c r="Z3542" s="4">
        <v>6</v>
      </c>
      <c r="AA3542" s="4">
        <v>6</v>
      </c>
      <c r="AB3542" s="4">
        <v>1</v>
      </c>
      <c r="AC3542" s="4">
        <v>1</v>
      </c>
      <c r="AD3542" s="4">
        <v>36</v>
      </c>
      <c r="AE3542" s="4">
        <v>42</v>
      </c>
      <c r="AF3542" s="4">
        <v>0</v>
      </c>
      <c r="AG3542" s="4">
        <v>0</v>
      </c>
      <c r="AH3542" s="4">
        <v>34</v>
      </c>
      <c r="AI3542" s="4">
        <v>40</v>
      </c>
      <c r="AJ3542" s="4">
        <v>4</v>
      </c>
      <c r="AK3542" s="4">
        <v>4</v>
      </c>
      <c r="AL3542" s="4">
        <v>29</v>
      </c>
      <c r="AM3542" s="4">
        <v>34</v>
      </c>
      <c r="AN3542" s="4">
        <v>0</v>
      </c>
      <c r="AO3542" s="4">
        <v>0</v>
      </c>
      <c r="AP3542" s="4">
        <v>4</v>
      </c>
      <c r="AQ3542" s="4">
        <v>4</v>
      </c>
      <c r="AR3542" s="3" t="s">
        <v>64</v>
      </c>
      <c r="AS3542" s="3" t="s">
        <v>64</v>
      </c>
      <c r="AT3542" s="3" t="s">
        <v>128</v>
      </c>
      <c r="AU3542" s="6" t="str">
        <f t="shared" si="83"/>
        <v>HathiTrust Record</v>
      </c>
      <c r="AV3542" s="6" t="str">
        <f t="shared" si="84"/>
        <v>Catalog Record</v>
      </c>
      <c r="AW3542" s="6" t="str">
        <f t="shared" si="85"/>
        <v>WorldCat Record</v>
      </c>
      <c r="AX3542" s="3" t="s">
        <v>35319</v>
      </c>
      <c r="AY3542" s="3" t="s">
        <v>35320</v>
      </c>
      <c r="AZ3542" s="3" t="s">
        <v>35321</v>
      </c>
      <c r="BA3542" s="3" t="s">
        <v>35321</v>
      </c>
      <c r="BB3542" s="3" t="s">
        <v>35335</v>
      </c>
      <c r="BC3542" s="3" t="s">
        <v>77</v>
      </c>
      <c r="BD3542" s="3" t="s">
        <v>78</v>
      </c>
      <c r="BF3542" s="3" t="s">
        <v>35335</v>
      </c>
      <c r="BG3542" s="3" t="s">
        <v>35336</v>
      </c>
      <c r="BH3542">
        <f t="shared" si="82"/>
        <v>0</v>
      </c>
    </row>
    <row r="3543" spans="1:60" ht="87" x14ac:dyDescent="0.35">
      <c r="A3543" s="2" t="s">
        <v>6202</v>
      </c>
      <c r="B3543" s="2" t="s">
        <v>6203</v>
      </c>
      <c r="C3543" s="2" t="s">
        <v>35326</v>
      </c>
      <c r="D3543" s="2" t="s">
        <v>35327</v>
      </c>
      <c r="E3543" s="2" t="s">
        <v>35315</v>
      </c>
      <c r="F3543" s="3" t="s">
        <v>35337</v>
      </c>
      <c r="G3543" s="3" t="s">
        <v>128</v>
      </c>
      <c r="I3543" s="3" t="s">
        <v>128</v>
      </c>
      <c r="J3543" s="3" t="s">
        <v>64</v>
      </c>
      <c r="K3543" s="3" t="s">
        <v>65</v>
      </c>
      <c r="L3543" s="2" t="s">
        <v>35317</v>
      </c>
      <c r="M3543" s="2" t="s">
        <v>35318</v>
      </c>
      <c r="N3543" s="3" t="s">
        <v>922</v>
      </c>
      <c r="P3543" s="3" t="s">
        <v>4873</v>
      </c>
      <c r="R3543" s="3" t="s">
        <v>70</v>
      </c>
      <c r="S3543" s="4">
        <v>0</v>
      </c>
      <c r="T3543" s="4">
        <v>1</v>
      </c>
      <c r="V3543" s="5" t="s">
        <v>8957</v>
      </c>
      <c r="W3543" s="5" t="s">
        <v>72</v>
      </c>
      <c r="X3543" s="5" t="s">
        <v>72</v>
      </c>
      <c r="Y3543" s="4">
        <v>58</v>
      </c>
      <c r="Z3543" s="4">
        <v>6</v>
      </c>
      <c r="AA3543" s="4">
        <v>6</v>
      </c>
      <c r="AB3543" s="4">
        <v>1</v>
      </c>
      <c r="AC3543" s="4">
        <v>1</v>
      </c>
      <c r="AD3543" s="4">
        <v>36</v>
      </c>
      <c r="AE3543" s="4">
        <v>42</v>
      </c>
      <c r="AF3543" s="4">
        <v>0</v>
      </c>
      <c r="AG3543" s="4">
        <v>0</v>
      </c>
      <c r="AH3543" s="4">
        <v>34</v>
      </c>
      <c r="AI3543" s="4">
        <v>40</v>
      </c>
      <c r="AJ3543" s="4">
        <v>4</v>
      </c>
      <c r="AK3543" s="4">
        <v>4</v>
      </c>
      <c r="AL3543" s="4">
        <v>29</v>
      </c>
      <c r="AM3543" s="4">
        <v>34</v>
      </c>
      <c r="AN3543" s="4">
        <v>0</v>
      </c>
      <c r="AO3543" s="4">
        <v>0</v>
      </c>
      <c r="AP3543" s="4">
        <v>4</v>
      </c>
      <c r="AQ3543" s="4">
        <v>4</v>
      </c>
      <c r="AR3543" s="3" t="s">
        <v>64</v>
      </c>
      <c r="AS3543" s="3" t="s">
        <v>64</v>
      </c>
      <c r="AT3543" s="3" t="s">
        <v>128</v>
      </c>
      <c r="AU3543" s="6" t="str">
        <f t="shared" si="83"/>
        <v>HathiTrust Record</v>
      </c>
      <c r="AV3543" s="6" t="str">
        <f t="shared" si="84"/>
        <v>Catalog Record</v>
      </c>
      <c r="AW3543" s="6" t="str">
        <f t="shared" si="85"/>
        <v>WorldCat Record</v>
      </c>
      <c r="AX3543" s="3" t="s">
        <v>35319</v>
      </c>
      <c r="AY3543" s="3" t="s">
        <v>35320</v>
      </c>
      <c r="AZ3543" s="3" t="s">
        <v>35321</v>
      </c>
      <c r="BA3543" s="3" t="s">
        <v>35321</v>
      </c>
      <c r="BB3543" s="3" t="s">
        <v>35338</v>
      </c>
      <c r="BC3543" s="3" t="s">
        <v>77</v>
      </c>
      <c r="BD3543" s="3" t="s">
        <v>78</v>
      </c>
      <c r="BF3543" s="3" t="s">
        <v>35338</v>
      </c>
      <c r="BG3543" s="3" t="s">
        <v>35339</v>
      </c>
      <c r="BH3543">
        <f t="shared" si="82"/>
        <v>0</v>
      </c>
    </row>
    <row r="3544" spans="1:60" ht="72.5" x14ac:dyDescent="0.35">
      <c r="A3544" s="2" t="s">
        <v>59</v>
      </c>
      <c r="B3544" s="2" t="s">
        <v>60</v>
      </c>
      <c r="C3544" s="2" t="s">
        <v>35340</v>
      </c>
      <c r="D3544" s="2" t="s">
        <v>35341</v>
      </c>
      <c r="E3544" s="2" t="s">
        <v>35342</v>
      </c>
      <c r="G3544" s="3" t="s">
        <v>64</v>
      </c>
      <c r="I3544" s="3" t="s">
        <v>64</v>
      </c>
      <c r="J3544" s="3" t="s">
        <v>64</v>
      </c>
      <c r="K3544" s="3" t="s">
        <v>65</v>
      </c>
      <c r="L3544" s="2" t="s">
        <v>35343</v>
      </c>
      <c r="M3544" s="2" t="s">
        <v>35197</v>
      </c>
      <c r="N3544" s="3" t="s">
        <v>511</v>
      </c>
      <c r="O3544" s="2" t="s">
        <v>4356</v>
      </c>
      <c r="P3544" s="3" t="s">
        <v>102</v>
      </c>
      <c r="R3544" s="3" t="s">
        <v>70</v>
      </c>
      <c r="S3544" s="4">
        <v>0</v>
      </c>
      <c r="T3544" s="4">
        <v>0</v>
      </c>
      <c r="W3544" s="5" t="s">
        <v>72</v>
      </c>
      <c r="X3544" s="5" t="s">
        <v>72</v>
      </c>
      <c r="Y3544" s="4">
        <v>50</v>
      </c>
      <c r="Z3544" s="4">
        <v>3</v>
      </c>
      <c r="AA3544" s="4">
        <v>3</v>
      </c>
      <c r="AB3544" s="4">
        <v>1</v>
      </c>
      <c r="AC3544" s="4">
        <v>1</v>
      </c>
      <c r="AD3544" s="4">
        <v>31</v>
      </c>
      <c r="AE3544" s="4">
        <v>31</v>
      </c>
      <c r="AF3544" s="4">
        <v>0</v>
      </c>
      <c r="AG3544" s="4">
        <v>0</v>
      </c>
      <c r="AH3544" s="4">
        <v>29</v>
      </c>
      <c r="AI3544" s="4">
        <v>29</v>
      </c>
      <c r="AJ3544" s="4">
        <v>2</v>
      </c>
      <c r="AK3544" s="4">
        <v>2</v>
      </c>
      <c r="AL3544" s="4">
        <v>25</v>
      </c>
      <c r="AM3544" s="4">
        <v>25</v>
      </c>
      <c r="AN3544" s="4">
        <v>0</v>
      </c>
      <c r="AO3544" s="4">
        <v>0</v>
      </c>
      <c r="AP3544" s="4">
        <v>2</v>
      </c>
      <c r="AQ3544" s="4">
        <v>2</v>
      </c>
      <c r="AR3544" s="3" t="s">
        <v>64</v>
      </c>
      <c r="AS3544" s="3" t="s">
        <v>64</v>
      </c>
      <c r="AT3544" s="3" t="s">
        <v>64</v>
      </c>
      <c r="AV3544" s="6" t="str">
        <f>HYPERLINK("http://mcgill.on.worldcat.org/oclc/747038306","Catalog Record")</f>
        <v>Catalog Record</v>
      </c>
      <c r="AW3544" s="6" t="str">
        <f>HYPERLINK("http://www.worldcat.org/oclc/747038306","WorldCat Record")</f>
        <v>WorldCat Record</v>
      </c>
      <c r="AX3544" s="3" t="s">
        <v>35344</v>
      </c>
      <c r="AY3544" s="3" t="s">
        <v>35345</v>
      </c>
      <c r="AZ3544" s="3" t="s">
        <v>35346</v>
      </c>
      <c r="BA3544" s="3" t="s">
        <v>35346</v>
      </c>
      <c r="BB3544" s="3" t="s">
        <v>35347</v>
      </c>
      <c r="BC3544" s="3" t="s">
        <v>77</v>
      </c>
      <c r="BD3544" s="3" t="s">
        <v>78</v>
      </c>
      <c r="BE3544" s="3" t="s">
        <v>35202</v>
      </c>
      <c r="BF3544" s="3" t="s">
        <v>35347</v>
      </c>
      <c r="BG3544" s="3" t="s">
        <v>35348</v>
      </c>
      <c r="BH3544">
        <f t="shared" si="82"/>
        <v>0</v>
      </c>
    </row>
    <row r="3545" spans="1:60" ht="58" x14ac:dyDescent="0.35">
      <c r="A3545" s="2" t="s">
        <v>59</v>
      </c>
      <c r="B3545" s="2" t="s">
        <v>60</v>
      </c>
      <c r="C3545" s="2" t="s">
        <v>35349</v>
      </c>
      <c r="D3545" s="2" t="s">
        <v>35350</v>
      </c>
      <c r="E3545" s="2" t="s">
        <v>35351</v>
      </c>
      <c r="G3545" s="3" t="s">
        <v>64</v>
      </c>
      <c r="I3545" s="3" t="s">
        <v>64</v>
      </c>
      <c r="J3545" s="3" t="s">
        <v>64</v>
      </c>
      <c r="K3545" s="3" t="s">
        <v>65</v>
      </c>
      <c r="M3545" s="2" t="s">
        <v>35352</v>
      </c>
      <c r="N3545" s="3" t="s">
        <v>116</v>
      </c>
      <c r="P3545" s="3" t="s">
        <v>68</v>
      </c>
      <c r="Q3545" s="2" t="s">
        <v>35353</v>
      </c>
      <c r="R3545" s="3" t="s">
        <v>70</v>
      </c>
      <c r="S3545" s="4">
        <v>15</v>
      </c>
      <c r="T3545" s="4">
        <v>15</v>
      </c>
      <c r="U3545" s="5" t="s">
        <v>4061</v>
      </c>
      <c r="V3545" s="5" t="s">
        <v>4061</v>
      </c>
      <c r="W3545" s="5" t="s">
        <v>72</v>
      </c>
      <c r="X3545" s="5" t="s">
        <v>72</v>
      </c>
      <c r="Y3545" s="4">
        <v>73</v>
      </c>
      <c r="Z3545" s="4">
        <v>7</v>
      </c>
      <c r="AA3545" s="4">
        <v>12</v>
      </c>
      <c r="AB3545" s="4">
        <v>2</v>
      </c>
      <c r="AC3545" s="4">
        <v>7</v>
      </c>
      <c r="AD3545" s="4">
        <v>53</v>
      </c>
      <c r="AE3545" s="4">
        <v>57</v>
      </c>
      <c r="AF3545" s="4">
        <v>0</v>
      </c>
      <c r="AG3545" s="4">
        <v>4</v>
      </c>
      <c r="AH3545" s="4">
        <v>48</v>
      </c>
      <c r="AI3545" s="4">
        <v>49</v>
      </c>
      <c r="AJ3545" s="4">
        <v>3</v>
      </c>
      <c r="AK3545" s="4">
        <v>7</v>
      </c>
      <c r="AL3545" s="4">
        <v>42</v>
      </c>
      <c r="AM3545" s="4">
        <v>42</v>
      </c>
      <c r="AN3545" s="4">
        <v>0</v>
      </c>
      <c r="AO3545" s="4">
        <v>0</v>
      </c>
      <c r="AP3545" s="4">
        <v>3</v>
      </c>
      <c r="AQ3545" s="4">
        <v>6</v>
      </c>
      <c r="AR3545" s="3" t="s">
        <v>64</v>
      </c>
      <c r="AS3545" s="3" t="s">
        <v>64</v>
      </c>
      <c r="AT3545" s="3" t="s">
        <v>64</v>
      </c>
      <c r="AV3545" s="6" t="str">
        <f>HYPERLINK("http://mcgill.on.worldcat.org/oclc/47091640","Catalog Record")</f>
        <v>Catalog Record</v>
      </c>
      <c r="AW3545" s="6" t="str">
        <f>HYPERLINK("http://www.worldcat.org/oclc/47091640","WorldCat Record")</f>
        <v>WorldCat Record</v>
      </c>
      <c r="AX3545" s="3" t="s">
        <v>35354</v>
      </c>
      <c r="AY3545" s="3" t="s">
        <v>35355</v>
      </c>
      <c r="AZ3545" s="3" t="s">
        <v>35356</v>
      </c>
      <c r="BA3545" s="3" t="s">
        <v>35356</v>
      </c>
      <c r="BB3545" s="3" t="s">
        <v>35357</v>
      </c>
      <c r="BC3545" s="3" t="s">
        <v>77</v>
      </c>
      <c r="BD3545" s="3" t="s">
        <v>78</v>
      </c>
      <c r="BE3545" s="3" t="s">
        <v>35358</v>
      </c>
      <c r="BF3545" s="3" t="s">
        <v>35357</v>
      </c>
      <c r="BG3545" s="3" t="s">
        <v>35359</v>
      </c>
      <c r="BH3545">
        <f t="shared" si="82"/>
        <v>0</v>
      </c>
    </row>
    <row r="3546" spans="1:60" ht="58" x14ac:dyDescent="0.35">
      <c r="A3546" s="2" t="s">
        <v>59</v>
      </c>
      <c r="B3546" s="2" t="s">
        <v>60</v>
      </c>
      <c r="C3546" s="2" t="s">
        <v>35360</v>
      </c>
      <c r="D3546" s="2" t="s">
        <v>35361</v>
      </c>
      <c r="E3546" s="2" t="s">
        <v>35362</v>
      </c>
      <c r="G3546" s="3" t="s">
        <v>64</v>
      </c>
      <c r="I3546" s="3" t="s">
        <v>64</v>
      </c>
      <c r="J3546" s="3" t="s">
        <v>64</v>
      </c>
      <c r="K3546" s="3" t="s">
        <v>65</v>
      </c>
      <c r="L3546" s="2" t="s">
        <v>35363</v>
      </c>
      <c r="M3546" s="2" t="s">
        <v>35364</v>
      </c>
      <c r="N3546" s="3" t="s">
        <v>511</v>
      </c>
      <c r="P3546" s="3" t="s">
        <v>102</v>
      </c>
      <c r="R3546" s="3" t="s">
        <v>70</v>
      </c>
      <c r="S3546" s="4">
        <v>3</v>
      </c>
      <c r="T3546" s="4">
        <v>3</v>
      </c>
      <c r="U3546" s="5" t="s">
        <v>24168</v>
      </c>
      <c r="V3546" s="5" t="s">
        <v>24168</v>
      </c>
      <c r="W3546" s="5" t="s">
        <v>72</v>
      </c>
      <c r="X3546" s="5" t="s">
        <v>72</v>
      </c>
      <c r="Y3546" s="4">
        <v>67</v>
      </c>
      <c r="Z3546" s="4">
        <v>4</v>
      </c>
      <c r="AA3546" s="4">
        <v>18</v>
      </c>
      <c r="AB3546" s="4">
        <v>1</v>
      </c>
      <c r="AC3546" s="4">
        <v>3</v>
      </c>
      <c r="AD3546" s="4">
        <v>18</v>
      </c>
      <c r="AE3546" s="4">
        <v>45</v>
      </c>
      <c r="AF3546" s="4">
        <v>0</v>
      </c>
      <c r="AG3546" s="4">
        <v>0</v>
      </c>
      <c r="AH3546" s="4">
        <v>17</v>
      </c>
      <c r="AI3546" s="4">
        <v>44</v>
      </c>
      <c r="AJ3546" s="4">
        <v>2</v>
      </c>
      <c r="AK3546" s="4">
        <v>4</v>
      </c>
      <c r="AL3546" s="4">
        <v>12</v>
      </c>
      <c r="AM3546" s="4">
        <v>26</v>
      </c>
      <c r="AN3546" s="4">
        <v>0</v>
      </c>
      <c r="AO3546" s="4">
        <v>0</v>
      </c>
      <c r="AP3546" s="4">
        <v>2</v>
      </c>
      <c r="AQ3546" s="4">
        <v>4</v>
      </c>
      <c r="AR3546" s="3" t="s">
        <v>64</v>
      </c>
      <c r="AS3546" s="3" t="s">
        <v>64</v>
      </c>
      <c r="AT3546" s="3" t="s">
        <v>64</v>
      </c>
      <c r="AV3546" s="6" t="str">
        <f>HYPERLINK("http://mcgill.on.worldcat.org/oclc/640095592","Catalog Record")</f>
        <v>Catalog Record</v>
      </c>
      <c r="AW3546" s="6" t="str">
        <f>HYPERLINK("http://www.worldcat.org/oclc/640095592","WorldCat Record")</f>
        <v>WorldCat Record</v>
      </c>
      <c r="AX3546" s="3" t="s">
        <v>35365</v>
      </c>
      <c r="AY3546" s="3" t="s">
        <v>35366</v>
      </c>
      <c r="AZ3546" s="3" t="s">
        <v>35367</v>
      </c>
      <c r="BA3546" s="3" t="s">
        <v>35367</v>
      </c>
      <c r="BB3546" s="3" t="s">
        <v>35368</v>
      </c>
      <c r="BC3546" s="3" t="s">
        <v>77</v>
      </c>
      <c r="BD3546" s="3" t="s">
        <v>78</v>
      </c>
      <c r="BE3546" s="3" t="s">
        <v>35369</v>
      </c>
      <c r="BF3546" s="3" t="s">
        <v>35368</v>
      </c>
      <c r="BG3546" s="3" t="s">
        <v>35370</v>
      </c>
      <c r="BH3546">
        <f t="shared" si="82"/>
        <v>0</v>
      </c>
    </row>
    <row r="3547" spans="1:60" ht="58" x14ac:dyDescent="0.35">
      <c r="A3547" s="2" t="s">
        <v>59</v>
      </c>
      <c r="B3547" s="2" t="s">
        <v>60</v>
      </c>
      <c r="C3547" s="2" t="s">
        <v>35371</v>
      </c>
      <c r="D3547" s="2" t="s">
        <v>35372</v>
      </c>
      <c r="E3547" s="2" t="s">
        <v>35373</v>
      </c>
      <c r="G3547" s="3" t="s">
        <v>64</v>
      </c>
      <c r="I3547" s="3" t="s">
        <v>128</v>
      </c>
      <c r="J3547" s="3" t="s">
        <v>64</v>
      </c>
      <c r="K3547" s="3" t="s">
        <v>65</v>
      </c>
      <c r="M3547" s="2" t="s">
        <v>35374</v>
      </c>
      <c r="N3547" s="3" t="s">
        <v>3584</v>
      </c>
      <c r="P3547" s="3" t="s">
        <v>102</v>
      </c>
      <c r="R3547" s="3" t="s">
        <v>70</v>
      </c>
      <c r="S3547" s="4">
        <v>10</v>
      </c>
      <c r="T3547" s="4">
        <v>13</v>
      </c>
      <c r="U3547" s="5" t="s">
        <v>20413</v>
      </c>
      <c r="V3547" s="5" t="s">
        <v>20413</v>
      </c>
      <c r="W3547" s="5" t="s">
        <v>72</v>
      </c>
      <c r="X3547" s="5" t="s">
        <v>72</v>
      </c>
      <c r="Y3547" s="4">
        <v>1166</v>
      </c>
      <c r="Z3547" s="4">
        <v>42</v>
      </c>
      <c r="AA3547" s="4">
        <v>42</v>
      </c>
      <c r="AB3547" s="4">
        <v>3</v>
      </c>
      <c r="AC3547" s="4">
        <v>3</v>
      </c>
      <c r="AD3547" s="4">
        <v>133</v>
      </c>
      <c r="AE3547" s="4">
        <v>133</v>
      </c>
      <c r="AF3547" s="4">
        <v>1</v>
      </c>
      <c r="AG3547" s="4">
        <v>1</v>
      </c>
      <c r="AH3547" s="4">
        <v>109</v>
      </c>
      <c r="AI3547" s="4">
        <v>109</v>
      </c>
      <c r="AJ3547" s="4">
        <v>21</v>
      </c>
      <c r="AK3547" s="4">
        <v>21</v>
      </c>
      <c r="AL3547" s="4">
        <v>59</v>
      </c>
      <c r="AM3547" s="4">
        <v>59</v>
      </c>
      <c r="AN3547" s="4">
        <v>0</v>
      </c>
      <c r="AO3547" s="4">
        <v>0</v>
      </c>
      <c r="AP3547" s="4">
        <v>28</v>
      </c>
      <c r="AQ3547" s="4">
        <v>28</v>
      </c>
      <c r="AR3547" s="3" t="s">
        <v>64</v>
      </c>
      <c r="AS3547" s="3" t="s">
        <v>64</v>
      </c>
      <c r="AT3547" s="3" t="s">
        <v>128</v>
      </c>
      <c r="AU3547" s="6" t="str">
        <f>HYPERLINK("http://catalog.hathitrust.org/Record/000293741","HathiTrust Record")</f>
        <v>HathiTrust Record</v>
      </c>
      <c r="AV3547" s="6" t="str">
        <f>HYPERLINK("http://mcgill.on.worldcat.org/oclc/3168955","Catalog Record")</f>
        <v>Catalog Record</v>
      </c>
      <c r="AW3547" s="6" t="str">
        <f>HYPERLINK("http://www.worldcat.org/oclc/3168955","WorldCat Record")</f>
        <v>WorldCat Record</v>
      </c>
      <c r="AX3547" s="3" t="s">
        <v>35375</v>
      </c>
      <c r="AY3547" s="3" t="s">
        <v>35376</v>
      </c>
      <c r="AZ3547" s="3" t="s">
        <v>35377</v>
      </c>
      <c r="BA3547" s="3" t="s">
        <v>35377</v>
      </c>
      <c r="BB3547" s="3" t="s">
        <v>35378</v>
      </c>
      <c r="BC3547" s="3" t="s">
        <v>77</v>
      </c>
      <c r="BD3547" s="3" t="s">
        <v>78</v>
      </c>
      <c r="BE3547" s="3" t="s">
        <v>35379</v>
      </c>
      <c r="BF3547" s="3" t="s">
        <v>35378</v>
      </c>
      <c r="BG3547" s="3" t="s">
        <v>35380</v>
      </c>
      <c r="BH3547">
        <f t="shared" si="82"/>
        <v>0</v>
      </c>
    </row>
    <row r="3548" spans="1:60" ht="58" x14ac:dyDescent="0.35">
      <c r="A3548" s="2" t="s">
        <v>59</v>
      </c>
      <c r="B3548" s="2" t="s">
        <v>60</v>
      </c>
      <c r="C3548" s="2" t="s">
        <v>35381</v>
      </c>
      <c r="D3548" s="2" t="s">
        <v>35382</v>
      </c>
      <c r="E3548" s="2" t="s">
        <v>35383</v>
      </c>
      <c r="G3548" s="3" t="s">
        <v>64</v>
      </c>
      <c r="I3548" s="3" t="s">
        <v>64</v>
      </c>
      <c r="J3548" s="3" t="s">
        <v>64</v>
      </c>
      <c r="K3548" s="3" t="s">
        <v>65</v>
      </c>
      <c r="M3548" s="2" t="s">
        <v>35384</v>
      </c>
      <c r="N3548" s="3" t="s">
        <v>171</v>
      </c>
      <c r="P3548" s="3" t="s">
        <v>102</v>
      </c>
      <c r="R3548" s="3" t="s">
        <v>70</v>
      </c>
      <c r="S3548" s="4">
        <v>5</v>
      </c>
      <c r="T3548" s="4">
        <v>5</v>
      </c>
      <c r="U3548" s="5" t="s">
        <v>24168</v>
      </c>
      <c r="V3548" s="5" t="s">
        <v>24168</v>
      </c>
      <c r="W3548" s="5" t="s">
        <v>72</v>
      </c>
      <c r="X3548" s="5" t="s">
        <v>72</v>
      </c>
      <c r="Y3548" s="4">
        <v>191</v>
      </c>
      <c r="Z3548" s="4">
        <v>20</v>
      </c>
      <c r="AA3548" s="4">
        <v>21</v>
      </c>
      <c r="AB3548" s="4">
        <v>4</v>
      </c>
      <c r="AC3548" s="4">
        <v>5</v>
      </c>
      <c r="AD3548" s="4">
        <v>70</v>
      </c>
      <c r="AE3548" s="4">
        <v>71</v>
      </c>
      <c r="AF3548" s="4">
        <v>0</v>
      </c>
      <c r="AG3548" s="4">
        <v>1</v>
      </c>
      <c r="AH3548" s="4">
        <v>64</v>
      </c>
      <c r="AI3548" s="4">
        <v>64</v>
      </c>
      <c r="AJ3548" s="4">
        <v>11</v>
      </c>
      <c r="AK3548" s="4">
        <v>12</v>
      </c>
      <c r="AL3548" s="4">
        <v>39</v>
      </c>
      <c r="AM3548" s="4">
        <v>39</v>
      </c>
      <c r="AN3548" s="4">
        <v>0</v>
      </c>
      <c r="AO3548" s="4">
        <v>0</v>
      </c>
      <c r="AP3548" s="4">
        <v>10</v>
      </c>
      <c r="AQ3548" s="4">
        <v>10</v>
      </c>
      <c r="AR3548" s="3" t="s">
        <v>64</v>
      </c>
      <c r="AS3548" s="3" t="s">
        <v>64</v>
      </c>
      <c r="AT3548" s="3" t="s">
        <v>64</v>
      </c>
      <c r="AV3548" s="6" t="str">
        <f>HYPERLINK("http://mcgill.on.worldcat.org/oclc/68710345","Catalog Record")</f>
        <v>Catalog Record</v>
      </c>
      <c r="AW3548" s="6" t="str">
        <f>HYPERLINK("http://www.worldcat.org/oclc/68710345","WorldCat Record")</f>
        <v>WorldCat Record</v>
      </c>
      <c r="AX3548" s="3" t="s">
        <v>35385</v>
      </c>
      <c r="AY3548" s="3" t="s">
        <v>35386</v>
      </c>
      <c r="AZ3548" s="3" t="s">
        <v>35387</v>
      </c>
      <c r="BA3548" s="3" t="s">
        <v>35387</v>
      </c>
      <c r="BB3548" s="3" t="s">
        <v>35388</v>
      </c>
      <c r="BC3548" s="3" t="s">
        <v>77</v>
      </c>
      <c r="BD3548" s="3" t="s">
        <v>78</v>
      </c>
      <c r="BE3548" s="3" t="s">
        <v>35389</v>
      </c>
      <c r="BF3548" s="3" t="s">
        <v>35388</v>
      </c>
      <c r="BG3548" s="3" t="s">
        <v>35390</v>
      </c>
      <c r="BH3548">
        <f t="shared" si="82"/>
        <v>0</v>
      </c>
    </row>
    <row r="3549" spans="1:60" ht="58" x14ac:dyDescent="0.35">
      <c r="A3549" s="2" t="s">
        <v>59</v>
      </c>
      <c r="B3549" s="2" t="s">
        <v>60</v>
      </c>
      <c r="C3549" s="2" t="s">
        <v>35391</v>
      </c>
      <c r="D3549" s="2" t="s">
        <v>35392</v>
      </c>
      <c r="E3549" s="2" t="s">
        <v>35393</v>
      </c>
      <c r="G3549" s="3" t="s">
        <v>64</v>
      </c>
      <c r="I3549" s="3" t="s">
        <v>128</v>
      </c>
      <c r="J3549" s="3" t="s">
        <v>64</v>
      </c>
      <c r="K3549" s="3" t="s">
        <v>65</v>
      </c>
      <c r="L3549" s="2" t="s">
        <v>264</v>
      </c>
      <c r="M3549" s="2" t="s">
        <v>35394</v>
      </c>
      <c r="N3549" s="3" t="s">
        <v>1017</v>
      </c>
      <c r="P3549" s="3" t="s">
        <v>102</v>
      </c>
      <c r="Q3549" s="2" t="s">
        <v>35395</v>
      </c>
      <c r="R3549" s="3" t="s">
        <v>70</v>
      </c>
      <c r="S3549" s="4">
        <v>14</v>
      </c>
      <c r="T3549" s="4">
        <v>14</v>
      </c>
      <c r="U3549" s="5" t="s">
        <v>15825</v>
      </c>
      <c r="V3549" s="5" t="s">
        <v>15825</v>
      </c>
      <c r="W3549" s="5" t="s">
        <v>72</v>
      </c>
      <c r="X3549" s="5" t="s">
        <v>72</v>
      </c>
      <c r="Y3549" s="4">
        <v>287</v>
      </c>
      <c r="Z3549" s="4">
        <v>21</v>
      </c>
      <c r="AA3549" s="4">
        <v>25</v>
      </c>
      <c r="AB3549" s="4">
        <v>2</v>
      </c>
      <c r="AC3549" s="4">
        <v>3</v>
      </c>
      <c r="AD3549" s="4">
        <v>79</v>
      </c>
      <c r="AE3549" s="4">
        <v>82</v>
      </c>
      <c r="AF3549" s="4">
        <v>1</v>
      </c>
      <c r="AG3549" s="4">
        <v>2</v>
      </c>
      <c r="AH3549" s="4">
        <v>65</v>
      </c>
      <c r="AI3549" s="4">
        <v>67</v>
      </c>
      <c r="AJ3549" s="4">
        <v>14</v>
      </c>
      <c r="AK3549" s="4">
        <v>17</v>
      </c>
      <c r="AL3549" s="4">
        <v>36</v>
      </c>
      <c r="AM3549" s="4">
        <v>37</v>
      </c>
      <c r="AN3549" s="4">
        <v>0</v>
      </c>
      <c r="AO3549" s="4">
        <v>0</v>
      </c>
      <c r="AP3549" s="4">
        <v>17</v>
      </c>
      <c r="AQ3549" s="4">
        <v>19</v>
      </c>
      <c r="AR3549" s="3" t="s">
        <v>64</v>
      </c>
      <c r="AS3549" s="3" t="s">
        <v>64</v>
      </c>
      <c r="AT3549" s="3" t="s">
        <v>64</v>
      </c>
      <c r="AV3549" s="6" t="str">
        <f>HYPERLINK("http://mcgill.on.worldcat.org/oclc/111304","Catalog Record")</f>
        <v>Catalog Record</v>
      </c>
      <c r="AW3549" s="6" t="str">
        <f>HYPERLINK("http://www.worldcat.org/oclc/111304","WorldCat Record")</f>
        <v>WorldCat Record</v>
      </c>
      <c r="AX3549" s="3" t="s">
        <v>35396</v>
      </c>
      <c r="AY3549" s="3" t="s">
        <v>35397</v>
      </c>
      <c r="AZ3549" s="3" t="s">
        <v>35398</v>
      </c>
      <c r="BA3549" s="3" t="s">
        <v>35398</v>
      </c>
      <c r="BB3549" s="3" t="s">
        <v>35399</v>
      </c>
      <c r="BC3549" s="3" t="s">
        <v>77</v>
      </c>
      <c r="BD3549" s="3" t="s">
        <v>78</v>
      </c>
      <c r="BE3549" s="3" t="s">
        <v>35400</v>
      </c>
      <c r="BF3549" s="3" t="s">
        <v>35399</v>
      </c>
      <c r="BG3549" s="3" t="s">
        <v>35401</v>
      </c>
      <c r="BH3549">
        <f t="shared" si="82"/>
        <v>0</v>
      </c>
    </row>
    <row r="3550" spans="1:60" ht="58" x14ac:dyDescent="0.35">
      <c r="A3550" s="2" t="s">
        <v>59</v>
      </c>
      <c r="B3550" s="2" t="s">
        <v>60</v>
      </c>
      <c r="C3550" s="2" t="s">
        <v>35402</v>
      </c>
      <c r="D3550" s="2" t="s">
        <v>35403</v>
      </c>
      <c r="E3550" s="2" t="s">
        <v>35404</v>
      </c>
      <c r="G3550" s="3" t="s">
        <v>64</v>
      </c>
      <c r="I3550" s="3" t="s">
        <v>64</v>
      </c>
      <c r="J3550" s="3" t="s">
        <v>128</v>
      </c>
      <c r="K3550" s="3" t="s">
        <v>65</v>
      </c>
      <c r="L3550" s="2" t="s">
        <v>35405</v>
      </c>
      <c r="M3550" s="2" t="s">
        <v>35406</v>
      </c>
      <c r="N3550" s="3" t="s">
        <v>3584</v>
      </c>
      <c r="P3550" s="3" t="s">
        <v>102</v>
      </c>
      <c r="R3550" s="3" t="s">
        <v>70</v>
      </c>
      <c r="S3550" s="4">
        <v>3</v>
      </c>
      <c r="T3550" s="4">
        <v>3</v>
      </c>
      <c r="U3550" s="5" t="s">
        <v>911</v>
      </c>
      <c r="V3550" s="5" t="s">
        <v>911</v>
      </c>
      <c r="W3550" s="5" t="s">
        <v>72</v>
      </c>
      <c r="X3550" s="5" t="s">
        <v>72</v>
      </c>
      <c r="Y3550" s="4">
        <v>592</v>
      </c>
      <c r="Z3550" s="4">
        <v>18</v>
      </c>
      <c r="AA3550" s="4">
        <v>20</v>
      </c>
      <c r="AB3550" s="4">
        <v>1</v>
      </c>
      <c r="AC3550" s="4">
        <v>1</v>
      </c>
      <c r="AD3550" s="4">
        <v>88</v>
      </c>
      <c r="AE3550" s="4">
        <v>103</v>
      </c>
      <c r="AF3550" s="4">
        <v>0</v>
      </c>
      <c r="AG3550" s="4">
        <v>0</v>
      </c>
      <c r="AH3550" s="4">
        <v>78</v>
      </c>
      <c r="AI3550" s="4">
        <v>91</v>
      </c>
      <c r="AJ3550" s="4">
        <v>8</v>
      </c>
      <c r="AK3550" s="4">
        <v>9</v>
      </c>
      <c r="AL3550" s="4">
        <v>47</v>
      </c>
      <c r="AM3550" s="4">
        <v>56</v>
      </c>
      <c r="AN3550" s="4">
        <v>0</v>
      </c>
      <c r="AO3550" s="4">
        <v>0</v>
      </c>
      <c r="AP3550" s="4">
        <v>9</v>
      </c>
      <c r="AQ3550" s="4">
        <v>11</v>
      </c>
      <c r="AR3550" s="3" t="s">
        <v>64</v>
      </c>
      <c r="AS3550" s="3" t="s">
        <v>64</v>
      </c>
      <c r="AT3550" s="3" t="s">
        <v>64</v>
      </c>
      <c r="AV3550" s="6" t="str">
        <f>HYPERLINK("http://mcgill.on.worldcat.org/oclc/2332235","Catalog Record")</f>
        <v>Catalog Record</v>
      </c>
      <c r="AW3550" s="6" t="str">
        <f>HYPERLINK("http://www.worldcat.org/oclc/2332235","WorldCat Record")</f>
        <v>WorldCat Record</v>
      </c>
      <c r="AX3550" s="3" t="s">
        <v>35407</v>
      </c>
      <c r="AY3550" s="3" t="s">
        <v>35408</v>
      </c>
      <c r="AZ3550" s="3" t="s">
        <v>35409</v>
      </c>
      <c r="BA3550" s="3" t="s">
        <v>35409</v>
      </c>
      <c r="BB3550" s="3" t="s">
        <v>35410</v>
      </c>
      <c r="BC3550" s="3" t="s">
        <v>77</v>
      </c>
      <c r="BD3550" s="3" t="s">
        <v>78</v>
      </c>
      <c r="BE3550" s="3" t="s">
        <v>35411</v>
      </c>
      <c r="BF3550" s="3" t="s">
        <v>35410</v>
      </c>
      <c r="BG3550" s="3" t="s">
        <v>35412</v>
      </c>
      <c r="BH3550">
        <f t="shared" si="82"/>
        <v>0</v>
      </c>
    </row>
    <row r="3551" spans="1:60" ht="58" x14ac:dyDescent="0.35">
      <c r="A3551" s="2" t="s">
        <v>59</v>
      </c>
      <c r="B3551" s="2" t="s">
        <v>60</v>
      </c>
      <c r="C3551" s="2" t="s">
        <v>35413</v>
      </c>
      <c r="D3551" s="2" t="s">
        <v>35414</v>
      </c>
      <c r="E3551" s="2" t="s">
        <v>35404</v>
      </c>
      <c r="G3551" s="3" t="s">
        <v>64</v>
      </c>
      <c r="I3551" s="3" t="s">
        <v>64</v>
      </c>
      <c r="J3551" s="3" t="s">
        <v>128</v>
      </c>
      <c r="K3551" s="3" t="s">
        <v>65</v>
      </c>
      <c r="L3551" s="2" t="s">
        <v>35405</v>
      </c>
      <c r="M3551" s="2" t="s">
        <v>35415</v>
      </c>
      <c r="N3551" s="3" t="s">
        <v>874</v>
      </c>
      <c r="O3551" s="2" t="s">
        <v>35416</v>
      </c>
      <c r="P3551" s="3" t="s">
        <v>102</v>
      </c>
      <c r="R3551" s="3" t="s">
        <v>70</v>
      </c>
      <c r="S3551" s="4">
        <v>3</v>
      </c>
      <c r="T3551" s="4">
        <v>3</v>
      </c>
      <c r="U3551" s="5" t="s">
        <v>911</v>
      </c>
      <c r="V3551" s="5" t="s">
        <v>911</v>
      </c>
      <c r="W3551" s="5" t="s">
        <v>72</v>
      </c>
      <c r="X3551" s="5" t="s">
        <v>72</v>
      </c>
      <c r="Y3551" s="4">
        <v>217</v>
      </c>
      <c r="Z3551" s="4">
        <v>6</v>
      </c>
      <c r="AA3551" s="4">
        <v>20</v>
      </c>
      <c r="AB3551" s="4">
        <v>1</v>
      </c>
      <c r="AC3551" s="4">
        <v>1</v>
      </c>
      <c r="AD3551" s="4">
        <v>45</v>
      </c>
      <c r="AE3551" s="4">
        <v>103</v>
      </c>
      <c r="AF3551" s="4">
        <v>0</v>
      </c>
      <c r="AG3551" s="4">
        <v>0</v>
      </c>
      <c r="AH3551" s="4">
        <v>41</v>
      </c>
      <c r="AI3551" s="4">
        <v>91</v>
      </c>
      <c r="AJ3551" s="4">
        <v>2</v>
      </c>
      <c r="AK3551" s="4">
        <v>9</v>
      </c>
      <c r="AL3551" s="4">
        <v>25</v>
      </c>
      <c r="AM3551" s="4">
        <v>56</v>
      </c>
      <c r="AN3551" s="4">
        <v>0</v>
      </c>
      <c r="AO3551" s="4">
        <v>0</v>
      </c>
      <c r="AP3551" s="4">
        <v>3</v>
      </c>
      <c r="AQ3551" s="4">
        <v>11</v>
      </c>
      <c r="AR3551" s="3" t="s">
        <v>64</v>
      </c>
      <c r="AS3551" s="3" t="s">
        <v>64</v>
      </c>
      <c r="AT3551" s="3" t="s">
        <v>64</v>
      </c>
      <c r="AV3551" s="6" t="str">
        <f>HYPERLINK("http://mcgill.on.worldcat.org/oclc/7846187","Catalog Record")</f>
        <v>Catalog Record</v>
      </c>
      <c r="AW3551" s="6" t="str">
        <f>HYPERLINK("http://www.worldcat.org/oclc/7846187","WorldCat Record")</f>
        <v>WorldCat Record</v>
      </c>
      <c r="AX3551" s="3" t="s">
        <v>35407</v>
      </c>
      <c r="AY3551" s="3" t="s">
        <v>35417</v>
      </c>
      <c r="AZ3551" s="3" t="s">
        <v>35418</v>
      </c>
      <c r="BA3551" s="3" t="s">
        <v>35418</v>
      </c>
      <c r="BB3551" s="3" t="s">
        <v>35419</v>
      </c>
      <c r="BC3551" s="3" t="s">
        <v>77</v>
      </c>
      <c r="BD3551" s="3" t="s">
        <v>78</v>
      </c>
      <c r="BE3551" s="3" t="s">
        <v>35420</v>
      </c>
      <c r="BF3551" s="3" t="s">
        <v>35419</v>
      </c>
      <c r="BG3551" s="3" t="s">
        <v>35421</v>
      </c>
      <c r="BH3551">
        <f t="shared" si="82"/>
        <v>0</v>
      </c>
    </row>
    <row r="3552" spans="1:60" ht="58" x14ac:dyDescent="0.35">
      <c r="A3552" s="2" t="s">
        <v>59</v>
      </c>
      <c r="B3552" s="2" t="s">
        <v>60</v>
      </c>
      <c r="C3552" s="2" t="s">
        <v>35422</v>
      </c>
      <c r="D3552" s="2" t="s">
        <v>35423</v>
      </c>
      <c r="E3552" s="2" t="s">
        <v>35424</v>
      </c>
      <c r="G3552" s="3" t="s">
        <v>64</v>
      </c>
      <c r="I3552" s="3" t="s">
        <v>128</v>
      </c>
      <c r="J3552" s="3" t="s">
        <v>64</v>
      </c>
      <c r="K3552" s="3" t="s">
        <v>65</v>
      </c>
      <c r="L3552" s="2" t="s">
        <v>35425</v>
      </c>
      <c r="M3552" s="2" t="s">
        <v>35426</v>
      </c>
      <c r="N3552" s="3" t="s">
        <v>3584</v>
      </c>
      <c r="P3552" s="3" t="s">
        <v>102</v>
      </c>
      <c r="R3552" s="3" t="s">
        <v>70</v>
      </c>
      <c r="S3552" s="4">
        <v>2</v>
      </c>
      <c r="T3552" s="4">
        <v>2</v>
      </c>
      <c r="U3552" s="5" t="s">
        <v>17577</v>
      </c>
      <c r="V3552" s="5" t="s">
        <v>17577</v>
      </c>
      <c r="W3552" s="5" t="s">
        <v>72</v>
      </c>
      <c r="X3552" s="5" t="s">
        <v>72</v>
      </c>
      <c r="Y3552" s="4">
        <v>253</v>
      </c>
      <c r="Z3552" s="4">
        <v>28</v>
      </c>
      <c r="AA3552" s="4">
        <v>33</v>
      </c>
      <c r="AB3552" s="4">
        <v>3</v>
      </c>
      <c r="AC3552" s="4">
        <v>3</v>
      </c>
      <c r="AD3552" s="4">
        <v>96</v>
      </c>
      <c r="AE3552" s="4">
        <v>100</v>
      </c>
      <c r="AF3552" s="4">
        <v>1</v>
      </c>
      <c r="AG3552" s="4">
        <v>1</v>
      </c>
      <c r="AH3552" s="4">
        <v>82</v>
      </c>
      <c r="AI3552" s="4">
        <v>84</v>
      </c>
      <c r="AJ3552" s="4">
        <v>17</v>
      </c>
      <c r="AK3552" s="4">
        <v>21</v>
      </c>
      <c r="AL3552" s="4">
        <v>48</v>
      </c>
      <c r="AM3552" s="4">
        <v>48</v>
      </c>
      <c r="AN3552" s="4">
        <v>0</v>
      </c>
      <c r="AO3552" s="4">
        <v>0</v>
      </c>
      <c r="AP3552" s="4">
        <v>18</v>
      </c>
      <c r="AQ3552" s="4">
        <v>22</v>
      </c>
      <c r="AR3552" s="3" t="s">
        <v>64</v>
      </c>
      <c r="AS3552" s="3" t="s">
        <v>64</v>
      </c>
      <c r="AT3552" s="3" t="s">
        <v>128</v>
      </c>
      <c r="AU3552" s="6" t="str">
        <f>HYPERLINK("http://catalog.hathitrust.org/Record/000750262","HathiTrust Record")</f>
        <v>HathiTrust Record</v>
      </c>
      <c r="AV3552" s="6" t="str">
        <f>HYPERLINK("http://mcgill.on.worldcat.org/oclc/3362123","Catalog Record")</f>
        <v>Catalog Record</v>
      </c>
      <c r="AW3552" s="6" t="str">
        <f>HYPERLINK("http://www.worldcat.org/oclc/3362123","WorldCat Record")</f>
        <v>WorldCat Record</v>
      </c>
      <c r="AX3552" s="3" t="s">
        <v>35427</v>
      </c>
      <c r="AY3552" s="3" t="s">
        <v>35428</v>
      </c>
      <c r="AZ3552" s="3" t="s">
        <v>35429</v>
      </c>
      <c r="BA3552" s="3" t="s">
        <v>35429</v>
      </c>
      <c r="BB3552" s="3" t="s">
        <v>35430</v>
      </c>
      <c r="BC3552" s="3" t="s">
        <v>77</v>
      </c>
      <c r="BD3552" s="3" t="s">
        <v>78</v>
      </c>
      <c r="BE3552" s="3" t="s">
        <v>35431</v>
      </c>
      <c r="BF3552" s="3" t="s">
        <v>35430</v>
      </c>
      <c r="BG3552" s="3" t="s">
        <v>35432</v>
      </c>
      <c r="BH3552">
        <f t="shared" si="82"/>
        <v>0</v>
      </c>
    </row>
    <row r="3553" spans="1:60" ht="58" x14ac:dyDescent="0.35">
      <c r="A3553" s="2" t="s">
        <v>59</v>
      </c>
      <c r="B3553" s="2" t="s">
        <v>60</v>
      </c>
      <c r="C3553" s="2" t="s">
        <v>35433</v>
      </c>
      <c r="D3553" s="2" t="s">
        <v>35434</v>
      </c>
      <c r="E3553" s="2" t="s">
        <v>35435</v>
      </c>
      <c r="G3553" s="3" t="s">
        <v>64</v>
      </c>
      <c r="I3553" s="3" t="s">
        <v>64</v>
      </c>
      <c r="J3553" s="3" t="s">
        <v>64</v>
      </c>
      <c r="K3553" s="3" t="s">
        <v>65</v>
      </c>
      <c r="M3553" s="2" t="s">
        <v>35436</v>
      </c>
      <c r="N3553" s="3" t="s">
        <v>434</v>
      </c>
      <c r="P3553" s="3" t="s">
        <v>102</v>
      </c>
      <c r="Q3553" s="2" t="s">
        <v>8484</v>
      </c>
      <c r="R3553" s="3" t="s">
        <v>70</v>
      </c>
      <c r="S3553" s="4">
        <v>13</v>
      </c>
      <c r="T3553" s="4">
        <v>13</v>
      </c>
      <c r="U3553" s="5" t="s">
        <v>5263</v>
      </c>
      <c r="V3553" s="5" t="s">
        <v>5263</v>
      </c>
      <c r="W3553" s="5" t="s">
        <v>72</v>
      </c>
      <c r="X3553" s="5" t="s">
        <v>72</v>
      </c>
      <c r="Y3553" s="4">
        <v>43</v>
      </c>
      <c r="Z3553" s="4">
        <v>2</v>
      </c>
      <c r="AA3553" s="4">
        <v>3</v>
      </c>
      <c r="AB3553" s="4">
        <v>1</v>
      </c>
      <c r="AC3553" s="4">
        <v>2</v>
      </c>
      <c r="AD3553" s="4">
        <v>16</v>
      </c>
      <c r="AE3553" s="4">
        <v>16</v>
      </c>
      <c r="AF3553" s="4">
        <v>0</v>
      </c>
      <c r="AG3553" s="4">
        <v>0</v>
      </c>
      <c r="AH3553" s="4">
        <v>15</v>
      </c>
      <c r="AI3553" s="4">
        <v>15</v>
      </c>
      <c r="AJ3553" s="4">
        <v>1</v>
      </c>
      <c r="AK3553" s="4">
        <v>1</v>
      </c>
      <c r="AL3553" s="4">
        <v>13</v>
      </c>
      <c r="AM3553" s="4">
        <v>13</v>
      </c>
      <c r="AN3553" s="4">
        <v>0</v>
      </c>
      <c r="AO3553" s="4">
        <v>0</v>
      </c>
      <c r="AP3553" s="4">
        <v>1</v>
      </c>
      <c r="AQ3553" s="4">
        <v>1</v>
      </c>
      <c r="AR3553" s="3" t="s">
        <v>64</v>
      </c>
      <c r="AS3553" s="3" t="s">
        <v>64</v>
      </c>
      <c r="AT3553" s="3" t="s">
        <v>128</v>
      </c>
      <c r="AU3553" s="6" t="str">
        <f>HYPERLINK("http://catalog.hathitrust.org/Record/005550414","HathiTrust Record")</f>
        <v>HathiTrust Record</v>
      </c>
      <c r="AV3553" s="6" t="str">
        <f>HYPERLINK("http://mcgill.on.worldcat.org/oclc/63185417","Catalog Record")</f>
        <v>Catalog Record</v>
      </c>
      <c r="AW3553" s="6" t="str">
        <f>HYPERLINK("http://www.worldcat.org/oclc/63185417","WorldCat Record")</f>
        <v>WorldCat Record</v>
      </c>
      <c r="AX3553" s="3" t="s">
        <v>35437</v>
      </c>
      <c r="AY3553" s="3" t="s">
        <v>35438</v>
      </c>
      <c r="AZ3553" s="3" t="s">
        <v>35439</v>
      </c>
      <c r="BA3553" s="3" t="s">
        <v>35439</v>
      </c>
      <c r="BB3553" s="3" t="s">
        <v>35440</v>
      </c>
      <c r="BC3553" s="3" t="s">
        <v>77</v>
      </c>
      <c r="BD3553" s="3" t="s">
        <v>78</v>
      </c>
      <c r="BE3553" s="3" t="s">
        <v>35441</v>
      </c>
      <c r="BF3553" s="3" t="s">
        <v>35440</v>
      </c>
      <c r="BG3553" s="3" t="s">
        <v>35442</v>
      </c>
      <c r="BH3553">
        <f t="shared" si="82"/>
        <v>0</v>
      </c>
    </row>
    <row r="3554" spans="1:60" ht="58" x14ac:dyDescent="0.35">
      <c r="A3554" s="2" t="s">
        <v>59</v>
      </c>
      <c r="B3554" s="2" t="s">
        <v>60</v>
      </c>
      <c r="C3554" s="2" t="s">
        <v>35443</v>
      </c>
      <c r="D3554" s="2" t="s">
        <v>35444</v>
      </c>
      <c r="E3554" s="2" t="s">
        <v>35445</v>
      </c>
      <c r="G3554" s="3" t="s">
        <v>64</v>
      </c>
      <c r="I3554" s="3" t="s">
        <v>64</v>
      </c>
      <c r="J3554" s="3" t="s">
        <v>64</v>
      </c>
      <c r="K3554" s="3" t="s">
        <v>65</v>
      </c>
      <c r="M3554" s="2" t="s">
        <v>35446</v>
      </c>
      <c r="N3554" s="3" t="s">
        <v>101</v>
      </c>
      <c r="P3554" s="3" t="s">
        <v>102</v>
      </c>
      <c r="R3554" s="3" t="s">
        <v>70</v>
      </c>
      <c r="S3554" s="4">
        <v>7</v>
      </c>
      <c r="T3554" s="4">
        <v>7</v>
      </c>
      <c r="U3554" s="5" t="s">
        <v>8617</v>
      </c>
      <c r="V3554" s="5" t="s">
        <v>8617</v>
      </c>
      <c r="W3554" s="5" t="s">
        <v>72</v>
      </c>
      <c r="X3554" s="5" t="s">
        <v>72</v>
      </c>
      <c r="Y3554" s="4">
        <v>131</v>
      </c>
      <c r="Z3554" s="4">
        <v>13</v>
      </c>
      <c r="AA3554" s="4">
        <v>15</v>
      </c>
      <c r="AB3554" s="4">
        <v>1</v>
      </c>
      <c r="AC3554" s="4">
        <v>3</v>
      </c>
      <c r="AD3554" s="4">
        <v>53</v>
      </c>
      <c r="AE3554" s="4">
        <v>55</v>
      </c>
      <c r="AF3554" s="4">
        <v>0</v>
      </c>
      <c r="AG3554" s="4">
        <v>1</v>
      </c>
      <c r="AH3554" s="4">
        <v>49</v>
      </c>
      <c r="AI3554" s="4">
        <v>50</v>
      </c>
      <c r="AJ3554" s="4">
        <v>7</v>
      </c>
      <c r="AK3554" s="4">
        <v>8</v>
      </c>
      <c r="AL3554" s="4">
        <v>32</v>
      </c>
      <c r="AM3554" s="4">
        <v>33</v>
      </c>
      <c r="AN3554" s="4">
        <v>0</v>
      </c>
      <c r="AO3554" s="4">
        <v>0</v>
      </c>
      <c r="AP3554" s="4">
        <v>8</v>
      </c>
      <c r="AQ3554" s="4">
        <v>8</v>
      </c>
      <c r="AR3554" s="3" t="s">
        <v>64</v>
      </c>
      <c r="AS3554" s="3" t="s">
        <v>64</v>
      </c>
      <c r="AT3554" s="3" t="s">
        <v>64</v>
      </c>
      <c r="AV3554" s="6" t="str">
        <f>HYPERLINK("http://mcgill.on.worldcat.org/oclc/51483109","Catalog Record")</f>
        <v>Catalog Record</v>
      </c>
      <c r="AW3554" s="6" t="str">
        <f>HYPERLINK("http://www.worldcat.org/oclc/51483109","WorldCat Record")</f>
        <v>WorldCat Record</v>
      </c>
      <c r="AX3554" s="3" t="s">
        <v>35447</v>
      </c>
      <c r="AY3554" s="3" t="s">
        <v>35448</v>
      </c>
      <c r="AZ3554" s="3" t="s">
        <v>35449</v>
      </c>
      <c r="BA3554" s="3" t="s">
        <v>35449</v>
      </c>
      <c r="BB3554" s="3" t="s">
        <v>35450</v>
      </c>
      <c r="BC3554" s="3" t="s">
        <v>77</v>
      </c>
      <c r="BD3554" s="3" t="s">
        <v>78</v>
      </c>
      <c r="BE3554" s="3" t="s">
        <v>35451</v>
      </c>
      <c r="BF3554" s="3" t="s">
        <v>35450</v>
      </c>
      <c r="BG3554" s="3" t="s">
        <v>35452</v>
      </c>
      <c r="BH3554">
        <f t="shared" si="82"/>
        <v>0</v>
      </c>
    </row>
    <row r="3555" spans="1:60" ht="58" x14ac:dyDescent="0.35">
      <c r="A3555" s="2" t="s">
        <v>59</v>
      </c>
      <c r="B3555" s="2" t="s">
        <v>60</v>
      </c>
      <c r="C3555" s="2" t="s">
        <v>35453</v>
      </c>
      <c r="D3555" s="2" t="s">
        <v>35454</v>
      </c>
      <c r="E3555" s="2" t="s">
        <v>35455</v>
      </c>
      <c r="G3555" s="3" t="s">
        <v>64</v>
      </c>
      <c r="I3555" s="3" t="s">
        <v>128</v>
      </c>
      <c r="J3555" s="3" t="s">
        <v>128</v>
      </c>
      <c r="K3555" s="3" t="s">
        <v>65</v>
      </c>
      <c r="L3555" s="2" t="s">
        <v>35456</v>
      </c>
      <c r="M3555" s="2" t="s">
        <v>35457</v>
      </c>
      <c r="N3555" s="3" t="s">
        <v>7285</v>
      </c>
      <c r="P3555" s="3" t="s">
        <v>102</v>
      </c>
      <c r="R3555" s="3" t="s">
        <v>70</v>
      </c>
      <c r="S3555" s="4">
        <v>0</v>
      </c>
      <c r="T3555" s="4">
        <v>2</v>
      </c>
      <c r="V3555" s="5" t="s">
        <v>13876</v>
      </c>
      <c r="W3555" s="5" t="s">
        <v>72</v>
      </c>
      <c r="X3555" s="5" t="s">
        <v>72</v>
      </c>
      <c r="Y3555" s="4">
        <v>143</v>
      </c>
      <c r="Z3555" s="4">
        <v>10</v>
      </c>
      <c r="AA3555" s="4">
        <v>27</v>
      </c>
      <c r="AB3555" s="4">
        <v>1</v>
      </c>
      <c r="AC3555" s="4">
        <v>2</v>
      </c>
      <c r="AD3555" s="4">
        <v>11</v>
      </c>
      <c r="AE3555" s="4">
        <v>100</v>
      </c>
      <c r="AF3555" s="4">
        <v>0</v>
      </c>
      <c r="AG3555" s="4">
        <v>1</v>
      </c>
      <c r="AH3555" s="4">
        <v>7</v>
      </c>
      <c r="AI3555" s="4">
        <v>86</v>
      </c>
      <c r="AJ3555" s="4">
        <v>7</v>
      </c>
      <c r="AK3555" s="4">
        <v>18</v>
      </c>
      <c r="AL3555" s="4">
        <v>4</v>
      </c>
      <c r="AM3555" s="4">
        <v>44</v>
      </c>
      <c r="AN3555" s="4">
        <v>0</v>
      </c>
      <c r="AO3555" s="4">
        <v>0</v>
      </c>
      <c r="AP3555" s="4">
        <v>7</v>
      </c>
      <c r="AQ3555" s="4">
        <v>19</v>
      </c>
      <c r="AR3555" s="3" t="s">
        <v>64</v>
      </c>
      <c r="AS3555" s="3" t="s">
        <v>64</v>
      </c>
      <c r="AT3555" s="3" t="s">
        <v>64</v>
      </c>
      <c r="AV3555" s="6" t="str">
        <f>HYPERLINK("http://mcgill.on.worldcat.org/oclc/1926124","Catalog Record")</f>
        <v>Catalog Record</v>
      </c>
      <c r="AW3555" s="6" t="str">
        <f>HYPERLINK("http://www.worldcat.org/oclc/1926124","WorldCat Record")</f>
        <v>WorldCat Record</v>
      </c>
      <c r="AX3555" s="3" t="s">
        <v>35458</v>
      </c>
      <c r="AY3555" s="3" t="s">
        <v>35459</v>
      </c>
      <c r="AZ3555" s="3" t="s">
        <v>35460</v>
      </c>
      <c r="BA3555" s="3" t="s">
        <v>35460</v>
      </c>
      <c r="BB3555" s="3" t="s">
        <v>35461</v>
      </c>
      <c r="BC3555" s="3" t="s">
        <v>77</v>
      </c>
      <c r="BD3555" s="3" t="s">
        <v>78</v>
      </c>
      <c r="BE3555" s="3" t="s">
        <v>35462</v>
      </c>
      <c r="BF3555" s="3" t="s">
        <v>35461</v>
      </c>
      <c r="BG3555" s="3" t="s">
        <v>35463</v>
      </c>
      <c r="BH3555">
        <f t="shared" si="82"/>
        <v>0</v>
      </c>
    </row>
    <row r="3556" spans="1:60" ht="58" x14ac:dyDescent="0.35">
      <c r="A3556" s="2" t="s">
        <v>59</v>
      </c>
      <c r="B3556" s="2" t="s">
        <v>60</v>
      </c>
      <c r="C3556" s="2" t="s">
        <v>35464</v>
      </c>
      <c r="D3556" s="2" t="s">
        <v>35465</v>
      </c>
      <c r="E3556" s="2" t="s">
        <v>35466</v>
      </c>
      <c r="G3556" s="3" t="s">
        <v>64</v>
      </c>
      <c r="I3556" s="3" t="s">
        <v>64</v>
      </c>
      <c r="J3556" s="3" t="s">
        <v>128</v>
      </c>
      <c r="K3556" s="3" t="s">
        <v>7955</v>
      </c>
      <c r="L3556" s="2" t="s">
        <v>35467</v>
      </c>
      <c r="M3556" s="2" t="s">
        <v>28039</v>
      </c>
      <c r="N3556" s="3" t="s">
        <v>28040</v>
      </c>
      <c r="O3556" s="2" t="s">
        <v>28041</v>
      </c>
      <c r="P3556" s="3" t="s">
        <v>102</v>
      </c>
      <c r="Q3556" s="2" t="s">
        <v>35468</v>
      </c>
      <c r="R3556" s="3" t="s">
        <v>70</v>
      </c>
      <c r="S3556" s="4">
        <v>1</v>
      </c>
      <c r="T3556" s="4">
        <v>1</v>
      </c>
      <c r="U3556" s="5" t="s">
        <v>13933</v>
      </c>
      <c r="V3556" s="5" t="s">
        <v>13933</v>
      </c>
      <c r="W3556" s="5" t="s">
        <v>72</v>
      </c>
      <c r="X3556" s="5" t="s">
        <v>72</v>
      </c>
      <c r="Y3556" s="4">
        <v>84</v>
      </c>
      <c r="Z3556" s="4">
        <v>13</v>
      </c>
      <c r="AA3556" s="4">
        <v>28</v>
      </c>
      <c r="AB3556" s="4">
        <v>3</v>
      </c>
      <c r="AC3556" s="4">
        <v>6</v>
      </c>
      <c r="AD3556" s="4">
        <v>38</v>
      </c>
      <c r="AE3556" s="4">
        <v>85</v>
      </c>
      <c r="AF3556" s="4">
        <v>1</v>
      </c>
      <c r="AG3556" s="4">
        <v>2</v>
      </c>
      <c r="AH3556" s="4">
        <v>32</v>
      </c>
      <c r="AI3556" s="4">
        <v>76</v>
      </c>
      <c r="AJ3556" s="4">
        <v>7</v>
      </c>
      <c r="AK3556" s="4">
        <v>15</v>
      </c>
      <c r="AL3556" s="4">
        <v>18</v>
      </c>
      <c r="AM3556" s="4">
        <v>44</v>
      </c>
      <c r="AN3556" s="4">
        <v>0</v>
      </c>
      <c r="AO3556" s="4">
        <v>0</v>
      </c>
      <c r="AP3556" s="4">
        <v>7</v>
      </c>
      <c r="AQ3556" s="4">
        <v>15</v>
      </c>
      <c r="AR3556" s="3" t="s">
        <v>64</v>
      </c>
      <c r="AS3556" s="3" t="s">
        <v>128</v>
      </c>
      <c r="AT3556" s="3" t="s">
        <v>64</v>
      </c>
      <c r="AU3556" s="6" t="str">
        <f>HYPERLINK("http://catalog.hathitrust.org/Record/007675798","HathiTrust Record")</f>
        <v>HathiTrust Record</v>
      </c>
      <c r="AV3556" s="6" t="str">
        <f>HYPERLINK("http://mcgill.on.worldcat.org/oclc/1324692","Catalog Record")</f>
        <v>Catalog Record</v>
      </c>
      <c r="AW3556" s="6" t="str">
        <f>HYPERLINK("http://www.worldcat.org/oclc/1324692","WorldCat Record")</f>
        <v>WorldCat Record</v>
      </c>
      <c r="AX3556" s="3" t="s">
        <v>35469</v>
      </c>
      <c r="AY3556" s="3" t="s">
        <v>35470</v>
      </c>
      <c r="AZ3556" s="3" t="s">
        <v>35471</v>
      </c>
      <c r="BA3556" s="3" t="s">
        <v>35471</v>
      </c>
      <c r="BB3556" s="3" t="s">
        <v>35472</v>
      </c>
      <c r="BC3556" s="3" t="s">
        <v>77</v>
      </c>
      <c r="BD3556" s="3" t="s">
        <v>78</v>
      </c>
      <c r="BF3556" s="3" t="s">
        <v>35472</v>
      </c>
      <c r="BG3556" s="3" t="s">
        <v>35473</v>
      </c>
      <c r="BH3556">
        <f t="shared" si="82"/>
        <v>0</v>
      </c>
    </row>
    <row r="3557" spans="1:60" ht="72.5" x14ac:dyDescent="0.35">
      <c r="A3557" s="2" t="s">
        <v>59</v>
      </c>
      <c r="B3557" s="2" t="s">
        <v>60</v>
      </c>
      <c r="C3557" s="2" t="s">
        <v>35474</v>
      </c>
      <c r="D3557" s="2" t="s">
        <v>35475</v>
      </c>
      <c r="E3557" s="2" t="s">
        <v>35476</v>
      </c>
      <c r="G3557" s="3" t="s">
        <v>64</v>
      </c>
      <c r="I3557" s="3" t="s">
        <v>64</v>
      </c>
      <c r="J3557" s="3" t="s">
        <v>64</v>
      </c>
      <c r="K3557" s="3" t="s">
        <v>65</v>
      </c>
      <c r="L3557" s="2" t="s">
        <v>35477</v>
      </c>
      <c r="M3557" s="2" t="s">
        <v>35478</v>
      </c>
      <c r="N3557" s="3" t="s">
        <v>481</v>
      </c>
      <c r="P3557" s="3" t="s">
        <v>102</v>
      </c>
      <c r="Q3557" s="2" t="s">
        <v>35479</v>
      </c>
      <c r="R3557" s="3" t="s">
        <v>70</v>
      </c>
      <c r="S3557" s="4">
        <v>2</v>
      </c>
      <c r="T3557" s="4">
        <v>2</v>
      </c>
      <c r="U3557" s="5" t="s">
        <v>24168</v>
      </c>
      <c r="V3557" s="5" t="s">
        <v>24168</v>
      </c>
      <c r="W3557" s="5" t="s">
        <v>72</v>
      </c>
      <c r="X3557" s="5" t="s">
        <v>72</v>
      </c>
      <c r="Y3557" s="4">
        <v>257</v>
      </c>
      <c r="Z3557" s="4">
        <v>19</v>
      </c>
      <c r="AA3557" s="4">
        <v>22</v>
      </c>
      <c r="AB3557" s="4">
        <v>3</v>
      </c>
      <c r="AC3557" s="4">
        <v>3</v>
      </c>
      <c r="AD3557" s="4">
        <v>105</v>
      </c>
      <c r="AE3557" s="4">
        <v>109</v>
      </c>
      <c r="AF3557" s="4">
        <v>1</v>
      </c>
      <c r="AG3557" s="4">
        <v>1</v>
      </c>
      <c r="AH3557" s="4">
        <v>93</v>
      </c>
      <c r="AI3557" s="4">
        <v>96</v>
      </c>
      <c r="AJ3557" s="4">
        <v>13</v>
      </c>
      <c r="AK3557" s="4">
        <v>16</v>
      </c>
      <c r="AL3557" s="4">
        <v>51</v>
      </c>
      <c r="AM3557" s="4">
        <v>51</v>
      </c>
      <c r="AN3557" s="4">
        <v>0</v>
      </c>
      <c r="AO3557" s="4">
        <v>0</v>
      </c>
      <c r="AP3557" s="4">
        <v>15</v>
      </c>
      <c r="AQ3557" s="4">
        <v>18</v>
      </c>
      <c r="AR3557" s="3" t="s">
        <v>64</v>
      </c>
      <c r="AS3557" s="3" t="s">
        <v>64</v>
      </c>
      <c r="AT3557" s="3" t="s">
        <v>128</v>
      </c>
      <c r="AU3557" s="6" t="str">
        <f>HYPERLINK("http://catalog.hathitrust.org/Record/001166034","HathiTrust Record")</f>
        <v>HathiTrust Record</v>
      </c>
      <c r="AV3557" s="6" t="str">
        <f>HYPERLINK("http://mcgill.on.worldcat.org/oclc/81029","Catalog Record")</f>
        <v>Catalog Record</v>
      </c>
      <c r="AW3557" s="6" t="str">
        <f>HYPERLINK("http://www.worldcat.org/oclc/81029","WorldCat Record")</f>
        <v>WorldCat Record</v>
      </c>
      <c r="AX3557" s="3" t="s">
        <v>35480</v>
      </c>
      <c r="AY3557" s="3" t="s">
        <v>35481</v>
      </c>
      <c r="AZ3557" s="3" t="s">
        <v>35482</v>
      </c>
      <c r="BA3557" s="3" t="s">
        <v>35482</v>
      </c>
      <c r="BB3557" s="3" t="s">
        <v>35483</v>
      </c>
      <c r="BC3557" s="3" t="s">
        <v>77</v>
      </c>
      <c r="BD3557" s="3" t="s">
        <v>78</v>
      </c>
      <c r="BF3557" s="3" t="s">
        <v>35483</v>
      </c>
      <c r="BG3557" s="3" t="s">
        <v>35484</v>
      </c>
      <c r="BH3557">
        <f t="shared" si="82"/>
        <v>0</v>
      </c>
    </row>
    <row r="3558" spans="1:60" ht="116" x14ac:dyDescent="0.35">
      <c r="A3558" s="2" t="s">
        <v>59</v>
      </c>
      <c r="B3558" s="2" t="s">
        <v>1183</v>
      </c>
      <c r="C3558" s="2" t="s">
        <v>35485</v>
      </c>
      <c r="D3558" s="2" t="s">
        <v>35486</v>
      </c>
      <c r="E3558" s="2" t="s">
        <v>35487</v>
      </c>
      <c r="G3558" s="3" t="s">
        <v>64</v>
      </c>
      <c r="I3558" s="3" t="s">
        <v>64</v>
      </c>
      <c r="J3558" s="3" t="s">
        <v>64</v>
      </c>
      <c r="K3558" s="3" t="s">
        <v>65</v>
      </c>
      <c r="L3558" s="2" t="s">
        <v>35488</v>
      </c>
      <c r="M3558" s="2" t="s">
        <v>25454</v>
      </c>
      <c r="N3558" s="3" t="s">
        <v>511</v>
      </c>
      <c r="O3558" s="2" t="s">
        <v>1189</v>
      </c>
      <c r="P3558" s="3" t="s">
        <v>1190</v>
      </c>
      <c r="R3558" s="3" t="s">
        <v>70</v>
      </c>
      <c r="S3558" s="4">
        <v>0</v>
      </c>
      <c r="T3558" s="4">
        <v>0</v>
      </c>
      <c r="W3558" s="5" t="s">
        <v>72</v>
      </c>
      <c r="X3558" s="5" t="s">
        <v>72</v>
      </c>
      <c r="Y3558" s="4">
        <v>27</v>
      </c>
      <c r="Z3558" s="4">
        <v>3</v>
      </c>
      <c r="AA3558" s="4">
        <v>3</v>
      </c>
      <c r="AB3558" s="4">
        <v>1</v>
      </c>
      <c r="AC3558" s="4">
        <v>1</v>
      </c>
      <c r="AD3558" s="4">
        <v>18</v>
      </c>
      <c r="AE3558" s="4">
        <v>18</v>
      </c>
      <c r="AF3558" s="4">
        <v>0</v>
      </c>
      <c r="AG3558" s="4">
        <v>0</v>
      </c>
      <c r="AH3558" s="4">
        <v>16</v>
      </c>
      <c r="AI3558" s="4">
        <v>16</v>
      </c>
      <c r="AJ3558" s="4">
        <v>1</v>
      </c>
      <c r="AK3558" s="4">
        <v>1</v>
      </c>
      <c r="AL3558" s="4">
        <v>16</v>
      </c>
      <c r="AM3558" s="4">
        <v>16</v>
      </c>
      <c r="AN3558" s="4">
        <v>0</v>
      </c>
      <c r="AO3558" s="4">
        <v>0</v>
      </c>
      <c r="AP3558" s="4">
        <v>1</v>
      </c>
      <c r="AQ3558" s="4">
        <v>1</v>
      </c>
      <c r="AR3558" s="3" t="s">
        <v>64</v>
      </c>
      <c r="AS3558" s="3" t="s">
        <v>64</v>
      </c>
      <c r="AT3558" s="3" t="s">
        <v>64</v>
      </c>
      <c r="AV3558" s="6" t="str">
        <f>HYPERLINK("http://mcgill.on.worldcat.org/oclc/644521693","Catalog Record")</f>
        <v>Catalog Record</v>
      </c>
      <c r="AW3558" s="6" t="str">
        <f>HYPERLINK("http://www.worldcat.org/oclc/644521693","WorldCat Record")</f>
        <v>WorldCat Record</v>
      </c>
      <c r="AX3558" s="3" t="s">
        <v>35489</v>
      </c>
      <c r="AY3558" s="3" t="s">
        <v>35490</v>
      </c>
      <c r="AZ3558" s="3" t="s">
        <v>35491</v>
      </c>
      <c r="BA3558" s="3" t="s">
        <v>35491</v>
      </c>
      <c r="BB3558" s="3" t="s">
        <v>35492</v>
      </c>
      <c r="BC3558" s="3" t="s">
        <v>77</v>
      </c>
      <c r="BD3558" s="3" t="s">
        <v>78</v>
      </c>
      <c r="BE3558" s="3" t="s">
        <v>35493</v>
      </c>
      <c r="BF3558" s="3" t="s">
        <v>35492</v>
      </c>
      <c r="BG3558" s="3" t="s">
        <v>35494</v>
      </c>
      <c r="BH3558">
        <f t="shared" si="82"/>
        <v>0</v>
      </c>
    </row>
    <row r="3559" spans="1:60" ht="116" x14ac:dyDescent="0.35">
      <c r="A3559" s="2" t="s">
        <v>59</v>
      </c>
      <c r="B3559" s="2" t="s">
        <v>1183</v>
      </c>
      <c r="C3559" s="2" t="s">
        <v>35495</v>
      </c>
      <c r="D3559" s="2" t="s">
        <v>35496</v>
      </c>
      <c r="E3559" s="2" t="s">
        <v>35497</v>
      </c>
      <c r="G3559" s="3" t="s">
        <v>64</v>
      </c>
      <c r="I3559" s="3" t="s">
        <v>64</v>
      </c>
      <c r="J3559" s="3" t="s">
        <v>64</v>
      </c>
      <c r="K3559" s="3" t="s">
        <v>65</v>
      </c>
      <c r="L3559" s="2" t="s">
        <v>35498</v>
      </c>
      <c r="M3559" s="2" t="s">
        <v>5084</v>
      </c>
      <c r="N3559" s="3" t="s">
        <v>326</v>
      </c>
      <c r="O3559" s="2" t="s">
        <v>1189</v>
      </c>
      <c r="P3559" s="3" t="s">
        <v>1190</v>
      </c>
      <c r="Q3559" s="2" t="s">
        <v>35499</v>
      </c>
      <c r="R3559" s="3" t="s">
        <v>70</v>
      </c>
      <c r="S3559" s="4">
        <v>0</v>
      </c>
      <c r="T3559" s="4">
        <v>0</v>
      </c>
      <c r="W3559" s="5" t="s">
        <v>72</v>
      </c>
      <c r="X3559" s="5" t="s">
        <v>72</v>
      </c>
      <c r="Y3559" s="4">
        <v>21</v>
      </c>
      <c r="Z3559" s="4">
        <v>3</v>
      </c>
      <c r="AA3559" s="4">
        <v>3</v>
      </c>
      <c r="AB3559" s="4">
        <v>1</v>
      </c>
      <c r="AC3559" s="4">
        <v>1</v>
      </c>
      <c r="AD3559" s="4">
        <v>10</v>
      </c>
      <c r="AE3559" s="4">
        <v>10</v>
      </c>
      <c r="AF3559" s="4">
        <v>0</v>
      </c>
      <c r="AG3559" s="4">
        <v>0</v>
      </c>
      <c r="AH3559" s="4">
        <v>9</v>
      </c>
      <c r="AI3559" s="4">
        <v>9</v>
      </c>
      <c r="AJ3559" s="4">
        <v>1</v>
      </c>
      <c r="AK3559" s="4">
        <v>1</v>
      </c>
      <c r="AL3559" s="4">
        <v>9</v>
      </c>
      <c r="AM3559" s="4">
        <v>9</v>
      </c>
      <c r="AN3559" s="4">
        <v>0</v>
      </c>
      <c r="AO3559" s="4">
        <v>0</v>
      </c>
      <c r="AP3559" s="4">
        <v>1</v>
      </c>
      <c r="AQ3559" s="4">
        <v>1</v>
      </c>
      <c r="AR3559" s="3" t="s">
        <v>64</v>
      </c>
      <c r="AS3559" s="3" t="s">
        <v>64</v>
      </c>
      <c r="AT3559" s="3" t="s">
        <v>64</v>
      </c>
      <c r="AV3559" s="6" t="str">
        <f>HYPERLINK("http://mcgill.on.worldcat.org/oclc/732280226","Catalog Record")</f>
        <v>Catalog Record</v>
      </c>
      <c r="AW3559" s="6" t="str">
        <f>HYPERLINK("http://www.worldcat.org/oclc/732280226","WorldCat Record")</f>
        <v>WorldCat Record</v>
      </c>
      <c r="AX3559" s="3" t="s">
        <v>35500</v>
      </c>
      <c r="AY3559" s="3" t="s">
        <v>35501</v>
      </c>
      <c r="AZ3559" s="3" t="s">
        <v>35502</v>
      </c>
      <c r="BA3559" s="3" t="s">
        <v>35502</v>
      </c>
      <c r="BB3559" s="3" t="s">
        <v>35503</v>
      </c>
      <c r="BC3559" s="3" t="s">
        <v>77</v>
      </c>
      <c r="BD3559" s="3" t="s">
        <v>78</v>
      </c>
      <c r="BE3559" s="3" t="s">
        <v>35504</v>
      </c>
      <c r="BF3559" s="3" t="s">
        <v>35503</v>
      </c>
      <c r="BG3559" s="3" t="s">
        <v>35505</v>
      </c>
      <c r="BH3559">
        <f t="shared" si="82"/>
        <v>0</v>
      </c>
    </row>
    <row r="3560" spans="1:60" ht="58" x14ac:dyDescent="0.35">
      <c r="A3560" s="2" t="s">
        <v>59</v>
      </c>
      <c r="B3560" s="2" t="s">
        <v>60</v>
      </c>
      <c r="C3560" s="2" t="s">
        <v>35506</v>
      </c>
      <c r="D3560" s="2" t="s">
        <v>35507</v>
      </c>
      <c r="E3560" s="2" t="s">
        <v>35508</v>
      </c>
      <c r="G3560" s="3" t="s">
        <v>64</v>
      </c>
      <c r="I3560" s="3" t="s">
        <v>64</v>
      </c>
      <c r="J3560" s="3" t="s">
        <v>64</v>
      </c>
      <c r="K3560" s="3" t="s">
        <v>65</v>
      </c>
      <c r="L3560" s="2" t="s">
        <v>35509</v>
      </c>
      <c r="M3560" s="2" t="s">
        <v>35510</v>
      </c>
      <c r="N3560" s="3" t="s">
        <v>67</v>
      </c>
      <c r="P3560" s="3" t="s">
        <v>102</v>
      </c>
      <c r="R3560" s="3" t="s">
        <v>70</v>
      </c>
      <c r="S3560" s="4">
        <v>0</v>
      </c>
      <c r="T3560" s="4">
        <v>0</v>
      </c>
      <c r="W3560" s="5" t="s">
        <v>72</v>
      </c>
      <c r="X3560" s="5" t="s">
        <v>72</v>
      </c>
      <c r="Y3560" s="4">
        <v>23</v>
      </c>
      <c r="Z3560" s="4">
        <v>1</v>
      </c>
      <c r="AA3560" s="4">
        <v>3</v>
      </c>
      <c r="AB3560" s="4">
        <v>1</v>
      </c>
      <c r="AC3560" s="4">
        <v>3</v>
      </c>
      <c r="AD3560" s="4">
        <v>9</v>
      </c>
      <c r="AE3560" s="4">
        <v>9</v>
      </c>
      <c r="AF3560" s="4">
        <v>0</v>
      </c>
      <c r="AG3560" s="4">
        <v>0</v>
      </c>
      <c r="AH3560" s="4">
        <v>9</v>
      </c>
      <c r="AI3560" s="4">
        <v>9</v>
      </c>
      <c r="AJ3560" s="4">
        <v>0</v>
      </c>
      <c r="AK3560" s="4">
        <v>0</v>
      </c>
      <c r="AL3560" s="4">
        <v>7</v>
      </c>
      <c r="AM3560" s="4">
        <v>7</v>
      </c>
      <c r="AN3560" s="4">
        <v>0</v>
      </c>
      <c r="AO3560" s="4">
        <v>0</v>
      </c>
      <c r="AP3560" s="4">
        <v>0</v>
      </c>
      <c r="AQ3560" s="4">
        <v>0</v>
      </c>
      <c r="AR3560" s="3" t="s">
        <v>64</v>
      </c>
      <c r="AS3560" s="3" t="s">
        <v>64</v>
      </c>
      <c r="AT3560" s="3" t="s">
        <v>64</v>
      </c>
      <c r="AV3560" s="6" t="str">
        <f>HYPERLINK("http://mcgill.on.worldcat.org/oclc/865494463","Catalog Record")</f>
        <v>Catalog Record</v>
      </c>
      <c r="AW3560" s="6" t="str">
        <f>HYPERLINK("http://www.worldcat.org/oclc/865494463","WorldCat Record")</f>
        <v>WorldCat Record</v>
      </c>
      <c r="AX3560" s="3" t="s">
        <v>35511</v>
      </c>
      <c r="AY3560" s="3" t="s">
        <v>35512</v>
      </c>
      <c r="AZ3560" s="3" t="s">
        <v>35513</v>
      </c>
      <c r="BA3560" s="3" t="s">
        <v>35513</v>
      </c>
      <c r="BB3560" s="3" t="s">
        <v>35514</v>
      </c>
      <c r="BC3560" s="3" t="s">
        <v>77</v>
      </c>
      <c r="BD3560" s="3" t="s">
        <v>78</v>
      </c>
      <c r="BE3560" s="3" t="s">
        <v>35515</v>
      </c>
      <c r="BF3560" s="3" t="s">
        <v>35514</v>
      </c>
      <c r="BG3560" s="3" t="s">
        <v>35516</v>
      </c>
      <c r="BH3560">
        <f t="shared" si="82"/>
        <v>0</v>
      </c>
    </row>
    <row r="3561" spans="1:60" ht="58" x14ac:dyDescent="0.35">
      <c r="A3561" s="2" t="s">
        <v>59</v>
      </c>
      <c r="B3561" s="2" t="s">
        <v>60</v>
      </c>
      <c r="C3561" s="2" t="s">
        <v>35517</v>
      </c>
      <c r="D3561" s="2" t="s">
        <v>35518</v>
      </c>
      <c r="E3561" s="2" t="s">
        <v>35519</v>
      </c>
      <c r="G3561" s="3" t="s">
        <v>64</v>
      </c>
      <c r="I3561" s="3" t="s">
        <v>64</v>
      </c>
      <c r="J3561" s="3" t="s">
        <v>64</v>
      </c>
      <c r="K3561" s="3" t="s">
        <v>65</v>
      </c>
      <c r="L3561" s="2" t="s">
        <v>35520</v>
      </c>
      <c r="M3561" s="2" t="s">
        <v>1406</v>
      </c>
      <c r="N3561" s="3" t="s">
        <v>326</v>
      </c>
      <c r="P3561" s="3" t="s">
        <v>102</v>
      </c>
      <c r="R3561" s="3" t="s">
        <v>70</v>
      </c>
      <c r="S3561" s="4">
        <v>4</v>
      </c>
      <c r="T3561" s="4">
        <v>4</v>
      </c>
      <c r="U3561" s="5" t="s">
        <v>19563</v>
      </c>
      <c r="V3561" s="5" t="s">
        <v>19563</v>
      </c>
      <c r="W3561" s="5" t="s">
        <v>72</v>
      </c>
      <c r="X3561" s="5" t="s">
        <v>72</v>
      </c>
      <c r="Y3561" s="4">
        <v>157</v>
      </c>
      <c r="Z3561" s="4">
        <v>16</v>
      </c>
      <c r="AA3561" s="4">
        <v>16</v>
      </c>
      <c r="AB3561" s="4">
        <v>1</v>
      </c>
      <c r="AC3561" s="4">
        <v>1</v>
      </c>
      <c r="AD3561" s="4">
        <v>61</v>
      </c>
      <c r="AE3561" s="4">
        <v>62</v>
      </c>
      <c r="AF3561" s="4">
        <v>0</v>
      </c>
      <c r="AG3561" s="4">
        <v>0</v>
      </c>
      <c r="AH3561" s="4">
        <v>55</v>
      </c>
      <c r="AI3561" s="4">
        <v>56</v>
      </c>
      <c r="AJ3561" s="4">
        <v>13</v>
      </c>
      <c r="AK3561" s="4">
        <v>13</v>
      </c>
      <c r="AL3561" s="4">
        <v>31</v>
      </c>
      <c r="AM3561" s="4">
        <v>32</v>
      </c>
      <c r="AN3561" s="4">
        <v>0</v>
      </c>
      <c r="AO3561" s="4">
        <v>0</v>
      </c>
      <c r="AP3561" s="4">
        <v>13</v>
      </c>
      <c r="AQ3561" s="4">
        <v>13</v>
      </c>
      <c r="AR3561" s="3" t="s">
        <v>64</v>
      </c>
      <c r="AS3561" s="3" t="s">
        <v>64</v>
      </c>
      <c r="AT3561" s="3" t="s">
        <v>64</v>
      </c>
      <c r="AV3561" s="6" t="str">
        <f>HYPERLINK("http://mcgill.on.worldcat.org/oclc/656774298","Catalog Record")</f>
        <v>Catalog Record</v>
      </c>
      <c r="AW3561" s="6" t="str">
        <f>HYPERLINK("http://www.worldcat.org/oclc/656774298","WorldCat Record")</f>
        <v>WorldCat Record</v>
      </c>
      <c r="AX3561" s="3" t="s">
        <v>35521</v>
      </c>
      <c r="AY3561" s="3" t="s">
        <v>35522</v>
      </c>
      <c r="AZ3561" s="3" t="s">
        <v>35523</v>
      </c>
      <c r="BA3561" s="3" t="s">
        <v>35523</v>
      </c>
      <c r="BB3561" s="3" t="s">
        <v>35524</v>
      </c>
      <c r="BC3561" s="3" t="s">
        <v>77</v>
      </c>
      <c r="BD3561" s="3" t="s">
        <v>78</v>
      </c>
      <c r="BE3561" s="3" t="s">
        <v>35525</v>
      </c>
      <c r="BF3561" s="3" t="s">
        <v>35524</v>
      </c>
      <c r="BG3561" s="3" t="s">
        <v>35526</v>
      </c>
      <c r="BH3561">
        <f t="shared" si="82"/>
        <v>0</v>
      </c>
    </row>
    <row r="3562" spans="1:60" ht="58" x14ac:dyDescent="0.35">
      <c r="A3562" s="2" t="s">
        <v>59</v>
      </c>
      <c r="B3562" s="2" t="s">
        <v>60</v>
      </c>
      <c r="C3562" s="2" t="s">
        <v>35527</v>
      </c>
      <c r="D3562" s="2" t="s">
        <v>35528</v>
      </c>
      <c r="E3562" s="2" t="s">
        <v>35529</v>
      </c>
      <c r="G3562" s="3" t="s">
        <v>64</v>
      </c>
      <c r="I3562" s="3" t="s">
        <v>64</v>
      </c>
      <c r="J3562" s="3" t="s">
        <v>64</v>
      </c>
      <c r="K3562" s="3" t="s">
        <v>65</v>
      </c>
      <c r="L3562" s="2" t="s">
        <v>35530</v>
      </c>
      <c r="M3562" s="2" t="s">
        <v>35531</v>
      </c>
      <c r="N3562" s="3" t="s">
        <v>116</v>
      </c>
      <c r="P3562" s="3" t="s">
        <v>68</v>
      </c>
      <c r="R3562" s="3" t="s">
        <v>70</v>
      </c>
      <c r="S3562" s="4">
        <v>2</v>
      </c>
      <c r="T3562" s="4">
        <v>2</v>
      </c>
      <c r="U3562" s="5" t="s">
        <v>146</v>
      </c>
      <c r="V3562" s="5" t="s">
        <v>146</v>
      </c>
      <c r="W3562" s="5" t="s">
        <v>72</v>
      </c>
      <c r="X3562" s="5" t="s">
        <v>72</v>
      </c>
      <c r="Y3562" s="4">
        <v>81</v>
      </c>
      <c r="Z3562" s="4">
        <v>4</v>
      </c>
      <c r="AA3562" s="4">
        <v>16</v>
      </c>
      <c r="AB3562" s="4">
        <v>1</v>
      </c>
      <c r="AC3562" s="4">
        <v>6</v>
      </c>
      <c r="AD3562" s="4">
        <v>49</v>
      </c>
      <c r="AE3562" s="4">
        <v>58</v>
      </c>
      <c r="AF3562" s="4">
        <v>0</v>
      </c>
      <c r="AG3562" s="4">
        <v>4</v>
      </c>
      <c r="AH3562" s="4">
        <v>46</v>
      </c>
      <c r="AI3562" s="4">
        <v>51</v>
      </c>
      <c r="AJ3562" s="4">
        <v>3</v>
      </c>
      <c r="AK3562" s="4">
        <v>12</v>
      </c>
      <c r="AL3562" s="4">
        <v>33</v>
      </c>
      <c r="AM3562" s="4">
        <v>34</v>
      </c>
      <c r="AN3562" s="4">
        <v>0</v>
      </c>
      <c r="AO3562" s="4">
        <v>0</v>
      </c>
      <c r="AP3562" s="4">
        <v>3</v>
      </c>
      <c r="AQ3562" s="4">
        <v>10</v>
      </c>
      <c r="AR3562" s="3" t="s">
        <v>64</v>
      </c>
      <c r="AS3562" s="3" t="s">
        <v>64</v>
      </c>
      <c r="AT3562" s="3" t="s">
        <v>64</v>
      </c>
      <c r="AV3562" s="6" t="str">
        <f>HYPERLINK("http://mcgill.on.worldcat.org/oclc/48928061","Catalog Record")</f>
        <v>Catalog Record</v>
      </c>
      <c r="AW3562" s="6" t="str">
        <f>HYPERLINK("http://www.worldcat.org/oclc/48928061","WorldCat Record")</f>
        <v>WorldCat Record</v>
      </c>
      <c r="AX3562" s="3" t="s">
        <v>35532</v>
      </c>
      <c r="AY3562" s="3" t="s">
        <v>35533</v>
      </c>
      <c r="AZ3562" s="3" t="s">
        <v>35534</v>
      </c>
      <c r="BA3562" s="3" t="s">
        <v>35534</v>
      </c>
      <c r="BB3562" s="3" t="s">
        <v>35535</v>
      </c>
      <c r="BC3562" s="3" t="s">
        <v>77</v>
      </c>
      <c r="BD3562" s="3" t="s">
        <v>78</v>
      </c>
      <c r="BE3562" s="3" t="s">
        <v>35536</v>
      </c>
      <c r="BF3562" s="3" t="s">
        <v>35535</v>
      </c>
      <c r="BG3562" s="3" t="s">
        <v>35537</v>
      </c>
      <c r="BH3562">
        <f t="shared" si="82"/>
        <v>0</v>
      </c>
    </row>
    <row r="3563" spans="1:60" ht="58" x14ac:dyDescent="0.35">
      <c r="A3563" s="2" t="s">
        <v>59</v>
      </c>
      <c r="B3563" s="2" t="s">
        <v>60</v>
      </c>
      <c r="C3563" s="2" t="s">
        <v>35538</v>
      </c>
      <c r="D3563" s="2" t="s">
        <v>35539</v>
      </c>
      <c r="E3563" s="2" t="s">
        <v>35540</v>
      </c>
      <c r="G3563" s="3" t="s">
        <v>64</v>
      </c>
      <c r="I3563" s="3" t="s">
        <v>64</v>
      </c>
      <c r="J3563" s="3" t="s">
        <v>64</v>
      </c>
      <c r="K3563" s="3" t="s">
        <v>65</v>
      </c>
      <c r="L3563" s="2" t="s">
        <v>35541</v>
      </c>
      <c r="M3563" s="2" t="s">
        <v>35542</v>
      </c>
      <c r="N3563" s="3" t="s">
        <v>144</v>
      </c>
      <c r="P3563" s="3" t="s">
        <v>102</v>
      </c>
      <c r="Q3563" s="2" t="s">
        <v>565</v>
      </c>
      <c r="R3563" s="3" t="s">
        <v>70</v>
      </c>
      <c r="S3563" s="4">
        <v>10</v>
      </c>
      <c r="T3563" s="4">
        <v>10</v>
      </c>
      <c r="U3563" s="5" t="s">
        <v>602</v>
      </c>
      <c r="V3563" s="5" t="s">
        <v>602</v>
      </c>
      <c r="W3563" s="5" t="s">
        <v>72</v>
      </c>
      <c r="X3563" s="5" t="s">
        <v>72</v>
      </c>
      <c r="Y3563" s="4">
        <v>183</v>
      </c>
      <c r="Z3563" s="4">
        <v>31</v>
      </c>
      <c r="AA3563" s="4">
        <v>113</v>
      </c>
      <c r="AB3563" s="4">
        <v>4</v>
      </c>
      <c r="AC3563" s="4">
        <v>21</v>
      </c>
      <c r="AD3563" s="4">
        <v>91</v>
      </c>
      <c r="AE3563" s="4">
        <v>131</v>
      </c>
      <c r="AF3563" s="4">
        <v>1</v>
      </c>
      <c r="AG3563" s="4">
        <v>8</v>
      </c>
      <c r="AH3563" s="4">
        <v>75</v>
      </c>
      <c r="AI3563" s="4">
        <v>88</v>
      </c>
      <c r="AJ3563" s="4">
        <v>19</v>
      </c>
      <c r="AK3563" s="4">
        <v>27</v>
      </c>
      <c r="AL3563" s="4">
        <v>48</v>
      </c>
      <c r="AM3563" s="4">
        <v>50</v>
      </c>
      <c r="AN3563" s="4">
        <v>0</v>
      </c>
      <c r="AO3563" s="4">
        <v>0</v>
      </c>
      <c r="AP3563" s="4">
        <v>22</v>
      </c>
      <c r="AQ3563" s="4">
        <v>52</v>
      </c>
      <c r="AR3563" s="3" t="s">
        <v>128</v>
      </c>
      <c r="AS3563" s="3" t="s">
        <v>64</v>
      </c>
      <c r="AT3563" s="3" t="s">
        <v>64</v>
      </c>
      <c r="AV3563" s="6" t="str">
        <f>HYPERLINK("http://mcgill.on.worldcat.org/oclc/154746570","Catalog Record")</f>
        <v>Catalog Record</v>
      </c>
      <c r="AW3563" s="6" t="str">
        <f>HYPERLINK("http://www.worldcat.org/oclc/154746570","WorldCat Record")</f>
        <v>WorldCat Record</v>
      </c>
      <c r="AX3563" s="3" t="s">
        <v>35543</v>
      </c>
      <c r="AY3563" s="3" t="s">
        <v>35544</v>
      </c>
      <c r="AZ3563" s="3" t="s">
        <v>35545</v>
      </c>
      <c r="BA3563" s="3" t="s">
        <v>35545</v>
      </c>
      <c r="BB3563" s="3" t="s">
        <v>35546</v>
      </c>
      <c r="BC3563" s="3" t="s">
        <v>77</v>
      </c>
      <c r="BD3563" s="3" t="s">
        <v>78</v>
      </c>
      <c r="BE3563" s="3" t="s">
        <v>35547</v>
      </c>
      <c r="BF3563" s="3" t="s">
        <v>35546</v>
      </c>
      <c r="BG3563" s="3" t="s">
        <v>35548</v>
      </c>
      <c r="BH3563">
        <f t="shared" si="82"/>
        <v>0</v>
      </c>
    </row>
    <row r="3564" spans="1:60" ht="58" x14ac:dyDescent="0.35">
      <c r="A3564" s="2" t="s">
        <v>59</v>
      </c>
      <c r="B3564" s="2" t="s">
        <v>60</v>
      </c>
      <c r="C3564" s="2" t="s">
        <v>35549</v>
      </c>
      <c r="D3564" s="2" t="s">
        <v>35550</v>
      </c>
      <c r="E3564" s="2" t="s">
        <v>35551</v>
      </c>
      <c r="G3564" s="3" t="s">
        <v>64</v>
      </c>
      <c r="I3564" s="3" t="s">
        <v>128</v>
      </c>
      <c r="J3564" s="3" t="s">
        <v>64</v>
      </c>
      <c r="K3564" s="3" t="s">
        <v>65</v>
      </c>
      <c r="M3564" s="2" t="s">
        <v>35552</v>
      </c>
      <c r="N3564" s="3" t="s">
        <v>1087</v>
      </c>
      <c r="P3564" s="3" t="s">
        <v>102</v>
      </c>
      <c r="Q3564" s="2" t="s">
        <v>8484</v>
      </c>
      <c r="R3564" s="3" t="s">
        <v>70</v>
      </c>
      <c r="S3564" s="4">
        <v>20</v>
      </c>
      <c r="T3564" s="4">
        <v>20</v>
      </c>
      <c r="U3564" s="5" t="s">
        <v>5263</v>
      </c>
      <c r="V3564" s="5" t="s">
        <v>5263</v>
      </c>
      <c r="W3564" s="5" t="s">
        <v>72</v>
      </c>
      <c r="X3564" s="5" t="s">
        <v>72</v>
      </c>
      <c r="Y3564" s="4">
        <v>176</v>
      </c>
      <c r="Z3564" s="4">
        <v>15</v>
      </c>
      <c r="AA3564" s="4">
        <v>21</v>
      </c>
      <c r="AB3564" s="4">
        <v>1</v>
      </c>
      <c r="AC3564" s="4">
        <v>1</v>
      </c>
      <c r="AD3564" s="4">
        <v>65</v>
      </c>
      <c r="AE3564" s="4">
        <v>88</v>
      </c>
      <c r="AF3564" s="4">
        <v>0</v>
      </c>
      <c r="AG3564" s="4">
        <v>0</v>
      </c>
      <c r="AH3564" s="4">
        <v>57</v>
      </c>
      <c r="AI3564" s="4">
        <v>76</v>
      </c>
      <c r="AJ3564" s="4">
        <v>6</v>
      </c>
      <c r="AK3564" s="4">
        <v>10</v>
      </c>
      <c r="AL3564" s="4">
        <v>40</v>
      </c>
      <c r="AM3564" s="4">
        <v>50</v>
      </c>
      <c r="AN3564" s="4">
        <v>0</v>
      </c>
      <c r="AO3564" s="4">
        <v>0</v>
      </c>
      <c r="AP3564" s="4">
        <v>8</v>
      </c>
      <c r="AQ3564" s="4">
        <v>13</v>
      </c>
      <c r="AR3564" s="3" t="s">
        <v>64</v>
      </c>
      <c r="AS3564" s="3" t="s">
        <v>64</v>
      </c>
      <c r="AT3564" s="3" t="s">
        <v>128</v>
      </c>
      <c r="AU3564" s="6" t="str">
        <f>HYPERLINK("http://catalog.hathitrust.org/Record/009004958","HathiTrust Record")</f>
        <v>HathiTrust Record</v>
      </c>
      <c r="AV3564" s="6" t="str">
        <f>HYPERLINK("http://mcgill.on.worldcat.org/oclc/24794123","Catalog Record")</f>
        <v>Catalog Record</v>
      </c>
      <c r="AW3564" s="6" t="str">
        <f>HYPERLINK("http://www.worldcat.org/oclc/24794123","WorldCat Record")</f>
        <v>WorldCat Record</v>
      </c>
      <c r="AX3564" s="3" t="s">
        <v>35553</v>
      </c>
      <c r="AY3564" s="3" t="s">
        <v>35554</v>
      </c>
      <c r="AZ3564" s="3" t="s">
        <v>35555</v>
      </c>
      <c r="BA3564" s="3" t="s">
        <v>35555</v>
      </c>
      <c r="BB3564" s="3" t="s">
        <v>35556</v>
      </c>
      <c r="BC3564" s="3" t="s">
        <v>77</v>
      </c>
      <c r="BD3564" s="3" t="s">
        <v>78</v>
      </c>
      <c r="BE3564" s="3" t="s">
        <v>35557</v>
      </c>
      <c r="BF3564" s="3" t="s">
        <v>35556</v>
      </c>
      <c r="BG3564" s="3" t="s">
        <v>35558</v>
      </c>
      <c r="BH3564">
        <f t="shared" si="82"/>
        <v>0</v>
      </c>
    </row>
    <row r="3565" spans="1:60" ht="58" x14ac:dyDescent="0.35">
      <c r="A3565" s="2" t="s">
        <v>59</v>
      </c>
      <c r="B3565" s="2" t="s">
        <v>60</v>
      </c>
      <c r="C3565" s="2" t="s">
        <v>35559</v>
      </c>
      <c r="D3565" s="2" t="s">
        <v>35560</v>
      </c>
      <c r="E3565" s="2" t="s">
        <v>35561</v>
      </c>
      <c r="G3565" s="3" t="s">
        <v>64</v>
      </c>
      <c r="I3565" s="3" t="s">
        <v>128</v>
      </c>
      <c r="J3565" s="3" t="s">
        <v>64</v>
      </c>
      <c r="K3565" s="3" t="s">
        <v>65</v>
      </c>
      <c r="L3565" s="2" t="s">
        <v>35562</v>
      </c>
      <c r="M3565" s="2" t="s">
        <v>35563</v>
      </c>
      <c r="N3565" s="3" t="s">
        <v>685</v>
      </c>
      <c r="P3565" s="3" t="s">
        <v>102</v>
      </c>
      <c r="Q3565" s="2" t="s">
        <v>35564</v>
      </c>
      <c r="R3565" s="3" t="s">
        <v>70</v>
      </c>
      <c r="S3565" s="4">
        <v>17</v>
      </c>
      <c r="T3565" s="4">
        <v>17</v>
      </c>
      <c r="U3565" s="5" t="s">
        <v>33800</v>
      </c>
      <c r="V3565" s="5" t="s">
        <v>33800</v>
      </c>
      <c r="W3565" s="5" t="s">
        <v>72</v>
      </c>
      <c r="X3565" s="5" t="s">
        <v>72</v>
      </c>
      <c r="Y3565" s="4">
        <v>88</v>
      </c>
      <c r="Z3565" s="4">
        <v>4</v>
      </c>
      <c r="AA3565" s="4">
        <v>31</v>
      </c>
      <c r="AB3565" s="4">
        <v>1</v>
      </c>
      <c r="AC3565" s="4">
        <v>4</v>
      </c>
      <c r="AD3565" s="4">
        <v>32</v>
      </c>
      <c r="AE3565" s="4">
        <v>116</v>
      </c>
      <c r="AF3565" s="4">
        <v>0</v>
      </c>
      <c r="AG3565" s="4">
        <v>2</v>
      </c>
      <c r="AH3565" s="4">
        <v>30</v>
      </c>
      <c r="AI3565" s="4">
        <v>100</v>
      </c>
      <c r="AJ3565" s="4">
        <v>1</v>
      </c>
      <c r="AK3565" s="4">
        <v>18</v>
      </c>
      <c r="AL3565" s="4">
        <v>15</v>
      </c>
      <c r="AM3565" s="4">
        <v>56</v>
      </c>
      <c r="AN3565" s="4">
        <v>0</v>
      </c>
      <c r="AO3565" s="4">
        <v>0</v>
      </c>
      <c r="AP3565" s="4">
        <v>2</v>
      </c>
      <c r="AQ3565" s="4">
        <v>20</v>
      </c>
      <c r="AR3565" s="3" t="s">
        <v>64</v>
      </c>
      <c r="AS3565" s="3" t="s">
        <v>64</v>
      </c>
      <c r="AT3565" s="3" t="s">
        <v>64</v>
      </c>
      <c r="AU3565" s="6" t="str">
        <f>HYPERLINK("http://catalog.hathitrust.org/Record/006229996","HathiTrust Record")</f>
        <v>HathiTrust Record</v>
      </c>
      <c r="AV3565" s="6" t="str">
        <f>HYPERLINK("http://mcgill.on.worldcat.org/oclc/9946076","Catalog Record")</f>
        <v>Catalog Record</v>
      </c>
      <c r="AW3565" s="6" t="str">
        <f>HYPERLINK("http://www.worldcat.org/oclc/9946076","WorldCat Record")</f>
        <v>WorldCat Record</v>
      </c>
      <c r="AX3565" s="3" t="s">
        <v>35565</v>
      </c>
      <c r="AY3565" s="3" t="s">
        <v>35566</v>
      </c>
      <c r="AZ3565" s="3" t="s">
        <v>35567</v>
      </c>
      <c r="BA3565" s="3" t="s">
        <v>35567</v>
      </c>
      <c r="BB3565" s="3" t="s">
        <v>35568</v>
      </c>
      <c r="BC3565" s="3" t="s">
        <v>77</v>
      </c>
      <c r="BD3565" s="3" t="s">
        <v>78</v>
      </c>
      <c r="BF3565" s="3" t="s">
        <v>35568</v>
      </c>
      <c r="BG3565" s="3" t="s">
        <v>35569</v>
      </c>
      <c r="BH3565">
        <f t="shared" si="82"/>
        <v>0</v>
      </c>
    </row>
    <row r="3566" spans="1:60" ht="58" x14ac:dyDescent="0.35">
      <c r="A3566" s="2" t="s">
        <v>59</v>
      </c>
      <c r="B3566" s="2" t="s">
        <v>60</v>
      </c>
      <c r="C3566" s="2" t="s">
        <v>35570</v>
      </c>
      <c r="D3566" s="2" t="s">
        <v>35571</v>
      </c>
      <c r="E3566" s="2" t="s">
        <v>35572</v>
      </c>
      <c r="G3566" s="3" t="s">
        <v>64</v>
      </c>
      <c r="I3566" s="3" t="s">
        <v>64</v>
      </c>
      <c r="J3566" s="3" t="s">
        <v>64</v>
      </c>
      <c r="K3566" s="3" t="s">
        <v>65</v>
      </c>
      <c r="M3566" s="2" t="s">
        <v>35573</v>
      </c>
      <c r="N3566" s="3" t="s">
        <v>253</v>
      </c>
      <c r="O3566" s="2" t="s">
        <v>35574</v>
      </c>
      <c r="P3566" s="3" t="s">
        <v>102</v>
      </c>
      <c r="R3566" s="3" t="s">
        <v>70</v>
      </c>
      <c r="S3566" s="4">
        <v>1</v>
      </c>
      <c r="T3566" s="4">
        <v>1</v>
      </c>
      <c r="U3566" s="5" t="s">
        <v>435</v>
      </c>
      <c r="V3566" s="5" t="s">
        <v>435</v>
      </c>
      <c r="W3566" s="5" t="s">
        <v>72</v>
      </c>
      <c r="X3566" s="5" t="s">
        <v>72</v>
      </c>
      <c r="Y3566" s="4">
        <v>14</v>
      </c>
      <c r="Z3566" s="4">
        <v>1</v>
      </c>
      <c r="AA3566" s="4">
        <v>11</v>
      </c>
      <c r="AB3566" s="4">
        <v>1</v>
      </c>
      <c r="AC3566" s="4">
        <v>1</v>
      </c>
      <c r="AD3566" s="4">
        <v>2</v>
      </c>
      <c r="AE3566" s="4">
        <v>51</v>
      </c>
      <c r="AF3566" s="4">
        <v>0</v>
      </c>
      <c r="AG3566" s="4">
        <v>0</v>
      </c>
      <c r="AH3566" s="4">
        <v>2</v>
      </c>
      <c r="AI3566" s="4">
        <v>47</v>
      </c>
      <c r="AJ3566" s="4">
        <v>0</v>
      </c>
      <c r="AK3566" s="4">
        <v>8</v>
      </c>
      <c r="AL3566" s="4">
        <v>1</v>
      </c>
      <c r="AM3566" s="4">
        <v>29</v>
      </c>
      <c r="AN3566" s="4">
        <v>0</v>
      </c>
      <c r="AO3566" s="4">
        <v>0</v>
      </c>
      <c r="AP3566" s="4">
        <v>0</v>
      </c>
      <c r="AQ3566" s="4">
        <v>9</v>
      </c>
      <c r="AR3566" s="3" t="s">
        <v>64</v>
      </c>
      <c r="AS3566" s="3" t="s">
        <v>64</v>
      </c>
      <c r="AT3566" s="3" t="s">
        <v>64</v>
      </c>
      <c r="AV3566" s="6" t="str">
        <f>HYPERLINK("http://mcgill.on.worldcat.org/oclc/894301697","Catalog Record")</f>
        <v>Catalog Record</v>
      </c>
      <c r="AW3566" s="6" t="str">
        <f>HYPERLINK("http://www.worldcat.org/oclc/894301697","WorldCat Record")</f>
        <v>WorldCat Record</v>
      </c>
      <c r="AX3566" s="3" t="s">
        <v>35575</v>
      </c>
      <c r="AY3566" s="3" t="s">
        <v>35576</v>
      </c>
      <c r="AZ3566" s="3" t="s">
        <v>35577</v>
      </c>
      <c r="BA3566" s="3" t="s">
        <v>35577</v>
      </c>
      <c r="BB3566" s="3" t="s">
        <v>35578</v>
      </c>
      <c r="BC3566" s="3" t="s">
        <v>77</v>
      </c>
      <c r="BD3566" s="3" t="s">
        <v>78</v>
      </c>
      <c r="BE3566" s="3" t="s">
        <v>35579</v>
      </c>
      <c r="BF3566" s="3" t="s">
        <v>35578</v>
      </c>
      <c r="BG3566" s="3" t="s">
        <v>35580</v>
      </c>
      <c r="BH3566">
        <f t="shared" si="82"/>
        <v>0</v>
      </c>
    </row>
    <row r="3567" spans="1:60" ht="58" x14ac:dyDescent="0.35">
      <c r="A3567" s="2" t="s">
        <v>59</v>
      </c>
      <c r="B3567" s="2" t="s">
        <v>60</v>
      </c>
      <c r="C3567" s="2" t="s">
        <v>35581</v>
      </c>
      <c r="D3567" s="2" t="s">
        <v>35582</v>
      </c>
      <c r="E3567" s="2" t="s">
        <v>35583</v>
      </c>
      <c r="G3567" s="3" t="s">
        <v>64</v>
      </c>
      <c r="I3567" s="3" t="s">
        <v>128</v>
      </c>
      <c r="J3567" s="3" t="s">
        <v>64</v>
      </c>
      <c r="K3567" s="3" t="s">
        <v>65</v>
      </c>
      <c r="L3567" s="2" t="s">
        <v>35584</v>
      </c>
      <c r="M3567" s="2" t="s">
        <v>35585</v>
      </c>
      <c r="N3567" s="3" t="s">
        <v>34360</v>
      </c>
      <c r="P3567" s="3" t="s">
        <v>102</v>
      </c>
      <c r="R3567" s="3" t="s">
        <v>70</v>
      </c>
      <c r="S3567" s="4">
        <v>10</v>
      </c>
      <c r="T3567" s="4">
        <v>13</v>
      </c>
      <c r="U3567" s="5" t="s">
        <v>35586</v>
      </c>
      <c r="V3567" s="5" t="s">
        <v>35586</v>
      </c>
      <c r="W3567" s="5" t="s">
        <v>72</v>
      </c>
      <c r="X3567" s="5" t="s">
        <v>72</v>
      </c>
      <c r="Y3567" s="4">
        <v>148</v>
      </c>
      <c r="Z3567" s="4">
        <v>7</v>
      </c>
      <c r="AA3567" s="4">
        <v>9</v>
      </c>
      <c r="AB3567" s="4">
        <v>1</v>
      </c>
      <c r="AC3567" s="4">
        <v>1</v>
      </c>
      <c r="AD3567" s="4">
        <v>62</v>
      </c>
      <c r="AE3567" s="4">
        <v>67</v>
      </c>
      <c r="AF3567" s="4">
        <v>0</v>
      </c>
      <c r="AG3567" s="4">
        <v>0</v>
      </c>
      <c r="AH3567" s="4">
        <v>60</v>
      </c>
      <c r="AI3567" s="4">
        <v>63</v>
      </c>
      <c r="AJ3567" s="4">
        <v>3</v>
      </c>
      <c r="AK3567" s="4">
        <v>4</v>
      </c>
      <c r="AL3567" s="4">
        <v>37</v>
      </c>
      <c r="AM3567" s="4">
        <v>39</v>
      </c>
      <c r="AN3567" s="4">
        <v>0</v>
      </c>
      <c r="AO3567" s="4">
        <v>0</v>
      </c>
      <c r="AP3567" s="4">
        <v>3</v>
      </c>
      <c r="AQ3567" s="4">
        <v>5</v>
      </c>
      <c r="AR3567" s="3" t="s">
        <v>64</v>
      </c>
      <c r="AS3567" s="3" t="s">
        <v>64</v>
      </c>
      <c r="AT3567" s="3" t="s">
        <v>64</v>
      </c>
      <c r="AV3567" s="6" t="str">
        <f>HYPERLINK("http://mcgill.on.worldcat.org/oclc/3782643","Catalog Record")</f>
        <v>Catalog Record</v>
      </c>
      <c r="AW3567" s="6" t="str">
        <f>HYPERLINK("http://www.worldcat.org/oclc/3782643","WorldCat Record")</f>
        <v>WorldCat Record</v>
      </c>
      <c r="AX3567" s="3" t="s">
        <v>35587</v>
      </c>
      <c r="AY3567" s="3" t="s">
        <v>35588</v>
      </c>
      <c r="AZ3567" s="3" t="s">
        <v>35589</v>
      </c>
      <c r="BA3567" s="3" t="s">
        <v>35589</v>
      </c>
      <c r="BB3567" s="3" t="s">
        <v>35590</v>
      </c>
      <c r="BC3567" s="3" t="s">
        <v>77</v>
      </c>
      <c r="BD3567" s="3" t="s">
        <v>78</v>
      </c>
      <c r="BF3567" s="3" t="s">
        <v>35590</v>
      </c>
      <c r="BG3567" s="3" t="s">
        <v>35591</v>
      </c>
      <c r="BH3567">
        <f t="shared" si="82"/>
        <v>0</v>
      </c>
    </row>
    <row r="3568" spans="1:60" ht="58" x14ac:dyDescent="0.35">
      <c r="A3568" s="2" t="s">
        <v>59</v>
      </c>
      <c r="B3568" s="2" t="s">
        <v>60</v>
      </c>
      <c r="C3568" s="2" t="s">
        <v>35592</v>
      </c>
      <c r="D3568" s="2" t="s">
        <v>35593</v>
      </c>
      <c r="E3568" s="2" t="s">
        <v>35594</v>
      </c>
      <c r="G3568" s="3" t="s">
        <v>64</v>
      </c>
      <c r="I3568" s="3" t="s">
        <v>64</v>
      </c>
      <c r="J3568" s="3" t="s">
        <v>64</v>
      </c>
      <c r="K3568" s="3" t="s">
        <v>65</v>
      </c>
      <c r="M3568" s="2" t="s">
        <v>35595</v>
      </c>
      <c r="N3568" s="3" t="s">
        <v>86</v>
      </c>
      <c r="P3568" s="3" t="s">
        <v>102</v>
      </c>
      <c r="R3568" s="3" t="s">
        <v>70</v>
      </c>
      <c r="S3568" s="4">
        <v>0</v>
      </c>
      <c r="T3568" s="4">
        <v>0</v>
      </c>
      <c r="W3568" s="5" t="s">
        <v>72</v>
      </c>
      <c r="X3568" s="5" t="s">
        <v>72</v>
      </c>
      <c r="Y3568" s="4">
        <v>51</v>
      </c>
      <c r="Z3568" s="4">
        <v>3</v>
      </c>
      <c r="AA3568" s="4">
        <v>3</v>
      </c>
      <c r="AB3568" s="4">
        <v>1</v>
      </c>
      <c r="AC3568" s="4">
        <v>1</v>
      </c>
      <c r="AD3568" s="4">
        <v>20</v>
      </c>
      <c r="AE3568" s="4">
        <v>20</v>
      </c>
      <c r="AF3568" s="4">
        <v>0</v>
      </c>
      <c r="AG3568" s="4">
        <v>0</v>
      </c>
      <c r="AH3568" s="4">
        <v>19</v>
      </c>
      <c r="AI3568" s="4">
        <v>19</v>
      </c>
      <c r="AJ3568" s="4">
        <v>1</v>
      </c>
      <c r="AK3568" s="4">
        <v>1</v>
      </c>
      <c r="AL3568" s="4">
        <v>15</v>
      </c>
      <c r="AM3568" s="4">
        <v>15</v>
      </c>
      <c r="AN3568" s="4">
        <v>0</v>
      </c>
      <c r="AO3568" s="4">
        <v>0</v>
      </c>
      <c r="AP3568" s="4">
        <v>1</v>
      </c>
      <c r="AQ3568" s="4">
        <v>1</v>
      </c>
      <c r="AR3568" s="3" t="s">
        <v>64</v>
      </c>
      <c r="AS3568" s="3" t="s">
        <v>64</v>
      </c>
      <c r="AT3568" s="3" t="s">
        <v>64</v>
      </c>
      <c r="AV3568" s="6" t="str">
        <f>HYPERLINK("http://mcgill.on.worldcat.org/oclc/744301819","Catalog Record")</f>
        <v>Catalog Record</v>
      </c>
      <c r="AW3568" s="6" t="str">
        <f>HYPERLINK("http://www.worldcat.org/oclc/744301819","WorldCat Record")</f>
        <v>WorldCat Record</v>
      </c>
      <c r="AX3568" s="3" t="s">
        <v>35596</v>
      </c>
      <c r="AY3568" s="3" t="s">
        <v>35597</v>
      </c>
      <c r="AZ3568" s="3" t="s">
        <v>35598</v>
      </c>
      <c r="BA3568" s="3" t="s">
        <v>35598</v>
      </c>
      <c r="BB3568" s="3" t="s">
        <v>35599</v>
      </c>
      <c r="BC3568" s="3" t="s">
        <v>77</v>
      </c>
      <c r="BD3568" s="3" t="s">
        <v>78</v>
      </c>
      <c r="BE3568" s="3" t="s">
        <v>35600</v>
      </c>
      <c r="BF3568" s="3" t="s">
        <v>35599</v>
      </c>
      <c r="BG3568" s="3" t="s">
        <v>35601</v>
      </c>
      <c r="BH3568">
        <f t="shared" si="82"/>
        <v>0</v>
      </c>
    </row>
    <row r="3569" spans="1:60" ht="58" x14ac:dyDescent="0.35">
      <c r="A3569" s="2" t="s">
        <v>59</v>
      </c>
      <c r="B3569" s="2" t="s">
        <v>60</v>
      </c>
      <c r="C3569" s="2" t="s">
        <v>35602</v>
      </c>
      <c r="D3569" s="2" t="s">
        <v>35603</v>
      </c>
      <c r="E3569" s="2" t="s">
        <v>35604</v>
      </c>
      <c r="G3569" s="3" t="s">
        <v>128</v>
      </c>
      <c r="I3569" s="3" t="s">
        <v>64</v>
      </c>
      <c r="J3569" s="3" t="s">
        <v>64</v>
      </c>
      <c r="K3569" s="3" t="s">
        <v>65</v>
      </c>
      <c r="L3569" s="2" t="s">
        <v>35605</v>
      </c>
      <c r="M3569" s="2" t="s">
        <v>35606</v>
      </c>
      <c r="N3569" s="3" t="s">
        <v>364</v>
      </c>
      <c r="P3569" s="3" t="s">
        <v>102</v>
      </c>
      <c r="R3569" s="3" t="s">
        <v>70</v>
      </c>
      <c r="S3569" s="4">
        <v>3</v>
      </c>
      <c r="T3569" s="4">
        <v>3</v>
      </c>
      <c r="U3569" s="5" t="s">
        <v>35607</v>
      </c>
      <c r="V3569" s="5" t="s">
        <v>35607</v>
      </c>
      <c r="W3569" s="5" t="s">
        <v>72</v>
      </c>
      <c r="X3569" s="5" t="s">
        <v>72</v>
      </c>
      <c r="Y3569" s="4">
        <v>193</v>
      </c>
      <c r="Z3569" s="4">
        <v>18</v>
      </c>
      <c r="AA3569" s="4">
        <v>18</v>
      </c>
      <c r="AB3569" s="4">
        <v>1</v>
      </c>
      <c r="AC3569" s="4">
        <v>1</v>
      </c>
      <c r="AD3569" s="4">
        <v>71</v>
      </c>
      <c r="AE3569" s="4">
        <v>71</v>
      </c>
      <c r="AF3569" s="4">
        <v>0</v>
      </c>
      <c r="AG3569" s="4">
        <v>0</v>
      </c>
      <c r="AH3569" s="4">
        <v>62</v>
      </c>
      <c r="AI3569" s="4">
        <v>62</v>
      </c>
      <c r="AJ3569" s="4">
        <v>12</v>
      </c>
      <c r="AK3569" s="4">
        <v>12</v>
      </c>
      <c r="AL3569" s="4">
        <v>39</v>
      </c>
      <c r="AM3569" s="4">
        <v>39</v>
      </c>
      <c r="AN3569" s="4">
        <v>0</v>
      </c>
      <c r="AO3569" s="4">
        <v>0</v>
      </c>
      <c r="AP3569" s="4">
        <v>12</v>
      </c>
      <c r="AQ3569" s="4">
        <v>12</v>
      </c>
      <c r="AR3569" s="3" t="s">
        <v>64</v>
      </c>
      <c r="AS3569" s="3" t="s">
        <v>64</v>
      </c>
      <c r="AT3569" s="3" t="s">
        <v>128</v>
      </c>
      <c r="AU3569" s="6" t="str">
        <f>HYPERLINK("http://catalog.hathitrust.org/Record/000035628","HathiTrust Record")</f>
        <v>HathiTrust Record</v>
      </c>
      <c r="AV3569" s="6" t="str">
        <f>HYPERLINK("http://mcgill.on.worldcat.org/oclc/1047110","Catalog Record")</f>
        <v>Catalog Record</v>
      </c>
      <c r="AW3569" s="6" t="str">
        <f>HYPERLINK("http://www.worldcat.org/oclc/1047110","WorldCat Record")</f>
        <v>WorldCat Record</v>
      </c>
      <c r="AX3569" s="3" t="s">
        <v>35608</v>
      </c>
      <c r="AY3569" s="3" t="s">
        <v>35609</v>
      </c>
      <c r="AZ3569" s="3" t="s">
        <v>35610</v>
      </c>
      <c r="BA3569" s="3" t="s">
        <v>35610</v>
      </c>
      <c r="BB3569" s="3" t="s">
        <v>35611</v>
      </c>
      <c r="BC3569" s="3" t="s">
        <v>77</v>
      </c>
      <c r="BD3569" s="3" t="s">
        <v>78</v>
      </c>
      <c r="BE3569" s="3" t="s">
        <v>35612</v>
      </c>
      <c r="BF3569" s="3" t="s">
        <v>35611</v>
      </c>
      <c r="BG3569" s="3" t="s">
        <v>35613</v>
      </c>
      <c r="BH3569">
        <f t="shared" si="82"/>
        <v>0</v>
      </c>
    </row>
    <row r="3570" spans="1:60" ht="72.5" x14ac:dyDescent="0.35">
      <c r="A3570" s="2" t="s">
        <v>59</v>
      </c>
      <c r="B3570" s="2" t="s">
        <v>60</v>
      </c>
      <c r="C3570" s="2" t="s">
        <v>35614</v>
      </c>
      <c r="D3570" s="2" t="s">
        <v>35615</v>
      </c>
      <c r="E3570" s="2" t="s">
        <v>35616</v>
      </c>
      <c r="G3570" s="3" t="s">
        <v>64</v>
      </c>
      <c r="I3570" s="3" t="s">
        <v>64</v>
      </c>
      <c r="J3570" s="3" t="s">
        <v>64</v>
      </c>
      <c r="K3570" s="3" t="s">
        <v>65</v>
      </c>
      <c r="L3570" s="2" t="s">
        <v>35617</v>
      </c>
      <c r="M3570" s="2" t="s">
        <v>35618</v>
      </c>
      <c r="N3570" s="3" t="s">
        <v>253</v>
      </c>
      <c r="O3570" s="2" t="s">
        <v>13831</v>
      </c>
      <c r="P3570" s="3" t="s">
        <v>102</v>
      </c>
      <c r="R3570" s="3" t="s">
        <v>70</v>
      </c>
      <c r="S3570" s="4">
        <v>2</v>
      </c>
      <c r="T3570" s="4">
        <v>2</v>
      </c>
      <c r="U3570" s="5" t="s">
        <v>1102</v>
      </c>
      <c r="V3570" s="5" t="s">
        <v>1102</v>
      </c>
      <c r="W3570" s="5" t="s">
        <v>72</v>
      </c>
      <c r="X3570" s="5" t="s">
        <v>72</v>
      </c>
      <c r="Y3570" s="4">
        <v>800</v>
      </c>
      <c r="Z3570" s="4">
        <v>21</v>
      </c>
      <c r="AA3570" s="4">
        <v>26</v>
      </c>
      <c r="AB3570" s="4">
        <v>1</v>
      </c>
      <c r="AC3570" s="4">
        <v>4</v>
      </c>
      <c r="AD3570" s="4">
        <v>64</v>
      </c>
      <c r="AE3570" s="4">
        <v>67</v>
      </c>
      <c r="AF3570" s="4">
        <v>0</v>
      </c>
      <c r="AG3570" s="4">
        <v>0</v>
      </c>
      <c r="AH3570" s="4">
        <v>60</v>
      </c>
      <c r="AI3570" s="4">
        <v>63</v>
      </c>
      <c r="AJ3570" s="4">
        <v>5</v>
      </c>
      <c r="AK3570" s="4">
        <v>7</v>
      </c>
      <c r="AL3570" s="4">
        <v>40</v>
      </c>
      <c r="AM3570" s="4">
        <v>41</v>
      </c>
      <c r="AN3570" s="4">
        <v>0</v>
      </c>
      <c r="AO3570" s="4">
        <v>0</v>
      </c>
      <c r="AP3570" s="4">
        <v>5</v>
      </c>
      <c r="AQ3570" s="4">
        <v>7</v>
      </c>
      <c r="AR3570" s="3" t="s">
        <v>64</v>
      </c>
      <c r="AS3570" s="3" t="s">
        <v>64</v>
      </c>
      <c r="AT3570" s="3" t="s">
        <v>64</v>
      </c>
      <c r="AV3570" s="6" t="str">
        <f>HYPERLINK("http://mcgill.on.worldcat.org/oclc/883146710","Catalog Record")</f>
        <v>Catalog Record</v>
      </c>
      <c r="AW3570" s="6" t="str">
        <f>HYPERLINK("http://www.worldcat.org/oclc/883146710","WorldCat Record")</f>
        <v>WorldCat Record</v>
      </c>
      <c r="AX3570" s="3" t="s">
        <v>35619</v>
      </c>
      <c r="AY3570" s="3" t="s">
        <v>35620</v>
      </c>
      <c r="AZ3570" s="3" t="s">
        <v>35621</v>
      </c>
      <c r="BA3570" s="3" t="s">
        <v>35621</v>
      </c>
      <c r="BB3570" s="3" t="s">
        <v>35622</v>
      </c>
      <c r="BC3570" s="3" t="s">
        <v>77</v>
      </c>
      <c r="BD3570" s="3" t="s">
        <v>78</v>
      </c>
      <c r="BE3570" s="3" t="s">
        <v>35623</v>
      </c>
      <c r="BF3570" s="3" t="s">
        <v>35622</v>
      </c>
      <c r="BG3570" s="3" t="s">
        <v>35624</v>
      </c>
      <c r="BH3570">
        <f t="shared" si="82"/>
        <v>0</v>
      </c>
    </row>
    <row r="3571" spans="1:60" ht="58" x14ac:dyDescent="0.35">
      <c r="A3571" s="2" t="s">
        <v>59</v>
      </c>
      <c r="B3571" s="2" t="s">
        <v>60</v>
      </c>
      <c r="C3571" s="2" t="s">
        <v>35625</v>
      </c>
      <c r="D3571" s="2" t="s">
        <v>35626</v>
      </c>
      <c r="E3571" s="2" t="s">
        <v>35627</v>
      </c>
      <c r="G3571" s="3" t="s">
        <v>64</v>
      </c>
      <c r="I3571" s="3" t="s">
        <v>64</v>
      </c>
      <c r="J3571" s="3" t="s">
        <v>64</v>
      </c>
      <c r="K3571" s="3" t="s">
        <v>65</v>
      </c>
      <c r="L3571" s="2" t="s">
        <v>35628</v>
      </c>
      <c r="M3571" s="2" t="s">
        <v>35629</v>
      </c>
      <c r="N3571" s="3" t="s">
        <v>326</v>
      </c>
      <c r="P3571" s="3" t="s">
        <v>102</v>
      </c>
      <c r="R3571" s="3" t="s">
        <v>70</v>
      </c>
      <c r="S3571" s="4">
        <v>0</v>
      </c>
      <c r="T3571" s="4">
        <v>0</v>
      </c>
      <c r="W3571" s="5" t="s">
        <v>72</v>
      </c>
      <c r="X3571" s="5" t="s">
        <v>72</v>
      </c>
      <c r="Y3571" s="4">
        <v>46</v>
      </c>
      <c r="Z3571" s="4">
        <v>5</v>
      </c>
      <c r="AA3571" s="4">
        <v>5</v>
      </c>
      <c r="AB3571" s="4">
        <v>1</v>
      </c>
      <c r="AC3571" s="4">
        <v>1</v>
      </c>
      <c r="AD3571" s="4">
        <v>17</v>
      </c>
      <c r="AE3571" s="4">
        <v>17</v>
      </c>
      <c r="AF3571" s="4">
        <v>0</v>
      </c>
      <c r="AG3571" s="4">
        <v>0</v>
      </c>
      <c r="AH3571" s="4">
        <v>16</v>
      </c>
      <c r="AI3571" s="4">
        <v>16</v>
      </c>
      <c r="AJ3571" s="4">
        <v>3</v>
      </c>
      <c r="AK3571" s="4">
        <v>3</v>
      </c>
      <c r="AL3571" s="4">
        <v>9</v>
      </c>
      <c r="AM3571" s="4">
        <v>9</v>
      </c>
      <c r="AN3571" s="4">
        <v>0</v>
      </c>
      <c r="AO3571" s="4">
        <v>0</v>
      </c>
      <c r="AP3571" s="4">
        <v>3</v>
      </c>
      <c r="AQ3571" s="4">
        <v>3</v>
      </c>
      <c r="AR3571" s="3" t="s">
        <v>64</v>
      </c>
      <c r="AS3571" s="3" t="s">
        <v>64</v>
      </c>
      <c r="AT3571" s="3" t="s">
        <v>64</v>
      </c>
      <c r="AV3571" s="6" t="str">
        <f>HYPERLINK("http://mcgill.on.worldcat.org/oclc/779385301","Catalog Record")</f>
        <v>Catalog Record</v>
      </c>
      <c r="AW3571" s="6" t="str">
        <f>HYPERLINK("http://www.worldcat.org/oclc/779385301","WorldCat Record")</f>
        <v>WorldCat Record</v>
      </c>
      <c r="AX3571" s="3" t="s">
        <v>35630</v>
      </c>
      <c r="AY3571" s="3" t="s">
        <v>35631</v>
      </c>
      <c r="AZ3571" s="3" t="s">
        <v>35632</v>
      </c>
      <c r="BA3571" s="3" t="s">
        <v>35632</v>
      </c>
      <c r="BB3571" s="3" t="s">
        <v>35633</v>
      </c>
      <c r="BC3571" s="3" t="s">
        <v>77</v>
      </c>
      <c r="BD3571" s="3" t="s">
        <v>78</v>
      </c>
      <c r="BE3571" s="3" t="s">
        <v>35634</v>
      </c>
      <c r="BF3571" s="3" t="s">
        <v>35633</v>
      </c>
      <c r="BG3571" s="3" t="s">
        <v>35635</v>
      </c>
      <c r="BH3571">
        <f t="shared" si="82"/>
        <v>0</v>
      </c>
    </row>
    <row r="3572" spans="1:60" ht="58" x14ac:dyDescent="0.35">
      <c r="A3572" s="2" t="s">
        <v>59</v>
      </c>
      <c r="B3572" s="2" t="s">
        <v>60</v>
      </c>
      <c r="C3572" s="2" t="s">
        <v>35636</v>
      </c>
      <c r="D3572" s="2" t="s">
        <v>35637</v>
      </c>
      <c r="E3572" s="2" t="s">
        <v>35638</v>
      </c>
      <c r="G3572" s="3" t="s">
        <v>64</v>
      </c>
      <c r="I3572" s="3" t="s">
        <v>64</v>
      </c>
      <c r="J3572" s="3" t="s">
        <v>64</v>
      </c>
      <c r="K3572" s="3" t="s">
        <v>65</v>
      </c>
      <c r="L3572" s="2" t="s">
        <v>35639</v>
      </c>
      <c r="M3572" s="2" t="s">
        <v>35640</v>
      </c>
      <c r="N3572" s="3" t="s">
        <v>253</v>
      </c>
      <c r="P3572" s="3" t="s">
        <v>68</v>
      </c>
      <c r="Q3572" s="2" t="s">
        <v>35641</v>
      </c>
      <c r="R3572" s="3" t="s">
        <v>70</v>
      </c>
      <c r="S3572" s="4">
        <v>0</v>
      </c>
      <c r="T3572" s="4">
        <v>0</v>
      </c>
      <c r="W3572" s="5" t="s">
        <v>72</v>
      </c>
      <c r="X3572" s="5" t="s">
        <v>72</v>
      </c>
      <c r="Y3572" s="4">
        <v>35</v>
      </c>
      <c r="Z3572" s="4">
        <v>4</v>
      </c>
      <c r="AA3572" s="4">
        <v>6</v>
      </c>
      <c r="AB3572" s="4">
        <v>1</v>
      </c>
      <c r="AC3572" s="4">
        <v>2</v>
      </c>
      <c r="AD3572" s="4">
        <v>24</v>
      </c>
      <c r="AE3572" s="4">
        <v>26</v>
      </c>
      <c r="AF3572" s="4">
        <v>0</v>
      </c>
      <c r="AG3572" s="4">
        <v>1</v>
      </c>
      <c r="AH3572" s="4">
        <v>23</v>
      </c>
      <c r="AI3572" s="4">
        <v>24</v>
      </c>
      <c r="AJ3572" s="4">
        <v>2</v>
      </c>
      <c r="AK3572" s="4">
        <v>4</v>
      </c>
      <c r="AL3572" s="4">
        <v>18</v>
      </c>
      <c r="AM3572" s="4">
        <v>18</v>
      </c>
      <c r="AN3572" s="4">
        <v>0</v>
      </c>
      <c r="AO3572" s="4">
        <v>0</v>
      </c>
      <c r="AP3572" s="4">
        <v>2</v>
      </c>
      <c r="AQ3572" s="4">
        <v>4</v>
      </c>
      <c r="AR3572" s="3" t="s">
        <v>64</v>
      </c>
      <c r="AS3572" s="3" t="s">
        <v>64</v>
      </c>
      <c r="AT3572" s="3" t="s">
        <v>64</v>
      </c>
      <c r="AV3572" s="6" t="str">
        <f>HYPERLINK("http://mcgill.on.worldcat.org/oclc/922305741","Catalog Record")</f>
        <v>Catalog Record</v>
      </c>
      <c r="AW3572" s="6" t="str">
        <f>HYPERLINK("http://www.worldcat.org/oclc/922305741","WorldCat Record")</f>
        <v>WorldCat Record</v>
      </c>
      <c r="AX3572" s="3" t="s">
        <v>35642</v>
      </c>
      <c r="AY3572" s="3" t="s">
        <v>35643</v>
      </c>
      <c r="AZ3572" s="3" t="s">
        <v>35644</v>
      </c>
      <c r="BA3572" s="3" t="s">
        <v>35644</v>
      </c>
      <c r="BB3572" s="3" t="s">
        <v>35645</v>
      </c>
      <c r="BC3572" s="3" t="s">
        <v>77</v>
      </c>
      <c r="BD3572" s="3" t="s">
        <v>78</v>
      </c>
      <c r="BE3572" s="3" t="s">
        <v>35646</v>
      </c>
      <c r="BF3572" s="3" t="s">
        <v>35645</v>
      </c>
      <c r="BG3572" s="3" t="s">
        <v>35647</v>
      </c>
      <c r="BH3572">
        <f t="shared" si="82"/>
        <v>0</v>
      </c>
    </row>
    <row r="3573" spans="1:60" ht="58" x14ac:dyDescent="0.35">
      <c r="A3573" s="2" t="s">
        <v>59</v>
      </c>
      <c r="B3573" s="2" t="s">
        <v>60</v>
      </c>
      <c r="C3573" s="2" t="s">
        <v>35648</v>
      </c>
      <c r="D3573" s="2" t="s">
        <v>35649</v>
      </c>
      <c r="E3573" s="2" t="s">
        <v>35650</v>
      </c>
      <c r="G3573" s="3" t="s">
        <v>64</v>
      </c>
      <c r="I3573" s="3" t="s">
        <v>64</v>
      </c>
      <c r="J3573" s="3" t="s">
        <v>64</v>
      </c>
      <c r="K3573" s="3" t="s">
        <v>65</v>
      </c>
      <c r="L3573" s="2" t="s">
        <v>35651</v>
      </c>
      <c r="M3573" s="2" t="s">
        <v>35652</v>
      </c>
      <c r="N3573" s="3" t="s">
        <v>7800</v>
      </c>
      <c r="P3573" s="3" t="s">
        <v>102</v>
      </c>
      <c r="R3573" s="3" t="s">
        <v>70</v>
      </c>
      <c r="S3573" s="4">
        <v>15</v>
      </c>
      <c r="T3573" s="4">
        <v>15</v>
      </c>
      <c r="U3573" s="5" t="s">
        <v>118</v>
      </c>
      <c r="V3573" s="5" t="s">
        <v>118</v>
      </c>
      <c r="W3573" s="5" t="s">
        <v>72</v>
      </c>
      <c r="X3573" s="5" t="s">
        <v>72</v>
      </c>
      <c r="Y3573" s="4">
        <v>184</v>
      </c>
      <c r="Z3573" s="4">
        <v>18</v>
      </c>
      <c r="AA3573" s="4">
        <v>29</v>
      </c>
      <c r="AB3573" s="4">
        <v>1</v>
      </c>
      <c r="AC3573" s="4">
        <v>3</v>
      </c>
      <c r="AD3573" s="4">
        <v>66</v>
      </c>
      <c r="AE3573" s="4">
        <v>112</v>
      </c>
      <c r="AF3573" s="4">
        <v>0</v>
      </c>
      <c r="AG3573" s="4">
        <v>1</v>
      </c>
      <c r="AH3573" s="4">
        <v>58</v>
      </c>
      <c r="AI3573" s="4">
        <v>96</v>
      </c>
      <c r="AJ3573" s="4">
        <v>12</v>
      </c>
      <c r="AK3573" s="4">
        <v>18</v>
      </c>
      <c r="AL3573" s="4">
        <v>38</v>
      </c>
      <c r="AM3573" s="4">
        <v>51</v>
      </c>
      <c r="AN3573" s="4">
        <v>0</v>
      </c>
      <c r="AO3573" s="4">
        <v>0</v>
      </c>
      <c r="AP3573" s="4">
        <v>13</v>
      </c>
      <c r="AQ3573" s="4">
        <v>21</v>
      </c>
      <c r="AR3573" s="3" t="s">
        <v>64</v>
      </c>
      <c r="AS3573" s="3" t="s">
        <v>64</v>
      </c>
      <c r="AT3573" s="3" t="s">
        <v>128</v>
      </c>
      <c r="AU3573" s="6" t="str">
        <f>HYPERLINK("http://catalog.hathitrust.org/Record/001166075","HathiTrust Record")</f>
        <v>HathiTrust Record</v>
      </c>
      <c r="AV3573" s="6" t="str">
        <f>HYPERLINK("http://mcgill.on.worldcat.org/oclc/2322423","Catalog Record")</f>
        <v>Catalog Record</v>
      </c>
      <c r="AW3573" s="6" t="str">
        <f>HYPERLINK("http://www.worldcat.org/oclc/2322423","WorldCat Record")</f>
        <v>WorldCat Record</v>
      </c>
      <c r="AX3573" s="3" t="s">
        <v>35653</v>
      </c>
      <c r="AY3573" s="3" t="s">
        <v>35654</v>
      </c>
      <c r="AZ3573" s="3" t="s">
        <v>35655</v>
      </c>
      <c r="BA3573" s="3" t="s">
        <v>35655</v>
      </c>
      <c r="BB3573" s="3" t="s">
        <v>35656</v>
      </c>
      <c r="BC3573" s="3" t="s">
        <v>77</v>
      </c>
      <c r="BD3573" s="3" t="s">
        <v>78</v>
      </c>
      <c r="BF3573" s="3" t="s">
        <v>35656</v>
      </c>
      <c r="BG3573" s="3" t="s">
        <v>35657</v>
      </c>
      <c r="BH3573">
        <f t="shared" si="82"/>
        <v>0</v>
      </c>
    </row>
    <row r="3574" spans="1:60" ht="58" x14ac:dyDescent="0.35">
      <c r="A3574" s="2" t="s">
        <v>59</v>
      </c>
      <c r="B3574" s="2" t="s">
        <v>60</v>
      </c>
      <c r="C3574" s="2" t="s">
        <v>35658</v>
      </c>
      <c r="D3574" s="2" t="s">
        <v>35659</v>
      </c>
      <c r="E3574" s="2" t="s">
        <v>35660</v>
      </c>
      <c r="G3574" s="3" t="s">
        <v>64</v>
      </c>
      <c r="I3574" s="3" t="s">
        <v>64</v>
      </c>
      <c r="J3574" s="3" t="s">
        <v>64</v>
      </c>
      <c r="K3574" s="3" t="s">
        <v>65</v>
      </c>
      <c r="L3574" s="2" t="s">
        <v>35661</v>
      </c>
      <c r="M3574" s="2" t="s">
        <v>35662</v>
      </c>
      <c r="N3574" s="3" t="s">
        <v>5986</v>
      </c>
      <c r="O3574" s="2" t="s">
        <v>117</v>
      </c>
      <c r="P3574" s="3" t="s">
        <v>102</v>
      </c>
      <c r="R3574" s="3" t="s">
        <v>70</v>
      </c>
      <c r="S3574" s="4">
        <v>9</v>
      </c>
      <c r="T3574" s="4">
        <v>9</v>
      </c>
      <c r="U3574" s="5" t="s">
        <v>118</v>
      </c>
      <c r="V3574" s="5" t="s">
        <v>118</v>
      </c>
      <c r="W3574" s="5" t="s">
        <v>72</v>
      </c>
      <c r="X3574" s="5" t="s">
        <v>72</v>
      </c>
      <c r="Y3574" s="4">
        <v>146</v>
      </c>
      <c r="Z3574" s="4">
        <v>11</v>
      </c>
      <c r="AA3574" s="4">
        <v>11</v>
      </c>
      <c r="AB3574" s="4">
        <v>2</v>
      </c>
      <c r="AC3574" s="4">
        <v>2</v>
      </c>
      <c r="AD3574" s="4">
        <v>67</v>
      </c>
      <c r="AE3574" s="4">
        <v>67</v>
      </c>
      <c r="AF3574" s="4">
        <v>1</v>
      </c>
      <c r="AG3574" s="4">
        <v>1</v>
      </c>
      <c r="AH3574" s="4">
        <v>61</v>
      </c>
      <c r="AI3574" s="4">
        <v>61</v>
      </c>
      <c r="AJ3574" s="4">
        <v>7</v>
      </c>
      <c r="AK3574" s="4">
        <v>7</v>
      </c>
      <c r="AL3574" s="4">
        <v>41</v>
      </c>
      <c r="AM3574" s="4">
        <v>41</v>
      </c>
      <c r="AN3574" s="4">
        <v>0</v>
      </c>
      <c r="AO3574" s="4">
        <v>0</v>
      </c>
      <c r="AP3574" s="4">
        <v>7</v>
      </c>
      <c r="AQ3574" s="4">
        <v>7</v>
      </c>
      <c r="AR3574" s="3" t="s">
        <v>64</v>
      </c>
      <c r="AS3574" s="3" t="s">
        <v>64</v>
      </c>
      <c r="AT3574" s="3" t="s">
        <v>128</v>
      </c>
      <c r="AU3574" s="6" t="str">
        <f>HYPERLINK("http://catalog.hathitrust.org/Record/001166076","HathiTrust Record")</f>
        <v>HathiTrust Record</v>
      </c>
      <c r="AV3574" s="6" t="str">
        <f>HYPERLINK("http://mcgill.on.worldcat.org/oclc/509658","Catalog Record")</f>
        <v>Catalog Record</v>
      </c>
      <c r="AW3574" s="6" t="str">
        <f>HYPERLINK("http://www.worldcat.org/oclc/509658","WorldCat Record")</f>
        <v>WorldCat Record</v>
      </c>
      <c r="AX3574" s="3" t="s">
        <v>35663</v>
      </c>
      <c r="AY3574" s="3" t="s">
        <v>35664</v>
      </c>
      <c r="AZ3574" s="3" t="s">
        <v>35665</v>
      </c>
      <c r="BA3574" s="3" t="s">
        <v>35665</v>
      </c>
      <c r="BB3574" s="3" t="s">
        <v>35666</v>
      </c>
      <c r="BC3574" s="3" t="s">
        <v>77</v>
      </c>
      <c r="BD3574" s="3" t="s">
        <v>78</v>
      </c>
      <c r="BF3574" s="3" t="s">
        <v>35666</v>
      </c>
      <c r="BG3574" s="3" t="s">
        <v>35667</v>
      </c>
      <c r="BH3574">
        <f t="shared" si="82"/>
        <v>0</v>
      </c>
    </row>
    <row r="3575" spans="1:60" ht="58" x14ac:dyDescent="0.35">
      <c r="A3575" s="2" t="s">
        <v>59</v>
      </c>
      <c r="B3575" s="2" t="s">
        <v>60</v>
      </c>
      <c r="C3575" s="2" t="s">
        <v>35670</v>
      </c>
      <c r="D3575" s="2" t="s">
        <v>35671</v>
      </c>
      <c r="E3575" s="2" t="s">
        <v>35672</v>
      </c>
      <c r="G3575" s="3" t="s">
        <v>64</v>
      </c>
      <c r="I3575" s="3" t="s">
        <v>64</v>
      </c>
      <c r="J3575" s="3" t="s">
        <v>128</v>
      </c>
      <c r="K3575" s="3" t="s">
        <v>65</v>
      </c>
      <c r="L3575" s="2" t="s">
        <v>35673</v>
      </c>
      <c r="M3575" s="2" t="s">
        <v>35674</v>
      </c>
      <c r="N3575" s="3" t="s">
        <v>5986</v>
      </c>
      <c r="P3575" s="3" t="s">
        <v>102</v>
      </c>
      <c r="Q3575" s="2" t="s">
        <v>35675</v>
      </c>
      <c r="R3575" s="3" t="s">
        <v>70</v>
      </c>
      <c r="S3575" s="4">
        <v>11</v>
      </c>
      <c r="T3575" s="4">
        <v>11</v>
      </c>
      <c r="U3575" s="5" t="s">
        <v>5624</v>
      </c>
      <c r="V3575" s="5" t="s">
        <v>5624</v>
      </c>
      <c r="W3575" s="5" t="s">
        <v>72</v>
      </c>
      <c r="X3575" s="5" t="s">
        <v>72</v>
      </c>
      <c r="Y3575" s="4">
        <v>328</v>
      </c>
      <c r="Z3575" s="4">
        <v>22</v>
      </c>
      <c r="AA3575" s="4">
        <v>131</v>
      </c>
      <c r="AB3575" s="4">
        <v>1</v>
      </c>
      <c r="AC3575" s="4">
        <v>18</v>
      </c>
      <c r="AD3575" s="4">
        <v>73</v>
      </c>
      <c r="AE3575" s="4">
        <v>158</v>
      </c>
      <c r="AF3575" s="4">
        <v>0</v>
      </c>
      <c r="AG3575" s="4">
        <v>6</v>
      </c>
      <c r="AH3575" s="4">
        <v>57</v>
      </c>
      <c r="AI3575" s="4">
        <v>115</v>
      </c>
      <c r="AJ3575" s="4">
        <v>12</v>
      </c>
      <c r="AK3575" s="4">
        <v>28</v>
      </c>
      <c r="AL3575" s="4">
        <v>29</v>
      </c>
      <c r="AM3575" s="4">
        <v>62</v>
      </c>
      <c r="AN3575" s="4">
        <v>0</v>
      </c>
      <c r="AO3575" s="4">
        <v>5</v>
      </c>
      <c r="AP3575" s="4">
        <v>18</v>
      </c>
      <c r="AQ3575" s="4">
        <v>49</v>
      </c>
      <c r="AR3575" s="3" t="s">
        <v>64</v>
      </c>
      <c r="AS3575" s="3" t="s">
        <v>64</v>
      </c>
      <c r="AT3575" s="3" t="s">
        <v>128</v>
      </c>
      <c r="AU3575" s="6" t="str">
        <f>HYPERLINK("http://catalog.hathitrust.org/Record/001166091","HathiTrust Record")</f>
        <v>HathiTrust Record</v>
      </c>
      <c r="AV3575" s="6" t="str">
        <f>HYPERLINK("http://mcgill.on.worldcat.org/oclc/172245","Catalog Record")</f>
        <v>Catalog Record</v>
      </c>
      <c r="AW3575" s="6" t="str">
        <f>HYPERLINK("http://www.worldcat.org/oclc/172245","WorldCat Record")</f>
        <v>WorldCat Record</v>
      </c>
      <c r="AX3575" s="3" t="s">
        <v>35676</v>
      </c>
      <c r="AY3575" s="3" t="s">
        <v>35677</v>
      </c>
      <c r="AZ3575" s="3" t="s">
        <v>35678</v>
      </c>
      <c r="BA3575" s="3" t="s">
        <v>35678</v>
      </c>
      <c r="BB3575" s="3" t="s">
        <v>35679</v>
      </c>
      <c r="BC3575" s="3" t="s">
        <v>77</v>
      </c>
      <c r="BD3575" s="3" t="s">
        <v>165</v>
      </c>
      <c r="BF3575" s="3" t="s">
        <v>35679</v>
      </c>
      <c r="BG3575" s="3" t="s">
        <v>35680</v>
      </c>
      <c r="BH3575">
        <f t="shared" si="82"/>
        <v>0</v>
      </c>
    </row>
    <row r="3576" spans="1:60" ht="58" x14ac:dyDescent="0.35">
      <c r="A3576" s="2" t="s">
        <v>59</v>
      </c>
      <c r="B3576" s="2" t="s">
        <v>60</v>
      </c>
      <c r="C3576" s="2" t="s">
        <v>35681</v>
      </c>
      <c r="D3576" s="2" t="s">
        <v>35682</v>
      </c>
      <c r="E3576" s="2" t="s">
        <v>35683</v>
      </c>
      <c r="G3576" s="3" t="s">
        <v>64</v>
      </c>
      <c r="I3576" s="3" t="s">
        <v>64</v>
      </c>
      <c r="J3576" s="3" t="s">
        <v>128</v>
      </c>
      <c r="K3576" s="3" t="s">
        <v>65</v>
      </c>
      <c r="L3576" s="2" t="s">
        <v>35684</v>
      </c>
      <c r="M3576" s="2" t="s">
        <v>7991</v>
      </c>
      <c r="N3576" s="3" t="s">
        <v>7992</v>
      </c>
      <c r="P3576" s="3" t="s">
        <v>102</v>
      </c>
      <c r="R3576" s="3" t="s">
        <v>70</v>
      </c>
      <c r="S3576" s="4">
        <v>1</v>
      </c>
      <c r="T3576" s="4">
        <v>1</v>
      </c>
      <c r="U3576" s="5" t="s">
        <v>35685</v>
      </c>
      <c r="V3576" s="5" t="s">
        <v>35685</v>
      </c>
      <c r="W3576" s="5" t="s">
        <v>72</v>
      </c>
      <c r="X3576" s="5" t="s">
        <v>72</v>
      </c>
      <c r="Y3576" s="4">
        <v>1</v>
      </c>
      <c r="Z3576" s="4">
        <v>1</v>
      </c>
      <c r="AA3576" s="4">
        <v>27</v>
      </c>
      <c r="AB3576" s="4">
        <v>1</v>
      </c>
      <c r="AC3576" s="4">
        <v>3</v>
      </c>
      <c r="AD3576" s="4">
        <v>0</v>
      </c>
      <c r="AE3576" s="4">
        <v>103</v>
      </c>
      <c r="AF3576" s="4">
        <v>0</v>
      </c>
      <c r="AG3576" s="4">
        <v>0</v>
      </c>
      <c r="AH3576" s="4">
        <v>0</v>
      </c>
      <c r="AI3576" s="4">
        <v>87</v>
      </c>
      <c r="AJ3576" s="4">
        <v>0</v>
      </c>
      <c r="AK3576" s="4">
        <v>16</v>
      </c>
      <c r="AL3576" s="4">
        <v>0</v>
      </c>
      <c r="AM3576" s="4">
        <v>56</v>
      </c>
      <c r="AN3576" s="4">
        <v>0</v>
      </c>
      <c r="AO3576" s="4">
        <v>0</v>
      </c>
      <c r="AP3576" s="4">
        <v>0</v>
      </c>
      <c r="AQ3576" s="4">
        <v>19</v>
      </c>
      <c r="AR3576" s="3" t="s">
        <v>64</v>
      </c>
      <c r="AS3576" s="3" t="s">
        <v>64</v>
      </c>
      <c r="AT3576" s="3" t="s">
        <v>64</v>
      </c>
      <c r="AV3576" s="6" t="str">
        <f>HYPERLINK("http://mcgill.on.worldcat.org/oclc/427209964","Catalog Record")</f>
        <v>Catalog Record</v>
      </c>
      <c r="AW3576" s="6" t="str">
        <f>HYPERLINK("http://www.worldcat.org/oclc/427209964","WorldCat Record")</f>
        <v>WorldCat Record</v>
      </c>
      <c r="AX3576" s="3" t="s">
        <v>35686</v>
      </c>
      <c r="AY3576" s="3" t="s">
        <v>35687</v>
      </c>
      <c r="AZ3576" s="3" t="s">
        <v>35688</v>
      </c>
      <c r="BA3576" s="3" t="s">
        <v>35688</v>
      </c>
      <c r="BB3576" s="3" t="s">
        <v>35689</v>
      </c>
      <c r="BC3576" s="3" t="s">
        <v>77</v>
      </c>
      <c r="BD3576" s="3" t="s">
        <v>78</v>
      </c>
      <c r="BF3576" s="3" t="s">
        <v>35689</v>
      </c>
      <c r="BG3576" s="3" t="s">
        <v>35690</v>
      </c>
      <c r="BH3576">
        <f t="shared" si="82"/>
        <v>0</v>
      </c>
    </row>
    <row r="3577" spans="1:60" ht="58" x14ac:dyDescent="0.35">
      <c r="A3577" s="2" t="s">
        <v>59</v>
      </c>
      <c r="B3577" s="2" t="s">
        <v>60</v>
      </c>
      <c r="C3577" s="2" t="s">
        <v>35691</v>
      </c>
      <c r="D3577" s="2" t="s">
        <v>35692</v>
      </c>
      <c r="E3577" s="2" t="s">
        <v>35693</v>
      </c>
      <c r="G3577" s="3" t="s">
        <v>64</v>
      </c>
      <c r="I3577" s="3" t="s">
        <v>64</v>
      </c>
      <c r="J3577" s="3" t="s">
        <v>128</v>
      </c>
      <c r="K3577" s="3" t="s">
        <v>65</v>
      </c>
      <c r="L3577" s="2" t="s">
        <v>35694</v>
      </c>
      <c r="M3577" s="2" t="s">
        <v>35695</v>
      </c>
      <c r="N3577" s="3" t="s">
        <v>35668</v>
      </c>
      <c r="P3577" s="3" t="s">
        <v>102</v>
      </c>
      <c r="R3577" s="3" t="s">
        <v>70</v>
      </c>
      <c r="S3577" s="4">
        <v>18</v>
      </c>
      <c r="T3577" s="4">
        <v>18</v>
      </c>
      <c r="U3577" s="5" t="s">
        <v>118</v>
      </c>
      <c r="V3577" s="5" t="s">
        <v>118</v>
      </c>
      <c r="W3577" s="5" t="s">
        <v>72</v>
      </c>
      <c r="X3577" s="5" t="s">
        <v>72</v>
      </c>
      <c r="Y3577" s="4">
        <v>6</v>
      </c>
      <c r="Z3577" s="4">
        <v>4</v>
      </c>
      <c r="AA3577" s="4">
        <v>47</v>
      </c>
      <c r="AB3577" s="4">
        <v>1</v>
      </c>
      <c r="AC3577" s="4">
        <v>5</v>
      </c>
      <c r="AD3577" s="4">
        <v>3</v>
      </c>
      <c r="AE3577" s="4">
        <v>137</v>
      </c>
      <c r="AF3577" s="4">
        <v>0</v>
      </c>
      <c r="AG3577" s="4">
        <v>3</v>
      </c>
      <c r="AH3577" s="4">
        <v>3</v>
      </c>
      <c r="AI3577" s="4">
        <v>109</v>
      </c>
      <c r="AJ3577" s="4">
        <v>2</v>
      </c>
      <c r="AK3577" s="4">
        <v>22</v>
      </c>
      <c r="AL3577" s="4">
        <v>0</v>
      </c>
      <c r="AM3577" s="4">
        <v>57</v>
      </c>
      <c r="AN3577" s="4">
        <v>0</v>
      </c>
      <c r="AO3577" s="4">
        <v>0</v>
      </c>
      <c r="AP3577" s="4">
        <v>3</v>
      </c>
      <c r="AQ3577" s="4">
        <v>32</v>
      </c>
      <c r="AR3577" s="3" t="s">
        <v>64</v>
      </c>
      <c r="AS3577" s="3" t="s">
        <v>64</v>
      </c>
      <c r="AT3577" s="3" t="s">
        <v>64</v>
      </c>
      <c r="AV3577" s="6" t="str">
        <f>HYPERLINK("http://mcgill.on.worldcat.org/oclc/427210010","Catalog Record")</f>
        <v>Catalog Record</v>
      </c>
      <c r="AW3577" s="6" t="str">
        <f>HYPERLINK("http://www.worldcat.org/oclc/427210010","WorldCat Record")</f>
        <v>WorldCat Record</v>
      </c>
      <c r="AX3577" s="3" t="s">
        <v>35696</v>
      </c>
      <c r="AY3577" s="3" t="s">
        <v>35697</v>
      </c>
      <c r="AZ3577" s="3" t="s">
        <v>35698</v>
      </c>
      <c r="BA3577" s="3" t="s">
        <v>35698</v>
      </c>
      <c r="BB3577" s="3" t="s">
        <v>35699</v>
      </c>
      <c r="BC3577" s="3" t="s">
        <v>77</v>
      </c>
      <c r="BD3577" s="3" t="s">
        <v>78</v>
      </c>
      <c r="BF3577" s="3" t="s">
        <v>35699</v>
      </c>
      <c r="BG3577" s="3" t="s">
        <v>35700</v>
      </c>
      <c r="BH3577">
        <f t="shared" si="82"/>
        <v>0</v>
      </c>
    </row>
    <row r="3578" spans="1:60" ht="58" x14ac:dyDescent="0.35">
      <c r="A3578" s="2" t="s">
        <v>59</v>
      </c>
      <c r="B3578" s="2" t="s">
        <v>60</v>
      </c>
      <c r="C3578" s="2" t="s">
        <v>35701</v>
      </c>
      <c r="D3578" s="2" t="s">
        <v>35702</v>
      </c>
      <c r="E3578" s="2" t="s">
        <v>35703</v>
      </c>
      <c r="G3578" s="3" t="s">
        <v>64</v>
      </c>
      <c r="I3578" s="3" t="s">
        <v>64</v>
      </c>
      <c r="J3578" s="3" t="s">
        <v>128</v>
      </c>
      <c r="K3578" s="3" t="s">
        <v>65</v>
      </c>
      <c r="L3578" s="2" t="s">
        <v>35704</v>
      </c>
      <c r="M3578" s="2" t="s">
        <v>35705</v>
      </c>
      <c r="N3578" s="3" t="s">
        <v>35706</v>
      </c>
      <c r="P3578" s="3" t="s">
        <v>102</v>
      </c>
      <c r="Q3578" s="2" t="s">
        <v>35707</v>
      </c>
      <c r="R3578" s="3" t="s">
        <v>70</v>
      </c>
      <c r="S3578" s="4">
        <v>9</v>
      </c>
      <c r="T3578" s="4">
        <v>9</v>
      </c>
      <c r="U3578" s="5" t="s">
        <v>24311</v>
      </c>
      <c r="V3578" s="5" t="s">
        <v>24311</v>
      </c>
      <c r="W3578" s="5" t="s">
        <v>72</v>
      </c>
      <c r="X3578" s="5" t="s">
        <v>72</v>
      </c>
      <c r="Y3578" s="4">
        <v>153</v>
      </c>
      <c r="Z3578" s="4">
        <v>9</v>
      </c>
      <c r="AA3578" s="4">
        <v>129</v>
      </c>
      <c r="AB3578" s="4">
        <v>1</v>
      </c>
      <c r="AC3578" s="4">
        <v>20</v>
      </c>
      <c r="AD3578" s="4">
        <v>57</v>
      </c>
      <c r="AE3578" s="4">
        <v>150</v>
      </c>
      <c r="AF3578" s="4">
        <v>0</v>
      </c>
      <c r="AG3578" s="4">
        <v>8</v>
      </c>
      <c r="AH3578" s="4">
        <v>51</v>
      </c>
      <c r="AI3578" s="4">
        <v>110</v>
      </c>
      <c r="AJ3578" s="4">
        <v>7</v>
      </c>
      <c r="AK3578" s="4">
        <v>27</v>
      </c>
      <c r="AL3578" s="4">
        <v>33</v>
      </c>
      <c r="AM3578" s="4">
        <v>59</v>
      </c>
      <c r="AN3578" s="4">
        <v>0</v>
      </c>
      <c r="AO3578" s="4">
        <v>0</v>
      </c>
      <c r="AP3578" s="4">
        <v>6</v>
      </c>
      <c r="AQ3578" s="4">
        <v>47</v>
      </c>
      <c r="AR3578" s="3" t="s">
        <v>64</v>
      </c>
      <c r="AS3578" s="3" t="s">
        <v>128</v>
      </c>
      <c r="AT3578" s="3" t="s">
        <v>64</v>
      </c>
      <c r="AU3578" s="6" t="str">
        <f>HYPERLINK("http://catalog.hathitrust.org/Record/001761739","HathiTrust Record")</f>
        <v>HathiTrust Record</v>
      </c>
      <c r="AV3578" s="6" t="str">
        <f>HYPERLINK("http://mcgill.on.worldcat.org/oclc/1276000","Catalog Record")</f>
        <v>Catalog Record</v>
      </c>
      <c r="AW3578" s="6" t="str">
        <f>HYPERLINK("http://www.worldcat.org/oclc/1276000","WorldCat Record")</f>
        <v>WorldCat Record</v>
      </c>
      <c r="AX3578" s="3" t="s">
        <v>35708</v>
      </c>
      <c r="AY3578" s="3" t="s">
        <v>35709</v>
      </c>
      <c r="AZ3578" s="3" t="s">
        <v>35710</v>
      </c>
      <c r="BA3578" s="3" t="s">
        <v>35710</v>
      </c>
      <c r="BB3578" s="3" t="s">
        <v>35711</v>
      </c>
      <c r="BC3578" s="3" t="s">
        <v>77</v>
      </c>
      <c r="BD3578" s="3" t="s">
        <v>78</v>
      </c>
      <c r="BF3578" s="3" t="s">
        <v>35711</v>
      </c>
      <c r="BG3578" s="3" t="s">
        <v>35712</v>
      </c>
      <c r="BH3578">
        <f t="shared" si="82"/>
        <v>0</v>
      </c>
    </row>
    <row r="3579" spans="1:60" ht="58" x14ac:dyDescent="0.35">
      <c r="A3579" s="2" t="s">
        <v>59</v>
      </c>
      <c r="B3579" s="2" t="s">
        <v>60</v>
      </c>
      <c r="C3579" s="2" t="s">
        <v>35713</v>
      </c>
      <c r="D3579" s="2" t="s">
        <v>35714</v>
      </c>
      <c r="E3579" s="2" t="s">
        <v>35715</v>
      </c>
      <c r="G3579" s="3" t="s">
        <v>64</v>
      </c>
      <c r="I3579" s="3" t="s">
        <v>64</v>
      </c>
      <c r="J3579" s="3" t="s">
        <v>64</v>
      </c>
      <c r="K3579" s="3" t="s">
        <v>65</v>
      </c>
      <c r="L3579" s="2" t="s">
        <v>35716</v>
      </c>
      <c r="M3579" s="2" t="s">
        <v>35717</v>
      </c>
      <c r="N3579" s="3" t="s">
        <v>35718</v>
      </c>
      <c r="P3579" s="3" t="s">
        <v>102</v>
      </c>
      <c r="R3579" s="3" t="s">
        <v>70</v>
      </c>
      <c r="S3579" s="4">
        <v>4</v>
      </c>
      <c r="T3579" s="4">
        <v>4</v>
      </c>
      <c r="U3579" s="5" t="s">
        <v>8617</v>
      </c>
      <c r="V3579" s="5" t="s">
        <v>8617</v>
      </c>
      <c r="W3579" s="5" t="s">
        <v>72</v>
      </c>
      <c r="X3579" s="5" t="s">
        <v>72</v>
      </c>
      <c r="Y3579" s="4">
        <v>138</v>
      </c>
      <c r="Z3579" s="4">
        <v>6</v>
      </c>
      <c r="AA3579" s="4">
        <v>12</v>
      </c>
      <c r="AB3579" s="4">
        <v>2</v>
      </c>
      <c r="AC3579" s="4">
        <v>3</v>
      </c>
      <c r="AD3579" s="4">
        <v>51</v>
      </c>
      <c r="AE3579" s="4">
        <v>58</v>
      </c>
      <c r="AF3579" s="4">
        <v>0</v>
      </c>
      <c r="AG3579" s="4">
        <v>0</v>
      </c>
      <c r="AH3579" s="4">
        <v>47</v>
      </c>
      <c r="AI3579" s="4">
        <v>54</v>
      </c>
      <c r="AJ3579" s="4">
        <v>3</v>
      </c>
      <c r="AK3579" s="4">
        <v>6</v>
      </c>
      <c r="AL3579" s="4">
        <v>32</v>
      </c>
      <c r="AM3579" s="4">
        <v>36</v>
      </c>
      <c r="AN3579" s="4">
        <v>0</v>
      </c>
      <c r="AO3579" s="4">
        <v>0</v>
      </c>
      <c r="AP3579" s="4">
        <v>4</v>
      </c>
      <c r="AQ3579" s="4">
        <v>7</v>
      </c>
      <c r="AR3579" s="3" t="s">
        <v>64</v>
      </c>
      <c r="AS3579" s="3" t="s">
        <v>128</v>
      </c>
      <c r="AT3579" s="3" t="s">
        <v>64</v>
      </c>
      <c r="AU3579" s="6" t="str">
        <f>HYPERLINK("http://catalog.hathitrust.org/Record/000338600","HathiTrust Record")</f>
        <v>HathiTrust Record</v>
      </c>
      <c r="AV3579" s="6" t="str">
        <f>HYPERLINK("http://mcgill.on.worldcat.org/oclc/1711679","Catalog Record")</f>
        <v>Catalog Record</v>
      </c>
      <c r="AW3579" s="6" t="str">
        <f>HYPERLINK("http://www.worldcat.org/oclc/1711679","WorldCat Record")</f>
        <v>WorldCat Record</v>
      </c>
      <c r="AX3579" s="3" t="s">
        <v>35719</v>
      </c>
      <c r="AY3579" s="3" t="s">
        <v>35720</v>
      </c>
      <c r="AZ3579" s="3" t="s">
        <v>35721</v>
      </c>
      <c r="BA3579" s="3" t="s">
        <v>35721</v>
      </c>
      <c r="BB3579" s="3" t="s">
        <v>35722</v>
      </c>
      <c r="BC3579" s="3" t="s">
        <v>77</v>
      </c>
      <c r="BD3579" s="3" t="s">
        <v>78</v>
      </c>
      <c r="BF3579" s="3" t="s">
        <v>35722</v>
      </c>
      <c r="BG3579" s="3" t="s">
        <v>35723</v>
      </c>
      <c r="BH3579">
        <f t="shared" si="82"/>
        <v>0</v>
      </c>
    </row>
    <row r="3580" spans="1:60" ht="58" x14ac:dyDescent="0.35">
      <c r="A3580" s="2" t="s">
        <v>59</v>
      </c>
      <c r="B3580" s="2" t="s">
        <v>35724</v>
      </c>
      <c r="C3580" s="2" t="s">
        <v>35725</v>
      </c>
      <c r="D3580" s="2" t="s">
        <v>35726</v>
      </c>
      <c r="E3580" s="2" t="s">
        <v>35727</v>
      </c>
      <c r="G3580" s="3" t="s">
        <v>64</v>
      </c>
      <c r="I3580" s="3" t="s">
        <v>64</v>
      </c>
      <c r="J3580" s="3" t="s">
        <v>64</v>
      </c>
      <c r="K3580" s="3" t="s">
        <v>65</v>
      </c>
      <c r="L3580" s="2" t="s">
        <v>35716</v>
      </c>
      <c r="M3580" s="2" t="s">
        <v>35728</v>
      </c>
      <c r="N3580" s="3" t="s">
        <v>3910</v>
      </c>
      <c r="P3580" s="3" t="s">
        <v>102</v>
      </c>
      <c r="R3580" s="3" t="s">
        <v>70</v>
      </c>
      <c r="S3580" s="4">
        <v>4</v>
      </c>
      <c r="T3580" s="4">
        <v>4</v>
      </c>
      <c r="U3580" s="5" t="s">
        <v>29150</v>
      </c>
      <c r="V3580" s="5" t="s">
        <v>29150</v>
      </c>
      <c r="W3580" s="5" t="s">
        <v>72</v>
      </c>
      <c r="X3580" s="5" t="s">
        <v>72</v>
      </c>
      <c r="Y3580" s="4">
        <v>70</v>
      </c>
      <c r="Z3580" s="4">
        <v>7</v>
      </c>
      <c r="AA3580" s="4">
        <v>12</v>
      </c>
      <c r="AB3580" s="4">
        <v>1</v>
      </c>
      <c r="AC3580" s="4">
        <v>2</v>
      </c>
      <c r="AD3580" s="4">
        <v>37</v>
      </c>
      <c r="AE3580" s="4">
        <v>44</v>
      </c>
      <c r="AF3580" s="4">
        <v>0</v>
      </c>
      <c r="AG3580" s="4">
        <v>0</v>
      </c>
      <c r="AH3580" s="4">
        <v>34</v>
      </c>
      <c r="AI3580" s="4">
        <v>40</v>
      </c>
      <c r="AJ3580" s="4">
        <v>4</v>
      </c>
      <c r="AK3580" s="4">
        <v>6</v>
      </c>
      <c r="AL3580" s="4">
        <v>24</v>
      </c>
      <c r="AM3580" s="4">
        <v>25</v>
      </c>
      <c r="AN3580" s="4">
        <v>0</v>
      </c>
      <c r="AO3580" s="4">
        <v>0</v>
      </c>
      <c r="AP3580" s="4">
        <v>5</v>
      </c>
      <c r="AQ3580" s="4">
        <v>8</v>
      </c>
      <c r="AR3580" s="3" t="s">
        <v>64</v>
      </c>
      <c r="AS3580" s="3" t="s">
        <v>128</v>
      </c>
      <c r="AT3580" s="3" t="s">
        <v>64</v>
      </c>
      <c r="AU3580" s="6" t="str">
        <f>HYPERLINK("http://catalog.hathitrust.org/Record/001761749","HathiTrust Record")</f>
        <v>HathiTrust Record</v>
      </c>
      <c r="AV3580" s="6" t="str">
        <f>HYPERLINK("http://mcgill.on.worldcat.org/oclc/5433925","Catalog Record")</f>
        <v>Catalog Record</v>
      </c>
      <c r="AW3580" s="6" t="str">
        <f>HYPERLINK("http://www.worldcat.org/oclc/5433925","WorldCat Record")</f>
        <v>WorldCat Record</v>
      </c>
      <c r="AX3580" s="3" t="s">
        <v>35729</v>
      </c>
      <c r="AY3580" s="3" t="s">
        <v>35730</v>
      </c>
      <c r="AZ3580" s="3" t="s">
        <v>35731</v>
      </c>
      <c r="BA3580" s="3" t="s">
        <v>35731</v>
      </c>
      <c r="BB3580" s="3" t="s">
        <v>35732</v>
      </c>
      <c r="BC3580" s="3" t="s">
        <v>77</v>
      </c>
      <c r="BD3580" s="3" t="s">
        <v>78</v>
      </c>
      <c r="BF3580" s="3" t="s">
        <v>35732</v>
      </c>
      <c r="BG3580" s="3" t="s">
        <v>35733</v>
      </c>
      <c r="BH3580">
        <f t="shared" si="82"/>
        <v>0</v>
      </c>
    </row>
    <row r="3581" spans="1:60" ht="58" x14ac:dyDescent="0.35">
      <c r="A3581" s="2" t="s">
        <v>59</v>
      </c>
      <c r="B3581" s="2" t="s">
        <v>60</v>
      </c>
      <c r="C3581" s="2" t="s">
        <v>35734</v>
      </c>
      <c r="D3581" s="2" t="s">
        <v>35735</v>
      </c>
      <c r="E3581" s="2" t="s">
        <v>35736</v>
      </c>
      <c r="G3581" s="3" t="s">
        <v>64</v>
      </c>
      <c r="I3581" s="3" t="s">
        <v>64</v>
      </c>
      <c r="J3581" s="3" t="s">
        <v>64</v>
      </c>
      <c r="K3581" s="3" t="s">
        <v>65</v>
      </c>
      <c r="L3581" s="2" t="s">
        <v>35737</v>
      </c>
      <c r="M3581" s="2" t="s">
        <v>35738</v>
      </c>
      <c r="N3581" s="3" t="s">
        <v>266</v>
      </c>
      <c r="P3581" s="3" t="s">
        <v>102</v>
      </c>
      <c r="Q3581" s="2" t="s">
        <v>35739</v>
      </c>
      <c r="R3581" s="3" t="s">
        <v>70</v>
      </c>
      <c r="S3581" s="4">
        <v>5</v>
      </c>
      <c r="T3581" s="4">
        <v>5</v>
      </c>
      <c r="U3581" s="5" t="s">
        <v>8617</v>
      </c>
      <c r="V3581" s="5" t="s">
        <v>8617</v>
      </c>
      <c r="W3581" s="5" t="s">
        <v>72</v>
      </c>
      <c r="X3581" s="5" t="s">
        <v>72</v>
      </c>
      <c r="Y3581" s="4">
        <v>93</v>
      </c>
      <c r="Z3581" s="4">
        <v>9</v>
      </c>
      <c r="AA3581" s="4">
        <v>10</v>
      </c>
      <c r="AB3581" s="4">
        <v>1</v>
      </c>
      <c r="AC3581" s="4">
        <v>2</v>
      </c>
      <c r="AD3581" s="4">
        <v>43</v>
      </c>
      <c r="AE3581" s="4">
        <v>44</v>
      </c>
      <c r="AF3581" s="4">
        <v>0</v>
      </c>
      <c r="AG3581" s="4">
        <v>1</v>
      </c>
      <c r="AH3581" s="4">
        <v>39</v>
      </c>
      <c r="AI3581" s="4">
        <v>39</v>
      </c>
      <c r="AJ3581" s="4">
        <v>6</v>
      </c>
      <c r="AK3581" s="4">
        <v>7</v>
      </c>
      <c r="AL3581" s="4">
        <v>26</v>
      </c>
      <c r="AM3581" s="4">
        <v>26</v>
      </c>
      <c r="AN3581" s="4">
        <v>0</v>
      </c>
      <c r="AO3581" s="4">
        <v>0</v>
      </c>
      <c r="AP3581" s="4">
        <v>6</v>
      </c>
      <c r="AQ3581" s="4">
        <v>6</v>
      </c>
      <c r="AR3581" s="3" t="s">
        <v>64</v>
      </c>
      <c r="AS3581" s="3" t="s">
        <v>64</v>
      </c>
      <c r="AT3581" s="3" t="s">
        <v>128</v>
      </c>
      <c r="AU3581" s="6" t="str">
        <f>HYPERLINK("http://catalog.hathitrust.org/Record/001166147","HathiTrust Record")</f>
        <v>HathiTrust Record</v>
      </c>
      <c r="AV3581" s="6" t="str">
        <f>HYPERLINK("http://mcgill.on.worldcat.org/oclc/2522916","Catalog Record")</f>
        <v>Catalog Record</v>
      </c>
      <c r="AW3581" s="6" t="str">
        <f>HYPERLINK("http://www.worldcat.org/oclc/2522916","WorldCat Record")</f>
        <v>WorldCat Record</v>
      </c>
      <c r="AX3581" s="3" t="s">
        <v>35740</v>
      </c>
      <c r="AY3581" s="3" t="s">
        <v>35741</v>
      </c>
      <c r="AZ3581" s="3" t="s">
        <v>35742</v>
      </c>
      <c r="BA3581" s="3" t="s">
        <v>35742</v>
      </c>
      <c r="BB3581" s="3" t="s">
        <v>35743</v>
      </c>
      <c r="BC3581" s="3" t="s">
        <v>77</v>
      </c>
      <c r="BD3581" s="3" t="s">
        <v>78</v>
      </c>
      <c r="BF3581" s="3" t="s">
        <v>35743</v>
      </c>
      <c r="BG3581" s="3" t="s">
        <v>35744</v>
      </c>
      <c r="BH3581">
        <f t="shared" si="82"/>
        <v>0</v>
      </c>
    </row>
    <row r="3582" spans="1:60" ht="58" x14ac:dyDescent="0.35">
      <c r="A3582" s="2" t="s">
        <v>59</v>
      </c>
      <c r="B3582" s="2" t="s">
        <v>60</v>
      </c>
      <c r="C3582" s="2" t="s">
        <v>35745</v>
      </c>
      <c r="D3582" s="2" t="s">
        <v>35746</v>
      </c>
      <c r="E3582" s="2" t="s">
        <v>35747</v>
      </c>
      <c r="G3582" s="3" t="s">
        <v>64</v>
      </c>
      <c r="I3582" s="3" t="s">
        <v>64</v>
      </c>
      <c r="J3582" s="3" t="s">
        <v>64</v>
      </c>
      <c r="K3582" s="3" t="s">
        <v>65</v>
      </c>
      <c r="L3582" s="2" t="s">
        <v>35748</v>
      </c>
      <c r="M3582" s="2" t="s">
        <v>35749</v>
      </c>
      <c r="N3582" s="3" t="s">
        <v>3072</v>
      </c>
      <c r="P3582" s="3" t="s">
        <v>102</v>
      </c>
      <c r="Q3582" s="2" t="s">
        <v>35750</v>
      </c>
      <c r="R3582" s="3" t="s">
        <v>70</v>
      </c>
      <c r="S3582" s="4">
        <v>2</v>
      </c>
      <c r="T3582" s="4">
        <v>2</v>
      </c>
      <c r="U3582" s="5" t="s">
        <v>10073</v>
      </c>
      <c r="V3582" s="5" t="s">
        <v>10073</v>
      </c>
      <c r="W3582" s="5" t="s">
        <v>72</v>
      </c>
      <c r="X3582" s="5" t="s">
        <v>72</v>
      </c>
      <c r="Y3582" s="4">
        <v>154</v>
      </c>
      <c r="Z3582" s="4">
        <v>7</v>
      </c>
      <c r="AA3582" s="4">
        <v>8</v>
      </c>
      <c r="AB3582" s="4">
        <v>1</v>
      </c>
      <c r="AC3582" s="4">
        <v>1</v>
      </c>
      <c r="AD3582" s="4">
        <v>73</v>
      </c>
      <c r="AE3582" s="4">
        <v>75</v>
      </c>
      <c r="AF3582" s="4">
        <v>0</v>
      </c>
      <c r="AG3582" s="4">
        <v>0</v>
      </c>
      <c r="AH3582" s="4">
        <v>72</v>
      </c>
      <c r="AI3582" s="4">
        <v>73</v>
      </c>
      <c r="AJ3582" s="4">
        <v>4</v>
      </c>
      <c r="AK3582" s="4">
        <v>5</v>
      </c>
      <c r="AL3582" s="4">
        <v>44</v>
      </c>
      <c r="AM3582" s="4">
        <v>44</v>
      </c>
      <c r="AN3582" s="4">
        <v>0</v>
      </c>
      <c r="AO3582" s="4">
        <v>0</v>
      </c>
      <c r="AP3582" s="4">
        <v>4</v>
      </c>
      <c r="AQ3582" s="4">
        <v>4</v>
      </c>
      <c r="AR3582" s="3" t="s">
        <v>64</v>
      </c>
      <c r="AS3582" s="3" t="s">
        <v>64</v>
      </c>
      <c r="AT3582" s="3" t="s">
        <v>64</v>
      </c>
      <c r="AU3582" s="6" t="str">
        <f>HYPERLINK("http://catalog.hathitrust.org/Record/001658687","HathiTrust Record")</f>
        <v>HathiTrust Record</v>
      </c>
      <c r="AV3582" s="6" t="str">
        <f>HYPERLINK("http://mcgill.on.worldcat.org/oclc/1712167","Catalog Record")</f>
        <v>Catalog Record</v>
      </c>
      <c r="AW3582" s="6" t="str">
        <f>HYPERLINK("http://www.worldcat.org/oclc/1712167","WorldCat Record")</f>
        <v>WorldCat Record</v>
      </c>
      <c r="AX3582" s="3" t="s">
        <v>35751</v>
      </c>
      <c r="AY3582" s="3" t="s">
        <v>35752</v>
      </c>
      <c r="AZ3582" s="3" t="s">
        <v>35753</v>
      </c>
      <c r="BA3582" s="3" t="s">
        <v>35753</v>
      </c>
      <c r="BB3582" s="3" t="s">
        <v>35754</v>
      </c>
      <c r="BC3582" s="3" t="s">
        <v>77</v>
      </c>
      <c r="BD3582" s="3" t="s">
        <v>78</v>
      </c>
      <c r="BF3582" s="3" t="s">
        <v>35754</v>
      </c>
      <c r="BG3582" s="3" t="s">
        <v>35755</v>
      </c>
      <c r="BH3582">
        <f t="shared" si="82"/>
        <v>0</v>
      </c>
    </row>
    <row r="3583" spans="1:60" ht="58" x14ac:dyDescent="0.35">
      <c r="A3583" s="2" t="s">
        <v>59</v>
      </c>
      <c r="B3583" s="2" t="s">
        <v>60</v>
      </c>
      <c r="C3583" s="2" t="s">
        <v>35756</v>
      </c>
      <c r="D3583" s="2" t="s">
        <v>35757</v>
      </c>
      <c r="E3583" s="2" t="s">
        <v>35758</v>
      </c>
      <c r="G3583" s="3" t="s">
        <v>64</v>
      </c>
      <c r="I3583" s="3" t="s">
        <v>64</v>
      </c>
      <c r="J3583" s="3" t="s">
        <v>64</v>
      </c>
      <c r="K3583" s="3" t="s">
        <v>65</v>
      </c>
      <c r="L3583" s="2" t="s">
        <v>35759</v>
      </c>
      <c r="M3583" s="2" t="s">
        <v>3786</v>
      </c>
      <c r="N3583" s="3" t="s">
        <v>537</v>
      </c>
      <c r="O3583" s="2" t="s">
        <v>117</v>
      </c>
      <c r="P3583" s="3" t="s">
        <v>102</v>
      </c>
      <c r="R3583" s="3" t="s">
        <v>70</v>
      </c>
      <c r="S3583" s="4">
        <v>0</v>
      </c>
      <c r="T3583" s="4">
        <v>0</v>
      </c>
      <c r="W3583" s="5" t="s">
        <v>72</v>
      </c>
      <c r="X3583" s="5" t="s">
        <v>72</v>
      </c>
      <c r="Y3583" s="4">
        <v>66</v>
      </c>
      <c r="Z3583" s="4">
        <v>5</v>
      </c>
      <c r="AA3583" s="4">
        <v>5</v>
      </c>
      <c r="AB3583" s="4">
        <v>1</v>
      </c>
      <c r="AC3583" s="4">
        <v>1</v>
      </c>
      <c r="AD3583" s="4">
        <v>27</v>
      </c>
      <c r="AE3583" s="4">
        <v>27</v>
      </c>
      <c r="AF3583" s="4">
        <v>0</v>
      </c>
      <c r="AG3583" s="4">
        <v>0</v>
      </c>
      <c r="AH3583" s="4">
        <v>25</v>
      </c>
      <c r="AI3583" s="4">
        <v>25</v>
      </c>
      <c r="AJ3583" s="4">
        <v>3</v>
      </c>
      <c r="AK3583" s="4">
        <v>3</v>
      </c>
      <c r="AL3583" s="4">
        <v>20</v>
      </c>
      <c r="AM3583" s="4">
        <v>20</v>
      </c>
      <c r="AN3583" s="4">
        <v>0</v>
      </c>
      <c r="AO3583" s="4">
        <v>0</v>
      </c>
      <c r="AP3583" s="4">
        <v>3</v>
      </c>
      <c r="AQ3583" s="4">
        <v>3</v>
      </c>
      <c r="AR3583" s="3" t="s">
        <v>64</v>
      </c>
      <c r="AS3583" s="3" t="s">
        <v>64</v>
      </c>
      <c r="AT3583" s="3" t="s">
        <v>64</v>
      </c>
      <c r="AV3583" s="6" t="str">
        <f>HYPERLINK("http://mcgill.on.worldcat.org/oclc/933585833","Catalog Record")</f>
        <v>Catalog Record</v>
      </c>
      <c r="AW3583" s="6" t="str">
        <f>HYPERLINK("http://www.worldcat.org/oclc/933585833","WorldCat Record")</f>
        <v>WorldCat Record</v>
      </c>
      <c r="AX3583" s="3" t="s">
        <v>35760</v>
      </c>
      <c r="AY3583" s="3" t="s">
        <v>35761</v>
      </c>
      <c r="AZ3583" s="3" t="s">
        <v>35762</v>
      </c>
      <c r="BA3583" s="3" t="s">
        <v>35762</v>
      </c>
      <c r="BB3583" s="3" t="s">
        <v>35763</v>
      </c>
      <c r="BC3583" s="3" t="s">
        <v>77</v>
      </c>
      <c r="BD3583" s="3" t="s">
        <v>78</v>
      </c>
      <c r="BE3583" s="3" t="s">
        <v>35764</v>
      </c>
      <c r="BF3583" s="3" t="s">
        <v>35763</v>
      </c>
      <c r="BG3583" s="3" t="s">
        <v>35765</v>
      </c>
      <c r="BH3583">
        <f t="shared" si="82"/>
        <v>0</v>
      </c>
    </row>
    <row r="3584" spans="1:60" ht="58" x14ac:dyDescent="0.35">
      <c r="A3584" s="2" t="s">
        <v>59</v>
      </c>
      <c r="B3584" s="2" t="s">
        <v>60</v>
      </c>
      <c r="C3584" s="2" t="s">
        <v>35766</v>
      </c>
      <c r="D3584" s="2" t="s">
        <v>35767</v>
      </c>
      <c r="E3584" s="2" t="s">
        <v>35768</v>
      </c>
      <c r="G3584" s="3" t="s">
        <v>64</v>
      </c>
      <c r="I3584" s="3" t="s">
        <v>64</v>
      </c>
      <c r="J3584" s="3" t="s">
        <v>64</v>
      </c>
      <c r="K3584" s="3" t="s">
        <v>65</v>
      </c>
      <c r="L3584" s="2" t="s">
        <v>35769</v>
      </c>
      <c r="M3584" s="2" t="s">
        <v>6369</v>
      </c>
      <c r="N3584" s="3" t="s">
        <v>326</v>
      </c>
      <c r="P3584" s="3" t="s">
        <v>365</v>
      </c>
      <c r="Q3584" s="2" t="s">
        <v>35770</v>
      </c>
      <c r="R3584" s="3" t="s">
        <v>70</v>
      </c>
      <c r="S3584" s="4">
        <v>0</v>
      </c>
      <c r="T3584" s="4">
        <v>0</v>
      </c>
      <c r="W3584" s="5" t="s">
        <v>72</v>
      </c>
      <c r="X3584" s="5" t="s">
        <v>72</v>
      </c>
      <c r="Y3584" s="4">
        <v>46</v>
      </c>
      <c r="Z3584" s="4">
        <v>4</v>
      </c>
      <c r="AA3584" s="4">
        <v>4</v>
      </c>
      <c r="AB3584" s="4">
        <v>1</v>
      </c>
      <c r="AC3584" s="4">
        <v>1</v>
      </c>
      <c r="AD3584" s="4">
        <v>21</v>
      </c>
      <c r="AE3584" s="4">
        <v>21</v>
      </c>
      <c r="AF3584" s="4">
        <v>0</v>
      </c>
      <c r="AG3584" s="4">
        <v>0</v>
      </c>
      <c r="AH3584" s="4">
        <v>20</v>
      </c>
      <c r="AI3584" s="4">
        <v>20</v>
      </c>
      <c r="AJ3584" s="4">
        <v>1</v>
      </c>
      <c r="AK3584" s="4">
        <v>1</v>
      </c>
      <c r="AL3584" s="4">
        <v>18</v>
      </c>
      <c r="AM3584" s="4">
        <v>18</v>
      </c>
      <c r="AN3584" s="4">
        <v>0</v>
      </c>
      <c r="AO3584" s="4">
        <v>0</v>
      </c>
      <c r="AP3584" s="4">
        <v>1</v>
      </c>
      <c r="AQ3584" s="4">
        <v>1</v>
      </c>
      <c r="AR3584" s="3" t="s">
        <v>64</v>
      </c>
      <c r="AS3584" s="3" t="s">
        <v>64</v>
      </c>
      <c r="AT3584" s="3" t="s">
        <v>64</v>
      </c>
      <c r="AV3584" s="6" t="str">
        <f>HYPERLINK("http://mcgill.on.worldcat.org/oclc/774489572","Catalog Record")</f>
        <v>Catalog Record</v>
      </c>
      <c r="AW3584" s="6" t="str">
        <f>HYPERLINK("http://www.worldcat.org/oclc/774489572","WorldCat Record")</f>
        <v>WorldCat Record</v>
      </c>
      <c r="AX3584" s="3" t="s">
        <v>35771</v>
      </c>
      <c r="AY3584" s="3" t="s">
        <v>35772</v>
      </c>
      <c r="AZ3584" s="3" t="s">
        <v>35773</v>
      </c>
      <c r="BA3584" s="3" t="s">
        <v>35773</v>
      </c>
      <c r="BB3584" s="3" t="s">
        <v>35774</v>
      </c>
      <c r="BC3584" s="3" t="s">
        <v>77</v>
      </c>
      <c r="BD3584" s="3" t="s">
        <v>78</v>
      </c>
      <c r="BE3584" s="3" t="s">
        <v>35775</v>
      </c>
      <c r="BF3584" s="3" t="s">
        <v>35774</v>
      </c>
      <c r="BG3584" s="3" t="s">
        <v>35776</v>
      </c>
      <c r="BH3584">
        <f t="shared" si="82"/>
        <v>0</v>
      </c>
    </row>
    <row r="3585" spans="1:60" ht="72.5" x14ac:dyDescent="0.35">
      <c r="A3585" s="2" t="s">
        <v>59</v>
      </c>
      <c r="B3585" s="2" t="s">
        <v>60</v>
      </c>
      <c r="C3585" s="2" t="s">
        <v>35777</v>
      </c>
      <c r="D3585" s="2" t="s">
        <v>35778</v>
      </c>
      <c r="E3585" s="2" t="s">
        <v>35779</v>
      </c>
      <c r="G3585" s="3" t="s">
        <v>64</v>
      </c>
      <c r="I3585" s="3" t="s">
        <v>64</v>
      </c>
      <c r="J3585" s="3" t="s">
        <v>64</v>
      </c>
      <c r="K3585" s="3" t="s">
        <v>65</v>
      </c>
      <c r="L3585" s="2" t="s">
        <v>35780</v>
      </c>
      <c r="M3585" s="2" t="s">
        <v>1868</v>
      </c>
      <c r="N3585" s="3" t="s">
        <v>537</v>
      </c>
      <c r="P3585" s="3" t="s">
        <v>365</v>
      </c>
      <c r="Q3585" s="2" t="s">
        <v>35781</v>
      </c>
      <c r="R3585" s="3" t="s">
        <v>70</v>
      </c>
      <c r="S3585" s="4">
        <v>0</v>
      </c>
      <c r="T3585" s="4">
        <v>0</v>
      </c>
      <c r="W3585" s="5" t="s">
        <v>72</v>
      </c>
      <c r="X3585" s="5" t="s">
        <v>72</v>
      </c>
      <c r="Y3585" s="4">
        <v>49</v>
      </c>
      <c r="Z3585" s="4">
        <v>1</v>
      </c>
      <c r="AA3585" s="4">
        <v>1</v>
      </c>
      <c r="AB3585" s="4">
        <v>1</v>
      </c>
      <c r="AC3585" s="4">
        <v>1</v>
      </c>
      <c r="AD3585" s="4">
        <v>21</v>
      </c>
      <c r="AE3585" s="4">
        <v>21</v>
      </c>
      <c r="AF3585" s="4">
        <v>0</v>
      </c>
      <c r="AG3585" s="4">
        <v>0</v>
      </c>
      <c r="AH3585" s="4">
        <v>20</v>
      </c>
      <c r="AI3585" s="4">
        <v>20</v>
      </c>
      <c r="AJ3585" s="4">
        <v>0</v>
      </c>
      <c r="AK3585" s="4">
        <v>0</v>
      </c>
      <c r="AL3585" s="4">
        <v>19</v>
      </c>
      <c r="AM3585" s="4">
        <v>19</v>
      </c>
      <c r="AN3585" s="4">
        <v>0</v>
      </c>
      <c r="AO3585" s="4">
        <v>0</v>
      </c>
      <c r="AP3585" s="4">
        <v>0</v>
      </c>
      <c r="AQ3585" s="4">
        <v>0</v>
      </c>
      <c r="AR3585" s="3" t="s">
        <v>64</v>
      </c>
      <c r="AS3585" s="3" t="s">
        <v>64</v>
      </c>
      <c r="AT3585" s="3" t="s">
        <v>64</v>
      </c>
      <c r="AV3585" s="6" t="str">
        <f>HYPERLINK("http://mcgill.on.worldcat.org/oclc/953697702","Catalog Record")</f>
        <v>Catalog Record</v>
      </c>
      <c r="AW3585" s="6" t="str">
        <f>HYPERLINK("http://www.worldcat.org/oclc/953697702","WorldCat Record")</f>
        <v>WorldCat Record</v>
      </c>
      <c r="AX3585" s="3" t="s">
        <v>35782</v>
      </c>
      <c r="AY3585" s="3" t="s">
        <v>35783</v>
      </c>
      <c r="AZ3585" s="3" t="s">
        <v>35784</v>
      </c>
      <c r="BA3585" s="3" t="s">
        <v>35784</v>
      </c>
      <c r="BB3585" s="3" t="s">
        <v>35785</v>
      </c>
      <c r="BC3585" s="3" t="s">
        <v>77</v>
      </c>
      <c r="BD3585" s="3" t="s">
        <v>78</v>
      </c>
      <c r="BE3585" s="3" t="s">
        <v>35786</v>
      </c>
      <c r="BF3585" s="3" t="s">
        <v>35785</v>
      </c>
      <c r="BG3585" s="3" t="s">
        <v>35787</v>
      </c>
      <c r="BH3585">
        <f t="shared" si="82"/>
        <v>0</v>
      </c>
    </row>
    <row r="3586" spans="1:60" ht="58" x14ac:dyDescent="0.35">
      <c r="A3586" s="2" t="s">
        <v>59</v>
      </c>
      <c r="B3586" s="2" t="s">
        <v>60</v>
      </c>
      <c r="C3586" s="2" t="s">
        <v>35788</v>
      </c>
      <c r="D3586" s="2" t="s">
        <v>35789</v>
      </c>
      <c r="E3586" s="2" t="s">
        <v>35790</v>
      </c>
      <c r="G3586" s="3" t="s">
        <v>64</v>
      </c>
      <c r="I3586" s="3" t="s">
        <v>64</v>
      </c>
      <c r="J3586" s="3" t="s">
        <v>64</v>
      </c>
      <c r="K3586" s="3" t="s">
        <v>65</v>
      </c>
      <c r="L3586" s="2" t="s">
        <v>35791</v>
      </c>
      <c r="M3586" s="2" t="s">
        <v>35792</v>
      </c>
      <c r="N3586" s="3" t="s">
        <v>67</v>
      </c>
      <c r="P3586" s="3" t="s">
        <v>68</v>
      </c>
      <c r="Q3586" s="2" t="s">
        <v>35793</v>
      </c>
      <c r="R3586" s="3" t="s">
        <v>70</v>
      </c>
      <c r="S3586" s="4">
        <v>0</v>
      </c>
      <c r="T3586" s="4">
        <v>0</v>
      </c>
      <c r="W3586" s="5" t="s">
        <v>72</v>
      </c>
      <c r="X3586" s="5" t="s">
        <v>72</v>
      </c>
      <c r="Y3586" s="4">
        <v>47</v>
      </c>
      <c r="Z3586" s="4">
        <v>8</v>
      </c>
      <c r="AA3586" s="4">
        <v>11</v>
      </c>
      <c r="AB3586" s="4">
        <v>1</v>
      </c>
      <c r="AC3586" s="4">
        <v>4</v>
      </c>
      <c r="AD3586" s="4">
        <v>34</v>
      </c>
      <c r="AE3586" s="4">
        <v>36</v>
      </c>
      <c r="AF3586" s="4">
        <v>0</v>
      </c>
      <c r="AG3586" s="4">
        <v>2</v>
      </c>
      <c r="AH3586" s="4">
        <v>33</v>
      </c>
      <c r="AI3586" s="4">
        <v>34</v>
      </c>
      <c r="AJ3586" s="4">
        <v>5</v>
      </c>
      <c r="AK3586" s="4">
        <v>7</v>
      </c>
      <c r="AL3586" s="4">
        <v>26</v>
      </c>
      <c r="AM3586" s="4">
        <v>26</v>
      </c>
      <c r="AN3586" s="4">
        <v>0</v>
      </c>
      <c r="AO3586" s="4">
        <v>0</v>
      </c>
      <c r="AP3586" s="4">
        <v>5</v>
      </c>
      <c r="AQ3586" s="4">
        <v>6</v>
      </c>
      <c r="AR3586" s="3" t="s">
        <v>64</v>
      </c>
      <c r="AS3586" s="3" t="s">
        <v>64</v>
      </c>
      <c r="AT3586" s="3" t="s">
        <v>64</v>
      </c>
      <c r="AV3586" s="6" t="str">
        <f>HYPERLINK("http://mcgill.on.worldcat.org/oclc/870642263","Catalog Record")</f>
        <v>Catalog Record</v>
      </c>
      <c r="AW3586" s="6" t="str">
        <f>HYPERLINK("http://www.worldcat.org/oclc/870642263","WorldCat Record")</f>
        <v>WorldCat Record</v>
      </c>
      <c r="AX3586" s="3" t="s">
        <v>35794</v>
      </c>
      <c r="AY3586" s="3" t="s">
        <v>35795</v>
      </c>
      <c r="AZ3586" s="3" t="s">
        <v>35796</v>
      </c>
      <c r="BA3586" s="3" t="s">
        <v>35796</v>
      </c>
      <c r="BB3586" s="3" t="s">
        <v>35797</v>
      </c>
      <c r="BC3586" s="3" t="s">
        <v>77</v>
      </c>
      <c r="BD3586" s="3" t="s">
        <v>78</v>
      </c>
      <c r="BE3586" s="3" t="s">
        <v>35798</v>
      </c>
      <c r="BF3586" s="3" t="s">
        <v>35797</v>
      </c>
      <c r="BG3586" s="3" t="s">
        <v>35799</v>
      </c>
      <c r="BH3586">
        <f t="shared" ref="BH3586:BH3649" si="86">IF(COUNTIF($BF$1:$BF$5431,BF3586)=1,0,1)</f>
        <v>0</v>
      </c>
    </row>
    <row r="3587" spans="1:60" ht="58" x14ac:dyDescent="0.35">
      <c r="A3587" s="2" t="s">
        <v>59</v>
      </c>
      <c r="B3587" s="2" t="s">
        <v>60</v>
      </c>
      <c r="C3587" s="2" t="s">
        <v>35800</v>
      </c>
      <c r="D3587" s="2" t="s">
        <v>35801</v>
      </c>
      <c r="E3587" s="2" t="s">
        <v>35802</v>
      </c>
      <c r="G3587" s="3" t="s">
        <v>64</v>
      </c>
      <c r="I3587" s="3" t="s">
        <v>64</v>
      </c>
      <c r="J3587" s="3" t="s">
        <v>64</v>
      </c>
      <c r="K3587" s="3" t="s">
        <v>65</v>
      </c>
      <c r="M3587" s="2" t="s">
        <v>35803</v>
      </c>
      <c r="N3587" s="3" t="s">
        <v>116</v>
      </c>
      <c r="P3587" s="3" t="s">
        <v>68</v>
      </c>
      <c r="Q3587" s="2" t="s">
        <v>35804</v>
      </c>
      <c r="R3587" s="3" t="s">
        <v>70</v>
      </c>
      <c r="S3587" s="4">
        <v>5</v>
      </c>
      <c r="T3587" s="4">
        <v>5</v>
      </c>
      <c r="U3587" s="5" t="s">
        <v>33141</v>
      </c>
      <c r="V3587" s="5" t="s">
        <v>33141</v>
      </c>
      <c r="W3587" s="5" t="s">
        <v>72</v>
      </c>
      <c r="X3587" s="5" t="s">
        <v>72</v>
      </c>
      <c r="Y3587" s="4">
        <v>70</v>
      </c>
      <c r="Z3587" s="4">
        <v>8</v>
      </c>
      <c r="AA3587" s="4">
        <v>13</v>
      </c>
      <c r="AB3587" s="4">
        <v>2</v>
      </c>
      <c r="AC3587" s="4">
        <v>6</v>
      </c>
      <c r="AD3587" s="4">
        <v>49</v>
      </c>
      <c r="AE3587" s="4">
        <v>54</v>
      </c>
      <c r="AF3587" s="4">
        <v>0</v>
      </c>
      <c r="AG3587" s="4">
        <v>4</v>
      </c>
      <c r="AH3587" s="4">
        <v>46</v>
      </c>
      <c r="AI3587" s="4">
        <v>48</v>
      </c>
      <c r="AJ3587" s="4">
        <v>5</v>
      </c>
      <c r="AK3587" s="4">
        <v>10</v>
      </c>
      <c r="AL3587" s="4">
        <v>37</v>
      </c>
      <c r="AM3587" s="4">
        <v>37</v>
      </c>
      <c r="AN3587" s="4">
        <v>0</v>
      </c>
      <c r="AO3587" s="4">
        <v>0</v>
      </c>
      <c r="AP3587" s="4">
        <v>5</v>
      </c>
      <c r="AQ3587" s="4">
        <v>9</v>
      </c>
      <c r="AR3587" s="3" t="s">
        <v>64</v>
      </c>
      <c r="AS3587" s="3" t="s">
        <v>64</v>
      </c>
      <c r="AT3587" s="3" t="s">
        <v>64</v>
      </c>
      <c r="AV3587" s="6" t="str">
        <f>HYPERLINK("http://mcgill.on.worldcat.org/oclc/48757979","Catalog Record")</f>
        <v>Catalog Record</v>
      </c>
      <c r="AW3587" s="6" t="str">
        <f>HYPERLINK("http://www.worldcat.org/oclc/48757979","WorldCat Record")</f>
        <v>WorldCat Record</v>
      </c>
      <c r="AX3587" s="3" t="s">
        <v>35805</v>
      </c>
      <c r="AY3587" s="3" t="s">
        <v>35806</v>
      </c>
      <c r="AZ3587" s="3" t="s">
        <v>35807</v>
      </c>
      <c r="BA3587" s="3" t="s">
        <v>35807</v>
      </c>
      <c r="BB3587" s="3" t="s">
        <v>35808</v>
      </c>
      <c r="BC3587" s="3" t="s">
        <v>77</v>
      </c>
      <c r="BD3587" s="3" t="s">
        <v>78</v>
      </c>
      <c r="BE3587" s="3" t="s">
        <v>35809</v>
      </c>
      <c r="BF3587" s="3" t="s">
        <v>35808</v>
      </c>
      <c r="BG3587" s="3" t="s">
        <v>35810</v>
      </c>
      <c r="BH3587">
        <f t="shared" si="86"/>
        <v>0</v>
      </c>
    </row>
    <row r="3588" spans="1:60" ht="58" x14ac:dyDescent="0.35">
      <c r="A3588" s="2" t="s">
        <v>59</v>
      </c>
      <c r="B3588" s="2" t="s">
        <v>60</v>
      </c>
      <c r="C3588" s="2" t="s">
        <v>35811</v>
      </c>
      <c r="D3588" s="2" t="s">
        <v>35812</v>
      </c>
      <c r="E3588" s="2" t="s">
        <v>35813</v>
      </c>
      <c r="G3588" s="3" t="s">
        <v>64</v>
      </c>
      <c r="I3588" s="3" t="s">
        <v>64</v>
      </c>
      <c r="J3588" s="3" t="s">
        <v>64</v>
      </c>
      <c r="K3588" s="3" t="s">
        <v>65</v>
      </c>
      <c r="L3588" s="2" t="s">
        <v>35814</v>
      </c>
      <c r="M3588" s="2" t="s">
        <v>7911</v>
      </c>
      <c r="N3588" s="3" t="s">
        <v>578</v>
      </c>
      <c r="P3588" s="3" t="s">
        <v>102</v>
      </c>
      <c r="R3588" s="3" t="s">
        <v>70</v>
      </c>
      <c r="S3588" s="4">
        <v>0</v>
      </c>
      <c r="T3588" s="4">
        <v>0</v>
      </c>
      <c r="W3588" s="5" t="s">
        <v>72</v>
      </c>
      <c r="X3588" s="5" t="s">
        <v>72</v>
      </c>
      <c r="Y3588" s="4">
        <v>52</v>
      </c>
      <c r="Z3588" s="4">
        <v>4</v>
      </c>
      <c r="AA3588" s="4">
        <v>4</v>
      </c>
      <c r="AB3588" s="4">
        <v>1</v>
      </c>
      <c r="AC3588" s="4">
        <v>1</v>
      </c>
      <c r="AD3588" s="4">
        <v>29</v>
      </c>
      <c r="AE3588" s="4">
        <v>29</v>
      </c>
      <c r="AF3588" s="4">
        <v>0</v>
      </c>
      <c r="AG3588" s="4">
        <v>0</v>
      </c>
      <c r="AH3588" s="4">
        <v>25</v>
      </c>
      <c r="AI3588" s="4">
        <v>25</v>
      </c>
      <c r="AJ3588" s="4">
        <v>3</v>
      </c>
      <c r="AK3588" s="4">
        <v>3</v>
      </c>
      <c r="AL3588" s="4">
        <v>21</v>
      </c>
      <c r="AM3588" s="4">
        <v>21</v>
      </c>
      <c r="AN3588" s="4">
        <v>0</v>
      </c>
      <c r="AO3588" s="4">
        <v>0</v>
      </c>
      <c r="AP3588" s="4">
        <v>3</v>
      </c>
      <c r="AQ3588" s="4">
        <v>3</v>
      </c>
      <c r="AR3588" s="3" t="s">
        <v>64</v>
      </c>
      <c r="AS3588" s="3" t="s">
        <v>64</v>
      </c>
      <c r="AT3588" s="3" t="s">
        <v>64</v>
      </c>
      <c r="AV3588" s="6" t="str">
        <f>HYPERLINK("http://mcgill.on.worldcat.org/oclc/991585072","Catalog Record")</f>
        <v>Catalog Record</v>
      </c>
      <c r="AW3588" s="6" t="str">
        <f>HYPERLINK("http://www.worldcat.org/oclc/991585072","WorldCat Record")</f>
        <v>WorldCat Record</v>
      </c>
      <c r="AX3588" s="3" t="s">
        <v>35815</v>
      </c>
      <c r="AY3588" s="3" t="s">
        <v>35816</v>
      </c>
      <c r="AZ3588" s="3" t="s">
        <v>35817</v>
      </c>
      <c r="BA3588" s="3" t="s">
        <v>35817</v>
      </c>
      <c r="BB3588" s="3" t="s">
        <v>35818</v>
      </c>
      <c r="BC3588" s="3" t="s">
        <v>77</v>
      </c>
      <c r="BD3588" s="3" t="s">
        <v>78</v>
      </c>
      <c r="BE3588" s="3" t="s">
        <v>35819</v>
      </c>
      <c r="BF3588" s="3" t="s">
        <v>35818</v>
      </c>
      <c r="BG3588" s="3" t="s">
        <v>35820</v>
      </c>
      <c r="BH3588">
        <f t="shared" si="86"/>
        <v>0</v>
      </c>
    </row>
    <row r="3589" spans="1:60" ht="58" x14ac:dyDescent="0.35">
      <c r="A3589" s="2" t="s">
        <v>59</v>
      </c>
      <c r="B3589" s="2" t="s">
        <v>60</v>
      </c>
      <c r="C3589" s="2" t="s">
        <v>35821</v>
      </c>
      <c r="D3589" s="2" t="s">
        <v>35822</v>
      </c>
      <c r="E3589" s="2" t="s">
        <v>35823</v>
      </c>
      <c r="G3589" s="3" t="s">
        <v>64</v>
      </c>
      <c r="I3589" s="3" t="s">
        <v>64</v>
      </c>
      <c r="J3589" s="3" t="s">
        <v>64</v>
      </c>
      <c r="K3589" s="3" t="s">
        <v>65</v>
      </c>
      <c r="L3589" s="2" t="s">
        <v>5937</v>
      </c>
      <c r="M3589" s="2" t="s">
        <v>35824</v>
      </c>
      <c r="N3589" s="3" t="s">
        <v>253</v>
      </c>
      <c r="P3589" s="3" t="s">
        <v>365</v>
      </c>
      <c r="Q3589" s="2" t="s">
        <v>35825</v>
      </c>
      <c r="R3589" s="3" t="s">
        <v>70</v>
      </c>
      <c r="S3589" s="4">
        <v>0</v>
      </c>
      <c r="T3589" s="4">
        <v>0</v>
      </c>
      <c r="W3589" s="5" t="s">
        <v>72</v>
      </c>
      <c r="X3589" s="5" t="s">
        <v>72</v>
      </c>
      <c r="Y3589" s="4">
        <v>40</v>
      </c>
      <c r="Z3589" s="4">
        <v>3</v>
      </c>
      <c r="AA3589" s="4">
        <v>3</v>
      </c>
      <c r="AB3589" s="4">
        <v>1</v>
      </c>
      <c r="AC3589" s="4">
        <v>1</v>
      </c>
      <c r="AD3589" s="4">
        <v>23</v>
      </c>
      <c r="AE3589" s="4">
        <v>23</v>
      </c>
      <c r="AF3589" s="4">
        <v>0</v>
      </c>
      <c r="AG3589" s="4">
        <v>0</v>
      </c>
      <c r="AH3589" s="4">
        <v>22</v>
      </c>
      <c r="AI3589" s="4">
        <v>22</v>
      </c>
      <c r="AJ3589" s="4">
        <v>1</v>
      </c>
      <c r="AK3589" s="4">
        <v>1</v>
      </c>
      <c r="AL3589" s="4">
        <v>19</v>
      </c>
      <c r="AM3589" s="4">
        <v>19</v>
      </c>
      <c r="AN3589" s="4">
        <v>0</v>
      </c>
      <c r="AO3589" s="4">
        <v>0</v>
      </c>
      <c r="AP3589" s="4">
        <v>1</v>
      </c>
      <c r="AQ3589" s="4">
        <v>1</v>
      </c>
      <c r="AR3589" s="3" t="s">
        <v>64</v>
      </c>
      <c r="AS3589" s="3" t="s">
        <v>64</v>
      </c>
      <c r="AT3589" s="3" t="s">
        <v>64</v>
      </c>
      <c r="AV3589" s="6" t="str">
        <f>HYPERLINK("http://mcgill.on.worldcat.org/oclc/911401108","Catalog Record")</f>
        <v>Catalog Record</v>
      </c>
      <c r="AW3589" s="6" t="str">
        <f>HYPERLINK("http://www.worldcat.org/oclc/911401108","WorldCat Record")</f>
        <v>WorldCat Record</v>
      </c>
      <c r="AX3589" s="3" t="s">
        <v>35826</v>
      </c>
      <c r="AY3589" s="3" t="s">
        <v>35827</v>
      </c>
      <c r="AZ3589" s="3" t="s">
        <v>35828</v>
      </c>
      <c r="BA3589" s="3" t="s">
        <v>35828</v>
      </c>
      <c r="BB3589" s="3" t="s">
        <v>35829</v>
      </c>
      <c r="BC3589" s="3" t="s">
        <v>77</v>
      </c>
      <c r="BD3589" s="3" t="s">
        <v>78</v>
      </c>
      <c r="BE3589" s="3" t="s">
        <v>35830</v>
      </c>
      <c r="BF3589" s="3" t="s">
        <v>35829</v>
      </c>
      <c r="BG3589" s="3" t="s">
        <v>35831</v>
      </c>
      <c r="BH3589">
        <f t="shared" si="86"/>
        <v>0</v>
      </c>
    </row>
    <row r="3590" spans="1:60" ht="58" x14ac:dyDescent="0.35">
      <c r="A3590" s="2" t="s">
        <v>59</v>
      </c>
      <c r="B3590" s="2" t="s">
        <v>60</v>
      </c>
      <c r="C3590" s="2" t="s">
        <v>35832</v>
      </c>
      <c r="D3590" s="2" t="s">
        <v>35833</v>
      </c>
      <c r="E3590" s="2" t="s">
        <v>35834</v>
      </c>
      <c r="F3590" s="3" t="s">
        <v>35835</v>
      </c>
      <c r="G3590" s="3" t="s">
        <v>128</v>
      </c>
      <c r="I3590" s="3" t="s">
        <v>64</v>
      </c>
      <c r="J3590" s="3" t="s">
        <v>64</v>
      </c>
      <c r="K3590" s="3" t="s">
        <v>65</v>
      </c>
      <c r="M3590" s="2" t="s">
        <v>35836</v>
      </c>
      <c r="N3590" s="3" t="s">
        <v>2067</v>
      </c>
      <c r="P3590" s="3" t="s">
        <v>944</v>
      </c>
      <c r="R3590" s="3" t="s">
        <v>70</v>
      </c>
      <c r="S3590" s="4">
        <v>1</v>
      </c>
      <c r="T3590" s="4">
        <v>2</v>
      </c>
      <c r="U3590" s="5" t="s">
        <v>4369</v>
      </c>
      <c r="V3590" s="5" t="s">
        <v>4369</v>
      </c>
      <c r="W3590" s="5" t="s">
        <v>72</v>
      </c>
      <c r="X3590" s="5" t="s">
        <v>72</v>
      </c>
      <c r="Y3590" s="4">
        <v>20</v>
      </c>
      <c r="Z3590" s="4">
        <v>5</v>
      </c>
      <c r="AA3590" s="4">
        <v>6</v>
      </c>
      <c r="AB3590" s="4">
        <v>2</v>
      </c>
      <c r="AC3590" s="4">
        <v>2</v>
      </c>
      <c r="AD3590" s="4">
        <v>7</v>
      </c>
      <c r="AE3590" s="4">
        <v>7</v>
      </c>
      <c r="AF3590" s="4">
        <v>0</v>
      </c>
      <c r="AG3590" s="4">
        <v>0</v>
      </c>
      <c r="AH3590" s="4">
        <v>7</v>
      </c>
      <c r="AI3590" s="4">
        <v>7</v>
      </c>
      <c r="AJ3590" s="4">
        <v>2</v>
      </c>
      <c r="AK3590" s="4">
        <v>2</v>
      </c>
      <c r="AL3590" s="4">
        <v>4</v>
      </c>
      <c r="AM3590" s="4">
        <v>4</v>
      </c>
      <c r="AN3590" s="4">
        <v>0</v>
      </c>
      <c r="AO3590" s="4">
        <v>0</v>
      </c>
      <c r="AP3590" s="4">
        <v>2</v>
      </c>
      <c r="AQ3590" s="4">
        <v>2</v>
      </c>
      <c r="AR3590" s="3" t="s">
        <v>64</v>
      </c>
      <c r="AS3590" s="3" t="s">
        <v>64</v>
      </c>
      <c r="AT3590" s="3" t="s">
        <v>64</v>
      </c>
      <c r="AV3590" s="6" t="str">
        <f>HYPERLINK("http://mcgill.on.worldcat.org/oclc/27685674","Catalog Record")</f>
        <v>Catalog Record</v>
      </c>
      <c r="AW3590" s="6" t="str">
        <f>HYPERLINK("http://www.worldcat.org/oclc/27685674","WorldCat Record")</f>
        <v>WorldCat Record</v>
      </c>
      <c r="AX3590" s="3" t="s">
        <v>35837</v>
      </c>
      <c r="AY3590" s="3" t="s">
        <v>35838</v>
      </c>
      <c r="AZ3590" s="3" t="s">
        <v>35839</v>
      </c>
      <c r="BA3590" s="3" t="s">
        <v>35839</v>
      </c>
      <c r="BB3590" s="3" t="s">
        <v>35840</v>
      </c>
      <c r="BC3590" s="3" t="s">
        <v>77</v>
      </c>
      <c r="BD3590" s="3" t="s">
        <v>78</v>
      </c>
      <c r="BE3590" s="3" t="s">
        <v>35841</v>
      </c>
      <c r="BF3590" s="3" t="s">
        <v>35840</v>
      </c>
      <c r="BG3590" s="3" t="s">
        <v>35842</v>
      </c>
      <c r="BH3590">
        <f t="shared" si="86"/>
        <v>0</v>
      </c>
    </row>
    <row r="3591" spans="1:60" ht="58" x14ac:dyDescent="0.35">
      <c r="A3591" s="2" t="s">
        <v>59</v>
      </c>
      <c r="B3591" s="2" t="s">
        <v>60</v>
      </c>
      <c r="C3591" s="2" t="s">
        <v>35832</v>
      </c>
      <c r="D3591" s="2" t="s">
        <v>35833</v>
      </c>
      <c r="E3591" s="2" t="s">
        <v>35834</v>
      </c>
      <c r="F3591" s="3" t="s">
        <v>35843</v>
      </c>
      <c r="G3591" s="3" t="s">
        <v>128</v>
      </c>
      <c r="I3591" s="3" t="s">
        <v>64</v>
      </c>
      <c r="J3591" s="3" t="s">
        <v>64</v>
      </c>
      <c r="K3591" s="3" t="s">
        <v>65</v>
      </c>
      <c r="M3591" s="2" t="s">
        <v>35836</v>
      </c>
      <c r="N3591" s="3" t="s">
        <v>2067</v>
      </c>
      <c r="P3591" s="3" t="s">
        <v>944</v>
      </c>
      <c r="R3591" s="3" t="s">
        <v>70</v>
      </c>
      <c r="S3591" s="4">
        <v>1</v>
      </c>
      <c r="T3591" s="4">
        <v>2</v>
      </c>
      <c r="U3591" s="5" t="s">
        <v>4369</v>
      </c>
      <c r="V3591" s="5" t="s">
        <v>4369</v>
      </c>
      <c r="W3591" s="5" t="s">
        <v>72</v>
      </c>
      <c r="X3591" s="5" t="s">
        <v>72</v>
      </c>
      <c r="Y3591" s="4">
        <v>20</v>
      </c>
      <c r="Z3591" s="4">
        <v>5</v>
      </c>
      <c r="AA3591" s="4">
        <v>6</v>
      </c>
      <c r="AB3591" s="4">
        <v>2</v>
      </c>
      <c r="AC3591" s="4">
        <v>2</v>
      </c>
      <c r="AD3591" s="4">
        <v>7</v>
      </c>
      <c r="AE3591" s="4">
        <v>7</v>
      </c>
      <c r="AF3591" s="4">
        <v>0</v>
      </c>
      <c r="AG3591" s="4">
        <v>0</v>
      </c>
      <c r="AH3591" s="4">
        <v>7</v>
      </c>
      <c r="AI3591" s="4">
        <v>7</v>
      </c>
      <c r="AJ3591" s="4">
        <v>2</v>
      </c>
      <c r="AK3591" s="4">
        <v>2</v>
      </c>
      <c r="AL3591" s="4">
        <v>4</v>
      </c>
      <c r="AM3591" s="4">
        <v>4</v>
      </c>
      <c r="AN3591" s="4">
        <v>0</v>
      </c>
      <c r="AO3591" s="4">
        <v>0</v>
      </c>
      <c r="AP3591" s="4">
        <v>2</v>
      </c>
      <c r="AQ3591" s="4">
        <v>2</v>
      </c>
      <c r="AR3591" s="3" t="s">
        <v>64</v>
      </c>
      <c r="AS3591" s="3" t="s">
        <v>64</v>
      </c>
      <c r="AT3591" s="3" t="s">
        <v>64</v>
      </c>
      <c r="AV3591" s="6" t="str">
        <f>HYPERLINK("http://mcgill.on.worldcat.org/oclc/27685674","Catalog Record")</f>
        <v>Catalog Record</v>
      </c>
      <c r="AW3591" s="6" t="str">
        <f>HYPERLINK("http://www.worldcat.org/oclc/27685674","WorldCat Record")</f>
        <v>WorldCat Record</v>
      </c>
      <c r="AX3591" s="3" t="s">
        <v>35837</v>
      </c>
      <c r="AY3591" s="3" t="s">
        <v>35838</v>
      </c>
      <c r="AZ3591" s="3" t="s">
        <v>35839</v>
      </c>
      <c r="BA3591" s="3" t="s">
        <v>35839</v>
      </c>
      <c r="BB3591" s="3" t="s">
        <v>35844</v>
      </c>
      <c r="BC3591" s="3" t="s">
        <v>77</v>
      </c>
      <c r="BD3591" s="3" t="s">
        <v>78</v>
      </c>
      <c r="BE3591" s="3" t="s">
        <v>35841</v>
      </c>
      <c r="BF3591" s="3" t="s">
        <v>35844</v>
      </c>
      <c r="BG3591" s="3" t="s">
        <v>35845</v>
      </c>
      <c r="BH3591">
        <f t="shared" si="86"/>
        <v>0</v>
      </c>
    </row>
    <row r="3592" spans="1:60" ht="58" x14ac:dyDescent="0.35">
      <c r="A3592" s="2" t="s">
        <v>59</v>
      </c>
      <c r="B3592" s="2" t="s">
        <v>60</v>
      </c>
      <c r="C3592" s="2" t="s">
        <v>35846</v>
      </c>
      <c r="D3592" s="2" t="s">
        <v>35847</v>
      </c>
      <c r="E3592" s="2" t="s">
        <v>35848</v>
      </c>
      <c r="G3592" s="3" t="s">
        <v>64</v>
      </c>
      <c r="I3592" s="3" t="s">
        <v>64</v>
      </c>
      <c r="J3592" s="3" t="s">
        <v>64</v>
      </c>
      <c r="K3592" s="3" t="s">
        <v>65</v>
      </c>
      <c r="L3592" s="2" t="s">
        <v>35849</v>
      </c>
      <c r="M3592" s="2" t="s">
        <v>35850</v>
      </c>
      <c r="N3592" s="3" t="s">
        <v>5262</v>
      </c>
      <c r="O3592" s="2" t="s">
        <v>3468</v>
      </c>
      <c r="P3592" s="3" t="s">
        <v>102</v>
      </c>
      <c r="R3592" s="3" t="s">
        <v>70</v>
      </c>
      <c r="S3592" s="4">
        <v>14</v>
      </c>
      <c r="T3592" s="4">
        <v>14</v>
      </c>
      <c r="U3592" s="5" t="s">
        <v>33380</v>
      </c>
      <c r="V3592" s="5" t="s">
        <v>33380</v>
      </c>
      <c r="W3592" s="5" t="s">
        <v>72</v>
      </c>
      <c r="X3592" s="5" t="s">
        <v>72</v>
      </c>
      <c r="Y3592" s="4">
        <v>87</v>
      </c>
      <c r="Z3592" s="4">
        <v>8</v>
      </c>
      <c r="AA3592" s="4">
        <v>14</v>
      </c>
      <c r="AB3592" s="4">
        <v>1</v>
      </c>
      <c r="AC3592" s="4">
        <v>1</v>
      </c>
      <c r="AD3592" s="4">
        <v>44</v>
      </c>
      <c r="AE3592" s="4">
        <v>51</v>
      </c>
      <c r="AF3592" s="4">
        <v>0</v>
      </c>
      <c r="AG3592" s="4">
        <v>0</v>
      </c>
      <c r="AH3592" s="4">
        <v>40</v>
      </c>
      <c r="AI3592" s="4">
        <v>44</v>
      </c>
      <c r="AJ3592" s="4">
        <v>5</v>
      </c>
      <c r="AK3592" s="4">
        <v>11</v>
      </c>
      <c r="AL3592" s="4">
        <v>21</v>
      </c>
      <c r="AM3592" s="4">
        <v>21</v>
      </c>
      <c r="AN3592" s="4">
        <v>0</v>
      </c>
      <c r="AO3592" s="4">
        <v>0</v>
      </c>
      <c r="AP3592" s="4">
        <v>7</v>
      </c>
      <c r="AQ3592" s="4">
        <v>13</v>
      </c>
      <c r="AR3592" s="3" t="s">
        <v>64</v>
      </c>
      <c r="AS3592" s="3" t="s">
        <v>64</v>
      </c>
      <c r="AT3592" s="3" t="s">
        <v>128</v>
      </c>
      <c r="AU3592" s="6" t="str">
        <f>HYPERLINK("http://catalog.hathitrust.org/Record/006193463","HathiTrust Record")</f>
        <v>HathiTrust Record</v>
      </c>
      <c r="AV3592" s="6" t="str">
        <f>HYPERLINK("http://mcgill.on.worldcat.org/oclc/2398459","Catalog Record")</f>
        <v>Catalog Record</v>
      </c>
      <c r="AW3592" s="6" t="str">
        <f>HYPERLINK("http://www.worldcat.org/oclc/2398459","WorldCat Record")</f>
        <v>WorldCat Record</v>
      </c>
      <c r="AX3592" s="3" t="s">
        <v>35851</v>
      </c>
      <c r="AY3592" s="3" t="s">
        <v>35852</v>
      </c>
      <c r="AZ3592" s="3" t="s">
        <v>35853</v>
      </c>
      <c r="BA3592" s="3" t="s">
        <v>35853</v>
      </c>
      <c r="BB3592" s="3" t="s">
        <v>35854</v>
      </c>
      <c r="BC3592" s="3" t="s">
        <v>77</v>
      </c>
      <c r="BD3592" s="3" t="s">
        <v>78</v>
      </c>
      <c r="BF3592" s="3" t="s">
        <v>35854</v>
      </c>
      <c r="BG3592" s="3" t="s">
        <v>35855</v>
      </c>
      <c r="BH3592">
        <f t="shared" si="86"/>
        <v>0</v>
      </c>
    </row>
    <row r="3593" spans="1:60" ht="58" x14ac:dyDescent="0.35">
      <c r="A3593" s="2" t="s">
        <v>59</v>
      </c>
      <c r="B3593" s="2" t="s">
        <v>60</v>
      </c>
      <c r="C3593" s="2" t="s">
        <v>35856</v>
      </c>
      <c r="D3593" s="2" t="s">
        <v>35857</v>
      </c>
      <c r="E3593" s="2" t="s">
        <v>35858</v>
      </c>
      <c r="G3593" s="3" t="s">
        <v>64</v>
      </c>
      <c r="I3593" s="3" t="s">
        <v>64</v>
      </c>
      <c r="J3593" s="3" t="s">
        <v>64</v>
      </c>
      <c r="K3593" s="3" t="s">
        <v>65</v>
      </c>
      <c r="L3593" s="2" t="s">
        <v>35859</v>
      </c>
      <c r="M3593" s="2" t="s">
        <v>35860</v>
      </c>
      <c r="N3593" s="3" t="s">
        <v>898</v>
      </c>
      <c r="O3593" s="2" t="s">
        <v>745</v>
      </c>
      <c r="P3593" s="3" t="s">
        <v>102</v>
      </c>
      <c r="Q3593" s="2" t="s">
        <v>35861</v>
      </c>
      <c r="R3593" s="3" t="s">
        <v>70</v>
      </c>
      <c r="S3593" s="4">
        <v>12</v>
      </c>
      <c r="T3593" s="4">
        <v>12</v>
      </c>
      <c r="U3593" s="5" t="s">
        <v>2115</v>
      </c>
      <c r="V3593" s="5" t="s">
        <v>2115</v>
      </c>
      <c r="W3593" s="5" t="s">
        <v>72</v>
      </c>
      <c r="X3593" s="5" t="s">
        <v>72</v>
      </c>
      <c r="Y3593" s="4">
        <v>204</v>
      </c>
      <c r="Z3593" s="4">
        <v>8</v>
      </c>
      <c r="AA3593" s="4">
        <v>10</v>
      </c>
      <c r="AB3593" s="4">
        <v>1</v>
      </c>
      <c r="AC3593" s="4">
        <v>1</v>
      </c>
      <c r="AD3593" s="4">
        <v>66</v>
      </c>
      <c r="AE3593" s="4">
        <v>67</v>
      </c>
      <c r="AF3593" s="4">
        <v>0</v>
      </c>
      <c r="AG3593" s="4">
        <v>0</v>
      </c>
      <c r="AH3593" s="4">
        <v>61</v>
      </c>
      <c r="AI3593" s="4">
        <v>62</v>
      </c>
      <c r="AJ3593" s="4">
        <v>7</v>
      </c>
      <c r="AK3593" s="4">
        <v>8</v>
      </c>
      <c r="AL3593" s="4">
        <v>38</v>
      </c>
      <c r="AM3593" s="4">
        <v>39</v>
      </c>
      <c r="AN3593" s="4">
        <v>3</v>
      </c>
      <c r="AO3593" s="4">
        <v>3</v>
      </c>
      <c r="AP3593" s="4">
        <v>7</v>
      </c>
      <c r="AQ3593" s="4">
        <v>8</v>
      </c>
      <c r="AR3593" s="3" t="s">
        <v>64</v>
      </c>
      <c r="AS3593" s="3" t="s">
        <v>64</v>
      </c>
      <c r="AT3593" s="3" t="s">
        <v>128</v>
      </c>
      <c r="AU3593" s="6" t="str">
        <f>HYPERLINK("http://catalog.hathitrust.org/Record/000262410","HathiTrust Record")</f>
        <v>HathiTrust Record</v>
      </c>
      <c r="AV3593" s="6" t="str">
        <f>HYPERLINK("http://mcgill.on.worldcat.org/oclc/7248446","Catalog Record")</f>
        <v>Catalog Record</v>
      </c>
      <c r="AW3593" s="6" t="str">
        <f>HYPERLINK("http://www.worldcat.org/oclc/7248446","WorldCat Record")</f>
        <v>WorldCat Record</v>
      </c>
      <c r="AX3593" s="3" t="s">
        <v>35862</v>
      </c>
      <c r="AY3593" s="3" t="s">
        <v>35863</v>
      </c>
      <c r="AZ3593" s="3" t="s">
        <v>35864</v>
      </c>
      <c r="BA3593" s="3" t="s">
        <v>35864</v>
      </c>
      <c r="BB3593" s="3" t="s">
        <v>35865</v>
      </c>
      <c r="BC3593" s="3" t="s">
        <v>77</v>
      </c>
      <c r="BD3593" s="3" t="s">
        <v>78</v>
      </c>
      <c r="BE3593" s="3" t="s">
        <v>35866</v>
      </c>
      <c r="BF3593" s="3" t="s">
        <v>35865</v>
      </c>
      <c r="BG3593" s="3" t="s">
        <v>35867</v>
      </c>
      <c r="BH3593">
        <f t="shared" si="86"/>
        <v>0</v>
      </c>
    </row>
    <row r="3594" spans="1:60" ht="58" x14ac:dyDescent="0.35">
      <c r="A3594" s="2" t="s">
        <v>59</v>
      </c>
      <c r="B3594" s="2" t="s">
        <v>60</v>
      </c>
      <c r="C3594" s="2" t="s">
        <v>35868</v>
      </c>
      <c r="D3594" s="2" t="s">
        <v>35869</v>
      </c>
      <c r="E3594" s="2" t="s">
        <v>35870</v>
      </c>
      <c r="G3594" s="3" t="s">
        <v>64</v>
      </c>
      <c r="I3594" s="3" t="s">
        <v>128</v>
      </c>
      <c r="J3594" s="3" t="s">
        <v>64</v>
      </c>
      <c r="K3594" s="3" t="s">
        <v>65</v>
      </c>
      <c r="M3594" s="2" t="s">
        <v>35871</v>
      </c>
      <c r="N3594" s="3" t="s">
        <v>1075</v>
      </c>
      <c r="P3594" s="3" t="s">
        <v>68</v>
      </c>
      <c r="R3594" s="3" t="s">
        <v>70</v>
      </c>
      <c r="S3594" s="4">
        <v>6</v>
      </c>
      <c r="T3594" s="4">
        <v>6</v>
      </c>
      <c r="U3594" s="5" t="s">
        <v>1453</v>
      </c>
      <c r="V3594" s="5" t="s">
        <v>1453</v>
      </c>
      <c r="W3594" s="5" t="s">
        <v>72</v>
      </c>
      <c r="X3594" s="5" t="s">
        <v>72</v>
      </c>
      <c r="Y3594" s="4">
        <v>11</v>
      </c>
      <c r="Z3594" s="4">
        <v>4</v>
      </c>
      <c r="AA3594" s="4">
        <v>10</v>
      </c>
      <c r="AB3594" s="4">
        <v>2</v>
      </c>
      <c r="AC3594" s="4">
        <v>7</v>
      </c>
      <c r="AD3594" s="4">
        <v>4</v>
      </c>
      <c r="AE3594" s="4">
        <v>8</v>
      </c>
      <c r="AF3594" s="4">
        <v>0</v>
      </c>
      <c r="AG3594" s="4">
        <v>3</v>
      </c>
      <c r="AH3594" s="4">
        <v>4</v>
      </c>
      <c r="AI3594" s="4">
        <v>6</v>
      </c>
      <c r="AJ3594" s="4">
        <v>1</v>
      </c>
      <c r="AK3594" s="4">
        <v>5</v>
      </c>
      <c r="AL3594" s="4">
        <v>3</v>
      </c>
      <c r="AM3594" s="4">
        <v>3</v>
      </c>
      <c r="AN3594" s="4">
        <v>0</v>
      </c>
      <c r="AO3594" s="4">
        <v>0</v>
      </c>
      <c r="AP3594" s="4">
        <v>1</v>
      </c>
      <c r="AQ3594" s="4">
        <v>4</v>
      </c>
      <c r="AR3594" s="3" t="s">
        <v>128</v>
      </c>
      <c r="AS3594" s="3" t="s">
        <v>64</v>
      </c>
      <c r="AT3594" s="3" t="s">
        <v>64</v>
      </c>
      <c r="AV3594" s="6" t="str">
        <f>HYPERLINK("http://mcgill.on.worldcat.org/oclc/844812544","Catalog Record")</f>
        <v>Catalog Record</v>
      </c>
      <c r="AW3594" s="6" t="str">
        <f>HYPERLINK("http://www.worldcat.org/oclc/844812544","WorldCat Record")</f>
        <v>WorldCat Record</v>
      </c>
      <c r="AX3594" s="3" t="s">
        <v>35872</v>
      </c>
      <c r="AY3594" s="3" t="s">
        <v>35873</v>
      </c>
      <c r="AZ3594" s="3" t="s">
        <v>35874</v>
      </c>
      <c r="BA3594" s="3" t="s">
        <v>35874</v>
      </c>
      <c r="BB3594" s="3" t="s">
        <v>35875</v>
      </c>
      <c r="BC3594" s="3" t="s">
        <v>77</v>
      </c>
      <c r="BD3594" s="3" t="s">
        <v>78</v>
      </c>
      <c r="BE3594" s="3" t="s">
        <v>35876</v>
      </c>
      <c r="BF3594" s="3" t="s">
        <v>35875</v>
      </c>
      <c r="BG3594" s="3" t="s">
        <v>35877</v>
      </c>
      <c r="BH3594">
        <f t="shared" si="86"/>
        <v>0</v>
      </c>
    </row>
    <row r="3595" spans="1:60" ht="116" x14ac:dyDescent="0.35">
      <c r="A3595" s="2" t="s">
        <v>59</v>
      </c>
      <c r="B3595" s="2" t="s">
        <v>1183</v>
      </c>
      <c r="C3595" s="2" t="s">
        <v>35878</v>
      </c>
      <c r="D3595" s="2" t="s">
        <v>35879</v>
      </c>
      <c r="E3595" s="2" t="s">
        <v>35880</v>
      </c>
      <c r="G3595" s="3" t="s">
        <v>64</v>
      </c>
      <c r="I3595" s="3" t="s">
        <v>64</v>
      </c>
      <c r="J3595" s="3" t="s">
        <v>64</v>
      </c>
      <c r="K3595" s="3" t="s">
        <v>65</v>
      </c>
      <c r="L3595" s="2" t="s">
        <v>35881</v>
      </c>
      <c r="M3595" s="2" t="s">
        <v>35882</v>
      </c>
      <c r="N3595" s="3" t="s">
        <v>86</v>
      </c>
      <c r="O3595" s="2" t="s">
        <v>35883</v>
      </c>
      <c r="P3595" s="3" t="s">
        <v>1190</v>
      </c>
      <c r="Q3595" s="2" t="s">
        <v>35884</v>
      </c>
      <c r="R3595" s="3" t="s">
        <v>70</v>
      </c>
      <c r="S3595" s="4">
        <v>0</v>
      </c>
      <c r="T3595" s="4">
        <v>0</v>
      </c>
      <c r="W3595" s="5" t="s">
        <v>72</v>
      </c>
      <c r="X3595" s="5" t="s">
        <v>72</v>
      </c>
      <c r="Y3595" s="4">
        <v>17</v>
      </c>
      <c r="Z3595" s="4">
        <v>3</v>
      </c>
      <c r="AA3595" s="4">
        <v>3</v>
      </c>
      <c r="AB3595" s="4">
        <v>1</v>
      </c>
      <c r="AC3595" s="4">
        <v>1</v>
      </c>
      <c r="AD3595" s="4">
        <v>8</v>
      </c>
      <c r="AE3595" s="4">
        <v>8</v>
      </c>
      <c r="AF3595" s="4">
        <v>0</v>
      </c>
      <c r="AG3595" s="4">
        <v>0</v>
      </c>
      <c r="AH3595" s="4">
        <v>8</v>
      </c>
      <c r="AI3595" s="4">
        <v>8</v>
      </c>
      <c r="AJ3595" s="4">
        <v>1</v>
      </c>
      <c r="AK3595" s="4">
        <v>1</v>
      </c>
      <c r="AL3595" s="4">
        <v>7</v>
      </c>
      <c r="AM3595" s="4">
        <v>7</v>
      </c>
      <c r="AN3595" s="4">
        <v>0</v>
      </c>
      <c r="AO3595" s="4">
        <v>0</v>
      </c>
      <c r="AP3595" s="4">
        <v>1</v>
      </c>
      <c r="AQ3595" s="4">
        <v>1</v>
      </c>
      <c r="AR3595" s="3" t="s">
        <v>64</v>
      </c>
      <c r="AS3595" s="3" t="s">
        <v>64</v>
      </c>
      <c r="AT3595" s="3" t="s">
        <v>64</v>
      </c>
      <c r="AV3595" s="6" t="str">
        <f>HYPERLINK("http://mcgill.on.worldcat.org/oclc/819061709","Catalog Record")</f>
        <v>Catalog Record</v>
      </c>
      <c r="AW3595" s="6" t="str">
        <f>HYPERLINK("http://www.worldcat.org/oclc/819061709","WorldCat Record")</f>
        <v>WorldCat Record</v>
      </c>
      <c r="AX3595" s="3" t="s">
        <v>35885</v>
      </c>
      <c r="AY3595" s="3" t="s">
        <v>35886</v>
      </c>
      <c r="AZ3595" s="3" t="s">
        <v>35887</v>
      </c>
      <c r="BA3595" s="3" t="s">
        <v>35887</v>
      </c>
      <c r="BB3595" s="3" t="s">
        <v>35888</v>
      </c>
      <c r="BC3595" s="3" t="s">
        <v>77</v>
      </c>
      <c r="BD3595" s="3" t="s">
        <v>78</v>
      </c>
      <c r="BE3595" s="3" t="s">
        <v>35889</v>
      </c>
      <c r="BF3595" s="3" t="s">
        <v>35888</v>
      </c>
      <c r="BG3595" s="3" t="s">
        <v>35890</v>
      </c>
      <c r="BH3595">
        <f t="shared" si="86"/>
        <v>0</v>
      </c>
    </row>
    <row r="3596" spans="1:60" ht="58" x14ac:dyDescent="0.35">
      <c r="A3596" s="2" t="s">
        <v>59</v>
      </c>
      <c r="B3596" s="2" t="s">
        <v>60</v>
      </c>
      <c r="C3596" s="2" t="s">
        <v>35891</v>
      </c>
      <c r="D3596" s="2" t="s">
        <v>35892</v>
      </c>
      <c r="E3596" s="2" t="s">
        <v>35893</v>
      </c>
      <c r="G3596" s="3" t="s">
        <v>64</v>
      </c>
      <c r="I3596" s="3" t="s">
        <v>64</v>
      </c>
      <c r="J3596" s="3" t="s">
        <v>64</v>
      </c>
      <c r="K3596" s="3" t="s">
        <v>65</v>
      </c>
      <c r="M3596" s="2" t="s">
        <v>35824</v>
      </c>
      <c r="N3596" s="3" t="s">
        <v>253</v>
      </c>
      <c r="P3596" s="3" t="s">
        <v>365</v>
      </c>
      <c r="Q3596" s="2" t="s">
        <v>35894</v>
      </c>
      <c r="R3596" s="3" t="s">
        <v>70</v>
      </c>
      <c r="S3596" s="4">
        <v>0</v>
      </c>
      <c r="T3596" s="4">
        <v>0</v>
      </c>
      <c r="W3596" s="5" t="s">
        <v>72</v>
      </c>
      <c r="X3596" s="5" t="s">
        <v>72</v>
      </c>
      <c r="Y3596" s="4">
        <v>40</v>
      </c>
      <c r="Z3596" s="4">
        <v>3</v>
      </c>
      <c r="AA3596" s="4">
        <v>3</v>
      </c>
      <c r="AB3596" s="4">
        <v>1</v>
      </c>
      <c r="AC3596" s="4">
        <v>1</v>
      </c>
      <c r="AD3596" s="4">
        <v>26</v>
      </c>
      <c r="AE3596" s="4">
        <v>26</v>
      </c>
      <c r="AF3596" s="4">
        <v>0</v>
      </c>
      <c r="AG3596" s="4">
        <v>0</v>
      </c>
      <c r="AH3596" s="4">
        <v>25</v>
      </c>
      <c r="AI3596" s="4">
        <v>25</v>
      </c>
      <c r="AJ3596" s="4">
        <v>1</v>
      </c>
      <c r="AK3596" s="4">
        <v>1</v>
      </c>
      <c r="AL3596" s="4">
        <v>21</v>
      </c>
      <c r="AM3596" s="4">
        <v>21</v>
      </c>
      <c r="AN3596" s="4">
        <v>0</v>
      </c>
      <c r="AO3596" s="4">
        <v>0</v>
      </c>
      <c r="AP3596" s="4">
        <v>1</v>
      </c>
      <c r="AQ3596" s="4">
        <v>1</v>
      </c>
      <c r="AR3596" s="3" t="s">
        <v>64</v>
      </c>
      <c r="AS3596" s="3" t="s">
        <v>64</v>
      </c>
      <c r="AT3596" s="3" t="s">
        <v>64</v>
      </c>
      <c r="AV3596" s="6" t="str">
        <f>HYPERLINK("http://mcgill.on.worldcat.org/oclc/918932273","Catalog Record")</f>
        <v>Catalog Record</v>
      </c>
      <c r="AW3596" s="6" t="str">
        <f>HYPERLINK("http://www.worldcat.org/oclc/918932273","WorldCat Record")</f>
        <v>WorldCat Record</v>
      </c>
      <c r="AX3596" s="3" t="s">
        <v>35895</v>
      </c>
      <c r="AY3596" s="3" t="s">
        <v>35896</v>
      </c>
      <c r="AZ3596" s="3" t="s">
        <v>35897</v>
      </c>
      <c r="BA3596" s="3" t="s">
        <v>35897</v>
      </c>
      <c r="BB3596" s="3" t="s">
        <v>35898</v>
      </c>
      <c r="BC3596" s="3" t="s">
        <v>77</v>
      </c>
      <c r="BD3596" s="3" t="s">
        <v>78</v>
      </c>
      <c r="BE3596" s="3" t="s">
        <v>35899</v>
      </c>
      <c r="BF3596" s="3" t="s">
        <v>35898</v>
      </c>
      <c r="BG3596" s="3" t="s">
        <v>35900</v>
      </c>
      <c r="BH3596">
        <f t="shared" si="86"/>
        <v>0</v>
      </c>
    </row>
    <row r="3597" spans="1:60" ht="58" x14ac:dyDescent="0.35">
      <c r="A3597" s="2" t="s">
        <v>59</v>
      </c>
      <c r="B3597" s="2" t="s">
        <v>60</v>
      </c>
      <c r="C3597" s="2" t="s">
        <v>35901</v>
      </c>
      <c r="D3597" s="2" t="s">
        <v>35902</v>
      </c>
      <c r="E3597" s="2" t="s">
        <v>35903</v>
      </c>
      <c r="G3597" s="3" t="s">
        <v>64</v>
      </c>
      <c r="I3597" s="3" t="s">
        <v>64</v>
      </c>
      <c r="J3597" s="3" t="s">
        <v>64</v>
      </c>
      <c r="K3597" s="3" t="s">
        <v>65</v>
      </c>
      <c r="L3597" s="2" t="s">
        <v>35904</v>
      </c>
      <c r="M3597" s="2" t="s">
        <v>35905</v>
      </c>
      <c r="N3597" s="3" t="s">
        <v>768</v>
      </c>
      <c r="P3597" s="3" t="s">
        <v>102</v>
      </c>
      <c r="R3597" s="3" t="s">
        <v>70</v>
      </c>
      <c r="S3597" s="4">
        <v>14</v>
      </c>
      <c r="T3597" s="4">
        <v>14</v>
      </c>
      <c r="U3597" s="5" t="s">
        <v>11650</v>
      </c>
      <c r="V3597" s="5" t="s">
        <v>11650</v>
      </c>
      <c r="W3597" s="5" t="s">
        <v>72</v>
      </c>
      <c r="X3597" s="5" t="s">
        <v>72</v>
      </c>
      <c r="Y3597" s="4">
        <v>316</v>
      </c>
      <c r="Z3597" s="4">
        <v>16</v>
      </c>
      <c r="AA3597" s="4">
        <v>16</v>
      </c>
      <c r="AB3597" s="4">
        <v>1</v>
      </c>
      <c r="AC3597" s="4">
        <v>1</v>
      </c>
      <c r="AD3597" s="4">
        <v>101</v>
      </c>
      <c r="AE3597" s="4">
        <v>101</v>
      </c>
      <c r="AF3597" s="4">
        <v>0</v>
      </c>
      <c r="AG3597" s="4">
        <v>0</v>
      </c>
      <c r="AH3597" s="4">
        <v>93</v>
      </c>
      <c r="AI3597" s="4">
        <v>93</v>
      </c>
      <c r="AJ3597" s="4">
        <v>13</v>
      </c>
      <c r="AK3597" s="4">
        <v>13</v>
      </c>
      <c r="AL3597" s="4">
        <v>54</v>
      </c>
      <c r="AM3597" s="4">
        <v>54</v>
      </c>
      <c r="AN3597" s="4">
        <v>0</v>
      </c>
      <c r="AO3597" s="4">
        <v>0</v>
      </c>
      <c r="AP3597" s="4">
        <v>13</v>
      </c>
      <c r="AQ3597" s="4">
        <v>13</v>
      </c>
      <c r="AR3597" s="3" t="s">
        <v>64</v>
      </c>
      <c r="AS3597" s="3" t="s">
        <v>64</v>
      </c>
      <c r="AT3597" s="3" t="s">
        <v>64</v>
      </c>
      <c r="AV3597" s="6" t="str">
        <f>HYPERLINK("http://mcgill.on.worldcat.org/oclc/3607735","Catalog Record")</f>
        <v>Catalog Record</v>
      </c>
      <c r="AW3597" s="6" t="str">
        <f>HYPERLINK("http://www.worldcat.org/oclc/3607735","WorldCat Record")</f>
        <v>WorldCat Record</v>
      </c>
      <c r="AX3597" s="3" t="s">
        <v>35906</v>
      </c>
      <c r="AY3597" s="3" t="s">
        <v>35907</v>
      </c>
      <c r="AZ3597" s="3" t="s">
        <v>35908</v>
      </c>
      <c r="BA3597" s="3" t="s">
        <v>35908</v>
      </c>
      <c r="BB3597" s="3" t="s">
        <v>35909</v>
      </c>
      <c r="BC3597" s="3" t="s">
        <v>77</v>
      </c>
      <c r="BD3597" s="3" t="s">
        <v>78</v>
      </c>
      <c r="BE3597" s="3" t="s">
        <v>35910</v>
      </c>
      <c r="BF3597" s="3" t="s">
        <v>35909</v>
      </c>
      <c r="BG3597" s="3" t="s">
        <v>35911</v>
      </c>
      <c r="BH3597">
        <f t="shared" si="86"/>
        <v>0</v>
      </c>
    </row>
    <row r="3598" spans="1:60" ht="58" x14ac:dyDescent="0.35">
      <c r="A3598" s="2" t="s">
        <v>59</v>
      </c>
      <c r="B3598" s="2" t="s">
        <v>60</v>
      </c>
      <c r="C3598" s="2" t="s">
        <v>35912</v>
      </c>
      <c r="D3598" s="2" t="s">
        <v>35913</v>
      </c>
      <c r="E3598" s="2" t="s">
        <v>35914</v>
      </c>
      <c r="G3598" s="3" t="s">
        <v>64</v>
      </c>
      <c r="I3598" s="3" t="s">
        <v>64</v>
      </c>
      <c r="J3598" s="3" t="s">
        <v>64</v>
      </c>
      <c r="K3598" s="3" t="s">
        <v>65</v>
      </c>
      <c r="L3598" s="2" t="s">
        <v>35915</v>
      </c>
      <c r="M3598" s="2" t="s">
        <v>35916</v>
      </c>
      <c r="N3598" s="3" t="s">
        <v>326</v>
      </c>
      <c r="P3598" s="3" t="s">
        <v>102</v>
      </c>
      <c r="R3598" s="3" t="s">
        <v>70</v>
      </c>
      <c r="S3598" s="4">
        <v>0</v>
      </c>
      <c r="T3598" s="4">
        <v>0</v>
      </c>
      <c r="W3598" s="5" t="s">
        <v>72</v>
      </c>
      <c r="X3598" s="5" t="s">
        <v>72</v>
      </c>
      <c r="Y3598" s="4">
        <v>31</v>
      </c>
      <c r="Z3598" s="4">
        <v>2</v>
      </c>
      <c r="AA3598" s="4">
        <v>2</v>
      </c>
      <c r="AB3598" s="4">
        <v>1</v>
      </c>
      <c r="AC3598" s="4">
        <v>1</v>
      </c>
      <c r="AD3598" s="4">
        <v>11</v>
      </c>
      <c r="AE3598" s="4">
        <v>11</v>
      </c>
      <c r="AF3598" s="4">
        <v>0</v>
      </c>
      <c r="AG3598" s="4">
        <v>0</v>
      </c>
      <c r="AH3598" s="4">
        <v>11</v>
      </c>
      <c r="AI3598" s="4">
        <v>11</v>
      </c>
      <c r="AJ3598" s="4">
        <v>1</v>
      </c>
      <c r="AK3598" s="4">
        <v>1</v>
      </c>
      <c r="AL3598" s="4">
        <v>8</v>
      </c>
      <c r="AM3598" s="4">
        <v>8</v>
      </c>
      <c r="AN3598" s="4">
        <v>0</v>
      </c>
      <c r="AO3598" s="4">
        <v>0</v>
      </c>
      <c r="AP3598" s="4">
        <v>1</v>
      </c>
      <c r="AQ3598" s="4">
        <v>1</v>
      </c>
      <c r="AR3598" s="3" t="s">
        <v>64</v>
      </c>
      <c r="AS3598" s="3" t="s">
        <v>64</v>
      </c>
      <c r="AT3598" s="3" t="s">
        <v>64</v>
      </c>
      <c r="AV3598" s="6" t="str">
        <f>HYPERLINK("http://mcgill.on.worldcat.org/oclc/712067858","Catalog Record")</f>
        <v>Catalog Record</v>
      </c>
      <c r="AW3598" s="6" t="str">
        <f>HYPERLINK("http://www.worldcat.org/oclc/712067858","WorldCat Record")</f>
        <v>WorldCat Record</v>
      </c>
      <c r="AX3598" s="3" t="s">
        <v>35917</v>
      </c>
      <c r="AY3598" s="3" t="s">
        <v>35918</v>
      </c>
      <c r="AZ3598" s="3" t="s">
        <v>35919</v>
      </c>
      <c r="BA3598" s="3" t="s">
        <v>35919</v>
      </c>
      <c r="BB3598" s="3" t="s">
        <v>35920</v>
      </c>
      <c r="BC3598" s="3" t="s">
        <v>77</v>
      </c>
      <c r="BD3598" s="3" t="s">
        <v>78</v>
      </c>
      <c r="BE3598" s="3" t="s">
        <v>35921</v>
      </c>
      <c r="BF3598" s="3" t="s">
        <v>35920</v>
      </c>
      <c r="BG3598" s="3" t="s">
        <v>35922</v>
      </c>
      <c r="BH3598">
        <f t="shared" si="86"/>
        <v>0</v>
      </c>
    </row>
    <row r="3599" spans="1:60" ht="58" x14ac:dyDescent="0.35">
      <c r="A3599" s="2" t="s">
        <v>59</v>
      </c>
      <c r="B3599" s="2" t="s">
        <v>60</v>
      </c>
      <c r="C3599" s="2" t="s">
        <v>35923</v>
      </c>
      <c r="D3599" s="2" t="s">
        <v>35924</v>
      </c>
      <c r="E3599" s="2" t="s">
        <v>35925</v>
      </c>
      <c r="G3599" s="3" t="s">
        <v>64</v>
      </c>
      <c r="I3599" s="3" t="s">
        <v>64</v>
      </c>
      <c r="J3599" s="3" t="s">
        <v>64</v>
      </c>
      <c r="K3599" s="3" t="s">
        <v>65</v>
      </c>
      <c r="M3599" s="2" t="s">
        <v>35926</v>
      </c>
      <c r="N3599" s="3" t="s">
        <v>1075</v>
      </c>
      <c r="P3599" s="3" t="s">
        <v>102</v>
      </c>
      <c r="R3599" s="3" t="s">
        <v>70</v>
      </c>
      <c r="S3599" s="4">
        <v>1</v>
      </c>
      <c r="T3599" s="4">
        <v>1</v>
      </c>
      <c r="U3599" s="5" t="s">
        <v>35927</v>
      </c>
      <c r="V3599" s="5" t="s">
        <v>35927</v>
      </c>
      <c r="W3599" s="5" t="s">
        <v>72</v>
      </c>
      <c r="X3599" s="5" t="s">
        <v>72</v>
      </c>
      <c r="Y3599" s="4">
        <v>73</v>
      </c>
      <c r="Z3599" s="4">
        <v>14</v>
      </c>
      <c r="AA3599" s="4">
        <v>90</v>
      </c>
      <c r="AB3599" s="4">
        <v>1</v>
      </c>
      <c r="AC3599" s="4">
        <v>16</v>
      </c>
      <c r="AD3599" s="4">
        <v>29</v>
      </c>
      <c r="AE3599" s="4">
        <v>109</v>
      </c>
      <c r="AF3599" s="4">
        <v>0</v>
      </c>
      <c r="AG3599" s="4">
        <v>8</v>
      </c>
      <c r="AH3599" s="4">
        <v>21</v>
      </c>
      <c r="AI3599" s="4">
        <v>69</v>
      </c>
      <c r="AJ3599" s="4">
        <v>9</v>
      </c>
      <c r="AK3599" s="4">
        <v>24</v>
      </c>
      <c r="AL3599" s="4">
        <v>14</v>
      </c>
      <c r="AM3599" s="4">
        <v>35</v>
      </c>
      <c r="AN3599" s="4">
        <v>0</v>
      </c>
      <c r="AO3599" s="4">
        <v>0</v>
      </c>
      <c r="AP3599" s="4">
        <v>10</v>
      </c>
      <c r="AQ3599" s="4">
        <v>48</v>
      </c>
      <c r="AR3599" s="3" t="s">
        <v>128</v>
      </c>
      <c r="AS3599" s="3" t="s">
        <v>64</v>
      </c>
      <c r="AT3599" s="3" t="s">
        <v>64</v>
      </c>
      <c r="AV3599" s="6" t="str">
        <f>HYPERLINK("http://mcgill.on.worldcat.org/oclc/838760715","Catalog Record")</f>
        <v>Catalog Record</v>
      </c>
      <c r="AW3599" s="6" t="str">
        <f>HYPERLINK("http://www.worldcat.org/oclc/838760715","WorldCat Record")</f>
        <v>WorldCat Record</v>
      </c>
      <c r="AX3599" s="3" t="s">
        <v>35928</v>
      </c>
      <c r="AY3599" s="3" t="s">
        <v>35929</v>
      </c>
      <c r="AZ3599" s="3" t="s">
        <v>35930</v>
      </c>
      <c r="BA3599" s="3" t="s">
        <v>35930</v>
      </c>
      <c r="BB3599" s="3" t="s">
        <v>35931</v>
      </c>
      <c r="BC3599" s="3" t="s">
        <v>77</v>
      </c>
      <c r="BD3599" s="3" t="s">
        <v>78</v>
      </c>
      <c r="BE3599" s="3" t="s">
        <v>35932</v>
      </c>
      <c r="BF3599" s="3" t="s">
        <v>35931</v>
      </c>
      <c r="BG3599" s="3" t="s">
        <v>35933</v>
      </c>
      <c r="BH3599">
        <f t="shared" si="86"/>
        <v>0</v>
      </c>
    </row>
    <row r="3600" spans="1:60" ht="58" x14ac:dyDescent="0.35">
      <c r="A3600" s="2" t="s">
        <v>59</v>
      </c>
      <c r="B3600" s="2" t="s">
        <v>60</v>
      </c>
      <c r="C3600" s="2" t="s">
        <v>35934</v>
      </c>
      <c r="D3600" s="2" t="s">
        <v>35935</v>
      </c>
      <c r="E3600" s="2" t="s">
        <v>35936</v>
      </c>
      <c r="G3600" s="3" t="s">
        <v>64</v>
      </c>
      <c r="I3600" s="3" t="s">
        <v>64</v>
      </c>
      <c r="J3600" s="3" t="s">
        <v>64</v>
      </c>
      <c r="K3600" s="3" t="s">
        <v>65</v>
      </c>
      <c r="L3600" s="2" t="s">
        <v>35937</v>
      </c>
      <c r="M3600" s="2" t="s">
        <v>35938</v>
      </c>
      <c r="N3600" s="3" t="s">
        <v>1075</v>
      </c>
      <c r="O3600" s="2" t="s">
        <v>4790</v>
      </c>
      <c r="P3600" s="3" t="s">
        <v>365</v>
      </c>
      <c r="R3600" s="3" t="s">
        <v>70</v>
      </c>
      <c r="S3600" s="4">
        <v>0</v>
      </c>
      <c r="T3600" s="4">
        <v>0</v>
      </c>
      <c r="W3600" s="5" t="s">
        <v>72</v>
      </c>
      <c r="X3600" s="5" t="s">
        <v>72</v>
      </c>
      <c r="Y3600" s="4">
        <v>44</v>
      </c>
      <c r="Z3600" s="4">
        <v>5</v>
      </c>
      <c r="AA3600" s="4">
        <v>5</v>
      </c>
      <c r="AB3600" s="4">
        <v>1</v>
      </c>
      <c r="AC3600" s="4">
        <v>1</v>
      </c>
      <c r="AD3600" s="4">
        <v>31</v>
      </c>
      <c r="AE3600" s="4">
        <v>32</v>
      </c>
      <c r="AF3600" s="4">
        <v>0</v>
      </c>
      <c r="AG3600" s="4">
        <v>0</v>
      </c>
      <c r="AH3600" s="4">
        <v>30</v>
      </c>
      <c r="AI3600" s="4">
        <v>31</v>
      </c>
      <c r="AJ3600" s="4">
        <v>2</v>
      </c>
      <c r="AK3600" s="4">
        <v>2</v>
      </c>
      <c r="AL3600" s="4">
        <v>25</v>
      </c>
      <c r="AM3600" s="4">
        <v>26</v>
      </c>
      <c r="AN3600" s="4">
        <v>0</v>
      </c>
      <c r="AO3600" s="4">
        <v>0</v>
      </c>
      <c r="AP3600" s="4">
        <v>2</v>
      </c>
      <c r="AQ3600" s="4">
        <v>2</v>
      </c>
      <c r="AR3600" s="3" t="s">
        <v>64</v>
      </c>
      <c r="AS3600" s="3" t="s">
        <v>64</v>
      </c>
      <c r="AT3600" s="3" t="s">
        <v>64</v>
      </c>
      <c r="AV3600" s="6" t="str">
        <f>HYPERLINK("http://mcgill.on.worldcat.org/oclc/851388677","Catalog Record")</f>
        <v>Catalog Record</v>
      </c>
      <c r="AW3600" s="6" t="str">
        <f>HYPERLINK("http://www.worldcat.org/oclc/851388677","WorldCat Record")</f>
        <v>WorldCat Record</v>
      </c>
      <c r="AX3600" s="3" t="s">
        <v>35939</v>
      </c>
      <c r="AY3600" s="3" t="s">
        <v>35940</v>
      </c>
      <c r="AZ3600" s="3" t="s">
        <v>35941</v>
      </c>
      <c r="BA3600" s="3" t="s">
        <v>35941</v>
      </c>
      <c r="BB3600" s="3" t="s">
        <v>35942</v>
      </c>
      <c r="BC3600" s="3" t="s">
        <v>77</v>
      </c>
      <c r="BD3600" s="3" t="s">
        <v>78</v>
      </c>
      <c r="BE3600" s="3" t="s">
        <v>35943</v>
      </c>
      <c r="BF3600" s="3" t="s">
        <v>35942</v>
      </c>
      <c r="BG3600" s="3" t="s">
        <v>35944</v>
      </c>
      <c r="BH3600">
        <f t="shared" si="86"/>
        <v>0</v>
      </c>
    </row>
    <row r="3601" spans="1:60" ht="72.5" x14ac:dyDescent="0.35">
      <c r="A3601" s="2" t="s">
        <v>59</v>
      </c>
      <c r="B3601" s="2" t="s">
        <v>60</v>
      </c>
      <c r="C3601" s="2" t="s">
        <v>35945</v>
      </c>
      <c r="D3601" s="2" t="s">
        <v>35946</v>
      </c>
      <c r="E3601" s="2" t="s">
        <v>35947</v>
      </c>
      <c r="G3601" s="3" t="s">
        <v>64</v>
      </c>
      <c r="I3601" s="3" t="s">
        <v>64</v>
      </c>
      <c r="J3601" s="3" t="s">
        <v>64</v>
      </c>
      <c r="K3601" s="3" t="s">
        <v>65</v>
      </c>
      <c r="L3601" s="2" t="s">
        <v>35948</v>
      </c>
      <c r="M3601" s="2" t="s">
        <v>35949</v>
      </c>
      <c r="N3601" s="3" t="s">
        <v>511</v>
      </c>
      <c r="P3601" s="3" t="s">
        <v>68</v>
      </c>
      <c r="R3601" s="3" t="s">
        <v>70</v>
      </c>
      <c r="S3601" s="4">
        <v>2</v>
      </c>
      <c r="T3601" s="4">
        <v>2</v>
      </c>
      <c r="U3601" s="5" t="s">
        <v>35950</v>
      </c>
      <c r="V3601" s="5" t="s">
        <v>35950</v>
      </c>
      <c r="W3601" s="5" t="s">
        <v>72</v>
      </c>
      <c r="X3601" s="5" t="s">
        <v>72</v>
      </c>
      <c r="Y3601" s="4">
        <v>24</v>
      </c>
      <c r="Z3601" s="4">
        <v>16</v>
      </c>
      <c r="AA3601" s="4">
        <v>19</v>
      </c>
      <c r="AB3601" s="4">
        <v>8</v>
      </c>
      <c r="AC3601" s="4">
        <v>8</v>
      </c>
      <c r="AD3601" s="4">
        <v>10</v>
      </c>
      <c r="AE3601" s="4">
        <v>16</v>
      </c>
      <c r="AF3601" s="4">
        <v>3</v>
      </c>
      <c r="AG3601" s="4">
        <v>3</v>
      </c>
      <c r="AH3601" s="4">
        <v>6</v>
      </c>
      <c r="AI3601" s="4">
        <v>11</v>
      </c>
      <c r="AJ3601" s="4">
        <v>9</v>
      </c>
      <c r="AK3601" s="4">
        <v>11</v>
      </c>
      <c r="AL3601" s="4">
        <v>2</v>
      </c>
      <c r="AM3601" s="4">
        <v>4</v>
      </c>
      <c r="AN3601" s="4">
        <v>0</v>
      </c>
      <c r="AO3601" s="4">
        <v>0</v>
      </c>
      <c r="AP3601" s="4">
        <v>7</v>
      </c>
      <c r="AQ3601" s="4">
        <v>10</v>
      </c>
      <c r="AR3601" s="3" t="s">
        <v>128</v>
      </c>
      <c r="AS3601" s="3" t="s">
        <v>64</v>
      </c>
      <c r="AT3601" s="3" t="s">
        <v>64</v>
      </c>
      <c r="AV3601" s="6" t="str">
        <f>HYPERLINK("http://mcgill.on.worldcat.org/oclc/499431789","Catalog Record")</f>
        <v>Catalog Record</v>
      </c>
      <c r="AW3601" s="6" t="str">
        <f>HYPERLINK("http://www.worldcat.org/oclc/499431789","WorldCat Record")</f>
        <v>WorldCat Record</v>
      </c>
      <c r="AX3601" s="3" t="s">
        <v>35951</v>
      </c>
      <c r="AY3601" s="3" t="s">
        <v>35952</v>
      </c>
      <c r="AZ3601" s="3" t="s">
        <v>35953</v>
      </c>
      <c r="BA3601" s="3" t="s">
        <v>35953</v>
      </c>
      <c r="BB3601" s="3" t="s">
        <v>35954</v>
      </c>
      <c r="BC3601" s="3" t="s">
        <v>77</v>
      </c>
      <c r="BD3601" s="3" t="s">
        <v>78</v>
      </c>
      <c r="BE3601" s="3" t="s">
        <v>35955</v>
      </c>
      <c r="BF3601" s="3" t="s">
        <v>35954</v>
      </c>
      <c r="BG3601" s="3" t="s">
        <v>35956</v>
      </c>
      <c r="BH3601">
        <f t="shared" si="86"/>
        <v>0</v>
      </c>
    </row>
    <row r="3602" spans="1:60" ht="58" x14ac:dyDescent="0.35">
      <c r="A3602" s="2" t="s">
        <v>59</v>
      </c>
      <c r="B3602" s="2" t="s">
        <v>60</v>
      </c>
      <c r="C3602" s="2" t="s">
        <v>35957</v>
      </c>
      <c r="D3602" s="2" t="s">
        <v>35958</v>
      </c>
      <c r="E3602" s="2" t="s">
        <v>35959</v>
      </c>
      <c r="G3602" s="3" t="s">
        <v>64</v>
      </c>
      <c r="I3602" s="3" t="s">
        <v>64</v>
      </c>
      <c r="J3602" s="3" t="s">
        <v>64</v>
      </c>
      <c r="K3602" s="3" t="s">
        <v>65</v>
      </c>
      <c r="M3602" s="2" t="s">
        <v>35960</v>
      </c>
      <c r="N3602" s="3" t="s">
        <v>67</v>
      </c>
      <c r="P3602" s="3" t="s">
        <v>365</v>
      </c>
      <c r="Q3602" s="2" t="s">
        <v>35961</v>
      </c>
      <c r="R3602" s="3" t="s">
        <v>70</v>
      </c>
      <c r="S3602" s="4">
        <v>0</v>
      </c>
      <c r="T3602" s="4">
        <v>0</v>
      </c>
      <c r="W3602" s="5" t="s">
        <v>72</v>
      </c>
      <c r="X3602" s="5" t="s">
        <v>72</v>
      </c>
      <c r="Y3602" s="4">
        <v>22</v>
      </c>
      <c r="Z3602" s="4">
        <v>3</v>
      </c>
      <c r="AA3602" s="4">
        <v>3</v>
      </c>
      <c r="AB3602" s="4">
        <v>1</v>
      </c>
      <c r="AC3602" s="4">
        <v>1</v>
      </c>
      <c r="AD3602" s="4">
        <v>10</v>
      </c>
      <c r="AE3602" s="4">
        <v>10</v>
      </c>
      <c r="AF3602" s="4">
        <v>0</v>
      </c>
      <c r="AG3602" s="4">
        <v>0</v>
      </c>
      <c r="AH3602" s="4">
        <v>9</v>
      </c>
      <c r="AI3602" s="4">
        <v>9</v>
      </c>
      <c r="AJ3602" s="4">
        <v>1</v>
      </c>
      <c r="AK3602" s="4">
        <v>1</v>
      </c>
      <c r="AL3602" s="4">
        <v>8</v>
      </c>
      <c r="AM3602" s="4">
        <v>8</v>
      </c>
      <c r="AN3602" s="4">
        <v>0</v>
      </c>
      <c r="AO3602" s="4">
        <v>0</v>
      </c>
      <c r="AP3602" s="4">
        <v>1</v>
      </c>
      <c r="AQ3602" s="4">
        <v>1</v>
      </c>
      <c r="AR3602" s="3" t="s">
        <v>64</v>
      </c>
      <c r="AS3602" s="3" t="s">
        <v>64</v>
      </c>
      <c r="AT3602" s="3" t="s">
        <v>64</v>
      </c>
      <c r="AV3602" s="6" t="str">
        <f>HYPERLINK("http://mcgill.on.worldcat.org/oclc/910510734","Catalog Record")</f>
        <v>Catalog Record</v>
      </c>
      <c r="AW3602" s="6" t="str">
        <f>HYPERLINK("http://www.worldcat.org/oclc/910510734","WorldCat Record")</f>
        <v>WorldCat Record</v>
      </c>
      <c r="AX3602" s="3" t="s">
        <v>35962</v>
      </c>
      <c r="AY3602" s="3" t="s">
        <v>35963</v>
      </c>
      <c r="AZ3602" s="3" t="s">
        <v>35964</v>
      </c>
      <c r="BA3602" s="3" t="s">
        <v>35964</v>
      </c>
      <c r="BB3602" s="3" t="s">
        <v>35965</v>
      </c>
      <c r="BC3602" s="3" t="s">
        <v>77</v>
      </c>
      <c r="BD3602" s="3" t="s">
        <v>78</v>
      </c>
      <c r="BE3602" s="3" t="s">
        <v>35966</v>
      </c>
      <c r="BF3602" s="3" t="s">
        <v>35965</v>
      </c>
      <c r="BG3602" s="3" t="s">
        <v>35967</v>
      </c>
      <c r="BH3602">
        <f t="shared" si="86"/>
        <v>0</v>
      </c>
    </row>
    <row r="3603" spans="1:60" ht="58" x14ac:dyDescent="0.35">
      <c r="A3603" s="2" t="s">
        <v>59</v>
      </c>
      <c r="B3603" s="2" t="s">
        <v>60</v>
      </c>
      <c r="C3603" s="2" t="s">
        <v>35968</v>
      </c>
      <c r="D3603" s="2" t="s">
        <v>35969</v>
      </c>
      <c r="E3603" s="2" t="s">
        <v>35970</v>
      </c>
      <c r="G3603" s="3" t="s">
        <v>64</v>
      </c>
      <c r="I3603" s="3" t="s">
        <v>64</v>
      </c>
      <c r="J3603" s="3" t="s">
        <v>64</v>
      </c>
      <c r="K3603" s="3" t="s">
        <v>65</v>
      </c>
      <c r="L3603" s="2" t="s">
        <v>35971</v>
      </c>
      <c r="M3603" s="2" t="s">
        <v>35972</v>
      </c>
      <c r="N3603" s="3" t="s">
        <v>7935</v>
      </c>
      <c r="P3603" s="3" t="s">
        <v>102</v>
      </c>
      <c r="R3603" s="3" t="s">
        <v>70</v>
      </c>
      <c r="S3603" s="4">
        <v>1</v>
      </c>
      <c r="T3603" s="4">
        <v>1</v>
      </c>
      <c r="U3603" s="5" t="s">
        <v>11203</v>
      </c>
      <c r="V3603" s="5" t="s">
        <v>11203</v>
      </c>
      <c r="W3603" s="5" t="s">
        <v>72</v>
      </c>
      <c r="X3603" s="5" t="s">
        <v>72</v>
      </c>
      <c r="Y3603" s="4">
        <v>2</v>
      </c>
      <c r="Z3603" s="4">
        <v>2</v>
      </c>
      <c r="AA3603" s="4">
        <v>2</v>
      </c>
      <c r="AB3603" s="4">
        <v>1</v>
      </c>
      <c r="AC3603" s="4">
        <v>1</v>
      </c>
      <c r="AD3603" s="4">
        <v>1</v>
      </c>
      <c r="AE3603" s="4">
        <v>4</v>
      </c>
      <c r="AF3603" s="4">
        <v>0</v>
      </c>
      <c r="AG3603" s="4">
        <v>0</v>
      </c>
      <c r="AH3603" s="4">
        <v>1</v>
      </c>
      <c r="AI3603" s="4">
        <v>4</v>
      </c>
      <c r="AJ3603" s="4">
        <v>1</v>
      </c>
      <c r="AK3603" s="4">
        <v>1</v>
      </c>
      <c r="AL3603" s="4">
        <v>0</v>
      </c>
      <c r="AM3603" s="4">
        <v>1</v>
      </c>
      <c r="AN3603" s="4">
        <v>0</v>
      </c>
      <c r="AO3603" s="4">
        <v>0</v>
      </c>
      <c r="AP3603" s="4">
        <v>1</v>
      </c>
      <c r="AQ3603" s="4">
        <v>1</v>
      </c>
      <c r="AR3603" s="3" t="s">
        <v>64</v>
      </c>
      <c r="AS3603" s="3" t="s">
        <v>64</v>
      </c>
      <c r="AT3603" s="3" t="s">
        <v>64</v>
      </c>
      <c r="AV3603" s="6" t="str">
        <f>HYPERLINK("http://mcgill.on.worldcat.org/oclc/427242915","Catalog Record")</f>
        <v>Catalog Record</v>
      </c>
      <c r="AW3603" s="6" t="str">
        <f>HYPERLINK("http://www.worldcat.org/oclc/427242915","WorldCat Record")</f>
        <v>WorldCat Record</v>
      </c>
      <c r="AX3603" s="3" t="s">
        <v>35973</v>
      </c>
      <c r="AY3603" s="3" t="s">
        <v>35974</v>
      </c>
      <c r="AZ3603" s="3" t="s">
        <v>35975</v>
      </c>
      <c r="BA3603" s="3" t="s">
        <v>35975</v>
      </c>
      <c r="BB3603" s="3" t="s">
        <v>35976</v>
      </c>
      <c r="BC3603" s="3" t="s">
        <v>77</v>
      </c>
      <c r="BD3603" s="3" t="s">
        <v>78</v>
      </c>
      <c r="BF3603" s="3" t="s">
        <v>35976</v>
      </c>
      <c r="BG3603" s="3" t="s">
        <v>35977</v>
      </c>
      <c r="BH3603">
        <f t="shared" si="86"/>
        <v>0</v>
      </c>
    </row>
    <row r="3604" spans="1:60" ht="58" x14ac:dyDescent="0.35">
      <c r="A3604" s="2" t="s">
        <v>59</v>
      </c>
      <c r="B3604" s="2" t="s">
        <v>60</v>
      </c>
      <c r="C3604" s="2" t="s">
        <v>35978</v>
      </c>
      <c r="D3604" s="2" t="s">
        <v>35979</v>
      </c>
      <c r="E3604" s="2" t="s">
        <v>35980</v>
      </c>
      <c r="G3604" s="3" t="s">
        <v>64</v>
      </c>
      <c r="I3604" s="3" t="s">
        <v>64</v>
      </c>
      <c r="J3604" s="3" t="s">
        <v>64</v>
      </c>
      <c r="K3604" s="3" t="s">
        <v>65</v>
      </c>
      <c r="L3604" s="2" t="s">
        <v>35981</v>
      </c>
      <c r="M3604" s="2" t="s">
        <v>35982</v>
      </c>
      <c r="N3604" s="3" t="s">
        <v>1075</v>
      </c>
      <c r="P3604" s="3" t="s">
        <v>102</v>
      </c>
      <c r="Q3604" s="2" t="s">
        <v>35983</v>
      </c>
      <c r="R3604" s="3" t="s">
        <v>70</v>
      </c>
      <c r="S3604" s="4">
        <v>1</v>
      </c>
      <c r="T3604" s="4">
        <v>1</v>
      </c>
      <c r="U3604" s="5" t="s">
        <v>8586</v>
      </c>
      <c r="V3604" s="5" t="s">
        <v>8586</v>
      </c>
      <c r="W3604" s="5" t="s">
        <v>72</v>
      </c>
      <c r="X3604" s="5" t="s">
        <v>72</v>
      </c>
      <c r="Y3604" s="4">
        <v>30</v>
      </c>
      <c r="Z3604" s="4">
        <v>2</v>
      </c>
      <c r="AA3604" s="4">
        <v>21</v>
      </c>
      <c r="AB3604" s="4">
        <v>1</v>
      </c>
      <c r="AC3604" s="4">
        <v>4</v>
      </c>
      <c r="AD3604" s="4">
        <v>17</v>
      </c>
      <c r="AE3604" s="4">
        <v>29</v>
      </c>
      <c r="AF3604" s="4">
        <v>0</v>
      </c>
      <c r="AG3604" s="4">
        <v>1</v>
      </c>
      <c r="AH3604" s="4">
        <v>16</v>
      </c>
      <c r="AI3604" s="4">
        <v>22</v>
      </c>
      <c r="AJ3604" s="4">
        <v>1</v>
      </c>
      <c r="AK3604" s="4">
        <v>2</v>
      </c>
      <c r="AL3604" s="4">
        <v>15</v>
      </c>
      <c r="AM3604" s="4">
        <v>18</v>
      </c>
      <c r="AN3604" s="4">
        <v>0</v>
      </c>
      <c r="AO3604" s="4">
        <v>0</v>
      </c>
      <c r="AP3604" s="4">
        <v>1</v>
      </c>
      <c r="AQ3604" s="4">
        <v>6</v>
      </c>
      <c r="AR3604" s="3" t="s">
        <v>64</v>
      </c>
      <c r="AS3604" s="3" t="s">
        <v>64</v>
      </c>
      <c r="AT3604" s="3" t="s">
        <v>64</v>
      </c>
      <c r="AV3604" s="6" t="str">
        <f>HYPERLINK("http://mcgill.on.worldcat.org/oclc/867851399","Catalog Record")</f>
        <v>Catalog Record</v>
      </c>
      <c r="AW3604" s="6" t="str">
        <f>HYPERLINK("http://www.worldcat.org/oclc/867851399","WorldCat Record")</f>
        <v>WorldCat Record</v>
      </c>
      <c r="AX3604" s="3" t="s">
        <v>35984</v>
      </c>
      <c r="AY3604" s="3" t="s">
        <v>35985</v>
      </c>
      <c r="AZ3604" s="3" t="s">
        <v>35986</v>
      </c>
      <c r="BA3604" s="3" t="s">
        <v>35986</v>
      </c>
      <c r="BB3604" s="3" t="s">
        <v>35987</v>
      </c>
      <c r="BC3604" s="3" t="s">
        <v>77</v>
      </c>
      <c r="BD3604" s="3" t="s">
        <v>78</v>
      </c>
      <c r="BE3604" s="3" t="s">
        <v>35988</v>
      </c>
      <c r="BF3604" s="3" t="s">
        <v>35987</v>
      </c>
      <c r="BG3604" s="3" t="s">
        <v>35989</v>
      </c>
      <c r="BH3604">
        <f t="shared" si="86"/>
        <v>0</v>
      </c>
    </row>
    <row r="3605" spans="1:60" ht="58" x14ac:dyDescent="0.35">
      <c r="A3605" s="2" t="s">
        <v>59</v>
      </c>
      <c r="B3605" s="2" t="s">
        <v>60</v>
      </c>
      <c r="C3605" s="2" t="s">
        <v>35990</v>
      </c>
      <c r="D3605" s="2" t="s">
        <v>35991</v>
      </c>
      <c r="E3605" s="2" t="s">
        <v>35992</v>
      </c>
      <c r="G3605" s="3" t="s">
        <v>64</v>
      </c>
      <c r="I3605" s="3" t="s">
        <v>128</v>
      </c>
      <c r="J3605" s="3" t="s">
        <v>64</v>
      </c>
      <c r="K3605" s="3" t="s">
        <v>65</v>
      </c>
      <c r="L3605" s="2" t="s">
        <v>35993</v>
      </c>
      <c r="M3605" s="2" t="s">
        <v>10061</v>
      </c>
      <c r="N3605" s="3" t="s">
        <v>4872</v>
      </c>
      <c r="P3605" s="3" t="s">
        <v>102</v>
      </c>
      <c r="Q3605" s="2" t="s">
        <v>35994</v>
      </c>
      <c r="R3605" s="3" t="s">
        <v>70</v>
      </c>
      <c r="S3605" s="4">
        <v>15</v>
      </c>
      <c r="T3605" s="4">
        <v>15</v>
      </c>
      <c r="U3605" s="5" t="s">
        <v>35995</v>
      </c>
      <c r="V3605" s="5" t="s">
        <v>35995</v>
      </c>
      <c r="W3605" s="5" t="s">
        <v>72</v>
      </c>
      <c r="X3605" s="5" t="s">
        <v>72</v>
      </c>
      <c r="Y3605" s="4">
        <v>582</v>
      </c>
      <c r="Z3605" s="4">
        <v>40</v>
      </c>
      <c r="AA3605" s="4">
        <v>42</v>
      </c>
      <c r="AB3605" s="4">
        <v>4</v>
      </c>
      <c r="AC3605" s="4">
        <v>6</v>
      </c>
      <c r="AD3605" s="4">
        <v>127</v>
      </c>
      <c r="AE3605" s="4">
        <v>129</v>
      </c>
      <c r="AF3605" s="4">
        <v>1</v>
      </c>
      <c r="AG3605" s="4">
        <v>3</v>
      </c>
      <c r="AH3605" s="4">
        <v>105</v>
      </c>
      <c r="AI3605" s="4">
        <v>106</v>
      </c>
      <c r="AJ3605" s="4">
        <v>23</v>
      </c>
      <c r="AK3605" s="4">
        <v>25</v>
      </c>
      <c r="AL3605" s="4">
        <v>58</v>
      </c>
      <c r="AM3605" s="4">
        <v>58</v>
      </c>
      <c r="AN3605" s="4">
        <v>0</v>
      </c>
      <c r="AO3605" s="4">
        <v>0</v>
      </c>
      <c r="AP3605" s="4">
        <v>29</v>
      </c>
      <c r="AQ3605" s="4">
        <v>30</v>
      </c>
      <c r="AR3605" s="3" t="s">
        <v>64</v>
      </c>
      <c r="AS3605" s="3" t="s">
        <v>64</v>
      </c>
      <c r="AT3605" s="3" t="s">
        <v>128</v>
      </c>
      <c r="AU3605" s="6" t="str">
        <f>HYPERLINK("http://catalog.hathitrust.org/Record/001166457","HathiTrust Record")</f>
        <v>HathiTrust Record</v>
      </c>
      <c r="AV3605" s="6" t="str">
        <f>HYPERLINK("http://mcgill.on.worldcat.org/oclc/318100","Catalog Record")</f>
        <v>Catalog Record</v>
      </c>
      <c r="AW3605" s="6" t="str">
        <f>HYPERLINK("http://www.worldcat.org/oclc/318100","WorldCat Record")</f>
        <v>WorldCat Record</v>
      </c>
      <c r="AX3605" s="3" t="s">
        <v>35996</v>
      </c>
      <c r="AY3605" s="3" t="s">
        <v>35997</v>
      </c>
      <c r="AZ3605" s="3" t="s">
        <v>35998</v>
      </c>
      <c r="BA3605" s="3" t="s">
        <v>35998</v>
      </c>
      <c r="BB3605" s="3" t="s">
        <v>35999</v>
      </c>
      <c r="BC3605" s="3" t="s">
        <v>77</v>
      </c>
      <c r="BD3605" s="3" t="s">
        <v>78</v>
      </c>
      <c r="BF3605" s="3" t="s">
        <v>35999</v>
      </c>
      <c r="BG3605" s="3" t="s">
        <v>36000</v>
      </c>
      <c r="BH3605">
        <f t="shared" si="86"/>
        <v>0</v>
      </c>
    </row>
    <row r="3606" spans="1:60" ht="58" x14ac:dyDescent="0.35">
      <c r="A3606" s="2" t="s">
        <v>59</v>
      </c>
      <c r="B3606" s="2" t="s">
        <v>60</v>
      </c>
      <c r="C3606" s="2" t="s">
        <v>36001</v>
      </c>
      <c r="D3606" s="2" t="s">
        <v>36002</v>
      </c>
      <c r="E3606" s="2" t="s">
        <v>36003</v>
      </c>
      <c r="G3606" s="3" t="s">
        <v>64</v>
      </c>
      <c r="I3606" s="3" t="s">
        <v>64</v>
      </c>
      <c r="J3606" s="3" t="s">
        <v>128</v>
      </c>
      <c r="K3606" s="3" t="s">
        <v>65</v>
      </c>
      <c r="L3606" s="2" t="s">
        <v>35993</v>
      </c>
      <c r="M3606" s="2" t="s">
        <v>36004</v>
      </c>
      <c r="N3606" s="3" t="s">
        <v>7946</v>
      </c>
      <c r="P3606" s="3" t="s">
        <v>102</v>
      </c>
      <c r="R3606" s="3" t="s">
        <v>70</v>
      </c>
      <c r="S3606" s="4">
        <v>43</v>
      </c>
      <c r="T3606" s="4">
        <v>43</v>
      </c>
      <c r="U3606" s="5" t="s">
        <v>5872</v>
      </c>
      <c r="V3606" s="5" t="s">
        <v>5872</v>
      </c>
      <c r="W3606" s="5" t="s">
        <v>72</v>
      </c>
      <c r="X3606" s="5" t="s">
        <v>72</v>
      </c>
      <c r="Y3606" s="4">
        <v>431</v>
      </c>
      <c r="Z3606" s="4">
        <v>16</v>
      </c>
      <c r="AA3606" s="4">
        <v>56</v>
      </c>
      <c r="AB3606" s="4">
        <v>2</v>
      </c>
      <c r="AC3606" s="4">
        <v>5</v>
      </c>
      <c r="AD3606" s="4">
        <v>108</v>
      </c>
      <c r="AE3606" s="4">
        <v>143</v>
      </c>
      <c r="AF3606" s="4">
        <v>0</v>
      </c>
      <c r="AG3606" s="4">
        <v>2</v>
      </c>
      <c r="AH3606" s="4">
        <v>99</v>
      </c>
      <c r="AI3606" s="4">
        <v>117</v>
      </c>
      <c r="AJ3606" s="4">
        <v>11</v>
      </c>
      <c r="AK3606" s="4">
        <v>24</v>
      </c>
      <c r="AL3606" s="4">
        <v>55</v>
      </c>
      <c r="AM3606" s="4">
        <v>63</v>
      </c>
      <c r="AN3606" s="4">
        <v>0</v>
      </c>
      <c r="AO3606" s="4">
        <v>0</v>
      </c>
      <c r="AP3606" s="4">
        <v>11</v>
      </c>
      <c r="AQ3606" s="4">
        <v>32</v>
      </c>
      <c r="AR3606" s="3" t="s">
        <v>64</v>
      </c>
      <c r="AS3606" s="3" t="s">
        <v>64</v>
      </c>
      <c r="AT3606" s="3" t="s">
        <v>128</v>
      </c>
      <c r="AU3606" s="6" t="str">
        <f>HYPERLINK("http://catalog.hathitrust.org/Record/001166458","HathiTrust Record")</f>
        <v>HathiTrust Record</v>
      </c>
      <c r="AV3606" s="6" t="str">
        <f>HYPERLINK("http://mcgill.on.worldcat.org/oclc/775938","Catalog Record")</f>
        <v>Catalog Record</v>
      </c>
      <c r="AW3606" s="6" t="str">
        <f>HYPERLINK("http://www.worldcat.org/oclc/775938","WorldCat Record")</f>
        <v>WorldCat Record</v>
      </c>
      <c r="AX3606" s="3" t="s">
        <v>36005</v>
      </c>
      <c r="AY3606" s="3" t="s">
        <v>36006</v>
      </c>
      <c r="AZ3606" s="3" t="s">
        <v>36007</v>
      </c>
      <c r="BA3606" s="3" t="s">
        <v>36007</v>
      </c>
      <c r="BB3606" s="3" t="s">
        <v>36008</v>
      </c>
      <c r="BC3606" s="3" t="s">
        <v>77</v>
      </c>
      <c r="BD3606" s="3" t="s">
        <v>78</v>
      </c>
      <c r="BF3606" s="3" t="s">
        <v>36008</v>
      </c>
      <c r="BG3606" s="3" t="s">
        <v>36009</v>
      </c>
      <c r="BH3606">
        <f t="shared" si="86"/>
        <v>0</v>
      </c>
    </row>
    <row r="3607" spans="1:60" ht="58" x14ac:dyDescent="0.35">
      <c r="A3607" s="2" t="s">
        <v>59</v>
      </c>
      <c r="B3607" s="2" t="s">
        <v>60</v>
      </c>
      <c r="C3607" s="2" t="s">
        <v>36010</v>
      </c>
      <c r="D3607" s="2" t="s">
        <v>36011</v>
      </c>
      <c r="E3607" s="2" t="s">
        <v>36003</v>
      </c>
      <c r="G3607" s="3" t="s">
        <v>64</v>
      </c>
      <c r="I3607" s="3" t="s">
        <v>64</v>
      </c>
      <c r="J3607" s="3" t="s">
        <v>128</v>
      </c>
      <c r="K3607" s="3" t="s">
        <v>65</v>
      </c>
      <c r="L3607" s="2" t="s">
        <v>35993</v>
      </c>
      <c r="M3607" s="2" t="s">
        <v>36012</v>
      </c>
      <c r="N3607" s="3" t="s">
        <v>131</v>
      </c>
      <c r="P3607" s="3" t="s">
        <v>102</v>
      </c>
      <c r="R3607" s="3" t="s">
        <v>70</v>
      </c>
      <c r="S3607" s="4">
        <v>19</v>
      </c>
      <c r="T3607" s="4">
        <v>19</v>
      </c>
      <c r="U3607" s="5" t="s">
        <v>13331</v>
      </c>
      <c r="V3607" s="5" t="s">
        <v>13331</v>
      </c>
      <c r="W3607" s="5" t="s">
        <v>72</v>
      </c>
      <c r="X3607" s="5" t="s">
        <v>72</v>
      </c>
      <c r="Y3607" s="4">
        <v>491</v>
      </c>
      <c r="Z3607" s="4">
        <v>35</v>
      </c>
      <c r="AA3607" s="4">
        <v>56</v>
      </c>
      <c r="AB3607" s="4">
        <v>3</v>
      </c>
      <c r="AC3607" s="4">
        <v>5</v>
      </c>
      <c r="AD3607" s="4">
        <v>98</v>
      </c>
      <c r="AE3607" s="4">
        <v>143</v>
      </c>
      <c r="AF3607" s="4">
        <v>1</v>
      </c>
      <c r="AG3607" s="4">
        <v>2</v>
      </c>
      <c r="AH3607" s="4">
        <v>81</v>
      </c>
      <c r="AI3607" s="4">
        <v>117</v>
      </c>
      <c r="AJ3607" s="4">
        <v>20</v>
      </c>
      <c r="AK3607" s="4">
        <v>24</v>
      </c>
      <c r="AL3607" s="4">
        <v>45</v>
      </c>
      <c r="AM3607" s="4">
        <v>63</v>
      </c>
      <c r="AN3607" s="4">
        <v>0</v>
      </c>
      <c r="AO3607" s="4">
        <v>0</v>
      </c>
      <c r="AP3607" s="4">
        <v>25</v>
      </c>
      <c r="AQ3607" s="4">
        <v>32</v>
      </c>
      <c r="AR3607" s="3" t="s">
        <v>64</v>
      </c>
      <c r="AS3607" s="3" t="s">
        <v>64</v>
      </c>
      <c r="AT3607" s="3" t="s">
        <v>64</v>
      </c>
      <c r="AU3607" s="6" t="str">
        <f>HYPERLINK("http://catalog.hathitrust.org/Record/001166459","HathiTrust Record")</f>
        <v>HathiTrust Record</v>
      </c>
      <c r="AV3607" s="6" t="str">
        <f>HYPERLINK("http://mcgill.on.worldcat.org/oclc/576692","Catalog Record")</f>
        <v>Catalog Record</v>
      </c>
      <c r="AW3607" s="6" t="str">
        <f>HYPERLINK("http://www.worldcat.org/oclc/576692","WorldCat Record")</f>
        <v>WorldCat Record</v>
      </c>
      <c r="AX3607" s="3" t="s">
        <v>36005</v>
      </c>
      <c r="AY3607" s="3" t="s">
        <v>36013</v>
      </c>
      <c r="AZ3607" s="3" t="s">
        <v>36014</v>
      </c>
      <c r="BA3607" s="3" t="s">
        <v>36014</v>
      </c>
      <c r="BB3607" s="3" t="s">
        <v>36015</v>
      </c>
      <c r="BC3607" s="3" t="s">
        <v>77</v>
      </c>
      <c r="BD3607" s="3" t="s">
        <v>165</v>
      </c>
      <c r="BE3607" s="3" t="s">
        <v>36016</v>
      </c>
      <c r="BF3607" s="3" t="s">
        <v>36015</v>
      </c>
      <c r="BG3607" s="3" t="s">
        <v>36017</v>
      </c>
      <c r="BH3607">
        <f t="shared" si="86"/>
        <v>0</v>
      </c>
    </row>
    <row r="3608" spans="1:60" ht="58" x14ac:dyDescent="0.35">
      <c r="A3608" s="2" t="s">
        <v>59</v>
      </c>
      <c r="B3608" s="2" t="s">
        <v>60</v>
      </c>
      <c r="C3608" s="2" t="s">
        <v>36018</v>
      </c>
      <c r="D3608" s="2" t="s">
        <v>36019</v>
      </c>
      <c r="E3608" s="2" t="s">
        <v>36020</v>
      </c>
      <c r="G3608" s="3" t="s">
        <v>64</v>
      </c>
      <c r="I3608" s="3" t="s">
        <v>64</v>
      </c>
      <c r="J3608" s="3" t="s">
        <v>64</v>
      </c>
      <c r="K3608" s="3" t="s">
        <v>65</v>
      </c>
      <c r="L3608" s="2" t="s">
        <v>36021</v>
      </c>
      <c r="M3608" s="2" t="s">
        <v>36022</v>
      </c>
      <c r="N3608" s="3" t="s">
        <v>3047</v>
      </c>
      <c r="P3608" s="3" t="s">
        <v>102</v>
      </c>
      <c r="Q3608" s="2" t="s">
        <v>36023</v>
      </c>
      <c r="R3608" s="3" t="s">
        <v>70</v>
      </c>
      <c r="S3608" s="4">
        <v>1</v>
      </c>
      <c r="T3608" s="4">
        <v>1</v>
      </c>
      <c r="U3608" s="5" t="s">
        <v>10073</v>
      </c>
      <c r="V3608" s="5" t="s">
        <v>10073</v>
      </c>
      <c r="W3608" s="5" t="s">
        <v>72</v>
      </c>
      <c r="X3608" s="5" t="s">
        <v>72</v>
      </c>
      <c r="Y3608" s="4">
        <v>21</v>
      </c>
      <c r="Z3608" s="4">
        <v>3</v>
      </c>
      <c r="AA3608" s="4">
        <v>3</v>
      </c>
      <c r="AB3608" s="4">
        <v>1</v>
      </c>
      <c r="AC3608" s="4">
        <v>1</v>
      </c>
      <c r="AD3608" s="4">
        <v>5</v>
      </c>
      <c r="AE3608" s="4">
        <v>5</v>
      </c>
      <c r="AF3608" s="4">
        <v>0</v>
      </c>
      <c r="AG3608" s="4">
        <v>0</v>
      </c>
      <c r="AH3608" s="4">
        <v>5</v>
      </c>
      <c r="AI3608" s="4">
        <v>5</v>
      </c>
      <c r="AJ3608" s="4">
        <v>1</v>
      </c>
      <c r="AK3608" s="4">
        <v>1</v>
      </c>
      <c r="AL3608" s="4">
        <v>4</v>
      </c>
      <c r="AM3608" s="4">
        <v>4</v>
      </c>
      <c r="AN3608" s="4">
        <v>0</v>
      </c>
      <c r="AO3608" s="4">
        <v>0</v>
      </c>
      <c r="AP3608" s="4">
        <v>1</v>
      </c>
      <c r="AQ3608" s="4">
        <v>1</v>
      </c>
      <c r="AR3608" s="3" t="s">
        <v>64</v>
      </c>
      <c r="AS3608" s="3" t="s">
        <v>64</v>
      </c>
      <c r="AT3608" s="3" t="s">
        <v>64</v>
      </c>
      <c r="AV3608" s="6" t="str">
        <f>HYPERLINK("http://mcgill.on.worldcat.org/oclc/17952451","Catalog Record")</f>
        <v>Catalog Record</v>
      </c>
      <c r="AW3608" s="6" t="str">
        <f>HYPERLINK("http://www.worldcat.org/oclc/17952451","WorldCat Record")</f>
        <v>WorldCat Record</v>
      </c>
      <c r="AX3608" s="3" t="s">
        <v>36024</v>
      </c>
      <c r="AY3608" s="3" t="s">
        <v>36025</v>
      </c>
      <c r="AZ3608" s="3" t="s">
        <v>36026</v>
      </c>
      <c r="BA3608" s="3" t="s">
        <v>36026</v>
      </c>
      <c r="BB3608" s="3" t="s">
        <v>36027</v>
      </c>
      <c r="BC3608" s="3" t="s">
        <v>77</v>
      </c>
      <c r="BD3608" s="3" t="s">
        <v>78</v>
      </c>
      <c r="BE3608" s="3" t="s">
        <v>36028</v>
      </c>
      <c r="BF3608" s="3" t="s">
        <v>36027</v>
      </c>
      <c r="BG3608" s="3" t="s">
        <v>36029</v>
      </c>
      <c r="BH3608">
        <f t="shared" si="86"/>
        <v>0</v>
      </c>
    </row>
    <row r="3609" spans="1:60" ht="58" x14ac:dyDescent="0.35">
      <c r="A3609" s="2" t="s">
        <v>59</v>
      </c>
      <c r="B3609" s="2" t="s">
        <v>60</v>
      </c>
      <c r="C3609" s="2" t="s">
        <v>36030</v>
      </c>
      <c r="D3609" s="2" t="s">
        <v>36031</v>
      </c>
      <c r="E3609" s="2" t="s">
        <v>36032</v>
      </c>
      <c r="G3609" s="3" t="s">
        <v>64</v>
      </c>
      <c r="I3609" s="3" t="s">
        <v>64</v>
      </c>
      <c r="J3609" s="3" t="s">
        <v>64</v>
      </c>
      <c r="K3609" s="3" t="s">
        <v>65</v>
      </c>
      <c r="L3609" s="2" t="s">
        <v>3389</v>
      </c>
      <c r="M3609" s="2" t="s">
        <v>5529</v>
      </c>
      <c r="N3609" s="3" t="s">
        <v>326</v>
      </c>
      <c r="P3609" s="3" t="s">
        <v>102</v>
      </c>
      <c r="Q3609" s="2" t="s">
        <v>351</v>
      </c>
      <c r="R3609" s="3" t="s">
        <v>70</v>
      </c>
      <c r="S3609" s="4">
        <v>10</v>
      </c>
      <c r="T3609" s="4">
        <v>10</v>
      </c>
      <c r="U3609" s="5" t="s">
        <v>23320</v>
      </c>
      <c r="V3609" s="5" t="s">
        <v>23320</v>
      </c>
      <c r="W3609" s="5" t="s">
        <v>72</v>
      </c>
      <c r="X3609" s="5" t="s">
        <v>72</v>
      </c>
      <c r="Y3609" s="4">
        <v>237</v>
      </c>
      <c r="Z3609" s="4">
        <v>20</v>
      </c>
      <c r="AA3609" s="4">
        <v>37</v>
      </c>
      <c r="AB3609" s="4">
        <v>1</v>
      </c>
      <c r="AC3609" s="4">
        <v>5</v>
      </c>
      <c r="AD3609" s="4">
        <v>84</v>
      </c>
      <c r="AE3609" s="4">
        <v>108</v>
      </c>
      <c r="AF3609" s="4">
        <v>0</v>
      </c>
      <c r="AG3609" s="4">
        <v>1</v>
      </c>
      <c r="AH3609" s="4">
        <v>74</v>
      </c>
      <c r="AI3609" s="4">
        <v>90</v>
      </c>
      <c r="AJ3609" s="4">
        <v>9</v>
      </c>
      <c r="AK3609" s="4">
        <v>12</v>
      </c>
      <c r="AL3609" s="4">
        <v>50</v>
      </c>
      <c r="AM3609" s="4">
        <v>54</v>
      </c>
      <c r="AN3609" s="4">
        <v>0</v>
      </c>
      <c r="AO3609" s="4">
        <v>0</v>
      </c>
      <c r="AP3609" s="4">
        <v>13</v>
      </c>
      <c r="AQ3609" s="4">
        <v>22</v>
      </c>
      <c r="AR3609" s="3" t="s">
        <v>64</v>
      </c>
      <c r="AS3609" s="3" t="s">
        <v>64</v>
      </c>
      <c r="AT3609" s="3" t="s">
        <v>64</v>
      </c>
      <c r="AV3609" s="6" t="str">
        <f>HYPERLINK("http://mcgill.on.worldcat.org/oclc/606785140","Catalog Record")</f>
        <v>Catalog Record</v>
      </c>
      <c r="AW3609" s="6" t="str">
        <f>HYPERLINK("http://www.worldcat.org/oclc/606785140","WorldCat Record")</f>
        <v>WorldCat Record</v>
      </c>
      <c r="AX3609" s="3" t="s">
        <v>36033</v>
      </c>
      <c r="AY3609" s="3" t="s">
        <v>36034</v>
      </c>
      <c r="AZ3609" s="3" t="s">
        <v>36035</v>
      </c>
      <c r="BA3609" s="3" t="s">
        <v>36035</v>
      </c>
      <c r="BB3609" s="3" t="s">
        <v>36036</v>
      </c>
      <c r="BC3609" s="3" t="s">
        <v>77</v>
      </c>
      <c r="BD3609" s="3" t="s">
        <v>78</v>
      </c>
      <c r="BE3609" s="3" t="s">
        <v>36037</v>
      </c>
      <c r="BF3609" s="3" t="s">
        <v>36036</v>
      </c>
      <c r="BG3609" s="3" t="s">
        <v>36038</v>
      </c>
      <c r="BH3609">
        <f t="shared" si="86"/>
        <v>0</v>
      </c>
    </row>
    <row r="3610" spans="1:60" ht="58" x14ac:dyDescent="0.35">
      <c r="A3610" s="2" t="s">
        <v>59</v>
      </c>
      <c r="B3610" s="2" t="s">
        <v>60</v>
      </c>
      <c r="C3610" s="2" t="s">
        <v>36039</v>
      </c>
      <c r="D3610" s="2" t="s">
        <v>36040</v>
      </c>
      <c r="E3610" s="2" t="s">
        <v>36041</v>
      </c>
      <c r="G3610" s="3" t="s">
        <v>64</v>
      </c>
      <c r="I3610" s="3" t="s">
        <v>64</v>
      </c>
      <c r="J3610" s="3" t="s">
        <v>64</v>
      </c>
      <c r="K3610" s="3" t="s">
        <v>65</v>
      </c>
      <c r="L3610" s="2" t="s">
        <v>3389</v>
      </c>
      <c r="M3610" s="2" t="s">
        <v>36042</v>
      </c>
      <c r="N3610" s="3" t="s">
        <v>86</v>
      </c>
      <c r="P3610" s="3" t="s">
        <v>102</v>
      </c>
      <c r="R3610" s="3" t="s">
        <v>70</v>
      </c>
      <c r="S3610" s="4">
        <v>20</v>
      </c>
      <c r="T3610" s="4">
        <v>20</v>
      </c>
      <c r="U3610" s="5" t="s">
        <v>19179</v>
      </c>
      <c r="V3610" s="5" t="s">
        <v>19179</v>
      </c>
      <c r="W3610" s="5" t="s">
        <v>72</v>
      </c>
      <c r="X3610" s="5" t="s">
        <v>72</v>
      </c>
      <c r="Y3610" s="4">
        <v>458</v>
      </c>
      <c r="Z3610" s="4">
        <v>25</v>
      </c>
      <c r="AA3610" s="4">
        <v>27</v>
      </c>
      <c r="AB3610" s="4">
        <v>1</v>
      </c>
      <c r="AC3610" s="4">
        <v>3</v>
      </c>
      <c r="AD3610" s="4">
        <v>93</v>
      </c>
      <c r="AE3610" s="4">
        <v>94</v>
      </c>
      <c r="AF3610" s="4">
        <v>0</v>
      </c>
      <c r="AG3610" s="4">
        <v>1</v>
      </c>
      <c r="AH3610" s="4">
        <v>84</v>
      </c>
      <c r="AI3610" s="4">
        <v>84</v>
      </c>
      <c r="AJ3610" s="4">
        <v>11</v>
      </c>
      <c r="AK3610" s="4">
        <v>12</v>
      </c>
      <c r="AL3610" s="4">
        <v>48</v>
      </c>
      <c r="AM3610" s="4">
        <v>48</v>
      </c>
      <c r="AN3610" s="4">
        <v>5</v>
      </c>
      <c r="AO3610" s="4">
        <v>5</v>
      </c>
      <c r="AP3610" s="4">
        <v>16</v>
      </c>
      <c r="AQ3610" s="4">
        <v>16</v>
      </c>
      <c r="AR3610" s="3" t="s">
        <v>64</v>
      </c>
      <c r="AS3610" s="3" t="s">
        <v>64</v>
      </c>
      <c r="AT3610" s="3" t="s">
        <v>128</v>
      </c>
      <c r="AU3610" s="6" t="str">
        <f>HYPERLINK("http://catalog.hathitrust.org/Record/011919683","HathiTrust Record")</f>
        <v>HathiTrust Record</v>
      </c>
      <c r="AV3610" s="6" t="str">
        <f>HYPERLINK("http://mcgill.on.worldcat.org/oclc/769430626","Catalog Record")</f>
        <v>Catalog Record</v>
      </c>
      <c r="AW3610" s="6" t="str">
        <f>HYPERLINK("http://www.worldcat.org/oclc/769430626","WorldCat Record")</f>
        <v>WorldCat Record</v>
      </c>
      <c r="AX3610" s="3" t="s">
        <v>36043</v>
      </c>
      <c r="AY3610" s="3" t="s">
        <v>36044</v>
      </c>
      <c r="AZ3610" s="3" t="s">
        <v>36045</v>
      </c>
      <c r="BA3610" s="3" t="s">
        <v>36045</v>
      </c>
      <c r="BB3610" s="3" t="s">
        <v>36046</v>
      </c>
      <c r="BC3610" s="3" t="s">
        <v>77</v>
      </c>
      <c r="BD3610" s="3" t="s">
        <v>78</v>
      </c>
      <c r="BE3610" s="3" t="s">
        <v>36047</v>
      </c>
      <c r="BF3610" s="3" t="s">
        <v>36046</v>
      </c>
      <c r="BG3610" s="3" t="s">
        <v>36048</v>
      </c>
      <c r="BH3610">
        <f t="shared" si="86"/>
        <v>0</v>
      </c>
    </row>
    <row r="3611" spans="1:60" ht="58" x14ac:dyDescent="0.35">
      <c r="A3611" s="2" t="s">
        <v>59</v>
      </c>
      <c r="B3611" s="2" t="s">
        <v>60</v>
      </c>
      <c r="C3611" s="2" t="s">
        <v>36049</v>
      </c>
      <c r="D3611" s="2" t="s">
        <v>36050</v>
      </c>
      <c r="E3611" s="2" t="s">
        <v>36051</v>
      </c>
      <c r="G3611" s="3" t="s">
        <v>64</v>
      </c>
      <c r="I3611" s="3" t="s">
        <v>64</v>
      </c>
      <c r="J3611" s="3" t="s">
        <v>64</v>
      </c>
      <c r="K3611" s="3" t="s">
        <v>65</v>
      </c>
      <c r="L3611" s="2" t="s">
        <v>36052</v>
      </c>
      <c r="M3611" s="2" t="s">
        <v>36053</v>
      </c>
      <c r="N3611" s="3" t="s">
        <v>1075</v>
      </c>
      <c r="O3611" s="2" t="s">
        <v>2149</v>
      </c>
      <c r="P3611" s="3" t="s">
        <v>102</v>
      </c>
      <c r="Q3611" s="2" t="s">
        <v>351</v>
      </c>
      <c r="R3611" s="3" t="s">
        <v>70</v>
      </c>
      <c r="S3611" s="4">
        <v>3</v>
      </c>
      <c r="T3611" s="4">
        <v>3</v>
      </c>
      <c r="U3611" s="5" t="s">
        <v>980</v>
      </c>
      <c r="V3611" s="5" t="s">
        <v>980</v>
      </c>
      <c r="W3611" s="5" t="s">
        <v>72</v>
      </c>
      <c r="X3611" s="5" t="s">
        <v>72</v>
      </c>
      <c r="Y3611" s="4">
        <v>123</v>
      </c>
      <c r="Z3611" s="4">
        <v>11</v>
      </c>
      <c r="AA3611" s="4">
        <v>31</v>
      </c>
      <c r="AB3611" s="4">
        <v>1</v>
      </c>
      <c r="AC3611" s="4">
        <v>6</v>
      </c>
      <c r="AD3611" s="4">
        <v>50</v>
      </c>
      <c r="AE3611" s="4">
        <v>92</v>
      </c>
      <c r="AF3611" s="4">
        <v>0</v>
      </c>
      <c r="AG3611" s="4">
        <v>2</v>
      </c>
      <c r="AH3611" s="4">
        <v>47</v>
      </c>
      <c r="AI3611" s="4">
        <v>77</v>
      </c>
      <c r="AJ3611" s="4">
        <v>8</v>
      </c>
      <c r="AK3611" s="4">
        <v>13</v>
      </c>
      <c r="AL3611" s="4">
        <v>32</v>
      </c>
      <c r="AM3611" s="4">
        <v>46</v>
      </c>
      <c r="AN3611" s="4">
        <v>0</v>
      </c>
      <c r="AO3611" s="4">
        <v>0</v>
      </c>
      <c r="AP3611" s="4">
        <v>8</v>
      </c>
      <c r="AQ3611" s="4">
        <v>20</v>
      </c>
      <c r="AR3611" s="3" t="s">
        <v>64</v>
      </c>
      <c r="AS3611" s="3" t="s">
        <v>64</v>
      </c>
      <c r="AT3611" s="3" t="s">
        <v>64</v>
      </c>
      <c r="AV3611" s="6" t="str">
        <f>HYPERLINK("http://mcgill.on.worldcat.org/oclc/831150617","Catalog Record")</f>
        <v>Catalog Record</v>
      </c>
      <c r="AW3611" s="6" t="str">
        <f>HYPERLINK("http://www.worldcat.org/oclc/831150617","WorldCat Record")</f>
        <v>WorldCat Record</v>
      </c>
      <c r="AX3611" s="3" t="s">
        <v>36054</v>
      </c>
      <c r="AY3611" s="3" t="s">
        <v>36055</v>
      </c>
      <c r="AZ3611" s="3" t="s">
        <v>36056</v>
      </c>
      <c r="BA3611" s="3" t="s">
        <v>36056</v>
      </c>
      <c r="BB3611" s="3" t="s">
        <v>36057</v>
      </c>
      <c r="BC3611" s="3" t="s">
        <v>77</v>
      </c>
      <c r="BD3611" s="3" t="s">
        <v>78</v>
      </c>
      <c r="BE3611" s="3" t="s">
        <v>36058</v>
      </c>
      <c r="BF3611" s="3" t="s">
        <v>36057</v>
      </c>
      <c r="BG3611" s="3" t="s">
        <v>36059</v>
      </c>
      <c r="BH3611">
        <f t="shared" si="86"/>
        <v>0</v>
      </c>
    </row>
    <row r="3612" spans="1:60" ht="58" x14ac:dyDescent="0.35">
      <c r="A3612" s="2" t="s">
        <v>59</v>
      </c>
      <c r="B3612" s="2" t="s">
        <v>60</v>
      </c>
      <c r="C3612" s="2" t="s">
        <v>36060</v>
      </c>
      <c r="D3612" s="2" t="s">
        <v>36061</v>
      </c>
      <c r="E3612" s="2" t="s">
        <v>36062</v>
      </c>
      <c r="G3612" s="3" t="s">
        <v>64</v>
      </c>
      <c r="I3612" s="3" t="s">
        <v>64</v>
      </c>
      <c r="J3612" s="3" t="s">
        <v>64</v>
      </c>
      <c r="K3612" s="3" t="s">
        <v>65</v>
      </c>
      <c r="L3612" s="2" t="s">
        <v>362</v>
      </c>
      <c r="M3612" s="2" t="s">
        <v>36063</v>
      </c>
      <c r="N3612" s="3" t="s">
        <v>3584</v>
      </c>
      <c r="P3612" s="3" t="s">
        <v>365</v>
      </c>
      <c r="Q3612" s="2" t="s">
        <v>36064</v>
      </c>
      <c r="R3612" s="3" t="s">
        <v>70</v>
      </c>
      <c r="S3612" s="4">
        <v>1</v>
      </c>
      <c r="T3612" s="4">
        <v>1</v>
      </c>
      <c r="U3612" s="5" t="s">
        <v>10073</v>
      </c>
      <c r="V3612" s="5" t="s">
        <v>10073</v>
      </c>
      <c r="W3612" s="5" t="s">
        <v>72</v>
      </c>
      <c r="X3612" s="5" t="s">
        <v>72</v>
      </c>
      <c r="Y3612" s="4">
        <v>37</v>
      </c>
      <c r="Z3612" s="4">
        <v>4</v>
      </c>
      <c r="AA3612" s="4">
        <v>5</v>
      </c>
      <c r="AB3612" s="4">
        <v>1</v>
      </c>
      <c r="AC3612" s="4">
        <v>1</v>
      </c>
      <c r="AD3612" s="4">
        <v>20</v>
      </c>
      <c r="AE3612" s="4">
        <v>22</v>
      </c>
      <c r="AF3612" s="4">
        <v>0</v>
      </c>
      <c r="AG3612" s="4">
        <v>0</v>
      </c>
      <c r="AH3612" s="4">
        <v>18</v>
      </c>
      <c r="AI3612" s="4">
        <v>20</v>
      </c>
      <c r="AJ3612" s="4">
        <v>3</v>
      </c>
      <c r="AK3612" s="4">
        <v>4</v>
      </c>
      <c r="AL3612" s="4">
        <v>13</v>
      </c>
      <c r="AM3612" s="4">
        <v>14</v>
      </c>
      <c r="AN3612" s="4">
        <v>0</v>
      </c>
      <c r="AO3612" s="4">
        <v>0</v>
      </c>
      <c r="AP3612" s="4">
        <v>3</v>
      </c>
      <c r="AQ3612" s="4">
        <v>4</v>
      </c>
      <c r="AR3612" s="3" t="s">
        <v>64</v>
      </c>
      <c r="AS3612" s="3" t="s">
        <v>64</v>
      </c>
      <c r="AT3612" s="3" t="s">
        <v>128</v>
      </c>
      <c r="AU3612" s="6" t="str">
        <f>HYPERLINK("http://catalog.hathitrust.org/Record/006193219","HathiTrust Record")</f>
        <v>HathiTrust Record</v>
      </c>
      <c r="AV3612" s="6" t="str">
        <f>HYPERLINK("http://mcgill.on.worldcat.org/oclc/3629822","Catalog Record")</f>
        <v>Catalog Record</v>
      </c>
      <c r="AW3612" s="6" t="str">
        <f>HYPERLINK("http://www.worldcat.org/oclc/3629822","WorldCat Record")</f>
        <v>WorldCat Record</v>
      </c>
      <c r="AX3612" s="3" t="s">
        <v>36065</v>
      </c>
      <c r="AY3612" s="3" t="s">
        <v>36066</v>
      </c>
      <c r="AZ3612" s="3" t="s">
        <v>36067</v>
      </c>
      <c r="BA3612" s="3" t="s">
        <v>36067</v>
      </c>
      <c r="BB3612" s="3" t="s">
        <v>36068</v>
      </c>
      <c r="BC3612" s="3" t="s">
        <v>77</v>
      </c>
      <c r="BD3612" s="3" t="s">
        <v>78</v>
      </c>
      <c r="BF3612" s="3" t="s">
        <v>36068</v>
      </c>
      <c r="BG3612" s="3" t="s">
        <v>36069</v>
      </c>
      <c r="BH3612">
        <f t="shared" si="86"/>
        <v>0</v>
      </c>
    </row>
    <row r="3613" spans="1:60" ht="58" x14ac:dyDescent="0.35">
      <c r="A3613" s="2" t="s">
        <v>59</v>
      </c>
      <c r="B3613" s="2" t="s">
        <v>60</v>
      </c>
      <c r="C3613" s="2" t="s">
        <v>36070</v>
      </c>
      <c r="D3613" s="2" t="s">
        <v>36071</v>
      </c>
      <c r="E3613" s="2" t="s">
        <v>36072</v>
      </c>
      <c r="G3613" s="3" t="s">
        <v>64</v>
      </c>
      <c r="I3613" s="3" t="s">
        <v>64</v>
      </c>
      <c r="J3613" s="3" t="s">
        <v>64</v>
      </c>
      <c r="K3613" s="3" t="s">
        <v>65</v>
      </c>
      <c r="L3613" s="2" t="s">
        <v>36073</v>
      </c>
      <c r="M3613" s="2" t="s">
        <v>30362</v>
      </c>
      <c r="N3613" s="3" t="s">
        <v>153</v>
      </c>
      <c r="P3613" s="3" t="s">
        <v>102</v>
      </c>
      <c r="Q3613" s="2" t="s">
        <v>36074</v>
      </c>
      <c r="R3613" s="3" t="s">
        <v>70</v>
      </c>
      <c r="S3613" s="4">
        <v>5</v>
      </c>
      <c r="T3613" s="4">
        <v>5</v>
      </c>
      <c r="U3613" s="5" t="s">
        <v>3796</v>
      </c>
      <c r="V3613" s="5" t="s">
        <v>3796</v>
      </c>
      <c r="W3613" s="5" t="s">
        <v>72</v>
      </c>
      <c r="X3613" s="5" t="s">
        <v>72</v>
      </c>
      <c r="Y3613" s="4">
        <v>122</v>
      </c>
      <c r="Z3613" s="4">
        <v>12</v>
      </c>
      <c r="AA3613" s="4">
        <v>12</v>
      </c>
      <c r="AB3613" s="4">
        <v>1</v>
      </c>
      <c r="AC3613" s="4">
        <v>1</v>
      </c>
      <c r="AD3613" s="4">
        <v>65</v>
      </c>
      <c r="AE3613" s="4">
        <v>65</v>
      </c>
      <c r="AF3613" s="4">
        <v>0</v>
      </c>
      <c r="AG3613" s="4">
        <v>0</v>
      </c>
      <c r="AH3613" s="4">
        <v>58</v>
      </c>
      <c r="AI3613" s="4">
        <v>58</v>
      </c>
      <c r="AJ3613" s="4">
        <v>9</v>
      </c>
      <c r="AK3613" s="4">
        <v>9</v>
      </c>
      <c r="AL3613" s="4">
        <v>35</v>
      </c>
      <c r="AM3613" s="4">
        <v>35</v>
      </c>
      <c r="AN3613" s="4">
        <v>0</v>
      </c>
      <c r="AO3613" s="4">
        <v>0</v>
      </c>
      <c r="AP3613" s="4">
        <v>9</v>
      </c>
      <c r="AQ3613" s="4">
        <v>9</v>
      </c>
      <c r="AR3613" s="3" t="s">
        <v>64</v>
      </c>
      <c r="AS3613" s="3" t="s">
        <v>64</v>
      </c>
      <c r="AT3613" s="3" t="s">
        <v>128</v>
      </c>
      <c r="AU3613" s="6" t="str">
        <f>HYPERLINK("http://catalog.hathitrust.org/Record/003979843","HathiTrust Record")</f>
        <v>HathiTrust Record</v>
      </c>
      <c r="AV3613" s="6" t="str">
        <f>HYPERLINK("http://mcgill.on.worldcat.org/oclc/37220908","Catalog Record")</f>
        <v>Catalog Record</v>
      </c>
      <c r="AW3613" s="6" t="str">
        <f>HYPERLINK("http://www.worldcat.org/oclc/37220908","WorldCat Record")</f>
        <v>WorldCat Record</v>
      </c>
      <c r="AX3613" s="3" t="s">
        <v>36075</v>
      </c>
      <c r="AY3613" s="3" t="s">
        <v>36076</v>
      </c>
      <c r="AZ3613" s="3" t="s">
        <v>36077</v>
      </c>
      <c r="BA3613" s="3" t="s">
        <v>36077</v>
      </c>
      <c r="BB3613" s="3" t="s">
        <v>36078</v>
      </c>
      <c r="BC3613" s="3" t="s">
        <v>77</v>
      </c>
      <c r="BD3613" s="3" t="s">
        <v>78</v>
      </c>
      <c r="BE3613" s="3" t="s">
        <v>36079</v>
      </c>
      <c r="BF3613" s="3" t="s">
        <v>36078</v>
      </c>
      <c r="BG3613" s="3" t="s">
        <v>36080</v>
      </c>
      <c r="BH3613">
        <f t="shared" si="86"/>
        <v>0</v>
      </c>
    </row>
    <row r="3614" spans="1:60" ht="58" x14ac:dyDescent="0.35">
      <c r="A3614" s="2" t="s">
        <v>59</v>
      </c>
      <c r="B3614" s="2" t="s">
        <v>60</v>
      </c>
      <c r="C3614" s="2" t="s">
        <v>36081</v>
      </c>
      <c r="D3614" s="2" t="s">
        <v>36082</v>
      </c>
      <c r="E3614" s="2" t="s">
        <v>36083</v>
      </c>
      <c r="G3614" s="3" t="s">
        <v>64</v>
      </c>
      <c r="I3614" s="3" t="s">
        <v>64</v>
      </c>
      <c r="J3614" s="3" t="s">
        <v>128</v>
      </c>
      <c r="K3614" s="3" t="s">
        <v>65</v>
      </c>
      <c r="L3614" s="2" t="s">
        <v>36084</v>
      </c>
      <c r="M3614" s="2" t="s">
        <v>36085</v>
      </c>
      <c r="N3614" s="3" t="s">
        <v>979</v>
      </c>
      <c r="O3614" s="2" t="s">
        <v>172</v>
      </c>
      <c r="P3614" s="3" t="s">
        <v>102</v>
      </c>
      <c r="R3614" s="3" t="s">
        <v>70</v>
      </c>
      <c r="S3614" s="4">
        <v>24</v>
      </c>
      <c r="T3614" s="4">
        <v>24</v>
      </c>
      <c r="U3614" s="5" t="s">
        <v>16276</v>
      </c>
      <c r="V3614" s="5" t="s">
        <v>16276</v>
      </c>
      <c r="W3614" s="5" t="s">
        <v>72</v>
      </c>
      <c r="X3614" s="5" t="s">
        <v>72</v>
      </c>
      <c r="Y3614" s="4">
        <v>717</v>
      </c>
      <c r="Z3614" s="4">
        <v>40</v>
      </c>
      <c r="AA3614" s="4">
        <v>52</v>
      </c>
      <c r="AB3614" s="4">
        <v>2</v>
      </c>
      <c r="AC3614" s="4">
        <v>5</v>
      </c>
      <c r="AD3614" s="4">
        <v>118</v>
      </c>
      <c r="AE3614" s="4">
        <v>140</v>
      </c>
      <c r="AF3614" s="4">
        <v>1</v>
      </c>
      <c r="AG3614" s="4">
        <v>3</v>
      </c>
      <c r="AH3614" s="4">
        <v>99</v>
      </c>
      <c r="AI3614" s="4">
        <v>112</v>
      </c>
      <c r="AJ3614" s="4">
        <v>18</v>
      </c>
      <c r="AK3614" s="4">
        <v>22</v>
      </c>
      <c r="AL3614" s="4">
        <v>48</v>
      </c>
      <c r="AM3614" s="4">
        <v>58</v>
      </c>
      <c r="AN3614" s="4">
        <v>0</v>
      </c>
      <c r="AO3614" s="4">
        <v>0</v>
      </c>
      <c r="AP3614" s="4">
        <v>29</v>
      </c>
      <c r="AQ3614" s="4">
        <v>37</v>
      </c>
      <c r="AR3614" s="3" t="s">
        <v>64</v>
      </c>
      <c r="AS3614" s="3" t="s">
        <v>64</v>
      </c>
      <c r="AT3614" s="3" t="s">
        <v>64</v>
      </c>
      <c r="AV3614" s="6" t="str">
        <f>HYPERLINK("http://mcgill.on.worldcat.org/oclc/43851488","Catalog Record")</f>
        <v>Catalog Record</v>
      </c>
      <c r="AW3614" s="6" t="str">
        <f>HYPERLINK("http://www.worldcat.org/oclc/43851488","WorldCat Record")</f>
        <v>WorldCat Record</v>
      </c>
      <c r="AX3614" s="3" t="s">
        <v>36086</v>
      </c>
      <c r="AY3614" s="3" t="s">
        <v>36087</v>
      </c>
      <c r="AZ3614" s="3" t="s">
        <v>36088</v>
      </c>
      <c r="BA3614" s="3" t="s">
        <v>36088</v>
      </c>
      <c r="BB3614" s="3" t="s">
        <v>36089</v>
      </c>
      <c r="BC3614" s="3" t="s">
        <v>77</v>
      </c>
      <c r="BD3614" s="3" t="s">
        <v>78</v>
      </c>
      <c r="BE3614" s="3" t="s">
        <v>36090</v>
      </c>
      <c r="BF3614" s="3" t="s">
        <v>36089</v>
      </c>
      <c r="BG3614" s="3" t="s">
        <v>36091</v>
      </c>
      <c r="BH3614">
        <f t="shared" si="86"/>
        <v>0</v>
      </c>
    </row>
    <row r="3615" spans="1:60" ht="87" x14ac:dyDescent="0.35">
      <c r="A3615" s="2" t="s">
        <v>59</v>
      </c>
      <c r="B3615" s="2" t="s">
        <v>60</v>
      </c>
      <c r="C3615" s="2" t="s">
        <v>36092</v>
      </c>
      <c r="D3615" s="2" t="s">
        <v>36093</v>
      </c>
      <c r="E3615" s="2" t="s">
        <v>36094</v>
      </c>
      <c r="G3615" s="3" t="s">
        <v>64</v>
      </c>
      <c r="I3615" s="3" t="s">
        <v>128</v>
      </c>
      <c r="J3615" s="3" t="s">
        <v>64</v>
      </c>
      <c r="K3615" s="3" t="s">
        <v>65</v>
      </c>
      <c r="L3615" s="2" t="s">
        <v>36095</v>
      </c>
      <c r="M3615" s="2" t="s">
        <v>36096</v>
      </c>
      <c r="N3615" s="3" t="s">
        <v>315</v>
      </c>
      <c r="O3615" s="2" t="s">
        <v>36097</v>
      </c>
      <c r="P3615" s="3" t="s">
        <v>102</v>
      </c>
      <c r="R3615" s="3" t="s">
        <v>70</v>
      </c>
      <c r="S3615" s="4">
        <v>4</v>
      </c>
      <c r="T3615" s="4">
        <v>4</v>
      </c>
      <c r="U3615" s="5" t="s">
        <v>36098</v>
      </c>
      <c r="V3615" s="5" t="s">
        <v>36098</v>
      </c>
      <c r="W3615" s="5" t="s">
        <v>72</v>
      </c>
      <c r="X3615" s="5" t="s">
        <v>72</v>
      </c>
      <c r="Y3615" s="4">
        <v>333</v>
      </c>
      <c r="Z3615" s="4">
        <v>16</v>
      </c>
      <c r="AA3615" s="4">
        <v>23</v>
      </c>
      <c r="AB3615" s="4">
        <v>1</v>
      </c>
      <c r="AC3615" s="4">
        <v>2</v>
      </c>
      <c r="AD3615" s="4">
        <v>90</v>
      </c>
      <c r="AE3615" s="4">
        <v>94</v>
      </c>
      <c r="AF3615" s="4">
        <v>0</v>
      </c>
      <c r="AG3615" s="4">
        <v>1</v>
      </c>
      <c r="AH3615" s="4">
        <v>83</v>
      </c>
      <c r="AI3615" s="4">
        <v>86</v>
      </c>
      <c r="AJ3615" s="4">
        <v>11</v>
      </c>
      <c r="AK3615" s="4">
        <v>14</v>
      </c>
      <c r="AL3615" s="4">
        <v>46</v>
      </c>
      <c r="AM3615" s="4">
        <v>46</v>
      </c>
      <c r="AN3615" s="4">
        <v>0</v>
      </c>
      <c r="AO3615" s="4">
        <v>0</v>
      </c>
      <c r="AP3615" s="4">
        <v>11</v>
      </c>
      <c r="AQ3615" s="4">
        <v>14</v>
      </c>
      <c r="AR3615" s="3" t="s">
        <v>64</v>
      </c>
      <c r="AS3615" s="3" t="s">
        <v>64</v>
      </c>
      <c r="AT3615" s="3" t="s">
        <v>64</v>
      </c>
      <c r="AV3615" s="6" t="str">
        <f>HYPERLINK("http://mcgill.on.worldcat.org/oclc/715529","Catalog Record")</f>
        <v>Catalog Record</v>
      </c>
      <c r="AW3615" s="6" t="str">
        <f>HYPERLINK("http://www.worldcat.org/oclc/715529","WorldCat Record")</f>
        <v>WorldCat Record</v>
      </c>
      <c r="AX3615" s="3" t="s">
        <v>36099</v>
      </c>
      <c r="AY3615" s="3" t="s">
        <v>36100</v>
      </c>
      <c r="AZ3615" s="3" t="s">
        <v>36101</v>
      </c>
      <c r="BA3615" s="3" t="s">
        <v>36101</v>
      </c>
      <c r="BB3615" s="3" t="s">
        <v>36102</v>
      </c>
      <c r="BC3615" s="3" t="s">
        <v>77</v>
      </c>
      <c r="BD3615" s="3" t="s">
        <v>78</v>
      </c>
      <c r="BF3615" s="3" t="s">
        <v>36102</v>
      </c>
      <c r="BG3615" s="3" t="s">
        <v>36103</v>
      </c>
      <c r="BH3615">
        <f t="shared" si="86"/>
        <v>0</v>
      </c>
    </row>
    <row r="3616" spans="1:60" ht="58" x14ac:dyDescent="0.35">
      <c r="A3616" s="2" t="s">
        <v>59</v>
      </c>
      <c r="B3616" s="2" t="s">
        <v>60</v>
      </c>
      <c r="C3616" s="2" t="s">
        <v>36104</v>
      </c>
      <c r="D3616" s="2" t="s">
        <v>36105</v>
      </c>
      <c r="E3616" s="2" t="s">
        <v>36106</v>
      </c>
      <c r="G3616" s="3" t="s">
        <v>64</v>
      </c>
      <c r="I3616" s="3" t="s">
        <v>64</v>
      </c>
      <c r="J3616" s="3" t="s">
        <v>64</v>
      </c>
      <c r="K3616" s="3" t="s">
        <v>65</v>
      </c>
      <c r="L3616" s="2" t="s">
        <v>36107</v>
      </c>
      <c r="M3616" s="2" t="s">
        <v>36108</v>
      </c>
      <c r="N3616" s="3" t="s">
        <v>1763</v>
      </c>
      <c r="P3616" s="3" t="s">
        <v>102</v>
      </c>
      <c r="R3616" s="3" t="s">
        <v>70</v>
      </c>
      <c r="S3616" s="4">
        <v>20</v>
      </c>
      <c r="T3616" s="4">
        <v>20</v>
      </c>
      <c r="U3616" s="5" t="s">
        <v>980</v>
      </c>
      <c r="V3616" s="5" t="s">
        <v>980</v>
      </c>
      <c r="W3616" s="5" t="s">
        <v>72</v>
      </c>
      <c r="X3616" s="5" t="s">
        <v>72</v>
      </c>
      <c r="Y3616" s="4">
        <v>583</v>
      </c>
      <c r="Z3616" s="4">
        <v>35</v>
      </c>
      <c r="AA3616" s="4">
        <v>39</v>
      </c>
      <c r="AB3616" s="4">
        <v>3</v>
      </c>
      <c r="AC3616" s="4">
        <v>6</v>
      </c>
      <c r="AD3616" s="4">
        <v>123</v>
      </c>
      <c r="AE3616" s="4">
        <v>125</v>
      </c>
      <c r="AF3616" s="4">
        <v>1</v>
      </c>
      <c r="AG3616" s="4">
        <v>3</v>
      </c>
      <c r="AH3616" s="4">
        <v>105</v>
      </c>
      <c r="AI3616" s="4">
        <v>106</v>
      </c>
      <c r="AJ3616" s="4">
        <v>22</v>
      </c>
      <c r="AK3616" s="4">
        <v>24</v>
      </c>
      <c r="AL3616" s="4">
        <v>57</v>
      </c>
      <c r="AM3616" s="4">
        <v>57</v>
      </c>
      <c r="AN3616" s="4">
        <v>0</v>
      </c>
      <c r="AO3616" s="4">
        <v>0</v>
      </c>
      <c r="AP3616" s="4">
        <v>25</v>
      </c>
      <c r="AQ3616" s="4">
        <v>26</v>
      </c>
      <c r="AR3616" s="3" t="s">
        <v>64</v>
      </c>
      <c r="AS3616" s="3" t="s">
        <v>64</v>
      </c>
      <c r="AT3616" s="3" t="s">
        <v>64</v>
      </c>
      <c r="AV3616" s="6" t="str">
        <f>HYPERLINK("http://mcgill.on.worldcat.org/oclc/10045978","Catalog Record")</f>
        <v>Catalog Record</v>
      </c>
      <c r="AW3616" s="6" t="str">
        <f>HYPERLINK("http://www.worldcat.org/oclc/10045978","WorldCat Record")</f>
        <v>WorldCat Record</v>
      </c>
      <c r="AX3616" s="3" t="s">
        <v>36109</v>
      </c>
      <c r="AY3616" s="3" t="s">
        <v>36110</v>
      </c>
      <c r="AZ3616" s="3" t="s">
        <v>36111</v>
      </c>
      <c r="BA3616" s="3" t="s">
        <v>36111</v>
      </c>
      <c r="BB3616" s="3" t="s">
        <v>36112</v>
      </c>
      <c r="BC3616" s="3" t="s">
        <v>77</v>
      </c>
      <c r="BD3616" s="3" t="s">
        <v>78</v>
      </c>
      <c r="BE3616" s="3" t="s">
        <v>36113</v>
      </c>
      <c r="BF3616" s="3" t="s">
        <v>36112</v>
      </c>
      <c r="BG3616" s="3" t="s">
        <v>36114</v>
      </c>
      <c r="BH3616">
        <f t="shared" si="86"/>
        <v>0</v>
      </c>
    </row>
    <row r="3617" spans="1:60" ht="58" x14ac:dyDescent="0.35">
      <c r="A3617" s="2" t="s">
        <v>59</v>
      </c>
      <c r="B3617" s="2" t="s">
        <v>60</v>
      </c>
      <c r="C3617" s="2" t="s">
        <v>36115</v>
      </c>
      <c r="D3617" s="2" t="s">
        <v>36116</v>
      </c>
      <c r="E3617" s="2" t="s">
        <v>36117</v>
      </c>
      <c r="G3617" s="3" t="s">
        <v>64</v>
      </c>
      <c r="I3617" s="3" t="s">
        <v>128</v>
      </c>
      <c r="J3617" s="3" t="s">
        <v>64</v>
      </c>
      <c r="K3617" s="3" t="s">
        <v>65</v>
      </c>
      <c r="L3617" s="2" t="s">
        <v>36118</v>
      </c>
      <c r="M3617" s="2" t="s">
        <v>36119</v>
      </c>
      <c r="N3617" s="3" t="s">
        <v>67</v>
      </c>
      <c r="P3617" s="3" t="s">
        <v>102</v>
      </c>
      <c r="R3617" s="3" t="s">
        <v>70</v>
      </c>
      <c r="S3617" s="4">
        <v>2</v>
      </c>
      <c r="T3617" s="4">
        <v>2</v>
      </c>
      <c r="U3617" s="5" t="s">
        <v>17350</v>
      </c>
      <c r="V3617" s="5" t="s">
        <v>17350</v>
      </c>
      <c r="W3617" s="5" t="s">
        <v>72</v>
      </c>
      <c r="X3617" s="5" t="s">
        <v>72</v>
      </c>
      <c r="Y3617" s="4">
        <v>62</v>
      </c>
      <c r="Z3617" s="4">
        <v>6</v>
      </c>
      <c r="AA3617" s="4">
        <v>6</v>
      </c>
      <c r="AB3617" s="4">
        <v>1</v>
      </c>
      <c r="AC3617" s="4">
        <v>1</v>
      </c>
      <c r="AD3617" s="4">
        <v>31</v>
      </c>
      <c r="AE3617" s="4">
        <v>31</v>
      </c>
      <c r="AF3617" s="4">
        <v>0</v>
      </c>
      <c r="AG3617" s="4">
        <v>0</v>
      </c>
      <c r="AH3617" s="4">
        <v>29</v>
      </c>
      <c r="AI3617" s="4">
        <v>29</v>
      </c>
      <c r="AJ3617" s="4">
        <v>5</v>
      </c>
      <c r="AK3617" s="4">
        <v>5</v>
      </c>
      <c r="AL3617" s="4">
        <v>17</v>
      </c>
      <c r="AM3617" s="4">
        <v>17</v>
      </c>
      <c r="AN3617" s="4">
        <v>0</v>
      </c>
      <c r="AO3617" s="4">
        <v>0</v>
      </c>
      <c r="AP3617" s="4">
        <v>5</v>
      </c>
      <c r="AQ3617" s="4">
        <v>5</v>
      </c>
      <c r="AR3617" s="3" t="s">
        <v>64</v>
      </c>
      <c r="AS3617" s="3" t="s">
        <v>64</v>
      </c>
      <c r="AT3617" s="3" t="s">
        <v>64</v>
      </c>
      <c r="AV3617" s="6" t="str">
        <f>HYPERLINK("http://mcgill.on.worldcat.org/oclc/892055598","Catalog Record")</f>
        <v>Catalog Record</v>
      </c>
      <c r="AW3617" s="6" t="str">
        <f>HYPERLINK("http://www.worldcat.org/oclc/892055598","WorldCat Record")</f>
        <v>WorldCat Record</v>
      </c>
      <c r="AX3617" s="3" t="s">
        <v>36120</v>
      </c>
      <c r="AY3617" s="3" t="s">
        <v>36121</v>
      </c>
      <c r="AZ3617" s="3" t="s">
        <v>36122</v>
      </c>
      <c r="BA3617" s="3" t="s">
        <v>36122</v>
      </c>
      <c r="BB3617" s="3" t="s">
        <v>36123</v>
      </c>
      <c r="BC3617" s="3" t="s">
        <v>77</v>
      </c>
      <c r="BD3617" s="3" t="s">
        <v>78</v>
      </c>
      <c r="BE3617" s="3" t="s">
        <v>36124</v>
      </c>
      <c r="BF3617" s="3" t="s">
        <v>36123</v>
      </c>
      <c r="BG3617" s="3" t="s">
        <v>36125</v>
      </c>
      <c r="BH3617">
        <f t="shared" si="86"/>
        <v>0</v>
      </c>
    </row>
    <row r="3618" spans="1:60" ht="58" x14ac:dyDescent="0.35">
      <c r="A3618" s="2" t="s">
        <v>59</v>
      </c>
      <c r="B3618" s="2" t="s">
        <v>60</v>
      </c>
      <c r="C3618" s="2" t="s">
        <v>36126</v>
      </c>
      <c r="D3618" s="2" t="s">
        <v>36127</v>
      </c>
      <c r="E3618" s="2" t="s">
        <v>36128</v>
      </c>
      <c r="G3618" s="3" t="s">
        <v>64</v>
      </c>
      <c r="I3618" s="3" t="s">
        <v>64</v>
      </c>
      <c r="J3618" s="3" t="s">
        <v>64</v>
      </c>
      <c r="K3618" s="3" t="s">
        <v>65</v>
      </c>
      <c r="L3618" s="2" t="s">
        <v>36129</v>
      </c>
      <c r="M3618" s="2" t="s">
        <v>36130</v>
      </c>
      <c r="N3618" s="3" t="s">
        <v>922</v>
      </c>
      <c r="P3618" s="3" t="s">
        <v>102</v>
      </c>
      <c r="Q3618" s="2" t="s">
        <v>36131</v>
      </c>
      <c r="R3618" s="3" t="s">
        <v>70</v>
      </c>
      <c r="S3618" s="4">
        <v>37</v>
      </c>
      <c r="T3618" s="4">
        <v>37</v>
      </c>
      <c r="U3618" s="5" t="s">
        <v>33988</v>
      </c>
      <c r="V3618" s="5" t="s">
        <v>33988</v>
      </c>
      <c r="W3618" s="5" t="s">
        <v>72</v>
      </c>
      <c r="X3618" s="5" t="s">
        <v>72</v>
      </c>
      <c r="Y3618" s="4">
        <v>192</v>
      </c>
      <c r="Z3618" s="4">
        <v>22</v>
      </c>
      <c r="AA3618" s="4">
        <v>22</v>
      </c>
      <c r="AB3618" s="4">
        <v>2</v>
      </c>
      <c r="AC3618" s="4">
        <v>2</v>
      </c>
      <c r="AD3618" s="4">
        <v>77</v>
      </c>
      <c r="AE3618" s="4">
        <v>77</v>
      </c>
      <c r="AF3618" s="4">
        <v>1</v>
      </c>
      <c r="AG3618" s="4">
        <v>1</v>
      </c>
      <c r="AH3618" s="4">
        <v>67</v>
      </c>
      <c r="AI3618" s="4">
        <v>67</v>
      </c>
      <c r="AJ3618" s="4">
        <v>14</v>
      </c>
      <c r="AK3618" s="4">
        <v>14</v>
      </c>
      <c r="AL3618" s="4">
        <v>45</v>
      </c>
      <c r="AM3618" s="4">
        <v>45</v>
      </c>
      <c r="AN3618" s="4">
        <v>0</v>
      </c>
      <c r="AO3618" s="4">
        <v>0</v>
      </c>
      <c r="AP3618" s="4">
        <v>16</v>
      </c>
      <c r="AQ3618" s="4">
        <v>16</v>
      </c>
      <c r="AR3618" s="3" t="s">
        <v>64</v>
      </c>
      <c r="AS3618" s="3" t="s">
        <v>64</v>
      </c>
      <c r="AT3618" s="3" t="s">
        <v>128</v>
      </c>
      <c r="AU3618" s="6" t="str">
        <f>HYPERLINK("http://catalog.hathitrust.org/Record/001003253","HathiTrust Record")</f>
        <v>HathiTrust Record</v>
      </c>
      <c r="AV3618" s="6" t="str">
        <f>HYPERLINK("http://mcgill.on.worldcat.org/oclc/751105","Catalog Record")</f>
        <v>Catalog Record</v>
      </c>
      <c r="AW3618" s="6" t="str">
        <f>HYPERLINK("http://www.worldcat.org/oclc/751105","WorldCat Record")</f>
        <v>WorldCat Record</v>
      </c>
      <c r="AX3618" s="3" t="s">
        <v>36132</v>
      </c>
      <c r="AY3618" s="3" t="s">
        <v>36133</v>
      </c>
      <c r="AZ3618" s="3" t="s">
        <v>36134</v>
      </c>
      <c r="BA3618" s="3" t="s">
        <v>36134</v>
      </c>
      <c r="BB3618" s="3" t="s">
        <v>36135</v>
      </c>
      <c r="BC3618" s="3" t="s">
        <v>77</v>
      </c>
      <c r="BD3618" s="3" t="s">
        <v>78</v>
      </c>
      <c r="BF3618" s="3" t="s">
        <v>36135</v>
      </c>
      <c r="BG3618" s="3" t="s">
        <v>36136</v>
      </c>
      <c r="BH3618">
        <f t="shared" si="86"/>
        <v>0</v>
      </c>
    </row>
    <row r="3619" spans="1:60" ht="58" x14ac:dyDescent="0.35">
      <c r="A3619" s="2" t="s">
        <v>59</v>
      </c>
      <c r="B3619" s="2" t="s">
        <v>60</v>
      </c>
      <c r="C3619" s="2" t="s">
        <v>36137</v>
      </c>
      <c r="D3619" s="2" t="s">
        <v>36138</v>
      </c>
      <c r="E3619" s="2" t="s">
        <v>36139</v>
      </c>
      <c r="G3619" s="3" t="s">
        <v>64</v>
      </c>
      <c r="I3619" s="3" t="s">
        <v>64</v>
      </c>
      <c r="J3619" s="3" t="s">
        <v>128</v>
      </c>
      <c r="K3619" s="3" t="s">
        <v>65</v>
      </c>
      <c r="L3619" s="2" t="s">
        <v>635</v>
      </c>
      <c r="M3619" s="2" t="s">
        <v>36140</v>
      </c>
      <c r="N3619" s="3" t="s">
        <v>1250</v>
      </c>
      <c r="P3619" s="3" t="s">
        <v>102</v>
      </c>
      <c r="Q3619" s="2" t="s">
        <v>36141</v>
      </c>
      <c r="R3619" s="3" t="s">
        <v>70</v>
      </c>
      <c r="S3619" s="4">
        <v>24</v>
      </c>
      <c r="T3619" s="4">
        <v>24</v>
      </c>
      <c r="U3619" s="5" t="s">
        <v>3129</v>
      </c>
      <c r="V3619" s="5" t="s">
        <v>3129</v>
      </c>
      <c r="W3619" s="5" t="s">
        <v>72</v>
      </c>
      <c r="X3619" s="5" t="s">
        <v>72</v>
      </c>
      <c r="Y3619" s="4">
        <v>203</v>
      </c>
      <c r="Z3619" s="4">
        <v>14</v>
      </c>
      <c r="AA3619" s="4">
        <v>62</v>
      </c>
      <c r="AB3619" s="4">
        <v>1</v>
      </c>
      <c r="AC3619" s="4">
        <v>8</v>
      </c>
      <c r="AD3619" s="4">
        <v>55</v>
      </c>
      <c r="AE3619" s="4">
        <v>149</v>
      </c>
      <c r="AF3619" s="4">
        <v>0</v>
      </c>
      <c r="AG3619" s="4">
        <v>4</v>
      </c>
      <c r="AH3619" s="4">
        <v>52</v>
      </c>
      <c r="AI3619" s="4">
        <v>118</v>
      </c>
      <c r="AJ3619" s="4">
        <v>5</v>
      </c>
      <c r="AK3619" s="4">
        <v>25</v>
      </c>
      <c r="AL3619" s="4">
        <v>32</v>
      </c>
      <c r="AM3619" s="4">
        <v>65</v>
      </c>
      <c r="AN3619" s="4">
        <v>0</v>
      </c>
      <c r="AO3619" s="4">
        <v>4</v>
      </c>
      <c r="AP3619" s="4">
        <v>5</v>
      </c>
      <c r="AQ3619" s="4">
        <v>36</v>
      </c>
      <c r="AR3619" s="3" t="s">
        <v>64</v>
      </c>
      <c r="AS3619" s="3" t="s">
        <v>64</v>
      </c>
      <c r="AT3619" s="3" t="s">
        <v>128</v>
      </c>
      <c r="AU3619" s="6" t="str">
        <f>HYPERLINK("http://catalog.hathitrust.org/Record/002970998","HathiTrust Record")</f>
        <v>HathiTrust Record</v>
      </c>
      <c r="AV3619" s="6" t="str">
        <f>HYPERLINK("http://mcgill.on.worldcat.org/oclc/29877773","Catalog Record")</f>
        <v>Catalog Record</v>
      </c>
      <c r="AW3619" s="6" t="str">
        <f>HYPERLINK("http://www.worldcat.org/oclc/29877773","WorldCat Record")</f>
        <v>WorldCat Record</v>
      </c>
      <c r="AX3619" s="3" t="s">
        <v>637</v>
      </c>
      <c r="AY3619" s="3" t="s">
        <v>36142</v>
      </c>
      <c r="AZ3619" s="3" t="s">
        <v>36143</v>
      </c>
      <c r="BA3619" s="3" t="s">
        <v>36143</v>
      </c>
      <c r="BB3619" s="3" t="s">
        <v>36144</v>
      </c>
      <c r="BC3619" s="3" t="s">
        <v>77</v>
      </c>
      <c r="BD3619" s="3" t="s">
        <v>165</v>
      </c>
      <c r="BE3619" s="3" t="s">
        <v>36145</v>
      </c>
      <c r="BF3619" s="3" t="s">
        <v>36144</v>
      </c>
      <c r="BG3619" s="3" t="s">
        <v>36146</v>
      </c>
      <c r="BH3619">
        <f t="shared" si="86"/>
        <v>0</v>
      </c>
    </row>
    <row r="3620" spans="1:60" ht="58" x14ac:dyDescent="0.35">
      <c r="A3620" s="2" t="s">
        <v>59</v>
      </c>
      <c r="B3620" s="2" t="s">
        <v>60</v>
      </c>
      <c r="C3620" s="2" t="s">
        <v>36147</v>
      </c>
      <c r="D3620" s="2" t="s">
        <v>36148</v>
      </c>
      <c r="E3620" s="2" t="s">
        <v>36149</v>
      </c>
      <c r="G3620" s="3" t="s">
        <v>64</v>
      </c>
      <c r="I3620" s="3" t="s">
        <v>64</v>
      </c>
      <c r="J3620" s="3" t="s">
        <v>64</v>
      </c>
      <c r="K3620" s="3" t="s">
        <v>65</v>
      </c>
      <c r="L3620" s="2" t="s">
        <v>36150</v>
      </c>
      <c r="M3620" s="2" t="s">
        <v>36151</v>
      </c>
      <c r="N3620" s="3" t="s">
        <v>392</v>
      </c>
      <c r="P3620" s="3" t="s">
        <v>102</v>
      </c>
      <c r="R3620" s="3" t="s">
        <v>70</v>
      </c>
      <c r="S3620" s="4">
        <v>70</v>
      </c>
      <c r="T3620" s="4">
        <v>70</v>
      </c>
      <c r="U3620" s="5" t="s">
        <v>36152</v>
      </c>
      <c r="V3620" s="5" t="s">
        <v>36152</v>
      </c>
      <c r="W3620" s="5" t="s">
        <v>72</v>
      </c>
      <c r="X3620" s="5" t="s">
        <v>72</v>
      </c>
      <c r="Y3620" s="4">
        <v>319</v>
      </c>
      <c r="Z3620" s="4">
        <v>27</v>
      </c>
      <c r="AA3620" s="4">
        <v>111</v>
      </c>
      <c r="AB3620" s="4">
        <v>2</v>
      </c>
      <c r="AC3620" s="4">
        <v>18</v>
      </c>
      <c r="AD3620" s="4">
        <v>90</v>
      </c>
      <c r="AE3620" s="4">
        <v>152</v>
      </c>
      <c r="AF3620" s="4">
        <v>0</v>
      </c>
      <c r="AG3620" s="4">
        <v>8</v>
      </c>
      <c r="AH3620" s="4">
        <v>78</v>
      </c>
      <c r="AI3620" s="4">
        <v>112</v>
      </c>
      <c r="AJ3620" s="4">
        <v>13</v>
      </c>
      <c r="AK3620" s="4">
        <v>25</v>
      </c>
      <c r="AL3620" s="4">
        <v>48</v>
      </c>
      <c r="AM3620" s="4">
        <v>60</v>
      </c>
      <c r="AN3620" s="4">
        <v>0</v>
      </c>
      <c r="AO3620" s="4">
        <v>0</v>
      </c>
      <c r="AP3620" s="4">
        <v>17</v>
      </c>
      <c r="AQ3620" s="4">
        <v>48</v>
      </c>
      <c r="AR3620" s="3" t="s">
        <v>64</v>
      </c>
      <c r="AS3620" s="3" t="s">
        <v>64</v>
      </c>
      <c r="AT3620" s="3" t="s">
        <v>64</v>
      </c>
      <c r="AV3620" s="6" t="str">
        <f>HYPERLINK("http://mcgill.on.worldcat.org/oclc/41503588","Catalog Record")</f>
        <v>Catalog Record</v>
      </c>
      <c r="AW3620" s="6" t="str">
        <f>HYPERLINK("http://www.worldcat.org/oclc/41503588","WorldCat Record")</f>
        <v>WorldCat Record</v>
      </c>
      <c r="AX3620" s="3" t="s">
        <v>36153</v>
      </c>
      <c r="AY3620" s="3" t="s">
        <v>36154</v>
      </c>
      <c r="AZ3620" s="3" t="s">
        <v>36155</v>
      </c>
      <c r="BA3620" s="3" t="s">
        <v>36155</v>
      </c>
      <c r="BB3620" s="3" t="s">
        <v>36156</v>
      </c>
      <c r="BC3620" s="3" t="s">
        <v>77</v>
      </c>
      <c r="BD3620" s="3" t="s">
        <v>165</v>
      </c>
      <c r="BE3620" s="3" t="s">
        <v>36157</v>
      </c>
      <c r="BF3620" s="3" t="s">
        <v>36156</v>
      </c>
      <c r="BG3620" s="3" t="s">
        <v>36158</v>
      </c>
      <c r="BH3620">
        <f t="shared" si="86"/>
        <v>0</v>
      </c>
    </row>
    <row r="3621" spans="1:60" ht="58" x14ac:dyDescent="0.35">
      <c r="A3621" s="2" t="s">
        <v>59</v>
      </c>
      <c r="B3621" s="2" t="s">
        <v>60</v>
      </c>
      <c r="C3621" s="2" t="s">
        <v>36159</v>
      </c>
      <c r="D3621" s="2" t="s">
        <v>36160</v>
      </c>
      <c r="E3621" s="2" t="s">
        <v>36161</v>
      </c>
      <c r="G3621" s="3" t="s">
        <v>64</v>
      </c>
      <c r="I3621" s="3" t="s">
        <v>128</v>
      </c>
      <c r="J3621" s="3" t="s">
        <v>64</v>
      </c>
      <c r="K3621" s="3" t="s">
        <v>65</v>
      </c>
      <c r="L3621" s="2" t="s">
        <v>36162</v>
      </c>
      <c r="M3621" s="2" t="s">
        <v>36163</v>
      </c>
      <c r="N3621" s="3" t="s">
        <v>35668</v>
      </c>
      <c r="P3621" s="3" t="s">
        <v>102</v>
      </c>
      <c r="Q3621" s="2" t="s">
        <v>36164</v>
      </c>
      <c r="R3621" s="3" t="s">
        <v>70</v>
      </c>
      <c r="S3621" s="4">
        <v>1</v>
      </c>
      <c r="T3621" s="4">
        <v>2</v>
      </c>
      <c r="U3621" s="5" t="s">
        <v>36165</v>
      </c>
      <c r="V3621" s="5" t="s">
        <v>8944</v>
      </c>
      <c r="W3621" s="5" t="s">
        <v>72</v>
      </c>
      <c r="X3621" s="5" t="s">
        <v>72</v>
      </c>
      <c r="Y3621" s="4">
        <v>316</v>
      </c>
      <c r="Z3621" s="4">
        <v>16</v>
      </c>
      <c r="AA3621" s="4">
        <v>23</v>
      </c>
      <c r="AB3621" s="4">
        <v>2</v>
      </c>
      <c r="AC3621" s="4">
        <v>5</v>
      </c>
      <c r="AD3621" s="4">
        <v>91</v>
      </c>
      <c r="AE3621" s="4">
        <v>103</v>
      </c>
      <c r="AF3621" s="4">
        <v>1</v>
      </c>
      <c r="AG3621" s="4">
        <v>2</v>
      </c>
      <c r="AH3621" s="4">
        <v>82</v>
      </c>
      <c r="AI3621" s="4">
        <v>91</v>
      </c>
      <c r="AJ3621" s="4">
        <v>13</v>
      </c>
      <c r="AK3621" s="4">
        <v>15</v>
      </c>
      <c r="AL3621" s="4">
        <v>49</v>
      </c>
      <c r="AM3621" s="4">
        <v>52</v>
      </c>
      <c r="AN3621" s="4">
        <v>0</v>
      </c>
      <c r="AO3621" s="4">
        <v>0</v>
      </c>
      <c r="AP3621" s="4">
        <v>12</v>
      </c>
      <c r="AQ3621" s="4">
        <v>14</v>
      </c>
      <c r="AR3621" s="3" t="s">
        <v>64</v>
      </c>
      <c r="AS3621" s="3" t="s">
        <v>64</v>
      </c>
      <c r="AT3621" s="3" t="s">
        <v>128</v>
      </c>
      <c r="AU3621" s="6" t="str">
        <f>HYPERLINK("http://catalog.hathitrust.org/Record/001166525","HathiTrust Record")</f>
        <v>HathiTrust Record</v>
      </c>
      <c r="AV3621" s="6" t="str">
        <f>HYPERLINK("http://mcgill.on.worldcat.org/oclc/507662","Catalog Record")</f>
        <v>Catalog Record</v>
      </c>
      <c r="AW3621" s="6" t="str">
        <f>HYPERLINK("http://www.worldcat.org/oclc/507662","WorldCat Record")</f>
        <v>WorldCat Record</v>
      </c>
      <c r="AX3621" s="3" t="s">
        <v>36166</v>
      </c>
      <c r="AY3621" s="3" t="s">
        <v>36167</v>
      </c>
      <c r="AZ3621" s="3" t="s">
        <v>36168</v>
      </c>
      <c r="BA3621" s="3" t="s">
        <v>36168</v>
      </c>
      <c r="BB3621" s="3" t="s">
        <v>36169</v>
      </c>
      <c r="BC3621" s="3" t="s">
        <v>77</v>
      </c>
      <c r="BD3621" s="3" t="s">
        <v>78</v>
      </c>
      <c r="BF3621" s="3" t="s">
        <v>36169</v>
      </c>
      <c r="BG3621" s="3" t="s">
        <v>36170</v>
      </c>
      <c r="BH3621">
        <f t="shared" si="86"/>
        <v>0</v>
      </c>
    </row>
    <row r="3622" spans="1:60" ht="58" x14ac:dyDescent="0.35">
      <c r="A3622" s="2" t="s">
        <v>59</v>
      </c>
      <c r="B3622" s="2" t="s">
        <v>60</v>
      </c>
      <c r="C3622" s="2" t="s">
        <v>36171</v>
      </c>
      <c r="D3622" s="2" t="s">
        <v>36172</v>
      </c>
      <c r="E3622" s="2" t="s">
        <v>36173</v>
      </c>
      <c r="G3622" s="3" t="s">
        <v>64</v>
      </c>
      <c r="I3622" s="3" t="s">
        <v>64</v>
      </c>
      <c r="J3622" s="3" t="s">
        <v>64</v>
      </c>
      <c r="K3622" s="3" t="s">
        <v>65</v>
      </c>
      <c r="L3622" s="2" t="s">
        <v>36174</v>
      </c>
      <c r="M3622" s="2" t="s">
        <v>36175</v>
      </c>
      <c r="N3622" s="3" t="s">
        <v>1017</v>
      </c>
      <c r="P3622" s="3" t="s">
        <v>102</v>
      </c>
      <c r="R3622" s="3" t="s">
        <v>70</v>
      </c>
      <c r="S3622" s="4">
        <v>27</v>
      </c>
      <c r="T3622" s="4">
        <v>27</v>
      </c>
      <c r="U3622" s="5" t="s">
        <v>36176</v>
      </c>
      <c r="V3622" s="5" t="s">
        <v>36176</v>
      </c>
      <c r="W3622" s="5" t="s">
        <v>72</v>
      </c>
      <c r="X3622" s="5" t="s">
        <v>72</v>
      </c>
      <c r="Y3622" s="4">
        <v>154</v>
      </c>
      <c r="Z3622" s="4">
        <v>13</v>
      </c>
      <c r="AA3622" s="4">
        <v>20</v>
      </c>
      <c r="AB3622" s="4">
        <v>1</v>
      </c>
      <c r="AC3622" s="4">
        <v>4</v>
      </c>
      <c r="AD3622" s="4">
        <v>47</v>
      </c>
      <c r="AE3622" s="4">
        <v>93</v>
      </c>
      <c r="AF3622" s="4">
        <v>0</v>
      </c>
      <c r="AG3622" s="4">
        <v>2</v>
      </c>
      <c r="AH3622" s="4">
        <v>43</v>
      </c>
      <c r="AI3622" s="4">
        <v>85</v>
      </c>
      <c r="AJ3622" s="4">
        <v>11</v>
      </c>
      <c r="AK3622" s="4">
        <v>17</v>
      </c>
      <c r="AL3622" s="4">
        <v>20</v>
      </c>
      <c r="AM3622" s="4">
        <v>41</v>
      </c>
      <c r="AN3622" s="4">
        <v>0</v>
      </c>
      <c r="AO3622" s="4">
        <v>0</v>
      </c>
      <c r="AP3622" s="4">
        <v>10</v>
      </c>
      <c r="AQ3622" s="4">
        <v>15</v>
      </c>
      <c r="AR3622" s="3" t="s">
        <v>64</v>
      </c>
      <c r="AS3622" s="3" t="s">
        <v>64</v>
      </c>
      <c r="AT3622" s="3" t="s">
        <v>64</v>
      </c>
      <c r="AV3622" s="6" t="str">
        <f>HYPERLINK("http://mcgill.on.worldcat.org/oclc/110401","Catalog Record")</f>
        <v>Catalog Record</v>
      </c>
      <c r="AW3622" s="6" t="str">
        <f>HYPERLINK("http://www.worldcat.org/oclc/110401","WorldCat Record")</f>
        <v>WorldCat Record</v>
      </c>
      <c r="AX3622" s="3" t="s">
        <v>36177</v>
      </c>
      <c r="AY3622" s="3" t="s">
        <v>36178</v>
      </c>
      <c r="AZ3622" s="3" t="s">
        <v>36179</v>
      </c>
      <c r="BA3622" s="3" t="s">
        <v>36179</v>
      </c>
      <c r="BB3622" s="3" t="s">
        <v>36180</v>
      </c>
      <c r="BC3622" s="3" t="s">
        <v>77</v>
      </c>
      <c r="BD3622" s="3" t="s">
        <v>78</v>
      </c>
      <c r="BE3622" s="3" t="s">
        <v>36181</v>
      </c>
      <c r="BF3622" s="3" t="s">
        <v>36180</v>
      </c>
      <c r="BG3622" s="3" t="s">
        <v>36182</v>
      </c>
      <c r="BH3622">
        <f t="shared" si="86"/>
        <v>0</v>
      </c>
    </row>
    <row r="3623" spans="1:60" ht="58" x14ac:dyDescent="0.35">
      <c r="A3623" s="2" t="s">
        <v>59</v>
      </c>
      <c r="B3623" s="2" t="s">
        <v>60</v>
      </c>
      <c r="C3623" s="2" t="s">
        <v>36183</v>
      </c>
      <c r="D3623" s="2" t="s">
        <v>36184</v>
      </c>
      <c r="E3623" s="2" t="s">
        <v>36185</v>
      </c>
      <c r="G3623" s="3" t="s">
        <v>64</v>
      </c>
      <c r="I3623" s="3" t="s">
        <v>64</v>
      </c>
      <c r="J3623" s="3" t="s">
        <v>64</v>
      </c>
      <c r="K3623" s="3" t="s">
        <v>65</v>
      </c>
      <c r="L3623" s="2" t="s">
        <v>36186</v>
      </c>
      <c r="M3623" s="2" t="s">
        <v>36187</v>
      </c>
      <c r="N3623" s="3" t="s">
        <v>86</v>
      </c>
      <c r="P3623" s="3" t="s">
        <v>365</v>
      </c>
      <c r="Q3623" s="2" t="s">
        <v>36188</v>
      </c>
      <c r="R3623" s="3" t="s">
        <v>70</v>
      </c>
      <c r="S3623" s="4">
        <v>0</v>
      </c>
      <c r="T3623" s="4">
        <v>0</v>
      </c>
      <c r="W3623" s="5" t="s">
        <v>72</v>
      </c>
      <c r="X3623" s="5" t="s">
        <v>72</v>
      </c>
      <c r="Y3623" s="4">
        <v>4</v>
      </c>
      <c r="Z3623" s="4">
        <v>1</v>
      </c>
      <c r="AA3623" s="4">
        <v>1</v>
      </c>
      <c r="AB3623" s="4">
        <v>1</v>
      </c>
      <c r="AC3623" s="4">
        <v>1</v>
      </c>
      <c r="AD3623" s="4">
        <v>2</v>
      </c>
      <c r="AE3623" s="4">
        <v>2</v>
      </c>
      <c r="AF3623" s="4">
        <v>0</v>
      </c>
      <c r="AG3623" s="4">
        <v>0</v>
      </c>
      <c r="AH3623" s="4">
        <v>1</v>
      </c>
      <c r="AI3623" s="4">
        <v>1</v>
      </c>
      <c r="AJ3623" s="4">
        <v>0</v>
      </c>
      <c r="AK3623" s="4">
        <v>0</v>
      </c>
      <c r="AL3623" s="4">
        <v>2</v>
      </c>
      <c r="AM3623" s="4">
        <v>2</v>
      </c>
      <c r="AN3623" s="4">
        <v>0</v>
      </c>
      <c r="AO3623" s="4">
        <v>0</v>
      </c>
      <c r="AP3623" s="4">
        <v>0</v>
      </c>
      <c r="AQ3623" s="4">
        <v>0</v>
      </c>
      <c r="AR3623" s="3" t="s">
        <v>64</v>
      </c>
      <c r="AS3623" s="3" t="s">
        <v>64</v>
      </c>
      <c r="AT3623" s="3" t="s">
        <v>64</v>
      </c>
      <c r="AV3623" s="6" t="str">
        <f>HYPERLINK("http://mcgill.on.worldcat.org/oclc/779876360","Catalog Record")</f>
        <v>Catalog Record</v>
      </c>
      <c r="AW3623" s="6" t="str">
        <f>HYPERLINK("http://www.worldcat.org/oclc/779876360","WorldCat Record")</f>
        <v>WorldCat Record</v>
      </c>
      <c r="AX3623" s="3" t="s">
        <v>36189</v>
      </c>
      <c r="AY3623" s="3" t="s">
        <v>36190</v>
      </c>
      <c r="AZ3623" s="3" t="s">
        <v>36191</v>
      </c>
      <c r="BA3623" s="3" t="s">
        <v>36191</v>
      </c>
      <c r="BB3623" s="3" t="s">
        <v>36192</v>
      </c>
      <c r="BC3623" s="3" t="s">
        <v>77</v>
      </c>
      <c r="BD3623" s="3" t="s">
        <v>78</v>
      </c>
      <c r="BE3623" s="3" t="s">
        <v>36193</v>
      </c>
      <c r="BF3623" s="3" t="s">
        <v>36192</v>
      </c>
      <c r="BG3623" s="3" t="s">
        <v>36194</v>
      </c>
      <c r="BH3623">
        <f t="shared" si="86"/>
        <v>0</v>
      </c>
    </row>
    <row r="3624" spans="1:60" ht="58" x14ac:dyDescent="0.35">
      <c r="A3624" s="2" t="s">
        <v>59</v>
      </c>
      <c r="B3624" s="2" t="s">
        <v>60</v>
      </c>
      <c r="C3624" s="2" t="s">
        <v>36195</v>
      </c>
      <c r="D3624" s="2" t="s">
        <v>36196</v>
      </c>
      <c r="E3624" s="2" t="s">
        <v>36197</v>
      </c>
      <c r="G3624" s="3" t="s">
        <v>64</v>
      </c>
      <c r="I3624" s="3" t="s">
        <v>64</v>
      </c>
      <c r="J3624" s="3" t="s">
        <v>64</v>
      </c>
      <c r="K3624" s="3" t="s">
        <v>65</v>
      </c>
      <c r="L3624" s="2" t="s">
        <v>36198</v>
      </c>
      <c r="M3624" s="2" t="s">
        <v>36199</v>
      </c>
      <c r="N3624" s="3" t="s">
        <v>456</v>
      </c>
      <c r="P3624" s="3" t="s">
        <v>102</v>
      </c>
      <c r="R3624" s="3" t="s">
        <v>70</v>
      </c>
      <c r="S3624" s="4">
        <v>7</v>
      </c>
      <c r="T3624" s="4">
        <v>7</v>
      </c>
      <c r="U3624" s="5" t="s">
        <v>19502</v>
      </c>
      <c r="V3624" s="5" t="s">
        <v>19502</v>
      </c>
      <c r="W3624" s="5" t="s">
        <v>72</v>
      </c>
      <c r="X3624" s="5" t="s">
        <v>72</v>
      </c>
      <c r="Y3624" s="4">
        <v>268</v>
      </c>
      <c r="Z3624" s="4">
        <v>23</v>
      </c>
      <c r="AA3624" s="4">
        <v>39</v>
      </c>
      <c r="AB3624" s="4">
        <v>2</v>
      </c>
      <c r="AC3624" s="4">
        <v>8</v>
      </c>
      <c r="AD3624" s="4">
        <v>61</v>
      </c>
      <c r="AE3624" s="4">
        <v>127</v>
      </c>
      <c r="AF3624" s="4">
        <v>0</v>
      </c>
      <c r="AG3624" s="4">
        <v>4</v>
      </c>
      <c r="AH3624" s="4">
        <v>48</v>
      </c>
      <c r="AI3624" s="4">
        <v>105</v>
      </c>
      <c r="AJ3624" s="4">
        <v>15</v>
      </c>
      <c r="AK3624" s="4">
        <v>24</v>
      </c>
      <c r="AL3624" s="4">
        <v>25</v>
      </c>
      <c r="AM3624" s="4">
        <v>58</v>
      </c>
      <c r="AN3624" s="4">
        <v>0</v>
      </c>
      <c r="AO3624" s="4">
        <v>0</v>
      </c>
      <c r="AP3624" s="4">
        <v>18</v>
      </c>
      <c r="AQ3624" s="4">
        <v>28</v>
      </c>
      <c r="AR3624" s="3" t="s">
        <v>64</v>
      </c>
      <c r="AS3624" s="3" t="s">
        <v>64</v>
      </c>
      <c r="AT3624" s="3" t="s">
        <v>128</v>
      </c>
      <c r="AU3624" s="6" t="str">
        <f>HYPERLINK("http://catalog.hathitrust.org/Record/000264005","HathiTrust Record")</f>
        <v>HathiTrust Record</v>
      </c>
      <c r="AV3624" s="6" t="str">
        <f>HYPERLINK("http://mcgill.on.worldcat.org/oclc/576752","Catalog Record")</f>
        <v>Catalog Record</v>
      </c>
      <c r="AW3624" s="6" t="str">
        <f>HYPERLINK("http://www.worldcat.org/oclc/576752","WorldCat Record")</f>
        <v>WorldCat Record</v>
      </c>
      <c r="AX3624" s="3" t="s">
        <v>36200</v>
      </c>
      <c r="AY3624" s="3" t="s">
        <v>36201</v>
      </c>
      <c r="AZ3624" s="3" t="s">
        <v>36202</v>
      </c>
      <c r="BA3624" s="3" t="s">
        <v>36202</v>
      </c>
      <c r="BB3624" s="3" t="s">
        <v>36203</v>
      </c>
      <c r="BC3624" s="3" t="s">
        <v>77</v>
      </c>
      <c r="BD3624" s="3" t="s">
        <v>78</v>
      </c>
      <c r="BF3624" s="3" t="s">
        <v>36203</v>
      </c>
      <c r="BG3624" s="3" t="s">
        <v>36204</v>
      </c>
      <c r="BH3624">
        <f t="shared" si="86"/>
        <v>0</v>
      </c>
    </row>
    <row r="3625" spans="1:60" ht="58" x14ac:dyDescent="0.35">
      <c r="A3625" s="2" t="s">
        <v>59</v>
      </c>
      <c r="B3625" s="2" t="s">
        <v>60</v>
      </c>
      <c r="C3625" s="2" t="s">
        <v>36205</v>
      </c>
      <c r="D3625" s="2" t="s">
        <v>36206</v>
      </c>
      <c r="E3625" s="2" t="s">
        <v>36207</v>
      </c>
      <c r="G3625" s="3" t="s">
        <v>64</v>
      </c>
      <c r="I3625" s="3" t="s">
        <v>64</v>
      </c>
      <c r="J3625" s="3" t="s">
        <v>64</v>
      </c>
      <c r="K3625" s="3" t="s">
        <v>65</v>
      </c>
      <c r="L3625" s="2" t="s">
        <v>36208</v>
      </c>
      <c r="M3625" s="2" t="s">
        <v>36209</v>
      </c>
      <c r="N3625" s="3" t="s">
        <v>153</v>
      </c>
      <c r="P3625" s="3" t="s">
        <v>102</v>
      </c>
      <c r="R3625" s="3" t="s">
        <v>70</v>
      </c>
      <c r="S3625" s="4">
        <v>31</v>
      </c>
      <c r="T3625" s="4">
        <v>31</v>
      </c>
      <c r="U3625" s="5" t="s">
        <v>14509</v>
      </c>
      <c r="V3625" s="5" t="s">
        <v>14509</v>
      </c>
      <c r="W3625" s="5" t="s">
        <v>72</v>
      </c>
      <c r="X3625" s="5" t="s">
        <v>72</v>
      </c>
      <c r="Y3625" s="4">
        <v>306</v>
      </c>
      <c r="Z3625" s="4">
        <v>22</v>
      </c>
      <c r="AA3625" s="4">
        <v>22</v>
      </c>
      <c r="AB3625" s="4">
        <v>1</v>
      </c>
      <c r="AC3625" s="4">
        <v>1</v>
      </c>
      <c r="AD3625" s="4">
        <v>101</v>
      </c>
      <c r="AE3625" s="4">
        <v>101</v>
      </c>
      <c r="AF3625" s="4">
        <v>0</v>
      </c>
      <c r="AG3625" s="4">
        <v>0</v>
      </c>
      <c r="AH3625" s="4">
        <v>93</v>
      </c>
      <c r="AI3625" s="4">
        <v>93</v>
      </c>
      <c r="AJ3625" s="4">
        <v>13</v>
      </c>
      <c r="AK3625" s="4">
        <v>13</v>
      </c>
      <c r="AL3625" s="4">
        <v>55</v>
      </c>
      <c r="AM3625" s="4">
        <v>55</v>
      </c>
      <c r="AN3625" s="4">
        <v>0</v>
      </c>
      <c r="AO3625" s="4">
        <v>0</v>
      </c>
      <c r="AP3625" s="4">
        <v>14</v>
      </c>
      <c r="AQ3625" s="4">
        <v>14</v>
      </c>
      <c r="AR3625" s="3" t="s">
        <v>64</v>
      </c>
      <c r="AS3625" s="3" t="s">
        <v>64</v>
      </c>
      <c r="AT3625" s="3" t="s">
        <v>128</v>
      </c>
      <c r="AU3625" s="6" t="str">
        <f>HYPERLINK("http://catalog.hathitrust.org/Record/004027189","HathiTrust Record")</f>
        <v>HathiTrust Record</v>
      </c>
      <c r="AV3625" s="6" t="str">
        <f>HYPERLINK("http://mcgill.on.worldcat.org/oclc/39223648","Catalog Record")</f>
        <v>Catalog Record</v>
      </c>
      <c r="AW3625" s="6" t="str">
        <f>HYPERLINK("http://www.worldcat.org/oclc/39223648","WorldCat Record")</f>
        <v>WorldCat Record</v>
      </c>
      <c r="AX3625" s="3" t="s">
        <v>36210</v>
      </c>
      <c r="AY3625" s="3" t="s">
        <v>36211</v>
      </c>
      <c r="AZ3625" s="3" t="s">
        <v>36212</v>
      </c>
      <c r="BA3625" s="3" t="s">
        <v>36212</v>
      </c>
      <c r="BB3625" s="3" t="s">
        <v>36213</v>
      </c>
      <c r="BC3625" s="3" t="s">
        <v>77</v>
      </c>
      <c r="BD3625" s="3" t="s">
        <v>78</v>
      </c>
      <c r="BE3625" s="3" t="s">
        <v>36214</v>
      </c>
      <c r="BF3625" s="3" t="s">
        <v>36213</v>
      </c>
      <c r="BG3625" s="3" t="s">
        <v>36215</v>
      </c>
      <c r="BH3625">
        <f t="shared" si="86"/>
        <v>0</v>
      </c>
    </row>
    <row r="3626" spans="1:60" ht="58" x14ac:dyDescent="0.35">
      <c r="A3626" s="2" t="s">
        <v>59</v>
      </c>
      <c r="B3626" s="2" t="s">
        <v>60</v>
      </c>
      <c r="C3626" s="2" t="s">
        <v>36216</v>
      </c>
      <c r="D3626" s="2" t="s">
        <v>36217</v>
      </c>
      <c r="E3626" s="2" t="s">
        <v>36218</v>
      </c>
      <c r="G3626" s="3" t="s">
        <v>64</v>
      </c>
      <c r="I3626" s="3" t="s">
        <v>64</v>
      </c>
      <c r="J3626" s="3" t="s">
        <v>64</v>
      </c>
      <c r="K3626" s="3" t="s">
        <v>65</v>
      </c>
      <c r="M3626" s="2" t="s">
        <v>36219</v>
      </c>
      <c r="N3626" s="3" t="s">
        <v>171</v>
      </c>
      <c r="P3626" s="3" t="s">
        <v>102</v>
      </c>
      <c r="R3626" s="3" t="s">
        <v>70</v>
      </c>
      <c r="S3626" s="4">
        <v>18</v>
      </c>
      <c r="T3626" s="4">
        <v>18</v>
      </c>
      <c r="U3626" s="5" t="s">
        <v>36220</v>
      </c>
      <c r="V3626" s="5" t="s">
        <v>36220</v>
      </c>
      <c r="W3626" s="5" t="s">
        <v>72</v>
      </c>
      <c r="X3626" s="5" t="s">
        <v>72</v>
      </c>
      <c r="Y3626" s="4">
        <v>263</v>
      </c>
      <c r="Z3626" s="4">
        <v>23</v>
      </c>
      <c r="AA3626" s="4">
        <v>34</v>
      </c>
      <c r="AB3626" s="4">
        <v>2</v>
      </c>
      <c r="AC3626" s="4">
        <v>6</v>
      </c>
      <c r="AD3626" s="4">
        <v>98</v>
      </c>
      <c r="AE3626" s="4">
        <v>106</v>
      </c>
      <c r="AF3626" s="4">
        <v>1</v>
      </c>
      <c r="AG3626" s="4">
        <v>2</v>
      </c>
      <c r="AH3626" s="4">
        <v>86</v>
      </c>
      <c r="AI3626" s="4">
        <v>90</v>
      </c>
      <c r="AJ3626" s="4">
        <v>16</v>
      </c>
      <c r="AK3626" s="4">
        <v>19</v>
      </c>
      <c r="AL3626" s="4">
        <v>49</v>
      </c>
      <c r="AM3626" s="4">
        <v>51</v>
      </c>
      <c r="AN3626" s="4">
        <v>0</v>
      </c>
      <c r="AO3626" s="4">
        <v>0</v>
      </c>
      <c r="AP3626" s="4">
        <v>19</v>
      </c>
      <c r="AQ3626" s="4">
        <v>23</v>
      </c>
      <c r="AR3626" s="3" t="s">
        <v>64</v>
      </c>
      <c r="AS3626" s="3" t="s">
        <v>64</v>
      </c>
      <c r="AT3626" s="3" t="s">
        <v>64</v>
      </c>
      <c r="AV3626" s="6" t="str">
        <f>HYPERLINK("http://mcgill.on.worldcat.org/oclc/65767935","Catalog Record")</f>
        <v>Catalog Record</v>
      </c>
      <c r="AW3626" s="6" t="str">
        <f>HYPERLINK("http://www.worldcat.org/oclc/65767935","WorldCat Record")</f>
        <v>WorldCat Record</v>
      </c>
      <c r="AX3626" s="3" t="s">
        <v>36221</v>
      </c>
      <c r="AY3626" s="3" t="s">
        <v>36222</v>
      </c>
      <c r="AZ3626" s="3" t="s">
        <v>36223</v>
      </c>
      <c r="BA3626" s="3" t="s">
        <v>36223</v>
      </c>
      <c r="BB3626" s="3" t="s">
        <v>36224</v>
      </c>
      <c r="BC3626" s="3" t="s">
        <v>77</v>
      </c>
      <c r="BD3626" s="3" t="s">
        <v>78</v>
      </c>
      <c r="BE3626" s="3" t="s">
        <v>36225</v>
      </c>
      <c r="BF3626" s="3" t="s">
        <v>36224</v>
      </c>
      <c r="BG3626" s="3" t="s">
        <v>36226</v>
      </c>
      <c r="BH3626">
        <f t="shared" si="86"/>
        <v>0</v>
      </c>
    </row>
    <row r="3627" spans="1:60" ht="58" x14ac:dyDescent="0.35">
      <c r="A3627" s="2" t="s">
        <v>59</v>
      </c>
      <c r="B3627" s="2" t="s">
        <v>60</v>
      </c>
      <c r="C3627" s="2" t="s">
        <v>36227</v>
      </c>
      <c r="D3627" s="2" t="s">
        <v>36228</v>
      </c>
      <c r="E3627" s="2" t="s">
        <v>36229</v>
      </c>
      <c r="G3627" s="3" t="s">
        <v>64</v>
      </c>
      <c r="I3627" s="3" t="s">
        <v>64</v>
      </c>
      <c r="J3627" s="3" t="s">
        <v>64</v>
      </c>
      <c r="K3627" s="3" t="s">
        <v>65</v>
      </c>
      <c r="L3627" s="2" t="s">
        <v>36230</v>
      </c>
      <c r="M3627" s="2" t="s">
        <v>36096</v>
      </c>
      <c r="N3627" s="3" t="s">
        <v>315</v>
      </c>
      <c r="P3627" s="3" t="s">
        <v>102</v>
      </c>
      <c r="Q3627" s="2" t="s">
        <v>36231</v>
      </c>
      <c r="R3627" s="3" t="s">
        <v>70</v>
      </c>
      <c r="S3627" s="4">
        <v>16</v>
      </c>
      <c r="T3627" s="4">
        <v>16</v>
      </c>
      <c r="U3627" s="5" t="s">
        <v>26042</v>
      </c>
      <c r="V3627" s="5" t="s">
        <v>26042</v>
      </c>
      <c r="W3627" s="5" t="s">
        <v>72</v>
      </c>
      <c r="X3627" s="5" t="s">
        <v>72</v>
      </c>
      <c r="Y3627" s="4">
        <v>244</v>
      </c>
      <c r="Z3627" s="4">
        <v>18</v>
      </c>
      <c r="AA3627" s="4">
        <v>21</v>
      </c>
      <c r="AB3627" s="4">
        <v>2</v>
      </c>
      <c r="AC3627" s="4">
        <v>4</v>
      </c>
      <c r="AD3627" s="4">
        <v>82</v>
      </c>
      <c r="AE3627" s="4">
        <v>95</v>
      </c>
      <c r="AF3627" s="4">
        <v>1</v>
      </c>
      <c r="AG3627" s="4">
        <v>3</v>
      </c>
      <c r="AH3627" s="4">
        <v>74</v>
      </c>
      <c r="AI3627" s="4">
        <v>85</v>
      </c>
      <c r="AJ3627" s="4">
        <v>13</v>
      </c>
      <c r="AK3627" s="4">
        <v>15</v>
      </c>
      <c r="AL3627" s="4">
        <v>42</v>
      </c>
      <c r="AM3627" s="4">
        <v>48</v>
      </c>
      <c r="AN3627" s="4">
        <v>0</v>
      </c>
      <c r="AO3627" s="4">
        <v>0</v>
      </c>
      <c r="AP3627" s="4">
        <v>13</v>
      </c>
      <c r="AQ3627" s="4">
        <v>15</v>
      </c>
      <c r="AR3627" s="3" t="s">
        <v>64</v>
      </c>
      <c r="AS3627" s="3" t="s">
        <v>64</v>
      </c>
      <c r="AT3627" s="3" t="s">
        <v>128</v>
      </c>
      <c r="AU3627" s="6" t="str">
        <f>HYPERLINK("http://catalog.hathitrust.org/Record/001637757","HathiTrust Record")</f>
        <v>HathiTrust Record</v>
      </c>
      <c r="AV3627" s="6" t="str">
        <f>HYPERLINK("http://mcgill.on.worldcat.org/oclc/433797","Catalog Record")</f>
        <v>Catalog Record</v>
      </c>
      <c r="AW3627" s="6" t="str">
        <f>HYPERLINK("http://www.worldcat.org/oclc/433797","WorldCat Record")</f>
        <v>WorldCat Record</v>
      </c>
      <c r="AX3627" s="3" t="s">
        <v>36232</v>
      </c>
      <c r="AY3627" s="3" t="s">
        <v>36233</v>
      </c>
      <c r="AZ3627" s="3" t="s">
        <v>36234</v>
      </c>
      <c r="BA3627" s="3" t="s">
        <v>36234</v>
      </c>
      <c r="BB3627" s="3" t="s">
        <v>36235</v>
      </c>
      <c r="BC3627" s="3" t="s">
        <v>77</v>
      </c>
      <c r="BD3627" s="3" t="s">
        <v>78</v>
      </c>
      <c r="BF3627" s="3" t="s">
        <v>36235</v>
      </c>
      <c r="BG3627" s="3" t="s">
        <v>36236</v>
      </c>
      <c r="BH3627">
        <f t="shared" si="86"/>
        <v>0</v>
      </c>
    </row>
    <row r="3628" spans="1:60" ht="58" x14ac:dyDescent="0.35">
      <c r="A3628" s="2" t="s">
        <v>59</v>
      </c>
      <c r="B3628" s="2" t="s">
        <v>60</v>
      </c>
      <c r="C3628" s="2" t="s">
        <v>36237</v>
      </c>
      <c r="D3628" s="2" t="s">
        <v>36238</v>
      </c>
      <c r="E3628" s="2" t="s">
        <v>36239</v>
      </c>
      <c r="G3628" s="3" t="s">
        <v>64</v>
      </c>
      <c r="I3628" s="3" t="s">
        <v>128</v>
      </c>
      <c r="J3628" s="3" t="s">
        <v>64</v>
      </c>
      <c r="K3628" s="3" t="s">
        <v>65</v>
      </c>
      <c r="L3628" s="2" t="s">
        <v>36240</v>
      </c>
      <c r="M3628" s="2" t="s">
        <v>36241</v>
      </c>
      <c r="N3628" s="3" t="s">
        <v>392</v>
      </c>
      <c r="O3628" s="2" t="s">
        <v>2994</v>
      </c>
      <c r="P3628" s="3" t="s">
        <v>102</v>
      </c>
      <c r="R3628" s="3" t="s">
        <v>70</v>
      </c>
      <c r="S3628" s="4">
        <v>5</v>
      </c>
      <c r="T3628" s="4">
        <v>5</v>
      </c>
      <c r="U3628" s="5" t="s">
        <v>4804</v>
      </c>
      <c r="V3628" s="5" t="s">
        <v>4804</v>
      </c>
      <c r="W3628" s="5" t="s">
        <v>72</v>
      </c>
      <c r="X3628" s="5" t="s">
        <v>72</v>
      </c>
      <c r="Y3628" s="4">
        <v>325</v>
      </c>
      <c r="Z3628" s="4">
        <v>24</v>
      </c>
      <c r="AA3628" s="4">
        <v>24</v>
      </c>
      <c r="AB3628" s="4">
        <v>1</v>
      </c>
      <c r="AC3628" s="4">
        <v>1</v>
      </c>
      <c r="AD3628" s="4">
        <v>87</v>
      </c>
      <c r="AE3628" s="4">
        <v>87</v>
      </c>
      <c r="AF3628" s="4">
        <v>0</v>
      </c>
      <c r="AG3628" s="4">
        <v>0</v>
      </c>
      <c r="AH3628" s="4">
        <v>78</v>
      </c>
      <c r="AI3628" s="4">
        <v>78</v>
      </c>
      <c r="AJ3628" s="4">
        <v>13</v>
      </c>
      <c r="AK3628" s="4">
        <v>13</v>
      </c>
      <c r="AL3628" s="4">
        <v>46</v>
      </c>
      <c r="AM3628" s="4">
        <v>46</v>
      </c>
      <c r="AN3628" s="4">
        <v>0</v>
      </c>
      <c r="AO3628" s="4">
        <v>0</v>
      </c>
      <c r="AP3628" s="4">
        <v>15</v>
      </c>
      <c r="AQ3628" s="4">
        <v>15</v>
      </c>
      <c r="AR3628" s="3" t="s">
        <v>64</v>
      </c>
      <c r="AS3628" s="3" t="s">
        <v>64</v>
      </c>
      <c r="AT3628" s="3" t="s">
        <v>64</v>
      </c>
      <c r="AV3628" s="6" t="str">
        <f>HYPERLINK("http://mcgill.on.worldcat.org/oclc/40856914","Catalog Record")</f>
        <v>Catalog Record</v>
      </c>
      <c r="AW3628" s="6" t="str">
        <f>HYPERLINK("http://www.worldcat.org/oclc/40856914","WorldCat Record")</f>
        <v>WorldCat Record</v>
      </c>
      <c r="AX3628" s="3" t="s">
        <v>36242</v>
      </c>
      <c r="AY3628" s="3" t="s">
        <v>36243</v>
      </c>
      <c r="AZ3628" s="3" t="s">
        <v>36244</v>
      </c>
      <c r="BA3628" s="3" t="s">
        <v>36244</v>
      </c>
      <c r="BB3628" s="3" t="s">
        <v>36245</v>
      </c>
      <c r="BC3628" s="3" t="s">
        <v>77</v>
      </c>
      <c r="BD3628" s="3" t="s">
        <v>78</v>
      </c>
      <c r="BE3628" s="3" t="s">
        <v>36246</v>
      </c>
      <c r="BF3628" s="3" t="s">
        <v>36245</v>
      </c>
      <c r="BG3628" s="3" t="s">
        <v>36247</v>
      </c>
      <c r="BH3628">
        <f t="shared" si="86"/>
        <v>0</v>
      </c>
    </row>
    <row r="3629" spans="1:60" ht="58" x14ac:dyDescent="0.35">
      <c r="A3629" s="2" t="s">
        <v>59</v>
      </c>
      <c r="B3629" s="2" t="s">
        <v>60</v>
      </c>
      <c r="C3629" s="2" t="s">
        <v>36248</v>
      </c>
      <c r="D3629" s="2" t="s">
        <v>36249</v>
      </c>
      <c r="E3629" s="2" t="s">
        <v>36250</v>
      </c>
      <c r="G3629" s="3" t="s">
        <v>64</v>
      </c>
      <c r="I3629" s="3" t="s">
        <v>64</v>
      </c>
      <c r="J3629" s="3" t="s">
        <v>64</v>
      </c>
      <c r="K3629" s="3" t="s">
        <v>65</v>
      </c>
      <c r="L3629" s="2" t="s">
        <v>36251</v>
      </c>
      <c r="M3629" s="2" t="s">
        <v>36252</v>
      </c>
      <c r="N3629" s="3" t="s">
        <v>1017</v>
      </c>
      <c r="P3629" s="3" t="s">
        <v>102</v>
      </c>
      <c r="R3629" s="3" t="s">
        <v>70</v>
      </c>
      <c r="S3629" s="4">
        <v>2</v>
      </c>
      <c r="T3629" s="4">
        <v>2</v>
      </c>
      <c r="U3629" s="5" t="s">
        <v>3796</v>
      </c>
      <c r="V3629" s="5" t="s">
        <v>3796</v>
      </c>
      <c r="W3629" s="5" t="s">
        <v>72</v>
      </c>
      <c r="X3629" s="5" t="s">
        <v>72</v>
      </c>
      <c r="Y3629" s="4">
        <v>181</v>
      </c>
      <c r="Z3629" s="4">
        <v>14</v>
      </c>
      <c r="AA3629" s="4">
        <v>15</v>
      </c>
      <c r="AB3629" s="4">
        <v>1</v>
      </c>
      <c r="AC3629" s="4">
        <v>1</v>
      </c>
      <c r="AD3629" s="4">
        <v>69</v>
      </c>
      <c r="AE3629" s="4">
        <v>72</v>
      </c>
      <c r="AF3629" s="4">
        <v>0</v>
      </c>
      <c r="AG3629" s="4">
        <v>0</v>
      </c>
      <c r="AH3629" s="4">
        <v>61</v>
      </c>
      <c r="AI3629" s="4">
        <v>64</v>
      </c>
      <c r="AJ3629" s="4">
        <v>10</v>
      </c>
      <c r="AK3629" s="4">
        <v>11</v>
      </c>
      <c r="AL3629" s="4">
        <v>43</v>
      </c>
      <c r="AM3629" s="4">
        <v>43</v>
      </c>
      <c r="AN3629" s="4">
        <v>1</v>
      </c>
      <c r="AO3629" s="4">
        <v>1</v>
      </c>
      <c r="AP3629" s="4">
        <v>10</v>
      </c>
      <c r="AQ3629" s="4">
        <v>11</v>
      </c>
      <c r="AR3629" s="3" t="s">
        <v>64</v>
      </c>
      <c r="AS3629" s="3" t="s">
        <v>64</v>
      </c>
      <c r="AT3629" s="3" t="s">
        <v>128</v>
      </c>
      <c r="AU3629" s="6" t="str">
        <f>HYPERLINK("http://catalog.hathitrust.org/Record/001176516","HathiTrust Record")</f>
        <v>HathiTrust Record</v>
      </c>
      <c r="AV3629" s="6" t="str">
        <f>HYPERLINK("http://mcgill.on.worldcat.org/oclc/2779812","Catalog Record")</f>
        <v>Catalog Record</v>
      </c>
      <c r="AW3629" s="6" t="str">
        <f>HYPERLINK("http://www.worldcat.org/oclc/2779812","WorldCat Record")</f>
        <v>WorldCat Record</v>
      </c>
      <c r="AX3629" s="3" t="s">
        <v>36253</v>
      </c>
      <c r="AY3629" s="3" t="s">
        <v>36254</v>
      </c>
      <c r="AZ3629" s="3" t="s">
        <v>36255</v>
      </c>
      <c r="BA3629" s="3" t="s">
        <v>36255</v>
      </c>
      <c r="BB3629" s="3" t="s">
        <v>36256</v>
      </c>
      <c r="BC3629" s="3" t="s">
        <v>77</v>
      </c>
      <c r="BD3629" s="3" t="s">
        <v>78</v>
      </c>
      <c r="BF3629" s="3" t="s">
        <v>36256</v>
      </c>
      <c r="BG3629" s="3" t="s">
        <v>36257</v>
      </c>
      <c r="BH3629">
        <f t="shared" si="86"/>
        <v>0</v>
      </c>
    </row>
    <row r="3630" spans="1:60" ht="58" x14ac:dyDescent="0.35">
      <c r="A3630" s="2" t="s">
        <v>59</v>
      </c>
      <c r="B3630" s="2" t="s">
        <v>60</v>
      </c>
      <c r="C3630" s="2" t="s">
        <v>36258</v>
      </c>
      <c r="D3630" s="2" t="s">
        <v>36259</v>
      </c>
      <c r="E3630" s="2" t="s">
        <v>36260</v>
      </c>
      <c r="G3630" s="3" t="s">
        <v>64</v>
      </c>
      <c r="I3630" s="3" t="s">
        <v>128</v>
      </c>
      <c r="J3630" s="3" t="s">
        <v>64</v>
      </c>
      <c r="K3630" s="3" t="s">
        <v>65</v>
      </c>
      <c r="L3630" s="2" t="s">
        <v>36261</v>
      </c>
      <c r="M3630" s="2" t="s">
        <v>36262</v>
      </c>
      <c r="N3630" s="3" t="s">
        <v>1938</v>
      </c>
      <c r="P3630" s="3" t="s">
        <v>102</v>
      </c>
      <c r="R3630" s="3" t="s">
        <v>70</v>
      </c>
      <c r="S3630" s="4">
        <v>7</v>
      </c>
      <c r="T3630" s="4">
        <v>8</v>
      </c>
      <c r="U3630" s="5" t="s">
        <v>24265</v>
      </c>
      <c r="V3630" s="5" t="s">
        <v>36263</v>
      </c>
      <c r="W3630" s="5" t="s">
        <v>72</v>
      </c>
      <c r="X3630" s="5" t="s">
        <v>72</v>
      </c>
      <c r="Y3630" s="4">
        <v>368</v>
      </c>
      <c r="Z3630" s="4">
        <v>27</v>
      </c>
      <c r="AA3630" s="4">
        <v>29</v>
      </c>
      <c r="AB3630" s="4">
        <v>1</v>
      </c>
      <c r="AC3630" s="4">
        <v>3</v>
      </c>
      <c r="AD3630" s="4">
        <v>107</v>
      </c>
      <c r="AE3630" s="4">
        <v>109</v>
      </c>
      <c r="AF3630" s="4">
        <v>0</v>
      </c>
      <c r="AG3630" s="4">
        <v>2</v>
      </c>
      <c r="AH3630" s="4">
        <v>93</v>
      </c>
      <c r="AI3630" s="4">
        <v>93</v>
      </c>
      <c r="AJ3630" s="4">
        <v>16</v>
      </c>
      <c r="AK3630" s="4">
        <v>18</v>
      </c>
      <c r="AL3630" s="4">
        <v>56</v>
      </c>
      <c r="AM3630" s="4">
        <v>56</v>
      </c>
      <c r="AN3630" s="4">
        <v>0</v>
      </c>
      <c r="AO3630" s="4">
        <v>0</v>
      </c>
      <c r="AP3630" s="4">
        <v>18</v>
      </c>
      <c r="AQ3630" s="4">
        <v>19</v>
      </c>
      <c r="AR3630" s="3" t="s">
        <v>64</v>
      </c>
      <c r="AS3630" s="3" t="s">
        <v>64</v>
      </c>
      <c r="AT3630" s="3" t="s">
        <v>128</v>
      </c>
      <c r="AU3630" s="6" t="str">
        <f>HYPERLINK("http://catalog.hathitrust.org/Record/002458007","HathiTrust Record")</f>
        <v>HathiTrust Record</v>
      </c>
      <c r="AV3630" s="6" t="str">
        <f>HYPERLINK("http://mcgill.on.worldcat.org/oclc/21195744","Catalog Record")</f>
        <v>Catalog Record</v>
      </c>
      <c r="AW3630" s="6" t="str">
        <f>HYPERLINK("http://www.worldcat.org/oclc/21195744","WorldCat Record")</f>
        <v>WorldCat Record</v>
      </c>
      <c r="AX3630" s="3" t="s">
        <v>36264</v>
      </c>
      <c r="AY3630" s="3" t="s">
        <v>36265</v>
      </c>
      <c r="AZ3630" s="3" t="s">
        <v>36266</v>
      </c>
      <c r="BA3630" s="3" t="s">
        <v>36266</v>
      </c>
      <c r="BB3630" s="3" t="s">
        <v>36267</v>
      </c>
      <c r="BC3630" s="3" t="s">
        <v>77</v>
      </c>
      <c r="BD3630" s="3" t="s">
        <v>78</v>
      </c>
      <c r="BE3630" s="3" t="s">
        <v>36268</v>
      </c>
      <c r="BF3630" s="3" t="s">
        <v>36267</v>
      </c>
      <c r="BG3630" s="3" t="s">
        <v>36269</v>
      </c>
      <c r="BH3630">
        <f t="shared" si="86"/>
        <v>0</v>
      </c>
    </row>
    <row r="3631" spans="1:60" ht="58" x14ac:dyDescent="0.35">
      <c r="A3631" s="2" t="s">
        <v>59</v>
      </c>
      <c r="B3631" s="2" t="s">
        <v>60</v>
      </c>
      <c r="C3631" s="2" t="s">
        <v>36270</v>
      </c>
      <c r="D3631" s="2" t="s">
        <v>36271</v>
      </c>
      <c r="E3631" s="2" t="s">
        <v>36272</v>
      </c>
      <c r="G3631" s="3" t="s">
        <v>64</v>
      </c>
      <c r="I3631" s="3" t="s">
        <v>64</v>
      </c>
      <c r="J3631" s="3" t="s">
        <v>64</v>
      </c>
      <c r="K3631" s="3" t="s">
        <v>65</v>
      </c>
      <c r="L3631" s="2" t="s">
        <v>33238</v>
      </c>
      <c r="M3631" s="2" t="s">
        <v>36273</v>
      </c>
      <c r="N3631" s="3" t="s">
        <v>898</v>
      </c>
      <c r="P3631" s="3" t="s">
        <v>102</v>
      </c>
      <c r="R3631" s="3" t="s">
        <v>70</v>
      </c>
      <c r="S3631" s="4">
        <v>5</v>
      </c>
      <c r="T3631" s="4">
        <v>5</v>
      </c>
      <c r="U3631" s="5" t="s">
        <v>24265</v>
      </c>
      <c r="V3631" s="5" t="s">
        <v>24265</v>
      </c>
      <c r="W3631" s="5" t="s">
        <v>72</v>
      </c>
      <c r="X3631" s="5" t="s">
        <v>72</v>
      </c>
      <c r="Y3631" s="4">
        <v>285</v>
      </c>
      <c r="Z3631" s="4">
        <v>17</v>
      </c>
      <c r="AA3631" s="4">
        <v>20</v>
      </c>
      <c r="AB3631" s="4">
        <v>1</v>
      </c>
      <c r="AC3631" s="4">
        <v>2</v>
      </c>
      <c r="AD3631" s="4">
        <v>87</v>
      </c>
      <c r="AE3631" s="4">
        <v>90</v>
      </c>
      <c r="AF3631" s="4">
        <v>0</v>
      </c>
      <c r="AG3631" s="4">
        <v>1</v>
      </c>
      <c r="AH3631" s="4">
        <v>78</v>
      </c>
      <c r="AI3631" s="4">
        <v>80</v>
      </c>
      <c r="AJ3631" s="4">
        <v>11</v>
      </c>
      <c r="AK3631" s="4">
        <v>14</v>
      </c>
      <c r="AL3631" s="4">
        <v>47</v>
      </c>
      <c r="AM3631" s="4">
        <v>47</v>
      </c>
      <c r="AN3631" s="4">
        <v>0</v>
      </c>
      <c r="AO3631" s="4">
        <v>0</v>
      </c>
      <c r="AP3631" s="4">
        <v>10</v>
      </c>
      <c r="AQ3631" s="4">
        <v>12</v>
      </c>
      <c r="AR3631" s="3" t="s">
        <v>64</v>
      </c>
      <c r="AS3631" s="3" t="s">
        <v>64</v>
      </c>
      <c r="AT3631" s="3" t="s">
        <v>128</v>
      </c>
      <c r="AU3631" s="6" t="str">
        <f>HYPERLINK("http://catalog.hathitrust.org/Record/000706545","HathiTrust Record")</f>
        <v>HathiTrust Record</v>
      </c>
      <c r="AV3631" s="6" t="str">
        <f>HYPERLINK("http://mcgill.on.worldcat.org/oclc/6686463","Catalog Record")</f>
        <v>Catalog Record</v>
      </c>
      <c r="AW3631" s="6" t="str">
        <f>HYPERLINK("http://www.worldcat.org/oclc/6686463","WorldCat Record")</f>
        <v>WorldCat Record</v>
      </c>
      <c r="AX3631" s="3" t="s">
        <v>36274</v>
      </c>
      <c r="AY3631" s="3" t="s">
        <v>36275</v>
      </c>
      <c r="AZ3631" s="3" t="s">
        <v>36276</v>
      </c>
      <c r="BA3631" s="3" t="s">
        <v>36276</v>
      </c>
      <c r="BB3631" s="3" t="s">
        <v>36277</v>
      </c>
      <c r="BC3631" s="3" t="s">
        <v>77</v>
      </c>
      <c r="BD3631" s="3" t="s">
        <v>78</v>
      </c>
      <c r="BE3631" s="3" t="s">
        <v>36278</v>
      </c>
      <c r="BF3631" s="3" t="s">
        <v>36277</v>
      </c>
      <c r="BG3631" s="3" t="s">
        <v>36279</v>
      </c>
      <c r="BH3631">
        <f t="shared" si="86"/>
        <v>0</v>
      </c>
    </row>
    <row r="3632" spans="1:60" ht="101.5" x14ac:dyDescent="0.35">
      <c r="A3632" s="2" t="s">
        <v>59</v>
      </c>
      <c r="B3632" s="2" t="s">
        <v>60</v>
      </c>
      <c r="C3632" s="2" t="s">
        <v>36280</v>
      </c>
      <c r="D3632" s="2" t="s">
        <v>36281</v>
      </c>
      <c r="E3632" s="2" t="s">
        <v>36282</v>
      </c>
      <c r="G3632" s="3" t="s">
        <v>64</v>
      </c>
      <c r="I3632" s="3" t="s">
        <v>128</v>
      </c>
      <c r="J3632" s="3" t="s">
        <v>64</v>
      </c>
      <c r="K3632" s="3" t="s">
        <v>65</v>
      </c>
      <c r="L3632" s="2" t="s">
        <v>36283</v>
      </c>
      <c r="M3632" s="2" t="s">
        <v>36284</v>
      </c>
      <c r="N3632" s="3" t="s">
        <v>1763</v>
      </c>
      <c r="P3632" s="3" t="s">
        <v>102</v>
      </c>
      <c r="R3632" s="3" t="s">
        <v>70</v>
      </c>
      <c r="S3632" s="4">
        <v>6</v>
      </c>
      <c r="T3632" s="4">
        <v>6</v>
      </c>
      <c r="U3632" s="5" t="s">
        <v>8436</v>
      </c>
      <c r="V3632" s="5" t="s">
        <v>8436</v>
      </c>
      <c r="W3632" s="5" t="s">
        <v>72</v>
      </c>
      <c r="X3632" s="5" t="s">
        <v>72</v>
      </c>
      <c r="Y3632" s="4">
        <v>139</v>
      </c>
      <c r="Z3632" s="4">
        <v>8</v>
      </c>
      <c r="AA3632" s="4">
        <v>8</v>
      </c>
      <c r="AB3632" s="4">
        <v>2</v>
      </c>
      <c r="AC3632" s="4">
        <v>2</v>
      </c>
      <c r="AD3632" s="4">
        <v>59</v>
      </c>
      <c r="AE3632" s="4">
        <v>63</v>
      </c>
      <c r="AF3632" s="4">
        <v>0</v>
      </c>
      <c r="AG3632" s="4">
        <v>0</v>
      </c>
      <c r="AH3632" s="4">
        <v>53</v>
      </c>
      <c r="AI3632" s="4">
        <v>57</v>
      </c>
      <c r="AJ3632" s="4">
        <v>4</v>
      </c>
      <c r="AK3632" s="4">
        <v>4</v>
      </c>
      <c r="AL3632" s="4">
        <v>38</v>
      </c>
      <c r="AM3632" s="4">
        <v>41</v>
      </c>
      <c r="AN3632" s="4">
        <v>0</v>
      </c>
      <c r="AO3632" s="4">
        <v>0</v>
      </c>
      <c r="AP3632" s="4">
        <v>3</v>
      </c>
      <c r="AQ3632" s="4">
        <v>3</v>
      </c>
      <c r="AR3632" s="3" t="s">
        <v>64</v>
      </c>
      <c r="AS3632" s="3" t="s">
        <v>64</v>
      </c>
      <c r="AT3632" s="3" t="s">
        <v>64</v>
      </c>
      <c r="AV3632" s="6" t="str">
        <f>HYPERLINK("http://mcgill.on.worldcat.org/oclc/12022739","Catalog Record")</f>
        <v>Catalog Record</v>
      </c>
      <c r="AW3632" s="6" t="str">
        <f>HYPERLINK("http://www.worldcat.org/oclc/12022739","WorldCat Record")</f>
        <v>WorldCat Record</v>
      </c>
      <c r="AX3632" s="3" t="s">
        <v>36285</v>
      </c>
      <c r="AY3632" s="3" t="s">
        <v>36286</v>
      </c>
      <c r="AZ3632" s="3" t="s">
        <v>36287</v>
      </c>
      <c r="BA3632" s="3" t="s">
        <v>36287</v>
      </c>
      <c r="BB3632" s="3" t="s">
        <v>36288</v>
      </c>
      <c r="BC3632" s="3" t="s">
        <v>77</v>
      </c>
      <c r="BD3632" s="3" t="s">
        <v>78</v>
      </c>
      <c r="BE3632" s="3" t="s">
        <v>36289</v>
      </c>
      <c r="BF3632" s="3" t="s">
        <v>36288</v>
      </c>
      <c r="BG3632" s="3" t="s">
        <v>36290</v>
      </c>
      <c r="BH3632">
        <f t="shared" si="86"/>
        <v>0</v>
      </c>
    </row>
    <row r="3633" spans="1:60" ht="58" x14ac:dyDescent="0.35">
      <c r="A3633" s="2" t="s">
        <v>59</v>
      </c>
      <c r="B3633" s="2" t="s">
        <v>60</v>
      </c>
      <c r="C3633" s="2" t="s">
        <v>36291</v>
      </c>
      <c r="D3633" s="2" t="s">
        <v>36292</v>
      </c>
      <c r="E3633" s="2" t="s">
        <v>36293</v>
      </c>
      <c r="G3633" s="3" t="s">
        <v>64</v>
      </c>
      <c r="I3633" s="3" t="s">
        <v>64</v>
      </c>
      <c r="J3633" s="3" t="s">
        <v>128</v>
      </c>
      <c r="K3633" s="3" t="s">
        <v>65</v>
      </c>
      <c r="L3633" s="2" t="s">
        <v>36294</v>
      </c>
      <c r="M3633" s="2" t="s">
        <v>36295</v>
      </c>
      <c r="N3633" s="3" t="s">
        <v>266</v>
      </c>
      <c r="O3633" s="2" t="s">
        <v>36296</v>
      </c>
      <c r="P3633" s="3" t="s">
        <v>68</v>
      </c>
      <c r="Q3633" s="2" t="s">
        <v>36297</v>
      </c>
      <c r="R3633" s="3" t="s">
        <v>70</v>
      </c>
      <c r="S3633" s="4">
        <v>2</v>
      </c>
      <c r="T3633" s="4">
        <v>2</v>
      </c>
      <c r="U3633" s="5" t="s">
        <v>26042</v>
      </c>
      <c r="V3633" s="5" t="s">
        <v>26042</v>
      </c>
      <c r="W3633" s="5" t="s">
        <v>72</v>
      </c>
      <c r="X3633" s="5" t="s">
        <v>72</v>
      </c>
      <c r="Y3633" s="4">
        <v>75</v>
      </c>
      <c r="Z3633" s="4">
        <v>8</v>
      </c>
      <c r="AA3633" s="4">
        <v>30</v>
      </c>
      <c r="AB3633" s="4">
        <v>1</v>
      </c>
      <c r="AC3633" s="4">
        <v>12</v>
      </c>
      <c r="AD3633" s="4">
        <v>33</v>
      </c>
      <c r="AE3633" s="4">
        <v>75</v>
      </c>
      <c r="AF3633" s="4">
        <v>0</v>
      </c>
      <c r="AG3633" s="4">
        <v>5</v>
      </c>
      <c r="AH3633" s="4">
        <v>28</v>
      </c>
      <c r="AI3633" s="4">
        <v>62</v>
      </c>
      <c r="AJ3633" s="4">
        <v>5</v>
      </c>
      <c r="AK3633" s="4">
        <v>15</v>
      </c>
      <c r="AL3633" s="4">
        <v>21</v>
      </c>
      <c r="AM3633" s="4">
        <v>42</v>
      </c>
      <c r="AN3633" s="4">
        <v>0</v>
      </c>
      <c r="AO3633" s="4">
        <v>0</v>
      </c>
      <c r="AP3633" s="4">
        <v>6</v>
      </c>
      <c r="AQ3633" s="4">
        <v>16</v>
      </c>
      <c r="AR3633" s="3" t="s">
        <v>64</v>
      </c>
      <c r="AS3633" s="3" t="s">
        <v>64</v>
      </c>
      <c r="AT3633" s="3" t="s">
        <v>128</v>
      </c>
      <c r="AU3633" s="6" t="str">
        <f>HYPERLINK("http://catalog.hathitrust.org/Record/001166519","HathiTrust Record")</f>
        <v>HathiTrust Record</v>
      </c>
      <c r="AV3633" s="6" t="str">
        <f>HYPERLINK("http://mcgill.on.worldcat.org/oclc/3045370","Catalog Record")</f>
        <v>Catalog Record</v>
      </c>
      <c r="AW3633" s="6" t="str">
        <f>HYPERLINK("http://www.worldcat.org/oclc/3045370","WorldCat Record")</f>
        <v>WorldCat Record</v>
      </c>
      <c r="AX3633" s="3" t="s">
        <v>36298</v>
      </c>
      <c r="AY3633" s="3" t="s">
        <v>36299</v>
      </c>
      <c r="AZ3633" s="3" t="s">
        <v>36300</v>
      </c>
      <c r="BA3633" s="3" t="s">
        <v>36300</v>
      </c>
      <c r="BB3633" s="3" t="s">
        <v>36301</v>
      </c>
      <c r="BC3633" s="3" t="s">
        <v>77</v>
      </c>
      <c r="BD3633" s="3" t="s">
        <v>78</v>
      </c>
      <c r="BF3633" s="3" t="s">
        <v>36301</v>
      </c>
      <c r="BG3633" s="3" t="s">
        <v>36302</v>
      </c>
      <c r="BH3633">
        <f t="shared" si="86"/>
        <v>0</v>
      </c>
    </row>
    <row r="3634" spans="1:60" ht="58" x14ac:dyDescent="0.35">
      <c r="A3634" s="2" t="s">
        <v>59</v>
      </c>
      <c r="B3634" s="2" t="s">
        <v>60</v>
      </c>
      <c r="C3634" s="2" t="s">
        <v>36303</v>
      </c>
      <c r="D3634" s="2" t="s">
        <v>36304</v>
      </c>
      <c r="E3634" s="2" t="s">
        <v>36305</v>
      </c>
      <c r="G3634" s="3" t="s">
        <v>64</v>
      </c>
      <c r="I3634" s="3" t="s">
        <v>64</v>
      </c>
      <c r="J3634" s="3" t="s">
        <v>64</v>
      </c>
      <c r="K3634" s="3" t="s">
        <v>65</v>
      </c>
      <c r="L3634" s="2" t="s">
        <v>36208</v>
      </c>
      <c r="M3634" s="2" t="s">
        <v>36306</v>
      </c>
      <c r="N3634" s="3" t="s">
        <v>551</v>
      </c>
      <c r="P3634" s="3" t="s">
        <v>102</v>
      </c>
      <c r="R3634" s="3" t="s">
        <v>70</v>
      </c>
      <c r="S3634" s="4">
        <v>17</v>
      </c>
      <c r="T3634" s="4">
        <v>17</v>
      </c>
      <c r="U3634" s="5" t="s">
        <v>17763</v>
      </c>
      <c r="V3634" s="5" t="s">
        <v>17763</v>
      </c>
      <c r="W3634" s="5" t="s">
        <v>72</v>
      </c>
      <c r="X3634" s="5" t="s">
        <v>72</v>
      </c>
      <c r="Y3634" s="4">
        <v>242</v>
      </c>
      <c r="Z3634" s="4">
        <v>18</v>
      </c>
      <c r="AA3634" s="4">
        <v>22</v>
      </c>
      <c r="AB3634" s="4">
        <v>1</v>
      </c>
      <c r="AC3634" s="4">
        <v>5</v>
      </c>
      <c r="AD3634" s="4">
        <v>75</v>
      </c>
      <c r="AE3634" s="4">
        <v>85</v>
      </c>
      <c r="AF3634" s="4">
        <v>0</v>
      </c>
      <c r="AG3634" s="4">
        <v>2</v>
      </c>
      <c r="AH3634" s="4">
        <v>68</v>
      </c>
      <c r="AI3634" s="4">
        <v>77</v>
      </c>
      <c r="AJ3634" s="4">
        <v>13</v>
      </c>
      <c r="AK3634" s="4">
        <v>15</v>
      </c>
      <c r="AL3634" s="4">
        <v>41</v>
      </c>
      <c r="AM3634" s="4">
        <v>45</v>
      </c>
      <c r="AN3634" s="4">
        <v>0</v>
      </c>
      <c r="AO3634" s="4">
        <v>0</v>
      </c>
      <c r="AP3634" s="4">
        <v>14</v>
      </c>
      <c r="AQ3634" s="4">
        <v>15</v>
      </c>
      <c r="AR3634" s="3" t="s">
        <v>64</v>
      </c>
      <c r="AS3634" s="3" t="s">
        <v>64</v>
      </c>
      <c r="AT3634" s="3" t="s">
        <v>64</v>
      </c>
      <c r="AV3634" s="6" t="str">
        <f>HYPERLINK("http://mcgill.on.worldcat.org/oclc/320802703","Catalog Record")</f>
        <v>Catalog Record</v>
      </c>
      <c r="AW3634" s="6" t="str">
        <f>HYPERLINK("http://www.worldcat.org/oclc/320802703","WorldCat Record")</f>
        <v>WorldCat Record</v>
      </c>
      <c r="AX3634" s="3" t="s">
        <v>36307</v>
      </c>
      <c r="AY3634" s="3" t="s">
        <v>36308</v>
      </c>
      <c r="AZ3634" s="3" t="s">
        <v>36309</v>
      </c>
      <c r="BA3634" s="3" t="s">
        <v>36309</v>
      </c>
      <c r="BB3634" s="3" t="s">
        <v>36310</v>
      </c>
      <c r="BC3634" s="3" t="s">
        <v>77</v>
      </c>
      <c r="BD3634" s="3" t="s">
        <v>78</v>
      </c>
      <c r="BE3634" s="3" t="s">
        <v>36311</v>
      </c>
      <c r="BF3634" s="3" t="s">
        <v>36310</v>
      </c>
      <c r="BG3634" s="3" t="s">
        <v>36312</v>
      </c>
      <c r="BH3634">
        <f t="shared" si="86"/>
        <v>0</v>
      </c>
    </row>
    <row r="3635" spans="1:60" ht="58" x14ac:dyDescent="0.35">
      <c r="A3635" s="2" t="s">
        <v>59</v>
      </c>
      <c r="B3635" s="2" t="s">
        <v>60</v>
      </c>
      <c r="C3635" s="2" t="s">
        <v>36313</v>
      </c>
      <c r="D3635" s="2" t="s">
        <v>36314</v>
      </c>
      <c r="E3635" s="2" t="s">
        <v>36315</v>
      </c>
      <c r="G3635" s="3" t="s">
        <v>64</v>
      </c>
      <c r="I3635" s="3" t="s">
        <v>64</v>
      </c>
      <c r="J3635" s="3" t="s">
        <v>64</v>
      </c>
      <c r="K3635" s="3" t="s">
        <v>65</v>
      </c>
      <c r="L3635" s="2" t="s">
        <v>36208</v>
      </c>
      <c r="M3635" s="2" t="s">
        <v>36316</v>
      </c>
      <c r="N3635" s="3" t="s">
        <v>1075</v>
      </c>
      <c r="P3635" s="3" t="s">
        <v>102</v>
      </c>
      <c r="R3635" s="3" t="s">
        <v>70</v>
      </c>
      <c r="S3635" s="4">
        <v>7</v>
      </c>
      <c r="T3635" s="4">
        <v>7</v>
      </c>
      <c r="U3635" s="5" t="s">
        <v>17763</v>
      </c>
      <c r="V3635" s="5" t="s">
        <v>17763</v>
      </c>
      <c r="W3635" s="5" t="s">
        <v>72</v>
      </c>
      <c r="X3635" s="5" t="s">
        <v>72</v>
      </c>
      <c r="Y3635" s="4">
        <v>92</v>
      </c>
      <c r="Z3635" s="4">
        <v>8</v>
      </c>
      <c r="AA3635" s="4">
        <v>8</v>
      </c>
      <c r="AB3635" s="4">
        <v>1</v>
      </c>
      <c r="AC3635" s="4">
        <v>1</v>
      </c>
      <c r="AD3635" s="4">
        <v>45</v>
      </c>
      <c r="AE3635" s="4">
        <v>45</v>
      </c>
      <c r="AF3635" s="4">
        <v>0</v>
      </c>
      <c r="AG3635" s="4">
        <v>0</v>
      </c>
      <c r="AH3635" s="4">
        <v>40</v>
      </c>
      <c r="AI3635" s="4">
        <v>40</v>
      </c>
      <c r="AJ3635" s="4">
        <v>5</v>
      </c>
      <c r="AK3635" s="4">
        <v>5</v>
      </c>
      <c r="AL3635" s="4">
        <v>28</v>
      </c>
      <c r="AM3635" s="4">
        <v>28</v>
      </c>
      <c r="AN3635" s="4">
        <v>5</v>
      </c>
      <c r="AO3635" s="4">
        <v>5</v>
      </c>
      <c r="AP3635" s="4">
        <v>5</v>
      </c>
      <c r="AQ3635" s="4">
        <v>5</v>
      </c>
      <c r="AR3635" s="3" t="s">
        <v>64</v>
      </c>
      <c r="AS3635" s="3" t="s">
        <v>64</v>
      </c>
      <c r="AT3635" s="3" t="s">
        <v>128</v>
      </c>
      <c r="AU3635" s="6" t="str">
        <f>HYPERLINK("http://catalog.hathitrust.org/Record/101797291","HathiTrust Record")</f>
        <v>HathiTrust Record</v>
      </c>
      <c r="AV3635" s="6" t="str">
        <f>HYPERLINK("http://mcgill.on.worldcat.org/oclc/843228654","Catalog Record")</f>
        <v>Catalog Record</v>
      </c>
      <c r="AW3635" s="6" t="str">
        <f>HYPERLINK("http://www.worldcat.org/oclc/843228654","WorldCat Record")</f>
        <v>WorldCat Record</v>
      </c>
      <c r="AX3635" s="3" t="s">
        <v>36317</v>
      </c>
      <c r="AY3635" s="3" t="s">
        <v>36318</v>
      </c>
      <c r="AZ3635" s="3" t="s">
        <v>36319</v>
      </c>
      <c r="BA3635" s="3" t="s">
        <v>36319</v>
      </c>
      <c r="BB3635" s="3" t="s">
        <v>36320</v>
      </c>
      <c r="BC3635" s="3" t="s">
        <v>77</v>
      </c>
      <c r="BD3635" s="3" t="s">
        <v>78</v>
      </c>
      <c r="BE3635" s="3" t="s">
        <v>36321</v>
      </c>
      <c r="BF3635" s="3" t="s">
        <v>36320</v>
      </c>
      <c r="BG3635" s="3" t="s">
        <v>36322</v>
      </c>
      <c r="BH3635">
        <f t="shared" si="86"/>
        <v>0</v>
      </c>
    </row>
    <row r="3636" spans="1:60" ht="58" x14ac:dyDescent="0.35">
      <c r="A3636" s="2" t="s">
        <v>6202</v>
      </c>
      <c r="B3636" s="2" t="s">
        <v>6203</v>
      </c>
      <c r="C3636" s="2" t="s">
        <v>36323</v>
      </c>
      <c r="D3636" s="2" t="s">
        <v>36324</v>
      </c>
      <c r="E3636" s="2" t="s">
        <v>36325</v>
      </c>
      <c r="G3636" s="3" t="s">
        <v>64</v>
      </c>
      <c r="I3636" s="3" t="s">
        <v>64</v>
      </c>
      <c r="J3636" s="3" t="s">
        <v>64</v>
      </c>
      <c r="K3636" s="3" t="s">
        <v>65</v>
      </c>
      <c r="L3636" s="2" t="s">
        <v>36326</v>
      </c>
      <c r="M3636" s="2" t="s">
        <v>36327</v>
      </c>
      <c r="N3636" s="3" t="s">
        <v>1087</v>
      </c>
      <c r="P3636" s="3" t="s">
        <v>102</v>
      </c>
      <c r="Q3636" s="2" t="s">
        <v>36328</v>
      </c>
      <c r="R3636" s="3" t="s">
        <v>70</v>
      </c>
      <c r="S3636" s="4">
        <v>1</v>
      </c>
      <c r="T3636" s="4">
        <v>1</v>
      </c>
      <c r="U3636" s="5" t="s">
        <v>24062</v>
      </c>
      <c r="V3636" s="5" t="s">
        <v>24062</v>
      </c>
      <c r="W3636" s="5" t="s">
        <v>72</v>
      </c>
      <c r="X3636" s="5" t="s">
        <v>72</v>
      </c>
      <c r="Y3636" s="4">
        <v>93</v>
      </c>
      <c r="Z3636" s="4">
        <v>15</v>
      </c>
      <c r="AA3636" s="4">
        <v>15</v>
      </c>
      <c r="AB3636" s="4">
        <v>1</v>
      </c>
      <c r="AC3636" s="4">
        <v>1</v>
      </c>
      <c r="AD3636" s="4">
        <v>41</v>
      </c>
      <c r="AE3636" s="4">
        <v>41</v>
      </c>
      <c r="AF3636" s="4">
        <v>0</v>
      </c>
      <c r="AG3636" s="4">
        <v>0</v>
      </c>
      <c r="AH3636" s="4">
        <v>36</v>
      </c>
      <c r="AI3636" s="4">
        <v>36</v>
      </c>
      <c r="AJ3636" s="4">
        <v>9</v>
      </c>
      <c r="AK3636" s="4">
        <v>9</v>
      </c>
      <c r="AL3636" s="4">
        <v>19</v>
      </c>
      <c r="AM3636" s="4">
        <v>19</v>
      </c>
      <c r="AN3636" s="4">
        <v>0</v>
      </c>
      <c r="AO3636" s="4">
        <v>0</v>
      </c>
      <c r="AP3636" s="4">
        <v>12</v>
      </c>
      <c r="AQ3636" s="4">
        <v>12</v>
      </c>
      <c r="AR3636" s="3" t="s">
        <v>64</v>
      </c>
      <c r="AS3636" s="3" t="s">
        <v>64</v>
      </c>
      <c r="AT3636" s="3" t="s">
        <v>128</v>
      </c>
      <c r="AU3636" s="6" t="str">
        <f>HYPERLINK("http://catalog.hathitrust.org/Record/002620086","HathiTrust Record")</f>
        <v>HathiTrust Record</v>
      </c>
      <c r="AV3636" s="6" t="str">
        <f>HYPERLINK("http://mcgill.on.worldcat.org/oclc/27107004","Catalog Record")</f>
        <v>Catalog Record</v>
      </c>
      <c r="AW3636" s="6" t="str">
        <f>HYPERLINK("http://www.worldcat.org/oclc/27107004","WorldCat Record")</f>
        <v>WorldCat Record</v>
      </c>
      <c r="AX3636" s="3" t="s">
        <v>36329</v>
      </c>
      <c r="AY3636" s="3" t="s">
        <v>36330</v>
      </c>
      <c r="AZ3636" s="3" t="s">
        <v>36331</v>
      </c>
      <c r="BA3636" s="3" t="s">
        <v>36331</v>
      </c>
      <c r="BB3636" s="3" t="s">
        <v>36332</v>
      </c>
      <c r="BC3636" s="3" t="s">
        <v>77</v>
      </c>
      <c r="BD3636" s="3" t="s">
        <v>78</v>
      </c>
      <c r="BF3636" s="3" t="s">
        <v>36332</v>
      </c>
      <c r="BG3636" s="3" t="s">
        <v>36333</v>
      </c>
      <c r="BH3636">
        <f t="shared" si="86"/>
        <v>0</v>
      </c>
    </row>
    <row r="3637" spans="1:60" ht="58" x14ac:dyDescent="0.35">
      <c r="A3637" s="2" t="s">
        <v>59</v>
      </c>
      <c r="B3637" s="2" t="s">
        <v>60</v>
      </c>
      <c r="C3637" s="2" t="s">
        <v>36334</v>
      </c>
      <c r="D3637" s="2" t="s">
        <v>36335</v>
      </c>
      <c r="E3637" s="2" t="s">
        <v>36336</v>
      </c>
      <c r="G3637" s="3" t="s">
        <v>64</v>
      </c>
      <c r="I3637" s="3" t="s">
        <v>64</v>
      </c>
      <c r="J3637" s="3" t="s">
        <v>64</v>
      </c>
      <c r="K3637" s="3" t="s">
        <v>65</v>
      </c>
      <c r="L3637" s="2" t="s">
        <v>8433</v>
      </c>
      <c r="M3637" s="2" t="s">
        <v>36337</v>
      </c>
      <c r="N3637" s="3" t="s">
        <v>3910</v>
      </c>
      <c r="P3637" s="3" t="s">
        <v>102</v>
      </c>
      <c r="R3637" s="3" t="s">
        <v>70</v>
      </c>
      <c r="S3637" s="4">
        <v>1</v>
      </c>
      <c r="T3637" s="4">
        <v>1</v>
      </c>
      <c r="U3637" s="5" t="s">
        <v>8436</v>
      </c>
      <c r="V3637" s="5" t="s">
        <v>8436</v>
      </c>
      <c r="W3637" s="5" t="s">
        <v>72</v>
      </c>
      <c r="X3637" s="5" t="s">
        <v>72</v>
      </c>
      <c r="Y3637" s="4">
        <v>37</v>
      </c>
      <c r="Z3637" s="4">
        <v>3</v>
      </c>
      <c r="AA3637" s="4">
        <v>4</v>
      </c>
      <c r="AB3637" s="4">
        <v>1</v>
      </c>
      <c r="AC3637" s="4">
        <v>1</v>
      </c>
      <c r="AD3637" s="4">
        <v>18</v>
      </c>
      <c r="AE3637" s="4">
        <v>20</v>
      </c>
      <c r="AF3637" s="4">
        <v>0</v>
      </c>
      <c r="AG3637" s="4">
        <v>0</v>
      </c>
      <c r="AH3637" s="4">
        <v>16</v>
      </c>
      <c r="AI3637" s="4">
        <v>17</v>
      </c>
      <c r="AJ3637" s="4">
        <v>1</v>
      </c>
      <c r="AK3637" s="4">
        <v>1</v>
      </c>
      <c r="AL3637" s="4">
        <v>14</v>
      </c>
      <c r="AM3637" s="4">
        <v>14</v>
      </c>
      <c r="AN3637" s="4">
        <v>0</v>
      </c>
      <c r="AO3637" s="4">
        <v>0</v>
      </c>
      <c r="AP3637" s="4">
        <v>2</v>
      </c>
      <c r="AQ3637" s="4">
        <v>3</v>
      </c>
      <c r="AR3637" s="3" t="s">
        <v>64</v>
      </c>
      <c r="AS3637" s="3" t="s">
        <v>128</v>
      </c>
      <c r="AT3637" s="3" t="s">
        <v>64</v>
      </c>
      <c r="AU3637" s="6" t="str">
        <f>HYPERLINK("http://catalog.hathitrust.org/Record/001166598","HathiTrust Record")</f>
        <v>HathiTrust Record</v>
      </c>
      <c r="AV3637" s="6" t="str">
        <f>HYPERLINK("http://mcgill.on.worldcat.org/oclc/582042","Catalog Record")</f>
        <v>Catalog Record</v>
      </c>
      <c r="AW3637" s="6" t="str">
        <f>HYPERLINK("http://www.worldcat.org/oclc/582042","WorldCat Record")</f>
        <v>WorldCat Record</v>
      </c>
      <c r="AX3637" s="3" t="s">
        <v>36338</v>
      </c>
      <c r="AY3637" s="3" t="s">
        <v>36339</v>
      </c>
      <c r="AZ3637" s="3" t="s">
        <v>36340</v>
      </c>
      <c r="BA3637" s="3" t="s">
        <v>36340</v>
      </c>
      <c r="BB3637" s="3" t="s">
        <v>36341</v>
      </c>
      <c r="BC3637" s="3" t="s">
        <v>77</v>
      </c>
      <c r="BD3637" s="3" t="s">
        <v>78</v>
      </c>
      <c r="BF3637" s="3" t="s">
        <v>36341</v>
      </c>
      <c r="BG3637" s="3" t="s">
        <v>36342</v>
      </c>
      <c r="BH3637">
        <f t="shared" si="86"/>
        <v>0</v>
      </c>
    </row>
    <row r="3638" spans="1:60" ht="58" x14ac:dyDescent="0.35">
      <c r="A3638" s="2" t="s">
        <v>59</v>
      </c>
      <c r="B3638" s="2" t="s">
        <v>60</v>
      </c>
      <c r="C3638" s="2" t="s">
        <v>36343</v>
      </c>
      <c r="D3638" s="2" t="s">
        <v>36344</v>
      </c>
      <c r="E3638" s="2" t="s">
        <v>36345</v>
      </c>
      <c r="F3638" s="3" t="s">
        <v>36346</v>
      </c>
      <c r="G3638" s="3" t="s">
        <v>128</v>
      </c>
      <c r="I3638" s="3" t="s">
        <v>64</v>
      </c>
      <c r="J3638" s="3" t="s">
        <v>128</v>
      </c>
      <c r="K3638" s="3" t="s">
        <v>65</v>
      </c>
      <c r="L3638" s="2" t="s">
        <v>36347</v>
      </c>
      <c r="M3638" s="2" t="s">
        <v>36348</v>
      </c>
      <c r="N3638" s="3" t="s">
        <v>1763</v>
      </c>
      <c r="O3638" s="2" t="s">
        <v>36349</v>
      </c>
      <c r="P3638" s="3" t="s">
        <v>944</v>
      </c>
      <c r="R3638" s="3" t="s">
        <v>70</v>
      </c>
      <c r="S3638" s="4">
        <v>1</v>
      </c>
      <c r="T3638" s="4">
        <v>2</v>
      </c>
      <c r="U3638" s="5" t="s">
        <v>25635</v>
      </c>
      <c r="V3638" s="5" t="s">
        <v>25635</v>
      </c>
      <c r="W3638" s="5" t="s">
        <v>72</v>
      </c>
      <c r="X3638" s="5" t="s">
        <v>72</v>
      </c>
      <c r="Y3638" s="4">
        <v>79</v>
      </c>
      <c r="Z3638" s="4">
        <v>5</v>
      </c>
      <c r="AA3638" s="4">
        <v>21</v>
      </c>
      <c r="AB3638" s="4">
        <v>1</v>
      </c>
      <c r="AC3638" s="4">
        <v>4</v>
      </c>
      <c r="AD3638" s="4">
        <v>42</v>
      </c>
      <c r="AE3638" s="4">
        <v>109</v>
      </c>
      <c r="AF3638" s="4">
        <v>0</v>
      </c>
      <c r="AG3638" s="4">
        <v>2</v>
      </c>
      <c r="AH3638" s="4">
        <v>41</v>
      </c>
      <c r="AI3638" s="4">
        <v>97</v>
      </c>
      <c r="AJ3638" s="4">
        <v>3</v>
      </c>
      <c r="AK3638" s="4">
        <v>16</v>
      </c>
      <c r="AL3638" s="4">
        <v>33</v>
      </c>
      <c r="AM3638" s="4">
        <v>57</v>
      </c>
      <c r="AN3638" s="4">
        <v>0</v>
      </c>
      <c r="AO3638" s="4">
        <v>0</v>
      </c>
      <c r="AP3638" s="4">
        <v>3</v>
      </c>
      <c r="AQ3638" s="4">
        <v>14</v>
      </c>
      <c r="AR3638" s="3" t="s">
        <v>64</v>
      </c>
      <c r="AS3638" s="3" t="s">
        <v>64</v>
      </c>
      <c r="AT3638" s="3" t="s">
        <v>64</v>
      </c>
      <c r="AV3638" s="6" t="str">
        <f>HYPERLINK("http://mcgill.on.worldcat.org/oclc/11086315","Catalog Record")</f>
        <v>Catalog Record</v>
      </c>
      <c r="AW3638" s="6" t="str">
        <f>HYPERLINK("http://www.worldcat.org/oclc/11086315","WorldCat Record")</f>
        <v>WorldCat Record</v>
      </c>
      <c r="AX3638" s="3" t="s">
        <v>36350</v>
      </c>
      <c r="AY3638" s="3" t="s">
        <v>36351</v>
      </c>
      <c r="AZ3638" s="3" t="s">
        <v>36352</v>
      </c>
      <c r="BA3638" s="3" t="s">
        <v>36352</v>
      </c>
      <c r="BB3638" s="3" t="s">
        <v>36353</v>
      </c>
      <c r="BC3638" s="3" t="s">
        <v>77</v>
      </c>
      <c r="BD3638" s="3" t="s">
        <v>78</v>
      </c>
      <c r="BE3638" s="3" t="s">
        <v>36354</v>
      </c>
      <c r="BF3638" s="3" t="s">
        <v>36353</v>
      </c>
      <c r="BG3638" s="3" t="s">
        <v>36355</v>
      </c>
      <c r="BH3638">
        <f t="shared" si="86"/>
        <v>0</v>
      </c>
    </row>
    <row r="3639" spans="1:60" ht="58" x14ac:dyDescent="0.35">
      <c r="A3639" s="2" t="s">
        <v>59</v>
      </c>
      <c r="B3639" s="2" t="s">
        <v>60</v>
      </c>
      <c r="C3639" s="2" t="s">
        <v>36343</v>
      </c>
      <c r="D3639" s="2" t="s">
        <v>36344</v>
      </c>
      <c r="E3639" s="2" t="s">
        <v>36345</v>
      </c>
      <c r="F3639" s="3" t="s">
        <v>36356</v>
      </c>
      <c r="G3639" s="3" t="s">
        <v>128</v>
      </c>
      <c r="I3639" s="3" t="s">
        <v>64</v>
      </c>
      <c r="J3639" s="3" t="s">
        <v>128</v>
      </c>
      <c r="K3639" s="3" t="s">
        <v>65</v>
      </c>
      <c r="L3639" s="2" t="s">
        <v>36347</v>
      </c>
      <c r="M3639" s="2" t="s">
        <v>36348</v>
      </c>
      <c r="N3639" s="3" t="s">
        <v>1763</v>
      </c>
      <c r="O3639" s="2" t="s">
        <v>36349</v>
      </c>
      <c r="P3639" s="3" t="s">
        <v>944</v>
      </c>
      <c r="R3639" s="3" t="s">
        <v>70</v>
      </c>
      <c r="S3639" s="4">
        <v>1</v>
      </c>
      <c r="T3639" s="4">
        <v>2</v>
      </c>
      <c r="U3639" s="5" t="s">
        <v>25635</v>
      </c>
      <c r="V3639" s="5" t="s">
        <v>25635</v>
      </c>
      <c r="W3639" s="5" t="s">
        <v>72</v>
      </c>
      <c r="X3639" s="5" t="s">
        <v>72</v>
      </c>
      <c r="Y3639" s="4">
        <v>79</v>
      </c>
      <c r="Z3639" s="4">
        <v>5</v>
      </c>
      <c r="AA3639" s="4">
        <v>21</v>
      </c>
      <c r="AB3639" s="4">
        <v>1</v>
      </c>
      <c r="AC3639" s="4">
        <v>4</v>
      </c>
      <c r="AD3639" s="4">
        <v>42</v>
      </c>
      <c r="AE3639" s="4">
        <v>109</v>
      </c>
      <c r="AF3639" s="4">
        <v>0</v>
      </c>
      <c r="AG3639" s="4">
        <v>2</v>
      </c>
      <c r="AH3639" s="4">
        <v>41</v>
      </c>
      <c r="AI3639" s="4">
        <v>97</v>
      </c>
      <c r="AJ3639" s="4">
        <v>3</v>
      </c>
      <c r="AK3639" s="4">
        <v>16</v>
      </c>
      <c r="AL3639" s="4">
        <v>33</v>
      </c>
      <c r="AM3639" s="4">
        <v>57</v>
      </c>
      <c r="AN3639" s="4">
        <v>0</v>
      </c>
      <c r="AO3639" s="4">
        <v>0</v>
      </c>
      <c r="AP3639" s="4">
        <v>3</v>
      </c>
      <c r="AQ3639" s="4">
        <v>14</v>
      </c>
      <c r="AR3639" s="3" t="s">
        <v>64</v>
      </c>
      <c r="AS3639" s="3" t="s">
        <v>64</v>
      </c>
      <c r="AT3639" s="3" t="s">
        <v>64</v>
      </c>
      <c r="AV3639" s="6" t="str">
        <f>HYPERLINK("http://mcgill.on.worldcat.org/oclc/11086315","Catalog Record")</f>
        <v>Catalog Record</v>
      </c>
      <c r="AW3639" s="6" t="str">
        <f>HYPERLINK("http://www.worldcat.org/oclc/11086315","WorldCat Record")</f>
        <v>WorldCat Record</v>
      </c>
      <c r="AX3639" s="3" t="s">
        <v>36350</v>
      </c>
      <c r="AY3639" s="3" t="s">
        <v>36351</v>
      </c>
      <c r="AZ3639" s="3" t="s">
        <v>36352</v>
      </c>
      <c r="BA3639" s="3" t="s">
        <v>36352</v>
      </c>
      <c r="BB3639" s="3" t="s">
        <v>36357</v>
      </c>
      <c r="BC3639" s="3" t="s">
        <v>77</v>
      </c>
      <c r="BD3639" s="3" t="s">
        <v>78</v>
      </c>
      <c r="BE3639" s="3" t="s">
        <v>36354</v>
      </c>
      <c r="BF3639" s="3" t="s">
        <v>36357</v>
      </c>
      <c r="BG3639" s="3" t="s">
        <v>36358</v>
      </c>
      <c r="BH3639">
        <f t="shared" si="86"/>
        <v>0</v>
      </c>
    </row>
    <row r="3640" spans="1:60" ht="58" x14ac:dyDescent="0.35">
      <c r="A3640" s="2" t="s">
        <v>59</v>
      </c>
      <c r="B3640" s="2" t="s">
        <v>60</v>
      </c>
      <c r="C3640" s="2" t="s">
        <v>36359</v>
      </c>
      <c r="D3640" s="2" t="s">
        <v>36360</v>
      </c>
      <c r="E3640" s="2" t="s">
        <v>36361</v>
      </c>
      <c r="G3640" s="3" t="s">
        <v>64</v>
      </c>
      <c r="I3640" s="3" t="s">
        <v>128</v>
      </c>
      <c r="J3640" s="3" t="s">
        <v>64</v>
      </c>
      <c r="K3640" s="3" t="s">
        <v>65</v>
      </c>
      <c r="L3640" s="2" t="s">
        <v>36362</v>
      </c>
      <c r="M3640" s="2" t="s">
        <v>36363</v>
      </c>
      <c r="N3640" s="3" t="s">
        <v>5262</v>
      </c>
      <c r="P3640" s="3" t="s">
        <v>102</v>
      </c>
      <c r="R3640" s="3" t="s">
        <v>70</v>
      </c>
      <c r="S3640" s="4">
        <v>47</v>
      </c>
      <c r="T3640" s="4">
        <v>70</v>
      </c>
      <c r="U3640" s="5" t="s">
        <v>22691</v>
      </c>
      <c r="V3640" s="5" t="s">
        <v>36364</v>
      </c>
      <c r="W3640" s="5" t="s">
        <v>72</v>
      </c>
      <c r="X3640" s="5" t="s">
        <v>72</v>
      </c>
      <c r="Y3640" s="4">
        <v>909</v>
      </c>
      <c r="Z3640" s="4">
        <v>42</v>
      </c>
      <c r="AA3640" s="4">
        <v>65</v>
      </c>
      <c r="AB3640" s="4">
        <v>3</v>
      </c>
      <c r="AC3640" s="4">
        <v>4</v>
      </c>
      <c r="AD3640" s="4">
        <v>128</v>
      </c>
      <c r="AE3640" s="4">
        <v>149</v>
      </c>
      <c r="AF3640" s="4">
        <v>2</v>
      </c>
      <c r="AG3640" s="4">
        <v>3</v>
      </c>
      <c r="AH3640" s="4">
        <v>100</v>
      </c>
      <c r="AI3640" s="4">
        <v>110</v>
      </c>
      <c r="AJ3640" s="4">
        <v>19</v>
      </c>
      <c r="AK3640" s="4">
        <v>26</v>
      </c>
      <c r="AL3640" s="4">
        <v>59</v>
      </c>
      <c r="AM3640" s="4">
        <v>62</v>
      </c>
      <c r="AN3640" s="4">
        <v>0</v>
      </c>
      <c r="AO3640" s="4">
        <v>0</v>
      </c>
      <c r="AP3640" s="4">
        <v>30</v>
      </c>
      <c r="AQ3640" s="4">
        <v>44</v>
      </c>
      <c r="AR3640" s="3" t="s">
        <v>64</v>
      </c>
      <c r="AS3640" s="3" t="s">
        <v>64</v>
      </c>
      <c r="AT3640" s="3" t="s">
        <v>128</v>
      </c>
      <c r="AU3640" s="6" t="str">
        <f>HYPERLINK("http://catalog.hathitrust.org/Record/001166648","HathiTrust Record")</f>
        <v>HathiTrust Record</v>
      </c>
      <c r="AV3640" s="6" t="str">
        <f>HYPERLINK("http://mcgill.on.worldcat.org/oclc/1626990","Catalog Record")</f>
        <v>Catalog Record</v>
      </c>
      <c r="AW3640" s="6" t="str">
        <f>HYPERLINK("http://www.worldcat.org/oclc/1626990","WorldCat Record")</f>
        <v>WorldCat Record</v>
      </c>
      <c r="AX3640" s="3" t="s">
        <v>36365</v>
      </c>
      <c r="AY3640" s="3" t="s">
        <v>36366</v>
      </c>
      <c r="AZ3640" s="3" t="s">
        <v>36367</v>
      </c>
      <c r="BA3640" s="3" t="s">
        <v>36367</v>
      </c>
      <c r="BB3640" s="3" t="s">
        <v>36368</v>
      </c>
      <c r="BC3640" s="3" t="s">
        <v>77</v>
      </c>
      <c r="BD3640" s="3" t="s">
        <v>23905</v>
      </c>
      <c r="BF3640" s="3" t="s">
        <v>36368</v>
      </c>
      <c r="BG3640" s="3" t="s">
        <v>36369</v>
      </c>
      <c r="BH3640">
        <f t="shared" si="86"/>
        <v>0</v>
      </c>
    </row>
    <row r="3641" spans="1:60" ht="58" x14ac:dyDescent="0.35">
      <c r="A3641" s="2" t="s">
        <v>59</v>
      </c>
      <c r="B3641" s="2" t="s">
        <v>60</v>
      </c>
      <c r="C3641" s="2" t="s">
        <v>36359</v>
      </c>
      <c r="D3641" s="2" t="s">
        <v>36360</v>
      </c>
      <c r="E3641" s="2" t="s">
        <v>36361</v>
      </c>
      <c r="G3641" s="3" t="s">
        <v>64</v>
      </c>
      <c r="I3641" s="3" t="s">
        <v>128</v>
      </c>
      <c r="J3641" s="3" t="s">
        <v>64</v>
      </c>
      <c r="K3641" s="3" t="s">
        <v>65</v>
      </c>
      <c r="L3641" s="2" t="s">
        <v>36362</v>
      </c>
      <c r="M3641" s="2" t="s">
        <v>36363</v>
      </c>
      <c r="N3641" s="3" t="s">
        <v>5262</v>
      </c>
      <c r="P3641" s="3" t="s">
        <v>102</v>
      </c>
      <c r="R3641" s="3" t="s">
        <v>70</v>
      </c>
      <c r="S3641" s="4">
        <v>23</v>
      </c>
      <c r="T3641" s="4">
        <v>70</v>
      </c>
      <c r="U3641" s="5" t="s">
        <v>36364</v>
      </c>
      <c r="V3641" s="5" t="s">
        <v>36364</v>
      </c>
      <c r="W3641" s="5" t="s">
        <v>72</v>
      </c>
      <c r="X3641" s="5" t="s">
        <v>72</v>
      </c>
      <c r="Y3641" s="4">
        <v>909</v>
      </c>
      <c r="Z3641" s="4">
        <v>42</v>
      </c>
      <c r="AA3641" s="4">
        <v>65</v>
      </c>
      <c r="AB3641" s="4">
        <v>3</v>
      </c>
      <c r="AC3641" s="4">
        <v>4</v>
      </c>
      <c r="AD3641" s="4">
        <v>128</v>
      </c>
      <c r="AE3641" s="4">
        <v>149</v>
      </c>
      <c r="AF3641" s="4">
        <v>2</v>
      </c>
      <c r="AG3641" s="4">
        <v>3</v>
      </c>
      <c r="AH3641" s="4">
        <v>100</v>
      </c>
      <c r="AI3641" s="4">
        <v>110</v>
      </c>
      <c r="AJ3641" s="4">
        <v>19</v>
      </c>
      <c r="AK3641" s="4">
        <v>26</v>
      </c>
      <c r="AL3641" s="4">
        <v>59</v>
      </c>
      <c r="AM3641" s="4">
        <v>62</v>
      </c>
      <c r="AN3641" s="4">
        <v>0</v>
      </c>
      <c r="AO3641" s="4">
        <v>0</v>
      </c>
      <c r="AP3641" s="4">
        <v>30</v>
      </c>
      <c r="AQ3641" s="4">
        <v>44</v>
      </c>
      <c r="AR3641" s="3" t="s">
        <v>64</v>
      </c>
      <c r="AS3641" s="3" t="s">
        <v>64</v>
      </c>
      <c r="AT3641" s="3" t="s">
        <v>128</v>
      </c>
      <c r="AU3641" s="6" t="str">
        <f>HYPERLINK("http://catalog.hathitrust.org/Record/001166648","HathiTrust Record")</f>
        <v>HathiTrust Record</v>
      </c>
      <c r="AV3641" s="6" t="str">
        <f>HYPERLINK("http://mcgill.on.worldcat.org/oclc/1626990","Catalog Record")</f>
        <v>Catalog Record</v>
      </c>
      <c r="AW3641" s="6" t="str">
        <f>HYPERLINK("http://www.worldcat.org/oclc/1626990","WorldCat Record")</f>
        <v>WorldCat Record</v>
      </c>
      <c r="AX3641" s="3" t="s">
        <v>36365</v>
      </c>
      <c r="AY3641" s="3" t="s">
        <v>36366</v>
      </c>
      <c r="AZ3641" s="3" t="s">
        <v>36367</v>
      </c>
      <c r="BA3641" s="3" t="s">
        <v>36367</v>
      </c>
      <c r="BB3641" s="3" t="s">
        <v>36370</v>
      </c>
      <c r="BC3641" s="3" t="s">
        <v>77</v>
      </c>
      <c r="BD3641" s="3" t="s">
        <v>165</v>
      </c>
      <c r="BF3641" s="3" t="s">
        <v>36370</v>
      </c>
      <c r="BG3641" s="3" t="s">
        <v>36371</v>
      </c>
      <c r="BH3641">
        <f t="shared" si="86"/>
        <v>0</v>
      </c>
    </row>
    <row r="3642" spans="1:60" ht="58" x14ac:dyDescent="0.35">
      <c r="A3642" s="2" t="s">
        <v>59</v>
      </c>
      <c r="B3642" s="2" t="s">
        <v>60</v>
      </c>
      <c r="C3642" s="2" t="s">
        <v>36372</v>
      </c>
      <c r="D3642" s="2" t="s">
        <v>36373</v>
      </c>
      <c r="E3642" s="2" t="s">
        <v>36374</v>
      </c>
      <c r="G3642" s="3" t="s">
        <v>64</v>
      </c>
      <c r="I3642" s="3" t="s">
        <v>64</v>
      </c>
      <c r="J3642" s="3" t="s">
        <v>64</v>
      </c>
      <c r="K3642" s="3" t="s">
        <v>65</v>
      </c>
      <c r="L3642" s="2" t="s">
        <v>36375</v>
      </c>
      <c r="M3642" s="2" t="s">
        <v>36376</v>
      </c>
      <c r="N3642" s="3" t="s">
        <v>578</v>
      </c>
      <c r="P3642" s="3" t="s">
        <v>102</v>
      </c>
      <c r="R3642" s="3" t="s">
        <v>70</v>
      </c>
      <c r="S3642" s="4">
        <v>0</v>
      </c>
      <c r="T3642" s="4">
        <v>0</v>
      </c>
      <c r="W3642" s="5" t="s">
        <v>72</v>
      </c>
      <c r="X3642" s="5" t="s">
        <v>72</v>
      </c>
      <c r="Y3642" s="4">
        <v>82</v>
      </c>
      <c r="Z3642" s="4">
        <v>4</v>
      </c>
      <c r="AA3642" s="4">
        <v>12</v>
      </c>
      <c r="AB3642" s="4">
        <v>1</v>
      </c>
      <c r="AC3642" s="4">
        <v>4</v>
      </c>
      <c r="AD3642" s="4">
        <v>36</v>
      </c>
      <c r="AE3642" s="4">
        <v>50</v>
      </c>
      <c r="AF3642" s="4">
        <v>0</v>
      </c>
      <c r="AG3642" s="4">
        <v>1</v>
      </c>
      <c r="AH3642" s="4">
        <v>33</v>
      </c>
      <c r="AI3642" s="4">
        <v>43</v>
      </c>
      <c r="AJ3642" s="4">
        <v>2</v>
      </c>
      <c r="AK3642" s="4">
        <v>7</v>
      </c>
      <c r="AL3642" s="4">
        <v>25</v>
      </c>
      <c r="AM3642" s="4">
        <v>33</v>
      </c>
      <c r="AN3642" s="4">
        <v>0</v>
      </c>
      <c r="AO3642" s="4">
        <v>0</v>
      </c>
      <c r="AP3642" s="4">
        <v>3</v>
      </c>
      <c r="AQ3642" s="4">
        <v>8</v>
      </c>
      <c r="AR3642" s="3" t="s">
        <v>64</v>
      </c>
      <c r="AS3642" s="3" t="s">
        <v>64</v>
      </c>
      <c r="AT3642" s="3" t="s">
        <v>64</v>
      </c>
      <c r="AV3642" s="6" t="str">
        <f>HYPERLINK("http://mcgill.on.worldcat.org/oclc/989038629","Catalog Record")</f>
        <v>Catalog Record</v>
      </c>
      <c r="AW3642" s="6" t="str">
        <f>HYPERLINK("http://www.worldcat.org/oclc/989038629","WorldCat Record")</f>
        <v>WorldCat Record</v>
      </c>
      <c r="AX3642" s="3" t="s">
        <v>36377</v>
      </c>
      <c r="AY3642" s="3" t="s">
        <v>36378</v>
      </c>
      <c r="AZ3642" s="3" t="s">
        <v>36379</v>
      </c>
      <c r="BA3642" s="3" t="s">
        <v>36379</v>
      </c>
      <c r="BB3642" s="3" t="s">
        <v>36380</v>
      </c>
      <c r="BC3642" s="3" t="s">
        <v>77</v>
      </c>
      <c r="BD3642" s="3" t="s">
        <v>78</v>
      </c>
      <c r="BE3642" s="3" t="s">
        <v>36381</v>
      </c>
      <c r="BF3642" s="3" t="s">
        <v>36380</v>
      </c>
      <c r="BG3642" s="3" t="s">
        <v>36382</v>
      </c>
      <c r="BH3642">
        <f t="shared" si="86"/>
        <v>0</v>
      </c>
    </row>
    <row r="3643" spans="1:60" ht="58" x14ac:dyDescent="0.35">
      <c r="A3643" s="2" t="s">
        <v>59</v>
      </c>
      <c r="B3643" s="2" t="s">
        <v>60</v>
      </c>
      <c r="C3643" s="2" t="s">
        <v>36383</v>
      </c>
      <c r="D3643" s="2" t="s">
        <v>36384</v>
      </c>
      <c r="E3643" s="2" t="s">
        <v>36385</v>
      </c>
      <c r="G3643" s="3" t="s">
        <v>64</v>
      </c>
      <c r="I3643" s="3" t="s">
        <v>64</v>
      </c>
      <c r="J3643" s="3" t="s">
        <v>64</v>
      </c>
      <c r="K3643" s="3" t="s">
        <v>65</v>
      </c>
      <c r="L3643" s="2" t="s">
        <v>36386</v>
      </c>
      <c r="M3643" s="2" t="s">
        <v>36387</v>
      </c>
      <c r="N3643" s="3" t="s">
        <v>1250</v>
      </c>
      <c r="P3643" s="3" t="s">
        <v>102</v>
      </c>
      <c r="R3643" s="3" t="s">
        <v>70</v>
      </c>
      <c r="S3643" s="4">
        <v>57</v>
      </c>
      <c r="T3643" s="4">
        <v>57</v>
      </c>
      <c r="U3643" s="5" t="s">
        <v>9193</v>
      </c>
      <c r="V3643" s="5" t="s">
        <v>9193</v>
      </c>
      <c r="W3643" s="5" t="s">
        <v>72</v>
      </c>
      <c r="X3643" s="5" t="s">
        <v>72</v>
      </c>
      <c r="Y3643" s="4">
        <v>1233</v>
      </c>
      <c r="Z3643" s="4">
        <v>39</v>
      </c>
      <c r="AA3643" s="4">
        <v>89</v>
      </c>
      <c r="AB3643" s="4">
        <v>4</v>
      </c>
      <c r="AC3643" s="4">
        <v>10</v>
      </c>
      <c r="AD3643" s="4">
        <v>123</v>
      </c>
      <c r="AE3643" s="4">
        <v>150</v>
      </c>
      <c r="AF3643" s="4">
        <v>2</v>
      </c>
      <c r="AG3643" s="4">
        <v>6</v>
      </c>
      <c r="AH3643" s="4">
        <v>106</v>
      </c>
      <c r="AI3643" s="4">
        <v>116</v>
      </c>
      <c r="AJ3643" s="4">
        <v>15</v>
      </c>
      <c r="AK3643" s="4">
        <v>25</v>
      </c>
      <c r="AL3643" s="4">
        <v>58</v>
      </c>
      <c r="AM3643" s="4">
        <v>61</v>
      </c>
      <c r="AN3643" s="4">
        <v>0</v>
      </c>
      <c r="AO3643" s="4">
        <v>0</v>
      </c>
      <c r="AP3643" s="4">
        <v>23</v>
      </c>
      <c r="AQ3643" s="4">
        <v>43</v>
      </c>
      <c r="AR3643" s="3" t="s">
        <v>64</v>
      </c>
      <c r="AS3643" s="3" t="s">
        <v>64</v>
      </c>
      <c r="AT3643" s="3" t="s">
        <v>64</v>
      </c>
      <c r="AV3643" s="6" t="str">
        <f>HYPERLINK("http://mcgill.on.worldcat.org/oclc/31014790","Catalog Record")</f>
        <v>Catalog Record</v>
      </c>
      <c r="AW3643" s="6" t="str">
        <f>HYPERLINK("http://www.worldcat.org/oclc/31014790","WorldCat Record")</f>
        <v>WorldCat Record</v>
      </c>
      <c r="AX3643" s="3" t="s">
        <v>36388</v>
      </c>
      <c r="AY3643" s="3" t="s">
        <v>36389</v>
      </c>
      <c r="AZ3643" s="3" t="s">
        <v>36390</v>
      </c>
      <c r="BA3643" s="3" t="s">
        <v>36390</v>
      </c>
      <c r="BB3643" s="3" t="s">
        <v>36391</v>
      </c>
      <c r="BC3643" s="3" t="s">
        <v>77</v>
      </c>
      <c r="BD3643" s="3" t="s">
        <v>78</v>
      </c>
      <c r="BE3643" s="3" t="s">
        <v>36392</v>
      </c>
      <c r="BF3643" s="3" t="s">
        <v>36391</v>
      </c>
      <c r="BG3643" s="3" t="s">
        <v>36393</v>
      </c>
      <c r="BH3643">
        <f t="shared" si="86"/>
        <v>0</v>
      </c>
    </row>
    <row r="3644" spans="1:60" ht="58" x14ac:dyDescent="0.35">
      <c r="A3644" s="2" t="s">
        <v>59</v>
      </c>
      <c r="B3644" s="2" t="s">
        <v>60</v>
      </c>
      <c r="C3644" s="2" t="s">
        <v>36394</v>
      </c>
      <c r="D3644" s="2" t="s">
        <v>36395</v>
      </c>
      <c r="E3644" s="2" t="s">
        <v>36396</v>
      </c>
      <c r="G3644" s="3" t="s">
        <v>64</v>
      </c>
      <c r="I3644" s="3" t="s">
        <v>64</v>
      </c>
      <c r="J3644" s="3" t="s">
        <v>64</v>
      </c>
      <c r="K3644" s="3" t="s">
        <v>65</v>
      </c>
      <c r="L3644" s="2" t="s">
        <v>36386</v>
      </c>
      <c r="M3644" s="2" t="s">
        <v>36397</v>
      </c>
      <c r="N3644" s="3" t="s">
        <v>291</v>
      </c>
      <c r="P3644" s="3" t="s">
        <v>102</v>
      </c>
      <c r="R3644" s="3" t="s">
        <v>70</v>
      </c>
      <c r="S3644" s="4">
        <v>8</v>
      </c>
      <c r="T3644" s="4">
        <v>8</v>
      </c>
      <c r="U3644" s="5" t="s">
        <v>9193</v>
      </c>
      <c r="V3644" s="5" t="s">
        <v>9193</v>
      </c>
      <c r="W3644" s="5" t="s">
        <v>72</v>
      </c>
      <c r="X3644" s="5" t="s">
        <v>72</v>
      </c>
      <c r="Y3644" s="4">
        <v>462</v>
      </c>
      <c r="Z3644" s="4">
        <v>20</v>
      </c>
      <c r="AA3644" s="4">
        <v>20</v>
      </c>
      <c r="AB3644" s="4">
        <v>2</v>
      </c>
      <c r="AC3644" s="4">
        <v>2</v>
      </c>
      <c r="AD3644" s="4">
        <v>69</v>
      </c>
      <c r="AE3644" s="4">
        <v>69</v>
      </c>
      <c r="AF3644" s="4">
        <v>0</v>
      </c>
      <c r="AG3644" s="4">
        <v>0</v>
      </c>
      <c r="AH3644" s="4">
        <v>65</v>
      </c>
      <c r="AI3644" s="4">
        <v>65</v>
      </c>
      <c r="AJ3644" s="4">
        <v>7</v>
      </c>
      <c r="AK3644" s="4">
        <v>7</v>
      </c>
      <c r="AL3644" s="4">
        <v>34</v>
      </c>
      <c r="AM3644" s="4">
        <v>34</v>
      </c>
      <c r="AN3644" s="4">
        <v>0</v>
      </c>
      <c r="AO3644" s="4">
        <v>0</v>
      </c>
      <c r="AP3644" s="4">
        <v>8</v>
      </c>
      <c r="AQ3644" s="4">
        <v>8</v>
      </c>
      <c r="AR3644" s="3" t="s">
        <v>64</v>
      </c>
      <c r="AS3644" s="3" t="s">
        <v>64</v>
      </c>
      <c r="AT3644" s="3" t="s">
        <v>128</v>
      </c>
      <c r="AU3644" s="6" t="str">
        <f>HYPERLINK("http://catalog.hathitrust.org/Record/005546070","HathiTrust Record")</f>
        <v>HathiTrust Record</v>
      </c>
      <c r="AV3644" s="6" t="str">
        <f>HYPERLINK("http://mcgill.on.worldcat.org/oclc/82672187","Catalog Record")</f>
        <v>Catalog Record</v>
      </c>
      <c r="AW3644" s="6" t="str">
        <f>HYPERLINK("http://www.worldcat.org/oclc/82672187","WorldCat Record")</f>
        <v>WorldCat Record</v>
      </c>
      <c r="AX3644" s="3" t="s">
        <v>36398</v>
      </c>
      <c r="AY3644" s="3" t="s">
        <v>36399</v>
      </c>
      <c r="AZ3644" s="3" t="s">
        <v>36400</v>
      </c>
      <c r="BA3644" s="3" t="s">
        <v>36400</v>
      </c>
      <c r="BB3644" s="3" t="s">
        <v>36401</v>
      </c>
      <c r="BC3644" s="3" t="s">
        <v>77</v>
      </c>
      <c r="BD3644" s="3" t="s">
        <v>78</v>
      </c>
      <c r="BE3644" s="3" t="s">
        <v>36402</v>
      </c>
      <c r="BF3644" s="3" t="s">
        <v>36401</v>
      </c>
      <c r="BG3644" s="3" t="s">
        <v>36403</v>
      </c>
      <c r="BH3644">
        <f t="shared" si="86"/>
        <v>0</v>
      </c>
    </row>
    <row r="3645" spans="1:60" ht="58" x14ac:dyDescent="0.35">
      <c r="A3645" s="2" t="s">
        <v>59</v>
      </c>
      <c r="B3645" s="2" t="s">
        <v>60</v>
      </c>
      <c r="C3645" s="2" t="s">
        <v>36404</v>
      </c>
      <c r="D3645" s="2" t="s">
        <v>36405</v>
      </c>
      <c r="E3645" s="2" t="s">
        <v>36406</v>
      </c>
      <c r="G3645" s="3" t="s">
        <v>64</v>
      </c>
      <c r="I3645" s="3" t="s">
        <v>64</v>
      </c>
      <c r="J3645" s="3" t="s">
        <v>64</v>
      </c>
      <c r="K3645" s="3" t="s">
        <v>65</v>
      </c>
      <c r="M3645" s="2" t="s">
        <v>36407</v>
      </c>
      <c r="N3645" s="3" t="s">
        <v>537</v>
      </c>
      <c r="P3645" s="3" t="s">
        <v>102</v>
      </c>
      <c r="Q3645" s="2" t="s">
        <v>36408</v>
      </c>
      <c r="R3645" s="3" t="s">
        <v>70</v>
      </c>
      <c r="S3645" s="4">
        <v>5</v>
      </c>
      <c r="T3645" s="4">
        <v>5</v>
      </c>
      <c r="U3645" s="5" t="s">
        <v>2837</v>
      </c>
      <c r="V3645" s="5" t="s">
        <v>2837</v>
      </c>
      <c r="W3645" s="5" t="s">
        <v>72</v>
      </c>
      <c r="X3645" s="5" t="s">
        <v>72</v>
      </c>
      <c r="Y3645" s="4">
        <v>146</v>
      </c>
      <c r="Z3645" s="4">
        <v>11</v>
      </c>
      <c r="AA3645" s="4">
        <v>11</v>
      </c>
      <c r="AB3645" s="4">
        <v>3</v>
      </c>
      <c r="AC3645" s="4">
        <v>3</v>
      </c>
      <c r="AD3645" s="4">
        <v>62</v>
      </c>
      <c r="AE3645" s="4">
        <v>63</v>
      </c>
      <c r="AF3645" s="4">
        <v>1</v>
      </c>
      <c r="AG3645" s="4">
        <v>1</v>
      </c>
      <c r="AH3645" s="4">
        <v>58</v>
      </c>
      <c r="AI3645" s="4">
        <v>58</v>
      </c>
      <c r="AJ3645" s="4">
        <v>8</v>
      </c>
      <c r="AK3645" s="4">
        <v>8</v>
      </c>
      <c r="AL3645" s="4">
        <v>38</v>
      </c>
      <c r="AM3645" s="4">
        <v>39</v>
      </c>
      <c r="AN3645" s="4">
        <v>0</v>
      </c>
      <c r="AO3645" s="4">
        <v>0</v>
      </c>
      <c r="AP3645" s="4">
        <v>8</v>
      </c>
      <c r="AQ3645" s="4">
        <v>8</v>
      </c>
      <c r="AR3645" s="3" t="s">
        <v>64</v>
      </c>
      <c r="AS3645" s="3" t="s">
        <v>64</v>
      </c>
      <c r="AT3645" s="3" t="s">
        <v>64</v>
      </c>
      <c r="AV3645" s="6" t="str">
        <f>HYPERLINK("http://mcgill.on.worldcat.org/oclc/945564421","Catalog Record")</f>
        <v>Catalog Record</v>
      </c>
      <c r="AW3645" s="6" t="str">
        <f>HYPERLINK("http://www.worldcat.org/oclc/945564421","WorldCat Record")</f>
        <v>WorldCat Record</v>
      </c>
      <c r="AX3645" s="3" t="s">
        <v>36409</v>
      </c>
      <c r="AY3645" s="3" t="s">
        <v>36410</v>
      </c>
      <c r="AZ3645" s="3" t="s">
        <v>36411</v>
      </c>
      <c r="BA3645" s="3" t="s">
        <v>36411</v>
      </c>
      <c r="BB3645" s="3" t="s">
        <v>36412</v>
      </c>
      <c r="BC3645" s="3" t="s">
        <v>77</v>
      </c>
      <c r="BD3645" s="3" t="s">
        <v>165</v>
      </c>
      <c r="BE3645" s="3" t="s">
        <v>36413</v>
      </c>
      <c r="BF3645" s="3" t="s">
        <v>36412</v>
      </c>
      <c r="BG3645" s="3" t="s">
        <v>36414</v>
      </c>
      <c r="BH3645">
        <f t="shared" si="86"/>
        <v>0</v>
      </c>
    </row>
    <row r="3646" spans="1:60" ht="58" x14ac:dyDescent="0.35">
      <c r="A3646" s="2" t="s">
        <v>59</v>
      </c>
      <c r="B3646" s="2" t="s">
        <v>60</v>
      </c>
      <c r="C3646" s="2" t="s">
        <v>36415</v>
      </c>
      <c r="D3646" s="2" t="s">
        <v>36416</v>
      </c>
      <c r="E3646" s="2" t="s">
        <v>36417</v>
      </c>
      <c r="G3646" s="3" t="s">
        <v>64</v>
      </c>
      <c r="I3646" s="3" t="s">
        <v>64</v>
      </c>
      <c r="J3646" s="3" t="s">
        <v>128</v>
      </c>
      <c r="K3646" s="3" t="s">
        <v>65</v>
      </c>
      <c r="L3646" s="2" t="s">
        <v>36418</v>
      </c>
      <c r="M3646" s="2" t="s">
        <v>36419</v>
      </c>
      <c r="N3646" s="3" t="s">
        <v>86</v>
      </c>
      <c r="P3646" s="3" t="s">
        <v>102</v>
      </c>
      <c r="R3646" s="3" t="s">
        <v>70</v>
      </c>
      <c r="S3646" s="4">
        <v>17</v>
      </c>
      <c r="T3646" s="4">
        <v>17</v>
      </c>
      <c r="U3646" s="5" t="s">
        <v>12939</v>
      </c>
      <c r="V3646" s="5" t="s">
        <v>12939</v>
      </c>
      <c r="W3646" s="5" t="s">
        <v>72</v>
      </c>
      <c r="X3646" s="5" t="s">
        <v>72</v>
      </c>
      <c r="Y3646" s="4">
        <v>52</v>
      </c>
      <c r="Z3646" s="4">
        <v>4</v>
      </c>
      <c r="AA3646" s="4">
        <v>45</v>
      </c>
      <c r="AB3646" s="4">
        <v>2</v>
      </c>
      <c r="AC3646" s="4">
        <v>7</v>
      </c>
      <c r="AD3646" s="4">
        <v>2</v>
      </c>
      <c r="AE3646" s="4">
        <v>67</v>
      </c>
      <c r="AF3646" s="4">
        <v>0</v>
      </c>
      <c r="AG3646" s="4">
        <v>0</v>
      </c>
      <c r="AH3646" s="4">
        <v>1</v>
      </c>
      <c r="AI3646" s="4">
        <v>60</v>
      </c>
      <c r="AJ3646" s="4">
        <v>0</v>
      </c>
      <c r="AK3646" s="4">
        <v>10</v>
      </c>
      <c r="AL3646" s="4">
        <v>1</v>
      </c>
      <c r="AM3646" s="4">
        <v>35</v>
      </c>
      <c r="AN3646" s="4">
        <v>0</v>
      </c>
      <c r="AO3646" s="4">
        <v>0</v>
      </c>
      <c r="AP3646" s="4">
        <v>1</v>
      </c>
      <c r="AQ3646" s="4">
        <v>14</v>
      </c>
      <c r="AR3646" s="3" t="s">
        <v>64</v>
      </c>
      <c r="AS3646" s="3" t="s">
        <v>64</v>
      </c>
      <c r="AT3646" s="3" t="s">
        <v>64</v>
      </c>
      <c r="AV3646" s="6" t="str">
        <f>HYPERLINK("http://mcgill.on.worldcat.org/oclc/772967967","Catalog Record")</f>
        <v>Catalog Record</v>
      </c>
      <c r="AW3646" s="6" t="str">
        <f>HYPERLINK("http://www.worldcat.org/oclc/772967967","WorldCat Record")</f>
        <v>WorldCat Record</v>
      </c>
      <c r="AX3646" s="3" t="s">
        <v>36420</v>
      </c>
      <c r="AY3646" s="3" t="s">
        <v>36421</v>
      </c>
      <c r="AZ3646" s="3" t="s">
        <v>36422</v>
      </c>
      <c r="BA3646" s="3" t="s">
        <v>36422</v>
      </c>
      <c r="BB3646" s="3" t="s">
        <v>36423</v>
      </c>
      <c r="BC3646" s="3" t="s">
        <v>77</v>
      </c>
      <c r="BD3646" s="3" t="s">
        <v>165</v>
      </c>
      <c r="BE3646" s="3" t="s">
        <v>36424</v>
      </c>
      <c r="BF3646" s="3" t="s">
        <v>36423</v>
      </c>
      <c r="BG3646" s="3" t="s">
        <v>36425</v>
      </c>
      <c r="BH3646">
        <f t="shared" si="86"/>
        <v>0</v>
      </c>
    </row>
    <row r="3647" spans="1:60" ht="72.5" x14ac:dyDescent="0.35">
      <c r="A3647" s="2" t="s">
        <v>59</v>
      </c>
      <c r="B3647" s="2" t="s">
        <v>60</v>
      </c>
      <c r="C3647" s="2" t="s">
        <v>36426</v>
      </c>
      <c r="D3647" s="2" t="s">
        <v>36427</v>
      </c>
      <c r="E3647" s="2" t="s">
        <v>36428</v>
      </c>
      <c r="G3647" s="3" t="s">
        <v>64</v>
      </c>
      <c r="I3647" s="3" t="s">
        <v>64</v>
      </c>
      <c r="J3647" s="3" t="s">
        <v>128</v>
      </c>
      <c r="K3647" s="3" t="s">
        <v>65</v>
      </c>
      <c r="L3647" s="2" t="s">
        <v>36429</v>
      </c>
      <c r="M3647" s="2" t="s">
        <v>36430</v>
      </c>
      <c r="N3647" s="3" t="s">
        <v>36431</v>
      </c>
      <c r="O3647" s="2" t="s">
        <v>36432</v>
      </c>
      <c r="P3647" s="3" t="s">
        <v>102</v>
      </c>
      <c r="R3647" s="3" t="s">
        <v>70</v>
      </c>
      <c r="S3647" s="4">
        <v>1</v>
      </c>
      <c r="T3647" s="4">
        <v>1</v>
      </c>
      <c r="U3647" s="5" t="s">
        <v>36433</v>
      </c>
      <c r="V3647" s="5" t="s">
        <v>36433</v>
      </c>
      <c r="W3647" s="5" t="s">
        <v>72</v>
      </c>
      <c r="X3647" s="5" t="s">
        <v>72</v>
      </c>
      <c r="Y3647" s="4">
        <v>37</v>
      </c>
      <c r="Z3647" s="4">
        <v>3</v>
      </c>
      <c r="AA3647" s="4">
        <v>15</v>
      </c>
      <c r="AB3647" s="4">
        <v>1</v>
      </c>
      <c r="AC3647" s="4">
        <v>2</v>
      </c>
      <c r="AD3647" s="4">
        <v>11</v>
      </c>
      <c r="AE3647" s="4">
        <v>52</v>
      </c>
      <c r="AF3647" s="4">
        <v>0</v>
      </c>
      <c r="AG3647" s="4">
        <v>1</v>
      </c>
      <c r="AH3647" s="4">
        <v>10</v>
      </c>
      <c r="AI3647" s="4">
        <v>47</v>
      </c>
      <c r="AJ3647" s="4">
        <v>2</v>
      </c>
      <c r="AK3647" s="4">
        <v>7</v>
      </c>
      <c r="AL3647" s="4">
        <v>5</v>
      </c>
      <c r="AM3647" s="4">
        <v>28</v>
      </c>
      <c r="AN3647" s="4">
        <v>0</v>
      </c>
      <c r="AO3647" s="4">
        <v>4</v>
      </c>
      <c r="AP3647" s="4">
        <v>2</v>
      </c>
      <c r="AQ3647" s="4">
        <v>7</v>
      </c>
      <c r="AR3647" s="3" t="s">
        <v>64</v>
      </c>
      <c r="AS3647" s="3" t="s">
        <v>128</v>
      </c>
      <c r="AT3647" s="3" t="s">
        <v>64</v>
      </c>
      <c r="AU3647" s="6" t="str">
        <f>HYPERLINK("http://catalog.hathitrust.org/Record/000623581","HathiTrust Record")</f>
        <v>HathiTrust Record</v>
      </c>
      <c r="AV3647" s="6" t="str">
        <f>HYPERLINK("http://mcgill.on.worldcat.org/oclc/4900355","Catalog Record")</f>
        <v>Catalog Record</v>
      </c>
      <c r="AW3647" s="6" t="str">
        <f>HYPERLINK("http://www.worldcat.org/oclc/4900355","WorldCat Record")</f>
        <v>WorldCat Record</v>
      </c>
      <c r="AX3647" s="3" t="s">
        <v>36434</v>
      </c>
      <c r="AY3647" s="3" t="s">
        <v>36435</v>
      </c>
      <c r="AZ3647" s="3" t="s">
        <v>36436</v>
      </c>
      <c r="BA3647" s="3" t="s">
        <v>36436</v>
      </c>
      <c r="BB3647" s="3" t="s">
        <v>36437</v>
      </c>
      <c r="BC3647" s="3" t="s">
        <v>77</v>
      </c>
      <c r="BD3647" s="3" t="s">
        <v>78</v>
      </c>
      <c r="BF3647" s="3" t="s">
        <v>36437</v>
      </c>
      <c r="BG3647" s="3" t="s">
        <v>36438</v>
      </c>
      <c r="BH3647">
        <f t="shared" si="86"/>
        <v>0</v>
      </c>
    </row>
    <row r="3648" spans="1:60" ht="58" x14ac:dyDescent="0.35">
      <c r="A3648" s="2" t="s">
        <v>59</v>
      </c>
      <c r="B3648" s="2" t="s">
        <v>60</v>
      </c>
      <c r="C3648" s="2" t="s">
        <v>36439</v>
      </c>
      <c r="D3648" s="2" t="s">
        <v>36440</v>
      </c>
      <c r="E3648" s="2" t="s">
        <v>36441</v>
      </c>
      <c r="G3648" s="3" t="s">
        <v>64</v>
      </c>
      <c r="I3648" s="3" t="s">
        <v>64</v>
      </c>
      <c r="J3648" s="3" t="s">
        <v>64</v>
      </c>
      <c r="K3648" s="3" t="s">
        <v>65</v>
      </c>
      <c r="L3648" s="2" t="s">
        <v>36429</v>
      </c>
      <c r="M3648" s="2" t="s">
        <v>36442</v>
      </c>
      <c r="N3648" s="3" t="s">
        <v>7992</v>
      </c>
      <c r="P3648" s="3" t="s">
        <v>102</v>
      </c>
      <c r="Q3648" s="2" t="s">
        <v>36443</v>
      </c>
      <c r="R3648" s="3" t="s">
        <v>70</v>
      </c>
      <c r="S3648" s="4">
        <v>2</v>
      </c>
      <c r="T3648" s="4">
        <v>2</v>
      </c>
      <c r="U3648" s="5" t="s">
        <v>36433</v>
      </c>
      <c r="V3648" s="5" t="s">
        <v>36433</v>
      </c>
      <c r="W3648" s="5" t="s">
        <v>72</v>
      </c>
      <c r="X3648" s="5" t="s">
        <v>72</v>
      </c>
      <c r="Y3648" s="4">
        <v>1</v>
      </c>
      <c r="Z3648" s="4">
        <v>1</v>
      </c>
      <c r="AA3648" s="4">
        <v>2</v>
      </c>
      <c r="AB3648" s="4">
        <v>1</v>
      </c>
      <c r="AC3648" s="4">
        <v>1</v>
      </c>
      <c r="AD3648" s="4">
        <v>0</v>
      </c>
      <c r="AE3648" s="4">
        <v>6</v>
      </c>
      <c r="AF3648" s="4">
        <v>0</v>
      </c>
      <c r="AG3648" s="4">
        <v>0</v>
      </c>
      <c r="AH3648" s="4">
        <v>0</v>
      </c>
      <c r="AI3648" s="4">
        <v>6</v>
      </c>
      <c r="AJ3648" s="4">
        <v>0</v>
      </c>
      <c r="AK3648" s="4">
        <v>1</v>
      </c>
      <c r="AL3648" s="4">
        <v>0</v>
      </c>
      <c r="AM3648" s="4">
        <v>2</v>
      </c>
      <c r="AN3648" s="4">
        <v>0</v>
      </c>
      <c r="AO3648" s="4">
        <v>0</v>
      </c>
      <c r="AP3648" s="4">
        <v>0</v>
      </c>
      <c r="AQ3648" s="4">
        <v>1</v>
      </c>
      <c r="AR3648" s="3" t="s">
        <v>64</v>
      </c>
      <c r="AS3648" s="3" t="s">
        <v>64</v>
      </c>
      <c r="AT3648" s="3" t="s">
        <v>64</v>
      </c>
      <c r="AV3648" s="6" t="str">
        <f>HYPERLINK("http://mcgill.on.worldcat.org/oclc/427563357","Catalog Record")</f>
        <v>Catalog Record</v>
      </c>
      <c r="AW3648" s="6" t="str">
        <f>HYPERLINK("http://www.worldcat.org/oclc/427563357","WorldCat Record")</f>
        <v>WorldCat Record</v>
      </c>
      <c r="AX3648" s="3" t="s">
        <v>36444</v>
      </c>
      <c r="AY3648" s="3" t="s">
        <v>36445</v>
      </c>
      <c r="AZ3648" s="3" t="s">
        <v>36446</v>
      </c>
      <c r="BA3648" s="3" t="s">
        <v>36446</v>
      </c>
      <c r="BB3648" s="3" t="s">
        <v>36447</v>
      </c>
      <c r="BC3648" s="3" t="s">
        <v>77</v>
      </c>
      <c r="BD3648" s="3" t="s">
        <v>78</v>
      </c>
      <c r="BF3648" s="3" t="s">
        <v>36447</v>
      </c>
      <c r="BG3648" s="3" t="s">
        <v>36448</v>
      </c>
      <c r="BH3648">
        <f t="shared" si="86"/>
        <v>0</v>
      </c>
    </row>
    <row r="3649" spans="1:60" ht="72.5" x14ac:dyDescent="0.35">
      <c r="A3649" s="2" t="s">
        <v>59</v>
      </c>
      <c r="B3649" s="2" t="s">
        <v>60</v>
      </c>
      <c r="C3649" s="2" t="s">
        <v>36449</v>
      </c>
      <c r="D3649" s="2" t="s">
        <v>36450</v>
      </c>
      <c r="E3649" s="2" t="s">
        <v>36451</v>
      </c>
      <c r="G3649" s="3" t="s">
        <v>64</v>
      </c>
      <c r="I3649" s="3" t="s">
        <v>64</v>
      </c>
      <c r="J3649" s="3" t="s">
        <v>128</v>
      </c>
      <c r="K3649" s="3" t="s">
        <v>65</v>
      </c>
      <c r="L3649" s="2" t="s">
        <v>36452</v>
      </c>
      <c r="M3649" s="2" t="s">
        <v>36453</v>
      </c>
      <c r="N3649" s="3" t="s">
        <v>326</v>
      </c>
      <c r="P3649" s="3" t="s">
        <v>102</v>
      </c>
      <c r="R3649" s="3" t="s">
        <v>70</v>
      </c>
      <c r="S3649" s="4">
        <v>7</v>
      </c>
      <c r="T3649" s="4">
        <v>7</v>
      </c>
      <c r="U3649" s="5" t="s">
        <v>71</v>
      </c>
      <c r="V3649" s="5" t="s">
        <v>71</v>
      </c>
      <c r="W3649" s="5" t="s">
        <v>72</v>
      </c>
      <c r="X3649" s="5" t="s">
        <v>72</v>
      </c>
      <c r="Y3649" s="4">
        <v>146</v>
      </c>
      <c r="Z3649" s="4">
        <v>18</v>
      </c>
      <c r="AA3649" s="4">
        <v>45</v>
      </c>
      <c r="AB3649" s="4">
        <v>5</v>
      </c>
      <c r="AC3649" s="4">
        <v>7</v>
      </c>
      <c r="AD3649" s="4">
        <v>34</v>
      </c>
      <c r="AE3649" s="4">
        <v>67</v>
      </c>
      <c r="AF3649" s="4">
        <v>0</v>
      </c>
      <c r="AG3649" s="4">
        <v>0</v>
      </c>
      <c r="AH3649" s="4">
        <v>32</v>
      </c>
      <c r="AI3649" s="4">
        <v>60</v>
      </c>
      <c r="AJ3649" s="4">
        <v>5</v>
      </c>
      <c r="AK3649" s="4">
        <v>10</v>
      </c>
      <c r="AL3649" s="4">
        <v>22</v>
      </c>
      <c r="AM3649" s="4">
        <v>35</v>
      </c>
      <c r="AN3649" s="4">
        <v>0</v>
      </c>
      <c r="AO3649" s="4">
        <v>0</v>
      </c>
      <c r="AP3649" s="4">
        <v>6</v>
      </c>
      <c r="AQ3649" s="4">
        <v>14</v>
      </c>
      <c r="AR3649" s="3" t="s">
        <v>64</v>
      </c>
      <c r="AS3649" s="3" t="s">
        <v>64</v>
      </c>
      <c r="AT3649" s="3" t="s">
        <v>64</v>
      </c>
      <c r="AV3649" s="6" t="str">
        <f>HYPERLINK("http://mcgill.on.worldcat.org/oclc/670473737","Catalog Record")</f>
        <v>Catalog Record</v>
      </c>
      <c r="AW3649" s="6" t="str">
        <f>HYPERLINK("http://www.worldcat.org/oclc/670473737","WorldCat Record")</f>
        <v>WorldCat Record</v>
      </c>
      <c r="AX3649" s="3" t="s">
        <v>36420</v>
      </c>
      <c r="AY3649" s="3" t="s">
        <v>36454</v>
      </c>
      <c r="AZ3649" s="3" t="s">
        <v>36455</v>
      </c>
      <c r="BA3649" s="3" t="s">
        <v>36455</v>
      </c>
      <c r="BB3649" s="3" t="s">
        <v>36456</v>
      </c>
      <c r="BC3649" s="3" t="s">
        <v>77</v>
      </c>
      <c r="BD3649" s="3" t="s">
        <v>78</v>
      </c>
      <c r="BE3649" s="3" t="s">
        <v>36457</v>
      </c>
      <c r="BF3649" s="3" t="s">
        <v>36456</v>
      </c>
      <c r="BG3649" s="3" t="s">
        <v>36458</v>
      </c>
      <c r="BH3649">
        <f t="shared" si="86"/>
        <v>0</v>
      </c>
    </row>
    <row r="3650" spans="1:60" ht="58" x14ac:dyDescent="0.35">
      <c r="A3650" s="2" t="s">
        <v>59</v>
      </c>
      <c r="B3650" s="2" t="s">
        <v>60</v>
      </c>
      <c r="C3650" s="2" t="s">
        <v>36459</v>
      </c>
      <c r="D3650" s="2" t="s">
        <v>36460</v>
      </c>
      <c r="E3650" s="2" t="s">
        <v>36461</v>
      </c>
      <c r="G3650" s="3" t="s">
        <v>64</v>
      </c>
      <c r="I3650" s="3" t="s">
        <v>64</v>
      </c>
      <c r="J3650" s="3" t="s">
        <v>64</v>
      </c>
      <c r="K3650" s="3" t="s">
        <v>65</v>
      </c>
      <c r="L3650" s="2" t="s">
        <v>36462</v>
      </c>
      <c r="M3650" s="2" t="s">
        <v>36463</v>
      </c>
      <c r="N3650" s="3" t="s">
        <v>434</v>
      </c>
      <c r="P3650" s="3" t="s">
        <v>102</v>
      </c>
      <c r="R3650" s="3" t="s">
        <v>70</v>
      </c>
      <c r="S3650" s="4">
        <v>19</v>
      </c>
      <c r="T3650" s="4">
        <v>19</v>
      </c>
      <c r="U3650" s="5" t="s">
        <v>10329</v>
      </c>
      <c r="V3650" s="5" t="s">
        <v>10329</v>
      </c>
      <c r="W3650" s="5" t="s">
        <v>72</v>
      </c>
      <c r="X3650" s="5" t="s">
        <v>72</v>
      </c>
      <c r="Y3650" s="4">
        <v>217</v>
      </c>
      <c r="Z3650" s="4">
        <v>20</v>
      </c>
      <c r="AA3650" s="4">
        <v>21</v>
      </c>
      <c r="AB3650" s="4">
        <v>1</v>
      </c>
      <c r="AC3650" s="4">
        <v>2</v>
      </c>
      <c r="AD3650" s="4">
        <v>79</v>
      </c>
      <c r="AE3650" s="4">
        <v>80</v>
      </c>
      <c r="AF3650" s="4">
        <v>0</v>
      </c>
      <c r="AG3650" s="4">
        <v>1</v>
      </c>
      <c r="AH3650" s="4">
        <v>70</v>
      </c>
      <c r="AI3650" s="4">
        <v>71</v>
      </c>
      <c r="AJ3650" s="4">
        <v>10</v>
      </c>
      <c r="AK3650" s="4">
        <v>11</v>
      </c>
      <c r="AL3650" s="4">
        <v>42</v>
      </c>
      <c r="AM3650" s="4">
        <v>42</v>
      </c>
      <c r="AN3650" s="4">
        <v>0</v>
      </c>
      <c r="AO3650" s="4">
        <v>0</v>
      </c>
      <c r="AP3650" s="4">
        <v>13</v>
      </c>
      <c r="AQ3650" s="4">
        <v>14</v>
      </c>
      <c r="AR3650" s="3" t="s">
        <v>64</v>
      </c>
      <c r="AS3650" s="3" t="s">
        <v>64</v>
      </c>
      <c r="AT3650" s="3" t="s">
        <v>64</v>
      </c>
      <c r="AV3650" s="6" t="str">
        <f>HYPERLINK("http://mcgill.on.worldcat.org/oclc/60842350","Catalog Record")</f>
        <v>Catalog Record</v>
      </c>
      <c r="AW3650" s="6" t="str">
        <f>HYPERLINK("http://www.worldcat.org/oclc/60842350","WorldCat Record")</f>
        <v>WorldCat Record</v>
      </c>
      <c r="AX3650" s="3" t="s">
        <v>36464</v>
      </c>
      <c r="AY3650" s="3" t="s">
        <v>36465</v>
      </c>
      <c r="AZ3650" s="3" t="s">
        <v>36466</v>
      </c>
      <c r="BA3650" s="3" t="s">
        <v>36466</v>
      </c>
      <c r="BB3650" s="3" t="s">
        <v>36467</v>
      </c>
      <c r="BC3650" s="3" t="s">
        <v>77</v>
      </c>
      <c r="BD3650" s="3" t="s">
        <v>78</v>
      </c>
      <c r="BE3650" s="3" t="s">
        <v>36468</v>
      </c>
      <c r="BF3650" s="3" t="s">
        <v>36467</v>
      </c>
      <c r="BG3650" s="3" t="s">
        <v>36469</v>
      </c>
      <c r="BH3650">
        <f t="shared" ref="BH3650:BH3713" si="87">IF(COUNTIF($BF$1:$BF$5431,BF3650)=1,0,1)</f>
        <v>0</v>
      </c>
    </row>
    <row r="3651" spans="1:60" ht="58" x14ac:dyDescent="0.35">
      <c r="A3651" s="2" t="s">
        <v>59</v>
      </c>
      <c r="B3651" s="2" t="s">
        <v>60</v>
      </c>
      <c r="C3651" s="2" t="s">
        <v>36470</v>
      </c>
      <c r="D3651" s="2" t="s">
        <v>36471</v>
      </c>
      <c r="E3651" s="2" t="s">
        <v>36472</v>
      </c>
      <c r="G3651" s="3" t="s">
        <v>64</v>
      </c>
      <c r="I3651" s="3" t="s">
        <v>64</v>
      </c>
      <c r="J3651" s="3" t="s">
        <v>64</v>
      </c>
      <c r="K3651" s="3" t="s">
        <v>65</v>
      </c>
      <c r="L3651" s="2" t="s">
        <v>36473</v>
      </c>
      <c r="M3651" s="2" t="s">
        <v>36474</v>
      </c>
      <c r="N3651" s="3" t="s">
        <v>537</v>
      </c>
      <c r="O3651" s="2" t="s">
        <v>117</v>
      </c>
      <c r="P3651" s="3" t="s">
        <v>102</v>
      </c>
      <c r="Q3651" s="2" t="s">
        <v>36475</v>
      </c>
      <c r="R3651" s="3" t="s">
        <v>70</v>
      </c>
      <c r="S3651" s="4">
        <v>1</v>
      </c>
      <c r="T3651" s="4">
        <v>1</v>
      </c>
      <c r="U3651" s="5" t="s">
        <v>12179</v>
      </c>
      <c r="V3651" s="5" t="s">
        <v>12179</v>
      </c>
      <c r="W3651" s="5" t="s">
        <v>72</v>
      </c>
      <c r="X3651" s="5" t="s">
        <v>72</v>
      </c>
      <c r="Y3651" s="4">
        <v>97</v>
      </c>
      <c r="Z3651" s="4">
        <v>44</v>
      </c>
      <c r="AA3651" s="4">
        <v>109</v>
      </c>
      <c r="AB3651" s="4">
        <v>2</v>
      </c>
      <c r="AC3651" s="4">
        <v>17</v>
      </c>
      <c r="AD3651" s="4">
        <v>36</v>
      </c>
      <c r="AE3651" s="4">
        <v>111</v>
      </c>
      <c r="AF3651" s="4">
        <v>0</v>
      </c>
      <c r="AG3651" s="4">
        <v>8</v>
      </c>
      <c r="AH3651" s="4">
        <v>23</v>
      </c>
      <c r="AI3651" s="4">
        <v>70</v>
      </c>
      <c r="AJ3651" s="4">
        <v>12</v>
      </c>
      <c r="AK3651" s="4">
        <v>24</v>
      </c>
      <c r="AL3651" s="4">
        <v>16</v>
      </c>
      <c r="AM3651" s="4">
        <v>35</v>
      </c>
      <c r="AN3651" s="4">
        <v>0</v>
      </c>
      <c r="AO3651" s="4">
        <v>0</v>
      </c>
      <c r="AP3651" s="4">
        <v>18</v>
      </c>
      <c r="AQ3651" s="4">
        <v>48</v>
      </c>
      <c r="AR3651" s="3" t="s">
        <v>128</v>
      </c>
      <c r="AS3651" s="3" t="s">
        <v>64</v>
      </c>
      <c r="AT3651" s="3" t="s">
        <v>64</v>
      </c>
      <c r="AV3651" s="6" t="str">
        <f>HYPERLINK("http://mcgill.on.worldcat.org/oclc/919683220","Catalog Record")</f>
        <v>Catalog Record</v>
      </c>
      <c r="AW3651" s="6" t="str">
        <f>HYPERLINK("http://www.worldcat.org/oclc/919683220","WorldCat Record")</f>
        <v>WorldCat Record</v>
      </c>
      <c r="AX3651" s="3" t="s">
        <v>36476</v>
      </c>
      <c r="AY3651" s="3" t="s">
        <v>36477</v>
      </c>
      <c r="AZ3651" s="3" t="s">
        <v>36478</v>
      </c>
      <c r="BA3651" s="3" t="s">
        <v>36478</v>
      </c>
      <c r="BB3651" s="3" t="s">
        <v>36479</v>
      </c>
      <c r="BC3651" s="3" t="s">
        <v>77</v>
      </c>
      <c r="BD3651" s="3" t="s">
        <v>78</v>
      </c>
      <c r="BE3651" s="3" t="s">
        <v>36480</v>
      </c>
      <c r="BF3651" s="3" t="s">
        <v>36479</v>
      </c>
      <c r="BG3651" s="3" t="s">
        <v>36481</v>
      </c>
      <c r="BH3651">
        <f t="shared" si="87"/>
        <v>0</v>
      </c>
    </row>
    <row r="3652" spans="1:60" ht="58" x14ac:dyDescent="0.35">
      <c r="A3652" s="2" t="s">
        <v>59</v>
      </c>
      <c r="B3652" s="2" t="s">
        <v>60</v>
      </c>
      <c r="C3652" s="2" t="s">
        <v>36482</v>
      </c>
      <c r="D3652" s="2" t="s">
        <v>36483</v>
      </c>
      <c r="E3652" s="2" t="s">
        <v>36484</v>
      </c>
      <c r="G3652" s="3" t="s">
        <v>64</v>
      </c>
      <c r="I3652" s="3" t="s">
        <v>64</v>
      </c>
      <c r="J3652" s="3" t="s">
        <v>64</v>
      </c>
      <c r="K3652" s="3" t="s">
        <v>65</v>
      </c>
      <c r="L3652" s="2" t="s">
        <v>36485</v>
      </c>
      <c r="M3652" s="2" t="s">
        <v>36486</v>
      </c>
      <c r="N3652" s="3" t="s">
        <v>7992</v>
      </c>
      <c r="P3652" s="3" t="s">
        <v>102</v>
      </c>
      <c r="R3652" s="3" t="s">
        <v>70</v>
      </c>
      <c r="S3652" s="4">
        <v>5</v>
      </c>
      <c r="T3652" s="4">
        <v>5</v>
      </c>
      <c r="U3652" s="5" t="s">
        <v>12865</v>
      </c>
      <c r="V3652" s="5" t="s">
        <v>12865</v>
      </c>
      <c r="W3652" s="5" t="s">
        <v>72</v>
      </c>
      <c r="X3652" s="5" t="s">
        <v>72</v>
      </c>
      <c r="Y3652" s="4">
        <v>16</v>
      </c>
      <c r="Z3652" s="4">
        <v>1</v>
      </c>
      <c r="AA3652" s="4">
        <v>1</v>
      </c>
      <c r="AB3652" s="4">
        <v>1</v>
      </c>
      <c r="AC3652" s="4">
        <v>1</v>
      </c>
      <c r="AD3652" s="4">
        <v>8</v>
      </c>
      <c r="AE3652" s="4">
        <v>8</v>
      </c>
      <c r="AF3652" s="4">
        <v>0</v>
      </c>
      <c r="AG3652" s="4">
        <v>0</v>
      </c>
      <c r="AH3652" s="4">
        <v>6</v>
      </c>
      <c r="AI3652" s="4">
        <v>6</v>
      </c>
      <c r="AJ3652" s="4">
        <v>0</v>
      </c>
      <c r="AK3652" s="4">
        <v>0</v>
      </c>
      <c r="AL3652" s="4">
        <v>6</v>
      </c>
      <c r="AM3652" s="4">
        <v>6</v>
      </c>
      <c r="AN3652" s="4">
        <v>0</v>
      </c>
      <c r="AO3652" s="4">
        <v>0</v>
      </c>
      <c r="AP3652" s="4">
        <v>0</v>
      </c>
      <c r="AQ3652" s="4">
        <v>0</v>
      </c>
      <c r="AR3652" s="3" t="s">
        <v>64</v>
      </c>
      <c r="AS3652" s="3" t="s">
        <v>64</v>
      </c>
      <c r="AT3652" s="3" t="s">
        <v>64</v>
      </c>
      <c r="AV3652" s="6" t="str">
        <f>HYPERLINK("http://mcgill.on.worldcat.org/oclc/12072508","Catalog Record")</f>
        <v>Catalog Record</v>
      </c>
      <c r="AW3652" s="6" t="str">
        <f>HYPERLINK("http://www.worldcat.org/oclc/12072508","WorldCat Record")</f>
        <v>WorldCat Record</v>
      </c>
      <c r="AX3652" s="3" t="s">
        <v>36487</v>
      </c>
      <c r="AY3652" s="3" t="s">
        <v>36488</v>
      </c>
      <c r="AZ3652" s="3" t="s">
        <v>36489</v>
      </c>
      <c r="BA3652" s="3" t="s">
        <v>36489</v>
      </c>
      <c r="BB3652" s="3" t="s">
        <v>36490</v>
      </c>
      <c r="BC3652" s="3" t="s">
        <v>77</v>
      </c>
      <c r="BD3652" s="3" t="s">
        <v>78</v>
      </c>
      <c r="BF3652" s="3" t="s">
        <v>36490</v>
      </c>
      <c r="BG3652" s="3" t="s">
        <v>36491</v>
      </c>
      <c r="BH3652">
        <f t="shared" si="87"/>
        <v>0</v>
      </c>
    </row>
    <row r="3653" spans="1:60" ht="58" x14ac:dyDescent="0.35">
      <c r="A3653" s="2" t="s">
        <v>59</v>
      </c>
      <c r="B3653" s="2" t="s">
        <v>60</v>
      </c>
      <c r="C3653" s="2" t="s">
        <v>36492</v>
      </c>
      <c r="D3653" s="2" t="s">
        <v>36493</v>
      </c>
      <c r="E3653" s="2" t="s">
        <v>36494</v>
      </c>
      <c r="G3653" s="3" t="s">
        <v>64</v>
      </c>
      <c r="I3653" s="3" t="s">
        <v>64</v>
      </c>
      <c r="J3653" s="3" t="s">
        <v>64</v>
      </c>
      <c r="K3653" s="3" t="s">
        <v>65</v>
      </c>
      <c r="L3653" s="2" t="s">
        <v>36495</v>
      </c>
      <c r="M3653" s="2" t="s">
        <v>36496</v>
      </c>
      <c r="N3653" s="3" t="s">
        <v>291</v>
      </c>
      <c r="O3653" s="2" t="s">
        <v>36497</v>
      </c>
      <c r="P3653" s="3" t="s">
        <v>102</v>
      </c>
      <c r="R3653" s="3" t="s">
        <v>70</v>
      </c>
      <c r="S3653" s="4">
        <v>9</v>
      </c>
      <c r="T3653" s="4">
        <v>9</v>
      </c>
      <c r="U3653" s="5" t="s">
        <v>36498</v>
      </c>
      <c r="V3653" s="5" t="s">
        <v>36498</v>
      </c>
      <c r="W3653" s="5" t="s">
        <v>72</v>
      </c>
      <c r="X3653" s="5" t="s">
        <v>72</v>
      </c>
      <c r="Y3653" s="4">
        <v>41</v>
      </c>
      <c r="Z3653" s="4">
        <v>1</v>
      </c>
      <c r="AA3653" s="4">
        <v>16</v>
      </c>
      <c r="AB3653" s="4">
        <v>1</v>
      </c>
      <c r="AC3653" s="4">
        <v>3</v>
      </c>
      <c r="AD3653" s="4">
        <v>3</v>
      </c>
      <c r="AE3653" s="4">
        <v>53</v>
      </c>
      <c r="AF3653" s="4">
        <v>0</v>
      </c>
      <c r="AG3653" s="4">
        <v>0</v>
      </c>
      <c r="AH3653" s="4">
        <v>3</v>
      </c>
      <c r="AI3653" s="4">
        <v>51</v>
      </c>
      <c r="AJ3653" s="4">
        <v>0</v>
      </c>
      <c r="AK3653" s="4">
        <v>2</v>
      </c>
      <c r="AL3653" s="4">
        <v>2</v>
      </c>
      <c r="AM3653" s="4">
        <v>34</v>
      </c>
      <c r="AN3653" s="4">
        <v>0</v>
      </c>
      <c r="AO3653" s="4">
        <v>0</v>
      </c>
      <c r="AP3653" s="4">
        <v>0</v>
      </c>
      <c r="AQ3653" s="4">
        <v>3</v>
      </c>
      <c r="AR3653" s="3" t="s">
        <v>64</v>
      </c>
      <c r="AS3653" s="3" t="s">
        <v>64</v>
      </c>
      <c r="AT3653" s="3" t="s">
        <v>64</v>
      </c>
      <c r="AV3653" s="6" t="str">
        <f>HYPERLINK("http://mcgill.on.worldcat.org/oclc/163242466","Catalog Record")</f>
        <v>Catalog Record</v>
      </c>
      <c r="AW3653" s="6" t="str">
        <f>HYPERLINK("http://www.worldcat.org/oclc/163242466","WorldCat Record")</f>
        <v>WorldCat Record</v>
      </c>
      <c r="AX3653" s="3" t="s">
        <v>36499</v>
      </c>
      <c r="AY3653" s="3" t="s">
        <v>36500</v>
      </c>
      <c r="AZ3653" s="3" t="s">
        <v>36501</v>
      </c>
      <c r="BA3653" s="3" t="s">
        <v>36501</v>
      </c>
      <c r="BB3653" s="3" t="s">
        <v>36502</v>
      </c>
      <c r="BC3653" s="3" t="s">
        <v>77</v>
      </c>
      <c r="BD3653" s="3" t="s">
        <v>78</v>
      </c>
      <c r="BE3653" s="3" t="s">
        <v>36503</v>
      </c>
      <c r="BF3653" s="3" t="s">
        <v>36502</v>
      </c>
      <c r="BG3653" s="3" t="s">
        <v>36504</v>
      </c>
      <c r="BH3653">
        <f t="shared" si="87"/>
        <v>0</v>
      </c>
    </row>
    <row r="3654" spans="1:60" ht="58" x14ac:dyDescent="0.35">
      <c r="A3654" s="2" t="s">
        <v>59</v>
      </c>
      <c r="B3654" s="2" t="s">
        <v>60</v>
      </c>
      <c r="C3654" s="2" t="s">
        <v>36505</v>
      </c>
      <c r="D3654" s="2" t="s">
        <v>36506</v>
      </c>
      <c r="E3654" s="2" t="s">
        <v>36507</v>
      </c>
      <c r="G3654" s="3" t="s">
        <v>64</v>
      </c>
      <c r="I3654" s="3" t="s">
        <v>64</v>
      </c>
      <c r="J3654" s="3" t="s">
        <v>64</v>
      </c>
      <c r="K3654" s="3" t="s">
        <v>65</v>
      </c>
      <c r="L3654" s="2" t="s">
        <v>36508</v>
      </c>
      <c r="M3654" s="2" t="s">
        <v>36509</v>
      </c>
      <c r="N3654" s="3" t="s">
        <v>190</v>
      </c>
      <c r="P3654" s="3" t="s">
        <v>102</v>
      </c>
      <c r="R3654" s="3" t="s">
        <v>70</v>
      </c>
      <c r="S3654" s="4">
        <v>2</v>
      </c>
      <c r="T3654" s="4">
        <v>2</v>
      </c>
      <c r="U3654" s="5" t="s">
        <v>7573</v>
      </c>
      <c r="V3654" s="5" t="s">
        <v>7573</v>
      </c>
      <c r="W3654" s="5" t="s">
        <v>72</v>
      </c>
      <c r="X3654" s="5" t="s">
        <v>72</v>
      </c>
      <c r="Y3654" s="4">
        <v>101</v>
      </c>
      <c r="Z3654" s="4">
        <v>6</v>
      </c>
      <c r="AA3654" s="4">
        <v>72</v>
      </c>
      <c r="AB3654" s="4">
        <v>1</v>
      </c>
      <c r="AC3654" s="4">
        <v>14</v>
      </c>
      <c r="AD3654" s="4">
        <v>41</v>
      </c>
      <c r="AE3654" s="4">
        <v>102</v>
      </c>
      <c r="AF3654" s="4">
        <v>0</v>
      </c>
      <c r="AG3654" s="4">
        <v>8</v>
      </c>
      <c r="AH3654" s="4">
        <v>37</v>
      </c>
      <c r="AI3654" s="4">
        <v>72</v>
      </c>
      <c r="AJ3654" s="4">
        <v>2</v>
      </c>
      <c r="AK3654" s="4">
        <v>17</v>
      </c>
      <c r="AL3654" s="4">
        <v>27</v>
      </c>
      <c r="AM3654" s="4">
        <v>40</v>
      </c>
      <c r="AN3654" s="4">
        <v>0</v>
      </c>
      <c r="AO3654" s="4">
        <v>0</v>
      </c>
      <c r="AP3654" s="4">
        <v>3</v>
      </c>
      <c r="AQ3654" s="4">
        <v>34</v>
      </c>
      <c r="AR3654" s="3" t="s">
        <v>64</v>
      </c>
      <c r="AS3654" s="3" t="s">
        <v>64</v>
      </c>
      <c r="AT3654" s="3" t="s">
        <v>64</v>
      </c>
      <c r="AV3654" s="6" t="str">
        <f>HYPERLINK("http://mcgill.on.worldcat.org/oclc/973481604","Catalog Record")</f>
        <v>Catalog Record</v>
      </c>
      <c r="AW3654" s="6" t="str">
        <f>HYPERLINK("http://www.worldcat.org/oclc/973481604","WorldCat Record")</f>
        <v>WorldCat Record</v>
      </c>
      <c r="AX3654" s="3" t="s">
        <v>36510</v>
      </c>
      <c r="AY3654" s="3" t="s">
        <v>36511</v>
      </c>
      <c r="AZ3654" s="3" t="s">
        <v>36512</v>
      </c>
      <c r="BA3654" s="3" t="s">
        <v>36512</v>
      </c>
      <c r="BB3654" s="3" t="s">
        <v>36513</v>
      </c>
      <c r="BC3654" s="3" t="s">
        <v>77</v>
      </c>
      <c r="BD3654" s="3" t="s">
        <v>78</v>
      </c>
      <c r="BE3654" s="3" t="s">
        <v>36514</v>
      </c>
      <c r="BF3654" s="3" t="s">
        <v>36513</v>
      </c>
      <c r="BG3654" s="3" t="s">
        <v>36515</v>
      </c>
      <c r="BH3654">
        <f t="shared" si="87"/>
        <v>0</v>
      </c>
    </row>
    <row r="3655" spans="1:60" ht="58" x14ac:dyDescent="0.35">
      <c r="A3655" s="2" t="s">
        <v>59</v>
      </c>
      <c r="B3655" s="2" t="s">
        <v>60</v>
      </c>
      <c r="C3655" s="2" t="s">
        <v>36516</v>
      </c>
      <c r="D3655" s="2" t="s">
        <v>36517</v>
      </c>
      <c r="E3655" s="2" t="s">
        <v>36518</v>
      </c>
      <c r="G3655" s="3" t="s">
        <v>64</v>
      </c>
      <c r="I3655" s="3" t="s">
        <v>64</v>
      </c>
      <c r="J3655" s="3" t="s">
        <v>64</v>
      </c>
      <c r="K3655" s="3" t="s">
        <v>65</v>
      </c>
      <c r="M3655" s="2" t="s">
        <v>36519</v>
      </c>
      <c r="N3655" s="3" t="s">
        <v>1263</v>
      </c>
      <c r="P3655" s="3" t="s">
        <v>102</v>
      </c>
      <c r="R3655" s="3" t="s">
        <v>70</v>
      </c>
      <c r="S3655" s="4">
        <v>25</v>
      </c>
      <c r="T3655" s="4">
        <v>25</v>
      </c>
      <c r="U3655" s="5" t="s">
        <v>11650</v>
      </c>
      <c r="V3655" s="5" t="s">
        <v>11650</v>
      </c>
      <c r="W3655" s="5" t="s">
        <v>72</v>
      </c>
      <c r="X3655" s="5" t="s">
        <v>72</v>
      </c>
      <c r="Y3655" s="4">
        <v>644</v>
      </c>
      <c r="Z3655" s="4">
        <v>30</v>
      </c>
      <c r="AA3655" s="4">
        <v>102</v>
      </c>
      <c r="AB3655" s="4">
        <v>2</v>
      </c>
      <c r="AC3655" s="4">
        <v>17</v>
      </c>
      <c r="AD3655" s="4">
        <v>122</v>
      </c>
      <c r="AE3655" s="4">
        <v>156</v>
      </c>
      <c r="AF3655" s="4">
        <v>1</v>
      </c>
      <c r="AG3655" s="4">
        <v>8</v>
      </c>
      <c r="AH3655" s="4">
        <v>106</v>
      </c>
      <c r="AI3655" s="4">
        <v>114</v>
      </c>
      <c r="AJ3655" s="4">
        <v>17</v>
      </c>
      <c r="AK3655" s="4">
        <v>25</v>
      </c>
      <c r="AL3655" s="4">
        <v>60</v>
      </c>
      <c r="AM3655" s="4">
        <v>61</v>
      </c>
      <c r="AN3655" s="4">
        <v>0</v>
      </c>
      <c r="AO3655" s="4">
        <v>0</v>
      </c>
      <c r="AP3655" s="4">
        <v>21</v>
      </c>
      <c r="AQ3655" s="4">
        <v>50</v>
      </c>
      <c r="AR3655" s="3" t="s">
        <v>64</v>
      </c>
      <c r="AS3655" s="3" t="s">
        <v>64</v>
      </c>
      <c r="AT3655" s="3" t="s">
        <v>64</v>
      </c>
      <c r="AV3655" s="6" t="str">
        <f>HYPERLINK("http://mcgill.on.worldcat.org/oclc/26808943","Catalog Record")</f>
        <v>Catalog Record</v>
      </c>
      <c r="AW3655" s="6" t="str">
        <f>HYPERLINK("http://www.worldcat.org/oclc/26808943","WorldCat Record")</f>
        <v>WorldCat Record</v>
      </c>
      <c r="AX3655" s="3" t="s">
        <v>36520</v>
      </c>
      <c r="AY3655" s="3" t="s">
        <v>36521</v>
      </c>
      <c r="AZ3655" s="3" t="s">
        <v>36522</v>
      </c>
      <c r="BA3655" s="3" t="s">
        <v>36522</v>
      </c>
      <c r="BB3655" s="3" t="s">
        <v>36523</v>
      </c>
      <c r="BC3655" s="3" t="s">
        <v>77</v>
      </c>
      <c r="BD3655" s="3" t="s">
        <v>165</v>
      </c>
      <c r="BE3655" s="3" t="s">
        <v>36524</v>
      </c>
      <c r="BF3655" s="3" t="s">
        <v>36523</v>
      </c>
      <c r="BG3655" s="3" t="s">
        <v>36525</v>
      </c>
      <c r="BH3655">
        <f t="shared" si="87"/>
        <v>0</v>
      </c>
    </row>
    <row r="3656" spans="1:60" ht="58" x14ac:dyDescent="0.35">
      <c r="A3656" s="2" t="s">
        <v>59</v>
      </c>
      <c r="B3656" s="2" t="s">
        <v>60</v>
      </c>
      <c r="C3656" s="2" t="s">
        <v>36526</v>
      </c>
      <c r="D3656" s="2" t="s">
        <v>36527</v>
      </c>
      <c r="E3656" s="2" t="s">
        <v>36528</v>
      </c>
      <c r="G3656" s="3" t="s">
        <v>64</v>
      </c>
      <c r="I3656" s="3" t="s">
        <v>64</v>
      </c>
      <c r="J3656" s="3" t="s">
        <v>64</v>
      </c>
      <c r="K3656" s="3" t="s">
        <v>65</v>
      </c>
      <c r="M3656" s="2" t="s">
        <v>33728</v>
      </c>
      <c r="N3656" s="3" t="s">
        <v>86</v>
      </c>
      <c r="P3656" s="3" t="s">
        <v>102</v>
      </c>
      <c r="Q3656" s="2" t="s">
        <v>3876</v>
      </c>
      <c r="R3656" s="3" t="s">
        <v>70</v>
      </c>
      <c r="S3656" s="4">
        <v>5</v>
      </c>
      <c r="T3656" s="4">
        <v>5</v>
      </c>
      <c r="U3656" s="5" t="s">
        <v>6890</v>
      </c>
      <c r="V3656" s="5" t="s">
        <v>6890</v>
      </c>
      <c r="W3656" s="5" t="s">
        <v>72</v>
      </c>
      <c r="X3656" s="5" t="s">
        <v>72</v>
      </c>
      <c r="Y3656" s="4">
        <v>197</v>
      </c>
      <c r="Z3656" s="4">
        <v>19</v>
      </c>
      <c r="AA3656" s="4">
        <v>84</v>
      </c>
      <c r="AB3656" s="4">
        <v>2</v>
      </c>
      <c r="AC3656" s="4">
        <v>16</v>
      </c>
      <c r="AD3656" s="4">
        <v>70</v>
      </c>
      <c r="AE3656" s="4">
        <v>123</v>
      </c>
      <c r="AF3656" s="4">
        <v>1</v>
      </c>
      <c r="AG3656" s="4">
        <v>8</v>
      </c>
      <c r="AH3656" s="4">
        <v>63</v>
      </c>
      <c r="AI3656" s="4">
        <v>88</v>
      </c>
      <c r="AJ3656" s="4">
        <v>11</v>
      </c>
      <c r="AK3656" s="4">
        <v>21</v>
      </c>
      <c r="AL3656" s="4">
        <v>39</v>
      </c>
      <c r="AM3656" s="4">
        <v>49</v>
      </c>
      <c r="AN3656" s="4">
        <v>0</v>
      </c>
      <c r="AO3656" s="4">
        <v>0</v>
      </c>
      <c r="AP3656" s="4">
        <v>14</v>
      </c>
      <c r="AQ3656" s="4">
        <v>42</v>
      </c>
      <c r="AR3656" s="3" t="s">
        <v>64</v>
      </c>
      <c r="AS3656" s="3" t="s">
        <v>64</v>
      </c>
      <c r="AT3656" s="3" t="s">
        <v>64</v>
      </c>
      <c r="AV3656" s="6" t="str">
        <f>HYPERLINK("http://mcgill.on.worldcat.org/oclc/768167107","Catalog Record")</f>
        <v>Catalog Record</v>
      </c>
      <c r="AW3656" s="6" t="str">
        <f>HYPERLINK("http://www.worldcat.org/oclc/768167107","WorldCat Record")</f>
        <v>WorldCat Record</v>
      </c>
      <c r="AX3656" s="3" t="s">
        <v>36529</v>
      </c>
      <c r="AY3656" s="3" t="s">
        <v>36530</v>
      </c>
      <c r="AZ3656" s="3" t="s">
        <v>36531</v>
      </c>
      <c r="BA3656" s="3" t="s">
        <v>36531</v>
      </c>
      <c r="BB3656" s="3" t="s">
        <v>36532</v>
      </c>
      <c r="BC3656" s="3" t="s">
        <v>77</v>
      </c>
      <c r="BD3656" s="3" t="s">
        <v>78</v>
      </c>
      <c r="BE3656" s="3" t="s">
        <v>36533</v>
      </c>
      <c r="BF3656" s="3" t="s">
        <v>36532</v>
      </c>
      <c r="BG3656" s="3" t="s">
        <v>36534</v>
      </c>
      <c r="BH3656">
        <f t="shared" si="87"/>
        <v>0</v>
      </c>
    </row>
    <row r="3657" spans="1:60" ht="58" x14ac:dyDescent="0.35">
      <c r="A3657" s="2" t="s">
        <v>59</v>
      </c>
      <c r="B3657" s="2" t="s">
        <v>60</v>
      </c>
      <c r="C3657" s="2" t="s">
        <v>36535</v>
      </c>
      <c r="D3657" s="2" t="s">
        <v>36536</v>
      </c>
      <c r="E3657" s="2" t="s">
        <v>36537</v>
      </c>
      <c r="G3657" s="3" t="s">
        <v>64</v>
      </c>
      <c r="I3657" s="3" t="s">
        <v>64</v>
      </c>
      <c r="J3657" s="3" t="s">
        <v>64</v>
      </c>
      <c r="K3657" s="3" t="s">
        <v>65</v>
      </c>
      <c r="M3657" s="2" t="s">
        <v>36538</v>
      </c>
      <c r="N3657" s="3" t="s">
        <v>1615</v>
      </c>
      <c r="P3657" s="3" t="s">
        <v>102</v>
      </c>
      <c r="R3657" s="3" t="s">
        <v>70</v>
      </c>
      <c r="S3657" s="4">
        <v>39</v>
      </c>
      <c r="T3657" s="4">
        <v>39</v>
      </c>
      <c r="U3657" s="5" t="s">
        <v>11251</v>
      </c>
      <c r="V3657" s="5" t="s">
        <v>11251</v>
      </c>
      <c r="W3657" s="5" t="s">
        <v>72</v>
      </c>
      <c r="X3657" s="5" t="s">
        <v>72</v>
      </c>
      <c r="Y3657" s="4">
        <v>777</v>
      </c>
      <c r="Z3657" s="4">
        <v>51</v>
      </c>
      <c r="AA3657" s="4">
        <v>51</v>
      </c>
      <c r="AB3657" s="4">
        <v>4</v>
      </c>
      <c r="AC3657" s="4">
        <v>4</v>
      </c>
      <c r="AD3657" s="4">
        <v>130</v>
      </c>
      <c r="AE3657" s="4">
        <v>130</v>
      </c>
      <c r="AF3657" s="4">
        <v>1</v>
      </c>
      <c r="AG3657" s="4">
        <v>1</v>
      </c>
      <c r="AH3657" s="4">
        <v>107</v>
      </c>
      <c r="AI3657" s="4">
        <v>107</v>
      </c>
      <c r="AJ3657" s="4">
        <v>19</v>
      </c>
      <c r="AK3657" s="4">
        <v>19</v>
      </c>
      <c r="AL3657" s="4">
        <v>60</v>
      </c>
      <c r="AM3657" s="4">
        <v>60</v>
      </c>
      <c r="AN3657" s="4">
        <v>0</v>
      </c>
      <c r="AO3657" s="4">
        <v>0</v>
      </c>
      <c r="AP3657" s="4">
        <v>31</v>
      </c>
      <c r="AQ3657" s="4">
        <v>31</v>
      </c>
      <c r="AR3657" s="3" t="s">
        <v>64</v>
      </c>
      <c r="AS3657" s="3" t="s">
        <v>64</v>
      </c>
      <c r="AT3657" s="3" t="s">
        <v>64</v>
      </c>
      <c r="AV3657" s="6" t="str">
        <f>HYPERLINK("http://mcgill.on.worldcat.org/oclc/33442125","Catalog Record")</f>
        <v>Catalog Record</v>
      </c>
      <c r="AW3657" s="6" t="str">
        <f>HYPERLINK("http://www.worldcat.org/oclc/33442125","WorldCat Record")</f>
        <v>WorldCat Record</v>
      </c>
      <c r="AX3657" s="3" t="s">
        <v>36539</v>
      </c>
      <c r="AY3657" s="3" t="s">
        <v>36540</v>
      </c>
      <c r="AZ3657" s="3" t="s">
        <v>36541</v>
      </c>
      <c r="BA3657" s="3" t="s">
        <v>36541</v>
      </c>
      <c r="BB3657" s="3" t="s">
        <v>36542</v>
      </c>
      <c r="BC3657" s="3" t="s">
        <v>77</v>
      </c>
      <c r="BD3657" s="3" t="s">
        <v>165</v>
      </c>
      <c r="BE3657" s="3" t="s">
        <v>36543</v>
      </c>
      <c r="BF3657" s="3" t="s">
        <v>36542</v>
      </c>
      <c r="BG3657" s="3" t="s">
        <v>36544</v>
      </c>
      <c r="BH3657">
        <f t="shared" si="87"/>
        <v>0</v>
      </c>
    </row>
    <row r="3658" spans="1:60" ht="58" x14ac:dyDescent="0.35">
      <c r="A3658" s="2" t="s">
        <v>59</v>
      </c>
      <c r="B3658" s="2" t="s">
        <v>60</v>
      </c>
      <c r="C3658" s="2" t="s">
        <v>36545</v>
      </c>
      <c r="D3658" s="2" t="s">
        <v>36546</v>
      </c>
      <c r="E3658" s="2" t="s">
        <v>36547</v>
      </c>
      <c r="G3658" s="3" t="s">
        <v>64</v>
      </c>
      <c r="I3658" s="3" t="s">
        <v>64</v>
      </c>
      <c r="J3658" s="3" t="s">
        <v>64</v>
      </c>
      <c r="K3658" s="3" t="s">
        <v>65</v>
      </c>
      <c r="L3658" s="2" t="s">
        <v>36548</v>
      </c>
      <c r="M3658" s="2" t="s">
        <v>36549</v>
      </c>
      <c r="N3658" s="3" t="s">
        <v>1263</v>
      </c>
      <c r="P3658" s="3" t="s">
        <v>102</v>
      </c>
      <c r="R3658" s="3" t="s">
        <v>70</v>
      </c>
      <c r="S3658" s="4">
        <v>17</v>
      </c>
      <c r="T3658" s="4">
        <v>17</v>
      </c>
      <c r="U3658" s="5" t="s">
        <v>36550</v>
      </c>
      <c r="V3658" s="5" t="s">
        <v>36550</v>
      </c>
      <c r="W3658" s="5" t="s">
        <v>72</v>
      </c>
      <c r="X3658" s="5" t="s">
        <v>72</v>
      </c>
      <c r="Y3658" s="4">
        <v>504</v>
      </c>
      <c r="Z3658" s="4">
        <v>24</v>
      </c>
      <c r="AA3658" s="4">
        <v>35</v>
      </c>
      <c r="AB3658" s="4">
        <v>2</v>
      </c>
      <c r="AC3658" s="4">
        <v>6</v>
      </c>
      <c r="AD3658" s="4">
        <v>118</v>
      </c>
      <c r="AE3658" s="4">
        <v>126</v>
      </c>
      <c r="AF3658" s="4">
        <v>1</v>
      </c>
      <c r="AG3658" s="4">
        <v>2</v>
      </c>
      <c r="AH3658" s="4">
        <v>106</v>
      </c>
      <c r="AI3658" s="4">
        <v>109</v>
      </c>
      <c r="AJ3658" s="4">
        <v>14</v>
      </c>
      <c r="AK3658" s="4">
        <v>17</v>
      </c>
      <c r="AL3658" s="4">
        <v>55</v>
      </c>
      <c r="AM3658" s="4">
        <v>57</v>
      </c>
      <c r="AN3658" s="4">
        <v>0</v>
      </c>
      <c r="AO3658" s="4">
        <v>0</v>
      </c>
      <c r="AP3658" s="4">
        <v>19</v>
      </c>
      <c r="AQ3658" s="4">
        <v>24</v>
      </c>
      <c r="AR3658" s="3" t="s">
        <v>64</v>
      </c>
      <c r="AS3658" s="3" t="s">
        <v>64</v>
      </c>
      <c r="AT3658" s="3" t="s">
        <v>64</v>
      </c>
      <c r="AV3658" s="6" t="str">
        <f>HYPERLINK("http://mcgill.on.worldcat.org/oclc/27150550","Catalog Record")</f>
        <v>Catalog Record</v>
      </c>
      <c r="AW3658" s="6" t="str">
        <f>HYPERLINK("http://www.worldcat.org/oclc/27150550","WorldCat Record")</f>
        <v>WorldCat Record</v>
      </c>
      <c r="AX3658" s="3" t="s">
        <v>36551</v>
      </c>
      <c r="AY3658" s="3" t="s">
        <v>36552</v>
      </c>
      <c r="AZ3658" s="3" t="s">
        <v>36553</v>
      </c>
      <c r="BA3658" s="3" t="s">
        <v>36553</v>
      </c>
      <c r="BB3658" s="3" t="s">
        <v>36554</v>
      </c>
      <c r="BC3658" s="3" t="s">
        <v>77</v>
      </c>
      <c r="BD3658" s="3" t="s">
        <v>78</v>
      </c>
      <c r="BE3658" s="3" t="s">
        <v>36555</v>
      </c>
      <c r="BF3658" s="3" t="s">
        <v>36554</v>
      </c>
      <c r="BG3658" s="3" t="s">
        <v>36556</v>
      </c>
      <c r="BH3658">
        <f t="shared" si="87"/>
        <v>0</v>
      </c>
    </row>
    <row r="3659" spans="1:60" ht="58" x14ac:dyDescent="0.35">
      <c r="A3659" s="2" t="s">
        <v>59</v>
      </c>
      <c r="B3659" s="2" t="s">
        <v>60</v>
      </c>
      <c r="C3659" s="2" t="s">
        <v>36557</v>
      </c>
      <c r="D3659" s="2" t="s">
        <v>36558</v>
      </c>
      <c r="E3659" s="2" t="s">
        <v>36559</v>
      </c>
      <c r="G3659" s="3" t="s">
        <v>64</v>
      </c>
      <c r="I3659" s="3" t="s">
        <v>64</v>
      </c>
      <c r="J3659" s="3" t="s">
        <v>64</v>
      </c>
      <c r="K3659" s="3" t="s">
        <v>65</v>
      </c>
      <c r="L3659" s="2" t="s">
        <v>36560</v>
      </c>
      <c r="M3659" s="2" t="s">
        <v>36561</v>
      </c>
      <c r="N3659" s="3" t="s">
        <v>326</v>
      </c>
      <c r="P3659" s="3" t="s">
        <v>68</v>
      </c>
      <c r="Q3659" s="2" t="s">
        <v>36562</v>
      </c>
      <c r="R3659" s="3" t="s">
        <v>70</v>
      </c>
      <c r="S3659" s="4">
        <v>0</v>
      </c>
      <c r="T3659" s="4">
        <v>0</v>
      </c>
      <c r="W3659" s="5" t="s">
        <v>72</v>
      </c>
      <c r="X3659" s="5" t="s">
        <v>72</v>
      </c>
      <c r="Y3659" s="4">
        <v>7</v>
      </c>
      <c r="Z3659" s="4">
        <v>5</v>
      </c>
      <c r="AA3659" s="4">
        <v>14</v>
      </c>
      <c r="AB3659" s="4">
        <v>1</v>
      </c>
      <c r="AC3659" s="4">
        <v>6</v>
      </c>
      <c r="AD3659" s="4">
        <v>5</v>
      </c>
      <c r="AE3659" s="4">
        <v>13</v>
      </c>
      <c r="AF3659" s="4">
        <v>0</v>
      </c>
      <c r="AG3659" s="4">
        <v>3</v>
      </c>
      <c r="AH3659" s="4">
        <v>5</v>
      </c>
      <c r="AI3659" s="4">
        <v>9</v>
      </c>
      <c r="AJ3659" s="4">
        <v>3</v>
      </c>
      <c r="AK3659" s="4">
        <v>10</v>
      </c>
      <c r="AL3659" s="4">
        <v>2</v>
      </c>
      <c r="AM3659" s="4">
        <v>3</v>
      </c>
      <c r="AN3659" s="4">
        <v>0</v>
      </c>
      <c r="AO3659" s="4">
        <v>0</v>
      </c>
      <c r="AP3659" s="4">
        <v>3</v>
      </c>
      <c r="AQ3659" s="4">
        <v>8</v>
      </c>
      <c r="AR3659" s="3" t="s">
        <v>128</v>
      </c>
      <c r="AS3659" s="3" t="s">
        <v>64</v>
      </c>
      <c r="AT3659" s="3" t="s">
        <v>64</v>
      </c>
      <c r="AV3659" s="6" t="str">
        <f>HYPERLINK("http://mcgill.on.worldcat.org/oclc/753577526","Catalog Record")</f>
        <v>Catalog Record</v>
      </c>
      <c r="AW3659" s="6" t="str">
        <f>HYPERLINK("http://www.worldcat.org/oclc/753577526","WorldCat Record")</f>
        <v>WorldCat Record</v>
      </c>
      <c r="AX3659" s="3" t="s">
        <v>36563</v>
      </c>
      <c r="AY3659" s="3" t="s">
        <v>36564</v>
      </c>
      <c r="AZ3659" s="3" t="s">
        <v>36565</v>
      </c>
      <c r="BA3659" s="3" t="s">
        <v>36565</v>
      </c>
      <c r="BB3659" s="3" t="s">
        <v>36566</v>
      </c>
      <c r="BC3659" s="3" t="s">
        <v>77</v>
      </c>
      <c r="BD3659" s="3" t="s">
        <v>78</v>
      </c>
      <c r="BE3659" s="3" t="s">
        <v>36567</v>
      </c>
      <c r="BF3659" s="3" t="s">
        <v>36566</v>
      </c>
      <c r="BG3659" s="3" t="s">
        <v>36568</v>
      </c>
      <c r="BH3659">
        <f t="shared" si="87"/>
        <v>0</v>
      </c>
    </row>
    <row r="3660" spans="1:60" ht="72.5" x14ac:dyDescent="0.35">
      <c r="A3660" s="2" t="s">
        <v>59</v>
      </c>
      <c r="B3660" s="2" t="s">
        <v>60</v>
      </c>
      <c r="C3660" s="2" t="s">
        <v>36569</v>
      </c>
      <c r="D3660" s="2" t="s">
        <v>36570</v>
      </c>
      <c r="E3660" s="2" t="s">
        <v>36571</v>
      </c>
      <c r="F3660" s="3" t="s">
        <v>509</v>
      </c>
      <c r="G3660" s="3" t="s">
        <v>128</v>
      </c>
      <c r="I3660" s="3" t="s">
        <v>64</v>
      </c>
      <c r="J3660" s="3" t="s">
        <v>64</v>
      </c>
      <c r="K3660" s="3" t="s">
        <v>65</v>
      </c>
      <c r="M3660" s="2" t="s">
        <v>36572</v>
      </c>
      <c r="N3660" s="3" t="s">
        <v>326</v>
      </c>
      <c r="P3660" s="3" t="s">
        <v>102</v>
      </c>
      <c r="R3660" s="3" t="s">
        <v>70</v>
      </c>
      <c r="S3660" s="4">
        <v>5</v>
      </c>
      <c r="T3660" s="4">
        <v>11</v>
      </c>
      <c r="U3660" s="5" t="s">
        <v>269</v>
      </c>
      <c r="V3660" s="5" t="s">
        <v>269</v>
      </c>
      <c r="W3660" s="5" t="s">
        <v>72</v>
      </c>
      <c r="X3660" s="5" t="s">
        <v>72</v>
      </c>
      <c r="Y3660" s="4">
        <v>106</v>
      </c>
      <c r="Z3660" s="4">
        <v>12</v>
      </c>
      <c r="AA3660" s="4">
        <v>15</v>
      </c>
      <c r="AB3660" s="4">
        <v>2</v>
      </c>
      <c r="AC3660" s="4">
        <v>4</v>
      </c>
      <c r="AD3660" s="4">
        <v>53</v>
      </c>
      <c r="AE3660" s="4">
        <v>55</v>
      </c>
      <c r="AF3660" s="4">
        <v>0</v>
      </c>
      <c r="AG3660" s="4">
        <v>1</v>
      </c>
      <c r="AH3660" s="4">
        <v>46</v>
      </c>
      <c r="AI3660" s="4">
        <v>46</v>
      </c>
      <c r="AJ3660" s="4">
        <v>9</v>
      </c>
      <c r="AK3660" s="4">
        <v>11</v>
      </c>
      <c r="AL3660" s="4">
        <v>30</v>
      </c>
      <c r="AM3660" s="4">
        <v>30</v>
      </c>
      <c r="AN3660" s="4">
        <v>0</v>
      </c>
      <c r="AO3660" s="4">
        <v>0</v>
      </c>
      <c r="AP3660" s="4">
        <v>10</v>
      </c>
      <c r="AQ3660" s="4">
        <v>11</v>
      </c>
      <c r="AR3660" s="3" t="s">
        <v>64</v>
      </c>
      <c r="AS3660" s="3" t="s">
        <v>64</v>
      </c>
      <c r="AT3660" s="3" t="s">
        <v>64</v>
      </c>
      <c r="AV3660" s="6" t="str">
        <f>HYPERLINK("http://mcgill.on.worldcat.org/oclc/754151199","Catalog Record")</f>
        <v>Catalog Record</v>
      </c>
      <c r="AW3660" s="6" t="str">
        <f>HYPERLINK("http://www.worldcat.org/oclc/754151199","WorldCat Record")</f>
        <v>WorldCat Record</v>
      </c>
      <c r="AX3660" s="3" t="s">
        <v>36573</v>
      </c>
      <c r="AY3660" s="3" t="s">
        <v>36574</v>
      </c>
      <c r="AZ3660" s="3" t="s">
        <v>36575</v>
      </c>
      <c r="BA3660" s="3" t="s">
        <v>36575</v>
      </c>
      <c r="BB3660" s="3" t="s">
        <v>36576</v>
      </c>
      <c r="BC3660" s="3" t="s">
        <v>77</v>
      </c>
      <c r="BD3660" s="3" t="s">
        <v>78</v>
      </c>
      <c r="BE3660" s="3" t="s">
        <v>36577</v>
      </c>
      <c r="BF3660" s="3" t="s">
        <v>36576</v>
      </c>
      <c r="BG3660" s="3" t="s">
        <v>36578</v>
      </c>
      <c r="BH3660">
        <f t="shared" si="87"/>
        <v>0</v>
      </c>
    </row>
    <row r="3661" spans="1:60" ht="72.5" x14ac:dyDescent="0.35">
      <c r="A3661" s="2" t="s">
        <v>59</v>
      </c>
      <c r="B3661" s="2" t="s">
        <v>60</v>
      </c>
      <c r="C3661" s="2" t="s">
        <v>36569</v>
      </c>
      <c r="D3661" s="2" t="s">
        <v>36570</v>
      </c>
      <c r="E3661" s="2" t="s">
        <v>36571</v>
      </c>
      <c r="F3661" s="3" t="s">
        <v>529</v>
      </c>
      <c r="G3661" s="3" t="s">
        <v>128</v>
      </c>
      <c r="I3661" s="3" t="s">
        <v>64</v>
      </c>
      <c r="J3661" s="3" t="s">
        <v>64</v>
      </c>
      <c r="K3661" s="3" t="s">
        <v>65</v>
      </c>
      <c r="M3661" s="2" t="s">
        <v>36572</v>
      </c>
      <c r="N3661" s="3" t="s">
        <v>326</v>
      </c>
      <c r="P3661" s="3" t="s">
        <v>102</v>
      </c>
      <c r="R3661" s="3" t="s">
        <v>70</v>
      </c>
      <c r="S3661" s="4">
        <v>4</v>
      </c>
      <c r="T3661" s="4">
        <v>11</v>
      </c>
      <c r="U3661" s="5" t="s">
        <v>269</v>
      </c>
      <c r="V3661" s="5" t="s">
        <v>269</v>
      </c>
      <c r="W3661" s="5" t="s">
        <v>72</v>
      </c>
      <c r="X3661" s="5" t="s">
        <v>72</v>
      </c>
      <c r="Y3661" s="4">
        <v>106</v>
      </c>
      <c r="Z3661" s="4">
        <v>12</v>
      </c>
      <c r="AA3661" s="4">
        <v>15</v>
      </c>
      <c r="AB3661" s="4">
        <v>2</v>
      </c>
      <c r="AC3661" s="4">
        <v>4</v>
      </c>
      <c r="AD3661" s="4">
        <v>53</v>
      </c>
      <c r="AE3661" s="4">
        <v>55</v>
      </c>
      <c r="AF3661" s="4">
        <v>0</v>
      </c>
      <c r="AG3661" s="4">
        <v>1</v>
      </c>
      <c r="AH3661" s="4">
        <v>46</v>
      </c>
      <c r="AI3661" s="4">
        <v>46</v>
      </c>
      <c r="AJ3661" s="4">
        <v>9</v>
      </c>
      <c r="AK3661" s="4">
        <v>11</v>
      </c>
      <c r="AL3661" s="4">
        <v>30</v>
      </c>
      <c r="AM3661" s="4">
        <v>30</v>
      </c>
      <c r="AN3661" s="4">
        <v>0</v>
      </c>
      <c r="AO3661" s="4">
        <v>0</v>
      </c>
      <c r="AP3661" s="4">
        <v>10</v>
      </c>
      <c r="AQ3661" s="4">
        <v>11</v>
      </c>
      <c r="AR3661" s="3" t="s">
        <v>64</v>
      </c>
      <c r="AS3661" s="3" t="s">
        <v>64</v>
      </c>
      <c r="AT3661" s="3" t="s">
        <v>64</v>
      </c>
      <c r="AV3661" s="6" t="str">
        <f>HYPERLINK("http://mcgill.on.worldcat.org/oclc/754151199","Catalog Record")</f>
        <v>Catalog Record</v>
      </c>
      <c r="AW3661" s="6" t="str">
        <f>HYPERLINK("http://www.worldcat.org/oclc/754151199","WorldCat Record")</f>
        <v>WorldCat Record</v>
      </c>
      <c r="AX3661" s="3" t="s">
        <v>36573</v>
      </c>
      <c r="AY3661" s="3" t="s">
        <v>36574</v>
      </c>
      <c r="AZ3661" s="3" t="s">
        <v>36575</v>
      </c>
      <c r="BA3661" s="3" t="s">
        <v>36575</v>
      </c>
      <c r="BB3661" s="3" t="s">
        <v>36579</v>
      </c>
      <c r="BC3661" s="3" t="s">
        <v>77</v>
      </c>
      <c r="BD3661" s="3" t="s">
        <v>78</v>
      </c>
      <c r="BE3661" s="3" t="s">
        <v>36577</v>
      </c>
      <c r="BF3661" s="3" t="s">
        <v>36579</v>
      </c>
      <c r="BG3661" s="3" t="s">
        <v>36580</v>
      </c>
      <c r="BH3661">
        <f t="shared" si="87"/>
        <v>0</v>
      </c>
    </row>
    <row r="3662" spans="1:60" ht="72.5" x14ac:dyDescent="0.35">
      <c r="A3662" s="2" t="s">
        <v>59</v>
      </c>
      <c r="B3662" s="2" t="s">
        <v>60</v>
      </c>
      <c r="C3662" s="2" t="s">
        <v>36569</v>
      </c>
      <c r="D3662" s="2" t="s">
        <v>36570</v>
      </c>
      <c r="E3662" s="2" t="s">
        <v>36571</v>
      </c>
      <c r="F3662" s="3" t="s">
        <v>525</v>
      </c>
      <c r="G3662" s="3" t="s">
        <v>128</v>
      </c>
      <c r="I3662" s="3" t="s">
        <v>64</v>
      </c>
      <c r="J3662" s="3" t="s">
        <v>64</v>
      </c>
      <c r="K3662" s="3" t="s">
        <v>65</v>
      </c>
      <c r="M3662" s="2" t="s">
        <v>36572</v>
      </c>
      <c r="N3662" s="3" t="s">
        <v>326</v>
      </c>
      <c r="P3662" s="3" t="s">
        <v>102</v>
      </c>
      <c r="R3662" s="3" t="s">
        <v>70</v>
      </c>
      <c r="S3662" s="4">
        <v>2</v>
      </c>
      <c r="T3662" s="4">
        <v>11</v>
      </c>
      <c r="U3662" s="5" t="s">
        <v>36581</v>
      </c>
      <c r="V3662" s="5" t="s">
        <v>269</v>
      </c>
      <c r="W3662" s="5" t="s">
        <v>72</v>
      </c>
      <c r="X3662" s="5" t="s">
        <v>72</v>
      </c>
      <c r="Y3662" s="4">
        <v>106</v>
      </c>
      <c r="Z3662" s="4">
        <v>12</v>
      </c>
      <c r="AA3662" s="4">
        <v>15</v>
      </c>
      <c r="AB3662" s="4">
        <v>2</v>
      </c>
      <c r="AC3662" s="4">
        <v>4</v>
      </c>
      <c r="AD3662" s="4">
        <v>53</v>
      </c>
      <c r="AE3662" s="4">
        <v>55</v>
      </c>
      <c r="AF3662" s="4">
        <v>0</v>
      </c>
      <c r="AG3662" s="4">
        <v>1</v>
      </c>
      <c r="AH3662" s="4">
        <v>46</v>
      </c>
      <c r="AI3662" s="4">
        <v>46</v>
      </c>
      <c r="AJ3662" s="4">
        <v>9</v>
      </c>
      <c r="AK3662" s="4">
        <v>11</v>
      </c>
      <c r="AL3662" s="4">
        <v>30</v>
      </c>
      <c r="AM3662" s="4">
        <v>30</v>
      </c>
      <c r="AN3662" s="4">
        <v>0</v>
      </c>
      <c r="AO3662" s="4">
        <v>0</v>
      </c>
      <c r="AP3662" s="4">
        <v>10</v>
      </c>
      <c r="AQ3662" s="4">
        <v>11</v>
      </c>
      <c r="AR3662" s="3" t="s">
        <v>64</v>
      </c>
      <c r="AS3662" s="3" t="s">
        <v>64</v>
      </c>
      <c r="AT3662" s="3" t="s">
        <v>64</v>
      </c>
      <c r="AV3662" s="6" t="str">
        <f>HYPERLINK("http://mcgill.on.worldcat.org/oclc/754151199","Catalog Record")</f>
        <v>Catalog Record</v>
      </c>
      <c r="AW3662" s="6" t="str">
        <f>HYPERLINK("http://www.worldcat.org/oclc/754151199","WorldCat Record")</f>
        <v>WorldCat Record</v>
      </c>
      <c r="AX3662" s="3" t="s">
        <v>36573</v>
      </c>
      <c r="AY3662" s="3" t="s">
        <v>36574</v>
      </c>
      <c r="AZ3662" s="3" t="s">
        <v>36575</v>
      </c>
      <c r="BA3662" s="3" t="s">
        <v>36575</v>
      </c>
      <c r="BB3662" s="3" t="s">
        <v>36582</v>
      </c>
      <c r="BC3662" s="3" t="s">
        <v>77</v>
      </c>
      <c r="BD3662" s="3" t="s">
        <v>78</v>
      </c>
      <c r="BE3662" s="3" t="s">
        <v>36577</v>
      </c>
      <c r="BF3662" s="3" t="s">
        <v>36582</v>
      </c>
      <c r="BG3662" s="3" t="s">
        <v>36583</v>
      </c>
      <c r="BH3662">
        <f t="shared" si="87"/>
        <v>0</v>
      </c>
    </row>
    <row r="3663" spans="1:60" ht="58" x14ac:dyDescent="0.35">
      <c r="A3663" s="2" t="s">
        <v>59</v>
      </c>
      <c r="B3663" s="2" t="s">
        <v>60</v>
      </c>
      <c r="C3663" s="2" t="s">
        <v>36584</v>
      </c>
      <c r="D3663" s="2" t="s">
        <v>36585</v>
      </c>
      <c r="E3663" s="2" t="s">
        <v>36586</v>
      </c>
      <c r="G3663" s="3" t="s">
        <v>64</v>
      </c>
      <c r="I3663" s="3" t="s">
        <v>64</v>
      </c>
      <c r="J3663" s="3" t="s">
        <v>64</v>
      </c>
      <c r="K3663" s="3" t="s">
        <v>65</v>
      </c>
      <c r="M3663" s="2" t="s">
        <v>36587</v>
      </c>
      <c r="N3663" s="3" t="s">
        <v>537</v>
      </c>
      <c r="P3663" s="3" t="s">
        <v>68</v>
      </c>
      <c r="R3663" s="3" t="s">
        <v>70</v>
      </c>
      <c r="S3663" s="4">
        <v>0</v>
      </c>
      <c r="T3663" s="4">
        <v>0</v>
      </c>
      <c r="W3663" s="5" t="s">
        <v>72</v>
      </c>
      <c r="X3663" s="5" t="s">
        <v>72</v>
      </c>
      <c r="Y3663" s="4">
        <v>8</v>
      </c>
      <c r="Z3663" s="4">
        <v>4</v>
      </c>
      <c r="AA3663" s="4">
        <v>10</v>
      </c>
      <c r="AB3663" s="4">
        <v>1</v>
      </c>
      <c r="AC3663" s="4">
        <v>4</v>
      </c>
      <c r="AD3663" s="4">
        <v>5</v>
      </c>
      <c r="AE3663" s="4">
        <v>8</v>
      </c>
      <c r="AF3663" s="4">
        <v>0</v>
      </c>
      <c r="AG3663" s="4">
        <v>1</v>
      </c>
      <c r="AH3663" s="4">
        <v>5</v>
      </c>
      <c r="AI3663" s="4">
        <v>6</v>
      </c>
      <c r="AJ3663" s="4">
        <v>3</v>
      </c>
      <c r="AK3663" s="4">
        <v>6</v>
      </c>
      <c r="AL3663" s="4">
        <v>1</v>
      </c>
      <c r="AM3663" s="4">
        <v>1</v>
      </c>
      <c r="AN3663" s="4">
        <v>0</v>
      </c>
      <c r="AO3663" s="4">
        <v>0</v>
      </c>
      <c r="AP3663" s="4">
        <v>3</v>
      </c>
      <c r="AQ3663" s="4">
        <v>5</v>
      </c>
      <c r="AR3663" s="3" t="s">
        <v>128</v>
      </c>
      <c r="AS3663" s="3" t="s">
        <v>64</v>
      </c>
      <c r="AT3663" s="3" t="s">
        <v>64</v>
      </c>
      <c r="AV3663" s="6" t="str">
        <f>HYPERLINK("http://mcgill.on.worldcat.org/oclc/971894584","Catalog Record")</f>
        <v>Catalog Record</v>
      </c>
      <c r="AW3663" s="6" t="str">
        <f>HYPERLINK("http://www.worldcat.org/oclc/971894584","WorldCat Record")</f>
        <v>WorldCat Record</v>
      </c>
      <c r="AX3663" s="3" t="s">
        <v>36588</v>
      </c>
      <c r="AY3663" s="3" t="s">
        <v>36589</v>
      </c>
      <c r="AZ3663" s="3" t="s">
        <v>36590</v>
      </c>
      <c r="BA3663" s="3" t="s">
        <v>36590</v>
      </c>
      <c r="BB3663" s="3" t="s">
        <v>36591</v>
      </c>
      <c r="BC3663" s="3" t="s">
        <v>77</v>
      </c>
      <c r="BD3663" s="3" t="s">
        <v>78</v>
      </c>
      <c r="BE3663" s="3" t="s">
        <v>36592</v>
      </c>
      <c r="BF3663" s="3" t="s">
        <v>36591</v>
      </c>
      <c r="BG3663" s="3" t="s">
        <v>36593</v>
      </c>
      <c r="BH3663">
        <f t="shared" si="87"/>
        <v>0</v>
      </c>
    </row>
    <row r="3664" spans="1:60" ht="58" x14ac:dyDescent="0.35">
      <c r="A3664" s="2" t="s">
        <v>59</v>
      </c>
      <c r="B3664" s="2" t="s">
        <v>60</v>
      </c>
      <c r="C3664" s="2" t="s">
        <v>36594</v>
      </c>
      <c r="D3664" s="2" t="s">
        <v>36595</v>
      </c>
      <c r="E3664" s="2" t="s">
        <v>36596</v>
      </c>
      <c r="G3664" s="3" t="s">
        <v>64</v>
      </c>
      <c r="I3664" s="3" t="s">
        <v>64</v>
      </c>
      <c r="J3664" s="3" t="s">
        <v>64</v>
      </c>
      <c r="K3664" s="3" t="s">
        <v>65</v>
      </c>
      <c r="L3664" s="2" t="s">
        <v>36597</v>
      </c>
      <c r="M3664" s="2" t="s">
        <v>36598</v>
      </c>
      <c r="N3664" s="3" t="s">
        <v>116</v>
      </c>
      <c r="P3664" s="3" t="s">
        <v>102</v>
      </c>
      <c r="R3664" s="3" t="s">
        <v>70</v>
      </c>
      <c r="S3664" s="4">
        <v>43</v>
      </c>
      <c r="T3664" s="4">
        <v>43</v>
      </c>
      <c r="U3664" s="5" t="s">
        <v>16412</v>
      </c>
      <c r="V3664" s="5" t="s">
        <v>16412</v>
      </c>
      <c r="W3664" s="5" t="s">
        <v>72</v>
      </c>
      <c r="X3664" s="5" t="s">
        <v>72</v>
      </c>
      <c r="Y3664" s="4">
        <v>756</v>
      </c>
      <c r="Z3664" s="4">
        <v>40</v>
      </c>
      <c r="AA3664" s="4">
        <v>125</v>
      </c>
      <c r="AB3664" s="4">
        <v>1</v>
      </c>
      <c r="AC3664" s="4">
        <v>17</v>
      </c>
      <c r="AD3664" s="4">
        <v>121</v>
      </c>
      <c r="AE3664" s="4">
        <v>157</v>
      </c>
      <c r="AF3664" s="4">
        <v>0</v>
      </c>
      <c r="AG3664" s="4">
        <v>8</v>
      </c>
      <c r="AH3664" s="4">
        <v>103</v>
      </c>
      <c r="AI3664" s="4">
        <v>113</v>
      </c>
      <c r="AJ3664" s="4">
        <v>16</v>
      </c>
      <c r="AK3664" s="4">
        <v>27</v>
      </c>
      <c r="AL3664" s="4">
        <v>56</v>
      </c>
      <c r="AM3664" s="4">
        <v>59</v>
      </c>
      <c r="AN3664" s="4">
        <v>0</v>
      </c>
      <c r="AO3664" s="4">
        <v>0</v>
      </c>
      <c r="AP3664" s="4">
        <v>23</v>
      </c>
      <c r="AQ3664" s="4">
        <v>51</v>
      </c>
      <c r="AR3664" s="3" t="s">
        <v>64</v>
      </c>
      <c r="AS3664" s="3" t="s">
        <v>64</v>
      </c>
      <c r="AT3664" s="3" t="s">
        <v>64</v>
      </c>
      <c r="AV3664" s="6" t="str">
        <f>HYPERLINK("http://mcgill.on.worldcat.org/oclc/44728282","Catalog Record")</f>
        <v>Catalog Record</v>
      </c>
      <c r="AW3664" s="6" t="str">
        <f>HYPERLINK("http://www.worldcat.org/oclc/44728282","WorldCat Record")</f>
        <v>WorldCat Record</v>
      </c>
      <c r="AX3664" s="3" t="s">
        <v>36599</v>
      </c>
      <c r="AY3664" s="3" t="s">
        <v>36600</v>
      </c>
      <c r="AZ3664" s="3" t="s">
        <v>36601</v>
      </c>
      <c r="BA3664" s="3" t="s">
        <v>36601</v>
      </c>
      <c r="BB3664" s="3" t="s">
        <v>36602</v>
      </c>
      <c r="BC3664" s="3" t="s">
        <v>77</v>
      </c>
      <c r="BD3664" s="3" t="s">
        <v>78</v>
      </c>
      <c r="BE3664" s="3" t="s">
        <v>36603</v>
      </c>
      <c r="BF3664" s="3" t="s">
        <v>36602</v>
      </c>
      <c r="BG3664" s="3" t="s">
        <v>36604</v>
      </c>
      <c r="BH3664">
        <f t="shared" si="87"/>
        <v>0</v>
      </c>
    </row>
    <row r="3665" spans="1:60" ht="58" x14ac:dyDescent="0.35">
      <c r="A3665" s="2" t="s">
        <v>59</v>
      </c>
      <c r="B3665" s="2" t="s">
        <v>60</v>
      </c>
      <c r="C3665" s="2" t="s">
        <v>36605</v>
      </c>
      <c r="D3665" s="2" t="s">
        <v>36606</v>
      </c>
      <c r="E3665" s="2" t="s">
        <v>36607</v>
      </c>
      <c r="G3665" s="3" t="s">
        <v>64</v>
      </c>
      <c r="H3665" s="3" t="s">
        <v>183</v>
      </c>
      <c r="I3665" s="3" t="s">
        <v>64</v>
      </c>
      <c r="J3665" s="3" t="s">
        <v>64</v>
      </c>
      <c r="K3665" s="3" t="s">
        <v>65</v>
      </c>
      <c r="L3665" s="2" t="s">
        <v>36608</v>
      </c>
      <c r="M3665" s="2" t="s">
        <v>36609</v>
      </c>
      <c r="N3665" s="3" t="s">
        <v>190</v>
      </c>
      <c r="P3665" s="3" t="s">
        <v>102</v>
      </c>
      <c r="R3665" s="3" t="s">
        <v>70</v>
      </c>
      <c r="S3665" s="4">
        <v>1</v>
      </c>
      <c r="T3665" s="4">
        <v>1</v>
      </c>
      <c r="W3665" s="5" t="s">
        <v>826</v>
      </c>
      <c r="X3665" s="5" t="s">
        <v>826</v>
      </c>
      <c r="Y3665" s="4">
        <v>53</v>
      </c>
      <c r="Z3665" s="4">
        <v>1</v>
      </c>
      <c r="AA3665" s="4">
        <v>1</v>
      </c>
      <c r="AB3665" s="4">
        <v>1</v>
      </c>
      <c r="AC3665" s="4">
        <v>1</v>
      </c>
      <c r="AD3665" s="4">
        <v>15</v>
      </c>
      <c r="AE3665" s="4">
        <v>15</v>
      </c>
      <c r="AF3665" s="4">
        <v>0</v>
      </c>
      <c r="AG3665" s="4">
        <v>0</v>
      </c>
      <c r="AH3665" s="4">
        <v>14</v>
      </c>
      <c r="AI3665" s="4">
        <v>14</v>
      </c>
      <c r="AJ3665" s="4">
        <v>0</v>
      </c>
      <c r="AK3665" s="4">
        <v>0</v>
      </c>
      <c r="AL3665" s="4">
        <v>11</v>
      </c>
      <c r="AM3665" s="4">
        <v>11</v>
      </c>
      <c r="AN3665" s="4">
        <v>0</v>
      </c>
      <c r="AO3665" s="4">
        <v>0</v>
      </c>
      <c r="AP3665" s="4">
        <v>0</v>
      </c>
      <c r="AQ3665" s="4">
        <v>0</v>
      </c>
      <c r="AR3665" s="3" t="s">
        <v>64</v>
      </c>
      <c r="AS3665" s="3" t="s">
        <v>64</v>
      </c>
      <c r="AT3665" s="3" t="s">
        <v>64</v>
      </c>
      <c r="AV3665" s="6" t="str">
        <f>HYPERLINK("http://mcgill.on.worldcat.org/oclc/1078143044","Catalog Record")</f>
        <v>Catalog Record</v>
      </c>
      <c r="AW3665" s="6" t="str">
        <f>HYPERLINK("http://www.worldcat.org/oclc/1078143044","WorldCat Record")</f>
        <v>WorldCat Record</v>
      </c>
      <c r="AX3665" s="3" t="s">
        <v>36610</v>
      </c>
      <c r="AY3665" s="3" t="s">
        <v>36611</v>
      </c>
      <c r="AZ3665" s="3" t="s">
        <v>36612</v>
      </c>
      <c r="BA3665" s="3" t="s">
        <v>36612</v>
      </c>
      <c r="BB3665" s="3" t="s">
        <v>36613</v>
      </c>
      <c r="BC3665" s="3" t="s">
        <v>77</v>
      </c>
      <c r="BD3665" s="3" t="s">
        <v>165</v>
      </c>
      <c r="BE3665" s="3" t="s">
        <v>36614</v>
      </c>
      <c r="BF3665" s="3" t="s">
        <v>36613</v>
      </c>
      <c r="BG3665" s="3" t="s">
        <v>36615</v>
      </c>
      <c r="BH3665">
        <f t="shared" si="87"/>
        <v>0</v>
      </c>
    </row>
    <row r="3666" spans="1:60" ht="58" x14ac:dyDescent="0.35">
      <c r="A3666" s="2" t="s">
        <v>59</v>
      </c>
      <c r="B3666" s="2" t="s">
        <v>60</v>
      </c>
      <c r="C3666" s="2" t="s">
        <v>36616</v>
      </c>
      <c r="D3666" s="2" t="s">
        <v>36617</v>
      </c>
      <c r="E3666" s="2" t="s">
        <v>36618</v>
      </c>
      <c r="G3666" s="3" t="s">
        <v>64</v>
      </c>
      <c r="I3666" s="3" t="s">
        <v>64</v>
      </c>
      <c r="J3666" s="3" t="s">
        <v>64</v>
      </c>
      <c r="K3666" s="3" t="s">
        <v>65</v>
      </c>
      <c r="L3666" s="2" t="s">
        <v>36619</v>
      </c>
      <c r="M3666" s="2" t="s">
        <v>36620</v>
      </c>
      <c r="N3666" s="3" t="s">
        <v>17785</v>
      </c>
      <c r="P3666" s="3" t="s">
        <v>102</v>
      </c>
      <c r="R3666" s="3" t="s">
        <v>70</v>
      </c>
      <c r="S3666" s="4">
        <v>6</v>
      </c>
      <c r="T3666" s="4">
        <v>6</v>
      </c>
      <c r="U3666" s="5" t="s">
        <v>36433</v>
      </c>
      <c r="V3666" s="5" t="s">
        <v>36433</v>
      </c>
      <c r="W3666" s="5" t="s">
        <v>72</v>
      </c>
      <c r="X3666" s="5" t="s">
        <v>72</v>
      </c>
      <c r="Y3666" s="4">
        <v>79</v>
      </c>
      <c r="Z3666" s="4">
        <v>4</v>
      </c>
      <c r="AA3666" s="4">
        <v>4</v>
      </c>
      <c r="AB3666" s="4">
        <v>1</v>
      </c>
      <c r="AC3666" s="4">
        <v>1</v>
      </c>
      <c r="AD3666" s="4">
        <v>39</v>
      </c>
      <c r="AE3666" s="4">
        <v>39</v>
      </c>
      <c r="AF3666" s="4">
        <v>0</v>
      </c>
      <c r="AG3666" s="4">
        <v>0</v>
      </c>
      <c r="AH3666" s="4">
        <v>38</v>
      </c>
      <c r="AI3666" s="4">
        <v>38</v>
      </c>
      <c r="AJ3666" s="4">
        <v>2</v>
      </c>
      <c r="AK3666" s="4">
        <v>2</v>
      </c>
      <c r="AL3666" s="4">
        <v>25</v>
      </c>
      <c r="AM3666" s="4">
        <v>25</v>
      </c>
      <c r="AN3666" s="4">
        <v>0</v>
      </c>
      <c r="AO3666" s="4">
        <v>0</v>
      </c>
      <c r="AP3666" s="4">
        <v>2</v>
      </c>
      <c r="AQ3666" s="4">
        <v>2</v>
      </c>
      <c r="AR3666" s="3" t="s">
        <v>64</v>
      </c>
      <c r="AS3666" s="3" t="s">
        <v>64</v>
      </c>
      <c r="AT3666" s="3" t="s">
        <v>64</v>
      </c>
      <c r="AV3666" s="6" t="str">
        <f>HYPERLINK("http://mcgill.on.worldcat.org/oclc/1066550","Catalog Record")</f>
        <v>Catalog Record</v>
      </c>
      <c r="AW3666" s="6" t="str">
        <f>HYPERLINK("http://www.worldcat.org/oclc/1066550","WorldCat Record")</f>
        <v>WorldCat Record</v>
      </c>
      <c r="AX3666" s="3" t="s">
        <v>36621</v>
      </c>
      <c r="AY3666" s="3" t="s">
        <v>36622</v>
      </c>
      <c r="AZ3666" s="3" t="s">
        <v>36623</v>
      </c>
      <c r="BA3666" s="3" t="s">
        <v>36623</v>
      </c>
      <c r="BB3666" s="3" t="s">
        <v>36624</v>
      </c>
      <c r="BC3666" s="3" t="s">
        <v>77</v>
      </c>
      <c r="BD3666" s="3" t="s">
        <v>78</v>
      </c>
      <c r="BF3666" s="3" t="s">
        <v>36624</v>
      </c>
      <c r="BG3666" s="3" t="s">
        <v>36625</v>
      </c>
      <c r="BH3666">
        <f t="shared" si="87"/>
        <v>0</v>
      </c>
    </row>
    <row r="3667" spans="1:60" ht="58" x14ac:dyDescent="0.35">
      <c r="A3667" s="2" t="s">
        <v>59</v>
      </c>
      <c r="B3667" s="2" t="s">
        <v>60</v>
      </c>
      <c r="C3667" s="2" t="s">
        <v>36626</v>
      </c>
      <c r="D3667" s="2" t="s">
        <v>36627</v>
      </c>
      <c r="E3667" s="2" t="s">
        <v>36628</v>
      </c>
      <c r="G3667" s="3" t="s">
        <v>64</v>
      </c>
      <c r="I3667" s="3" t="s">
        <v>64</v>
      </c>
      <c r="J3667" s="3" t="s">
        <v>64</v>
      </c>
      <c r="K3667" s="3" t="s">
        <v>183</v>
      </c>
      <c r="L3667" s="2" t="s">
        <v>36629</v>
      </c>
      <c r="M3667" s="2" t="s">
        <v>36630</v>
      </c>
      <c r="N3667" s="3" t="s">
        <v>36631</v>
      </c>
      <c r="P3667" s="3" t="s">
        <v>102</v>
      </c>
      <c r="R3667" s="3" t="s">
        <v>70</v>
      </c>
      <c r="S3667" s="4">
        <v>2</v>
      </c>
      <c r="T3667" s="4">
        <v>2</v>
      </c>
      <c r="U3667" s="5" t="s">
        <v>26042</v>
      </c>
      <c r="V3667" s="5" t="s">
        <v>26042</v>
      </c>
      <c r="W3667" s="5" t="s">
        <v>72</v>
      </c>
      <c r="X3667" s="5" t="s">
        <v>72</v>
      </c>
      <c r="Y3667" s="4">
        <v>170</v>
      </c>
      <c r="Z3667" s="4">
        <v>10</v>
      </c>
      <c r="AA3667" s="4">
        <v>11</v>
      </c>
      <c r="AB3667" s="4">
        <v>1</v>
      </c>
      <c r="AC3667" s="4">
        <v>1</v>
      </c>
      <c r="AD3667" s="4">
        <v>57</v>
      </c>
      <c r="AE3667" s="4">
        <v>64</v>
      </c>
      <c r="AF3667" s="4">
        <v>0</v>
      </c>
      <c r="AG3667" s="4">
        <v>0</v>
      </c>
      <c r="AH3667" s="4">
        <v>53</v>
      </c>
      <c r="AI3667" s="4">
        <v>58</v>
      </c>
      <c r="AJ3667" s="4">
        <v>7</v>
      </c>
      <c r="AK3667" s="4">
        <v>7</v>
      </c>
      <c r="AL3667" s="4">
        <v>31</v>
      </c>
      <c r="AM3667" s="4">
        <v>36</v>
      </c>
      <c r="AN3667" s="4">
        <v>0</v>
      </c>
      <c r="AO3667" s="4">
        <v>2</v>
      </c>
      <c r="AP3667" s="4">
        <v>8</v>
      </c>
      <c r="AQ3667" s="4">
        <v>9</v>
      </c>
      <c r="AR3667" s="3" t="s">
        <v>64</v>
      </c>
      <c r="AS3667" s="3" t="s">
        <v>128</v>
      </c>
      <c r="AT3667" s="3" t="s">
        <v>64</v>
      </c>
      <c r="AU3667" s="6" t="str">
        <f>HYPERLINK("http://catalog.hathitrust.org/Record/001166707","HathiTrust Record")</f>
        <v>HathiTrust Record</v>
      </c>
      <c r="AV3667" s="6" t="str">
        <f>HYPERLINK("http://mcgill.on.worldcat.org/oclc/1347340","Catalog Record")</f>
        <v>Catalog Record</v>
      </c>
      <c r="AW3667" s="6" t="str">
        <f>HYPERLINK("http://www.worldcat.org/oclc/1347340","WorldCat Record")</f>
        <v>WorldCat Record</v>
      </c>
      <c r="AX3667" s="3" t="s">
        <v>36632</v>
      </c>
      <c r="AY3667" s="3" t="s">
        <v>36633</v>
      </c>
      <c r="AZ3667" s="3" t="s">
        <v>36634</v>
      </c>
      <c r="BA3667" s="3" t="s">
        <v>36634</v>
      </c>
      <c r="BB3667" s="3" t="s">
        <v>36635</v>
      </c>
      <c r="BC3667" s="3" t="s">
        <v>77</v>
      </c>
      <c r="BD3667" s="3" t="s">
        <v>78</v>
      </c>
      <c r="BF3667" s="3" t="s">
        <v>36635</v>
      </c>
      <c r="BG3667" s="3" t="s">
        <v>36636</v>
      </c>
      <c r="BH3667">
        <f t="shared" si="87"/>
        <v>0</v>
      </c>
    </row>
    <row r="3668" spans="1:60" ht="58" x14ac:dyDescent="0.35">
      <c r="A3668" s="2" t="s">
        <v>59</v>
      </c>
      <c r="B3668" s="2" t="s">
        <v>60</v>
      </c>
      <c r="C3668" s="2" t="s">
        <v>36637</v>
      </c>
      <c r="D3668" s="2" t="s">
        <v>36638</v>
      </c>
      <c r="E3668" s="2" t="s">
        <v>36639</v>
      </c>
      <c r="G3668" s="3" t="s">
        <v>64</v>
      </c>
      <c r="I3668" s="3" t="s">
        <v>64</v>
      </c>
      <c r="J3668" s="3" t="s">
        <v>128</v>
      </c>
      <c r="K3668" s="3" t="s">
        <v>65</v>
      </c>
      <c r="L3668" s="2" t="s">
        <v>36640</v>
      </c>
      <c r="M3668" s="2" t="s">
        <v>36641</v>
      </c>
      <c r="N3668" s="3" t="s">
        <v>1275</v>
      </c>
      <c r="O3668" s="2" t="s">
        <v>172</v>
      </c>
      <c r="P3668" s="3" t="s">
        <v>102</v>
      </c>
      <c r="R3668" s="3" t="s">
        <v>70</v>
      </c>
      <c r="S3668" s="4">
        <v>12</v>
      </c>
      <c r="T3668" s="4">
        <v>12</v>
      </c>
      <c r="U3668" s="5" t="s">
        <v>30331</v>
      </c>
      <c r="V3668" s="5" t="s">
        <v>30331</v>
      </c>
      <c r="W3668" s="5" t="s">
        <v>72</v>
      </c>
      <c r="X3668" s="5" t="s">
        <v>72</v>
      </c>
      <c r="Y3668" s="4">
        <v>929</v>
      </c>
      <c r="Z3668" s="4">
        <v>38</v>
      </c>
      <c r="AA3668" s="4">
        <v>66</v>
      </c>
      <c r="AB3668" s="4">
        <v>3</v>
      </c>
      <c r="AC3668" s="4">
        <v>7</v>
      </c>
      <c r="AD3668" s="4">
        <v>90</v>
      </c>
      <c r="AE3668" s="4">
        <v>115</v>
      </c>
      <c r="AF3668" s="4">
        <v>0</v>
      </c>
      <c r="AG3668" s="4">
        <v>2</v>
      </c>
      <c r="AH3668" s="4">
        <v>82</v>
      </c>
      <c r="AI3668" s="4">
        <v>96</v>
      </c>
      <c r="AJ3668" s="4">
        <v>13</v>
      </c>
      <c r="AK3668" s="4">
        <v>21</v>
      </c>
      <c r="AL3668" s="4">
        <v>42</v>
      </c>
      <c r="AM3668" s="4">
        <v>48</v>
      </c>
      <c r="AN3668" s="4">
        <v>0</v>
      </c>
      <c r="AO3668" s="4">
        <v>0</v>
      </c>
      <c r="AP3668" s="4">
        <v>15</v>
      </c>
      <c r="AQ3668" s="4">
        <v>27</v>
      </c>
      <c r="AR3668" s="3" t="s">
        <v>64</v>
      </c>
      <c r="AS3668" s="3" t="s">
        <v>64</v>
      </c>
      <c r="AT3668" s="3" t="s">
        <v>128</v>
      </c>
      <c r="AU3668" s="6" t="str">
        <f>HYPERLINK("http://catalog.hathitrust.org/Record/004980641","HathiTrust Record")</f>
        <v>HathiTrust Record</v>
      </c>
      <c r="AV3668" s="6" t="str">
        <f>HYPERLINK("http://mcgill.on.worldcat.org/oclc/54501289","Catalog Record")</f>
        <v>Catalog Record</v>
      </c>
      <c r="AW3668" s="6" t="str">
        <f>HYPERLINK("http://www.worldcat.org/oclc/54501289","WorldCat Record")</f>
        <v>WorldCat Record</v>
      </c>
      <c r="AX3668" s="3" t="s">
        <v>36642</v>
      </c>
      <c r="AY3668" s="3" t="s">
        <v>36643</v>
      </c>
      <c r="AZ3668" s="3" t="s">
        <v>36644</v>
      </c>
      <c r="BA3668" s="3" t="s">
        <v>36644</v>
      </c>
      <c r="BB3668" s="3" t="s">
        <v>36645</v>
      </c>
      <c r="BC3668" s="3" t="s">
        <v>77</v>
      </c>
      <c r="BD3668" s="3" t="s">
        <v>78</v>
      </c>
      <c r="BE3668" s="3" t="s">
        <v>36646</v>
      </c>
      <c r="BF3668" s="3" t="s">
        <v>36645</v>
      </c>
      <c r="BG3668" s="3" t="s">
        <v>36647</v>
      </c>
      <c r="BH3668">
        <f t="shared" si="87"/>
        <v>0</v>
      </c>
    </row>
    <row r="3669" spans="1:60" ht="130.5" x14ac:dyDescent="0.35">
      <c r="A3669" s="2" t="s">
        <v>59</v>
      </c>
      <c r="B3669" s="2" t="s">
        <v>60</v>
      </c>
      <c r="C3669" s="2" t="s">
        <v>36648</v>
      </c>
      <c r="D3669" s="2" t="s">
        <v>36649</v>
      </c>
      <c r="E3669" s="2" t="s">
        <v>36650</v>
      </c>
      <c r="G3669" s="3" t="s">
        <v>64</v>
      </c>
      <c r="I3669" s="3" t="s">
        <v>64</v>
      </c>
      <c r="J3669" s="3" t="s">
        <v>64</v>
      </c>
      <c r="K3669" s="3" t="s">
        <v>65</v>
      </c>
      <c r="M3669" s="2" t="s">
        <v>2376</v>
      </c>
      <c r="N3669" s="3" t="s">
        <v>67</v>
      </c>
      <c r="P3669" s="3" t="s">
        <v>68</v>
      </c>
      <c r="Q3669" s="2" t="s">
        <v>36651</v>
      </c>
      <c r="R3669" s="3" t="s">
        <v>70</v>
      </c>
      <c r="S3669" s="4">
        <v>2</v>
      </c>
      <c r="T3669" s="4">
        <v>2</v>
      </c>
      <c r="U3669" s="5" t="s">
        <v>36652</v>
      </c>
      <c r="V3669" s="5" t="s">
        <v>36652</v>
      </c>
      <c r="W3669" s="5" t="s">
        <v>72</v>
      </c>
      <c r="X3669" s="5" t="s">
        <v>72</v>
      </c>
      <c r="Y3669" s="4">
        <v>46</v>
      </c>
      <c r="Z3669" s="4">
        <v>6</v>
      </c>
      <c r="AA3669" s="4">
        <v>9</v>
      </c>
      <c r="AB3669" s="4">
        <v>1</v>
      </c>
      <c r="AC3669" s="4">
        <v>4</v>
      </c>
      <c r="AD3669" s="4">
        <v>24</v>
      </c>
      <c r="AE3669" s="4">
        <v>26</v>
      </c>
      <c r="AF3669" s="4">
        <v>0</v>
      </c>
      <c r="AG3669" s="4">
        <v>1</v>
      </c>
      <c r="AH3669" s="4">
        <v>22</v>
      </c>
      <c r="AI3669" s="4">
        <v>23</v>
      </c>
      <c r="AJ3669" s="4">
        <v>3</v>
      </c>
      <c r="AK3669" s="4">
        <v>4</v>
      </c>
      <c r="AL3669" s="4">
        <v>18</v>
      </c>
      <c r="AM3669" s="4">
        <v>19</v>
      </c>
      <c r="AN3669" s="4">
        <v>0</v>
      </c>
      <c r="AO3669" s="4">
        <v>0</v>
      </c>
      <c r="AP3669" s="4">
        <v>3</v>
      </c>
      <c r="AQ3669" s="4">
        <v>3</v>
      </c>
      <c r="AR3669" s="3" t="s">
        <v>64</v>
      </c>
      <c r="AS3669" s="3" t="s">
        <v>64</v>
      </c>
      <c r="AT3669" s="3" t="s">
        <v>64</v>
      </c>
      <c r="AV3669" s="6" t="str">
        <f>HYPERLINK("http://mcgill.on.worldcat.org/oclc/858804791","Catalog Record")</f>
        <v>Catalog Record</v>
      </c>
      <c r="AW3669" s="6" t="str">
        <f>HYPERLINK("http://www.worldcat.org/oclc/858804791","WorldCat Record")</f>
        <v>WorldCat Record</v>
      </c>
      <c r="AX3669" s="3" t="s">
        <v>36653</v>
      </c>
      <c r="AY3669" s="3" t="s">
        <v>36654</v>
      </c>
      <c r="AZ3669" s="3" t="s">
        <v>36655</v>
      </c>
      <c r="BA3669" s="3" t="s">
        <v>36655</v>
      </c>
      <c r="BB3669" s="3" t="s">
        <v>36656</v>
      </c>
      <c r="BC3669" s="3" t="s">
        <v>77</v>
      </c>
      <c r="BD3669" s="3" t="s">
        <v>78</v>
      </c>
      <c r="BE3669" s="3" t="s">
        <v>36657</v>
      </c>
      <c r="BF3669" s="3" t="s">
        <v>36656</v>
      </c>
      <c r="BG3669" s="3" t="s">
        <v>36658</v>
      </c>
      <c r="BH3669">
        <f t="shared" si="87"/>
        <v>0</v>
      </c>
    </row>
    <row r="3670" spans="1:60" ht="58" x14ac:dyDescent="0.35">
      <c r="A3670" s="2" t="s">
        <v>59</v>
      </c>
      <c r="B3670" s="2" t="s">
        <v>60</v>
      </c>
      <c r="C3670" s="2" t="s">
        <v>36659</v>
      </c>
      <c r="D3670" s="2" t="s">
        <v>36660</v>
      </c>
      <c r="E3670" s="2" t="s">
        <v>36661</v>
      </c>
      <c r="G3670" s="3" t="s">
        <v>64</v>
      </c>
      <c r="I3670" s="3" t="s">
        <v>64</v>
      </c>
      <c r="J3670" s="3" t="s">
        <v>64</v>
      </c>
      <c r="K3670" s="3" t="s">
        <v>65</v>
      </c>
      <c r="L3670" s="2" t="s">
        <v>36662</v>
      </c>
      <c r="M3670" s="2" t="s">
        <v>36663</v>
      </c>
      <c r="N3670" s="3" t="s">
        <v>36664</v>
      </c>
      <c r="O3670" s="2" t="s">
        <v>36665</v>
      </c>
      <c r="P3670" s="3" t="s">
        <v>102</v>
      </c>
      <c r="R3670" s="3" t="s">
        <v>70</v>
      </c>
      <c r="S3670" s="4">
        <v>5</v>
      </c>
      <c r="T3670" s="4">
        <v>5</v>
      </c>
      <c r="U3670" s="5" t="s">
        <v>36433</v>
      </c>
      <c r="V3670" s="5" t="s">
        <v>36433</v>
      </c>
      <c r="W3670" s="5" t="s">
        <v>72</v>
      </c>
      <c r="X3670" s="5" t="s">
        <v>72</v>
      </c>
      <c r="Y3670" s="4">
        <v>28</v>
      </c>
      <c r="Z3670" s="4">
        <v>1</v>
      </c>
      <c r="AA3670" s="4">
        <v>4</v>
      </c>
      <c r="AB3670" s="4">
        <v>1</v>
      </c>
      <c r="AC3670" s="4">
        <v>2</v>
      </c>
      <c r="AD3670" s="4">
        <v>14</v>
      </c>
      <c r="AE3670" s="4">
        <v>52</v>
      </c>
      <c r="AF3670" s="4">
        <v>0</v>
      </c>
      <c r="AG3670" s="4">
        <v>0</v>
      </c>
      <c r="AH3670" s="4">
        <v>14</v>
      </c>
      <c r="AI3670" s="4">
        <v>50</v>
      </c>
      <c r="AJ3670" s="4">
        <v>0</v>
      </c>
      <c r="AK3670" s="4">
        <v>1</v>
      </c>
      <c r="AL3670" s="4">
        <v>9</v>
      </c>
      <c r="AM3670" s="4">
        <v>31</v>
      </c>
      <c r="AN3670" s="4">
        <v>0</v>
      </c>
      <c r="AO3670" s="4">
        <v>0</v>
      </c>
      <c r="AP3670" s="4">
        <v>0</v>
      </c>
      <c r="AQ3670" s="4">
        <v>2</v>
      </c>
      <c r="AR3670" s="3" t="s">
        <v>64</v>
      </c>
      <c r="AS3670" s="3" t="s">
        <v>64</v>
      </c>
      <c r="AT3670" s="3" t="s">
        <v>64</v>
      </c>
      <c r="AU3670" s="6" t="str">
        <f>HYPERLINK("http://catalog.hathitrust.org/Record/006552855","HathiTrust Record")</f>
        <v>HathiTrust Record</v>
      </c>
      <c r="AV3670" s="6" t="str">
        <f>HYPERLINK("http://mcgill.on.worldcat.org/oclc/2835474","Catalog Record")</f>
        <v>Catalog Record</v>
      </c>
      <c r="AW3670" s="6" t="str">
        <f>HYPERLINK("http://www.worldcat.org/oclc/2835474","WorldCat Record")</f>
        <v>WorldCat Record</v>
      </c>
      <c r="AX3670" s="3" t="s">
        <v>36666</v>
      </c>
      <c r="AY3670" s="3" t="s">
        <v>36667</v>
      </c>
      <c r="AZ3670" s="3" t="s">
        <v>36668</v>
      </c>
      <c r="BA3670" s="3" t="s">
        <v>36668</v>
      </c>
      <c r="BB3670" s="3" t="s">
        <v>36669</v>
      </c>
      <c r="BC3670" s="3" t="s">
        <v>77</v>
      </c>
      <c r="BD3670" s="3" t="s">
        <v>78</v>
      </c>
      <c r="BF3670" s="3" t="s">
        <v>36669</v>
      </c>
      <c r="BG3670" s="3" t="s">
        <v>36670</v>
      </c>
      <c r="BH3670">
        <f t="shared" si="87"/>
        <v>0</v>
      </c>
    </row>
    <row r="3671" spans="1:60" ht="58" x14ac:dyDescent="0.35">
      <c r="A3671" s="2" t="s">
        <v>59</v>
      </c>
      <c r="B3671" s="2" t="s">
        <v>60</v>
      </c>
      <c r="C3671" s="2" t="s">
        <v>36671</v>
      </c>
      <c r="D3671" s="2" t="s">
        <v>36672</v>
      </c>
      <c r="E3671" s="2" t="s">
        <v>36673</v>
      </c>
      <c r="G3671" s="3" t="s">
        <v>64</v>
      </c>
      <c r="I3671" s="3" t="s">
        <v>64</v>
      </c>
      <c r="J3671" s="3" t="s">
        <v>64</v>
      </c>
      <c r="K3671" s="3" t="s">
        <v>65</v>
      </c>
      <c r="L3671" s="2" t="s">
        <v>36674</v>
      </c>
      <c r="M3671" s="2" t="s">
        <v>36675</v>
      </c>
      <c r="N3671" s="3" t="s">
        <v>67</v>
      </c>
      <c r="O3671" s="2" t="s">
        <v>117</v>
      </c>
      <c r="P3671" s="3" t="s">
        <v>102</v>
      </c>
      <c r="R3671" s="3" t="s">
        <v>70</v>
      </c>
      <c r="S3671" s="4">
        <v>2</v>
      </c>
      <c r="T3671" s="4">
        <v>2</v>
      </c>
      <c r="U3671" s="5" t="s">
        <v>36676</v>
      </c>
      <c r="V3671" s="5" t="s">
        <v>36676</v>
      </c>
      <c r="W3671" s="5" t="s">
        <v>72</v>
      </c>
      <c r="X3671" s="5" t="s">
        <v>72</v>
      </c>
      <c r="Y3671" s="4">
        <v>836</v>
      </c>
      <c r="Z3671" s="4">
        <v>28</v>
      </c>
      <c r="AA3671" s="4">
        <v>34</v>
      </c>
      <c r="AB3671" s="4">
        <v>3</v>
      </c>
      <c r="AC3671" s="4">
        <v>5</v>
      </c>
      <c r="AD3671" s="4">
        <v>66</v>
      </c>
      <c r="AE3671" s="4">
        <v>70</v>
      </c>
      <c r="AF3671" s="4">
        <v>0</v>
      </c>
      <c r="AG3671" s="4">
        <v>0</v>
      </c>
      <c r="AH3671" s="4">
        <v>63</v>
      </c>
      <c r="AI3671" s="4">
        <v>66</v>
      </c>
      <c r="AJ3671" s="4">
        <v>6</v>
      </c>
      <c r="AK3671" s="4">
        <v>7</v>
      </c>
      <c r="AL3671" s="4">
        <v>41</v>
      </c>
      <c r="AM3671" s="4">
        <v>41</v>
      </c>
      <c r="AN3671" s="4">
        <v>0</v>
      </c>
      <c r="AO3671" s="4">
        <v>0</v>
      </c>
      <c r="AP3671" s="4">
        <v>7</v>
      </c>
      <c r="AQ3671" s="4">
        <v>9</v>
      </c>
      <c r="AR3671" s="3" t="s">
        <v>64</v>
      </c>
      <c r="AS3671" s="3" t="s">
        <v>64</v>
      </c>
      <c r="AT3671" s="3" t="s">
        <v>64</v>
      </c>
      <c r="AV3671" s="6" t="str">
        <f>HYPERLINK("http://mcgill.on.worldcat.org/oclc/859252933","Catalog Record")</f>
        <v>Catalog Record</v>
      </c>
      <c r="AW3671" s="6" t="str">
        <f>HYPERLINK("http://www.worldcat.org/oclc/859252933","WorldCat Record")</f>
        <v>WorldCat Record</v>
      </c>
      <c r="AX3671" s="3" t="s">
        <v>36677</v>
      </c>
      <c r="AY3671" s="3" t="s">
        <v>36678</v>
      </c>
      <c r="AZ3671" s="3" t="s">
        <v>36679</v>
      </c>
      <c r="BA3671" s="3" t="s">
        <v>36679</v>
      </c>
      <c r="BB3671" s="3" t="s">
        <v>36680</v>
      </c>
      <c r="BC3671" s="3" t="s">
        <v>77</v>
      </c>
      <c r="BD3671" s="3" t="s">
        <v>78</v>
      </c>
      <c r="BE3671" s="3" t="s">
        <v>36681</v>
      </c>
      <c r="BF3671" s="3" t="s">
        <v>36680</v>
      </c>
      <c r="BG3671" s="3" t="s">
        <v>36682</v>
      </c>
      <c r="BH3671">
        <f t="shared" si="87"/>
        <v>0</v>
      </c>
    </row>
    <row r="3672" spans="1:60" ht="58" x14ac:dyDescent="0.35">
      <c r="A3672" s="2" t="s">
        <v>59</v>
      </c>
      <c r="B3672" s="2" t="s">
        <v>60</v>
      </c>
      <c r="C3672" s="2" t="s">
        <v>36683</v>
      </c>
      <c r="D3672" s="2" t="s">
        <v>36684</v>
      </c>
      <c r="E3672" s="2" t="s">
        <v>36685</v>
      </c>
      <c r="G3672" s="3" t="s">
        <v>64</v>
      </c>
      <c r="I3672" s="3" t="s">
        <v>64</v>
      </c>
      <c r="J3672" s="3" t="s">
        <v>64</v>
      </c>
      <c r="K3672" s="3" t="s">
        <v>65</v>
      </c>
      <c r="M3672" s="2" t="s">
        <v>36686</v>
      </c>
      <c r="N3672" s="3" t="s">
        <v>101</v>
      </c>
      <c r="P3672" s="3" t="s">
        <v>68</v>
      </c>
      <c r="Q3672" s="2" t="s">
        <v>36687</v>
      </c>
      <c r="R3672" s="3" t="s">
        <v>70</v>
      </c>
      <c r="S3672" s="4">
        <v>2</v>
      </c>
      <c r="T3672" s="4">
        <v>2</v>
      </c>
      <c r="U3672" s="5" t="s">
        <v>15687</v>
      </c>
      <c r="V3672" s="5" t="s">
        <v>15687</v>
      </c>
      <c r="W3672" s="5" t="s">
        <v>72</v>
      </c>
      <c r="X3672" s="5" t="s">
        <v>72</v>
      </c>
      <c r="Y3672" s="4">
        <v>66</v>
      </c>
      <c r="Z3672" s="4">
        <v>3</v>
      </c>
      <c r="AA3672" s="4">
        <v>10</v>
      </c>
      <c r="AB3672" s="4">
        <v>1</v>
      </c>
      <c r="AC3672" s="4">
        <v>6</v>
      </c>
      <c r="AD3672" s="4">
        <v>42</v>
      </c>
      <c r="AE3672" s="4">
        <v>47</v>
      </c>
      <c r="AF3672" s="4">
        <v>0</v>
      </c>
      <c r="AG3672" s="4">
        <v>4</v>
      </c>
      <c r="AH3672" s="4">
        <v>40</v>
      </c>
      <c r="AI3672" s="4">
        <v>42</v>
      </c>
      <c r="AJ3672" s="4">
        <v>2</v>
      </c>
      <c r="AK3672" s="4">
        <v>7</v>
      </c>
      <c r="AL3672" s="4">
        <v>30</v>
      </c>
      <c r="AM3672" s="4">
        <v>31</v>
      </c>
      <c r="AN3672" s="4">
        <v>0</v>
      </c>
      <c r="AO3672" s="4">
        <v>0</v>
      </c>
      <c r="AP3672" s="4">
        <v>2</v>
      </c>
      <c r="AQ3672" s="4">
        <v>6</v>
      </c>
      <c r="AR3672" s="3" t="s">
        <v>64</v>
      </c>
      <c r="AS3672" s="3" t="s">
        <v>64</v>
      </c>
      <c r="AT3672" s="3" t="s">
        <v>128</v>
      </c>
      <c r="AU3672" s="6" t="str">
        <f>HYPERLINK("http://catalog.hathitrust.org/Record/004345926","HathiTrust Record")</f>
        <v>HathiTrust Record</v>
      </c>
      <c r="AV3672" s="6" t="str">
        <f>HYPERLINK("http://mcgill.on.worldcat.org/oclc/52772318","Catalog Record")</f>
        <v>Catalog Record</v>
      </c>
      <c r="AW3672" s="6" t="str">
        <f>HYPERLINK("http://www.worldcat.org/oclc/52772318","WorldCat Record")</f>
        <v>WorldCat Record</v>
      </c>
      <c r="AX3672" s="3" t="s">
        <v>36688</v>
      </c>
      <c r="AY3672" s="3" t="s">
        <v>36689</v>
      </c>
      <c r="AZ3672" s="3" t="s">
        <v>36690</v>
      </c>
      <c r="BA3672" s="3" t="s">
        <v>36690</v>
      </c>
      <c r="BB3672" s="3" t="s">
        <v>36691</v>
      </c>
      <c r="BC3672" s="3" t="s">
        <v>77</v>
      </c>
      <c r="BD3672" s="3" t="s">
        <v>78</v>
      </c>
      <c r="BE3672" s="3" t="s">
        <v>36692</v>
      </c>
      <c r="BF3672" s="3" t="s">
        <v>36691</v>
      </c>
      <c r="BG3672" s="3" t="s">
        <v>36693</v>
      </c>
      <c r="BH3672">
        <f t="shared" si="87"/>
        <v>0</v>
      </c>
    </row>
    <row r="3673" spans="1:60" ht="58" x14ac:dyDescent="0.35">
      <c r="A3673" s="2" t="s">
        <v>59</v>
      </c>
      <c r="B3673" s="2" t="s">
        <v>60</v>
      </c>
      <c r="C3673" s="2" t="s">
        <v>36694</v>
      </c>
      <c r="D3673" s="2" t="s">
        <v>36695</v>
      </c>
      <c r="E3673" s="2" t="s">
        <v>36696</v>
      </c>
      <c r="G3673" s="3" t="s">
        <v>64</v>
      </c>
      <c r="I3673" s="3" t="s">
        <v>128</v>
      </c>
      <c r="J3673" s="3" t="s">
        <v>64</v>
      </c>
      <c r="K3673" s="3" t="s">
        <v>65</v>
      </c>
      <c r="L3673" s="2" t="s">
        <v>36697</v>
      </c>
      <c r="M3673" s="2" t="s">
        <v>36698</v>
      </c>
      <c r="N3673" s="3" t="s">
        <v>171</v>
      </c>
      <c r="P3673" s="3" t="s">
        <v>102</v>
      </c>
      <c r="R3673" s="3" t="s">
        <v>70</v>
      </c>
      <c r="S3673" s="4">
        <v>41</v>
      </c>
      <c r="T3673" s="4">
        <v>44</v>
      </c>
      <c r="U3673" s="5" t="s">
        <v>14927</v>
      </c>
      <c r="V3673" s="5" t="s">
        <v>14927</v>
      </c>
      <c r="W3673" s="5" t="s">
        <v>72</v>
      </c>
      <c r="X3673" s="5" t="s">
        <v>72</v>
      </c>
      <c r="Y3673" s="4">
        <v>288</v>
      </c>
      <c r="Z3673" s="4">
        <v>19</v>
      </c>
      <c r="AA3673" s="4">
        <v>22</v>
      </c>
      <c r="AB3673" s="4">
        <v>2</v>
      </c>
      <c r="AC3673" s="4">
        <v>3</v>
      </c>
      <c r="AD3673" s="4">
        <v>79</v>
      </c>
      <c r="AE3673" s="4">
        <v>81</v>
      </c>
      <c r="AF3673" s="4">
        <v>0</v>
      </c>
      <c r="AG3673" s="4">
        <v>1</v>
      </c>
      <c r="AH3673" s="4">
        <v>73</v>
      </c>
      <c r="AI3673" s="4">
        <v>73</v>
      </c>
      <c r="AJ3673" s="4">
        <v>10</v>
      </c>
      <c r="AK3673" s="4">
        <v>12</v>
      </c>
      <c r="AL3673" s="4">
        <v>42</v>
      </c>
      <c r="AM3673" s="4">
        <v>42</v>
      </c>
      <c r="AN3673" s="4">
        <v>0</v>
      </c>
      <c r="AO3673" s="4">
        <v>0</v>
      </c>
      <c r="AP3673" s="4">
        <v>13</v>
      </c>
      <c r="AQ3673" s="4">
        <v>14</v>
      </c>
      <c r="AR3673" s="3" t="s">
        <v>64</v>
      </c>
      <c r="AS3673" s="3" t="s">
        <v>64</v>
      </c>
      <c r="AT3673" s="3" t="s">
        <v>128</v>
      </c>
      <c r="AU3673" s="6" t="str">
        <f>HYPERLINK("http://catalog.hathitrust.org/Record/005539128","HathiTrust Record")</f>
        <v>HathiTrust Record</v>
      </c>
      <c r="AV3673" s="6" t="str">
        <f>HYPERLINK("http://mcgill.on.worldcat.org/oclc/65468436","Catalog Record")</f>
        <v>Catalog Record</v>
      </c>
      <c r="AW3673" s="6" t="str">
        <f>HYPERLINK("http://www.worldcat.org/oclc/65468436","WorldCat Record")</f>
        <v>WorldCat Record</v>
      </c>
      <c r="AX3673" s="3" t="s">
        <v>36699</v>
      </c>
      <c r="AY3673" s="3" t="s">
        <v>36700</v>
      </c>
      <c r="AZ3673" s="3" t="s">
        <v>36701</v>
      </c>
      <c r="BA3673" s="3" t="s">
        <v>36701</v>
      </c>
      <c r="BB3673" s="3" t="s">
        <v>36702</v>
      </c>
      <c r="BC3673" s="3" t="s">
        <v>77</v>
      </c>
      <c r="BD3673" s="3" t="s">
        <v>78</v>
      </c>
      <c r="BE3673" s="3" t="s">
        <v>36703</v>
      </c>
      <c r="BF3673" s="3" t="s">
        <v>36702</v>
      </c>
      <c r="BG3673" s="3" t="s">
        <v>36704</v>
      </c>
      <c r="BH3673">
        <f t="shared" si="87"/>
        <v>0</v>
      </c>
    </row>
    <row r="3674" spans="1:60" ht="58" x14ac:dyDescent="0.35">
      <c r="A3674" s="2" t="s">
        <v>59</v>
      </c>
      <c r="B3674" s="2" t="s">
        <v>60</v>
      </c>
      <c r="C3674" s="2" t="s">
        <v>36694</v>
      </c>
      <c r="D3674" s="2" t="s">
        <v>36695</v>
      </c>
      <c r="E3674" s="2" t="s">
        <v>36696</v>
      </c>
      <c r="G3674" s="3" t="s">
        <v>64</v>
      </c>
      <c r="I3674" s="3" t="s">
        <v>128</v>
      </c>
      <c r="J3674" s="3" t="s">
        <v>64</v>
      </c>
      <c r="K3674" s="3" t="s">
        <v>65</v>
      </c>
      <c r="L3674" s="2" t="s">
        <v>36697</v>
      </c>
      <c r="M3674" s="2" t="s">
        <v>36698</v>
      </c>
      <c r="N3674" s="3" t="s">
        <v>171</v>
      </c>
      <c r="P3674" s="3" t="s">
        <v>102</v>
      </c>
      <c r="R3674" s="3" t="s">
        <v>70</v>
      </c>
      <c r="S3674" s="4">
        <v>3</v>
      </c>
      <c r="T3674" s="4">
        <v>44</v>
      </c>
      <c r="U3674" s="5" t="s">
        <v>14841</v>
      </c>
      <c r="V3674" s="5" t="s">
        <v>14927</v>
      </c>
      <c r="W3674" s="5" t="s">
        <v>72</v>
      </c>
      <c r="X3674" s="5" t="s">
        <v>72</v>
      </c>
      <c r="Y3674" s="4">
        <v>288</v>
      </c>
      <c r="Z3674" s="4">
        <v>19</v>
      </c>
      <c r="AA3674" s="4">
        <v>22</v>
      </c>
      <c r="AB3674" s="4">
        <v>2</v>
      </c>
      <c r="AC3674" s="4">
        <v>3</v>
      </c>
      <c r="AD3674" s="4">
        <v>79</v>
      </c>
      <c r="AE3674" s="4">
        <v>81</v>
      </c>
      <c r="AF3674" s="4">
        <v>0</v>
      </c>
      <c r="AG3674" s="4">
        <v>1</v>
      </c>
      <c r="AH3674" s="4">
        <v>73</v>
      </c>
      <c r="AI3674" s="4">
        <v>73</v>
      </c>
      <c r="AJ3674" s="4">
        <v>10</v>
      </c>
      <c r="AK3674" s="4">
        <v>12</v>
      </c>
      <c r="AL3674" s="4">
        <v>42</v>
      </c>
      <c r="AM3674" s="4">
        <v>42</v>
      </c>
      <c r="AN3674" s="4">
        <v>0</v>
      </c>
      <c r="AO3674" s="4">
        <v>0</v>
      </c>
      <c r="AP3674" s="4">
        <v>13</v>
      </c>
      <c r="AQ3674" s="4">
        <v>14</v>
      </c>
      <c r="AR3674" s="3" t="s">
        <v>64</v>
      </c>
      <c r="AS3674" s="3" t="s">
        <v>64</v>
      </c>
      <c r="AT3674" s="3" t="s">
        <v>128</v>
      </c>
      <c r="AU3674" s="6" t="str">
        <f>HYPERLINK("http://catalog.hathitrust.org/Record/005539128","HathiTrust Record")</f>
        <v>HathiTrust Record</v>
      </c>
      <c r="AV3674" s="6" t="str">
        <f>HYPERLINK("http://mcgill.on.worldcat.org/oclc/65468436","Catalog Record")</f>
        <v>Catalog Record</v>
      </c>
      <c r="AW3674" s="6" t="str">
        <f>HYPERLINK("http://www.worldcat.org/oclc/65468436","WorldCat Record")</f>
        <v>WorldCat Record</v>
      </c>
      <c r="AX3674" s="3" t="s">
        <v>36699</v>
      </c>
      <c r="AY3674" s="3" t="s">
        <v>36700</v>
      </c>
      <c r="AZ3674" s="3" t="s">
        <v>36701</v>
      </c>
      <c r="BA3674" s="3" t="s">
        <v>36701</v>
      </c>
      <c r="BB3674" s="3" t="s">
        <v>36705</v>
      </c>
      <c r="BC3674" s="3" t="s">
        <v>77</v>
      </c>
      <c r="BD3674" s="3" t="s">
        <v>78</v>
      </c>
      <c r="BE3674" s="3" t="s">
        <v>36703</v>
      </c>
      <c r="BF3674" s="3" t="s">
        <v>36705</v>
      </c>
      <c r="BG3674" s="3" t="s">
        <v>36706</v>
      </c>
      <c r="BH3674">
        <f t="shared" si="87"/>
        <v>0</v>
      </c>
    </row>
    <row r="3675" spans="1:60" ht="58" x14ac:dyDescent="0.35">
      <c r="A3675" s="2" t="s">
        <v>59</v>
      </c>
      <c r="B3675" s="2" t="s">
        <v>60</v>
      </c>
      <c r="C3675" s="2" t="s">
        <v>36707</v>
      </c>
      <c r="D3675" s="2" t="s">
        <v>36708</v>
      </c>
      <c r="E3675" s="2" t="s">
        <v>36709</v>
      </c>
      <c r="G3675" s="3" t="s">
        <v>64</v>
      </c>
      <c r="I3675" s="3" t="s">
        <v>64</v>
      </c>
      <c r="J3675" s="3" t="s">
        <v>64</v>
      </c>
      <c r="K3675" s="3" t="s">
        <v>65</v>
      </c>
      <c r="L3675" s="2" t="s">
        <v>14292</v>
      </c>
      <c r="M3675" s="2" t="s">
        <v>36710</v>
      </c>
      <c r="N3675" s="3" t="s">
        <v>1615</v>
      </c>
      <c r="O3675" s="2" t="s">
        <v>1566</v>
      </c>
      <c r="P3675" s="3" t="s">
        <v>102</v>
      </c>
      <c r="R3675" s="3" t="s">
        <v>70</v>
      </c>
      <c r="S3675" s="4">
        <v>53</v>
      </c>
      <c r="T3675" s="4">
        <v>53</v>
      </c>
      <c r="U3675" s="5" t="s">
        <v>36711</v>
      </c>
      <c r="V3675" s="5" t="s">
        <v>36711</v>
      </c>
      <c r="W3675" s="5" t="s">
        <v>72</v>
      </c>
      <c r="X3675" s="5" t="s">
        <v>72</v>
      </c>
      <c r="Y3675" s="4">
        <v>1606</v>
      </c>
      <c r="Z3675" s="4">
        <v>48</v>
      </c>
      <c r="AA3675" s="4">
        <v>135</v>
      </c>
      <c r="AB3675" s="4">
        <v>1</v>
      </c>
      <c r="AC3675" s="4">
        <v>10</v>
      </c>
      <c r="AD3675" s="4">
        <v>110</v>
      </c>
      <c r="AE3675" s="4">
        <v>157</v>
      </c>
      <c r="AF3675" s="4">
        <v>0</v>
      </c>
      <c r="AG3675" s="4">
        <v>5</v>
      </c>
      <c r="AH3675" s="4">
        <v>89</v>
      </c>
      <c r="AI3675" s="4">
        <v>112</v>
      </c>
      <c r="AJ3675" s="4">
        <v>9</v>
      </c>
      <c r="AK3675" s="4">
        <v>27</v>
      </c>
      <c r="AL3675" s="4">
        <v>48</v>
      </c>
      <c r="AM3675" s="4">
        <v>60</v>
      </c>
      <c r="AN3675" s="4">
        <v>5</v>
      </c>
      <c r="AO3675" s="4">
        <v>5</v>
      </c>
      <c r="AP3675" s="4">
        <v>21</v>
      </c>
      <c r="AQ3675" s="4">
        <v>49</v>
      </c>
      <c r="AR3675" s="3" t="s">
        <v>64</v>
      </c>
      <c r="AS3675" s="3" t="s">
        <v>64</v>
      </c>
      <c r="AT3675" s="3" t="s">
        <v>128</v>
      </c>
      <c r="AU3675" s="6" t="str">
        <f>HYPERLINK("http://catalog.hathitrust.org/Record/003177875","HathiTrust Record")</f>
        <v>HathiTrust Record</v>
      </c>
      <c r="AV3675" s="6" t="str">
        <f>HYPERLINK("http://mcgill.on.worldcat.org/oclc/34633305","Catalog Record")</f>
        <v>Catalog Record</v>
      </c>
      <c r="AW3675" s="6" t="str">
        <f>HYPERLINK("http://www.worldcat.org/oclc/34633305","WorldCat Record")</f>
        <v>WorldCat Record</v>
      </c>
      <c r="AX3675" s="3" t="s">
        <v>36712</v>
      </c>
      <c r="AY3675" s="3" t="s">
        <v>36713</v>
      </c>
      <c r="AZ3675" s="3" t="s">
        <v>36714</v>
      </c>
      <c r="BA3675" s="3" t="s">
        <v>36714</v>
      </c>
      <c r="BB3675" s="3" t="s">
        <v>36715</v>
      </c>
      <c r="BC3675" s="3" t="s">
        <v>77</v>
      </c>
      <c r="BD3675" s="3" t="s">
        <v>78</v>
      </c>
      <c r="BE3675" s="3" t="s">
        <v>36716</v>
      </c>
      <c r="BF3675" s="3" t="s">
        <v>36715</v>
      </c>
      <c r="BG3675" s="3" t="s">
        <v>36717</v>
      </c>
      <c r="BH3675">
        <f t="shared" si="87"/>
        <v>0</v>
      </c>
    </row>
    <row r="3676" spans="1:60" ht="58" x14ac:dyDescent="0.35">
      <c r="A3676" s="2" t="s">
        <v>59</v>
      </c>
      <c r="B3676" s="2" t="s">
        <v>60</v>
      </c>
      <c r="C3676" s="2" t="s">
        <v>36718</v>
      </c>
      <c r="D3676" s="2" t="s">
        <v>36719</v>
      </c>
      <c r="E3676" s="2" t="s">
        <v>36720</v>
      </c>
      <c r="G3676" s="3" t="s">
        <v>64</v>
      </c>
      <c r="I3676" s="3" t="s">
        <v>64</v>
      </c>
      <c r="J3676" s="3" t="s">
        <v>64</v>
      </c>
      <c r="K3676" s="3" t="s">
        <v>65</v>
      </c>
      <c r="L3676" s="2" t="s">
        <v>14292</v>
      </c>
      <c r="M3676" s="2" t="s">
        <v>36721</v>
      </c>
      <c r="N3676" s="3" t="s">
        <v>511</v>
      </c>
      <c r="P3676" s="3" t="s">
        <v>102</v>
      </c>
      <c r="R3676" s="3" t="s">
        <v>70</v>
      </c>
      <c r="S3676" s="4">
        <v>9</v>
      </c>
      <c r="T3676" s="4">
        <v>9</v>
      </c>
      <c r="U3676" s="5" t="s">
        <v>9368</v>
      </c>
      <c r="V3676" s="5" t="s">
        <v>9368</v>
      </c>
      <c r="W3676" s="5" t="s">
        <v>72</v>
      </c>
      <c r="X3676" s="5" t="s">
        <v>72</v>
      </c>
      <c r="Y3676" s="4">
        <v>649</v>
      </c>
      <c r="Z3676" s="4">
        <v>49</v>
      </c>
      <c r="AA3676" s="4">
        <v>120</v>
      </c>
      <c r="AB3676" s="4">
        <v>3</v>
      </c>
      <c r="AC3676" s="4">
        <v>19</v>
      </c>
      <c r="AD3676" s="4">
        <v>87</v>
      </c>
      <c r="AE3676" s="4">
        <v>141</v>
      </c>
      <c r="AF3676" s="4">
        <v>0</v>
      </c>
      <c r="AG3676" s="4">
        <v>8</v>
      </c>
      <c r="AH3676" s="4">
        <v>72</v>
      </c>
      <c r="AI3676" s="4">
        <v>99</v>
      </c>
      <c r="AJ3676" s="4">
        <v>12</v>
      </c>
      <c r="AK3676" s="4">
        <v>26</v>
      </c>
      <c r="AL3676" s="4">
        <v>41</v>
      </c>
      <c r="AM3676" s="4">
        <v>51</v>
      </c>
      <c r="AN3676" s="4">
        <v>0</v>
      </c>
      <c r="AO3676" s="4">
        <v>0</v>
      </c>
      <c r="AP3676" s="4">
        <v>23</v>
      </c>
      <c r="AQ3676" s="4">
        <v>50</v>
      </c>
      <c r="AR3676" s="3" t="s">
        <v>64</v>
      </c>
      <c r="AS3676" s="3" t="s">
        <v>64</v>
      </c>
      <c r="AT3676" s="3" t="s">
        <v>64</v>
      </c>
      <c r="AV3676" s="6" t="str">
        <f>HYPERLINK("http://mcgill.on.worldcat.org/oclc/449854334","Catalog Record")</f>
        <v>Catalog Record</v>
      </c>
      <c r="AW3676" s="6" t="str">
        <f>HYPERLINK("http://www.worldcat.org/oclc/449854334","WorldCat Record")</f>
        <v>WorldCat Record</v>
      </c>
      <c r="AX3676" s="3" t="s">
        <v>36722</v>
      </c>
      <c r="AY3676" s="3" t="s">
        <v>36723</v>
      </c>
      <c r="AZ3676" s="3" t="s">
        <v>36724</v>
      </c>
      <c r="BA3676" s="3" t="s">
        <v>36724</v>
      </c>
      <c r="BB3676" s="3" t="s">
        <v>36725</v>
      </c>
      <c r="BC3676" s="3" t="s">
        <v>77</v>
      </c>
      <c r="BD3676" s="3" t="s">
        <v>78</v>
      </c>
      <c r="BE3676" s="3" t="s">
        <v>36726</v>
      </c>
      <c r="BF3676" s="3" t="s">
        <v>36725</v>
      </c>
      <c r="BG3676" s="3" t="s">
        <v>36727</v>
      </c>
      <c r="BH3676">
        <f t="shared" si="87"/>
        <v>0</v>
      </c>
    </row>
    <row r="3677" spans="1:60" ht="58" x14ac:dyDescent="0.35">
      <c r="A3677" s="2" t="s">
        <v>59</v>
      </c>
      <c r="B3677" s="2" t="s">
        <v>60</v>
      </c>
      <c r="C3677" s="2" t="s">
        <v>36728</v>
      </c>
      <c r="D3677" s="2" t="s">
        <v>36729</v>
      </c>
      <c r="E3677" s="2" t="s">
        <v>36730</v>
      </c>
      <c r="G3677" s="3" t="s">
        <v>64</v>
      </c>
      <c r="I3677" s="3" t="s">
        <v>64</v>
      </c>
      <c r="J3677" s="3" t="s">
        <v>64</v>
      </c>
      <c r="K3677" s="3" t="s">
        <v>65</v>
      </c>
      <c r="L3677" s="2" t="s">
        <v>14292</v>
      </c>
      <c r="M3677" s="2" t="s">
        <v>36731</v>
      </c>
      <c r="N3677" s="3" t="s">
        <v>86</v>
      </c>
      <c r="P3677" s="3" t="s">
        <v>1479</v>
      </c>
      <c r="Q3677" s="2" t="s">
        <v>36732</v>
      </c>
      <c r="R3677" s="3" t="s">
        <v>70</v>
      </c>
      <c r="S3677" s="4">
        <v>0</v>
      </c>
      <c r="T3677" s="4">
        <v>0</v>
      </c>
      <c r="W3677" s="5" t="s">
        <v>72</v>
      </c>
      <c r="X3677" s="5" t="s">
        <v>72</v>
      </c>
      <c r="Y3677" s="4">
        <v>8</v>
      </c>
      <c r="Z3677" s="4">
        <v>2</v>
      </c>
      <c r="AA3677" s="4">
        <v>4</v>
      </c>
      <c r="AB3677" s="4">
        <v>1</v>
      </c>
      <c r="AC3677" s="4">
        <v>1</v>
      </c>
      <c r="AD3677" s="4">
        <v>3</v>
      </c>
      <c r="AE3677" s="4">
        <v>4</v>
      </c>
      <c r="AF3677" s="4">
        <v>0</v>
      </c>
      <c r="AG3677" s="4">
        <v>0</v>
      </c>
      <c r="AH3677" s="4">
        <v>2</v>
      </c>
      <c r="AI3677" s="4">
        <v>3</v>
      </c>
      <c r="AJ3677" s="4">
        <v>1</v>
      </c>
      <c r="AK3677" s="4">
        <v>2</v>
      </c>
      <c r="AL3677" s="4">
        <v>0</v>
      </c>
      <c r="AM3677" s="4">
        <v>1</v>
      </c>
      <c r="AN3677" s="4">
        <v>0</v>
      </c>
      <c r="AO3677" s="4">
        <v>0</v>
      </c>
      <c r="AP3677" s="4">
        <v>1</v>
      </c>
      <c r="AQ3677" s="4">
        <v>2</v>
      </c>
      <c r="AR3677" s="3" t="s">
        <v>64</v>
      </c>
      <c r="AS3677" s="3" t="s">
        <v>64</v>
      </c>
      <c r="AT3677" s="3" t="s">
        <v>64</v>
      </c>
      <c r="AV3677" s="6" t="str">
        <f>HYPERLINK("http://mcgill.on.worldcat.org/oclc/823743756","Catalog Record")</f>
        <v>Catalog Record</v>
      </c>
      <c r="AW3677" s="6" t="str">
        <f>HYPERLINK("http://www.worldcat.org/oclc/823743756","WorldCat Record")</f>
        <v>WorldCat Record</v>
      </c>
      <c r="AX3677" s="3" t="s">
        <v>36733</v>
      </c>
      <c r="AY3677" s="3" t="s">
        <v>36734</v>
      </c>
      <c r="AZ3677" s="3" t="s">
        <v>36735</v>
      </c>
      <c r="BA3677" s="3" t="s">
        <v>36735</v>
      </c>
      <c r="BB3677" s="3" t="s">
        <v>36736</v>
      </c>
      <c r="BC3677" s="3" t="s">
        <v>77</v>
      </c>
      <c r="BD3677" s="3" t="s">
        <v>78</v>
      </c>
      <c r="BE3677" s="3" t="s">
        <v>36737</v>
      </c>
      <c r="BF3677" s="3" t="s">
        <v>36736</v>
      </c>
      <c r="BG3677" s="3" t="s">
        <v>36738</v>
      </c>
      <c r="BH3677">
        <f t="shared" si="87"/>
        <v>0</v>
      </c>
    </row>
    <row r="3678" spans="1:60" ht="58" x14ac:dyDescent="0.35">
      <c r="A3678" s="2" t="s">
        <v>59</v>
      </c>
      <c r="B3678" s="2" t="s">
        <v>60</v>
      </c>
      <c r="C3678" s="2" t="s">
        <v>36739</v>
      </c>
      <c r="D3678" s="2" t="s">
        <v>36740</v>
      </c>
      <c r="E3678" s="2" t="s">
        <v>36741</v>
      </c>
      <c r="G3678" s="3" t="s">
        <v>64</v>
      </c>
      <c r="I3678" s="3" t="s">
        <v>64</v>
      </c>
      <c r="J3678" s="3" t="s">
        <v>64</v>
      </c>
      <c r="K3678" s="3" t="s">
        <v>183</v>
      </c>
      <c r="L3678" s="2" t="s">
        <v>36742</v>
      </c>
      <c r="M3678" s="2" t="s">
        <v>36743</v>
      </c>
      <c r="N3678" s="3" t="s">
        <v>36744</v>
      </c>
      <c r="P3678" s="3" t="s">
        <v>102</v>
      </c>
      <c r="R3678" s="3" t="s">
        <v>70</v>
      </c>
      <c r="S3678" s="4">
        <v>1</v>
      </c>
      <c r="T3678" s="4">
        <v>1</v>
      </c>
      <c r="U3678" s="5" t="s">
        <v>26042</v>
      </c>
      <c r="V3678" s="5" t="s">
        <v>26042</v>
      </c>
      <c r="W3678" s="5" t="s">
        <v>72</v>
      </c>
      <c r="X3678" s="5" t="s">
        <v>72</v>
      </c>
      <c r="Y3678" s="4">
        <v>19</v>
      </c>
      <c r="Z3678" s="4">
        <v>1</v>
      </c>
      <c r="AA3678" s="4">
        <v>3</v>
      </c>
      <c r="AB3678" s="4">
        <v>1</v>
      </c>
      <c r="AC3678" s="4">
        <v>2</v>
      </c>
      <c r="AD3678" s="4">
        <v>1</v>
      </c>
      <c r="AE3678" s="4">
        <v>9</v>
      </c>
      <c r="AF3678" s="4">
        <v>0</v>
      </c>
      <c r="AG3678" s="4">
        <v>0</v>
      </c>
      <c r="AH3678" s="4">
        <v>1</v>
      </c>
      <c r="AI3678" s="4">
        <v>8</v>
      </c>
      <c r="AJ3678" s="4">
        <v>0</v>
      </c>
      <c r="AK3678" s="4">
        <v>0</v>
      </c>
      <c r="AL3678" s="4">
        <v>0</v>
      </c>
      <c r="AM3678" s="4">
        <v>4</v>
      </c>
      <c r="AN3678" s="4">
        <v>0</v>
      </c>
      <c r="AO3678" s="4">
        <v>0</v>
      </c>
      <c r="AP3678" s="4">
        <v>0</v>
      </c>
      <c r="AQ3678" s="4">
        <v>1</v>
      </c>
      <c r="AR3678" s="3" t="s">
        <v>64</v>
      </c>
      <c r="AS3678" s="3" t="s">
        <v>64</v>
      </c>
      <c r="AT3678" s="3" t="s">
        <v>64</v>
      </c>
      <c r="AV3678" s="6" t="str">
        <f>HYPERLINK("http://mcgill.on.worldcat.org/oclc/222549754","Catalog Record")</f>
        <v>Catalog Record</v>
      </c>
      <c r="AW3678" s="6" t="str">
        <f>HYPERLINK("http://www.worldcat.org/oclc/222549754","WorldCat Record")</f>
        <v>WorldCat Record</v>
      </c>
      <c r="AX3678" s="3" t="s">
        <v>36745</v>
      </c>
      <c r="AY3678" s="3" t="s">
        <v>36746</v>
      </c>
      <c r="AZ3678" s="3" t="s">
        <v>36747</v>
      </c>
      <c r="BA3678" s="3" t="s">
        <v>36747</v>
      </c>
      <c r="BB3678" s="3" t="s">
        <v>36748</v>
      </c>
      <c r="BC3678" s="3" t="s">
        <v>77</v>
      </c>
      <c r="BD3678" s="3" t="s">
        <v>78</v>
      </c>
      <c r="BF3678" s="3" t="s">
        <v>36748</v>
      </c>
      <c r="BG3678" s="3" t="s">
        <v>36749</v>
      </c>
      <c r="BH3678">
        <f t="shared" si="87"/>
        <v>0</v>
      </c>
    </row>
    <row r="3679" spans="1:60" ht="58" x14ac:dyDescent="0.35">
      <c r="A3679" s="2" t="s">
        <v>59</v>
      </c>
      <c r="B3679" s="2" t="s">
        <v>60</v>
      </c>
      <c r="C3679" s="2" t="s">
        <v>36750</v>
      </c>
      <c r="D3679" s="2" t="s">
        <v>36751</v>
      </c>
      <c r="E3679" s="2" t="s">
        <v>36752</v>
      </c>
      <c r="G3679" s="3" t="s">
        <v>64</v>
      </c>
      <c r="I3679" s="3" t="s">
        <v>64</v>
      </c>
      <c r="J3679" s="3" t="s">
        <v>64</v>
      </c>
      <c r="K3679" s="3" t="s">
        <v>65</v>
      </c>
      <c r="L3679" s="2" t="s">
        <v>14292</v>
      </c>
      <c r="M3679" s="2" t="s">
        <v>36753</v>
      </c>
      <c r="N3679" s="3" t="s">
        <v>153</v>
      </c>
      <c r="P3679" s="3" t="s">
        <v>68</v>
      </c>
      <c r="R3679" s="3" t="s">
        <v>70</v>
      </c>
      <c r="S3679" s="4">
        <v>11</v>
      </c>
      <c r="T3679" s="4">
        <v>11</v>
      </c>
      <c r="U3679" s="5" t="s">
        <v>10271</v>
      </c>
      <c r="V3679" s="5" t="s">
        <v>10271</v>
      </c>
      <c r="W3679" s="5" t="s">
        <v>72</v>
      </c>
      <c r="X3679" s="5" t="s">
        <v>72</v>
      </c>
      <c r="Y3679" s="4">
        <v>189</v>
      </c>
      <c r="Z3679" s="4">
        <v>26</v>
      </c>
      <c r="AA3679" s="4">
        <v>28</v>
      </c>
      <c r="AB3679" s="4">
        <v>13</v>
      </c>
      <c r="AC3679" s="4">
        <v>14</v>
      </c>
      <c r="AD3679" s="4">
        <v>16</v>
      </c>
      <c r="AE3679" s="4">
        <v>17</v>
      </c>
      <c r="AF3679" s="4">
        <v>6</v>
      </c>
      <c r="AG3679" s="4">
        <v>6</v>
      </c>
      <c r="AH3679" s="4">
        <v>7</v>
      </c>
      <c r="AI3679" s="4">
        <v>8</v>
      </c>
      <c r="AJ3679" s="4">
        <v>12</v>
      </c>
      <c r="AK3679" s="4">
        <v>13</v>
      </c>
      <c r="AL3679" s="4">
        <v>2</v>
      </c>
      <c r="AM3679" s="4">
        <v>2</v>
      </c>
      <c r="AN3679" s="4">
        <v>0</v>
      </c>
      <c r="AO3679" s="4">
        <v>0</v>
      </c>
      <c r="AP3679" s="4">
        <v>11</v>
      </c>
      <c r="AQ3679" s="4">
        <v>12</v>
      </c>
      <c r="AR3679" s="3" t="s">
        <v>64</v>
      </c>
      <c r="AS3679" s="3" t="s">
        <v>64</v>
      </c>
      <c r="AT3679" s="3" t="s">
        <v>64</v>
      </c>
      <c r="AV3679" s="6" t="str">
        <f>HYPERLINK("http://mcgill.on.worldcat.org/oclc/39224460","Catalog Record")</f>
        <v>Catalog Record</v>
      </c>
      <c r="AW3679" s="6" t="str">
        <f>HYPERLINK("http://www.worldcat.org/oclc/39224460","WorldCat Record")</f>
        <v>WorldCat Record</v>
      </c>
      <c r="AX3679" s="3" t="s">
        <v>36754</v>
      </c>
      <c r="AY3679" s="3" t="s">
        <v>36755</v>
      </c>
      <c r="AZ3679" s="3" t="s">
        <v>36756</v>
      </c>
      <c r="BA3679" s="3" t="s">
        <v>36756</v>
      </c>
      <c r="BB3679" s="3" t="s">
        <v>36757</v>
      </c>
      <c r="BC3679" s="3" t="s">
        <v>77</v>
      </c>
      <c r="BD3679" s="3" t="s">
        <v>165</v>
      </c>
      <c r="BE3679" s="3" t="s">
        <v>36758</v>
      </c>
      <c r="BF3679" s="3" t="s">
        <v>36757</v>
      </c>
      <c r="BG3679" s="3" t="s">
        <v>36759</v>
      </c>
      <c r="BH3679">
        <f t="shared" si="87"/>
        <v>0</v>
      </c>
    </row>
    <row r="3680" spans="1:60" ht="58" x14ac:dyDescent="0.35">
      <c r="A3680" s="2" t="s">
        <v>59</v>
      </c>
      <c r="B3680" s="2" t="s">
        <v>60</v>
      </c>
      <c r="C3680" s="2" t="s">
        <v>36760</v>
      </c>
      <c r="D3680" s="2" t="s">
        <v>36761</v>
      </c>
      <c r="E3680" s="2" t="s">
        <v>36762</v>
      </c>
      <c r="G3680" s="3" t="s">
        <v>64</v>
      </c>
      <c r="I3680" s="3" t="s">
        <v>64</v>
      </c>
      <c r="J3680" s="3" t="s">
        <v>64</v>
      </c>
      <c r="K3680" s="3" t="s">
        <v>65</v>
      </c>
      <c r="M3680" s="2" t="s">
        <v>36763</v>
      </c>
      <c r="N3680" s="3" t="s">
        <v>86</v>
      </c>
      <c r="O3680" s="2" t="s">
        <v>117</v>
      </c>
      <c r="P3680" s="3" t="s">
        <v>102</v>
      </c>
      <c r="R3680" s="3" t="s">
        <v>70</v>
      </c>
      <c r="S3680" s="4">
        <v>3</v>
      </c>
      <c r="T3680" s="4">
        <v>3</v>
      </c>
      <c r="U3680" s="5" t="s">
        <v>3854</v>
      </c>
      <c r="V3680" s="5" t="s">
        <v>3854</v>
      </c>
      <c r="W3680" s="5" t="s">
        <v>72</v>
      </c>
      <c r="X3680" s="5" t="s">
        <v>72</v>
      </c>
      <c r="Y3680" s="4">
        <v>704</v>
      </c>
      <c r="Z3680" s="4">
        <v>20</v>
      </c>
      <c r="AA3680" s="4">
        <v>26</v>
      </c>
      <c r="AB3680" s="4">
        <v>3</v>
      </c>
      <c r="AC3680" s="4">
        <v>4</v>
      </c>
      <c r="AD3680" s="4">
        <v>21</v>
      </c>
      <c r="AE3680" s="4">
        <v>21</v>
      </c>
      <c r="AF3680" s="4">
        <v>0</v>
      </c>
      <c r="AG3680" s="4">
        <v>0</v>
      </c>
      <c r="AH3680" s="4">
        <v>19</v>
      </c>
      <c r="AI3680" s="4">
        <v>19</v>
      </c>
      <c r="AJ3680" s="4">
        <v>3</v>
      </c>
      <c r="AK3680" s="4">
        <v>3</v>
      </c>
      <c r="AL3680" s="4">
        <v>12</v>
      </c>
      <c r="AM3680" s="4">
        <v>12</v>
      </c>
      <c r="AN3680" s="4">
        <v>0</v>
      </c>
      <c r="AO3680" s="4">
        <v>0</v>
      </c>
      <c r="AP3680" s="4">
        <v>3</v>
      </c>
      <c r="AQ3680" s="4">
        <v>3</v>
      </c>
      <c r="AR3680" s="3" t="s">
        <v>64</v>
      </c>
      <c r="AS3680" s="3" t="s">
        <v>64</v>
      </c>
      <c r="AT3680" s="3" t="s">
        <v>64</v>
      </c>
      <c r="AV3680" s="6" t="str">
        <f>HYPERLINK("http://mcgill.on.worldcat.org/oclc/776523560","Catalog Record")</f>
        <v>Catalog Record</v>
      </c>
      <c r="AW3680" s="6" t="str">
        <f>HYPERLINK("http://www.worldcat.org/oclc/776523560","WorldCat Record")</f>
        <v>WorldCat Record</v>
      </c>
      <c r="AX3680" s="3" t="s">
        <v>36764</v>
      </c>
      <c r="AY3680" s="3" t="s">
        <v>36765</v>
      </c>
      <c r="AZ3680" s="3" t="s">
        <v>36766</v>
      </c>
      <c r="BA3680" s="3" t="s">
        <v>36766</v>
      </c>
      <c r="BB3680" s="3" t="s">
        <v>36767</v>
      </c>
      <c r="BC3680" s="3" t="s">
        <v>77</v>
      </c>
      <c r="BD3680" s="3" t="s">
        <v>78</v>
      </c>
      <c r="BE3680" s="3" t="s">
        <v>36768</v>
      </c>
      <c r="BF3680" s="3" t="s">
        <v>36767</v>
      </c>
      <c r="BG3680" s="3" t="s">
        <v>36769</v>
      </c>
      <c r="BH3680">
        <f t="shared" si="87"/>
        <v>0</v>
      </c>
    </row>
    <row r="3681" spans="1:60" ht="58" x14ac:dyDescent="0.35">
      <c r="A3681" s="2" t="s">
        <v>59</v>
      </c>
      <c r="B3681" s="2" t="s">
        <v>60</v>
      </c>
      <c r="C3681" s="2" t="s">
        <v>36770</v>
      </c>
      <c r="D3681" s="2" t="s">
        <v>36771</v>
      </c>
      <c r="E3681" s="2" t="s">
        <v>36772</v>
      </c>
      <c r="G3681" s="3" t="s">
        <v>64</v>
      </c>
      <c r="I3681" s="3" t="s">
        <v>64</v>
      </c>
      <c r="J3681" s="3" t="s">
        <v>64</v>
      </c>
      <c r="K3681" s="3" t="s">
        <v>65</v>
      </c>
      <c r="L3681" s="2" t="s">
        <v>36773</v>
      </c>
      <c r="M3681" s="2" t="s">
        <v>36774</v>
      </c>
      <c r="N3681" s="3" t="s">
        <v>3330</v>
      </c>
      <c r="P3681" s="3" t="s">
        <v>102</v>
      </c>
      <c r="R3681" s="3" t="s">
        <v>70</v>
      </c>
      <c r="S3681" s="4">
        <v>17</v>
      </c>
      <c r="T3681" s="4">
        <v>17</v>
      </c>
      <c r="U3681" s="5" t="s">
        <v>29150</v>
      </c>
      <c r="V3681" s="5" t="s">
        <v>29150</v>
      </c>
      <c r="W3681" s="5" t="s">
        <v>72</v>
      </c>
      <c r="X3681" s="5" t="s">
        <v>72</v>
      </c>
      <c r="Y3681" s="4">
        <v>911</v>
      </c>
      <c r="Z3681" s="4">
        <v>48</v>
      </c>
      <c r="AA3681" s="4">
        <v>53</v>
      </c>
      <c r="AB3681" s="4">
        <v>4</v>
      </c>
      <c r="AC3681" s="4">
        <v>7</v>
      </c>
      <c r="AD3681" s="4">
        <v>132</v>
      </c>
      <c r="AE3681" s="4">
        <v>137</v>
      </c>
      <c r="AF3681" s="4">
        <v>2</v>
      </c>
      <c r="AG3681" s="4">
        <v>4</v>
      </c>
      <c r="AH3681" s="4">
        <v>105</v>
      </c>
      <c r="AI3681" s="4">
        <v>106</v>
      </c>
      <c r="AJ3681" s="4">
        <v>18</v>
      </c>
      <c r="AK3681" s="4">
        <v>20</v>
      </c>
      <c r="AL3681" s="4">
        <v>57</v>
      </c>
      <c r="AM3681" s="4">
        <v>59</v>
      </c>
      <c r="AN3681" s="4">
        <v>0</v>
      </c>
      <c r="AO3681" s="4">
        <v>0</v>
      </c>
      <c r="AP3681" s="4">
        <v>33</v>
      </c>
      <c r="AQ3681" s="4">
        <v>35</v>
      </c>
      <c r="AR3681" s="3" t="s">
        <v>64</v>
      </c>
      <c r="AS3681" s="3" t="s">
        <v>64</v>
      </c>
      <c r="AT3681" s="3" t="s">
        <v>64</v>
      </c>
      <c r="AV3681" s="6" t="str">
        <f>HYPERLINK("http://mcgill.on.worldcat.org/oclc/15791755","Catalog Record")</f>
        <v>Catalog Record</v>
      </c>
      <c r="AW3681" s="6" t="str">
        <f>HYPERLINK("http://www.worldcat.org/oclc/15791755","WorldCat Record")</f>
        <v>WorldCat Record</v>
      </c>
      <c r="AX3681" s="3" t="s">
        <v>36775</v>
      </c>
      <c r="AY3681" s="3" t="s">
        <v>36776</v>
      </c>
      <c r="AZ3681" s="3" t="s">
        <v>36777</v>
      </c>
      <c r="BA3681" s="3" t="s">
        <v>36777</v>
      </c>
      <c r="BB3681" s="3" t="s">
        <v>36778</v>
      </c>
      <c r="BC3681" s="3" t="s">
        <v>77</v>
      </c>
      <c r="BD3681" s="3" t="s">
        <v>78</v>
      </c>
      <c r="BE3681" s="3" t="s">
        <v>36779</v>
      </c>
      <c r="BF3681" s="3" t="s">
        <v>36778</v>
      </c>
      <c r="BG3681" s="3" t="s">
        <v>36780</v>
      </c>
      <c r="BH3681">
        <f t="shared" si="87"/>
        <v>0</v>
      </c>
    </row>
    <row r="3682" spans="1:60" ht="58" x14ac:dyDescent="0.35">
      <c r="A3682" s="2" t="s">
        <v>59</v>
      </c>
      <c r="B3682" s="2" t="s">
        <v>60</v>
      </c>
      <c r="C3682" s="2" t="s">
        <v>36781</v>
      </c>
      <c r="D3682" s="2" t="s">
        <v>36782</v>
      </c>
      <c r="E3682" s="2" t="s">
        <v>36783</v>
      </c>
      <c r="G3682" s="3" t="s">
        <v>64</v>
      </c>
      <c r="I3682" s="3" t="s">
        <v>64</v>
      </c>
      <c r="J3682" s="3" t="s">
        <v>64</v>
      </c>
      <c r="K3682" s="3" t="s">
        <v>65</v>
      </c>
      <c r="L3682" s="2" t="s">
        <v>36784</v>
      </c>
      <c r="M3682" s="2" t="s">
        <v>36785</v>
      </c>
      <c r="N3682" s="3" t="s">
        <v>86</v>
      </c>
      <c r="P3682" s="3" t="s">
        <v>102</v>
      </c>
      <c r="R3682" s="3" t="s">
        <v>70</v>
      </c>
      <c r="S3682" s="4">
        <v>2</v>
      </c>
      <c r="T3682" s="4">
        <v>2</v>
      </c>
      <c r="U3682" s="5" t="s">
        <v>12793</v>
      </c>
      <c r="V3682" s="5" t="s">
        <v>12793</v>
      </c>
      <c r="W3682" s="5" t="s">
        <v>72</v>
      </c>
      <c r="X3682" s="5" t="s">
        <v>72</v>
      </c>
      <c r="Y3682" s="4">
        <v>112</v>
      </c>
      <c r="Z3682" s="4">
        <v>8</v>
      </c>
      <c r="AA3682" s="4">
        <v>19</v>
      </c>
      <c r="AB3682" s="4">
        <v>1</v>
      </c>
      <c r="AC3682" s="4">
        <v>7</v>
      </c>
      <c r="AD3682" s="4">
        <v>41</v>
      </c>
      <c r="AE3682" s="4">
        <v>55</v>
      </c>
      <c r="AF3682" s="4">
        <v>0</v>
      </c>
      <c r="AG3682" s="4">
        <v>2</v>
      </c>
      <c r="AH3682" s="4">
        <v>40</v>
      </c>
      <c r="AI3682" s="4">
        <v>52</v>
      </c>
      <c r="AJ3682" s="4">
        <v>3</v>
      </c>
      <c r="AK3682" s="4">
        <v>8</v>
      </c>
      <c r="AL3682" s="4">
        <v>27</v>
      </c>
      <c r="AM3682" s="4">
        <v>33</v>
      </c>
      <c r="AN3682" s="4">
        <v>0</v>
      </c>
      <c r="AO3682" s="4">
        <v>0</v>
      </c>
      <c r="AP3682" s="4">
        <v>4</v>
      </c>
      <c r="AQ3682" s="4">
        <v>9</v>
      </c>
      <c r="AR3682" s="3" t="s">
        <v>64</v>
      </c>
      <c r="AS3682" s="3" t="s">
        <v>64</v>
      </c>
      <c r="AT3682" s="3" t="s">
        <v>64</v>
      </c>
      <c r="AV3682" s="6" t="str">
        <f>HYPERLINK("http://mcgill.on.worldcat.org/oclc/711988998","Catalog Record")</f>
        <v>Catalog Record</v>
      </c>
      <c r="AW3682" s="6" t="str">
        <f>HYPERLINK("http://www.worldcat.org/oclc/711988998","WorldCat Record")</f>
        <v>WorldCat Record</v>
      </c>
      <c r="AX3682" s="3" t="s">
        <v>36786</v>
      </c>
      <c r="AY3682" s="3" t="s">
        <v>36787</v>
      </c>
      <c r="AZ3682" s="3" t="s">
        <v>36788</v>
      </c>
      <c r="BA3682" s="3" t="s">
        <v>36788</v>
      </c>
      <c r="BB3682" s="3" t="s">
        <v>36789</v>
      </c>
      <c r="BC3682" s="3" t="s">
        <v>77</v>
      </c>
      <c r="BD3682" s="3" t="s">
        <v>78</v>
      </c>
      <c r="BE3682" s="3" t="s">
        <v>36790</v>
      </c>
      <c r="BF3682" s="3" t="s">
        <v>36789</v>
      </c>
      <c r="BG3682" s="3" t="s">
        <v>36791</v>
      </c>
      <c r="BH3682">
        <f t="shared" si="87"/>
        <v>0</v>
      </c>
    </row>
    <row r="3683" spans="1:60" ht="58" x14ac:dyDescent="0.35">
      <c r="A3683" s="2" t="s">
        <v>59</v>
      </c>
      <c r="B3683" s="2" t="s">
        <v>60</v>
      </c>
      <c r="C3683" s="2" t="s">
        <v>36792</v>
      </c>
      <c r="D3683" s="2" t="s">
        <v>36793</v>
      </c>
      <c r="E3683" s="2" t="s">
        <v>36794</v>
      </c>
      <c r="G3683" s="3" t="s">
        <v>64</v>
      </c>
      <c r="I3683" s="3" t="s">
        <v>64</v>
      </c>
      <c r="J3683" s="3" t="s">
        <v>64</v>
      </c>
      <c r="K3683" s="3" t="s">
        <v>65</v>
      </c>
      <c r="L3683" s="2" t="s">
        <v>36795</v>
      </c>
      <c r="M3683" s="2" t="s">
        <v>36796</v>
      </c>
      <c r="N3683" s="3" t="s">
        <v>67</v>
      </c>
      <c r="P3683" s="3" t="s">
        <v>102</v>
      </c>
      <c r="R3683" s="3" t="s">
        <v>70</v>
      </c>
      <c r="S3683" s="4">
        <v>3</v>
      </c>
      <c r="T3683" s="4">
        <v>3</v>
      </c>
      <c r="U3683" s="5" t="s">
        <v>18312</v>
      </c>
      <c r="V3683" s="5" t="s">
        <v>18312</v>
      </c>
      <c r="W3683" s="5" t="s">
        <v>72</v>
      </c>
      <c r="X3683" s="5" t="s">
        <v>72</v>
      </c>
      <c r="Y3683" s="4">
        <v>111</v>
      </c>
      <c r="Z3683" s="4">
        <v>3</v>
      </c>
      <c r="AA3683" s="4">
        <v>22</v>
      </c>
      <c r="AB3683" s="4">
        <v>1</v>
      </c>
      <c r="AC3683" s="4">
        <v>5</v>
      </c>
      <c r="AD3683" s="4">
        <v>17</v>
      </c>
      <c r="AE3683" s="4">
        <v>50</v>
      </c>
      <c r="AF3683" s="4">
        <v>0</v>
      </c>
      <c r="AG3683" s="4">
        <v>1</v>
      </c>
      <c r="AH3683" s="4">
        <v>15</v>
      </c>
      <c r="AI3683" s="4">
        <v>45</v>
      </c>
      <c r="AJ3683" s="4">
        <v>2</v>
      </c>
      <c r="AK3683" s="4">
        <v>7</v>
      </c>
      <c r="AL3683" s="4">
        <v>13</v>
      </c>
      <c r="AM3683" s="4">
        <v>32</v>
      </c>
      <c r="AN3683" s="4">
        <v>0</v>
      </c>
      <c r="AO3683" s="4">
        <v>0</v>
      </c>
      <c r="AP3683" s="4">
        <v>2</v>
      </c>
      <c r="AQ3683" s="4">
        <v>8</v>
      </c>
      <c r="AR3683" s="3" t="s">
        <v>64</v>
      </c>
      <c r="AS3683" s="3" t="s">
        <v>64</v>
      </c>
      <c r="AT3683" s="3" t="s">
        <v>64</v>
      </c>
      <c r="AV3683" s="6" t="str">
        <f>HYPERLINK("http://mcgill.on.worldcat.org/oclc/894094168","Catalog Record")</f>
        <v>Catalog Record</v>
      </c>
      <c r="AW3683" s="6" t="str">
        <f>HYPERLINK("http://www.worldcat.org/oclc/894094168","WorldCat Record")</f>
        <v>WorldCat Record</v>
      </c>
      <c r="AX3683" s="3" t="s">
        <v>36797</v>
      </c>
      <c r="AY3683" s="3" t="s">
        <v>36798</v>
      </c>
      <c r="AZ3683" s="3" t="s">
        <v>36799</v>
      </c>
      <c r="BA3683" s="3" t="s">
        <v>36799</v>
      </c>
      <c r="BB3683" s="3" t="s">
        <v>36800</v>
      </c>
      <c r="BC3683" s="3" t="s">
        <v>77</v>
      </c>
      <c r="BD3683" s="3" t="s">
        <v>78</v>
      </c>
      <c r="BE3683" s="3" t="s">
        <v>36801</v>
      </c>
      <c r="BF3683" s="3" t="s">
        <v>36800</v>
      </c>
      <c r="BG3683" s="3" t="s">
        <v>36802</v>
      </c>
      <c r="BH3683">
        <f t="shared" si="87"/>
        <v>0</v>
      </c>
    </row>
    <row r="3684" spans="1:60" ht="58" x14ac:dyDescent="0.35">
      <c r="A3684" s="2" t="s">
        <v>59</v>
      </c>
      <c r="B3684" s="2" t="s">
        <v>60</v>
      </c>
      <c r="C3684" s="2" t="s">
        <v>36803</v>
      </c>
      <c r="D3684" s="2" t="s">
        <v>36804</v>
      </c>
      <c r="E3684" s="2" t="s">
        <v>36805</v>
      </c>
      <c r="G3684" s="3" t="s">
        <v>64</v>
      </c>
      <c r="I3684" s="3" t="s">
        <v>64</v>
      </c>
      <c r="J3684" s="3" t="s">
        <v>64</v>
      </c>
      <c r="K3684" s="3" t="s">
        <v>65</v>
      </c>
      <c r="L3684" s="2" t="s">
        <v>36806</v>
      </c>
      <c r="M3684" s="2" t="s">
        <v>36807</v>
      </c>
      <c r="N3684" s="3" t="s">
        <v>86</v>
      </c>
      <c r="P3684" s="3" t="s">
        <v>102</v>
      </c>
      <c r="R3684" s="3" t="s">
        <v>70</v>
      </c>
      <c r="S3684" s="4">
        <v>26</v>
      </c>
      <c r="T3684" s="4">
        <v>26</v>
      </c>
      <c r="U3684" s="5" t="s">
        <v>27601</v>
      </c>
      <c r="V3684" s="5" t="s">
        <v>27601</v>
      </c>
      <c r="W3684" s="5" t="s">
        <v>72</v>
      </c>
      <c r="X3684" s="5" t="s">
        <v>72</v>
      </c>
      <c r="Y3684" s="4">
        <v>564</v>
      </c>
      <c r="Z3684" s="4">
        <v>43</v>
      </c>
      <c r="AA3684" s="4">
        <v>59</v>
      </c>
      <c r="AB3684" s="4">
        <v>2</v>
      </c>
      <c r="AC3684" s="4">
        <v>8</v>
      </c>
      <c r="AD3684" s="4">
        <v>90</v>
      </c>
      <c r="AE3684" s="4">
        <v>104</v>
      </c>
      <c r="AF3684" s="4">
        <v>1</v>
      </c>
      <c r="AG3684" s="4">
        <v>4</v>
      </c>
      <c r="AH3684" s="4">
        <v>78</v>
      </c>
      <c r="AI3684" s="4">
        <v>83</v>
      </c>
      <c r="AJ3684" s="4">
        <v>14</v>
      </c>
      <c r="AK3684" s="4">
        <v>21</v>
      </c>
      <c r="AL3684" s="4">
        <v>48</v>
      </c>
      <c r="AM3684" s="4">
        <v>51</v>
      </c>
      <c r="AN3684" s="4">
        <v>0</v>
      </c>
      <c r="AO3684" s="4">
        <v>0</v>
      </c>
      <c r="AP3684" s="4">
        <v>19</v>
      </c>
      <c r="AQ3684" s="4">
        <v>28</v>
      </c>
      <c r="AR3684" s="3" t="s">
        <v>64</v>
      </c>
      <c r="AS3684" s="3" t="s">
        <v>64</v>
      </c>
      <c r="AT3684" s="3" t="s">
        <v>64</v>
      </c>
      <c r="AV3684" s="6" t="str">
        <f>HYPERLINK("http://mcgill.on.worldcat.org/oclc/776033016","Catalog Record")</f>
        <v>Catalog Record</v>
      </c>
      <c r="AW3684" s="6" t="str">
        <f>HYPERLINK("http://www.worldcat.org/oclc/776033016","WorldCat Record")</f>
        <v>WorldCat Record</v>
      </c>
      <c r="AX3684" s="3" t="s">
        <v>36808</v>
      </c>
      <c r="AY3684" s="3" t="s">
        <v>36809</v>
      </c>
      <c r="AZ3684" s="3" t="s">
        <v>36810</v>
      </c>
      <c r="BA3684" s="3" t="s">
        <v>36810</v>
      </c>
      <c r="BB3684" s="3" t="s">
        <v>36811</v>
      </c>
      <c r="BC3684" s="3" t="s">
        <v>77</v>
      </c>
      <c r="BD3684" s="3" t="s">
        <v>78</v>
      </c>
      <c r="BE3684" s="3" t="s">
        <v>36812</v>
      </c>
      <c r="BF3684" s="3" t="s">
        <v>36811</v>
      </c>
      <c r="BG3684" s="3" t="s">
        <v>36813</v>
      </c>
      <c r="BH3684">
        <f t="shared" si="87"/>
        <v>0</v>
      </c>
    </row>
    <row r="3685" spans="1:60" ht="58" x14ac:dyDescent="0.35">
      <c r="A3685" s="2" t="s">
        <v>59</v>
      </c>
      <c r="B3685" s="2" t="s">
        <v>60</v>
      </c>
      <c r="C3685" s="2" t="s">
        <v>36814</v>
      </c>
      <c r="D3685" s="2" t="s">
        <v>36815</v>
      </c>
      <c r="E3685" s="2" t="s">
        <v>36816</v>
      </c>
      <c r="G3685" s="3" t="s">
        <v>64</v>
      </c>
      <c r="I3685" s="3" t="s">
        <v>64</v>
      </c>
      <c r="J3685" s="3" t="s">
        <v>64</v>
      </c>
      <c r="K3685" s="3" t="s">
        <v>65</v>
      </c>
      <c r="M3685" s="2" t="s">
        <v>36817</v>
      </c>
      <c r="N3685" s="3" t="s">
        <v>537</v>
      </c>
      <c r="P3685" s="3" t="s">
        <v>102</v>
      </c>
      <c r="Q3685" s="2" t="s">
        <v>565</v>
      </c>
      <c r="R3685" s="3" t="s">
        <v>70</v>
      </c>
      <c r="S3685" s="4">
        <v>14</v>
      </c>
      <c r="T3685" s="4">
        <v>14</v>
      </c>
      <c r="W3685" s="5" t="s">
        <v>72</v>
      </c>
      <c r="X3685" s="5" t="s">
        <v>72</v>
      </c>
      <c r="Y3685" s="4">
        <v>103</v>
      </c>
      <c r="Z3685" s="4">
        <v>16</v>
      </c>
      <c r="AA3685" s="4">
        <v>80</v>
      </c>
      <c r="AB3685" s="4">
        <v>1</v>
      </c>
      <c r="AC3685" s="4">
        <v>17</v>
      </c>
      <c r="AD3685" s="4">
        <v>48</v>
      </c>
      <c r="AE3685" s="4">
        <v>109</v>
      </c>
      <c r="AF3685" s="4">
        <v>0</v>
      </c>
      <c r="AG3685" s="4">
        <v>8</v>
      </c>
      <c r="AH3685" s="4">
        <v>40</v>
      </c>
      <c r="AI3685" s="4">
        <v>73</v>
      </c>
      <c r="AJ3685" s="4">
        <v>10</v>
      </c>
      <c r="AK3685" s="4">
        <v>22</v>
      </c>
      <c r="AL3685" s="4">
        <v>28</v>
      </c>
      <c r="AM3685" s="4">
        <v>42</v>
      </c>
      <c r="AN3685" s="4">
        <v>0</v>
      </c>
      <c r="AO3685" s="4">
        <v>0</v>
      </c>
      <c r="AP3685" s="4">
        <v>11</v>
      </c>
      <c r="AQ3685" s="4">
        <v>43</v>
      </c>
      <c r="AR3685" s="3" t="s">
        <v>128</v>
      </c>
      <c r="AS3685" s="3" t="s">
        <v>64</v>
      </c>
      <c r="AT3685" s="3" t="s">
        <v>64</v>
      </c>
      <c r="AV3685" s="6" t="str">
        <f>HYPERLINK("http://mcgill.on.worldcat.org/oclc/926742956","Catalog Record")</f>
        <v>Catalog Record</v>
      </c>
      <c r="AW3685" s="6" t="str">
        <f>HYPERLINK("http://www.worldcat.org/oclc/926742956","WorldCat Record")</f>
        <v>WorldCat Record</v>
      </c>
      <c r="AX3685" s="3" t="s">
        <v>36818</v>
      </c>
      <c r="AY3685" s="3" t="s">
        <v>36819</v>
      </c>
      <c r="AZ3685" s="3" t="s">
        <v>36820</v>
      </c>
      <c r="BA3685" s="3" t="s">
        <v>36820</v>
      </c>
      <c r="BB3685" s="3" t="s">
        <v>36821</v>
      </c>
      <c r="BC3685" s="3" t="s">
        <v>77</v>
      </c>
      <c r="BD3685" s="3" t="s">
        <v>165</v>
      </c>
      <c r="BE3685" s="3" t="s">
        <v>36822</v>
      </c>
      <c r="BF3685" s="3" t="s">
        <v>36821</v>
      </c>
      <c r="BG3685" s="3" t="s">
        <v>36823</v>
      </c>
      <c r="BH3685">
        <f t="shared" si="87"/>
        <v>0</v>
      </c>
    </row>
    <row r="3686" spans="1:60" ht="58" x14ac:dyDescent="0.35">
      <c r="A3686" s="2" t="s">
        <v>59</v>
      </c>
      <c r="B3686" s="2" t="s">
        <v>60</v>
      </c>
      <c r="C3686" s="2" t="s">
        <v>36824</v>
      </c>
      <c r="D3686" s="2" t="s">
        <v>36825</v>
      </c>
      <c r="E3686" s="2" t="s">
        <v>36826</v>
      </c>
      <c r="G3686" s="3" t="s">
        <v>64</v>
      </c>
      <c r="I3686" s="3" t="s">
        <v>64</v>
      </c>
      <c r="J3686" s="3" t="s">
        <v>128</v>
      </c>
      <c r="K3686" s="3" t="s">
        <v>65</v>
      </c>
      <c r="L3686" s="2" t="s">
        <v>36827</v>
      </c>
      <c r="M3686" s="2" t="s">
        <v>36828</v>
      </c>
      <c r="N3686" s="3" t="s">
        <v>4167</v>
      </c>
      <c r="P3686" s="3" t="s">
        <v>102</v>
      </c>
      <c r="R3686" s="3" t="s">
        <v>70</v>
      </c>
      <c r="S3686" s="4">
        <v>5</v>
      </c>
      <c r="T3686" s="4">
        <v>5</v>
      </c>
      <c r="U3686" s="5" t="s">
        <v>539</v>
      </c>
      <c r="V3686" s="5" t="s">
        <v>539</v>
      </c>
      <c r="W3686" s="5" t="s">
        <v>72</v>
      </c>
      <c r="X3686" s="5" t="s">
        <v>72</v>
      </c>
      <c r="Y3686" s="4">
        <v>27</v>
      </c>
      <c r="Z3686" s="4">
        <v>10</v>
      </c>
      <c r="AA3686" s="4">
        <v>48</v>
      </c>
      <c r="AB3686" s="4">
        <v>2</v>
      </c>
      <c r="AC3686" s="4">
        <v>11</v>
      </c>
      <c r="AD3686" s="4">
        <v>8</v>
      </c>
      <c r="AE3686" s="4">
        <v>123</v>
      </c>
      <c r="AF3686" s="4">
        <v>0</v>
      </c>
      <c r="AG3686" s="4">
        <v>5</v>
      </c>
      <c r="AH3686" s="4">
        <v>4</v>
      </c>
      <c r="AI3686" s="4">
        <v>100</v>
      </c>
      <c r="AJ3686" s="4">
        <v>3</v>
      </c>
      <c r="AK3686" s="4">
        <v>19</v>
      </c>
      <c r="AL3686" s="4">
        <v>3</v>
      </c>
      <c r="AM3686" s="4">
        <v>54</v>
      </c>
      <c r="AN3686" s="4">
        <v>0</v>
      </c>
      <c r="AO3686" s="4">
        <v>0</v>
      </c>
      <c r="AP3686" s="4">
        <v>5</v>
      </c>
      <c r="AQ3686" s="4">
        <v>30</v>
      </c>
      <c r="AR3686" s="3" t="s">
        <v>64</v>
      </c>
      <c r="AS3686" s="3" t="s">
        <v>64</v>
      </c>
      <c r="AT3686" s="3" t="s">
        <v>64</v>
      </c>
      <c r="AV3686" s="6" t="str">
        <f>HYPERLINK("http://mcgill.on.worldcat.org/oclc/9610818","Catalog Record")</f>
        <v>Catalog Record</v>
      </c>
      <c r="AW3686" s="6" t="str">
        <f>HYPERLINK("http://www.worldcat.org/oclc/9610818","WorldCat Record")</f>
        <v>WorldCat Record</v>
      </c>
      <c r="AX3686" s="3" t="s">
        <v>36829</v>
      </c>
      <c r="AY3686" s="3" t="s">
        <v>36830</v>
      </c>
      <c r="AZ3686" s="3" t="s">
        <v>36831</v>
      </c>
      <c r="BA3686" s="3" t="s">
        <v>36831</v>
      </c>
      <c r="BB3686" s="3" t="s">
        <v>36832</v>
      </c>
      <c r="BC3686" s="3" t="s">
        <v>77</v>
      </c>
      <c r="BD3686" s="3" t="s">
        <v>78</v>
      </c>
      <c r="BF3686" s="3" t="s">
        <v>36832</v>
      </c>
      <c r="BG3686" s="3" t="s">
        <v>36833</v>
      </c>
      <c r="BH3686">
        <f t="shared" si="87"/>
        <v>0</v>
      </c>
    </row>
    <row r="3687" spans="1:60" ht="58" x14ac:dyDescent="0.35">
      <c r="A3687" s="2" t="s">
        <v>59</v>
      </c>
      <c r="B3687" s="2" t="s">
        <v>60</v>
      </c>
      <c r="C3687" s="2" t="s">
        <v>36834</v>
      </c>
      <c r="D3687" s="2" t="s">
        <v>36835</v>
      </c>
      <c r="E3687" s="2" t="s">
        <v>36836</v>
      </c>
      <c r="G3687" s="3" t="s">
        <v>64</v>
      </c>
      <c r="I3687" s="3" t="s">
        <v>64</v>
      </c>
      <c r="J3687" s="3" t="s">
        <v>64</v>
      </c>
      <c r="K3687" s="3" t="s">
        <v>65</v>
      </c>
      <c r="M3687" s="2" t="s">
        <v>36837</v>
      </c>
      <c r="N3687" s="3" t="s">
        <v>511</v>
      </c>
      <c r="P3687" s="3" t="s">
        <v>102</v>
      </c>
      <c r="Q3687" s="2" t="s">
        <v>36838</v>
      </c>
      <c r="R3687" s="3" t="s">
        <v>70</v>
      </c>
      <c r="S3687" s="4">
        <v>6</v>
      </c>
      <c r="T3687" s="4">
        <v>6</v>
      </c>
      <c r="U3687" s="5" t="s">
        <v>512</v>
      </c>
      <c r="V3687" s="5" t="s">
        <v>512</v>
      </c>
      <c r="W3687" s="5" t="s">
        <v>72</v>
      </c>
      <c r="X3687" s="5" t="s">
        <v>72</v>
      </c>
      <c r="Y3687" s="4">
        <v>85</v>
      </c>
      <c r="Z3687" s="4">
        <v>12</v>
      </c>
      <c r="AA3687" s="4">
        <v>14</v>
      </c>
      <c r="AB3687" s="4">
        <v>1</v>
      </c>
      <c r="AC3687" s="4">
        <v>3</v>
      </c>
      <c r="AD3687" s="4">
        <v>38</v>
      </c>
      <c r="AE3687" s="4">
        <v>44</v>
      </c>
      <c r="AF3687" s="4">
        <v>0</v>
      </c>
      <c r="AG3687" s="4">
        <v>0</v>
      </c>
      <c r="AH3687" s="4">
        <v>32</v>
      </c>
      <c r="AI3687" s="4">
        <v>38</v>
      </c>
      <c r="AJ3687" s="4">
        <v>8</v>
      </c>
      <c r="AK3687" s="4">
        <v>8</v>
      </c>
      <c r="AL3687" s="4">
        <v>24</v>
      </c>
      <c r="AM3687" s="4">
        <v>28</v>
      </c>
      <c r="AN3687" s="4">
        <v>0</v>
      </c>
      <c r="AO3687" s="4">
        <v>0</v>
      </c>
      <c r="AP3687" s="4">
        <v>9</v>
      </c>
      <c r="AQ3687" s="4">
        <v>9</v>
      </c>
      <c r="AR3687" s="3" t="s">
        <v>64</v>
      </c>
      <c r="AS3687" s="3" t="s">
        <v>64</v>
      </c>
      <c r="AT3687" s="3" t="s">
        <v>64</v>
      </c>
      <c r="AV3687" s="6" t="str">
        <f>HYPERLINK("http://mcgill.on.worldcat.org/oclc/467775639","Catalog Record")</f>
        <v>Catalog Record</v>
      </c>
      <c r="AW3687" s="6" t="str">
        <f>HYPERLINK("http://www.worldcat.org/oclc/467775639","WorldCat Record")</f>
        <v>WorldCat Record</v>
      </c>
      <c r="AX3687" s="3" t="s">
        <v>36839</v>
      </c>
      <c r="AY3687" s="3" t="s">
        <v>36840</v>
      </c>
      <c r="AZ3687" s="3" t="s">
        <v>36841</v>
      </c>
      <c r="BA3687" s="3" t="s">
        <v>36841</v>
      </c>
      <c r="BB3687" s="3" t="s">
        <v>36842</v>
      </c>
      <c r="BC3687" s="3" t="s">
        <v>77</v>
      </c>
      <c r="BD3687" s="3" t="s">
        <v>78</v>
      </c>
      <c r="BE3687" s="3" t="s">
        <v>36843</v>
      </c>
      <c r="BF3687" s="3" t="s">
        <v>36842</v>
      </c>
      <c r="BG3687" s="3" t="s">
        <v>36844</v>
      </c>
      <c r="BH3687">
        <f t="shared" si="87"/>
        <v>0</v>
      </c>
    </row>
    <row r="3688" spans="1:60" ht="58" x14ac:dyDescent="0.35">
      <c r="A3688" s="2" t="s">
        <v>59</v>
      </c>
      <c r="B3688" s="2" t="s">
        <v>60</v>
      </c>
      <c r="C3688" s="2" t="s">
        <v>36845</v>
      </c>
      <c r="D3688" s="2" t="s">
        <v>36846</v>
      </c>
      <c r="E3688" s="2" t="s">
        <v>36847</v>
      </c>
      <c r="G3688" s="3" t="s">
        <v>64</v>
      </c>
      <c r="I3688" s="3" t="s">
        <v>128</v>
      </c>
      <c r="J3688" s="3" t="s">
        <v>64</v>
      </c>
      <c r="K3688" s="3" t="s">
        <v>65</v>
      </c>
      <c r="L3688" s="2" t="s">
        <v>36848</v>
      </c>
      <c r="M3688" s="2" t="s">
        <v>36849</v>
      </c>
      <c r="N3688" s="3" t="s">
        <v>116</v>
      </c>
      <c r="P3688" s="3" t="s">
        <v>102</v>
      </c>
      <c r="Q3688" s="2" t="s">
        <v>36850</v>
      </c>
      <c r="R3688" s="3" t="s">
        <v>70</v>
      </c>
      <c r="S3688" s="4">
        <v>15</v>
      </c>
      <c r="T3688" s="4">
        <v>55</v>
      </c>
      <c r="U3688" s="5" t="s">
        <v>9193</v>
      </c>
      <c r="V3688" s="5" t="s">
        <v>36851</v>
      </c>
      <c r="W3688" s="5" t="s">
        <v>72</v>
      </c>
      <c r="X3688" s="5" t="s">
        <v>72</v>
      </c>
      <c r="Y3688" s="4">
        <v>463</v>
      </c>
      <c r="Z3688" s="4">
        <v>32</v>
      </c>
      <c r="AA3688" s="4">
        <v>52</v>
      </c>
      <c r="AB3688" s="4">
        <v>2</v>
      </c>
      <c r="AC3688" s="4">
        <v>7</v>
      </c>
      <c r="AD3688" s="4">
        <v>112</v>
      </c>
      <c r="AE3688" s="4">
        <v>129</v>
      </c>
      <c r="AF3688" s="4">
        <v>1</v>
      </c>
      <c r="AG3688" s="4">
        <v>4</v>
      </c>
      <c r="AH3688" s="4">
        <v>95</v>
      </c>
      <c r="AI3688" s="4">
        <v>104</v>
      </c>
      <c r="AJ3688" s="4">
        <v>18</v>
      </c>
      <c r="AK3688" s="4">
        <v>22</v>
      </c>
      <c r="AL3688" s="4">
        <v>52</v>
      </c>
      <c r="AM3688" s="4">
        <v>57</v>
      </c>
      <c r="AN3688" s="4">
        <v>0</v>
      </c>
      <c r="AO3688" s="4">
        <v>0</v>
      </c>
      <c r="AP3688" s="4">
        <v>24</v>
      </c>
      <c r="AQ3688" s="4">
        <v>33</v>
      </c>
      <c r="AR3688" s="3" t="s">
        <v>64</v>
      </c>
      <c r="AS3688" s="3" t="s">
        <v>64</v>
      </c>
      <c r="AT3688" s="3" t="s">
        <v>64</v>
      </c>
      <c r="AV3688" s="6" t="str">
        <f>HYPERLINK("http://mcgill.on.worldcat.org/oclc/43864167","Catalog Record")</f>
        <v>Catalog Record</v>
      </c>
      <c r="AW3688" s="6" t="str">
        <f>HYPERLINK("http://www.worldcat.org/oclc/43864167","WorldCat Record")</f>
        <v>WorldCat Record</v>
      </c>
      <c r="AX3688" s="3" t="s">
        <v>36852</v>
      </c>
      <c r="AY3688" s="3" t="s">
        <v>36853</v>
      </c>
      <c r="AZ3688" s="3" t="s">
        <v>36854</v>
      </c>
      <c r="BA3688" s="3" t="s">
        <v>36854</v>
      </c>
      <c r="BB3688" s="3" t="s">
        <v>36855</v>
      </c>
      <c r="BC3688" s="3" t="s">
        <v>77</v>
      </c>
      <c r="BD3688" s="3" t="s">
        <v>78</v>
      </c>
      <c r="BE3688" s="3" t="s">
        <v>36856</v>
      </c>
      <c r="BF3688" s="3" t="s">
        <v>36855</v>
      </c>
      <c r="BG3688" s="3" t="s">
        <v>36857</v>
      </c>
      <c r="BH3688">
        <f t="shared" si="87"/>
        <v>0</v>
      </c>
    </row>
    <row r="3689" spans="1:60" ht="58" x14ac:dyDescent="0.35">
      <c r="A3689" s="2" t="s">
        <v>59</v>
      </c>
      <c r="B3689" s="2" t="s">
        <v>60</v>
      </c>
      <c r="C3689" s="2" t="s">
        <v>36845</v>
      </c>
      <c r="D3689" s="2" t="s">
        <v>36846</v>
      </c>
      <c r="E3689" s="2" t="s">
        <v>36847</v>
      </c>
      <c r="G3689" s="3" t="s">
        <v>64</v>
      </c>
      <c r="I3689" s="3" t="s">
        <v>128</v>
      </c>
      <c r="J3689" s="3" t="s">
        <v>64</v>
      </c>
      <c r="K3689" s="3" t="s">
        <v>65</v>
      </c>
      <c r="L3689" s="2" t="s">
        <v>36848</v>
      </c>
      <c r="M3689" s="2" t="s">
        <v>36849</v>
      </c>
      <c r="N3689" s="3" t="s">
        <v>116</v>
      </c>
      <c r="P3689" s="3" t="s">
        <v>102</v>
      </c>
      <c r="Q3689" s="2" t="s">
        <v>36850</v>
      </c>
      <c r="R3689" s="3" t="s">
        <v>70</v>
      </c>
      <c r="S3689" s="4">
        <v>40</v>
      </c>
      <c r="T3689" s="4">
        <v>55</v>
      </c>
      <c r="U3689" s="5" t="s">
        <v>36851</v>
      </c>
      <c r="V3689" s="5" t="s">
        <v>36851</v>
      </c>
      <c r="W3689" s="5" t="s">
        <v>72</v>
      </c>
      <c r="X3689" s="5" t="s">
        <v>72</v>
      </c>
      <c r="Y3689" s="4">
        <v>463</v>
      </c>
      <c r="Z3689" s="4">
        <v>32</v>
      </c>
      <c r="AA3689" s="4">
        <v>52</v>
      </c>
      <c r="AB3689" s="4">
        <v>2</v>
      </c>
      <c r="AC3689" s="4">
        <v>7</v>
      </c>
      <c r="AD3689" s="4">
        <v>112</v>
      </c>
      <c r="AE3689" s="4">
        <v>129</v>
      </c>
      <c r="AF3689" s="4">
        <v>1</v>
      </c>
      <c r="AG3689" s="4">
        <v>4</v>
      </c>
      <c r="AH3689" s="4">
        <v>95</v>
      </c>
      <c r="AI3689" s="4">
        <v>104</v>
      </c>
      <c r="AJ3689" s="4">
        <v>18</v>
      </c>
      <c r="AK3689" s="4">
        <v>22</v>
      </c>
      <c r="AL3689" s="4">
        <v>52</v>
      </c>
      <c r="AM3689" s="4">
        <v>57</v>
      </c>
      <c r="AN3689" s="4">
        <v>0</v>
      </c>
      <c r="AO3689" s="4">
        <v>0</v>
      </c>
      <c r="AP3689" s="4">
        <v>24</v>
      </c>
      <c r="AQ3689" s="4">
        <v>33</v>
      </c>
      <c r="AR3689" s="3" t="s">
        <v>64</v>
      </c>
      <c r="AS3689" s="3" t="s">
        <v>64</v>
      </c>
      <c r="AT3689" s="3" t="s">
        <v>64</v>
      </c>
      <c r="AV3689" s="6" t="str">
        <f>HYPERLINK("http://mcgill.on.worldcat.org/oclc/43864167","Catalog Record")</f>
        <v>Catalog Record</v>
      </c>
      <c r="AW3689" s="6" t="str">
        <f>HYPERLINK("http://www.worldcat.org/oclc/43864167","WorldCat Record")</f>
        <v>WorldCat Record</v>
      </c>
      <c r="AX3689" s="3" t="s">
        <v>36852</v>
      </c>
      <c r="AY3689" s="3" t="s">
        <v>36853</v>
      </c>
      <c r="AZ3689" s="3" t="s">
        <v>36854</v>
      </c>
      <c r="BA3689" s="3" t="s">
        <v>36854</v>
      </c>
      <c r="BB3689" s="3" t="s">
        <v>36858</v>
      </c>
      <c r="BC3689" s="3" t="s">
        <v>77</v>
      </c>
      <c r="BD3689" s="3" t="s">
        <v>78</v>
      </c>
      <c r="BE3689" s="3" t="s">
        <v>36856</v>
      </c>
      <c r="BF3689" s="3" t="s">
        <v>36858</v>
      </c>
      <c r="BG3689" s="3" t="s">
        <v>36859</v>
      </c>
      <c r="BH3689">
        <f t="shared" si="87"/>
        <v>0</v>
      </c>
    </row>
    <row r="3690" spans="1:60" ht="58" x14ac:dyDescent="0.35">
      <c r="A3690" s="2" t="s">
        <v>59</v>
      </c>
      <c r="B3690" s="2" t="s">
        <v>60</v>
      </c>
      <c r="C3690" s="2" t="s">
        <v>36860</v>
      </c>
      <c r="D3690" s="2" t="s">
        <v>36861</v>
      </c>
      <c r="E3690" s="2" t="s">
        <v>36862</v>
      </c>
      <c r="G3690" s="3" t="s">
        <v>64</v>
      </c>
      <c r="H3690" s="3" t="s">
        <v>183</v>
      </c>
      <c r="I3690" s="3" t="s">
        <v>64</v>
      </c>
      <c r="J3690" s="3" t="s">
        <v>64</v>
      </c>
      <c r="K3690" s="3" t="s">
        <v>65</v>
      </c>
      <c r="L3690" s="2" t="s">
        <v>36863</v>
      </c>
      <c r="M3690" s="2" t="s">
        <v>36864</v>
      </c>
      <c r="N3690" s="3" t="s">
        <v>253</v>
      </c>
      <c r="O3690" s="2" t="s">
        <v>3787</v>
      </c>
      <c r="P3690" s="3" t="s">
        <v>102</v>
      </c>
      <c r="Q3690" s="2" t="s">
        <v>36865</v>
      </c>
      <c r="R3690" s="3" t="s">
        <v>70</v>
      </c>
      <c r="S3690" s="4">
        <v>0</v>
      </c>
      <c r="T3690" s="4">
        <v>0</v>
      </c>
      <c r="W3690" s="5" t="s">
        <v>826</v>
      </c>
      <c r="X3690" s="5" t="s">
        <v>826</v>
      </c>
      <c r="Y3690" s="4">
        <v>109</v>
      </c>
      <c r="Z3690" s="4">
        <v>8</v>
      </c>
      <c r="AA3690" s="4">
        <v>14</v>
      </c>
      <c r="AB3690" s="4">
        <v>1</v>
      </c>
      <c r="AC3690" s="4">
        <v>3</v>
      </c>
      <c r="AD3690" s="4">
        <v>39</v>
      </c>
      <c r="AE3690" s="4">
        <v>48</v>
      </c>
      <c r="AF3690" s="4">
        <v>0</v>
      </c>
      <c r="AG3690" s="4">
        <v>2</v>
      </c>
      <c r="AH3690" s="4">
        <v>34</v>
      </c>
      <c r="AI3690" s="4">
        <v>40</v>
      </c>
      <c r="AJ3690" s="4">
        <v>6</v>
      </c>
      <c r="AK3690" s="4">
        <v>10</v>
      </c>
      <c r="AL3690" s="4">
        <v>26</v>
      </c>
      <c r="AM3690" s="4">
        <v>28</v>
      </c>
      <c r="AN3690" s="4">
        <v>0</v>
      </c>
      <c r="AO3690" s="4">
        <v>0</v>
      </c>
      <c r="AP3690" s="4">
        <v>7</v>
      </c>
      <c r="AQ3690" s="4">
        <v>10</v>
      </c>
      <c r="AR3690" s="3" t="s">
        <v>64</v>
      </c>
      <c r="AS3690" s="3" t="s">
        <v>64</v>
      </c>
      <c r="AT3690" s="3" t="s">
        <v>64</v>
      </c>
      <c r="AV3690" s="6" t="str">
        <f>HYPERLINK("http://mcgill.on.worldcat.org/oclc/905343871","Catalog Record")</f>
        <v>Catalog Record</v>
      </c>
      <c r="AW3690" s="6" t="str">
        <f>HYPERLINK("http://www.worldcat.org/oclc/905343871","WorldCat Record")</f>
        <v>WorldCat Record</v>
      </c>
      <c r="AX3690" s="3" t="s">
        <v>36866</v>
      </c>
      <c r="AY3690" s="3" t="s">
        <v>36867</v>
      </c>
      <c r="AZ3690" s="3" t="s">
        <v>36868</v>
      </c>
      <c r="BA3690" s="3" t="s">
        <v>36868</v>
      </c>
      <c r="BB3690" s="3" t="s">
        <v>36869</v>
      </c>
      <c r="BC3690" s="3" t="s">
        <v>77</v>
      </c>
      <c r="BD3690" s="3" t="s">
        <v>78</v>
      </c>
      <c r="BE3690" s="3" t="s">
        <v>36870</v>
      </c>
      <c r="BF3690" s="3" t="s">
        <v>36869</v>
      </c>
      <c r="BG3690" s="3" t="s">
        <v>36871</v>
      </c>
      <c r="BH3690">
        <f t="shared" si="87"/>
        <v>0</v>
      </c>
    </row>
    <row r="3691" spans="1:60" ht="58" x14ac:dyDescent="0.35">
      <c r="A3691" s="2" t="s">
        <v>59</v>
      </c>
      <c r="B3691" s="2" t="s">
        <v>60</v>
      </c>
      <c r="C3691" s="2" t="s">
        <v>36872</v>
      </c>
      <c r="D3691" s="2" t="s">
        <v>36873</v>
      </c>
      <c r="E3691" s="2" t="s">
        <v>36874</v>
      </c>
      <c r="G3691" s="3" t="s">
        <v>64</v>
      </c>
      <c r="I3691" s="3" t="s">
        <v>64</v>
      </c>
      <c r="J3691" s="3" t="s">
        <v>64</v>
      </c>
      <c r="K3691" s="3" t="s">
        <v>65</v>
      </c>
      <c r="L3691" s="2" t="s">
        <v>36875</v>
      </c>
      <c r="M3691" s="2" t="s">
        <v>36876</v>
      </c>
      <c r="N3691" s="3" t="s">
        <v>421</v>
      </c>
      <c r="P3691" s="3" t="s">
        <v>102</v>
      </c>
      <c r="Q3691" s="2" t="s">
        <v>36877</v>
      </c>
      <c r="R3691" s="3" t="s">
        <v>70</v>
      </c>
      <c r="S3691" s="4">
        <v>29</v>
      </c>
      <c r="T3691" s="4">
        <v>29</v>
      </c>
      <c r="U3691" s="5" t="s">
        <v>36878</v>
      </c>
      <c r="V3691" s="5" t="s">
        <v>36878</v>
      </c>
      <c r="W3691" s="5" t="s">
        <v>72</v>
      </c>
      <c r="X3691" s="5" t="s">
        <v>72</v>
      </c>
      <c r="Y3691" s="4">
        <v>594</v>
      </c>
      <c r="Z3691" s="4">
        <v>36</v>
      </c>
      <c r="AA3691" s="4">
        <v>40</v>
      </c>
      <c r="AB3691" s="4">
        <v>3</v>
      </c>
      <c r="AC3691" s="4">
        <v>5</v>
      </c>
      <c r="AD3691" s="4">
        <v>123</v>
      </c>
      <c r="AE3691" s="4">
        <v>127</v>
      </c>
      <c r="AF3691" s="4">
        <v>2</v>
      </c>
      <c r="AG3691" s="4">
        <v>4</v>
      </c>
      <c r="AH3691" s="4">
        <v>107</v>
      </c>
      <c r="AI3691" s="4">
        <v>109</v>
      </c>
      <c r="AJ3691" s="4">
        <v>18</v>
      </c>
      <c r="AK3691" s="4">
        <v>21</v>
      </c>
      <c r="AL3691" s="4">
        <v>56</v>
      </c>
      <c r="AM3691" s="4">
        <v>57</v>
      </c>
      <c r="AN3691" s="4">
        <v>0</v>
      </c>
      <c r="AO3691" s="4">
        <v>0</v>
      </c>
      <c r="AP3691" s="4">
        <v>25</v>
      </c>
      <c r="AQ3691" s="4">
        <v>27</v>
      </c>
      <c r="AR3691" s="3" t="s">
        <v>64</v>
      </c>
      <c r="AS3691" s="3" t="s">
        <v>64</v>
      </c>
      <c r="AT3691" s="3" t="s">
        <v>64</v>
      </c>
      <c r="AV3691" s="6" t="str">
        <f>HYPERLINK("http://mcgill.on.worldcat.org/oclc/35548786","Catalog Record")</f>
        <v>Catalog Record</v>
      </c>
      <c r="AW3691" s="6" t="str">
        <f>HYPERLINK("http://www.worldcat.org/oclc/35548786","WorldCat Record")</f>
        <v>WorldCat Record</v>
      </c>
      <c r="AX3691" s="3" t="s">
        <v>36879</v>
      </c>
      <c r="AY3691" s="3" t="s">
        <v>36880</v>
      </c>
      <c r="AZ3691" s="3" t="s">
        <v>36881</v>
      </c>
      <c r="BA3691" s="3" t="s">
        <v>36881</v>
      </c>
      <c r="BB3691" s="3" t="s">
        <v>36882</v>
      </c>
      <c r="BC3691" s="3" t="s">
        <v>77</v>
      </c>
      <c r="BD3691" s="3" t="s">
        <v>78</v>
      </c>
      <c r="BE3691" s="3" t="s">
        <v>36883</v>
      </c>
      <c r="BF3691" s="3" t="s">
        <v>36882</v>
      </c>
      <c r="BG3691" s="3" t="s">
        <v>36884</v>
      </c>
      <c r="BH3691">
        <f t="shared" si="87"/>
        <v>0</v>
      </c>
    </row>
    <row r="3692" spans="1:60" ht="58" x14ac:dyDescent="0.35">
      <c r="A3692" s="2" t="s">
        <v>59</v>
      </c>
      <c r="B3692" s="2" t="s">
        <v>60</v>
      </c>
      <c r="C3692" s="2" t="s">
        <v>36885</v>
      </c>
      <c r="D3692" s="2" t="s">
        <v>36886</v>
      </c>
      <c r="E3692" s="2" t="s">
        <v>36887</v>
      </c>
      <c r="G3692" s="3" t="s">
        <v>64</v>
      </c>
      <c r="I3692" s="3" t="s">
        <v>64</v>
      </c>
      <c r="J3692" s="3" t="s">
        <v>64</v>
      </c>
      <c r="K3692" s="3" t="s">
        <v>65</v>
      </c>
      <c r="L3692" s="2" t="s">
        <v>36888</v>
      </c>
      <c r="M3692" s="2" t="s">
        <v>36889</v>
      </c>
      <c r="N3692" s="3" t="s">
        <v>578</v>
      </c>
      <c r="P3692" s="3" t="s">
        <v>102</v>
      </c>
      <c r="R3692" s="3" t="s">
        <v>70</v>
      </c>
      <c r="S3692" s="4">
        <v>0</v>
      </c>
      <c r="T3692" s="4">
        <v>0</v>
      </c>
      <c r="W3692" s="5" t="s">
        <v>72</v>
      </c>
      <c r="X3692" s="5" t="s">
        <v>72</v>
      </c>
      <c r="Y3692" s="4">
        <v>192</v>
      </c>
      <c r="Z3692" s="4">
        <v>32</v>
      </c>
      <c r="AA3692" s="4">
        <v>44</v>
      </c>
      <c r="AB3692" s="4">
        <v>3</v>
      </c>
      <c r="AC3692" s="4">
        <v>9</v>
      </c>
      <c r="AD3692" s="4">
        <v>44</v>
      </c>
      <c r="AE3692" s="4">
        <v>51</v>
      </c>
      <c r="AF3692" s="4">
        <v>0</v>
      </c>
      <c r="AG3692" s="4">
        <v>3</v>
      </c>
      <c r="AH3692" s="4">
        <v>36</v>
      </c>
      <c r="AI3692" s="4">
        <v>38</v>
      </c>
      <c r="AJ3692" s="4">
        <v>14</v>
      </c>
      <c r="AK3692" s="4">
        <v>17</v>
      </c>
      <c r="AL3692" s="4">
        <v>18</v>
      </c>
      <c r="AM3692" s="4">
        <v>19</v>
      </c>
      <c r="AN3692" s="4">
        <v>0</v>
      </c>
      <c r="AO3692" s="4">
        <v>0</v>
      </c>
      <c r="AP3692" s="4">
        <v>15</v>
      </c>
      <c r="AQ3692" s="4">
        <v>20</v>
      </c>
      <c r="AR3692" s="3" t="s">
        <v>128</v>
      </c>
      <c r="AS3692" s="3" t="s">
        <v>64</v>
      </c>
      <c r="AT3692" s="3" t="s">
        <v>64</v>
      </c>
      <c r="AV3692" s="6" t="str">
        <f>HYPERLINK("http://mcgill.on.worldcat.org/oclc/960097276","Catalog Record")</f>
        <v>Catalog Record</v>
      </c>
      <c r="AW3692" s="6" t="str">
        <f>HYPERLINK("http://www.worldcat.org/oclc/960097276","WorldCat Record")</f>
        <v>WorldCat Record</v>
      </c>
      <c r="AX3692" s="3" t="s">
        <v>36890</v>
      </c>
      <c r="AY3692" s="3" t="s">
        <v>36891</v>
      </c>
      <c r="AZ3692" s="3" t="s">
        <v>36892</v>
      </c>
      <c r="BA3692" s="3" t="s">
        <v>36892</v>
      </c>
      <c r="BB3692" s="3" t="s">
        <v>36893</v>
      </c>
      <c r="BC3692" s="3" t="s">
        <v>77</v>
      </c>
      <c r="BD3692" s="3" t="s">
        <v>78</v>
      </c>
      <c r="BE3692" s="3" t="s">
        <v>36894</v>
      </c>
      <c r="BF3692" s="3" t="s">
        <v>36893</v>
      </c>
      <c r="BG3692" s="3" t="s">
        <v>36895</v>
      </c>
      <c r="BH3692">
        <f t="shared" si="87"/>
        <v>0</v>
      </c>
    </row>
    <row r="3693" spans="1:60" ht="58" x14ac:dyDescent="0.35">
      <c r="A3693" s="2" t="s">
        <v>59</v>
      </c>
      <c r="B3693" s="2" t="s">
        <v>60</v>
      </c>
      <c r="C3693" s="2" t="s">
        <v>36896</v>
      </c>
      <c r="D3693" s="2" t="s">
        <v>36897</v>
      </c>
      <c r="E3693" s="2" t="s">
        <v>36898</v>
      </c>
      <c r="G3693" s="3" t="s">
        <v>64</v>
      </c>
      <c r="I3693" s="3" t="s">
        <v>64</v>
      </c>
      <c r="J3693" s="3" t="s">
        <v>64</v>
      </c>
      <c r="K3693" s="3" t="s">
        <v>65</v>
      </c>
      <c r="L3693" s="2" t="s">
        <v>36899</v>
      </c>
      <c r="M3693" s="2" t="s">
        <v>36900</v>
      </c>
      <c r="N3693" s="3" t="s">
        <v>190</v>
      </c>
      <c r="O3693" s="2" t="s">
        <v>117</v>
      </c>
      <c r="P3693" s="3" t="s">
        <v>102</v>
      </c>
      <c r="R3693" s="3" t="s">
        <v>70</v>
      </c>
      <c r="S3693" s="4">
        <v>0</v>
      </c>
      <c r="T3693" s="4">
        <v>0</v>
      </c>
      <c r="W3693" s="5" t="s">
        <v>72</v>
      </c>
      <c r="X3693" s="5" t="s">
        <v>72</v>
      </c>
      <c r="Y3693" s="4">
        <v>50</v>
      </c>
      <c r="Z3693" s="4">
        <v>4</v>
      </c>
      <c r="AA3693" s="4">
        <v>4</v>
      </c>
      <c r="AB3693" s="4">
        <v>1</v>
      </c>
      <c r="AC3693" s="4">
        <v>1</v>
      </c>
      <c r="AD3693" s="4">
        <v>24</v>
      </c>
      <c r="AE3693" s="4">
        <v>24</v>
      </c>
      <c r="AF3693" s="4">
        <v>0</v>
      </c>
      <c r="AG3693" s="4">
        <v>0</v>
      </c>
      <c r="AH3693" s="4">
        <v>22</v>
      </c>
      <c r="AI3693" s="4">
        <v>22</v>
      </c>
      <c r="AJ3693" s="4">
        <v>2</v>
      </c>
      <c r="AK3693" s="4">
        <v>2</v>
      </c>
      <c r="AL3693" s="4">
        <v>17</v>
      </c>
      <c r="AM3693" s="4">
        <v>17</v>
      </c>
      <c r="AN3693" s="4">
        <v>0</v>
      </c>
      <c r="AO3693" s="4">
        <v>0</v>
      </c>
      <c r="AP3693" s="4">
        <v>3</v>
      </c>
      <c r="AQ3693" s="4">
        <v>3</v>
      </c>
      <c r="AR3693" s="3" t="s">
        <v>64</v>
      </c>
      <c r="AS3693" s="3" t="s">
        <v>64</v>
      </c>
      <c r="AT3693" s="3" t="s">
        <v>64</v>
      </c>
      <c r="AV3693" s="6" t="str">
        <f>HYPERLINK("http://mcgill.on.worldcat.org/oclc/991678947","Catalog Record")</f>
        <v>Catalog Record</v>
      </c>
      <c r="AW3693" s="6" t="str">
        <f>HYPERLINK("http://www.worldcat.org/oclc/991678947","WorldCat Record")</f>
        <v>WorldCat Record</v>
      </c>
      <c r="AX3693" s="3" t="s">
        <v>36901</v>
      </c>
      <c r="AY3693" s="3" t="s">
        <v>36902</v>
      </c>
      <c r="AZ3693" s="3" t="s">
        <v>36903</v>
      </c>
      <c r="BA3693" s="3" t="s">
        <v>36903</v>
      </c>
      <c r="BB3693" s="3" t="s">
        <v>36904</v>
      </c>
      <c r="BC3693" s="3" t="s">
        <v>77</v>
      </c>
      <c r="BD3693" s="3" t="s">
        <v>78</v>
      </c>
      <c r="BE3693" s="3" t="s">
        <v>36905</v>
      </c>
      <c r="BF3693" s="3" t="s">
        <v>36904</v>
      </c>
      <c r="BG3693" s="3" t="s">
        <v>36906</v>
      </c>
      <c r="BH3693">
        <f t="shared" si="87"/>
        <v>0</v>
      </c>
    </row>
    <row r="3694" spans="1:60" ht="58" x14ac:dyDescent="0.35">
      <c r="A3694" s="2" t="s">
        <v>59</v>
      </c>
      <c r="B3694" s="2" t="s">
        <v>60</v>
      </c>
      <c r="C3694" s="2" t="s">
        <v>36907</v>
      </c>
      <c r="D3694" s="2" t="s">
        <v>36908</v>
      </c>
      <c r="E3694" s="2" t="s">
        <v>36909</v>
      </c>
      <c r="G3694" s="3" t="s">
        <v>64</v>
      </c>
      <c r="I3694" s="3" t="s">
        <v>64</v>
      </c>
      <c r="J3694" s="3" t="s">
        <v>128</v>
      </c>
      <c r="K3694" s="3" t="s">
        <v>65</v>
      </c>
      <c r="L3694" s="2" t="s">
        <v>36910</v>
      </c>
      <c r="M3694" s="2" t="s">
        <v>4606</v>
      </c>
      <c r="N3694" s="3" t="s">
        <v>1275</v>
      </c>
      <c r="P3694" s="3" t="s">
        <v>102</v>
      </c>
      <c r="R3694" s="3" t="s">
        <v>70</v>
      </c>
      <c r="S3694" s="4">
        <v>43</v>
      </c>
      <c r="T3694" s="4">
        <v>43</v>
      </c>
      <c r="U3694" s="5" t="s">
        <v>512</v>
      </c>
      <c r="V3694" s="5" t="s">
        <v>512</v>
      </c>
      <c r="W3694" s="5" t="s">
        <v>72</v>
      </c>
      <c r="X3694" s="5" t="s">
        <v>72</v>
      </c>
      <c r="Y3694" s="4">
        <v>435</v>
      </c>
      <c r="Z3694" s="4">
        <v>35</v>
      </c>
      <c r="AA3694" s="4">
        <v>46</v>
      </c>
      <c r="AB3694" s="4">
        <v>2</v>
      </c>
      <c r="AC3694" s="4">
        <v>6</v>
      </c>
      <c r="AD3694" s="4">
        <v>118</v>
      </c>
      <c r="AE3694" s="4">
        <v>128</v>
      </c>
      <c r="AF3694" s="4">
        <v>1</v>
      </c>
      <c r="AG3694" s="4">
        <v>4</v>
      </c>
      <c r="AH3694" s="4">
        <v>100</v>
      </c>
      <c r="AI3694" s="4">
        <v>103</v>
      </c>
      <c r="AJ3694" s="4">
        <v>18</v>
      </c>
      <c r="AK3694" s="4">
        <v>23</v>
      </c>
      <c r="AL3694" s="4">
        <v>57</v>
      </c>
      <c r="AM3694" s="4">
        <v>58</v>
      </c>
      <c r="AN3694" s="4">
        <v>0</v>
      </c>
      <c r="AO3694" s="4">
        <v>0</v>
      </c>
      <c r="AP3694" s="4">
        <v>24</v>
      </c>
      <c r="AQ3694" s="4">
        <v>31</v>
      </c>
      <c r="AR3694" s="3" t="s">
        <v>64</v>
      </c>
      <c r="AS3694" s="3" t="s">
        <v>64</v>
      </c>
      <c r="AT3694" s="3" t="s">
        <v>64</v>
      </c>
      <c r="AV3694" s="6" t="str">
        <f>HYPERLINK("http://mcgill.on.worldcat.org/oclc/52886917","Catalog Record")</f>
        <v>Catalog Record</v>
      </c>
      <c r="AW3694" s="6" t="str">
        <f>HYPERLINK("http://www.worldcat.org/oclc/52886917","WorldCat Record")</f>
        <v>WorldCat Record</v>
      </c>
      <c r="AX3694" s="3" t="s">
        <v>36911</v>
      </c>
      <c r="AY3694" s="3" t="s">
        <v>36912</v>
      </c>
      <c r="AZ3694" s="3" t="s">
        <v>36913</v>
      </c>
      <c r="BA3694" s="3" t="s">
        <v>36913</v>
      </c>
      <c r="BB3694" s="3" t="s">
        <v>36914</v>
      </c>
      <c r="BC3694" s="3" t="s">
        <v>77</v>
      </c>
      <c r="BD3694" s="3" t="s">
        <v>78</v>
      </c>
      <c r="BE3694" s="3" t="s">
        <v>36915</v>
      </c>
      <c r="BF3694" s="3" t="s">
        <v>36914</v>
      </c>
      <c r="BG3694" s="3" t="s">
        <v>36916</v>
      </c>
      <c r="BH3694">
        <f t="shared" si="87"/>
        <v>0</v>
      </c>
    </row>
    <row r="3695" spans="1:60" ht="58" x14ac:dyDescent="0.35">
      <c r="A3695" s="2" t="s">
        <v>59</v>
      </c>
      <c r="B3695" s="2" t="s">
        <v>60</v>
      </c>
      <c r="C3695" s="2" t="s">
        <v>36917</v>
      </c>
      <c r="D3695" s="2" t="s">
        <v>36918</v>
      </c>
      <c r="E3695" s="2" t="s">
        <v>36909</v>
      </c>
      <c r="G3695" s="3" t="s">
        <v>64</v>
      </c>
      <c r="I3695" s="3" t="s">
        <v>64</v>
      </c>
      <c r="J3695" s="3" t="s">
        <v>128</v>
      </c>
      <c r="K3695" s="3" t="s">
        <v>65</v>
      </c>
      <c r="L3695" s="2" t="s">
        <v>36910</v>
      </c>
      <c r="M3695" s="2" t="s">
        <v>36919</v>
      </c>
      <c r="N3695" s="3" t="s">
        <v>291</v>
      </c>
      <c r="O3695" s="2" t="s">
        <v>8642</v>
      </c>
      <c r="P3695" s="3" t="s">
        <v>102</v>
      </c>
      <c r="R3695" s="3" t="s">
        <v>70</v>
      </c>
      <c r="S3695" s="4">
        <v>1</v>
      </c>
      <c r="T3695" s="4">
        <v>1</v>
      </c>
      <c r="U3695" s="5" t="s">
        <v>26377</v>
      </c>
      <c r="V3695" s="5" t="s">
        <v>26377</v>
      </c>
      <c r="W3695" s="5" t="s">
        <v>72</v>
      </c>
      <c r="X3695" s="5" t="s">
        <v>72</v>
      </c>
      <c r="Y3695" s="4">
        <v>118</v>
      </c>
      <c r="Z3695" s="4">
        <v>9</v>
      </c>
      <c r="AA3695" s="4">
        <v>46</v>
      </c>
      <c r="AB3695" s="4">
        <v>3</v>
      </c>
      <c r="AC3695" s="4">
        <v>6</v>
      </c>
      <c r="AD3695" s="4">
        <v>19</v>
      </c>
      <c r="AE3695" s="4">
        <v>128</v>
      </c>
      <c r="AF3695" s="4">
        <v>1</v>
      </c>
      <c r="AG3695" s="4">
        <v>4</v>
      </c>
      <c r="AH3695" s="4">
        <v>13</v>
      </c>
      <c r="AI3695" s="4">
        <v>103</v>
      </c>
      <c r="AJ3695" s="4">
        <v>2</v>
      </c>
      <c r="AK3695" s="4">
        <v>23</v>
      </c>
      <c r="AL3695" s="4">
        <v>9</v>
      </c>
      <c r="AM3695" s="4">
        <v>58</v>
      </c>
      <c r="AN3695" s="4">
        <v>0</v>
      </c>
      <c r="AO3695" s="4">
        <v>0</v>
      </c>
      <c r="AP3695" s="4">
        <v>5</v>
      </c>
      <c r="AQ3695" s="4">
        <v>31</v>
      </c>
      <c r="AR3695" s="3" t="s">
        <v>64</v>
      </c>
      <c r="AS3695" s="3" t="s">
        <v>64</v>
      </c>
      <c r="AT3695" s="3" t="s">
        <v>64</v>
      </c>
      <c r="AV3695" s="6" t="str">
        <f>HYPERLINK("http://mcgill.on.worldcat.org/oclc/124539585","Catalog Record")</f>
        <v>Catalog Record</v>
      </c>
      <c r="AW3695" s="6" t="str">
        <f>HYPERLINK("http://www.worldcat.org/oclc/124539585","WorldCat Record")</f>
        <v>WorldCat Record</v>
      </c>
      <c r="AX3695" s="3" t="s">
        <v>36911</v>
      </c>
      <c r="AY3695" s="3" t="s">
        <v>36920</v>
      </c>
      <c r="AZ3695" s="3" t="s">
        <v>36921</v>
      </c>
      <c r="BA3695" s="3" t="s">
        <v>36921</v>
      </c>
      <c r="BB3695" s="3" t="s">
        <v>36922</v>
      </c>
      <c r="BC3695" s="3" t="s">
        <v>77</v>
      </c>
      <c r="BD3695" s="3" t="s">
        <v>78</v>
      </c>
      <c r="BE3695" s="3" t="s">
        <v>36923</v>
      </c>
      <c r="BF3695" s="3" t="s">
        <v>36922</v>
      </c>
      <c r="BG3695" s="3" t="s">
        <v>36924</v>
      </c>
      <c r="BH3695">
        <f t="shared" si="87"/>
        <v>0</v>
      </c>
    </row>
    <row r="3696" spans="1:60" ht="58" x14ac:dyDescent="0.35">
      <c r="A3696" s="2" t="s">
        <v>59</v>
      </c>
      <c r="B3696" s="2" t="s">
        <v>60</v>
      </c>
      <c r="C3696" s="2" t="s">
        <v>36925</v>
      </c>
      <c r="D3696" s="2" t="s">
        <v>36926</v>
      </c>
      <c r="E3696" s="2" t="s">
        <v>36927</v>
      </c>
      <c r="G3696" s="3" t="s">
        <v>64</v>
      </c>
      <c r="I3696" s="3" t="s">
        <v>64</v>
      </c>
      <c r="J3696" s="3" t="s">
        <v>64</v>
      </c>
      <c r="K3696" s="3" t="s">
        <v>65</v>
      </c>
      <c r="L3696" s="2" t="s">
        <v>36928</v>
      </c>
      <c r="M3696" s="2" t="s">
        <v>36929</v>
      </c>
      <c r="N3696" s="3" t="s">
        <v>511</v>
      </c>
      <c r="P3696" s="3" t="s">
        <v>102</v>
      </c>
      <c r="R3696" s="3" t="s">
        <v>70</v>
      </c>
      <c r="S3696" s="4">
        <v>2</v>
      </c>
      <c r="T3696" s="4">
        <v>2</v>
      </c>
      <c r="U3696" s="5" t="s">
        <v>35669</v>
      </c>
      <c r="V3696" s="5" t="s">
        <v>35669</v>
      </c>
      <c r="W3696" s="5" t="s">
        <v>72</v>
      </c>
      <c r="X3696" s="5" t="s">
        <v>72</v>
      </c>
      <c r="Y3696" s="4">
        <v>835</v>
      </c>
      <c r="Z3696" s="4">
        <v>39</v>
      </c>
      <c r="AA3696" s="4">
        <v>47</v>
      </c>
      <c r="AB3696" s="4">
        <v>3</v>
      </c>
      <c r="AC3696" s="4">
        <v>8</v>
      </c>
      <c r="AD3696" s="4">
        <v>59</v>
      </c>
      <c r="AE3696" s="4">
        <v>65</v>
      </c>
      <c r="AF3696" s="4">
        <v>0</v>
      </c>
      <c r="AG3696" s="4">
        <v>2</v>
      </c>
      <c r="AH3696" s="4">
        <v>57</v>
      </c>
      <c r="AI3696" s="4">
        <v>61</v>
      </c>
      <c r="AJ3696" s="4">
        <v>5</v>
      </c>
      <c r="AK3696" s="4">
        <v>9</v>
      </c>
      <c r="AL3696" s="4">
        <v>33</v>
      </c>
      <c r="AM3696" s="4">
        <v>35</v>
      </c>
      <c r="AN3696" s="4">
        <v>0</v>
      </c>
      <c r="AO3696" s="4">
        <v>0</v>
      </c>
      <c r="AP3696" s="4">
        <v>6</v>
      </c>
      <c r="AQ3696" s="4">
        <v>9</v>
      </c>
      <c r="AR3696" s="3" t="s">
        <v>64</v>
      </c>
      <c r="AS3696" s="3" t="s">
        <v>64</v>
      </c>
      <c r="AT3696" s="3" t="s">
        <v>64</v>
      </c>
      <c r="AV3696" s="6" t="str">
        <f>HYPERLINK("http://mcgill.on.worldcat.org/oclc/607977155","Catalog Record")</f>
        <v>Catalog Record</v>
      </c>
      <c r="AW3696" s="6" t="str">
        <f>HYPERLINK("http://www.worldcat.org/oclc/607977155","WorldCat Record")</f>
        <v>WorldCat Record</v>
      </c>
      <c r="AX3696" s="3" t="s">
        <v>36930</v>
      </c>
      <c r="AY3696" s="3" t="s">
        <v>36931</v>
      </c>
      <c r="AZ3696" s="3" t="s">
        <v>36932</v>
      </c>
      <c r="BA3696" s="3" t="s">
        <v>36932</v>
      </c>
      <c r="BB3696" s="3" t="s">
        <v>36933</v>
      </c>
      <c r="BC3696" s="3" t="s">
        <v>77</v>
      </c>
      <c r="BD3696" s="3" t="s">
        <v>78</v>
      </c>
      <c r="BE3696" s="3" t="s">
        <v>36934</v>
      </c>
      <c r="BF3696" s="3" t="s">
        <v>36933</v>
      </c>
      <c r="BG3696" s="3" t="s">
        <v>36935</v>
      </c>
      <c r="BH3696">
        <f t="shared" si="87"/>
        <v>0</v>
      </c>
    </row>
    <row r="3697" spans="1:60" ht="58" x14ac:dyDescent="0.35">
      <c r="A3697" s="2" t="s">
        <v>59</v>
      </c>
      <c r="B3697" s="2" t="s">
        <v>60</v>
      </c>
      <c r="C3697" s="2" t="s">
        <v>36936</v>
      </c>
      <c r="D3697" s="2" t="s">
        <v>36937</v>
      </c>
      <c r="E3697" s="2" t="s">
        <v>36938</v>
      </c>
      <c r="G3697" s="3" t="s">
        <v>64</v>
      </c>
      <c r="I3697" s="3" t="s">
        <v>64</v>
      </c>
      <c r="J3697" s="3" t="s">
        <v>64</v>
      </c>
      <c r="K3697" s="3" t="s">
        <v>65</v>
      </c>
      <c r="L3697" s="2" t="s">
        <v>36939</v>
      </c>
      <c r="M3697" s="2" t="s">
        <v>36940</v>
      </c>
      <c r="N3697" s="3" t="s">
        <v>7191</v>
      </c>
      <c r="P3697" s="3" t="s">
        <v>102</v>
      </c>
      <c r="Q3697" s="2" t="s">
        <v>36941</v>
      </c>
      <c r="R3697" s="3" t="s">
        <v>70</v>
      </c>
      <c r="S3697" s="4">
        <v>2</v>
      </c>
      <c r="T3697" s="4">
        <v>2</v>
      </c>
      <c r="U3697" s="5" t="s">
        <v>306</v>
      </c>
      <c r="V3697" s="5" t="s">
        <v>306</v>
      </c>
      <c r="W3697" s="5" t="s">
        <v>72</v>
      </c>
      <c r="X3697" s="5" t="s">
        <v>72</v>
      </c>
      <c r="Y3697" s="4">
        <v>24</v>
      </c>
      <c r="Z3697" s="4">
        <v>9</v>
      </c>
      <c r="AA3697" s="4">
        <v>12</v>
      </c>
      <c r="AB3697" s="4">
        <v>1</v>
      </c>
      <c r="AC3697" s="4">
        <v>1</v>
      </c>
      <c r="AD3697" s="4">
        <v>11</v>
      </c>
      <c r="AE3697" s="4">
        <v>30</v>
      </c>
      <c r="AF3697" s="4">
        <v>0</v>
      </c>
      <c r="AG3697" s="4">
        <v>0</v>
      </c>
      <c r="AH3697" s="4">
        <v>9</v>
      </c>
      <c r="AI3697" s="4">
        <v>25</v>
      </c>
      <c r="AJ3697" s="4">
        <v>6</v>
      </c>
      <c r="AK3697" s="4">
        <v>8</v>
      </c>
      <c r="AL3697" s="4">
        <v>5</v>
      </c>
      <c r="AM3697" s="4">
        <v>14</v>
      </c>
      <c r="AN3697" s="4">
        <v>0</v>
      </c>
      <c r="AO3697" s="4">
        <v>0</v>
      </c>
      <c r="AP3697" s="4">
        <v>5</v>
      </c>
      <c r="AQ3697" s="4">
        <v>7</v>
      </c>
      <c r="AR3697" s="3" t="s">
        <v>64</v>
      </c>
      <c r="AS3697" s="3" t="s">
        <v>64</v>
      </c>
      <c r="AT3697" s="3" t="s">
        <v>64</v>
      </c>
      <c r="AV3697" s="6" t="str">
        <f>HYPERLINK("http://mcgill.on.worldcat.org/oclc/70299691","Catalog Record")</f>
        <v>Catalog Record</v>
      </c>
      <c r="AW3697" s="6" t="str">
        <f>HYPERLINK("http://www.worldcat.org/oclc/70299691","WorldCat Record")</f>
        <v>WorldCat Record</v>
      </c>
      <c r="AX3697" s="3" t="s">
        <v>36942</v>
      </c>
      <c r="AY3697" s="3" t="s">
        <v>36943</v>
      </c>
      <c r="AZ3697" s="3" t="s">
        <v>36944</v>
      </c>
      <c r="BA3697" s="3" t="s">
        <v>36944</v>
      </c>
      <c r="BB3697" s="3" t="s">
        <v>36945</v>
      </c>
      <c r="BC3697" s="3" t="s">
        <v>77</v>
      </c>
      <c r="BD3697" s="3" t="s">
        <v>78</v>
      </c>
      <c r="BF3697" s="3" t="s">
        <v>36945</v>
      </c>
      <c r="BG3697" s="3" t="s">
        <v>36946</v>
      </c>
      <c r="BH3697">
        <f t="shared" si="87"/>
        <v>0</v>
      </c>
    </row>
    <row r="3698" spans="1:60" ht="58" x14ac:dyDescent="0.35">
      <c r="A3698" s="2" t="s">
        <v>59</v>
      </c>
      <c r="B3698" s="2" t="s">
        <v>60</v>
      </c>
      <c r="C3698" s="2" t="s">
        <v>36947</v>
      </c>
      <c r="D3698" s="2" t="s">
        <v>36948</v>
      </c>
      <c r="E3698" s="2" t="s">
        <v>36949</v>
      </c>
      <c r="G3698" s="3" t="s">
        <v>64</v>
      </c>
      <c r="I3698" s="3" t="s">
        <v>64</v>
      </c>
      <c r="J3698" s="3" t="s">
        <v>64</v>
      </c>
      <c r="K3698" s="3" t="s">
        <v>65</v>
      </c>
      <c r="L3698" s="2" t="s">
        <v>36950</v>
      </c>
      <c r="M3698" s="2" t="s">
        <v>36951</v>
      </c>
      <c r="N3698" s="3" t="s">
        <v>101</v>
      </c>
      <c r="O3698" s="2" t="s">
        <v>36952</v>
      </c>
      <c r="P3698" s="3" t="s">
        <v>102</v>
      </c>
      <c r="R3698" s="3" t="s">
        <v>70</v>
      </c>
      <c r="S3698" s="4">
        <v>2</v>
      </c>
      <c r="T3698" s="4">
        <v>2</v>
      </c>
      <c r="U3698" s="5" t="s">
        <v>35669</v>
      </c>
      <c r="V3698" s="5" t="s">
        <v>35669</v>
      </c>
      <c r="W3698" s="5" t="s">
        <v>72</v>
      </c>
      <c r="X3698" s="5" t="s">
        <v>72</v>
      </c>
      <c r="Y3698" s="4">
        <v>321</v>
      </c>
      <c r="Z3698" s="4">
        <v>23</v>
      </c>
      <c r="AA3698" s="4">
        <v>23</v>
      </c>
      <c r="AB3698" s="4">
        <v>2</v>
      </c>
      <c r="AC3698" s="4">
        <v>2</v>
      </c>
      <c r="AD3698" s="4">
        <v>54</v>
      </c>
      <c r="AE3698" s="4">
        <v>56</v>
      </c>
      <c r="AF3698" s="4">
        <v>0</v>
      </c>
      <c r="AG3698" s="4">
        <v>0</v>
      </c>
      <c r="AH3698" s="4">
        <v>48</v>
      </c>
      <c r="AI3698" s="4">
        <v>50</v>
      </c>
      <c r="AJ3698" s="4">
        <v>9</v>
      </c>
      <c r="AK3698" s="4">
        <v>9</v>
      </c>
      <c r="AL3698" s="4">
        <v>28</v>
      </c>
      <c r="AM3698" s="4">
        <v>29</v>
      </c>
      <c r="AN3698" s="4">
        <v>0</v>
      </c>
      <c r="AO3698" s="4">
        <v>0</v>
      </c>
      <c r="AP3698" s="4">
        <v>11</v>
      </c>
      <c r="AQ3698" s="4">
        <v>11</v>
      </c>
      <c r="AR3698" s="3" t="s">
        <v>64</v>
      </c>
      <c r="AS3698" s="3" t="s">
        <v>64</v>
      </c>
      <c r="AT3698" s="3" t="s">
        <v>128</v>
      </c>
      <c r="AU3698" s="6" t="str">
        <f>HYPERLINK("http://catalog.hathitrust.org/Record/101170533","HathiTrust Record")</f>
        <v>HathiTrust Record</v>
      </c>
      <c r="AV3698" s="6" t="str">
        <f>HYPERLINK("http://mcgill.on.worldcat.org/oclc/53120674","Catalog Record")</f>
        <v>Catalog Record</v>
      </c>
      <c r="AW3698" s="6" t="str">
        <f>HYPERLINK("http://www.worldcat.org/oclc/53120674","WorldCat Record")</f>
        <v>WorldCat Record</v>
      </c>
      <c r="AX3698" s="3" t="s">
        <v>36953</v>
      </c>
      <c r="AY3698" s="3" t="s">
        <v>36954</v>
      </c>
      <c r="AZ3698" s="3" t="s">
        <v>36955</v>
      </c>
      <c r="BA3698" s="3" t="s">
        <v>36955</v>
      </c>
      <c r="BB3698" s="3" t="s">
        <v>36956</v>
      </c>
      <c r="BC3698" s="3" t="s">
        <v>77</v>
      </c>
      <c r="BD3698" s="3" t="s">
        <v>78</v>
      </c>
      <c r="BE3698" s="3" t="s">
        <v>36957</v>
      </c>
      <c r="BF3698" s="3" t="s">
        <v>36956</v>
      </c>
      <c r="BG3698" s="3" t="s">
        <v>36958</v>
      </c>
      <c r="BH3698">
        <f t="shared" si="87"/>
        <v>0</v>
      </c>
    </row>
    <row r="3699" spans="1:60" ht="116" x14ac:dyDescent="0.35">
      <c r="A3699" s="2" t="s">
        <v>59</v>
      </c>
      <c r="B3699" s="2" t="s">
        <v>1183</v>
      </c>
      <c r="C3699" s="2" t="s">
        <v>36959</v>
      </c>
      <c r="D3699" s="2" t="s">
        <v>36960</v>
      </c>
      <c r="E3699" s="2" t="s">
        <v>36961</v>
      </c>
      <c r="G3699" s="3" t="s">
        <v>64</v>
      </c>
      <c r="I3699" s="3" t="s">
        <v>64</v>
      </c>
      <c r="J3699" s="3" t="s">
        <v>64</v>
      </c>
      <c r="K3699" s="3" t="s">
        <v>65</v>
      </c>
      <c r="L3699" s="2" t="s">
        <v>36962</v>
      </c>
      <c r="M3699" s="2" t="s">
        <v>36963</v>
      </c>
      <c r="N3699" s="3" t="s">
        <v>171</v>
      </c>
      <c r="O3699" s="2" t="s">
        <v>1189</v>
      </c>
      <c r="P3699" s="3" t="s">
        <v>1190</v>
      </c>
      <c r="R3699" s="3" t="s">
        <v>70</v>
      </c>
      <c r="S3699" s="4">
        <v>3</v>
      </c>
      <c r="T3699" s="4">
        <v>3</v>
      </c>
      <c r="U3699" s="5" t="s">
        <v>1192</v>
      </c>
      <c r="V3699" s="5" t="s">
        <v>1192</v>
      </c>
      <c r="W3699" s="5" t="s">
        <v>72</v>
      </c>
      <c r="X3699" s="5" t="s">
        <v>72</v>
      </c>
      <c r="Y3699" s="4">
        <v>14</v>
      </c>
      <c r="Z3699" s="4">
        <v>3</v>
      </c>
      <c r="AA3699" s="4">
        <v>3</v>
      </c>
      <c r="AB3699" s="4">
        <v>1</v>
      </c>
      <c r="AC3699" s="4">
        <v>1</v>
      </c>
      <c r="AD3699" s="4">
        <v>6</v>
      </c>
      <c r="AE3699" s="4">
        <v>6</v>
      </c>
      <c r="AF3699" s="4">
        <v>0</v>
      </c>
      <c r="AG3699" s="4">
        <v>0</v>
      </c>
      <c r="AH3699" s="4">
        <v>6</v>
      </c>
      <c r="AI3699" s="4">
        <v>6</v>
      </c>
      <c r="AJ3699" s="4">
        <v>1</v>
      </c>
      <c r="AK3699" s="4">
        <v>1</v>
      </c>
      <c r="AL3699" s="4">
        <v>6</v>
      </c>
      <c r="AM3699" s="4">
        <v>6</v>
      </c>
      <c r="AN3699" s="4">
        <v>0</v>
      </c>
      <c r="AO3699" s="4">
        <v>0</v>
      </c>
      <c r="AP3699" s="4">
        <v>1</v>
      </c>
      <c r="AQ3699" s="4">
        <v>1</v>
      </c>
      <c r="AR3699" s="3" t="s">
        <v>64</v>
      </c>
      <c r="AS3699" s="3" t="s">
        <v>64</v>
      </c>
      <c r="AT3699" s="3" t="s">
        <v>64</v>
      </c>
      <c r="AV3699" s="6" t="str">
        <f>HYPERLINK("http://mcgill.on.worldcat.org/oclc/70257064","Catalog Record")</f>
        <v>Catalog Record</v>
      </c>
      <c r="AW3699" s="6" t="str">
        <f>HYPERLINK("http://www.worldcat.org/oclc/70257064","WorldCat Record")</f>
        <v>WorldCat Record</v>
      </c>
      <c r="AX3699" s="3" t="s">
        <v>36964</v>
      </c>
      <c r="AY3699" s="3" t="s">
        <v>36965</v>
      </c>
      <c r="AZ3699" s="3" t="s">
        <v>36966</v>
      </c>
      <c r="BA3699" s="3" t="s">
        <v>36966</v>
      </c>
      <c r="BB3699" s="3" t="s">
        <v>36967</v>
      </c>
      <c r="BC3699" s="3" t="s">
        <v>77</v>
      </c>
      <c r="BD3699" s="3" t="s">
        <v>78</v>
      </c>
      <c r="BE3699" s="3" t="s">
        <v>36968</v>
      </c>
      <c r="BF3699" s="3" t="s">
        <v>36967</v>
      </c>
      <c r="BG3699" s="3" t="s">
        <v>36969</v>
      </c>
      <c r="BH3699">
        <f t="shared" si="87"/>
        <v>0</v>
      </c>
    </row>
    <row r="3700" spans="1:60" ht="58" x14ac:dyDescent="0.35">
      <c r="A3700" s="2" t="s">
        <v>59</v>
      </c>
      <c r="B3700" s="2" t="s">
        <v>60</v>
      </c>
      <c r="C3700" s="2" t="s">
        <v>36970</v>
      </c>
      <c r="D3700" s="2" t="s">
        <v>36971</v>
      </c>
      <c r="E3700" s="2" t="s">
        <v>36972</v>
      </c>
      <c r="G3700" s="3" t="s">
        <v>64</v>
      </c>
      <c r="I3700" s="3" t="s">
        <v>64</v>
      </c>
      <c r="J3700" s="3" t="s">
        <v>64</v>
      </c>
      <c r="K3700" s="3" t="s">
        <v>65</v>
      </c>
      <c r="L3700" s="2" t="s">
        <v>11893</v>
      </c>
      <c r="M3700" s="2" t="s">
        <v>36973</v>
      </c>
      <c r="N3700" s="3" t="s">
        <v>1615</v>
      </c>
      <c r="P3700" s="3" t="s">
        <v>102</v>
      </c>
      <c r="Q3700" s="2" t="s">
        <v>3876</v>
      </c>
      <c r="R3700" s="3" t="s">
        <v>70</v>
      </c>
      <c r="S3700" s="4">
        <v>38</v>
      </c>
      <c r="T3700" s="4">
        <v>38</v>
      </c>
      <c r="U3700" s="5" t="s">
        <v>27262</v>
      </c>
      <c r="V3700" s="5" t="s">
        <v>27262</v>
      </c>
      <c r="W3700" s="5" t="s">
        <v>72</v>
      </c>
      <c r="X3700" s="5" t="s">
        <v>72</v>
      </c>
      <c r="Y3700" s="4">
        <v>531</v>
      </c>
      <c r="Z3700" s="4">
        <v>21</v>
      </c>
      <c r="AA3700" s="4">
        <v>101</v>
      </c>
      <c r="AB3700" s="4">
        <v>1</v>
      </c>
      <c r="AC3700" s="4">
        <v>17</v>
      </c>
      <c r="AD3700" s="4">
        <v>113</v>
      </c>
      <c r="AE3700" s="4">
        <v>148</v>
      </c>
      <c r="AF3700" s="4">
        <v>0</v>
      </c>
      <c r="AG3700" s="4">
        <v>8</v>
      </c>
      <c r="AH3700" s="4">
        <v>101</v>
      </c>
      <c r="AI3700" s="4">
        <v>109</v>
      </c>
      <c r="AJ3700" s="4">
        <v>11</v>
      </c>
      <c r="AK3700" s="4">
        <v>23</v>
      </c>
      <c r="AL3700" s="4">
        <v>55</v>
      </c>
      <c r="AM3700" s="4">
        <v>56</v>
      </c>
      <c r="AN3700" s="4">
        <v>0</v>
      </c>
      <c r="AO3700" s="4">
        <v>0</v>
      </c>
      <c r="AP3700" s="4">
        <v>17</v>
      </c>
      <c r="AQ3700" s="4">
        <v>47</v>
      </c>
      <c r="AR3700" s="3" t="s">
        <v>64</v>
      </c>
      <c r="AS3700" s="3" t="s">
        <v>64</v>
      </c>
      <c r="AT3700" s="3" t="s">
        <v>64</v>
      </c>
      <c r="AV3700" s="6" t="str">
        <f>HYPERLINK("http://mcgill.on.worldcat.org/oclc/34617814","Catalog Record")</f>
        <v>Catalog Record</v>
      </c>
      <c r="AW3700" s="6" t="str">
        <f>HYPERLINK("http://www.worldcat.org/oclc/34617814","WorldCat Record")</f>
        <v>WorldCat Record</v>
      </c>
      <c r="AX3700" s="3" t="s">
        <v>36974</v>
      </c>
      <c r="AY3700" s="3" t="s">
        <v>36975</v>
      </c>
      <c r="AZ3700" s="3" t="s">
        <v>36976</v>
      </c>
      <c r="BA3700" s="3" t="s">
        <v>36976</v>
      </c>
      <c r="BB3700" s="3" t="s">
        <v>36977</v>
      </c>
      <c r="BC3700" s="3" t="s">
        <v>77</v>
      </c>
      <c r="BD3700" s="3" t="s">
        <v>78</v>
      </c>
      <c r="BE3700" s="3" t="s">
        <v>36978</v>
      </c>
      <c r="BF3700" s="3" t="s">
        <v>36977</v>
      </c>
      <c r="BG3700" s="3" t="s">
        <v>36979</v>
      </c>
      <c r="BH3700">
        <f t="shared" si="87"/>
        <v>0</v>
      </c>
    </row>
    <row r="3701" spans="1:60" ht="58" x14ac:dyDescent="0.35">
      <c r="A3701" s="2" t="s">
        <v>59</v>
      </c>
      <c r="B3701" s="2" t="s">
        <v>60</v>
      </c>
      <c r="C3701" s="2" t="s">
        <v>36980</v>
      </c>
      <c r="D3701" s="2" t="s">
        <v>36981</v>
      </c>
      <c r="E3701" s="2" t="s">
        <v>36982</v>
      </c>
      <c r="G3701" s="3" t="s">
        <v>64</v>
      </c>
      <c r="I3701" s="3" t="s">
        <v>64</v>
      </c>
      <c r="J3701" s="3" t="s">
        <v>64</v>
      </c>
      <c r="K3701" s="3" t="s">
        <v>65</v>
      </c>
      <c r="L3701" s="2" t="s">
        <v>36983</v>
      </c>
      <c r="M3701" s="2" t="s">
        <v>8389</v>
      </c>
      <c r="N3701" s="3" t="s">
        <v>511</v>
      </c>
      <c r="P3701" s="3" t="s">
        <v>102</v>
      </c>
      <c r="R3701" s="3" t="s">
        <v>70</v>
      </c>
      <c r="S3701" s="4">
        <v>0</v>
      </c>
      <c r="T3701" s="4">
        <v>0</v>
      </c>
      <c r="W3701" s="5" t="s">
        <v>72</v>
      </c>
      <c r="X3701" s="5" t="s">
        <v>72</v>
      </c>
      <c r="Y3701" s="4">
        <v>332</v>
      </c>
      <c r="Z3701" s="4">
        <v>23</v>
      </c>
      <c r="AA3701" s="4">
        <v>78</v>
      </c>
      <c r="AB3701" s="4">
        <v>2</v>
      </c>
      <c r="AC3701" s="4">
        <v>15</v>
      </c>
      <c r="AD3701" s="4">
        <v>82</v>
      </c>
      <c r="AE3701" s="4">
        <v>122</v>
      </c>
      <c r="AF3701" s="4">
        <v>1</v>
      </c>
      <c r="AG3701" s="4">
        <v>8</v>
      </c>
      <c r="AH3701" s="4">
        <v>71</v>
      </c>
      <c r="AI3701" s="4">
        <v>88</v>
      </c>
      <c r="AJ3701" s="4">
        <v>12</v>
      </c>
      <c r="AK3701" s="4">
        <v>20</v>
      </c>
      <c r="AL3701" s="4">
        <v>42</v>
      </c>
      <c r="AM3701" s="4">
        <v>49</v>
      </c>
      <c r="AN3701" s="4">
        <v>5</v>
      </c>
      <c r="AO3701" s="4">
        <v>5</v>
      </c>
      <c r="AP3701" s="4">
        <v>16</v>
      </c>
      <c r="AQ3701" s="4">
        <v>40</v>
      </c>
      <c r="AR3701" s="3" t="s">
        <v>64</v>
      </c>
      <c r="AS3701" s="3" t="s">
        <v>64</v>
      </c>
      <c r="AT3701" s="3" t="s">
        <v>128</v>
      </c>
      <c r="AU3701" s="6" t="str">
        <f>HYPERLINK("http://catalog.hathitrust.org/Record/009624306","HathiTrust Record")</f>
        <v>HathiTrust Record</v>
      </c>
      <c r="AV3701" s="6" t="str">
        <f>HYPERLINK("http://mcgill.on.worldcat.org/oclc/475454147","Catalog Record")</f>
        <v>Catalog Record</v>
      </c>
      <c r="AW3701" s="6" t="str">
        <f>HYPERLINK("http://www.worldcat.org/oclc/475454147","WorldCat Record")</f>
        <v>WorldCat Record</v>
      </c>
      <c r="AX3701" s="3" t="s">
        <v>36984</v>
      </c>
      <c r="AY3701" s="3" t="s">
        <v>36985</v>
      </c>
      <c r="AZ3701" s="3" t="s">
        <v>36986</v>
      </c>
      <c r="BA3701" s="3" t="s">
        <v>36986</v>
      </c>
      <c r="BB3701" s="3" t="s">
        <v>36987</v>
      </c>
      <c r="BC3701" s="3" t="s">
        <v>77</v>
      </c>
      <c r="BD3701" s="3" t="s">
        <v>78</v>
      </c>
      <c r="BE3701" s="3" t="s">
        <v>36988</v>
      </c>
      <c r="BF3701" s="3" t="s">
        <v>36987</v>
      </c>
      <c r="BG3701" s="3" t="s">
        <v>36989</v>
      </c>
      <c r="BH3701">
        <f t="shared" si="87"/>
        <v>0</v>
      </c>
    </row>
    <row r="3702" spans="1:60" ht="58" x14ac:dyDescent="0.35">
      <c r="A3702" s="2" t="s">
        <v>59</v>
      </c>
      <c r="B3702" s="2" t="s">
        <v>60</v>
      </c>
      <c r="C3702" s="2" t="s">
        <v>36990</v>
      </c>
      <c r="D3702" s="2" t="s">
        <v>36991</v>
      </c>
      <c r="E3702" s="2" t="s">
        <v>36992</v>
      </c>
      <c r="G3702" s="3" t="s">
        <v>64</v>
      </c>
      <c r="I3702" s="3" t="s">
        <v>64</v>
      </c>
      <c r="J3702" s="3" t="s">
        <v>64</v>
      </c>
      <c r="K3702" s="3" t="s">
        <v>65</v>
      </c>
      <c r="M3702" s="2" t="s">
        <v>36993</v>
      </c>
      <c r="N3702" s="3" t="s">
        <v>3047</v>
      </c>
      <c r="P3702" s="3" t="s">
        <v>102</v>
      </c>
      <c r="R3702" s="3" t="s">
        <v>70</v>
      </c>
      <c r="S3702" s="4">
        <v>4</v>
      </c>
      <c r="T3702" s="4">
        <v>4</v>
      </c>
      <c r="U3702" s="5" t="s">
        <v>15961</v>
      </c>
      <c r="V3702" s="5" t="s">
        <v>15961</v>
      </c>
      <c r="W3702" s="5" t="s">
        <v>72</v>
      </c>
      <c r="X3702" s="5" t="s">
        <v>72</v>
      </c>
      <c r="Y3702" s="4">
        <v>226</v>
      </c>
      <c r="Z3702" s="4">
        <v>7</v>
      </c>
      <c r="AA3702" s="4">
        <v>10</v>
      </c>
      <c r="AB3702" s="4">
        <v>1</v>
      </c>
      <c r="AC3702" s="4">
        <v>4</v>
      </c>
      <c r="AD3702" s="4">
        <v>87</v>
      </c>
      <c r="AE3702" s="4">
        <v>89</v>
      </c>
      <c r="AF3702" s="4">
        <v>0</v>
      </c>
      <c r="AG3702" s="4">
        <v>2</v>
      </c>
      <c r="AH3702" s="4">
        <v>81</v>
      </c>
      <c r="AI3702" s="4">
        <v>82</v>
      </c>
      <c r="AJ3702" s="4">
        <v>5</v>
      </c>
      <c r="AK3702" s="4">
        <v>7</v>
      </c>
      <c r="AL3702" s="4">
        <v>48</v>
      </c>
      <c r="AM3702" s="4">
        <v>48</v>
      </c>
      <c r="AN3702" s="4">
        <v>0</v>
      </c>
      <c r="AO3702" s="4">
        <v>0</v>
      </c>
      <c r="AP3702" s="4">
        <v>4</v>
      </c>
      <c r="AQ3702" s="4">
        <v>6</v>
      </c>
      <c r="AR3702" s="3" t="s">
        <v>64</v>
      </c>
      <c r="AS3702" s="3" t="s">
        <v>64</v>
      </c>
      <c r="AT3702" s="3" t="s">
        <v>64</v>
      </c>
      <c r="AV3702" s="6" t="str">
        <f>HYPERLINK("http://mcgill.on.worldcat.org/oclc/14692706","Catalog Record")</f>
        <v>Catalog Record</v>
      </c>
      <c r="AW3702" s="6" t="str">
        <f>HYPERLINK("http://www.worldcat.org/oclc/14692706","WorldCat Record")</f>
        <v>WorldCat Record</v>
      </c>
      <c r="AX3702" s="3" t="s">
        <v>36994</v>
      </c>
      <c r="AY3702" s="3" t="s">
        <v>36995</v>
      </c>
      <c r="AZ3702" s="3" t="s">
        <v>36996</v>
      </c>
      <c r="BA3702" s="3" t="s">
        <v>36996</v>
      </c>
      <c r="BB3702" s="3" t="s">
        <v>36997</v>
      </c>
      <c r="BC3702" s="3" t="s">
        <v>77</v>
      </c>
      <c r="BD3702" s="3" t="s">
        <v>78</v>
      </c>
      <c r="BE3702" s="3" t="s">
        <v>36998</v>
      </c>
      <c r="BF3702" s="3" t="s">
        <v>36997</v>
      </c>
      <c r="BG3702" s="3" t="s">
        <v>36999</v>
      </c>
      <c r="BH3702">
        <f t="shared" si="87"/>
        <v>0</v>
      </c>
    </row>
    <row r="3703" spans="1:60" ht="58" x14ac:dyDescent="0.35">
      <c r="A3703" s="2" t="s">
        <v>59</v>
      </c>
      <c r="B3703" s="2" t="s">
        <v>60</v>
      </c>
      <c r="C3703" s="2" t="s">
        <v>37000</v>
      </c>
      <c r="D3703" s="2" t="s">
        <v>37001</v>
      </c>
      <c r="E3703" s="2" t="s">
        <v>37002</v>
      </c>
      <c r="G3703" s="3" t="s">
        <v>64</v>
      </c>
      <c r="I3703" s="3" t="s">
        <v>64</v>
      </c>
      <c r="J3703" s="3" t="s">
        <v>64</v>
      </c>
      <c r="K3703" s="3" t="s">
        <v>65</v>
      </c>
      <c r="L3703" s="2" t="s">
        <v>37003</v>
      </c>
      <c r="M3703" s="2" t="s">
        <v>37004</v>
      </c>
      <c r="N3703" s="3" t="s">
        <v>421</v>
      </c>
      <c r="P3703" s="3" t="s">
        <v>102</v>
      </c>
      <c r="R3703" s="3" t="s">
        <v>70</v>
      </c>
      <c r="S3703" s="4">
        <v>38</v>
      </c>
      <c r="T3703" s="4">
        <v>38</v>
      </c>
      <c r="U3703" s="5" t="s">
        <v>37005</v>
      </c>
      <c r="V3703" s="5" t="s">
        <v>37005</v>
      </c>
      <c r="W3703" s="5" t="s">
        <v>72</v>
      </c>
      <c r="X3703" s="5" t="s">
        <v>72</v>
      </c>
      <c r="Y3703" s="4">
        <v>704</v>
      </c>
      <c r="Z3703" s="4">
        <v>32</v>
      </c>
      <c r="AA3703" s="4">
        <v>94</v>
      </c>
      <c r="AB3703" s="4">
        <v>3</v>
      </c>
      <c r="AC3703" s="4">
        <v>16</v>
      </c>
      <c r="AD3703" s="4">
        <v>121</v>
      </c>
      <c r="AE3703" s="4">
        <v>153</v>
      </c>
      <c r="AF3703" s="4">
        <v>1</v>
      </c>
      <c r="AG3703" s="4">
        <v>8</v>
      </c>
      <c r="AH3703" s="4">
        <v>104</v>
      </c>
      <c r="AI3703" s="4">
        <v>112</v>
      </c>
      <c r="AJ3703" s="4">
        <v>16</v>
      </c>
      <c r="AK3703" s="4">
        <v>25</v>
      </c>
      <c r="AL3703" s="4">
        <v>59</v>
      </c>
      <c r="AM3703" s="4">
        <v>61</v>
      </c>
      <c r="AN3703" s="4">
        <v>0</v>
      </c>
      <c r="AO3703" s="4">
        <v>0</v>
      </c>
      <c r="AP3703" s="4">
        <v>22</v>
      </c>
      <c r="AQ3703" s="4">
        <v>48</v>
      </c>
      <c r="AR3703" s="3" t="s">
        <v>64</v>
      </c>
      <c r="AS3703" s="3" t="s">
        <v>64</v>
      </c>
      <c r="AT3703" s="3" t="s">
        <v>64</v>
      </c>
      <c r="AV3703" s="6" t="str">
        <f>HYPERLINK("http://mcgill.on.worldcat.org/oclc/36126876","Catalog Record")</f>
        <v>Catalog Record</v>
      </c>
      <c r="AW3703" s="6" t="str">
        <f>HYPERLINK("http://www.worldcat.org/oclc/36126876","WorldCat Record")</f>
        <v>WorldCat Record</v>
      </c>
      <c r="AX3703" s="3" t="s">
        <v>37006</v>
      </c>
      <c r="AY3703" s="3" t="s">
        <v>37007</v>
      </c>
      <c r="AZ3703" s="3" t="s">
        <v>37008</v>
      </c>
      <c r="BA3703" s="3" t="s">
        <v>37008</v>
      </c>
      <c r="BB3703" s="3" t="s">
        <v>37009</v>
      </c>
      <c r="BC3703" s="3" t="s">
        <v>77</v>
      </c>
      <c r="BD3703" s="3" t="s">
        <v>165</v>
      </c>
      <c r="BE3703" s="3" t="s">
        <v>37010</v>
      </c>
      <c r="BF3703" s="3" t="s">
        <v>37009</v>
      </c>
      <c r="BG3703" s="3" t="s">
        <v>37011</v>
      </c>
      <c r="BH3703">
        <f t="shared" si="87"/>
        <v>0</v>
      </c>
    </row>
    <row r="3704" spans="1:60" ht="58" x14ac:dyDescent="0.35">
      <c r="A3704" s="2" t="s">
        <v>59</v>
      </c>
      <c r="B3704" s="2" t="s">
        <v>60</v>
      </c>
      <c r="C3704" s="2" t="s">
        <v>37012</v>
      </c>
      <c r="D3704" s="2" t="s">
        <v>37013</v>
      </c>
      <c r="E3704" s="2" t="s">
        <v>37014</v>
      </c>
      <c r="G3704" s="3" t="s">
        <v>64</v>
      </c>
      <c r="I3704" s="3" t="s">
        <v>64</v>
      </c>
      <c r="J3704" s="3" t="s">
        <v>64</v>
      </c>
      <c r="K3704" s="3" t="s">
        <v>65</v>
      </c>
      <c r="M3704" s="2" t="s">
        <v>37015</v>
      </c>
      <c r="N3704" s="3" t="s">
        <v>159</v>
      </c>
      <c r="O3704" s="2" t="s">
        <v>2149</v>
      </c>
      <c r="P3704" s="3" t="s">
        <v>102</v>
      </c>
      <c r="R3704" s="3" t="s">
        <v>70</v>
      </c>
      <c r="S3704" s="4">
        <v>7</v>
      </c>
      <c r="T3704" s="4">
        <v>7</v>
      </c>
      <c r="U3704" s="5" t="s">
        <v>37016</v>
      </c>
      <c r="V3704" s="5" t="s">
        <v>37016</v>
      </c>
      <c r="W3704" s="5" t="s">
        <v>72</v>
      </c>
      <c r="X3704" s="5" t="s">
        <v>72</v>
      </c>
      <c r="Y3704" s="4">
        <v>307</v>
      </c>
      <c r="Z3704" s="4">
        <v>18</v>
      </c>
      <c r="AA3704" s="4">
        <v>18</v>
      </c>
      <c r="AB3704" s="4">
        <v>2</v>
      </c>
      <c r="AC3704" s="4">
        <v>2</v>
      </c>
      <c r="AD3704" s="4">
        <v>100</v>
      </c>
      <c r="AE3704" s="4">
        <v>100</v>
      </c>
      <c r="AF3704" s="4">
        <v>0</v>
      </c>
      <c r="AG3704" s="4">
        <v>0</v>
      </c>
      <c r="AH3704" s="4">
        <v>92</v>
      </c>
      <c r="AI3704" s="4">
        <v>92</v>
      </c>
      <c r="AJ3704" s="4">
        <v>8</v>
      </c>
      <c r="AK3704" s="4">
        <v>8</v>
      </c>
      <c r="AL3704" s="4">
        <v>52</v>
      </c>
      <c r="AM3704" s="4">
        <v>52</v>
      </c>
      <c r="AN3704" s="4">
        <v>0</v>
      </c>
      <c r="AO3704" s="4">
        <v>0</v>
      </c>
      <c r="AP3704" s="4">
        <v>13</v>
      </c>
      <c r="AQ3704" s="4">
        <v>13</v>
      </c>
      <c r="AR3704" s="3" t="s">
        <v>64</v>
      </c>
      <c r="AS3704" s="3" t="s">
        <v>64</v>
      </c>
      <c r="AT3704" s="3" t="s">
        <v>64</v>
      </c>
      <c r="AV3704" s="6" t="str">
        <f>HYPERLINK("http://mcgill.on.worldcat.org/oclc/48032754","Catalog Record")</f>
        <v>Catalog Record</v>
      </c>
      <c r="AW3704" s="6" t="str">
        <f>HYPERLINK("http://www.worldcat.org/oclc/48032754","WorldCat Record")</f>
        <v>WorldCat Record</v>
      </c>
      <c r="AX3704" s="3" t="s">
        <v>37017</v>
      </c>
      <c r="AY3704" s="3" t="s">
        <v>37018</v>
      </c>
      <c r="AZ3704" s="3" t="s">
        <v>37019</v>
      </c>
      <c r="BA3704" s="3" t="s">
        <v>37019</v>
      </c>
      <c r="BB3704" s="3" t="s">
        <v>37020</v>
      </c>
      <c r="BC3704" s="3" t="s">
        <v>77</v>
      </c>
      <c r="BD3704" s="3" t="s">
        <v>78</v>
      </c>
      <c r="BE3704" s="3" t="s">
        <v>37021</v>
      </c>
      <c r="BF3704" s="3" t="s">
        <v>37020</v>
      </c>
      <c r="BG3704" s="3" t="s">
        <v>37022</v>
      </c>
      <c r="BH3704">
        <f t="shared" si="87"/>
        <v>0</v>
      </c>
    </row>
    <row r="3705" spans="1:60" ht="58" x14ac:dyDescent="0.35">
      <c r="A3705" s="2" t="s">
        <v>59</v>
      </c>
      <c r="B3705" s="2" t="s">
        <v>60</v>
      </c>
      <c r="C3705" s="2" t="s">
        <v>37023</v>
      </c>
      <c r="D3705" s="2" t="s">
        <v>37024</v>
      </c>
      <c r="E3705" s="2" t="s">
        <v>37025</v>
      </c>
      <c r="G3705" s="3" t="s">
        <v>64</v>
      </c>
      <c r="I3705" s="3" t="s">
        <v>64</v>
      </c>
      <c r="J3705" s="3" t="s">
        <v>64</v>
      </c>
      <c r="K3705" s="3" t="s">
        <v>65</v>
      </c>
      <c r="L3705" s="2" t="s">
        <v>37026</v>
      </c>
      <c r="M3705" s="2" t="s">
        <v>36675</v>
      </c>
      <c r="N3705" s="3" t="s">
        <v>67</v>
      </c>
      <c r="O3705" s="2" t="s">
        <v>117</v>
      </c>
      <c r="P3705" s="3" t="s">
        <v>102</v>
      </c>
      <c r="R3705" s="3" t="s">
        <v>70</v>
      </c>
      <c r="S3705" s="4">
        <v>1</v>
      </c>
      <c r="T3705" s="4">
        <v>1</v>
      </c>
      <c r="U3705" s="5" t="s">
        <v>17703</v>
      </c>
      <c r="V3705" s="5" t="s">
        <v>17703</v>
      </c>
      <c r="W3705" s="5" t="s">
        <v>72</v>
      </c>
      <c r="X3705" s="5" t="s">
        <v>72</v>
      </c>
      <c r="Y3705" s="4">
        <v>588</v>
      </c>
      <c r="Z3705" s="4">
        <v>24</v>
      </c>
      <c r="AA3705" s="4">
        <v>25</v>
      </c>
      <c r="AB3705" s="4">
        <v>3</v>
      </c>
      <c r="AC3705" s="4">
        <v>4</v>
      </c>
      <c r="AD3705" s="4">
        <v>44</v>
      </c>
      <c r="AE3705" s="4">
        <v>44</v>
      </c>
      <c r="AF3705" s="4">
        <v>0</v>
      </c>
      <c r="AG3705" s="4">
        <v>0</v>
      </c>
      <c r="AH3705" s="4">
        <v>41</v>
      </c>
      <c r="AI3705" s="4">
        <v>41</v>
      </c>
      <c r="AJ3705" s="4">
        <v>3</v>
      </c>
      <c r="AK3705" s="4">
        <v>3</v>
      </c>
      <c r="AL3705" s="4">
        <v>34</v>
      </c>
      <c r="AM3705" s="4">
        <v>34</v>
      </c>
      <c r="AN3705" s="4">
        <v>0</v>
      </c>
      <c r="AO3705" s="4">
        <v>0</v>
      </c>
      <c r="AP3705" s="4">
        <v>4</v>
      </c>
      <c r="AQ3705" s="4">
        <v>4</v>
      </c>
      <c r="AR3705" s="3" t="s">
        <v>64</v>
      </c>
      <c r="AS3705" s="3" t="s">
        <v>64</v>
      </c>
      <c r="AT3705" s="3" t="s">
        <v>64</v>
      </c>
      <c r="AV3705" s="6" t="str">
        <f>HYPERLINK("http://mcgill.on.worldcat.org/oclc/864808485","Catalog Record")</f>
        <v>Catalog Record</v>
      </c>
      <c r="AW3705" s="6" t="str">
        <f>HYPERLINK("http://www.worldcat.org/oclc/864808485","WorldCat Record")</f>
        <v>WorldCat Record</v>
      </c>
      <c r="AX3705" s="3" t="s">
        <v>37027</v>
      </c>
      <c r="AY3705" s="3" t="s">
        <v>37028</v>
      </c>
      <c r="AZ3705" s="3" t="s">
        <v>37029</v>
      </c>
      <c r="BA3705" s="3" t="s">
        <v>37029</v>
      </c>
      <c r="BB3705" s="3" t="s">
        <v>37030</v>
      </c>
      <c r="BC3705" s="3" t="s">
        <v>77</v>
      </c>
      <c r="BD3705" s="3" t="s">
        <v>78</v>
      </c>
      <c r="BE3705" s="3" t="s">
        <v>37031</v>
      </c>
      <c r="BF3705" s="3" t="s">
        <v>37030</v>
      </c>
      <c r="BG3705" s="3" t="s">
        <v>37032</v>
      </c>
      <c r="BH3705">
        <f t="shared" si="87"/>
        <v>0</v>
      </c>
    </row>
    <row r="3706" spans="1:60" ht="58" x14ac:dyDescent="0.35">
      <c r="A3706" s="2" t="s">
        <v>59</v>
      </c>
      <c r="B3706" s="2" t="s">
        <v>60</v>
      </c>
      <c r="C3706" s="2" t="s">
        <v>37033</v>
      </c>
      <c r="D3706" s="2" t="s">
        <v>37034</v>
      </c>
      <c r="E3706" s="2" t="s">
        <v>37035</v>
      </c>
      <c r="G3706" s="3" t="s">
        <v>64</v>
      </c>
      <c r="I3706" s="3" t="s">
        <v>64</v>
      </c>
      <c r="J3706" s="3" t="s">
        <v>64</v>
      </c>
      <c r="K3706" s="3" t="s">
        <v>65</v>
      </c>
      <c r="L3706" s="2" t="s">
        <v>37036</v>
      </c>
      <c r="M3706" s="2" t="s">
        <v>37037</v>
      </c>
      <c r="N3706" s="3" t="s">
        <v>1031</v>
      </c>
      <c r="P3706" s="3" t="s">
        <v>102</v>
      </c>
      <c r="R3706" s="3" t="s">
        <v>70</v>
      </c>
      <c r="S3706" s="4">
        <v>30</v>
      </c>
      <c r="T3706" s="4">
        <v>30</v>
      </c>
      <c r="U3706" s="5" t="s">
        <v>11093</v>
      </c>
      <c r="V3706" s="5" t="s">
        <v>11093</v>
      </c>
      <c r="W3706" s="5" t="s">
        <v>72</v>
      </c>
      <c r="X3706" s="5" t="s">
        <v>72</v>
      </c>
      <c r="Y3706" s="4">
        <v>849</v>
      </c>
      <c r="Z3706" s="4">
        <v>35</v>
      </c>
      <c r="AA3706" s="4">
        <v>96</v>
      </c>
      <c r="AB3706" s="4">
        <v>4</v>
      </c>
      <c r="AC3706" s="4">
        <v>14</v>
      </c>
      <c r="AD3706" s="4">
        <v>123</v>
      </c>
      <c r="AE3706" s="4">
        <v>155</v>
      </c>
      <c r="AF3706" s="4">
        <v>2</v>
      </c>
      <c r="AG3706" s="4">
        <v>8</v>
      </c>
      <c r="AH3706" s="4">
        <v>107</v>
      </c>
      <c r="AI3706" s="4">
        <v>114</v>
      </c>
      <c r="AJ3706" s="4">
        <v>17</v>
      </c>
      <c r="AK3706" s="4">
        <v>26</v>
      </c>
      <c r="AL3706" s="4">
        <v>57</v>
      </c>
      <c r="AM3706" s="4">
        <v>59</v>
      </c>
      <c r="AN3706" s="4">
        <v>0</v>
      </c>
      <c r="AO3706" s="4">
        <v>0</v>
      </c>
      <c r="AP3706" s="4">
        <v>24</v>
      </c>
      <c r="AQ3706" s="4">
        <v>50</v>
      </c>
      <c r="AR3706" s="3" t="s">
        <v>64</v>
      </c>
      <c r="AS3706" s="3" t="s">
        <v>64</v>
      </c>
      <c r="AT3706" s="3" t="s">
        <v>128</v>
      </c>
      <c r="AU3706" s="6" t="str">
        <f>HYPERLINK("http://catalog.hathitrust.org/Record/002511017","HathiTrust Record")</f>
        <v>HathiTrust Record</v>
      </c>
      <c r="AV3706" s="6" t="str">
        <f>HYPERLINK("http://mcgill.on.worldcat.org/oclc/24010915","Catalog Record")</f>
        <v>Catalog Record</v>
      </c>
      <c r="AW3706" s="6" t="str">
        <f>HYPERLINK("http://www.worldcat.org/oclc/24010915","WorldCat Record")</f>
        <v>WorldCat Record</v>
      </c>
      <c r="AX3706" s="3" t="s">
        <v>37038</v>
      </c>
      <c r="AY3706" s="3" t="s">
        <v>37039</v>
      </c>
      <c r="AZ3706" s="3" t="s">
        <v>37040</v>
      </c>
      <c r="BA3706" s="3" t="s">
        <v>37040</v>
      </c>
      <c r="BB3706" s="3" t="s">
        <v>37041</v>
      </c>
      <c r="BC3706" s="3" t="s">
        <v>77</v>
      </c>
      <c r="BD3706" s="3" t="s">
        <v>78</v>
      </c>
      <c r="BE3706" s="3" t="s">
        <v>37042</v>
      </c>
      <c r="BF3706" s="3" t="s">
        <v>37041</v>
      </c>
      <c r="BG3706" s="3" t="s">
        <v>37043</v>
      </c>
      <c r="BH3706">
        <f t="shared" si="87"/>
        <v>0</v>
      </c>
    </row>
    <row r="3707" spans="1:60" ht="58" x14ac:dyDescent="0.35">
      <c r="A3707" s="2" t="s">
        <v>59</v>
      </c>
      <c r="B3707" s="2" t="s">
        <v>60</v>
      </c>
      <c r="C3707" s="2" t="s">
        <v>37044</v>
      </c>
      <c r="D3707" s="2" t="s">
        <v>37045</v>
      </c>
      <c r="E3707" s="2" t="s">
        <v>37046</v>
      </c>
      <c r="G3707" s="3" t="s">
        <v>64</v>
      </c>
      <c r="I3707" s="3" t="s">
        <v>64</v>
      </c>
      <c r="J3707" s="3" t="s">
        <v>64</v>
      </c>
      <c r="K3707" s="3" t="s">
        <v>65</v>
      </c>
      <c r="L3707" s="2" t="s">
        <v>37047</v>
      </c>
      <c r="M3707" s="2" t="s">
        <v>37048</v>
      </c>
      <c r="N3707" s="3" t="s">
        <v>326</v>
      </c>
      <c r="P3707" s="3" t="s">
        <v>102</v>
      </c>
      <c r="R3707" s="3" t="s">
        <v>70</v>
      </c>
      <c r="S3707" s="4">
        <v>4</v>
      </c>
      <c r="T3707" s="4">
        <v>4</v>
      </c>
      <c r="U3707" s="5" t="s">
        <v>31353</v>
      </c>
      <c r="V3707" s="5" t="s">
        <v>31353</v>
      </c>
      <c r="W3707" s="5" t="s">
        <v>72</v>
      </c>
      <c r="X3707" s="5" t="s">
        <v>72</v>
      </c>
      <c r="Y3707" s="4">
        <v>502</v>
      </c>
      <c r="Z3707" s="4">
        <v>23</v>
      </c>
      <c r="AA3707" s="4">
        <v>113</v>
      </c>
      <c r="AB3707" s="4">
        <v>3</v>
      </c>
      <c r="AC3707" s="4">
        <v>19</v>
      </c>
      <c r="AD3707" s="4">
        <v>72</v>
      </c>
      <c r="AE3707" s="4">
        <v>136</v>
      </c>
      <c r="AF3707" s="4">
        <v>1</v>
      </c>
      <c r="AG3707" s="4">
        <v>8</v>
      </c>
      <c r="AH3707" s="4">
        <v>67</v>
      </c>
      <c r="AI3707" s="4">
        <v>97</v>
      </c>
      <c r="AJ3707" s="4">
        <v>9</v>
      </c>
      <c r="AK3707" s="4">
        <v>24</v>
      </c>
      <c r="AL3707" s="4">
        <v>45</v>
      </c>
      <c r="AM3707" s="4">
        <v>56</v>
      </c>
      <c r="AN3707" s="4">
        <v>0</v>
      </c>
      <c r="AO3707" s="4">
        <v>0</v>
      </c>
      <c r="AP3707" s="4">
        <v>12</v>
      </c>
      <c r="AQ3707" s="4">
        <v>47</v>
      </c>
      <c r="AR3707" s="3" t="s">
        <v>64</v>
      </c>
      <c r="AS3707" s="3" t="s">
        <v>64</v>
      </c>
      <c r="AT3707" s="3" t="s">
        <v>64</v>
      </c>
      <c r="AV3707" s="6" t="str">
        <f>HYPERLINK("http://mcgill.on.worldcat.org/oclc/709670324","Catalog Record")</f>
        <v>Catalog Record</v>
      </c>
      <c r="AW3707" s="6" t="str">
        <f>HYPERLINK("http://www.worldcat.org/oclc/709670324","WorldCat Record")</f>
        <v>WorldCat Record</v>
      </c>
      <c r="AX3707" s="3" t="s">
        <v>37049</v>
      </c>
      <c r="AY3707" s="3" t="s">
        <v>37050</v>
      </c>
      <c r="AZ3707" s="3" t="s">
        <v>37051</v>
      </c>
      <c r="BA3707" s="3" t="s">
        <v>37051</v>
      </c>
      <c r="BB3707" s="3" t="s">
        <v>37052</v>
      </c>
      <c r="BC3707" s="3" t="s">
        <v>77</v>
      </c>
      <c r="BD3707" s="3" t="s">
        <v>78</v>
      </c>
      <c r="BE3707" s="3" t="s">
        <v>37053</v>
      </c>
      <c r="BF3707" s="3" t="s">
        <v>37052</v>
      </c>
      <c r="BG3707" s="3" t="s">
        <v>37054</v>
      </c>
      <c r="BH3707">
        <f t="shared" si="87"/>
        <v>0</v>
      </c>
    </row>
    <row r="3708" spans="1:60" ht="58" x14ac:dyDescent="0.35">
      <c r="A3708" s="2" t="s">
        <v>59</v>
      </c>
      <c r="B3708" s="2" t="s">
        <v>60</v>
      </c>
      <c r="C3708" s="2" t="s">
        <v>37055</v>
      </c>
      <c r="D3708" s="2" t="s">
        <v>37056</v>
      </c>
      <c r="E3708" s="2" t="s">
        <v>37057</v>
      </c>
      <c r="G3708" s="3" t="s">
        <v>64</v>
      </c>
      <c r="I3708" s="3" t="s">
        <v>64</v>
      </c>
      <c r="J3708" s="3" t="s">
        <v>64</v>
      </c>
      <c r="K3708" s="3" t="s">
        <v>65</v>
      </c>
      <c r="L3708" s="2" t="s">
        <v>37058</v>
      </c>
      <c r="M3708" s="2" t="s">
        <v>29127</v>
      </c>
      <c r="N3708" s="3" t="s">
        <v>1263</v>
      </c>
      <c r="P3708" s="3" t="s">
        <v>102</v>
      </c>
      <c r="R3708" s="3" t="s">
        <v>70</v>
      </c>
      <c r="S3708" s="4">
        <v>4</v>
      </c>
      <c r="T3708" s="4">
        <v>4</v>
      </c>
      <c r="U3708" s="5" t="s">
        <v>21031</v>
      </c>
      <c r="V3708" s="5" t="s">
        <v>21031</v>
      </c>
      <c r="W3708" s="5" t="s">
        <v>72</v>
      </c>
      <c r="X3708" s="5" t="s">
        <v>72</v>
      </c>
      <c r="Y3708" s="4">
        <v>401</v>
      </c>
      <c r="Z3708" s="4">
        <v>18</v>
      </c>
      <c r="AA3708" s="4">
        <v>96</v>
      </c>
      <c r="AB3708" s="4">
        <v>1</v>
      </c>
      <c r="AC3708" s="4">
        <v>17</v>
      </c>
      <c r="AD3708" s="4">
        <v>111</v>
      </c>
      <c r="AE3708" s="4">
        <v>148</v>
      </c>
      <c r="AF3708" s="4">
        <v>0</v>
      </c>
      <c r="AG3708" s="4">
        <v>8</v>
      </c>
      <c r="AH3708" s="4">
        <v>101</v>
      </c>
      <c r="AI3708" s="4">
        <v>110</v>
      </c>
      <c r="AJ3708" s="4">
        <v>12</v>
      </c>
      <c r="AK3708" s="4">
        <v>23</v>
      </c>
      <c r="AL3708" s="4">
        <v>57</v>
      </c>
      <c r="AM3708" s="4">
        <v>58</v>
      </c>
      <c r="AN3708" s="4">
        <v>0</v>
      </c>
      <c r="AO3708" s="4">
        <v>0</v>
      </c>
      <c r="AP3708" s="4">
        <v>14</v>
      </c>
      <c r="AQ3708" s="4">
        <v>45</v>
      </c>
      <c r="AR3708" s="3" t="s">
        <v>64</v>
      </c>
      <c r="AS3708" s="3" t="s">
        <v>64</v>
      </c>
      <c r="AT3708" s="3" t="s">
        <v>64</v>
      </c>
      <c r="AV3708" s="6" t="str">
        <f>HYPERLINK("http://mcgill.on.worldcat.org/oclc/25049373","Catalog Record")</f>
        <v>Catalog Record</v>
      </c>
      <c r="AW3708" s="6" t="str">
        <f>HYPERLINK("http://www.worldcat.org/oclc/25049373","WorldCat Record")</f>
        <v>WorldCat Record</v>
      </c>
      <c r="AX3708" s="3" t="s">
        <v>37059</v>
      </c>
      <c r="AY3708" s="3" t="s">
        <v>37060</v>
      </c>
      <c r="AZ3708" s="3" t="s">
        <v>37061</v>
      </c>
      <c r="BA3708" s="3" t="s">
        <v>37061</v>
      </c>
      <c r="BB3708" s="3" t="s">
        <v>37062</v>
      </c>
      <c r="BC3708" s="3" t="s">
        <v>77</v>
      </c>
      <c r="BD3708" s="3" t="s">
        <v>78</v>
      </c>
      <c r="BE3708" s="3" t="s">
        <v>37063</v>
      </c>
      <c r="BF3708" s="3" t="s">
        <v>37062</v>
      </c>
      <c r="BG3708" s="3" t="s">
        <v>37064</v>
      </c>
      <c r="BH3708">
        <f t="shared" si="87"/>
        <v>0</v>
      </c>
    </row>
    <row r="3709" spans="1:60" ht="58" x14ac:dyDescent="0.35">
      <c r="A3709" s="2" t="s">
        <v>59</v>
      </c>
      <c r="B3709" s="2" t="s">
        <v>60</v>
      </c>
      <c r="C3709" s="2" t="s">
        <v>37065</v>
      </c>
      <c r="D3709" s="2" t="s">
        <v>37066</v>
      </c>
      <c r="E3709" s="2" t="s">
        <v>37067</v>
      </c>
      <c r="G3709" s="3" t="s">
        <v>64</v>
      </c>
      <c r="I3709" s="3" t="s">
        <v>64</v>
      </c>
      <c r="J3709" s="3" t="s">
        <v>64</v>
      </c>
      <c r="K3709" s="3" t="s">
        <v>65</v>
      </c>
      <c r="L3709" s="2" t="s">
        <v>37068</v>
      </c>
      <c r="M3709" s="2" t="s">
        <v>37069</v>
      </c>
      <c r="N3709" s="3" t="s">
        <v>392</v>
      </c>
      <c r="P3709" s="3" t="s">
        <v>102</v>
      </c>
      <c r="Q3709" s="2" t="s">
        <v>3876</v>
      </c>
      <c r="R3709" s="3" t="s">
        <v>70</v>
      </c>
      <c r="S3709" s="4">
        <v>69</v>
      </c>
      <c r="T3709" s="4">
        <v>69</v>
      </c>
      <c r="U3709" s="5" t="s">
        <v>14927</v>
      </c>
      <c r="V3709" s="5" t="s">
        <v>14927</v>
      </c>
      <c r="W3709" s="5" t="s">
        <v>72</v>
      </c>
      <c r="X3709" s="5" t="s">
        <v>72</v>
      </c>
      <c r="Y3709" s="4">
        <v>464</v>
      </c>
      <c r="Z3709" s="4">
        <v>36</v>
      </c>
      <c r="AA3709" s="4">
        <v>44</v>
      </c>
      <c r="AB3709" s="4">
        <v>4</v>
      </c>
      <c r="AC3709" s="4">
        <v>4</v>
      </c>
      <c r="AD3709" s="4">
        <v>100</v>
      </c>
      <c r="AE3709" s="4">
        <v>125</v>
      </c>
      <c r="AF3709" s="4">
        <v>1</v>
      </c>
      <c r="AG3709" s="4">
        <v>1</v>
      </c>
      <c r="AH3709" s="4">
        <v>82</v>
      </c>
      <c r="AI3709" s="4">
        <v>101</v>
      </c>
      <c r="AJ3709" s="4">
        <v>14</v>
      </c>
      <c r="AK3709" s="4">
        <v>19</v>
      </c>
      <c r="AL3709" s="4">
        <v>47</v>
      </c>
      <c r="AM3709" s="4">
        <v>58</v>
      </c>
      <c r="AN3709" s="4">
        <v>0</v>
      </c>
      <c r="AO3709" s="4">
        <v>0</v>
      </c>
      <c r="AP3709" s="4">
        <v>22</v>
      </c>
      <c r="AQ3709" s="4">
        <v>29</v>
      </c>
      <c r="AR3709" s="3" t="s">
        <v>64</v>
      </c>
      <c r="AS3709" s="3" t="s">
        <v>64</v>
      </c>
      <c r="AT3709" s="3" t="s">
        <v>64</v>
      </c>
      <c r="AV3709" s="6" t="str">
        <f>HYPERLINK("http://mcgill.on.worldcat.org/oclc/40881666","Catalog Record")</f>
        <v>Catalog Record</v>
      </c>
      <c r="AW3709" s="6" t="str">
        <f>HYPERLINK("http://www.worldcat.org/oclc/40881666","WorldCat Record")</f>
        <v>WorldCat Record</v>
      </c>
      <c r="AX3709" s="3" t="s">
        <v>37070</v>
      </c>
      <c r="AY3709" s="3" t="s">
        <v>37071</v>
      </c>
      <c r="AZ3709" s="3" t="s">
        <v>37072</v>
      </c>
      <c r="BA3709" s="3" t="s">
        <v>37072</v>
      </c>
      <c r="BB3709" s="3" t="s">
        <v>37073</v>
      </c>
      <c r="BC3709" s="3" t="s">
        <v>77</v>
      </c>
      <c r="BD3709" s="3" t="s">
        <v>78</v>
      </c>
      <c r="BE3709" s="3" t="s">
        <v>37074</v>
      </c>
      <c r="BF3709" s="3" t="s">
        <v>37073</v>
      </c>
      <c r="BG3709" s="3" t="s">
        <v>37075</v>
      </c>
      <c r="BH3709">
        <f t="shared" si="87"/>
        <v>0</v>
      </c>
    </row>
    <row r="3710" spans="1:60" ht="58" x14ac:dyDescent="0.35">
      <c r="A3710" s="2" t="s">
        <v>59</v>
      </c>
      <c r="B3710" s="2" t="s">
        <v>60</v>
      </c>
      <c r="C3710" s="2" t="s">
        <v>37076</v>
      </c>
      <c r="D3710" s="2" t="s">
        <v>37077</v>
      </c>
      <c r="E3710" s="2" t="s">
        <v>37078</v>
      </c>
      <c r="G3710" s="3" t="s">
        <v>64</v>
      </c>
      <c r="I3710" s="3" t="s">
        <v>64</v>
      </c>
      <c r="J3710" s="3" t="s">
        <v>64</v>
      </c>
      <c r="K3710" s="3" t="s">
        <v>65</v>
      </c>
      <c r="L3710" s="2" t="s">
        <v>33821</v>
      </c>
      <c r="M3710" s="2" t="s">
        <v>6816</v>
      </c>
      <c r="N3710" s="3" t="s">
        <v>116</v>
      </c>
      <c r="P3710" s="3" t="s">
        <v>102</v>
      </c>
      <c r="Q3710" s="2" t="s">
        <v>3876</v>
      </c>
      <c r="R3710" s="3" t="s">
        <v>70</v>
      </c>
      <c r="S3710" s="4">
        <v>1</v>
      </c>
      <c r="T3710" s="4">
        <v>1</v>
      </c>
      <c r="U3710" s="5" t="s">
        <v>37016</v>
      </c>
      <c r="V3710" s="5" t="s">
        <v>37016</v>
      </c>
      <c r="W3710" s="5" t="s">
        <v>72</v>
      </c>
      <c r="X3710" s="5" t="s">
        <v>72</v>
      </c>
      <c r="Y3710" s="4">
        <v>218</v>
      </c>
      <c r="Z3710" s="4">
        <v>12</v>
      </c>
      <c r="AA3710" s="4">
        <v>13</v>
      </c>
      <c r="AB3710" s="4">
        <v>2</v>
      </c>
      <c r="AC3710" s="4">
        <v>3</v>
      </c>
      <c r="AD3710" s="4">
        <v>87</v>
      </c>
      <c r="AE3710" s="4">
        <v>88</v>
      </c>
      <c r="AF3710" s="4">
        <v>0</v>
      </c>
      <c r="AG3710" s="4">
        <v>1</v>
      </c>
      <c r="AH3710" s="4">
        <v>79</v>
      </c>
      <c r="AI3710" s="4">
        <v>79</v>
      </c>
      <c r="AJ3710" s="4">
        <v>6</v>
      </c>
      <c r="AK3710" s="4">
        <v>7</v>
      </c>
      <c r="AL3710" s="4">
        <v>45</v>
      </c>
      <c r="AM3710" s="4">
        <v>45</v>
      </c>
      <c r="AN3710" s="4">
        <v>0</v>
      </c>
      <c r="AO3710" s="4">
        <v>0</v>
      </c>
      <c r="AP3710" s="4">
        <v>8</v>
      </c>
      <c r="AQ3710" s="4">
        <v>8</v>
      </c>
      <c r="AR3710" s="3" t="s">
        <v>64</v>
      </c>
      <c r="AS3710" s="3" t="s">
        <v>64</v>
      </c>
      <c r="AT3710" s="3" t="s">
        <v>64</v>
      </c>
      <c r="AV3710" s="6" t="str">
        <f>HYPERLINK("http://mcgill.on.worldcat.org/oclc/44518120","Catalog Record")</f>
        <v>Catalog Record</v>
      </c>
      <c r="AW3710" s="6" t="str">
        <f>HYPERLINK("http://www.worldcat.org/oclc/44518120","WorldCat Record")</f>
        <v>WorldCat Record</v>
      </c>
      <c r="AX3710" s="3" t="s">
        <v>37079</v>
      </c>
      <c r="AY3710" s="3" t="s">
        <v>37080</v>
      </c>
      <c r="AZ3710" s="3" t="s">
        <v>37081</v>
      </c>
      <c r="BA3710" s="3" t="s">
        <v>37081</v>
      </c>
      <c r="BB3710" s="3" t="s">
        <v>37082</v>
      </c>
      <c r="BC3710" s="3" t="s">
        <v>77</v>
      </c>
      <c r="BD3710" s="3" t="s">
        <v>78</v>
      </c>
      <c r="BE3710" s="3" t="s">
        <v>37083</v>
      </c>
      <c r="BF3710" s="3" t="s">
        <v>37082</v>
      </c>
      <c r="BG3710" s="3" t="s">
        <v>37084</v>
      </c>
      <c r="BH3710">
        <f t="shared" si="87"/>
        <v>0</v>
      </c>
    </row>
    <row r="3711" spans="1:60" ht="58" x14ac:dyDescent="0.35">
      <c r="A3711" s="2" t="s">
        <v>59</v>
      </c>
      <c r="B3711" s="2" t="s">
        <v>60</v>
      </c>
      <c r="C3711" s="2" t="s">
        <v>37085</v>
      </c>
      <c r="D3711" s="2" t="s">
        <v>37086</v>
      </c>
      <c r="E3711" s="2" t="s">
        <v>37087</v>
      </c>
      <c r="G3711" s="3" t="s">
        <v>64</v>
      </c>
      <c r="I3711" s="3" t="s">
        <v>64</v>
      </c>
      <c r="J3711" s="3" t="s">
        <v>64</v>
      </c>
      <c r="K3711" s="3" t="s">
        <v>65</v>
      </c>
      <c r="L3711" s="2" t="s">
        <v>37088</v>
      </c>
      <c r="M3711" s="2" t="s">
        <v>37089</v>
      </c>
      <c r="N3711" s="3" t="s">
        <v>326</v>
      </c>
      <c r="P3711" s="3" t="s">
        <v>102</v>
      </c>
      <c r="R3711" s="3" t="s">
        <v>70</v>
      </c>
      <c r="S3711" s="4">
        <v>0</v>
      </c>
      <c r="T3711" s="4">
        <v>0</v>
      </c>
      <c r="W3711" s="5" t="s">
        <v>72</v>
      </c>
      <c r="X3711" s="5" t="s">
        <v>72</v>
      </c>
      <c r="Y3711" s="4">
        <v>111</v>
      </c>
      <c r="Z3711" s="4">
        <v>7</v>
      </c>
      <c r="AA3711" s="4">
        <v>29</v>
      </c>
      <c r="AB3711" s="4">
        <v>1</v>
      </c>
      <c r="AC3711" s="4">
        <v>9</v>
      </c>
      <c r="AD3711" s="4">
        <v>56</v>
      </c>
      <c r="AE3711" s="4">
        <v>70</v>
      </c>
      <c r="AF3711" s="4">
        <v>0</v>
      </c>
      <c r="AG3711" s="4">
        <v>2</v>
      </c>
      <c r="AH3711" s="4">
        <v>54</v>
      </c>
      <c r="AI3711" s="4">
        <v>64</v>
      </c>
      <c r="AJ3711" s="4">
        <v>4</v>
      </c>
      <c r="AK3711" s="4">
        <v>7</v>
      </c>
      <c r="AL3711" s="4">
        <v>38</v>
      </c>
      <c r="AM3711" s="4">
        <v>43</v>
      </c>
      <c r="AN3711" s="4">
        <v>0</v>
      </c>
      <c r="AO3711" s="4">
        <v>0</v>
      </c>
      <c r="AP3711" s="4">
        <v>4</v>
      </c>
      <c r="AQ3711" s="4">
        <v>8</v>
      </c>
      <c r="AR3711" s="3" t="s">
        <v>64</v>
      </c>
      <c r="AS3711" s="3" t="s">
        <v>64</v>
      </c>
      <c r="AT3711" s="3" t="s">
        <v>64</v>
      </c>
      <c r="AV3711" s="6" t="str">
        <f>HYPERLINK("http://mcgill.on.worldcat.org/oclc/702647471","Catalog Record")</f>
        <v>Catalog Record</v>
      </c>
      <c r="AW3711" s="6" t="str">
        <f>HYPERLINK("http://www.worldcat.org/oclc/702647471","WorldCat Record")</f>
        <v>WorldCat Record</v>
      </c>
      <c r="AX3711" s="3" t="s">
        <v>37090</v>
      </c>
      <c r="AY3711" s="3" t="s">
        <v>37091</v>
      </c>
      <c r="AZ3711" s="3" t="s">
        <v>37092</v>
      </c>
      <c r="BA3711" s="3" t="s">
        <v>37092</v>
      </c>
      <c r="BB3711" s="3" t="s">
        <v>37093</v>
      </c>
      <c r="BC3711" s="3" t="s">
        <v>77</v>
      </c>
      <c r="BD3711" s="3" t="s">
        <v>78</v>
      </c>
      <c r="BE3711" s="3" t="s">
        <v>37094</v>
      </c>
      <c r="BF3711" s="3" t="s">
        <v>37093</v>
      </c>
      <c r="BG3711" s="3" t="s">
        <v>37095</v>
      </c>
      <c r="BH3711">
        <f t="shared" si="87"/>
        <v>0</v>
      </c>
    </row>
    <row r="3712" spans="1:60" ht="58" x14ac:dyDescent="0.35">
      <c r="A3712" s="2" t="s">
        <v>59</v>
      </c>
      <c r="B3712" s="2" t="s">
        <v>60</v>
      </c>
      <c r="C3712" s="2" t="s">
        <v>37096</v>
      </c>
      <c r="D3712" s="2" t="s">
        <v>37097</v>
      </c>
      <c r="E3712" s="2" t="s">
        <v>37098</v>
      </c>
      <c r="G3712" s="3" t="s">
        <v>64</v>
      </c>
      <c r="I3712" s="3" t="s">
        <v>64</v>
      </c>
      <c r="J3712" s="3" t="s">
        <v>64</v>
      </c>
      <c r="K3712" s="3" t="s">
        <v>65</v>
      </c>
      <c r="M3712" s="2" t="s">
        <v>37099</v>
      </c>
      <c r="N3712" s="3" t="s">
        <v>101</v>
      </c>
      <c r="P3712" s="3" t="s">
        <v>68</v>
      </c>
      <c r="R3712" s="3" t="s">
        <v>70</v>
      </c>
      <c r="S3712" s="4">
        <v>23</v>
      </c>
      <c r="T3712" s="4">
        <v>23</v>
      </c>
      <c r="U3712" s="5" t="s">
        <v>8367</v>
      </c>
      <c r="V3712" s="5" t="s">
        <v>8367</v>
      </c>
      <c r="W3712" s="5" t="s">
        <v>72</v>
      </c>
      <c r="X3712" s="5" t="s">
        <v>72</v>
      </c>
      <c r="Y3712" s="4">
        <v>25</v>
      </c>
      <c r="Z3712" s="4">
        <v>16</v>
      </c>
      <c r="AA3712" s="4">
        <v>18</v>
      </c>
      <c r="AB3712" s="4">
        <v>9</v>
      </c>
      <c r="AC3712" s="4">
        <v>10</v>
      </c>
      <c r="AD3712" s="4">
        <v>11</v>
      </c>
      <c r="AE3712" s="4">
        <v>13</v>
      </c>
      <c r="AF3712" s="4">
        <v>5</v>
      </c>
      <c r="AG3712" s="4">
        <v>6</v>
      </c>
      <c r="AH3712" s="4">
        <v>4</v>
      </c>
      <c r="AI3712" s="4">
        <v>5</v>
      </c>
      <c r="AJ3712" s="4">
        <v>9</v>
      </c>
      <c r="AK3712" s="4">
        <v>10</v>
      </c>
      <c r="AL3712" s="4">
        <v>2</v>
      </c>
      <c r="AM3712" s="4">
        <v>2</v>
      </c>
      <c r="AN3712" s="4">
        <v>0</v>
      </c>
      <c r="AO3712" s="4">
        <v>0</v>
      </c>
      <c r="AP3712" s="4">
        <v>7</v>
      </c>
      <c r="AQ3712" s="4">
        <v>9</v>
      </c>
      <c r="AR3712" s="3" t="s">
        <v>128</v>
      </c>
      <c r="AS3712" s="3" t="s">
        <v>64</v>
      </c>
      <c r="AT3712" s="3" t="s">
        <v>64</v>
      </c>
      <c r="AV3712" s="6" t="str">
        <f>HYPERLINK("http://mcgill.on.worldcat.org/oclc/52241374","Catalog Record")</f>
        <v>Catalog Record</v>
      </c>
      <c r="AW3712" s="6" t="str">
        <f>HYPERLINK("http://www.worldcat.org/oclc/52241374","WorldCat Record")</f>
        <v>WorldCat Record</v>
      </c>
      <c r="AX3712" s="3" t="s">
        <v>37100</v>
      </c>
      <c r="AY3712" s="3" t="s">
        <v>37101</v>
      </c>
      <c r="AZ3712" s="3" t="s">
        <v>37102</v>
      </c>
      <c r="BA3712" s="3" t="s">
        <v>37102</v>
      </c>
      <c r="BB3712" s="3" t="s">
        <v>37103</v>
      </c>
      <c r="BC3712" s="3" t="s">
        <v>77</v>
      </c>
      <c r="BD3712" s="3" t="s">
        <v>78</v>
      </c>
      <c r="BE3712" s="3" t="s">
        <v>37104</v>
      </c>
      <c r="BF3712" s="3" t="s">
        <v>37103</v>
      </c>
      <c r="BG3712" s="3" t="s">
        <v>37105</v>
      </c>
      <c r="BH3712">
        <f t="shared" si="87"/>
        <v>0</v>
      </c>
    </row>
    <row r="3713" spans="1:60" ht="58" x14ac:dyDescent="0.35">
      <c r="A3713" s="2" t="s">
        <v>59</v>
      </c>
      <c r="B3713" s="2" t="s">
        <v>60</v>
      </c>
      <c r="C3713" s="2" t="s">
        <v>37106</v>
      </c>
      <c r="D3713" s="2" t="s">
        <v>37107</v>
      </c>
      <c r="E3713" s="2" t="s">
        <v>37108</v>
      </c>
      <c r="G3713" s="3" t="s">
        <v>64</v>
      </c>
      <c r="I3713" s="3" t="s">
        <v>64</v>
      </c>
      <c r="J3713" s="3" t="s">
        <v>64</v>
      </c>
      <c r="K3713" s="3" t="s">
        <v>65</v>
      </c>
      <c r="L3713" s="2" t="s">
        <v>37109</v>
      </c>
      <c r="M3713" s="2" t="s">
        <v>37110</v>
      </c>
      <c r="N3713" s="3" t="s">
        <v>159</v>
      </c>
      <c r="P3713" s="3" t="s">
        <v>68</v>
      </c>
      <c r="R3713" s="3" t="s">
        <v>70</v>
      </c>
      <c r="S3713" s="4">
        <v>6</v>
      </c>
      <c r="T3713" s="4">
        <v>6</v>
      </c>
      <c r="U3713" s="5" t="s">
        <v>9416</v>
      </c>
      <c r="V3713" s="5" t="s">
        <v>9416</v>
      </c>
      <c r="W3713" s="5" t="s">
        <v>72</v>
      </c>
      <c r="X3713" s="5" t="s">
        <v>72</v>
      </c>
      <c r="Y3713" s="4">
        <v>21</v>
      </c>
      <c r="Z3713" s="4">
        <v>20</v>
      </c>
      <c r="AA3713" s="4">
        <v>21</v>
      </c>
      <c r="AB3713" s="4">
        <v>10</v>
      </c>
      <c r="AC3713" s="4">
        <v>11</v>
      </c>
      <c r="AD3713" s="4">
        <v>14</v>
      </c>
      <c r="AE3713" s="4">
        <v>15</v>
      </c>
      <c r="AF3713" s="4">
        <v>5</v>
      </c>
      <c r="AG3713" s="4">
        <v>6</v>
      </c>
      <c r="AH3713" s="4">
        <v>5</v>
      </c>
      <c r="AI3713" s="4">
        <v>5</v>
      </c>
      <c r="AJ3713" s="4">
        <v>11</v>
      </c>
      <c r="AK3713" s="4">
        <v>11</v>
      </c>
      <c r="AL3713" s="4">
        <v>1</v>
      </c>
      <c r="AM3713" s="4">
        <v>1</v>
      </c>
      <c r="AN3713" s="4">
        <v>0</v>
      </c>
      <c r="AO3713" s="4">
        <v>0</v>
      </c>
      <c r="AP3713" s="4">
        <v>12</v>
      </c>
      <c r="AQ3713" s="4">
        <v>13</v>
      </c>
      <c r="AR3713" s="3" t="s">
        <v>128</v>
      </c>
      <c r="AS3713" s="3" t="s">
        <v>64</v>
      </c>
      <c r="AT3713" s="3" t="s">
        <v>64</v>
      </c>
      <c r="AV3713" s="6" t="str">
        <f>HYPERLINK("http://mcgill.on.worldcat.org/oclc/51447340","Catalog Record")</f>
        <v>Catalog Record</v>
      </c>
      <c r="AW3713" s="6" t="str">
        <f>HYPERLINK("http://www.worldcat.org/oclc/51447340","WorldCat Record")</f>
        <v>WorldCat Record</v>
      </c>
      <c r="AX3713" s="3" t="s">
        <v>37111</v>
      </c>
      <c r="AY3713" s="3" t="s">
        <v>37112</v>
      </c>
      <c r="AZ3713" s="3" t="s">
        <v>37113</v>
      </c>
      <c r="BA3713" s="3" t="s">
        <v>37113</v>
      </c>
      <c r="BB3713" s="3" t="s">
        <v>37114</v>
      </c>
      <c r="BC3713" s="3" t="s">
        <v>77</v>
      </c>
      <c r="BD3713" s="3" t="s">
        <v>78</v>
      </c>
      <c r="BE3713" s="3" t="s">
        <v>37115</v>
      </c>
      <c r="BF3713" s="3" t="s">
        <v>37114</v>
      </c>
      <c r="BG3713" s="3" t="s">
        <v>37116</v>
      </c>
      <c r="BH3713">
        <f t="shared" si="87"/>
        <v>0</v>
      </c>
    </row>
    <row r="3714" spans="1:60" ht="116" x14ac:dyDescent="0.35">
      <c r="A3714" s="2" t="s">
        <v>59</v>
      </c>
      <c r="B3714" s="2" t="s">
        <v>1183</v>
      </c>
      <c r="C3714" s="2" t="s">
        <v>37117</v>
      </c>
      <c r="D3714" s="2" t="s">
        <v>37118</v>
      </c>
      <c r="E3714" s="2" t="s">
        <v>37119</v>
      </c>
      <c r="F3714" s="3" t="s">
        <v>529</v>
      </c>
      <c r="G3714" s="3" t="s">
        <v>128</v>
      </c>
      <c r="I3714" s="3" t="s">
        <v>64</v>
      </c>
      <c r="J3714" s="3" t="s">
        <v>64</v>
      </c>
      <c r="K3714" s="3" t="s">
        <v>65</v>
      </c>
      <c r="L3714" s="2" t="s">
        <v>37120</v>
      </c>
      <c r="M3714" s="2" t="s">
        <v>37121</v>
      </c>
      <c r="N3714" s="3" t="s">
        <v>578</v>
      </c>
      <c r="O3714" s="2" t="s">
        <v>1189</v>
      </c>
      <c r="P3714" s="3" t="s">
        <v>1190</v>
      </c>
      <c r="R3714" s="3" t="s">
        <v>70</v>
      </c>
      <c r="S3714" s="4">
        <v>0</v>
      </c>
      <c r="T3714" s="4">
        <v>0</v>
      </c>
      <c r="W3714" s="5" t="s">
        <v>3572</v>
      </c>
      <c r="X3714" s="5" t="s">
        <v>3572</v>
      </c>
      <c r="Y3714" s="4">
        <v>9</v>
      </c>
      <c r="Z3714" s="4">
        <v>3</v>
      </c>
      <c r="AA3714" s="4">
        <v>3</v>
      </c>
      <c r="AB3714" s="4">
        <v>1</v>
      </c>
      <c r="AC3714" s="4">
        <v>1</v>
      </c>
      <c r="AD3714" s="4">
        <v>6</v>
      </c>
      <c r="AE3714" s="4">
        <v>8</v>
      </c>
      <c r="AF3714" s="4">
        <v>0</v>
      </c>
      <c r="AG3714" s="4">
        <v>0</v>
      </c>
      <c r="AH3714" s="4">
        <v>5</v>
      </c>
      <c r="AI3714" s="4">
        <v>7</v>
      </c>
      <c r="AJ3714" s="4">
        <v>2</v>
      </c>
      <c r="AK3714" s="4">
        <v>2</v>
      </c>
      <c r="AL3714" s="4">
        <v>5</v>
      </c>
      <c r="AM3714" s="4">
        <v>5</v>
      </c>
      <c r="AN3714" s="4">
        <v>0</v>
      </c>
      <c r="AO3714" s="4">
        <v>0</v>
      </c>
      <c r="AP3714" s="4">
        <v>2</v>
      </c>
      <c r="AQ3714" s="4">
        <v>2</v>
      </c>
      <c r="AR3714" s="3" t="s">
        <v>64</v>
      </c>
      <c r="AS3714" s="3" t="s">
        <v>64</v>
      </c>
      <c r="AT3714" s="3" t="s">
        <v>64</v>
      </c>
      <c r="AV3714" s="6" t="str">
        <f>HYPERLINK("http://mcgill.on.worldcat.org/oclc/1032277718","Catalog Record")</f>
        <v>Catalog Record</v>
      </c>
      <c r="AW3714" s="6" t="str">
        <f>HYPERLINK("http://www.worldcat.org/oclc/1032277718","WorldCat Record")</f>
        <v>WorldCat Record</v>
      </c>
      <c r="AX3714" s="3" t="s">
        <v>37122</v>
      </c>
      <c r="AY3714" s="3" t="s">
        <v>37123</v>
      </c>
      <c r="AZ3714" s="3" t="s">
        <v>37124</v>
      </c>
      <c r="BA3714" s="3" t="s">
        <v>37124</v>
      </c>
      <c r="BB3714" s="3" t="s">
        <v>37125</v>
      </c>
      <c r="BC3714" s="3" t="s">
        <v>77</v>
      </c>
      <c r="BD3714" s="3" t="s">
        <v>78</v>
      </c>
      <c r="BE3714" s="3" t="s">
        <v>37126</v>
      </c>
      <c r="BF3714" s="3" t="s">
        <v>37125</v>
      </c>
      <c r="BG3714" s="3" t="s">
        <v>37127</v>
      </c>
      <c r="BH3714">
        <f t="shared" ref="BH3714:BH3777" si="88">IF(COUNTIF($BF$1:$BF$5431,BF3714)=1,0,1)</f>
        <v>0</v>
      </c>
    </row>
    <row r="3715" spans="1:60" ht="116" x14ac:dyDescent="0.35">
      <c r="A3715" s="2" t="s">
        <v>59</v>
      </c>
      <c r="B3715" s="2" t="s">
        <v>1183</v>
      </c>
      <c r="C3715" s="2" t="s">
        <v>37117</v>
      </c>
      <c r="D3715" s="2" t="s">
        <v>37118</v>
      </c>
      <c r="E3715" s="2" t="s">
        <v>37119</v>
      </c>
      <c r="F3715" s="3" t="s">
        <v>525</v>
      </c>
      <c r="G3715" s="3" t="s">
        <v>128</v>
      </c>
      <c r="I3715" s="3" t="s">
        <v>64</v>
      </c>
      <c r="J3715" s="3" t="s">
        <v>64</v>
      </c>
      <c r="K3715" s="3" t="s">
        <v>65</v>
      </c>
      <c r="L3715" s="2" t="s">
        <v>37120</v>
      </c>
      <c r="M3715" s="2" t="s">
        <v>37121</v>
      </c>
      <c r="N3715" s="3" t="s">
        <v>578</v>
      </c>
      <c r="O3715" s="2" t="s">
        <v>1189</v>
      </c>
      <c r="P3715" s="3" t="s">
        <v>1190</v>
      </c>
      <c r="R3715" s="3" t="s">
        <v>70</v>
      </c>
      <c r="S3715" s="4">
        <v>0</v>
      </c>
      <c r="T3715" s="4">
        <v>0</v>
      </c>
      <c r="W3715" s="5" t="s">
        <v>3572</v>
      </c>
      <c r="X3715" s="5" t="s">
        <v>3572</v>
      </c>
      <c r="Y3715" s="4">
        <v>9</v>
      </c>
      <c r="Z3715" s="4">
        <v>3</v>
      </c>
      <c r="AA3715" s="4">
        <v>3</v>
      </c>
      <c r="AB3715" s="4">
        <v>1</v>
      </c>
      <c r="AC3715" s="4">
        <v>1</v>
      </c>
      <c r="AD3715" s="4">
        <v>6</v>
      </c>
      <c r="AE3715" s="4">
        <v>8</v>
      </c>
      <c r="AF3715" s="4">
        <v>0</v>
      </c>
      <c r="AG3715" s="4">
        <v>0</v>
      </c>
      <c r="AH3715" s="4">
        <v>5</v>
      </c>
      <c r="AI3715" s="4">
        <v>7</v>
      </c>
      <c r="AJ3715" s="4">
        <v>2</v>
      </c>
      <c r="AK3715" s="4">
        <v>2</v>
      </c>
      <c r="AL3715" s="4">
        <v>5</v>
      </c>
      <c r="AM3715" s="4">
        <v>5</v>
      </c>
      <c r="AN3715" s="4">
        <v>0</v>
      </c>
      <c r="AO3715" s="4">
        <v>0</v>
      </c>
      <c r="AP3715" s="4">
        <v>2</v>
      </c>
      <c r="AQ3715" s="4">
        <v>2</v>
      </c>
      <c r="AR3715" s="3" t="s">
        <v>64</v>
      </c>
      <c r="AS3715" s="3" t="s">
        <v>64</v>
      </c>
      <c r="AT3715" s="3" t="s">
        <v>64</v>
      </c>
      <c r="AV3715" s="6" t="str">
        <f>HYPERLINK("http://mcgill.on.worldcat.org/oclc/1032277718","Catalog Record")</f>
        <v>Catalog Record</v>
      </c>
      <c r="AW3715" s="6" t="str">
        <f>HYPERLINK("http://www.worldcat.org/oclc/1032277718","WorldCat Record")</f>
        <v>WorldCat Record</v>
      </c>
      <c r="AX3715" s="3" t="s">
        <v>37122</v>
      </c>
      <c r="AY3715" s="3" t="s">
        <v>37123</v>
      </c>
      <c r="AZ3715" s="3" t="s">
        <v>37124</v>
      </c>
      <c r="BA3715" s="3" t="s">
        <v>37124</v>
      </c>
      <c r="BB3715" s="3" t="s">
        <v>37128</v>
      </c>
      <c r="BC3715" s="3" t="s">
        <v>77</v>
      </c>
      <c r="BD3715" s="3" t="s">
        <v>78</v>
      </c>
      <c r="BE3715" s="3" t="s">
        <v>37126</v>
      </c>
      <c r="BF3715" s="3" t="s">
        <v>37128</v>
      </c>
      <c r="BG3715" s="3" t="s">
        <v>37129</v>
      </c>
      <c r="BH3715">
        <f t="shared" si="88"/>
        <v>0</v>
      </c>
    </row>
    <row r="3716" spans="1:60" ht="116" x14ac:dyDescent="0.35">
      <c r="A3716" s="2" t="s">
        <v>59</v>
      </c>
      <c r="B3716" s="2" t="s">
        <v>1183</v>
      </c>
      <c r="C3716" s="2" t="s">
        <v>37130</v>
      </c>
      <c r="D3716" s="2" t="s">
        <v>37131</v>
      </c>
      <c r="E3716" s="2" t="s">
        <v>37132</v>
      </c>
      <c r="G3716" s="3" t="s">
        <v>64</v>
      </c>
      <c r="I3716" s="3" t="s">
        <v>64</v>
      </c>
      <c r="J3716" s="3" t="s">
        <v>64</v>
      </c>
      <c r="K3716" s="3" t="s">
        <v>65</v>
      </c>
      <c r="L3716" s="2" t="s">
        <v>37120</v>
      </c>
      <c r="M3716" s="2" t="s">
        <v>37121</v>
      </c>
      <c r="N3716" s="3" t="s">
        <v>578</v>
      </c>
      <c r="O3716" s="2" t="s">
        <v>1189</v>
      </c>
      <c r="P3716" s="3" t="s">
        <v>1190</v>
      </c>
      <c r="R3716" s="3" t="s">
        <v>70</v>
      </c>
      <c r="S3716" s="4">
        <v>0</v>
      </c>
      <c r="T3716" s="4">
        <v>0</v>
      </c>
      <c r="W3716" s="5" t="s">
        <v>37133</v>
      </c>
      <c r="X3716" s="5" t="s">
        <v>37133</v>
      </c>
      <c r="Y3716" s="4">
        <v>9</v>
      </c>
      <c r="Z3716" s="4">
        <v>3</v>
      </c>
      <c r="AA3716" s="4">
        <v>3</v>
      </c>
      <c r="AB3716" s="4">
        <v>1</v>
      </c>
      <c r="AC3716" s="4">
        <v>1</v>
      </c>
      <c r="AD3716" s="4">
        <v>7</v>
      </c>
      <c r="AE3716" s="4">
        <v>8</v>
      </c>
      <c r="AF3716" s="4">
        <v>0</v>
      </c>
      <c r="AG3716" s="4">
        <v>0</v>
      </c>
      <c r="AH3716" s="4">
        <v>6</v>
      </c>
      <c r="AI3716" s="4">
        <v>7</v>
      </c>
      <c r="AJ3716" s="4">
        <v>2</v>
      </c>
      <c r="AK3716" s="4">
        <v>2</v>
      </c>
      <c r="AL3716" s="4">
        <v>4</v>
      </c>
      <c r="AM3716" s="4">
        <v>5</v>
      </c>
      <c r="AN3716" s="4">
        <v>0</v>
      </c>
      <c r="AO3716" s="4">
        <v>0</v>
      </c>
      <c r="AP3716" s="4">
        <v>2</v>
      </c>
      <c r="AQ3716" s="4">
        <v>2</v>
      </c>
      <c r="AR3716" s="3" t="s">
        <v>64</v>
      </c>
      <c r="AS3716" s="3" t="s">
        <v>64</v>
      </c>
      <c r="AT3716" s="3" t="s">
        <v>64</v>
      </c>
      <c r="AV3716" s="6" t="str">
        <f>HYPERLINK("http://mcgill.on.worldcat.org/oclc/1083701679","Catalog Record")</f>
        <v>Catalog Record</v>
      </c>
      <c r="AW3716" s="6" t="str">
        <f>HYPERLINK("http://www.worldcat.org/oclc/1083701679","WorldCat Record")</f>
        <v>WorldCat Record</v>
      </c>
      <c r="AX3716" s="3" t="s">
        <v>37134</v>
      </c>
      <c r="AY3716" s="3" t="s">
        <v>37135</v>
      </c>
      <c r="AZ3716" s="3" t="s">
        <v>37136</v>
      </c>
      <c r="BA3716" s="3" t="s">
        <v>37136</v>
      </c>
      <c r="BB3716" s="3" t="s">
        <v>37137</v>
      </c>
      <c r="BC3716" s="3" t="s">
        <v>77</v>
      </c>
      <c r="BD3716" s="3" t="s">
        <v>78</v>
      </c>
      <c r="BE3716" s="3" t="s">
        <v>37138</v>
      </c>
      <c r="BF3716" s="3" t="s">
        <v>37137</v>
      </c>
      <c r="BG3716" s="3" t="s">
        <v>37139</v>
      </c>
      <c r="BH3716">
        <f t="shared" si="88"/>
        <v>0</v>
      </c>
    </row>
    <row r="3717" spans="1:60" ht="116" x14ac:dyDescent="0.35">
      <c r="A3717" s="2" t="s">
        <v>59</v>
      </c>
      <c r="B3717" s="2" t="s">
        <v>1183</v>
      </c>
      <c r="C3717" s="2" t="s">
        <v>37140</v>
      </c>
      <c r="D3717" s="2" t="s">
        <v>37141</v>
      </c>
      <c r="E3717" s="2" t="s">
        <v>37142</v>
      </c>
      <c r="G3717" s="3" t="s">
        <v>64</v>
      </c>
      <c r="I3717" s="3" t="s">
        <v>64</v>
      </c>
      <c r="J3717" s="3" t="s">
        <v>64</v>
      </c>
      <c r="K3717" s="3" t="s">
        <v>65</v>
      </c>
      <c r="L3717" s="2" t="s">
        <v>37143</v>
      </c>
      <c r="M3717" s="2" t="s">
        <v>37144</v>
      </c>
      <c r="N3717" s="3" t="s">
        <v>578</v>
      </c>
      <c r="O3717" s="2" t="s">
        <v>1189</v>
      </c>
      <c r="P3717" s="3" t="s">
        <v>1190</v>
      </c>
      <c r="R3717" s="3" t="s">
        <v>70</v>
      </c>
      <c r="S3717" s="4">
        <v>0</v>
      </c>
      <c r="T3717" s="4">
        <v>0</v>
      </c>
      <c r="W3717" s="5" t="s">
        <v>15334</v>
      </c>
      <c r="X3717" s="5" t="s">
        <v>15334</v>
      </c>
      <c r="Y3717" s="4">
        <v>12</v>
      </c>
      <c r="Z3717" s="4">
        <v>3</v>
      </c>
      <c r="AA3717" s="4">
        <v>3</v>
      </c>
      <c r="AB3717" s="4">
        <v>1</v>
      </c>
      <c r="AC3717" s="4">
        <v>1</v>
      </c>
      <c r="AD3717" s="4">
        <v>8</v>
      </c>
      <c r="AE3717" s="4">
        <v>8</v>
      </c>
      <c r="AF3717" s="4">
        <v>0</v>
      </c>
      <c r="AG3717" s="4">
        <v>0</v>
      </c>
      <c r="AH3717" s="4">
        <v>7</v>
      </c>
      <c r="AI3717" s="4">
        <v>7</v>
      </c>
      <c r="AJ3717" s="4">
        <v>2</v>
      </c>
      <c r="AK3717" s="4">
        <v>2</v>
      </c>
      <c r="AL3717" s="4">
        <v>5</v>
      </c>
      <c r="AM3717" s="4">
        <v>5</v>
      </c>
      <c r="AN3717" s="4">
        <v>0</v>
      </c>
      <c r="AO3717" s="4">
        <v>0</v>
      </c>
      <c r="AP3717" s="4">
        <v>2</v>
      </c>
      <c r="AQ3717" s="4">
        <v>2</v>
      </c>
      <c r="AR3717" s="3" t="s">
        <v>64</v>
      </c>
      <c r="AS3717" s="3" t="s">
        <v>64</v>
      </c>
      <c r="AT3717" s="3" t="s">
        <v>64</v>
      </c>
      <c r="AV3717" s="6" t="str">
        <f>HYPERLINK("http://mcgill.on.worldcat.org/oclc/1032283151","Catalog Record")</f>
        <v>Catalog Record</v>
      </c>
      <c r="AW3717" s="6" t="str">
        <f>HYPERLINK("http://www.worldcat.org/oclc/1032283151","WorldCat Record")</f>
        <v>WorldCat Record</v>
      </c>
      <c r="AX3717" s="3" t="s">
        <v>37145</v>
      </c>
      <c r="AY3717" s="3" t="s">
        <v>37146</v>
      </c>
      <c r="AZ3717" s="3" t="s">
        <v>37147</v>
      </c>
      <c r="BA3717" s="3" t="s">
        <v>37147</v>
      </c>
      <c r="BB3717" s="3" t="s">
        <v>37148</v>
      </c>
      <c r="BC3717" s="3" t="s">
        <v>77</v>
      </c>
      <c r="BD3717" s="3" t="s">
        <v>78</v>
      </c>
      <c r="BE3717" s="3" t="s">
        <v>37149</v>
      </c>
      <c r="BF3717" s="3" t="s">
        <v>37148</v>
      </c>
      <c r="BG3717" s="3" t="s">
        <v>37150</v>
      </c>
      <c r="BH3717">
        <f t="shared" si="88"/>
        <v>0</v>
      </c>
    </row>
    <row r="3718" spans="1:60" ht="116" x14ac:dyDescent="0.35">
      <c r="A3718" s="2" t="s">
        <v>59</v>
      </c>
      <c r="B3718" s="2" t="s">
        <v>1183</v>
      </c>
      <c r="C3718" s="2" t="s">
        <v>37151</v>
      </c>
      <c r="D3718" s="2" t="s">
        <v>37152</v>
      </c>
      <c r="E3718" s="2" t="s">
        <v>37153</v>
      </c>
      <c r="G3718" s="3" t="s">
        <v>64</v>
      </c>
      <c r="I3718" s="3" t="s">
        <v>64</v>
      </c>
      <c r="J3718" s="3" t="s">
        <v>64</v>
      </c>
      <c r="K3718" s="3" t="s">
        <v>65</v>
      </c>
      <c r="L3718" s="2" t="s">
        <v>37154</v>
      </c>
      <c r="M3718" s="2" t="s">
        <v>37121</v>
      </c>
      <c r="N3718" s="3" t="s">
        <v>578</v>
      </c>
      <c r="O3718" s="2" t="s">
        <v>1189</v>
      </c>
      <c r="P3718" s="3" t="s">
        <v>1190</v>
      </c>
      <c r="R3718" s="3" t="s">
        <v>70</v>
      </c>
      <c r="S3718" s="4">
        <v>0</v>
      </c>
      <c r="T3718" s="4">
        <v>0</v>
      </c>
      <c r="W3718" s="5" t="s">
        <v>37133</v>
      </c>
      <c r="X3718" s="5" t="s">
        <v>37133</v>
      </c>
      <c r="Y3718" s="4">
        <v>10</v>
      </c>
      <c r="Z3718" s="4">
        <v>3</v>
      </c>
      <c r="AA3718" s="4">
        <v>3</v>
      </c>
      <c r="AB3718" s="4">
        <v>1</v>
      </c>
      <c r="AC3718" s="4">
        <v>1</v>
      </c>
      <c r="AD3718" s="4">
        <v>6</v>
      </c>
      <c r="AE3718" s="4">
        <v>8</v>
      </c>
      <c r="AF3718" s="4">
        <v>0</v>
      </c>
      <c r="AG3718" s="4">
        <v>0</v>
      </c>
      <c r="AH3718" s="4">
        <v>5</v>
      </c>
      <c r="AI3718" s="4">
        <v>7</v>
      </c>
      <c r="AJ3718" s="4">
        <v>2</v>
      </c>
      <c r="AK3718" s="4">
        <v>2</v>
      </c>
      <c r="AL3718" s="4">
        <v>4</v>
      </c>
      <c r="AM3718" s="4">
        <v>5</v>
      </c>
      <c r="AN3718" s="4">
        <v>0</v>
      </c>
      <c r="AO3718" s="4">
        <v>0</v>
      </c>
      <c r="AP3718" s="4">
        <v>2</v>
      </c>
      <c r="AQ3718" s="4">
        <v>2</v>
      </c>
      <c r="AR3718" s="3" t="s">
        <v>64</v>
      </c>
      <c r="AS3718" s="3" t="s">
        <v>64</v>
      </c>
      <c r="AT3718" s="3" t="s">
        <v>64</v>
      </c>
      <c r="AV3718" s="6" t="str">
        <f>HYPERLINK("http://mcgill.on.worldcat.org/oclc/1032280158","Catalog Record")</f>
        <v>Catalog Record</v>
      </c>
      <c r="AW3718" s="6" t="str">
        <f>HYPERLINK("http://www.worldcat.org/oclc/1032280158","WorldCat Record")</f>
        <v>WorldCat Record</v>
      </c>
      <c r="AX3718" s="3" t="s">
        <v>37155</v>
      </c>
      <c r="AY3718" s="3" t="s">
        <v>37156</v>
      </c>
      <c r="AZ3718" s="3" t="s">
        <v>37157</v>
      </c>
      <c r="BA3718" s="3" t="s">
        <v>37157</v>
      </c>
      <c r="BB3718" s="3" t="s">
        <v>37158</v>
      </c>
      <c r="BC3718" s="3" t="s">
        <v>77</v>
      </c>
      <c r="BD3718" s="3" t="s">
        <v>78</v>
      </c>
      <c r="BE3718" s="3" t="s">
        <v>37159</v>
      </c>
      <c r="BF3718" s="3" t="s">
        <v>37158</v>
      </c>
      <c r="BG3718" s="3" t="s">
        <v>37160</v>
      </c>
      <c r="BH3718">
        <f t="shared" si="88"/>
        <v>0</v>
      </c>
    </row>
    <row r="3719" spans="1:60" ht="116" x14ac:dyDescent="0.35">
      <c r="A3719" s="2" t="s">
        <v>59</v>
      </c>
      <c r="B3719" s="2" t="s">
        <v>1183</v>
      </c>
      <c r="C3719" s="2" t="s">
        <v>37151</v>
      </c>
      <c r="D3719" s="2" t="s">
        <v>37152</v>
      </c>
      <c r="E3719" s="2" t="s">
        <v>37161</v>
      </c>
      <c r="G3719" s="3" t="s">
        <v>64</v>
      </c>
      <c r="I3719" s="3" t="s">
        <v>64</v>
      </c>
      <c r="J3719" s="3" t="s">
        <v>64</v>
      </c>
      <c r="K3719" s="3" t="s">
        <v>65</v>
      </c>
      <c r="L3719" s="2" t="s">
        <v>37154</v>
      </c>
      <c r="M3719" s="2" t="s">
        <v>37144</v>
      </c>
      <c r="N3719" s="3" t="s">
        <v>578</v>
      </c>
      <c r="O3719" s="2" t="s">
        <v>1189</v>
      </c>
      <c r="P3719" s="3" t="s">
        <v>1190</v>
      </c>
      <c r="R3719" s="3" t="s">
        <v>70</v>
      </c>
      <c r="S3719" s="4">
        <v>0</v>
      </c>
      <c r="T3719" s="4">
        <v>0</v>
      </c>
      <c r="W3719" s="5" t="s">
        <v>37133</v>
      </c>
      <c r="X3719" s="5" t="s">
        <v>37133</v>
      </c>
      <c r="Y3719" s="4">
        <v>12</v>
      </c>
      <c r="Z3719" s="4">
        <v>3</v>
      </c>
      <c r="AA3719" s="4">
        <v>3</v>
      </c>
      <c r="AB3719" s="4">
        <v>1</v>
      </c>
      <c r="AC3719" s="4">
        <v>1</v>
      </c>
      <c r="AD3719" s="4">
        <v>8</v>
      </c>
      <c r="AE3719" s="4">
        <v>8</v>
      </c>
      <c r="AF3719" s="4">
        <v>0</v>
      </c>
      <c r="AG3719" s="4">
        <v>0</v>
      </c>
      <c r="AH3719" s="4">
        <v>7</v>
      </c>
      <c r="AI3719" s="4">
        <v>7</v>
      </c>
      <c r="AJ3719" s="4">
        <v>2</v>
      </c>
      <c r="AK3719" s="4">
        <v>2</v>
      </c>
      <c r="AL3719" s="4">
        <v>5</v>
      </c>
      <c r="AM3719" s="4">
        <v>5</v>
      </c>
      <c r="AN3719" s="4">
        <v>0</v>
      </c>
      <c r="AO3719" s="4">
        <v>0</v>
      </c>
      <c r="AP3719" s="4">
        <v>2</v>
      </c>
      <c r="AQ3719" s="4">
        <v>2</v>
      </c>
      <c r="AR3719" s="3" t="s">
        <v>64</v>
      </c>
      <c r="AS3719" s="3" t="s">
        <v>64</v>
      </c>
      <c r="AT3719" s="3" t="s">
        <v>64</v>
      </c>
      <c r="AV3719" s="6" t="str">
        <f>HYPERLINK("http://mcgill.on.worldcat.org/oclc/1032272774","Catalog Record")</f>
        <v>Catalog Record</v>
      </c>
      <c r="AW3719" s="6" t="str">
        <f>HYPERLINK("http://www.worldcat.org/oclc/1032272774","WorldCat Record")</f>
        <v>WorldCat Record</v>
      </c>
      <c r="AX3719" s="3" t="s">
        <v>37162</v>
      </c>
      <c r="AY3719" s="3" t="s">
        <v>37163</v>
      </c>
      <c r="AZ3719" s="3" t="s">
        <v>37164</v>
      </c>
      <c r="BA3719" s="3" t="s">
        <v>37164</v>
      </c>
      <c r="BB3719" s="3" t="s">
        <v>37165</v>
      </c>
      <c r="BC3719" s="3" t="s">
        <v>77</v>
      </c>
      <c r="BD3719" s="3" t="s">
        <v>78</v>
      </c>
      <c r="BE3719" s="3" t="s">
        <v>37166</v>
      </c>
      <c r="BF3719" s="3" t="s">
        <v>37165</v>
      </c>
      <c r="BG3719" s="3" t="s">
        <v>37167</v>
      </c>
      <c r="BH3719">
        <f t="shared" si="88"/>
        <v>0</v>
      </c>
    </row>
    <row r="3720" spans="1:60" ht="72.5" x14ac:dyDescent="0.35">
      <c r="A3720" s="2" t="s">
        <v>59</v>
      </c>
      <c r="B3720" s="2" t="s">
        <v>60</v>
      </c>
      <c r="C3720" s="2" t="s">
        <v>37168</v>
      </c>
      <c r="D3720" s="2" t="s">
        <v>37169</v>
      </c>
      <c r="E3720" s="2" t="s">
        <v>37170</v>
      </c>
      <c r="G3720" s="3" t="s">
        <v>64</v>
      </c>
      <c r="I3720" s="3" t="s">
        <v>64</v>
      </c>
      <c r="J3720" s="3" t="s">
        <v>64</v>
      </c>
      <c r="K3720" s="3" t="s">
        <v>65</v>
      </c>
      <c r="M3720" s="2" t="s">
        <v>37171</v>
      </c>
      <c r="N3720" s="3" t="s">
        <v>979</v>
      </c>
      <c r="P3720" s="3" t="s">
        <v>102</v>
      </c>
      <c r="Q3720" s="2" t="s">
        <v>37172</v>
      </c>
      <c r="R3720" s="3" t="s">
        <v>70</v>
      </c>
      <c r="S3720" s="4">
        <v>21</v>
      </c>
      <c r="T3720" s="4">
        <v>21</v>
      </c>
      <c r="U3720" s="5" t="s">
        <v>21425</v>
      </c>
      <c r="V3720" s="5" t="s">
        <v>21425</v>
      </c>
      <c r="W3720" s="5" t="s">
        <v>72</v>
      </c>
      <c r="X3720" s="5" t="s">
        <v>72</v>
      </c>
      <c r="Y3720" s="4">
        <v>278</v>
      </c>
      <c r="Z3720" s="4">
        <v>13</v>
      </c>
      <c r="AA3720" s="4">
        <v>29</v>
      </c>
      <c r="AB3720" s="4">
        <v>2</v>
      </c>
      <c r="AC3720" s="4">
        <v>5</v>
      </c>
      <c r="AD3720" s="4">
        <v>87</v>
      </c>
      <c r="AE3720" s="4">
        <v>104</v>
      </c>
      <c r="AF3720" s="4">
        <v>1</v>
      </c>
      <c r="AG3720" s="4">
        <v>2</v>
      </c>
      <c r="AH3720" s="4">
        <v>80</v>
      </c>
      <c r="AI3720" s="4">
        <v>89</v>
      </c>
      <c r="AJ3720" s="4">
        <v>9</v>
      </c>
      <c r="AK3720" s="4">
        <v>17</v>
      </c>
      <c r="AL3720" s="4">
        <v>52</v>
      </c>
      <c r="AM3720" s="4">
        <v>53</v>
      </c>
      <c r="AN3720" s="4">
        <v>0</v>
      </c>
      <c r="AO3720" s="4">
        <v>0</v>
      </c>
      <c r="AP3720" s="4">
        <v>9</v>
      </c>
      <c r="AQ3720" s="4">
        <v>20</v>
      </c>
      <c r="AR3720" s="3" t="s">
        <v>64</v>
      </c>
      <c r="AS3720" s="3" t="s">
        <v>64</v>
      </c>
      <c r="AT3720" s="3" t="s">
        <v>64</v>
      </c>
      <c r="AV3720" s="6" t="str">
        <f>HYPERLINK("http://mcgill.on.worldcat.org/oclc/42935760","Catalog Record")</f>
        <v>Catalog Record</v>
      </c>
      <c r="AW3720" s="6" t="str">
        <f>HYPERLINK("http://www.worldcat.org/oclc/42935760","WorldCat Record")</f>
        <v>WorldCat Record</v>
      </c>
      <c r="AX3720" s="3" t="s">
        <v>37173</v>
      </c>
      <c r="AY3720" s="3" t="s">
        <v>37174</v>
      </c>
      <c r="AZ3720" s="3" t="s">
        <v>37175</v>
      </c>
      <c r="BA3720" s="3" t="s">
        <v>37175</v>
      </c>
      <c r="BB3720" s="3" t="s">
        <v>37176</v>
      </c>
      <c r="BC3720" s="3" t="s">
        <v>77</v>
      </c>
      <c r="BD3720" s="3" t="s">
        <v>78</v>
      </c>
      <c r="BE3720" s="3" t="s">
        <v>37177</v>
      </c>
      <c r="BF3720" s="3" t="s">
        <v>37176</v>
      </c>
      <c r="BG3720" s="3" t="s">
        <v>37178</v>
      </c>
      <c r="BH3720">
        <f t="shared" si="88"/>
        <v>0</v>
      </c>
    </row>
    <row r="3721" spans="1:60" ht="116" x14ac:dyDescent="0.35">
      <c r="A3721" s="2" t="s">
        <v>59</v>
      </c>
      <c r="B3721" s="2" t="s">
        <v>1183</v>
      </c>
      <c r="C3721" s="2" t="s">
        <v>37179</v>
      </c>
      <c r="D3721" s="2" t="s">
        <v>37180</v>
      </c>
      <c r="E3721" s="2" t="s">
        <v>37181</v>
      </c>
      <c r="G3721" s="3" t="s">
        <v>64</v>
      </c>
      <c r="I3721" s="3" t="s">
        <v>64</v>
      </c>
      <c r="J3721" s="3" t="s">
        <v>64</v>
      </c>
      <c r="K3721" s="3" t="s">
        <v>65</v>
      </c>
      <c r="L3721" s="2" t="s">
        <v>37182</v>
      </c>
      <c r="M3721" s="2" t="s">
        <v>37144</v>
      </c>
      <c r="N3721" s="3" t="s">
        <v>578</v>
      </c>
      <c r="O3721" s="2" t="s">
        <v>1189</v>
      </c>
      <c r="P3721" s="3" t="s">
        <v>1190</v>
      </c>
      <c r="R3721" s="3" t="s">
        <v>70</v>
      </c>
      <c r="S3721" s="4">
        <v>0</v>
      </c>
      <c r="T3721" s="4">
        <v>0</v>
      </c>
      <c r="W3721" s="5" t="s">
        <v>37133</v>
      </c>
      <c r="X3721" s="5" t="s">
        <v>37133</v>
      </c>
      <c r="Y3721" s="4">
        <v>8</v>
      </c>
      <c r="Z3721" s="4">
        <v>3</v>
      </c>
      <c r="AA3721" s="4">
        <v>3</v>
      </c>
      <c r="AB3721" s="4">
        <v>1</v>
      </c>
      <c r="AC3721" s="4">
        <v>1</v>
      </c>
      <c r="AD3721" s="4">
        <v>6</v>
      </c>
      <c r="AE3721" s="4">
        <v>6</v>
      </c>
      <c r="AF3721" s="4">
        <v>0</v>
      </c>
      <c r="AG3721" s="4">
        <v>0</v>
      </c>
      <c r="AH3721" s="4">
        <v>5</v>
      </c>
      <c r="AI3721" s="4">
        <v>5</v>
      </c>
      <c r="AJ3721" s="4">
        <v>2</v>
      </c>
      <c r="AK3721" s="4">
        <v>2</v>
      </c>
      <c r="AL3721" s="4">
        <v>3</v>
      </c>
      <c r="AM3721" s="4">
        <v>3</v>
      </c>
      <c r="AN3721" s="4">
        <v>0</v>
      </c>
      <c r="AO3721" s="4">
        <v>0</v>
      </c>
      <c r="AP3721" s="4">
        <v>2</v>
      </c>
      <c r="AQ3721" s="4">
        <v>2</v>
      </c>
      <c r="AR3721" s="3" t="s">
        <v>64</v>
      </c>
      <c r="AS3721" s="3" t="s">
        <v>64</v>
      </c>
      <c r="AT3721" s="3" t="s">
        <v>64</v>
      </c>
      <c r="AV3721" s="6" t="str">
        <f>HYPERLINK("http://mcgill.on.worldcat.org/oclc/1083672805","Catalog Record")</f>
        <v>Catalog Record</v>
      </c>
      <c r="AW3721" s="6" t="str">
        <f>HYPERLINK("http://www.worldcat.org/oclc/1083672805","WorldCat Record")</f>
        <v>WorldCat Record</v>
      </c>
      <c r="AX3721" s="3" t="s">
        <v>37183</v>
      </c>
      <c r="AY3721" s="3" t="s">
        <v>37184</v>
      </c>
      <c r="AZ3721" s="3" t="s">
        <v>37185</v>
      </c>
      <c r="BA3721" s="3" t="s">
        <v>37185</v>
      </c>
      <c r="BB3721" s="3" t="s">
        <v>37186</v>
      </c>
      <c r="BC3721" s="3" t="s">
        <v>77</v>
      </c>
      <c r="BD3721" s="3" t="s">
        <v>78</v>
      </c>
      <c r="BE3721" s="3" t="s">
        <v>37187</v>
      </c>
      <c r="BF3721" s="3" t="s">
        <v>37186</v>
      </c>
      <c r="BG3721" s="3" t="s">
        <v>37188</v>
      </c>
      <c r="BH3721">
        <f t="shared" si="88"/>
        <v>0</v>
      </c>
    </row>
    <row r="3722" spans="1:60" ht="116" x14ac:dyDescent="0.35">
      <c r="A3722" s="2" t="s">
        <v>59</v>
      </c>
      <c r="B3722" s="2" t="s">
        <v>1183</v>
      </c>
      <c r="C3722" s="2" t="s">
        <v>37189</v>
      </c>
      <c r="D3722" s="2" t="s">
        <v>37190</v>
      </c>
      <c r="E3722" s="2" t="s">
        <v>37191</v>
      </c>
      <c r="G3722" s="3" t="s">
        <v>64</v>
      </c>
      <c r="I3722" s="3" t="s">
        <v>64</v>
      </c>
      <c r="J3722" s="3" t="s">
        <v>64</v>
      </c>
      <c r="K3722" s="3" t="s">
        <v>65</v>
      </c>
      <c r="L3722" s="2" t="s">
        <v>37192</v>
      </c>
      <c r="M3722" s="2" t="s">
        <v>37144</v>
      </c>
      <c r="N3722" s="3" t="s">
        <v>578</v>
      </c>
      <c r="O3722" s="2" t="s">
        <v>1189</v>
      </c>
      <c r="P3722" s="3" t="s">
        <v>1190</v>
      </c>
      <c r="R3722" s="3" t="s">
        <v>70</v>
      </c>
      <c r="S3722" s="4">
        <v>0</v>
      </c>
      <c r="T3722" s="4">
        <v>0</v>
      </c>
      <c r="W3722" s="5" t="s">
        <v>15334</v>
      </c>
      <c r="X3722" s="5" t="s">
        <v>15334</v>
      </c>
      <c r="Y3722" s="4">
        <v>13</v>
      </c>
      <c r="Z3722" s="4">
        <v>3</v>
      </c>
      <c r="AA3722" s="4">
        <v>3</v>
      </c>
      <c r="AB3722" s="4">
        <v>1</v>
      </c>
      <c r="AC3722" s="4">
        <v>1</v>
      </c>
      <c r="AD3722" s="4">
        <v>9</v>
      </c>
      <c r="AE3722" s="4">
        <v>9</v>
      </c>
      <c r="AF3722" s="4">
        <v>0</v>
      </c>
      <c r="AG3722" s="4">
        <v>0</v>
      </c>
      <c r="AH3722" s="4">
        <v>8</v>
      </c>
      <c r="AI3722" s="4">
        <v>8</v>
      </c>
      <c r="AJ3722" s="4">
        <v>2</v>
      </c>
      <c r="AK3722" s="4">
        <v>2</v>
      </c>
      <c r="AL3722" s="4">
        <v>6</v>
      </c>
      <c r="AM3722" s="4">
        <v>6</v>
      </c>
      <c r="AN3722" s="4">
        <v>0</v>
      </c>
      <c r="AO3722" s="4">
        <v>0</v>
      </c>
      <c r="AP3722" s="4">
        <v>2</v>
      </c>
      <c r="AQ3722" s="4">
        <v>2</v>
      </c>
      <c r="AR3722" s="3" t="s">
        <v>64</v>
      </c>
      <c r="AS3722" s="3" t="s">
        <v>64</v>
      </c>
      <c r="AT3722" s="3" t="s">
        <v>64</v>
      </c>
      <c r="AV3722" s="6" t="str">
        <f>HYPERLINK("http://mcgill.on.worldcat.org/oclc/1032273771","Catalog Record")</f>
        <v>Catalog Record</v>
      </c>
      <c r="AW3722" s="6" t="str">
        <f>HYPERLINK("http://www.worldcat.org/oclc/1032273771","WorldCat Record")</f>
        <v>WorldCat Record</v>
      </c>
      <c r="AX3722" s="3" t="s">
        <v>37193</v>
      </c>
      <c r="AY3722" s="3" t="s">
        <v>37194</v>
      </c>
      <c r="AZ3722" s="3" t="s">
        <v>37195</v>
      </c>
      <c r="BA3722" s="3" t="s">
        <v>37195</v>
      </c>
      <c r="BB3722" s="3" t="s">
        <v>37196</v>
      </c>
      <c r="BC3722" s="3" t="s">
        <v>77</v>
      </c>
      <c r="BD3722" s="3" t="s">
        <v>78</v>
      </c>
      <c r="BE3722" s="3" t="s">
        <v>37197</v>
      </c>
      <c r="BF3722" s="3" t="s">
        <v>37196</v>
      </c>
      <c r="BG3722" s="3" t="s">
        <v>37198</v>
      </c>
      <c r="BH3722">
        <f t="shared" si="88"/>
        <v>0</v>
      </c>
    </row>
    <row r="3723" spans="1:60" ht="116" x14ac:dyDescent="0.35">
      <c r="A3723" s="2" t="s">
        <v>59</v>
      </c>
      <c r="B3723" s="2" t="s">
        <v>1183</v>
      </c>
      <c r="C3723" s="2" t="s">
        <v>37199</v>
      </c>
      <c r="D3723" s="2" t="s">
        <v>37200</v>
      </c>
      <c r="E3723" s="2" t="s">
        <v>37201</v>
      </c>
      <c r="G3723" s="3" t="s">
        <v>64</v>
      </c>
      <c r="I3723" s="3" t="s">
        <v>64</v>
      </c>
      <c r="J3723" s="3" t="s">
        <v>64</v>
      </c>
      <c r="K3723" s="3" t="s">
        <v>65</v>
      </c>
      <c r="L3723" s="2" t="s">
        <v>37202</v>
      </c>
      <c r="M3723" s="2" t="s">
        <v>37203</v>
      </c>
      <c r="N3723" s="3" t="s">
        <v>511</v>
      </c>
      <c r="O3723" s="2" t="s">
        <v>1189</v>
      </c>
      <c r="P3723" s="3" t="s">
        <v>1190</v>
      </c>
      <c r="Q3723" s="2" t="s">
        <v>37204</v>
      </c>
      <c r="R3723" s="3" t="s">
        <v>70</v>
      </c>
      <c r="S3723" s="4">
        <v>0</v>
      </c>
      <c r="T3723" s="4">
        <v>0</v>
      </c>
      <c r="W3723" s="5" t="s">
        <v>11674</v>
      </c>
      <c r="X3723" s="5" t="s">
        <v>11674</v>
      </c>
      <c r="Y3723" s="4">
        <v>5</v>
      </c>
      <c r="Z3723" s="4">
        <v>1</v>
      </c>
      <c r="AA3723" s="4">
        <v>1</v>
      </c>
      <c r="AB3723" s="4">
        <v>1</v>
      </c>
      <c r="AC3723" s="4">
        <v>1</v>
      </c>
      <c r="AD3723" s="4">
        <v>2</v>
      </c>
      <c r="AE3723" s="4">
        <v>4</v>
      </c>
      <c r="AF3723" s="4">
        <v>0</v>
      </c>
      <c r="AG3723" s="4">
        <v>0</v>
      </c>
      <c r="AH3723" s="4">
        <v>2</v>
      </c>
      <c r="AI3723" s="4">
        <v>4</v>
      </c>
      <c r="AJ3723" s="4">
        <v>0</v>
      </c>
      <c r="AK3723" s="4">
        <v>0</v>
      </c>
      <c r="AL3723" s="4">
        <v>1</v>
      </c>
      <c r="AM3723" s="4">
        <v>2</v>
      </c>
      <c r="AN3723" s="4">
        <v>0</v>
      </c>
      <c r="AO3723" s="4">
        <v>0</v>
      </c>
      <c r="AP3723" s="4">
        <v>0</v>
      </c>
      <c r="AQ3723" s="4">
        <v>0</v>
      </c>
      <c r="AR3723" s="3" t="s">
        <v>64</v>
      </c>
      <c r="AS3723" s="3" t="s">
        <v>64</v>
      </c>
      <c r="AT3723" s="3" t="s">
        <v>64</v>
      </c>
      <c r="AV3723" s="6" t="str">
        <f>HYPERLINK("http://mcgill.on.worldcat.org/oclc/857911923","Catalog Record")</f>
        <v>Catalog Record</v>
      </c>
      <c r="AW3723" s="6" t="str">
        <f>HYPERLINK("http://www.worldcat.org/oclc/857911923","WorldCat Record")</f>
        <v>WorldCat Record</v>
      </c>
      <c r="AX3723" s="3" t="s">
        <v>37205</v>
      </c>
      <c r="AY3723" s="3" t="s">
        <v>37206</v>
      </c>
      <c r="AZ3723" s="3" t="s">
        <v>37207</v>
      </c>
      <c r="BA3723" s="3" t="s">
        <v>37207</v>
      </c>
      <c r="BB3723" s="3" t="s">
        <v>37208</v>
      </c>
      <c r="BC3723" s="3" t="s">
        <v>77</v>
      </c>
      <c r="BD3723" s="3" t="s">
        <v>78</v>
      </c>
      <c r="BE3723" s="3" t="s">
        <v>37209</v>
      </c>
      <c r="BF3723" s="3" t="s">
        <v>37208</v>
      </c>
      <c r="BG3723" s="3" t="s">
        <v>37210</v>
      </c>
      <c r="BH3723">
        <f t="shared" si="88"/>
        <v>0</v>
      </c>
    </row>
    <row r="3724" spans="1:60" ht="58" x14ac:dyDescent="0.35">
      <c r="A3724" s="2" t="s">
        <v>59</v>
      </c>
      <c r="B3724" s="2" t="s">
        <v>60</v>
      </c>
      <c r="C3724" s="2" t="s">
        <v>37211</v>
      </c>
      <c r="D3724" s="2" t="s">
        <v>37212</v>
      </c>
      <c r="E3724" s="2" t="s">
        <v>37213</v>
      </c>
      <c r="G3724" s="3" t="s">
        <v>64</v>
      </c>
      <c r="I3724" s="3" t="s">
        <v>64</v>
      </c>
      <c r="J3724" s="3" t="s">
        <v>64</v>
      </c>
      <c r="K3724" s="3" t="s">
        <v>65</v>
      </c>
      <c r="L3724" s="2" t="s">
        <v>37214</v>
      </c>
      <c r="M3724" s="2" t="s">
        <v>37215</v>
      </c>
      <c r="N3724" s="3" t="s">
        <v>190</v>
      </c>
      <c r="P3724" s="3" t="s">
        <v>102</v>
      </c>
      <c r="R3724" s="3" t="s">
        <v>70</v>
      </c>
      <c r="S3724" s="4">
        <v>1</v>
      </c>
      <c r="T3724" s="4">
        <v>1</v>
      </c>
      <c r="U3724" s="5" t="s">
        <v>5637</v>
      </c>
      <c r="V3724" s="5" t="s">
        <v>5637</v>
      </c>
      <c r="W3724" s="5" t="s">
        <v>72</v>
      </c>
      <c r="X3724" s="5" t="s">
        <v>72</v>
      </c>
      <c r="Y3724" s="4">
        <v>49</v>
      </c>
      <c r="Z3724" s="4">
        <v>5</v>
      </c>
      <c r="AA3724" s="4">
        <v>9</v>
      </c>
      <c r="AB3724" s="4">
        <v>1</v>
      </c>
      <c r="AC3724" s="4">
        <v>2</v>
      </c>
      <c r="AD3724" s="4">
        <v>23</v>
      </c>
      <c r="AE3724" s="4">
        <v>27</v>
      </c>
      <c r="AF3724" s="4">
        <v>0</v>
      </c>
      <c r="AG3724" s="4">
        <v>0</v>
      </c>
      <c r="AH3724" s="4">
        <v>21</v>
      </c>
      <c r="AI3724" s="4">
        <v>25</v>
      </c>
      <c r="AJ3724" s="4">
        <v>4</v>
      </c>
      <c r="AK3724" s="4">
        <v>7</v>
      </c>
      <c r="AL3724" s="4">
        <v>18</v>
      </c>
      <c r="AM3724" s="4">
        <v>18</v>
      </c>
      <c r="AN3724" s="4">
        <v>0</v>
      </c>
      <c r="AO3724" s="4">
        <v>0</v>
      </c>
      <c r="AP3724" s="4">
        <v>4</v>
      </c>
      <c r="AQ3724" s="4">
        <v>7</v>
      </c>
      <c r="AR3724" s="3" t="s">
        <v>64</v>
      </c>
      <c r="AS3724" s="3" t="s">
        <v>64</v>
      </c>
      <c r="AT3724" s="3" t="s">
        <v>64</v>
      </c>
      <c r="AV3724" s="6" t="str">
        <f>HYPERLINK("http://mcgill.on.worldcat.org/oclc/1049316866","Catalog Record")</f>
        <v>Catalog Record</v>
      </c>
      <c r="AW3724" s="6" t="str">
        <f>HYPERLINK("http://www.worldcat.org/oclc/1049316866","WorldCat Record")</f>
        <v>WorldCat Record</v>
      </c>
      <c r="AX3724" s="3" t="s">
        <v>37216</v>
      </c>
      <c r="AY3724" s="3" t="s">
        <v>37217</v>
      </c>
      <c r="AZ3724" s="3" t="s">
        <v>37218</v>
      </c>
      <c r="BA3724" s="3" t="s">
        <v>37218</v>
      </c>
      <c r="BB3724" s="3" t="s">
        <v>37219</v>
      </c>
      <c r="BC3724" s="3" t="s">
        <v>77</v>
      </c>
      <c r="BD3724" s="3" t="s">
        <v>78</v>
      </c>
      <c r="BE3724" s="3" t="s">
        <v>37220</v>
      </c>
      <c r="BF3724" s="3" t="s">
        <v>37219</v>
      </c>
      <c r="BG3724" s="3" t="s">
        <v>37221</v>
      </c>
      <c r="BH3724">
        <f t="shared" si="88"/>
        <v>0</v>
      </c>
    </row>
    <row r="3725" spans="1:60" ht="58" x14ac:dyDescent="0.35">
      <c r="A3725" s="2" t="s">
        <v>59</v>
      </c>
      <c r="B3725" s="2" t="s">
        <v>60</v>
      </c>
      <c r="C3725" s="2" t="s">
        <v>37222</v>
      </c>
      <c r="D3725" s="2" t="s">
        <v>37223</v>
      </c>
      <c r="E3725" s="2" t="s">
        <v>37224</v>
      </c>
      <c r="G3725" s="3" t="s">
        <v>64</v>
      </c>
      <c r="I3725" s="3" t="s">
        <v>64</v>
      </c>
      <c r="J3725" s="3" t="s">
        <v>64</v>
      </c>
      <c r="K3725" s="3" t="s">
        <v>65</v>
      </c>
      <c r="L3725" s="2" t="s">
        <v>37225</v>
      </c>
      <c r="M3725" s="2" t="s">
        <v>37226</v>
      </c>
      <c r="N3725" s="3" t="s">
        <v>979</v>
      </c>
      <c r="O3725" s="2" t="s">
        <v>2149</v>
      </c>
      <c r="P3725" s="3" t="s">
        <v>102</v>
      </c>
      <c r="Q3725" s="2" t="s">
        <v>2138</v>
      </c>
      <c r="R3725" s="3" t="s">
        <v>70</v>
      </c>
      <c r="S3725" s="4">
        <v>1</v>
      </c>
      <c r="T3725" s="4">
        <v>1</v>
      </c>
      <c r="U3725" s="5" t="s">
        <v>37227</v>
      </c>
      <c r="V3725" s="5" t="s">
        <v>37227</v>
      </c>
      <c r="W3725" s="5" t="s">
        <v>72</v>
      </c>
      <c r="X3725" s="5" t="s">
        <v>72</v>
      </c>
      <c r="Y3725" s="4">
        <v>329</v>
      </c>
      <c r="Z3725" s="4">
        <v>22</v>
      </c>
      <c r="AA3725" s="4">
        <v>24</v>
      </c>
      <c r="AB3725" s="4">
        <v>1</v>
      </c>
      <c r="AC3725" s="4">
        <v>2</v>
      </c>
      <c r="AD3725" s="4">
        <v>99</v>
      </c>
      <c r="AE3725" s="4">
        <v>100</v>
      </c>
      <c r="AF3725" s="4">
        <v>0</v>
      </c>
      <c r="AG3725" s="4">
        <v>0</v>
      </c>
      <c r="AH3725" s="4">
        <v>89</v>
      </c>
      <c r="AI3725" s="4">
        <v>89</v>
      </c>
      <c r="AJ3725" s="4">
        <v>13</v>
      </c>
      <c r="AK3725" s="4">
        <v>14</v>
      </c>
      <c r="AL3725" s="4">
        <v>50</v>
      </c>
      <c r="AM3725" s="4">
        <v>50</v>
      </c>
      <c r="AN3725" s="4">
        <v>0</v>
      </c>
      <c r="AO3725" s="4">
        <v>0</v>
      </c>
      <c r="AP3725" s="4">
        <v>17</v>
      </c>
      <c r="AQ3725" s="4">
        <v>18</v>
      </c>
      <c r="AR3725" s="3" t="s">
        <v>64</v>
      </c>
      <c r="AS3725" s="3" t="s">
        <v>64</v>
      </c>
      <c r="AT3725" s="3" t="s">
        <v>64</v>
      </c>
      <c r="AV3725" s="6" t="str">
        <f>HYPERLINK("http://mcgill.on.worldcat.org/oclc/43919641","Catalog Record")</f>
        <v>Catalog Record</v>
      </c>
      <c r="AW3725" s="6" t="str">
        <f>HYPERLINK("http://www.worldcat.org/oclc/43919641","WorldCat Record")</f>
        <v>WorldCat Record</v>
      </c>
      <c r="AX3725" s="3" t="s">
        <v>37228</v>
      </c>
      <c r="AY3725" s="3" t="s">
        <v>37229</v>
      </c>
      <c r="AZ3725" s="3" t="s">
        <v>37230</v>
      </c>
      <c r="BA3725" s="3" t="s">
        <v>37230</v>
      </c>
      <c r="BB3725" s="3" t="s">
        <v>37231</v>
      </c>
      <c r="BC3725" s="3" t="s">
        <v>77</v>
      </c>
      <c r="BD3725" s="3" t="s">
        <v>78</v>
      </c>
      <c r="BE3725" s="3" t="s">
        <v>37232</v>
      </c>
      <c r="BF3725" s="3" t="s">
        <v>37231</v>
      </c>
      <c r="BG3725" s="3" t="s">
        <v>37233</v>
      </c>
      <c r="BH3725">
        <f t="shared" si="88"/>
        <v>0</v>
      </c>
    </row>
    <row r="3726" spans="1:60" ht="58" x14ac:dyDescent="0.35">
      <c r="A3726" s="2" t="s">
        <v>59</v>
      </c>
      <c r="B3726" s="2" t="s">
        <v>60</v>
      </c>
      <c r="C3726" s="2" t="s">
        <v>37234</v>
      </c>
      <c r="D3726" s="2" t="s">
        <v>37235</v>
      </c>
      <c r="E3726" s="2" t="s">
        <v>37236</v>
      </c>
      <c r="G3726" s="3" t="s">
        <v>64</v>
      </c>
      <c r="I3726" s="3" t="s">
        <v>128</v>
      </c>
      <c r="J3726" s="3" t="s">
        <v>64</v>
      </c>
      <c r="K3726" s="3" t="s">
        <v>65</v>
      </c>
      <c r="M3726" s="2" t="s">
        <v>37237</v>
      </c>
      <c r="N3726" s="3" t="s">
        <v>153</v>
      </c>
      <c r="P3726" s="3" t="s">
        <v>68</v>
      </c>
      <c r="Q3726" s="2" t="s">
        <v>37238</v>
      </c>
      <c r="R3726" s="3" t="s">
        <v>70</v>
      </c>
      <c r="S3726" s="4">
        <v>7</v>
      </c>
      <c r="T3726" s="4">
        <v>9</v>
      </c>
      <c r="U3726" s="5" t="s">
        <v>37239</v>
      </c>
      <c r="V3726" s="5" t="s">
        <v>37239</v>
      </c>
      <c r="W3726" s="5" t="s">
        <v>72</v>
      </c>
      <c r="X3726" s="5" t="s">
        <v>72</v>
      </c>
      <c r="Y3726" s="4">
        <v>67</v>
      </c>
      <c r="Z3726" s="4">
        <v>8</v>
      </c>
      <c r="AA3726" s="4">
        <v>8</v>
      </c>
      <c r="AB3726" s="4">
        <v>1</v>
      </c>
      <c r="AC3726" s="4">
        <v>1</v>
      </c>
      <c r="AD3726" s="4">
        <v>40</v>
      </c>
      <c r="AE3726" s="4">
        <v>40</v>
      </c>
      <c r="AF3726" s="4">
        <v>0</v>
      </c>
      <c r="AG3726" s="4">
        <v>0</v>
      </c>
      <c r="AH3726" s="4">
        <v>35</v>
      </c>
      <c r="AI3726" s="4">
        <v>35</v>
      </c>
      <c r="AJ3726" s="4">
        <v>6</v>
      </c>
      <c r="AK3726" s="4">
        <v>6</v>
      </c>
      <c r="AL3726" s="4">
        <v>29</v>
      </c>
      <c r="AM3726" s="4">
        <v>29</v>
      </c>
      <c r="AN3726" s="4">
        <v>0</v>
      </c>
      <c r="AO3726" s="4">
        <v>0</v>
      </c>
      <c r="AP3726" s="4">
        <v>6</v>
      </c>
      <c r="AQ3726" s="4">
        <v>6</v>
      </c>
      <c r="AR3726" s="3" t="s">
        <v>64</v>
      </c>
      <c r="AS3726" s="3" t="s">
        <v>64</v>
      </c>
      <c r="AT3726" s="3" t="s">
        <v>64</v>
      </c>
      <c r="AV3726" s="6" t="str">
        <f>HYPERLINK("http://mcgill.on.worldcat.org/oclc/41016019","Catalog Record")</f>
        <v>Catalog Record</v>
      </c>
      <c r="AW3726" s="6" t="str">
        <f>HYPERLINK("http://www.worldcat.org/oclc/41016019","WorldCat Record")</f>
        <v>WorldCat Record</v>
      </c>
      <c r="AX3726" s="3" t="s">
        <v>37240</v>
      </c>
      <c r="AY3726" s="3" t="s">
        <v>37241</v>
      </c>
      <c r="AZ3726" s="3" t="s">
        <v>37242</v>
      </c>
      <c r="BA3726" s="3" t="s">
        <v>37242</v>
      </c>
      <c r="BB3726" s="3" t="s">
        <v>37243</v>
      </c>
      <c r="BC3726" s="3" t="s">
        <v>77</v>
      </c>
      <c r="BD3726" s="3" t="s">
        <v>78</v>
      </c>
      <c r="BE3726" s="3" t="s">
        <v>37244</v>
      </c>
      <c r="BF3726" s="3" t="s">
        <v>37243</v>
      </c>
      <c r="BG3726" s="3" t="s">
        <v>37245</v>
      </c>
      <c r="BH3726">
        <f t="shared" si="88"/>
        <v>0</v>
      </c>
    </row>
    <row r="3727" spans="1:60" ht="58" x14ac:dyDescent="0.35">
      <c r="A3727" s="2" t="s">
        <v>59</v>
      </c>
      <c r="B3727" s="2" t="s">
        <v>60</v>
      </c>
      <c r="C3727" s="2" t="s">
        <v>37234</v>
      </c>
      <c r="D3727" s="2" t="s">
        <v>37235</v>
      </c>
      <c r="E3727" s="2" t="s">
        <v>37236</v>
      </c>
      <c r="G3727" s="3" t="s">
        <v>64</v>
      </c>
      <c r="I3727" s="3" t="s">
        <v>128</v>
      </c>
      <c r="J3727" s="3" t="s">
        <v>64</v>
      </c>
      <c r="K3727" s="3" t="s">
        <v>65</v>
      </c>
      <c r="M3727" s="2" t="s">
        <v>37237</v>
      </c>
      <c r="N3727" s="3" t="s">
        <v>153</v>
      </c>
      <c r="P3727" s="3" t="s">
        <v>68</v>
      </c>
      <c r="Q3727" s="2" t="s">
        <v>37238</v>
      </c>
      <c r="R3727" s="3" t="s">
        <v>70</v>
      </c>
      <c r="S3727" s="4">
        <v>2</v>
      </c>
      <c r="T3727" s="4">
        <v>9</v>
      </c>
      <c r="U3727" s="5" t="s">
        <v>37246</v>
      </c>
      <c r="V3727" s="5" t="s">
        <v>37239</v>
      </c>
      <c r="W3727" s="5" t="s">
        <v>72</v>
      </c>
      <c r="X3727" s="5" t="s">
        <v>72</v>
      </c>
      <c r="Y3727" s="4">
        <v>67</v>
      </c>
      <c r="Z3727" s="4">
        <v>8</v>
      </c>
      <c r="AA3727" s="4">
        <v>8</v>
      </c>
      <c r="AB3727" s="4">
        <v>1</v>
      </c>
      <c r="AC3727" s="4">
        <v>1</v>
      </c>
      <c r="AD3727" s="4">
        <v>40</v>
      </c>
      <c r="AE3727" s="4">
        <v>40</v>
      </c>
      <c r="AF3727" s="4">
        <v>0</v>
      </c>
      <c r="AG3727" s="4">
        <v>0</v>
      </c>
      <c r="AH3727" s="4">
        <v>35</v>
      </c>
      <c r="AI3727" s="4">
        <v>35</v>
      </c>
      <c r="AJ3727" s="4">
        <v>6</v>
      </c>
      <c r="AK3727" s="4">
        <v>6</v>
      </c>
      <c r="AL3727" s="4">
        <v>29</v>
      </c>
      <c r="AM3727" s="4">
        <v>29</v>
      </c>
      <c r="AN3727" s="4">
        <v>0</v>
      </c>
      <c r="AO3727" s="4">
        <v>0</v>
      </c>
      <c r="AP3727" s="4">
        <v>6</v>
      </c>
      <c r="AQ3727" s="4">
        <v>6</v>
      </c>
      <c r="AR3727" s="3" t="s">
        <v>64</v>
      </c>
      <c r="AS3727" s="3" t="s">
        <v>64</v>
      </c>
      <c r="AT3727" s="3" t="s">
        <v>64</v>
      </c>
      <c r="AV3727" s="6" t="str">
        <f>HYPERLINK("http://mcgill.on.worldcat.org/oclc/41016019","Catalog Record")</f>
        <v>Catalog Record</v>
      </c>
      <c r="AW3727" s="6" t="str">
        <f>HYPERLINK("http://www.worldcat.org/oclc/41016019","WorldCat Record")</f>
        <v>WorldCat Record</v>
      </c>
      <c r="AX3727" s="3" t="s">
        <v>37240</v>
      </c>
      <c r="AY3727" s="3" t="s">
        <v>37241</v>
      </c>
      <c r="AZ3727" s="3" t="s">
        <v>37242</v>
      </c>
      <c r="BA3727" s="3" t="s">
        <v>37242</v>
      </c>
      <c r="BB3727" s="3" t="s">
        <v>37247</v>
      </c>
      <c r="BC3727" s="3" t="s">
        <v>77</v>
      </c>
      <c r="BD3727" s="3" t="s">
        <v>78</v>
      </c>
      <c r="BE3727" s="3" t="s">
        <v>37244</v>
      </c>
      <c r="BF3727" s="3" t="s">
        <v>37247</v>
      </c>
      <c r="BG3727" s="3" t="s">
        <v>37248</v>
      </c>
      <c r="BH3727">
        <f t="shared" si="88"/>
        <v>0</v>
      </c>
    </row>
    <row r="3728" spans="1:60" ht="58" x14ac:dyDescent="0.35">
      <c r="A3728" s="2" t="s">
        <v>59</v>
      </c>
      <c r="B3728" s="2" t="s">
        <v>60</v>
      </c>
      <c r="C3728" s="2" t="s">
        <v>37249</v>
      </c>
      <c r="D3728" s="2" t="s">
        <v>37250</v>
      </c>
      <c r="E3728" s="2" t="s">
        <v>37251</v>
      </c>
      <c r="G3728" s="3" t="s">
        <v>64</v>
      </c>
      <c r="I3728" s="3" t="s">
        <v>64</v>
      </c>
      <c r="J3728" s="3" t="s">
        <v>64</v>
      </c>
      <c r="K3728" s="3" t="s">
        <v>65</v>
      </c>
      <c r="L3728" s="2" t="s">
        <v>37252</v>
      </c>
      <c r="M3728" s="2" t="s">
        <v>37253</v>
      </c>
      <c r="N3728" s="3" t="s">
        <v>1250</v>
      </c>
      <c r="P3728" s="3" t="s">
        <v>102</v>
      </c>
      <c r="R3728" s="3" t="s">
        <v>70</v>
      </c>
      <c r="S3728" s="4">
        <v>81</v>
      </c>
      <c r="T3728" s="4">
        <v>81</v>
      </c>
      <c r="U3728" s="5" t="s">
        <v>3805</v>
      </c>
      <c r="V3728" s="5" t="s">
        <v>3805</v>
      </c>
      <c r="W3728" s="5" t="s">
        <v>72</v>
      </c>
      <c r="X3728" s="5" t="s">
        <v>72</v>
      </c>
      <c r="Y3728" s="4">
        <v>144</v>
      </c>
      <c r="Z3728" s="4">
        <v>6</v>
      </c>
      <c r="AA3728" s="4">
        <v>34</v>
      </c>
      <c r="AB3728" s="4">
        <v>2</v>
      </c>
      <c r="AC3728" s="4">
        <v>2</v>
      </c>
      <c r="AD3728" s="4">
        <v>35</v>
      </c>
      <c r="AE3728" s="4">
        <v>122</v>
      </c>
      <c r="AF3728" s="4">
        <v>0</v>
      </c>
      <c r="AG3728" s="4">
        <v>0</v>
      </c>
      <c r="AH3728" s="4">
        <v>31</v>
      </c>
      <c r="AI3728" s="4">
        <v>102</v>
      </c>
      <c r="AJ3728" s="4">
        <v>4</v>
      </c>
      <c r="AK3728" s="4">
        <v>19</v>
      </c>
      <c r="AL3728" s="4">
        <v>23</v>
      </c>
      <c r="AM3728" s="4">
        <v>61</v>
      </c>
      <c r="AN3728" s="4">
        <v>0</v>
      </c>
      <c r="AO3728" s="4">
        <v>0</v>
      </c>
      <c r="AP3728" s="4">
        <v>4</v>
      </c>
      <c r="AQ3728" s="4">
        <v>26</v>
      </c>
      <c r="AR3728" s="3" t="s">
        <v>64</v>
      </c>
      <c r="AS3728" s="3" t="s">
        <v>64</v>
      </c>
      <c r="AT3728" s="3" t="s">
        <v>64</v>
      </c>
      <c r="AV3728" s="6" t="str">
        <f>HYPERLINK("http://mcgill.on.worldcat.org/oclc/29595014","Catalog Record")</f>
        <v>Catalog Record</v>
      </c>
      <c r="AW3728" s="6" t="str">
        <f>HYPERLINK("http://www.worldcat.org/oclc/29595014","WorldCat Record")</f>
        <v>WorldCat Record</v>
      </c>
      <c r="AX3728" s="3" t="s">
        <v>37254</v>
      </c>
      <c r="AY3728" s="3" t="s">
        <v>37255</v>
      </c>
      <c r="AZ3728" s="3" t="s">
        <v>37256</v>
      </c>
      <c r="BA3728" s="3" t="s">
        <v>37256</v>
      </c>
      <c r="BB3728" s="3" t="s">
        <v>37257</v>
      </c>
      <c r="BC3728" s="3" t="s">
        <v>77</v>
      </c>
      <c r="BD3728" s="3" t="s">
        <v>165</v>
      </c>
      <c r="BE3728" s="3" t="s">
        <v>37258</v>
      </c>
      <c r="BF3728" s="3" t="s">
        <v>37257</v>
      </c>
      <c r="BG3728" s="3" t="s">
        <v>37259</v>
      </c>
      <c r="BH3728">
        <f t="shared" si="88"/>
        <v>0</v>
      </c>
    </row>
    <row r="3729" spans="1:60" ht="58" x14ac:dyDescent="0.35">
      <c r="A3729" s="2" t="s">
        <v>59</v>
      </c>
      <c r="B3729" s="2" t="s">
        <v>60</v>
      </c>
      <c r="C3729" s="2" t="s">
        <v>37260</v>
      </c>
      <c r="D3729" s="2" t="s">
        <v>37261</v>
      </c>
      <c r="E3729" s="2" t="s">
        <v>37262</v>
      </c>
      <c r="G3729" s="3" t="s">
        <v>64</v>
      </c>
      <c r="I3729" s="3" t="s">
        <v>64</v>
      </c>
      <c r="J3729" s="3" t="s">
        <v>64</v>
      </c>
      <c r="K3729" s="3" t="s">
        <v>65</v>
      </c>
      <c r="L3729" s="2" t="s">
        <v>37263</v>
      </c>
      <c r="M3729" s="2" t="s">
        <v>37264</v>
      </c>
      <c r="N3729" s="3" t="s">
        <v>116</v>
      </c>
      <c r="P3729" s="3" t="s">
        <v>68</v>
      </c>
      <c r="Q3729" s="2" t="s">
        <v>37265</v>
      </c>
      <c r="R3729" s="3" t="s">
        <v>70</v>
      </c>
      <c r="S3729" s="4">
        <v>20</v>
      </c>
      <c r="T3729" s="4">
        <v>20</v>
      </c>
      <c r="U3729" s="5" t="s">
        <v>37266</v>
      </c>
      <c r="V3729" s="5" t="s">
        <v>37266</v>
      </c>
      <c r="W3729" s="5" t="s">
        <v>72</v>
      </c>
      <c r="X3729" s="5" t="s">
        <v>72</v>
      </c>
      <c r="Y3729" s="4">
        <v>15</v>
      </c>
      <c r="Z3729" s="4">
        <v>3</v>
      </c>
      <c r="AA3729" s="4">
        <v>17</v>
      </c>
      <c r="AB3729" s="4">
        <v>1</v>
      </c>
      <c r="AC3729" s="4">
        <v>10</v>
      </c>
      <c r="AD3729" s="4">
        <v>5</v>
      </c>
      <c r="AE3729" s="4">
        <v>22</v>
      </c>
      <c r="AF3729" s="4">
        <v>0</v>
      </c>
      <c r="AG3729" s="4">
        <v>4</v>
      </c>
      <c r="AH3729" s="4">
        <v>4</v>
      </c>
      <c r="AI3729" s="4">
        <v>15</v>
      </c>
      <c r="AJ3729" s="4">
        <v>1</v>
      </c>
      <c r="AK3729" s="4">
        <v>7</v>
      </c>
      <c r="AL3729" s="4">
        <v>3</v>
      </c>
      <c r="AM3729" s="4">
        <v>10</v>
      </c>
      <c r="AN3729" s="4">
        <v>0</v>
      </c>
      <c r="AO3729" s="4">
        <v>0</v>
      </c>
      <c r="AP3729" s="4">
        <v>2</v>
      </c>
      <c r="AQ3729" s="4">
        <v>9</v>
      </c>
      <c r="AR3729" s="3" t="s">
        <v>64</v>
      </c>
      <c r="AS3729" s="3" t="s">
        <v>64</v>
      </c>
      <c r="AT3729" s="3" t="s">
        <v>64</v>
      </c>
      <c r="AV3729" s="6" t="str">
        <f>HYPERLINK("http://mcgill.on.worldcat.org/oclc/49304324","Catalog Record")</f>
        <v>Catalog Record</v>
      </c>
      <c r="AW3729" s="6" t="str">
        <f>HYPERLINK("http://www.worldcat.org/oclc/49304324","WorldCat Record")</f>
        <v>WorldCat Record</v>
      </c>
      <c r="AX3729" s="3" t="s">
        <v>37267</v>
      </c>
      <c r="AY3729" s="3" t="s">
        <v>37268</v>
      </c>
      <c r="AZ3729" s="3" t="s">
        <v>37269</v>
      </c>
      <c r="BA3729" s="3" t="s">
        <v>37269</v>
      </c>
      <c r="BB3729" s="3" t="s">
        <v>37270</v>
      </c>
      <c r="BC3729" s="3" t="s">
        <v>77</v>
      </c>
      <c r="BD3729" s="3" t="s">
        <v>165</v>
      </c>
      <c r="BE3729" s="3" t="s">
        <v>37271</v>
      </c>
      <c r="BF3729" s="3" t="s">
        <v>37270</v>
      </c>
      <c r="BG3729" s="3" t="s">
        <v>37272</v>
      </c>
      <c r="BH3729">
        <f t="shared" si="88"/>
        <v>0</v>
      </c>
    </row>
    <row r="3730" spans="1:60" ht="58" x14ac:dyDescent="0.35">
      <c r="A3730" s="2" t="s">
        <v>59</v>
      </c>
      <c r="B3730" s="2" t="s">
        <v>60</v>
      </c>
      <c r="C3730" s="2" t="s">
        <v>37273</v>
      </c>
      <c r="D3730" s="2" t="s">
        <v>37274</v>
      </c>
      <c r="E3730" s="2" t="s">
        <v>37275</v>
      </c>
      <c r="G3730" s="3" t="s">
        <v>64</v>
      </c>
      <c r="I3730" s="3" t="s">
        <v>64</v>
      </c>
      <c r="J3730" s="3" t="s">
        <v>64</v>
      </c>
      <c r="K3730" s="3" t="s">
        <v>65</v>
      </c>
      <c r="L3730" s="2" t="s">
        <v>37252</v>
      </c>
      <c r="M3730" s="2" t="s">
        <v>37276</v>
      </c>
      <c r="N3730" s="3" t="s">
        <v>3047</v>
      </c>
      <c r="P3730" s="3" t="s">
        <v>102</v>
      </c>
      <c r="R3730" s="3" t="s">
        <v>70</v>
      </c>
      <c r="S3730" s="4">
        <v>69</v>
      </c>
      <c r="T3730" s="4">
        <v>69</v>
      </c>
      <c r="U3730" s="5" t="s">
        <v>37239</v>
      </c>
      <c r="V3730" s="5" t="s">
        <v>37239</v>
      </c>
      <c r="W3730" s="5" t="s">
        <v>72</v>
      </c>
      <c r="X3730" s="5" t="s">
        <v>72</v>
      </c>
      <c r="Y3730" s="4">
        <v>466</v>
      </c>
      <c r="Z3730" s="4">
        <v>39</v>
      </c>
      <c r="AA3730" s="4">
        <v>55</v>
      </c>
      <c r="AB3730" s="4">
        <v>4</v>
      </c>
      <c r="AC3730" s="4">
        <v>12</v>
      </c>
      <c r="AD3730" s="4">
        <v>128</v>
      </c>
      <c r="AE3730" s="4">
        <v>139</v>
      </c>
      <c r="AF3730" s="4">
        <v>1</v>
      </c>
      <c r="AG3730" s="4">
        <v>4</v>
      </c>
      <c r="AH3730" s="4">
        <v>106</v>
      </c>
      <c r="AI3730" s="4">
        <v>110</v>
      </c>
      <c r="AJ3730" s="4">
        <v>21</v>
      </c>
      <c r="AK3730" s="4">
        <v>24</v>
      </c>
      <c r="AL3730" s="4">
        <v>58</v>
      </c>
      <c r="AM3730" s="4">
        <v>59</v>
      </c>
      <c r="AN3730" s="4">
        <v>0</v>
      </c>
      <c r="AO3730" s="4">
        <v>0</v>
      </c>
      <c r="AP3730" s="4">
        <v>31</v>
      </c>
      <c r="AQ3730" s="4">
        <v>38</v>
      </c>
      <c r="AR3730" s="3" t="s">
        <v>64</v>
      </c>
      <c r="AS3730" s="3" t="s">
        <v>64</v>
      </c>
      <c r="AT3730" s="3" t="s">
        <v>64</v>
      </c>
      <c r="AV3730" s="6" t="str">
        <f>HYPERLINK("http://mcgill.on.worldcat.org/oclc/16089268","Catalog Record")</f>
        <v>Catalog Record</v>
      </c>
      <c r="AW3730" s="6" t="str">
        <f>HYPERLINK("http://www.worldcat.org/oclc/16089268","WorldCat Record")</f>
        <v>WorldCat Record</v>
      </c>
      <c r="AX3730" s="3" t="s">
        <v>37277</v>
      </c>
      <c r="AY3730" s="3" t="s">
        <v>37278</v>
      </c>
      <c r="AZ3730" s="3" t="s">
        <v>37279</v>
      </c>
      <c r="BA3730" s="3" t="s">
        <v>37279</v>
      </c>
      <c r="BB3730" s="3" t="s">
        <v>37280</v>
      </c>
      <c r="BC3730" s="3" t="s">
        <v>77</v>
      </c>
      <c r="BD3730" s="3" t="s">
        <v>78</v>
      </c>
      <c r="BE3730" s="3" t="s">
        <v>37281</v>
      </c>
      <c r="BF3730" s="3" t="s">
        <v>37280</v>
      </c>
      <c r="BG3730" s="3" t="s">
        <v>37282</v>
      </c>
      <c r="BH3730">
        <f t="shared" si="88"/>
        <v>0</v>
      </c>
    </row>
    <row r="3731" spans="1:60" ht="58" x14ac:dyDescent="0.35">
      <c r="A3731" s="2" t="s">
        <v>59</v>
      </c>
      <c r="B3731" s="2" t="s">
        <v>60</v>
      </c>
      <c r="C3731" s="2" t="s">
        <v>37283</v>
      </c>
      <c r="D3731" s="2" t="s">
        <v>37284</v>
      </c>
      <c r="E3731" s="2" t="s">
        <v>37285</v>
      </c>
      <c r="G3731" s="3" t="s">
        <v>64</v>
      </c>
      <c r="I3731" s="3" t="s">
        <v>64</v>
      </c>
      <c r="J3731" s="3" t="s">
        <v>64</v>
      </c>
      <c r="K3731" s="3" t="s">
        <v>65</v>
      </c>
      <c r="M3731" s="2" t="s">
        <v>37286</v>
      </c>
      <c r="N3731" s="3" t="s">
        <v>434</v>
      </c>
      <c r="P3731" s="3" t="s">
        <v>68</v>
      </c>
      <c r="Q3731" s="2" t="s">
        <v>37287</v>
      </c>
      <c r="R3731" s="3" t="s">
        <v>70</v>
      </c>
      <c r="S3731" s="4">
        <v>2</v>
      </c>
      <c r="T3731" s="4">
        <v>2</v>
      </c>
      <c r="U3731" s="5" t="s">
        <v>133</v>
      </c>
      <c r="V3731" s="5" t="s">
        <v>133</v>
      </c>
      <c r="W3731" s="5" t="s">
        <v>72</v>
      </c>
      <c r="X3731" s="5" t="s">
        <v>72</v>
      </c>
      <c r="Y3731" s="4">
        <v>23</v>
      </c>
      <c r="Z3731" s="4">
        <v>1</v>
      </c>
      <c r="AA3731" s="4">
        <v>7</v>
      </c>
      <c r="AB3731" s="4">
        <v>1</v>
      </c>
      <c r="AC3731" s="4">
        <v>6</v>
      </c>
      <c r="AD3731" s="4">
        <v>10</v>
      </c>
      <c r="AE3731" s="4">
        <v>16</v>
      </c>
      <c r="AF3731" s="4">
        <v>0</v>
      </c>
      <c r="AG3731" s="4">
        <v>4</v>
      </c>
      <c r="AH3731" s="4">
        <v>9</v>
      </c>
      <c r="AI3731" s="4">
        <v>12</v>
      </c>
      <c r="AJ3731" s="4">
        <v>0</v>
      </c>
      <c r="AK3731" s="4">
        <v>5</v>
      </c>
      <c r="AL3731" s="4">
        <v>10</v>
      </c>
      <c r="AM3731" s="4">
        <v>11</v>
      </c>
      <c r="AN3731" s="4">
        <v>0</v>
      </c>
      <c r="AO3731" s="4">
        <v>0</v>
      </c>
      <c r="AP3731" s="4">
        <v>0</v>
      </c>
      <c r="AQ3731" s="4">
        <v>4</v>
      </c>
      <c r="AR3731" s="3" t="s">
        <v>64</v>
      </c>
      <c r="AS3731" s="3" t="s">
        <v>64</v>
      </c>
      <c r="AT3731" s="3" t="s">
        <v>64</v>
      </c>
      <c r="AV3731" s="6" t="str">
        <f>HYPERLINK("http://mcgill.on.worldcat.org/oclc/61139352","Catalog Record")</f>
        <v>Catalog Record</v>
      </c>
      <c r="AW3731" s="6" t="str">
        <f>HYPERLINK("http://www.worldcat.org/oclc/61139352","WorldCat Record")</f>
        <v>WorldCat Record</v>
      </c>
      <c r="AX3731" s="3" t="s">
        <v>37288</v>
      </c>
      <c r="AY3731" s="3" t="s">
        <v>37289</v>
      </c>
      <c r="AZ3731" s="3" t="s">
        <v>37290</v>
      </c>
      <c r="BA3731" s="3" t="s">
        <v>37290</v>
      </c>
      <c r="BB3731" s="3" t="s">
        <v>37291</v>
      </c>
      <c r="BC3731" s="3" t="s">
        <v>77</v>
      </c>
      <c r="BD3731" s="3" t="s">
        <v>78</v>
      </c>
      <c r="BE3731" s="3" t="s">
        <v>37292</v>
      </c>
      <c r="BF3731" s="3" t="s">
        <v>37291</v>
      </c>
      <c r="BG3731" s="3" t="s">
        <v>37293</v>
      </c>
      <c r="BH3731">
        <f t="shared" si="88"/>
        <v>0</v>
      </c>
    </row>
    <row r="3732" spans="1:60" ht="58" x14ac:dyDescent="0.35">
      <c r="A3732" s="2" t="s">
        <v>59</v>
      </c>
      <c r="B3732" s="2" t="s">
        <v>60</v>
      </c>
      <c r="C3732" s="2" t="s">
        <v>37294</v>
      </c>
      <c r="D3732" s="2" t="s">
        <v>37295</v>
      </c>
      <c r="E3732" s="2" t="s">
        <v>37296</v>
      </c>
      <c r="G3732" s="3" t="s">
        <v>64</v>
      </c>
      <c r="I3732" s="3" t="s">
        <v>64</v>
      </c>
      <c r="J3732" s="3" t="s">
        <v>64</v>
      </c>
      <c r="K3732" s="3" t="s">
        <v>65</v>
      </c>
      <c r="L3732" s="2" t="s">
        <v>600</v>
      </c>
      <c r="M3732" s="2" t="s">
        <v>37297</v>
      </c>
      <c r="N3732" s="3" t="s">
        <v>3047</v>
      </c>
      <c r="P3732" s="3" t="s">
        <v>68</v>
      </c>
      <c r="Q3732" s="2" t="s">
        <v>37298</v>
      </c>
      <c r="R3732" s="3" t="s">
        <v>70</v>
      </c>
      <c r="S3732" s="4">
        <v>17</v>
      </c>
      <c r="T3732" s="4">
        <v>17</v>
      </c>
      <c r="U3732" s="5" t="s">
        <v>146</v>
      </c>
      <c r="V3732" s="5" t="s">
        <v>146</v>
      </c>
      <c r="W3732" s="5" t="s">
        <v>72</v>
      </c>
      <c r="X3732" s="5" t="s">
        <v>72</v>
      </c>
      <c r="Y3732" s="4">
        <v>149</v>
      </c>
      <c r="Z3732" s="4">
        <v>18</v>
      </c>
      <c r="AA3732" s="4">
        <v>26</v>
      </c>
      <c r="AB3732" s="4">
        <v>3</v>
      </c>
      <c r="AC3732" s="4">
        <v>10</v>
      </c>
      <c r="AD3732" s="4">
        <v>55</v>
      </c>
      <c r="AE3732" s="4">
        <v>60</v>
      </c>
      <c r="AF3732" s="4">
        <v>1</v>
      </c>
      <c r="AG3732" s="4">
        <v>5</v>
      </c>
      <c r="AH3732" s="4">
        <v>46</v>
      </c>
      <c r="AI3732" s="4">
        <v>48</v>
      </c>
      <c r="AJ3732" s="4">
        <v>11</v>
      </c>
      <c r="AK3732" s="4">
        <v>16</v>
      </c>
      <c r="AL3732" s="4">
        <v>34</v>
      </c>
      <c r="AM3732" s="4">
        <v>34</v>
      </c>
      <c r="AN3732" s="4">
        <v>0</v>
      </c>
      <c r="AO3732" s="4">
        <v>0</v>
      </c>
      <c r="AP3732" s="4">
        <v>13</v>
      </c>
      <c r="AQ3732" s="4">
        <v>17</v>
      </c>
      <c r="AR3732" s="3" t="s">
        <v>64</v>
      </c>
      <c r="AS3732" s="3" t="s">
        <v>64</v>
      </c>
      <c r="AT3732" s="3" t="s">
        <v>64</v>
      </c>
      <c r="AV3732" s="6" t="str">
        <f>HYPERLINK("http://mcgill.on.worldcat.org/oclc/17654291","Catalog Record")</f>
        <v>Catalog Record</v>
      </c>
      <c r="AW3732" s="6" t="str">
        <f>HYPERLINK("http://www.worldcat.org/oclc/17654291","WorldCat Record")</f>
        <v>WorldCat Record</v>
      </c>
      <c r="AX3732" s="3" t="s">
        <v>37299</v>
      </c>
      <c r="AY3732" s="3" t="s">
        <v>37300</v>
      </c>
      <c r="AZ3732" s="3" t="s">
        <v>37301</v>
      </c>
      <c r="BA3732" s="3" t="s">
        <v>37301</v>
      </c>
      <c r="BB3732" s="3" t="s">
        <v>37302</v>
      </c>
      <c r="BC3732" s="3" t="s">
        <v>77</v>
      </c>
      <c r="BD3732" s="3" t="s">
        <v>78</v>
      </c>
      <c r="BE3732" s="3" t="s">
        <v>37303</v>
      </c>
      <c r="BF3732" s="3" t="s">
        <v>37302</v>
      </c>
      <c r="BG3732" s="3" t="s">
        <v>37304</v>
      </c>
      <c r="BH3732">
        <f t="shared" si="88"/>
        <v>0</v>
      </c>
    </row>
    <row r="3733" spans="1:60" ht="58" x14ac:dyDescent="0.35">
      <c r="A3733" s="2" t="s">
        <v>59</v>
      </c>
      <c r="B3733" s="2" t="s">
        <v>60</v>
      </c>
      <c r="C3733" s="2" t="s">
        <v>37305</v>
      </c>
      <c r="D3733" s="2" t="s">
        <v>37306</v>
      </c>
      <c r="E3733" s="2" t="s">
        <v>37307</v>
      </c>
      <c r="G3733" s="3" t="s">
        <v>64</v>
      </c>
      <c r="I3733" s="3" t="s">
        <v>64</v>
      </c>
      <c r="J3733" s="3" t="s">
        <v>64</v>
      </c>
      <c r="K3733" s="3" t="s">
        <v>65</v>
      </c>
      <c r="L3733" s="2" t="s">
        <v>600</v>
      </c>
      <c r="M3733" s="2" t="s">
        <v>37308</v>
      </c>
      <c r="N3733" s="3" t="s">
        <v>116</v>
      </c>
      <c r="P3733" s="3" t="s">
        <v>102</v>
      </c>
      <c r="R3733" s="3" t="s">
        <v>70</v>
      </c>
      <c r="S3733" s="4">
        <v>18</v>
      </c>
      <c r="T3733" s="4">
        <v>18</v>
      </c>
      <c r="U3733" s="5" t="s">
        <v>37309</v>
      </c>
      <c r="V3733" s="5" t="s">
        <v>37309</v>
      </c>
      <c r="W3733" s="5" t="s">
        <v>72</v>
      </c>
      <c r="X3733" s="5" t="s">
        <v>72</v>
      </c>
      <c r="Y3733" s="4">
        <v>215</v>
      </c>
      <c r="Z3733" s="4">
        <v>18</v>
      </c>
      <c r="AA3733" s="4">
        <v>32</v>
      </c>
      <c r="AB3733" s="4">
        <v>2</v>
      </c>
      <c r="AC3733" s="4">
        <v>4</v>
      </c>
      <c r="AD3733" s="4">
        <v>96</v>
      </c>
      <c r="AE3733" s="4">
        <v>107</v>
      </c>
      <c r="AF3733" s="4">
        <v>0</v>
      </c>
      <c r="AG3733" s="4">
        <v>0</v>
      </c>
      <c r="AH3733" s="4">
        <v>84</v>
      </c>
      <c r="AI3733" s="4">
        <v>87</v>
      </c>
      <c r="AJ3733" s="4">
        <v>10</v>
      </c>
      <c r="AK3733" s="4">
        <v>14</v>
      </c>
      <c r="AL3733" s="4">
        <v>49</v>
      </c>
      <c r="AM3733" s="4">
        <v>49</v>
      </c>
      <c r="AN3733" s="4">
        <v>0</v>
      </c>
      <c r="AO3733" s="4">
        <v>0</v>
      </c>
      <c r="AP3733" s="4">
        <v>13</v>
      </c>
      <c r="AQ3733" s="4">
        <v>24</v>
      </c>
      <c r="AR3733" s="3" t="s">
        <v>64</v>
      </c>
      <c r="AS3733" s="3" t="s">
        <v>64</v>
      </c>
      <c r="AT3733" s="3" t="s">
        <v>64</v>
      </c>
      <c r="AV3733" s="6" t="str">
        <f>HYPERLINK("http://mcgill.on.worldcat.org/oclc/46812064","Catalog Record")</f>
        <v>Catalog Record</v>
      </c>
      <c r="AW3733" s="6" t="str">
        <f>HYPERLINK("http://www.worldcat.org/oclc/46812064","WorldCat Record")</f>
        <v>WorldCat Record</v>
      </c>
      <c r="AX3733" s="3" t="s">
        <v>37310</v>
      </c>
      <c r="AY3733" s="3" t="s">
        <v>37311</v>
      </c>
      <c r="AZ3733" s="3" t="s">
        <v>37312</v>
      </c>
      <c r="BA3733" s="3" t="s">
        <v>37312</v>
      </c>
      <c r="BB3733" s="3" t="s">
        <v>37313</v>
      </c>
      <c r="BC3733" s="3" t="s">
        <v>77</v>
      </c>
      <c r="BD3733" s="3" t="s">
        <v>78</v>
      </c>
      <c r="BE3733" s="3" t="s">
        <v>37314</v>
      </c>
      <c r="BF3733" s="3" t="s">
        <v>37313</v>
      </c>
      <c r="BG3733" s="3" t="s">
        <v>37315</v>
      </c>
      <c r="BH3733">
        <f t="shared" si="88"/>
        <v>0</v>
      </c>
    </row>
    <row r="3734" spans="1:60" ht="58" x14ac:dyDescent="0.35">
      <c r="A3734" s="2" t="s">
        <v>59</v>
      </c>
      <c r="B3734" s="2" t="s">
        <v>60</v>
      </c>
      <c r="C3734" s="2" t="s">
        <v>37316</v>
      </c>
      <c r="D3734" s="2" t="s">
        <v>37317</v>
      </c>
      <c r="E3734" s="2" t="s">
        <v>37318</v>
      </c>
      <c r="G3734" s="3" t="s">
        <v>64</v>
      </c>
      <c r="I3734" s="3" t="s">
        <v>64</v>
      </c>
      <c r="J3734" s="3" t="s">
        <v>64</v>
      </c>
      <c r="K3734" s="3" t="s">
        <v>65</v>
      </c>
      <c r="L3734" s="2" t="s">
        <v>600</v>
      </c>
      <c r="M3734" s="2" t="s">
        <v>37319</v>
      </c>
      <c r="N3734" s="3" t="s">
        <v>144</v>
      </c>
      <c r="P3734" s="3" t="s">
        <v>102</v>
      </c>
      <c r="Q3734" s="2" t="s">
        <v>565</v>
      </c>
      <c r="R3734" s="3" t="s">
        <v>70</v>
      </c>
      <c r="S3734" s="4">
        <v>12</v>
      </c>
      <c r="T3734" s="4">
        <v>12</v>
      </c>
      <c r="U3734" s="5" t="s">
        <v>15859</v>
      </c>
      <c r="V3734" s="5" t="s">
        <v>15859</v>
      </c>
      <c r="W3734" s="5" t="s">
        <v>72</v>
      </c>
      <c r="X3734" s="5" t="s">
        <v>72</v>
      </c>
      <c r="Y3734" s="4">
        <v>157</v>
      </c>
      <c r="Z3734" s="4">
        <v>27</v>
      </c>
      <c r="AA3734" s="4">
        <v>110</v>
      </c>
      <c r="AB3734" s="4">
        <v>2</v>
      </c>
      <c r="AC3734" s="4">
        <v>20</v>
      </c>
      <c r="AD3734" s="4">
        <v>75</v>
      </c>
      <c r="AE3734" s="4">
        <v>131</v>
      </c>
      <c r="AF3734" s="4">
        <v>0</v>
      </c>
      <c r="AG3734" s="4">
        <v>8</v>
      </c>
      <c r="AH3734" s="4">
        <v>62</v>
      </c>
      <c r="AI3734" s="4">
        <v>88</v>
      </c>
      <c r="AJ3734" s="4">
        <v>18</v>
      </c>
      <c r="AK3734" s="4">
        <v>27</v>
      </c>
      <c r="AL3734" s="4">
        <v>38</v>
      </c>
      <c r="AM3734" s="4">
        <v>47</v>
      </c>
      <c r="AN3734" s="4">
        <v>0</v>
      </c>
      <c r="AO3734" s="4">
        <v>0</v>
      </c>
      <c r="AP3734" s="4">
        <v>20</v>
      </c>
      <c r="AQ3734" s="4">
        <v>52</v>
      </c>
      <c r="AR3734" s="3" t="s">
        <v>128</v>
      </c>
      <c r="AS3734" s="3" t="s">
        <v>64</v>
      </c>
      <c r="AT3734" s="3" t="s">
        <v>64</v>
      </c>
      <c r="AV3734" s="6" t="str">
        <f>HYPERLINK("http://mcgill.on.worldcat.org/oclc/181602805","Catalog Record")</f>
        <v>Catalog Record</v>
      </c>
      <c r="AW3734" s="6" t="str">
        <f>HYPERLINK("http://www.worldcat.org/oclc/181602805","WorldCat Record")</f>
        <v>WorldCat Record</v>
      </c>
      <c r="AX3734" s="3" t="s">
        <v>37320</v>
      </c>
      <c r="AY3734" s="3" t="s">
        <v>37321</v>
      </c>
      <c r="AZ3734" s="3" t="s">
        <v>37322</v>
      </c>
      <c r="BA3734" s="3" t="s">
        <v>37322</v>
      </c>
      <c r="BB3734" s="3" t="s">
        <v>37323</v>
      </c>
      <c r="BC3734" s="3" t="s">
        <v>77</v>
      </c>
      <c r="BD3734" s="3" t="s">
        <v>78</v>
      </c>
      <c r="BE3734" s="3" t="s">
        <v>37324</v>
      </c>
      <c r="BF3734" s="3" t="s">
        <v>37323</v>
      </c>
      <c r="BG3734" s="3" t="s">
        <v>37325</v>
      </c>
      <c r="BH3734">
        <f t="shared" si="88"/>
        <v>0</v>
      </c>
    </row>
    <row r="3735" spans="1:60" ht="58" x14ac:dyDescent="0.35">
      <c r="A3735" s="2" t="s">
        <v>59</v>
      </c>
      <c r="B3735" s="2" t="s">
        <v>60</v>
      </c>
      <c r="C3735" s="2" t="s">
        <v>37326</v>
      </c>
      <c r="D3735" s="2" t="s">
        <v>37327</v>
      </c>
      <c r="E3735" s="2" t="s">
        <v>37328</v>
      </c>
      <c r="G3735" s="3" t="s">
        <v>64</v>
      </c>
      <c r="I3735" s="3" t="s">
        <v>64</v>
      </c>
      <c r="J3735" s="3" t="s">
        <v>64</v>
      </c>
      <c r="K3735" s="3" t="s">
        <v>65</v>
      </c>
      <c r="L3735" s="2" t="s">
        <v>9901</v>
      </c>
      <c r="M3735" s="2" t="s">
        <v>37329</v>
      </c>
      <c r="N3735" s="3" t="s">
        <v>116</v>
      </c>
      <c r="O3735" s="2" t="s">
        <v>37330</v>
      </c>
      <c r="P3735" s="3" t="s">
        <v>68</v>
      </c>
      <c r="Q3735" s="2" t="s">
        <v>37331</v>
      </c>
      <c r="R3735" s="3" t="s">
        <v>70</v>
      </c>
      <c r="S3735" s="4">
        <v>10</v>
      </c>
      <c r="T3735" s="4">
        <v>10</v>
      </c>
      <c r="U3735" s="5" t="s">
        <v>10841</v>
      </c>
      <c r="V3735" s="5" t="s">
        <v>10841</v>
      </c>
      <c r="W3735" s="5" t="s">
        <v>72</v>
      </c>
      <c r="X3735" s="5" t="s">
        <v>72</v>
      </c>
      <c r="Y3735" s="4">
        <v>34</v>
      </c>
      <c r="Z3735" s="4">
        <v>3</v>
      </c>
      <c r="AA3735" s="4">
        <v>11</v>
      </c>
      <c r="AB3735" s="4">
        <v>1</v>
      </c>
      <c r="AC3735" s="4">
        <v>7</v>
      </c>
      <c r="AD3735" s="4">
        <v>13</v>
      </c>
      <c r="AE3735" s="4">
        <v>19</v>
      </c>
      <c r="AF3735" s="4">
        <v>0</v>
      </c>
      <c r="AG3735" s="4">
        <v>4</v>
      </c>
      <c r="AH3735" s="4">
        <v>12</v>
      </c>
      <c r="AI3735" s="4">
        <v>14</v>
      </c>
      <c r="AJ3735" s="4">
        <v>0</v>
      </c>
      <c r="AK3735" s="4">
        <v>5</v>
      </c>
      <c r="AL3735" s="4">
        <v>9</v>
      </c>
      <c r="AM3735" s="4">
        <v>9</v>
      </c>
      <c r="AN3735" s="4">
        <v>0</v>
      </c>
      <c r="AO3735" s="4">
        <v>0</v>
      </c>
      <c r="AP3735" s="4">
        <v>0</v>
      </c>
      <c r="AQ3735" s="4">
        <v>5</v>
      </c>
      <c r="AR3735" s="3" t="s">
        <v>64</v>
      </c>
      <c r="AS3735" s="3" t="s">
        <v>64</v>
      </c>
      <c r="AT3735" s="3" t="s">
        <v>64</v>
      </c>
      <c r="AV3735" s="6" t="str">
        <f>HYPERLINK("http://mcgill.on.worldcat.org/oclc/50123381","Catalog Record")</f>
        <v>Catalog Record</v>
      </c>
      <c r="AW3735" s="6" t="str">
        <f>HYPERLINK("http://www.worldcat.org/oclc/50123381","WorldCat Record")</f>
        <v>WorldCat Record</v>
      </c>
      <c r="AX3735" s="3" t="s">
        <v>37332</v>
      </c>
      <c r="AY3735" s="3" t="s">
        <v>37333</v>
      </c>
      <c r="AZ3735" s="3" t="s">
        <v>37334</v>
      </c>
      <c r="BA3735" s="3" t="s">
        <v>37334</v>
      </c>
      <c r="BB3735" s="3" t="s">
        <v>37335</v>
      </c>
      <c r="BC3735" s="3" t="s">
        <v>77</v>
      </c>
      <c r="BD3735" s="3" t="s">
        <v>78</v>
      </c>
      <c r="BE3735" s="3" t="s">
        <v>37336</v>
      </c>
      <c r="BF3735" s="3" t="s">
        <v>37335</v>
      </c>
      <c r="BG3735" s="3" t="s">
        <v>37337</v>
      </c>
      <c r="BH3735">
        <f t="shared" si="88"/>
        <v>0</v>
      </c>
    </row>
    <row r="3736" spans="1:60" ht="58" x14ac:dyDescent="0.35">
      <c r="A3736" s="2" t="s">
        <v>59</v>
      </c>
      <c r="B3736" s="2" t="s">
        <v>60</v>
      </c>
      <c r="C3736" s="2" t="s">
        <v>37338</v>
      </c>
      <c r="D3736" s="2" t="s">
        <v>37339</v>
      </c>
      <c r="E3736" s="2" t="s">
        <v>37340</v>
      </c>
      <c r="G3736" s="3" t="s">
        <v>64</v>
      </c>
      <c r="I3736" s="3" t="s">
        <v>64</v>
      </c>
      <c r="J3736" s="3" t="s">
        <v>64</v>
      </c>
      <c r="K3736" s="3" t="s">
        <v>65</v>
      </c>
      <c r="L3736" s="2" t="s">
        <v>37341</v>
      </c>
      <c r="M3736" s="2" t="s">
        <v>37342</v>
      </c>
      <c r="N3736" s="3" t="s">
        <v>874</v>
      </c>
      <c r="P3736" s="3" t="s">
        <v>68</v>
      </c>
      <c r="Q3736" s="2" t="s">
        <v>37343</v>
      </c>
      <c r="R3736" s="3" t="s">
        <v>70</v>
      </c>
      <c r="S3736" s="4">
        <v>9</v>
      </c>
      <c r="T3736" s="4">
        <v>9</v>
      </c>
      <c r="U3736" s="5" t="s">
        <v>133</v>
      </c>
      <c r="V3736" s="5" t="s">
        <v>133</v>
      </c>
      <c r="W3736" s="5" t="s">
        <v>72</v>
      </c>
      <c r="X3736" s="5" t="s">
        <v>72</v>
      </c>
      <c r="Y3736" s="4">
        <v>71</v>
      </c>
      <c r="Z3736" s="4">
        <v>13</v>
      </c>
      <c r="AA3736" s="4">
        <v>19</v>
      </c>
      <c r="AB3736" s="4">
        <v>2</v>
      </c>
      <c r="AC3736" s="4">
        <v>8</v>
      </c>
      <c r="AD3736" s="4">
        <v>34</v>
      </c>
      <c r="AE3736" s="4">
        <v>37</v>
      </c>
      <c r="AF3736" s="4">
        <v>1</v>
      </c>
      <c r="AG3736" s="4">
        <v>4</v>
      </c>
      <c r="AH3736" s="4">
        <v>31</v>
      </c>
      <c r="AI3736" s="4">
        <v>32</v>
      </c>
      <c r="AJ3736" s="4">
        <v>8</v>
      </c>
      <c r="AK3736" s="4">
        <v>11</v>
      </c>
      <c r="AL3736" s="4">
        <v>18</v>
      </c>
      <c r="AM3736" s="4">
        <v>18</v>
      </c>
      <c r="AN3736" s="4">
        <v>0</v>
      </c>
      <c r="AO3736" s="4">
        <v>0</v>
      </c>
      <c r="AP3736" s="4">
        <v>10</v>
      </c>
      <c r="AQ3736" s="4">
        <v>12</v>
      </c>
      <c r="AR3736" s="3" t="s">
        <v>64</v>
      </c>
      <c r="AS3736" s="3" t="s">
        <v>64</v>
      </c>
      <c r="AT3736" s="3" t="s">
        <v>128</v>
      </c>
      <c r="AU3736" s="6" t="str">
        <f>HYPERLINK("http://catalog.hathitrust.org/Record/006192047","HathiTrust Record")</f>
        <v>HathiTrust Record</v>
      </c>
      <c r="AV3736" s="6" t="str">
        <f>HYPERLINK("http://mcgill.on.worldcat.org/oclc/7925027","Catalog Record")</f>
        <v>Catalog Record</v>
      </c>
      <c r="AW3736" s="6" t="str">
        <f>HYPERLINK("http://www.worldcat.org/oclc/7925027","WorldCat Record")</f>
        <v>WorldCat Record</v>
      </c>
      <c r="AX3736" s="3" t="s">
        <v>37344</v>
      </c>
      <c r="AY3736" s="3" t="s">
        <v>37345</v>
      </c>
      <c r="AZ3736" s="3" t="s">
        <v>37346</v>
      </c>
      <c r="BA3736" s="3" t="s">
        <v>37346</v>
      </c>
      <c r="BB3736" s="3" t="s">
        <v>37347</v>
      </c>
      <c r="BC3736" s="3" t="s">
        <v>77</v>
      </c>
      <c r="BD3736" s="3" t="s">
        <v>78</v>
      </c>
      <c r="BE3736" s="3" t="s">
        <v>37348</v>
      </c>
      <c r="BF3736" s="3" t="s">
        <v>37347</v>
      </c>
      <c r="BG3736" s="3" t="s">
        <v>37349</v>
      </c>
      <c r="BH3736">
        <f t="shared" si="88"/>
        <v>0</v>
      </c>
    </row>
    <row r="3737" spans="1:60" ht="58" x14ac:dyDescent="0.35">
      <c r="A3737" s="2" t="s">
        <v>59</v>
      </c>
      <c r="B3737" s="2" t="s">
        <v>60</v>
      </c>
      <c r="C3737" s="2" t="s">
        <v>37350</v>
      </c>
      <c r="D3737" s="2" t="s">
        <v>37351</v>
      </c>
      <c r="E3737" s="2" t="s">
        <v>37352</v>
      </c>
      <c r="G3737" s="3" t="s">
        <v>64</v>
      </c>
      <c r="I3737" s="3" t="s">
        <v>64</v>
      </c>
      <c r="J3737" s="3" t="s">
        <v>64</v>
      </c>
      <c r="K3737" s="3" t="s">
        <v>65</v>
      </c>
      <c r="M3737" s="2" t="s">
        <v>37353</v>
      </c>
      <c r="N3737" s="3" t="s">
        <v>1061</v>
      </c>
      <c r="P3737" s="3" t="s">
        <v>68</v>
      </c>
      <c r="R3737" s="3" t="s">
        <v>70</v>
      </c>
      <c r="S3737" s="4">
        <v>27</v>
      </c>
      <c r="T3737" s="4">
        <v>27</v>
      </c>
      <c r="U3737" s="5" t="s">
        <v>37354</v>
      </c>
      <c r="V3737" s="5" t="s">
        <v>37354</v>
      </c>
      <c r="W3737" s="5" t="s">
        <v>72</v>
      </c>
      <c r="X3737" s="5" t="s">
        <v>72</v>
      </c>
      <c r="Y3737" s="4">
        <v>80</v>
      </c>
      <c r="Z3737" s="4">
        <v>7</v>
      </c>
      <c r="AA3737" s="4">
        <v>15</v>
      </c>
      <c r="AB3737" s="4">
        <v>1</v>
      </c>
      <c r="AC3737" s="4">
        <v>6</v>
      </c>
      <c r="AD3737" s="4">
        <v>41</v>
      </c>
      <c r="AE3737" s="4">
        <v>53</v>
      </c>
      <c r="AF3737" s="4">
        <v>0</v>
      </c>
      <c r="AG3737" s="4">
        <v>4</v>
      </c>
      <c r="AH3737" s="4">
        <v>37</v>
      </c>
      <c r="AI3737" s="4">
        <v>46</v>
      </c>
      <c r="AJ3737" s="4">
        <v>6</v>
      </c>
      <c r="AK3737" s="4">
        <v>11</v>
      </c>
      <c r="AL3737" s="4">
        <v>29</v>
      </c>
      <c r="AM3737" s="4">
        <v>34</v>
      </c>
      <c r="AN3737" s="4">
        <v>0</v>
      </c>
      <c r="AO3737" s="4">
        <v>0</v>
      </c>
      <c r="AP3737" s="4">
        <v>6</v>
      </c>
      <c r="AQ3737" s="4">
        <v>10</v>
      </c>
      <c r="AR3737" s="3" t="s">
        <v>64</v>
      </c>
      <c r="AS3737" s="3" t="s">
        <v>64</v>
      </c>
      <c r="AT3737" s="3" t="s">
        <v>128</v>
      </c>
      <c r="AU3737" s="6" t="str">
        <f>HYPERLINK("http://catalog.hathitrust.org/Record/000644059","HathiTrust Record")</f>
        <v>HathiTrust Record</v>
      </c>
      <c r="AV3737" s="6" t="str">
        <f>HYPERLINK("http://mcgill.on.worldcat.org/oclc/12583818","Catalog Record")</f>
        <v>Catalog Record</v>
      </c>
      <c r="AW3737" s="6" t="str">
        <f>HYPERLINK("http://www.worldcat.org/oclc/12583818","WorldCat Record")</f>
        <v>WorldCat Record</v>
      </c>
      <c r="AX3737" s="3" t="s">
        <v>37355</v>
      </c>
      <c r="AY3737" s="3" t="s">
        <v>37356</v>
      </c>
      <c r="AZ3737" s="3" t="s">
        <v>37357</v>
      </c>
      <c r="BA3737" s="3" t="s">
        <v>37357</v>
      </c>
      <c r="BB3737" s="3" t="s">
        <v>37358</v>
      </c>
      <c r="BC3737" s="3" t="s">
        <v>77</v>
      </c>
      <c r="BD3737" s="3" t="s">
        <v>78</v>
      </c>
      <c r="BE3737" s="3" t="s">
        <v>37359</v>
      </c>
      <c r="BF3737" s="3" t="s">
        <v>37358</v>
      </c>
      <c r="BG3737" s="3" t="s">
        <v>37360</v>
      </c>
      <c r="BH3737">
        <f t="shared" si="88"/>
        <v>0</v>
      </c>
    </row>
    <row r="3738" spans="1:60" ht="58" x14ac:dyDescent="0.35">
      <c r="A3738" s="2" t="s">
        <v>59</v>
      </c>
      <c r="B3738" s="2" t="s">
        <v>60</v>
      </c>
      <c r="C3738" s="2" t="s">
        <v>37361</v>
      </c>
      <c r="D3738" s="2" t="s">
        <v>37362</v>
      </c>
      <c r="E3738" s="2" t="s">
        <v>37363</v>
      </c>
      <c r="G3738" s="3" t="s">
        <v>64</v>
      </c>
      <c r="I3738" s="3" t="s">
        <v>64</v>
      </c>
      <c r="J3738" s="3" t="s">
        <v>64</v>
      </c>
      <c r="K3738" s="3" t="s">
        <v>65</v>
      </c>
      <c r="L3738" s="2" t="s">
        <v>37364</v>
      </c>
      <c r="M3738" s="2" t="s">
        <v>37365</v>
      </c>
      <c r="N3738" s="3" t="s">
        <v>159</v>
      </c>
      <c r="P3738" s="3" t="s">
        <v>102</v>
      </c>
      <c r="R3738" s="3" t="s">
        <v>70</v>
      </c>
      <c r="S3738" s="4">
        <v>3</v>
      </c>
      <c r="T3738" s="4">
        <v>3</v>
      </c>
      <c r="U3738" s="5" t="s">
        <v>2035</v>
      </c>
      <c r="V3738" s="5" t="s">
        <v>2035</v>
      </c>
      <c r="W3738" s="5" t="s">
        <v>72</v>
      </c>
      <c r="X3738" s="5" t="s">
        <v>72</v>
      </c>
      <c r="Y3738" s="4">
        <v>248</v>
      </c>
      <c r="Z3738" s="4">
        <v>10</v>
      </c>
      <c r="AA3738" s="4">
        <v>14</v>
      </c>
      <c r="AB3738" s="4">
        <v>1</v>
      </c>
      <c r="AC3738" s="4">
        <v>1</v>
      </c>
      <c r="AD3738" s="4">
        <v>83</v>
      </c>
      <c r="AE3738" s="4">
        <v>95</v>
      </c>
      <c r="AF3738" s="4">
        <v>0</v>
      </c>
      <c r="AG3738" s="4">
        <v>0</v>
      </c>
      <c r="AH3738" s="4">
        <v>77</v>
      </c>
      <c r="AI3738" s="4">
        <v>86</v>
      </c>
      <c r="AJ3738" s="4">
        <v>7</v>
      </c>
      <c r="AK3738" s="4">
        <v>10</v>
      </c>
      <c r="AL3738" s="4">
        <v>45</v>
      </c>
      <c r="AM3738" s="4">
        <v>54</v>
      </c>
      <c r="AN3738" s="4">
        <v>0</v>
      </c>
      <c r="AO3738" s="4">
        <v>2</v>
      </c>
      <c r="AP3738" s="4">
        <v>8</v>
      </c>
      <c r="AQ3738" s="4">
        <v>11</v>
      </c>
      <c r="AR3738" s="3" t="s">
        <v>64</v>
      </c>
      <c r="AS3738" s="3" t="s">
        <v>64</v>
      </c>
      <c r="AT3738" s="3" t="s">
        <v>64</v>
      </c>
      <c r="AV3738" s="6" t="str">
        <f>HYPERLINK("http://mcgill.on.worldcat.org/oclc/50564762","Catalog Record")</f>
        <v>Catalog Record</v>
      </c>
      <c r="AW3738" s="6" t="str">
        <f>HYPERLINK("http://www.worldcat.org/oclc/50564762","WorldCat Record")</f>
        <v>WorldCat Record</v>
      </c>
      <c r="AX3738" s="3" t="s">
        <v>37366</v>
      </c>
      <c r="AY3738" s="3" t="s">
        <v>37367</v>
      </c>
      <c r="AZ3738" s="3" t="s">
        <v>37368</v>
      </c>
      <c r="BA3738" s="3" t="s">
        <v>37368</v>
      </c>
      <c r="BB3738" s="3" t="s">
        <v>37369</v>
      </c>
      <c r="BC3738" s="3" t="s">
        <v>77</v>
      </c>
      <c r="BD3738" s="3" t="s">
        <v>78</v>
      </c>
      <c r="BE3738" s="3" t="s">
        <v>37370</v>
      </c>
      <c r="BF3738" s="3" t="s">
        <v>37369</v>
      </c>
      <c r="BG3738" s="3" t="s">
        <v>37371</v>
      </c>
      <c r="BH3738">
        <f t="shared" si="88"/>
        <v>0</v>
      </c>
    </row>
    <row r="3739" spans="1:60" ht="58" x14ac:dyDescent="0.35">
      <c r="A3739" s="2" t="s">
        <v>59</v>
      </c>
      <c r="B3739" s="2" t="s">
        <v>60</v>
      </c>
      <c r="C3739" s="2" t="s">
        <v>37372</v>
      </c>
      <c r="D3739" s="2" t="s">
        <v>37373</v>
      </c>
      <c r="E3739" s="2" t="s">
        <v>37374</v>
      </c>
      <c r="G3739" s="3" t="s">
        <v>64</v>
      </c>
      <c r="I3739" s="3" t="s">
        <v>64</v>
      </c>
      <c r="J3739" s="3" t="s">
        <v>64</v>
      </c>
      <c r="K3739" s="3" t="s">
        <v>65</v>
      </c>
      <c r="M3739" s="2" t="s">
        <v>3175</v>
      </c>
      <c r="N3739" s="3" t="s">
        <v>1075</v>
      </c>
      <c r="P3739" s="3" t="s">
        <v>102</v>
      </c>
      <c r="R3739" s="3" t="s">
        <v>70</v>
      </c>
      <c r="S3739" s="4">
        <v>0</v>
      </c>
      <c r="T3739" s="4">
        <v>0</v>
      </c>
      <c r="W3739" s="5" t="s">
        <v>72</v>
      </c>
      <c r="X3739" s="5" t="s">
        <v>72</v>
      </c>
      <c r="Y3739" s="4">
        <v>108</v>
      </c>
      <c r="Z3739" s="4">
        <v>13</v>
      </c>
      <c r="AA3739" s="4">
        <v>16</v>
      </c>
      <c r="AB3739" s="4">
        <v>1</v>
      </c>
      <c r="AC3739" s="4">
        <v>4</v>
      </c>
      <c r="AD3739" s="4">
        <v>46</v>
      </c>
      <c r="AE3739" s="4">
        <v>48</v>
      </c>
      <c r="AF3739" s="4">
        <v>0</v>
      </c>
      <c r="AG3739" s="4">
        <v>2</v>
      </c>
      <c r="AH3739" s="4">
        <v>40</v>
      </c>
      <c r="AI3739" s="4">
        <v>40</v>
      </c>
      <c r="AJ3739" s="4">
        <v>6</v>
      </c>
      <c r="AK3739" s="4">
        <v>8</v>
      </c>
      <c r="AL3739" s="4">
        <v>28</v>
      </c>
      <c r="AM3739" s="4">
        <v>28</v>
      </c>
      <c r="AN3739" s="4">
        <v>0</v>
      </c>
      <c r="AO3739" s="4">
        <v>0</v>
      </c>
      <c r="AP3739" s="4">
        <v>9</v>
      </c>
      <c r="AQ3739" s="4">
        <v>10</v>
      </c>
      <c r="AR3739" s="3" t="s">
        <v>64</v>
      </c>
      <c r="AS3739" s="3" t="s">
        <v>64</v>
      </c>
      <c r="AT3739" s="3" t="s">
        <v>64</v>
      </c>
      <c r="AV3739" s="6" t="str">
        <f>HYPERLINK("http://mcgill.on.worldcat.org/oclc/858824778","Catalog Record")</f>
        <v>Catalog Record</v>
      </c>
      <c r="AW3739" s="6" t="str">
        <f>HYPERLINK("http://www.worldcat.org/oclc/858824778","WorldCat Record")</f>
        <v>WorldCat Record</v>
      </c>
      <c r="AX3739" s="3" t="s">
        <v>37375</v>
      </c>
      <c r="AY3739" s="3" t="s">
        <v>37376</v>
      </c>
      <c r="AZ3739" s="3" t="s">
        <v>37377</v>
      </c>
      <c r="BA3739" s="3" t="s">
        <v>37377</v>
      </c>
      <c r="BB3739" s="3" t="s">
        <v>37378</v>
      </c>
      <c r="BC3739" s="3" t="s">
        <v>77</v>
      </c>
      <c r="BD3739" s="3" t="s">
        <v>78</v>
      </c>
      <c r="BE3739" s="3" t="s">
        <v>37379</v>
      </c>
      <c r="BF3739" s="3" t="s">
        <v>37378</v>
      </c>
      <c r="BG3739" s="3" t="s">
        <v>37380</v>
      </c>
      <c r="BH3739">
        <f t="shared" si="88"/>
        <v>0</v>
      </c>
    </row>
    <row r="3740" spans="1:60" ht="58" x14ac:dyDescent="0.35">
      <c r="A3740" s="2" t="s">
        <v>59</v>
      </c>
      <c r="B3740" s="2" t="s">
        <v>60</v>
      </c>
      <c r="C3740" s="2" t="s">
        <v>37381</v>
      </c>
      <c r="D3740" s="2" t="s">
        <v>37382</v>
      </c>
      <c r="E3740" s="2" t="s">
        <v>37383</v>
      </c>
      <c r="G3740" s="3" t="s">
        <v>64</v>
      </c>
      <c r="I3740" s="3" t="s">
        <v>64</v>
      </c>
      <c r="J3740" s="3" t="s">
        <v>64</v>
      </c>
      <c r="K3740" s="3" t="s">
        <v>65</v>
      </c>
      <c r="L3740" s="2" t="s">
        <v>37384</v>
      </c>
      <c r="M3740" s="2" t="s">
        <v>4696</v>
      </c>
      <c r="N3740" s="3" t="s">
        <v>144</v>
      </c>
      <c r="P3740" s="3" t="s">
        <v>102</v>
      </c>
      <c r="R3740" s="3" t="s">
        <v>70</v>
      </c>
      <c r="S3740" s="4">
        <v>9</v>
      </c>
      <c r="T3740" s="4">
        <v>9</v>
      </c>
      <c r="U3740" s="5" t="s">
        <v>21485</v>
      </c>
      <c r="V3740" s="5" t="s">
        <v>21485</v>
      </c>
      <c r="W3740" s="5" t="s">
        <v>72</v>
      </c>
      <c r="X3740" s="5" t="s">
        <v>72</v>
      </c>
      <c r="Y3740" s="4">
        <v>193</v>
      </c>
      <c r="Z3740" s="4">
        <v>24</v>
      </c>
      <c r="AA3740" s="4">
        <v>24</v>
      </c>
      <c r="AB3740" s="4">
        <v>2</v>
      </c>
      <c r="AC3740" s="4">
        <v>2</v>
      </c>
      <c r="AD3740" s="4">
        <v>79</v>
      </c>
      <c r="AE3740" s="4">
        <v>79</v>
      </c>
      <c r="AF3740" s="4">
        <v>0</v>
      </c>
      <c r="AG3740" s="4">
        <v>0</v>
      </c>
      <c r="AH3740" s="4">
        <v>67</v>
      </c>
      <c r="AI3740" s="4">
        <v>67</v>
      </c>
      <c r="AJ3740" s="4">
        <v>13</v>
      </c>
      <c r="AK3740" s="4">
        <v>13</v>
      </c>
      <c r="AL3740" s="4">
        <v>43</v>
      </c>
      <c r="AM3740" s="4">
        <v>43</v>
      </c>
      <c r="AN3740" s="4">
        <v>0</v>
      </c>
      <c r="AO3740" s="4">
        <v>0</v>
      </c>
      <c r="AP3740" s="4">
        <v>18</v>
      </c>
      <c r="AQ3740" s="4">
        <v>18</v>
      </c>
      <c r="AR3740" s="3" t="s">
        <v>64</v>
      </c>
      <c r="AS3740" s="3" t="s">
        <v>64</v>
      </c>
      <c r="AT3740" s="3" t="s">
        <v>128</v>
      </c>
      <c r="AU3740" s="6" t="str">
        <f>HYPERLINK("http://catalog.hathitrust.org/Record/005933920","HathiTrust Record")</f>
        <v>HathiTrust Record</v>
      </c>
      <c r="AV3740" s="6" t="str">
        <f>HYPERLINK("http://mcgill.on.worldcat.org/oclc/225876135","Catalog Record")</f>
        <v>Catalog Record</v>
      </c>
      <c r="AW3740" s="6" t="str">
        <f>HYPERLINK("http://www.worldcat.org/oclc/225876135","WorldCat Record")</f>
        <v>WorldCat Record</v>
      </c>
      <c r="AX3740" s="3" t="s">
        <v>37385</v>
      </c>
      <c r="AY3740" s="3" t="s">
        <v>37386</v>
      </c>
      <c r="AZ3740" s="3" t="s">
        <v>37387</v>
      </c>
      <c r="BA3740" s="3" t="s">
        <v>37387</v>
      </c>
      <c r="BB3740" s="3" t="s">
        <v>37388</v>
      </c>
      <c r="BC3740" s="3" t="s">
        <v>77</v>
      </c>
      <c r="BD3740" s="3" t="s">
        <v>78</v>
      </c>
      <c r="BE3740" s="3" t="s">
        <v>37389</v>
      </c>
      <c r="BF3740" s="3" t="s">
        <v>37388</v>
      </c>
      <c r="BG3740" s="3" t="s">
        <v>37390</v>
      </c>
      <c r="BH3740">
        <f t="shared" si="88"/>
        <v>0</v>
      </c>
    </row>
    <row r="3741" spans="1:60" ht="58" x14ac:dyDescent="0.35">
      <c r="A3741" s="2" t="s">
        <v>59</v>
      </c>
      <c r="B3741" s="2" t="s">
        <v>60</v>
      </c>
      <c r="C3741" s="2" t="s">
        <v>37391</v>
      </c>
      <c r="D3741" s="2" t="s">
        <v>37392</v>
      </c>
      <c r="E3741" s="2" t="s">
        <v>37393</v>
      </c>
      <c r="G3741" s="3" t="s">
        <v>64</v>
      </c>
      <c r="I3741" s="3" t="s">
        <v>64</v>
      </c>
      <c r="J3741" s="3" t="s">
        <v>64</v>
      </c>
      <c r="K3741" s="3" t="s">
        <v>65</v>
      </c>
      <c r="L3741" s="2" t="s">
        <v>37384</v>
      </c>
      <c r="M3741" s="2" t="s">
        <v>12281</v>
      </c>
      <c r="N3741" s="3" t="s">
        <v>511</v>
      </c>
      <c r="P3741" s="3" t="s">
        <v>102</v>
      </c>
      <c r="R3741" s="3" t="s">
        <v>70</v>
      </c>
      <c r="S3741" s="4">
        <v>8</v>
      </c>
      <c r="T3741" s="4">
        <v>8</v>
      </c>
      <c r="U3741" s="5" t="s">
        <v>22353</v>
      </c>
      <c r="V3741" s="5" t="s">
        <v>22353</v>
      </c>
      <c r="W3741" s="5" t="s">
        <v>72</v>
      </c>
      <c r="X3741" s="5" t="s">
        <v>72</v>
      </c>
      <c r="Y3741" s="4">
        <v>145</v>
      </c>
      <c r="Z3741" s="4">
        <v>15</v>
      </c>
      <c r="AA3741" s="4">
        <v>21</v>
      </c>
      <c r="AB3741" s="4">
        <v>1</v>
      </c>
      <c r="AC3741" s="4">
        <v>4</v>
      </c>
      <c r="AD3741" s="4">
        <v>57</v>
      </c>
      <c r="AE3741" s="4">
        <v>74</v>
      </c>
      <c r="AF3741" s="4">
        <v>0</v>
      </c>
      <c r="AG3741" s="4">
        <v>1</v>
      </c>
      <c r="AH3741" s="4">
        <v>54</v>
      </c>
      <c r="AI3741" s="4">
        <v>69</v>
      </c>
      <c r="AJ3741" s="4">
        <v>11</v>
      </c>
      <c r="AK3741" s="4">
        <v>14</v>
      </c>
      <c r="AL3741" s="4">
        <v>35</v>
      </c>
      <c r="AM3741" s="4">
        <v>43</v>
      </c>
      <c r="AN3741" s="4">
        <v>0</v>
      </c>
      <c r="AO3741" s="4">
        <v>0</v>
      </c>
      <c r="AP3741" s="4">
        <v>11</v>
      </c>
      <c r="AQ3741" s="4">
        <v>13</v>
      </c>
      <c r="AR3741" s="3" t="s">
        <v>64</v>
      </c>
      <c r="AS3741" s="3" t="s">
        <v>64</v>
      </c>
      <c r="AT3741" s="3" t="s">
        <v>64</v>
      </c>
      <c r="AV3741" s="6" t="str">
        <f>HYPERLINK("http://mcgill.on.worldcat.org/oclc/535491159","Catalog Record")</f>
        <v>Catalog Record</v>
      </c>
      <c r="AW3741" s="6" t="str">
        <f>HYPERLINK("http://www.worldcat.org/oclc/535491159","WorldCat Record")</f>
        <v>WorldCat Record</v>
      </c>
      <c r="AX3741" s="3" t="s">
        <v>37394</v>
      </c>
      <c r="AY3741" s="3" t="s">
        <v>37395</v>
      </c>
      <c r="AZ3741" s="3" t="s">
        <v>37396</v>
      </c>
      <c r="BA3741" s="3" t="s">
        <v>37396</v>
      </c>
      <c r="BB3741" s="3" t="s">
        <v>37397</v>
      </c>
      <c r="BC3741" s="3" t="s">
        <v>77</v>
      </c>
      <c r="BD3741" s="3" t="s">
        <v>78</v>
      </c>
      <c r="BE3741" s="3" t="s">
        <v>37398</v>
      </c>
      <c r="BF3741" s="3" t="s">
        <v>37397</v>
      </c>
      <c r="BG3741" s="3" t="s">
        <v>37399</v>
      </c>
      <c r="BH3741">
        <f t="shared" si="88"/>
        <v>0</v>
      </c>
    </row>
    <row r="3742" spans="1:60" x14ac:dyDescent="0.35">
      <c r="A3742" t="s">
        <v>59</v>
      </c>
      <c r="B3742" t="s">
        <v>60</v>
      </c>
      <c r="C3742" t="s">
        <v>52998</v>
      </c>
      <c r="D3742" t="s">
        <v>52999</v>
      </c>
      <c r="E3742" t="s">
        <v>53000</v>
      </c>
      <c r="F3742" t="s">
        <v>1372</v>
      </c>
      <c r="G3742" t="s">
        <v>53001</v>
      </c>
      <c r="H3742" t="s">
        <v>3047</v>
      </c>
      <c r="J3742" t="s">
        <v>102</v>
      </c>
      <c r="Q3742" t="s">
        <v>53002</v>
      </c>
      <c r="R3742" t="s">
        <v>70</v>
      </c>
      <c r="S3742">
        <v>159</v>
      </c>
      <c r="T3742">
        <v>15</v>
      </c>
      <c r="U3742">
        <v>17</v>
      </c>
      <c r="V3742">
        <v>1</v>
      </c>
      <c r="W3742">
        <v>3</v>
      </c>
      <c r="X3742">
        <v>65</v>
      </c>
      <c r="Y3742">
        <v>65</v>
      </c>
      <c r="Z3742">
        <v>0</v>
      </c>
      <c r="AA3742">
        <v>0</v>
      </c>
      <c r="AB3742">
        <v>59</v>
      </c>
      <c r="AC3742">
        <v>59</v>
      </c>
      <c r="AD3742">
        <v>8</v>
      </c>
      <c r="AE3742">
        <v>8</v>
      </c>
      <c r="AF3742">
        <v>43</v>
      </c>
      <c r="AG3742">
        <v>43</v>
      </c>
      <c r="AH3742">
        <v>0</v>
      </c>
      <c r="AI3742">
        <v>0</v>
      </c>
      <c r="AJ3742">
        <v>8</v>
      </c>
      <c r="AK3742">
        <v>8</v>
      </c>
      <c r="AL3742" t="s">
        <v>64</v>
      </c>
      <c r="AM3742" t="s">
        <v>64</v>
      </c>
      <c r="AN3742" t="s">
        <v>64</v>
      </c>
      <c r="AP3742" t="s">
        <v>52902</v>
      </c>
      <c r="AQ3742" t="s">
        <v>52903</v>
      </c>
      <c r="AR3742" t="s">
        <v>53003</v>
      </c>
      <c r="AS3742" t="s">
        <v>53004</v>
      </c>
      <c r="AT3742" t="s">
        <v>53005</v>
      </c>
      <c r="AU3742" t="s">
        <v>53005</v>
      </c>
      <c r="AW3742" t="s">
        <v>77</v>
      </c>
      <c r="AX3742" t="s">
        <v>78</v>
      </c>
      <c r="AY3742" t="s">
        <v>53007</v>
      </c>
      <c r="AZ3742" t="s">
        <v>53006</v>
      </c>
      <c r="BA3742" t="s">
        <v>53008</v>
      </c>
      <c r="BF3742" t="s">
        <v>53006</v>
      </c>
      <c r="BH3742">
        <f t="shared" si="88"/>
        <v>0</v>
      </c>
    </row>
    <row r="3743" spans="1:60" ht="58" x14ac:dyDescent="0.35">
      <c r="A3743" s="2" t="s">
        <v>59</v>
      </c>
      <c r="B3743" s="2" t="s">
        <v>60</v>
      </c>
      <c r="C3743" s="2" t="s">
        <v>37400</v>
      </c>
      <c r="D3743" s="2" t="s">
        <v>37401</v>
      </c>
      <c r="E3743" s="2" t="s">
        <v>37402</v>
      </c>
      <c r="G3743" s="3" t="s">
        <v>64</v>
      </c>
      <c r="I3743" s="3" t="s">
        <v>64</v>
      </c>
      <c r="J3743" s="3" t="s">
        <v>64</v>
      </c>
      <c r="K3743" s="3" t="s">
        <v>65</v>
      </c>
      <c r="M3743" s="2" t="s">
        <v>37403</v>
      </c>
      <c r="N3743" s="3" t="s">
        <v>551</v>
      </c>
      <c r="P3743" s="3" t="s">
        <v>102</v>
      </c>
      <c r="Q3743" s="2" t="s">
        <v>37404</v>
      </c>
      <c r="R3743" s="3" t="s">
        <v>70</v>
      </c>
      <c r="S3743" s="4">
        <v>4</v>
      </c>
      <c r="T3743" s="4">
        <v>4</v>
      </c>
      <c r="U3743" s="5" t="s">
        <v>5906</v>
      </c>
      <c r="V3743" s="5" t="s">
        <v>5906</v>
      </c>
      <c r="W3743" s="5" t="s">
        <v>72</v>
      </c>
      <c r="X3743" s="5" t="s">
        <v>72</v>
      </c>
      <c r="Y3743" s="4">
        <v>163</v>
      </c>
      <c r="Z3743" s="4">
        <v>18</v>
      </c>
      <c r="AA3743" s="4">
        <v>24</v>
      </c>
      <c r="AB3743" s="4">
        <v>2</v>
      </c>
      <c r="AC3743" s="4">
        <v>5</v>
      </c>
      <c r="AD3743" s="4">
        <v>68</v>
      </c>
      <c r="AE3743" s="4">
        <v>73</v>
      </c>
      <c r="AF3743" s="4">
        <v>1</v>
      </c>
      <c r="AG3743" s="4">
        <v>2</v>
      </c>
      <c r="AH3743" s="4">
        <v>58</v>
      </c>
      <c r="AI3743" s="4">
        <v>60</v>
      </c>
      <c r="AJ3743" s="4">
        <v>12</v>
      </c>
      <c r="AK3743" s="4">
        <v>14</v>
      </c>
      <c r="AL3743" s="4">
        <v>37</v>
      </c>
      <c r="AM3743" s="4">
        <v>38</v>
      </c>
      <c r="AN3743" s="4">
        <v>0</v>
      </c>
      <c r="AO3743" s="4">
        <v>0</v>
      </c>
      <c r="AP3743" s="4">
        <v>15</v>
      </c>
      <c r="AQ3743" s="4">
        <v>19</v>
      </c>
      <c r="AR3743" s="3" t="s">
        <v>64</v>
      </c>
      <c r="AS3743" s="3" t="s">
        <v>64</v>
      </c>
      <c r="AT3743" s="3" t="s">
        <v>64</v>
      </c>
      <c r="AV3743" s="6" t="str">
        <f>HYPERLINK("http://mcgill.on.worldcat.org/oclc/458582181","Catalog Record")</f>
        <v>Catalog Record</v>
      </c>
      <c r="AW3743" s="6" t="str">
        <f>HYPERLINK("http://www.worldcat.org/oclc/458582181","WorldCat Record")</f>
        <v>WorldCat Record</v>
      </c>
      <c r="AX3743" s="3" t="s">
        <v>37405</v>
      </c>
      <c r="AY3743" s="3" t="s">
        <v>37406</v>
      </c>
      <c r="AZ3743" s="3" t="s">
        <v>37407</v>
      </c>
      <c r="BA3743" s="3" t="s">
        <v>37407</v>
      </c>
      <c r="BB3743" s="3" t="s">
        <v>37408</v>
      </c>
      <c r="BC3743" s="3" t="s">
        <v>77</v>
      </c>
      <c r="BD3743" s="3" t="s">
        <v>78</v>
      </c>
      <c r="BE3743" s="3" t="s">
        <v>37409</v>
      </c>
      <c r="BF3743" s="3" t="s">
        <v>37408</v>
      </c>
      <c r="BG3743" s="3" t="s">
        <v>37410</v>
      </c>
      <c r="BH3743">
        <f t="shared" si="88"/>
        <v>0</v>
      </c>
    </row>
    <row r="3744" spans="1:60" ht="58" x14ac:dyDescent="0.35">
      <c r="A3744" s="2" t="s">
        <v>59</v>
      </c>
      <c r="B3744" s="2" t="s">
        <v>60</v>
      </c>
      <c r="C3744" s="2" t="s">
        <v>37411</v>
      </c>
      <c r="D3744" s="2" t="s">
        <v>37412</v>
      </c>
      <c r="E3744" s="2" t="s">
        <v>37413</v>
      </c>
      <c r="G3744" s="3" t="s">
        <v>64</v>
      </c>
      <c r="I3744" s="3" t="s">
        <v>64</v>
      </c>
      <c r="J3744" s="3" t="s">
        <v>64</v>
      </c>
      <c r="K3744" s="3" t="s">
        <v>65</v>
      </c>
      <c r="M3744" s="2" t="s">
        <v>2600</v>
      </c>
      <c r="N3744" s="3" t="s">
        <v>159</v>
      </c>
      <c r="P3744" s="3" t="s">
        <v>102</v>
      </c>
      <c r="Q3744" s="2" t="s">
        <v>351</v>
      </c>
      <c r="R3744" s="3" t="s">
        <v>70</v>
      </c>
      <c r="S3744" s="4">
        <v>34</v>
      </c>
      <c r="T3744" s="4">
        <v>34</v>
      </c>
      <c r="U3744" s="5" t="s">
        <v>4142</v>
      </c>
      <c r="V3744" s="5" t="s">
        <v>4142</v>
      </c>
      <c r="W3744" s="5" t="s">
        <v>72</v>
      </c>
      <c r="X3744" s="5" t="s">
        <v>72</v>
      </c>
      <c r="Y3744" s="4">
        <v>333</v>
      </c>
      <c r="Z3744" s="4">
        <v>24</v>
      </c>
      <c r="AA3744" s="4">
        <v>41</v>
      </c>
      <c r="AB3744" s="4">
        <v>2</v>
      </c>
      <c r="AC3744" s="4">
        <v>5</v>
      </c>
      <c r="AD3744" s="4">
        <v>99</v>
      </c>
      <c r="AE3744" s="4">
        <v>120</v>
      </c>
      <c r="AF3744" s="4">
        <v>0</v>
      </c>
      <c r="AG3744" s="4">
        <v>0</v>
      </c>
      <c r="AH3744" s="4">
        <v>88</v>
      </c>
      <c r="AI3744" s="4">
        <v>101</v>
      </c>
      <c r="AJ3744" s="4">
        <v>13</v>
      </c>
      <c r="AK3744" s="4">
        <v>17</v>
      </c>
      <c r="AL3744" s="4">
        <v>52</v>
      </c>
      <c r="AM3744" s="4">
        <v>55</v>
      </c>
      <c r="AN3744" s="4">
        <v>0</v>
      </c>
      <c r="AO3744" s="4">
        <v>0</v>
      </c>
      <c r="AP3744" s="4">
        <v>18</v>
      </c>
      <c r="AQ3744" s="4">
        <v>27</v>
      </c>
      <c r="AR3744" s="3" t="s">
        <v>64</v>
      </c>
      <c r="AS3744" s="3" t="s">
        <v>64</v>
      </c>
      <c r="AT3744" s="3" t="s">
        <v>128</v>
      </c>
      <c r="AU3744" s="6" t="str">
        <f>HYPERLINK("http://catalog.hathitrust.org/Record/004215238","HathiTrust Record")</f>
        <v>HathiTrust Record</v>
      </c>
      <c r="AV3744" s="6" t="str">
        <f>HYPERLINK("http://mcgill.on.worldcat.org/oclc/47764278","Catalog Record")</f>
        <v>Catalog Record</v>
      </c>
      <c r="AW3744" s="6" t="str">
        <f>HYPERLINK("http://www.worldcat.org/oclc/47764278","WorldCat Record")</f>
        <v>WorldCat Record</v>
      </c>
      <c r="AX3744" s="3" t="s">
        <v>37414</v>
      </c>
      <c r="AY3744" s="3" t="s">
        <v>37415</v>
      </c>
      <c r="AZ3744" s="3" t="s">
        <v>37416</v>
      </c>
      <c r="BA3744" s="3" t="s">
        <v>37416</v>
      </c>
      <c r="BB3744" s="3" t="s">
        <v>37417</v>
      </c>
      <c r="BC3744" s="3" t="s">
        <v>77</v>
      </c>
      <c r="BD3744" s="3" t="s">
        <v>78</v>
      </c>
      <c r="BE3744" s="3" t="s">
        <v>37418</v>
      </c>
      <c r="BF3744" s="3" t="s">
        <v>37417</v>
      </c>
      <c r="BG3744" s="3" t="s">
        <v>37419</v>
      </c>
      <c r="BH3744">
        <f t="shared" si="88"/>
        <v>0</v>
      </c>
    </row>
    <row r="3745" spans="1:60" ht="58" x14ac:dyDescent="0.35">
      <c r="A3745" s="2" t="s">
        <v>59</v>
      </c>
      <c r="B3745" s="2" t="s">
        <v>60</v>
      </c>
      <c r="C3745" s="2" t="s">
        <v>37420</v>
      </c>
      <c r="D3745" s="2" t="s">
        <v>37421</v>
      </c>
      <c r="E3745" s="2" t="s">
        <v>37422</v>
      </c>
      <c r="G3745" s="3" t="s">
        <v>64</v>
      </c>
      <c r="I3745" s="3" t="s">
        <v>64</v>
      </c>
      <c r="J3745" s="3" t="s">
        <v>64</v>
      </c>
      <c r="K3745" s="3" t="s">
        <v>65</v>
      </c>
      <c r="L3745" s="2" t="s">
        <v>37423</v>
      </c>
      <c r="M3745" s="2" t="s">
        <v>37424</v>
      </c>
      <c r="N3745" s="3" t="s">
        <v>511</v>
      </c>
      <c r="P3745" s="3" t="s">
        <v>102</v>
      </c>
      <c r="Q3745" s="2" t="s">
        <v>37425</v>
      </c>
      <c r="R3745" s="3" t="s">
        <v>70</v>
      </c>
      <c r="S3745" s="4">
        <v>7</v>
      </c>
      <c r="T3745" s="4">
        <v>7</v>
      </c>
      <c r="U3745" s="5" t="s">
        <v>20243</v>
      </c>
      <c r="V3745" s="5" t="s">
        <v>20243</v>
      </c>
      <c r="W3745" s="5" t="s">
        <v>72</v>
      </c>
      <c r="X3745" s="5" t="s">
        <v>72</v>
      </c>
      <c r="Y3745" s="4">
        <v>202</v>
      </c>
      <c r="Z3745" s="4">
        <v>21</v>
      </c>
      <c r="AA3745" s="4">
        <v>22</v>
      </c>
      <c r="AB3745" s="4">
        <v>1</v>
      </c>
      <c r="AC3745" s="4">
        <v>2</v>
      </c>
      <c r="AD3745" s="4">
        <v>80</v>
      </c>
      <c r="AE3745" s="4">
        <v>84</v>
      </c>
      <c r="AF3745" s="4">
        <v>0</v>
      </c>
      <c r="AG3745" s="4">
        <v>1</v>
      </c>
      <c r="AH3745" s="4">
        <v>69</v>
      </c>
      <c r="AI3745" s="4">
        <v>73</v>
      </c>
      <c r="AJ3745" s="4">
        <v>10</v>
      </c>
      <c r="AK3745" s="4">
        <v>11</v>
      </c>
      <c r="AL3745" s="4">
        <v>47</v>
      </c>
      <c r="AM3745" s="4">
        <v>48</v>
      </c>
      <c r="AN3745" s="4">
        <v>0</v>
      </c>
      <c r="AO3745" s="4">
        <v>0</v>
      </c>
      <c r="AP3745" s="4">
        <v>17</v>
      </c>
      <c r="AQ3745" s="4">
        <v>18</v>
      </c>
      <c r="AR3745" s="3" t="s">
        <v>64</v>
      </c>
      <c r="AS3745" s="3" t="s">
        <v>64</v>
      </c>
      <c r="AT3745" s="3" t="s">
        <v>64</v>
      </c>
      <c r="AV3745" s="6" t="str">
        <f>HYPERLINK("http://mcgill.on.worldcat.org/oclc/466341144","Catalog Record")</f>
        <v>Catalog Record</v>
      </c>
      <c r="AW3745" s="6" t="str">
        <f>HYPERLINK("http://www.worldcat.org/oclc/466341144","WorldCat Record")</f>
        <v>WorldCat Record</v>
      </c>
      <c r="AX3745" s="3" t="s">
        <v>37426</v>
      </c>
      <c r="AY3745" s="3" t="s">
        <v>37427</v>
      </c>
      <c r="AZ3745" s="3" t="s">
        <v>37428</v>
      </c>
      <c r="BA3745" s="3" t="s">
        <v>37428</v>
      </c>
      <c r="BB3745" s="3" t="s">
        <v>37429</v>
      </c>
      <c r="BC3745" s="3" t="s">
        <v>77</v>
      </c>
      <c r="BD3745" s="3" t="s">
        <v>78</v>
      </c>
      <c r="BE3745" s="3" t="s">
        <v>37430</v>
      </c>
      <c r="BF3745" s="3" t="s">
        <v>37429</v>
      </c>
      <c r="BG3745" s="3" t="s">
        <v>37431</v>
      </c>
      <c r="BH3745">
        <f t="shared" si="88"/>
        <v>0</v>
      </c>
    </row>
    <row r="3746" spans="1:60" ht="58" x14ac:dyDescent="0.35">
      <c r="A3746" s="2" t="s">
        <v>59</v>
      </c>
      <c r="B3746" s="2" t="s">
        <v>60</v>
      </c>
      <c r="C3746" s="2" t="s">
        <v>37432</v>
      </c>
      <c r="D3746" s="2" t="s">
        <v>37433</v>
      </c>
      <c r="E3746" s="2" t="s">
        <v>37434</v>
      </c>
      <c r="G3746" s="3" t="s">
        <v>64</v>
      </c>
      <c r="I3746" s="3" t="s">
        <v>64</v>
      </c>
      <c r="J3746" s="3" t="s">
        <v>64</v>
      </c>
      <c r="K3746" s="3" t="s">
        <v>65</v>
      </c>
      <c r="L3746" s="2" t="s">
        <v>37435</v>
      </c>
      <c r="M3746" s="2" t="s">
        <v>37436</v>
      </c>
      <c r="N3746" s="3" t="s">
        <v>171</v>
      </c>
      <c r="P3746" s="3" t="s">
        <v>102</v>
      </c>
      <c r="R3746" s="3" t="s">
        <v>70</v>
      </c>
      <c r="S3746" s="4">
        <v>18</v>
      </c>
      <c r="T3746" s="4">
        <v>18</v>
      </c>
      <c r="U3746" s="5" t="s">
        <v>512</v>
      </c>
      <c r="V3746" s="5" t="s">
        <v>512</v>
      </c>
      <c r="W3746" s="5" t="s">
        <v>72</v>
      </c>
      <c r="X3746" s="5" t="s">
        <v>72</v>
      </c>
      <c r="Y3746" s="4">
        <v>196</v>
      </c>
      <c r="Z3746" s="4">
        <v>22</v>
      </c>
      <c r="AA3746" s="4">
        <v>39</v>
      </c>
      <c r="AB3746" s="4">
        <v>2</v>
      </c>
      <c r="AC3746" s="4">
        <v>6</v>
      </c>
      <c r="AD3746" s="4">
        <v>79</v>
      </c>
      <c r="AE3746" s="4">
        <v>100</v>
      </c>
      <c r="AF3746" s="4">
        <v>0</v>
      </c>
      <c r="AG3746" s="4">
        <v>1</v>
      </c>
      <c r="AH3746" s="4">
        <v>70</v>
      </c>
      <c r="AI3746" s="4">
        <v>84</v>
      </c>
      <c r="AJ3746" s="4">
        <v>13</v>
      </c>
      <c r="AK3746" s="4">
        <v>16</v>
      </c>
      <c r="AL3746" s="4">
        <v>45</v>
      </c>
      <c r="AM3746" s="4">
        <v>49</v>
      </c>
      <c r="AN3746" s="4">
        <v>0</v>
      </c>
      <c r="AO3746" s="4">
        <v>0</v>
      </c>
      <c r="AP3746" s="4">
        <v>16</v>
      </c>
      <c r="AQ3746" s="4">
        <v>25</v>
      </c>
      <c r="AR3746" s="3" t="s">
        <v>64</v>
      </c>
      <c r="AS3746" s="3" t="s">
        <v>64</v>
      </c>
      <c r="AT3746" s="3" t="s">
        <v>64</v>
      </c>
      <c r="AV3746" s="6" t="str">
        <f>HYPERLINK("http://mcgill.on.worldcat.org/oclc/71163853","Catalog Record")</f>
        <v>Catalog Record</v>
      </c>
      <c r="AW3746" s="6" t="str">
        <f>HYPERLINK("http://www.worldcat.org/oclc/71163853","WorldCat Record")</f>
        <v>WorldCat Record</v>
      </c>
      <c r="AX3746" s="3" t="s">
        <v>37437</v>
      </c>
      <c r="AY3746" s="3" t="s">
        <v>37438</v>
      </c>
      <c r="AZ3746" s="3" t="s">
        <v>37439</v>
      </c>
      <c r="BA3746" s="3" t="s">
        <v>37439</v>
      </c>
      <c r="BB3746" s="3" t="s">
        <v>37440</v>
      </c>
      <c r="BC3746" s="3" t="s">
        <v>77</v>
      </c>
      <c r="BD3746" s="3" t="s">
        <v>78</v>
      </c>
      <c r="BE3746" s="3" t="s">
        <v>37441</v>
      </c>
      <c r="BF3746" s="3" t="s">
        <v>37440</v>
      </c>
      <c r="BG3746" s="3" t="s">
        <v>37442</v>
      </c>
      <c r="BH3746">
        <f t="shared" si="88"/>
        <v>0</v>
      </c>
    </row>
    <row r="3747" spans="1:60" ht="58" x14ac:dyDescent="0.35">
      <c r="A3747" s="2" t="s">
        <v>59</v>
      </c>
      <c r="B3747" s="2" t="s">
        <v>60</v>
      </c>
      <c r="C3747" s="2" t="s">
        <v>37443</v>
      </c>
      <c r="D3747" s="2" t="s">
        <v>37444</v>
      </c>
      <c r="E3747" s="2" t="s">
        <v>37445</v>
      </c>
      <c r="G3747" s="3" t="s">
        <v>64</v>
      </c>
      <c r="I3747" s="3" t="s">
        <v>64</v>
      </c>
      <c r="J3747" s="3" t="s">
        <v>64</v>
      </c>
      <c r="K3747" s="3" t="s">
        <v>65</v>
      </c>
      <c r="L3747" s="2" t="s">
        <v>37446</v>
      </c>
      <c r="M3747" s="2" t="s">
        <v>37447</v>
      </c>
      <c r="N3747" s="3" t="s">
        <v>253</v>
      </c>
      <c r="P3747" s="3" t="s">
        <v>102</v>
      </c>
      <c r="Q3747" s="2" t="s">
        <v>37448</v>
      </c>
      <c r="R3747" s="3" t="s">
        <v>70</v>
      </c>
      <c r="S3747" s="4">
        <v>0</v>
      </c>
      <c r="T3747" s="4">
        <v>0</v>
      </c>
      <c r="W3747" s="5" t="s">
        <v>72</v>
      </c>
      <c r="X3747" s="5" t="s">
        <v>72</v>
      </c>
      <c r="Y3747" s="4">
        <v>55</v>
      </c>
      <c r="Z3747" s="4">
        <v>5</v>
      </c>
      <c r="AA3747" s="4">
        <v>11</v>
      </c>
      <c r="AB3747" s="4">
        <v>1</v>
      </c>
      <c r="AC3747" s="4">
        <v>3</v>
      </c>
      <c r="AD3747" s="4">
        <v>28</v>
      </c>
      <c r="AE3747" s="4">
        <v>40</v>
      </c>
      <c r="AF3747" s="4">
        <v>0</v>
      </c>
      <c r="AG3747" s="4">
        <v>0</v>
      </c>
      <c r="AH3747" s="4">
        <v>27</v>
      </c>
      <c r="AI3747" s="4">
        <v>35</v>
      </c>
      <c r="AJ3747" s="4">
        <v>3</v>
      </c>
      <c r="AK3747" s="4">
        <v>7</v>
      </c>
      <c r="AL3747" s="4">
        <v>22</v>
      </c>
      <c r="AM3747" s="4">
        <v>26</v>
      </c>
      <c r="AN3747" s="4">
        <v>0</v>
      </c>
      <c r="AO3747" s="4">
        <v>0</v>
      </c>
      <c r="AP3747" s="4">
        <v>3</v>
      </c>
      <c r="AQ3747" s="4">
        <v>7</v>
      </c>
      <c r="AR3747" s="3" t="s">
        <v>64</v>
      </c>
      <c r="AS3747" s="3" t="s">
        <v>64</v>
      </c>
      <c r="AT3747" s="3" t="s">
        <v>64</v>
      </c>
      <c r="AV3747" s="6" t="str">
        <f>HYPERLINK("http://mcgill.on.worldcat.org/oclc/908090976","Catalog Record")</f>
        <v>Catalog Record</v>
      </c>
      <c r="AW3747" s="6" t="str">
        <f>HYPERLINK("http://www.worldcat.org/oclc/908090976","WorldCat Record")</f>
        <v>WorldCat Record</v>
      </c>
      <c r="AX3747" s="3" t="s">
        <v>37449</v>
      </c>
      <c r="AY3747" s="3" t="s">
        <v>37450</v>
      </c>
      <c r="AZ3747" s="3" t="s">
        <v>37451</v>
      </c>
      <c r="BA3747" s="3" t="s">
        <v>37451</v>
      </c>
      <c r="BB3747" s="3" t="s">
        <v>37452</v>
      </c>
      <c r="BC3747" s="3" t="s">
        <v>77</v>
      </c>
      <c r="BD3747" s="3" t="s">
        <v>78</v>
      </c>
      <c r="BE3747" s="3" t="s">
        <v>37453</v>
      </c>
      <c r="BF3747" s="3" t="s">
        <v>37452</v>
      </c>
      <c r="BG3747" s="3" t="s">
        <v>37454</v>
      </c>
      <c r="BH3747">
        <f t="shared" si="88"/>
        <v>0</v>
      </c>
    </row>
    <row r="3748" spans="1:60" ht="58" x14ac:dyDescent="0.35">
      <c r="A3748" s="2" t="s">
        <v>59</v>
      </c>
      <c r="B3748" s="2" t="s">
        <v>60</v>
      </c>
      <c r="C3748" s="2" t="s">
        <v>37455</v>
      </c>
      <c r="D3748" s="2" t="s">
        <v>37456</v>
      </c>
      <c r="E3748" s="2" t="s">
        <v>37457</v>
      </c>
      <c r="G3748" s="3" t="s">
        <v>64</v>
      </c>
      <c r="I3748" s="3" t="s">
        <v>64</v>
      </c>
      <c r="J3748" s="3" t="s">
        <v>64</v>
      </c>
      <c r="K3748" s="3" t="s">
        <v>65</v>
      </c>
      <c r="L3748" s="2" t="s">
        <v>37458</v>
      </c>
      <c r="M3748" s="2" t="s">
        <v>37459</v>
      </c>
      <c r="N3748" s="3" t="s">
        <v>434</v>
      </c>
      <c r="P3748" s="3" t="s">
        <v>102</v>
      </c>
      <c r="R3748" s="3" t="s">
        <v>70</v>
      </c>
      <c r="S3748" s="4">
        <v>22</v>
      </c>
      <c r="T3748" s="4">
        <v>22</v>
      </c>
      <c r="U3748" s="5" t="s">
        <v>14509</v>
      </c>
      <c r="V3748" s="5" t="s">
        <v>14509</v>
      </c>
      <c r="W3748" s="5" t="s">
        <v>72</v>
      </c>
      <c r="X3748" s="5" t="s">
        <v>72</v>
      </c>
      <c r="Y3748" s="4">
        <v>442</v>
      </c>
      <c r="Z3748" s="4">
        <v>32</v>
      </c>
      <c r="AA3748" s="4">
        <v>119</v>
      </c>
      <c r="AB3748" s="4">
        <v>2</v>
      </c>
      <c r="AC3748" s="4">
        <v>18</v>
      </c>
      <c r="AD3748" s="4">
        <v>108</v>
      </c>
      <c r="AE3748" s="4">
        <v>148</v>
      </c>
      <c r="AF3748" s="4">
        <v>1</v>
      </c>
      <c r="AG3748" s="4">
        <v>8</v>
      </c>
      <c r="AH3748" s="4">
        <v>91</v>
      </c>
      <c r="AI3748" s="4">
        <v>105</v>
      </c>
      <c r="AJ3748" s="4">
        <v>20</v>
      </c>
      <c r="AK3748" s="4">
        <v>28</v>
      </c>
      <c r="AL3748" s="4">
        <v>48</v>
      </c>
      <c r="AM3748" s="4">
        <v>53</v>
      </c>
      <c r="AN3748" s="4">
        <v>0</v>
      </c>
      <c r="AO3748" s="4">
        <v>0</v>
      </c>
      <c r="AP3748" s="4">
        <v>25</v>
      </c>
      <c r="AQ3748" s="4">
        <v>52</v>
      </c>
      <c r="AR3748" s="3" t="s">
        <v>64</v>
      </c>
      <c r="AS3748" s="3" t="s">
        <v>64</v>
      </c>
      <c r="AT3748" s="3" t="s">
        <v>64</v>
      </c>
      <c r="AV3748" s="6" t="str">
        <f>HYPERLINK("http://mcgill.on.worldcat.org/oclc/56922500","Catalog Record")</f>
        <v>Catalog Record</v>
      </c>
      <c r="AW3748" s="6" t="str">
        <f>HYPERLINK("http://www.worldcat.org/oclc/56922500","WorldCat Record")</f>
        <v>WorldCat Record</v>
      </c>
      <c r="AX3748" s="3" t="s">
        <v>37460</v>
      </c>
      <c r="AY3748" s="3" t="s">
        <v>37461</v>
      </c>
      <c r="AZ3748" s="3" t="s">
        <v>37462</v>
      </c>
      <c r="BA3748" s="3" t="s">
        <v>37462</v>
      </c>
      <c r="BB3748" s="3" t="s">
        <v>37463</v>
      </c>
      <c r="BC3748" s="3" t="s">
        <v>77</v>
      </c>
      <c r="BD3748" s="3" t="s">
        <v>78</v>
      </c>
      <c r="BE3748" s="3" t="s">
        <v>37464</v>
      </c>
      <c r="BF3748" s="3" t="s">
        <v>37463</v>
      </c>
      <c r="BG3748" s="3" t="s">
        <v>37465</v>
      </c>
      <c r="BH3748">
        <f t="shared" si="88"/>
        <v>0</v>
      </c>
    </row>
    <row r="3749" spans="1:60" ht="58" x14ac:dyDescent="0.35">
      <c r="A3749" s="2" t="s">
        <v>59</v>
      </c>
      <c r="B3749" s="2" t="s">
        <v>60</v>
      </c>
      <c r="C3749" s="2" t="s">
        <v>37466</v>
      </c>
      <c r="D3749" s="2" t="s">
        <v>37467</v>
      </c>
      <c r="E3749" s="2" t="s">
        <v>37468</v>
      </c>
      <c r="G3749" s="3" t="s">
        <v>64</v>
      </c>
      <c r="I3749" s="3" t="s">
        <v>64</v>
      </c>
      <c r="J3749" s="3" t="s">
        <v>64</v>
      </c>
      <c r="K3749" s="3" t="s">
        <v>65</v>
      </c>
      <c r="L3749" s="2" t="s">
        <v>37469</v>
      </c>
      <c r="M3749" s="2" t="s">
        <v>37470</v>
      </c>
      <c r="N3749" s="3" t="s">
        <v>537</v>
      </c>
      <c r="P3749" s="3" t="s">
        <v>102</v>
      </c>
      <c r="R3749" s="3" t="s">
        <v>70</v>
      </c>
      <c r="S3749" s="4">
        <v>0</v>
      </c>
      <c r="T3749" s="4">
        <v>0</v>
      </c>
      <c r="W3749" s="5" t="s">
        <v>72</v>
      </c>
      <c r="X3749" s="5" t="s">
        <v>72</v>
      </c>
      <c r="Y3749" s="4">
        <v>41</v>
      </c>
      <c r="Z3749" s="4">
        <v>1</v>
      </c>
      <c r="AA3749" s="4">
        <v>6</v>
      </c>
      <c r="AB3749" s="4">
        <v>1</v>
      </c>
      <c r="AC3749" s="4">
        <v>4</v>
      </c>
      <c r="AD3749" s="4">
        <v>22</v>
      </c>
      <c r="AE3749" s="4">
        <v>32</v>
      </c>
      <c r="AF3749" s="4">
        <v>0</v>
      </c>
      <c r="AG3749" s="4">
        <v>0</v>
      </c>
      <c r="AH3749" s="4">
        <v>21</v>
      </c>
      <c r="AI3749" s="4">
        <v>30</v>
      </c>
      <c r="AJ3749" s="4">
        <v>0</v>
      </c>
      <c r="AK3749" s="4">
        <v>2</v>
      </c>
      <c r="AL3749" s="4">
        <v>18</v>
      </c>
      <c r="AM3749" s="4">
        <v>23</v>
      </c>
      <c r="AN3749" s="4">
        <v>0</v>
      </c>
      <c r="AO3749" s="4">
        <v>0</v>
      </c>
      <c r="AP3749" s="4">
        <v>0</v>
      </c>
      <c r="AQ3749" s="4">
        <v>2</v>
      </c>
      <c r="AR3749" s="3" t="s">
        <v>64</v>
      </c>
      <c r="AS3749" s="3" t="s">
        <v>64</v>
      </c>
      <c r="AT3749" s="3" t="s">
        <v>64</v>
      </c>
      <c r="AV3749" s="6" t="str">
        <f>HYPERLINK("http://mcgill.on.worldcat.org/oclc/929155172","Catalog Record")</f>
        <v>Catalog Record</v>
      </c>
      <c r="AW3749" s="6" t="str">
        <f>HYPERLINK("http://www.worldcat.org/oclc/929155172","WorldCat Record")</f>
        <v>WorldCat Record</v>
      </c>
      <c r="AX3749" s="3" t="s">
        <v>37471</v>
      </c>
      <c r="AY3749" s="3" t="s">
        <v>37472</v>
      </c>
      <c r="AZ3749" s="3" t="s">
        <v>37473</v>
      </c>
      <c r="BA3749" s="3" t="s">
        <v>37473</v>
      </c>
      <c r="BB3749" s="3" t="s">
        <v>37474</v>
      </c>
      <c r="BC3749" s="3" t="s">
        <v>77</v>
      </c>
      <c r="BD3749" s="3" t="s">
        <v>78</v>
      </c>
      <c r="BE3749" s="3" t="s">
        <v>37475</v>
      </c>
      <c r="BF3749" s="3" t="s">
        <v>37474</v>
      </c>
      <c r="BG3749" s="3" t="s">
        <v>37476</v>
      </c>
      <c r="BH3749">
        <f t="shared" si="88"/>
        <v>0</v>
      </c>
    </row>
    <row r="3750" spans="1:60" ht="58" x14ac:dyDescent="0.35">
      <c r="A3750" s="2" t="s">
        <v>59</v>
      </c>
      <c r="B3750" s="2" t="s">
        <v>60</v>
      </c>
      <c r="C3750" s="2" t="s">
        <v>37477</v>
      </c>
      <c r="D3750" s="2" t="s">
        <v>37478</v>
      </c>
      <c r="E3750" s="2" t="s">
        <v>37479</v>
      </c>
      <c r="G3750" s="3" t="s">
        <v>64</v>
      </c>
      <c r="I3750" s="3" t="s">
        <v>64</v>
      </c>
      <c r="J3750" s="3" t="s">
        <v>64</v>
      </c>
      <c r="K3750" s="3" t="s">
        <v>65</v>
      </c>
      <c r="L3750" s="2" t="s">
        <v>37480</v>
      </c>
      <c r="M3750" s="2" t="s">
        <v>37481</v>
      </c>
      <c r="N3750" s="3" t="s">
        <v>3047</v>
      </c>
      <c r="P3750" s="3" t="s">
        <v>102</v>
      </c>
      <c r="R3750" s="3" t="s">
        <v>70</v>
      </c>
      <c r="S3750" s="4">
        <v>38</v>
      </c>
      <c r="T3750" s="4">
        <v>38</v>
      </c>
      <c r="U3750" s="5" t="s">
        <v>37482</v>
      </c>
      <c r="V3750" s="5" t="s">
        <v>37482</v>
      </c>
      <c r="W3750" s="5" t="s">
        <v>72</v>
      </c>
      <c r="X3750" s="5" t="s">
        <v>72</v>
      </c>
      <c r="Y3750" s="4">
        <v>461</v>
      </c>
      <c r="Z3750" s="4">
        <v>32</v>
      </c>
      <c r="AA3750" s="4">
        <v>34</v>
      </c>
      <c r="AB3750" s="4">
        <v>3</v>
      </c>
      <c r="AC3750" s="4">
        <v>4</v>
      </c>
      <c r="AD3750" s="4">
        <v>124</v>
      </c>
      <c r="AE3750" s="4">
        <v>126</v>
      </c>
      <c r="AF3750" s="4">
        <v>2</v>
      </c>
      <c r="AG3750" s="4">
        <v>3</v>
      </c>
      <c r="AH3750" s="4">
        <v>104</v>
      </c>
      <c r="AI3750" s="4">
        <v>105</v>
      </c>
      <c r="AJ3750" s="4">
        <v>19</v>
      </c>
      <c r="AK3750" s="4">
        <v>21</v>
      </c>
      <c r="AL3750" s="4">
        <v>57</v>
      </c>
      <c r="AM3750" s="4">
        <v>57</v>
      </c>
      <c r="AN3750" s="4">
        <v>0</v>
      </c>
      <c r="AO3750" s="4">
        <v>0</v>
      </c>
      <c r="AP3750" s="4">
        <v>26</v>
      </c>
      <c r="AQ3750" s="4">
        <v>27</v>
      </c>
      <c r="AR3750" s="3" t="s">
        <v>64</v>
      </c>
      <c r="AS3750" s="3" t="s">
        <v>64</v>
      </c>
      <c r="AT3750" s="3" t="s">
        <v>64</v>
      </c>
      <c r="AV3750" s="6" t="str">
        <f>HYPERLINK("http://mcgill.on.worldcat.org/oclc/14187320","Catalog Record")</f>
        <v>Catalog Record</v>
      </c>
      <c r="AW3750" s="6" t="str">
        <f>HYPERLINK("http://www.worldcat.org/oclc/14187320","WorldCat Record")</f>
        <v>WorldCat Record</v>
      </c>
      <c r="AX3750" s="3" t="s">
        <v>37483</v>
      </c>
      <c r="AY3750" s="3" t="s">
        <v>37484</v>
      </c>
      <c r="AZ3750" s="3" t="s">
        <v>37485</v>
      </c>
      <c r="BA3750" s="3" t="s">
        <v>37485</v>
      </c>
      <c r="BB3750" s="3" t="s">
        <v>37486</v>
      </c>
      <c r="BC3750" s="3" t="s">
        <v>77</v>
      </c>
      <c r="BD3750" s="3" t="s">
        <v>78</v>
      </c>
      <c r="BE3750" s="3" t="s">
        <v>37487</v>
      </c>
      <c r="BF3750" s="3" t="s">
        <v>37486</v>
      </c>
      <c r="BG3750" s="3" t="s">
        <v>37488</v>
      </c>
      <c r="BH3750">
        <f t="shared" si="88"/>
        <v>0</v>
      </c>
    </row>
    <row r="3751" spans="1:60" ht="58" x14ac:dyDescent="0.35">
      <c r="A3751" s="2" t="s">
        <v>59</v>
      </c>
      <c r="B3751" s="2" t="s">
        <v>60</v>
      </c>
      <c r="C3751" s="2" t="s">
        <v>37489</v>
      </c>
      <c r="D3751" s="2" t="s">
        <v>37490</v>
      </c>
      <c r="E3751" s="2" t="s">
        <v>37491</v>
      </c>
      <c r="G3751" s="3" t="s">
        <v>64</v>
      </c>
      <c r="I3751" s="3" t="s">
        <v>64</v>
      </c>
      <c r="J3751" s="3" t="s">
        <v>64</v>
      </c>
      <c r="K3751" s="3" t="s">
        <v>65</v>
      </c>
      <c r="L3751" s="2" t="s">
        <v>37492</v>
      </c>
      <c r="M3751" s="2" t="s">
        <v>37493</v>
      </c>
      <c r="N3751" s="3" t="s">
        <v>1075</v>
      </c>
      <c r="O3751" s="2" t="s">
        <v>2149</v>
      </c>
      <c r="P3751" s="3" t="s">
        <v>102</v>
      </c>
      <c r="Q3751" s="2" t="s">
        <v>351</v>
      </c>
      <c r="R3751" s="3" t="s">
        <v>70</v>
      </c>
      <c r="S3751" s="4">
        <v>1</v>
      </c>
      <c r="T3751" s="4">
        <v>1</v>
      </c>
      <c r="U3751" s="5" t="s">
        <v>37494</v>
      </c>
      <c r="V3751" s="5" t="s">
        <v>37494</v>
      </c>
      <c r="W3751" s="5" t="s">
        <v>72</v>
      </c>
      <c r="X3751" s="5" t="s">
        <v>72</v>
      </c>
      <c r="Y3751" s="4">
        <v>195</v>
      </c>
      <c r="Z3751" s="4">
        <v>18</v>
      </c>
      <c r="AA3751" s="4">
        <v>30</v>
      </c>
      <c r="AB3751" s="4">
        <v>1</v>
      </c>
      <c r="AC3751" s="4">
        <v>6</v>
      </c>
      <c r="AD3751" s="4">
        <v>73</v>
      </c>
      <c r="AE3751" s="4">
        <v>96</v>
      </c>
      <c r="AF3751" s="4">
        <v>0</v>
      </c>
      <c r="AG3751" s="4">
        <v>2</v>
      </c>
      <c r="AH3751" s="4">
        <v>66</v>
      </c>
      <c r="AI3751" s="4">
        <v>84</v>
      </c>
      <c r="AJ3751" s="4">
        <v>11</v>
      </c>
      <c r="AK3751" s="4">
        <v>15</v>
      </c>
      <c r="AL3751" s="4">
        <v>43</v>
      </c>
      <c r="AM3751" s="4">
        <v>51</v>
      </c>
      <c r="AN3751" s="4">
        <v>0</v>
      </c>
      <c r="AO3751" s="4">
        <v>0</v>
      </c>
      <c r="AP3751" s="4">
        <v>13</v>
      </c>
      <c r="AQ3751" s="4">
        <v>19</v>
      </c>
      <c r="AR3751" s="3" t="s">
        <v>64</v>
      </c>
      <c r="AS3751" s="3" t="s">
        <v>64</v>
      </c>
      <c r="AT3751" s="3" t="s">
        <v>64</v>
      </c>
      <c r="AV3751" s="6" t="str">
        <f>HYPERLINK("http://mcgill.on.worldcat.org/oclc/818985472","Catalog Record")</f>
        <v>Catalog Record</v>
      </c>
      <c r="AW3751" s="6" t="str">
        <f>HYPERLINK("http://www.worldcat.org/oclc/818985472","WorldCat Record")</f>
        <v>WorldCat Record</v>
      </c>
      <c r="AX3751" s="3" t="s">
        <v>37495</v>
      </c>
      <c r="AY3751" s="3" t="s">
        <v>37496</v>
      </c>
      <c r="AZ3751" s="3" t="s">
        <v>37497</v>
      </c>
      <c r="BA3751" s="3" t="s">
        <v>37497</v>
      </c>
      <c r="BB3751" s="3" t="s">
        <v>37498</v>
      </c>
      <c r="BC3751" s="3" t="s">
        <v>77</v>
      </c>
      <c r="BD3751" s="3" t="s">
        <v>78</v>
      </c>
      <c r="BE3751" s="3" t="s">
        <v>37499</v>
      </c>
      <c r="BF3751" s="3" t="s">
        <v>37498</v>
      </c>
      <c r="BG3751" s="3" t="s">
        <v>37500</v>
      </c>
      <c r="BH3751">
        <f t="shared" si="88"/>
        <v>0</v>
      </c>
    </row>
    <row r="3752" spans="1:60" ht="58" x14ac:dyDescent="0.35">
      <c r="A3752" s="2" t="s">
        <v>59</v>
      </c>
      <c r="B3752" s="2" t="s">
        <v>60</v>
      </c>
      <c r="C3752" s="2" t="s">
        <v>37501</v>
      </c>
      <c r="D3752" s="2" t="s">
        <v>37502</v>
      </c>
      <c r="E3752" s="2" t="s">
        <v>37503</v>
      </c>
      <c r="G3752" s="3" t="s">
        <v>64</v>
      </c>
      <c r="I3752" s="3" t="s">
        <v>64</v>
      </c>
      <c r="J3752" s="3" t="s">
        <v>64</v>
      </c>
      <c r="K3752" s="3" t="s">
        <v>65</v>
      </c>
      <c r="L3752" s="2" t="s">
        <v>37504</v>
      </c>
      <c r="M3752" s="2" t="s">
        <v>37505</v>
      </c>
      <c r="N3752" s="3" t="s">
        <v>86</v>
      </c>
      <c r="P3752" s="3" t="s">
        <v>102</v>
      </c>
      <c r="R3752" s="3" t="s">
        <v>70</v>
      </c>
      <c r="S3752" s="4">
        <v>7</v>
      </c>
      <c r="T3752" s="4">
        <v>7</v>
      </c>
      <c r="U3752" s="5" t="s">
        <v>37506</v>
      </c>
      <c r="V3752" s="5" t="s">
        <v>37506</v>
      </c>
      <c r="W3752" s="5" t="s">
        <v>72</v>
      </c>
      <c r="X3752" s="5" t="s">
        <v>72</v>
      </c>
      <c r="Y3752" s="4">
        <v>365</v>
      </c>
      <c r="Z3752" s="4">
        <v>34</v>
      </c>
      <c r="AA3752" s="4">
        <v>137</v>
      </c>
      <c r="AB3752" s="4">
        <v>2</v>
      </c>
      <c r="AC3752" s="4">
        <v>18</v>
      </c>
      <c r="AD3752" s="4">
        <v>95</v>
      </c>
      <c r="AE3752" s="4">
        <v>148</v>
      </c>
      <c r="AF3752" s="4">
        <v>1</v>
      </c>
      <c r="AG3752" s="4">
        <v>8</v>
      </c>
      <c r="AH3752" s="4">
        <v>79</v>
      </c>
      <c r="AI3752" s="4">
        <v>103</v>
      </c>
      <c r="AJ3752" s="4">
        <v>18</v>
      </c>
      <c r="AK3752" s="4">
        <v>26</v>
      </c>
      <c r="AL3752" s="4">
        <v>47</v>
      </c>
      <c r="AM3752" s="4">
        <v>58</v>
      </c>
      <c r="AN3752" s="4">
        <v>0</v>
      </c>
      <c r="AO3752" s="4">
        <v>0</v>
      </c>
      <c r="AP3752" s="4">
        <v>24</v>
      </c>
      <c r="AQ3752" s="4">
        <v>52</v>
      </c>
      <c r="AR3752" s="3" t="s">
        <v>64</v>
      </c>
      <c r="AS3752" s="3" t="s">
        <v>64</v>
      </c>
      <c r="AT3752" s="3" t="s">
        <v>64</v>
      </c>
      <c r="AV3752" s="6" t="str">
        <f>HYPERLINK("http://mcgill.on.worldcat.org/oclc/755213261","Catalog Record")</f>
        <v>Catalog Record</v>
      </c>
      <c r="AW3752" s="6" t="str">
        <f>HYPERLINK("http://www.worldcat.org/oclc/755213261","WorldCat Record")</f>
        <v>WorldCat Record</v>
      </c>
      <c r="AX3752" s="3" t="s">
        <v>37507</v>
      </c>
      <c r="AY3752" s="3" t="s">
        <v>37508</v>
      </c>
      <c r="AZ3752" s="3" t="s">
        <v>37509</v>
      </c>
      <c r="BA3752" s="3" t="s">
        <v>37509</v>
      </c>
      <c r="BB3752" s="3" t="s">
        <v>37510</v>
      </c>
      <c r="BC3752" s="3" t="s">
        <v>77</v>
      </c>
      <c r="BD3752" s="3" t="s">
        <v>78</v>
      </c>
      <c r="BE3752" s="3" t="s">
        <v>37511</v>
      </c>
      <c r="BF3752" s="3" t="s">
        <v>37510</v>
      </c>
      <c r="BG3752" s="3" t="s">
        <v>37512</v>
      </c>
      <c r="BH3752">
        <f t="shared" si="88"/>
        <v>0</v>
      </c>
    </row>
    <row r="3753" spans="1:60" ht="58" x14ac:dyDescent="0.35">
      <c r="A3753" s="2" t="s">
        <v>59</v>
      </c>
      <c r="B3753" s="2" t="s">
        <v>60</v>
      </c>
      <c r="C3753" s="2" t="s">
        <v>37513</v>
      </c>
      <c r="D3753" s="2" t="s">
        <v>37514</v>
      </c>
      <c r="E3753" s="2" t="s">
        <v>37515</v>
      </c>
      <c r="G3753" s="3" t="s">
        <v>64</v>
      </c>
      <c r="I3753" s="3" t="s">
        <v>64</v>
      </c>
      <c r="J3753" s="3" t="s">
        <v>64</v>
      </c>
      <c r="K3753" s="3" t="s">
        <v>65</v>
      </c>
      <c r="M3753" s="2" t="s">
        <v>2304</v>
      </c>
      <c r="N3753" s="3" t="s">
        <v>101</v>
      </c>
      <c r="P3753" s="3" t="s">
        <v>102</v>
      </c>
      <c r="R3753" s="3" t="s">
        <v>70</v>
      </c>
      <c r="S3753" s="4">
        <v>17</v>
      </c>
      <c r="T3753" s="4">
        <v>17</v>
      </c>
      <c r="U3753" s="5" t="s">
        <v>9891</v>
      </c>
      <c r="V3753" s="5" t="s">
        <v>9891</v>
      </c>
      <c r="W3753" s="5" t="s">
        <v>72</v>
      </c>
      <c r="X3753" s="5" t="s">
        <v>72</v>
      </c>
      <c r="Y3753" s="4">
        <v>351</v>
      </c>
      <c r="Z3753" s="4">
        <v>26</v>
      </c>
      <c r="AA3753" s="4">
        <v>103</v>
      </c>
      <c r="AB3753" s="4">
        <v>2</v>
      </c>
      <c r="AC3753" s="4">
        <v>17</v>
      </c>
      <c r="AD3753" s="4">
        <v>106</v>
      </c>
      <c r="AE3753" s="4">
        <v>141</v>
      </c>
      <c r="AF3753" s="4">
        <v>1</v>
      </c>
      <c r="AG3753" s="4">
        <v>8</v>
      </c>
      <c r="AH3753" s="4">
        <v>94</v>
      </c>
      <c r="AI3753" s="4">
        <v>105</v>
      </c>
      <c r="AJ3753" s="4">
        <v>16</v>
      </c>
      <c r="AK3753" s="4">
        <v>24</v>
      </c>
      <c r="AL3753" s="4">
        <v>52</v>
      </c>
      <c r="AM3753" s="4">
        <v>57</v>
      </c>
      <c r="AN3753" s="4">
        <v>0</v>
      </c>
      <c r="AO3753" s="4">
        <v>0</v>
      </c>
      <c r="AP3753" s="4">
        <v>20</v>
      </c>
      <c r="AQ3753" s="4">
        <v>46</v>
      </c>
      <c r="AR3753" s="3" t="s">
        <v>64</v>
      </c>
      <c r="AS3753" s="3" t="s">
        <v>64</v>
      </c>
      <c r="AT3753" s="3" t="s">
        <v>64</v>
      </c>
      <c r="AV3753" s="6" t="str">
        <f>HYPERLINK("http://mcgill.on.worldcat.org/oclc/51020273","Catalog Record")</f>
        <v>Catalog Record</v>
      </c>
      <c r="AW3753" s="6" t="str">
        <f>HYPERLINK("http://www.worldcat.org/oclc/51020273","WorldCat Record")</f>
        <v>WorldCat Record</v>
      </c>
      <c r="AX3753" s="3" t="s">
        <v>37516</v>
      </c>
      <c r="AY3753" s="3" t="s">
        <v>37517</v>
      </c>
      <c r="AZ3753" s="3" t="s">
        <v>37518</v>
      </c>
      <c r="BA3753" s="3" t="s">
        <v>37518</v>
      </c>
      <c r="BB3753" s="3" t="s">
        <v>37519</v>
      </c>
      <c r="BC3753" s="3" t="s">
        <v>77</v>
      </c>
      <c r="BD3753" s="3" t="s">
        <v>78</v>
      </c>
      <c r="BE3753" s="3" t="s">
        <v>37520</v>
      </c>
      <c r="BF3753" s="3" t="s">
        <v>37519</v>
      </c>
      <c r="BG3753" s="3" t="s">
        <v>37521</v>
      </c>
      <c r="BH3753">
        <f t="shared" si="88"/>
        <v>0</v>
      </c>
    </row>
    <row r="3754" spans="1:60" ht="58" x14ac:dyDescent="0.35">
      <c r="A3754" s="2" t="s">
        <v>59</v>
      </c>
      <c r="B3754" s="2" t="s">
        <v>60</v>
      </c>
      <c r="C3754" s="2" t="s">
        <v>37522</v>
      </c>
      <c r="D3754" s="2" t="s">
        <v>37523</v>
      </c>
      <c r="E3754" s="2" t="s">
        <v>37524</v>
      </c>
      <c r="G3754" s="3" t="s">
        <v>64</v>
      </c>
      <c r="I3754" s="3" t="s">
        <v>64</v>
      </c>
      <c r="J3754" s="3" t="s">
        <v>64</v>
      </c>
      <c r="K3754" s="3" t="s">
        <v>65</v>
      </c>
      <c r="L3754" s="2" t="s">
        <v>37525</v>
      </c>
      <c r="M3754" s="2" t="s">
        <v>37526</v>
      </c>
      <c r="N3754" s="3" t="s">
        <v>86</v>
      </c>
      <c r="P3754" s="3" t="s">
        <v>102</v>
      </c>
      <c r="R3754" s="3" t="s">
        <v>70</v>
      </c>
      <c r="S3754" s="4">
        <v>0</v>
      </c>
      <c r="T3754" s="4">
        <v>0</v>
      </c>
      <c r="W3754" s="5" t="s">
        <v>72</v>
      </c>
      <c r="X3754" s="5" t="s">
        <v>72</v>
      </c>
      <c r="Y3754" s="4">
        <v>37</v>
      </c>
      <c r="Z3754" s="4">
        <v>5</v>
      </c>
      <c r="AA3754" s="4">
        <v>78</v>
      </c>
      <c r="AB3754" s="4">
        <v>1</v>
      </c>
      <c r="AC3754" s="4">
        <v>16</v>
      </c>
      <c r="AD3754" s="4">
        <v>17</v>
      </c>
      <c r="AE3754" s="4">
        <v>108</v>
      </c>
      <c r="AF3754" s="4">
        <v>0</v>
      </c>
      <c r="AG3754" s="4">
        <v>8</v>
      </c>
      <c r="AH3754" s="4">
        <v>16</v>
      </c>
      <c r="AI3754" s="4">
        <v>78</v>
      </c>
      <c r="AJ3754" s="4">
        <v>4</v>
      </c>
      <c r="AK3754" s="4">
        <v>22</v>
      </c>
      <c r="AL3754" s="4">
        <v>11</v>
      </c>
      <c r="AM3754" s="4">
        <v>45</v>
      </c>
      <c r="AN3754" s="4">
        <v>0</v>
      </c>
      <c r="AO3754" s="4">
        <v>0</v>
      </c>
      <c r="AP3754" s="4">
        <v>4</v>
      </c>
      <c r="AQ3754" s="4">
        <v>38</v>
      </c>
      <c r="AR3754" s="3" t="s">
        <v>64</v>
      </c>
      <c r="AS3754" s="3" t="s">
        <v>64</v>
      </c>
      <c r="AT3754" s="3" t="s">
        <v>64</v>
      </c>
      <c r="AV3754" s="6" t="str">
        <f>HYPERLINK("http://mcgill.on.worldcat.org/oclc/779881506","Catalog Record")</f>
        <v>Catalog Record</v>
      </c>
      <c r="AW3754" s="6" t="str">
        <f>HYPERLINK("http://www.worldcat.org/oclc/779881506","WorldCat Record")</f>
        <v>WorldCat Record</v>
      </c>
      <c r="AX3754" s="3" t="s">
        <v>37527</v>
      </c>
      <c r="AY3754" s="3" t="s">
        <v>37528</v>
      </c>
      <c r="AZ3754" s="3" t="s">
        <v>37529</v>
      </c>
      <c r="BA3754" s="3" t="s">
        <v>37529</v>
      </c>
      <c r="BB3754" s="3" t="s">
        <v>37530</v>
      </c>
      <c r="BC3754" s="3" t="s">
        <v>77</v>
      </c>
      <c r="BD3754" s="3" t="s">
        <v>78</v>
      </c>
      <c r="BE3754" s="3" t="s">
        <v>37531</v>
      </c>
      <c r="BF3754" s="3" t="s">
        <v>37530</v>
      </c>
      <c r="BG3754" s="3" t="s">
        <v>37532</v>
      </c>
      <c r="BH3754">
        <f t="shared" si="88"/>
        <v>0</v>
      </c>
    </row>
    <row r="3755" spans="1:60" ht="58" x14ac:dyDescent="0.35">
      <c r="A3755" s="2" t="s">
        <v>59</v>
      </c>
      <c r="B3755" s="2" t="s">
        <v>60</v>
      </c>
      <c r="C3755" s="2" t="s">
        <v>37533</v>
      </c>
      <c r="D3755" s="2" t="s">
        <v>37534</v>
      </c>
      <c r="E3755" s="2" t="s">
        <v>37535</v>
      </c>
      <c r="G3755" s="3" t="s">
        <v>64</v>
      </c>
      <c r="I3755" s="3" t="s">
        <v>128</v>
      </c>
      <c r="J3755" s="3" t="s">
        <v>64</v>
      </c>
      <c r="K3755" s="3" t="s">
        <v>65</v>
      </c>
      <c r="L3755" s="2" t="s">
        <v>37536</v>
      </c>
      <c r="M3755" s="2" t="s">
        <v>37537</v>
      </c>
      <c r="N3755" s="3" t="s">
        <v>144</v>
      </c>
      <c r="P3755" s="3" t="s">
        <v>102</v>
      </c>
      <c r="Q3755" s="2" t="s">
        <v>351</v>
      </c>
      <c r="R3755" s="3" t="s">
        <v>70</v>
      </c>
      <c r="S3755" s="4">
        <v>20</v>
      </c>
      <c r="T3755" s="4">
        <v>24</v>
      </c>
      <c r="U3755" s="5" t="s">
        <v>2411</v>
      </c>
      <c r="V3755" s="5" t="s">
        <v>2411</v>
      </c>
      <c r="W3755" s="5" t="s">
        <v>72</v>
      </c>
      <c r="X3755" s="5" t="s">
        <v>72</v>
      </c>
      <c r="Y3755" s="4">
        <v>357</v>
      </c>
      <c r="Z3755" s="4">
        <v>30</v>
      </c>
      <c r="AA3755" s="4">
        <v>47</v>
      </c>
      <c r="AB3755" s="4">
        <v>1</v>
      </c>
      <c r="AC3755" s="4">
        <v>4</v>
      </c>
      <c r="AD3755" s="4">
        <v>109</v>
      </c>
      <c r="AE3755" s="4">
        <v>127</v>
      </c>
      <c r="AF3755" s="4">
        <v>0</v>
      </c>
      <c r="AG3755" s="4">
        <v>0</v>
      </c>
      <c r="AH3755" s="4">
        <v>93</v>
      </c>
      <c r="AI3755" s="4">
        <v>104</v>
      </c>
      <c r="AJ3755" s="4">
        <v>20</v>
      </c>
      <c r="AK3755" s="4">
        <v>20</v>
      </c>
      <c r="AL3755" s="4">
        <v>52</v>
      </c>
      <c r="AM3755" s="4">
        <v>60</v>
      </c>
      <c r="AN3755" s="4">
        <v>0</v>
      </c>
      <c r="AO3755" s="4">
        <v>0</v>
      </c>
      <c r="AP3755" s="4">
        <v>24</v>
      </c>
      <c r="AQ3755" s="4">
        <v>31</v>
      </c>
      <c r="AR3755" s="3" t="s">
        <v>64</v>
      </c>
      <c r="AS3755" s="3" t="s">
        <v>64</v>
      </c>
      <c r="AT3755" s="3" t="s">
        <v>64</v>
      </c>
      <c r="AV3755" s="6" t="str">
        <f>HYPERLINK("http://mcgill.on.worldcat.org/oclc/154800578","Catalog Record")</f>
        <v>Catalog Record</v>
      </c>
      <c r="AW3755" s="6" t="str">
        <f>HYPERLINK("http://www.worldcat.org/oclc/154800578","WorldCat Record")</f>
        <v>WorldCat Record</v>
      </c>
      <c r="AX3755" s="3" t="s">
        <v>37538</v>
      </c>
      <c r="AY3755" s="3" t="s">
        <v>37539</v>
      </c>
      <c r="AZ3755" s="3" t="s">
        <v>37540</v>
      </c>
      <c r="BA3755" s="3" t="s">
        <v>37540</v>
      </c>
      <c r="BB3755" s="3" t="s">
        <v>37541</v>
      </c>
      <c r="BC3755" s="3" t="s">
        <v>77</v>
      </c>
      <c r="BD3755" s="3" t="s">
        <v>78</v>
      </c>
      <c r="BE3755" s="3" t="s">
        <v>37542</v>
      </c>
      <c r="BF3755" s="3" t="s">
        <v>37541</v>
      </c>
      <c r="BG3755" s="3" t="s">
        <v>37543</v>
      </c>
      <c r="BH3755">
        <f t="shared" si="88"/>
        <v>0</v>
      </c>
    </row>
    <row r="3756" spans="1:60" ht="58" x14ac:dyDescent="0.35">
      <c r="A3756" s="2" t="s">
        <v>59</v>
      </c>
      <c r="B3756" s="2" t="s">
        <v>60</v>
      </c>
      <c r="C3756" s="2" t="s">
        <v>37544</v>
      </c>
      <c r="D3756" s="2" t="s">
        <v>37545</v>
      </c>
      <c r="E3756" s="2" t="s">
        <v>37546</v>
      </c>
      <c r="G3756" s="3" t="s">
        <v>64</v>
      </c>
      <c r="I3756" s="3" t="s">
        <v>64</v>
      </c>
      <c r="J3756" s="3" t="s">
        <v>64</v>
      </c>
      <c r="K3756" s="3" t="s">
        <v>65</v>
      </c>
      <c r="L3756" s="2" t="s">
        <v>37547</v>
      </c>
      <c r="M3756" s="2" t="s">
        <v>37548</v>
      </c>
      <c r="N3756" s="3" t="s">
        <v>116</v>
      </c>
      <c r="P3756" s="3" t="s">
        <v>102</v>
      </c>
      <c r="Q3756" s="2" t="s">
        <v>37549</v>
      </c>
      <c r="R3756" s="3" t="s">
        <v>70</v>
      </c>
      <c r="S3756" s="4">
        <v>12</v>
      </c>
      <c r="T3756" s="4">
        <v>12</v>
      </c>
      <c r="U3756" s="5" t="s">
        <v>2411</v>
      </c>
      <c r="V3756" s="5" t="s">
        <v>2411</v>
      </c>
      <c r="W3756" s="5" t="s">
        <v>72</v>
      </c>
      <c r="X3756" s="5" t="s">
        <v>72</v>
      </c>
      <c r="Y3756" s="4">
        <v>222</v>
      </c>
      <c r="Z3756" s="4">
        <v>23</v>
      </c>
      <c r="AA3756" s="4">
        <v>24</v>
      </c>
      <c r="AB3756" s="4">
        <v>2</v>
      </c>
      <c r="AC3756" s="4">
        <v>2</v>
      </c>
      <c r="AD3756" s="4">
        <v>94</v>
      </c>
      <c r="AE3756" s="4">
        <v>95</v>
      </c>
      <c r="AF3756" s="4">
        <v>0</v>
      </c>
      <c r="AG3756" s="4">
        <v>0</v>
      </c>
      <c r="AH3756" s="4">
        <v>82</v>
      </c>
      <c r="AI3756" s="4">
        <v>83</v>
      </c>
      <c r="AJ3756" s="4">
        <v>16</v>
      </c>
      <c r="AK3756" s="4">
        <v>17</v>
      </c>
      <c r="AL3756" s="4">
        <v>46</v>
      </c>
      <c r="AM3756" s="4">
        <v>46</v>
      </c>
      <c r="AN3756" s="4">
        <v>0</v>
      </c>
      <c r="AO3756" s="4">
        <v>0</v>
      </c>
      <c r="AP3756" s="4">
        <v>19</v>
      </c>
      <c r="AQ3756" s="4">
        <v>20</v>
      </c>
      <c r="AR3756" s="3" t="s">
        <v>64</v>
      </c>
      <c r="AS3756" s="3" t="s">
        <v>128</v>
      </c>
      <c r="AT3756" s="3" t="s">
        <v>64</v>
      </c>
      <c r="AU3756" s="6" t="str">
        <f>HYPERLINK("http://catalog.hathitrust.org/Record/004229585","HathiTrust Record")</f>
        <v>HathiTrust Record</v>
      </c>
      <c r="AV3756" s="6" t="str">
        <f>HYPERLINK("http://mcgill.on.worldcat.org/oclc/47797809","Catalog Record")</f>
        <v>Catalog Record</v>
      </c>
      <c r="AW3756" s="6" t="str">
        <f>HYPERLINK("http://www.worldcat.org/oclc/47797809","WorldCat Record")</f>
        <v>WorldCat Record</v>
      </c>
      <c r="AX3756" s="3" t="s">
        <v>37550</v>
      </c>
      <c r="AY3756" s="3" t="s">
        <v>37551</v>
      </c>
      <c r="AZ3756" s="3" t="s">
        <v>37552</v>
      </c>
      <c r="BA3756" s="3" t="s">
        <v>37552</v>
      </c>
      <c r="BB3756" s="3" t="s">
        <v>37553</v>
      </c>
      <c r="BC3756" s="3" t="s">
        <v>77</v>
      </c>
      <c r="BD3756" s="3" t="s">
        <v>78</v>
      </c>
      <c r="BE3756" s="3" t="s">
        <v>37554</v>
      </c>
      <c r="BF3756" s="3" t="s">
        <v>37553</v>
      </c>
      <c r="BG3756" s="3" t="s">
        <v>37555</v>
      </c>
      <c r="BH3756">
        <f t="shared" si="88"/>
        <v>0</v>
      </c>
    </row>
    <row r="3757" spans="1:60" ht="58" x14ac:dyDescent="0.35">
      <c r="A3757" s="2" t="s">
        <v>59</v>
      </c>
      <c r="B3757" s="2" t="s">
        <v>60</v>
      </c>
      <c r="C3757" s="2" t="s">
        <v>37556</v>
      </c>
      <c r="D3757" s="2" t="s">
        <v>37557</v>
      </c>
      <c r="E3757" s="2" t="s">
        <v>37558</v>
      </c>
      <c r="G3757" s="3" t="s">
        <v>64</v>
      </c>
      <c r="I3757" s="3" t="s">
        <v>64</v>
      </c>
      <c r="J3757" s="3" t="s">
        <v>64</v>
      </c>
      <c r="K3757" s="3" t="s">
        <v>65</v>
      </c>
      <c r="M3757" s="2" t="s">
        <v>37559</v>
      </c>
      <c r="N3757" s="3" t="s">
        <v>537</v>
      </c>
      <c r="P3757" s="3" t="s">
        <v>102</v>
      </c>
      <c r="Q3757" s="2" t="s">
        <v>2138</v>
      </c>
      <c r="R3757" s="3" t="s">
        <v>70</v>
      </c>
      <c r="S3757" s="4">
        <v>1</v>
      </c>
      <c r="T3757" s="4">
        <v>1</v>
      </c>
      <c r="U3757" s="5" t="s">
        <v>2411</v>
      </c>
      <c r="V3757" s="5" t="s">
        <v>2411</v>
      </c>
      <c r="W3757" s="5" t="s">
        <v>72</v>
      </c>
      <c r="X3757" s="5" t="s">
        <v>72</v>
      </c>
      <c r="Y3757" s="4">
        <v>72</v>
      </c>
      <c r="Z3757" s="4">
        <v>8</v>
      </c>
      <c r="AA3757" s="4">
        <v>17</v>
      </c>
      <c r="AB3757" s="4">
        <v>1</v>
      </c>
      <c r="AC3757" s="4">
        <v>5</v>
      </c>
      <c r="AD3757" s="4">
        <v>34</v>
      </c>
      <c r="AE3757" s="4">
        <v>54</v>
      </c>
      <c r="AF3757" s="4">
        <v>0</v>
      </c>
      <c r="AG3757" s="4">
        <v>2</v>
      </c>
      <c r="AH3757" s="4">
        <v>30</v>
      </c>
      <c r="AI3757" s="4">
        <v>46</v>
      </c>
      <c r="AJ3757" s="4">
        <v>5</v>
      </c>
      <c r="AK3757" s="4">
        <v>10</v>
      </c>
      <c r="AL3757" s="4">
        <v>24</v>
      </c>
      <c r="AM3757" s="4">
        <v>30</v>
      </c>
      <c r="AN3757" s="4">
        <v>0</v>
      </c>
      <c r="AO3757" s="4">
        <v>0</v>
      </c>
      <c r="AP3757" s="4">
        <v>6</v>
      </c>
      <c r="AQ3757" s="4">
        <v>13</v>
      </c>
      <c r="AR3757" s="3" t="s">
        <v>64</v>
      </c>
      <c r="AS3757" s="3" t="s">
        <v>64</v>
      </c>
      <c r="AT3757" s="3" t="s">
        <v>64</v>
      </c>
      <c r="AV3757" s="6" t="str">
        <f>HYPERLINK("http://mcgill.on.worldcat.org/oclc/946067211","Catalog Record")</f>
        <v>Catalog Record</v>
      </c>
      <c r="AW3757" s="6" t="str">
        <f>HYPERLINK("http://www.worldcat.org/oclc/946067211","WorldCat Record")</f>
        <v>WorldCat Record</v>
      </c>
      <c r="AX3757" s="3" t="s">
        <v>37560</v>
      </c>
      <c r="AY3757" s="3" t="s">
        <v>37561</v>
      </c>
      <c r="AZ3757" s="3" t="s">
        <v>37562</v>
      </c>
      <c r="BA3757" s="3" t="s">
        <v>37562</v>
      </c>
      <c r="BB3757" s="3" t="s">
        <v>37563</v>
      </c>
      <c r="BC3757" s="3" t="s">
        <v>77</v>
      </c>
      <c r="BD3757" s="3" t="s">
        <v>78</v>
      </c>
      <c r="BE3757" s="3" t="s">
        <v>37564</v>
      </c>
      <c r="BF3757" s="3" t="s">
        <v>37563</v>
      </c>
      <c r="BG3757" s="3" t="s">
        <v>37565</v>
      </c>
      <c r="BH3757">
        <f t="shared" si="88"/>
        <v>0</v>
      </c>
    </row>
    <row r="3758" spans="1:60" ht="58" x14ac:dyDescent="0.35">
      <c r="A3758" s="2" t="s">
        <v>59</v>
      </c>
      <c r="B3758" s="2" t="s">
        <v>60</v>
      </c>
      <c r="C3758" s="2" t="s">
        <v>37566</v>
      </c>
      <c r="D3758" s="2" t="s">
        <v>37567</v>
      </c>
      <c r="E3758" s="2" t="s">
        <v>37568</v>
      </c>
      <c r="G3758" s="3" t="s">
        <v>64</v>
      </c>
      <c r="I3758" s="3" t="s">
        <v>64</v>
      </c>
      <c r="J3758" s="3" t="s">
        <v>64</v>
      </c>
      <c r="K3758" s="3" t="s">
        <v>65</v>
      </c>
      <c r="L3758" s="2" t="s">
        <v>37569</v>
      </c>
      <c r="M3758" s="2" t="s">
        <v>37570</v>
      </c>
      <c r="N3758" s="3" t="s">
        <v>511</v>
      </c>
      <c r="P3758" s="3" t="s">
        <v>102</v>
      </c>
      <c r="Q3758" s="2" t="s">
        <v>37571</v>
      </c>
      <c r="R3758" s="3" t="s">
        <v>70</v>
      </c>
      <c r="S3758" s="4">
        <v>3</v>
      </c>
      <c r="T3758" s="4">
        <v>3</v>
      </c>
      <c r="U3758" s="5" t="s">
        <v>19233</v>
      </c>
      <c r="V3758" s="5" t="s">
        <v>19233</v>
      </c>
      <c r="W3758" s="5" t="s">
        <v>72</v>
      </c>
      <c r="X3758" s="5" t="s">
        <v>72</v>
      </c>
      <c r="Y3758" s="4">
        <v>91</v>
      </c>
      <c r="Z3758" s="4">
        <v>14</v>
      </c>
      <c r="AA3758" s="4">
        <v>97</v>
      </c>
      <c r="AB3758" s="4">
        <v>1</v>
      </c>
      <c r="AC3758" s="4">
        <v>17</v>
      </c>
      <c r="AD3758" s="4">
        <v>43</v>
      </c>
      <c r="AE3758" s="4">
        <v>116</v>
      </c>
      <c r="AF3758" s="4">
        <v>0</v>
      </c>
      <c r="AG3758" s="4">
        <v>8</v>
      </c>
      <c r="AH3758" s="4">
        <v>38</v>
      </c>
      <c r="AI3758" s="4">
        <v>80</v>
      </c>
      <c r="AJ3758" s="4">
        <v>10</v>
      </c>
      <c r="AK3758" s="4">
        <v>22</v>
      </c>
      <c r="AL3758" s="4">
        <v>22</v>
      </c>
      <c r="AM3758" s="4">
        <v>41</v>
      </c>
      <c r="AN3758" s="4">
        <v>0</v>
      </c>
      <c r="AO3758" s="4">
        <v>0</v>
      </c>
      <c r="AP3758" s="4">
        <v>11</v>
      </c>
      <c r="AQ3758" s="4">
        <v>43</v>
      </c>
      <c r="AR3758" s="3" t="s">
        <v>64</v>
      </c>
      <c r="AS3758" s="3" t="s">
        <v>64</v>
      </c>
      <c r="AT3758" s="3" t="s">
        <v>64</v>
      </c>
      <c r="AV3758" s="6" t="str">
        <f>HYPERLINK("http://mcgill.on.worldcat.org/oclc/647218880","Catalog Record")</f>
        <v>Catalog Record</v>
      </c>
      <c r="AW3758" s="6" t="str">
        <f>HYPERLINK("http://www.worldcat.org/oclc/647218880","WorldCat Record")</f>
        <v>WorldCat Record</v>
      </c>
      <c r="AX3758" s="3" t="s">
        <v>37572</v>
      </c>
      <c r="AY3758" s="3" t="s">
        <v>37573</v>
      </c>
      <c r="AZ3758" s="3" t="s">
        <v>37574</v>
      </c>
      <c r="BA3758" s="3" t="s">
        <v>37574</v>
      </c>
      <c r="BB3758" s="3" t="s">
        <v>37575</v>
      </c>
      <c r="BC3758" s="3" t="s">
        <v>77</v>
      </c>
      <c r="BD3758" s="3" t="s">
        <v>78</v>
      </c>
      <c r="BE3758" s="3" t="s">
        <v>37576</v>
      </c>
      <c r="BF3758" s="3" t="s">
        <v>37575</v>
      </c>
      <c r="BG3758" s="3" t="s">
        <v>37577</v>
      </c>
      <c r="BH3758">
        <f t="shared" si="88"/>
        <v>0</v>
      </c>
    </row>
    <row r="3759" spans="1:60" ht="58" x14ac:dyDescent="0.35">
      <c r="A3759" s="2" t="s">
        <v>59</v>
      </c>
      <c r="B3759" s="2" t="s">
        <v>60</v>
      </c>
      <c r="C3759" s="2" t="s">
        <v>37578</v>
      </c>
      <c r="D3759" s="2" t="s">
        <v>37579</v>
      </c>
      <c r="E3759" s="2" t="s">
        <v>37580</v>
      </c>
      <c r="G3759" s="3" t="s">
        <v>64</v>
      </c>
      <c r="I3759" s="3" t="s">
        <v>64</v>
      </c>
      <c r="J3759" s="3" t="s">
        <v>64</v>
      </c>
      <c r="K3759" s="3" t="s">
        <v>65</v>
      </c>
      <c r="M3759" s="2" t="s">
        <v>37424</v>
      </c>
      <c r="N3759" s="3" t="s">
        <v>511</v>
      </c>
      <c r="P3759" s="3" t="s">
        <v>102</v>
      </c>
      <c r="R3759" s="3" t="s">
        <v>70</v>
      </c>
      <c r="S3759" s="4">
        <v>6</v>
      </c>
      <c r="T3759" s="4">
        <v>6</v>
      </c>
      <c r="U3759" s="5" t="s">
        <v>2789</v>
      </c>
      <c r="V3759" s="5" t="s">
        <v>2789</v>
      </c>
      <c r="W3759" s="5" t="s">
        <v>72</v>
      </c>
      <c r="X3759" s="5" t="s">
        <v>72</v>
      </c>
      <c r="Y3759" s="4">
        <v>173</v>
      </c>
      <c r="Z3759" s="4">
        <v>19</v>
      </c>
      <c r="AA3759" s="4">
        <v>20</v>
      </c>
      <c r="AB3759" s="4">
        <v>1</v>
      </c>
      <c r="AC3759" s="4">
        <v>1</v>
      </c>
      <c r="AD3759" s="4">
        <v>71</v>
      </c>
      <c r="AE3759" s="4">
        <v>71</v>
      </c>
      <c r="AF3759" s="4">
        <v>0</v>
      </c>
      <c r="AG3759" s="4">
        <v>0</v>
      </c>
      <c r="AH3759" s="4">
        <v>62</v>
      </c>
      <c r="AI3759" s="4">
        <v>62</v>
      </c>
      <c r="AJ3759" s="4">
        <v>13</v>
      </c>
      <c r="AK3759" s="4">
        <v>13</v>
      </c>
      <c r="AL3759" s="4">
        <v>40</v>
      </c>
      <c r="AM3759" s="4">
        <v>40</v>
      </c>
      <c r="AN3759" s="4">
        <v>0</v>
      </c>
      <c r="AO3759" s="4">
        <v>0</v>
      </c>
      <c r="AP3759" s="4">
        <v>15</v>
      </c>
      <c r="AQ3759" s="4">
        <v>15</v>
      </c>
      <c r="AR3759" s="3" t="s">
        <v>64</v>
      </c>
      <c r="AS3759" s="3" t="s">
        <v>64</v>
      </c>
      <c r="AT3759" s="3" t="s">
        <v>64</v>
      </c>
      <c r="AV3759" s="6" t="str">
        <f>HYPERLINK("http://mcgill.on.worldcat.org/oclc/422765082","Catalog Record")</f>
        <v>Catalog Record</v>
      </c>
      <c r="AW3759" s="6" t="str">
        <f>HYPERLINK("http://www.worldcat.org/oclc/422765082","WorldCat Record")</f>
        <v>WorldCat Record</v>
      </c>
      <c r="AX3759" s="3" t="s">
        <v>37581</v>
      </c>
      <c r="AY3759" s="3" t="s">
        <v>37582</v>
      </c>
      <c r="AZ3759" s="3" t="s">
        <v>37583</v>
      </c>
      <c r="BA3759" s="3" t="s">
        <v>37583</v>
      </c>
      <c r="BB3759" s="3" t="s">
        <v>37584</v>
      </c>
      <c r="BC3759" s="3" t="s">
        <v>77</v>
      </c>
      <c r="BD3759" s="3" t="s">
        <v>165</v>
      </c>
      <c r="BE3759" s="3" t="s">
        <v>37585</v>
      </c>
      <c r="BF3759" s="3" t="s">
        <v>37584</v>
      </c>
      <c r="BG3759" s="3" t="s">
        <v>37586</v>
      </c>
      <c r="BH3759">
        <f t="shared" si="88"/>
        <v>0</v>
      </c>
    </row>
    <row r="3760" spans="1:60" ht="58" x14ac:dyDescent="0.35">
      <c r="A3760" s="2" t="s">
        <v>59</v>
      </c>
      <c r="B3760" s="2" t="s">
        <v>60</v>
      </c>
      <c r="C3760" s="2" t="s">
        <v>37587</v>
      </c>
      <c r="D3760" s="2" t="s">
        <v>37588</v>
      </c>
      <c r="E3760" s="2" t="s">
        <v>37589</v>
      </c>
      <c r="G3760" s="3" t="s">
        <v>64</v>
      </c>
      <c r="I3760" s="3" t="s">
        <v>64</v>
      </c>
      <c r="J3760" s="3" t="s">
        <v>64</v>
      </c>
      <c r="K3760" s="3" t="s">
        <v>65</v>
      </c>
      <c r="L3760" s="2" t="s">
        <v>37590</v>
      </c>
      <c r="M3760" s="2" t="s">
        <v>37591</v>
      </c>
      <c r="N3760" s="3" t="s">
        <v>578</v>
      </c>
      <c r="P3760" s="3" t="s">
        <v>102</v>
      </c>
      <c r="Q3760" s="2" t="s">
        <v>37592</v>
      </c>
      <c r="R3760" s="3" t="s">
        <v>70</v>
      </c>
      <c r="S3760" s="4">
        <v>2</v>
      </c>
      <c r="T3760" s="4">
        <v>2</v>
      </c>
      <c r="U3760" s="5" t="s">
        <v>20478</v>
      </c>
      <c r="V3760" s="5" t="s">
        <v>20478</v>
      </c>
      <c r="W3760" s="5" t="s">
        <v>72</v>
      </c>
      <c r="X3760" s="5" t="s">
        <v>72</v>
      </c>
      <c r="Y3760" s="4">
        <v>367</v>
      </c>
      <c r="Z3760" s="4">
        <v>15</v>
      </c>
      <c r="AA3760" s="4">
        <v>32</v>
      </c>
      <c r="AB3760" s="4">
        <v>4</v>
      </c>
      <c r="AC3760" s="4">
        <v>12</v>
      </c>
      <c r="AD3760" s="4">
        <v>63</v>
      </c>
      <c r="AE3760" s="4">
        <v>94</v>
      </c>
      <c r="AF3760" s="4">
        <v>1</v>
      </c>
      <c r="AG3760" s="4">
        <v>5</v>
      </c>
      <c r="AH3760" s="4">
        <v>56</v>
      </c>
      <c r="AI3760" s="4">
        <v>79</v>
      </c>
      <c r="AJ3760" s="4">
        <v>5</v>
      </c>
      <c r="AK3760" s="4">
        <v>14</v>
      </c>
      <c r="AL3760" s="4">
        <v>40</v>
      </c>
      <c r="AM3760" s="4">
        <v>50</v>
      </c>
      <c r="AN3760" s="4">
        <v>0</v>
      </c>
      <c r="AO3760" s="4">
        <v>0</v>
      </c>
      <c r="AP3760" s="4">
        <v>7</v>
      </c>
      <c r="AQ3760" s="4">
        <v>19</v>
      </c>
      <c r="AR3760" s="3" t="s">
        <v>64</v>
      </c>
      <c r="AS3760" s="3" t="s">
        <v>64</v>
      </c>
      <c r="AT3760" s="3" t="s">
        <v>64</v>
      </c>
      <c r="AV3760" s="6" t="str">
        <f>HYPERLINK("http://mcgill.on.worldcat.org/oclc/961310989","Catalog Record")</f>
        <v>Catalog Record</v>
      </c>
      <c r="AW3760" s="6" t="str">
        <f>HYPERLINK("http://www.worldcat.org/oclc/961310989","WorldCat Record")</f>
        <v>WorldCat Record</v>
      </c>
      <c r="AX3760" s="3" t="s">
        <v>37593</v>
      </c>
      <c r="AY3760" s="3" t="s">
        <v>37594</v>
      </c>
      <c r="AZ3760" s="3" t="s">
        <v>37595</v>
      </c>
      <c r="BA3760" s="3" t="s">
        <v>37595</v>
      </c>
      <c r="BB3760" s="3" t="s">
        <v>37596</v>
      </c>
      <c r="BC3760" s="3" t="s">
        <v>77</v>
      </c>
      <c r="BD3760" s="3" t="s">
        <v>78</v>
      </c>
      <c r="BE3760" s="3" t="s">
        <v>37597</v>
      </c>
      <c r="BF3760" s="3" t="s">
        <v>37596</v>
      </c>
      <c r="BG3760" s="3" t="s">
        <v>37598</v>
      </c>
      <c r="BH3760">
        <f t="shared" si="88"/>
        <v>0</v>
      </c>
    </row>
    <row r="3761" spans="1:60" ht="58" x14ac:dyDescent="0.35">
      <c r="A3761" s="2" t="s">
        <v>59</v>
      </c>
      <c r="B3761" s="2" t="s">
        <v>60</v>
      </c>
      <c r="C3761" s="2" t="s">
        <v>37599</v>
      </c>
      <c r="D3761" s="2" t="s">
        <v>37600</v>
      </c>
      <c r="E3761" s="2" t="s">
        <v>37601</v>
      </c>
      <c r="G3761" s="3" t="s">
        <v>64</v>
      </c>
      <c r="I3761" s="3" t="s">
        <v>128</v>
      </c>
      <c r="J3761" s="3" t="s">
        <v>64</v>
      </c>
      <c r="K3761" s="3" t="s">
        <v>183</v>
      </c>
      <c r="L3761" s="2" t="s">
        <v>37602</v>
      </c>
      <c r="M3761" s="2" t="s">
        <v>37603</v>
      </c>
      <c r="N3761" s="3" t="s">
        <v>1263</v>
      </c>
      <c r="P3761" s="3" t="s">
        <v>102</v>
      </c>
      <c r="Q3761" s="2" t="s">
        <v>37604</v>
      </c>
      <c r="R3761" s="3" t="s">
        <v>70</v>
      </c>
      <c r="S3761" s="4">
        <v>2</v>
      </c>
      <c r="T3761" s="4">
        <v>2</v>
      </c>
      <c r="U3761" s="5" t="s">
        <v>37605</v>
      </c>
      <c r="V3761" s="5" t="s">
        <v>37605</v>
      </c>
      <c r="W3761" s="5" t="s">
        <v>72</v>
      </c>
      <c r="X3761" s="5" t="s">
        <v>72</v>
      </c>
      <c r="Y3761" s="4">
        <v>302</v>
      </c>
      <c r="Z3761" s="4">
        <v>19</v>
      </c>
      <c r="AA3761" s="4">
        <v>85</v>
      </c>
      <c r="AB3761" s="4">
        <v>2</v>
      </c>
      <c r="AC3761" s="4">
        <v>15</v>
      </c>
      <c r="AD3761" s="4">
        <v>99</v>
      </c>
      <c r="AE3761" s="4">
        <v>136</v>
      </c>
      <c r="AF3761" s="4">
        <v>1</v>
      </c>
      <c r="AG3761" s="4">
        <v>8</v>
      </c>
      <c r="AH3761" s="4">
        <v>89</v>
      </c>
      <c r="AI3761" s="4">
        <v>101</v>
      </c>
      <c r="AJ3761" s="4">
        <v>15</v>
      </c>
      <c r="AK3761" s="4">
        <v>23</v>
      </c>
      <c r="AL3761" s="4">
        <v>52</v>
      </c>
      <c r="AM3761" s="4">
        <v>54</v>
      </c>
      <c r="AN3761" s="4">
        <v>0</v>
      </c>
      <c r="AO3761" s="4">
        <v>0</v>
      </c>
      <c r="AP3761" s="4">
        <v>16</v>
      </c>
      <c r="AQ3761" s="4">
        <v>44</v>
      </c>
      <c r="AR3761" s="3" t="s">
        <v>64</v>
      </c>
      <c r="AS3761" s="3" t="s">
        <v>64</v>
      </c>
      <c r="AT3761" s="3" t="s">
        <v>128</v>
      </c>
      <c r="AU3761" s="6" t="str">
        <f>HYPERLINK("http://catalog.hathitrust.org/Record/003608619","HathiTrust Record")</f>
        <v>HathiTrust Record</v>
      </c>
      <c r="AV3761" s="6" t="str">
        <f>HYPERLINK("http://mcgill.on.worldcat.org/oclc/25915235","Catalog Record")</f>
        <v>Catalog Record</v>
      </c>
      <c r="AW3761" s="6" t="str">
        <f>HYPERLINK("http://www.worldcat.org/oclc/25915235","WorldCat Record")</f>
        <v>WorldCat Record</v>
      </c>
      <c r="AX3761" s="3" t="s">
        <v>37606</v>
      </c>
      <c r="AY3761" s="3" t="s">
        <v>37607</v>
      </c>
      <c r="AZ3761" s="3" t="s">
        <v>37608</v>
      </c>
      <c r="BA3761" s="3" t="s">
        <v>37608</v>
      </c>
      <c r="BB3761" s="3" t="s">
        <v>37609</v>
      </c>
      <c r="BC3761" s="3" t="s">
        <v>77</v>
      </c>
      <c r="BD3761" s="3" t="s">
        <v>78</v>
      </c>
      <c r="BE3761" s="3" t="s">
        <v>37610</v>
      </c>
      <c r="BF3761" s="3" t="s">
        <v>37609</v>
      </c>
      <c r="BG3761" s="3" t="s">
        <v>37611</v>
      </c>
      <c r="BH3761">
        <f t="shared" si="88"/>
        <v>0</v>
      </c>
    </row>
    <row r="3762" spans="1:60" ht="58" x14ac:dyDescent="0.35">
      <c r="A3762" s="2" t="s">
        <v>59</v>
      </c>
      <c r="B3762" s="2" t="s">
        <v>60</v>
      </c>
      <c r="C3762" s="2" t="s">
        <v>37612</v>
      </c>
      <c r="D3762" s="2" t="s">
        <v>37613</v>
      </c>
      <c r="E3762" s="2" t="s">
        <v>37614</v>
      </c>
      <c r="G3762" s="3" t="s">
        <v>64</v>
      </c>
      <c r="I3762" s="3" t="s">
        <v>64</v>
      </c>
      <c r="J3762" s="3" t="s">
        <v>64</v>
      </c>
      <c r="K3762" s="3" t="s">
        <v>65</v>
      </c>
      <c r="L3762" s="2" t="s">
        <v>37615</v>
      </c>
      <c r="M3762" s="2" t="s">
        <v>37616</v>
      </c>
      <c r="N3762" s="3" t="s">
        <v>434</v>
      </c>
      <c r="P3762" s="3" t="s">
        <v>102</v>
      </c>
      <c r="Q3762" s="2" t="s">
        <v>37617</v>
      </c>
      <c r="R3762" s="3" t="s">
        <v>70</v>
      </c>
      <c r="S3762" s="4">
        <v>4</v>
      </c>
      <c r="T3762" s="4">
        <v>4</v>
      </c>
      <c r="U3762" s="5" t="s">
        <v>7890</v>
      </c>
      <c r="V3762" s="5" t="s">
        <v>7890</v>
      </c>
      <c r="W3762" s="5" t="s">
        <v>72</v>
      </c>
      <c r="X3762" s="5" t="s">
        <v>72</v>
      </c>
      <c r="Y3762" s="4">
        <v>196</v>
      </c>
      <c r="Z3762" s="4">
        <v>18</v>
      </c>
      <c r="AA3762" s="4">
        <v>86</v>
      </c>
      <c r="AB3762" s="4">
        <v>1</v>
      </c>
      <c r="AC3762" s="4">
        <v>15</v>
      </c>
      <c r="AD3762" s="4">
        <v>88</v>
      </c>
      <c r="AE3762" s="4">
        <v>138</v>
      </c>
      <c r="AF3762" s="4">
        <v>0</v>
      </c>
      <c r="AG3762" s="4">
        <v>8</v>
      </c>
      <c r="AH3762" s="4">
        <v>81</v>
      </c>
      <c r="AI3762" s="4">
        <v>102</v>
      </c>
      <c r="AJ3762" s="4">
        <v>11</v>
      </c>
      <c r="AK3762" s="4">
        <v>23</v>
      </c>
      <c r="AL3762" s="4">
        <v>48</v>
      </c>
      <c r="AM3762" s="4">
        <v>54</v>
      </c>
      <c r="AN3762" s="4">
        <v>0</v>
      </c>
      <c r="AO3762" s="4">
        <v>0</v>
      </c>
      <c r="AP3762" s="4">
        <v>13</v>
      </c>
      <c r="AQ3762" s="4">
        <v>44</v>
      </c>
      <c r="AR3762" s="3" t="s">
        <v>64</v>
      </c>
      <c r="AS3762" s="3" t="s">
        <v>64</v>
      </c>
      <c r="AT3762" s="3" t="s">
        <v>64</v>
      </c>
      <c r="AV3762" s="6" t="str">
        <f>HYPERLINK("http://mcgill.on.worldcat.org/oclc/59223587","Catalog Record")</f>
        <v>Catalog Record</v>
      </c>
      <c r="AW3762" s="6" t="str">
        <f>HYPERLINK("http://www.worldcat.org/oclc/59223587","WorldCat Record")</f>
        <v>WorldCat Record</v>
      </c>
      <c r="AX3762" s="3" t="s">
        <v>37618</v>
      </c>
      <c r="AY3762" s="3" t="s">
        <v>37619</v>
      </c>
      <c r="AZ3762" s="3" t="s">
        <v>37620</v>
      </c>
      <c r="BA3762" s="3" t="s">
        <v>37620</v>
      </c>
      <c r="BB3762" s="3" t="s">
        <v>37621</v>
      </c>
      <c r="BC3762" s="3" t="s">
        <v>77</v>
      </c>
      <c r="BD3762" s="3" t="s">
        <v>78</v>
      </c>
      <c r="BE3762" s="3" t="s">
        <v>37622</v>
      </c>
      <c r="BF3762" s="3" t="s">
        <v>37621</v>
      </c>
      <c r="BG3762" s="3" t="s">
        <v>37623</v>
      </c>
      <c r="BH3762">
        <f t="shared" si="88"/>
        <v>0</v>
      </c>
    </row>
    <row r="3763" spans="1:60" ht="58" x14ac:dyDescent="0.35">
      <c r="A3763" s="2" t="s">
        <v>59</v>
      </c>
      <c r="B3763" s="2" t="s">
        <v>60</v>
      </c>
      <c r="C3763" s="2" t="s">
        <v>37624</v>
      </c>
      <c r="D3763" s="2" t="s">
        <v>37625</v>
      </c>
      <c r="E3763" s="2" t="s">
        <v>37626</v>
      </c>
      <c r="G3763" s="3" t="s">
        <v>64</v>
      </c>
      <c r="I3763" s="3" t="s">
        <v>64</v>
      </c>
      <c r="J3763" s="3" t="s">
        <v>64</v>
      </c>
      <c r="K3763" s="3" t="s">
        <v>65</v>
      </c>
      <c r="L3763" s="2" t="s">
        <v>37627</v>
      </c>
      <c r="M3763" s="2" t="s">
        <v>37628</v>
      </c>
      <c r="N3763" s="3" t="s">
        <v>405</v>
      </c>
      <c r="P3763" s="3" t="s">
        <v>365</v>
      </c>
      <c r="Q3763" s="2" t="s">
        <v>37629</v>
      </c>
      <c r="R3763" s="3" t="s">
        <v>70</v>
      </c>
      <c r="S3763" s="4">
        <v>1</v>
      </c>
      <c r="T3763" s="4">
        <v>1</v>
      </c>
      <c r="U3763" s="5" t="s">
        <v>6272</v>
      </c>
      <c r="V3763" s="5" t="s">
        <v>6272</v>
      </c>
      <c r="W3763" s="5" t="s">
        <v>72</v>
      </c>
      <c r="X3763" s="5" t="s">
        <v>72</v>
      </c>
      <c r="Y3763" s="4">
        <v>33</v>
      </c>
      <c r="Z3763" s="4">
        <v>3</v>
      </c>
      <c r="AA3763" s="4">
        <v>3</v>
      </c>
      <c r="AB3763" s="4">
        <v>1</v>
      </c>
      <c r="AC3763" s="4">
        <v>1</v>
      </c>
      <c r="AD3763" s="4">
        <v>18</v>
      </c>
      <c r="AE3763" s="4">
        <v>18</v>
      </c>
      <c r="AF3763" s="4">
        <v>0</v>
      </c>
      <c r="AG3763" s="4">
        <v>0</v>
      </c>
      <c r="AH3763" s="4">
        <v>16</v>
      </c>
      <c r="AI3763" s="4">
        <v>16</v>
      </c>
      <c r="AJ3763" s="4">
        <v>1</v>
      </c>
      <c r="AK3763" s="4">
        <v>1</v>
      </c>
      <c r="AL3763" s="4">
        <v>16</v>
      </c>
      <c r="AM3763" s="4">
        <v>16</v>
      </c>
      <c r="AN3763" s="4">
        <v>0</v>
      </c>
      <c r="AO3763" s="4">
        <v>0</v>
      </c>
      <c r="AP3763" s="4">
        <v>1</v>
      </c>
      <c r="AQ3763" s="4">
        <v>1</v>
      </c>
      <c r="AR3763" s="3" t="s">
        <v>64</v>
      </c>
      <c r="AS3763" s="3" t="s">
        <v>64</v>
      </c>
      <c r="AT3763" s="3" t="s">
        <v>128</v>
      </c>
      <c r="AU3763" s="6" t="str">
        <f>HYPERLINK("http://catalog.hathitrust.org/Record/000736983","HathiTrust Record")</f>
        <v>HathiTrust Record</v>
      </c>
      <c r="AV3763" s="6" t="str">
        <f>HYPERLINK("http://mcgill.on.worldcat.org/oclc/2440432","Catalog Record")</f>
        <v>Catalog Record</v>
      </c>
      <c r="AW3763" s="6" t="str">
        <f>HYPERLINK("http://www.worldcat.org/oclc/2440432","WorldCat Record")</f>
        <v>WorldCat Record</v>
      </c>
      <c r="AX3763" s="3" t="s">
        <v>37630</v>
      </c>
      <c r="AY3763" s="3" t="s">
        <v>37631</v>
      </c>
      <c r="AZ3763" s="3" t="s">
        <v>37632</v>
      </c>
      <c r="BA3763" s="3" t="s">
        <v>37632</v>
      </c>
      <c r="BB3763" s="3" t="s">
        <v>37633</v>
      </c>
      <c r="BC3763" s="3" t="s">
        <v>77</v>
      </c>
      <c r="BD3763" s="3" t="s">
        <v>78</v>
      </c>
      <c r="BF3763" s="3" t="s">
        <v>37633</v>
      </c>
      <c r="BG3763" s="3" t="s">
        <v>37634</v>
      </c>
      <c r="BH3763">
        <f t="shared" si="88"/>
        <v>0</v>
      </c>
    </row>
    <row r="3764" spans="1:60" ht="58" x14ac:dyDescent="0.35">
      <c r="A3764" s="2" t="s">
        <v>59</v>
      </c>
      <c r="B3764" s="2" t="s">
        <v>60</v>
      </c>
      <c r="C3764" s="2" t="s">
        <v>37635</v>
      </c>
      <c r="D3764" s="2" t="s">
        <v>37636</v>
      </c>
      <c r="E3764" s="2" t="s">
        <v>37637</v>
      </c>
      <c r="G3764" s="3" t="s">
        <v>64</v>
      </c>
      <c r="I3764" s="3" t="s">
        <v>64</v>
      </c>
      <c r="J3764" s="3" t="s">
        <v>64</v>
      </c>
      <c r="K3764" s="3" t="s">
        <v>65</v>
      </c>
      <c r="L3764" s="2" t="s">
        <v>37638</v>
      </c>
      <c r="M3764" s="2" t="s">
        <v>37639</v>
      </c>
      <c r="N3764" s="3" t="s">
        <v>537</v>
      </c>
      <c r="P3764" s="3" t="s">
        <v>102</v>
      </c>
      <c r="Q3764" s="2" t="s">
        <v>37640</v>
      </c>
      <c r="R3764" s="3" t="s">
        <v>70</v>
      </c>
      <c r="S3764" s="4">
        <v>1</v>
      </c>
      <c r="T3764" s="4">
        <v>1</v>
      </c>
      <c r="U3764" s="5" t="s">
        <v>7065</v>
      </c>
      <c r="V3764" s="5" t="s">
        <v>7065</v>
      </c>
      <c r="W3764" s="5" t="s">
        <v>72</v>
      </c>
      <c r="X3764" s="5" t="s">
        <v>72</v>
      </c>
      <c r="Y3764" s="4">
        <v>67</v>
      </c>
      <c r="Z3764" s="4">
        <v>3</v>
      </c>
      <c r="AA3764" s="4">
        <v>66</v>
      </c>
      <c r="AB3764" s="4">
        <v>1</v>
      </c>
      <c r="AC3764" s="4">
        <v>14</v>
      </c>
      <c r="AD3764" s="4">
        <v>32</v>
      </c>
      <c r="AE3764" s="4">
        <v>95</v>
      </c>
      <c r="AF3764" s="4">
        <v>0</v>
      </c>
      <c r="AG3764" s="4">
        <v>8</v>
      </c>
      <c r="AH3764" s="4">
        <v>31</v>
      </c>
      <c r="AI3764" s="4">
        <v>67</v>
      </c>
      <c r="AJ3764" s="4">
        <v>1</v>
      </c>
      <c r="AK3764" s="4">
        <v>16</v>
      </c>
      <c r="AL3764" s="4">
        <v>25</v>
      </c>
      <c r="AM3764" s="4">
        <v>40</v>
      </c>
      <c r="AN3764" s="4">
        <v>0</v>
      </c>
      <c r="AO3764" s="4">
        <v>0</v>
      </c>
      <c r="AP3764" s="4">
        <v>1</v>
      </c>
      <c r="AQ3764" s="4">
        <v>33</v>
      </c>
      <c r="AR3764" s="3" t="s">
        <v>64</v>
      </c>
      <c r="AS3764" s="3" t="s">
        <v>64</v>
      </c>
      <c r="AT3764" s="3" t="s">
        <v>64</v>
      </c>
      <c r="AV3764" s="6" t="str">
        <f>HYPERLINK("http://mcgill.on.worldcat.org/oclc/945029461","Catalog Record")</f>
        <v>Catalog Record</v>
      </c>
      <c r="AW3764" s="6" t="str">
        <f>HYPERLINK("http://www.worldcat.org/oclc/945029461","WorldCat Record")</f>
        <v>WorldCat Record</v>
      </c>
      <c r="AX3764" s="3" t="s">
        <v>37641</v>
      </c>
      <c r="AY3764" s="3" t="s">
        <v>37642</v>
      </c>
      <c r="AZ3764" s="3" t="s">
        <v>37643</v>
      </c>
      <c r="BA3764" s="3" t="s">
        <v>37643</v>
      </c>
      <c r="BB3764" s="3" t="s">
        <v>37644</v>
      </c>
      <c r="BC3764" s="3" t="s">
        <v>77</v>
      </c>
      <c r="BD3764" s="3" t="s">
        <v>78</v>
      </c>
      <c r="BE3764" s="3" t="s">
        <v>37645</v>
      </c>
      <c r="BF3764" s="3" t="s">
        <v>37644</v>
      </c>
      <c r="BG3764" s="3" t="s">
        <v>37646</v>
      </c>
      <c r="BH3764">
        <f t="shared" si="88"/>
        <v>0</v>
      </c>
    </row>
    <row r="3765" spans="1:60" ht="58" x14ac:dyDescent="0.35">
      <c r="A3765" s="2" t="s">
        <v>59</v>
      </c>
      <c r="B3765" s="2" t="s">
        <v>60</v>
      </c>
      <c r="C3765" s="2" t="s">
        <v>37647</v>
      </c>
      <c r="D3765" s="2" t="s">
        <v>37648</v>
      </c>
      <c r="E3765" s="2" t="s">
        <v>37649</v>
      </c>
      <c r="G3765" s="3" t="s">
        <v>64</v>
      </c>
      <c r="I3765" s="3" t="s">
        <v>64</v>
      </c>
      <c r="J3765" s="3" t="s">
        <v>64</v>
      </c>
      <c r="K3765" s="3" t="s">
        <v>65</v>
      </c>
      <c r="M3765" s="2" t="s">
        <v>37650</v>
      </c>
      <c r="N3765" s="3" t="s">
        <v>578</v>
      </c>
      <c r="P3765" s="3" t="s">
        <v>102</v>
      </c>
      <c r="Q3765" s="2" t="s">
        <v>37651</v>
      </c>
      <c r="R3765" s="3" t="s">
        <v>70</v>
      </c>
      <c r="S3765" s="4">
        <v>0</v>
      </c>
      <c r="T3765" s="4">
        <v>0</v>
      </c>
      <c r="W3765" s="5" t="s">
        <v>72</v>
      </c>
      <c r="X3765" s="5" t="s">
        <v>72</v>
      </c>
      <c r="Y3765" s="4">
        <v>37</v>
      </c>
      <c r="Z3765" s="4">
        <v>2</v>
      </c>
      <c r="AA3765" s="4">
        <v>7</v>
      </c>
      <c r="AB3765" s="4">
        <v>1</v>
      </c>
      <c r="AC3765" s="4">
        <v>4</v>
      </c>
      <c r="AD3765" s="4">
        <v>18</v>
      </c>
      <c r="AE3765" s="4">
        <v>24</v>
      </c>
      <c r="AF3765" s="4">
        <v>0</v>
      </c>
      <c r="AG3765" s="4">
        <v>1</v>
      </c>
      <c r="AH3765" s="4">
        <v>16</v>
      </c>
      <c r="AI3765" s="4">
        <v>20</v>
      </c>
      <c r="AJ3765" s="4">
        <v>1</v>
      </c>
      <c r="AK3765" s="4">
        <v>4</v>
      </c>
      <c r="AL3765" s="4">
        <v>13</v>
      </c>
      <c r="AM3765" s="4">
        <v>15</v>
      </c>
      <c r="AN3765" s="4">
        <v>0</v>
      </c>
      <c r="AO3765" s="4">
        <v>0</v>
      </c>
      <c r="AP3765" s="4">
        <v>1</v>
      </c>
      <c r="AQ3765" s="4">
        <v>3</v>
      </c>
      <c r="AR3765" s="3" t="s">
        <v>64</v>
      </c>
      <c r="AS3765" s="3" t="s">
        <v>64</v>
      </c>
      <c r="AT3765" s="3" t="s">
        <v>64</v>
      </c>
      <c r="AV3765" s="6" t="str">
        <f>HYPERLINK("http://mcgill.on.worldcat.org/oclc/973920594","Catalog Record")</f>
        <v>Catalog Record</v>
      </c>
      <c r="AW3765" s="6" t="str">
        <f>HYPERLINK("http://www.worldcat.org/oclc/973920594","WorldCat Record")</f>
        <v>WorldCat Record</v>
      </c>
      <c r="AX3765" s="3" t="s">
        <v>37652</v>
      </c>
      <c r="AY3765" s="3" t="s">
        <v>37653</v>
      </c>
      <c r="AZ3765" s="3" t="s">
        <v>37654</v>
      </c>
      <c r="BA3765" s="3" t="s">
        <v>37654</v>
      </c>
      <c r="BB3765" s="3" t="s">
        <v>37655</v>
      </c>
      <c r="BC3765" s="3" t="s">
        <v>77</v>
      </c>
      <c r="BD3765" s="3" t="s">
        <v>78</v>
      </c>
      <c r="BE3765" s="3" t="s">
        <v>37656</v>
      </c>
      <c r="BF3765" s="3" t="s">
        <v>37655</v>
      </c>
      <c r="BG3765" s="3" t="s">
        <v>37657</v>
      </c>
      <c r="BH3765">
        <f t="shared" si="88"/>
        <v>0</v>
      </c>
    </row>
    <row r="3766" spans="1:60" ht="58" x14ac:dyDescent="0.35">
      <c r="A3766" s="2" t="s">
        <v>59</v>
      </c>
      <c r="B3766" s="2" t="s">
        <v>60</v>
      </c>
      <c r="C3766" s="2" t="s">
        <v>37658</v>
      </c>
      <c r="D3766" s="2" t="s">
        <v>37659</v>
      </c>
      <c r="E3766" s="2" t="s">
        <v>37660</v>
      </c>
      <c r="G3766" s="3" t="s">
        <v>64</v>
      </c>
      <c r="I3766" s="3" t="s">
        <v>64</v>
      </c>
      <c r="J3766" s="3" t="s">
        <v>64</v>
      </c>
      <c r="K3766" s="3" t="s">
        <v>65</v>
      </c>
      <c r="L3766" s="2" t="s">
        <v>37661</v>
      </c>
      <c r="M3766" s="2" t="s">
        <v>37662</v>
      </c>
      <c r="N3766" s="3" t="s">
        <v>326</v>
      </c>
      <c r="P3766" s="3" t="s">
        <v>102</v>
      </c>
      <c r="Q3766" s="2" t="s">
        <v>37663</v>
      </c>
      <c r="R3766" s="3" t="s">
        <v>70</v>
      </c>
      <c r="S3766" s="4">
        <v>0</v>
      </c>
      <c r="T3766" s="4">
        <v>0</v>
      </c>
      <c r="W3766" s="5" t="s">
        <v>72</v>
      </c>
      <c r="X3766" s="5" t="s">
        <v>72</v>
      </c>
      <c r="Y3766" s="4">
        <v>134</v>
      </c>
      <c r="Z3766" s="4">
        <v>6</v>
      </c>
      <c r="AA3766" s="4">
        <v>74</v>
      </c>
      <c r="AB3766" s="4">
        <v>1</v>
      </c>
      <c r="AC3766" s="4">
        <v>14</v>
      </c>
      <c r="AD3766" s="4">
        <v>58</v>
      </c>
      <c r="AE3766" s="4">
        <v>111</v>
      </c>
      <c r="AF3766" s="4">
        <v>0</v>
      </c>
      <c r="AG3766" s="4">
        <v>8</v>
      </c>
      <c r="AH3766" s="4">
        <v>57</v>
      </c>
      <c r="AI3766" s="4">
        <v>82</v>
      </c>
      <c r="AJ3766" s="4">
        <v>3</v>
      </c>
      <c r="AK3766" s="4">
        <v>19</v>
      </c>
      <c r="AL3766" s="4">
        <v>40</v>
      </c>
      <c r="AM3766" s="4">
        <v>50</v>
      </c>
      <c r="AN3766" s="4">
        <v>0</v>
      </c>
      <c r="AO3766" s="4">
        <v>0</v>
      </c>
      <c r="AP3766" s="4">
        <v>3</v>
      </c>
      <c r="AQ3766" s="4">
        <v>35</v>
      </c>
      <c r="AR3766" s="3" t="s">
        <v>64</v>
      </c>
      <c r="AS3766" s="3" t="s">
        <v>64</v>
      </c>
      <c r="AT3766" s="3" t="s">
        <v>64</v>
      </c>
      <c r="AV3766" s="6" t="str">
        <f>HYPERLINK("http://mcgill.on.worldcat.org/oclc/645707847","Catalog Record")</f>
        <v>Catalog Record</v>
      </c>
      <c r="AW3766" s="6" t="str">
        <f>HYPERLINK("http://www.worldcat.org/oclc/645707847","WorldCat Record")</f>
        <v>WorldCat Record</v>
      </c>
      <c r="AX3766" s="3" t="s">
        <v>37664</v>
      </c>
      <c r="AY3766" s="3" t="s">
        <v>37665</v>
      </c>
      <c r="AZ3766" s="3" t="s">
        <v>37666</v>
      </c>
      <c r="BA3766" s="3" t="s">
        <v>37666</v>
      </c>
      <c r="BB3766" s="3" t="s">
        <v>37667</v>
      </c>
      <c r="BC3766" s="3" t="s">
        <v>77</v>
      </c>
      <c r="BD3766" s="3" t="s">
        <v>78</v>
      </c>
      <c r="BE3766" s="3" t="s">
        <v>37668</v>
      </c>
      <c r="BF3766" s="3" t="s">
        <v>37667</v>
      </c>
      <c r="BG3766" s="3" t="s">
        <v>37669</v>
      </c>
      <c r="BH3766">
        <f t="shared" si="88"/>
        <v>0</v>
      </c>
    </row>
    <row r="3767" spans="1:60" ht="58" x14ac:dyDescent="0.35">
      <c r="A3767" s="2" t="s">
        <v>59</v>
      </c>
      <c r="B3767" s="2" t="s">
        <v>60</v>
      </c>
      <c r="C3767" s="2" t="s">
        <v>37670</v>
      </c>
      <c r="D3767" s="2" t="s">
        <v>37671</v>
      </c>
      <c r="E3767" s="2" t="s">
        <v>37672</v>
      </c>
      <c r="G3767" s="3" t="s">
        <v>64</v>
      </c>
      <c r="I3767" s="3" t="s">
        <v>64</v>
      </c>
      <c r="J3767" s="3" t="s">
        <v>64</v>
      </c>
      <c r="K3767" s="3" t="s">
        <v>65</v>
      </c>
      <c r="M3767" s="2" t="s">
        <v>37673</v>
      </c>
      <c r="N3767" s="3" t="s">
        <v>3330</v>
      </c>
      <c r="P3767" s="3" t="s">
        <v>68</v>
      </c>
      <c r="R3767" s="3" t="s">
        <v>70</v>
      </c>
      <c r="S3767" s="4">
        <v>31</v>
      </c>
      <c r="T3767" s="4">
        <v>31</v>
      </c>
      <c r="U3767" s="5" t="s">
        <v>394</v>
      </c>
      <c r="V3767" s="5" t="s">
        <v>394</v>
      </c>
      <c r="W3767" s="5" t="s">
        <v>72</v>
      </c>
      <c r="X3767" s="5" t="s">
        <v>72</v>
      </c>
      <c r="Y3767" s="4">
        <v>27</v>
      </c>
      <c r="Z3767" s="4">
        <v>19</v>
      </c>
      <c r="AA3767" s="4">
        <v>42</v>
      </c>
      <c r="AB3767" s="4">
        <v>11</v>
      </c>
      <c r="AC3767" s="4">
        <v>14</v>
      </c>
      <c r="AD3767" s="4">
        <v>16</v>
      </c>
      <c r="AE3767" s="4">
        <v>45</v>
      </c>
      <c r="AF3767" s="4">
        <v>6</v>
      </c>
      <c r="AG3767" s="4">
        <v>8</v>
      </c>
      <c r="AH3767" s="4">
        <v>7</v>
      </c>
      <c r="AI3767" s="4">
        <v>21</v>
      </c>
      <c r="AJ3767" s="4">
        <v>11</v>
      </c>
      <c r="AK3767" s="4">
        <v>23</v>
      </c>
      <c r="AL3767" s="4">
        <v>2</v>
      </c>
      <c r="AM3767" s="4">
        <v>13</v>
      </c>
      <c r="AN3767" s="4">
        <v>0</v>
      </c>
      <c r="AO3767" s="4">
        <v>5</v>
      </c>
      <c r="AP3767" s="4">
        <v>11</v>
      </c>
      <c r="AQ3767" s="4">
        <v>29</v>
      </c>
      <c r="AR3767" s="3" t="s">
        <v>128</v>
      </c>
      <c r="AS3767" s="3" t="s">
        <v>64</v>
      </c>
      <c r="AT3767" s="3" t="s">
        <v>128</v>
      </c>
      <c r="AU3767" s="6" t="str">
        <f>HYPERLINK("http://catalog.hathitrust.org/Record/102034063","HathiTrust Record")</f>
        <v>HathiTrust Record</v>
      </c>
      <c r="AV3767" s="6" t="str">
        <f>HYPERLINK("http://mcgill.on.worldcat.org/oclc/194471065","Catalog Record")</f>
        <v>Catalog Record</v>
      </c>
      <c r="AW3767" s="6" t="str">
        <f>HYPERLINK("http://www.worldcat.org/oclc/194471065","WorldCat Record")</f>
        <v>WorldCat Record</v>
      </c>
      <c r="AX3767" s="3" t="s">
        <v>37674</v>
      </c>
      <c r="AY3767" s="3" t="s">
        <v>37675</v>
      </c>
      <c r="AZ3767" s="3" t="s">
        <v>37676</v>
      </c>
      <c r="BA3767" s="3" t="s">
        <v>37676</v>
      </c>
      <c r="BB3767" s="3" t="s">
        <v>37677</v>
      </c>
      <c r="BC3767" s="3" t="s">
        <v>77</v>
      </c>
      <c r="BD3767" s="3" t="s">
        <v>78</v>
      </c>
      <c r="BE3767" s="3" t="s">
        <v>37678</v>
      </c>
      <c r="BF3767" s="3" t="s">
        <v>37677</v>
      </c>
      <c r="BG3767" s="3" t="s">
        <v>37679</v>
      </c>
      <c r="BH3767">
        <f t="shared" si="88"/>
        <v>0</v>
      </c>
    </row>
    <row r="3768" spans="1:60" ht="58" x14ac:dyDescent="0.35">
      <c r="A3768" s="2" t="s">
        <v>59</v>
      </c>
      <c r="B3768" s="2" t="s">
        <v>60</v>
      </c>
      <c r="C3768" s="2" t="s">
        <v>37680</v>
      </c>
      <c r="D3768" s="2" t="s">
        <v>37681</v>
      </c>
      <c r="E3768" s="2" t="s">
        <v>37682</v>
      </c>
      <c r="G3768" s="3" t="s">
        <v>64</v>
      </c>
      <c r="I3768" s="3" t="s">
        <v>128</v>
      </c>
      <c r="J3768" s="3" t="s">
        <v>64</v>
      </c>
      <c r="K3768" s="3" t="s">
        <v>65</v>
      </c>
      <c r="M3768" s="2" t="s">
        <v>37683</v>
      </c>
      <c r="N3768" s="3" t="s">
        <v>1004</v>
      </c>
      <c r="P3768" s="3" t="s">
        <v>68</v>
      </c>
      <c r="Q3768" s="2" t="s">
        <v>37684</v>
      </c>
      <c r="R3768" s="3" t="s">
        <v>70</v>
      </c>
      <c r="S3768" s="4">
        <v>28</v>
      </c>
      <c r="T3768" s="4">
        <v>50</v>
      </c>
      <c r="U3768" s="5" t="s">
        <v>37685</v>
      </c>
      <c r="V3768" s="5" t="s">
        <v>8367</v>
      </c>
      <c r="W3768" s="5" t="s">
        <v>72</v>
      </c>
      <c r="X3768" s="5" t="s">
        <v>72</v>
      </c>
      <c r="Y3768" s="4">
        <v>75</v>
      </c>
      <c r="Z3768" s="4">
        <v>34</v>
      </c>
      <c r="AA3768" s="4">
        <v>56</v>
      </c>
      <c r="AB3768" s="4">
        <v>7</v>
      </c>
      <c r="AC3768" s="4">
        <v>23</v>
      </c>
      <c r="AD3768" s="4">
        <v>40</v>
      </c>
      <c r="AE3768" s="4">
        <v>52</v>
      </c>
      <c r="AF3768" s="4">
        <v>2</v>
      </c>
      <c r="AG3768" s="4">
        <v>9</v>
      </c>
      <c r="AH3768" s="4">
        <v>26</v>
      </c>
      <c r="AI3768" s="4">
        <v>30</v>
      </c>
      <c r="AJ3768" s="4">
        <v>17</v>
      </c>
      <c r="AK3768" s="4">
        <v>25</v>
      </c>
      <c r="AL3768" s="4">
        <v>17</v>
      </c>
      <c r="AM3768" s="4">
        <v>17</v>
      </c>
      <c r="AN3768" s="4">
        <v>0</v>
      </c>
      <c r="AO3768" s="4">
        <v>0</v>
      </c>
      <c r="AP3768" s="4">
        <v>21</v>
      </c>
      <c r="AQ3768" s="4">
        <v>31</v>
      </c>
      <c r="AR3768" s="3" t="s">
        <v>128</v>
      </c>
      <c r="AS3768" s="3" t="s">
        <v>64</v>
      </c>
      <c r="AT3768" s="3" t="s">
        <v>128</v>
      </c>
      <c r="AU3768" s="6" t="str">
        <f>HYPERLINK("http://catalog.hathitrust.org/Record/006192043","HathiTrust Record")</f>
        <v>HathiTrust Record</v>
      </c>
      <c r="AV3768" s="6" t="str">
        <f>HYPERLINK("http://mcgill.on.worldcat.org/oclc/10046477","Catalog Record")</f>
        <v>Catalog Record</v>
      </c>
      <c r="AW3768" s="6" t="str">
        <f>HYPERLINK("http://www.worldcat.org/oclc/10046477","WorldCat Record")</f>
        <v>WorldCat Record</v>
      </c>
      <c r="AX3768" s="3" t="s">
        <v>37686</v>
      </c>
      <c r="AY3768" s="3" t="s">
        <v>37687</v>
      </c>
      <c r="AZ3768" s="3" t="s">
        <v>37688</v>
      </c>
      <c r="BA3768" s="3" t="s">
        <v>37688</v>
      </c>
      <c r="BB3768" s="3" t="s">
        <v>37689</v>
      </c>
      <c r="BC3768" s="3" t="s">
        <v>77</v>
      </c>
      <c r="BD3768" s="3" t="s">
        <v>78</v>
      </c>
      <c r="BE3768" s="3" t="s">
        <v>37690</v>
      </c>
      <c r="BF3768" s="3" t="s">
        <v>37689</v>
      </c>
      <c r="BG3768" s="3" t="s">
        <v>37691</v>
      </c>
      <c r="BH3768">
        <f t="shared" si="88"/>
        <v>0</v>
      </c>
    </row>
    <row r="3769" spans="1:60" ht="58" x14ac:dyDescent="0.35">
      <c r="A3769" s="2" t="s">
        <v>59</v>
      </c>
      <c r="B3769" s="2" t="s">
        <v>60</v>
      </c>
      <c r="C3769" s="2" t="s">
        <v>37680</v>
      </c>
      <c r="D3769" s="2" t="s">
        <v>37681</v>
      </c>
      <c r="E3769" s="2" t="s">
        <v>37682</v>
      </c>
      <c r="G3769" s="3" t="s">
        <v>64</v>
      </c>
      <c r="I3769" s="3" t="s">
        <v>128</v>
      </c>
      <c r="J3769" s="3" t="s">
        <v>64</v>
      </c>
      <c r="K3769" s="3" t="s">
        <v>65</v>
      </c>
      <c r="M3769" s="2" t="s">
        <v>37683</v>
      </c>
      <c r="N3769" s="3" t="s">
        <v>1004</v>
      </c>
      <c r="P3769" s="3" t="s">
        <v>68</v>
      </c>
      <c r="Q3769" s="2" t="s">
        <v>37684</v>
      </c>
      <c r="R3769" s="3" t="s">
        <v>70</v>
      </c>
      <c r="S3769" s="4">
        <v>22</v>
      </c>
      <c r="T3769" s="4">
        <v>50</v>
      </c>
      <c r="U3769" s="5" t="s">
        <v>8367</v>
      </c>
      <c r="V3769" s="5" t="s">
        <v>8367</v>
      </c>
      <c r="W3769" s="5" t="s">
        <v>72</v>
      </c>
      <c r="X3769" s="5" t="s">
        <v>72</v>
      </c>
      <c r="Y3769" s="4">
        <v>75</v>
      </c>
      <c r="Z3769" s="4">
        <v>34</v>
      </c>
      <c r="AA3769" s="4">
        <v>56</v>
      </c>
      <c r="AB3769" s="4">
        <v>7</v>
      </c>
      <c r="AC3769" s="4">
        <v>23</v>
      </c>
      <c r="AD3769" s="4">
        <v>40</v>
      </c>
      <c r="AE3769" s="4">
        <v>52</v>
      </c>
      <c r="AF3769" s="4">
        <v>2</v>
      </c>
      <c r="AG3769" s="4">
        <v>9</v>
      </c>
      <c r="AH3769" s="4">
        <v>26</v>
      </c>
      <c r="AI3769" s="4">
        <v>30</v>
      </c>
      <c r="AJ3769" s="4">
        <v>17</v>
      </c>
      <c r="AK3769" s="4">
        <v>25</v>
      </c>
      <c r="AL3769" s="4">
        <v>17</v>
      </c>
      <c r="AM3769" s="4">
        <v>17</v>
      </c>
      <c r="AN3769" s="4">
        <v>0</v>
      </c>
      <c r="AO3769" s="4">
        <v>0</v>
      </c>
      <c r="AP3769" s="4">
        <v>21</v>
      </c>
      <c r="AQ3769" s="4">
        <v>31</v>
      </c>
      <c r="AR3769" s="3" t="s">
        <v>128</v>
      </c>
      <c r="AS3769" s="3" t="s">
        <v>64</v>
      </c>
      <c r="AT3769" s="3" t="s">
        <v>128</v>
      </c>
      <c r="AU3769" s="6" t="str">
        <f>HYPERLINK("http://catalog.hathitrust.org/Record/006192043","HathiTrust Record")</f>
        <v>HathiTrust Record</v>
      </c>
      <c r="AV3769" s="6" t="str">
        <f>HYPERLINK("http://mcgill.on.worldcat.org/oclc/10046477","Catalog Record")</f>
        <v>Catalog Record</v>
      </c>
      <c r="AW3769" s="6" t="str">
        <f>HYPERLINK("http://www.worldcat.org/oclc/10046477","WorldCat Record")</f>
        <v>WorldCat Record</v>
      </c>
      <c r="AX3769" s="3" t="s">
        <v>37686</v>
      </c>
      <c r="AY3769" s="3" t="s">
        <v>37687</v>
      </c>
      <c r="AZ3769" s="3" t="s">
        <v>37688</v>
      </c>
      <c r="BA3769" s="3" t="s">
        <v>37688</v>
      </c>
      <c r="BB3769" s="3" t="s">
        <v>37692</v>
      </c>
      <c r="BC3769" s="3" t="s">
        <v>77</v>
      </c>
      <c r="BD3769" s="3" t="s">
        <v>78</v>
      </c>
      <c r="BE3769" s="3" t="s">
        <v>37690</v>
      </c>
      <c r="BF3769" s="3" t="s">
        <v>37692</v>
      </c>
      <c r="BG3769" s="3" t="s">
        <v>37693</v>
      </c>
      <c r="BH3769">
        <f t="shared" si="88"/>
        <v>0</v>
      </c>
    </row>
    <row r="3770" spans="1:60" ht="58" x14ac:dyDescent="0.35">
      <c r="A3770" s="2" t="s">
        <v>59</v>
      </c>
      <c r="B3770" s="2" t="s">
        <v>60</v>
      </c>
      <c r="C3770" s="2" t="s">
        <v>37694</v>
      </c>
      <c r="D3770" s="2" t="s">
        <v>37695</v>
      </c>
      <c r="E3770" s="2" t="s">
        <v>37696</v>
      </c>
      <c r="G3770" s="3" t="s">
        <v>64</v>
      </c>
      <c r="I3770" s="3" t="s">
        <v>64</v>
      </c>
      <c r="J3770" s="3" t="s">
        <v>64</v>
      </c>
      <c r="K3770" s="3" t="s">
        <v>65</v>
      </c>
      <c r="L3770" s="2" t="s">
        <v>37697</v>
      </c>
      <c r="M3770" s="2" t="s">
        <v>37698</v>
      </c>
      <c r="N3770" s="3" t="s">
        <v>511</v>
      </c>
      <c r="P3770" s="3" t="s">
        <v>102</v>
      </c>
      <c r="Q3770" s="2" t="s">
        <v>37699</v>
      </c>
      <c r="R3770" s="3" t="s">
        <v>70</v>
      </c>
      <c r="S3770" s="4">
        <v>9</v>
      </c>
      <c r="T3770" s="4">
        <v>9</v>
      </c>
      <c r="U3770" s="5" t="s">
        <v>37700</v>
      </c>
      <c r="V3770" s="5" t="s">
        <v>37700</v>
      </c>
      <c r="W3770" s="5" t="s">
        <v>72</v>
      </c>
      <c r="X3770" s="5" t="s">
        <v>72</v>
      </c>
      <c r="Y3770" s="4">
        <v>259</v>
      </c>
      <c r="Z3770" s="4">
        <v>20</v>
      </c>
      <c r="AA3770" s="4">
        <v>31</v>
      </c>
      <c r="AB3770" s="4">
        <v>1</v>
      </c>
      <c r="AC3770" s="4">
        <v>5</v>
      </c>
      <c r="AD3770" s="4">
        <v>76</v>
      </c>
      <c r="AE3770" s="4">
        <v>94</v>
      </c>
      <c r="AF3770" s="4">
        <v>0</v>
      </c>
      <c r="AG3770" s="4">
        <v>1</v>
      </c>
      <c r="AH3770" s="4">
        <v>67</v>
      </c>
      <c r="AI3770" s="4">
        <v>79</v>
      </c>
      <c r="AJ3770" s="4">
        <v>12</v>
      </c>
      <c r="AK3770" s="4">
        <v>18</v>
      </c>
      <c r="AL3770" s="4">
        <v>45</v>
      </c>
      <c r="AM3770" s="4">
        <v>49</v>
      </c>
      <c r="AN3770" s="4">
        <v>0</v>
      </c>
      <c r="AO3770" s="4">
        <v>0</v>
      </c>
      <c r="AP3770" s="4">
        <v>16</v>
      </c>
      <c r="AQ3770" s="4">
        <v>24</v>
      </c>
      <c r="AR3770" s="3" t="s">
        <v>64</v>
      </c>
      <c r="AS3770" s="3" t="s">
        <v>64</v>
      </c>
      <c r="AT3770" s="3" t="s">
        <v>64</v>
      </c>
      <c r="AV3770" s="6" t="str">
        <f>HYPERLINK("http://mcgill.on.worldcat.org/oclc/324776996","Catalog Record")</f>
        <v>Catalog Record</v>
      </c>
      <c r="AW3770" s="6" t="str">
        <f>HYPERLINK("http://www.worldcat.org/oclc/324776996","WorldCat Record")</f>
        <v>WorldCat Record</v>
      </c>
      <c r="AX3770" s="3" t="s">
        <v>37701</v>
      </c>
      <c r="AY3770" s="3" t="s">
        <v>37702</v>
      </c>
      <c r="AZ3770" s="3" t="s">
        <v>37703</v>
      </c>
      <c r="BA3770" s="3" t="s">
        <v>37703</v>
      </c>
      <c r="BB3770" s="3" t="s">
        <v>37704</v>
      </c>
      <c r="BC3770" s="3" t="s">
        <v>77</v>
      </c>
      <c r="BD3770" s="3" t="s">
        <v>165</v>
      </c>
      <c r="BE3770" s="3" t="s">
        <v>37705</v>
      </c>
      <c r="BF3770" s="3" t="s">
        <v>37704</v>
      </c>
      <c r="BG3770" s="3" t="s">
        <v>37706</v>
      </c>
      <c r="BH3770">
        <f t="shared" si="88"/>
        <v>0</v>
      </c>
    </row>
    <row r="3771" spans="1:60" ht="58" x14ac:dyDescent="0.35">
      <c r="A3771" s="2" t="s">
        <v>59</v>
      </c>
      <c r="B3771" s="2" t="s">
        <v>60</v>
      </c>
      <c r="C3771" s="2" t="s">
        <v>37707</v>
      </c>
      <c r="D3771" s="2" t="s">
        <v>37708</v>
      </c>
      <c r="E3771" s="2" t="s">
        <v>37709</v>
      </c>
      <c r="G3771" s="3" t="s">
        <v>64</v>
      </c>
      <c r="I3771" s="3" t="s">
        <v>64</v>
      </c>
      <c r="J3771" s="3" t="s">
        <v>64</v>
      </c>
      <c r="K3771" s="3" t="s">
        <v>65</v>
      </c>
      <c r="L3771" s="2" t="s">
        <v>37710</v>
      </c>
      <c r="M3771" s="2" t="s">
        <v>37711</v>
      </c>
      <c r="N3771" s="3" t="s">
        <v>979</v>
      </c>
      <c r="P3771" s="3" t="s">
        <v>102</v>
      </c>
      <c r="Q3771" s="2" t="s">
        <v>37712</v>
      </c>
      <c r="R3771" s="3" t="s">
        <v>70</v>
      </c>
      <c r="S3771" s="4">
        <v>10</v>
      </c>
      <c r="T3771" s="4">
        <v>10</v>
      </c>
      <c r="U3771" s="5" t="s">
        <v>394</v>
      </c>
      <c r="V3771" s="5" t="s">
        <v>394</v>
      </c>
      <c r="W3771" s="5" t="s">
        <v>72</v>
      </c>
      <c r="X3771" s="5" t="s">
        <v>72</v>
      </c>
      <c r="Y3771" s="4">
        <v>238</v>
      </c>
      <c r="Z3771" s="4">
        <v>18</v>
      </c>
      <c r="AA3771" s="4">
        <v>24</v>
      </c>
      <c r="AB3771" s="4">
        <v>2</v>
      </c>
      <c r="AC3771" s="4">
        <v>4</v>
      </c>
      <c r="AD3771" s="4">
        <v>86</v>
      </c>
      <c r="AE3771" s="4">
        <v>100</v>
      </c>
      <c r="AF3771" s="4">
        <v>0</v>
      </c>
      <c r="AG3771" s="4">
        <v>0</v>
      </c>
      <c r="AH3771" s="4">
        <v>77</v>
      </c>
      <c r="AI3771" s="4">
        <v>88</v>
      </c>
      <c r="AJ3771" s="4">
        <v>13</v>
      </c>
      <c r="AK3771" s="4">
        <v>16</v>
      </c>
      <c r="AL3771" s="4">
        <v>44</v>
      </c>
      <c r="AM3771" s="4">
        <v>51</v>
      </c>
      <c r="AN3771" s="4">
        <v>0</v>
      </c>
      <c r="AO3771" s="4">
        <v>0</v>
      </c>
      <c r="AP3771" s="4">
        <v>15</v>
      </c>
      <c r="AQ3771" s="4">
        <v>19</v>
      </c>
      <c r="AR3771" s="3" t="s">
        <v>64</v>
      </c>
      <c r="AS3771" s="3" t="s">
        <v>64</v>
      </c>
      <c r="AT3771" s="3" t="s">
        <v>64</v>
      </c>
      <c r="AV3771" s="6" t="str">
        <f>HYPERLINK("http://mcgill.on.worldcat.org/oclc/42444174","Catalog Record")</f>
        <v>Catalog Record</v>
      </c>
      <c r="AW3771" s="6" t="str">
        <f>HYPERLINK("http://www.worldcat.org/oclc/42444174","WorldCat Record")</f>
        <v>WorldCat Record</v>
      </c>
      <c r="AX3771" s="3" t="s">
        <v>37713</v>
      </c>
      <c r="AY3771" s="3" t="s">
        <v>37714</v>
      </c>
      <c r="AZ3771" s="3" t="s">
        <v>37715</v>
      </c>
      <c r="BA3771" s="3" t="s">
        <v>37715</v>
      </c>
      <c r="BB3771" s="3" t="s">
        <v>37716</v>
      </c>
      <c r="BC3771" s="3" t="s">
        <v>77</v>
      </c>
      <c r="BD3771" s="3" t="s">
        <v>78</v>
      </c>
      <c r="BE3771" s="3" t="s">
        <v>37717</v>
      </c>
      <c r="BF3771" s="3" t="s">
        <v>37716</v>
      </c>
      <c r="BG3771" s="3" t="s">
        <v>37718</v>
      </c>
      <c r="BH3771">
        <f t="shared" si="88"/>
        <v>0</v>
      </c>
    </row>
    <row r="3772" spans="1:60" ht="58" x14ac:dyDescent="0.35">
      <c r="A3772" s="2" t="s">
        <v>59</v>
      </c>
      <c r="B3772" s="2" t="s">
        <v>60</v>
      </c>
      <c r="C3772" s="2" t="s">
        <v>37719</v>
      </c>
      <c r="D3772" s="2" t="s">
        <v>37720</v>
      </c>
      <c r="E3772" s="2" t="s">
        <v>37721</v>
      </c>
      <c r="G3772" s="3" t="s">
        <v>64</v>
      </c>
      <c r="I3772" s="3" t="s">
        <v>64</v>
      </c>
      <c r="J3772" s="3" t="s">
        <v>64</v>
      </c>
      <c r="K3772" s="3" t="s">
        <v>65</v>
      </c>
      <c r="M3772" s="2" t="s">
        <v>6840</v>
      </c>
      <c r="N3772" s="3" t="s">
        <v>326</v>
      </c>
      <c r="P3772" s="3" t="s">
        <v>102</v>
      </c>
      <c r="Q3772" s="2" t="s">
        <v>6841</v>
      </c>
      <c r="R3772" s="3" t="s">
        <v>70</v>
      </c>
      <c r="S3772" s="4">
        <v>4</v>
      </c>
      <c r="T3772" s="4">
        <v>4</v>
      </c>
      <c r="U3772" s="5" t="s">
        <v>1386</v>
      </c>
      <c r="V3772" s="5" t="s">
        <v>1386</v>
      </c>
      <c r="W3772" s="5" t="s">
        <v>72</v>
      </c>
      <c r="X3772" s="5" t="s">
        <v>72</v>
      </c>
      <c r="Y3772" s="4">
        <v>114</v>
      </c>
      <c r="Z3772" s="4">
        <v>22</v>
      </c>
      <c r="AA3772" s="4">
        <v>95</v>
      </c>
      <c r="AB3772" s="4">
        <v>1</v>
      </c>
      <c r="AC3772" s="4">
        <v>17</v>
      </c>
      <c r="AD3772" s="4">
        <v>60</v>
      </c>
      <c r="AE3772" s="4">
        <v>127</v>
      </c>
      <c r="AF3772" s="4">
        <v>0</v>
      </c>
      <c r="AG3772" s="4">
        <v>8</v>
      </c>
      <c r="AH3772" s="4">
        <v>49</v>
      </c>
      <c r="AI3772" s="4">
        <v>87</v>
      </c>
      <c r="AJ3772" s="4">
        <v>18</v>
      </c>
      <c r="AK3772" s="4">
        <v>27</v>
      </c>
      <c r="AL3772" s="4">
        <v>33</v>
      </c>
      <c r="AM3772" s="4">
        <v>48</v>
      </c>
      <c r="AN3772" s="4">
        <v>0</v>
      </c>
      <c r="AO3772" s="4">
        <v>0</v>
      </c>
      <c r="AP3772" s="4">
        <v>18</v>
      </c>
      <c r="AQ3772" s="4">
        <v>49</v>
      </c>
      <c r="AR3772" s="3" t="s">
        <v>128</v>
      </c>
      <c r="AS3772" s="3" t="s">
        <v>64</v>
      </c>
      <c r="AT3772" s="3" t="s">
        <v>64</v>
      </c>
      <c r="AV3772" s="6" t="str">
        <f>HYPERLINK("http://mcgill.on.worldcat.org/oclc/651903019","Catalog Record")</f>
        <v>Catalog Record</v>
      </c>
      <c r="AW3772" s="6" t="str">
        <f>HYPERLINK("http://www.worldcat.org/oclc/651903019","WorldCat Record")</f>
        <v>WorldCat Record</v>
      </c>
      <c r="AX3772" s="3" t="s">
        <v>37722</v>
      </c>
      <c r="AY3772" s="3" t="s">
        <v>37723</v>
      </c>
      <c r="AZ3772" s="3" t="s">
        <v>37724</v>
      </c>
      <c r="BA3772" s="3" t="s">
        <v>37724</v>
      </c>
      <c r="BB3772" s="3" t="s">
        <v>37725</v>
      </c>
      <c r="BC3772" s="3" t="s">
        <v>77</v>
      </c>
      <c r="BD3772" s="3" t="s">
        <v>78</v>
      </c>
      <c r="BE3772" s="3" t="s">
        <v>37726</v>
      </c>
      <c r="BF3772" s="3" t="s">
        <v>37725</v>
      </c>
      <c r="BG3772" s="3" t="s">
        <v>37727</v>
      </c>
      <c r="BH3772">
        <f t="shared" si="88"/>
        <v>0</v>
      </c>
    </row>
    <row r="3773" spans="1:60" ht="58" x14ac:dyDescent="0.35">
      <c r="A3773" s="2" t="s">
        <v>59</v>
      </c>
      <c r="B3773" s="2" t="s">
        <v>60</v>
      </c>
      <c r="C3773" s="2" t="s">
        <v>37728</v>
      </c>
      <c r="D3773" s="2" t="s">
        <v>37729</v>
      </c>
      <c r="E3773" s="2" t="s">
        <v>37730</v>
      </c>
      <c r="G3773" s="3" t="s">
        <v>64</v>
      </c>
      <c r="I3773" s="3" t="s">
        <v>64</v>
      </c>
      <c r="J3773" s="3" t="s">
        <v>64</v>
      </c>
      <c r="K3773" s="3" t="s">
        <v>65</v>
      </c>
      <c r="L3773" s="2" t="s">
        <v>37731</v>
      </c>
      <c r="M3773" s="2" t="s">
        <v>37732</v>
      </c>
      <c r="N3773" s="3" t="s">
        <v>86</v>
      </c>
      <c r="P3773" s="3" t="s">
        <v>102</v>
      </c>
      <c r="R3773" s="3" t="s">
        <v>70</v>
      </c>
      <c r="S3773" s="4">
        <v>1</v>
      </c>
      <c r="T3773" s="4">
        <v>1</v>
      </c>
      <c r="U3773" s="5" t="s">
        <v>1505</v>
      </c>
      <c r="V3773" s="5" t="s">
        <v>1505</v>
      </c>
      <c r="W3773" s="5" t="s">
        <v>72</v>
      </c>
      <c r="X3773" s="5" t="s">
        <v>72</v>
      </c>
      <c r="Y3773" s="4">
        <v>178</v>
      </c>
      <c r="Z3773" s="4">
        <v>24</v>
      </c>
      <c r="AA3773" s="4">
        <v>113</v>
      </c>
      <c r="AB3773" s="4">
        <v>1</v>
      </c>
      <c r="AC3773" s="4">
        <v>19</v>
      </c>
      <c r="AD3773" s="4">
        <v>71</v>
      </c>
      <c r="AE3773" s="4">
        <v>125</v>
      </c>
      <c r="AF3773" s="4">
        <v>0</v>
      </c>
      <c r="AG3773" s="4">
        <v>8</v>
      </c>
      <c r="AH3773" s="4">
        <v>60</v>
      </c>
      <c r="AI3773" s="4">
        <v>86</v>
      </c>
      <c r="AJ3773" s="4">
        <v>18</v>
      </c>
      <c r="AK3773" s="4">
        <v>25</v>
      </c>
      <c r="AL3773" s="4">
        <v>40</v>
      </c>
      <c r="AM3773" s="4">
        <v>49</v>
      </c>
      <c r="AN3773" s="4">
        <v>0</v>
      </c>
      <c r="AO3773" s="4">
        <v>0</v>
      </c>
      <c r="AP3773" s="4">
        <v>19</v>
      </c>
      <c r="AQ3773" s="4">
        <v>49</v>
      </c>
      <c r="AR3773" s="3" t="s">
        <v>128</v>
      </c>
      <c r="AS3773" s="3" t="s">
        <v>64</v>
      </c>
      <c r="AT3773" s="3" t="s">
        <v>64</v>
      </c>
      <c r="AV3773" s="6" t="str">
        <f>HYPERLINK("http://mcgill.on.worldcat.org/oclc/768534911","Catalog Record")</f>
        <v>Catalog Record</v>
      </c>
      <c r="AW3773" s="6" t="str">
        <f>HYPERLINK("http://www.worldcat.org/oclc/768534911","WorldCat Record")</f>
        <v>WorldCat Record</v>
      </c>
      <c r="AX3773" s="3" t="s">
        <v>37733</v>
      </c>
      <c r="AY3773" s="3" t="s">
        <v>37734</v>
      </c>
      <c r="AZ3773" s="3" t="s">
        <v>37735</v>
      </c>
      <c r="BA3773" s="3" t="s">
        <v>37735</v>
      </c>
      <c r="BB3773" s="3" t="s">
        <v>37736</v>
      </c>
      <c r="BC3773" s="3" t="s">
        <v>77</v>
      </c>
      <c r="BD3773" s="3" t="s">
        <v>78</v>
      </c>
      <c r="BE3773" s="3" t="s">
        <v>37737</v>
      </c>
      <c r="BF3773" s="3" t="s">
        <v>37736</v>
      </c>
      <c r="BG3773" s="3" t="s">
        <v>37738</v>
      </c>
      <c r="BH3773">
        <f t="shared" si="88"/>
        <v>0</v>
      </c>
    </row>
    <row r="3774" spans="1:60" ht="58" x14ac:dyDescent="0.35">
      <c r="A3774" s="2" t="s">
        <v>59</v>
      </c>
      <c r="B3774" s="2" t="s">
        <v>60</v>
      </c>
      <c r="C3774" s="2" t="s">
        <v>37739</v>
      </c>
      <c r="D3774" s="2" t="s">
        <v>37740</v>
      </c>
      <c r="E3774" s="2" t="s">
        <v>37741</v>
      </c>
      <c r="G3774" s="3" t="s">
        <v>64</v>
      </c>
      <c r="I3774" s="3" t="s">
        <v>64</v>
      </c>
      <c r="J3774" s="3" t="s">
        <v>128</v>
      </c>
      <c r="K3774" s="3" t="s">
        <v>65</v>
      </c>
      <c r="L3774" s="2" t="s">
        <v>37742</v>
      </c>
      <c r="M3774" s="2" t="s">
        <v>11202</v>
      </c>
      <c r="N3774" s="3" t="s">
        <v>1061</v>
      </c>
      <c r="P3774" s="3" t="s">
        <v>102</v>
      </c>
      <c r="R3774" s="3" t="s">
        <v>70</v>
      </c>
      <c r="S3774" s="4">
        <v>5</v>
      </c>
      <c r="T3774" s="4">
        <v>5</v>
      </c>
      <c r="U3774" s="5" t="s">
        <v>36220</v>
      </c>
      <c r="V3774" s="5" t="s">
        <v>36220</v>
      </c>
      <c r="W3774" s="5" t="s">
        <v>72</v>
      </c>
      <c r="X3774" s="5" t="s">
        <v>72</v>
      </c>
      <c r="Y3774" s="4">
        <v>609</v>
      </c>
      <c r="Z3774" s="4">
        <v>32</v>
      </c>
      <c r="AA3774" s="4">
        <v>41</v>
      </c>
      <c r="AB3774" s="4">
        <v>2</v>
      </c>
      <c r="AC3774" s="4">
        <v>4</v>
      </c>
      <c r="AD3774" s="4">
        <v>126</v>
      </c>
      <c r="AE3774" s="4">
        <v>133</v>
      </c>
      <c r="AF3774" s="4">
        <v>1</v>
      </c>
      <c r="AG3774" s="4">
        <v>3</v>
      </c>
      <c r="AH3774" s="4">
        <v>105</v>
      </c>
      <c r="AI3774" s="4">
        <v>108</v>
      </c>
      <c r="AJ3774" s="4">
        <v>19</v>
      </c>
      <c r="AK3774" s="4">
        <v>22</v>
      </c>
      <c r="AL3774" s="4">
        <v>57</v>
      </c>
      <c r="AM3774" s="4">
        <v>58</v>
      </c>
      <c r="AN3774" s="4">
        <v>0</v>
      </c>
      <c r="AO3774" s="4">
        <v>0</v>
      </c>
      <c r="AP3774" s="4">
        <v>25</v>
      </c>
      <c r="AQ3774" s="4">
        <v>31</v>
      </c>
      <c r="AR3774" s="3" t="s">
        <v>64</v>
      </c>
      <c r="AS3774" s="3" t="s">
        <v>64</v>
      </c>
      <c r="AT3774" s="3" t="s">
        <v>64</v>
      </c>
      <c r="AV3774" s="6" t="str">
        <f>HYPERLINK("http://mcgill.on.worldcat.org/oclc/11841615","Catalog Record")</f>
        <v>Catalog Record</v>
      </c>
      <c r="AW3774" s="6" t="str">
        <f>HYPERLINK("http://www.worldcat.org/oclc/11841615","WorldCat Record")</f>
        <v>WorldCat Record</v>
      </c>
      <c r="AX3774" s="3" t="s">
        <v>37743</v>
      </c>
      <c r="AY3774" s="3" t="s">
        <v>37744</v>
      </c>
      <c r="AZ3774" s="3" t="s">
        <v>37745</v>
      </c>
      <c r="BA3774" s="3" t="s">
        <v>37745</v>
      </c>
      <c r="BB3774" s="3" t="s">
        <v>37746</v>
      </c>
      <c r="BC3774" s="3" t="s">
        <v>77</v>
      </c>
      <c r="BD3774" s="3" t="s">
        <v>78</v>
      </c>
      <c r="BE3774" s="3" t="s">
        <v>37747</v>
      </c>
      <c r="BF3774" s="3" t="s">
        <v>37746</v>
      </c>
      <c r="BG3774" s="3" t="s">
        <v>37748</v>
      </c>
      <c r="BH3774">
        <f t="shared" si="88"/>
        <v>0</v>
      </c>
    </row>
    <row r="3775" spans="1:60" ht="58" x14ac:dyDescent="0.35">
      <c r="A3775" s="2" t="s">
        <v>59</v>
      </c>
      <c r="B3775" s="2" t="s">
        <v>60</v>
      </c>
      <c r="C3775" s="2" t="s">
        <v>37749</v>
      </c>
      <c r="D3775" s="2" t="s">
        <v>37750</v>
      </c>
      <c r="E3775" s="2" t="s">
        <v>37741</v>
      </c>
      <c r="G3775" s="3" t="s">
        <v>64</v>
      </c>
      <c r="I3775" s="3" t="s">
        <v>64</v>
      </c>
      <c r="J3775" s="3" t="s">
        <v>128</v>
      </c>
      <c r="K3775" s="3" t="s">
        <v>65</v>
      </c>
      <c r="L3775" s="2" t="s">
        <v>37742</v>
      </c>
      <c r="M3775" s="2" t="s">
        <v>37751</v>
      </c>
      <c r="N3775" s="3" t="s">
        <v>101</v>
      </c>
      <c r="P3775" s="3" t="s">
        <v>102</v>
      </c>
      <c r="Q3775" s="2" t="s">
        <v>37752</v>
      </c>
      <c r="R3775" s="3" t="s">
        <v>70</v>
      </c>
      <c r="S3775" s="4">
        <v>5</v>
      </c>
      <c r="T3775" s="4">
        <v>5</v>
      </c>
      <c r="U3775" s="5" t="s">
        <v>9939</v>
      </c>
      <c r="V3775" s="5" t="s">
        <v>9939</v>
      </c>
      <c r="W3775" s="5" t="s">
        <v>72</v>
      </c>
      <c r="X3775" s="5" t="s">
        <v>72</v>
      </c>
      <c r="Y3775" s="4">
        <v>84</v>
      </c>
      <c r="Z3775" s="4">
        <v>8</v>
      </c>
      <c r="AA3775" s="4">
        <v>41</v>
      </c>
      <c r="AB3775" s="4">
        <v>1</v>
      </c>
      <c r="AC3775" s="4">
        <v>4</v>
      </c>
      <c r="AD3775" s="4">
        <v>29</v>
      </c>
      <c r="AE3775" s="4">
        <v>133</v>
      </c>
      <c r="AF3775" s="4">
        <v>0</v>
      </c>
      <c r="AG3775" s="4">
        <v>3</v>
      </c>
      <c r="AH3775" s="4">
        <v>26</v>
      </c>
      <c r="AI3775" s="4">
        <v>108</v>
      </c>
      <c r="AJ3775" s="4">
        <v>3</v>
      </c>
      <c r="AK3775" s="4">
        <v>22</v>
      </c>
      <c r="AL3775" s="4">
        <v>17</v>
      </c>
      <c r="AM3775" s="4">
        <v>58</v>
      </c>
      <c r="AN3775" s="4">
        <v>0</v>
      </c>
      <c r="AO3775" s="4">
        <v>0</v>
      </c>
      <c r="AP3775" s="4">
        <v>6</v>
      </c>
      <c r="AQ3775" s="4">
        <v>31</v>
      </c>
      <c r="AR3775" s="3" t="s">
        <v>64</v>
      </c>
      <c r="AS3775" s="3" t="s">
        <v>64</v>
      </c>
      <c r="AT3775" s="3" t="s">
        <v>64</v>
      </c>
      <c r="AV3775" s="6" t="str">
        <f>HYPERLINK("http://mcgill.on.worldcat.org/oclc/51722854","Catalog Record")</f>
        <v>Catalog Record</v>
      </c>
      <c r="AW3775" s="6" t="str">
        <f>HYPERLINK("http://www.worldcat.org/oclc/51722854","WorldCat Record")</f>
        <v>WorldCat Record</v>
      </c>
      <c r="AX3775" s="3" t="s">
        <v>37743</v>
      </c>
      <c r="AY3775" s="3" t="s">
        <v>37753</v>
      </c>
      <c r="AZ3775" s="3" t="s">
        <v>37754</v>
      </c>
      <c r="BA3775" s="3" t="s">
        <v>37754</v>
      </c>
      <c r="BB3775" s="3" t="s">
        <v>37755</v>
      </c>
      <c r="BC3775" s="3" t="s">
        <v>77</v>
      </c>
      <c r="BD3775" s="3" t="s">
        <v>78</v>
      </c>
      <c r="BE3775" s="3" t="s">
        <v>37756</v>
      </c>
      <c r="BF3775" s="3" t="s">
        <v>37755</v>
      </c>
      <c r="BG3775" s="3" t="s">
        <v>37757</v>
      </c>
      <c r="BH3775">
        <f t="shared" si="88"/>
        <v>0</v>
      </c>
    </row>
    <row r="3776" spans="1:60" ht="58" x14ac:dyDescent="0.35">
      <c r="A3776" s="2" t="s">
        <v>59</v>
      </c>
      <c r="B3776" s="2" t="s">
        <v>60</v>
      </c>
      <c r="C3776" s="2" t="s">
        <v>37758</v>
      </c>
      <c r="D3776" s="2" t="s">
        <v>37759</v>
      </c>
      <c r="E3776" s="2" t="s">
        <v>37760</v>
      </c>
      <c r="G3776" s="3" t="s">
        <v>64</v>
      </c>
      <c r="I3776" s="3" t="s">
        <v>64</v>
      </c>
      <c r="J3776" s="3" t="s">
        <v>64</v>
      </c>
      <c r="K3776" s="3" t="s">
        <v>65</v>
      </c>
      <c r="L3776" s="2" t="s">
        <v>37761</v>
      </c>
      <c r="M3776" s="2" t="s">
        <v>37762</v>
      </c>
      <c r="N3776" s="3" t="s">
        <v>537</v>
      </c>
      <c r="P3776" s="3" t="s">
        <v>1479</v>
      </c>
      <c r="Q3776" s="2" t="s">
        <v>37763</v>
      </c>
      <c r="R3776" s="3" t="s">
        <v>70</v>
      </c>
      <c r="S3776" s="4">
        <v>0</v>
      </c>
      <c r="T3776" s="4">
        <v>0</v>
      </c>
      <c r="W3776" s="5" t="s">
        <v>72</v>
      </c>
      <c r="X3776" s="5" t="s">
        <v>72</v>
      </c>
      <c r="Y3776" s="4">
        <v>64</v>
      </c>
      <c r="Z3776" s="4">
        <v>6</v>
      </c>
      <c r="AA3776" s="4">
        <v>6</v>
      </c>
      <c r="AB3776" s="4">
        <v>1</v>
      </c>
      <c r="AC3776" s="4">
        <v>1</v>
      </c>
      <c r="AD3776" s="4">
        <v>45</v>
      </c>
      <c r="AE3776" s="4">
        <v>47</v>
      </c>
      <c r="AF3776" s="4">
        <v>0</v>
      </c>
      <c r="AG3776" s="4">
        <v>0</v>
      </c>
      <c r="AH3776" s="4">
        <v>43</v>
      </c>
      <c r="AI3776" s="4">
        <v>45</v>
      </c>
      <c r="AJ3776" s="4">
        <v>5</v>
      </c>
      <c r="AK3776" s="4">
        <v>5</v>
      </c>
      <c r="AL3776" s="4">
        <v>30</v>
      </c>
      <c r="AM3776" s="4">
        <v>31</v>
      </c>
      <c r="AN3776" s="4">
        <v>0</v>
      </c>
      <c r="AO3776" s="4">
        <v>0</v>
      </c>
      <c r="AP3776" s="4">
        <v>5</v>
      </c>
      <c r="AQ3776" s="4">
        <v>5</v>
      </c>
      <c r="AR3776" s="3" t="s">
        <v>64</v>
      </c>
      <c r="AS3776" s="3" t="s">
        <v>64</v>
      </c>
      <c r="AT3776" s="3" t="s">
        <v>64</v>
      </c>
      <c r="AV3776" s="6" t="str">
        <f>HYPERLINK("http://mcgill.on.worldcat.org/oclc/948940876","Catalog Record")</f>
        <v>Catalog Record</v>
      </c>
      <c r="AW3776" s="6" t="str">
        <f>HYPERLINK("http://www.worldcat.org/oclc/948940876","WorldCat Record")</f>
        <v>WorldCat Record</v>
      </c>
      <c r="AX3776" s="3" t="s">
        <v>37764</v>
      </c>
      <c r="AY3776" s="3" t="s">
        <v>37765</v>
      </c>
      <c r="AZ3776" s="3" t="s">
        <v>37766</v>
      </c>
      <c r="BA3776" s="3" t="s">
        <v>37766</v>
      </c>
      <c r="BB3776" s="3" t="s">
        <v>37767</v>
      </c>
      <c r="BC3776" s="3" t="s">
        <v>77</v>
      </c>
      <c r="BD3776" s="3" t="s">
        <v>78</v>
      </c>
      <c r="BE3776" s="3" t="s">
        <v>37768</v>
      </c>
      <c r="BF3776" s="3" t="s">
        <v>37767</v>
      </c>
      <c r="BG3776" s="3" t="s">
        <v>37769</v>
      </c>
      <c r="BH3776">
        <f t="shared" si="88"/>
        <v>0</v>
      </c>
    </row>
    <row r="3777" spans="1:60" ht="58" x14ac:dyDescent="0.35">
      <c r="A3777" s="2" t="s">
        <v>59</v>
      </c>
      <c r="B3777" s="2" t="s">
        <v>60</v>
      </c>
      <c r="C3777" s="2" t="s">
        <v>37770</v>
      </c>
      <c r="D3777" s="2" t="s">
        <v>37771</v>
      </c>
      <c r="E3777" s="2" t="s">
        <v>37772</v>
      </c>
      <c r="G3777" s="3" t="s">
        <v>64</v>
      </c>
      <c r="I3777" s="3" t="s">
        <v>64</v>
      </c>
      <c r="J3777" s="3" t="s">
        <v>64</v>
      </c>
      <c r="K3777" s="3" t="s">
        <v>65</v>
      </c>
      <c r="L3777" s="2" t="s">
        <v>872</v>
      </c>
      <c r="M3777" s="2" t="s">
        <v>37773</v>
      </c>
      <c r="N3777" s="3" t="s">
        <v>253</v>
      </c>
      <c r="P3777" s="3" t="s">
        <v>102</v>
      </c>
      <c r="R3777" s="3" t="s">
        <v>70</v>
      </c>
      <c r="S3777" s="4">
        <v>0</v>
      </c>
      <c r="T3777" s="4">
        <v>0</v>
      </c>
      <c r="W3777" s="5" t="s">
        <v>72</v>
      </c>
      <c r="X3777" s="5" t="s">
        <v>72</v>
      </c>
      <c r="Y3777" s="4">
        <v>57</v>
      </c>
      <c r="Z3777" s="4">
        <v>7</v>
      </c>
      <c r="AA3777" s="4">
        <v>7</v>
      </c>
      <c r="AB3777" s="4">
        <v>1</v>
      </c>
      <c r="AC3777" s="4">
        <v>1</v>
      </c>
      <c r="AD3777" s="4">
        <v>23</v>
      </c>
      <c r="AE3777" s="4">
        <v>23</v>
      </c>
      <c r="AF3777" s="4">
        <v>0</v>
      </c>
      <c r="AG3777" s="4">
        <v>0</v>
      </c>
      <c r="AH3777" s="4">
        <v>21</v>
      </c>
      <c r="AI3777" s="4">
        <v>21</v>
      </c>
      <c r="AJ3777" s="4">
        <v>4</v>
      </c>
      <c r="AK3777" s="4">
        <v>4</v>
      </c>
      <c r="AL3777" s="4">
        <v>16</v>
      </c>
      <c r="AM3777" s="4">
        <v>16</v>
      </c>
      <c r="AN3777" s="4">
        <v>0</v>
      </c>
      <c r="AO3777" s="4">
        <v>0</v>
      </c>
      <c r="AP3777" s="4">
        <v>4</v>
      </c>
      <c r="AQ3777" s="4">
        <v>4</v>
      </c>
      <c r="AR3777" s="3" t="s">
        <v>64</v>
      </c>
      <c r="AS3777" s="3" t="s">
        <v>64</v>
      </c>
      <c r="AT3777" s="3" t="s">
        <v>64</v>
      </c>
      <c r="AV3777" s="6" t="str">
        <f>HYPERLINK("http://mcgill.on.worldcat.org/oclc/897001558","Catalog Record")</f>
        <v>Catalog Record</v>
      </c>
      <c r="AW3777" s="6" t="str">
        <f>HYPERLINK("http://www.worldcat.org/oclc/897001558","WorldCat Record")</f>
        <v>WorldCat Record</v>
      </c>
      <c r="AX3777" s="3" t="s">
        <v>37774</v>
      </c>
      <c r="AY3777" s="3" t="s">
        <v>37775</v>
      </c>
      <c r="AZ3777" s="3" t="s">
        <v>37776</v>
      </c>
      <c r="BA3777" s="3" t="s">
        <v>37776</v>
      </c>
      <c r="BB3777" s="3" t="s">
        <v>37777</v>
      </c>
      <c r="BC3777" s="3" t="s">
        <v>77</v>
      </c>
      <c r="BD3777" s="3" t="s">
        <v>78</v>
      </c>
      <c r="BE3777" s="3" t="s">
        <v>37778</v>
      </c>
      <c r="BF3777" s="3" t="s">
        <v>37777</v>
      </c>
      <c r="BG3777" s="3" t="s">
        <v>37779</v>
      </c>
      <c r="BH3777">
        <f t="shared" si="88"/>
        <v>0</v>
      </c>
    </row>
    <row r="3778" spans="1:60" ht="72.5" x14ac:dyDescent="0.35">
      <c r="A3778" s="2" t="s">
        <v>59</v>
      </c>
      <c r="B3778" s="2" t="s">
        <v>60</v>
      </c>
      <c r="C3778" s="2" t="s">
        <v>37780</v>
      </c>
      <c r="D3778" s="2" t="s">
        <v>37781</v>
      </c>
      <c r="E3778" s="2" t="s">
        <v>37782</v>
      </c>
      <c r="G3778" s="3" t="s">
        <v>64</v>
      </c>
      <c r="I3778" s="3" t="s">
        <v>64</v>
      </c>
      <c r="J3778" s="3" t="s">
        <v>64</v>
      </c>
      <c r="K3778" s="3" t="s">
        <v>65</v>
      </c>
      <c r="L3778" s="2" t="s">
        <v>37783</v>
      </c>
      <c r="M3778" s="2" t="s">
        <v>11766</v>
      </c>
      <c r="N3778" s="3" t="s">
        <v>67</v>
      </c>
      <c r="P3778" s="3" t="s">
        <v>102</v>
      </c>
      <c r="R3778" s="3" t="s">
        <v>70</v>
      </c>
      <c r="S3778" s="4">
        <v>1</v>
      </c>
      <c r="T3778" s="4">
        <v>1</v>
      </c>
      <c r="U3778" s="5" t="s">
        <v>37784</v>
      </c>
      <c r="V3778" s="5" t="s">
        <v>37784</v>
      </c>
      <c r="W3778" s="5" t="s">
        <v>72</v>
      </c>
      <c r="X3778" s="5" t="s">
        <v>72</v>
      </c>
      <c r="Y3778" s="4">
        <v>464</v>
      </c>
      <c r="Z3778" s="4">
        <v>23</v>
      </c>
      <c r="AA3778" s="4">
        <v>98</v>
      </c>
      <c r="AB3778" s="4">
        <v>2</v>
      </c>
      <c r="AC3778" s="4">
        <v>18</v>
      </c>
      <c r="AD3778" s="4">
        <v>66</v>
      </c>
      <c r="AE3778" s="4">
        <v>135</v>
      </c>
      <c r="AF3778" s="4">
        <v>1</v>
      </c>
      <c r="AG3778" s="4">
        <v>9</v>
      </c>
      <c r="AH3778" s="4">
        <v>56</v>
      </c>
      <c r="AI3778" s="4">
        <v>94</v>
      </c>
      <c r="AJ3778" s="4">
        <v>7</v>
      </c>
      <c r="AK3778" s="4">
        <v>22</v>
      </c>
      <c r="AL3778" s="4">
        <v>36</v>
      </c>
      <c r="AM3778" s="4">
        <v>51</v>
      </c>
      <c r="AN3778" s="4">
        <v>0</v>
      </c>
      <c r="AO3778" s="4">
        <v>0</v>
      </c>
      <c r="AP3778" s="4">
        <v>8</v>
      </c>
      <c r="AQ3778" s="4">
        <v>43</v>
      </c>
      <c r="AR3778" s="3" t="s">
        <v>64</v>
      </c>
      <c r="AS3778" s="3" t="s">
        <v>64</v>
      </c>
      <c r="AT3778" s="3" t="s">
        <v>64</v>
      </c>
      <c r="AV3778" s="6" t="str">
        <f>HYPERLINK("http://mcgill.on.worldcat.org/oclc/861478071","Catalog Record")</f>
        <v>Catalog Record</v>
      </c>
      <c r="AW3778" s="6" t="str">
        <f>HYPERLINK("http://www.worldcat.org/oclc/861478071","WorldCat Record")</f>
        <v>WorldCat Record</v>
      </c>
      <c r="AX3778" s="3" t="s">
        <v>37785</v>
      </c>
      <c r="AY3778" s="3" t="s">
        <v>37786</v>
      </c>
      <c r="AZ3778" s="3" t="s">
        <v>37787</v>
      </c>
      <c r="BA3778" s="3" t="s">
        <v>37787</v>
      </c>
      <c r="BB3778" s="3" t="s">
        <v>37788</v>
      </c>
      <c r="BC3778" s="3" t="s">
        <v>77</v>
      </c>
      <c r="BD3778" s="3" t="s">
        <v>78</v>
      </c>
      <c r="BE3778" s="3" t="s">
        <v>37789</v>
      </c>
      <c r="BF3778" s="3" t="s">
        <v>37788</v>
      </c>
      <c r="BG3778" s="3" t="s">
        <v>37790</v>
      </c>
      <c r="BH3778">
        <f t="shared" ref="BH3778:BH3841" si="89">IF(COUNTIF($BF$1:$BF$5431,BF3778)=1,0,1)</f>
        <v>0</v>
      </c>
    </row>
    <row r="3779" spans="1:60" ht="58" x14ac:dyDescent="0.35">
      <c r="A3779" s="2" t="s">
        <v>59</v>
      </c>
      <c r="B3779" s="2" t="s">
        <v>60</v>
      </c>
      <c r="C3779" s="2" t="s">
        <v>37791</v>
      </c>
      <c r="D3779" s="2" t="s">
        <v>37792</v>
      </c>
      <c r="E3779" s="2" t="s">
        <v>37793</v>
      </c>
      <c r="G3779" s="3" t="s">
        <v>64</v>
      </c>
      <c r="I3779" s="3" t="s">
        <v>64</v>
      </c>
      <c r="J3779" s="3" t="s">
        <v>64</v>
      </c>
      <c r="K3779" s="3" t="s">
        <v>65</v>
      </c>
      <c r="L3779" s="2" t="s">
        <v>36261</v>
      </c>
      <c r="M3779" s="2" t="s">
        <v>37794</v>
      </c>
      <c r="N3779" s="3" t="s">
        <v>171</v>
      </c>
      <c r="P3779" s="3" t="s">
        <v>365</v>
      </c>
      <c r="Q3779" s="2" t="s">
        <v>37795</v>
      </c>
      <c r="R3779" s="3" t="s">
        <v>70</v>
      </c>
      <c r="S3779" s="4">
        <v>1</v>
      </c>
      <c r="T3779" s="4">
        <v>1</v>
      </c>
      <c r="U3779" s="5" t="s">
        <v>37796</v>
      </c>
      <c r="V3779" s="5" t="s">
        <v>37796</v>
      </c>
      <c r="W3779" s="5" t="s">
        <v>72</v>
      </c>
      <c r="X3779" s="5" t="s">
        <v>72</v>
      </c>
      <c r="Y3779" s="4">
        <v>62</v>
      </c>
      <c r="Z3779" s="4">
        <v>5</v>
      </c>
      <c r="AA3779" s="4">
        <v>5</v>
      </c>
      <c r="AB3779" s="4">
        <v>1</v>
      </c>
      <c r="AC3779" s="4">
        <v>1</v>
      </c>
      <c r="AD3779" s="4">
        <v>29</v>
      </c>
      <c r="AE3779" s="4">
        <v>29</v>
      </c>
      <c r="AF3779" s="4">
        <v>0</v>
      </c>
      <c r="AG3779" s="4">
        <v>0</v>
      </c>
      <c r="AH3779" s="4">
        <v>28</v>
      </c>
      <c r="AI3779" s="4">
        <v>28</v>
      </c>
      <c r="AJ3779" s="4">
        <v>1</v>
      </c>
      <c r="AK3779" s="4">
        <v>1</v>
      </c>
      <c r="AL3779" s="4">
        <v>22</v>
      </c>
      <c r="AM3779" s="4">
        <v>22</v>
      </c>
      <c r="AN3779" s="4">
        <v>5</v>
      </c>
      <c r="AO3779" s="4">
        <v>5</v>
      </c>
      <c r="AP3779" s="4">
        <v>1</v>
      </c>
      <c r="AQ3779" s="4">
        <v>1</v>
      </c>
      <c r="AR3779" s="3" t="s">
        <v>64</v>
      </c>
      <c r="AS3779" s="3" t="s">
        <v>64</v>
      </c>
      <c r="AT3779" s="3" t="s">
        <v>128</v>
      </c>
      <c r="AU3779" s="6" t="str">
        <f>HYPERLINK("http://catalog.hathitrust.org/Record/005423568","HathiTrust Record")</f>
        <v>HathiTrust Record</v>
      </c>
      <c r="AV3779" s="6" t="str">
        <f>HYPERLINK("http://mcgill.on.worldcat.org/oclc/76000825","Catalog Record")</f>
        <v>Catalog Record</v>
      </c>
      <c r="AW3779" s="6" t="str">
        <f>HYPERLINK("http://www.worldcat.org/oclc/76000825","WorldCat Record")</f>
        <v>WorldCat Record</v>
      </c>
      <c r="AX3779" s="3" t="s">
        <v>37797</v>
      </c>
      <c r="AY3779" s="3" t="s">
        <v>37798</v>
      </c>
      <c r="AZ3779" s="3" t="s">
        <v>37799</v>
      </c>
      <c r="BA3779" s="3" t="s">
        <v>37799</v>
      </c>
      <c r="BB3779" s="3" t="s">
        <v>37800</v>
      </c>
      <c r="BC3779" s="3" t="s">
        <v>77</v>
      </c>
      <c r="BD3779" s="3" t="s">
        <v>78</v>
      </c>
      <c r="BE3779" s="3" t="s">
        <v>37801</v>
      </c>
      <c r="BF3779" s="3" t="s">
        <v>37800</v>
      </c>
      <c r="BG3779" s="3" t="s">
        <v>37802</v>
      </c>
      <c r="BH3779">
        <f t="shared" si="89"/>
        <v>0</v>
      </c>
    </row>
    <row r="3780" spans="1:60" ht="58" x14ac:dyDescent="0.35">
      <c r="A3780" s="2" t="s">
        <v>59</v>
      </c>
      <c r="B3780" s="2" t="s">
        <v>60</v>
      </c>
      <c r="C3780" s="2" t="s">
        <v>37803</v>
      </c>
      <c r="D3780" s="2" t="s">
        <v>37804</v>
      </c>
      <c r="E3780" s="2" t="s">
        <v>37805</v>
      </c>
      <c r="G3780" s="3" t="s">
        <v>64</v>
      </c>
      <c r="I3780" s="3" t="s">
        <v>64</v>
      </c>
      <c r="J3780" s="3" t="s">
        <v>64</v>
      </c>
      <c r="K3780" s="3" t="s">
        <v>65</v>
      </c>
      <c r="L3780" s="2" t="s">
        <v>37806</v>
      </c>
      <c r="M3780" s="2" t="s">
        <v>37807</v>
      </c>
      <c r="N3780" s="3" t="s">
        <v>511</v>
      </c>
      <c r="P3780" s="3" t="s">
        <v>102</v>
      </c>
      <c r="R3780" s="3" t="s">
        <v>70</v>
      </c>
      <c r="S3780" s="4">
        <v>0</v>
      </c>
      <c r="T3780" s="4">
        <v>0</v>
      </c>
      <c r="W3780" s="5" t="s">
        <v>72</v>
      </c>
      <c r="X3780" s="5" t="s">
        <v>72</v>
      </c>
      <c r="Y3780" s="4">
        <v>39</v>
      </c>
      <c r="Z3780" s="4">
        <v>4</v>
      </c>
      <c r="AA3780" s="4">
        <v>13</v>
      </c>
      <c r="AB3780" s="4">
        <v>1</v>
      </c>
      <c r="AC3780" s="4">
        <v>1</v>
      </c>
      <c r="AD3780" s="4">
        <v>14</v>
      </c>
      <c r="AE3780" s="4">
        <v>18</v>
      </c>
      <c r="AF3780" s="4">
        <v>0</v>
      </c>
      <c r="AG3780" s="4">
        <v>0</v>
      </c>
      <c r="AH3780" s="4">
        <v>13</v>
      </c>
      <c r="AI3780" s="4">
        <v>15</v>
      </c>
      <c r="AJ3780" s="4">
        <v>1</v>
      </c>
      <c r="AK3780" s="4">
        <v>3</v>
      </c>
      <c r="AL3780" s="4">
        <v>11</v>
      </c>
      <c r="AM3780" s="4">
        <v>11</v>
      </c>
      <c r="AN3780" s="4">
        <v>0</v>
      </c>
      <c r="AO3780" s="4">
        <v>0</v>
      </c>
      <c r="AP3780" s="4">
        <v>1</v>
      </c>
      <c r="AQ3780" s="4">
        <v>5</v>
      </c>
      <c r="AR3780" s="3" t="s">
        <v>64</v>
      </c>
      <c r="AS3780" s="3" t="s">
        <v>64</v>
      </c>
      <c r="AT3780" s="3" t="s">
        <v>64</v>
      </c>
      <c r="AV3780" s="6" t="str">
        <f>HYPERLINK("http://mcgill.on.worldcat.org/oclc/586123221","Catalog Record")</f>
        <v>Catalog Record</v>
      </c>
      <c r="AW3780" s="6" t="str">
        <f>HYPERLINK("http://www.worldcat.org/oclc/586123221","WorldCat Record")</f>
        <v>WorldCat Record</v>
      </c>
      <c r="AX3780" s="3" t="s">
        <v>37808</v>
      </c>
      <c r="AY3780" s="3" t="s">
        <v>37809</v>
      </c>
      <c r="AZ3780" s="3" t="s">
        <v>37810</v>
      </c>
      <c r="BA3780" s="3" t="s">
        <v>37810</v>
      </c>
      <c r="BB3780" s="3" t="s">
        <v>37811</v>
      </c>
      <c r="BC3780" s="3" t="s">
        <v>77</v>
      </c>
      <c r="BD3780" s="3" t="s">
        <v>78</v>
      </c>
      <c r="BE3780" s="3" t="s">
        <v>37812</v>
      </c>
      <c r="BF3780" s="3" t="s">
        <v>37811</v>
      </c>
      <c r="BG3780" s="3" t="s">
        <v>37813</v>
      </c>
      <c r="BH3780">
        <f t="shared" si="89"/>
        <v>0</v>
      </c>
    </row>
    <row r="3781" spans="1:60" ht="58" x14ac:dyDescent="0.35">
      <c r="A3781" s="2" t="s">
        <v>59</v>
      </c>
      <c r="B3781" s="2" t="s">
        <v>60</v>
      </c>
      <c r="C3781" s="2" t="s">
        <v>37814</v>
      </c>
      <c r="D3781" s="2" t="s">
        <v>37815</v>
      </c>
      <c r="E3781" s="2" t="s">
        <v>37816</v>
      </c>
      <c r="G3781" s="3" t="s">
        <v>64</v>
      </c>
      <c r="I3781" s="3" t="s">
        <v>64</v>
      </c>
      <c r="J3781" s="3" t="s">
        <v>64</v>
      </c>
      <c r="K3781" s="3" t="s">
        <v>65</v>
      </c>
      <c r="L3781" s="2" t="s">
        <v>37817</v>
      </c>
      <c r="M3781" s="2" t="s">
        <v>37818</v>
      </c>
      <c r="N3781" s="3" t="s">
        <v>6324</v>
      </c>
      <c r="P3781" s="3" t="s">
        <v>102</v>
      </c>
      <c r="R3781" s="3" t="s">
        <v>70</v>
      </c>
      <c r="S3781" s="4">
        <v>2</v>
      </c>
      <c r="T3781" s="4">
        <v>2</v>
      </c>
      <c r="U3781" s="5" t="s">
        <v>37819</v>
      </c>
      <c r="V3781" s="5" t="s">
        <v>37819</v>
      </c>
      <c r="W3781" s="5" t="s">
        <v>72</v>
      </c>
      <c r="X3781" s="5" t="s">
        <v>72</v>
      </c>
      <c r="Y3781" s="4">
        <v>174</v>
      </c>
      <c r="Z3781" s="4">
        <v>16</v>
      </c>
      <c r="AA3781" s="4">
        <v>24</v>
      </c>
      <c r="AB3781" s="4">
        <v>1</v>
      </c>
      <c r="AC3781" s="4">
        <v>2</v>
      </c>
      <c r="AD3781" s="4">
        <v>74</v>
      </c>
      <c r="AE3781" s="4">
        <v>87</v>
      </c>
      <c r="AF3781" s="4">
        <v>0</v>
      </c>
      <c r="AG3781" s="4">
        <v>1</v>
      </c>
      <c r="AH3781" s="4">
        <v>62</v>
      </c>
      <c r="AI3781" s="4">
        <v>73</v>
      </c>
      <c r="AJ3781" s="4">
        <v>14</v>
      </c>
      <c r="AK3781" s="4">
        <v>18</v>
      </c>
      <c r="AL3781" s="4">
        <v>39</v>
      </c>
      <c r="AM3781" s="4">
        <v>44</v>
      </c>
      <c r="AN3781" s="4">
        <v>0</v>
      </c>
      <c r="AO3781" s="4">
        <v>0</v>
      </c>
      <c r="AP3781" s="4">
        <v>14</v>
      </c>
      <c r="AQ3781" s="4">
        <v>19</v>
      </c>
      <c r="AR3781" s="3" t="s">
        <v>64</v>
      </c>
      <c r="AS3781" s="3" t="s">
        <v>64</v>
      </c>
      <c r="AT3781" s="3" t="s">
        <v>128</v>
      </c>
      <c r="AU3781" s="6" t="str">
        <f>HYPERLINK("http://catalog.hathitrust.org/Record/001762161","HathiTrust Record")</f>
        <v>HathiTrust Record</v>
      </c>
      <c r="AV3781" s="6" t="str">
        <f>HYPERLINK("http://mcgill.on.worldcat.org/oclc/1392583","Catalog Record")</f>
        <v>Catalog Record</v>
      </c>
      <c r="AW3781" s="6" t="str">
        <f>HYPERLINK("http://www.worldcat.org/oclc/1392583","WorldCat Record")</f>
        <v>WorldCat Record</v>
      </c>
      <c r="AX3781" s="3" t="s">
        <v>37820</v>
      </c>
      <c r="AY3781" s="3" t="s">
        <v>37821</v>
      </c>
      <c r="AZ3781" s="3" t="s">
        <v>37822</v>
      </c>
      <c r="BA3781" s="3" t="s">
        <v>37822</v>
      </c>
      <c r="BB3781" s="3" t="s">
        <v>37823</v>
      </c>
      <c r="BC3781" s="3" t="s">
        <v>77</v>
      </c>
      <c r="BD3781" s="3" t="s">
        <v>78</v>
      </c>
      <c r="BF3781" s="3" t="s">
        <v>37823</v>
      </c>
      <c r="BG3781" s="3" t="s">
        <v>37824</v>
      </c>
      <c r="BH3781">
        <f t="shared" si="89"/>
        <v>0</v>
      </c>
    </row>
    <row r="3782" spans="1:60" ht="58" x14ac:dyDescent="0.35">
      <c r="A3782" s="2" t="s">
        <v>59</v>
      </c>
      <c r="B3782" s="2" t="s">
        <v>60</v>
      </c>
      <c r="C3782" s="2" t="s">
        <v>37825</v>
      </c>
      <c r="D3782" s="2" t="s">
        <v>37826</v>
      </c>
      <c r="E3782" s="2" t="s">
        <v>37827</v>
      </c>
      <c r="G3782" s="3" t="s">
        <v>64</v>
      </c>
      <c r="I3782" s="3" t="s">
        <v>64</v>
      </c>
      <c r="J3782" s="3" t="s">
        <v>64</v>
      </c>
      <c r="K3782" s="3" t="s">
        <v>65</v>
      </c>
      <c r="L3782" s="2" t="s">
        <v>35993</v>
      </c>
      <c r="M3782" s="2" t="s">
        <v>37828</v>
      </c>
      <c r="N3782" s="3" t="s">
        <v>1750</v>
      </c>
      <c r="P3782" s="3" t="s">
        <v>102</v>
      </c>
      <c r="R3782" s="3" t="s">
        <v>70</v>
      </c>
      <c r="S3782" s="4">
        <v>6</v>
      </c>
      <c r="T3782" s="4">
        <v>6</v>
      </c>
      <c r="U3782" s="5" t="s">
        <v>3796</v>
      </c>
      <c r="V3782" s="5" t="s">
        <v>3796</v>
      </c>
      <c r="W3782" s="5" t="s">
        <v>72</v>
      </c>
      <c r="X3782" s="5" t="s">
        <v>72</v>
      </c>
      <c r="Y3782" s="4">
        <v>485</v>
      </c>
      <c r="Z3782" s="4">
        <v>30</v>
      </c>
      <c r="AA3782" s="4">
        <v>34</v>
      </c>
      <c r="AB3782" s="4">
        <v>2</v>
      </c>
      <c r="AC3782" s="4">
        <v>3</v>
      </c>
      <c r="AD3782" s="4">
        <v>115</v>
      </c>
      <c r="AE3782" s="4">
        <v>118</v>
      </c>
      <c r="AF3782" s="4">
        <v>1</v>
      </c>
      <c r="AG3782" s="4">
        <v>2</v>
      </c>
      <c r="AH3782" s="4">
        <v>100</v>
      </c>
      <c r="AI3782" s="4">
        <v>102</v>
      </c>
      <c r="AJ3782" s="4">
        <v>19</v>
      </c>
      <c r="AK3782" s="4">
        <v>20</v>
      </c>
      <c r="AL3782" s="4">
        <v>51</v>
      </c>
      <c r="AM3782" s="4">
        <v>53</v>
      </c>
      <c r="AN3782" s="4">
        <v>0</v>
      </c>
      <c r="AO3782" s="4">
        <v>0</v>
      </c>
      <c r="AP3782" s="4">
        <v>23</v>
      </c>
      <c r="AQ3782" s="4">
        <v>23</v>
      </c>
      <c r="AR3782" s="3" t="s">
        <v>64</v>
      </c>
      <c r="AS3782" s="3" t="s">
        <v>64</v>
      </c>
      <c r="AT3782" s="3" t="s">
        <v>128</v>
      </c>
      <c r="AU3782" s="6" t="str">
        <f>HYPERLINK("http://catalog.hathitrust.org/Record/000731163","HathiTrust Record")</f>
        <v>HathiTrust Record</v>
      </c>
      <c r="AV3782" s="6" t="str">
        <f>HYPERLINK("http://mcgill.on.worldcat.org/oclc/1046845","Catalog Record")</f>
        <v>Catalog Record</v>
      </c>
      <c r="AW3782" s="6" t="str">
        <f>HYPERLINK("http://www.worldcat.org/oclc/1046845","WorldCat Record")</f>
        <v>WorldCat Record</v>
      </c>
      <c r="AX3782" s="3" t="s">
        <v>37829</v>
      </c>
      <c r="AY3782" s="3" t="s">
        <v>37830</v>
      </c>
      <c r="AZ3782" s="3" t="s">
        <v>37831</v>
      </c>
      <c r="BA3782" s="3" t="s">
        <v>37831</v>
      </c>
      <c r="BB3782" s="3" t="s">
        <v>37832</v>
      </c>
      <c r="BC3782" s="3" t="s">
        <v>77</v>
      </c>
      <c r="BD3782" s="3" t="s">
        <v>78</v>
      </c>
      <c r="BE3782" s="3" t="s">
        <v>37833</v>
      </c>
      <c r="BF3782" s="3" t="s">
        <v>37832</v>
      </c>
      <c r="BG3782" s="3" t="s">
        <v>37834</v>
      </c>
      <c r="BH3782">
        <f t="shared" si="89"/>
        <v>0</v>
      </c>
    </row>
    <row r="3783" spans="1:60" ht="58" x14ac:dyDescent="0.35">
      <c r="A3783" s="2" t="s">
        <v>59</v>
      </c>
      <c r="B3783" s="2" t="s">
        <v>60</v>
      </c>
      <c r="C3783" s="2" t="s">
        <v>37835</v>
      </c>
      <c r="D3783" s="2" t="s">
        <v>37836</v>
      </c>
      <c r="E3783" s="2" t="s">
        <v>37837</v>
      </c>
      <c r="G3783" s="3" t="s">
        <v>64</v>
      </c>
      <c r="I3783" s="3" t="s">
        <v>64</v>
      </c>
      <c r="J3783" s="3" t="s">
        <v>64</v>
      </c>
      <c r="K3783" s="3" t="s">
        <v>65</v>
      </c>
      <c r="L3783" s="2" t="s">
        <v>37838</v>
      </c>
      <c r="M3783" s="2" t="s">
        <v>37839</v>
      </c>
      <c r="N3783" s="3" t="s">
        <v>511</v>
      </c>
      <c r="P3783" s="3" t="s">
        <v>68</v>
      </c>
      <c r="Q3783" s="2" t="s">
        <v>37840</v>
      </c>
      <c r="R3783" s="3" t="s">
        <v>70</v>
      </c>
      <c r="S3783" s="4">
        <v>1</v>
      </c>
      <c r="T3783" s="4">
        <v>1</v>
      </c>
      <c r="U3783" s="5" t="s">
        <v>9333</v>
      </c>
      <c r="V3783" s="5" t="s">
        <v>9333</v>
      </c>
      <c r="W3783" s="5" t="s">
        <v>72</v>
      </c>
      <c r="X3783" s="5" t="s">
        <v>72</v>
      </c>
      <c r="Y3783" s="4">
        <v>30</v>
      </c>
      <c r="Z3783" s="4">
        <v>23</v>
      </c>
      <c r="AA3783" s="4">
        <v>28</v>
      </c>
      <c r="AB3783" s="4">
        <v>12</v>
      </c>
      <c r="AC3783" s="4">
        <v>12</v>
      </c>
      <c r="AD3783" s="4">
        <v>14</v>
      </c>
      <c r="AE3783" s="4">
        <v>20</v>
      </c>
      <c r="AF3783" s="4">
        <v>5</v>
      </c>
      <c r="AG3783" s="4">
        <v>5</v>
      </c>
      <c r="AH3783" s="4">
        <v>6</v>
      </c>
      <c r="AI3783" s="4">
        <v>9</v>
      </c>
      <c r="AJ3783" s="4">
        <v>10</v>
      </c>
      <c r="AK3783" s="4">
        <v>13</v>
      </c>
      <c r="AL3783" s="4">
        <v>3</v>
      </c>
      <c r="AM3783" s="4">
        <v>4</v>
      </c>
      <c r="AN3783" s="4">
        <v>0</v>
      </c>
      <c r="AO3783" s="4">
        <v>0</v>
      </c>
      <c r="AP3783" s="4">
        <v>10</v>
      </c>
      <c r="AQ3783" s="4">
        <v>15</v>
      </c>
      <c r="AR3783" s="3" t="s">
        <v>128</v>
      </c>
      <c r="AS3783" s="3" t="s">
        <v>64</v>
      </c>
      <c r="AT3783" s="3" t="s">
        <v>64</v>
      </c>
      <c r="AV3783" s="6" t="str">
        <f>HYPERLINK("http://mcgill.on.worldcat.org/oclc/495090486","Catalog Record")</f>
        <v>Catalog Record</v>
      </c>
      <c r="AW3783" s="6" t="str">
        <f>HYPERLINK("http://www.worldcat.org/oclc/495090486","WorldCat Record")</f>
        <v>WorldCat Record</v>
      </c>
      <c r="AX3783" s="3" t="s">
        <v>37841</v>
      </c>
      <c r="AY3783" s="3" t="s">
        <v>37842</v>
      </c>
      <c r="AZ3783" s="3" t="s">
        <v>37843</v>
      </c>
      <c r="BA3783" s="3" t="s">
        <v>37843</v>
      </c>
      <c r="BB3783" s="3" t="s">
        <v>37844</v>
      </c>
      <c r="BC3783" s="3" t="s">
        <v>77</v>
      </c>
      <c r="BD3783" s="3" t="s">
        <v>78</v>
      </c>
      <c r="BE3783" s="3" t="s">
        <v>37845</v>
      </c>
      <c r="BF3783" s="3" t="s">
        <v>37844</v>
      </c>
      <c r="BG3783" s="3" t="s">
        <v>37846</v>
      </c>
      <c r="BH3783">
        <f t="shared" si="89"/>
        <v>0</v>
      </c>
    </row>
    <row r="3784" spans="1:60" ht="58" x14ac:dyDescent="0.35">
      <c r="A3784" s="2" t="s">
        <v>59</v>
      </c>
      <c r="B3784" s="2" t="s">
        <v>60</v>
      </c>
      <c r="C3784" s="2" t="s">
        <v>37847</v>
      </c>
      <c r="D3784" s="2" t="s">
        <v>37848</v>
      </c>
      <c r="E3784" s="2" t="s">
        <v>37849</v>
      </c>
      <c r="G3784" s="3" t="s">
        <v>64</v>
      </c>
      <c r="I3784" s="3" t="s">
        <v>64</v>
      </c>
      <c r="J3784" s="3" t="s">
        <v>64</v>
      </c>
      <c r="K3784" s="3" t="s">
        <v>65</v>
      </c>
      <c r="L3784" s="2" t="s">
        <v>36150</v>
      </c>
      <c r="M3784" s="2" t="s">
        <v>37850</v>
      </c>
      <c r="N3784" s="3" t="s">
        <v>159</v>
      </c>
      <c r="P3784" s="3" t="s">
        <v>102</v>
      </c>
      <c r="Q3784" s="2" t="s">
        <v>3876</v>
      </c>
      <c r="R3784" s="3" t="s">
        <v>70</v>
      </c>
      <c r="S3784" s="4">
        <v>49</v>
      </c>
      <c r="T3784" s="4">
        <v>49</v>
      </c>
      <c r="U3784" s="5" t="s">
        <v>445</v>
      </c>
      <c r="V3784" s="5" t="s">
        <v>445</v>
      </c>
      <c r="W3784" s="5" t="s">
        <v>72</v>
      </c>
      <c r="X3784" s="5" t="s">
        <v>72</v>
      </c>
      <c r="Y3784" s="4">
        <v>313</v>
      </c>
      <c r="Z3784" s="4">
        <v>21</v>
      </c>
      <c r="AA3784" s="4">
        <v>21</v>
      </c>
      <c r="AB3784" s="4">
        <v>3</v>
      </c>
      <c r="AC3784" s="4">
        <v>3</v>
      </c>
      <c r="AD3784" s="4">
        <v>103</v>
      </c>
      <c r="AE3784" s="4">
        <v>103</v>
      </c>
      <c r="AF3784" s="4">
        <v>1</v>
      </c>
      <c r="AG3784" s="4">
        <v>1</v>
      </c>
      <c r="AH3784" s="4">
        <v>90</v>
      </c>
      <c r="AI3784" s="4">
        <v>90</v>
      </c>
      <c r="AJ3784" s="4">
        <v>12</v>
      </c>
      <c r="AK3784" s="4">
        <v>12</v>
      </c>
      <c r="AL3784" s="4">
        <v>54</v>
      </c>
      <c r="AM3784" s="4">
        <v>54</v>
      </c>
      <c r="AN3784" s="4">
        <v>0</v>
      </c>
      <c r="AO3784" s="4">
        <v>0</v>
      </c>
      <c r="AP3784" s="4">
        <v>15</v>
      </c>
      <c r="AQ3784" s="4">
        <v>15</v>
      </c>
      <c r="AR3784" s="3" t="s">
        <v>64</v>
      </c>
      <c r="AS3784" s="3" t="s">
        <v>64</v>
      </c>
      <c r="AT3784" s="3" t="s">
        <v>64</v>
      </c>
      <c r="AV3784" s="6" t="str">
        <f>HYPERLINK("http://mcgill.on.worldcat.org/oclc/48140303","Catalog Record")</f>
        <v>Catalog Record</v>
      </c>
      <c r="AW3784" s="6" t="str">
        <f>HYPERLINK("http://www.worldcat.org/oclc/48140303","WorldCat Record")</f>
        <v>WorldCat Record</v>
      </c>
      <c r="AX3784" s="3" t="s">
        <v>37851</v>
      </c>
      <c r="AY3784" s="3" t="s">
        <v>37852</v>
      </c>
      <c r="AZ3784" s="3" t="s">
        <v>37853</v>
      </c>
      <c r="BA3784" s="3" t="s">
        <v>37853</v>
      </c>
      <c r="BB3784" s="3" t="s">
        <v>37854</v>
      </c>
      <c r="BC3784" s="3" t="s">
        <v>77</v>
      </c>
      <c r="BD3784" s="3" t="s">
        <v>165</v>
      </c>
      <c r="BE3784" s="3" t="s">
        <v>37855</v>
      </c>
      <c r="BF3784" s="3" t="s">
        <v>37854</v>
      </c>
      <c r="BG3784" s="3" t="s">
        <v>37856</v>
      </c>
      <c r="BH3784">
        <f t="shared" si="89"/>
        <v>0</v>
      </c>
    </row>
    <row r="3785" spans="1:60" ht="58" x14ac:dyDescent="0.35">
      <c r="A3785" s="2" t="s">
        <v>59</v>
      </c>
      <c r="B3785" s="2" t="s">
        <v>60</v>
      </c>
      <c r="C3785" s="2" t="s">
        <v>37857</v>
      </c>
      <c r="D3785" s="2" t="s">
        <v>37858</v>
      </c>
      <c r="E3785" s="2" t="s">
        <v>36161</v>
      </c>
      <c r="G3785" s="3" t="s">
        <v>64</v>
      </c>
      <c r="I3785" s="3" t="s">
        <v>128</v>
      </c>
      <c r="J3785" s="3" t="s">
        <v>64</v>
      </c>
      <c r="K3785" s="3" t="s">
        <v>65</v>
      </c>
      <c r="L3785" s="2" t="s">
        <v>36162</v>
      </c>
      <c r="M3785" s="2" t="s">
        <v>36163</v>
      </c>
      <c r="N3785" s="3" t="s">
        <v>35668</v>
      </c>
      <c r="P3785" s="3" t="s">
        <v>102</v>
      </c>
      <c r="Q3785" s="2" t="s">
        <v>36164</v>
      </c>
      <c r="R3785" s="3" t="s">
        <v>70</v>
      </c>
      <c r="S3785" s="4">
        <v>1</v>
      </c>
      <c r="T3785" s="4">
        <v>2</v>
      </c>
      <c r="U3785" s="5" t="s">
        <v>8944</v>
      </c>
      <c r="V3785" s="5" t="s">
        <v>8944</v>
      </c>
      <c r="W3785" s="5" t="s">
        <v>72</v>
      </c>
      <c r="X3785" s="5" t="s">
        <v>72</v>
      </c>
      <c r="Y3785" s="4">
        <v>316</v>
      </c>
      <c r="Z3785" s="4">
        <v>16</v>
      </c>
      <c r="AA3785" s="4">
        <v>23</v>
      </c>
      <c r="AB3785" s="4">
        <v>2</v>
      </c>
      <c r="AC3785" s="4">
        <v>5</v>
      </c>
      <c r="AD3785" s="4">
        <v>91</v>
      </c>
      <c r="AE3785" s="4">
        <v>103</v>
      </c>
      <c r="AF3785" s="4">
        <v>1</v>
      </c>
      <c r="AG3785" s="4">
        <v>2</v>
      </c>
      <c r="AH3785" s="4">
        <v>82</v>
      </c>
      <c r="AI3785" s="4">
        <v>91</v>
      </c>
      <c r="AJ3785" s="4">
        <v>13</v>
      </c>
      <c r="AK3785" s="4">
        <v>15</v>
      </c>
      <c r="AL3785" s="4">
        <v>49</v>
      </c>
      <c r="AM3785" s="4">
        <v>52</v>
      </c>
      <c r="AN3785" s="4">
        <v>0</v>
      </c>
      <c r="AO3785" s="4">
        <v>0</v>
      </c>
      <c r="AP3785" s="4">
        <v>12</v>
      </c>
      <c r="AQ3785" s="4">
        <v>14</v>
      </c>
      <c r="AR3785" s="3" t="s">
        <v>64</v>
      </c>
      <c r="AS3785" s="3" t="s">
        <v>64</v>
      </c>
      <c r="AT3785" s="3" t="s">
        <v>128</v>
      </c>
      <c r="AU3785" s="6" t="str">
        <f>HYPERLINK("http://catalog.hathitrust.org/Record/001166525","HathiTrust Record")</f>
        <v>HathiTrust Record</v>
      </c>
      <c r="AV3785" s="6" t="str">
        <f>HYPERLINK("http://mcgill.on.worldcat.org/oclc/507662","Catalog Record")</f>
        <v>Catalog Record</v>
      </c>
      <c r="AW3785" s="6" t="str">
        <f>HYPERLINK("http://www.worldcat.org/oclc/507662","WorldCat Record")</f>
        <v>WorldCat Record</v>
      </c>
      <c r="AX3785" s="3" t="s">
        <v>36166</v>
      </c>
      <c r="AY3785" s="3" t="s">
        <v>36167</v>
      </c>
      <c r="AZ3785" s="3" t="s">
        <v>36168</v>
      </c>
      <c r="BA3785" s="3" t="s">
        <v>36168</v>
      </c>
      <c r="BB3785" s="3" t="s">
        <v>37859</v>
      </c>
      <c r="BC3785" s="3" t="s">
        <v>77</v>
      </c>
      <c r="BD3785" s="3" t="s">
        <v>78</v>
      </c>
      <c r="BF3785" s="3" t="s">
        <v>37859</v>
      </c>
      <c r="BG3785" s="3" t="s">
        <v>37860</v>
      </c>
      <c r="BH3785">
        <f t="shared" si="89"/>
        <v>0</v>
      </c>
    </row>
    <row r="3786" spans="1:60" ht="58" x14ac:dyDescent="0.35">
      <c r="A3786" s="2" t="s">
        <v>59</v>
      </c>
      <c r="B3786" s="2" t="s">
        <v>60</v>
      </c>
      <c r="C3786" s="2" t="s">
        <v>37861</v>
      </c>
      <c r="D3786" s="2" t="s">
        <v>37862</v>
      </c>
      <c r="E3786" s="2" t="s">
        <v>37863</v>
      </c>
      <c r="G3786" s="3" t="s">
        <v>64</v>
      </c>
      <c r="I3786" s="3" t="s">
        <v>64</v>
      </c>
      <c r="J3786" s="3" t="s">
        <v>64</v>
      </c>
      <c r="K3786" s="3" t="s">
        <v>65</v>
      </c>
      <c r="L3786" s="2" t="s">
        <v>37864</v>
      </c>
      <c r="M3786" s="2" t="s">
        <v>803</v>
      </c>
      <c r="N3786" s="3" t="s">
        <v>405</v>
      </c>
      <c r="P3786" s="3" t="s">
        <v>102</v>
      </c>
      <c r="Q3786" s="2" t="s">
        <v>37865</v>
      </c>
      <c r="R3786" s="3" t="s">
        <v>70</v>
      </c>
      <c r="S3786" s="4">
        <v>3</v>
      </c>
      <c r="T3786" s="4">
        <v>3</v>
      </c>
      <c r="U3786" s="5" t="s">
        <v>3796</v>
      </c>
      <c r="V3786" s="5" t="s">
        <v>3796</v>
      </c>
      <c r="W3786" s="5" t="s">
        <v>72</v>
      </c>
      <c r="X3786" s="5" t="s">
        <v>72</v>
      </c>
      <c r="Y3786" s="4">
        <v>243</v>
      </c>
      <c r="Z3786" s="4">
        <v>24</v>
      </c>
      <c r="AA3786" s="4">
        <v>25</v>
      </c>
      <c r="AB3786" s="4">
        <v>2</v>
      </c>
      <c r="AC3786" s="4">
        <v>3</v>
      </c>
      <c r="AD3786" s="4">
        <v>90</v>
      </c>
      <c r="AE3786" s="4">
        <v>91</v>
      </c>
      <c r="AF3786" s="4">
        <v>1</v>
      </c>
      <c r="AG3786" s="4">
        <v>2</v>
      </c>
      <c r="AH3786" s="4">
        <v>79</v>
      </c>
      <c r="AI3786" s="4">
        <v>79</v>
      </c>
      <c r="AJ3786" s="4">
        <v>16</v>
      </c>
      <c r="AK3786" s="4">
        <v>17</v>
      </c>
      <c r="AL3786" s="4">
        <v>44</v>
      </c>
      <c r="AM3786" s="4">
        <v>44</v>
      </c>
      <c r="AN3786" s="4">
        <v>0</v>
      </c>
      <c r="AO3786" s="4">
        <v>0</v>
      </c>
      <c r="AP3786" s="4">
        <v>17</v>
      </c>
      <c r="AQ3786" s="4">
        <v>17</v>
      </c>
      <c r="AR3786" s="3" t="s">
        <v>64</v>
      </c>
      <c r="AS3786" s="3" t="s">
        <v>64</v>
      </c>
      <c r="AT3786" s="3" t="s">
        <v>128</v>
      </c>
      <c r="AU3786" s="6" t="str">
        <f>HYPERLINK("http://catalog.hathitrust.org/Record/000727202","HathiTrust Record")</f>
        <v>HathiTrust Record</v>
      </c>
      <c r="AV3786" s="6" t="str">
        <f>HYPERLINK("http://mcgill.on.worldcat.org/oclc/2346903","Catalog Record")</f>
        <v>Catalog Record</v>
      </c>
      <c r="AW3786" s="6" t="str">
        <f>HYPERLINK("http://www.worldcat.org/oclc/2346903","WorldCat Record")</f>
        <v>WorldCat Record</v>
      </c>
      <c r="AX3786" s="3" t="s">
        <v>37866</v>
      </c>
      <c r="AY3786" s="3" t="s">
        <v>37867</v>
      </c>
      <c r="AZ3786" s="3" t="s">
        <v>37868</v>
      </c>
      <c r="BA3786" s="3" t="s">
        <v>37868</v>
      </c>
      <c r="BB3786" s="3" t="s">
        <v>37869</v>
      </c>
      <c r="BC3786" s="3" t="s">
        <v>77</v>
      </c>
      <c r="BD3786" s="3" t="s">
        <v>78</v>
      </c>
      <c r="BE3786" s="3" t="s">
        <v>37870</v>
      </c>
      <c r="BF3786" s="3" t="s">
        <v>37869</v>
      </c>
      <c r="BG3786" s="3" t="s">
        <v>37871</v>
      </c>
      <c r="BH3786">
        <f t="shared" si="89"/>
        <v>0</v>
      </c>
    </row>
    <row r="3787" spans="1:60" ht="58" x14ac:dyDescent="0.35">
      <c r="A3787" s="2" t="s">
        <v>59</v>
      </c>
      <c r="B3787" s="2" t="s">
        <v>60</v>
      </c>
      <c r="C3787" s="2" t="s">
        <v>37872</v>
      </c>
      <c r="D3787" s="2" t="s">
        <v>37873</v>
      </c>
      <c r="E3787" s="2" t="s">
        <v>37874</v>
      </c>
      <c r="G3787" s="3" t="s">
        <v>64</v>
      </c>
      <c r="I3787" s="3" t="s">
        <v>64</v>
      </c>
      <c r="J3787" s="3" t="s">
        <v>64</v>
      </c>
      <c r="K3787" s="3" t="s">
        <v>65</v>
      </c>
      <c r="L3787" s="2" t="s">
        <v>37875</v>
      </c>
      <c r="M3787" s="2" t="s">
        <v>37876</v>
      </c>
      <c r="N3787" s="3" t="s">
        <v>537</v>
      </c>
      <c r="P3787" s="3" t="s">
        <v>68</v>
      </c>
      <c r="R3787" s="3" t="s">
        <v>70</v>
      </c>
      <c r="S3787" s="4">
        <v>0</v>
      </c>
      <c r="T3787" s="4">
        <v>0</v>
      </c>
      <c r="W3787" s="5" t="s">
        <v>72</v>
      </c>
      <c r="X3787" s="5" t="s">
        <v>72</v>
      </c>
      <c r="Y3787" s="4">
        <v>3</v>
      </c>
      <c r="Z3787" s="4">
        <v>2</v>
      </c>
      <c r="AA3787" s="4">
        <v>7</v>
      </c>
      <c r="AB3787" s="4">
        <v>2</v>
      </c>
      <c r="AC3787" s="4">
        <v>5</v>
      </c>
      <c r="AD3787" s="4">
        <v>0</v>
      </c>
      <c r="AE3787" s="4">
        <v>4</v>
      </c>
      <c r="AF3787" s="4">
        <v>0</v>
      </c>
      <c r="AG3787" s="4">
        <v>3</v>
      </c>
      <c r="AH3787" s="4">
        <v>0</v>
      </c>
      <c r="AI3787" s="4">
        <v>1</v>
      </c>
      <c r="AJ3787" s="4">
        <v>0</v>
      </c>
      <c r="AK3787" s="4">
        <v>3</v>
      </c>
      <c r="AL3787" s="4">
        <v>0</v>
      </c>
      <c r="AM3787" s="4">
        <v>0</v>
      </c>
      <c r="AN3787" s="4">
        <v>0</v>
      </c>
      <c r="AO3787" s="4">
        <v>0</v>
      </c>
      <c r="AP3787" s="4">
        <v>0</v>
      </c>
      <c r="AQ3787" s="4">
        <v>3</v>
      </c>
      <c r="AR3787" s="3" t="s">
        <v>64</v>
      </c>
      <c r="AS3787" s="3" t="s">
        <v>64</v>
      </c>
      <c r="AT3787" s="3" t="s">
        <v>64</v>
      </c>
      <c r="AV3787" s="6" t="str">
        <f>HYPERLINK("http://mcgill.on.worldcat.org/oclc/958610783","Catalog Record")</f>
        <v>Catalog Record</v>
      </c>
      <c r="AW3787" s="6" t="str">
        <f>HYPERLINK("http://www.worldcat.org/oclc/958610783","WorldCat Record")</f>
        <v>WorldCat Record</v>
      </c>
      <c r="AX3787" s="3" t="s">
        <v>37877</v>
      </c>
      <c r="AY3787" s="3" t="s">
        <v>37878</v>
      </c>
      <c r="AZ3787" s="3" t="s">
        <v>37879</v>
      </c>
      <c r="BA3787" s="3" t="s">
        <v>37879</v>
      </c>
      <c r="BB3787" s="3" t="s">
        <v>37880</v>
      </c>
      <c r="BC3787" s="3" t="s">
        <v>77</v>
      </c>
      <c r="BD3787" s="3" t="s">
        <v>78</v>
      </c>
      <c r="BE3787" s="3" t="s">
        <v>37881</v>
      </c>
      <c r="BF3787" s="3" t="s">
        <v>37880</v>
      </c>
      <c r="BG3787" s="3" t="s">
        <v>37882</v>
      </c>
      <c r="BH3787">
        <f t="shared" si="89"/>
        <v>0</v>
      </c>
    </row>
    <row r="3788" spans="1:60" ht="58" x14ac:dyDescent="0.35">
      <c r="A3788" s="2" t="s">
        <v>59</v>
      </c>
      <c r="B3788" s="2" t="s">
        <v>60</v>
      </c>
      <c r="C3788" s="2" t="s">
        <v>37883</v>
      </c>
      <c r="D3788" s="2" t="s">
        <v>37884</v>
      </c>
      <c r="E3788" s="2" t="s">
        <v>37885</v>
      </c>
      <c r="G3788" s="3" t="s">
        <v>64</v>
      </c>
      <c r="I3788" s="3" t="s">
        <v>64</v>
      </c>
      <c r="J3788" s="3" t="s">
        <v>64</v>
      </c>
      <c r="K3788" s="3" t="s">
        <v>65</v>
      </c>
      <c r="L3788" s="2" t="s">
        <v>24472</v>
      </c>
      <c r="M3788" s="2" t="s">
        <v>37886</v>
      </c>
      <c r="N3788" s="3" t="s">
        <v>537</v>
      </c>
      <c r="P3788" s="3" t="s">
        <v>102</v>
      </c>
      <c r="R3788" s="3" t="s">
        <v>70</v>
      </c>
      <c r="S3788" s="4">
        <v>2</v>
      </c>
      <c r="T3788" s="4">
        <v>2</v>
      </c>
      <c r="U3788" s="5" t="s">
        <v>445</v>
      </c>
      <c r="V3788" s="5" t="s">
        <v>445</v>
      </c>
      <c r="W3788" s="5" t="s">
        <v>72</v>
      </c>
      <c r="X3788" s="5" t="s">
        <v>72</v>
      </c>
      <c r="Y3788" s="4">
        <v>293</v>
      </c>
      <c r="Z3788" s="4">
        <v>8</v>
      </c>
      <c r="AA3788" s="4">
        <v>16</v>
      </c>
      <c r="AB3788" s="4">
        <v>1</v>
      </c>
      <c r="AC3788" s="4">
        <v>5</v>
      </c>
      <c r="AD3788" s="4">
        <v>53</v>
      </c>
      <c r="AE3788" s="4">
        <v>65</v>
      </c>
      <c r="AF3788" s="4">
        <v>0</v>
      </c>
      <c r="AG3788" s="4">
        <v>2</v>
      </c>
      <c r="AH3788" s="4">
        <v>48</v>
      </c>
      <c r="AI3788" s="4">
        <v>55</v>
      </c>
      <c r="AJ3788" s="4">
        <v>4</v>
      </c>
      <c r="AK3788" s="4">
        <v>9</v>
      </c>
      <c r="AL3788" s="4">
        <v>35</v>
      </c>
      <c r="AM3788" s="4">
        <v>41</v>
      </c>
      <c r="AN3788" s="4">
        <v>0</v>
      </c>
      <c r="AO3788" s="4">
        <v>0</v>
      </c>
      <c r="AP3788" s="4">
        <v>5</v>
      </c>
      <c r="AQ3788" s="4">
        <v>10</v>
      </c>
      <c r="AR3788" s="3" t="s">
        <v>64</v>
      </c>
      <c r="AS3788" s="3" t="s">
        <v>64</v>
      </c>
      <c r="AT3788" s="3" t="s">
        <v>64</v>
      </c>
      <c r="AV3788" s="6" t="str">
        <f>HYPERLINK("http://mcgill.on.worldcat.org/oclc/946160538","Catalog Record")</f>
        <v>Catalog Record</v>
      </c>
      <c r="AW3788" s="6" t="str">
        <f>HYPERLINK("http://www.worldcat.org/oclc/946160538","WorldCat Record")</f>
        <v>WorldCat Record</v>
      </c>
      <c r="AX3788" s="3" t="s">
        <v>37887</v>
      </c>
      <c r="AY3788" s="3" t="s">
        <v>37888</v>
      </c>
      <c r="AZ3788" s="3" t="s">
        <v>37889</v>
      </c>
      <c r="BA3788" s="3" t="s">
        <v>37889</v>
      </c>
      <c r="BB3788" s="3" t="s">
        <v>37890</v>
      </c>
      <c r="BC3788" s="3" t="s">
        <v>77</v>
      </c>
      <c r="BD3788" s="3" t="s">
        <v>78</v>
      </c>
      <c r="BE3788" s="3" t="s">
        <v>37891</v>
      </c>
      <c r="BF3788" s="3" t="s">
        <v>37890</v>
      </c>
      <c r="BG3788" s="3" t="s">
        <v>37892</v>
      </c>
      <c r="BH3788">
        <f t="shared" si="89"/>
        <v>0</v>
      </c>
    </row>
    <row r="3789" spans="1:60" ht="58" x14ac:dyDescent="0.35">
      <c r="A3789" s="2" t="s">
        <v>59</v>
      </c>
      <c r="B3789" s="2" t="s">
        <v>60</v>
      </c>
      <c r="C3789" s="2" t="s">
        <v>37893</v>
      </c>
      <c r="D3789" s="2" t="s">
        <v>37894</v>
      </c>
      <c r="E3789" s="2" t="s">
        <v>37895</v>
      </c>
      <c r="G3789" s="3" t="s">
        <v>64</v>
      </c>
      <c r="I3789" s="3" t="s">
        <v>64</v>
      </c>
      <c r="J3789" s="3" t="s">
        <v>64</v>
      </c>
      <c r="K3789" s="3" t="s">
        <v>65</v>
      </c>
      <c r="M3789" s="2" t="s">
        <v>37896</v>
      </c>
      <c r="N3789" s="3" t="s">
        <v>2923</v>
      </c>
      <c r="O3789" s="2" t="s">
        <v>37897</v>
      </c>
      <c r="P3789" s="3" t="s">
        <v>102</v>
      </c>
      <c r="R3789" s="3" t="s">
        <v>70</v>
      </c>
      <c r="S3789" s="4">
        <v>1</v>
      </c>
      <c r="T3789" s="4">
        <v>1</v>
      </c>
      <c r="U3789" s="5" t="s">
        <v>3723</v>
      </c>
      <c r="V3789" s="5" t="s">
        <v>3723</v>
      </c>
      <c r="W3789" s="5" t="s">
        <v>72</v>
      </c>
      <c r="X3789" s="5" t="s">
        <v>72</v>
      </c>
      <c r="Y3789" s="4">
        <v>231</v>
      </c>
      <c r="Z3789" s="4">
        <v>10</v>
      </c>
      <c r="AA3789" s="4">
        <v>10</v>
      </c>
      <c r="AB3789" s="4">
        <v>2</v>
      </c>
      <c r="AC3789" s="4">
        <v>2</v>
      </c>
      <c r="AD3789" s="4">
        <v>80</v>
      </c>
      <c r="AE3789" s="4">
        <v>81</v>
      </c>
      <c r="AF3789" s="4">
        <v>0</v>
      </c>
      <c r="AG3789" s="4">
        <v>0</v>
      </c>
      <c r="AH3789" s="4">
        <v>75</v>
      </c>
      <c r="AI3789" s="4">
        <v>76</v>
      </c>
      <c r="AJ3789" s="4">
        <v>5</v>
      </c>
      <c r="AK3789" s="4">
        <v>5</v>
      </c>
      <c r="AL3789" s="4">
        <v>45</v>
      </c>
      <c r="AM3789" s="4">
        <v>45</v>
      </c>
      <c r="AN3789" s="4">
        <v>0</v>
      </c>
      <c r="AO3789" s="4">
        <v>0</v>
      </c>
      <c r="AP3789" s="4">
        <v>4</v>
      </c>
      <c r="AQ3789" s="4">
        <v>4</v>
      </c>
      <c r="AR3789" s="3" t="s">
        <v>64</v>
      </c>
      <c r="AS3789" s="3" t="s">
        <v>64</v>
      </c>
      <c r="AT3789" s="3" t="s">
        <v>64</v>
      </c>
      <c r="AU3789" s="6" t="str">
        <f>HYPERLINK("http://catalog.hathitrust.org/Record/001159695","HathiTrust Record")</f>
        <v>HathiTrust Record</v>
      </c>
      <c r="AV3789" s="6" t="str">
        <f>HYPERLINK("http://mcgill.on.worldcat.org/oclc/788074","Catalog Record")</f>
        <v>Catalog Record</v>
      </c>
      <c r="AW3789" s="6" t="str">
        <f>HYPERLINK("http://www.worldcat.org/oclc/788074","WorldCat Record")</f>
        <v>WorldCat Record</v>
      </c>
      <c r="AX3789" s="3" t="s">
        <v>37898</v>
      </c>
      <c r="AY3789" s="3" t="s">
        <v>37899</v>
      </c>
      <c r="AZ3789" s="3" t="s">
        <v>37900</v>
      </c>
      <c r="BA3789" s="3" t="s">
        <v>37900</v>
      </c>
      <c r="BB3789" s="3" t="s">
        <v>37901</v>
      </c>
      <c r="BC3789" s="3" t="s">
        <v>77</v>
      </c>
      <c r="BD3789" s="3" t="s">
        <v>78</v>
      </c>
      <c r="BF3789" s="3" t="s">
        <v>37901</v>
      </c>
      <c r="BG3789" s="3" t="s">
        <v>37902</v>
      </c>
      <c r="BH3789">
        <f t="shared" si="89"/>
        <v>0</v>
      </c>
    </row>
    <row r="3790" spans="1:60" ht="145" x14ac:dyDescent="0.35">
      <c r="A3790" s="2" t="s">
        <v>59</v>
      </c>
      <c r="B3790" s="2" t="s">
        <v>60</v>
      </c>
      <c r="C3790" s="2" t="s">
        <v>37903</v>
      </c>
      <c r="D3790" s="2" t="s">
        <v>37904</v>
      </c>
      <c r="E3790" s="2" t="s">
        <v>37905</v>
      </c>
      <c r="G3790" s="3" t="s">
        <v>64</v>
      </c>
      <c r="I3790" s="3" t="s">
        <v>128</v>
      </c>
      <c r="J3790" s="3" t="s">
        <v>128</v>
      </c>
      <c r="K3790" s="3" t="s">
        <v>65</v>
      </c>
      <c r="L3790" s="2" t="s">
        <v>264</v>
      </c>
      <c r="M3790" s="2" t="s">
        <v>37906</v>
      </c>
      <c r="N3790" s="3" t="s">
        <v>1275</v>
      </c>
      <c r="O3790" s="2" t="s">
        <v>37907</v>
      </c>
      <c r="P3790" s="3" t="s">
        <v>102</v>
      </c>
      <c r="R3790" s="3" t="s">
        <v>70</v>
      </c>
      <c r="S3790" s="4">
        <v>23</v>
      </c>
      <c r="T3790" s="4">
        <v>23</v>
      </c>
      <c r="U3790" s="5" t="s">
        <v>37908</v>
      </c>
      <c r="V3790" s="5" t="s">
        <v>37908</v>
      </c>
      <c r="W3790" s="5" t="s">
        <v>72</v>
      </c>
      <c r="X3790" s="5" t="s">
        <v>20937</v>
      </c>
      <c r="Y3790" s="4">
        <v>416</v>
      </c>
      <c r="Z3790" s="4">
        <v>22</v>
      </c>
      <c r="AA3790" s="4">
        <v>68</v>
      </c>
      <c r="AB3790" s="4">
        <v>2</v>
      </c>
      <c r="AC3790" s="4">
        <v>10</v>
      </c>
      <c r="AD3790" s="4">
        <v>83</v>
      </c>
      <c r="AE3790" s="4">
        <v>143</v>
      </c>
      <c r="AF3790" s="4">
        <v>0</v>
      </c>
      <c r="AG3790" s="4">
        <v>4</v>
      </c>
      <c r="AH3790" s="4">
        <v>74</v>
      </c>
      <c r="AI3790" s="4">
        <v>117</v>
      </c>
      <c r="AJ3790" s="4">
        <v>11</v>
      </c>
      <c r="AK3790" s="4">
        <v>24</v>
      </c>
      <c r="AL3790" s="4">
        <v>41</v>
      </c>
      <c r="AM3790" s="4">
        <v>63</v>
      </c>
      <c r="AN3790" s="4">
        <v>0</v>
      </c>
      <c r="AO3790" s="4">
        <v>8</v>
      </c>
      <c r="AP3790" s="4">
        <v>10</v>
      </c>
      <c r="AQ3790" s="4">
        <v>32</v>
      </c>
      <c r="AR3790" s="3" t="s">
        <v>64</v>
      </c>
      <c r="AS3790" s="3" t="s">
        <v>64</v>
      </c>
      <c r="AT3790" s="3" t="s">
        <v>64</v>
      </c>
      <c r="AV3790" s="6" t="str">
        <f>HYPERLINK("http://mcgill.on.worldcat.org/oclc/52429432","Catalog Record")</f>
        <v>Catalog Record</v>
      </c>
      <c r="AW3790" s="6" t="str">
        <f>HYPERLINK("http://www.worldcat.org/oclc/52429432","WorldCat Record")</f>
        <v>WorldCat Record</v>
      </c>
      <c r="AX3790" s="3" t="s">
        <v>37909</v>
      </c>
      <c r="AY3790" s="3" t="s">
        <v>37910</v>
      </c>
      <c r="AZ3790" s="3" t="s">
        <v>37911</v>
      </c>
      <c r="BA3790" s="3" t="s">
        <v>37911</v>
      </c>
      <c r="BB3790" s="3" t="s">
        <v>37912</v>
      </c>
      <c r="BC3790" s="3" t="s">
        <v>77</v>
      </c>
      <c r="BD3790" s="3" t="s">
        <v>78</v>
      </c>
      <c r="BE3790" s="3" t="s">
        <v>37913</v>
      </c>
      <c r="BF3790" s="3" t="s">
        <v>37912</v>
      </c>
      <c r="BG3790" s="3" t="s">
        <v>37914</v>
      </c>
      <c r="BH3790">
        <f t="shared" si="89"/>
        <v>0</v>
      </c>
    </row>
    <row r="3791" spans="1:60" ht="87" x14ac:dyDescent="0.35">
      <c r="A3791" s="2" t="s">
        <v>59</v>
      </c>
      <c r="B3791" s="2" t="s">
        <v>60</v>
      </c>
      <c r="C3791" s="2" t="s">
        <v>37915</v>
      </c>
      <c r="D3791" s="2" t="s">
        <v>37916</v>
      </c>
      <c r="E3791" s="2" t="s">
        <v>37917</v>
      </c>
      <c r="G3791" s="3" t="s">
        <v>64</v>
      </c>
      <c r="I3791" s="3" t="s">
        <v>64</v>
      </c>
      <c r="J3791" s="3" t="s">
        <v>128</v>
      </c>
      <c r="K3791" s="3" t="s">
        <v>65</v>
      </c>
      <c r="L3791" s="2" t="s">
        <v>37918</v>
      </c>
      <c r="M3791" s="2" t="s">
        <v>3786</v>
      </c>
      <c r="N3791" s="3" t="s">
        <v>537</v>
      </c>
      <c r="O3791" s="2" t="s">
        <v>37919</v>
      </c>
      <c r="P3791" s="3" t="s">
        <v>102</v>
      </c>
      <c r="R3791" s="3" t="s">
        <v>70</v>
      </c>
      <c r="S3791" s="4">
        <v>6</v>
      </c>
      <c r="T3791" s="4">
        <v>6</v>
      </c>
      <c r="U3791" s="5" t="s">
        <v>7592</v>
      </c>
      <c r="V3791" s="5" t="s">
        <v>7592</v>
      </c>
      <c r="W3791" s="5" t="s">
        <v>72</v>
      </c>
      <c r="X3791" s="5" t="s">
        <v>72</v>
      </c>
      <c r="Y3791" s="4">
        <v>157</v>
      </c>
      <c r="Z3791" s="4">
        <v>10</v>
      </c>
      <c r="AA3791" s="4">
        <v>68</v>
      </c>
      <c r="AB3791" s="4">
        <v>1</v>
      </c>
      <c r="AC3791" s="4">
        <v>10</v>
      </c>
      <c r="AD3791" s="4">
        <v>50</v>
      </c>
      <c r="AE3791" s="4">
        <v>143</v>
      </c>
      <c r="AF3791" s="4">
        <v>0</v>
      </c>
      <c r="AG3791" s="4">
        <v>4</v>
      </c>
      <c r="AH3791" s="4">
        <v>46</v>
      </c>
      <c r="AI3791" s="4">
        <v>117</v>
      </c>
      <c r="AJ3791" s="4">
        <v>6</v>
      </c>
      <c r="AK3791" s="4">
        <v>24</v>
      </c>
      <c r="AL3791" s="4">
        <v>26</v>
      </c>
      <c r="AM3791" s="4">
        <v>63</v>
      </c>
      <c r="AN3791" s="4">
        <v>0</v>
      </c>
      <c r="AO3791" s="4">
        <v>8</v>
      </c>
      <c r="AP3791" s="4">
        <v>6</v>
      </c>
      <c r="AQ3791" s="4">
        <v>32</v>
      </c>
      <c r="AR3791" s="3" t="s">
        <v>64</v>
      </c>
      <c r="AS3791" s="3" t="s">
        <v>64</v>
      </c>
      <c r="AT3791" s="3" t="s">
        <v>64</v>
      </c>
      <c r="AV3791" s="6" t="str">
        <f>HYPERLINK("http://mcgill.on.worldcat.org/oclc/942601663","Catalog Record")</f>
        <v>Catalog Record</v>
      </c>
      <c r="AW3791" s="6" t="str">
        <f>HYPERLINK("http://www.worldcat.org/oclc/942601663","WorldCat Record")</f>
        <v>WorldCat Record</v>
      </c>
      <c r="AX3791" s="3" t="s">
        <v>37909</v>
      </c>
      <c r="AY3791" s="3" t="s">
        <v>37920</v>
      </c>
      <c r="AZ3791" s="3" t="s">
        <v>37921</v>
      </c>
      <c r="BA3791" s="3" t="s">
        <v>37921</v>
      </c>
      <c r="BB3791" s="3" t="s">
        <v>37922</v>
      </c>
      <c r="BC3791" s="3" t="s">
        <v>77</v>
      </c>
      <c r="BD3791" s="3" t="s">
        <v>165</v>
      </c>
      <c r="BE3791" s="3" t="s">
        <v>37923</v>
      </c>
      <c r="BF3791" s="3" t="s">
        <v>37922</v>
      </c>
      <c r="BG3791" s="3" t="s">
        <v>37924</v>
      </c>
      <c r="BH3791">
        <f t="shared" si="89"/>
        <v>0</v>
      </c>
    </row>
    <row r="3792" spans="1:60" ht="87" x14ac:dyDescent="0.35">
      <c r="A3792" s="2" t="s">
        <v>59</v>
      </c>
      <c r="B3792" s="2" t="s">
        <v>60</v>
      </c>
      <c r="C3792" s="2" t="s">
        <v>37925</v>
      </c>
      <c r="D3792" s="2" t="s">
        <v>37926</v>
      </c>
      <c r="E3792" s="2" t="s">
        <v>37927</v>
      </c>
      <c r="G3792" s="3" t="s">
        <v>64</v>
      </c>
      <c r="I3792" s="3" t="s">
        <v>64</v>
      </c>
      <c r="J3792" s="3" t="s">
        <v>128</v>
      </c>
      <c r="K3792" s="3" t="s">
        <v>65</v>
      </c>
      <c r="L3792" s="2" t="s">
        <v>37928</v>
      </c>
      <c r="M3792" s="2" t="s">
        <v>37929</v>
      </c>
      <c r="N3792" s="3" t="s">
        <v>364</v>
      </c>
      <c r="P3792" s="3" t="s">
        <v>102</v>
      </c>
      <c r="R3792" s="3" t="s">
        <v>70</v>
      </c>
      <c r="S3792" s="4">
        <v>4</v>
      </c>
      <c r="T3792" s="4">
        <v>4</v>
      </c>
      <c r="U3792" s="5" t="s">
        <v>37930</v>
      </c>
      <c r="V3792" s="5" t="s">
        <v>37930</v>
      </c>
      <c r="W3792" s="5" t="s">
        <v>72</v>
      </c>
      <c r="X3792" s="5" t="s">
        <v>72</v>
      </c>
      <c r="Y3792" s="4">
        <v>344</v>
      </c>
      <c r="Z3792" s="4">
        <v>23</v>
      </c>
      <c r="AA3792" s="4">
        <v>38</v>
      </c>
      <c r="AB3792" s="4">
        <v>2</v>
      </c>
      <c r="AC3792" s="4">
        <v>8</v>
      </c>
      <c r="AD3792" s="4">
        <v>79</v>
      </c>
      <c r="AE3792" s="4">
        <v>100</v>
      </c>
      <c r="AF3792" s="4">
        <v>0</v>
      </c>
      <c r="AG3792" s="4">
        <v>3</v>
      </c>
      <c r="AH3792" s="4">
        <v>72</v>
      </c>
      <c r="AI3792" s="4">
        <v>86</v>
      </c>
      <c r="AJ3792" s="4">
        <v>12</v>
      </c>
      <c r="AK3792" s="4">
        <v>18</v>
      </c>
      <c r="AL3792" s="4">
        <v>32</v>
      </c>
      <c r="AM3792" s="4">
        <v>40</v>
      </c>
      <c r="AN3792" s="4">
        <v>5</v>
      </c>
      <c r="AO3792" s="4">
        <v>5</v>
      </c>
      <c r="AP3792" s="4">
        <v>14</v>
      </c>
      <c r="AQ3792" s="4">
        <v>19</v>
      </c>
      <c r="AR3792" s="3" t="s">
        <v>64</v>
      </c>
      <c r="AS3792" s="3" t="s">
        <v>64</v>
      </c>
      <c r="AT3792" s="3" t="s">
        <v>128</v>
      </c>
      <c r="AU3792" s="6" t="str">
        <f>HYPERLINK("http://catalog.hathitrust.org/Record/001166842","HathiTrust Record")</f>
        <v>HathiTrust Record</v>
      </c>
      <c r="AV3792" s="6" t="str">
        <f>HYPERLINK("http://mcgill.on.worldcat.org/oclc/658079","Catalog Record")</f>
        <v>Catalog Record</v>
      </c>
      <c r="AW3792" s="6" t="str">
        <f>HYPERLINK("http://www.worldcat.org/oclc/658079","WorldCat Record")</f>
        <v>WorldCat Record</v>
      </c>
      <c r="AX3792" s="3" t="s">
        <v>37931</v>
      </c>
      <c r="AY3792" s="3" t="s">
        <v>37932</v>
      </c>
      <c r="AZ3792" s="3" t="s">
        <v>37933</v>
      </c>
      <c r="BA3792" s="3" t="s">
        <v>37933</v>
      </c>
      <c r="BB3792" s="3" t="s">
        <v>37934</v>
      </c>
      <c r="BC3792" s="3" t="s">
        <v>77</v>
      </c>
      <c r="BD3792" s="3" t="s">
        <v>78</v>
      </c>
      <c r="BE3792" s="3" t="s">
        <v>37935</v>
      </c>
      <c r="BF3792" s="3" t="s">
        <v>37934</v>
      </c>
      <c r="BG3792" s="3" t="s">
        <v>37936</v>
      </c>
      <c r="BH3792">
        <f t="shared" si="89"/>
        <v>0</v>
      </c>
    </row>
    <row r="3793" spans="1:60" ht="58" x14ac:dyDescent="0.35">
      <c r="A3793" s="2" t="s">
        <v>59</v>
      </c>
      <c r="B3793" s="2" t="s">
        <v>60</v>
      </c>
      <c r="C3793" s="2" t="s">
        <v>37937</v>
      </c>
      <c r="D3793" s="2" t="s">
        <v>37938</v>
      </c>
      <c r="E3793" s="2" t="s">
        <v>37939</v>
      </c>
      <c r="G3793" s="3" t="s">
        <v>64</v>
      </c>
      <c r="I3793" s="3" t="s">
        <v>128</v>
      </c>
      <c r="J3793" s="3" t="s">
        <v>64</v>
      </c>
      <c r="K3793" s="3" t="s">
        <v>65</v>
      </c>
      <c r="L3793" s="2" t="s">
        <v>37940</v>
      </c>
      <c r="M3793" s="2" t="s">
        <v>37941</v>
      </c>
      <c r="N3793" s="3" t="s">
        <v>24283</v>
      </c>
      <c r="P3793" s="3" t="s">
        <v>102</v>
      </c>
      <c r="R3793" s="3" t="s">
        <v>70</v>
      </c>
      <c r="S3793" s="4">
        <v>1</v>
      </c>
      <c r="T3793" s="4">
        <v>1</v>
      </c>
      <c r="U3793" s="5" t="s">
        <v>3723</v>
      </c>
      <c r="V3793" s="5" t="s">
        <v>3723</v>
      </c>
      <c r="W3793" s="5" t="s">
        <v>72</v>
      </c>
      <c r="X3793" s="5" t="s">
        <v>72</v>
      </c>
      <c r="Y3793" s="4">
        <v>165</v>
      </c>
      <c r="Z3793" s="4">
        <v>6</v>
      </c>
      <c r="AA3793" s="4">
        <v>9</v>
      </c>
      <c r="AB3793" s="4">
        <v>1</v>
      </c>
      <c r="AC3793" s="4">
        <v>1</v>
      </c>
      <c r="AD3793" s="4">
        <v>65</v>
      </c>
      <c r="AE3793" s="4">
        <v>80</v>
      </c>
      <c r="AF3793" s="4">
        <v>0</v>
      </c>
      <c r="AG3793" s="4">
        <v>0</v>
      </c>
      <c r="AH3793" s="4">
        <v>60</v>
      </c>
      <c r="AI3793" s="4">
        <v>74</v>
      </c>
      <c r="AJ3793" s="4">
        <v>4</v>
      </c>
      <c r="AK3793" s="4">
        <v>7</v>
      </c>
      <c r="AL3793" s="4">
        <v>39</v>
      </c>
      <c r="AM3793" s="4">
        <v>47</v>
      </c>
      <c r="AN3793" s="4">
        <v>0</v>
      </c>
      <c r="AO3793" s="4">
        <v>0</v>
      </c>
      <c r="AP3793" s="4">
        <v>3</v>
      </c>
      <c r="AQ3793" s="4">
        <v>6</v>
      </c>
      <c r="AR3793" s="3" t="s">
        <v>64</v>
      </c>
      <c r="AS3793" s="3" t="s">
        <v>128</v>
      </c>
      <c r="AT3793" s="3" t="s">
        <v>64</v>
      </c>
      <c r="AU3793" s="6" t="str">
        <f>HYPERLINK("http://catalog.hathitrust.org/Record/001166844","HathiTrust Record")</f>
        <v>HathiTrust Record</v>
      </c>
      <c r="AV3793" s="6" t="str">
        <f>HYPERLINK("http://mcgill.on.worldcat.org/oclc/788079","Catalog Record")</f>
        <v>Catalog Record</v>
      </c>
      <c r="AW3793" s="6" t="str">
        <f>HYPERLINK("http://www.worldcat.org/oclc/788079","WorldCat Record")</f>
        <v>WorldCat Record</v>
      </c>
      <c r="AX3793" s="3" t="s">
        <v>37942</v>
      </c>
      <c r="AY3793" s="3" t="s">
        <v>37943</v>
      </c>
      <c r="AZ3793" s="3" t="s">
        <v>37944</v>
      </c>
      <c r="BA3793" s="3" t="s">
        <v>37944</v>
      </c>
      <c r="BB3793" s="3" t="s">
        <v>37945</v>
      </c>
      <c r="BC3793" s="3" t="s">
        <v>77</v>
      </c>
      <c r="BD3793" s="3" t="s">
        <v>78</v>
      </c>
      <c r="BF3793" s="3" t="s">
        <v>37945</v>
      </c>
      <c r="BG3793" s="3" t="s">
        <v>37946</v>
      </c>
      <c r="BH3793">
        <f t="shared" si="89"/>
        <v>0</v>
      </c>
    </row>
    <row r="3794" spans="1:60" ht="58" x14ac:dyDescent="0.35">
      <c r="A3794" s="2" t="s">
        <v>59</v>
      </c>
      <c r="B3794" s="2" t="s">
        <v>60</v>
      </c>
      <c r="C3794" s="2" t="s">
        <v>37947</v>
      </c>
      <c r="D3794" s="2" t="s">
        <v>37948</v>
      </c>
      <c r="E3794" s="2" t="s">
        <v>37949</v>
      </c>
      <c r="G3794" s="3" t="s">
        <v>64</v>
      </c>
      <c r="I3794" s="3" t="s">
        <v>64</v>
      </c>
      <c r="J3794" s="3" t="s">
        <v>64</v>
      </c>
      <c r="K3794" s="3" t="s">
        <v>65</v>
      </c>
      <c r="L3794" s="2" t="s">
        <v>37950</v>
      </c>
      <c r="M3794" s="2" t="s">
        <v>37951</v>
      </c>
      <c r="N3794" s="3" t="s">
        <v>498</v>
      </c>
      <c r="P3794" s="3" t="s">
        <v>102</v>
      </c>
      <c r="R3794" s="3" t="s">
        <v>70</v>
      </c>
      <c r="S3794" s="4">
        <v>1</v>
      </c>
      <c r="T3794" s="4">
        <v>1</v>
      </c>
      <c r="U3794" s="5" t="s">
        <v>3723</v>
      </c>
      <c r="V3794" s="5" t="s">
        <v>3723</v>
      </c>
      <c r="W3794" s="5" t="s">
        <v>72</v>
      </c>
      <c r="X3794" s="5" t="s">
        <v>72</v>
      </c>
      <c r="Y3794" s="4">
        <v>1</v>
      </c>
      <c r="Z3794" s="4">
        <v>1</v>
      </c>
      <c r="AA3794" s="4">
        <v>3</v>
      </c>
      <c r="AB3794" s="4">
        <v>1</v>
      </c>
      <c r="AC3794" s="4">
        <v>2</v>
      </c>
      <c r="AD3794" s="4">
        <v>0</v>
      </c>
      <c r="AE3794" s="4">
        <v>0</v>
      </c>
      <c r="AF3794" s="4">
        <v>0</v>
      </c>
      <c r="AG3794" s="4">
        <v>0</v>
      </c>
      <c r="AH3794" s="4">
        <v>0</v>
      </c>
      <c r="AI3794" s="4">
        <v>0</v>
      </c>
      <c r="AJ3794" s="4">
        <v>0</v>
      </c>
      <c r="AK3794" s="4">
        <v>0</v>
      </c>
      <c r="AL3794" s="4">
        <v>0</v>
      </c>
      <c r="AM3794" s="4">
        <v>0</v>
      </c>
      <c r="AN3794" s="4">
        <v>0</v>
      </c>
      <c r="AO3794" s="4">
        <v>0</v>
      </c>
      <c r="AP3794" s="4">
        <v>0</v>
      </c>
      <c r="AQ3794" s="4">
        <v>0</v>
      </c>
      <c r="AR3794" s="3" t="s">
        <v>128</v>
      </c>
      <c r="AS3794" s="3" t="s">
        <v>64</v>
      </c>
      <c r="AT3794" s="3" t="s">
        <v>64</v>
      </c>
      <c r="AV3794" s="6" t="str">
        <f>HYPERLINK("http://mcgill.on.worldcat.org/oclc/61611163","Catalog Record")</f>
        <v>Catalog Record</v>
      </c>
      <c r="AW3794" s="6" t="str">
        <f>HYPERLINK("http://www.worldcat.org/oclc/61611163","WorldCat Record")</f>
        <v>WorldCat Record</v>
      </c>
      <c r="AX3794" s="3" t="s">
        <v>37952</v>
      </c>
      <c r="AY3794" s="3" t="s">
        <v>37953</v>
      </c>
      <c r="AZ3794" s="3" t="s">
        <v>37954</v>
      </c>
      <c r="BA3794" s="3" t="s">
        <v>37954</v>
      </c>
      <c r="BB3794" s="3" t="s">
        <v>37955</v>
      </c>
      <c r="BC3794" s="3" t="s">
        <v>77</v>
      </c>
      <c r="BD3794" s="3" t="s">
        <v>78</v>
      </c>
      <c r="BF3794" s="3" t="s">
        <v>37955</v>
      </c>
      <c r="BG3794" s="3" t="s">
        <v>37956</v>
      </c>
      <c r="BH3794">
        <f t="shared" si="89"/>
        <v>0</v>
      </c>
    </row>
    <row r="3795" spans="1:60" ht="58" x14ac:dyDescent="0.35">
      <c r="A3795" s="2" t="s">
        <v>6202</v>
      </c>
      <c r="B3795" s="2" t="s">
        <v>6203</v>
      </c>
      <c r="C3795" s="2" t="s">
        <v>37957</v>
      </c>
      <c r="D3795" s="2" t="s">
        <v>37958</v>
      </c>
      <c r="E3795" s="2" t="s">
        <v>37959</v>
      </c>
      <c r="F3795" s="3" t="s">
        <v>37960</v>
      </c>
      <c r="G3795" s="3" t="s">
        <v>128</v>
      </c>
      <c r="I3795" s="3" t="s">
        <v>64</v>
      </c>
      <c r="J3795" s="3" t="s">
        <v>64</v>
      </c>
      <c r="K3795" s="3" t="s">
        <v>65</v>
      </c>
      <c r="M3795" s="2" t="s">
        <v>37961</v>
      </c>
      <c r="N3795" s="3" t="s">
        <v>315</v>
      </c>
      <c r="P3795" s="3" t="s">
        <v>102</v>
      </c>
      <c r="R3795" s="3" t="s">
        <v>70</v>
      </c>
      <c r="S3795" s="4">
        <v>0</v>
      </c>
      <c r="T3795" s="4">
        <v>6</v>
      </c>
      <c r="V3795" s="5" t="s">
        <v>37962</v>
      </c>
      <c r="W3795" s="5" t="s">
        <v>72</v>
      </c>
      <c r="X3795" s="5" t="s">
        <v>72</v>
      </c>
      <c r="Y3795" s="4">
        <v>543</v>
      </c>
      <c r="Z3795" s="4">
        <v>28</v>
      </c>
      <c r="AA3795" s="4">
        <v>28</v>
      </c>
      <c r="AB3795" s="4">
        <v>1</v>
      </c>
      <c r="AC3795" s="4">
        <v>1</v>
      </c>
      <c r="AD3795" s="4">
        <v>106</v>
      </c>
      <c r="AE3795" s="4">
        <v>106</v>
      </c>
      <c r="AF3795" s="4">
        <v>0</v>
      </c>
      <c r="AG3795" s="4">
        <v>0</v>
      </c>
      <c r="AH3795" s="4">
        <v>93</v>
      </c>
      <c r="AI3795" s="4">
        <v>93</v>
      </c>
      <c r="AJ3795" s="4">
        <v>14</v>
      </c>
      <c r="AK3795" s="4">
        <v>14</v>
      </c>
      <c r="AL3795" s="4">
        <v>51</v>
      </c>
      <c r="AM3795" s="4">
        <v>51</v>
      </c>
      <c r="AN3795" s="4">
        <v>0</v>
      </c>
      <c r="AO3795" s="4">
        <v>0</v>
      </c>
      <c r="AP3795" s="4">
        <v>20</v>
      </c>
      <c r="AQ3795" s="4">
        <v>20</v>
      </c>
      <c r="AR3795" s="3" t="s">
        <v>64</v>
      </c>
      <c r="AS3795" s="3" t="s">
        <v>64</v>
      </c>
      <c r="AT3795" s="3" t="s">
        <v>128</v>
      </c>
      <c r="AU3795" s="6" t="str">
        <f t="shared" ref="AU3795:AU3826" si="90">HYPERLINK("http://catalog.hathitrust.org/Record/000142895","HathiTrust Record")</f>
        <v>HathiTrust Record</v>
      </c>
      <c r="AV3795" s="6" t="str">
        <f t="shared" ref="AV3795:AV3826" si="91">HYPERLINK("http://mcgill.on.worldcat.org/oclc/311902","Catalog Record")</f>
        <v>Catalog Record</v>
      </c>
      <c r="AW3795" s="6" t="str">
        <f t="shared" ref="AW3795:AW3826" si="92">HYPERLINK("http://www.worldcat.org/oclc/311902","WorldCat Record")</f>
        <v>WorldCat Record</v>
      </c>
      <c r="AX3795" s="3" t="s">
        <v>37963</v>
      </c>
      <c r="AY3795" s="3" t="s">
        <v>37964</v>
      </c>
      <c r="AZ3795" s="3" t="s">
        <v>37965</v>
      </c>
      <c r="BA3795" s="3" t="s">
        <v>37965</v>
      </c>
      <c r="BB3795" s="3" t="s">
        <v>37966</v>
      </c>
      <c r="BC3795" s="3" t="s">
        <v>77</v>
      </c>
      <c r="BD3795" s="3" t="s">
        <v>78</v>
      </c>
      <c r="BE3795" s="3" t="s">
        <v>37967</v>
      </c>
      <c r="BF3795" s="3" t="s">
        <v>37966</v>
      </c>
      <c r="BG3795" s="3" t="s">
        <v>37968</v>
      </c>
      <c r="BH3795">
        <f t="shared" si="89"/>
        <v>0</v>
      </c>
    </row>
    <row r="3796" spans="1:60" ht="58" x14ac:dyDescent="0.35">
      <c r="A3796" s="2" t="s">
        <v>6202</v>
      </c>
      <c r="B3796" s="2" t="s">
        <v>6203</v>
      </c>
      <c r="C3796" s="2" t="s">
        <v>37957</v>
      </c>
      <c r="D3796" s="2" t="s">
        <v>37958</v>
      </c>
      <c r="E3796" s="2" t="s">
        <v>37959</v>
      </c>
      <c r="F3796" s="3" t="s">
        <v>37969</v>
      </c>
      <c r="G3796" s="3" t="s">
        <v>128</v>
      </c>
      <c r="I3796" s="3" t="s">
        <v>64</v>
      </c>
      <c r="J3796" s="3" t="s">
        <v>64</v>
      </c>
      <c r="K3796" s="3" t="s">
        <v>65</v>
      </c>
      <c r="M3796" s="2" t="s">
        <v>37961</v>
      </c>
      <c r="N3796" s="3" t="s">
        <v>315</v>
      </c>
      <c r="P3796" s="3" t="s">
        <v>102</v>
      </c>
      <c r="R3796" s="3" t="s">
        <v>70</v>
      </c>
      <c r="S3796" s="4">
        <v>0</v>
      </c>
      <c r="T3796" s="4">
        <v>6</v>
      </c>
      <c r="V3796" s="5" t="s">
        <v>37962</v>
      </c>
      <c r="W3796" s="5" t="s">
        <v>72</v>
      </c>
      <c r="X3796" s="5" t="s">
        <v>72</v>
      </c>
      <c r="Y3796" s="4">
        <v>543</v>
      </c>
      <c r="Z3796" s="4">
        <v>28</v>
      </c>
      <c r="AA3796" s="4">
        <v>28</v>
      </c>
      <c r="AB3796" s="4">
        <v>1</v>
      </c>
      <c r="AC3796" s="4">
        <v>1</v>
      </c>
      <c r="AD3796" s="4">
        <v>106</v>
      </c>
      <c r="AE3796" s="4">
        <v>106</v>
      </c>
      <c r="AF3796" s="4">
        <v>0</v>
      </c>
      <c r="AG3796" s="4">
        <v>0</v>
      </c>
      <c r="AH3796" s="4">
        <v>93</v>
      </c>
      <c r="AI3796" s="4">
        <v>93</v>
      </c>
      <c r="AJ3796" s="4">
        <v>14</v>
      </c>
      <c r="AK3796" s="4">
        <v>14</v>
      </c>
      <c r="AL3796" s="4">
        <v>51</v>
      </c>
      <c r="AM3796" s="4">
        <v>51</v>
      </c>
      <c r="AN3796" s="4">
        <v>0</v>
      </c>
      <c r="AO3796" s="4">
        <v>0</v>
      </c>
      <c r="AP3796" s="4">
        <v>20</v>
      </c>
      <c r="AQ3796" s="4">
        <v>20</v>
      </c>
      <c r="AR3796" s="3" t="s">
        <v>64</v>
      </c>
      <c r="AS3796" s="3" t="s">
        <v>64</v>
      </c>
      <c r="AT3796" s="3" t="s">
        <v>128</v>
      </c>
      <c r="AU3796" s="6" t="str">
        <f t="shared" si="90"/>
        <v>HathiTrust Record</v>
      </c>
      <c r="AV3796" s="6" t="str">
        <f t="shared" si="91"/>
        <v>Catalog Record</v>
      </c>
      <c r="AW3796" s="6" t="str">
        <f t="shared" si="92"/>
        <v>WorldCat Record</v>
      </c>
      <c r="AX3796" s="3" t="s">
        <v>37963</v>
      </c>
      <c r="AY3796" s="3" t="s">
        <v>37964</v>
      </c>
      <c r="AZ3796" s="3" t="s">
        <v>37965</v>
      </c>
      <c r="BA3796" s="3" t="s">
        <v>37965</v>
      </c>
      <c r="BB3796" s="3" t="s">
        <v>37970</v>
      </c>
      <c r="BC3796" s="3" t="s">
        <v>77</v>
      </c>
      <c r="BD3796" s="3" t="s">
        <v>78</v>
      </c>
      <c r="BE3796" s="3" t="s">
        <v>37967</v>
      </c>
      <c r="BF3796" s="3" t="s">
        <v>37970</v>
      </c>
      <c r="BG3796" s="3" t="s">
        <v>37971</v>
      </c>
      <c r="BH3796">
        <f t="shared" si="89"/>
        <v>0</v>
      </c>
    </row>
    <row r="3797" spans="1:60" ht="58" x14ac:dyDescent="0.35">
      <c r="A3797" s="2" t="s">
        <v>6202</v>
      </c>
      <c r="B3797" s="2" t="s">
        <v>6203</v>
      </c>
      <c r="C3797" s="2" t="s">
        <v>37957</v>
      </c>
      <c r="D3797" s="2" t="s">
        <v>37958</v>
      </c>
      <c r="E3797" s="2" t="s">
        <v>37959</v>
      </c>
      <c r="F3797" s="3" t="s">
        <v>37972</v>
      </c>
      <c r="G3797" s="3" t="s">
        <v>128</v>
      </c>
      <c r="I3797" s="3" t="s">
        <v>64</v>
      </c>
      <c r="J3797" s="3" t="s">
        <v>64</v>
      </c>
      <c r="K3797" s="3" t="s">
        <v>65</v>
      </c>
      <c r="M3797" s="2" t="s">
        <v>37961</v>
      </c>
      <c r="N3797" s="3" t="s">
        <v>315</v>
      </c>
      <c r="P3797" s="3" t="s">
        <v>102</v>
      </c>
      <c r="R3797" s="3" t="s">
        <v>70</v>
      </c>
      <c r="S3797" s="4">
        <v>0</v>
      </c>
      <c r="T3797" s="4">
        <v>6</v>
      </c>
      <c r="V3797" s="5" t="s">
        <v>37962</v>
      </c>
      <c r="W3797" s="5" t="s">
        <v>72</v>
      </c>
      <c r="X3797" s="5" t="s">
        <v>72</v>
      </c>
      <c r="Y3797" s="4">
        <v>543</v>
      </c>
      <c r="Z3797" s="4">
        <v>28</v>
      </c>
      <c r="AA3797" s="4">
        <v>28</v>
      </c>
      <c r="AB3797" s="4">
        <v>1</v>
      </c>
      <c r="AC3797" s="4">
        <v>1</v>
      </c>
      <c r="AD3797" s="4">
        <v>106</v>
      </c>
      <c r="AE3797" s="4">
        <v>106</v>
      </c>
      <c r="AF3797" s="4">
        <v>0</v>
      </c>
      <c r="AG3797" s="4">
        <v>0</v>
      </c>
      <c r="AH3797" s="4">
        <v>93</v>
      </c>
      <c r="AI3797" s="4">
        <v>93</v>
      </c>
      <c r="AJ3797" s="4">
        <v>14</v>
      </c>
      <c r="AK3797" s="4">
        <v>14</v>
      </c>
      <c r="AL3797" s="4">
        <v>51</v>
      </c>
      <c r="AM3797" s="4">
        <v>51</v>
      </c>
      <c r="AN3797" s="4">
        <v>0</v>
      </c>
      <c r="AO3797" s="4">
        <v>0</v>
      </c>
      <c r="AP3797" s="4">
        <v>20</v>
      </c>
      <c r="AQ3797" s="4">
        <v>20</v>
      </c>
      <c r="AR3797" s="3" t="s">
        <v>64</v>
      </c>
      <c r="AS3797" s="3" t="s">
        <v>64</v>
      </c>
      <c r="AT3797" s="3" t="s">
        <v>128</v>
      </c>
      <c r="AU3797" s="6" t="str">
        <f t="shared" si="90"/>
        <v>HathiTrust Record</v>
      </c>
      <c r="AV3797" s="6" t="str">
        <f t="shared" si="91"/>
        <v>Catalog Record</v>
      </c>
      <c r="AW3797" s="6" t="str">
        <f t="shared" si="92"/>
        <v>WorldCat Record</v>
      </c>
      <c r="AX3797" s="3" t="s">
        <v>37963</v>
      </c>
      <c r="AY3797" s="3" t="s">
        <v>37964</v>
      </c>
      <c r="AZ3797" s="3" t="s">
        <v>37965</v>
      </c>
      <c r="BA3797" s="3" t="s">
        <v>37965</v>
      </c>
      <c r="BB3797" s="3" t="s">
        <v>37973</v>
      </c>
      <c r="BC3797" s="3" t="s">
        <v>77</v>
      </c>
      <c r="BD3797" s="3" t="s">
        <v>78</v>
      </c>
      <c r="BE3797" s="3" t="s">
        <v>37967</v>
      </c>
      <c r="BF3797" s="3" t="s">
        <v>37973</v>
      </c>
      <c r="BG3797" s="3" t="s">
        <v>37974</v>
      </c>
      <c r="BH3797">
        <f t="shared" si="89"/>
        <v>0</v>
      </c>
    </row>
    <row r="3798" spans="1:60" ht="58" x14ac:dyDescent="0.35">
      <c r="A3798" s="2" t="s">
        <v>6202</v>
      </c>
      <c r="B3798" s="2" t="s">
        <v>6203</v>
      </c>
      <c r="C3798" s="2" t="s">
        <v>37957</v>
      </c>
      <c r="D3798" s="2" t="s">
        <v>37958</v>
      </c>
      <c r="E3798" s="2" t="s">
        <v>37959</v>
      </c>
      <c r="F3798" s="3" t="s">
        <v>27492</v>
      </c>
      <c r="G3798" s="3" t="s">
        <v>128</v>
      </c>
      <c r="I3798" s="3" t="s">
        <v>64</v>
      </c>
      <c r="J3798" s="3" t="s">
        <v>64</v>
      </c>
      <c r="K3798" s="3" t="s">
        <v>65</v>
      </c>
      <c r="M3798" s="2" t="s">
        <v>37961</v>
      </c>
      <c r="N3798" s="3" t="s">
        <v>315</v>
      </c>
      <c r="P3798" s="3" t="s">
        <v>102</v>
      </c>
      <c r="R3798" s="3" t="s">
        <v>70</v>
      </c>
      <c r="S3798" s="4">
        <v>0</v>
      </c>
      <c r="T3798" s="4">
        <v>6</v>
      </c>
      <c r="V3798" s="5" t="s">
        <v>37962</v>
      </c>
      <c r="W3798" s="5" t="s">
        <v>72</v>
      </c>
      <c r="X3798" s="5" t="s">
        <v>72</v>
      </c>
      <c r="Y3798" s="4">
        <v>543</v>
      </c>
      <c r="Z3798" s="4">
        <v>28</v>
      </c>
      <c r="AA3798" s="4">
        <v>28</v>
      </c>
      <c r="AB3798" s="4">
        <v>1</v>
      </c>
      <c r="AC3798" s="4">
        <v>1</v>
      </c>
      <c r="AD3798" s="4">
        <v>106</v>
      </c>
      <c r="AE3798" s="4">
        <v>106</v>
      </c>
      <c r="AF3798" s="4">
        <v>0</v>
      </c>
      <c r="AG3798" s="4">
        <v>0</v>
      </c>
      <c r="AH3798" s="4">
        <v>93</v>
      </c>
      <c r="AI3798" s="4">
        <v>93</v>
      </c>
      <c r="AJ3798" s="4">
        <v>14</v>
      </c>
      <c r="AK3798" s="4">
        <v>14</v>
      </c>
      <c r="AL3798" s="4">
        <v>51</v>
      </c>
      <c r="AM3798" s="4">
        <v>51</v>
      </c>
      <c r="AN3798" s="4">
        <v>0</v>
      </c>
      <c r="AO3798" s="4">
        <v>0</v>
      </c>
      <c r="AP3798" s="4">
        <v>20</v>
      </c>
      <c r="AQ3798" s="4">
        <v>20</v>
      </c>
      <c r="AR3798" s="3" t="s">
        <v>64</v>
      </c>
      <c r="AS3798" s="3" t="s">
        <v>64</v>
      </c>
      <c r="AT3798" s="3" t="s">
        <v>128</v>
      </c>
      <c r="AU3798" s="6" t="str">
        <f t="shared" si="90"/>
        <v>HathiTrust Record</v>
      </c>
      <c r="AV3798" s="6" t="str">
        <f t="shared" si="91"/>
        <v>Catalog Record</v>
      </c>
      <c r="AW3798" s="6" t="str">
        <f t="shared" si="92"/>
        <v>WorldCat Record</v>
      </c>
      <c r="AX3798" s="3" t="s">
        <v>37963</v>
      </c>
      <c r="AY3798" s="3" t="s">
        <v>37964</v>
      </c>
      <c r="AZ3798" s="3" t="s">
        <v>37965</v>
      </c>
      <c r="BA3798" s="3" t="s">
        <v>37965</v>
      </c>
      <c r="BB3798" s="3" t="s">
        <v>37975</v>
      </c>
      <c r="BC3798" s="3" t="s">
        <v>77</v>
      </c>
      <c r="BD3798" s="3" t="s">
        <v>78</v>
      </c>
      <c r="BE3798" s="3" t="s">
        <v>37967</v>
      </c>
      <c r="BF3798" s="3" t="s">
        <v>37975</v>
      </c>
      <c r="BG3798" s="3" t="s">
        <v>37976</v>
      </c>
      <c r="BH3798">
        <f t="shared" si="89"/>
        <v>0</v>
      </c>
    </row>
    <row r="3799" spans="1:60" ht="58" x14ac:dyDescent="0.35">
      <c r="A3799" s="2" t="s">
        <v>6202</v>
      </c>
      <c r="B3799" s="2" t="s">
        <v>6203</v>
      </c>
      <c r="C3799" s="2" t="s">
        <v>37957</v>
      </c>
      <c r="D3799" s="2" t="s">
        <v>37958</v>
      </c>
      <c r="E3799" s="2" t="s">
        <v>37959</v>
      </c>
      <c r="F3799" s="3" t="s">
        <v>27491</v>
      </c>
      <c r="G3799" s="3" t="s">
        <v>128</v>
      </c>
      <c r="I3799" s="3" t="s">
        <v>64</v>
      </c>
      <c r="J3799" s="3" t="s">
        <v>64</v>
      </c>
      <c r="K3799" s="3" t="s">
        <v>65</v>
      </c>
      <c r="M3799" s="2" t="s">
        <v>37961</v>
      </c>
      <c r="N3799" s="3" t="s">
        <v>315</v>
      </c>
      <c r="P3799" s="3" t="s">
        <v>102</v>
      </c>
      <c r="R3799" s="3" t="s">
        <v>70</v>
      </c>
      <c r="S3799" s="4">
        <v>0</v>
      </c>
      <c r="T3799" s="4">
        <v>6</v>
      </c>
      <c r="V3799" s="5" t="s">
        <v>37962</v>
      </c>
      <c r="W3799" s="5" t="s">
        <v>72</v>
      </c>
      <c r="X3799" s="5" t="s">
        <v>72</v>
      </c>
      <c r="Y3799" s="4">
        <v>543</v>
      </c>
      <c r="Z3799" s="4">
        <v>28</v>
      </c>
      <c r="AA3799" s="4">
        <v>28</v>
      </c>
      <c r="AB3799" s="4">
        <v>1</v>
      </c>
      <c r="AC3799" s="4">
        <v>1</v>
      </c>
      <c r="AD3799" s="4">
        <v>106</v>
      </c>
      <c r="AE3799" s="4">
        <v>106</v>
      </c>
      <c r="AF3799" s="4">
        <v>0</v>
      </c>
      <c r="AG3799" s="4">
        <v>0</v>
      </c>
      <c r="AH3799" s="4">
        <v>93</v>
      </c>
      <c r="AI3799" s="4">
        <v>93</v>
      </c>
      <c r="AJ3799" s="4">
        <v>14</v>
      </c>
      <c r="AK3799" s="4">
        <v>14</v>
      </c>
      <c r="AL3799" s="4">
        <v>51</v>
      </c>
      <c r="AM3799" s="4">
        <v>51</v>
      </c>
      <c r="AN3799" s="4">
        <v>0</v>
      </c>
      <c r="AO3799" s="4">
        <v>0</v>
      </c>
      <c r="AP3799" s="4">
        <v>20</v>
      </c>
      <c r="AQ3799" s="4">
        <v>20</v>
      </c>
      <c r="AR3799" s="3" t="s">
        <v>64</v>
      </c>
      <c r="AS3799" s="3" t="s">
        <v>64</v>
      </c>
      <c r="AT3799" s="3" t="s">
        <v>128</v>
      </c>
      <c r="AU3799" s="6" t="str">
        <f t="shared" si="90"/>
        <v>HathiTrust Record</v>
      </c>
      <c r="AV3799" s="6" t="str">
        <f t="shared" si="91"/>
        <v>Catalog Record</v>
      </c>
      <c r="AW3799" s="6" t="str">
        <f t="shared" si="92"/>
        <v>WorldCat Record</v>
      </c>
      <c r="AX3799" s="3" t="s">
        <v>37963</v>
      </c>
      <c r="AY3799" s="3" t="s">
        <v>37964</v>
      </c>
      <c r="AZ3799" s="3" t="s">
        <v>37965</v>
      </c>
      <c r="BA3799" s="3" t="s">
        <v>37965</v>
      </c>
      <c r="BB3799" s="3" t="s">
        <v>37977</v>
      </c>
      <c r="BC3799" s="3" t="s">
        <v>77</v>
      </c>
      <c r="BD3799" s="3" t="s">
        <v>78</v>
      </c>
      <c r="BE3799" s="3" t="s">
        <v>37967</v>
      </c>
      <c r="BF3799" s="3" t="s">
        <v>37977</v>
      </c>
      <c r="BG3799" s="3" t="s">
        <v>37978</v>
      </c>
      <c r="BH3799">
        <f t="shared" si="89"/>
        <v>0</v>
      </c>
    </row>
    <row r="3800" spans="1:60" ht="58" x14ac:dyDescent="0.35">
      <c r="A3800" s="2" t="s">
        <v>6202</v>
      </c>
      <c r="B3800" s="2" t="s">
        <v>6203</v>
      </c>
      <c r="C3800" s="2" t="s">
        <v>37957</v>
      </c>
      <c r="D3800" s="2" t="s">
        <v>37958</v>
      </c>
      <c r="E3800" s="2" t="s">
        <v>37959</v>
      </c>
      <c r="F3800" s="3" t="s">
        <v>509</v>
      </c>
      <c r="G3800" s="3" t="s">
        <v>128</v>
      </c>
      <c r="I3800" s="3" t="s">
        <v>64</v>
      </c>
      <c r="J3800" s="3" t="s">
        <v>64</v>
      </c>
      <c r="K3800" s="3" t="s">
        <v>65</v>
      </c>
      <c r="M3800" s="2" t="s">
        <v>37961</v>
      </c>
      <c r="N3800" s="3" t="s">
        <v>315</v>
      </c>
      <c r="P3800" s="3" t="s">
        <v>102</v>
      </c>
      <c r="R3800" s="3" t="s">
        <v>70</v>
      </c>
      <c r="S3800" s="4">
        <v>0</v>
      </c>
      <c r="T3800" s="4">
        <v>6</v>
      </c>
      <c r="V3800" s="5" t="s">
        <v>37962</v>
      </c>
      <c r="W3800" s="5" t="s">
        <v>72</v>
      </c>
      <c r="X3800" s="5" t="s">
        <v>72</v>
      </c>
      <c r="Y3800" s="4">
        <v>543</v>
      </c>
      <c r="Z3800" s="4">
        <v>28</v>
      </c>
      <c r="AA3800" s="4">
        <v>28</v>
      </c>
      <c r="AB3800" s="4">
        <v>1</v>
      </c>
      <c r="AC3800" s="4">
        <v>1</v>
      </c>
      <c r="AD3800" s="4">
        <v>106</v>
      </c>
      <c r="AE3800" s="4">
        <v>106</v>
      </c>
      <c r="AF3800" s="4">
        <v>0</v>
      </c>
      <c r="AG3800" s="4">
        <v>0</v>
      </c>
      <c r="AH3800" s="4">
        <v>93</v>
      </c>
      <c r="AI3800" s="4">
        <v>93</v>
      </c>
      <c r="AJ3800" s="4">
        <v>14</v>
      </c>
      <c r="AK3800" s="4">
        <v>14</v>
      </c>
      <c r="AL3800" s="4">
        <v>51</v>
      </c>
      <c r="AM3800" s="4">
        <v>51</v>
      </c>
      <c r="AN3800" s="4">
        <v>0</v>
      </c>
      <c r="AO3800" s="4">
        <v>0</v>
      </c>
      <c r="AP3800" s="4">
        <v>20</v>
      </c>
      <c r="AQ3800" s="4">
        <v>20</v>
      </c>
      <c r="AR3800" s="3" t="s">
        <v>64</v>
      </c>
      <c r="AS3800" s="3" t="s">
        <v>64</v>
      </c>
      <c r="AT3800" s="3" t="s">
        <v>128</v>
      </c>
      <c r="AU3800" s="6" t="str">
        <f t="shared" si="90"/>
        <v>HathiTrust Record</v>
      </c>
      <c r="AV3800" s="6" t="str">
        <f t="shared" si="91"/>
        <v>Catalog Record</v>
      </c>
      <c r="AW3800" s="6" t="str">
        <f t="shared" si="92"/>
        <v>WorldCat Record</v>
      </c>
      <c r="AX3800" s="3" t="s">
        <v>37963</v>
      </c>
      <c r="AY3800" s="3" t="s">
        <v>37964</v>
      </c>
      <c r="AZ3800" s="3" t="s">
        <v>37965</v>
      </c>
      <c r="BA3800" s="3" t="s">
        <v>37965</v>
      </c>
      <c r="BB3800" s="3" t="s">
        <v>37979</v>
      </c>
      <c r="BC3800" s="3" t="s">
        <v>77</v>
      </c>
      <c r="BD3800" s="3" t="s">
        <v>78</v>
      </c>
      <c r="BE3800" s="3" t="s">
        <v>37967</v>
      </c>
      <c r="BF3800" s="3" t="s">
        <v>37979</v>
      </c>
      <c r="BG3800" s="3" t="s">
        <v>37980</v>
      </c>
      <c r="BH3800">
        <f t="shared" si="89"/>
        <v>0</v>
      </c>
    </row>
    <row r="3801" spans="1:60" ht="58" x14ac:dyDescent="0.35">
      <c r="A3801" s="2" t="s">
        <v>6202</v>
      </c>
      <c r="B3801" s="2" t="s">
        <v>6203</v>
      </c>
      <c r="C3801" s="2" t="s">
        <v>37957</v>
      </c>
      <c r="D3801" s="2" t="s">
        <v>37958</v>
      </c>
      <c r="E3801" s="2" t="s">
        <v>37959</v>
      </c>
      <c r="F3801" s="3" t="s">
        <v>37981</v>
      </c>
      <c r="G3801" s="3" t="s">
        <v>128</v>
      </c>
      <c r="I3801" s="3" t="s">
        <v>64</v>
      </c>
      <c r="J3801" s="3" t="s">
        <v>64</v>
      </c>
      <c r="K3801" s="3" t="s">
        <v>65</v>
      </c>
      <c r="M3801" s="2" t="s">
        <v>37961</v>
      </c>
      <c r="N3801" s="3" t="s">
        <v>315</v>
      </c>
      <c r="P3801" s="3" t="s">
        <v>102</v>
      </c>
      <c r="R3801" s="3" t="s">
        <v>70</v>
      </c>
      <c r="S3801" s="4">
        <v>0</v>
      </c>
      <c r="T3801" s="4">
        <v>6</v>
      </c>
      <c r="V3801" s="5" t="s">
        <v>37962</v>
      </c>
      <c r="W3801" s="5" t="s">
        <v>72</v>
      </c>
      <c r="X3801" s="5" t="s">
        <v>72</v>
      </c>
      <c r="Y3801" s="4">
        <v>543</v>
      </c>
      <c r="Z3801" s="4">
        <v>28</v>
      </c>
      <c r="AA3801" s="4">
        <v>28</v>
      </c>
      <c r="AB3801" s="4">
        <v>1</v>
      </c>
      <c r="AC3801" s="4">
        <v>1</v>
      </c>
      <c r="AD3801" s="4">
        <v>106</v>
      </c>
      <c r="AE3801" s="4">
        <v>106</v>
      </c>
      <c r="AF3801" s="4">
        <v>0</v>
      </c>
      <c r="AG3801" s="4">
        <v>0</v>
      </c>
      <c r="AH3801" s="4">
        <v>93</v>
      </c>
      <c r="AI3801" s="4">
        <v>93</v>
      </c>
      <c r="AJ3801" s="4">
        <v>14</v>
      </c>
      <c r="AK3801" s="4">
        <v>14</v>
      </c>
      <c r="AL3801" s="4">
        <v>51</v>
      </c>
      <c r="AM3801" s="4">
        <v>51</v>
      </c>
      <c r="AN3801" s="4">
        <v>0</v>
      </c>
      <c r="AO3801" s="4">
        <v>0</v>
      </c>
      <c r="AP3801" s="4">
        <v>20</v>
      </c>
      <c r="AQ3801" s="4">
        <v>20</v>
      </c>
      <c r="AR3801" s="3" t="s">
        <v>64</v>
      </c>
      <c r="AS3801" s="3" t="s">
        <v>64</v>
      </c>
      <c r="AT3801" s="3" t="s">
        <v>128</v>
      </c>
      <c r="AU3801" s="6" t="str">
        <f t="shared" si="90"/>
        <v>HathiTrust Record</v>
      </c>
      <c r="AV3801" s="6" t="str">
        <f t="shared" si="91"/>
        <v>Catalog Record</v>
      </c>
      <c r="AW3801" s="6" t="str">
        <f t="shared" si="92"/>
        <v>WorldCat Record</v>
      </c>
      <c r="AX3801" s="3" t="s">
        <v>37963</v>
      </c>
      <c r="AY3801" s="3" t="s">
        <v>37964</v>
      </c>
      <c r="AZ3801" s="3" t="s">
        <v>37965</v>
      </c>
      <c r="BA3801" s="3" t="s">
        <v>37965</v>
      </c>
      <c r="BB3801" s="3" t="s">
        <v>37982</v>
      </c>
      <c r="BC3801" s="3" t="s">
        <v>77</v>
      </c>
      <c r="BD3801" s="3" t="s">
        <v>78</v>
      </c>
      <c r="BE3801" s="3" t="s">
        <v>37967</v>
      </c>
      <c r="BF3801" s="3" t="s">
        <v>37982</v>
      </c>
      <c r="BG3801" s="3" t="s">
        <v>37983</v>
      </c>
      <c r="BH3801">
        <f t="shared" si="89"/>
        <v>0</v>
      </c>
    </row>
    <row r="3802" spans="1:60" ht="58" x14ac:dyDescent="0.35">
      <c r="A3802" s="2" t="s">
        <v>6202</v>
      </c>
      <c r="B3802" s="2" t="s">
        <v>6203</v>
      </c>
      <c r="C3802" s="2" t="s">
        <v>37957</v>
      </c>
      <c r="D3802" s="2" t="s">
        <v>37958</v>
      </c>
      <c r="E3802" s="2" t="s">
        <v>37959</v>
      </c>
      <c r="F3802" s="3" t="s">
        <v>27485</v>
      </c>
      <c r="G3802" s="3" t="s">
        <v>128</v>
      </c>
      <c r="I3802" s="3" t="s">
        <v>64</v>
      </c>
      <c r="J3802" s="3" t="s">
        <v>64</v>
      </c>
      <c r="K3802" s="3" t="s">
        <v>65</v>
      </c>
      <c r="M3802" s="2" t="s">
        <v>37961</v>
      </c>
      <c r="N3802" s="3" t="s">
        <v>315</v>
      </c>
      <c r="P3802" s="3" t="s">
        <v>102</v>
      </c>
      <c r="R3802" s="3" t="s">
        <v>70</v>
      </c>
      <c r="S3802" s="4">
        <v>0</v>
      </c>
      <c r="T3802" s="4">
        <v>6</v>
      </c>
      <c r="V3802" s="5" t="s">
        <v>37962</v>
      </c>
      <c r="W3802" s="5" t="s">
        <v>72</v>
      </c>
      <c r="X3802" s="5" t="s">
        <v>72</v>
      </c>
      <c r="Y3802" s="4">
        <v>543</v>
      </c>
      <c r="Z3802" s="4">
        <v>28</v>
      </c>
      <c r="AA3802" s="4">
        <v>28</v>
      </c>
      <c r="AB3802" s="4">
        <v>1</v>
      </c>
      <c r="AC3802" s="4">
        <v>1</v>
      </c>
      <c r="AD3802" s="4">
        <v>106</v>
      </c>
      <c r="AE3802" s="4">
        <v>106</v>
      </c>
      <c r="AF3802" s="4">
        <v>0</v>
      </c>
      <c r="AG3802" s="4">
        <v>0</v>
      </c>
      <c r="AH3802" s="4">
        <v>93</v>
      </c>
      <c r="AI3802" s="4">
        <v>93</v>
      </c>
      <c r="AJ3802" s="4">
        <v>14</v>
      </c>
      <c r="AK3802" s="4">
        <v>14</v>
      </c>
      <c r="AL3802" s="4">
        <v>51</v>
      </c>
      <c r="AM3802" s="4">
        <v>51</v>
      </c>
      <c r="AN3802" s="4">
        <v>0</v>
      </c>
      <c r="AO3802" s="4">
        <v>0</v>
      </c>
      <c r="AP3802" s="4">
        <v>20</v>
      </c>
      <c r="AQ3802" s="4">
        <v>20</v>
      </c>
      <c r="AR3802" s="3" t="s">
        <v>64</v>
      </c>
      <c r="AS3802" s="3" t="s">
        <v>64</v>
      </c>
      <c r="AT3802" s="3" t="s">
        <v>128</v>
      </c>
      <c r="AU3802" s="6" t="str">
        <f t="shared" si="90"/>
        <v>HathiTrust Record</v>
      </c>
      <c r="AV3802" s="6" t="str">
        <f t="shared" si="91"/>
        <v>Catalog Record</v>
      </c>
      <c r="AW3802" s="6" t="str">
        <f t="shared" si="92"/>
        <v>WorldCat Record</v>
      </c>
      <c r="AX3802" s="3" t="s">
        <v>37963</v>
      </c>
      <c r="AY3802" s="3" t="s">
        <v>37964</v>
      </c>
      <c r="AZ3802" s="3" t="s">
        <v>37965</v>
      </c>
      <c r="BA3802" s="3" t="s">
        <v>37965</v>
      </c>
      <c r="BB3802" s="3" t="s">
        <v>37984</v>
      </c>
      <c r="BC3802" s="3" t="s">
        <v>77</v>
      </c>
      <c r="BD3802" s="3" t="s">
        <v>78</v>
      </c>
      <c r="BE3802" s="3" t="s">
        <v>37967</v>
      </c>
      <c r="BF3802" s="3" t="s">
        <v>37984</v>
      </c>
      <c r="BG3802" s="3" t="s">
        <v>37985</v>
      </c>
      <c r="BH3802">
        <f t="shared" si="89"/>
        <v>0</v>
      </c>
    </row>
    <row r="3803" spans="1:60" ht="58" x14ac:dyDescent="0.35">
      <c r="A3803" s="2" t="s">
        <v>6202</v>
      </c>
      <c r="B3803" s="2" t="s">
        <v>6203</v>
      </c>
      <c r="C3803" s="2" t="s">
        <v>37957</v>
      </c>
      <c r="D3803" s="2" t="s">
        <v>37958</v>
      </c>
      <c r="E3803" s="2" t="s">
        <v>37959</v>
      </c>
      <c r="F3803" s="3" t="s">
        <v>37986</v>
      </c>
      <c r="G3803" s="3" t="s">
        <v>128</v>
      </c>
      <c r="I3803" s="3" t="s">
        <v>64</v>
      </c>
      <c r="J3803" s="3" t="s">
        <v>64</v>
      </c>
      <c r="K3803" s="3" t="s">
        <v>65</v>
      </c>
      <c r="M3803" s="2" t="s">
        <v>37961</v>
      </c>
      <c r="N3803" s="3" t="s">
        <v>315</v>
      </c>
      <c r="P3803" s="3" t="s">
        <v>102</v>
      </c>
      <c r="R3803" s="3" t="s">
        <v>70</v>
      </c>
      <c r="S3803" s="4">
        <v>0</v>
      </c>
      <c r="T3803" s="4">
        <v>6</v>
      </c>
      <c r="V3803" s="5" t="s">
        <v>37962</v>
      </c>
      <c r="W3803" s="5" t="s">
        <v>72</v>
      </c>
      <c r="X3803" s="5" t="s">
        <v>72</v>
      </c>
      <c r="Y3803" s="4">
        <v>543</v>
      </c>
      <c r="Z3803" s="4">
        <v>28</v>
      </c>
      <c r="AA3803" s="4">
        <v>28</v>
      </c>
      <c r="AB3803" s="4">
        <v>1</v>
      </c>
      <c r="AC3803" s="4">
        <v>1</v>
      </c>
      <c r="AD3803" s="4">
        <v>106</v>
      </c>
      <c r="AE3803" s="4">
        <v>106</v>
      </c>
      <c r="AF3803" s="4">
        <v>0</v>
      </c>
      <c r="AG3803" s="4">
        <v>0</v>
      </c>
      <c r="AH3803" s="4">
        <v>93</v>
      </c>
      <c r="AI3803" s="4">
        <v>93</v>
      </c>
      <c r="AJ3803" s="4">
        <v>14</v>
      </c>
      <c r="AK3803" s="4">
        <v>14</v>
      </c>
      <c r="AL3803" s="4">
        <v>51</v>
      </c>
      <c r="AM3803" s="4">
        <v>51</v>
      </c>
      <c r="AN3803" s="4">
        <v>0</v>
      </c>
      <c r="AO3803" s="4">
        <v>0</v>
      </c>
      <c r="AP3803" s="4">
        <v>20</v>
      </c>
      <c r="AQ3803" s="4">
        <v>20</v>
      </c>
      <c r="AR3803" s="3" t="s">
        <v>64</v>
      </c>
      <c r="AS3803" s="3" t="s">
        <v>64</v>
      </c>
      <c r="AT3803" s="3" t="s">
        <v>128</v>
      </c>
      <c r="AU3803" s="6" t="str">
        <f t="shared" si="90"/>
        <v>HathiTrust Record</v>
      </c>
      <c r="AV3803" s="6" t="str">
        <f t="shared" si="91"/>
        <v>Catalog Record</v>
      </c>
      <c r="AW3803" s="6" t="str">
        <f t="shared" si="92"/>
        <v>WorldCat Record</v>
      </c>
      <c r="AX3803" s="3" t="s">
        <v>37963</v>
      </c>
      <c r="AY3803" s="3" t="s">
        <v>37964</v>
      </c>
      <c r="AZ3803" s="3" t="s">
        <v>37965</v>
      </c>
      <c r="BA3803" s="3" t="s">
        <v>37965</v>
      </c>
      <c r="BB3803" s="3" t="s">
        <v>37987</v>
      </c>
      <c r="BC3803" s="3" t="s">
        <v>77</v>
      </c>
      <c r="BD3803" s="3" t="s">
        <v>78</v>
      </c>
      <c r="BE3803" s="3" t="s">
        <v>37967</v>
      </c>
      <c r="BF3803" s="3" t="s">
        <v>37987</v>
      </c>
      <c r="BG3803" s="3" t="s">
        <v>37988</v>
      </c>
      <c r="BH3803">
        <f t="shared" si="89"/>
        <v>0</v>
      </c>
    </row>
    <row r="3804" spans="1:60" ht="58" x14ac:dyDescent="0.35">
      <c r="A3804" s="2" t="s">
        <v>6202</v>
      </c>
      <c r="B3804" s="2" t="s">
        <v>6203</v>
      </c>
      <c r="C3804" s="2" t="s">
        <v>37957</v>
      </c>
      <c r="D3804" s="2" t="s">
        <v>37958</v>
      </c>
      <c r="E3804" s="2" t="s">
        <v>37959</v>
      </c>
      <c r="F3804" s="3" t="s">
        <v>3151</v>
      </c>
      <c r="G3804" s="3" t="s">
        <v>128</v>
      </c>
      <c r="I3804" s="3" t="s">
        <v>64</v>
      </c>
      <c r="J3804" s="3" t="s">
        <v>64</v>
      </c>
      <c r="K3804" s="3" t="s">
        <v>65</v>
      </c>
      <c r="M3804" s="2" t="s">
        <v>37961</v>
      </c>
      <c r="N3804" s="3" t="s">
        <v>315</v>
      </c>
      <c r="P3804" s="3" t="s">
        <v>102</v>
      </c>
      <c r="R3804" s="3" t="s">
        <v>70</v>
      </c>
      <c r="S3804" s="4">
        <v>0</v>
      </c>
      <c r="T3804" s="4">
        <v>6</v>
      </c>
      <c r="V3804" s="5" t="s">
        <v>37962</v>
      </c>
      <c r="W3804" s="5" t="s">
        <v>72</v>
      </c>
      <c r="X3804" s="5" t="s">
        <v>72</v>
      </c>
      <c r="Y3804" s="4">
        <v>543</v>
      </c>
      <c r="Z3804" s="4">
        <v>28</v>
      </c>
      <c r="AA3804" s="4">
        <v>28</v>
      </c>
      <c r="AB3804" s="4">
        <v>1</v>
      </c>
      <c r="AC3804" s="4">
        <v>1</v>
      </c>
      <c r="AD3804" s="4">
        <v>106</v>
      </c>
      <c r="AE3804" s="4">
        <v>106</v>
      </c>
      <c r="AF3804" s="4">
        <v>0</v>
      </c>
      <c r="AG3804" s="4">
        <v>0</v>
      </c>
      <c r="AH3804" s="4">
        <v>93</v>
      </c>
      <c r="AI3804" s="4">
        <v>93</v>
      </c>
      <c r="AJ3804" s="4">
        <v>14</v>
      </c>
      <c r="AK3804" s="4">
        <v>14</v>
      </c>
      <c r="AL3804" s="4">
        <v>51</v>
      </c>
      <c r="AM3804" s="4">
        <v>51</v>
      </c>
      <c r="AN3804" s="4">
        <v>0</v>
      </c>
      <c r="AO3804" s="4">
        <v>0</v>
      </c>
      <c r="AP3804" s="4">
        <v>20</v>
      </c>
      <c r="AQ3804" s="4">
        <v>20</v>
      </c>
      <c r="AR3804" s="3" t="s">
        <v>64</v>
      </c>
      <c r="AS3804" s="3" t="s">
        <v>64</v>
      </c>
      <c r="AT3804" s="3" t="s">
        <v>128</v>
      </c>
      <c r="AU3804" s="6" t="str">
        <f t="shared" si="90"/>
        <v>HathiTrust Record</v>
      </c>
      <c r="AV3804" s="6" t="str">
        <f t="shared" si="91"/>
        <v>Catalog Record</v>
      </c>
      <c r="AW3804" s="6" t="str">
        <f t="shared" si="92"/>
        <v>WorldCat Record</v>
      </c>
      <c r="AX3804" s="3" t="s">
        <v>37963</v>
      </c>
      <c r="AY3804" s="3" t="s">
        <v>37964</v>
      </c>
      <c r="AZ3804" s="3" t="s">
        <v>37965</v>
      </c>
      <c r="BA3804" s="3" t="s">
        <v>37965</v>
      </c>
      <c r="BB3804" s="3" t="s">
        <v>37989</v>
      </c>
      <c r="BC3804" s="3" t="s">
        <v>77</v>
      </c>
      <c r="BD3804" s="3" t="s">
        <v>78</v>
      </c>
      <c r="BE3804" s="3" t="s">
        <v>37967</v>
      </c>
      <c r="BF3804" s="3" t="s">
        <v>37989</v>
      </c>
      <c r="BG3804" s="3" t="s">
        <v>37990</v>
      </c>
      <c r="BH3804">
        <f t="shared" si="89"/>
        <v>0</v>
      </c>
    </row>
    <row r="3805" spans="1:60" ht="58" x14ac:dyDescent="0.35">
      <c r="A3805" s="2" t="s">
        <v>6202</v>
      </c>
      <c r="B3805" s="2" t="s">
        <v>6203</v>
      </c>
      <c r="C3805" s="2" t="s">
        <v>37957</v>
      </c>
      <c r="D3805" s="2" t="s">
        <v>37958</v>
      </c>
      <c r="E3805" s="2" t="s">
        <v>37959</v>
      </c>
      <c r="F3805" s="3" t="s">
        <v>27480</v>
      </c>
      <c r="G3805" s="3" t="s">
        <v>128</v>
      </c>
      <c r="I3805" s="3" t="s">
        <v>64</v>
      </c>
      <c r="J3805" s="3" t="s">
        <v>64</v>
      </c>
      <c r="K3805" s="3" t="s">
        <v>65</v>
      </c>
      <c r="M3805" s="2" t="s">
        <v>37961</v>
      </c>
      <c r="N3805" s="3" t="s">
        <v>315</v>
      </c>
      <c r="P3805" s="3" t="s">
        <v>102</v>
      </c>
      <c r="R3805" s="3" t="s">
        <v>70</v>
      </c>
      <c r="S3805" s="4">
        <v>0</v>
      </c>
      <c r="T3805" s="4">
        <v>6</v>
      </c>
      <c r="V3805" s="5" t="s">
        <v>37962</v>
      </c>
      <c r="W3805" s="5" t="s">
        <v>72</v>
      </c>
      <c r="X3805" s="5" t="s">
        <v>72</v>
      </c>
      <c r="Y3805" s="4">
        <v>543</v>
      </c>
      <c r="Z3805" s="4">
        <v>28</v>
      </c>
      <c r="AA3805" s="4">
        <v>28</v>
      </c>
      <c r="AB3805" s="4">
        <v>1</v>
      </c>
      <c r="AC3805" s="4">
        <v>1</v>
      </c>
      <c r="AD3805" s="4">
        <v>106</v>
      </c>
      <c r="AE3805" s="4">
        <v>106</v>
      </c>
      <c r="AF3805" s="4">
        <v>0</v>
      </c>
      <c r="AG3805" s="4">
        <v>0</v>
      </c>
      <c r="AH3805" s="4">
        <v>93</v>
      </c>
      <c r="AI3805" s="4">
        <v>93</v>
      </c>
      <c r="AJ3805" s="4">
        <v>14</v>
      </c>
      <c r="AK3805" s="4">
        <v>14</v>
      </c>
      <c r="AL3805" s="4">
        <v>51</v>
      </c>
      <c r="AM3805" s="4">
        <v>51</v>
      </c>
      <c r="AN3805" s="4">
        <v>0</v>
      </c>
      <c r="AO3805" s="4">
        <v>0</v>
      </c>
      <c r="AP3805" s="4">
        <v>20</v>
      </c>
      <c r="AQ3805" s="4">
        <v>20</v>
      </c>
      <c r="AR3805" s="3" t="s">
        <v>64</v>
      </c>
      <c r="AS3805" s="3" t="s">
        <v>64</v>
      </c>
      <c r="AT3805" s="3" t="s">
        <v>128</v>
      </c>
      <c r="AU3805" s="6" t="str">
        <f t="shared" si="90"/>
        <v>HathiTrust Record</v>
      </c>
      <c r="AV3805" s="6" t="str">
        <f t="shared" si="91"/>
        <v>Catalog Record</v>
      </c>
      <c r="AW3805" s="6" t="str">
        <f t="shared" si="92"/>
        <v>WorldCat Record</v>
      </c>
      <c r="AX3805" s="3" t="s">
        <v>37963</v>
      </c>
      <c r="AY3805" s="3" t="s">
        <v>37964</v>
      </c>
      <c r="AZ3805" s="3" t="s">
        <v>37965</v>
      </c>
      <c r="BA3805" s="3" t="s">
        <v>37965</v>
      </c>
      <c r="BB3805" s="3" t="s">
        <v>37991</v>
      </c>
      <c r="BC3805" s="3" t="s">
        <v>77</v>
      </c>
      <c r="BD3805" s="3" t="s">
        <v>78</v>
      </c>
      <c r="BE3805" s="3" t="s">
        <v>37967</v>
      </c>
      <c r="BF3805" s="3" t="s">
        <v>37991</v>
      </c>
      <c r="BG3805" s="3" t="s">
        <v>37992</v>
      </c>
      <c r="BH3805">
        <f t="shared" si="89"/>
        <v>0</v>
      </c>
    </row>
    <row r="3806" spans="1:60" ht="58" x14ac:dyDescent="0.35">
      <c r="A3806" s="2" t="s">
        <v>6202</v>
      </c>
      <c r="B3806" s="2" t="s">
        <v>6203</v>
      </c>
      <c r="C3806" s="2" t="s">
        <v>37957</v>
      </c>
      <c r="D3806" s="2" t="s">
        <v>37958</v>
      </c>
      <c r="E3806" s="2" t="s">
        <v>37959</v>
      </c>
      <c r="F3806" s="3" t="s">
        <v>27495</v>
      </c>
      <c r="G3806" s="3" t="s">
        <v>128</v>
      </c>
      <c r="I3806" s="3" t="s">
        <v>64</v>
      </c>
      <c r="J3806" s="3" t="s">
        <v>64</v>
      </c>
      <c r="K3806" s="3" t="s">
        <v>65</v>
      </c>
      <c r="M3806" s="2" t="s">
        <v>37961</v>
      </c>
      <c r="N3806" s="3" t="s">
        <v>315</v>
      </c>
      <c r="P3806" s="3" t="s">
        <v>102</v>
      </c>
      <c r="R3806" s="3" t="s">
        <v>70</v>
      </c>
      <c r="S3806" s="4">
        <v>0</v>
      </c>
      <c r="T3806" s="4">
        <v>6</v>
      </c>
      <c r="V3806" s="5" t="s">
        <v>37962</v>
      </c>
      <c r="W3806" s="5" t="s">
        <v>72</v>
      </c>
      <c r="X3806" s="5" t="s">
        <v>72</v>
      </c>
      <c r="Y3806" s="4">
        <v>543</v>
      </c>
      <c r="Z3806" s="4">
        <v>28</v>
      </c>
      <c r="AA3806" s="4">
        <v>28</v>
      </c>
      <c r="AB3806" s="4">
        <v>1</v>
      </c>
      <c r="AC3806" s="4">
        <v>1</v>
      </c>
      <c r="AD3806" s="4">
        <v>106</v>
      </c>
      <c r="AE3806" s="4">
        <v>106</v>
      </c>
      <c r="AF3806" s="4">
        <v>0</v>
      </c>
      <c r="AG3806" s="4">
        <v>0</v>
      </c>
      <c r="AH3806" s="4">
        <v>93</v>
      </c>
      <c r="AI3806" s="4">
        <v>93</v>
      </c>
      <c r="AJ3806" s="4">
        <v>14</v>
      </c>
      <c r="AK3806" s="4">
        <v>14</v>
      </c>
      <c r="AL3806" s="4">
        <v>51</v>
      </c>
      <c r="AM3806" s="4">
        <v>51</v>
      </c>
      <c r="AN3806" s="4">
        <v>0</v>
      </c>
      <c r="AO3806" s="4">
        <v>0</v>
      </c>
      <c r="AP3806" s="4">
        <v>20</v>
      </c>
      <c r="AQ3806" s="4">
        <v>20</v>
      </c>
      <c r="AR3806" s="3" t="s">
        <v>64</v>
      </c>
      <c r="AS3806" s="3" t="s">
        <v>64</v>
      </c>
      <c r="AT3806" s="3" t="s">
        <v>128</v>
      </c>
      <c r="AU3806" s="6" t="str">
        <f t="shared" si="90"/>
        <v>HathiTrust Record</v>
      </c>
      <c r="AV3806" s="6" t="str">
        <f t="shared" si="91"/>
        <v>Catalog Record</v>
      </c>
      <c r="AW3806" s="6" t="str">
        <f t="shared" si="92"/>
        <v>WorldCat Record</v>
      </c>
      <c r="AX3806" s="3" t="s">
        <v>37963</v>
      </c>
      <c r="AY3806" s="3" t="s">
        <v>37964</v>
      </c>
      <c r="AZ3806" s="3" t="s">
        <v>37965</v>
      </c>
      <c r="BA3806" s="3" t="s">
        <v>37965</v>
      </c>
      <c r="BB3806" s="3" t="s">
        <v>37993</v>
      </c>
      <c r="BC3806" s="3" t="s">
        <v>77</v>
      </c>
      <c r="BD3806" s="3" t="s">
        <v>78</v>
      </c>
      <c r="BE3806" s="3" t="s">
        <v>37967</v>
      </c>
      <c r="BF3806" s="3" t="s">
        <v>37993</v>
      </c>
      <c r="BG3806" s="3" t="s">
        <v>37994</v>
      </c>
      <c r="BH3806">
        <f t="shared" si="89"/>
        <v>0</v>
      </c>
    </row>
    <row r="3807" spans="1:60" ht="58" x14ac:dyDescent="0.35">
      <c r="A3807" s="2" t="s">
        <v>6202</v>
      </c>
      <c r="B3807" s="2" t="s">
        <v>6203</v>
      </c>
      <c r="C3807" s="2" t="s">
        <v>37957</v>
      </c>
      <c r="D3807" s="2" t="s">
        <v>37958</v>
      </c>
      <c r="E3807" s="2" t="s">
        <v>37959</v>
      </c>
      <c r="F3807" s="3" t="s">
        <v>3163</v>
      </c>
      <c r="G3807" s="3" t="s">
        <v>128</v>
      </c>
      <c r="I3807" s="3" t="s">
        <v>64</v>
      </c>
      <c r="J3807" s="3" t="s">
        <v>64</v>
      </c>
      <c r="K3807" s="3" t="s">
        <v>65</v>
      </c>
      <c r="M3807" s="2" t="s">
        <v>37961</v>
      </c>
      <c r="N3807" s="3" t="s">
        <v>315</v>
      </c>
      <c r="P3807" s="3" t="s">
        <v>102</v>
      </c>
      <c r="R3807" s="3" t="s">
        <v>70</v>
      </c>
      <c r="S3807" s="4">
        <v>1</v>
      </c>
      <c r="T3807" s="4">
        <v>6</v>
      </c>
      <c r="U3807" s="5" t="s">
        <v>37962</v>
      </c>
      <c r="V3807" s="5" t="s">
        <v>37962</v>
      </c>
      <c r="W3807" s="5" t="s">
        <v>72</v>
      </c>
      <c r="X3807" s="5" t="s">
        <v>72</v>
      </c>
      <c r="Y3807" s="4">
        <v>543</v>
      </c>
      <c r="Z3807" s="4">
        <v>28</v>
      </c>
      <c r="AA3807" s="4">
        <v>28</v>
      </c>
      <c r="AB3807" s="4">
        <v>1</v>
      </c>
      <c r="AC3807" s="4">
        <v>1</v>
      </c>
      <c r="AD3807" s="4">
        <v>106</v>
      </c>
      <c r="AE3807" s="4">
        <v>106</v>
      </c>
      <c r="AF3807" s="4">
        <v>0</v>
      </c>
      <c r="AG3807" s="4">
        <v>0</v>
      </c>
      <c r="AH3807" s="4">
        <v>93</v>
      </c>
      <c r="AI3807" s="4">
        <v>93</v>
      </c>
      <c r="AJ3807" s="4">
        <v>14</v>
      </c>
      <c r="AK3807" s="4">
        <v>14</v>
      </c>
      <c r="AL3807" s="4">
        <v>51</v>
      </c>
      <c r="AM3807" s="4">
        <v>51</v>
      </c>
      <c r="AN3807" s="4">
        <v>0</v>
      </c>
      <c r="AO3807" s="4">
        <v>0</v>
      </c>
      <c r="AP3807" s="4">
        <v>20</v>
      </c>
      <c r="AQ3807" s="4">
        <v>20</v>
      </c>
      <c r="AR3807" s="3" t="s">
        <v>64</v>
      </c>
      <c r="AS3807" s="3" t="s">
        <v>64</v>
      </c>
      <c r="AT3807" s="3" t="s">
        <v>128</v>
      </c>
      <c r="AU3807" s="6" t="str">
        <f t="shared" si="90"/>
        <v>HathiTrust Record</v>
      </c>
      <c r="AV3807" s="6" t="str">
        <f t="shared" si="91"/>
        <v>Catalog Record</v>
      </c>
      <c r="AW3807" s="6" t="str">
        <f t="shared" si="92"/>
        <v>WorldCat Record</v>
      </c>
      <c r="AX3807" s="3" t="s">
        <v>37963</v>
      </c>
      <c r="AY3807" s="3" t="s">
        <v>37964</v>
      </c>
      <c r="AZ3807" s="3" t="s">
        <v>37965</v>
      </c>
      <c r="BA3807" s="3" t="s">
        <v>37965</v>
      </c>
      <c r="BB3807" s="3" t="s">
        <v>37995</v>
      </c>
      <c r="BC3807" s="3" t="s">
        <v>77</v>
      </c>
      <c r="BD3807" s="3" t="s">
        <v>78</v>
      </c>
      <c r="BE3807" s="3" t="s">
        <v>37967</v>
      </c>
      <c r="BF3807" s="3" t="s">
        <v>37995</v>
      </c>
      <c r="BG3807" s="3" t="s">
        <v>37996</v>
      </c>
      <c r="BH3807">
        <f t="shared" si="89"/>
        <v>0</v>
      </c>
    </row>
    <row r="3808" spans="1:60" ht="58" x14ac:dyDescent="0.35">
      <c r="A3808" s="2" t="s">
        <v>6202</v>
      </c>
      <c r="B3808" s="2" t="s">
        <v>6203</v>
      </c>
      <c r="C3808" s="2" t="s">
        <v>37957</v>
      </c>
      <c r="D3808" s="2" t="s">
        <v>37958</v>
      </c>
      <c r="E3808" s="2" t="s">
        <v>37959</v>
      </c>
      <c r="F3808" s="3" t="s">
        <v>37997</v>
      </c>
      <c r="G3808" s="3" t="s">
        <v>128</v>
      </c>
      <c r="I3808" s="3" t="s">
        <v>64</v>
      </c>
      <c r="J3808" s="3" t="s">
        <v>64</v>
      </c>
      <c r="K3808" s="3" t="s">
        <v>65</v>
      </c>
      <c r="M3808" s="2" t="s">
        <v>37961</v>
      </c>
      <c r="N3808" s="3" t="s">
        <v>315</v>
      </c>
      <c r="P3808" s="3" t="s">
        <v>102</v>
      </c>
      <c r="R3808" s="3" t="s">
        <v>70</v>
      </c>
      <c r="S3808" s="4">
        <v>0</v>
      </c>
      <c r="T3808" s="4">
        <v>6</v>
      </c>
      <c r="V3808" s="5" t="s">
        <v>37962</v>
      </c>
      <c r="W3808" s="5" t="s">
        <v>72</v>
      </c>
      <c r="X3808" s="5" t="s">
        <v>72</v>
      </c>
      <c r="Y3808" s="4">
        <v>543</v>
      </c>
      <c r="Z3808" s="4">
        <v>28</v>
      </c>
      <c r="AA3808" s="4">
        <v>28</v>
      </c>
      <c r="AB3808" s="4">
        <v>1</v>
      </c>
      <c r="AC3808" s="4">
        <v>1</v>
      </c>
      <c r="AD3808" s="4">
        <v>106</v>
      </c>
      <c r="AE3808" s="4">
        <v>106</v>
      </c>
      <c r="AF3808" s="4">
        <v>0</v>
      </c>
      <c r="AG3808" s="4">
        <v>0</v>
      </c>
      <c r="AH3808" s="4">
        <v>93</v>
      </c>
      <c r="AI3808" s="4">
        <v>93</v>
      </c>
      <c r="AJ3808" s="4">
        <v>14</v>
      </c>
      <c r="AK3808" s="4">
        <v>14</v>
      </c>
      <c r="AL3808" s="4">
        <v>51</v>
      </c>
      <c r="AM3808" s="4">
        <v>51</v>
      </c>
      <c r="AN3808" s="4">
        <v>0</v>
      </c>
      <c r="AO3808" s="4">
        <v>0</v>
      </c>
      <c r="AP3808" s="4">
        <v>20</v>
      </c>
      <c r="AQ3808" s="4">
        <v>20</v>
      </c>
      <c r="AR3808" s="3" t="s">
        <v>64</v>
      </c>
      <c r="AS3808" s="3" t="s">
        <v>64</v>
      </c>
      <c r="AT3808" s="3" t="s">
        <v>128</v>
      </c>
      <c r="AU3808" s="6" t="str">
        <f t="shared" si="90"/>
        <v>HathiTrust Record</v>
      </c>
      <c r="AV3808" s="6" t="str">
        <f t="shared" si="91"/>
        <v>Catalog Record</v>
      </c>
      <c r="AW3808" s="6" t="str">
        <f t="shared" si="92"/>
        <v>WorldCat Record</v>
      </c>
      <c r="AX3808" s="3" t="s">
        <v>37963</v>
      </c>
      <c r="AY3808" s="3" t="s">
        <v>37964</v>
      </c>
      <c r="AZ3808" s="3" t="s">
        <v>37965</v>
      </c>
      <c r="BA3808" s="3" t="s">
        <v>37965</v>
      </c>
      <c r="BB3808" s="3" t="s">
        <v>37998</v>
      </c>
      <c r="BC3808" s="3" t="s">
        <v>77</v>
      </c>
      <c r="BD3808" s="3" t="s">
        <v>78</v>
      </c>
      <c r="BE3808" s="3" t="s">
        <v>37967</v>
      </c>
      <c r="BF3808" s="3" t="s">
        <v>37998</v>
      </c>
      <c r="BG3808" s="3" t="s">
        <v>37999</v>
      </c>
      <c r="BH3808">
        <f t="shared" si="89"/>
        <v>0</v>
      </c>
    </row>
    <row r="3809" spans="1:60" ht="58" x14ac:dyDescent="0.35">
      <c r="A3809" s="2" t="s">
        <v>6202</v>
      </c>
      <c r="B3809" s="2" t="s">
        <v>6203</v>
      </c>
      <c r="C3809" s="2" t="s">
        <v>37957</v>
      </c>
      <c r="D3809" s="2" t="s">
        <v>37958</v>
      </c>
      <c r="E3809" s="2" t="s">
        <v>37959</v>
      </c>
      <c r="F3809" s="3" t="s">
        <v>38000</v>
      </c>
      <c r="G3809" s="3" t="s">
        <v>128</v>
      </c>
      <c r="I3809" s="3" t="s">
        <v>64</v>
      </c>
      <c r="J3809" s="3" t="s">
        <v>64</v>
      </c>
      <c r="K3809" s="3" t="s">
        <v>65</v>
      </c>
      <c r="M3809" s="2" t="s">
        <v>37961</v>
      </c>
      <c r="N3809" s="3" t="s">
        <v>315</v>
      </c>
      <c r="P3809" s="3" t="s">
        <v>102</v>
      </c>
      <c r="R3809" s="3" t="s">
        <v>70</v>
      </c>
      <c r="S3809" s="4">
        <v>0</v>
      </c>
      <c r="T3809" s="4">
        <v>6</v>
      </c>
      <c r="V3809" s="5" t="s">
        <v>37962</v>
      </c>
      <c r="W3809" s="5" t="s">
        <v>72</v>
      </c>
      <c r="X3809" s="5" t="s">
        <v>72</v>
      </c>
      <c r="Y3809" s="4">
        <v>543</v>
      </c>
      <c r="Z3809" s="4">
        <v>28</v>
      </c>
      <c r="AA3809" s="4">
        <v>28</v>
      </c>
      <c r="AB3809" s="4">
        <v>1</v>
      </c>
      <c r="AC3809" s="4">
        <v>1</v>
      </c>
      <c r="AD3809" s="4">
        <v>106</v>
      </c>
      <c r="AE3809" s="4">
        <v>106</v>
      </c>
      <c r="AF3809" s="4">
        <v>0</v>
      </c>
      <c r="AG3809" s="4">
        <v>0</v>
      </c>
      <c r="AH3809" s="4">
        <v>93</v>
      </c>
      <c r="AI3809" s="4">
        <v>93</v>
      </c>
      <c r="AJ3809" s="4">
        <v>14</v>
      </c>
      <c r="AK3809" s="4">
        <v>14</v>
      </c>
      <c r="AL3809" s="4">
        <v>51</v>
      </c>
      <c r="AM3809" s="4">
        <v>51</v>
      </c>
      <c r="AN3809" s="4">
        <v>0</v>
      </c>
      <c r="AO3809" s="4">
        <v>0</v>
      </c>
      <c r="AP3809" s="4">
        <v>20</v>
      </c>
      <c r="AQ3809" s="4">
        <v>20</v>
      </c>
      <c r="AR3809" s="3" t="s">
        <v>64</v>
      </c>
      <c r="AS3809" s="3" t="s">
        <v>64</v>
      </c>
      <c r="AT3809" s="3" t="s">
        <v>128</v>
      </c>
      <c r="AU3809" s="6" t="str">
        <f t="shared" si="90"/>
        <v>HathiTrust Record</v>
      </c>
      <c r="AV3809" s="6" t="str">
        <f t="shared" si="91"/>
        <v>Catalog Record</v>
      </c>
      <c r="AW3809" s="6" t="str">
        <f t="shared" si="92"/>
        <v>WorldCat Record</v>
      </c>
      <c r="AX3809" s="3" t="s">
        <v>37963</v>
      </c>
      <c r="AY3809" s="3" t="s">
        <v>37964</v>
      </c>
      <c r="AZ3809" s="3" t="s">
        <v>37965</v>
      </c>
      <c r="BA3809" s="3" t="s">
        <v>37965</v>
      </c>
      <c r="BB3809" s="3" t="s">
        <v>38001</v>
      </c>
      <c r="BC3809" s="3" t="s">
        <v>77</v>
      </c>
      <c r="BD3809" s="3" t="s">
        <v>78</v>
      </c>
      <c r="BE3809" s="3" t="s">
        <v>37967</v>
      </c>
      <c r="BF3809" s="3" t="s">
        <v>38001</v>
      </c>
      <c r="BG3809" s="3" t="s">
        <v>38002</v>
      </c>
      <c r="BH3809">
        <f t="shared" si="89"/>
        <v>0</v>
      </c>
    </row>
    <row r="3810" spans="1:60" ht="58" x14ac:dyDescent="0.35">
      <c r="A3810" s="2" t="s">
        <v>6202</v>
      </c>
      <c r="B3810" s="2" t="s">
        <v>6203</v>
      </c>
      <c r="C3810" s="2" t="s">
        <v>37957</v>
      </c>
      <c r="D3810" s="2" t="s">
        <v>37958</v>
      </c>
      <c r="E3810" s="2" t="s">
        <v>37959</v>
      </c>
      <c r="F3810" s="3" t="s">
        <v>27487</v>
      </c>
      <c r="G3810" s="3" t="s">
        <v>128</v>
      </c>
      <c r="I3810" s="3" t="s">
        <v>64</v>
      </c>
      <c r="J3810" s="3" t="s">
        <v>64</v>
      </c>
      <c r="K3810" s="3" t="s">
        <v>65</v>
      </c>
      <c r="M3810" s="2" t="s">
        <v>37961</v>
      </c>
      <c r="N3810" s="3" t="s">
        <v>315</v>
      </c>
      <c r="P3810" s="3" t="s">
        <v>102</v>
      </c>
      <c r="R3810" s="3" t="s">
        <v>70</v>
      </c>
      <c r="S3810" s="4">
        <v>0</v>
      </c>
      <c r="T3810" s="4">
        <v>6</v>
      </c>
      <c r="V3810" s="5" t="s">
        <v>37962</v>
      </c>
      <c r="W3810" s="5" t="s">
        <v>72</v>
      </c>
      <c r="X3810" s="5" t="s">
        <v>72</v>
      </c>
      <c r="Y3810" s="4">
        <v>543</v>
      </c>
      <c r="Z3810" s="4">
        <v>28</v>
      </c>
      <c r="AA3810" s="4">
        <v>28</v>
      </c>
      <c r="AB3810" s="4">
        <v>1</v>
      </c>
      <c r="AC3810" s="4">
        <v>1</v>
      </c>
      <c r="AD3810" s="4">
        <v>106</v>
      </c>
      <c r="AE3810" s="4">
        <v>106</v>
      </c>
      <c r="AF3810" s="4">
        <v>0</v>
      </c>
      <c r="AG3810" s="4">
        <v>0</v>
      </c>
      <c r="AH3810" s="4">
        <v>93</v>
      </c>
      <c r="AI3810" s="4">
        <v>93</v>
      </c>
      <c r="AJ3810" s="4">
        <v>14</v>
      </c>
      <c r="AK3810" s="4">
        <v>14</v>
      </c>
      <c r="AL3810" s="4">
        <v>51</v>
      </c>
      <c r="AM3810" s="4">
        <v>51</v>
      </c>
      <c r="AN3810" s="4">
        <v>0</v>
      </c>
      <c r="AO3810" s="4">
        <v>0</v>
      </c>
      <c r="AP3810" s="4">
        <v>20</v>
      </c>
      <c r="AQ3810" s="4">
        <v>20</v>
      </c>
      <c r="AR3810" s="3" t="s">
        <v>64</v>
      </c>
      <c r="AS3810" s="3" t="s">
        <v>64</v>
      </c>
      <c r="AT3810" s="3" t="s">
        <v>128</v>
      </c>
      <c r="AU3810" s="6" t="str">
        <f t="shared" si="90"/>
        <v>HathiTrust Record</v>
      </c>
      <c r="AV3810" s="6" t="str">
        <f t="shared" si="91"/>
        <v>Catalog Record</v>
      </c>
      <c r="AW3810" s="6" t="str">
        <f t="shared" si="92"/>
        <v>WorldCat Record</v>
      </c>
      <c r="AX3810" s="3" t="s">
        <v>37963</v>
      </c>
      <c r="AY3810" s="3" t="s">
        <v>37964</v>
      </c>
      <c r="AZ3810" s="3" t="s">
        <v>37965</v>
      </c>
      <c r="BA3810" s="3" t="s">
        <v>37965</v>
      </c>
      <c r="BB3810" s="3" t="s">
        <v>38003</v>
      </c>
      <c r="BC3810" s="3" t="s">
        <v>77</v>
      </c>
      <c r="BD3810" s="3" t="s">
        <v>78</v>
      </c>
      <c r="BE3810" s="3" t="s">
        <v>37967</v>
      </c>
      <c r="BF3810" s="3" t="s">
        <v>38003</v>
      </c>
      <c r="BG3810" s="3" t="s">
        <v>38004</v>
      </c>
      <c r="BH3810">
        <f t="shared" si="89"/>
        <v>0</v>
      </c>
    </row>
    <row r="3811" spans="1:60" ht="58" x14ac:dyDescent="0.35">
      <c r="A3811" s="2" t="s">
        <v>6202</v>
      </c>
      <c r="B3811" s="2" t="s">
        <v>6203</v>
      </c>
      <c r="C3811" s="2" t="s">
        <v>37957</v>
      </c>
      <c r="D3811" s="2" t="s">
        <v>37958</v>
      </c>
      <c r="E3811" s="2" t="s">
        <v>37959</v>
      </c>
      <c r="F3811" s="3" t="s">
        <v>27489</v>
      </c>
      <c r="G3811" s="3" t="s">
        <v>128</v>
      </c>
      <c r="I3811" s="3" t="s">
        <v>64</v>
      </c>
      <c r="J3811" s="3" t="s">
        <v>64</v>
      </c>
      <c r="K3811" s="3" t="s">
        <v>65</v>
      </c>
      <c r="M3811" s="2" t="s">
        <v>37961</v>
      </c>
      <c r="N3811" s="3" t="s">
        <v>315</v>
      </c>
      <c r="P3811" s="3" t="s">
        <v>102</v>
      </c>
      <c r="R3811" s="3" t="s">
        <v>70</v>
      </c>
      <c r="S3811" s="4">
        <v>0</v>
      </c>
      <c r="T3811" s="4">
        <v>6</v>
      </c>
      <c r="V3811" s="5" t="s">
        <v>37962</v>
      </c>
      <c r="W3811" s="5" t="s">
        <v>72</v>
      </c>
      <c r="X3811" s="5" t="s">
        <v>72</v>
      </c>
      <c r="Y3811" s="4">
        <v>543</v>
      </c>
      <c r="Z3811" s="4">
        <v>28</v>
      </c>
      <c r="AA3811" s="4">
        <v>28</v>
      </c>
      <c r="AB3811" s="4">
        <v>1</v>
      </c>
      <c r="AC3811" s="4">
        <v>1</v>
      </c>
      <c r="AD3811" s="4">
        <v>106</v>
      </c>
      <c r="AE3811" s="4">
        <v>106</v>
      </c>
      <c r="AF3811" s="4">
        <v>0</v>
      </c>
      <c r="AG3811" s="4">
        <v>0</v>
      </c>
      <c r="AH3811" s="4">
        <v>93</v>
      </c>
      <c r="AI3811" s="4">
        <v>93</v>
      </c>
      <c r="AJ3811" s="4">
        <v>14</v>
      </c>
      <c r="AK3811" s="4">
        <v>14</v>
      </c>
      <c r="AL3811" s="4">
        <v>51</v>
      </c>
      <c r="AM3811" s="4">
        <v>51</v>
      </c>
      <c r="AN3811" s="4">
        <v>0</v>
      </c>
      <c r="AO3811" s="4">
        <v>0</v>
      </c>
      <c r="AP3811" s="4">
        <v>20</v>
      </c>
      <c r="AQ3811" s="4">
        <v>20</v>
      </c>
      <c r="AR3811" s="3" t="s">
        <v>64</v>
      </c>
      <c r="AS3811" s="3" t="s">
        <v>64</v>
      </c>
      <c r="AT3811" s="3" t="s">
        <v>128</v>
      </c>
      <c r="AU3811" s="6" t="str">
        <f t="shared" si="90"/>
        <v>HathiTrust Record</v>
      </c>
      <c r="AV3811" s="6" t="str">
        <f t="shared" si="91"/>
        <v>Catalog Record</v>
      </c>
      <c r="AW3811" s="6" t="str">
        <f t="shared" si="92"/>
        <v>WorldCat Record</v>
      </c>
      <c r="AX3811" s="3" t="s">
        <v>37963</v>
      </c>
      <c r="AY3811" s="3" t="s">
        <v>37964</v>
      </c>
      <c r="AZ3811" s="3" t="s">
        <v>37965</v>
      </c>
      <c r="BA3811" s="3" t="s">
        <v>37965</v>
      </c>
      <c r="BB3811" s="3" t="s">
        <v>38005</v>
      </c>
      <c r="BC3811" s="3" t="s">
        <v>77</v>
      </c>
      <c r="BD3811" s="3" t="s">
        <v>78</v>
      </c>
      <c r="BE3811" s="3" t="s">
        <v>37967</v>
      </c>
      <c r="BF3811" s="3" t="s">
        <v>38005</v>
      </c>
      <c r="BG3811" s="3" t="s">
        <v>38006</v>
      </c>
      <c r="BH3811">
        <f t="shared" si="89"/>
        <v>0</v>
      </c>
    </row>
    <row r="3812" spans="1:60" ht="58" x14ac:dyDescent="0.35">
      <c r="A3812" s="2" t="s">
        <v>6202</v>
      </c>
      <c r="B3812" s="2" t="s">
        <v>6203</v>
      </c>
      <c r="C3812" s="2" t="s">
        <v>37957</v>
      </c>
      <c r="D3812" s="2" t="s">
        <v>37958</v>
      </c>
      <c r="E3812" s="2" t="s">
        <v>37959</v>
      </c>
      <c r="F3812" s="3" t="s">
        <v>38007</v>
      </c>
      <c r="G3812" s="3" t="s">
        <v>128</v>
      </c>
      <c r="I3812" s="3" t="s">
        <v>64</v>
      </c>
      <c r="J3812" s="3" t="s">
        <v>64</v>
      </c>
      <c r="K3812" s="3" t="s">
        <v>65</v>
      </c>
      <c r="M3812" s="2" t="s">
        <v>37961</v>
      </c>
      <c r="N3812" s="3" t="s">
        <v>315</v>
      </c>
      <c r="P3812" s="3" t="s">
        <v>102</v>
      </c>
      <c r="R3812" s="3" t="s">
        <v>70</v>
      </c>
      <c r="S3812" s="4">
        <v>0</v>
      </c>
      <c r="T3812" s="4">
        <v>6</v>
      </c>
      <c r="V3812" s="5" t="s">
        <v>37962</v>
      </c>
      <c r="W3812" s="5" t="s">
        <v>72</v>
      </c>
      <c r="X3812" s="5" t="s">
        <v>72</v>
      </c>
      <c r="Y3812" s="4">
        <v>543</v>
      </c>
      <c r="Z3812" s="4">
        <v>28</v>
      </c>
      <c r="AA3812" s="4">
        <v>28</v>
      </c>
      <c r="AB3812" s="4">
        <v>1</v>
      </c>
      <c r="AC3812" s="4">
        <v>1</v>
      </c>
      <c r="AD3812" s="4">
        <v>106</v>
      </c>
      <c r="AE3812" s="4">
        <v>106</v>
      </c>
      <c r="AF3812" s="4">
        <v>0</v>
      </c>
      <c r="AG3812" s="4">
        <v>0</v>
      </c>
      <c r="AH3812" s="4">
        <v>93</v>
      </c>
      <c r="AI3812" s="4">
        <v>93</v>
      </c>
      <c r="AJ3812" s="4">
        <v>14</v>
      </c>
      <c r="AK3812" s="4">
        <v>14</v>
      </c>
      <c r="AL3812" s="4">
        <v>51</v>
      </c>
      <c r="AM3812" s="4">
        <v>51</v>
      </c>
      <c r="AN3812" s="4">
        <v>0</v>
      </c>
      <c r="AO3812" s="4">
        <v>0</v>
      </c>
      <c r="AP3812" s="4">
        <v>20</v>
      </c>
      <c r="AQ3812" s="4">
        <v>20</v>
      </c>
      <c r="AR3812" s="3" t="s">
        <v>64</v>
      </c>
      <c r="AS3812" s="3" t="s">
        <v>64</v>
      </c>
      <c r="AT3812" s="3" t="s">
        <v>128</v>
      </c>
      <c r="AU3812" s="6" t="str">
        <f t="shared" si="90"/>
        <v>HathiTrust Record</v>
      </c>
      <c r="AV3812" s="6" t="str">
        <f t="shared" si="91"/>
        <v>Catalog Record</v>
      </c>
      <c r="AW3812" s="6" t="str">
        <f t="shared" si="92"/>
        <v>WorldCat Record</v>
      </c>
      <c r="AX3812" s="3" t="s">
        <v>37963</v>
      </c>
      <c r="AY3812" s="3" t="s">
        <v>37964</v>
      </c>
      <c r="AZ3812" s="3" t="s">
        <v>37965</v>
      </c>
      <c r="BA3812" s="3" t="s">
        <v>37965</v>
      </c>
      <c r="BB3812" s="3" t="s">
        <v>38008</v>
      </c>
      <c r="BC3812" s="3" t="s">
        <v>77</v>
      </c>
      <c r="BD3812" s="3" t="s">
        <v>78</v>
      </c>
      <c r="BE3812" s="3" t="s">
        <v>37967</v>
      </c>
      <c r="BF3812" s="3" t="s">
        <v>38008</v>
      </c>
      <c r="BG3812" s="3" t="s">
        <v>38009</v>
      </c>
      <c r="BH3812">
        <f t="shared" si="89"/>
        <v>0</v>
      </c>
    </row>
    <row r="3813" spans="1:60" ht="58" x14ac:dyDescent="0.35">
      <c r="A3813" s="2" t="s">
        <v>6202</v>
      </c>
      <c r="B3813" s="2" t="s">
        <v>6203</v>
      </c>
      <c r="C3813" s="2" t="s">
        <v>37957</v>
      </c>
      <c r="D3813" s="2" t="s">
        <v>37958</v>
      </c>
      <c r="E3813" s="2" t="s">
        <v>37959</v>
      </c>
      <c r="F3813" s="3" t="s">
        <v>27494</v>
      </c>
      <c r="G3813" s="3" t="s">
        <v>128</v>
      </c>
      <c r="I3813" s="3" t="s">
        <v>64</v>
      </c>
      <c r="J3813" s="3" t="s">
        <v>64</v>
      </c>
      <c r="K3813" s="3" t="s">
        <v>65</v>
      </c>
      <c r="M3813" s="2" t="s">
        <v>37961</v>
      </c>
      <c r="N3813" s="3" t="s">
        <v>315</v>
      </c>
      <c r="P3813" s="3" t="s">
        <v>102</v>
      </c>
      <c r="R3813" s="3" t="s">
        <v>70</v>
      </c>
      <c r="S3813" s="4">
        <v>0</v>
      </c>
      <c r="T3813" s="4">
        <v>6</v>
      </c>
      <c r="V3813" s="5" t="s">
        <v>37962</v>
      </c>
      <c r="W3813" s="5" t="s">
        <v>72</v>
      </c>
      <c r="X3813" s="5" t="s">
        <v>72</v>
      </c>
      <c r="Y3813" s="4">
        <v>543</v>
      </c>
      <c r="Z3813" s="4">
        <v>28</v>
      </c>
      <c r="AA3813" s="4">
        <v>28</v>
      </c>
      <c r="AB3813" s="4">
        <v>1</v>
      </c>
      <c r="AC3813" s="4">
        <v>1</v>
      </c>
      <c r="AD3813" s="4">
        <v>106</v>
      </c>
      <c r="AE3813" s="4">
        <v>106</v>
      </c>
      <c r="AF3813" s="4">
        <v>0</v>
      </c>
      <c r="AG3813" s="4">
        <v>0</v>
      </c>
      <c r="AH3813" s="4">
        <v>93</v>
      </c>
      <c r="AI3813" s="4">
        <v>93</v>
      </c>
      <c r="AJ3813" s="4">
        <v>14</v>
      </c>
      <c r="AK3813" s="4">
        <v>14</v>
      </c>
      <c r="AL3813" s="4">
        <v>51</v>
      </c>
      <c r="AM3813" s="4">
        <v>51</v>
      </c>
      <c r="AN3813" s="4">
        <v>0</v>
      </c>
      <c r="AO3813" s="4">
        <v>0</v>
      </c>
      <c r="AP3813" s="4">
        <v>20</v>
      </c>
      <c r="AQ3813" s="4">
        <v>20</v>
      </c>
      <c r="AR3813" s="3" t="s">
        <v>64</v>
      </c>
      <c r="AS3813" s="3" t="s">
        <v>64</v>
      </c>
      <c r="AT3813" s="3" t="s">
        <v>128</v>
      </c>
      <c r="AU3813" s="6" t="str">
        <f t="shared" si="90"/>
        <v>HathiTrust Record</v>
      </c>
      <c r="AV3813" s="6" t="str">
        <f t="shared" si="91"/>
        <v>Catalog Record</v>
      </c>
      <c r="AW3813" s="6" t="str">
        <f t="shared" si="92"/>
        <v>WorldCat Record</v>
      </c>
      <c r="AX3813" s="3" t="s">
        <v>37963</v>
      </c>
      <c r="AY3813" s="3" t="s">
        <v>37964</v>
      </c>
      <c r="AZ3813" s="3" t="s">
        <v>37965</v>
      </c>
      <c r="BA3813" s="3" t="s">
        <v>37965</v>
      </c>
      <c r="BB3813" s="3" t="s">
        <v>38010</v>
      </c>
      <c r="BC3813" s="3" t="s">
        <v>77</v>
      </c>
      <c r="BD3813" s="3" t="s">
        <v>78</v>
      </c>
      <c r="BE3813" s="3" t="s">
        <v>37967</v>
      </c>
      <c r="BF3813" s="3" t="s">
        <v>38010</v>
      </c>
      <c r="BG3813" s="3" t="s">
        <v>38011</v>
      </c>
      <c r="BH3813">
        <f t="shared" si="89"/>
        <v>0</v>
      </c>
    </row>
    <row r="3814" spans="1:60" ht="58" x14ac:dyDescent="0.35">
      <c r="A3814" s="2" t="s">
        <v>6202</v>
      </c>
      <c r="B3814" s="2" t="s">
        <v>6203</v>
      </c>
      <c r="C3814" s="2" t="s">
        <v>37957</v>
      </c>
      <c r="D3814" s="2" t="s">
        <v>37958</v>
      </c>
      <c r="E3814" s="2" t="s">
        <v>37959</v>
      </c>
      <c r="F3814" s="3" t="s">
        <v>38012</v>
      </c>
      <c r="G3814" s="3" t="s">
        <v>128</v>
      </c>
      <c r="I3814" s="3" t="s">
        <v>64</v>
      </c>
      <c r="J3814" s="3" t="s">
        <v>64</v>
      </c>
      <c r="K3814" s="3" t="s">
        <v>65</v>
      </c>
      <c r="M3814" s="2" t="s">
        <v>37961</v>
      </c>
      <c r="N3814" s="3" t="s">
        <v>315</v>
      </c>
      <c r="P3814" s="3" t="s">
        <v>102</v>
      </c>
      <c r="R3814" s="3" t="s">
        <v>70</v>
      </c>
      <c r="S3814" s="4">
        <v>0</v>
      </c>
      <c r="T3814" s="4">
        <v>6</v>
      </c>
      <c r="V3814" s="5" t="s">
        <v>37962</v>
      </c>
      <c r="W3814" s="5" t="s">
        <v>72</v>
      </c>
      <c r="X3814" s="5" t="s">
        <v>72</v>
      </c>
      <c r="Y3814" s="4">
        <v>543</v>
      </c>
      <c r="Z3814" s="4">
        <v>28</v>
      </c>
      <c r="AA3814" s="4">
        <v>28</v>
      </c>
      <c r="AB3814" s="4">
        <v>1</v>
      </c>
      <c r="AC3814" s="4">
        <v>1</v>
      </c>
      <c r="AD3814" s="4">
        <v>106</v>
      </c>
      <c r="AE3814" s="4">
        <v>106</v>
      </c>
      <c r="AF3814" s="4">
        <v>0</v>
      </c>
      <c r="AG3814" s="4">
        <v>0</v>
      </c>
      <c r="AH3814" s="4">
        <v>93</v>
      </c>
      <c r="AI3814" s="4">
        <v>93</v>
      </c>
      <c r="AJ3814" s="4">
        <v>14</v>
      </c>
      <c r="AK3814" s="4">
        <v>14</v>
      </c>
      <c r="AL3814" s="4">
        <v>51</v>
      </c>
      <c r="AM3814" s="4">
        <v>51</v>
      </c>
      <c r="AN3814" s="4">
        <v>0</v>
      </c>
      <c r="AO3814" s="4">
        <v>0</v>
      </c>
      <c r="AP3814" s="4">
        <v>20</v>
      </c>
      <c r="AQ3814" s="4">
        <v>20</v>
      </c>
      <c r="AR3814" s="3" t="s">
        <v>64</v>
      </c>
      <c r="AS3814" s="3" t="s">
        <v>64</v>
      </c>
      <c r="AT3814" s="3" t="s">
        <v>128</v>
      </c>
      <c r="AU3814" s="6" t="str">
        <f t="shared" si="90"/>
        <v>HathiTrust Record</v>
      </c>
      <c r="AV3814" s="6" t="str">
        <f t="shared" si="91"/>
        <v>Catalog Record</v>
      </c>
      <c r="AW3814" s="6" t="str">
        <f t="shared" si="92"/>
        <v>WorldCat Record</v>
      </c>
      <c r="AX3814" s="3" t="s">
        <v>37963</v>
      </c>
      <c r="AY3814" s="3" t="s">
        <v>37964</v>
      </c>
      <c r="AZ3814" s="3" t="s">
        <v>37965</v>
      </c>
      <c r="BA3814" s="3" t="s">
        <v>37965</v>
      </c>
      <c r="BB3814" s="3" t="s">
        <v>38013</v>
      </c>
      <c r="BC3814" s="3" t="s">
        <v>77</v>
      </c>
      <c r="BD3814" s="3" t="s">
        <v>78</v>
      </c>
      <c r="BE3814" s="3" t="s">
        <v>37967</v>
      </c>
      <c r="BF3814" s="3" t="s">
        <v>38013</v>
      </c>
      <c r="BG3814" s="3" t="s">
        <v>38014</v>
      </c>
      <c r="BH3814">
        <f t="shared" si="89"/>
        <v>0</v>
      </c>
    </row>
    <row r="3815" spans="1:60" ht="58" x14ac:dyDescent="0.35">
      <c r="A3815" s="2" t="s">
        <v>6202</v>
      </c>
      <c r="B3815" s="2" t="s">
        <v>6203</v>
      </c>
      <c r="C3815" s="2" t="s">
        <v>37957</v>
      </c>
      <c r="D3815" s="2" t="s">
        <v>37958</v>
      </c>
      <c r="E3815" s="2" t="s">
        <v>37959</v>
      </c>
      <c r="F3815" s="3" t="s">
        <v>27486</v>
      </c>
      <c r="G3815" s="3" t="s">
        <v>128</v>
      </c>
      <c r="I3815" s="3" t="s">
        <v>64</v>
      </c>
      <c r="J3815" s="3" t="s">
        <v>64</v>
      </c>
      <c r="K3815" s="3" t="s">
        <v>65</v>
      </c>
      <c r="M3815" s="2" t="s">
        <v>37961</v>
      </c>
      <c r="N3815" s="3" t="s">
        <v>315</v>
      </c>
      <c r="P3815" s="3" t="s">
        <v>102</v>
      </c>
      <c r="R3815" s="3" t="s">
        <v>70</v>
      </c>
      <c r="S3815" s="4">
        <v>0</v>
      </c>
      <c r="T3815" s="4">
        <v>6</v>
      </c>
      <c r="V3815" s="5" t="s">
        <v>37962</v>
      </c>
      <c r="W3815" s="5" t="s">
        <v>72</v>
      </c>
      <c r="X3815" s="5" t="s">
        <v>72</v>
      </c>
      <c r="Y3815" s="4">
        <v>543</v>
      </c>
      <c r="Z3815" s="4">
        <v>28</v>
      </c>
      <c r="AA3815" s="4">
        <v>28</v>
      </c>
      <c r="AB3815" s="4">
        <v>1</v>
      </c>
      <c r="AC3815" s="4">
        <v>1</v>
      </c>
      <c r="AD3815" s="4">
        <v>106</v>
      </c>
      <c r="AE3815" s="4">
        <v>106</v>
      </c>
      <c r="AF3815" s="4">
        <v>0</v>
      </c>
      <c r="AG3815" s="4">
        <v>0</v>
      </c>
      <c r="AH3815" s="4">
        <v>93</v>
      </c>
      <c r="AI3815" s="4">
        <v>93</v>
      </c>
      <c r="AJ3815" s="4">
        <v>14</v>
      </c>
      <c r="AK3815" s="4">
        <v>14</v>
      </c>
      <c r="AL3815" s="4">
        <v>51</v>
      </c>
      <c r="AM3815" s="4">
        <v>51</v>
      </c>
      <c r="AN3815" s="4">
        <v>0</v>
      </c>
      <c r="AO3815" s="4">
        <v>0</v>
      </c>
      <c r="AP3815" s="4">
        <v>20</v>
      </c>
      <c r="AQ3815" s="4">
        <v>20</v>
      </c>
      <c r="AR3815" s="3" t="s">
        <v>64</v>
      </c>
      <c r="AS3815" s="3" t="s">
        <v>64</v>
      </c>
      <c r="AT3815" s="3" t="s">
        <v>128</v>
      </c>
      <c r="AU3815" s="6" t="str">
        <f t="shared" si="90"/>
        <v>HathiTrust Record</v>
      </c>
      <c r="AV3815" s="6" t="str">
        <f t="shared" si="91"/>
        <v>Catalog Record</v>
      </c>
      <c r="AW3815" s="6" t="str">
        <f t="shared" si="92"/>
        <v>WorldCat Record</v>
      </c>
      <c r="AX3815" s="3" t="s">
        <v>37963</v>
      </c>
      <c r="AY3815" s="3" t="s">
        <v>37964</v>
      </c>
      <c r="AZ3815" s="3" t="s">
        <v>37965</v>
      </c>
      <c r="BA3815" s="3" t="s">
        <v>37965</v>
      </c>
      <c r="BB3815" s="3" t="s">
        <v>38015</v>
      </c>
      <c r="BC3815" s="3" t="s">
        <v>77</v>
      </c>
      <c r="BD3815" s="3" t="s">
        <v>78</v>
      </c>
      <c r="BE3815" s="3" t="s">
        <v>37967</v>
      </c>
      <c r="BF3815" s="3" t="s">
        <v>38015</v>
      </c>
      <c r="BG3815" s="3" t="s">
        <v>38016</v>
      </c>
      <c r="BH3815">
        <f t="shared" si="89"/>
        <v>0</v>
      </c>
    </row>
    <row r="3816" spans="1:60" ht="58" x14ac:dyDescent="0.35">
      <c r="A3816" s="2" t="s">
        <v>6202</v>
      </c>
      <c r="B3816" s="2" t="s">
        <v>6203</v>
      </c>
      <c r="C3816" s="2" t="s">
        <v>37957</v>
      </c>
      <c r="D3816" s="2" t="s">
        <v>37958</v>
      </c>
      <c r="E3816" s="2" t="s">
        <v>37959</v>
      </c>
      <c r="F3816" s="3" t="s">
        <v>519</v>
      </c>
      <c r="G3816" s="3" t="s">
        <v>128</v>
      </c>
      <c r="I3816" s="3" t="s">
        <v>64</v>
      </c>
      <c r="J3816" s="3" t="s">
        <v>64</v>
      </c>
      <c r="K3816" s="3" t="s">
        <v>65</v>
      </c>
      <c r="M3816" s="2" t="s">
        <v>37961</v>
      </c>
      <c r="N3816" s="3" t="s">
        <v>315</v>
      </c>
      <c r="P3816" s="3" t="s">
        <v>102</v>
      </c>
      <c r="R3816" s="3" t="s">
        <v>70</v>
      </c>
      <c r="S3816" s="4">
        <v>0</v>
      </c>
      <c r="T3816" s="4">
        <v>6</v>
      </c>
      <c r="V3816" s="5" t="s">
        <v>37962</v>
      </c>
      <c r="W3816" s="5" t="s">
        <v>72</v>
      </c>
      <c r="X3816" s="5" t="s">
        <v>72</v>
      </c>
      <c r="Y3816" s="4">
        <v>543</v>
      </c>
      <c r="Z3816" s="4">
        <v>28</v>
      </c>
      <c r="AA3816" s="4">
        <v>28</v>
      </c>
      <c r="AB3816" s="4">
        <v>1</v>
      </c>
      <c r="AC3816" s="4">
        <v>1</v>
      </c>
      <c r="AD3816" s="4">
        <v>106</v>
      </c>
      <c r="AE3816" s="4">
        <v>106</v>
      </c>
      <c r="AF3816" s="4">
        <v>0</v>
      </c>
      <c r="AG3816" s="4">
        <v>0</v>
      </c>
      <c r="AH3816" s="4">
        <v>93</v>
      </c>
      <c r="AI3816" s="4">
        <v>93</v>
      </c>
      <c r="AJ3816" s="4">
        <v>14</v>
      </c>
      <c r="AK3816" s="4">
        <v>14</v>
      </c>
      <c r="AL3816" s="4">
        <v>51</v>
      </c>
      <c r="AM3816" s="4">
        <v>51</v>
      </c>
      <c r="AN3816" s="4">
        <v>0</v>
      </c>
      <c r="AO3816" s="4">
        <v>0</v>
      </c>
      <c r="AP3816" s="4">
        <v>20</v>
      </c>
      <c r="AQ3816" s="4">
        <v>20</v>
      </c>
      <c r="AR3816" s="3" t="s">
        <v>64</v>
      </c>
      <c r="AS3816" s="3" t="s">
        <v>64</v>
      </c>
      <c r="AT3816" s="3" t="s">
        <v>128</v>
      </c>
      <c r="AU3816" s="6" t="str">
        <f t="shared" si="90"/>
        <v>HathiTrust Record</v>
      </c>
      <c r="AV3816" s="6" t="str">
        <f t="shared" si="91"/>
        <v>Catalog Record</v>
      </c>
      <c r="AW3816" s="6" t="str">
        <f t="shared" si="92"/>
        <v>WorldCat Record</v>
      </c>
      <c r="AX3816" s="3" t="s">
        <v>37963</v>
      </c>
      <c r="AY3816" s="3" t="s">
        <v>37964</v>
      </c>
      <c r="AZ3816" s="3" t="s">
        <v>37965</v>
      </c>
      <c r="BA3816" s="3" t="s">
        <v>37965</v>
      </c>
      <c r="BB3816" s="3" t="s">
        <v>38017</v>
      </c>
      <c r="BC3816" s="3" t="s">
        <v>77</v>
      </c>
      <c r="BD3816" s="3" t="s">
        <v>78</v>
      </c>
      <c r="BE3816" s="3" t="s">
        <v>37967</v>
      </c>
      <c r="BF3816" s="3" t="s">
        <v>38017</v>
      </c>
      <c r="BG3816" s="3" t="s">
        <v>38018</v>
      </c>
      <c r="BH3816">
        <f t="shared" si="89"/>
        <v>0</v>
      </c>
    </row>
    <row r="3817" spans="1:60" ht="58" x14ac:dyDescent="0.35">
      <c r="A3817" s="2" t="s">
        <v>6202</v>
      </c>
      <c r="B3817" s="2" t="s">
        <v>6203</v>
      </c>
      <c r="C3817" s="2" t="s">
        <v>37957</v>
      </c>
      <c r="D3817" s="2" t="s">
        <v>37958</v>
      </c>
      <c r="E3817" s="2" t="s">
        <v>37959</v>
      </c>
      <c r="F3817" s="3" t="s">
        <v>38019</v>
      </c>
      <c r="G3817" s="3" t="s">
        <v>128</v>
      </c>
      <c r="I3817" s="3" t="s">
        <v>64</v>
      </c>
      <c r="J3817" s="3" t="s">
        <v>64</v>
      </c>
      <c r="K3817" s="3" t="s">
        <v>65</v>
      </c>
      <c r="M3817" s="2" t="s">
        <v>37961</v>
      </c>
      <c r="N3817" s="3" t="s">
        <v>315</v>
      </c>
      <c r="P3817" s="3" t="s">
        <v>102</v>
      </c>
      <c r="R3817" s="3" t="s">
        <v>70</v>
      </c>
      <c r="S3817" s="4">
        <v>0</v>
      </c>
      <c r="T3817" s="4">
        <v>6</v>
      </c>
      <c r="V3817" s="5" t="s">
        <v>37962</v>
      </c>
      <c r="W3817" s="5" t="s">
        <v>72</v>
      </c>
      <c r="X3817" s="5" t="s">
        <v>72</v>
      </c>
      <c r="Y3817" s="4">
        <v>543</v>
      </c>
      <c r="Z3817" s="4">
        <v>28</v>
      </c>
      <c r="AA3817" s="4">
        <v>28</v>
      </c>
      <c r="AB3817" s="4">
        <v>1</v>
      </c>
      <c r="AC3817" s="4">
        <v>1</v>
      </c>
      <c r="AD3817" s="4">
        <v>106</v>
      </c>
      <c r="AE3817" s="4">
        <v>106</v>
      </c>
      <c r="AF3817" s="4">
        <v>0</v>
      </c>
      <c r="AG3817" s="4">
        <v>0</v>
      </c>
      <c r="AH3817" s="4">
        <v>93</v>
      </c>
      <c r="AI3817" s="4">
        <v>93</v>
      </c>
      <c r="AJ3817" s="4">
        <v>14</v>
      </c>
      <c r="AK3817" s="4">
        <v>14</v>
      </c>
      <c r="AL3817" s="4">
        <v>51</v>
      </c>
      <c r="AM3817" s="4">
        <v>51</v>
      </c>
      <c r="AN3817" s="4">
        <v>0</v>
      </c>
      <c r="AO3817" s="4">
        <v>0</v>
      </c>
      <c r="AP3817" s="4">
        <v>20</v>
      </c>
      <c r="AQ3817" s="4">
        <v>20</v>
      </c>
      <c r="AR3817" s="3" t="s">
        <v>64</v>
      </c>
      <c r="AS3817" s="3" t="s">
        <v>64</v>
      </c>
      <c r="AT3817" s="3" t="s">
        <v>128</v>
      </c>
      <c r="AU3817" s="6" t="str">
        <f t="shared" si="90"/>
        <v>HathiTrust Record</v>
      </c>
      <c r="AV3817" s="6" t="str">
        <f t="shared" si="91"/>
        <v>Catalog Record</v>
      </c>
      <c r="AW3817" s="6" t="str">
        <f t="shared" si="92"/>
        <v>WorldCat Record</v>
      </c>
      <c r="AX3817" s="3" t="s">
        <v>37963</v>
      </c>
      <c r="AY3817" s="3" t="s">
        <v>37964</v>
      </c>
      <c r="AZ3817" s="3" t="s">
        <v>37965</v>
      </c>
      <c r="BA3817" s="3" t="s">
        <v>37965</v>
      </c>
      <c r="BB3817" s="3" t="s">
        <v>38020</v>
      </c>
      <c r="BC3817" s="3" t="s">
        <v>77</v>
      </c>
      <c r="BD3817" s="3" t="s">
        <v>78</v>
      </c>
      <c r="BE3817" s="3" t="s">
        <v>37967</v>
      </c>
      <c r="BF3817" s="3" t="s">
        <v>38020</v>
      </c>
      <c r="BG3817" s="3" t="s">
        <v>38021</v>
      </c>
      <c r="BH3817">
        <f t="shared" si="89"/>
        <v>0</v>
      </c>
    </row>
    <row r="3818" spans="1:60" ht="58" x14ac:dyDescent="0.35">
      <c r="A3818" s="2" t="s">
        <v>6202</v>
      </c>
      <c r="B3818" s="2" t="s">
        <v>6203</v>
      </c>
      <c r="C3818" s="2" t="s">
        <v>37957</v>
      </c>
      <c r="D3818" s="2" t="s">
        <v>37958</v>
      </c>
      <c r="E3818" s="2" t="s">
        <v>37959</v>
      </c>
      <c r="F3818" s="3" t="s">
        <v>529</v>
      </c>
      <c r="G3818" s="3" t="s">
        <v>128</v>
      </c>
      <c r="I3818" s="3" t="s">
        <v>64</v>
      </c>
      <c r="J3818" s="3" t="s">
        <v>64</v>
      </c>
      <c r="K3818" s="3" t="s">
        <v>65</v>
      </c>
      <c r="M3818" s="2" t="s">
        <v>37961</v>
      </c>
      <c r="N3818" s="3" t="s">
        <v>315</v>
      </c>
      <c r="P3818" s="3" t="s">
        <v>102</v>
      </c>
      <c r="R3818" s="3" t="s">
        <v>70</v>
      </c>
      <c r="S3818" s="4">
        <v>0</v>
      </c>
      <c r="T3818" s="4">
        <v>6</v>
      </c>
      <c r="V3818" s="5" t="s">
        <v>37962</v>
      </c>
      <c r="W3818" s="5" t="s">
        <v>72</v>
      </c>
      <c r="X3818" s="5" t="s">
        <v>72</v>
      </c>
      <c r="Y3818" s="4">
        <v>543</v>
      </c>
      <c r="Z3818" s="4">
        <v>28</v>
      </c>
      <c r="AA3818" s="4">
        <v>28</v>
      </c>
      <c r="AB3818" s="4">
        <v>1</v>
      </c>
      <c r="AC3818" s="4">
        <v>1</v>
      </c>
      <c r="AD3818" s="4">
        <v>106</v>
      </c>
      <c r="AE3818" s="4">
        <v>106</v>
      </c>
      <c r="AF3818" s="4">
        <v>0</v>
      </c>
      <c r="AG3818" s="4">
        <v>0</v>
      </c>
      <c r="AH3818" s="4">
        <v>93</v>
      </c>
      <c r="AI3818" s="4">
        <v>93</v>
      </c>
      <c r="AJ3818" s="4">
        <v>14</v>
      </c>
      <c r="AK3818" s="4">
        <v>14</v>
      </c>
      <c r="AL3818" s="4">
        <v>51</v>
      </c>
      <c r="AM3818" s="4">
        <v>51</v>
      </c>
      <c r="AN3818" s="4">
        <v>0</v>
      </c>
      <c r="AO3818" s="4">
        <v>0</v>
      </c>
      <c r="AP3818" s="4">
        <v>20</v>
      </c>
      <c r="AQ3818" s="4">
        <v>20</v>
      </c>
      <c r="AR3818" s="3" t="s">
        <v>64</v>
      </c>
      <c r="AS3818" s="3" t="s">
        <v>64</v>
      </c>
      <c r="AT3818" s="3" t="s">
        <v>128</v>
      </c>
      <c r="AU3818" s="6" t="str">
        <f t="shared" si="90"/>
        <v>HathiTrust Record</v>
      </c>
      <c r="AV3818" s="6" t="str">
        <f t="shared" si="91"/>
        <v>Catalog Record</v>
      </c>
      <c r="AW3818" s="6" t="str">
        <f t="shared" si="92"/>
        <v>WorldCat Record</v>
      </c>
      <c r="AX3818" s="3" t="s">
        <v>37963</v>
      </c>
      <c r="AY3818" s="3" t="s">
        <v>37964</v>
      </c>
      <c r="AZ3818" s="3" t="s">
        <v>37965</v>
      </c>
      <c r="BA3818" s="3" t="s">
        <v>37965</v>
      </c>
      <c r="BB3818" s="3" t="s">
        <v>38022</v>
      </c>
      <c r="BC3818" s="3" t="s">
        <v>77</v>
      </c>
      <c r="BD3818" s="3" t="s">
        <v>78</v>
      </c>
      <c r="BE3818" s="3" t="s">
        <v>37967</v>
      </c>
      <c r="BF3818" s="3" t="s">
        <v>38022</v>
      </c>
      <c r="BG3818" s="3" t="s">
        <v>38023</v>
      </c>
      <c r="BH3818">
        <f t="shared" si="89"/>
        <v>0</v>
      </c>
    </row>
    <row r="3819" spans="1:60" ht="58" x14ac:dyDescent="0.35">
      <c r="A3819" s="2" t="s">
        <v>6202</v>
      </c>
      <c r="B3819" s="2" t="s">
        <v>6203</v>
      </c>
      <c r="C3819" s="2" t="s">
        <v>37957</v>
      </c>
      <c r="D3819" s="2" t="s">
        <v>37958</v>
      </c>
      <c r="E3819" s="2" t="s">
        <v>37959</v>
      </c>
      <c r="F3819" s="3" t="s">
        <v>38024</v>
      </c>
      <c r="G3819" s="3" t="s">
        <v>128</v>
      </c>
      <c r="I3819" s="3" t="s">
        <v>64</v>
      </c>
      <c r="J3819" s="3" t="s">
        <v>64</v>
      </c>
      <c r="K3819" s="3" t="s">
        <v>65</v>
      </c>
      <c r="M3819" s="2" t="s">
        <v>37961</v>
      </c>
      <c r="N3819" s="3" t="s">
        <v>315</v>
      </c>
      <c r="P3819" s="3" t="s">
        <v>102</v>
      </c>
      <c r="R3819" s="3" t="s">
        <v>70</v>
      </c>
      <c r="S3819" s="4">
        <v>0</v>
      </c>
      <c r="T3819" s="4">
        <v>6</v>
      </c>
      <c r="V3819" s="5" t="s">
        <v>37962</v>
      </c>
      <c r="W3819" s="5" t="s">
        <v>72</v>
      </c>
      <c r="X3819" s="5" t="s">
        <v>72</v>
      </c>
      <c r="Y3819" s="4">
        <v>543</v>
      </c>
      <c r="Z3819" s="4">
        <v>28</v>
      </c>
      <c r="AA3819" s="4">
        <v>28</v>
      </c>
      <c r="AB3819" s="4">
        <v>1</v>
      </c>
      <c r="AC3819" s="4">
        <v>1</v>
      </c>
      <c r="AD3819" s="4">
        <v>106</v>
      </c>
      <c r="AE3819" s="4">
        <v>106</v>
      </c>
      <c r="AF3819" s="4">
        <v>0</v>
      </c>
      <c r="AG3819" s="4">
        <v>0</v>
      </c>
      <c r="AH3819" s="4">
        <v>93</v>
      </c>
      <c r="AI3819" s="4">
        <v>93</v>
      </c>
      <c r="AJ3819" s="4">
        <v>14</v>
      </c>
      <c r="AK3819" s="4">
        <v>14</v>
      </c>
      <c r="AL3819" s="4">
        <v>51</v>
      </c>
      <c r="AM3819" s="4">
        <v>51</v>
      </c>
      <c r="AN3819" s="4">
        <v>0</v>
      </c>
      <c r="AO3819" s="4">
        <v>0</v>
      </c>
      <c r="AP3819" s="4">
        <v>20</v>
      </c>
      <c r="AQ3819" s="4">
        <v>20</v>
      </c>
      <c r="AR3819" s="3" t="s">
        <v>64</v>
      </c>
      <c r="AS3819" s="3" t="s">
        <v>64</v>
      </c>
      <c r="AT3819" s="3" t="s">
        <v>128</v>
      </c>
      <c r="AU3819" s="6" t="str">
        <f t="shared" si="90"/>
        <v>HathiTrust Record</v>
      </c>
      <c r="AV3819" s="6" t="str">
        <f t="shared" si="91"/>
        <v>Catalog Record</v>
      </c>
      <c r="AW3819" s="6" t="str">
        <f t="shared" si="92"/>
        <v>WorldCat Record</v>
      </c>
      <c r="AX3819" s="3" t="s">
        <v>37963</v>
      </c>
      <c r="AY3819" s="3" t="s">
        <v>37964</v>
      </c>
      <c r="AZ3819" s="3" t="s">
        <v>37965</v>
      </c>
      <c r="BA3819" s="3" t="s">
        <v>37965</v>
      </c>
      <c r="BB3819" s="3" t="s">
        <v>38025</v>
      </c>
      <c r="BC3819" s="3" t="s">
        <v>77</v>
      </c>
      <c r="BD3819" s="3" t="s">
        <v>78</v>
      </c>
      <c r="BE3819" s="3" t="s">
        <v>37967</v>
      </c>
      <c r="BF3819" s="3" t="s">
        <v>38025</v>
      </c>
      <c r="BG3819" s="3" t="s">
        <v>38026</v>
      </c>
      <c r="BH3819">
        <f t="shared" si="89"/>
        <v>0</v>
      </c>
    </row>
    <row r="3820" spans="1:60" ht="58" x14ac:dyDescent="0.35">
      <c r="A3820" s="2" t="s">
        <v>6202</v>
      </c>
      <c r="B3820" s="2" t="s">
        <v>6203</v>
      </c>
      <c r="C3820" s="2" t="s">
        <v>37957</v>
      </c>
      <c r="D3820" s="2" t="s">
        <v>37958</v>
      </c>
      <c r="E3820" s="2" t="s">
        <v>37959</v>
      </c>
      <c r="F3820" s="3" t="s">
        <v>38027</v>
      </c>
      <c r="G3820" s="3" t="s">
        <v>128</v>
      </c>
      <c r="I3820" s="3" t="s">
        <v>64</v>
      </c>
      <c r="J3820" s="3" t="s">
        <v>64</v>
      </c>
      <c r="K3820" s="3" t="s">
        <v>65</v>
      </c>
      <c r="M3820" s="2" t="s">
        <v>37961</v>
      </c>
      <c r="N3820" s="3" t="s">
        <v>315</v>
      </c>
      <c r="P3820" s="3" t="s">
        <v>102</v>
      </c>
      <c r="R3820" s="3" t="s">
        <v>70</v>
      </c>
      <c r="S3820" s="4">
        <v>0</v>
      </c>
      <c r="T3820" s="4">
        <v>6</v>
      </c>
      <c r="V3820" s="5" t="s">
        <v>37962</v>
      </c>
      <c r="W3820" s="5" t="s">
        <v>72</v>
      </c>
      <c r="X3820" s="5" t="s">
        <v>72</v>
      </c>
      <c r="Y3820" s="4">
        <v>543</v>
      </c>
      <c r="Z3820" s="4">
        <v>28</v>
      </c>
      <c r="AA3820" s="4">
        <v>28</v>
      </c>
      <c r="AB3820" s="4">
        <v>1</v>
      </c>
      <c r="AC3820" s="4">
        <v>1</v>
      </c>
      <c r="AD3820" s="4">
        <v>106</v>
      </c>
      <c r="AE3820" s="4">
        <v>106</v>
      </c>
      <c r="AF3820" s="4">
        <v>0</v>
      </c>
      <c r="AG3820" s="4">
        <v>0</v>
      </c>
      <c r="AH3820" s="4">
        <v>93</v>
      </c>
      <c r="AI3820" s="4">
        <v>93</v>
      </c>
      <c r="AJ3820" s="4">
        <v>14</v>
      </c>
      <c r="AK3820" s="4">
        <v>14</v>
      </c>
      <c r="AL3820" s="4">
        <v>51</v>
      </c>
      <c r="AM3820" s="4">
        <v>51</v>
      </c>
      <c r="AN3820" s="4">
        <v>0</v>
      </c>
      <c r="AO3820" s="4">
        <v>0</v>
      </c>
      <c r="AP3820" s="4">
        <v>20</v>
      </c>
      <c r="AQ3820" s="4">
        <v>20</v>
      </c>
      <c r="AR3820" s="3" t="s">
        <v>64</v>
      </c>
      <c r="AS3820" s="3" t="s">
        <v>64</v>
      </c>
      <c r="AT3820" s="3" t="s">
        <v>128</v>
      </c>
      <c r="AU3820" s="6" t="str">
        <f t="shared" si="90"/>
        <v>HathiTrust Record</v>
      </c>
      <c r="AV3820" s="6" t="str">
        <f t="shared" si="91"/>
        <v>Catalog Record</v>
      </c>
      <c r="AW3820" s="6" t="str">
        <f t="shared" si="92"/>
        <v>WorldCat Record</v>
      </c>
      <c r="AX3820" s="3" t="s">
        <v>37963</v>
      </c>
      <c r="AY3820" s="3" t="s">
        <v>37964</v>
      </c>
      <c r="AZ3820" s="3" t="s">
        <v>37965</v>
      </c>
      <c r="BA3820" s="3" t="s">
        <v>37965</v>
      </c>
      <c r="BB3820" s="3" t="s">
        <v>38028</v>
      </c>
      <c r="BC3820" s="3" t="s">
        <v>77</v>
      </c>
      <c r="BD3820" s="3" t="s">
        <v>78</v>
      </c>
      <c r="BE3820" s="3" t="s">
        <v>37967</v>
      </c>
      <c r="BF3820" s="3" t="s">
        <v>38028</v>
      </c>
      <c r="BG3820" s="3" t="s">
        <v>38029</v>
      </c>
      <c r="BH3820">
        <f t="shared" si="89"/>
        <v>0</v>
      </c>
    </row>
    <row r="3821" spans="1:60" ht="58" x14ac:dyDescent="0.35">
      <c r="A3821" s="2" t="s">
        <v>6202</v>
      </c>
      <c r="B3821" s="2" t="s">
        <v>6203</v>
      </c>
      <c r="C3821" s="2" t="s">
        <v>37957</v>
      </c>
      <c r="D3821" s="2" t="s">
        <v>37958</v>
      </c>
      <c r="E3821" s="2" t="s">
        <v>37959</v>
      </c>
      <c r="F3821" s="3" t="s">
        <v>19585</v>
      </c>
      <c r="G3821" s="3" t="s">
        <v>128</v>
      </c>
      <c r="I3821" s="3" t="s">
        <v>64</v>
      </c>
      <c r="J3821" s="3" t="s">
        <v>64</v>
      </c>
      <c r="K3821" s="3" t="s">
        <v>65</v>
      </c>
      <c r="M3821" s="2" t="s">
        <v>37961</v>
      </c>
      <c r="N3821" s="3" t="s">
        <v>315</v>
      </c>
      <c r="P3821" s="3" t="s">
        <v>102</v>
      </c>
      <c r="R3821" s="3" t="s">
        <v>70</v>
      </c>
      <c r="S3821" s="4">
        <v>0</v>
      </c>
      <c r="T3821" s="4">
        <v>6</v>
      </c>
      <c r="V3821" s="5" t="s">
        <v>37962</v>
      </c>
      <c r="W3821" s="5" t="s">
        <v>72</v>
      </c>
      <c r="X3821" s="5" t="s">
        <v>72</v>
      </c>
      <c r="Y3821" s="4">
        <v>543</v>
      </c>
      <c r="Z3821" s="4">
        <v>28</v>
      </c>
      <c r="AA3821" s="4">
        <v>28</v>
      </c>
      <c r="AB3821" s="4">
        <v>1</v>
      </c>
      <c r="AC3821" s="4">
        <v>1</v>
      </c>
      <c r="AD3821" s="4">
        <v>106</v>
      </c>
      <c r="AE3821" s="4">
        <v>106</v>
      </c>
      <c r="AF3821" s="4">
        <v>0</v>
      </c>
      <c r="AG3821" s="4">
        <v>0</v>
      </c>
      <c r="AH3821" s="4">
        <v>93</v>
      </c>
      <c r="AI3821" s="4">
        <v>93</v>
      </c>
      <c r="AJ3821" s="4">
        <v>14</v>
      </c>
      <c r="AK3821" s="4">
        <v>14</v>
      </c>
      <c r="AL3821" s="4">
        <v>51</v>
      </c>
      <c r="AM3821" s="4">
        <v>51</v>
      </c>
      <c r="AN3821" s="4">
        <v>0</v>
      </c>
      <c r="AO3821" s="4">
        <v>0</v>
      </c>
      <c r="AP3821" s="4">
        <v>20</v>
      </c>
      <c r="AQ3821" s="4">
        <v>20</v>
      </c>
      <c r="AR3821" s="3" t="s">
        <v>64</v>
      </c>
      <c r="AS3821" s="3" t="s">
        <v>64</v>
      </c>
      <c r="AT3821" s="3" t="s">
        <v>128</v>
      </c>
      <c r="AU3821" s="6" t="str">
        <f t="shared" si="90"/>
        <v>HathiTrust Record</v>
      </c>
      <c r="AV3821" s="6" t="str">
        <f t="shared" si="91"/>
        <v>Catalog Record</v>
      </c>
      <c r="AW3821" s="6" t="str">
        <f t="shared" si="92"/>
        <v>WorldCat Record</v>
      </c>
      <c r="AX3821" s="3" t="s">
        <v>37963</v>
      </c>
      <c r="AY3821" s="3" t="s">
        <v>37964</v>
      </c>
      <c r="AZ3821" s="3" t="s">
        <v>37965</v>
      </c>
      <c r="BA3821" s="3" t="s">
        <v>37965</v>
      </c>
      <c r="BB3821" s="3" t="s">
        <v>38030</v>
      </c>
      <c r="BC3821" s="3" t="s">
        <v>77</v>
      </c>
      <c r="BD3821" s="3" t="s">
        <v>78</v>
      </c>
      <c r="BE3821" s="3" t="s">
        <v>37967</v>
      </c>
      <c r="BF3821" s="3" t="s">
        <v>38030</v>
      </c>
      <c r="BG3821" s="3" t="s">
        <v>38031</v>
      </c>
      <c r="BH3821">
        <f t="shared" si="89"/>
        <v>0</v>
      </c>
    </row>
    <row r="3822" spans="1:60" ht="58" x14ac:dyDescent="0.35">
      <c r="A3822" s="2" t="s">
        <v>6202</v>
      </c>
      <c r="B3822" s="2" t="s">
        <v>6203</v>
      </c>
      <c r="C3822" s="2" t="s">
        <v>37957</v>
      </c>
      <c r="D3822" s="2" t="s">
        <v>37958</v>
      </c>
      <c r="E3822" s="2" t="s">
        <v>37959</v>
      </c>
      <c r="F3822" s="3" t="s">
        <v>3138</v>
      </c>
      <c r="G3822" s="3" t="s">
        <v>128</v>
      </c>
      <c r="I3822" s="3" t="s">
        <v>64</v>
      </c>
      <c r="J3822" s="3" t="s">
        <v>64</v>
      </c>
      <c r="K3822" s="3" t="s">
        <v>65</v>
      </c>
      <c r="M3822" s="2" t="s">
        <v>37961</v>
      </c>
      <c r="N3822" s="3" t="s">
        <v>315</v>
      </c>
      <c r="P3822" s="3" t="s">
        <v>102</v>
      </c>
      <c r="R3822" s="3" t="s">
        <v>70</v>
      </c>
      <c r="S3822" s="4">
        <v>0</v>
      </c>
      <c r="T3822" s="4">
        <v>6</v>
      </c>
      <c r="V3822" s="5" t="s">
        <v>37962</v>
      </c>
      <c r="W3822" s="5" t="s">
        <v>72</v>
      </c>
      <c r="X3822" s="5" t="s">
        <v>72</v>
      </c>
      <c r="Y3822" s="4">
        <v>543</v>
      </c>
      <c r="Z3822" s="4">
        <v>28</v>
      </c>
      <c r="AA3822" s="4">
        <v>28</v>
      </c>
      <c r="AB3822" s="4">
        <v>1</v>
      </c>
      <c r="AC3822" s="4">
        <v>1</v>
      </c>
      <c r="AD3822" s="4">
        <v>106</v>
      </c>
      <c r="AE3822" s="4">
        <v>106</v>
      </c>
      <c r="AF3822" s="4">
        <v>0</v>
      </c>
      <c r="AG3822" s="4">
        <v>0</v>
      </c>
      <c r="AH3822" s="4">
        <v>93</v>
      </c>
      <c r="AI3822" s="4">
        <v>93</v>
      </c>
      <c r="AJ3822" s="4">
        <v>14</v>
      </c>
      <c r="AK3822" s="4">
        <v>14</v>
      </c>
      <c r="AL3822" s="4">
        <v>51</v>
      </c>
      <c r="AM3822" s="4">
        <v>51</v>
      </c>
      <c r="AN3822" s="4">
        <v>0</v>
      </c>
      <c r="AO3822" s="4">
        <v>0</v>
      </c>
      <c r="AP3822" s="4">
        <v>20</v>
      </c>
      <c r="AQ3822" s="4">
        <v>20</v>
      </c>
      <c r="AR3822" s="3" t="s">
        <v>64</v>
      </c>
      <c r="AS3822" s="3" t="s">
        <v>64</v>
      </c>
      <c r="AT3822" s="3" t="s">
        <v>128</v>
      </c>
      <c r="AU3822" s="6" t="str">
        <f t="shared" si="90"/>
        <v>HathiTrust Record</v>
      </c>
      <c r="AV3822" s="6" t="str">
        <f t="shared" si="91"/>
        <v>Catalog Record</v>
      </c>
      <c r="AW3822" s="6" t="str">
        <f t="shared" si="92"/>
        <v>WorldCat Record</v>
      </c>
      <c r="AX3822" s="3" t="s">
        <v>37963</v>
      </c>
      <c r="AY3822" s="3" t="s">
        <v>37964</v>
      </c>
      <c r="AZ3822" s="3" t="s">
        <v>37965</v>
      </c>
      <c r="BA3822" s="3" t="s">
        <v>37965</v>
      </c>
      <c r="BB3822" s="3" t="s">
        <v>38032</v>
      </c>
      <c r="BC3822" s="3" t="s">
        <v>77</v>
      </c>
      <c r="BD3822" s="3" t="s">
        <v>78</v>
      </c>
      <c r="BE3822" s="3" t="s">
        <v>37967</v>
      </c>
      <c r="BF3822" s="3" t="s">
        <v>38032</v>
      </c>
      <c r="BG3822" s="3" t="s">
        <v>38033</v>
      </c>
      <c r="BH3822">
        <f t="shared" si="89"/>
        <v>0</v>
      </c>
    </row>
    <row r="3823" spans="1:60" ht="58" x14ac:dyDescent="0.35">
      <c r="A3823" s="2" t="s">
        <v>6202</v>
      </c>
      <c r="B3823" s="2" t="s">
        <v>6203</v>
      </c>
      <c r="C3823" s="2" t="s">
        <v>37957</v>
      </c>
      <c r="D3823" s="2" t="s">
        <v>37958</v>
      </c>
      <c r="E3823" s="2" t="s">
        <v>37959</v>
      </c>
      <c r="F3823" s="3" t="s">
        <v>27490</v>
      </c>
      <c r="G3823" s="3" t="s">
        <v>128</v>
      </c>
      <c r="I3823" s="3" t="s">
        <v>64</v>
      </c>
      <c r="J3823" s="3" t="s">
        <v>64</v>
      </c>
      <c r="K3823" s="3" t="s">
        <v>65</v>
      </c>
      <c r="M3823" s="2" t="s">
        <v>37961</v>
      </c>
      <c r="N3823" s="3" t="s">
        <v>315</v>
      </c>
      <c r="P3823" s="3" t="s">
        <v>102</v>
      </c>
      <c r="R3823" s="3" t="s">
        <v>70</v>
      </c>
      <c r="S3823" s="4">
        <v>0</v>
      </c>
      <c r="T3823" s="4">
        <v>6</v>
      </c>
      <c r="V3823" s="5" t="s">
        <v>37962</v>
      </c>
      <c r="W3823" s="5" t="s">
        <v>72</v>
      </c>
      <c r="X3823" s="5" t="s">
        <v>72</v>
      </c>
      <c r="Y3823" s="4">
        <v>543</v>
      </c>
      <c r="Z3823" s="4">
        <v>28</v>
      </c>
      <c r="AA3823" s="4">
        <v>28</v>
      </c>
      <c r="AB3823" s="4">
        <v>1</v>
      </c>
      <c r="AC3823" s="4">
        <v>1</v>
      </c>
      <c r="AD3823" s="4">
        <v>106</v>
      </c>
      <c r="AE3823" s="4">
        <v>106</v>
      </c>
      <c r="AF3823" s="4">
        <v>0</v>
      </c>
      <c r="AG3823" s="4">
        <v>0</v>
      </c>
      <c r="AH3823" s="4">
        <v>93</v>
      </c>
      <c r="AI3823" s="4">
        <v>93</v>
      </c>
      <c r="AJ3823" s="4">
        <v>14</v>
      </c>
      <c r="AK3823" s="4">
        <v>14</v>
      </c>
      <c r="AL3823" s="4">
        <v>51</v>
      </c>
      <c r="AM3823" s="4">
        <v>51</v>
      </c>
      <c r="AN3823" s="4">
        <v>0</v>
      </c>
      <c r="AO3823" s="4">
        <v>0</v>
      </c>
      <c r="AP3823" s="4">
        <v>20</v>
      </c>
      <c r="AQ3823" s="4">
        <v>20</v>
      </c>
      <c r="AR3823" s="3" t="s">
        <v>64</v>
      </c>
      <c r="AS3823" s="3" t="s">
        <v>64</v>
      </c>
      <c r="AT3823" s="3" t="s">
        <v>128</v>
      </c>
      <c r="AU3823" s="6" t="str">
        <f t="shared" si="90"/>
        <v>HathiTrust Record</v>
      </c>
      <c r="AV3823" s="6" t="str">
        <f t="shared" si="91"/>
        <v>Catalog Record</v>
      </c>
      <c r="AW3823" s="6" t="str">
        <f t="shared" si="92"/>
        <v>WorldCat Record</v>
      </c>
      <c r="AX3823" s="3" t="s">
        <v>37963</v>
      </c>
      <c r="AY3823" s="3" t="s">
        <v>37964</v>
      </c>
      <c r="AZ3823" s="3" t="s">
        <v>37965</v>
      </c>
      <c r="BA3823" s="3" t="s">
        <v>37965</v>
      </c>
      <c r="BB3823" s="3" t="s">
        <v>38034</v>
      </c>
      <c r="BC3823" s="3" t="s">
        <v>77</v>
      </c>
      <c r="BD3823" s="3" t="s">
        <v>78</v>
      </c>
      <c r="BE3823" s="3" t="s">
        <v>37967</v>
      </c>
      <c r="BF3823" s="3" t="s">
        <v>38034</v>
      </c>
      <c r="BG3823" s="3" t="s">
        <v>38035</v>
      </c>
      <c r="BH3823">
        <f t="shared" si="89"/>
        <v>0</v>
      </c>
    </row>
    <row r="3824" spans="1:60" ht="58" x14ac:dyDescent="0.35">
      <c r="A3824" s="2" t="s">
        <v>6202</v>
      </c>
      <c r="B3824" s="2" t="s">
        <v>6203</v>
      </c>
      <c r="C3824" s="2" t="s">
        <v>37957</v>
      </c>
      <c r="D3824" s="2" t="s">
        <v>37958</v>
      </c>
      <c r="E3824" s="2" t="s">
        <v>37959</v>
      </c>
      <c r="F3824" s="3" t="s">
        <v>27488</v>
      </c>
      <c r="G3824" s="3" t="s">
        <v>128</v>
      </c>
      <c r="I3824" s="3" t="s">
        <v>64</v>
      </c>
      <c r="J3824" s="3" t="s">
        <v>64</v>
      </c>
      <c r="K3824" s="3" t="s">
        <v>65</v>
      </c>
      <c r="M3824" s="2" t="s">
        <v>37961</v>
      </c>
      <c r="N3824" s="3" t="s">
        <v>315</v>
      </c>
      <c r="P3824" s="3" t="s">
        <v>102</v>
      </c>
      <c r="R3824" s="3" t="s">
        <v>70</v>
      </c>
      <c r="S3824" s="4">
        <v>1</v>
      </c>
      <c r="T3824" s="4">
        <v>6</v>
      </c>
      <c r="U3824" s="5" t="s">
        <v>27483</v>
      </c>
      <c r="V3824" s="5" t="s">
        <v>37962</v>
      </c>
      <c r="W3824" s="5" t="s">
        <v>72</v>
      </c>
      <c r="X3824" s="5" t="s">
        <v>72</v>
      </c>
      <c r="Y3824" s="4">
        <v>543</v>
      </c>
      <c r="Z3824" s="4">
        <v>28</v>
      </c>
      <c r="AA3824" s="4">
        <v>28</v>
      </c>
      <c r="AB3824" s="4">
        <v>1</v>
      </c>
      <c r="AC3824" s="4">
        <v>1</v>
      </c>
      <c r="AD3824" s="4">
        <v>106</v>
      </c>
      <c r="AE3824" s="4">
        <v>106</v>
      </c>
      <c r="AF3824" s="4">
        <v>0</v>
      </c>
      <c r="AG3824" s="4">
        <v>0</v>
      </c>
      <c r="AH3824" s="4">
        <v>93</v>
      </c>
      <c r="AI3824" s="4">
        <v>93</v>
      </c>
      <c r="AJ3824" s="4">
        <v>14</v>
      </c>
      <c r="AK3824" s="4">
        <v>14</v>
      </c>
      <c r="AL3824" s="4">
        <v>51</v>
      </c>
      <c r="AM3824" s="4">
        <v>51</v>
      </c>
      <c r="AN3824" s="4">
        <v>0</v>
      </c>
      <c r="AO3824" s="4">
        <v>0</v>
      </c>
      <c r="AP3824" s="4">
        <v>20</v>
      </c>
      <c r="AQ3824" s="4">
        <v>20</v>
      </c>
      <c r="AR3824" s="3" t="s">
        <v>64</v>
      </c>
      <c r="AS3824" s="3" t="s">
        <v>64</v>
      </c>
      <c r="AT3824" s="3" t="s">
        <v>128</v>
      </c>
      <c r="AU3824" s="6" t="str">
        <f t="shared" si="90"/>
        <v>HathiTrust Record</v>
      </c>
      <c r="AV3824" s="6" t="str">
        <f t="shared" si="91"/>
        <v>Catalog Record</v>
      </c>
      <c r="AW3824" s="6" t="str">
        <f t="shared" si="92"/>
        <v>WorldCat Record</v>
      </c>
      <c r="AX3824" s="3" t="s">
        <v>37963</v>
      </c>
      <c r="AY3824" s="3" t="s">
        <v>37964</v>
      </c>
      <c r="AZ3824" s="3" t="s">
        <v>37965</v>
      </c>
      <c r="BA3824" s="3" t="s">
        <v>37965</v>
      </c>
      <c r="BB3824" s="3" t="s">
        <v>38036</v>
      </c>
      <c r="BC3824" s="3" t="s">
        <v>77</v>
      </c>
      <c r="BD3824" s="3" t="s">
        <v>78</v>
      </c>
      <c r="BE3824" s="3" t="s">
        <v>37967</v>
      </c>
      <c r="BF3824" s="3" t="s">
        <v>38036</v>
      </c>
      <c r="BG3824" s="3" t="s">
        <v>38037</v>
      </c>
      <c r="BH3824">
        <f t="shared" si="89"/>
        <v>0</v>
      </c>
    </row>
    <row r="3825" spans="1:60" ht="58" x14ac:dyDescent="0.35">
      <c r="A3825" s="2" t="s">
        <v>6202</v>
      </c>
      <c r="B3825" s="2" t="s">
        <v>6203</v>
      </c>
      <c r="C3825" s="2" t="s">
        <v>37957</v>
      </c>
      <c r="D3825" s="2" t="s">
        <v>37958</v>
      </c>
      <c r="E3825" s="2" t="s">
        <v>37959</v>
      </c>
      <c r="F3825" s="3" t="s">
        <v>19586</v>
      </c>
      <c r="G3825" s="3" t="s">
        <v>128</v>
      </c>
      <c r="I3825" s="3" t="s">
        <v>64</v>
      </c>
      <c r="J3825" s="3" t="s">
        <v>64</v>
      </c>
      <c r="K3825" s="3" t="s">
        <v>65</v>
      </c>
      <c r="M3825" s="2" t="s">
        <v>37961</v>
      </c>
      <c r="N3825" s="3" t="s">
        <v>315</v>
      </c>
      <c r="P3825" s="3" t="s">
        <v>102</v>
      </c>
      <c r="R3825" s="3" t="s">
        <v>70</v>
      </c>
      <c r="S3825" s="4">
        <v>0</v>
      </c>
      <c r="T3825" s="4">
        <v>6</v>
      </c>
      <c r="V3825" s="5" t="s">
        <v>37962</v>
      </c>
      <c r="W3825" s="5" t="s">
        <v>72</v>
      </c>
      <c r="X3825" s="5" t="s">
        <v>72</v>
      </c>
      <c r="Y3825" s="4">
        <v>543</v>
      </c>
      <c r="Z3825" s="4">
        <v>28</v>
      </c>
      <c r="AA3825" s="4">
        <v>28</v>
      </c>
      <c r="AB3825" s="4">
        <v>1</v>
      </c>
      <c r="AC3825" s="4">
        <v>1</v>
      </c>
      <c r="AD3825" s="4">
        <v>106</v>
      </c>
      <c r="AE3825" s="4">
        <v>106</v>
      </c>
      <c r="AF3825" s="4">
        <v>0</v>
      </c>
      <c r="AG3825" s="4">
        <v>0</v>
      </c>
      <c r="AH3825" s="4">
        <v>93</v>
      </c>
      <c r="AI3825" s="4">
        <v>93</v>
      </c>
      <c r="AJ3825" s="4">
        <v>14</v>
      </c>
      <c r="AK3825" s="4">
        <v>14</v>
      </c>
      <c r="AL3825" s="4">
        <v>51</v>
      </c>
      <c r="AM3825" s="4">
        <v>51</v>
      </c>
      <c r="AN3825" s="4">
        <v>0</v>
      </c>
      <c r="AO3825" s="4">
        <v>0</v>
      </c>
      <c r="AP3825" s="4">
        <v>20</v>
      </c>
      <c r="AQ3825" s="4">
        <v>20</v>
      </c>
      <c r="AR3825" s="3" t="s">
        <v>64</v>
      </c>
      <c r="AS3825" s="3" t="s">
        <v>64</v>
      </c>
      <c r="AT3825" s="3" t="s">
        <v>128</v>
      </c>
      <c r="AU3825" s="6" t="str">
        <f t="shared" si="90"/>
        <v>HathiTrust Record</v>
      </c>
      <c r="AV3825" s="6" t="str">
        <f t="shared" si="91"/>
        <v>Catalog Record</v>
      </c>
      <c r="AW3825" s="6" t="str">
        <f t="shared" si="92"/>
        <v>WorldCat Record</v>
      </c>
      <c r="AX3825" s="3" t="s">
        <v>37963</v>
      </c>
      <c r="AY3825" s="3" t="s">
        <v>37964</v>
      </c>
      <c r="AZ3825" s="3" t="s">
        <v>37965</v>
      </c>
      <c r="BA3825" s="3" t="s">
        <v>37965</v>
      </c>
      <c r="BB3825" s="3" t="s">
        <v>38038</v>
      </c>
      <c r="BC3825" s="3" t="s">
        <v>77</v>
      </c>
      <c r="BD3825" s="3" t="s">
        <v>78</v>
      </c>
      <c r="BE3825" s="3" t="s">
        <v>37967</v>
      </c>
      <c r="BF3825" s="3" t="s">
        <v>38038</v>
      </c>
      <c r="BG3825" s="3" t="s">
        <v>38039</v>
      </c>
      <c r="BH3825">
        <f t="shared" si="89"/>
        <v>0</v>
      </c>
    </row>
    <row r="3826" spans="1:60" ht="58" x14ac:dyDescent="0.35">
      <c r="A3826" s="2" t="s">
        <v>6202</v>
      </c>
      <c r="B3826" s="2" t="s">
        <v>6203</v>
      </c>
      <c r="C3826" s="2" t="s">
        <v>37957</v>
      </c>
      <c r="D3826" s="2" t="s">
        <v>37958</v>
      </c>
      <c r="E3826" s="2" t="s">
        <v>37959</v>
      </c>
      <c r="F3826" s="3" t="s">
        <v>38040</v>
      </c>
      <c r="G3826" s="3" t="s">
        <v>128</v>
      </c>
      <c r="I3826" s="3" t="s">
        <v>64</v>
      </c>
      <c r="J3826" s="3" t="s">
        <v>64</v>
      </c>
      <c r="K3826" s="3" t="s">
        <v>65</v>
      </c>
      <c r="M3826" s="2" t="s">
        <v>37961</v>
      </c>
      <c r="N3826" s="3" t="s">
        <v>315</v>
      </c>
      <c r="P3826" s="3" t="s">
        <v>102</v>
      </c>
      <c r="R3826" s="3" t="s">
        <v>70</v>
      </c>
      <c r="S3826" s="4">
        <v>1</v>
      </c>
      <c r="T3826" s="4">
        <v>6</v>
      </c>
      <c r="U3826" s="5" t="s">
        <v>38041</v>
      </c>
      <c r="V3826" s="5" t="s">
        <v>37962</v>
      </c>
      <c r="W3826" s="5" t="s">
        <v>72</v>
      </c>
      <c r="X3826" s="5" t="s">
        <v>72</v>
      </c>
      <c r="Y3826" s="4">
        <v>543</v>
      </c>
      <c r="Z3826" s="4">
        <v>28</v>
      </c>
      <c r="AA3826" s="4">
        <v>28</v>
      </c>
      <c r="AB3826" s="4">
        <v>1</v>
      </c>
      <c r="AC3826" s="4">
        <v>1</v>
      </c>
      <c r="AD3826" s="4">
        <v>106</v>
      </c>
      <c r="AE3826" s="4">
        <v>106</v>
      </c>
      <c r="AF3826" s="4">
        <v>0</v>
      </c>
      <c r="AG3826" s="4">
        <v>0</v>
      </c>
      <c r="AH3826" s="4">
        <v>93</v>
      </c>
      <c r="AI3826" s="4">
        <v>93</v>
      </c>
      <c r="AJ3826" s="4">
        <v>14</v>
      </c>
      <c r="AK3826" s="4">
        <v>14</v>
      </c>
      <c r="AL3826" s="4">
        <v>51</v>
      </c>
      <c r="AM3826" s="4">
        <v>51</v>
      </c>
      <c r="AN3826" s="4">
        <v>0</v>
      </c>
      <c r="AO3826" s="4">
        <v>0</v>
      </c>
      <c r="AP3826" s="4">
        <v>20</v>
      </c>
      <c r="AQ3826" s="4">
        <v>20</v>
      </c>
      <c r="AR3826" s="3" t="s">
        <v>64</v>
      </c>
      <c r="AS3826" s="3" t="s">
        <v>64</v>
      </c>
      <c r="AT3826" s="3" t="s">
        <v>128</v>
      </c>
      <c r="AU3826" s="6" t="str">
        <f t="shared" si="90"/>
        <v>HathiTrust Record</v>
      </c>
      <c r="AV3826" s="6" t="str">
        <f t="shared" si="91"/>
        <v>Catalog Record</v>
      </c>
      <c r="AW3826" s="6" t="str">
        <f t="shared" si="92"/>
        <v>WorldCat Record</v>
      </c>
      <c r="AX3826" s="3" t="s">
        <v>37963</v>
      </c>
      <c r="AY3826" s="3" t="s">
        <v>37964</v>
      </c>
      <c r="AZ3826" s="3" t="s">
        <v>37965</v>
      </c>
      <c r="BA3826" s="3" t="s">
        <v>37965</v>
      </c>
      <c r="BB3826" s="3" t="s">
        <v>38042</v>
      </c>
      <c r="BC3826" s="3" t="s">
        <v>77</v>
      </c>
      <c r="BD3826" s="3" t="s">
        <v>78</v>
      </c>
      <c r="BE3826" s="3" t="s">
        <v>37967</v>
      </c>
      <c r="BF3826" s="3" t="s">
        <v>38042</v>
      </c>
      <c r="BG3826" s="3" t="s">
        <v>38043</v>
      </c>
      <c r="BH3826">
        <f t="shared" si="89"/>
        <v>0</v>
      </c>
    </row>
    <row r="3827" spans="1:60" ht="58" x14ac:dyDescent="0.35">
      <c r="A3827" s="2" t="s">
        <v>6202</v>
      </c>
      <c r="B3827" s="2" t="s">
        <v>6203</v>
      </c>
      <c r="C3827" s="2" t="s">
        <v>37957</v>
      </c>
      <c r="D3827" s="2" t="s">
        <v>37958</v>
      </c>
      <c r="E3827" s="2" t="s">
        <v>37959</v>
      </c>
      <c r="F3827" s="3" t="s">
        <v>38044</v>
      </c>
      <c r="G3827" s="3" t="s">
        <v>128</v>
      </c>
      <c r="I3827" s="3" t="s">
        <v>64</v>
      </c>
      <c r="J3827" s="3" t="s">
        <v>64</v>
      </c>
      <c r="K3827" s="3" t="s">
        <v>65</v>
      </c>
      <c r="M3827" s="2" t="s">
        <v>37961</v>
      </c>
      <c r="N3827" s="3" t="s">
        <v>315</v>
      </c>
      <c r="P3827" s="3" t="s">
        <v>102</v>
      </c>
      <c r="R3827" s="3" t="s">
        <v>70</v>
      </c>
      <c r="S3827" s="4">
        <v>0</v>
      </c>
      <c r="T3827" s="4">
        <v>6</v>
      </c>
      <c r="V3827" s="5" t="s">
        <v>37962</v>
      </c>
      <c r="W3827" s="5" t="s">
        <v>72</v>
      </c>
      <c r="X3827" s="5" t="s">
        <v>72</v>
      </c>
      <c r="Y3827" s="4">
        <v>543</v>
      </c>
      <c r="Z3827" s="4">
        <v>28</v>
      </c>
      <c r="AA3827" s="4">
        <v>28</v>
      </c>
      <c r="AB3827" s="4">
        <v>1</v>
      </c>
      <c r="AC3827" s="4">
        <v>1</v>
      </c>
      <c r="AD3827" s="4">
        <v>106</v>
      </c>
      <c r="AE3827" s="4">
        <v>106</v>
      </c>
      <c r="AF3827" s="4">
        <v>0</v>
      </c>
      <c r="AG3827" s="4">
        <v>0</v>
      </c>
      <c r="AH3827" s="4">
        <v>93</v>
      </c>
      <c r="AI3827" s="4">
        <v>93</v>
      </c>
      <c r="AJ3827" s="4">
        <v>14</v>
      </c>
      <c r="AK3827" s="4">
        <v>14</v>
      </c>
      <c r="AL3827" s="4">
        <v>51</v>
      </c>
      <c r="AM3827" s="4">
        <v>51</v>
      </c>
      <c r="AN3827" s="4">
        <v>0</v>
      </c>
      <c r="AO3827" s="4">
        <v>0</v>
      </c>
      <c r="AP3827" s="4">
        <v>20</v>
      </c>
      <c r="AQ3827" s="4">
        <v>20</v>
      </c>
      <c r="AR3827" s="3" t="s">
        <v>64</v>
      </c>
      <c r="AS3827" s="3" t="s">
        <v>64</v>
      </c>
      <c r="AT3827" s="3" t="s">
        <v>128</v>
      </c>
      <c r="AU3827" s="6" t="str">
        <f t="shared" ref="AU3827:AU3858" si="93">HYPERLINK("http://catalog.hathitrust.org/Record/000142895","HathiTrust Record")</f>
        <v>HathiTrust Record</v>
      </c>
      <c r="AV3827" s="6" t="str">
        <f t="shared" ref="AV3827:AV3858" si="94">HYPERLINK("http://mcgill.on.worldcat.org/oclc/311902","Catalog Record")</f>
        <v>Catalog Record</v>
      </c>
      <c r="AW3827" s="6" t="str">
        <f t="shared" ref="AW3827:AW3858" si="95">HYPERLINK("http://www.worldcat.org/oclc/311902","WorldCat Record")</f>
        <v>WorldCat Record</v>
      </c>
      <c r="AX3827" s="3" t="s">
        <v>37963</v>
      </c>
      <c r="AY3827" s="3" t="s">
        <v>37964</v>
      </c>
      <c r="AZ3827" s="3" t="s">
        <v>37965</v>
      </c>
      <c r="BA3827" s="3" t="s">
        <v>37965</v>
      </c>
      <c r="BB3827" s="3" t="s">
        <v>38045</v>
      </c>
      <c r="BC3827" s="3" t="s">
        <v>77</v>
      </c>
      <c r="BD3827" s="3" t="s">
        <v>78</v>
      </c>
      <c r="BE3827" s="3" t="s">
        <v>37967</v>
      </c>
      <c r="BF3827" s="3" t="s">
        <v>38045</v>
      </c>
      <c r="BG3827" s="3" t="s">
        <v>38046</v>
      </c>
      <c r="BH3827">
        <f t="shared" si="89"/>
        <v>0</v>
      </c>
    </row>
    <row r="3828" spans="1:60" ht="58" x14ac:dyDescent="0.35">
      <c r="A3828" s="2" t="s">
        <v>6202</v>
      </c>
      <c r="B3828" s="2" t="s">
        <v>6203</v>
      </c>
      <c r="C3828" s="2" t="s">
        <v>37957</v>
      </c>
      <c r="D3828" s="2" t="s">
        <v>37958</v>
      </c>
      <c r="E3828" s="2" t="s">
        <v>37959</v>
      </c>
      <c r="F3828" s="3" t="s">
        <v>38047</v>
      </c>
      <c r="G3828" s="3" t="s">
        <v>128</v>
      </c>
      <c r="I3828" s="3" t="s">
        <v>64</v>
      </c>
      <c r="J3828" s="3" t="s">
        <v>64</v>
      </c>
      <c r="K3828" s="3" t="s">
        <v>65</v>
      </c>
      <c r="M3828" s="2" t="s">
        <v>37961</v>
      </c>
      <c r="N3828" s="3" t="s">
        <v>315</v>
      </c>
      <c r="P3828" s="3" t="s">
        <v>102</v>
      </c>
      <c r="R3828" s="3" t="s">
        <v>70</v>
      </c>
      <c r="S3828" s="4">
        <v>0</v>
      </c>
      <c r="T3828" s="4">
        <v>6</v>
      </c>
      <c r="V3828" s="5" t="s">
        <v>37962</v>
      </c>
      <c r="W3828" s="5" t="s">
        <v>72</v>
      </c>
      <c r="X3828" s="5" t="s">
        <v>72</v>
      </c>
      <c r="Y3828" s="4">
        <v>543</v>
      </c>
      <c r="Z3828" s="4">
        <v>28</v>
      </c>
      <c r="AA3828" s="4">
        <v>28</v>
      </c>
      <c r="AB3828" s="4">
        <v>1</v>
      </c>
      <c r="AC3828" s="4">
        <v>1</v>
      </c>
      <c r="AD3828" s="4">
        <v>106</v>
      </c>
      <c r="AE3828" s="4">
        <v>106</v>
      </c>
      <c r="AF3828" s="4">
        <v>0</v>
      </c>
      <c r="AG3828" s="4">
        <v>0</v>
      </c>
      <c r="AH3828" s="4">
        <v>93</v>
      </c>
      <c r="AI3828" s="4">
        <v>93</v>
      </c>
      <c r="AJ3828" s="4">
        <v>14</v>
      </c>
      <c r="AK3828" s="4">
        <v>14</v>
      </c>
      <c r="AL3828" s="4">
        <v>51</v>
      </c>
      <c r="AM3828" s="4">
        <v>51</v>
      </c>
      <c r="AN3828" s="4">
        <v>0</v>
      </c>
      <c r="AO3828" s="4">
        <v>0</v>
      </c>
      <c r="AP3828" s="4">
        <v>20</v>
      </c>
      <c r="AQ3828" s="4">
        <v>20</v>
      </c>
      <c r="AR3828" s="3" t="s">
        <v>64</v>
      </c>
      <c r="AS3828" s="3" t="s">
        <v>64</v>
      </c>
      <c r="AT3828" s="3" t="s">
        <v>128</v>
      </c>
      <c r="AU3828" s="6" t="str">
        <f t="shared" si="93"/>
        <v>HathiTrust Record</v>
      </c>
      <c r="AV3828" s="6" t="str">
        <f t="shared" si="94"/>
        <v>Catalog Record</v>
      </c>
      <c r="AW3828" s="6" t="str">
        <f t="shared" si="95"/>
        <v>WorldCat Record</v>
      </c>
      <c r="AX3828" s="3" t="s">
        <v>37963</v>
      </c>
      <c r="AY3828" s="3" t="s">
        <v>37964</v>
      </c>
      <c r="AZ3828" s="3" t="s">
        <v>37965</v>
      </c>
      <c r="BA3828" s="3" t="s">
        <v>37965</v>
      </c>
      <c r="BB3828" s="3" t="s">
        <v>38048</v>
      </c>
      <c r="BC3828" s="3" t="s">
        <v>77</v>
      </c>
      <c r="BD3828" s="3" t="s">
        <v>78</v>
      </c>
      <c r="BE3828" s="3" t="s">
        <v>37967</v>
      </c>
      <c r="BF3828" s="3" t="s">
        <v>38048</v>
      </c>
      <c r="BG3828" s="3" t="s">
        <v>38049</v>
      </c>
      <c r="BH3828">
        <f t="shared" si="89"/>
        <v>0</v>
      </c>
    </row>
    <row r="3829" spans="1:60" ht="58" x14ac:dyDescent="0.35">
      <c r="A3829" s="2" t="s">
        <v>6202</v>
      </c>
      <c r="B3829" s="2" t="s">
        <v>6203</v>
      </c>
      <c r="C3829" s="2" t="s">
        <v>37957</v>
      </c>
      <c r="D3829" s="2" t="s">
        <v>37958</v>
      </c>
      <c r="E3829" s="2" t="s">
        <v>37959</v>
      </c>
      <c r="F3829" s="3" t="s">
        <v>38050</v>
      </c>
      <c r="G3829" s="3" t="s">
        <v>128</v>
      </c>
      <c r="I3829" s="3" t="s">
        <v>64</v>
      </c>
      <c r="J3829" s="3" t="s">
        <v>64</v>
      </c>
      <c r="K3829" s="3" t="s">
        <v>65</v>
      </c>
      <c r="M3829" s="2" t="s">
        <v>37961</v>
      </c>
      <c r="N3829" s="3" t="s">
        <v>315</v>
      </c>
      <c r="P3829" s="3" t="s">
        <v>102</v>
      </c>
      <c r="R3829" s="3" t="s">
        <v>70</v>
      </c>
      <c r="S3829" s="4">
        <v>0</v>
      </c>
      <c r="T3829" s="4">
        <v>6</v>
      </c>
      <c r="V3829" s="5" t="s">
        <v>37962</v>
      </c>
      <c r="W3829" s="5" t="s">
        <v>72</v>
      </c>
      <c r="X3829" s="5" t="s">
        <v>72</v>
      </c>
      <c r="Y3829" s="4">
        <v>543</v>
      </c>
      <c r="Z3829" s="4">
        <v>28</v>
      </c>
      <c r="AA3829" s="4">
        <v>28</v>
      </c>
      <c r="AB3829" s="4">
        <v>1</v>
      </c>
      <c r="AC3829" s="4">
        <v>1</v>
      </c>
      <c r="AD3829" s="4">
        <v>106</v>
      </c>
      <c r="AE3829" s="4">
        <v>106</v>
      </c>
      <c r="AF3829" s="4">
        <v>0</v>
      </c>
      <c r="AG3829" s="4">
        <v>0</v>
      </c>
      <c r="AH3829" s="4">
        <v>93</v>
      </c>
      <c r="AI3829" s="4">
        <v>93</v>
      </c>
      <c r="AJ3829" s="4">
        <v>14</v>
      </c>
      <c r="AK3829" s="4">
        <v>14</v>
      </c>
      <c r="AL3829" s="4">
        <v>51</v>
      </c>
      <c r="AM3829" s="4">
        <v>51</v>
      </c>
      <c r="AN3829" s="4">
        <v>0</v>
      </c>
      <c r="AO3829" s="4">
        <v>0</v>
      </c>
      <c r="AP3829" s="4">
        <v>20</v>
      </c>
      <c r="AQ3829" s="4">
        <v>20</v>
      </c>
      <c r="AR3829" s="3" t="s">
        <v>64</v>
      </c>
      <c r="AS3829" s="3" t="s">
        <v>64</v>
      </c>
      <c r="AT3829" s="3" t="s">
        <v>128</v>
      </c>
      <c r="AU3829" s="6" t="str">
        <f t="shared" si="93"/>
        <v>HathiTrust Record</v>
      </c>
      <c r="AV3829" s="6" t="str">
        <f t="shared" si="94"/>
        <v>Catalog Record</v>
      </c>
      <c r="AW3829" s="6" t="str">
        <f t="shared" si="95"/>
        <v>WorldCat Record</v>
      </c>
      <c r="AX3829" s="3" t="s">
        <v>37963</v>
      </c>
      <c r="AY3829" s="3" t="s">
        <v>37964</v>
      </c>
      <c r="AZ3829" s="3" t="s">
        <v>37965</v>
      </c>
      <c r="BA3829" s="3" t="s">
        <v>37965</v>
      </c>
      <c r="BB3829" s="3" t="s">
        <v>38051</v>
      </c>
      <c r="BC3829" s="3" t="s">
        <v>77</v>
      </c>
      <c r="BD3829" s="3" t="s">
        <v>78</v>
      </c>
      <c r="BE3829" s="3" t="s">
        <v>37967</v>
      </c>
      <c r="BF3829" s="3" t="s">
        <v>38051</v>
      </c>
      <c r="BG3829" s="3" t="s">
        <v>38052</v>
      </c>
      <c r="BH3829">
        <f t="shared" si="89"/>
        <v>0</v>
      </c>
    </row>
    <row r="3830" spans="1:60" ht="58" x14ac:dyDescent="0.35">
      <c r="A3830" s="2" t="s">
        <v>6202</v>
      </c>
      <c r="B3830" s="2" t="s">
        <v>6203</v>
      </c>
      <c r="C3830" s="2" t="s">
        <v>37957</v>
      </c>
      <c r="D3830" s="2" t="s">
        <v>37958</v>
      </c>
      <c r="E3830" s="2" t="s">
        <v>37959</v>
      </c>
      <c r="F3830" s="3" t="s">
        <v>27484</v>
      </c>
      <c r="G3830" s="3" t="s">
        <v>128</v>
      </c>
      <c r="I3830" s="3" t="s">
        <v>64</v>
      </c>
      <c r="J3830" s="3" t="s">
        <v>64</v>
      </c>
      <c r="K3830" s="3" t="s">
        <v>65</v>
      </c>
      <c r="M3830" s="2" t="s">
        <v>37961</v>
      </c>
      <c r="N3830" s="3" t="s">
        <v>315</v>
      </c>
      <c r="P3830" s="3" t="s">
        <v>102</v>
      </c>
      <c r="R3830" s="3" t="s">
        <v>70</v>
      </c>
      <c r="S3830" s="4">
        <v>0</v>
      </c>
      <c r="T3830" s="4">
        <v>6</v>
      </c>
      <c r="V3830" s="5" t="s">
        <v>37962</v>
      </c>
      <c r="W3830" s="5" t="s">
        <v>72</v>
      </c>
      <c r="X3830" s="5" t="s">
        <v>72</v>
      </c>
      <c r="Y3830" s="4">
        <v>543</v>
      </c>
      <c r="Z3830" s="4">
        <v>28</v>
      </c>
      <c r="AA3830" s="4">
        <v>28</v>
      </c>
      <c r="AB3830" s="4">
        <v>1</v>
      </c>
      <c r="AC3830" s="4">
        <v>1</v>
      </c>
      <c r="AD3830" s="4">
        <v>106</v>
      </c>
      <c r="AE3830" s="4">
        <v>106</v>
      </c>
      <c r="AF3830" s="4">
        <v>0</v>
      </c>
      <c r="AG3830" s="4">
        <v>0</v>
      </c>
      <c r="AH3830" s="4">
        <v>93</v>
      </c>
      <c r="AI3830" s="4">
        <v>93</v>
      </c>
      <c r="AJ3830" s="4">
        <v>14</v>
      </c>
      <c r="AK3830" s="4">
        <v>14</v>
      </c>
      <c r="AL3830" s="4">
        <v>51</v>
      </c>
      <c r="AM3830" s="4">
        <v>51</v>
      </c>
      <c r="AN3830" s="4">
        <v>0</v>
      </c>
      <c r="AO3830" s="4">
        <v>0</v>
      </c>
      <c r="AP3830" s="4">
        <v>20</v>
      </c>
      <c r="AQ3830" s="4">
        <v>20</v>
      </c>
      <c r="AR3830" s="3" t="s">
        <v>64</v>
      </c>
      <c r="AS3830" s="3" t="s">
        <v>64</v>
      </c>
      <c r="AT3830" s="3" t="s">
        <v>128</v>
      </c>
      <c r="AU3830" s="6" t="str">
        <f t="shared" si="93"/>
        <v>HathiTrust Record</v>
      </c>
      <c r="AV3830" s="6" t="str">
        <f t="shared" si="94"/>
        <v>Catalog Record</v>
      </c>
      <c r="AW3830" s="6" t="str">
        <f t="shared" si="95"/>
        <v>WorldCat Record</v>
      </c>
      <c r="AX3830" s="3" t="s">
        <v>37963</v>
      </c>
      <c r="AY3830" s="3" t="s">
        <v>37964</v>
      </c>
      <c r="AZ3830" s="3" t="s">
        <v>37965</v>
      </c>
      <c r="BA3830" s="3" t="s">
        <v>37965</v>
      </c>
      <c r="BB3830" s="3" t="s">
        <v>38053</v>
      </c>
      <c r="BC3830" s="3" t="s">
        <v>77</v>
      </c>
      <c r="BD3830" s="3" t="s">
        <v>78</v>
      </c>
      <c r="BE3830" s="3" t="s">
        <v>37967</v>
      </c>
      <c r="BF3830" s="3" t="s">
        <v>38053</v>
      </c>
      <c r="BG3830" s="3" t="s">
        <v>38054</v>
      </c>
      <c r="BH3830">
        <f t="shared" si="89"/>
        <v>0</v>
      </c>
    </row>
    <row r="3831" spans="1:60" ht="58" x14ac:dyDescent="0.35">
      <c r="A3831" s="2" t="s">
        <v>6202</v>
      </c>
      <c r="B3831" s="2" t="s">
        <v>6203</v>
      </c>
      <c r="C3831" s="2" t="s">
        <v>37957</v>
      </c>
      <c r="D3831" s="2" t="s">
        <v>37958</v>
      </c>
      <c r="E3831" s="2" t="s">
        <v>37959</v>
      </c>
      <c r="F3831" s="3" t="s">
        <v>522</v>
      </c>
      <c r="G3831" s="3" t="s">
        <v>128</v>
      </c>
      <c r="I3831" s="3" t="s">
        <v>64</v>
      </c>
      <c r="J3831" s="3" t="s">
        <v>64</v>
      </c>
      <c r="K3831" s="3" t="s">
        <v>65</v>
      </c>
      <c r="M3831" s="2" t="s">
        <v>37961</v>
      </c>
      <c r="N3831" s="3" t="s">
        <v>315</v>
      </c>
      <c r="P3831" s="3" t="s">
        <v>102</v>
      </c>
      <c r="R3831" s="3" t="s">
        <v>70</v>
      </c>
      <c r="S3831" s="4">
        <v>1</v>
      </c>
      <c r="T3831" s="4">
        <v>6</v>
      </c>
      <c r="U3831" s="5" t="s">
        <v>38055</v>
      </c>
      <c r="V3831" s="5" t="s">
        <v>37962</v>
      </c>
      <c r="W3831" s="5" t="s">
        <v>72</v>
      </c>
      <c r="X3831" s="5" t="s">
        <v>72</v>
      </c>
      <c r="Y3831" s="4">
        <v>543</v>
      </c>
      <c r="Z3831" s="4">
        <v>28</v>
      </c>
      <c r="AA3831" s="4">
        <v>28</v>
      </c>
      <c r="AB3831" s="4">
        <v>1</v>
      </c>
      <c r="AC3831" s="4">
        <v>1</v>
      </c>
      <c r="AD3831" s="4">
        <v>106</v>
      </c>
      <c r="AE3831" s="4">
        <v>106</v>
      </c>
      <c r="AF3831" s="4">
        <v>0</v>
      </c>
      <c r="AG3831" s="4">
        <v>0</v>
      </c>
      <c r="AH3831" s="4">
        <v>93</v>
      </c>
      <c r="AI3831" s="4">
        <v>93</v>
      </c>
      <c r="AJ3831" s="4">
        <v>14</v>
      </c>
      <c r="AK3831" s="4">
        <v>14</v>
      </c>
      <c r="AL3831" s="4">
        <v>51</v>
      </c>
      <c r="AM3831" s="4">
        <v>51</v>
      </c>
      <c r="AN3831" s="4">
        <v>0</v>
      </c>
      <c r="AO3831" s="4">
        <v>0</v>
      </c>
      <c r="AP3831" s="4">
        <v>20</v>
      </c>
      <c r="AQ3831" s="4">
        <v>20</v>
      </c>
      <c r="AR3831" s="3" t="s">
        <v>64</v>
      </c>
      <c r="AS3831" s="3" t="s">
        <v>64</v>
      </c>
      <c r="AT3831" s="3" t="s">
        <v>128</v>
      </c>
      <c r="AU3831" s="6" t="str">
        <f t="shared" si="93"/>
        <v>HathiTrust Record</v>
      </c>
      <c r="AV3831" s="6" t="str">
        <f t="shared" si="94"/>
        <v>Catalog Record</v>
      </c>
      <c r="AW3831" s="6" t="str">
        <f t="shared" si="95"/>
        <v>WorldCat Record</v>
      </c>
      <c r="AX3831" s="3" t="s">
        <v>37963</v>
      </c>
      <c r="AY3831" s="3" t="s">
        <v>37964</v>
      </c>
      <c r="AZ3831" s="3" t="s">
        <v>37965</v>
      </c>
      <c r="BA3831" s="3" t="s">
        <v>37965</v>
      </c>
      <c r="BB3831" s="3" t="s">
        <v>38056</v>
      </c>
      <c r="BC3831" s="3" t="s">
        <v>77</v>
      </c>
      <c r="BD3831" s="3" t="s">
        <v>78</v>
      </c>
      <c r="BE3831" s="3" t="s">
        <v>37967</v>
      </c>
      <c r="BF3831" s="3" t="s">
        <v>38056</v>
      </c>
      <c r="BG3831" s="3" t="s">
        <v>38057</v>
      </c>
      <c r="BH3831">
        <f t="shared" si="89"/>
        <v>0</v>
      </c>
    </row>
    <row r="3832" spans="1:60" ht="58" x14ac:dyDescent="0.35">
      <c r="A3832" s="2" t="s">
        <v>6202</v>
      </c>
      <c r="B3832" s="2" t="s">
        <v>6203</v>
      </c>
      <c r="C3832" s="2" t="s">
        <v>37957</v>
      </c>
      <c r="D3832" s="2" t="s">
        <v>37958</v>
      </c>
      <c r="E3832" s="2" t="s">
        <v>37959</v>
      </c>
      <c r="F3832" s="3" t="s">
        <v>38058</v>
      </c>
      <c r="G3832" s="3" t="s">
        <v>128</v>
      </c>
      <c r="I3832" s="3" t="s">
        <v>64</v>
      </c>
      <c r="J3832" s="3" t="s">
        <v>64</v>
      </c>
      <c r="K3832" s="3" t="s">
        <v>65</v>
      </c>
      <c r="M3832" s="2" t="s">
        <v>37961</v>
      </c>
      <c r="N3832" s="3" t="s">
        <v>315</v>
      </c>
      <c r="P3832" s="3" t="s">
        <v>102</v>
      </c>
      <c r="R3832" s="3" t="s">
        <v>70</v>
      </c>
      <c r="S3832" s="4">
        <v>0</v>
      </c>
      <c r="T3832" s="4">
        <v>6</v>
      </c>
      <c r="V3832" s="5" t="s">
        <v>37962</v>
      </c>
      <c r="W3832" s="5" t="s">
        <v>72</v>
      </c>
      <c r="X3832" s="5" t="s">
        <v>72</v>
      </c>
      <c r="Y3832" s="4">
        <v>543</v>
      </c>
      <c r="Z3832" s="4">
        <v>28</v>
      </c>
      <c r="AA3832" s="4">
        <v>28</v>
      </c>
      <c r="AB3832" s="4">
        <v>1</v>
      </c>
      <c r="AC3832" s="4">
        <v>1</v>
      </c>
      <c r="AD3832" s="4">
        <v>106</v>
      </c>
      <c r="AE3832" s="4">
        <v>106</v>
      </c>
      <c r="AF3832" s="4">
        <v>0</v>
      </c>
      <c r="AG3832" s="4">
        <v>0</v>
      </c>
      <c r="AH3832" s="4">
        <v>93</v>
      </c>
      <c r="AI3832" s="4">
        <v>93</v>
      </c>
      <c r="AJ3832" s="4">
        <v>14</v>
      </c>
      <c r="AK3832" s="4">
        <v>14</v>
      </c>
      <c r="AL3832" s="4">
        <v>51</v>
      </c>
      <c r="AM3832" s="4">
        <v>51</v>
      </c>
      <c r="AN3832" s="4">
        <v>0</v>
      </c>
      <c r="AO3832" s="4">
        <v>0</v>
      </c>
      <c r="AP3832" s="4">
        <v>20</v>
      </c>
      <c r="AQ3832" s="4">
        <v>20</v>
      </c>
      <c r="AR3832" s="3" t="s">
        <v>64</v>
      </c>
      <c r="AS3832" s="3" t="s">
        <v>64</v>
      </c>
      <c r="AT3832" s="3" t="s">
        <v>128</v>
      </c>
      <c r="AU3832" s="6" t="str">
        <f t="shared" si="93"/>
        <v>HathiTrust Record</v>
      </c>
      <c r="AV3832" s="6" t="str">
        <f t="shared" si="94"/>
        <v>Catalog Record</v>
      </c>
      <c r="AW3832" s="6" t="str">
        <f t="shared" si="95"/>
        <v>WorldCat Record</v>
      </c>
      <c r="AX3832" s="3" t="s">
        <v>37963</v>
      </c>
      <c r="AY3832" s="3" t="s">
        <v>37964</v>
      </c>
      <c r="AZ3832" s="3" t="s">
        <v>37965</v>
      </c>
      <c r="BA3832" s="3" t="s">
        <v>37965</v>
      </c>
      <c r="BB3832" s="3" t="s">
        <v>38059</v>
      </c>
      <c r="BC3832" s="3" t="s">
        <v>77</v>
      </c>
      <c r="BD3832" s="3" t="s">
        <v>78</v>
      </c>
      <c r="BE3832" s="3" t="s">
        <v>37967</v>
      </c>
      <c r="BF3832" s="3" t="s">
        <v>38059</v>
      </c>
      <c r="BG3832" s="3" t="s">
        <v>38060</v>
      </c>
      <c r="BH3832">
        <f t="shared" si="89"/>
        <v>0</v>
      </c>
    </row>
    <row r="3833" spans="1:60" ht="58" x14ac:dyDescent="0.35">
      <c r="A3833" s="2" t="s">
        <v>6202</v>
      </c>
      <c r="B3833" s="2" t="s">
        <v>6203</v>
      </c>
      <c r="C3833" s="2" t="s">
        <v>37957</v>
      </c>
      <c r="D3833" s="2" t="s">
        <v>37958</v>
      </c>
      <c r="E3833" s="2" t="s">
        <v>37959</v>
      </c>
      <c r="F3833" s="3" t="s">
        <v>38061</v>
      </c>
      <c r="G3833" s="3" t="s">
        <v>128</v>
      </c>
      <c r="I3833" s="3" t="s">
        <v>64</v>
      </c>
      <c r="J3833" s="3" t="s">
        <v>64</v>
      </c>
      <c r="K3833" s="3" t="s">
        <v>65</v>
      </c>
      <c r="M3833" s="2" t="s">
        <v>37961</v>
      </c>
      <c r="N3833" s="3" t="s">
        <v>315</v>
      </c>
      <c r="P3833" s="3" t="s">
        <v>102</v>
      </c>
      <c r="R3833" s="3" t="s">
        <v>70</v>
      </c>
      <c r="S3833" s="4">
        <v>0</v>
      </c>
      <c r="T3833" s="4">
        <v>6</v>
      </c>
      <c r="V3833" s="5" t="s">
        <v>37962</v>
      </c>
      <c r="W3833" s="5" t="s">
        <v>72</v>
      </c>
      <c r="X3833" s="5" t="s">
        <v>72</v>
      </c>
      <c r="Y3833" s="4">
        <v>543</v>
      </c>
      <c r="Z3833" s="4">
        <v>28</v>
      </c>
      <c r="AA3833" s="4">
        <v>28</v>
      </c>
      <c r="AB3833" s="4">
        <v>1</v>
      </c>
      <c r="AC3833" s="4">
        <v>1</v>
      </c>
      <c r="AD3833" s="4">
        <v>106</v>
      </c>
      <c r="AE3833" s="4">
        <v>106</v>
      </c>
      <c r="AF3833" s="4">
        <v>0</v>
      </c>
      <c r="AG3833" s="4">
        <v>0</v>
      </c>
      <c r="AH3833" s="4">
        <v>93</v>
      </c>
      <c r="AI3833" s="4">
        <v>93</v>
      </c>
      <c r="AJ3833" s="4">
        <v>14</v>
      </c>
      <c r="AK3833" s="4">
        <v>14</v>
      </c>
      <c r="AL3833" s="4">
        <v>51</v>
      </c>
      <c r="AM3833" s="4">
        <v>51</v>
      </c>
      <c r="AN3833" s="4">
        <v>0</v>
      </c>
      <c r="AO3833" s="4">
        <v>0</v>
      </c>
      <c r="AP3833" s="4">
        <v>20</v>
      </c>
      <c r="AQ3833" s="4">
        <v>20</v>
      </c>
      <c r="AR3833" s="3" t="s">
        <v>64</v>
      </c>
      <c r="AS3833" s="3" t="s">
        <v>64</v>
      </c>
      <c r="AT3833" s="3" t="s">
        <v>128</v>
      </c>
      <c r="AU3833" s="6" t="str">
        <f t="shared" si="93"/>
        <v>HathiTrust Record</v>
      </c>
      <c r="AV3833" s="6" t="str">
        <f t="shared" si="94"/>
        <v>Catalog Record</v>
      </c>
      <c r="AW3833" s="6" t="str">
        <f t="shared" si="95"/>
        <v>WorldCat Record</v>
      </c>
      <c r="AX3833" s="3" t="s">
        <v>37963</v>
      </c>
      <c r="AY3833" s="3" t="s">
        <v>37964</v>
      </c>
      <c r="AZ3833" s="3" t="s">
        <v>37965</v>
      </c>
      <c r="BA3833" s="3" t="s">
        <v>37965</v>
      </c>
      <c r="BB3833" s="3" t="s">
        <v>38062</v>
      </c>
      <c r="BC3833" s="3" t="s">
        <v>77</v>
      </c>
      <c r="BD3833" s="3" t="s">
        <v>78</v>
      </c>
      <c r="BE3833" s="3" t="s">
        <v>37967</v>
      </c>
      <c r="BF3833" s="3" t="s">
        <v>38062</v>
      </c>
      <c r="BG3833" s="3" t="s">
        <v>38063</v>
      </c>
      <c r="BH3833">
        <f t="shared" si="89"/>
        <v>0</v>
      </c>
    </row>
    <row r="3834" spans="1:60" ht="58" x14ac:dyDescent="0.35">
      <c r="A3834" s="2" t="s">
        <v>6202</v>
      </c>
      <c r="B3834" s="2" t="s">
        <v>6203</v>
      </c>
      <c r="C3834" s="2" t="s">
        <v>37957</v>
      </c>
      <c r="D3834" s="2" t="s">
        <v>37958</v>
      </c>
      <c r="E3834" s="2" t="s">
        <v>37959</v>
      </c>
      <c r="F3834" s="3" t="s">
        <v>38064</v>
      </c>
      <c r="G3834" s="3" t="s">
        <v>128</v>
      </c>
      <c r="I3834" s="3" t="s">
        <v>64</v>
      </c>
      <c r="J3834" s="3" t="s">
        <v>64</v>
      </c>
      <c r="K3834" s="3" t="s">
        <v>65</v>
      </c>
      <c r="M3834" s="2" t="s">
        <v>37961</v>
      </c>
      <c r="N3834" s="3" t="s">
        <v>315</v>
      </c>
      <c r="P3834" s="3" t="s">
        <v>102</v>
      </c>
      <c r="R3834" s="3" t="s">
        <v>70</v>
      </c>
      <c r="S3834" s="4">
        <v>0</v>
      </c>
      <c r="T3834" s="4">
        <v>6</v>
      </c>
      <c r="V3834" s="5" t="s">
        <v>37962</v>
      </c>
      <c r="W3834" s="5" t="s">
        <v>72</v>
      </c>
      <c r="X3834" s="5" t="s">
        <v>72</v>
      </c>
      <c r="Y3834" s="4">
        <v>543</v>
      </c>
      <c r="Z3834" s="4">
        <v>28</v>
      </c>
      <c r="AA3834" s="4">
        <v>28</v>
      </c>
      <c r="AB3834" s="4">
        <v>1</v>
      </c>
      <c r="AC3834" s="4">
        <v>1</v>
      </c>
      <c r="AD3834" s="4">
        <v>106</v>
      </c>
      <c r="AE3834" s="4">
        <v>106</v>
      </c>
      <c r="AF3834" s="4">
        <v>0</v>
      </c>
      <c r="AG3834" s="4">
        <v>0</v>
      </c>
      <c r="AH3834" s="4">
        <v>93</v>
      </c>
      <c r="AI3834" s="4">
        <v>93</v>
      </c>
      <c r="AJ3834" s="4">
        <v>14</v>
      </c>
      <c r="AK3834" s="4">
        <v>14</v>
      </c>
      <c r="AL3834" s="4">
        <v>51</v>
      </c>
      <c r="AM3834" s="4">
        <v>51</v>
      </c>
      <c r="AN3834" s="4">
        <v>0</v>
      </c>
      <c r="AO3834" s="4">
        <v>0</v>
      </c>
      <c r="AP3834" s="4">
        <v>20</v>
      </c>
      <c r="AQ3834" s="4">
        <v>20</v>
      </c>
      <c r="AR3834" s="3" t="s">
        <v>64</v>
      </c>
      <c r="AS3834" s="3" t="s">
        <v>64</v>
      </c>
      <c r="AT3834" s="3" t="s">
        <v>128</v>
      </c>
      <c r="AU3834" s="6" t="str">
        <f t="shared" si="93"/>
        <v>HathiTrust Record</v>
      </c>
      <c r="AV3834" s="6" t="str">
        <f t="shared" si="94"/>
        <v>Catalog Record</v>
      </c>
      <c r="AW3834" s="6" t="str">
        <f t="shared" si="95"/>
        <v>WorldCat Record</v>
      </c>
      <c r="AX3834" s="3" t="s">
        <v>37963</v>
      </c>
      <c r="AY3834" s="3" t="s">
        <v>37964</v>
      </c>
      <c r="AZ3834" s="3" t="s">
        <v>37965</v>
      </c>
      <c r="BA3834" s="3" t="s">
        <v>37965</v>
      </c>
      <c r="BB3834" s="3" t="s">
        <v>38065</v>
      </c>
      <c r="BC3834" s="3" t="s">
        <v>77</v>
      </c>
      <c r="BD3834" s="3" t="s">
        <v>78</v>
      </c>
      <c r="BE3834" s="3" t="s">
        <v>37967</v>
      </c>
      <c r="BF3834" s="3" t="s">
        <v>38065</v>
      </c>
      <c r="BG3834" s="3" t="s">
        <v>38066</v>
      </c>
      <c r="BH3834">
        <f t="shared" si="89"/>
        <v>0</v>
      </c>
    </row>
    <row r="3835" spans="1:60" ht="58" x14ac:dyDescent="0.35">
      <c r="A3835" s="2" t="s">
        <v>6202</v>
      </c>
      <c r="B3835" s="2" t="s">
        <v>6203</v>
      </c>
      <c r="C3835" s="2" t="s">
        <v>37957</v>
      </c>
      <c r="D3835" s="2" t="s">
        <v>37958</v>
      </c>
      <c r="E3835" s="2" t="s">
        <v>37959</v>
      </c>
      <c r="F3835" s="3" t="s">
        <v>27500</v>
      </c>
      <c r="G3835" s="3" t="s">
        <v>128</v>
      </c>
      <c r="I3835" s="3" t="s">
        <v>64</v>
      </c>
      <c r="J3835" s="3" t="s">
        <v>64</v>
      </c>
      <c r="K3835" s="3" t="s">
        <v>65</v>
      </c>
      <c r="M3835" s="2" t="s">
        <v>37961</v>
      </c>
      <c r="N3835" s="3" t="s">
        <v>315</v>
      </c>
      <c r="P3835" s="3" t="s">
        <v>102</v>
      </c>
      <c r="R3835" s="3" t="s">
        <v>70</v>
      </c>
      <c r="S3835" s="4">
        <v>0</v>
      </c>
      <c r="T3835" s="4">
        <v>6</v>
      </c>
      <c r="V3835" s="5" t="s">
        <v>37962</v>
      </c>
      <c r="W3835" s="5" t="s">
        <v>72</v>
      </c>
      <c r="X3835" s="5" t="s">
        <v>72</v>
      </c>
      <c r="Y3835" s="4">
        <v>543</v>
      </c>
      <c r="Z3835" s="4">
        <v>28</v>
      </c>
      <c r="AA3835" s="4">
        <v>28</v>
      </c>
      <c r="AB3835" s="4">
        <v>1</v>
      </c>
      <c r="AC3835" s="4">
        <v>1</v>
      </c>
      <c r="AD3835" s="4">
        <v>106</v>
      </c>
      <c r="AE3835" s="4">
        <v>106</v>
      </c>
      <c r="AF3835" s="4">
        <v>0</v>
      </c>
      <c r="AG3835" s="4">
        <v>0</v>
      </c>
      <c r="AH3835" s="4">
        <v>93</v>
      </c>
      <c r="AI3835" s="4">
        <v>93</v>
      </c>
      <c r="AJ3835" s="4">
        <v>14</v>
      </c>
      <c r="AK3835" s="4">
        <v>14</v>
      </c>
      <c r="AL3835" s="4">
        <v>51</v>
      </c>
      <c r="AM3835" s="4">
        <v>51</v>
      </c>
      <c r="AN3835" s="4">
        <v>0</v>
      </c>
      <c r="AO3835" s="4">
        <v>0</v>
      </c>
      <c r="AP3835" s="4">
        <v>20</v>
      </c>
      <c r="AQ3835" s="4">
        <v>20</v>
      </c>
      <c r="AR3835" s="3" t="s">
        <v>64</v>
      </c>
      <c r="AS3835" s="3" t="s">
        <v>64</v>
      </c>
      <c r="AT3835" s="3" t="s">
        <v>128</v>
      </c>
      <c r="AU3835" s="6" t="str">
        <f t="shared" si="93"/>
        <v>HathiTrust Record</v>
      </c>
      <c r="AV3835" s="6" t="str">
        <f t="shared" si="94"/>
        <v>Catalog Record</v>
      </c>
      <c r="AW3835" s="6" t="str">
        <f t="shared" si="95"/>
        <v>WorldCat Record</v>
      </c>
      <c r="AX3835" s="3" t="s">
        <v>37963</v>
      </c>
      <c r="AY3835" s="3" t="s">
        <v>37964</v>
      </c>
      <c r="AZ3835" s="3" t="s">
        <v>37965</v>
      </c>
      <c r="BA3835" s="3" t="s">
        <v>37965</v>
      </c>
      <c r="BB3835" s="3" t="s">
        <v>38067</v>
      </c>
      <c r="BC3835" s="3" t="s">
        <v>77</v>
      </c>
      <c r="BD3835" s="3" t="s">
        <v>78</v>
      </c>
      <c r="BE3835" s="3" t="s">
        <v>37967</v>
      </c>
      <c r="BF3835" s="3" t="s">
        <v>38067</v>
      </c>
      <c r="BG3835" s="3" t="s">
        <v>38068</v>
      </c>
      <c r="BH3835">
        <f t="shared" si="89"/>
        <v>0</v>
      </c>
    </row>
    <row r="3836" spans="1:60" ht="58" x14ac:dyDescent="0.35">
      <c r="A3836" s="2" t="s">
        <v>6202</v>
      </c>
      <c r="B3836" s="2" t="s">
        <v>6203</v>
      </c>
      <c r="C3836" s="2" t="s">
        <v>37957</v>
      </c>
      <c r="D3836" s="2" t="s">
        <v>37958</v>
      </c>
      <c r="E3836" s="2" t="s">
        <v>37959</v>
      </c>
      <c r="F3836" s="3" t="s">
        <v>27498</v>
      </c>
      <c r="G3836" s="3" t="s">
        <v>128</v>
      </c>
      <c r="I3836" s="3" t="s">
        <v>64</v>
      </c>
      <c r="J3836" s="3" t="s">
        <v>64</v>
      </c>
      <c r="K3836" s="3" t="s">
        <v>65</v>
      </c>
      <c r="M3836" s="2" t="s">
        <v>37961</v>
      </c>
      <c r="N3836" s="3" t="s">
        <v>315</v>
      </c>
      <c r="P3836" s="3" t="s">
        <v>102</v>
      </c>
      <c r="R3836" s="3" t="s">
        <v>70</v>
      </c>
      <c r="S3836" s="4">
        <v>0</v>
      </c>
      <c r="T3836" s="4">
        <v>6</v>
      </c>
      <c r="V3836" s="5" t="s">
        <v>37962</v>
      </c>
      <c r="W3836" s="5" t="s">
        <v>72</v>
      </c>
      <c r="X3836" s="5" t="s">
        <v>72</v>
      </c>
      <c r="Y3836" s="4">
        <v>543</v>
      </c>
      <c r="Z3836" s="4">
        <v>28</v>
      </c>
      <c r="AA3836" s="4">
        <v>28</v>
      </c>
      <c r="AB3836" s="4">
        <v>1</v>
      </c>
      <c r="AC3836" s="4">
        <v>1</v>
      </c>
      <c r="AD3836" s="4">
        <v>106</v>
      </c>
      <c r="AE3836" s="4">
        <v>106</v>
      </c>
      <c r="AF3836" s="4">
        <v>0</v>
      </c>
      <c r="AG3836" s="4">
        <v>0</v>
      </c>
      <c r="AH3836" s="4">
        <v>93</v>
      </c>
      <c r="AI3836" s="4">
        <v>93</v>
      </c>
      <c r="AJ3836" s="4">
        <v>14</v>
      </c>
      <c r="AK3836" s="4">
        <v>14</v>
      </c>
      <c r="AL3836" s="4">
        <v>51</v>
      </c>
      <c r="AM3836" s="4">
        <v>51</v>
      </c>
      <c r="AN3836" s="4">
        <v>0</v>
      </c>
      <c r="AO3836" s="4">
        <v>0</v>
      </c>
      <c r="AP3836" s="4">
        <v>20</v>
      </c>
      <c r="AQ3836" s="4">
        <v>20</v>
      </c>
      <c r="AR3836" s="3" t="s">
        <v>64</v>
      </c>
      <c r="AS3836" s="3" t="s">
        <v>64</v>
      </c>
      <c r="AT3836" s="3" t="s">
        <v>128</v>
      </c>
      <c r="AU3836" s="6" t="str">
        <f t="shared" si="93"/>
        <v>HathiTrust Record</v>
      </c>
      <c r="AV3836" s="6" t="str">
        <f t="shared" si="94"/>
        <v>Catalog Record</v>
      </c>
      <c r="AW3836" s="6" t="str">
        <f t="shared" si="95"/>
        <v>WorldCat Record</v>
      </c>
      <c r="AX3836" s="3" t="s">
        <v>37963</v>
      </c>
      <c r="AY3836" s="3" t="s">
        <v>37964</v>
      </c>
      <c r="AZ3836" s="3" t="s">
        <v>37965</v>
      </c>
      <c r="BA3836" s="3" t="s">
        <v>37965</v>
      </c>
      <c r="BB3836" s="3" t="s">
        <v>38069</v>
      </c>
      <c r="BC3836" s="3" t="s">
        <v>77</v>
      </c>
      <c r="BD3836" s="3" t="s">
        <v>78</v>
      </c>
      <c r="BE3836" s="3" t="s">
        <v>37967</v>
      </c>
      <c r="BF3836" s="3" t="s">
        <v>38069</v>
      </c>
      <c r="BG3836" s="3" t="s">
        <v>38070</v>
      </c>
      <c r="BH3836">
        <f t="shared" si="89"/>
        <v>0</v>
      </c>
    </row>
    <row r="3837" spans="1:60" ht="58" x14ac:dyDescent="0.35">
      <c r="A3837" s="2" t="s">
        <v>6202</v>
      </c>
      <c r="B3837" s="2" t="s">
        <v>6203</v>
      </c>
      <c r="C3837" s="2" t="s">
        <v>37957</v>
      </c>
      <c r="D3837" s="2" t="s">
        <v>37958</v>
      </c>
      <c r="E3837" s="2" t="s">
        <v>37959</v>
      </c>
      <c r="F3837" s="3" t="s">
        <v>3174</v>
      </c>
      <c r="G3837" s="3" t="s">
        <v>128</v>
      </c>
      <c r="I3837" s="3" t="s">
        <v>64</v>
      </c>
      <c r="J3837" s="3" t="s">
        <v>64</v>
      </c>
      <c r="K3837" s="3" t="s">
        <v>65</v>
      </c>
      <c r="M3837" s="2" t="s">
        <v>37961</v>
      </c>
      <c r="N3837" s="3" t="s">
        <v>315</v>
      </c>
      <c r="P3837" s="3" t="s">
        <v>102</v>
      </c>
      <c r="R3837" s="3" t="s">
        <v>70</v>
      </c>
      <c r="S3837" s="4">
        <v>0</v>
      </c>
      <c r="T3837" s="4">
        <v>6</v>
      </c>
      <c r="V3837" s="5" t="s">
        <v>37962</v>
      </c>
      <c r="W3837" s="5" t="s">
        <v>72</v>
      </c>
      <c r="X3837" s="5" t="s">
        <v>72</v>
      </c>
      <c r="Y3837" s="4">
        <v>543</v>
      </c>
      <c r="Z3837" s="4">
        <v>28</v>
      </c>
      <c r="AA3837" s="4">
        <v>28</v>
      </c>
      <c r="AB3837" s="4">
        <v>1</v>
      </c>
      <c r="AC3837" s="4">
        <v>1</v>
      </c>
      <c r="AD3837" s="4">
        <v>106</v>
      </c>
      <c r="AE3837" s="4">
        <v>106</v>
      </c>
      <c r="AF3837" s="4">
        <v>0</v>
      </c>
      <c r="AG3837" s="4">
        <v>0</v>
      </c>
      <c r="AH3837" s="4">
        <v>93</v>
      </c>
      <c r="AI3837" s="4">
        <v>93</v>
      </c>
      <c r="AJ3837" s="4">
        <v>14</v>
      </c>
      <c r="AK3837" s="4">
        <v>14</v>
      </c>
      <c r="AL3837" s="4">
        <v>51</v>
      </c>
      <c r="AM3837" s="4">
        <v>51</v>
      </c>
      <c r="AN3837" s="4">
        <v>0</v>
      </c>
      <c r="AO3837" s="4">
        <v>0</v>
      </c>
      <c r="AP3837" s="4">
        <v>20</v>
      </c>
      <c r="AQ3837" s="4">
        <v>20</v>
      </c>
      <c r="AR3837" s="3" t="s">
        <v>64</v>
      </c>
      <c r="AS3837" s="3" t="s">
        <v>64</v>
      </c>
      <c r="AT3837" s="3" t="s">
        <v>128</v>
      </c>
      <c r="AU3837" s="6" t="str">
        <f t="shared" si="93"/>
        <v>HathiTrust Record</v>
      </c>
      <c r="AV3837" s="6" t="str">
        <f t="shared" si="94"/>
        <v>Catalog Record</v>
      </c>
      <c r="AW3837" s="6" t="str">
        <f t="shared" si="95"/>
        <v>WorldCat Record</v>
      </c>
      <c r="AX3837" s="3" t="s">
        <v>37963</v>
      </c>
      <c r="AY3837" s="3" t="s">
        <v>37964</v>
      </c>
      <c r="AZ3837" s="3" t="s">
        <v>37965</v>
      </c>
      <c r="BA3837" s="3" t="s">
        <v>37965</v>
      </c>
      <c r="BB3837" s="3" t="s">
        <v>38071</v>
      </c>
      <c r="BC3837" s="3" t="s">
        <v>77</v>
      </c>
      <c r="BD3837" s="3" t="s">
        <v>78</v>
      </c>
      <c r="BE3837" s="3" t="s">
        <v>37967</v>
      </c>
      <c r="BF3837" s="3" t="s">
        <v>38071</v>
      </c>
      <c r="BG3837" s="3" t="s">
        <v>38072</v>
      </c>
      <c r="BH3837">
        <f t="shared" si="89"/>
        <v>0</v>
      </c>
    </row>
    <row r="3838" spans="1:60" ht="58" x14ac:dyDescent="0.35">
      <c r="A3838" s="2" t="s">
        <v>6202</v>
      </c>
      <c r="B3838" s="2" t="s">
        <v>6203</v>
      </c>
      <c r="C3838" s="2" t="s">
        <v>37957</v>
      </c>
      <c r="D3838" s="2" t="s">
        <v>37958</v>
      </c>
      <c r="E3838" s="2" t="s">
        <v>37959</v>
      </c>
      <c r="F3838" s="3" t="s">
        <v>19584</v>
      </c>
      <c r="G3838" s="3" t="s">
        <v>128</v>
      </c>
      <c r="I3838" s="3" t="s">
        <v>64</v>
      </c>
      <c r="J3838" s="3" t="s">
        <v>64</v>
      </c>
      <c r="K3838" s="3" t="s">
        <v>65</v>
      </c>
      <c r="M3838" s="2" t="s">
        <v>37961</v>
      </c>
      <c r="N3838" s="3" t="s">
        <v>315</v>
      </c>
      <c r="P3838" s="3" t="s">
        <v>102</v>
      </c>
      <c r="R3838" s="3" t="s">
        <v>70</v>
      </c>
      <c r="S3838" s="4">
        <v>0</v>
      </c>
      <c r="T3838" s="4">
        <v>6</v>
      </c>
      <c r="V3838" s="5" t="s">
        <v>37962</v>
      </c>
      <c r="W3838" s="5" t="s">
        <v>72</v>
      </c>
      <c r="X3838" s="5" t="s">
        <v>72</v>
      </c>
      <c r="Y3838" s="4">
        <v>543</v>
      </c>
      <c r="Z3838" s="4">
        <v>28</v>
      </c>
      <c r="AA3838" s="4">
        <v>28</v>
      </c>
      <c r="AB3838" s="4">
        <v>1</v>
      </c>
      <c r="AC3838" s="4">
        <v>1</v>
      </c>
      <c r="AD3838" s="4">
        <v>106</v>
      </c>
      <c r="AE3838" s="4">
        <v>106</v>
      </c>
      <c r="AF3838" s="4">
        <v>0</v>
      </c>
      <c r="AG3838" s="4">
        <v>0</v>
      </c>
      <c r="AH3838" s="4">
        <v>93</v>
      </c>
      <c r="AI3838" s="4">
        <v>93</v>
      </c>
      <c r="AJ3838" s="4">
        <v>14</v>
      </c>
      <c r="AK3838" s="4">
        <v>14</v>
      </c>
      <c r="AL3838" s="4">
        <v>51</v>
      </c>
      <c r="AM3838" s="4">
        <v>51</v>
      </c>
      <c r="AN3838" s="4">
        <v>0</v>
      </c>
      <c r="AO3838" s="4">
        <v>0</v>
      </c>
      <c r="AP3838" s="4">
        <v>20</v>
      </c>
      <c r="AQ3838" s="4">
        <v>20</v>
      </c>
      <c r="AR3838" s="3" t="s">
        <v>64</v>
      </c>
      <c r="AS3838" s="3" t="s">
        <v>64</v>
      </c>
      <c r="AT3838" s="3" t="s">
        <v>128</v>
      </c>
      <c r="AU3838" s="6" t="str">
        <f t="shared" si="93"/>
        <v>HathiTrust Record</v>
      </c>
      <c r="AV3838" s="6" t="str">
        <f t="shared" si="94"/>
        <v>Catalog Record</v>
      </c>
      <c r="AW3838" s="6" t="str">
        <f t="shared" si="95"/>
        <v>WorldCat Record</v>
      </c>
      <c r="AX3838" s="3" t="s">
        <v>37963</v>
      </c>
      <c r="AY3838" s="3" t="s">
        <v>37964</v>
      </c>
      <c r="AZ3838" s="3" t="s">
        <v>37965</v>
      </c>
      <c r="BA3838" s="3" t="s">
        <v>37965</v>
      </c>
      <c r="BB3838" s="3" t="s">
        <v>38073</v>
      </c>
      <c r="BC3838" s="3" t="s">
        <v>77</v>
      </c>
      <c r="BD3838" s="3" t="s">
        <v>78</v>
      </c>
      <c r="BE3838" s="3" t="s">
        <v>37967</v>
      </c>
      <c r="BF3838" s="3" t="s">
        <v>38073</v>
      </c>
      <c r="BG3838" s="3" t="s">
        <v>38074</v>
      </c>
      <c r="BH3838">
        <f t="shared" si="89"/>
        <v>0</v>
      </c>
    </row>
    <row r="3839" spans="1:60" ht="58" x14ac:dyDescent="0.35">
      <c r="A3839" s="2" t="s">
        <v>6202</v>
      </c>
      <c r="B3839" s="2" t="s">
        <v>6203</v>
      </c>
      <c r="C3839" s="2" t="s">
        <v>37957</v>
      </c>
      <c r="D3839" s="2" t="s">
        <v>37958</v>
      </c>
      <c r="E3839" s="2" t="s">
        <v>37959</v>
      </c>
      <c r="F3839" s="3" t="s">
        <v>27497</v>
      </c>
      <c r="G3839" s="3" t="s">
        <v>128</v>
      </c>
      <c r="I3839" s="3" t="s">
        <v>64</v>
      </c>
      <c r="J3839" s="3" t="s">
        <v>64</v>
      </c>
      <c r="K3839" s="3" t="s">
        <v>65</v>
      </c>
      <c r="M3839" s="2" t="s">
        <v>37961</v>
      </c>
      <c r="N3839" s="3" t="s">
        <v>315</v>
      </c>
      <c r="P3839" s="3" t="s">
        <v>102</v>
      </c>
      <c r="R3839" s="3" t="s">
        <v>70</v>
      </c>
      <c r="S3839" s="4">
        <v>0</v>
      </c>
      <c r="T3839" s="4">
        <v>6</v>
      </c>
      <c r="V3839" s="5" t="s">
        <v>37962</v>
      </c>
      <c r="W3839" s="5" t="s">
        <v>72</v>
      </c>
      <c r="X3839" s="5" t="s">
        <v>72</v>
      </c>
      <c r="Y3839" s="4">
        <v>543</v>
      </c>
      <c r="Z3839" s="4">
        <v>28</v>
      </c>
      <c r="AA3839" s="4">
        <v>28</v>
      </c>
      <c r="AB3839" s="4">
        <v>1</v>
      </c>
      <c r="AC3839" s="4">
        <v>1</v>
      </c>
      <c r="AD3839" s="4">
        <v>106</v>
      </c>
      <c r="AE3839" s="4">
        <v>106</v>
      </c>
      <c r="AF3839" s="4">
        <v>0</v>
      </c>
      <c r="AG3839" s="4">
        <v>0</v>
      </c>
      <c r="AH3839" s="4">
        <v>93</v>
      </c>
      <c r="AI3839" s="4">
        <v>93</v>
      </c>
      <c r="AJ3839" s="4">
        <v>14</v>
      </c>
      <c r="AK3839" s="4">
        <v>14</v>
      </c>
      <c r="AL3839" s="4">
        <v>51</v>
      </c>
      <c r="AM3839" s="4">
        <v>51</v>
      </c>
      <c r="AN3839" s="4">
        <v>0</v>
      </c>
      <c r="AO3839" s="4">
        <v>0</v>
      </c>
      <c r="AP3839" s="4">
        <v>20</v>
      </c>
      <c r="AQ3839" s="4">
        <v>20</v>
      </c>
      <c r="AR3839" s="3" t="s">
        <v>64</v>
      </c>
      <c r="AS3839" s="3" t="s">
        <v>64</v>
      </c>
      <c r="AT3839" s="3" t="s">
        <v>128</v>
      </c>
      <c r="AU3839" s="6" t="str">
        <f t="shared" si="93"/>
        <v>HathiTrust Record</v>
      </c>
      <c r="AV3839" s="6" t="str">
        <f t="shared" si="94"/>
        <v>Catalog Record</v>
      </c>
      <c r="AW3839" s="6" t="str">
        <f t="shared" si="95"/>
        <v>WorldCat Record</v>
      </c>
      <c r="AX3839" s="3" t="s">
        <v>37963</v>
      </c>
      <c r="AY3839" s="3" t="s">
        <v>37964</v>
      </c>
      <c r="AZ3839" s="3" t="s">
        <v>37965</v>
      </c>
      <c r="BA3839" s="3" t="s">
        <v>37965</v>
      </c>
      <c r="BB3839" s="3" t="s">
        <v>38075</v>
      </c>
      <c r="BC3839" s="3" t="s">
        <v>77</v>
      </c>
      <c r="BD3839" s="3" t="s">
        <v>78</v>
      </c>
      <c r="BE3839" s="3" t="s">
        <v>37967</v>
      </c>
      <c r="BF3839" s="3" t="s">
        <v>38075</v>
      </c>
      <c r="BG3839" s="3" t="s">
        <v>38076</v>
      </c>
      <c r="BH3839">
        <f t="shared" si="89"/>
        <v>0</v>
      </c>
    </row>
    <row r="3840" spans="1:60" ht="58" x14ac:dyDescent="0.35">
      <c r="A3840" s="2" t="s">
        <v>6202</v>
      </c>
      <c r="B3840" s="2" t="s">
        <v>6203</v>
      </c>
      <c r="C3840" s="2" t="s">
        <v>37957</v>
      </c>
      <c r="D3840" s="2" t="s">
        <v>37958</v>
      </c>
      <c r="E3840" s="2" t="s">
        <v>37959</v>
      </c>
      <c r="F3840" s="3" t="s">
        <v>11441</v>
      </c>
      <c r="G3840" s="3" t="s">
        <v>128</v>
      </c>
      <c r="I3840" s="3" t="s">
        <v>64</v>
      </c>
      <c r="J3840" s="3" t="s">
        <v>64</v>
      </c>
      <c r="K3840" s="3" t="s">
        <v>65</v>
      </c>
      <c r="M3840" s="2" t="s">
        <v>37961</v>
      </c>
      <c r="N3840" s="3" t="s">
        <v>315</v>
      </c>
      <c r="P3840" s="3" t="s">
        <v>102</v>
      </c>
      <c r="R3840" s="3" t="s">
        <v>70</v>
      </c>
      <c r="S3840" s="4">
        <v>0</v>
      </c>
      <c r="T3840" s="4">
        <v>6</v>
      </c>
      <c r="V3840" s="5" t="s">
        <v>37962</v>
      </c>
      <c r="W3840" s="5" t="s">
        <v>72</v>
      </c>
      <c r="X3840" s="5" t="s">
        <v>72</v>
      </c>
      <c r="Y3840" s="4">
        <v>543</v>
      </c>
      <c r="Z3840" s="4">
        <v>28</v>
      </c>
      <c r="AA3840" s="4">
        <v>28</v>
      </c>
      <c r="AB3840" s="4">
        <v>1</v>
      </c>
      <c r="AC3840" s="4">
        <v>1</v>
      </c>
      <c r="AD3840" s="4">
        <v>106</v>
      </c>
      <c r="AE3840" s="4">
        <v>106</v>
      </c>
      <c r="AF3840" s="4">
        <v>0</v>
      </c>
      <c r="AG3840" s="4">
        <v>0</v>
      </c>
      <c r="AH3840" s="4">
        <v>93</v>
      </c>
      <c r="AI3840" s="4">
        <v>93</v>
      </c>
      <c r="AJ3840" s="4">
        <v>14</v>
      </c>
      <c r="AK3840" s="4">
        <v>14</v>
      </c>
      <c r="AL3840" s="4">
        <v>51</v>
      </c>
      <c r="AM3840" s="4">
        <v>51</v>
      </c>
      <c r="AN3840" s="4">
        <v>0</v>
      </c>
      <c r="AO3840" s="4">
        <v>0</v>
      </c>
      <c r="AP3840" s="4">
        <v>20</v>
      </c>
      <c r="AQ3840" s="4">
        <v>20</v>
      </c>
      <c r="AR3840" s="3" t="s">
        <v>64</v>
      </c>
      <c r="AS3840" s="3" t="s">
        <v>64</v>
      </c>
      <c r="AT3840" s="3" t="s">
        <v>128</v>
      </c>
      <c r="AU3840" s="6" t="str">
        <f t="shared" si="93"/>
        <v>HathiTrust Record</v>
      </c>
      <c r="AV3840" s="6" t="str">
        <f t="shared" si="94"/>
        <v>Catalog Record</v>
      </c>
      <c r="AW3840" s="6" t="str">
        <f t="shared" si="95"/>
        <v>WorldCat Record</v>
      </c>
      <c r="AX3840" s="3" t="s">
        <v>37963</v>
      </c>
      <c r="AY3840" s="3" t="s">
        <v>37964</v>
      </c>
      <c r="AZ3840" s="3" t="s">
        <v>37965</v>
      </c>
      <c r="BA3840" s="3" t="s">
        <v>37965</v>
      </c>
      <c r="BB3840" s="3" t="s">
        <v>38077</v>
      </c>
      <c r="BC3840" s="3" t="s">
        <v>77</v>
      </c>
      <c r="BD3840" s="3" t="s">
        <v>78</v>
      </c>
      <c r="BE3840" s="3" t="s">
        <v>37967</v>
      </c>
      <c r="BF3840" s="3" t="s">
        <v>38077</v>
      </c>
      <c r="BG3840" s="3" t="s">
        <v>38078</v>
      </c>
      <c r="BH3840">
        <f t="shared" si="89"/>
        <v>0</v>
      </c>
    </row>
    <row r="3841" spans="1:60" ht="58" x14ac:dyDescent="0.35">
      <c r="A3841" s="2" t="s">
        <v>6202</v>
      </c>
      <c r="B3841" s="2" t="s">
        <v>6203</v>
      </c>
      <c r="C3841" s="2" t="s">
        <v>37957</v>
      </c>
      <c r="D3841" s="2" t="s">
        <v>37958</v>
      </c>
      <c r="E3841" s="2" t="s">
        <v>37959</v>
      </c>
      <c r="F3841" s="3" t="s">
        <v>38079</v>
      </c>
      <c r="G3841" s="3" t="s">
        <v>128</v>
      </c>
      <c r="I3841" s="3" t="s">
        <v>64</v>
      </c>
      <c r="J3841" s="3" t="s">
        <v>64</v>
      </c>
      <c r="K3841" s="3" t="s">
        <v>65</v>
      </c>
      <c r="M3841" s="2" t="s">
        <v>37961</v>
      </c>
      <c r="N3841" s="3" t="s">
        <v>315</v>
      </c>
      <c r="P3841" s="3" t="s">
        <v>102</v>
      </c>
      <c r="R3841" s="3" t="s">
        <v>70</v>
      </c>
      <c r="S3841" s="4">
        <v>0</v>
      </c>
      <c r="T3841" s="4">
        <v>6</v>
      </c>
      <c r="V3841" s="5" t="s">
        <v>37962</v>
      </c>
      <c r="W3841" s="5" t="s">
        <v>72</v>
      </c>
      <c r="X3841" s="5" t="s">
        <v>72</v>
      </c>
      <c r="Y3841" s="4">
        <v>543</v>
      </c>
      <c r="Z3841" s="4">
        <v>28</v>
      </c>
      <c r="AA3841" s="4">
        <v>28</v>
      </c>
      <c r="AB3841" s="4">
        <v>1</v>
      </c>
      <c r="AC3841" s="4">
        <v>1</v>
      </c>
      <c r="AD3841" s="4">
        <v>106</v>
      </c>
      <c r="AE3841" s="4">
        <v>106</v>
      </c>
      <c r="AF3841" s="4">
        <v>0</v>
      </c>
      <c r="AG3841" s="4">
        <v>0</v>
      </c>
      <c r="AH3841" s="4">
        <v>93</v>
      </c>
      <c r="AI3841" s="4">
        <v>93</v>
      </c>
      <c r="AJ3841" s="4">
        <v>14</v>
      </c>
      <c r="AK3841" s="4">
        <v>14</v>
      </c>
      <c r="AL3841" s="4">
        <v>51</v>
      </c>
      <c r="AM3841" s="4">
        <v>51</v>
      </c>
      <c r="AN3841" s="4">
        <v>0</v>
      </c>
      <c r="AO3841" s="4">
        <v>0</v>
      </c>
      <c r="AP3841" s="4">
        <v>20</v>
      </c>
      <c r="AQ3841" s="4">
        <v>20</v>
      </c>
      <c r="AR3841" s="3" t="s">
        <v>64</v>
      </c>
      <c r="AS3841" s="3" t="s">
        <v>64</v>
      </c>
      <c r="AT3841" s="3" t="s">
        <v>128</v>
      </c>
      <c r="AU3841" s="6" t="str">
        <f t="shared" si="93"/>
        <v>HathiTrust Record</v>
      </c>
      <c r="AV3841" s="6" t="str">
        <f t="shared" si="94"/>
        <v>Catalog Record</v>
      </c>
      <c r="AW3841" s="6" t="str">
        <f t="shared" si="95"/>
        <v>WorldCat Record</v>
      </c>
      <c r="AX3841" s="3" t="s">
        <v>37963</v>
      </c>
      <c r="AY3841" s="3" t="s">
        <v>37964</v>
      </c>
      <c r="AZ3841" s="3" t="s">
        <v>37965</v>
      </c>
      <c r="BA3841" s="3" t="s">
        <v>37965</v>
      </c>
      <c r="BB3841" s="3" t="s">
        <v>38080</v>
      </c>
      <c r="BC3841" s="3" t="s">
        <v>77</v>
      </c>
      <c r="BD3841" s="3" t="s">
        <v>78</v>
      </c>
      <c r="BE3841" s="3" t="s">
        <v>37967</v>
      </c>
      <c r="BF3841" s="3" t="s">
        <v>38080</v>
      </c>
      <c r="BG3841" s="3" t="s">
        <v>38081</v>
      </c>
      <c r="BH3841">
        <f t="shared" si="89"/>
        <v>0</v>
      </c>
    </row>
    <row r="3842" spans="1:60" ht="58" x14ac:dyDescent="0.35">
      <c r="A3842" s="2" t="s">
        <v>6202</v>
      </c>
      <c r="B3842" s="2" t="s">
        <v>6203</v>
      </c>
      <c r="C3842" s="2" t="s">
        <v>37957</v>
      </c>
      <c r="D3842" s="2" t="s">
        <v>37958</v>
      </c>
      <c r="E3842" s="2" t="s">
        <v>37959</v>
      </c>
      <c r="F3842" s="3" t="s">
        <v>27501</v>
      </c>
      <c r="G3842" s="3" t="s">
        <v>128</v>
      </c>
      <c r="I3842" s="3" t="s">
        <v>64</v>
      </c>
      <c r="J3842" s="3" t="s">
        <v>64</v>
      </c>
      <c r="K3842" s="3" t="s">
        <v>65</v>
      </c>
      <c r="M3842" s="2" t="s">
        <v>37961</v>
      </c>
      <c r="N3842" s="3" t="s">
        <v>315</v>
      </c>
      <c r="P3842" s="3" t="s">
        <v>102</v>
      </c>
      <c r="R3842" s="3" t="s">
        <v>70</v>
      </c>
      <c r="S3842" s="4">
        <v>0</v>
      </c>
      <c r="T3842" s="4">
        <v>6</v>
      </c>
      <c r="V3842" s="5" t="s">
        <v>37962</v>
      </c>
      <c r="W3842" s="5" t="s">
        <v>72</v>
      </c>
      <c r="X3842" s="5" t="s">
        <v>72</v>
      </c>
      <c r="Y3842" s="4">
        <v>543</v>
      </c>
      <c r="Z3842" s="4">
        <v>28</v>
      </c>
      <c r="AA3842" s="4">
        <v>28</v>
      </c>
      <c r="AB3842" s="4">
        <v>1</v>
      </c>
      <c r="AC3842" s="4">
        <v>1</v>
      </c>
      <c r="AD3842" s="4">
        <v>106</v>
      </c>
      <c r="AE3842" s="4">
        <v>106</v>
      </c>
      <c r="AF3842" s="4">
        <v>0</v>
      </c>
      <c r="AG3842" s="4">
        <v>0</v>
      </c>
      <c r="AH3842" s="4">
        <v>93</v>
      </c>
      <c r="AI3842" s="4">
        <v>93</v>
      </c>
      <c r="AJ3842" s="4">
        <v>14</v>
      </c>
      <c r="AK3842" s="4">
        <v>14</v>
      </c>
      <c r="AL3842" s="4">
        <v>51</v>
      </c>
      <c r="AM3842" s="4">
        <v>51</v>
      </c>
      <c r="AN3842" s="4">
        <v>0</v>
      </c>
      <c r="AO3842" s="4">
        <v>0</v>
      </c>
      <c r="AP3842" s="4">
        <v>20</v>
      </c>
      <c r="AQ3842" s="4">
        <v>20</v>
      </c>
      <c r="AR3842" s="3" t="s">
        <v>64</v>
      </c>
      <c r="AS3842" s="3" t="s">
        <v>64</v>
      </c>
      <c r="AT3842" s="3" t="s">
        <v>128</v>
      </c>
      <c r="AU3842" s="6" t="str">
        <f t="shared" si="93"/>
        <v>HathiTrust Record</v>
      </c>
      <c r="AV3842" s="6" t="str">
        <f t="shared" si="94"/>
        <v>Catalog Record</v>
      </c>
      <c r="AW3842" s="6" t="str">
        <f t="shared" si="95"/>
        <v>WorldCat Record</v>
      </c>
      <c r="AX3842" s="3" t="s">
        <v>37963</v>
      </c>
      <c r="AY3842" s="3" t="s">
        <v>37964</v>
      </c>
      <c r="AZ3842" s="3" t="s">
        <v>37965</v>
      </c>
      <c r="BA3842" s="3" t="s">
        <v>37965</v>
      </c>
      <c r="BB3842" s="3" t="s">
        <v>38082</v>
      </c>
      <c r="BC3842" s="3" t="s">
        <v>77</v>
      </c>
      <c r="BD3842" s="3" t="s">
        <v>78</v>
      </c>
      <c r="BE3842" s="3" t="s">
        <v>37967</v>
      </c>
      <c r="BF3842" s="3" t="s">
        <v>38082</v>
      </c>
      <c r="BG3842" s="3" t="s">
        <v>38083</v>
      </c>
      <c r="BH3842">
        <f t="shared" ref="BH3842:BH3905" si="96">IF(COUNTIF($BF$1:$BF$5431,BF3842)=1,0,1)</f>
        <v>0</v>
      </c>
    </row>
    <row r="3843" spans="1:60" ht="58" x14ac:dyDescent="0.35">
      <c r="A3843" s="2" t="s">
        <v>6202</v>
      </c>
      <c r="B3843" s="2" t="s">
        <v>6203</v>
      </c>
      <c r="C3843" s="2" t="s">
        <v>37957</v>
      </c>
      <c r="D3843" s="2" t="s">
        <v>37958</v>
      </c>
      <c r="E3843" s="2" t="s">
        <v>37959</v>
      </c>
      <c r="F3843" s="3" t="s">
        <v>27482</v>
      </c>
      <c r="G3843" s="3" t="s">
        <v>128</v>
      </c>
      <c r="I3843" s="3" t="s">
        <v>64</v>
      </c>
      <c r="J3843" s="3" t="s">
        <v>64</v>
      </c>
      <c r="K3843" s="3" t="s">
        <v>65</v>
      </c>
      <c r="M3843" s="2" t="s">
        <v>37961</v>
      </c>
      <c r="N3843" s="3" t="s">
        <v>315</v>
      </c>
      <c r="P3843" s="3" t="s">
        <v>102</v>
      </c>
      <c r="R3843" s="3" t="s">
        <v>70</v>
      </c>
      <c r="S3843" s="4">
        <v>0</v>
      </c>
      <c r="T3843" s="4">
        <v>6</v>
      </c>
      <c r="V3843" s="5" t="s">
        <v>37962</v>
      </c>
      <c r="W3843" s="5" t="s">
        <v>72</v>
      </c>
      <c r="X3843" s="5" t="s">
        <v>72</v>
      </c>
      <c r="Y3843" s="4">
        <v>543</v>
      </c>
      <c r="Z3843" s="4">
        <v>28</v>
      </c>
      <c r="AA3843" s="4">
        <v>28</v>
      </c>
      <c r="AB3843" s="4">
        <v>1</v>
      </c>
      <c r="AC3843" s="4">
        <v>1</v>
      </c>
      <c r="AD3843" s="4">
        <v>106</v>
      </c>
      <c r="AE3843" s="4">
        <v>106</v>
      </c>
      <c r="AF3843" s="4">
        <v>0</v>
      </c>
      <c r="AG3843" s="4">
        <v>0</v>
      </c>
      <c r="AH3843" s="4">
        <v>93</v>
      </c>
      <c r="AI3843" s="4">
        <v>93</v>
      </c>
      <c r="AJ3843" s="4">
        <v>14</v>
      </c>
      <c r="AK3843" s="4">
        <v>14</v>
      </c>
      <c r="AL3843" s="4">
        <v>51</v>
      </c>
      <c r="AM3843" s="4">
        <v>51</v>
      </c>
      <c r="AN3843" s="4">
        <v>0</v>
      </c>
      <c r="AO3843" s="4">
        <v>0</v>
      </c>
      <c r="AP3843" s="4">
        <v>20</v>
      </c>
      <c r="AQ3843" s="4">
        <v>20</v>
      </c>
      <c r="AR3843" s="3" t="s">
        <v>64</v>
      </c>
      <c r="AS3843" s="3" t="s">
        <v>64</v>
      </c>
      <c r="AT3843" s="3" t="s">
        <v>128</v>
      </c>
      <c r="AU3843" s="6" t="str">
        <f t="shared" si="93"/>
        <v>HathiTrust Record</v>
      </c>
      <c r="AV3843" s="6" t="str">
        <f t="shared" si="94"/>
        <v>Catalog Record</v>
      </c>
      <c r="AW3843" s="6" t="str">
        <f t="shared" si="95"/>
        <v>WorldCat Record</v>
      </c>
      <c r="AX3843" s="3" t="s">
        <v>37963</v>
      </c>
      <c r="AY3843" s="3" t="s">
        <v>37964</v>
      </c>
      <c r="AZ3843" s="3" t="s">
        <v>37965</v>
      </c>
      <c r="BA3843" s="3" t="s">
        <v>37965</v>
      </c>
      <c r="BB3843" s="3" t="s">
        <v>38084</v>
      </c>
      <c r="BC3843" s="3" t="s">
        <v>77</v>
      </c>
      <c r="BD3843" s="3" t="s">
        <v>78</v>
      </c>
      <c r="BE3843" s="3" t="s">
        <v>37967</v>
      </c>
      <c r="BF3843" s="3" t="s">
        <v>38084</v>
      </c>
      <c r="BG3843" s="3" t="s">
        <v>38085</v>
      </c>
      <c r="BH3843">
        <f t="shared" si="96"/>
        <v>0</v>
      </c>
    </row>
    <row r="3844" spans="1:60" ht="58" x14ac:dyDescent="0.35">
      <c r="A3844" s="2" t="s">
        <v>6202</v>
      </c>
      <c r="B3844" s="2" t="s">
        <v>6203</v>
      </c>
      <c r="C3844" s="2" t="s">
        <v>37957</v>
      </c>
      <c r="D3844" s="2" t="s">
        <v>37958</v>
      </c>
      <c r="E3844" s="2" t="s">
        <v>37959</v>
      </c>
      <c r="F3844" s="3" t="s">
        <v>525</v>
      </c>
      <c r="G3844" s="3" t="s">
        <v>128</v>
      </c>
      <c r="I3844" s="3" t="s">
        <v>64</v>
      </c>
      <c r="J3844" s="3" t="s">
        <v>64</v>
      </c>
      <c r="K3844" s="3" t="s">
        <v>65</v>
      </c>
      <c r="M3844" s="2" t="s">
        <v>37961</v>
      </c>
      <c r="N3844" s="3" t="s">
        <v>315</v>
      </c>
      <c r="P3844" s="3" t="s">
        <v>102</v>
      </c>
      <c r="R3844" s="3" t="s">
        <v>70</v>
      </c>
      <c r="S3844" s="4">
        <v>0</v>
      </c>
      <c r="T3844" s="4">
        <v>6</v>
      </c>
      <c r="V3844" s="5" t="s">
        <v>37962</v>
      </c>
      <c r="W3844" s="5" t="s">
        <v>72</v>
      </c>
      <c r="X3844" s="5" t="s">
        <v>72</v>
      </c>
      <c r="Y3844" s="4">
        <v>543</v>
      </c>
      <c r="Z3844" s="4">
        <v>28</v>
      </c>
      <c r="AA3844" s="4">
        <v>28</v>
      </c>
      <c r="AB3844" s="4">
        <v>1</v>
      </c>
      <c r="AC3844" s="4">
        <v>1</v>
      </c>
      <c r="AD3844" s="4">
        <v>106</v>
      </c>
      <c r="AE3844" s="4">
        <v>106</v>
      </c>
      <c r="AF3844" s="4">
        <v>0</v>
      </c>
      <c r="AG3844" s="4">
        <v>0</v>
      </c>
      <c r="AH3844" s="4">
        <v>93</v>
      </c>
      <c r="AI3844" s="4">
        <v>93</v>
      </c>
      <c r="AJ3844" s="4">
        <v>14</v>
      </c>
      <c r="AK3844" s="4">
        <v>14</v>
      </c>
      <c r="AL3844" s="4">
        <v>51</v>
      </c>
      <c r="AM3844" s="4">
        <v>51</v>
      </c>
      <c r="AN3844" s="4">
        <v>0</v>
      </c>
      <c r="AO3844" s="4">
        <v>0</v>
      </c>
      <c r="AP3844" s="4">
        <v>20</v>
      </c>
      <c r="AQ3844" s="4">
        <v>20</v>
      </c>
      <c r="AR3844" s="3" t="s">
        <v>64</v>
      </c>
      <c r="AS3844" s="3" t="s">
        <v>64</v>
      </c>
      <c r="AT3844" s="3" t="s">
        <v>128</v>
      </c>
      <c r="AU3844" s="6" t="str">
        <f t="shared" si="93"/>
        <v>HathiTrust Record</v>
      </c>
      <c r="AV3844" s="6" t="str">
        <f t="shared" si="94"/>
        <v>Catalog Record</v>
      </c>
      <c r="AW3844" s="6" t="str">
        <f t="shared" si="95"/>
        <v>WorldCat Record</v>
      </c>
      <c r="AX3844" s="3" t="s">
        <v>37963</v>
      </c>
      <c r="AY3844" s="3" t="s">
        <v>37964</v>
      </c>
      <c r="AZ3844" s="3" t="s">
        <v>37965</v>
      </c>
      <c r="BA3844" s="3" t="s">
        <v>37965</v>
      </c>
      <c r="BB3844" s="3" t="s">
        <v>38086</v>
      </c>
      <c r="BC3844" s="3" t="s">
        <v>77</v>
      </c>
      <c r="BD3844" s="3" t="s">
        <v>78</v>
      </c>
      <c r="BE3844" s="3" t="s">
        <v>37967</v>
      </c>
      <c r="BF3844" s="3" t="s">
        <v>38086</v>
      </c>
      <c r="BG3844" s="3" t="s">
        <v>38087</v>
      </c>
      <c r="BH3844">
        <f t="shared" si="96"/>
        <v>0</v>
      </c>
    </row>
    <row r="3845" spans="1:60" ht="58" x14ac:dyDescent="0.35">
      <c r="A3845" s="2" t="s">
        <v>6202</v>
      </c>
      <c r="B3845" s="2" t="s">
        <v>6203</v>
      </c>
      <c r="C3845" s="2" t="s">
        <v>37957</v>
      </c>
      <c r="D3845" s="2" t="s">
        <v>37958</v>
      </c>
      <c r="E3845" s="2" t="s">
        <v>37959</v>
      </c>
      <c r="F3845" s="3" t="s">
        <v>27502</v>
      </c>
      <c r="G3845" s="3" t="s">
        <v>128</v>
      </c>
      <c r="I3845" s="3" t="s">
        <v>64</v>
      </c>
      <c r="J3845" s="3" t="s">
        <v>64</v>
      </c>
      <c r="K3845" s="3" t="s">
        <v>65</v>
      </c>
      <c r="M3845" s="2" t="s">
        <v>37961</v>
      </c>
      <c r="N3845" s="3" t="s">
        <v>315</v>
      </c>
      <c r="P3845" s="3" t="s">
        <v>102</v>
      </c>
      <c r="R3845" s="3" t="s">
        <v>70</v>
      </c>
      <c r="S3845" s="4">
        <v>0</v>
      </c>
      <c r="T3845" s="4">
        <v>6</v>
      </c>
      <c r="V3845" s="5" t="s">
        <v>37962</v>
      </c>
      <c r="W3845" s="5" t="s">
        <v>72</v>
      </c>
      <c r="X3845" s="5" t="s">
        <v>72</v>
      </c>
      <c r="Y3845" s="4">
        <v>543</v>
      </c>
      <c r="Z3845" s="4">
        <v>28</v>
      </c>
      <c r="AA3845" s="4">
        <v>28</v>
      </c>
      <c r="AB3845" s="4">
        <v>1</v>
      </c>
      <c r="AC3845" s="4">
        <v>1</v>
      </c>
      <c r="AD3845" s="4">
        <v>106</v>
      </c>
      <c r="AE3845" s="4">
        <v>106</v>
      </c>
      <c r="AF3845" s="4">
        <v>0</v>
      </c>
      <c r="AG3845" s="4">
        <v>0</v>
      </c>
      <c r="AH3845" s="4">
        <v>93</v>
      </c>
      <c r="AI3845" s="4">
        <v>93</v>
      </c>
      <c r="AJ3845" s="4">
        <v>14</v>
      </c>
      <c r="AK3845" s="4">
        <v>14</v>
      </c>
      <c r="AL3845" s="4">
        <v>51</v>
      </c>
      <c r="AM3845" s="4">
        <v>51</v>
      </c>
      <c r="AN3845" s="4">
        <v>0</v>
      </c>
      <c r="AO3845" s="4">
        <v>0</v>
      </c>
      <c r="AP3845" s="4">
        <v>20</v>
      </c>
      <c r="AQ3845" s="4">
        <v>20</v>
      </c>
      <c r="AR3845" s="3" t="s">
        <v>64</v>
      </c>
      <c r="AS3845" s="3" t="s">
        <v>64</v>
      </c>
      <c r="AT3845" s="3" t="s">
        <v>128</v>
      </c>
      <c r="AU3845" s="6" t="str">
        <f t="shared" si="93"/>
        <v>HathiTrust Record</v>
      </c>
      <c r="AV3845" s="6" t="str">
        <f t="shared" si="94"/>
        <v>Catalog Record</v>
      </c>
      <c r="AW3845" s="6" t="str">
        <f t="shared" si="95"/>
        <v>WorldCat Record</v>
      </c>
      <c r="AX3845" s="3" t="s">
        <v>37963</v>
      </c>
      <c r="AY3845" s="3" t="s">
        <v>37964</v>
      </c>
      <c r="AZ3845" s="3" t="s">
        <v>37965</v>
      </c>
      <c r="BA3845" s="3" t="s">
        <v>37965</v>
      </c>
      <c r="BB3845" s="3" t="s">
        <v>38088</v>
      </c>
      <c r="BC3845" s="3" t="s">
        <v>77</v>
      </c>
      <c r="BD3845" s="3" t="s">
        <v>78</v>
      </c>
      <c r="BE3845" s="3" t="s">
        <v>37967</v>
      </c>
      <c r="BF3845" s="3" t="s">
        <v>38088</v>
      </c>
      <c r="BG3845" s="3" t="s">
        <v>38089</v>
      </c>
      <c r="BH3845">
        <f t="shared" si="96"/>
        <v>0</v>
      </c>
    </row>
    <row r="3846" spans="1:60" ht="58" x14ac:dyDescent="0.35">
      <c r="A3846" s="2" t="s">
        <v>6202</v>
      </c>
      <c r="B3846" s="2" t="s">
        <v>6203</v>
      </c>
      <c r="C3846" s="2" t="s">
        <v>37957</v>
      </c>
      <c r="D3846" s="2" t="s">
        <v>37958</v>
      </c>
      <c r="E3846" s="2" t="s">
        <v>37959</v>
      </c>
      <c r="F3846" s="3" t="s">
        <v>38090</v>
      </c>
      <c r="G3846" s="3" t="s">
        <v>128</v>
      </c>
      <c r="I3846" s="3" t="s">
        <v>64</v>
      </c>
      <c r="J3846" s="3" t="s">
        <v>64</v>
      </c>
      <c r="K3846" s="3" t="s">
        <v>65</v>
      </c>
      <c r="M3846" s="2" t="s">
        <v>37961</v>
      </c>
      <c r="N3846" s="3" t="s">
        <v>315</v>
      </c>
      <c r="P3846" s="3" t="s">
        <v>102</v>
      </c>
      <c r="R3846" s="3" t="s">
        <v>70</v>
      </c>
      <c r="S3846" s="4">
        <v>0</v>
      </c>
      <c r="T3846" s="4">
        <v>6</v>
      </c>
      <c r="V3846" s="5" t="s">
        <v>37962</v>
      </c>
      <c r="W3846" s="5" t="s">
        <v>72</v>
      </c>
      <c r="X3846" s="5" t="s">
        <v>72</v>
      </c>
      <c r="Y3846" s="4">
        <v>543</v>
      </c>
      <c r="Z3846" s="4">
        <v>28</v>
      </c>
      <c r="AA3846" s="4">
        <v>28</v>
      </c>
      <c r="AB3846" s="4">
        <v>1</v>
      </c>
      <c r="AC3846" s="4">
        <v>1</v>
      </c>
      <c r="AD3846" s="4">
        <v>106</v>
      </c>
      <c r="AE3846" s="4">
        <v>106</v>
      </c>
      <c r="AF3846" s="4">
        <v>0</v>
      </c>
      <c r="AG3846" s="4">
        <v>0</v>
      </c>
      <c r="AH3846" s="4">
        <v>93</v>
      </c>
      <c r="AI3846" s="4">
        <v>93</v>
      </c>
      <c r="AJ3846" s="4">
        <v>14</v>
      </c>
      <c r="AK3846" s="4">
        <v>14</v>
      </c>
      <c r="AL3846" s="4">
        <v>51</v>
      </c>
      <c r="AM3846" s="4">
        <v>51</v>
      </c>
      <c r="AN3846" s="4">
        <v>0</v>
      </c>
      <c r="AO3846" s="4">
        <v>0</v>
      </c>
      <c r="AP3846" s="4">
        <v>20</v>
      </c>
      <c r="AQ3846" s="4">
        <v>20</v>
      </c>
      <c r="AR3846" s="3" t="s">
        <v>64</v>
      </c>
      <c r="AS3846" s="3" t="s">
        <v>64</v>
      </c>
      <c r="AT3846" s="3" t="s">
        <v>128</v>
      </c>
      <c r="AU3846" s="6" t="str">
        <f t="shared" si="93"/>
        <v>HathiTrust Record</v>
      </c>
      <c r="AV3846" s="6" t="str">
        <f t="shared" si="94"/>
        <v>Catalog Record</v>
      </c>
      <c r="AW3846" s="6" t="str">
        <f t="shared" si="95"/>
        <v>WorldCat Record</v>
      </c>
      <c r="AX3846" s="3" t="s">
        <v>37963</v>
      </c>
      <c r="AY3846" s="3" t="s">
        <v>37964</v>
      </c>
      <c r="AZ3846" s="3" t="s">
        <v>37965</v>
      </c>
      <c r="BA3846" s="3" t="s">
        <v>37965</v>
      </c>
      <c r="BB3846" s="3" t="s">
        <v>38091</v>
      </c>
      <c r="BC3846" s="3" t="s">
        <v>77</v>
      </c>
      <c r="BD3846" s="3" t="s">
        <v>78</v>
      </c>
      <c r="BE3846" s="3" t="s">
        <v>37967</v>
      </c>
      <c r="BF3846" s="3" t="s">
        <v>38091</v>
      </c>
      <c r="BG3846" s="3" t="s">
        <v>38092</v>
      </c>
      <c r="BH3846">
        <f t="shared" si="96"/>
        <v>0</v>
      </c>
    </row>
    <row r="3847" spans="1:60" ht="58" x14ac:dyDescent="0.35">
      <c r="A3847" s="2" t="s">
        <v>6202</v>
      </c>
      <c r="B3847" s="2" t="s">
        <v>6203</v>
      </c>
      <c r="C3847" s="2" t="s">
        <v>37957</v>
      </c>
      <c r="D3847" s="2" t="s">
        <v>37958</v>
      </c>
      <c r="E3847" s="2" t="s">
        <v>37959</v>
      </c>
      <c r="F3847" s="3" t="s">
        <v>27493</v>
      </c>
      <c r="G3847" s="3" t="s">
        <v>128</v>
      </c>
      <c r="I3847" s="3" t="s">
        <v>64</v>
      </c>
      <c r="J3847" s="3" t="s">
        <v>64</v>
      </c>
      <c r="K3847" s="3" t="s">
        <v>65</v>
      </c>
      <c r="M3847" s="2" t="s">
        <v>37961</v>
      </c>
      <c r="N3847" s="3" t="s">
        <v>315</v>
      </c>
      <c r="P3847" s="3" t="s">
        <v>102</v>
      </c>
      <c r="R3847" s="3" t="s">
        <v>70</v>
      </c>
      <c r="S3847" s="4">
        <v>0</v>
      </c>
      <c r="T3847" s="4">
        <v>6</v>
      </c>
      <c r="V3847" s="5" t="s">
        <v>37962</v>
      </c>
      <c r="W3847" s="5" t="s">
        <v>72</v>
      </c>
      <c r="X3847" s="5" t="s">
        <v>72</v>
      </c>
      <c r="Y3847" s="4">
        <v>543</v>
      </c>
      <c r="Z3847" s="4">
        <v>28</v>
      </c>
      <c r="AA3847" s="4">
        <v>28</v>
      </c>
      <c r="AB3847" s="4">
        <v>1</v>
      </c>
      <c r="AC3847" s="4">
        <v>1</v>
      </c>
      <c r="AD3847" s="4">
        <v>106</v>
      </c>
      <c r="AE3847" s="4">
        <v>106</v>
      </c>
      <c r="AF3847" s="4">
        <v>0</v>
      </c>
      <c r="AG3847" s="4">
        <v>0</v>
      </c>
      <c r="AH3847" s="4">
        <v>93</v>
      </c>
      <c r="AI3847" s="4">
        <v>93</v>
      </c>
      <c r="AJ3847" s="4">
        <v>14</v>
      </c>
      <c r="AK3847" s="4">
        <v>14</v>
      </c>
      <c r="AL3847" s="4">
        <v>51</v>
      </c>
      <c r="AM3847" s="4">
        <v>51</v>
      </c>
      <c r="AN3847" s="4">
        <v>0</v>
      </c>
      <c r="AO3847" s="4">
        <v>0</v>
      </c>
      <c r="AP3847" s="4">
        <v>20</v>
      </c>
      <c r="AQ3847" s="4">
        <v>20</v>
      </c>
      <c r="AR3847" s="3" t="s">
        <v>64</v>
      </c>
      <c r="AS3847" s="3" t="s">
        <v>64</v>
      </c>
      <c r="AT3847" s="3" t="s">
        <v>128</v>
      </c>
      <c r="AU3847" s="6" t="str">
        <f t="shared" si="93"/>
        <v>HathiTrust Record</v>
      </c>
      <c r="AV3847" s="6" t="str">
        <f t="shared" si="94"/>
        <v>Catalog Record</v>
      </c>
      <c r="AW3847" s="6" t="str">
        <f t="shared" si="95"/>
        <v>WorldCat Record</v>
      </c>
      <c r="AX3847" s="3" t="s">
        <v>37963</v>
      </c>
      <c r="AY3847" s="3" t="s">
        <v>37964</v>
      </c>
      <c r="AZ3847" s="3" t="s">
        <v>37965</v>
      </c>
      <c r="BA3847" s="3" t="s">
        <v>37965</v>
      </c>
      <c r="BB3847" s="3" t="s">
        <v>38093</v>
      </c>
      <c r="BC3847" s="3" t="s">
        <v>77</v>
      </c>
      <c r="BD3847" s="3" t="s">
        <v>78</v>
      </c>
      <c r="BE3847" s="3" t="s">
        <v>37967</v>
      </c>
      <c r="BF3847" s="3" t="s">
        <v>38093</v>
      </c>
      <c r="BG3847" s="3" t="s">
        <v>38094</v>
      </c>
      <c r="BH3847">
        <f t="shared" si="96"/>
        <v>0</v>
      </c>
    </row>
    <row r="3848" spans="1:60" ht="58" x14ac:dyDescent="0.35">
      <c r="A3848" s="2" t="s">
        <v>6202</v>
      </c>
      <c r="B3848" s="2" t="s">
        <v>6203</v>
      </c>
      <c r="C3848" s="2" t="s">
        <v>37957</v>
      </c>
      <c r="D3848" s="2" t="s">
        <v>37958</v>
      </c>
      <c r="E3848" s="2" t="s">
        <v>37959</v>
      </c>
      <c r="F3848" s="3" t="s">
        <v>11447</v>
      </c>
      <c r="G3848" s="3" t="s">
        <v>128</v>
      </c>
      <c r="I3848" s="3" t="s">
        <v>64</v>
      </c>
      <c r="J3848" s="3" t="s">
        <v>64</v>
      </c>
      <c r="K3848" s="3" t="s">
        <v>65</v>
      </c>
      <c r="M3848" s="2" t="s">
        <v>37961</v>
      </c>
      <c r="N3848" s="3" t="s">
        <v>315</v>
      </c>
      <c r="P3848" s="3" t="s">
        <v>102</v>
      </c>
      <c r="R3848" s="3" t="s">
        <v>70</v>
      </c>
      <c r="S3848" s="4">
        <v>0</v>
      </c>
      <c r="T3848" s="4">
        <v>6</v>
      </c>
      <c r="V3848" s="5" t="s">
        <v>37962</v>
      </c>
      <c r="W3848" s="5" t="s">
        <v>72</v>
      </c>
      <c r="X3848" s="5" t="s">
        <v>72</v>
      </c>
      <c r="Y3848" s="4">
        <v>543</v>
      </c>
      <c r="Z3848" s="4">
        <v>28</v>
      </c>
      <c r="AA3848" s="4">
        <v>28</v>
      </c>
      <c r="AB3848" s="4">
        <v>1</v>
      </c>
      <c r="AC3848" s="4">
        <v>1</v>
      </c>
      <c r="AD3848" s="4">
        <v>106</v>
      </c>
      <c r="AE3848" s="4">
        <v>106</v>
      </c>
      <c r="AF3848" s="4">
        <v>0</v>
      </c>
      <c r="AG3848" s="4">
        <v>0</v>
      </c>
      <c r="AH3848" s="4">
        <v>93</v>
      </c>
      <c r="AI3848" s="4">
        <v>93</v>
      </c>
      <c r="AJ3848" s="4">
        <v>14</v>
      </c>
      <c r="AK3848" s="4">
        <v>14</v>
      </c>
      <c r="AL3848" s="4">
        <v>51</v>
      </c>
      <c r="AM3848" s="4">
        <v>51</v>
      </c>
      <c r="AN3848" s="4">
        <v>0</v>
      </c>
      <c r="AO3848" s="4">
        <v>0</v>
      </c>
      <c r="AP3848" s="4">
        <v>20</v>
      </c>
      <c r="AQ3848" s="4">
        <v>20</v>
      </c>
      <c r="AR3848" s="3" t="s">
        <v>64</v>
      </c>
      <c r="AS3848" s="3" t="s">
        <v>64</v>
      </c>
      <c r="AT3848" s="3" t="s">
        <v>128</v>
      </c>
      <c r="AU3848" s="6" t="str">
        <f t="shared" si="93"/>
        <v>HathiTrust Record</v>
      </c>
      <c r="AV3848" s="6" t="str">
        <f t="shared" si="94"/>
        <v>Catalog Record</v>
      </c>
      <c r="AW3848" s="6" t="str">
        <f t="shared" si="95"/>
        <v>WorldCat Record</v>
      </c>
      <c r="AX3848" s="3" t="s">
        <v>37963</v>
      </c>
      <c r="AY3848" s="3" t="s">
        <v>37964</v>
      </c>
      <c r="AZ3848" s="3" t="s">
        <v>37965</v>
      </c>
      <c r="BA3848" s="3" t="s">
        <v>37965</v>
      </c>
      <c r="BB3848" s="3" t="s">
        <v>38095</v>
      </c>
      <c r="BC3848" s="3" t="s">
        <v>77</v>
      </c>
      <c r="BD3848" s="3" t="s">
        <v>78</v>
      </c>
      <c r="BE3848" s="3" t="s">
        <v>37967</v>
      </c>
      <c r="BF3848" s="3" t="s">
        <v>38095</v>
      </c>
      <c r="BG3848" s="3" t="s">
        <v>38096</v>
      </c>
      <c r="BH3848">
        <f t="shared" si="96"/>
        <v>0</v>
      </c>
    </row>
    <row r="3849" spans="1:60" ht="58" x14ac:dyDescent="0.35">
      <c r="A3849" s="2" t="s">
        <v>6202</v>
      </c>
      <c r="B3849" s="2" t="s">
        <v>6203</v>
      </c>
      <c r="C3849" s="2" t="s">
        <v>37957</v>
      </c>
      <c r="D3849" s="2" t="s">
        <v>37958</v>
      </c>
      <c r="E3849" s="2" t="s">
        <v>37959</v>
      </c>
      <c r="F3849" s="3" t="s">
        <v>38097</v>
      </c>
      <c r="G3849" s="3" t="s">
        <v>128</v>
      </c>
      <c r="I3849" s="3" t="s">
        <v>64</v>
      </c>
      <c r="J3849" s="3" t="s">
        <v>64</v>
      </c>
      <c r="K3849" s="3" t="s">
        <v>65</v>
      </c>
      <c r="M3849" s="2" t="s">
        <v>37961</v>
      </c>
      <c r="N3849" s="3" t="s">
        <v>315</v>
      </c>
      <c r="P3849" s="3" t="s">
        <v>102</v>
      </c>
      <c r="R3849" s="3" t="s">
        <v>70</v>
      </c>
      <c r="S3849" s="4">
        <v>0</v>
      </c>
      <c r="T3849" s="4">
        <v>6</v>
      </c>
      <c r="V3849" s="5" t="s">
        <v>37962</v>
      </c>
      <c r="W3849" s="5" t="s">
        <v>72</v>
      </c>
      <c r="X3849" s="5" t="s">
        <v>72</v>
      </c>
      <c r="Y3849" s="4">
        <v>543</v>
      </c>
      <c r="Z3849" s="4">
        <v>28</v>
      </c>
      <c r="AA3849" s="4">
        <v>28</v>
      </c>
      <c r="AB3849" s="4">
        <v>1</v>
      </c>
      <c r="AC3849" s="4">
        <v>1</v>
      </c>
      <c r="AD3849" s="4">
        <v>106</v>
      </c>
      <c r="AE3849" s="4">
        <v>106</v>
      </c>
      <c r="AF3849" s="4">
        <v>0</v>
      </c>
      <c r="AG3849" s="4">
        <v>0</v>
      </c>
      <c r="AH3849" s="4">
        <v>93</v>
      </c>
      <c r="AI3849" s="4">
        <v>93</v>
      </c>
      <c r="AJ3849" s="4">
        <v>14</v>
      </c>
      <c r="AK3849" s="4">
        <v>14</v>
      </c>
      <c r="AL3849" s="4">
        <v>51</v>
      </c>
      <c r="AM3849" s="4">
        <v>51</v>
      </c>
      <c r="AN3849" s="4">
        <v>0</v>
      </c>
      <c r="AO3849" s="4">
        <v>0</v>
      </c>
      <c r="AP3849" s="4">
        <v>20</v>
      </c>
      <c r="AQ3849" s="4">
        <v>20</v>
      </c>
      <c r="AR3849" s="3" t="s">
        <v>64</v>
      </c>
      <c r="AS3849" s="3" t="s">
        <v>64</v>
      </c>
      <c r="AT3849" s="3" t="s">
        <v>128</v>
      </c>
      <c r="AU3849" s="6" t="str">
        <f t="shared" si="93"/>
        <v>HathiTrust Record</v>
      </c>
      <c r="AV3849" s="6" t="str">
        <f t="shared" si="94"/>
        <v>Catalog Record</v>
      </c>
      <c r="AW3849" s="6" t="str">
        <f t="shared" si="95"/>
        <v>WorldCat Record</v>
      </c>
      <c r="AX3849" s="3" t="s">
        <v>37963</v>
      </c>
      <c r="AY3849" s="3" t="s">
        <v>37964</v>
      </c>
      <c r="AZ3849" s="3" t="s">
        <v>37965</v>
      </c>
      <c r="BA3849" s="3" t="s">
        <v>37965</v>
      </c>
      <c r="BB3849" s="3" t="s">
        <v>38098</v>
      </c>
      <c r="BC3849" s="3" t="s">
        <v>77</v>
      </c>
      <c r="BD3849" s="3" t="s">
        <v>78</v>
      </c>
      <c r="BE3849" s="3" t="s">
        <v>37967</v>
      </c>
      <c r="BF3849" s="3" t="s">
        <v>38098</v>
      </c>
      <c r="BG3849" s="3" t="s">
        <v>38099</v>
      </c>
      <c r="BH3849">
        <f t="shared" si="96"/>
        <v>0</v>
      </c>
    </row>
    <row r="3850" spans="1:60" ht="58" x14ac:dyDescent="0.35">
      <c r="A3850" s="2" t="s">
        <v>6202</v>
      </c>
      <c r="B3850" s="2" t="s">
        <v>6203</v>
      </c>
      <c r="C3850" s="2" t="s">
        <v>37957</v>
      </c>
      <c r="D3850" s="2" t="s">
        <v>37958</v>
      </c>
      <c r="E3850" s="2" t="s">
        <v>37959</v>
      </c>
      <c r="F3850" s="3" t="s">
        <v>38100</v>
      </c>
      <c r="G3850" s="3" t="s">
        <v>128</v>
      </c>
      <c r="I3850" s="3" t="s">
        <v>64</v>
      </c>
      <c r="J3850" s="3" t="s">
        <v>64</v>
      </c>
      <c r="K3850" s="3" t="s">
        <v>65</v>
      </c>
      <c r="M3850" s="2" t="s">
        <v>37961</v>
      </c>
      <c r="N3850" s="3" t="s">
        <v>315</v>
      </c>
      <c r="P3850" s="3" t="s">
        <v>102</v>
      </c>
      <c r="R3850" s="3" t="s">
        <v>70</v>
      </c>
      <c r="S3850" s="4">
        <v>0</v>
      </c>
      <c r="T3850" s="4">
        <v>6</v>
      </c>
      <c r="V3850" s="5" t="s">
        <v>37962</v>
      </c>
      <c r="W3850" s="5" t="s">
        <v>72</v>
      </c>
      <c r="X3850" s="5" t="s">
        <v>72</v>
      </c>
      <c r="Y3850" s="4">
        <v>543</v>
      </c>
      <c r="Z3850" s="4">
        <v>28</v>
      </c>
      <c r="AA3850" s="4">
        <v>28</v>
      </c>
      <c r="AB3850" s="4">
        <v>1</v>
      </c>
      <c r="AC3850" s="4">
        <v>1</v>
      </c>
      <c r="AD3850" s="4">
        <v>106</v>
      </c>
      <c r="AE3850" s="4">
        <v>106</v>
      </c>
      <c r="AF3850" s="4">
        <v>0</v>
      </c>
      <c r="AG3850" s="4">
        <v>0</v>
      </c>
      <c r="AH3850" s="4">
        <v>93</v>
      </c>
      <c r="AI3850" s="4">
        <v>93</v>
      </c>
      <c r="AJ3850" s="4">
        <v>14</v>
      </c>
      <c r="AK3850" s="4">
        <v>14</v>
      </c>
      <c r="AL3850" s="4">
        <v>51</v>
      </c>
      <c r="AM3850" s="4">
        <v>51</v>
      </c>
      <c r="AN3850" s="4">
        <v>0</v>
      </c>
      <c r="AO3850" s="4">
        <v>0</v>
      </c>
      <c r="AP3850" s="4">
        <v>20</v>
      </c>
      <c r="AQ3850" s="4">
        <v>20</v>
      </c>
      <c r="AR3850" s="3" t="s">
        <v>64</v>
      </c>
      <c r="AS3850" s="3" t="s">
        <v>64</v>
      </c>
      <c r="AT3850" s="3" t="s">
        <v>128</v>
      </c>
      <c r="AU3850" s="6" t="str">
        <f t="shared" si="93"/>
        <v>HathiTrust Record</v>
      </c>
      <c r="AV3850" s="6" t="str">
        <f t="shared" si="94"/>
        <v>Catalog Record</v>
      </c>
      <c r="AW3850" s="6" t="str">
        <f t="shared" si="95"/>
        <v>WorldCat Record</v>
      </c>
      <c r="AX3850" s="3" t="s">
        <v>37963</v>
      </c>
      <c r="AY3850" s="3" t="s">
        <v>37964</v>
      </c>
      <c r="AZ3850" s="3" t="s">
        <v>37965</v>
      </c>
      <c r="BA3850" s="3" t="s">
        <v>37965</v>
      </c>
      <c r="BB3850" s="3" t="s">
        <v>38101</v>
      </c>
      <c r="BC3850" s="3" t="s">
        <v>77</v>
      </c>
      <c r="BD3850" s="3" t="s">
        <v>78</v>
      </c>
      <c r="BE3850" s="3" t="s">
        <v>37967</v>
      </c>
      <c r="BF3850" s="3" t="s">
        <v>38101</v>
      </c>
      <c r="BG3850" s="3" t="s">
        <v>38102</v>
      </c>
      <c r="BH3850">
        <f t="shared" si="96"/>
        <v>0</v>
      </c>
    </row>
    <row r="3851" spans="1:60" ht="58" x14ac:dyDescent="0.35">
      <c r="A3851" s="2" t="s">
        <v>6202</v>
      </c>
      <c r="B3851" s="2" t="s">
        <v>6203</v>
      </c>
      <c r="C3851" s="2" t="s">
        <v>37957</v>
      </c>
      <c r="D3851" s="2" t="s">
        <v>37958</v>
      </c>
      <c r="E3851" s="2" t="s">
        <v>37959</v>
      </c>
      <c r="F3851" s="3" t="s">
        <v>27481</v>
      </c>
      <c r="G3851" s="3" t="s">
        <v>128</v>
      </c>
      <c r="I3851" s="3" t="s">
        <v>64</v>
      </c>
      <c r="J3851" s="3" t="s">
        <v>64</v>
      </c>
      <c r="K3851" s="3" t="s">
        <v>65</v>
      </c>
      <c r="M3851" s="2" t="s">
        <v>37961</v>
      </c>
      <c r="N3851" s="3" t="s">
        <v>315</v>
      </c>
      <c r="P3851" s="3" t="s">
        <v>102</v>
      </c>
      <c r="R3851" s="3" t="s">
        <v>70</v>
      </c>
      <c r="S3851" s="4">
        <v>0</v>
      </c>
      <c r="T3851" s="4">
        <v>6</v>
      </c>
      <c r="V3851" s="5" t="s">
        <v>37962</v>
      </c>
      <c r="W3851" s="5" t="s">
        <v>72</v>
      </c>
      <c r="X3851" s="5" t="s">
        <v>72</v>
      </c>
      <c r="Y3851" s="4">
        <v>543</v>
      </c>
      <c r="Z3851" s="4">
        <v>28</v>
      </c>
      <c r="AA3851" s="4">
        <v>28</v>
      </c>
      <c r="AB3851" s="4">
        <v>1</v>
      </c>
      <c r="AC3851" s="4">
        <v>1</v>
      </c>
      <c r="AD3851" s="4">
        <v>106</v>
      </c>
      <c r="AE3851" s="4">
        <v>106</v>
      </c>
      <c r="AF3851" s="4">
        <v>0</v>
      </c>
      <c r="AG3851" s="4">
        <v>0</v>
      </c>
      <c r="AH3851" s="4">
        <v>93</v>
      </c>
      <c r="AI3851" s="4">
        <v>93</v>
      </c>
      <c r="AJ3851" s="4">
        <v>14</v>
      </c>
      <c r="AK3851" s="4">
        <v>14</v>
      </c>
      <c r="AL3851" s="4">
        <v>51</v>
      </c>
      <c r="AM3851" s="4">
        <v>51</v>
      </c>
      <c r="AN3851" s="4">
        <v>0</v>
      </c>
      <c r="AO3851" s="4">
        <v>0</v>
      </c>
      <c r="AP3851" s="4">
        <v>20</v>
      </c>
      <c r="AQ3851" s="4">
        <v>20</v>
      </c>
      <c r="AR3851" s="3" t="s">
        <v>64</v>
      </c>
      <c r="AS3851" s="3" t="s">
        <v>64</v>
      </c>
      <c r="AT3851" s="3" t="s">
        <v>128</v>
      </c>
      <c r="AU3851" s="6" t="str">
        <f t="shared" si="93"/>
        <v>HathiTrust Record</v>
      </c>
      <c r="AV3851" s="6" t="str">
        <f t="shared" si="94"/>
        <v>Catalog Record</v>
      </c>
      <c r="AW3851" s="6" t="str">
        <f t="shared" si="95"/>
        <v>WorldCat Record</v>
      </c>
      <c r="AX3851" s="3" t="s">
        <v>37963</v>
      </c>
      <c r="AY3851" s="3" t="s">
        <v>37964</v>
      </c>
      <c r="AZ3851" s="3" t="s">
        <v>37965</v>
      </c>
      <c r="BA3851" s="3" t="s">
        <v>37965</v>
      </c>
      <c r="BB3851" s="3" t="s">
        <v>38103</v>
      </c>
      <c r="BC3851" s="3" t="s">
        <v>77</v>
      </c>
      <c r="BD3851" s="3" t="s">
        <v>78</v>
      </c>
      <c r="BE3851" s="3" t="s">
        <v>37967</v>
      </c>
      <c r="BF3851" s="3" t="s">
        <v>38103</v>
      </c>
      <c r="BG3851" s="3" t="s">
        <v>38104</v>
      </c>
      <c r="BH3851">
        <f t="shared" si="96"/>
        <v>0</v>
      </c>
    </row>
    <row r="3852" spans="1:60" ht="58" x14ac:dyDescent="0.35">
      <c r="A3852" s="2" t="s">
        <v>6202</v>
      </c>
      <c r="B3852" s="2" t="s">
        <v>6203</v>
      </c>
      <c r="C3852" s="2" t="s">
        <v>37957</v>
      </c>
      <c r="D3852" s="2" t="s">
        <v>37958</v>
      </c>
      <c r="E3852" s="2" t="s">
        <v>37959</v>
      </c>
      <c r="F3852" s="3" t="s">
        <v>19582</v>
      </c>
      <c r="G3852" s="3" t="s">
        <v>128</v>
      </c>
      <c r="I3852" s="3" t="s">
        <v>64</v>
      </c>
      <c r="J3852" s="3" t="s">
        <v>64</v>
      </c>
      <c r="K3852" s="3" t="s">
        <v>65</v>
      </c>
      <c r="M3852" s="2" t="s">
        <v>37961</v>
      </c>
      <c r="N3852" s="3" t="s">
        <v>315</v>
      </c>
      <c r="P3852" s="3" t="s">
        <v>102</v>
      </c>
      <c r="R3852" s="3" t="s">
        <v>70</v>
      </c>
      <c r="S3852" s="4">
        <v>0</v>
      </c>
      <c r="T3852" s="4">
        <v>6</v>
      </c>
      <c r="V3852" s="5" t="s">
        <v>37962</v>
      </c>
      <c r="W3852" s="5" t="s">
        <v>72</v>
      </c>
      <c r="X3852" s="5" t="s">
        <v>72</v>
      </c>
      <c r="Y3852" s="4">
        <v>543</v>
      </c>
      <c r="Z3852" s="4">
        <v>28</v>
      </c>
      <c r="AA3852" s="4">
        <v>28</v>
      </c>
      <c r="AB3852" s="4">
        <v>1</v>
      </c>
      <c r="AC3852" s="4">
        <v>1</v>
      </c>
      <c r="AD3852" s="4">
        <v>106</v>
      </c>
      <c r="AE3852" s="4">
        <v>106</v>
      </c>
      <c r="AF3852" s="4">
        <v>0</v>
      </c>
      <c r="AG3852" s="4">
        <v>0</v>
      </c>
      <c r="AH3852" s="4">
        <v>93</v>
      </c>
      <c r="AI3852" s="4">
        <v>93</v>
      </c>
      <c r="AJ3852" s="4">
        <v>14</v>
      </c>
      <c r="AK3852" s="4">
        <v>14</v>
      </c>
      <c r="AL3852" s="4">
        <v>51</v>
      </c>
      <c r="AM3852" s="4">
        <v>51</v>
      </c>
      <c r="AN3852" s="4">
        <v>0</v>
      </c>
      <c r="AO3852" s="4">
        <v>0</v>
      </c>
      <c r="AP3852" s="4">
        <v>20</v>
      </c>
      <c r="AQ3852" s="4">
        <v>20</v>
      </c>
      <c r="AR3852" s="3" t="s">
        <v>64</v>
      </c>
      <c r="AS3852" s="3" t="s">
        <v>64</v>
      </c>
      <c r="AT3852" s="3" t="s">
        <v>128</v>
      </c>
      <c r="AU3852" s="6" t="str">
        <f t="shared" si="93"/>
        <v>HathiTrust Record</v>
      </c>
      <c r="AV3852" s="6" t="str">
        <f t="shared" si="94"/>
        <v>Catalog Record</v>
      </c>
      <c r="AW3852" s="6" t="str">
        <f t="shared" si="95"/>
        <v>WorldCat Record</v>
      </c>
      <c r="AX3852" s="3" t="s">
        <v>37963</v>
      </c>
      <c r="AY3852" s="3" t="s">
        <v>37964</v>
      </c>
      <c r="AZ3852" s="3" t="s">
        <v>37965</v>
      </c>
      <c r="BA3852" s="3" t="s">
        <v>37965</v>
      </c>
      <c r="BB3852" s="3" t="s">
        <v>38105</v>
      </c>
      <c r="BC3852" s="3" t="s">
        <v>77</v>
      </c>
      <c r="BD3852" s="3" t="s">
        <v>78</v>
      </c>
      <c r="BE3852" s="3" t="s">
        <v>37967</v>
      </c>
      <c r="BF3852" s="3" t="s">
        <v>38105</v>
      </c>
      <c r="BG3852" s="3" t="s">
        <v>38106</v>
      </c>
      <c r="BH3852">
        <f t="shared" si="96"/>
        <v>0</v>
      </c>
    </row>
    <row r="3853" spans="1:60" ht="58" x14ac:dyDescent="0.35">
      <c r="A3853" s="2" t="s">
        <v>6202</v>
      </c>
      <c r="B3853" s="2" t="s">
        <v>6203</v>
      </c>
      <c r="C3853" s="2" t="s">
        <v>37957</v>
      </c>
      <c r="D3853" s="2" t="s">
        <v>37958</v>
      </c>
      <c r="E3853" s="2" t="s">
        <v>37959</v>
      </c>
      <c r="F3853" s="3" t="s">
        <v>38107</v>
      </c>
      <c r="G3853" s="3" t="s">
        <v>128</v>
      </c>
      <c r="I3853" s="3" t="s">
        <v>64</v>
      </c>
      <c r="J3853" s="3" t="s">
        <v>64</v>
      </c>
      <c r="K3853" s="3" t="s">
        <v>65</v>
      </c>
      <c r="M3853" s="2" t="s">
        <v>37961</v>
      </c>
      <c r="N3853" s="3" t="s">
        <v>315</v>
      </c>
      <c r="P3853" s="3" t="s">
        <v>102</v>
      </c>
      <c r="R3853" s="3" t="s">
        <v>70</v>
      </c>
      <c r="S3853" s="4">
        <v>1</v>
      </c>
      <c r="T3853" s="4">
        <v>6</v>
      </c>
      <c r="U3853" s="5" t="s">
        <v>38108</v>
      </c>
      <c r="V3853" s="5" t="s">
        <v>37962</v>
      </c>
      <c r="W3853" s="5" t="s">
        <v>72</v>
      </c>
      <c r="X3853" s="5" t="s">
        <v>72</v>
      </c>
      <c r="Y3853" s="4">
        <v>543</v>
      </c>
      <c r="Z3853" s="4">
        <v>28</v>
      </c>
      <c r="AA3853" s="4">
        <v>28</v>
      </c>
      <c r="AB3853" s="4">
        <v>1</v>
      </c>
      <c r="AC3853" s="4">
        <v>1</v>
      </c>
      <c r="AD3853" s="4">
        <v>106</v>
      </c>
      <c r="AE3853" s="4">
        <v>106</v>
      </c>
      <c r="AF3853" s="4">
        <v>0</v>
      </c>
      <c r="AG3853" s="4">
        <v>0</v>
      </c>
      <c r="AH3853" s="4">
        <v>93</v>
      </c>
      <c r="AI3853" s="4">
        <v>93</v>
      </c>
      <c r="AJ3853" s="4">
        <v>14</v>
      </c>
      <c r="AK3853" s="4">
        <v>14</v>
      </c>
      <c r="AL3853" s="4">
        <v>51</v>
      </c>
      <c r="AM3853" s="4">
        <v>51</v>
      </c>
      <c r="AN3853" s="4">
        <v>0</v>
      </c>
      <c r="AO3853" s="4">
        <v>0</v>
      </c>
      <c r="AP3853" s="4">
        <v>20</v>
      </c>
      <c r="AQ3853" s="4">
        <v>20</v>
      </c>
      <c r="AR3853" s="3" t="s">
        <v>64</v>
      </c>
      <c r="AS3853" s="3" t="s">
        <v>64</v>
      </c>
      <c r="AT3853" s="3" t="s">
        <v>128</v>
      </c>
      <c r="AU3853" s="6" t="str">
        <f t="shared" si="93"/>
        <v>HathiTrust Record</v>
      </c>
      <c r="AV3853" s="6" t="str">
        <f t="shared" si="94"/>
        <v>Catalog Record</v>
      </c>
      <c r="AW3853" s="6" t="str">
        <f t="shared" si="95"/>
        <v>WorldCat Record</v>
      </c>
      <c r="AX3853" s="3" t="s">
        <v>37963</v>
      </c>
      <c r="AY3853" s="3" t="s">
        <v>37964</v>
      </c>
      <c r="AZ3853" s="3" t="s">
        <v>37965</v>
      </c>
      <c r="BA3853" s="3" t="s">
        <v>37965</v>
      </c>
      <c r="BB3853" s="3" t="s">
        <v>38109</v>
      </c>
      <c r="BC3853" s="3" t="s">
        <v>77</v>
      </c>
      <c r="BD3853" s="3" t="s">
        <v>78</v>
      </c>
      <c r="BE3853" s="3" t="s">
        <v>37967</v>
      </c>
      <c r="BF3853" s="3" t="s">
        <v>38109</v>
      </c>
      <c r="BG3853" s="3" t="s">
        <v>38110</v>
      </c>
      <c r="BH3853">
        <f t="shared" si="96"/>
        <v>0</v>
      </c>
    </row>
    <row r="3854" spans="1:60" ht="58" x14ac:dyDescent="0.35">
      <c r="A3854" s="2" t="s">
        <v>6202</v>
      </c>
      <c r="B3854" s="2" t="s">
        <v>6203</v>
      </c>
      <c r="C3854" s="2" t="s">
        <v>37957</v>
      </c>
      <c r="D3854" s="2" t="s">
        <v>37958</v>
      </c>
      <c r="E3854" s="2" t="s">
        <v>37959</v>
      </c>
      <c r="F3854" s="3" t="s">
        <v>38111</v>
      </c>
      <c r="G3854" s="3" t="s">
        <v>128</v>
      </c>
      <c r="I3854" s="3" t="s">
        <v>64</v>
      </c>
      <c r="J3854" s="3" t="s">
        <v>64</v>
      </c>
      <c r="K3854" s="3" t="s">
        <v>65</v>
      </c>
      <c r="M3854" s="2" t="s">
        <v>37961</v>
      </c>
      <c r="N3854" s="3" t="s">
        <v>315</v>
      </c>
      <c r="P3854" s="3" t="s">
        <v>102</v>
      </c>
      <c r="R3854" s="3" t="s">
        <v>70</v>
      </c>
      <c r="S3854" s="4">
        <v>0</v>
      </c>
      <c r="T3854" s="4">
        <v>6</v>
      </c>
      <c r="V3854" s="5" t="s">
        <v>37962</v>
      </c>
      <c r="W3854" s="5" t="s">
        <v>72</v>
      </c>
      <c r="X3854" s="5" t="s">
        <v>72</v>
      </c>
      <c r="Y3854" s="4">
        <v>543</v>
      </c>
      <c r="Z3854" s="4">
        <v>28</v>
      </c>
      <c r="AA3854" s="4">
        <v>28</v>
      </c>
      <c r="AB3854" s="4">
        <v>1</v>
      </c>
      <c r="AC3854" s="4">
        <v>1</v>
      </c>
      <c r="AD3854" s="4">
        <v>106</v>
      </c>
      <c r="AE3854" s="4">
        <v>106</v>
      </c>
      <c r="AF3854" s="4">
        <v>0</v>
      </c>
      <c r="AG3854" s="4">
        <v>0</v>
      </c>
      <c r="AH3854" s="4">
        <v>93</v>
      </c>
      <c r="AI3854" s="4">
        <v>93</v>
      </c>
      <c r="AJ3854" s="4">
        <v>14</v>
      </c>
      <c r="AK3854" s="4">
        <v>14</v>
      </c>
      <c r="AL3854" s="4">
        <v>51</v>
      </c>
      <c r="AM3854" s="4">
        <v>51</v>
      </c>
      <c r="AN3854" s="4">
        <v>0</v>
      </c>
      <c r="AO3854" s="4">
        <v>0</v>
      </c>
      <c r="AP3854" s="4">
        <v>20</v>
      </c>
      <c r="AQ3854" s="4">
        <v>20</v>
      </c>
      <c r="AR3854" s="3" t="s">
        <v>64</v>
      </c>
      <c r="AS3854" s="3" t="s">
        <v>64</v>
      </c>
      <c r="AT3854" s="3" t="s">
        <v>128</v>
      </c>
      <c r="AU3854" s="6" t="str">
        <f t="shared" si="93"/>
        <v>HathiTrust Record</v>
      </c>
      <c r="AV3854" s="6" t="str">
        <f t="shared" si="94"/>
        <v>Catalog Record</v>
      </c>
      <c r="AW3854" s="6" t="str">
        <f t="shared" si="95"/>
        <v>WorldCat Record</v>
      </c>
      <c r="AX3854" s="3" t="s">
        <v>37963</v>
      </c>
      <c r="AY3854" s="3" t="s">
        <v>37964</v>
      </c>
      <c r="AZ3854" s="3" t="s">
        <v>37965</v>
      </c>
      <c r="BA3854" s="3" t="s">
        <v>37965</v>
      </c>
      <c r="BB3854" s="3" t="s">
        <v>38112</v>
      </c>
      <c r="BC3854" s="3" t="s">
        <v>77</v>
      </c>
      <c r="BD3854" s="3" t="s">
        <v>78</v>
      </c>
      <c r="BE3854" s="3" t="s">
        <v>37967</v>
      </c>
      <c r="BF3854" s="3" t="s">
        <v>38112</v>
      </c>
      <c r="BG3854" s="3" t="s">
        <v>38113</v>
      </c>
      <c r="BH3854">
        <f t="shared" si="96"/>
        <v>0</v>
      </c>
    </row>
    <row r="3855" spans="1:60" ht="58" x14ac:dyDescent="0.35">
      <c r="A3855" s="2" t="s">
        <v>6202</v>
      </c>
      <c r="B3855" s="2" t="s">
        <v>6203</v>
      </c>
      <c r="C3855" s="2" t="s">
        <v>37957</v>
      </c>
      <c r="D3855" s="2" t="s">
        <v>37958</v>
      </c>
      <c r="E3855" s="2" t="s">
        <v>37959</v>
      </c>
      <c r="F3855" s="3" t="s">
        <v>3186</v>
      </c>
      <c r="G3855" s="3" t="s">
        <v>128</v>
      </c>
      <c r="I3855" s="3" t="s">
        <v>64</v>
      </c>
      <c r="J3855" s="3" t="s">
        <v>64</v>
      </c>
      <c r="K3855" s="3" t="s">
        <v>65</v>
      </c>
      <c r="M3855" s="2" t="s">
        <v>37961</v>
      </c>
      <c r="N3855" s="3" t="s">
        <v>315</v>
      </c>
      <c r="P3855" s="3" t="s">
        <v>102</v>
      </c>
      <c r="R3855" s="3" t="s">
        <v>70</v>
      </c>
      <c r="S3855" s="4">
        <v>0</v>
      </c>
      <c r="T3855" s="4">
        <v>6</v>
      </c>
      <c r="V3855" s="5" t="s">
        <v>37962</v>
      </c>
      <c r="W3855" s="5" t="s">
        <v>72</v>
      </c>
      <c r="X3855" s="5" t="s">
        <v>72</v>
      </c>
      <c r="Y3855" s="4">
        <v>543</v>
      </c>
      <c r="Z3855" s="4">
        <v>28</v>
      </c>
      <c r="AA3855" s="4">
        <v>28</v>
      </c>
      <c r="AB3855" s="4">
        <v>1</v>
      </c>
      <c r="AC3855" s="4">
        <v>1</v>
      </c>
      <c r="AD3855" s="4">
        <v>106</v>
      </c>
      <c r="AE3855" s="4">
        <v>106</v>
      </c>
      <c r="AF3855" s="4">
        <v>0</v>
      </c>
      <c r="AG3855" s="4">
        <v>0</v>
      </c>
      <c r="AH3855" s="4">
        <v>93</v>
      </c>
      <c r="AI3855" s="4">
        <v>93</v>
      </c>
      <c r="AJ3855" s="4">
        <v>14</v>
      </c>
      <c r="AK3855" s="4">
        <v>14</v>
      </c>
      <c r="AL3855" s="4">
        <v>51</v>
      </c>
      <c r="AM3855" s="4">
        <v>51</v>
      </c>
      <c r="AN3855" s="4">
        <v>0</v>
      </c>
      <c r="AO3855" s="4">
        <v>0</v>
      </c>
      <c r="AP3855" s="4">
        <v>20</v>
      </c>
      <c r="AQ3855" s="4">
        <v>20</v>
      </c>
      <c r="AR3855" s="3" t="s">
        <v>64</v>
      </c>
      <c r="AS3855" s="3" t="s">
        <v>64</v>
      </c>
      <c r="AT3855" s="3" t="s">
        <v>128</v>
      </c>
      <c r="AU3855" s="6" t="str">
        <f t="shared" si="93"/>
        <v>HathiTrust Record</v>
      </c>
      <c r="AV3855" s="6" t="str">
        <f t="shared" si="94"/>
        <v>Catalog Record</v>
      </c>
      <c r="AW3855" s="6" t="str">
        <f t="shared" si="95"/>
        <v>WorldCat Record</v>
      </c>
      <c r="AX3855" s="3" t="s">
        <v>37963</v>
      </c>
      <c r="AY3855" s="3" t="s">
        <v>37964</v>
      </c>
      <c r="AZ3855" s="3" t="s">
        <v>37965</v>
      </c>
      <c r="BA3855" s="3" t="s">
        <v>37965</v>
      </c>
      <c r="BB3855" s="3" t="s">
        <v>38114</v>
      </c>
      <c r="BC3855" s="3" t="s">
        <v>77</v>
      </c>
      <c r="BD3855" s="3" t="s">
        <v>78</v>
      </c>
      <c r="BE3855" s="3" t="s">
        <v>37967</v>
      </c>
      <c r="BF3855" s="3" t="s">
        <v>38114</v>
      </c>
      <c r="BG3855" s="3" t="s">
        <v>38115</v>
      </c>
      <c r="BH3855">
        <f t="shared" si="96"/>
        <v>0</v>
      </c>
    </row>
    <row r="3856" spans="1:60" ht="58" x14ac:dyDescent="0.35">
      <c r="A3856" s="2" t="s">
        <v>6202</v>
      </c>
      <c r="B3856" s="2" t="s">
        <v>6203</v>
      </c>
      <c r="C3856" s="2" t="s">
        <v>37957</v>
      </c>
      <c r="D3856" s="2" t="s">
        <v>37958</v>
      </c>
      <c r="E3856" s="2" t="s">
        <v>37959</v>
      </c>
      <c r="F3856" s="3" t="s">
        <v>38116</v>
      </c>
      <c r="G3856" s="3" t="s">
        <v>128</v>
      </c>
      <c r="I3856" s="3" t="s">
        <v>64</v>
      </c>
      <c r="J3856" s="3" t="s">
        <v>64</v>
      </c>
      <c r="K3856" s="3" t="s">
        <v>65</v>
      </c>
      <c r="M3856" s="2" t="s">
        <v>37961</v>
      </c>
      <c r="N3856" s="3" t="s">
        <v>315</v>
      </c>
      <c r="P3856" s="3" t="s">
        <v>102</v>
      </c>
      <c r="R3856" s="3" t="s">
        <v>70</v>
      </c>
      <c r="S3856" s="4">
        <v>0</v>
      </c>
      <c r="T3856" s="4">
        <v>6</v>
      </c>
      <c r="V3856" s="5" t="s">
        <v>37962</v>
      </c>
      <c r="W3856" s="5" t="s">
        <v>72</v>
      </c>
      <c r="X3856" s="5" t="s">
        <v>72</v>
      </c>
      <c r="Y3856" s="4">
        <v>543</v>
      </c>
      <c r="Z3856" s="4">
        <v>28</v>
      </c>
      <c r="AA3856" s="4">
        <v>28</v>
      </c>
      <c r="AB3856" s="4">
        <v>1</v>
      </c>
      <c r="AC3856" s="4">
        <v>1</v>
      </c>
      <c r="AD3856" s="4">
        <v>106</v>
      </c>
      <c r="AE3856" s="4">
        <v>106</v>
      </c>
      <c r="AF3856" s="4">
        <v>0</v>
      </c>
      <c r="AG3856" s="4">
        <v>0</v>
      </c>
      <c r="AH3856" s="4">
        <v>93</v>
      </c>
      <c r="AI3856" s="4">
        <v>93</v>
      </c>
      <c r="AJ3856" s="4">
        <v>14</v>
      </c>
      <c r="AK3856" s="4">
        <v>14</v>
      </c>
      <c r="AL3856" s="4">
        <v>51</v>
      </c>
      <c r="AM3856" s="4">
        <v>51</v>
      </c>
      <c r="AN3856" s="4">
        <v>0</v>
      </c>
      <c r="AO3856" s="4">
        <v>0</v>
      </c>
      <c r="AP3856" s="4">
        <v>20</v>
      </c>
      <c r="AQ3856" s="4">
        <v>20</v>
      </c>
      <c r="AR3856" s="3" t="s">
        <v>64</v>
      </c>
      <c r="AS3856" s="3" t="s">
        <v>64</v>
      </c>
      <c r="AT3856" s="3" t="s">
        <v>128</v>
      </c>
      <c r="AU3856" s="6" t="str">
        <f t="shared" si="93"/>
        <v>HathiTrust Record</v>
      </c>
      <c r="AV3856" s="6" t="str">
        <f t="shared" si="94"/>
        <v>Catalog Record</v>
      </c>
      <c r="AW3856" s="6" t="str">
        <f t="shared" si="95"/>
        <v>WorldCat Record</v>
      </c>
      <c r="AX3856" s="3" t="s">
        <v>37963</v>
      </c>
      <c r="AY3856" s="3" t="s">
        <v>37964</v>
      </c>
      <c r="AZ3856" s="3" t="s">
        <v>37965</v>
      </c>
      <c r="BA3856" s="3" t="s">
        <v>37965</v>
      </c>
      <c r="BB3856" s="3" t="s">
        <v>38117</v>
      </c>
      <c r="BC3856" s="3" t="s">
        <v>77</v>
      </c>
      <c r="BD3856" s="3" t="s">
        <v>78</v>
      </c>
      <c r="BE3856" s="3" t="s">
        <v>37967</v>
      </c>
      <c r="BF3856" s="3" t="s">
        <v>38117</v>
      </c>
      <c r="BG3856" s="3" t="s">
        <v>38118</v>
      </c>
      <c r="BH3856">
        <f t="shared" si="96"/>
        <v>0</v>
      </c>
    </row>
    <row r="3857" spans="1:60" ht="58" x14ac:dyDescent="0.35">
      <c r="A3857" s="2" t="s">
        <v>6202</v>
      </c>
      <c r="B3857" s="2" t="s">
        <v>6203</v>
      </c>
      <c r="C3857" s="2" t="s">
        <v>37957</v>
      </c>
      <c r="D3857" s="2" t="s">
        <v>37958</v>
      </c>
      <c r="E3857" s="2" t="s">
        <v>37959</v>
      </c>
      <c r="F3857" s="3" t="s">
        <v>38119</v>
      </c>
      <c r="G3857" s="3" t="s">
        <v>128</v>
      </c>
      <c r="I3857" s="3" t="s">
        <v>64</v>
      </c>
      <c r="J3857" s="3" t="s">
        <v>64</v>
      </c>
      <c r="K3857" s="3" t="s">
        <v>65</v>
      </c>
      <c r="M3857" s="2" t="s">
        <v>37961</v>
      </c>
      <c r="N3857" s="3" t="s">
        <v>315</v>
      </c>
      <c r="P3857" s="3" t="s">
        <v>102</v>
      </c>
      <c r="R3857" s="3" t="s">
        <v>70</v>
      </c>
      <c r="S3857" s="4">
        <v>0</v>
      </c>
      <c r="T3857" s="4">
        <v>6</v>
      </c>
      <c r="V3857" s="5" t="s">
        <v>37962</v>
      </c>
      <c r="W3857" s="5" t="s">
        <v>72</v>
      </c>
      <c r="X3857" s="5" t="s">
        <v>72</v>
      </c>
      <c r="Y3857" s="4">
        <v>543</v>
      </c>
      <c r="Z3857" s="4">
        <v>28</v>
      </c>
      <c r="AA3857" s="4">
        <v>28</v>
      </c>
      <c r="AB3857" s="4">
        <v>1</v>
      </c>
      <c r="AC3857" s="4">
        <v>1</v>
      </c>
      <c r="AD3857" s="4">
        <v>106</v>
      </c>
      <c r="AE3857" s="4">
        <v>106</v>
      </c>
      <c r="AF3857" s="4">
        <v>0</v>
      </c>
      <c r="AG3857" s="4">
        <v>0</v>
      </c>
      <c r="AH3857" s="4">
        <v>93</v>
      </c>
      <c r="AI3857" s="4">
        <v>93</v>
      </c>
      <c r="AJ3857" s="4">
        <v>14</v>
      </c>
      <c r="AK3857" s="4">
        <v>14</v>
      </c>
      <c r="AL3857" s="4">
        <v>51</v>
      </c>
      <c r="AM3857" s="4">
        <v>51</v>
      </c>
      <c r="AN3857" s="4">
        <v>0</v>
      </c>
      <c r="AO3857" s="4">
        <v>0</v>
      </c>
      <c r="AP3857" s="4">
        <v>20</v>
      </c>
      <c r="AQ3857" s="4">
        <v>20</v>
      </c>
      <c r="AR3857" s="3" t="s">
        <v>64</v>
      </c>
      <c r="AS3857" s="3" t="s">
        <v>64</v>
      </c>
      <c r="AT3857" s="3" t="s">
        <v>128</v>
      </c>
      <c r="AU3857" s="6" t="str">
        <f t="shared" si="93"/>
        <v>HathiTrust Record</v>
      </c>
      <c r="AV3857" s="6" t="str">
        <f t="shared" si="94"/>
        <v>Catalog Record</v>
      </c>
      <c r="AW3857" s="6" t="str">
        <f t="shared" si="95"/>
        <v>WorldCat Record</v>
      </c>
      <c r="AX3857" s="3" t="s">
        <v>37963</v>
      </c>
      <c r="AY3857" s="3" t="s">
        <v>37964</v>
      </c>
      <c r="AZ3857" s="3" t="s">
        <v>37965</v>
      </c>
      <c r="BA3857" s="3" t="s">
        <v>37965</v>
      </c>
      <c r="BB3857" s="3" t="s">
        <v>38120</v>
      </c>
      <c r="BC3857" s="3" t="s">
        <v>77</v>
      </c>
      <c r="BD3857" s="3" t="s">
        <v>78</v>
      </c>
      <c r="BE3857" s="3" t="s">
        <v>37967</v>
      </c>
      <c r="BF3857" s="3" t="s">
        <v>38120</v>
      </c>
      <c r="BG3857" s="3" t="s">
        <v>38121</v>
      </c>
      <c r="BH3857">
        <f t="shared" si="96"/>
        <v>0</v>
      </c>
    </row>
    <row r="3858" spans="1:60" ht="58" x14ac:dyDescent="0.35">
      <c r="A3858" s="2" t="s">
        <v>6202</v>
      </c>
      <c r="B3858" s="2" t="s">
        <v>6203</v>
      </c>
      <c r="C3858" s="2" t="s">
        <v>37957</v>
      </c>
      <c r="D3858" s="2" t="s">
        <v>37958</v>
      </c>
      <c r="E3858" s="2" t="s">
        <v>37959</v>
      </c>
      <c r="F3858" s="3" t="s">
        <v>10094</v>
      </c>
      <c r="G3858" s="3" t="s">
        <v>128</v>
      </c>
      <c r="I3858" s="3" t="s">
        <v>64</v>
      </c>
      <c r="J3858" s="3" t="s">
        <v>64</v>
      </c>
      <c r="K3858" s="3" t="s">
        <v>65</v>
      </c>
      <c r="M3858" s="2" t="s">
        <v>37961</v>
      </c>
      <c r="N3858" s="3" t="s">
        <v>315</v>
      </c>
      <c r="P3858" s="3" t="s">
        <v>102</v>
      </c>
      <c r="R3858" s="3" t="s">
        <v>70</v>
      </c>
      <c r="S3858" s="4">
        <v>0</v>
      </c>
      <c r="T3858" s="4">
        <v>6</v>
      </c>
      <c r="V3858" s="5" t="s">
        <v>37962</v>
      </c>
      <c r="W3858" s="5" t="s">
        <v>72</v>
      </c>
      <c r="X3858" s="5" t="s">
        <v>72</v>
      </c>
      <c r="Y3858" s="4">
        <v>543</v>
      </c>
      <c r="Z3858" s="4">
        <v>28</v>
      </c>
      <c r="AA3858" s="4">
        <v>28</v>
      </c>
      <c r="AB3858" s="4">
        <v>1</v>
      </c>
      <c r="AC3858" s="4">
        <v>1</v>
      </c>
      <c r="AD3858" s="4">
        <v>106</v>
      </c>
      <c r="AE3858" s="4">
        <v>106</v>
      </c>
      <c r="AF3858" s="4">
        <v>0</v>
      </c>
      <c r="AG3858" s="4">
        <v>0</v>
      </c>
      <c r="AH3858" s="4">
        <v>93</v>
      </c>
      <c r="AI3858" s="4">
        <v>93</v>
      </c>
      <c r="AJ3858" s="4">
        <v>14</v>
      </c>
      <c r="AK3858" s="4">
        <v>14</v>
      </c>
      <c r="AL3858" s="4">
        <v>51</v>
      </c>
      <c r="AM3858" s="4">
        <v>51</v>
      </c>
      <c r="AN3858" s="4">
        <v>0</v>
      </c>
      <c r="AO3858" s="4">
        <v>0</v>
      </c>
      <c r="AP3858" s="4">
        <v>20</v>
      </c>
      <c r="AQ3858" s="4">
        <v>20</v>
      </c>
      <c r="AR3858" s="3" t="s">
        <v>64</v>
      </c>
      <c r="AS3858" s="3" t="s">
        <v>64</v>
      </c>
      <c r="AT3858" s="3" t="s">
        <v>128</v>
      </c>
      <c r="AU3858" s="6" t="str">
        <f t="shared" si="93"/>
        <v>HathiTrust Record</v>
      </c>
      <c r="AV3858" s="6" t="str">
        <f t="shared" si="94"/>
        <v>Catalog Record</v>
      </c>
      <c r="AW3858" s="6" t="str">
        <f t="shared" si="95"/>
        <v>WorldCat Record</v>
      </c>
      <c r="AX3858" s="3" t="s">
        <v>37963</v>
      </c>
      <c r="AY3858" s="3" t="s">
        <v>37964</v>
      </c>
      <c r="AZ3858" s="3" t="s">
        <v>37965</v>
      </c>
      <c r="BA3858" s="3" t="s">
        <v>37965</v>
      </c>
      <c r="BB3858" s="3" t="s">
        <v>38122</v>
      </c>
      <c r="BC3858" s="3" t="s">
        <v>77</v>
      </c>
      <c r="BD3858" s="3" t="s">
        <v>78</v>
      </c>
      <c r="BE3858" s="3" t="s">
        <v>37967</v>
      </c>
      <c r="BF3858" s="3" t="s">
        <v>38122</v>
      </c>
      <c r="BG3858" s="3" t="s">
        <v>38123</v>
      </c>
      <c r="BH3858">
        <f t="shared" si="96"/>
        <v>0</v>
      </c>
    </row>
    <row r="3859" spans="1:60" ht="58" x14ac:dyDescent="0.35">
      <c r="A3859" s="2" t="s">
        <v>6202</v>
      </c>
      <c r="B3859" s="2" t="s">
        <v>6203</v>
      </c>
      <c r="C3859" s="2" t="s">
        <v>37957</v>
      </c>
      <c r="D3859" s="2" t="s">
        <v>37958</v>
      </c>
      <c r="E3859" s="2" t="s">
        <v>37959</v>
      </c>
      <c r="F3859" s="3" t="s">
        <v>11444</v>
      </c>
      <c r="G3859" s="3" t="s">
        <v>128</v>
      </c>
      <c r="I3859" s="3" t="s">
        <v>64</v>
      </c>
      <c r="J3859" s="3" t="s">
        <v>64</v>
      </c>
      <c r="K3859" s="3" t="s">
        <v>65</v>
      </c>
      <c r="M3859" s="2" t="s">
        <v>37961</v>
      </c>
      <c r="N3859" s="3" t="s">
        <v>315</v>
      </c>
      <c r="P3859" s="3" t="s">
        <v>102</v>
      </c>
      <c r="R3859" s="3" t="s">
        <v>70</v>
      </c>
      <c r="S3859" s="4">
        <v>0</v>
      </c>
      <c r="T3859" s="4">
        <v>6</v>
      </c>
      <c r="V3859" s="5" t="s">
        <v>37962</v>
      </c>
      <c r="W3859" s="5" t="s">
        <v>72</v>
      </c>
      <c r="X3859" s="5" t="s">
        <v>72</v>
      </c>
      <c r="Y3859" s="4">
        <v>543</v>
      </c>
      <c r="Z3859" s="4">
        <v>28</v>
      </c>
      <c r="AA3859" s="4">
        <v>28</v>
      </c>
      <c r="AB3859" s="4">
        <v>1</v>
      </c>
      <c r="AC3859" s="4">
        <v>1</v>
      </c>
      <c r="AD3859" s="4">
        <v>106</v>
      </c>
      <c r="AE3859" s="4">
        <v>106</v>
      </c>
      <c r="AF3859" s="4">
        <v>0</v>
      </c>
      <c r="AG3859" s="4">
        <v>0</v>
      </c>
      <c r="AH3859" s="4">
        <v>93</v>
      </c>
      <c r="AI3859" s="4">
        <v>93</v>
      </c>
      <c r="AJ3859" s="4">
        <v>14</v>
      </c>
      <c r="AK3859" s="4">
        <v>14</v>
      </c>
      <c r="AL3859" s="4">
        <v>51</v>
      </c>
      <c r="AM3859" s="4">
        <v>51</v>
      </c>
      <c r="AN3859" s="4">
        <v>0</v>
      </c>
      <c r="AO3859" s="4">
        <v>0</v>
      </c>
      <c r="AP3859" s="4">
        <v>20</v>
      </c>
      <c r="AQ3859" s="4">
        <v>20</v>
      </c>
      <c r="AR3859" s="3" t="s">
        <v>64</v>
      </c>
      <c r="AS3859" s="3" t="s">
        <v>64</v>
      </c>
      <c r="AT3859" s="3" t="s">
        <v>128</v>
      </c>
      <c r="AU3859" s="6" t="str">
        <f t="shared" ref="AU3859:AU3867" si="97">HYPERLINK("http://catalog.hathitrust.org/Record/000142895","HathiTrust Record")</f>
        <v>HathiTrust Record</v>
      </c>
      <c r="AV3859" s="6" t="str">
        <f t="shared" ref="AV3859:AV3867" si="98">HYPERLINK("http://mcgill.on.worldcat.org/oclc/311902","Catalog Record")</f>
        <v>Catalog Record</v>
      </c>
      <c r="AW3859" s="6" t="str">
        <f t="shared" ref="AW3859:AW3867" si="99">HYPERLINK("http://www.worldcat.org/oclc/311902","WorldCat Record")</f>
        <v>WorldCat Record</v>
      </c>
      <c r="AX3859" s="3" t="s">
        <v>37963</v>
      </c>
      <c r="AY3859" s="3" t="s">
        <v>37964</v>
      </c>
      <c r="AZ3859" s="3" t="s">
        <v>37965</v>
      </c>
      <c r="BA3859" s="3" t="s">
        <v>37965</v>
      </c>
      <c r="BB3859" s="3" t="s">
        <v>38124</v>
      </c>
      <c r="BC3859" s="3" t="s">
        <v>77</v>
      </c>
      <c r="BD3859" s="3" t="s">
        <v>78</v>
      </c>
      <c r="BE3859" s="3" t="s">
        <v>37967</v>
      </c>
      <c r="BF3859" s="3" t="s">
        <v>38124</v>
      </c>
      <c r="BG3859" s="3" t="s">
        <v>38125</v>
      </c>
      <c r="BH3859">
        <f t="shared" si="96"/>
        <v>0</v>
      </c>
    </row>
    <row r="3860" spans="1:60" ht="58" x14ac:dyDescent="0.35">
      <c r="A3860" s="2" t="s">
        <v>6202</v>
      </c>
      <c r="B3860" s="2" t="s">
        <v>6203</v>
      </c>
      <c r="C3860" s="2" t="s">
        <v>37957</v>
      </c>
      <c r="D3860" s="2" t="s">
        <v>37958</v>
      </c>
      <c r="E3860" s="2" t="s">
        <v>37959</v>
      </c>
      <c r="F3860" s="3" t="s">
        <v>38126</v>
      </c>
      <c r="G3860" s="3" t="s">
        <v>128</v>
      </c>
      <c r="I3860" s="3" t="s">
        <v>64</v>
      </c>
      <c r="J3860" s="3" t="s">
        <v>64</v>
      </c>
      <c r="K3860" s="3" t="s">
        <v>65</v>
      </c>
      <c r="M3860" s="2" t="s">
        <v>37961</v>
      </c>
      <c r="N3860" s="3" t="s">
        <v>315</v>
      </c>
      <c r="P3860" s="3" t="s">
        <v>102</v>
      </c>
      <c r="R3860" s="3" t="s">
        <v>70</v>
      </c>
      <c r="S3860" s="4">
        <v>1</v>
      </c>
      <c r="T3860" s="4">
        <v>6</v>
      </c>
      <c r="U3860" s="5" t="s">
        <v>27483</v>
      </c>
      <c r="V3860" s="5" t="s">
        <v>37962</v>
      </c>
      <c r="W3860" s="5" t="s">
        <v>72</v>
      </c>
      <c r="X3860" s="5" t="s">
        <v>72</v>
      </c>
      <c r="Y3860" s="4">
        <v>543</v>
      </c>
      <c r="Z3860" s="4">
        <v>28</v>
      </c>
      <c r="AA3860" s="4">
        <v>28</v>
      </c>
      <c r="AB3860" s="4">
        <v>1</v>
      </c>
      <c r="AC3860" s="4">
        <v>1</v>
      </c>
      <c r="AD3860" s="4">
        <v>106</v>
      </c>
      <c r="AE3860" s="4">
        <v>106</v>
      </c>
      <c r="AF3860" s="4">
        <v>0</v>
      </c>
      <c r="AG3860" s="4">
        <v>0</v>
      </c>
      <c r="AH3860" s="4">
        <v>93</v>
      </c>
      <c r="AI3860" s="4">
        <v>93</v>
      </c>
      <c r="AJ3860" s="4">
        <v>14</v>
      </c>
      <c r="AK3860" s="4">
        <v>14</v>
      </c>
      <c r="AL3860" s="4">
        <v>51</v>
      </c>
      <c r="AM3860" s="4">
        <v>51</v>
      </c>
      <c r="AN3860" s="4">
        <v>0</v>
      </c>
      <c r="AO3860" s="4">
        <v>0</v>
      </c>
      <c r="AP3860" s="4">
        <v>20</v>
      </c>
      <c r="AQ3860" s="4">
        <v>20</v>
      </c>
      <c r="AR3860" s="3" t="s">
        <v>64</v>
      </c>
      <c r="AS3860" s="3" t="s">
        <v>64</v>
      </c>
      <c r="AT3860" s="3" t="s">
        <v>128</v>
      </c>
      <c r="AU3860" s="6" t="str">
        <f t="shared" si="97"/>
        <v>HathiTrust Record</v>
      </c>
      <c r="AV3860" s="6" t="str">
        <f t="shared" si="98"/>
        <v>Catalog Record</v>
      </c>
      <c r="AW3860" s="6" t="str">
        <f t="shared" si="99"/>
        <v>WorldCat Record</v>
      </c>
      <c r="AX3860" s="3" t="s">
        <v>37963</v>
      </c>
      <c r="AY3860" s="3" t="s">
        <v>37964</v>
      </c>
      <c r="AZ3860" s="3" t="s">
        <v>37965</v>
      </c>
      <c r="BA3860" s="3" t="s">
        <v>37965</v>
      </c>
      <c r="BB3860" s="3" t="s">
        <v>38127</v>
      </c>
      <c r="BC3860" s="3" t="s">
        <v>77</v>
      </c>
      <c r="BD3860" s="3" t="s">
        <v>78</v>
      </c>
      <c r="BE3860" s="3" t="s">
        <v>37967</v>
      </c>
      <c r="BF3860" s="3" t="s">
        <v>38127</v>
      </c>
      <c r="BG3860" s="3" t="s">
        <v>38128</v>
      </c>
      <c r="BH3860">
        <f t="shared" si="96"/>
        <v>0</v>
      </c>
    </row>
    <row r="3861" spans="1:60" ht="58" x14ac:dyDescent="0.35">
      <c r="A3861" s="2" t="s">
        <v>6202</v>
      </c>
      <c r="B3861" s="2" t="s">
        <v>6203</v>
      </c>
      <c r="C3861" s="2" t="s">
        <v>37957</v>
      </c>
      <c r="D3861" s="2" t="s">
        <v>37958</v>
      </c>
      <c r="E3861" s="2" t="s">
        <v>37959</v>
      </c>
      <c r="F3861" s="3" t="s">
        <v>16317</v>
      </c>
      <c r="G3861" s="3" t="s">
        <v>128</v>
      </c>
      <c r="I3861" s="3" t="s">
        <v>64</v>
      </c>
      <c r="J3861" s="3" t="s">
        <v>64</v>
      </c>
      <c r="K3861" s="3" t="s">
        <v>65</v>
      </c>
      <c r="M3861" s="2" t="s">
        <v>37961</v>
      </c>
      <c r="N3861" s="3" t="s">
        <v>315</v>
      </c>
      <c r="P3861" s="3" t="s">
        <v>102</v>
      </c>
      <c r="R3861" s="3" t="s">
        <v>70</v>
      </c>
      <c r="S3861" s="4">
        <v>0</v>
      </c>
      <c r="T3861" s="4">
        <v>6</v>
      </c>
      <c r="V3861" s="5" t="s">
        <v>37962</v>
      </c>
      <c r="W3861" s="5" t="s">
        <v>72</v>
      </c>
      <c r="X3861" s="5" t="s">
        <v>72</v>
      </c>
      <c r="Y3861" s="4">
        <v>543</v>
      </c>
      <c r="Z3861" s="4">
        <v>28</v>
      </c>
      <c r="AA3861" s="4">
        <v>28</v>
      </c>
      <c r="AB3861" s="4">
        <v>1</v>
      </c>
      <c r="AC3861" s="4">
        <v>1</v>
      </c>
      <c r="AD3861" s="4">
        <v>106</v>
      </c>
      <c r="AE3861" s="4">
        <v>106</v>
      </c>
      <c r="AF3861" s="4">
        <v>0</v>
      </c>
      <c r="AG3861" s="4">
        <v>0</v>
      </c>
      <c r="AH3861" s="4">
        <v>93</v>
      </c>
      <c r="AI3861" s="4">
        <v>93</v>
      </c>
      <c r="AJ3861" s="4">
        <v>14</v>
      </c>
      <c r="AK3861" s="4">
        <v>14</v>
      </c>
      <c r="AL3861" s="4">
        <v>51</v>
      </c>
      <c r="AM3861" s="4">
        <v>51</v>
      </c>
      <c r="AN3861" s="4">
        <v>0</v>
      </c>
      <c r="AO3861" s="4">
        <v>0</v>
      </c>
      <c r="AP3861" s="4">
        <v>20</v>
      </c>
      <c r="AQ3861" s="4">
        <v>20</v>
      </c>
      <c r="AR3861" s="3" t="s">
        <v>64</v>
      </c>
      <c r="AS3861" s="3" t="s">
        <v>64</v>
      </c>
      <c r="AT3861" s="3" t="s">
        <v>128</v>
      </c>
      <c r="AU3861" s="6" t="str">
        <f t="shared" si="97"/>
        <v>HathiTrust Record</v>
      </c>
      <c r="AV3861" s="6" t="str">
        <f t="shared" si="98"/>
        <v>Catalog Record</v>
      </c>
      <c r="AW3861" s="6" t="str">
        <f t="shared" si="99"/>
        <v>WorldCat Record</v>
      </c>
      <c r="AX3861" s="3" t="s">
        <v>37963</v>
      </c>
      <c r="AY3861" s="3" t="s">
        <v>37964</v>
      </c>
      <c r="AZ3861" s="3" t="s">
        <v>37965</v>
      </c>
      <c r="BA3861" s="3" t="s">
        <v>37965</v>
      </c>
      <c r="BB3861" s="3" t="s">
        <v>38129</v>
      </c>
      <c r="BC3861" s="3" t="s">
        <v>77</v>
      </c>
      <c r="BD3861" s="3" t="s">
        <v>78</v>
      </c>
      <c r="BE3861" s="3" t="s">
        <v>37967</v>
      </c>
      <c r="BF3861" s="3" t="s">
        <v>38129</v>
      </c>
      <c r="BG3861" s="3" t="s">
        <v>38130</v>
      </c>
      <c r="BH3861">
        <f t="shared" si="96"/>
        <v>0</v>
      </c>
    </row>
    <row r="3862" spans="1:60" ht="58" x14ac:dyDescent="0.35">
      <c r="A3862" s="2" t="s">
        <v>6202</v>
      </c>
      <c r="B3862" s="2" t="s">
        <v>6203</v>
      </c>
      <c r="C3862" s="2" t="s">
        <v>37957</v>
      </c>
      <c r="D3862" s="2" t="s">
        <v>37958</v>
      </c>
      <c r="E3862" s="2" t="s">
        <v>37959</v>
      </c>
      <c r="F3862" s="3" t="s">
        <v>38131</v>
      </c>
      <c r="G3862" s="3" t="s">
        <v>128</v>
      </c>
      <c r="I3862" s="3" t="s">
        <v>64</v>
      </c>
      <c r="J3862" s="3" t="s">
        <v>64</v>
      </c>
      <c r="K3862" s="3" t="s">
        <v>65</v>
      </c>
      <c r="M3862" s="2" t="s">
        <v>37961</v>
      </c>
      <c r="N3862" s="3" t="s">
        <v>315</v>
      </c>
      <c r="P3862" s="3" t="s">
        <v>102</v>
      </c>
      <c r="R3862" s="3" t="s">
        <v>70</v>
      </c>
      <c r="S3862" s="4">
        <v>0</v>
      </c>
      <c r="T3862" s="4">
        <v>6</v>
      </c>
      <c r="V3862" s="5" t="s">
        <v>37962</v>
      </c>
      <c r="W3862" s="5" t="s">
        <v>72</v>
      </c>
      <c r="X3862" s="5" t="s">
        <v>72</v>
      </c>
      <c r="Y3862" s="4">
        <v>543</v>
      </c>
      <c r="Z3862" s="4">
        <v>28</v>
      </c>
      <c r="AA3862" s="4">
        <v>28</v>
      </c>
      <c r="AB3862" s="4">
        <v>1</v>
      </c>
      <c r="AC3862" s="4">
        <v>1</v>
      </c>
      <c r="AD3862" s="4">
        <v>106</v>
      </c>
      <c r="AE3862" s="4">
        <v>106</v>
      </c>
      <c r="AF3862" s="4">
        <v>0</v>
      </c>
      <c r="AG3862" s="4">
        <v>0</v>
      </c>
      <c r="AH3862" s="4">
        <v>93</v>
      </c>
      <c r="AI3862" s="4">
        <v>93</v>
      </c>
      <c r="AJ3862" s="4">
        <v>14</v>
      </c>
      <c r="AK3862" s="4">
        <v>14</v>
      </c>
      <c r="AL3862" s="4">
        <v>51</v>
      </c>
      <c r="AM3862" s="4">
        <v>51</v>
      </c>
      <c r="AN3862" s="4">
        <v>0</v>
      </c>
      <c r="AO3862" s="4">
        <v>0</v>
      </c>
      <c r="AP3862" s="4">
        <v>20</v>
      </c>
      <c r="AQ3862" s="4">
        <v>20</v>
      </c>
      <c r="AR3862" s="3" t="s">
        <v>64</v>
      </c>
      <c r="AS3862" s="3" t="s">
        <v>64</v>
      </c>
      <c r="AT3862" s="3" t="s">
        <v>128</v>
      </c>
      <c r="AU3862" s="6" t="str">
        <f t="shared" si="97"/>
        <v>HathiTrust Record</v>
      </c>
      <c r="AV3862" s="6" t="str">
        <f t="shared" si="98"/>
        <v>Catalog Record</v>
      </c>
      <c r="AW3862" s="6" t="str">
        <f t="shared" si="99"/>
        <v>WorldCat Record</v>
      </c>
      <c r="AX3862" s="3" t="s">
        <v>37963</v>
      </c>
      <c r="AY3862" s="3" t="s">
        <v>37964</v>
      </c>
      <c r="AZ3862" s="3" t="s">
        <v>37965</v>
      </c>
      <c r="BA3862" s="3" t="s">
        <v>37965</v>
      </c>
      <c r="BB3862" s="3" t="s">
        <v>38132</v>
      </c>
      <c r="BC3862" s="3" t="s">
        <v>77</v>
      </c>
      <c r="BD3862" s="3" t="s">
        <v>78</v>
      </c>
      <c r="BE3862" s="3" t="s">
        <v>37967</v>
      </c>
      <c r="BF3862" s="3" t="s">
        <v>38132</v>
      </c>
      <c r="BG3862" s="3" t="s">
        <v>38133</v>
      </c>
      <c r="BH3862">
        <f t="shared" si="96"/>
        <v>0</v>
      </c>
    </row>
    <row r="3863" spans="1:60" ht="58" x14ac:dyDescent="0.35">
      <c r="A3863" s="2" t="s">
        <v>6202</v>
      </c>
      <c r="B3863" s="2" t="s">
        <v>6203</v>
      </c>
      <c r="C3863" s="2" t="s">
        <v>37957</v>
      </c>
      <c r="D3863" s="2" t="s">
        <v>37958</v>
      </c>
      <c r="E3863" s="2" t="s">
        <v>37959</v>
      </c>
      <c r="F3863" s="3" t="s">
        <v>38134</v>
      </c>
      <c r="G3863" s="3" t="s">
        <v>128</v>
      </c>
      <c r="I3863" s="3" t="s">
        <v>64</v>
      </c>
      <c r="J3863" s="3" t="s">
        <v>64</v>
      </c>
      <c r="K3863" s="3" t="s">
        <v>65</v>
      </c>
      <c r="M3863" s="2" t="s">
        <v>37961</v>
      </c>
      <c r="N3863" s="3" t="s">
        <v>315</v>
      </c>
      <c r="P3863" s="3" t="s">
        <v>102</v>
      </c>
      <c r="R3863" s="3" t="s">
        <v>70</v>
      </c>
      <c r="S3863" s="4">
        <v>0</v>
      </c>
      <c r="T3863" s="4">
        <v>6</v>
      </c>
      <c r="V3863" s="5" t="s">
        <v>37962</v>
      </c>
      <c r="W3863" s="5" t="s">
        <v>72</v>
      </c>
      <c r="X3863" s="5" t="s">
        <v>72</v>
      </c>
      <c r="Y3863" s="4">
        <v>543</v>
      </c>
      <c r="Z3863" s="4">
        <v>28</v>
      </c>
      <c r="AA3863" s="4">
        <v>28</v>
      </c>
      <c r="AB3863" s="4">
        <v>1</v>
      </c>
      <c r="AC3863" s="4">
        <v>1</v>
      </c>
      <c r="AD3863" s="4">
        <v>106</v>
      </c>
      <c r="AE3863" s="4">
        <v>106</v>
      </c>
      <c r="AF3863" s="4">
        <v>0</v>
      </c>
      <c r="AG3863" s="4">
        <v>0</v>
      </c>
      <c r="AH3863" s="4">
        <v>93</v>
      </c>
      <c r="AI3863" s="4">
        <v>93</v>
      </c>
      <c r="AJ3863" s="4">
        <v>14</v>
      </c>
      <c r="AK3863" s="4">
        <v>14</v>
      </c>
      <c r="AL3863" s="4">
        <v>51</v>
      </c>
      <c r="AM3863" s="4">
        <v>51</v>
      </c>
      <c r="AN3863" s="4">
        <v>0</v>
      </c>
      <c r="AO3863" s="4">
        <v>0</v>
      </c>
      <c r="AP3863" s="4">
        <v>20</v>
      </c>
      <c r="AQ3863" s="4">
        <v>20</v>
      </c>
      <c r="AR3863" s="3" t="s">
        <v>64</v>
      </c>
      <c r="AS3863" s="3" t="s">
        <v>64</v>
      </c>
      <c r="AT3863" s="3" t="s">
        <v>128</v>
      </c>
      <c r="AU3863" s="6" t="str">
        <f t="shared" si="97"/>
        <v>HathiTrust Record</v>
      </c>
      <c r="AV3863" s="6" t="str">
        <f t="shared" si="98"/>
        <v>Catalog Record</v>
      </c>
      <c r="AW3863" s="6" t="str">
        <f t="shared" si="99"/>
        <v>WorldCat Record</v>
      </c>
      <c r="AX3863" s="3" t="s">
        <v>37963</v>
      </c>
      <c r="AY3863" s="3" t="s">
        <v>37964</v>
      </c>
      <c r="AZ3863" s="3" t="s">
        <v>37965</v>
      </c>
      <c r="BA3863" s="3" t="s">
        <v>37965</v>
      </c>
      <c r="BB3863" s="3" t="s">
        <v>38135</v>
      </c>
      <c r="BC3863" s="3" t="s">
        <v>77</v>
      </c>
      <c r="BD3863" s="3" t="s">
        <v>78</v>
      </c>
      <c r="BE3863" s="3" t="s">
        <v>37967</v>
      </c>
      <c r="BF3863" s="3" t="s">
        <v>38135</v>
      </c>
      <c r="BG3863" s="3" t="s">
        <v>38136</v>
      </c>
      <c r="BH3863">
        <f t="shared" si="96"/>
        <v>0</v>
      </c>
    </row>
    <row r="3864" spans="1:60" ht="58" x14ac:dyDescent="0.35">
      <c r="A3864" s="2" t="s">
        <v>6202</v>
      </c>
      <c r="B3864" s="2" t="s">
        <v>6203</v>
      </c>
      <c r="C3864" s="2" t="s">
        <v>37957</v>
      </c>
      <c r="D3864" s="2" t="s">
        <v>37958</v>
      </c>
      <c r="E3864" s="2" t="s">
        <v>37959</v>
      </c>
      <c r="F3864" s="3" t="s">
        <v>38137</v>
      </c>
      <c r="G3864" s="3" t="s">
        <v>128</v>
      </c>
      <c r="I3864" s="3" t="s">
        <v>64</v>
      </c>
      <c r="J3864" s="3" t="s">
        <v>64</v>
      </c>
      <c r="K3864" s="3" t="s">
        <v>65</v>
      </c>
      <c r="M3864" s="2" t="s">
        <v>37961</v>
      </c>
      <c r="N3864" s="3" t="s">
        <v>315</v>
      </c>
      <c r="P3864" s="3" t="s">
        <v>102</v>
      </c>
      <c r="R3864" s="3" t="s">
        <v>70</v>
      </c>
      <c r="S3864" s="4">
        <v>0</v>
      </c>
      <c r="T3864" s="4">
        <v>6</v>
      </c>
      <c r="V3864" s="5" t="s">
        <v>37962</v>
      </c>
      <c r="W3864" s="5" t="s">
        <v>72</v>
      </c>
      <c r="X3864" s="5" t="s">
        <v>72</v>
      </c>
      <c r="Y3864" s="4">
        <v>543</v>
      </c>
      <c r="Z3864" s="4">
        <v>28</v>
      </c>
      <c r="AA3864" s="4">
        <v>28</v>
      </c>
      <c r="AB3864" s="4">
        <v>1</v>
      </c>
      <c r="AC3864" s="4">
        <v>1</v>
      </c>
      <c r="AD3864" s="4">
        <v>106</v>
      </c>
      <c r="AE3864" s="4">
        <v>106</v>
      </c>
      <c r="AF3864" s="4">
        <v>0</v>
      </c>
      <c r="AG3864" s="4">
        <v>0</v>
      </c>
      <c r="AH3864" s="4">
        <v>93</v>
      </c>
      <c r="AI3864" s="4">
        <v>93</v>
      </c>
      <c r="AJ3864" s="4">
        <v>14</v>
      </c>
      <c r="AK3864" s="4">
        <v>14</v>
      </c>
      <c r="AL3864" s="4">
        <v>51</v>
      </c>
      <c r="AM3864" s="4">
        <v>51</v>
      </c>
      <c r="AN3864" s="4">
        <v>0</v>
      </c>
      <c r="AO3864" s="4">
        <v>0</v>
      </c>
      <c r="AP3864" s="4">
        <v>20</v>
      </c>
      <c r="AQ3864" s="4">
        <v>20</v>
      </c>
      <c r="AR3864" s="3" t="s">
        <v>64</v>
      </c>
      <c r="AS3864" s="3" t="s">
        <v>64</v>
      </c>
      <c r="AT3864" s="3" t="s">
        <v>128</v>
      </c>
      <c r="AU3864" s="6" t="str">
        <f t="shared" si="97"/>
        <v>HathiTrust Record</v>
      </c>
      <c r="AV3864" s="6" t="str">
        <f t="shared" si="98"/>
        <v>Catalog Record</v>
      </c>
      <c r="AW3864" s="6" t="str">
        <f t="shared" si="99"/>
        <v>WorldCat Record</v>
      </c>
      <c r="AX3864" s="3" t="s">
        <v>37963</v>
      </c>
      <c r="AY3864" s="3" t="s">
        <v>37964</v>
      </c>
      <c r="AZ3864" s="3" t="s">
        <v>37965</v>
      </c>
      <c r="BA3864" s="3" t="s">
        <v>37965</v>
      </c>
      <c r="BB3864" s="3" t="s">
        <v>38138</v>
      </c>
      <c r="BC3864" s="3" t="s">
        <v>77</v>
      </c>
      <c r="BD3864" s="3" t="s">
        <v>78</v>
      </c>
      <c r="BE3864" s="3" t="s">
        <v>37967</v>
      </c>
      <c r="BF3864" s="3" t="s">
        <v>38138</v>
      </c>
      <c r="BG3864" s="3" t="s">
        <v>38139</v>
      </c>
      <c r="BH3864">
        <f t="shared" si="96"/>
        <v>0</v>
      </c>
    </row>
    <row r="3865" spans="1:60" ht="58" x14ac:dyDescent="0.35">
      <c r="A3865" s="2" t="s">
        <v>6202</v>
      </c>
      <c r="B3865" s="2" t="s">
        <v>6203</v>
      </c>
      <c r="C3865" s="2" t="s">
        <v>37957</v>
      </c>
      <c r="D3865" s="2" t="s">
        <v>37958</v>
      </c>
      <c r="E3865" s="2" t="s">
        <v>37959</v>
      </c>
      <c r="F3865" s="3" t="s">
        <v>38140</v>
      </c>
      <c r="G3865" s="3" t="s">
        <v>128</v>
      </c>
      <c r="I3865" s="3" t="s">
        <v>64</v>
      </c>
      <c r="J3865" s="3" t="s">
        <v>64</v>
      </c>
      <c r="K3865" s="3" t="s">
        <v>65</v>
      </c>
      <c r="M3865" s="2" t="s">
        <v>37961</v>
      </c>
      <c r="N3865" s="3" t="s">
        <v>315</v>
      </c>
      <c r="P3865" s="3" t="s">
        <v>102</v>
      </c>
      <c r="R3865" s="3" t="s">
        <v>70</v>
      </c>
      <c r="S3865" s="4">
        <v>0</v>
      </c>
      <c r="T3865" s="4">
        <v>6</v>
      </c>
      <c r="V3865" s="5" t="s">
        <v>37962</v>
      </c>
      <c r="W3865" s="5" t="s">
        <v>72</v>
      </c>
      <c r="X3865" s="5" t="s">
        <v>72</v>
      </c>
      <c r="Y3865" s="4">
        <v>543</v>
      </c>
      <c r="Z3865" s="4">
        <v>28</v>
      </c>
      <c r="AA3865" s="4">
        <v>28</v>
      </c>
      <c r="AB3865" s="4">
        <v>1</v>
      </c>
      <c r="AC3865" s="4">
        <v>1</v>
      </c>
      <c r="AD3865" s="4">
        <v>106</v>
      </c>
      <c r="AE3865" s="4">
        <v>106</v>
      </c>
      <c r="AF3865" s="4">
        <v>0</v>
      </c>
      <c r="AG3865" s="4">
        <v>0</v>
      </c>
      <c r="AH3865" s="4">
        <v>93</v>
      </c>
      <c r="AI3865" s="4">
        <v>93</v>
      </c>
      <c r="AJ3865" s="4">
        <v>14</v>
      </c>
      <c r="AK3865" s="4">
        <v>14</v>
      </c>
      <c r="AL3865" s="4">
        <v>51</v>
      </c>
      <c r="AM3865" s="4">
        <v>51</v>
      </c>
      <c r="AN3865" s="4">
        <v>0</v>
      </c>
      <c r="AO3865" s="4">
        <v>0</v>
      </c>
      <c r="AP3865" s="4">
        <v>20</v>
      </c>
      <c r="AQ3865" s="4">
        <v>20</v>
      </c>
      <c r="AR3865" s="3" t="s">
        <v>64</v>
      </c>
      <c r="AS3865" s="3" t="s">
        <v>64</v>
      </c>
      <c r="AT3865" s="3" t="s">
        <v>128</v>
      </c>
      <c r="AU3865" s="6" t="str">
        <f t="shared" si="97"/>
        <v>HathiTrust Record</v>
      </c>
      <c r="AV3865" s="6" t="str">
        <f t="shared" si="98"/>
        <v>Catalog Record</v>
      </c>
      <c r="AW3865" s="6" t="str">
        <f t="shared" si="99"/>
        <v>WorldCat Record</v>
      </c>
      <c r="AX3865" s="3" t="s">
        <v>37963</v>
      </c>
      <c r="AY3865" s="3" t="s">
        <v>37964</v>
      </c>
      <c r="AZ3865" s="3" t="s">
        <v>37965</v>
      </c>
      <c r="BA3865" s="3" t="s">
        <v>37965</v>
      </c>
      <c r="BB3865" s="3" t="s">
        <v>38141</v>
      </c>
      <c r="BC3865" s="3" t="s">
        <v>77</v>
      </c>
      <c r="BD3865" s="3" t="s">
        <v>78</v>
      </c>
      <c r="BE3865" s="3" t="s">
        <v>37967</v>
      </c>
      <c r="BF3865" s="3" t="s">
        <v>38141</v>
      </c>
      <c r="BG3865" s="3" t="s">
        <v>38142</v>
      </c>
      <c r="BH3865">
        <f t="shared" si="96"/>
        <v>0</v>
      </c>
    </row>
    <row r="3866" spans="1:60" ht="58" x14ac:dyDescent="0.35">
      <c r="A3866" s="2" t="s">
        <v>6202</v>
      </c>
      <c r="B3866" s="2" t="s">
        <v>6203</v>
      </c>
      <c r="C3866" s="2" t="s">
        <v>37957</v>
      </c>
      <c r="D3866" s="2" t="s">
        <v>37958</v>
      </c>
      <c r="E3866" s="2" t="s">
        <v>37959</v>
      </c>
      <c r="F3866" s="3" t="s">
        <v>38143</v>
      </c>
      <c r="G3866" s="3" t="s">
        <v>128</v>
      </c>
      <c r="I3866" s="3" t="s">
        <v>64</v>
      </c>
      <c r="J3866" s="3" t="s">
        <v>64</v>
      </c>
      <c r="K3866" s="3" t="s">
        <v>65</v>
      </c>
      <c r="M3866" s="2" t="s">
        <v>37961</v>
      </c>
      <c r="N3866" s="3" t="s">
        <v>315</v>
      </c>
      <c r="P3866" s="3" t="s">
        <v>102</v>
      </c>
      <c r="R3866" s="3" t="s">
        <v>70</v>
      </c>
      <c r="S3866" s="4">
        <v>0</v>
      </c>
      <c r="T3866" s="4">
        <v>6</v>
      </c>
      <c r="V3866" s="5" t="s">
        <v>37962</v>
      </c>
      <c r="W3866" s="5" t="s">
        <v>72</v>
      </c>
      <c r="X3866" s="5" t="s">
        <v>72</v>
      </c>
      <c r="Y3866" s="4">
        <v>543</v>
      </c>
      <c r="Z3866" s="4">
        <v>28</v>
      </c>
      <c r="AA3866" s="4">
        <v>28</v>
      </c>
      <c r="AB3866" s="4">
        <v>1</v>
      </c>
      <c r="AC3866" s="4">
        <v>1</v>
      </c>
      <c r="AD3866" s="4">
        <v>106</v>
      </c>
      <c r="AE3866" s="4">
        <v>106</v>
      </c>
      <c r="AF3866" s="4">
        <v>0</v>
      </c>
      <c r="AG3866" s="4">
        <v>0</v>
      </c>
      <c r="AH3866" s="4">
        <v>93</v>
      </c>
      <c r="AI3866" s="4">
        <v>93</v>
      </c>
      <c r="AJ3866" s="4">
        <v>14</v>
      </c>
      <c r="AK3866" s="4">
        <v>14</v>
      </c>
      <c r="AL3866" s="4">
        <v>51</v>
      </c>
      <c r="AM3866" s="4">
        <v>51</v>
      </c>
      <c r="AN3866" s="4">
        <v>0</v>
      </c>
      <c r="AO3866" s="4">
        <v>0</v>
      </c>
      <c r="AP3866" s="4">
        <v>20</v>
      </c>
      <c r="AQ3866" s="4">
        <v>20</v>
      </c>
      <c r="AR3866" s="3" t="s">
        <v>64</v>
      </c>
      <c r="AS3866" s="3" t="s">
        <v>64</v>
      </c>
      <c r="AT3866" s="3" t="s">
        <v>128</v>
      </c>
      <c r="AU3866" s="6" t="str">
        <f t="shared" si="97"/>
        <v>HathiTrust Record</v>
      </c>
      <c r="AV3866" s="6" t="str">
        <f t="shared" si="98"/>
        <v>Catalog Record</v>
      </c>
      <c r="AW3866" s="6" t="str">
        <f t="shared" si="99"/>
        <v>WorldCat Record</v>
      </c>
      <c r="AX3866" s="3" t="s">
        <v>37963</v>
      </c>
      <c r="AY3866" s="3" t="s">
        <v>37964</v>
      </c>
      <c r="AZ3866" s="3" t="s">
        <v>37965</v>
      </c>
      <c r="BA3866" s="3" t="s">
        <v>37965</v>
      </c>
      <c r="BB3866" s="3" t="s">
        <v>38144</v>
      </c>
      <c r="BC3866" s="3" t="s">
        <v>77</v>
      </c>
      <c r="BD3866" s="3" t="s">
        <v>78</v>
      </c>
      <c r="BE3866" s="3" t="s">
        <v>37967</v>
      </c>
      <c r="BF3866" s="3" t="s">
        <v>38144</v>
      </c>
      <c r="BG3866" s="3" t="s">
        <v>38145</v>
      </c>
      <c r="BH3866">
        <f t="shared" si="96"/>
        <v>0</v>
      </c>
    </row>
    <row r="3867" spans="1:60" ht="58" x14ac:dyDescent="0.35">
      <c r="A3867" s="2" t="s">
        <v>6202</v>
      </c>
      <c r="B3867" s="2" t="s">
        <v>6203</v>
      </c>
      <c r="C3867" s="2" t="s">
        <v>37957</v>
      </c>
      <c r="D3867" s="2" t="s">
        <v>37958</v>
      </c>
      <c r="E3867" s="2" t="s">
        <v>37959</v>
      </c>
      <c r="F3867" s="3" t="s">
        <v>27496</v>
      </c>
      <c r="G3867" s="3" t="s">
        <v>128</v>
      </c>
      <c r="I3867" s="3" t="s">
        <v>64</v>
      </c>
      <c r="J3867" s="3" t="s">
        <v>64</v>
      </c>
      <c r="K3867" s="3" t="s">
        <v>65</v>
      </c>
      <c r="M3867" s="2" t="s">
        <v>37961</v>
      </c>
      <c r="N3867" s="3" t="s">
        <v>315</v>
      </c>
      <c r="P3867" s="3" t="s">
        <v>102</v>
      </c>
      <c r="R3867" s="3" t="s">
        <v>70</v>
      </c>
      <c r="S3867" s="4">
        <v>0</v>
      </c>
      <c r="T3867" s="4">
        <v>6</v>
      </c>
      <c r="V3867" s="5" t="s">
        <v>37962</v>
      </c>
      <c r="W3867" s="5" t="s">
        <v>72</v>
      </c>
      <c r="X3867" s="5" t="s">
        <v>72</v>
      </c>
      <c r="Y3867" s="4">
        <v>543</v>
      </c>
      <c r="Z3867" s="4">
        <v>28</v>
      </c>
      <c r="AA3867" s="4">
        <v>28</v>
      </c>
      <c r="AB3867" s="4">
        <v>1</v>
      </c>
      <c r="AC3867" s="4">
        <v>1</v>
      </c>
      <c r="AD3867" s="4">
        <v>106</v>
      </c>
      <c r="AE3867" s="4">
        <v>106</v>
      </c>
      <c r="AF3867" s="4">
        <v>0</v>
      </c>
      <c r="AG3867" s="4">
        <v>0</v>
      </c>
      <c r="AH3867" s="4">
        <v>93</v>
      </c>
      <c r="AI3867" s="4">
        <v>93</v>
      </c>
      <c r="AJ3867" s="4">
        <v>14</v>
      </c>
      <c r="AK3867" s="4">
        <v>14</v>
      </c>
      <c r="AL3867" s="4">
        <v>51</v>
      </c>
      <c r="AM3867" s="4">
        <v>51</v>
      </c>
      <c r="AN3867" s="4">
        <v>0</v>
      </c>
      <c r="AO3867" s="4">
        <v>0</v>
      </c>
      <c r="AP3867" s="4">
        <v>20</v>
      </c>
      <c r="AQ3867" s="4">
        <v>20</v>
      </c>
      <c r="AR3867" s="3" t="s">
        <v>64</v>
      </c>
      <c r="AS3867" s="3" t="s">
        <v>64</v>
      </c>
      <c r="AT3867" s="3" t="s">
        <v>128</v>
      </c>
      <c r="AU3867" s="6" t="str">
        <f t="shared" si="97"/>
        <v>HathiTrust Record</v>
      </c>
      <c r="AV3867" s="6" t="str">
        <f t="shared" si="98"/>
        <v>Catalog Record</v>
      </c>
      <c r="AW3867" s="6" t="str">
        <f t="shared" si="99"/>
        <v>WorldCat Record</v>
      </c>
      <c r="AX3867" s="3" t="s">
        <v>37963</v>
      </c>
      <c r="AY3867" s="3" t="s">
        <v>37964</v>
      </c>
      <c r="AZ3867" s="3" t="s">
        <v>37965</v>
      </c>
      <c r="BA3867" s="3" t="s">
        <v>37965</v>
      </c>
      <c r="BB3867" s="3" t="s">
        <v>38146</v>
      </c>
      <c r="BC3867" s="3" t="s">
        <v>77</v>
      </c>
      <c r="BD3867" s="3" t="s">
        <v>78</v>
      </c>
      <c r="BE3867" s="3" t="s">
        <v>37967</v>
      </c>
      <c r="BF3867" s="3" t="s">
        <v>38146</v>
      </c>
      <c r="BG3867" s="3" t="s">
        <v>38147</v>
      </c>
      <c r="BH3867">
        <f t="shared" si="96"/>
        <v>0</v>
      </c>
    </row>
    <row r="3868" spans="1:60" ht="87" x14ac:dyDescent="0.35">
      <c r="A3868" s="2" t="s">
        <v>6202</v>
      </c>
      <c r="B3868" s="2" t="s">
        <v>38148</v>
      </c>
      <c r="C3868" s="2" t="s">
        <v>38149</v>
      </c>
      <c r="D3868" s="2" t="s">
        <v>38150</v>
      </c>
      <c r="E3868" s="2" t="s">
        <v>38151</v>
      </c>
      <c r="G3868" s="3" t="s">
        <v>64</v>
      </c>
      <c r="I3868" s="3" t="s">
        <v>64</v>
      </c>
      <c r="J3868" s="3" t="s">
        <v>128</v>
      </c>
      <c r="K3868" s="3" t="s">
        <v>65</v>
      </c>
      <c r="L3868" s="2" t="s">
        <v>38152</v>
      </c>
      <c r="M3868" s="2" t="s">
        <v>17610</v>
      </c>
      <c r="N3868" s="3" t="s">
        <v>434</v>
      </c>
      <c r="O3868" s="2" t="s">
        <v>25567</v>
      </c>
      <c r="P3868" s="3" t="s">
        <v>102</v>
      </c>
      <c r="R3868" s="3" t="s">
        <v>70</v>
      </c>
      <c r="S3868" s="4">
        <v>2</v>
      </c>
      <c r="T3868" s="4">
        <v>2</v>
      </c>
      <c r="U3868" s="5" t="s">
        <v>3723</v>
      </c>
      <c r="V3868" s="5" t="s">
        <v>3723</v>
      </c>
      <c r="W3868" s="5" t="s">
        <v>72</v>
      </c>
      <c r="X3868" s="5" t="s">
        <v>72</v>
      </c>
      <c r="Y3868" s="4">
        <v>245</v>
      </c>
      <c r="Z3868" s="4">
        <v>16</v>
      </c>
      <c r="AA3868" s="4">
        <v>65</v>
      </c>
      <c r="AB3868" s="4">
        <v>2</v>
      </c>
      <c r="AC3868" s="4">
        <v>12</v>
      </c>
      <c r="AD3868" s="4">
        <v>50</v>
      </c>
      <c r="AE3868" s="4">
        <v>94</v>
      </c>
      <c r="AF3868" s="4">
        <v>0</v>
      </c>
      <c r="AG3868" s="4">
        <v>3</v>
      </c>
      <c r="AH3868" s="4">
        <v>49</v>
      </c>
      <c r="AI3868" s="4">
        <v>80</v>
      </c>
      <c r="AJ3868" s="4">
        <v>4</v>
      </c>
      <c r="AK3868" s="4">
        <v>15</v>
      </c>
      <c r="AL3868" s="4">
        <v>30</v>
      </c>
      <c r="AM3868" s="4">
        <v>40</v>
      </c>
      <c r="AN3868" s="4">
        <v>0</v>
      </c>
      <c r="AO3868" s="4">
        <v>0</v>
      </c>
      <c r="AP3868" s="4">
        <v>6</v>
      </c>
      <c r="AQ3868" s="4">
        <v>20</v>
      </c>
      <c r="AR3868" s="3" t="s">
        <v>64</v>
      </c>
      <c r="AS3868" s="3" t="s">
        <v>64</v>
      </c>
      <c r="AT3868" s="3" t="s">
        <v>64</v>
      </c>
      <c r="AV3868" s="6" t="str">
        <f>HYPERLINK("http://mcgill.on.worldcat.org/oclc/57124226","Catalog Record")</f>
        <v>Catalog Record</v>
      </c>
      <c r="AW3868" s="6" t="str">
        <f>HYPERLINK("http://www.worldcat.org/oclc/57124226","WorldCat Record")</f>
        <v>WorldCat Record</v>
      </c>
      <c r="AX3868" s="3" t="s">
        <v>38153</v>
      </c>
      <c r="AY3868" s="3" t="s">
        <v>38154</v>
      </c>
      <c r="AZ3868" s="3" t="s">
        <v>38155</v>
      </c>
      <c r="BA3868" s="3" t="s">
        <v>38155</v>
      </c>
      <c r="BB3868" s="3" t="s">
        <v>38156</v>
      </c>
      <c r="BC3868" s="3" t="s">
        <v>77</v>
      </c>
      <c r="BD3868" s="3" t="s">
        <v>165</v>
      </c>
      <c r="BE3868" s="3" t="s">
        <v>38157</v>
      </c>
      <c r="BF3868" s="3" t="s">
        <v>38156</v>
      </c>
      <c r="BG3868" s="3" t="s">
        <v>38158</v>
      </c>
      <c r="BH3868">
        <f t="shared" si="96"/>
        <v>0</v>
      </c>
    </row>
    <row r="3869" spans="1:60" ht="58" x14ac:dyDescent="0.35">
      <c r="A3869" s="2" t="s">
        <v>59</v>
      </c>
      <c r="B3869" s="2" t="s">
        <v>60</v>
      </c>
      <c r="C3869" s="2" t="s">
        <v>38159</v>
      </c>
      <c r="D3869" s="2" t="s">
        <v>38160</v>
      </c>
      <c r="E3869" s="2" t="s">
        <v>38161</v>
      </c>
      <c r="G3869" s="3" t="s">
        <v>64</v>
      </c>
      <c r="I3869" s="3" t="s">
        <v>64</v>
      </c>
      <c r="J3869" s="3" t="s">
        <v>128</v>
      </c>
      <c r="K3869" s="3" t="s">
        <v>65</v>
      </c>
      <c r="L3869" s="2" t="s">
        <v>38162</v>
      </c>
      <c r="M3869" s="2" t="s">
        <v>38163</v>
      </c>
      <c r="N3869" s="3" t="s">
        <v>1821</v>
      </c>
      <c r="P3869" s="3" t="s">
        <v>102</v>
      </c>
      <c r="Q3869" s="2" t="s">
        <v>38164</v>
      </c>
      <c r="R3869" s="3" t="s">
        <v>70</v>
      </c>
      <c r="S3869" s="4">
        <v>3</v>
      </c>
      <c r="T3869" s="4">
        <v>3</v>
      </c>
      <c r="U3869" s="5" t="s">
        <v>3723</v>
      </c>
      <c r="V3869" s="5" t="s">
        <v>3723</v>
      </c>
      <c r="W3869" s="5" t="s">
        <v>72</v>
      </c>
      <c r="X3869" s="5" t="s">
        <v>72</v>
      </c>
      <c r="Y3869" s="4">
        <v>159</v>
      </c>
      <c r="Z3869" s="4">
        <v>5</v>
      </c>
      <c r="AA3869" s="4">
        <v>10</v>
      </c>
      <c r="AB3869" s="4">
        <v>1</v>
      </c>
      <c r="AC3869" s="4">
        <v>1</v>
      </c>
      <c r="AD3869" s="4">
        <v>59</v>
      </c>
      <c r="AE3869" s="4">
        <v>84</v>
      </c>
      <c r="AF3869" s="4">
        <v>0</v>
      </c>
      <c r="AG3869" s="4">
        <v>0</v>
      </c>
      <c r="AH3869" s="4">
        <v>57</v>
      </c>
      <c r="AI3869" s="4">
        <v>80</v>
      </c>
      <c r="AJ3869" s="4">
        <v>2</v>
      </c>
      <c r="AK3869" s="4">
        <v>7</v>
      </c>
      <c r="AL3869" s="4">
        <v>39</v>
      </c>
      <c r="AM3869" s="4">
        <v>47</v>
      </c>
      <c r="AN3869" s="4">
        <v>0</v>
      </c>
      <c r="AO3869" s="4">
        <v>0</v>
      </c>
      <c r="AP3869" s="4">
        <v>2</v>
      </c>
      <c r="AQ3869" s="4">
        <v>7</v>
      </c>
      <c r="AR3869" s="3" t="s">
        <v>64</v>
      </c>
      <c r="AS3869" s="3" t="s">
        <v>64</v>
      </c>
      <c r="AT3869" s="3" t="s">
        <v>128</v>
      </c>
      <c r="AU3869" s="6" t="str">
        <f>HYPERLINK("http://catalog.hathitrust.org/Record/001166852","HathiTrust Record")</f>
        <v>HathiTrust Record</v>
      </c>
      <c r="AV3869" s="6" t="str">
        <f>HYPERLINK("http://mcgill.on.worldcat.org/oclc/592590","Catalog Record")</f>
        <v>Catalog Record</v>
      </c>
      <c r="AW3869" s="6" t="str">
        <f>HYPERLINK("http://www.worldcat.org/oclc/592590","WorldCat Record")</f>
        <v>WorldCat Record</v>
      </c>
      <c r="AX3869" s="3" t="s">
        <v>38165</v>
      </c>
      <c r="AY3869" s="3" t="s">
        <v>38166</v>
      </c>
      <c r="AZ3869" s="3" t="s">
        <v>38167</v>
      </c>
      <c r="BA3869" s="3" t="s">
        <v>38167</v>
      </c>
      <c r="BB3869" s="3" t="s">
        <v>38168</v>
      </c>
      <c r="BC3869" s="3" t="s">
        <v>77</v>
      </c>
      <c r="BD3869" s="3" t="s">
        <v>78</v>
      </c>
      <c r="BF3869" s="3" t="s">
        <v>38168</v>
      </c>
      <c r="BG3869" s="3" t="s">
        <v>38169</v>
      </c>
      <c r="BH3869">
        <f t="shared" si="96"/>
        <v>0</v>
      </c>
    </row>
    <row r="3870" spans="1:60" ht="58" x14ac:dyDescent="0.35">
      <c r="A3870" s="2" t="s">
        <v>59</v>
      </c>
      <c r="B3870" s="2" t="s">
        <v>60</v>
      </c>
      <c r="C3870" s="2" t="s">
        <v>38170</v>
      </c>
      <c r="D3870" s="2" t="s">
        <v>38171</v>
      </c>
      <c r="E3870" s="2" t="s">
        <v>38172</v>
      </c>
      <c r="G3870" s="3" t="s">
        <v>64</v>
      </c>
      <c r="I3870" s="3" t="s">
        <v>64</v>
      </c>
      <c r="J3870" s="3" t="s">
        <v>128</v>
      </c>
      <c r="K3870" s="3" t="s">
        <v>65</v>
      </c>
      <c r="M3870" s="2" t="s">
        <v>38173</v>
      </c>
      <c r="N3870" s="3" t="s">
        <v>101</v>
      </c>
      <c r="O3870" s="2" t="s">
        <v>172</v>
      </c>
      <c r="P3870" s="3" t="s">
        <v>102</v>
      </c>
      <c r="R3870" s="3" t="s">
        <v>70</v>
      </c>
      <c r="S3870" s="4">
        <v>1</v>
      </c>
      <c r="T3870" s="4">
        <v>1</v>
      </c>
      <c r="U3870" s="5" t="s">
        <v>4481</v>
      </c>
      <c r="V3870" s="5" t="s">
        <v>4481</v>
      </c>
      <c r="W3870" s="5" t="s">
        <v>72</v>
      </c>
      <c r="X3870" s="5" t="s">
        <v>72</v>
      </c>
      <c r="Y3870" s="4">
        <v>444</v>
      </c>
      <c r="Z3870" s="4">
        <v>23</v>
      </c>
      <c r="AA3870" s="4">
        <v>40</v>
      </c>
      <c r="AB3870" s="4">
        <v>3</v>
      </c>
      <c r="AC3870" s="4">
        <v>9</v>
      </c>
      <c r="AD3870" s="4">
        <v>76</v>
      </c>
      <c r="AE3870" s="4">
        <v>105</v>
      </c>
      <c r="AF3870" s="4">
        <v>1</v>
      </c>
      <c r="AG3870" s="4">
        <v>4</v>
      </c>
      <c r="AH3870" s="4">
        <v>67</v>
      </c>
      <c r="AI3870" s="4">
        <v>89</v>
      </c>
      <c r="AJ3870" s="4">
        <v>12</v>
      </c>
      <c r="AK3870" s="4">
        <v>17</v>
      </c>
      <c r="AL3870" s="4">
        <v>41</v>
      </c>
      <c r="AM3870" s="4">
        <v>49</v>
      </c>
      <c r="AN3870" s="4">
        <v>0</v>
      </c>
      <c r="AO3870" s="4">
        <v>0</v>
      </c>
      <c r="AP3870" s="4">
        <v>12</v>
      </c>
      <c r="AQ3870" s="4">
        <v>21</v>
      </c>
      <c r="AR3870" s="3" t="s">
        <v>64</v>
      </c>
      <c r="AS3870" s="3" t="s">
        <v>64</v>
      </c>
      <c r="AT3870" s="3" t="s">
        <v>64</v>
      </c>
      <c r="AV3870" s="6" t="str">
        <f>HYPERLINK("http://mcgill.on.worldcat.org/oclc/50480180","Catalog Record")</f>
        <v>Catalog Record</v>
      </c>
      <c r="AW3870" s="6" t="str">
        <f>HYPERLINK("http://www.worldcat.org/oclc/50480180","WorldCat Record")</f>
        <v>WorldCat Record</v>
      </c>
      <c r="AX3870" s="3" t="s">
        <v>38174</v>
      </c>
      <c r="AY3870" s="3" t="s">
        <v>38175</v>
      </c>
      <c r="AZ3870" s="3" t="s">
        <v>38176</v>
      </c>
      <c r="BA3870" s="3" t="s">
        <v>38176</v>
      </c>
      <c r="BB3870" s="3" t="s">
        <v>38177</v>
      </c>
      <c r="BC3870" s="3" t="s">
        <v>77</v>
      </c>
      <c r="BD3870" s="3" t="s">
        <v>78</v>
      </c>
      <c r="BE3870" s="3" t="s">
        <v>38178</v>
      </c>
      <c r="BF3870" s="3" t="s">
        <v>38177</v>
      </c>
      <c r="BG3870" s="3" t="s">
        <v>38179</v>
      </c>
      <c r="BH3870">
        <f t="shared" si="96"/>
        <v>0</v>
      </c>
    </row>
    <row r="3871" spans="1:60" ht="72.5" x14ac:dyDescent="0.35">
      <c r="A3871" s="2" t="s">
        <v>59</v>
      </c>
      <c r="B3871" s="2" t="s">
        <v>60</v>
      </c>
      <c r="C3871" s="2" t="s">
        <v>38180</v>
      </c>
      <c r="D3871" s="2" t="s">
        <v>38181</v>
      </c>
      <c r="E3871" s="2" t="s">
        <v>38182</v>
      </c>
      <c r="G3871" s="3" t="s">
        <v>64</v>
      </c>
      <c r="I3871" s="3" t="s">
        <v>64</v>
      </c>
      <c r="J3871" s="3" t="s">
        <v>64</v>
      </c>
      <c r="K3871" s="3" t="s">
        <v>65</v>
      </c>
      <c r="L3871" s="2" t="s">
        <v>38183</v>
      </c>
      <c r="M3871" s="2" t="s">
        <v>38184</v>
      </c>
      <c r="N3871" s="3" t="s">
        <v>38185</v>
      </c>
      <c r="P3871" s="3" t="s">
        <v>102</v>
      </c>
      <c r="Q3871" s="2" t="s">
        <v>38186</v>
      </c>
      <c r="R3871" s="3" t="s">
        <v>70</v>
      </c>
      <c r="S3871" s="4">
        <v>1</v>
      </c>
      <c r="T3871" s="4">
        <v>1</v>
      </c>
      <c r="U3871" s="5" t="s">
        <v>3723</v>
      </c>
      <c r="V3871" s="5" t="s">
        <v>3723</v>
      </c>
      <c r="W3871" s="5" t="s">
        <v>72</v>
      </c>
      <c r="X3871" s="5" t="s">
        <v>72</v>
      </c>
      <c r="Y3871" s="4">
        <v>178</v>
      </c>
      <c r="Z3871" s="4">
        <v>4</v>
      </c>
      <c r="AA3871" s="4">
        <v>7</v>
      </c>
      <c r="AB3871" s="4">
        <v>1</v>
      </c>
      <c r="AC3871" s="4">
        <v>2</v>
      </c>
      <c r="AD3871" s="4">
        <v>65</v>
      </c>
      <c r="AE3871" s="4">
        <v>68</v>
      </c>
      <c r="AF3871" s="4">
        <v>0</v>
      </c>
      <c r="AG3871" s="4">
        <v>0</v>
      </c>
      <c r="AH3871" s="4">
        <v>63</v>
      </c>
      <c r="AI3871" s="4">
        <v>64</v>
      </c>
      <c r="AJ3871" s="4">
        <v>1</v>
      </c>
      <c r="AK3871" s="4">
        <v>2</v>
      </c>
      <c r="AL3871" s="4">
        <v>36</v>
      </c>
      <c r="AM3871" s="4">
        <v>37</v>
      </c>
      <c r="AN3871" s="4">
        <v>0</v>
      </c>
      <c r="AO3871" s="4">
        <v>0</v>
      </c>
      <c r="AP3871" s="4">
        <v>1</v>
      </c>
      <c r="AQ3871" s="4">
        <v>2</v>
      </c>
      <c r="AR3871" s="3" t="s">
        <v>64</v>
      </c>
      <c r="AS3871" s="3" t="s">
        <v>128</v>
      </c>
      <c r="AT3871" s="3" t="s">
        <v>64</v>
      </c>
      <c r="AU3871" s="6" t="str">
        <f>HYPERLINK("http://catalog.hathitrust.org/Record/001166859","HathiTrust Record")</f>
        <v>HathiTrust Record</v>
      </c>
      <c r="AV3871" s="6" t="str">
        <f>HYPERLINK("http://mcgill.on.worldcat.org/oclc/788170","Catalog Record")</f>
        <v>Catalog Record</v>
      </c>
      <c r="AW3871" s="6" t="str">
        <f>HYPERLINK("http://www.worldcat.org/oclc/788170","WorldCat Record")</f>
        <v>WorldCat Record</v>
      </c>
      <c r="AX3871" s="3" t="s">
        <v>38187</v>
      </c>
      <c r="AY3871" s="3" t="s">
        <v>38188</v>
      </c>
      <c r="AZ3871" s="3" t="s">
        <v>38189</v>
      </c>
      <c r="BA3871" s="3" t="s">
        <v>38189</v>
      </c>
      <c r="BB3871" s="3" t="s">
        <v>38190</v>
      </c>
      <c r="BC3871" s="3" t="s">
        <v>77</v>
      </c>
      <c r="BD3871" s="3" t="s">
        <v>78</v>
      </c>
      <c r="BF3871" s="3" t="s">
        <v>38190</v>
      </c>
      <c r="BG3871" s="3" t="s">
        <v>38191</v>
      </c>
      <c r="BH3871">
        <f t="shared" si="96"/>
        <v>0</v>
      </c>
    </row>
    <row r="3872" spans="1:60" ht="58" x14ac:dyDescent="0.35">
      <c r="A3872" s="2" t="s">
        <v>59</v>
      </c>
      <c r="B3872" s="2" t="s">
        <v>60</v>
      </c>
      <c r="C3872" s="2" t="s">
        <v>38192</v>
      </c>
      <c r="D3872" s="2" t="s">
        <v>38193</v>
      </c>
      <c r="E3872" s="2" t="s">
        <v>38194</v>
      </c>
      <c r="G3872" s="3" t="s">
        <v>64</v>
      </c>
      <c r="I3872" s="3" t="s">
        <v>64</v>
      </c>
      <c r="J3872" s="3" t="s">
        <v>64</v>
      </c>
      <c r="K3872" s="3" t="s">
        <v>65</v>
      </c>
      <c r="L3872" s="2" t="s">
        <v>38195</v>
      </c>
      <c r="M3872" s="2" t="s">
        <v>32021</v>
      </c>
      <c r="N3872" s="3" t="s">
        <v>1275</v>
      </c>
      <c r="P3872" s="3" t="s">
        <v>102</v>
      </c>
      <c r="R3872" s="3" t="s">
        <v>70</v>
      </c>
      <c r="S3872" s="4">
        <v>1</v>
      </c>
      <c r="T3872" s="4">
        <v>1</v>
      </c>
      <c r="U3872" s="5" t="s">
        <v>38196</v>
      </c>
      <c r="V3872" s="5" t="s">
        <v>38196</v>
      </c>
      <c r="W3872" s="5" t="s">
        <v>72</v>
      </c>
      <c r="X3872" s="5" t="s">
        <v>72</v>
      </c>
      <c r="Y3872" s="4">
        <v>567</v>
      </c>
      <c r="Z3872" s="4">
        <v>29</v>
      </c>
      <c r="AA3872" s="4">
        <v>34</v>
      </c>
      <c r="AB3872" s="4">
        <v>2</v>
      </c>
      <c r="AC3872" s="4">
        <v>7</v>
      </c>
      <c r="AD3872" s="4">
        <v>79</v>
      </c>
      <c r="AE3872" s="4">
        <v>87</v>
      </c>
      <c r="AF3872" s="4">
        <v>0</v>
      </c>
      <c r="AG3872" s="4">
        <v>4</v>
      </c>
      <c r="AH3872" s="4">
        <v>74</v>
      </c>
      <c r="AI3872" s="4">
        <v>79</v>
      </c>
      <c r="AJ3872" s="4">
        <v>9</v>
      </c>
      <c r="AK3872" s="4">
        <v>12</v>
      </c>
      <c r="AL3872" s="4">
        <v>37</v>
      </c>
      <c r="AM3872" s="4">
        <v>38</v>
      </c>
      <c r="AN3872" s="4">
        <v>0</v>
      </c>
      <c r="AO3872" s="4">
        <v>0</v>
      </c>
      <c r="AP3872" s="4">
        <v>11</v>
      </c>
      <c r="AQ3872" s="4">
        <v>14</v>
      </c>
      <c r="AR3872" s="3" t="s">
        <v>64</v>
      </c>
      <c r="AS3872" s="3" t="s">
        <v>64</v>
      </c>
      <c r="AT3872" s="3" t="s">
        <v>128</v>
      </c>
      <c r="AU3872" s="6" t="str">
        <f>HYPERLINK("http://catalog.hathitrust.org/Record/004722975","HathiTrust Record")</f>
        <v>HathiTrust Record</v>
      </c>
      <c r="AV3872" s="6" t="str">
        <f>HYPERLINK("http://mcgill.on.worldcat.org/oclc/53083989","Catalog Record")</f>
        <v>Catalog Record</v>
      </c>
      <c r="AW3872" s="6" t="str">
        <f>HYPERLINK("http://www.worldcat.org/oclc/53083989","WorldCat Record")</f>
        <v>WorldCat Record</v>
      </c>
      <c r="AX3872" s="3" t="s">
        <v>38197</v>
      </c>
      <c r="AY3872" s="3" t="s">
        <v>38198</v>
      </c>
      <c r="AZ3872" s="3" t="s">
        <v>38199</v>
      </c>
      <c r="BA3872" s="3" t="s">
        <v>38199</v>
      </c>
      <c r="BB3872" s="3" t="s">
        <v>38200</v>
      </c>
      <c r="BC3872" s="3" t="s">
        <v>77</v>
      </c>
      <c r="BD3872" s="3" t="s">
        <v>78</v>
      </c>
      <c r="BE3872" s="3" t="s">
        <v>38201</v>
      </c>
      <c r="BF3872" s="3" t="s">
        <v>38200</v>
      </c>
      <c r="BG3872" s="3" t="s">
        <v>38202</v>
      </c>
      <c r="BH3872">
        <f t="shared" si="96"/>
        <v>0</v>
      </c>
    </row>
    <row r="3873" spans="1:60" ht="87" x14ac:dyDescent="0.35">
      <c r="A3873" s="2" t="s">
        <v>59</v>
      </c>
      <c r="B3873" s="2" t="s">
        <v>60</v>
      </c>
      <c r="C3873" s="2" t="s">
        <v>38203</v>
      </c>
      <c r="D3873" s="2" t="s">
        <v>38204</v>
      </c>
      <c r="E3873" s="2" t="s">
        <v>38205</v>
      </c>
      <c r="G3873" s="3" t="s">
        <v>64</v>
      </c>
      <c r="I3873" s="3" t="s">
        <v>64</v>
      </c>
      <c r="J3873" s="3" t="s">
        <v>64</v>
      </c>
      <c r="K3873" s="3" t="s">
        <v>65</v>
      </c>
      <c r="L3873" s="2" t="s">
        <v>38206</v>
      </c>
      <c r="M3873" s="2" t="s">
        <v>38207</v>
      </c>
      <c r="N3873" s="3" t="s">
        <v>1938</v>
      </c>
      <c r="P3873" s="3" t="s">
        <v>102</v>
      </c>
      <c r="R3873" s="3" t="s">
        <v>70</v>
      </c>
      <c r="S3873" s="4">
        <v>1</v>
      </c>
      <c r="T3873" s="4">
        <v>1</v>
      </c>
      <c r="U3873" s="5" t="s">
        <v>14046</v>
      </c>
      <c r="V3873" s="5" t="s">
        <v>14046</v>
      </c>
      <c r="W3873" s="5" t="s">
        <v>72</v>
      </c>
      <c r="X3873" s="5" t="s">
        <v>72</v>
      </c>
      <c r="Y3873" s="4">
        <v>49</v>
      </c>
      <c r="Z3873" s="4">
        <v>7</v>
      </c>
      <c r="AA3873" s="4">
        <v>14</v>
      </c>
      <c r="AB3873" s="4">
        <v>2</v>
      </c>
      <c r="AC3873" s="4">
        <v>6</v>
      </c>
      <c r="AD3873" s="4">
        <v>7</v>
      </c>
      <c r="AE3873" s="4">
        <v>14</v>
      </c>
      <c r="AF3873" s="4">
        <v>1</v>
      </c>
      <c r="AG3873" s="4">
        <v>5</v>
      </c>
      <c r="AH3873" s="4">
        <v>5</v>
      </c>
      <c r="AI3873" s="4">
        <v>8</v>
      </c>
      <c r="AJ3873" s="4">
        <v>4</v>
      </c>
      <c r="AK3873" s="4">
        <v>10</v>
      </c>
      <c r="AL3873" s="4">
        <v>3</v>
      </c>
      <c r="AM3873" s="4">
        <v>3</v>
      </c>
      <c r="AN3873" s="4">
        <v>0</v>
      </c>
      <c r="AO3873" s="4">
        <v>0</v>
      </c>
      <c r="AP3873" s="4">
        <v>4</v>
      </c>
      <c r="AQ3873" s="4">
        <v>9</v>
      </c>
      <c r="AR3873" s="3" t="s">
        <v>64</v>
      </c>
      <c r="AS3873" s="3" t="s">
        <v>64</v>
      </c>
      <c r="AT3873" s="3" t="s">
        <v>64</v>
      </c>
      <c r="AV3873" s="6" t="str">
        <f>HYPERLINK("http://mcgill.on.worldcat.org/oclc/24667536","Catalog Record")</f>
        <v>Catalog Record</v>
      </c>
      <c r="AW3873" s="6" t="str">
        <f>HYPERLINK("http://www.worldcat.org/oclc/24667536","WorldCat Record")</f>
        <v>WorldCat Record</v>
      </c>
      <c r="AX3873" s="3" t="s">
        <v>38208</v>
      </c>
      <c r="AY3873" s="3" t="s">
        <v>38209</v>
      </c>
      <c r="AZ3873" s="3" t="s">
        <v>38210</v>
      </c>
      <c r="BA3873" s="3" t="s">
        <v>38210</v>
      </c>
      <c r="BB3873" s="3" t="s">
        <v>38211</v>
      </c>
      <c r="BC3873" s="3" t="s">
        <v>77</v>
      </c>
      <c r="BD3873" s="3" t="s">
        <v>78</v>
      </c>
      <c r="BF3873" s="3" t="s">
        <v>38211</v>
      </c>
      <c r="BG3873" s="3" t="s">
        <v>38212</v>
      </c>
      <c r="BH3873">
        <f t="shared" si="96"/>
        <v>0</v>
      </c>
    </row>
    <row r="3874" spans="1:60" ht="58" x14ac:dyDescent="0.35">
      <c r="A3874" s="2" t="s">
        <v>59</v>
      </c>
      <c r="B3874" s="2" t="s">
        <v>60</v>
      </c>
      <c r="C3874" s="2" t="s">
        <v>38213</v>
      </c>
      <c r="D3874" s="2" t="s">
        <v>38214</v>
      </c>
      <c r="E3874" s="2" t="s">
        <v>38215</v>
      </c>
      <c r="G3874" s="3" t="s">
        <v>64</v>
      </c>
      <c r="I3874" s="3" t="s">
        <v>64</v>
      </c>
      <c r="J3874" s="3" t="s">
        <v>64</v>
      </c>
      <c r="K3874" s="3" t="s">
        <v>65</v>
      </c>
      <c r="L3874" s="2" t="s">
        <v>38216</v>
      </c>
      <c r="M3874" s="2" t="s">
        <v>16163</v>
      </c>
      <c r="N3874" s="3" t="s">
        <v>2067</v>
      </c>
      <c r="P3874" s="3" t="s">
        <v>102</v>
      </c>
      <c r="R3874" s="3" t="s">
        <v>70</v>
      </c>
      <c r="S3874" s="4">
        <v>3</v>
      </c>
      <c r="T3874" s="4">
        <v>3</v>
      </c>
      <c r="U3874" s="5" t="s">
        <v>38217</v>
      </c>
      <c r="V3874" s="5" t="s">
        <v>38217</v>
      </c>
      <c r="W3874" s="5" t="s">
        <v>72</v>
      </c>
      <c r="X3874" s="5" t="s">
        <v>72</v>
      </c>
      <c r="Y3874" s="4">
        <v>275</v>
      </c>
      <c r="Z3874" s="4">
        <v>23</v>
      </c>
      <c r="AA3874" s="4">
        <v>28</v>
      </c>
      <c r="AB3874" s="4">
        <v>4</v>
      </c>
      <c r="AC3874" s="4">
        <v>7</v>
      </c>
      <c r="AD3874" s="4">
        <v>92</v>
      </c>
      <c r="AE3874" s="4">
        <v>96</v>
      </c>
      <c r="AF3874" s="4">
        <v>1</v>
      </c>
      <c r="AG3874" s="4">
        <v>2</v>
      </c>
      <c r="AH3874" s="4">
        <v>82</v>
      </c>
      <c r="AI3874" s="4">
        <v>85</v>
      </c>
      <c r="AJ3874" s="4">
        <v>14</v>
      </c>
      <c r="AK3874" s="4">
        <v>15</v>
      </c>
      <c r="AL3874" s="4">
        <v>45</v>
      </c>
      <c r="AM3874" s="4">
        <v>48</v>
      </c>
      <c r="AN3874" s="4">
        <v>0</v>
      </c>
      <c r="AO3874" s="4">
        <v>0</v>
      </c>
      <c r="AP3874" s="4">
        <v>14</v>
      </c>
      <c r="AQ3874" s="4">
        <v>14</v>
      </c>
      <c r="AR3874" s="3" t="s">
        <v>64</v>
      </c>
      <c r="AS3874" s="3" t="s">
        <v>64</v>
      </c>
      <c r="AT3874" s="3" t="s">
        <v>128</v>
      </c>
      <c r="AU3874" s="6" t="str">
        <f>HYPERLINK("http://catalog.hathitrust.org/Record/001300113","HathiTrust Record")</f>
        <v>HathiTrust Record</v>
      </c>
      <c r="AV3874" s="6" t="str">
        <f>HYPERLINK("http://mcgill.on.worldcat.org/oclc/18876615","Catalog Record")</f>
        <v>Catalog Record</v>
      </c>
      <c r="AW3874" s="6" t="str">
        <f>HYPERLINK("http://www.worldcat.org/oclc/18876615","WorldCat Record")</f>
        <v>WorldCat Record</v>
      </c>
      <c r="AX3874" s="3" t="s">
        <v>38218</v>
      </c>
      <c r="AY3874" s="3" t="s">
        <v>38219</v>
      </c>
      <c r="AZ3874" s="3" t="s">
        <v>38220</v>
      </c>
      <c r="BA3874" s="3" t="s">
        <v>38220</v>
      </c>
      <c r="BB3874" s="3" t="s">
        <v>38221</v>
      </c>
      <c r="BC3874" s="3" t="s">
        <v>77</v>
      </c>
      <c r="BD3874" s="3" t="s">
        <v>78</v>
      </c>
      <c r="BE3874" s="3" t="s">
        <v>38222</v>
      </c>
      <c r="BF3874" s="3" t="s">
        <v>38221</v>
      </c>
      <c r="BG3874" s="3" t="s">
        <v>38223</v>
      </c>
      <c r="BH3874">
        <f t="shared" si="96"/>
        <v>0</v>
      </c>
    </row>
    <row r="3875" spans="1:60" ht="116" x14ac:dyDescent="0.35">
      <c r="A3875" s="2" t="s">
        <v>59</v>
      </c>
      <c r="B3875" s="2" t="s">
        <v>25844</v>
      </c>
      <c r="C3875" s="2" t="s">
        <v>38224</v>
      </c>
      <c r="D3875" s="2" t="s">
        <v>38225</v>
      </c>
      <c r="E3875" s="2" t="s">
        <v>38226</v>
      </c>
      <c r="G3875" s="3" t="s">
        <v>64</v>
      </c>
      <c r="I3875" s="3" t="s">
        <v>64</v>
      </c>
      <c r="J3875" s="3" t="s">
        <v>64</v>
      </c>
      <c r="K3875" s="3" t="s">
        <v>65</v>
      </c>
      <c r="M3875" s="2" t="s">
        <v>25454</v>
      </c>
      <c r="N3875" s="3" t="s">
        <v>511</v>
      </c>
      <c r="O3875" s="2" t="s">
        <v>1189</v>
      </c>
      <c r="P3875" s="3" t="s">
        <v>1190</v>
      </c>
      <c r="Q3875" s="2" t="s">
        <v>38227</v>
      </c>
      <c r="R3875" s="3" t="s">
        <v>70</v>
      </c>
      <c r="S3875" s="4">
        <v>0</v>
      </c>
      <c r="T3875" s="4">
        <v>0</v>
      </c>
      <c r="W3875" s="5" t="s">
        <v>72</v>
      </c>
      <c r="X3875" s="5" t="s">
        <v>72</v>
      </c>
      <c r="Y3875" s="4">
        <v>38</v>
      </c>
      <c r="Z3875" s="4">
        <v>5</v>
      </c>
      <c r="AA3875" s="4">
        <v>5</v>
      </c>
      <c r="AB3875" s="4">
        <v>1</v>
      </c>
      <c r="AC3875" s="4">
        <v>1</v>
      </c>
      <c r="AD3875" s="4">
        <v>25</v>
      </c>
      <c r="AE3875" s="4">
        <v>25</v>
      </c>
      <c r="AF3875" s="4">
        <v>0</v>
      </c>
      <c r="AG3875" s="4">
        <v>0</v>
      </c>
      <c r="AH3875" s="4">
        <v>23</v>
      </c>
      <c r="AI3875" s="4">
        <v>23</v>
      </c>
      <c r="AJ3875" s="4">
        <v>3</v>
      </c>
      <c r="AK3875" s="4">
        <v>3</v>
      </c>
      <c r="AL3875" s="4">
        <v>20</v>
      </c>
      <c r="AM3875" s="4">
        <v>20</v>
      </c>
      <c r="AN3875" s="4">
        <v>0</v>
      </c>
      <c r="AO3875" s="4">
        <v>0</v>
      </c>
      <c r="AP3875" s="4">
        <v>3</v>
      </c>
      <c r="AQ3875" s="4">
        <v>3</v>
      </c>
      <c r="AR3875" s="3" t="s">
        <v>64</v>
      </c>
      <c r="AS3875" s="3" t="s">
        <v>64</v>
      </c>
      <c r="AT3875" s="3" t="s">
        <v>64</v>
      </c>
      <c r="AV3875" s="6" t="str">
        <f>HYPERLINK("http://mcgill.on.worldcat.org/oclc/707477545","Catalog Record")</f>
        <v>Catalog Record</v>
      </c>
      <c r="AW3875" s="6" t="str">
        <f>HYPERLINK("http://www.worldcat.org/oclc/707477545","WorldCat Record")</f>
        <v>WorldCat Record</v>
      </c>
      <c r="AX3875" s="3" t="s">
        <v>38228</v>
      </c>
      <c r="AY3875" s="3" t="s">
        <v>38229</v>
      </c>
      <c r="AZ3875" s="3" t="s">
        <v>38230</v>
      </c>
      <c r="BA3875" s="3" t="s">
        <v>38230</v>
      </c>
      <c r="BB3875" s="3" t="s">
        <v>38231</v>
      </c>
      <c r="BC3875" s="3" t="s">
        <v>77</v>
      </c>
      <c r="BD3875" s="3" t="s">
        <v>78</v>
      </c>
      <c r="BE3875" s="3" t="s">
        <v>38232</v>
      </c>
      <c r="BF3875" s="3" t="s">
        <v>38231</v>
      </c>
      <c r="BG3875" s="3" t="s">
        <v>38233</v>
      </c>
      <c r="BH3875">
        <f t="shared" si="96"/>
        <v>0</v>
      </c>
    </row>
    <row r="3876" spans="1:60" ht="72.5" x14ac:dyDescent="0.35">
      <c r="A3876" s="2" t="s">
        <v>59</v>
      </c>
      <c r="B3876" s="2" t="s">
        <v>60</v>
      </c>
      <c r="C3876" s="2" t="s">
        <v>38236</v>
      </c>
      <c r="D3876" s="2" t="s">
        <v>38237</v>
      </c>
      <c r="E3876" s="2" t="s">
        <v>38238</v>
      </c>
      <c r="G3876" s="3" t="s">
        <v>64</v>
      </c>
      <c r="I3876" s="3" t="s">
        <v>64</v>
      </c>
      <c r="J3876" s="3" t="s">
        <v>64</v>
      </c>
      <c r="K3876" s="3" t="s">
        <v>65</v>
      </c>
      <c r="L3876" s="2" t="s">
        <v>38239</v>
      </c>
      <c r="M3876" s="2" t="s">
        <v>38240</v>
      </c>
      <c r="N3876" s="3" t="s">
        <v>578</v>
      </c>
      <c r="P3876" s="3" t="s">
        <v>102</v>
      </c>
      <c r="R3876" s="3" t="s">
        <v>70</v>
      </c>
      <c r="S3876" s="4">
        <v>0</v>
      </c>
      <c r="T3876" s="4">
        <v>0</v>
      </c>
      <c r="W3876" s="5" t="s">
        <v>22691</v>
      </c>
      <c r="X3876" s="5" t="s">
        <v>22691</v>
      </c>
      <c r="Y3876" s="4">
        <v>28</v>
      </c>
      <c r="Z3876" s="4">
        <v>1</v>
      </c>
      <c r="AA3876" s="4">
        <v>12</v>
      </c>
      <c r="AB3876" s="4">
        <v>1</v>
      </c>
      <c r="AC3876" s="4">
        <v>8</v>
      </c>
      <c r="AD3876" s="4">
        <v>15</v>
      </c>
      <c r="AE3876" s="4">
        <v>36</v>
      </c>
      <c r="AF3876" s="4">
        <v>0</v>
      </c>
      <c r="AG3876" s="4">
        <v>4</v>
      </c>
      <c r="AH3876" s="4">
        <v>14</v>
      </c>
      <c r="AI3876" s="4">
        <v>28</v>
      </c>
      <c r="AJ3876" s="4">
        <v>0</v>
      </c>
      <c r="AK3876" s="4">
        <v>5</v>
      </c>
      <c r="AL3876" s="4">
        <v>12</v>
      </c>
      <c r="AM3876" s="4">
        <v>20</v>
      </c>
      <c r="AN3876" s="4">
        <v>0</v>
      </c>
      <c r="AO3876" s="4">
        <v>0</v>
      </c>
      <c r="AP3876" s="4">
        <v>0</v>
      </c>
      <c r="AQ3876" s="4">
        <v>6</v>
      </c>
      <c r="AR3876" s="3" t="s">
        <v>64</v>
      </c>
      <c r="AS3876" s="3" t="s">
        <v>64</v>
      </c>
      <c r="AT3876" s="3" t="s">
        <v>64</v>
      </c>
      <c r="AV3876" s="6" t="str">
        <f>HYPERLINK("http://mcgill.on.worldcat.org/oclc/1005846864","Catalog Record")</f>
        <v>Catalog Record</v>
      </c>
      <c r="AW3876" s="6" t="str">
        <f>HYPERLINK("http://www.worldcat.org/oclc/1005846864","WorldCat Record")</f>
        <v>WorldCat Record</v>
      </c>
      <c r="AX3876" s="3" t="s">
        <v>38241</v>
      </c>
      <c r="AY3876" s="3" t="s">
        <v>38242</v>
      </c>
      <c r="AZ3876" s="3" t="s">
        <v>38243</v>
      </c>
      <c r="BA3876" s="3" t="s">
        <v>38243</v>
      </c>
      <c r="BB3876" s="3" t="s">
        <v>38244</v>
      </c>
      <c r="BC3876" s="3" t="s">
        <v>77</v>
      </c>
      <c r="BD3876" s="3" t="s">
        <v>78</v>
      </c>
      <c r="BE3876" s="3" t="s">
        <v>38245</v>
      </c>
      <c r="BF3876" s="3" t="s">
        <v>38244</v>
      </c>
      <c r="BG3876" s="3" t="s">
        <v>38246</v>
      </c>
      <c r="BH3876">
        <f t="shared" si="96"/>
        <v>0</v>
      </c>
    </row>
    <row r="3877" spans="1:60" ht="72.5" x14ac:dyDescent="0.35">
      <c r="A3877" s="2" t="s">
        <v>1040</v>
      </c>
      <c r="B3877" s="2" t="s">
        <v>60</v>
      </c>
      <c r="C3877" s="2" t="s">
        <v>38247</v>
      </c>
      <c r="D3877" s="2" t="s">
        <v>38248</v>
      </c>
      <c r="E3877" s="2" t="s">
        <v>38249</v>
      </c>
      <c r="F3877" s="3" t="s">
        <v>38250</v>
      </c>
      <c r="G3877" s="3" t="s">
        <v>64</v>
      </c>
      <c r="I3877" s="3" t="s">
        <v>64</v>
      </c>
      <c r="J3877" s="3" t="s">
        <v>64</v>
      </c>
      <c r="K3877" s="3" t="s">
        <v>65</v>
      </c>
      <c r="L3877" s="2" t="s">
        <v>38251</v>
      </c>
      <c r="M3877" s="2" t="s">
        <v>38252</v>
      </c>
      <c r="N3877" s="3" t="s">
        <v>4548</v>
      </c>
      <c r="P3877" s="3" t="s">
        <v>102</v>
      </c>
      <c r="Q3877" s="2" t="s">
        <v>38253</v>
      </c>
      <c r="R3877" s="3" t="s">
        <v>70</v>
      </c>
      <c r="S3877" s="4">
        <v>6</v>
      </c>
      <c r="T3877" s="4">
        <v>6</v>
      </c>
      <c r="U3877" s="5" t="s">
        <v>21485</v>
      </c>
      <c r="V3877" s="5" t="s">
        <v>21485</v>
      </c>
      <c r="W3877" s="5" t="s">
        <v>72</v>
      </c>
      <c r="X3877" s="5" t="s">
        <v>72</v>
      </c>
      <c r="Y3877" s="4">
        <v>2</v>
      </c>
      <c r="Z3877" s="4">
        <v>1</v>
      </c>
      <c r="AA3877" s="4">
        <v>1</v>
      </c>
      <c r="AB3877" s="4">
        <v>1</v>
      </c>
      <c r="AC3877" s="4">
        <v>1</v>
      </c>
      <c r="AD3877" s="4">
        <v>0</v>
      </c>
      <c r="AE3877" s="4">
        <v>0</v>
      </c>
      <c r="AF3877" s="4">
        <v>0</v>
      </c>
      <c r="AG3877" s="4">
        <v>0</v>
      </c>
      <c r="AH3877" s="4">
        <v>0</v>
      </c>
      <c r="AI3877" s="4">
        <v>0</v>
      </c>
      <c r="AJ3877" s="4">
        <v>0</v>
      </c>
      <c r="AK3877" s="4">
        <v>0</v>
      </c>
      <c r="AL3877" s="4">
        <v>0</v>
      </c>
      <c r="AM3877" s="4">
        <v>0</v>
      </c>
      <c r="AN3877" s="4">
        <v>0</v>
      </c>
      <c r="AO3877" s="4">
        <v>0</v>
      </c>
      <c r="AP3877" s="4">
        <v>0</v>
      </c>
      <c r="AQ3877" s="4">
        <v>0</v>
      </c>
      <c r="AR3877" s="3" t="s">
        <v>64</v>
      </c>
      <c r="AS3877" s="3" t="s">
        <v>64</v>
      </c>
      <c r="AT3877" s="3" t="s">
        <v>64</v>
      </c>
      <c r="AV3877" s="6" t="str">
        <f>HYPERLINK("http://mcgill.on.worldcat.org/oclc/221136664","Catalog Record")</f>
        <v>Catalog Record</v>
      </c>
      <c r="AW3877" s="6" t="str">
        <f>HYPERLINK("http://www.worldcat.org/oclc/221136664","WorldCat Record")</f>
        <v>WorldCat Record</v>
      </c>
      <c r="AX3877" s="3" t="s">
        <v>38254</v>
      </c>
      <c r="AY3877" s="3" t="s">
        <v>38255</v>
      </c>
      <c r="AZ3877" s="3" t="s">
        <v>38256</v>
      </c>
      <c r="BA3877" s="3" t="s">
        <v>38256</v>
      </c>
      <c r="BB3877" s="3" t="s">
        <v>38257</v>
      </c>
      <c r="BC3877" s="3" t="s">
        <v>77</v>
      </c>
      <c r="BD3877" s="3" t="s">
        <v>78</v>
      </c>
      <c r="BF3877" s="3" t="s">
        <v>38257</v>
      </c>
      <c r="BG3877" s="3" t="s">
        <v>38258</v>
      </c>
      <c r="BH3877">
        <f t="shared" si="96"/>
        <v>0</v>
      </c>
    </row>
    <row r="3878" spans="1:60" ht="58" x14ac:dyDescent="0.35">
      <c r="A3878" s="2" t="s">
        <v>59</v>
      </c>
      <c r="B3878" s="2" t="s">
        <v>60</v>
      </c>
      <c r="C3878" s="2" t="s">
        <v>38259</v>
      </c>
      <c r="D3878" s="2" t="s">
        <v>38260</v>
      </c>
      <c r="E3878" s="2" t="s">
        <v>38261</v>
      </c>
      <c r="G3878" s="3" t="s">
        <v>64</v>
      </c>
      <c r="I3878" s="3" t="s">
        <v>64</v>
      </c>
      <c r="J3878" s="3" t="s">
        <v>64</v>
      </c>
      <c r="K3878" s="3" t="s">
        <v>65</v>
      </c>
      <c r="L3878" s="2" t="s">
        <v>10904</v>
      </c>
      <c r="M3878" s="2" t="s">
        <v>6369</v>
      </c>
      <c r="N3878" s="3" t="s">
        <v>326</v>
      </c>
      <c r="P3878" s="3" t="s">
        <v>365</v>
      </c>
      <c r="Q3878" s="2" t="s">
        <v>38262</v>
      </c>
      <c r="R3878" s="3" t="s">
        <v>70</v>
      </c>
      <c r="S3878" s="4">
        <v>0</v>
      </c>
      <c r="T3878" s="4">
        <v>0</v>
      </c>
      <c r="W3878" s="5" t="s">
        <v>72</v>
      </c>
      <c r="X3878" s="5" t="s">
        <v>72</v>
      </c>
      <c r="Y3878" s="4">
        <v>44</v>
      </c>
      <c r="Z3878" s="4">
        <v>3</v>
      </c>
      <c r="AA3878" s="4">
        <v>3</v>
      </c>
      <c r="AB3878" s="4">
        <v>1</v>
      </c>
      <c r="AC3878" s="4">
        <v>1</v>
      </c>
      <c r="AD3878" s="4">
        <v>24</v>
      </c>
      <c r="AE3878" s="4">
        <v>24</v>
      </c>
      <c r="AF3878" s="4">
        <v>0</v>
      </c>
      <c r="AG3878" s="4">
        <v>0</v>
      </c>
      <c r="AH3878" s="4">
        <v>23</v>
      </c>
      <c r="AI3878" s="4">
        <v>23</v>
      </c>
      <c r="AJ3878" s="4">
        <v>1</v>
      </c>
      <c r="AK3878" s="4">
        <v>1</v>
      </c>
      <c r="AL3878" s="4">
        <v>20</v>
      </c>
      <c r="AM3878" s="4">
        <v>20</v>
      </c>
      <c r="AN3878" s="4">
        <v>0</v>
      </c>
      <c r="AO3878" s="4">
        <v>0</v>
      </c>
      <c r="AP3878" s="4">
        <v>1</v>
      </c>
      <c r="AQ3878" s="4">
        <v>1</v>
      </c>
      <c r="AR3878" s="3" t="s">
        <v>64</v>
      </c>
      <c r="AS3878" s="3" t="s">
        <v>64</v>
      </c>
      <c r="AT3878" s="3" t="s">
        <v>64</v>
      </c>
      <c r="AV3878" s="6" t="str">
        <f>HYPERLINK("http://mcgill.on.worldcat.org/oclc/740627315","Catalog Record")</f>
        <v>Catalog Record</v>
      </c>
      <c r="AW3878" s="6" t="str">
        <f>HYPERLINK("http://www.worldcat.org/oclc/740627315","WorldCat Record")</f>
        <v>WorldCat Record</v>
      </c>
      <c r="AX3878" s="3" t="s">
        <v>38263</v>
      </c>
      <c r="AY3878" s="3" t="s">
        <v>38264</v>
      </c>
      <c r="AZ3878" s="3" t="s">
        <v>38265</v>
      </c>
      <c r="BA3878" s="3" t="s">
        <v>38265</v>
      </c>
      <c r="BB3878" s="3" t="s">
        <v>38266</v>
      </c>
      <c r="BC3878" s="3" t="s">
        <v>77</v>
      </c>
      <c r="BD3878" s="3" t="s">
        <v>78</v>
      </c>
      <c r="BE3878" s="3" t="s">
        <v>38267</v>
      </c>
      <c r="BF3878" s="3" t="s">
        <v>38266</v>
      </c>
      <c r="BG3878" s="3" t="s">
        <v>38268</v>
      </c>
      <c r="BH3878">
        <f t="shared" si="96"/>
        <v>0</v>
      </c>
    </row>
    <row r="3879" spans="1:60" ht="72.5" x14ac:dyDescent="0.35">
      <c r="A3879" s="2" t="s">
        <v>59</v>
      </c>
      <c r="B3879" s="2" t="s">
        <v>60</v>
      </c>
      <c r="C3879" s="2" t="s">
        <v>38269</v>
      </c>
      <c r="D3879" s="2" t="s">
        <v>38270</v>
      </c>
      <c r="E3879" s="2" t="s">
        <v>38271</v>
      </c>
      <c r="G3879" s="3" t="s">
        <v>64</v>
      </c>
      <c r="I3879" s="3" t="s">
        <v>64</v>
      </c>
      <c r="J3879" s="3" t="s">
        <v>64</v>
      </c>
      <c r="K3879" s="3" t="s">
        <v>65</v>
      </c>
      <c r="L3879" s="2" t="s">
        <v>38272</v>
      </c>
      <c r="M3879" s="2" t="s">
        <v>38273</v>
      </c>
      <c r="N3879" s="3" t="s">
        <v>1075</v>
      </c>
      <c r="P3879" s="3" t="s">
        <v>102</v>
      </c>
      <c r="R3879" s="3" t="s">
        <v>70</v>
      </c>
      <c r="S3879" s="4">
        <v>0</v>
      </c>
      <c r="T3879" s="4">
        <v>0</v>
      </c>
      <c r="W3879" s="5" t="s">
        <v>72</v>
      </c>
      <c r="X3879" s="5" t="s">
        <v>72</v>
      </c>
      <c r="Y3879" s="4">
        <v>18</v>
      </c>
      <c r="Z3879" s="4">
        <v>18</v>
      </c>
      <c r="AA3879" s="4">
        <v>19</v>
      </c>
      <c r="AB3879" s="4">
        <v>1</v>
      </c>
      <c r="AC3879" s="4">
        <v>2</v>
      </c>
      <c r="AD3879" s="4">
        <v>15</v>
      </c>
      <c r="AE3879" s="4">
        <v>16</v>
      </c>
      <c r="AF3879" s="4">
        <v>0</v>
      </c>
      <c r="AG3879" s="4">
        <v>1</v>
      </c>
      <c r="AH3879" s="4">
        <v>6</v>
      </c>
      <c r="AI3879" s="4">
        <v>7</v>
      </c>
      <c r="AJ3879" s="4">
        <v>11</v>
      </c>
      <c r="AK3879" s="4">
        <v>12</v>
      </c>
      <c r="AL3879" s="4">
        <v>1</v>
      </c>
      <c r="AM3879" s="4">
        <v>1</v>
      </c>
      <c r="AN3879" s="4">
        <v>0</v>
      </c>
      <c r="AO3879" s="4">
        <v>0</v>
      </c>
      <c r="AP3879" s="4">
        <v>14</v>
      </c>
      <c r="AQ3879" s="4">
        <v>15</v>
      </c>
      <c r="AR3879" s="3" t="s">
        <v>128</v>
      </c>
      <c r="AS3879" s="3" t="s">
        <v>64</v>
      </c>
      <c r="AT3879" s="3" t="s">
        <v>64</v>
      </c>
      <c r="AV3879" s="6" t="str">
        <f>HYPERLINK("http://mcgill.on.worldcat.org/oclc/847945243","Catalog Record")</f>
        <v>Catalog Record</v>
      </c>
      <c r="AW3879" s="6" t="str">
        <f>HYPERLINK("http://www.worldcat.org/oclc/847945243","WorldCat Record")</f>
        <v>WorldCat Record</v>
      </c>
      <c r="AX3879" s="3" t="s">
        <v>38274</v>
      </c>
      <c r="AY3879" s="3" t="s">
        <v>38275</v>
      </c>
      <c r="AZ3879" s="3" t="s">
        <v>38276</v>
      </c>
      <c r="BA3879" s="3" t="s">
        <v>38276</v>
      </c>
      <c r="BB3879" s="3" t="s">
        <v>38277</v>
      </c>
      <c r="BC3879" s="3" t="s">
        <v>77</v>
      </c>
      <c r="BD3879" s="3" t="s">
        <v>78</v>
      </c>
      <c r="BE3879" s="3" t="s">
        <v>38278</v>
      </c>
      <c r="BF3879" s="3" t="s">
        <v>38277</v>
      </c>
      <c r="BG3879" s="3" t="s">
        <v>38279</v>
      </c>
      <c r="BH3879">
        <f t="shared" si="96"/>
        <v>0</v>
      </c>
    </row>
    <row r="3880" spans="1:60" ht="58" x14ac:dyDescent="0.35">
      <c r="A3880" s="2" t="s">
        <v>59</v>
      </c>
      <c r="B3880" s="2" t="s">
        <v>60</v>
      </c>
      <c r="C3880" s="2" t="s">
        <v>38280</v>
      </c>
      <c r="D3880" s="2" t="s">
        <v>38281</v>
      </c>
      <c r="E3880" s="2" t="s">
        <v>38282</v>
      </c>
      <c r="F3880" s="3" t="s">
        <v>478</v>
      </c>
      <c r="G3880" s="3" t="s">
        <v>128</v>
      </c>
      <c r="I3880" s="3" t="s">
        <v>128</v>
      </c>
      <c r="J3880" s="3" t="s">
        <v>64</v>
      </c>
      <c r="K3880" s="3" t="s">
        <v>65</v>
      </c>
      <c r="L3880" s="2" t="s">
        <v>38283</v>
      </c>
      <c r="M3880" s="2" t="s">
        <v>38284</v>
      </c>
      <c r="N3880" s="3" t="s">
        <v>266</v>
      </c>
      <c r="P3880" s="3" t="s">
        <v>102</v>
      </c>
      <c r="R3880" s="3" t="s">
        <v>70</v>
      </c>
      <c r="S3880" s="4">
        <v>0</v>
      </c>
      <c r="T3880" s="4">
        <v>3</v>
      </c>
      <c r="V3880" s="5" t="s">
        <v>28895</v>
      </c>
      <c r="W3880" s="5" t="s">
        <v>72</v>
      </c>
      <c r="X3880" s="5" t="s">
        <v>72</v>
      </c>
      <c r="Y3880" s="4">
        <v>372</v>
      </c>
      <c r="Z3880" s="4">
        <v>30</v>
      </c>
      <c r="AA3880" s="4">
        <v>34</v>
      </c>
      <c r="AB3880" s="4">
        <v>4</v>
      </c>
      <c r="AC3880" s="4">
        <v>6</v>
      </c>
      <c r="AD3880" s="4">
        <v>115</v>
      </c>
      <c r="AE3880" s="4">
        <v>119</v>
      </c>
      <c r="AF3880" s="4">
        <v>2</v>
      </c>
      <c r="AG3880" s="4">
        <v>4</v>
      </c>
      <c r="AH3880" s="4">
        <v>98</v>
      </c>
      <c r="AI3880" s="4">
        <v>100</v>
      </c>
      <c r="AJ3880" s="4">
        <v>16</v>
      </c>
      <c r="AK3880" s="4">
        <v>19</v>
      </c>
      <c r="AL3880" s="4">
        <v>56</v>
      </c>
      <c r="AM3880" s="4">
        <v>57</v>
      </c>
      <c r="AN3880" s="4">
        <v>0</v>
      </c>
      <c r="AO3880" s="4">
        <v>0</v>
      </c>
      <c r="AP3880" s="4">
        <v>20</v>
      </c>
      <c r="AQ3880" s="4">
        <v>22</v>
      </c>
      <c r="AR3880" s="3" t="s">
        <v>64</v>
      </c>
      <c r="AS3880" s="3" t="s">
        <v>64</v>
      </c>
      <c r="AT3880" s="3" t="s">
        <v>64</v>
      </c>
      <c r="AV3880" s="6" t="str">
        <f>HYPERLINK("http://mcgill.on.worldcat.org/oclc/892641","Catalog Record")</f>
        <v>Catalog Record</v>
      </c>
      <c r="AW3880" s="6" t="str">
        <f>HYPERLINK("http://www.worldcat.org/oclc/892641","WorldCat Record")</f>
        <v>WorldCat Record</v>
      </c>
      <c r="AX3880" s="3" t="s">
        <v>38285</v>
      </c>
      <c r="AY3880" s="3" t="s">
        <v>38286</v>
      </c>
      <c r="AZ3880" s="3" t="s">
        <v>38287</v>
      </c>
      <c r="BA3880" s="3" t="s">
        <v>38287</v>
      </c>
      <c r="BB3880" s="3" t="s">
        <v>38288</v>
      </c>
      <c r="BC3880" s="3" t="s">
        <v>77</v>
      </c>
      <c r="BD3880" s="3" t="s">
        <v>78</v>
      </c>
      <c r="BE3880" s="3" t="s">
        <v>38289</v>
      </c>
      <c r="BF3880" s="3" t="s">
        <v>38288</v>
      </c>
      <c r="BG3880" s="3" t="s">
        <v>38290</v>
      </c>
      <c r="BH3880">
        <f t="shared" si="96"/>
        <v>0</v>
      </c>
    </row>
    <row r="3881" spans="1:60" ht="58" x14ac:dyDescent="0.35">
      <c r="A3881" s="2" t="s">
        <v>59</v>
      </c>
      <c r="B3881" s="2" t="s">
        <v>60</v>
      </c>
      <c r="C3881" s="2" t="s">
        <v>38280</v>
      </c>
      <c r="D3881" s="2" t="s">
        <v>38281</v>
      </c>
      <c r="E3881" s="2" t="s">
        <v>38282</v>
      </c>
      <c r="F3881" s="3" t="s">
        <v>489</v>
      </c>
      <c r="G3881" s="3" t="s">
        <v>128</v>
      </c>
      <c r="I3881" s="3" t="s">
        <v>128</v>
      </c>
      <c r="J3881" s="3" t="s">
        <v>64</v>
      </c>
      <c r="K3881" s="3" t="s">
        <v>65</v>
      </c>
      <c r="L3881" s="2" t="s">
        <v>38283</v>
      </c>
      <c r="M3881" s="2" t="s">
        <v>38284</v>
      </c>
      <c r="N3881" s="3" t="s">
        <v>266</v>
      </c>
      <c r="P3881" s="3" t="s">
        <v>102</v>
      </c>
      <c r="R3881" s="3" t="s">
        <v>70</v>
      </c>
      <c r="S3881" s="4">
        <v>0</v>
      </c>
      <c r="T3881" s="4">
        <v>3</v>
      </c>
      <c r="V3881" s="5" t="s">
        <v>28895</v>
      </c>
      <c r="W3881" s="5" t="s">
        <v>72</v>
      </c>
      <c r="X3881" s="5" t="s">
        <v>72</v>
      </c>
      <c r="Y3881" s="4">
        <v>372</v>
      </c>
      <c r="Z3881" s="4">
        <v>30</v>
      </c>
      <c r="AA3881" s="4">
        <v>34</v>
      </c>
      <c r="AB3881" s="4">
        <v>4</v>
      </c>
      <c r="AC3881" s="4">
        <v>6</v>
      </c>
      <c r="AD3881" s="4">
        <v>115</v>
      </c>
      <c r="AE3881" s="4">
        <v>119</v>
      </c>
      <c r="AF3881" s="4">
        <v>2</v>
      </c>
      <c r="AG3881" s="4">
        <v>4</v>
      </c>
      <c r="AH3881" s="4">
        <v>98</v>
      </c>
      <c r="AI3881" s="4">
        <v>100</v>
      </c>
      <c r="AJ3881" s="4">
        <v>16</v>
      </c>
      <c r="AK3881" s="4">
        <v>19</v>
      </c>
      <c r="AL3881" s="4">
        <v>56</v>
      </c>
      <c r="AM3881" s="4">
        <v>57</v>
      </c>
      <c r="AN3881" s="4">
        <v>0</v>
      </c>
      <c r="AO3881" s="4">
        <v>0</v>
      </c>
      <c r="AP3881" s="4">
        <v>20</v>
      </c>
      <c r="AQ3881" s="4">
        <v>22</v>
      </c>
      <c r="AR3881" s="3" t="s">
        <v>64</v>
      </c>
      <c r="AS3881" s="3" t="s">
        <v>64</v>
      </c>
      <c r="AT3881" s="3" t="s">
        <v>64</v>
      </c>
      <c r="AV3881" s="6" t="str">
        <f>HYPERLINK("http://mcgill.on.worldcat.org/oclc/892641","Catalog Record")</f>
        <v>Catalog Record</v>
      </c>
      <c r="AW3881" s="6" t="str">
        <f>HYPERLINK("http://www.worldcat.org/oclc/892641","WorldCat Record")</f>
        <v>WorldCat Record</v>
      </c>
      <c r="AX3881" s="3" t="s">
        <v>38285</v>
      </c>
      <c r="AY3881" s="3" t="s">
        <v>38286</v>
      </c>
      <c r="AZ3881" s="3" t="s">
        <v>38287</v>
      </c>
      <c r="BA3881" s="3" t="s">
        <v>38287</v>
      </c>
      <c r="BB3881" s="3" t="s">
        <v>38291</v>
      </c>
      <c r="BC3881" s="3" t="s">
        <v>77</v>
      </c>
      <c r="BD3881" s="3" t="s">
        <v>78</v>
      </c>
      <c r="BE3881" s="3" t="s">
        <v>38289</v>
      </c>
      <c r="BF3881" s="3" t="s">
        <v>38291</v>
      </c>
      <c r="BG3881" s="3" t="s">
        <v>38292</v>
      </c>
      <c r="BH3881">
        <f t="shared" si="96"/>
        <v>0</v>
      </c>
    </row>
    <row r="3882" spans="1:60" ht="58" x14ac:dyDescent="0.35">
      <c r="A3882" s="2" t="s">
        <v>59</v>
      </c>
      <c r="B3882" s="2" t="s">
        <v>60</v>
      </c>
      <c r="C3882" s="2" t="s">
        <v>38293</v>
      </c>
      <c r="D3882" s="2" t="s">
        <v>38294</v>
      </c>
      <c r="E3882" s="2" t="s">
        <v>38295</v>
      </c>
      <c r="G3882" s="3" t="s">
        <v>64</v>
      </c>
      <c r="I3882" s="3" t="s">
        <v>64</v>
      </c>
      <c r="J3882" s="3" t="s">
        <v>64</v>
      </c>
      <c r="K3882" s="3" t="s">
        <v>65</v>
      </c>
      <c r="M3882" s="2" t="s">
        <v>38296</v>
      </c>
      <c r="N3882" s="3" t="s">
        <v>86</v>
      </c>
      <c r="P3882" s="3" t="s">
        <v>68</v>
      </c>
      <c r="Q3882" s="2" t="s">
        <v>38297</v>
      </c>
      <c r="R3882" s="3" t="s">
        <v>70</v>
      </c>
      <c r="S3882" s="4">
        <v>1</v>
      </c>
      <c r="T3882" s="4">
        <v>1</v>
      </c>
      <c r="U3882" s="5" t="s">
        <v>11685</v>
      </c>
      <c r="V3882" s="5" t="s">
        <v>11685</v>
      </c>
      <c r="W3882" s="5" t="s">
        <v>72</v>
      </c>
      <c r="X3882" s="5" t="s">
        <v>72</v>
      </c>
      <c r="Y3882" s="4">
        <v>13</v>
      </c>
      <c r="Z3882" s="4">
        <v>2</v>
      </c>
      <c r="AA3882" s="4">
        <v>10</v>
      </c>
      <c r="AB3882" s="4">
        <v>2</v>
      </c>
      <c r="AC3882" s="4">
        <v>6</v>
      </c>
      <c r="AD3882" s="4">
        <v>5</v>
      </c>
      <c r="AE3882" s="4">
        <v>10</v>
      </c>
      <c r="AF3882" s="4">
        <v>0</v>
      </c>
      <c r="AG3882" s="4">
        <v>3</v>
      </c>
      <c r="AH3882" s="4">
        <v>5</v>
      </c>
      <c r="AI3882" s="4">
        <v>7</v>
      </c>
      <c r="AJ3882" s="4">
        <v>0</v>
      </c>
      <c r="AK3882" s="4">
        <v>4</v>
      </c>
      <c r="AL3882" s="4">
        <v>4</v>
      </c>
      <c r="AM3882" s="4">
        <v>5</v>
      </c>
      <c r="AN3882" s="4">
        <v>0</v>
      </c>
      <c r="AO3882" s="4">
        <v>0</v>
      </c>
      <c r="AP3882" s="4">
        <v>0</v>
      </c>
      <c r="AQ3882" s="4">
        <v>4</v>
      </c>
      <c r="AR3882" s="3" t="s">
        <v>128</v>
      </c>
      <c r="AS3882" s="3" t="s">
        <v>64</v>
      </c>
      <c r="AT3882" s="3" t="s">
        <v>64</v>
      </c>
      <c r="AV3882" s="6" t="str">
        <f>HYPERLINK("http://mcgill.on.worldcat.org/oclc/809263820","Catalog Record")</f>
        <v>Catalog Record</v>
      </c>
      <c r="AW3882" s="6" t="str">
        <f>HYPERLINK("http://www.worldcat.org/oclc/809263820","WorldCat Record")</f>
        <v>WorldCat Record</v>
      </c>
      <c r="AX3882" s="3" t="s">
        <v>38298</v>
      </c>
      <c r="AY3882" s="3" t="s">
        <v>38299</v>
      </c>
      <c r="AZ3882" s="3" t="s">
        <v>38300</v>
      </c>
      <c r="BA3882" s="3" t="s">
        <v>38300</v>
      </c>
      <c r="BB3882" s="3" t="s">
        <v>38301</v>
      </c>
      <c r="BC3882" s="3" t="s">
        <v>77</v>
      </c>
      <c r="BD3882" s="3" t="s">
        <v>78</v>
      </c>
      <c r="BE3882" s="3" t="s">
        <v>38302</v>
      </c>
      <c r="BF3882" s="3" t="s">
        <v>38301</v>
      </c>
      <c r="BG3882" s="3" t="s">
        <v>38303</v>
      </c>
      <c r="BH3882">
        <f t="shared" si="96"/>
        <v>0</v>
      </c>
    </row>
    <row r="3883" spans="1:60" ht="58" x14ac:dyDescent="0.35">
      <c r="A3883" s="2" t="s">
        <v>59</v>
      </c>
      <c r="B3883" s="2" t="s">
        <v>60</v>
      </c>
      <c r="C3883" s="2" t="s">
        <v>38304</v>
      </c>
      <c r="D3883" s="2" t="s">
        <v>38305</v>
      </c>
      <c r="E3883" s="2" t="s">
        <v>38306</v>
      </c>
      <c r="G3883" s="3" t="s">
        <v>64</v>
      </c>
      <c r="I3883" s="3" t="s">
        <v>64</v>
      </c>
      <c r="J3883" s="3" t="s">
        <v>64</v>
      </c>
      <c r="K3883" s="3" t="s">
        <v>65</v>
      </c>
      <c r="M3883" s="2" t="s">
        <v>38307</v>
      </c>
      <c r="N3883" s="3" t="s">
        <v>67</v>
      </c>
      <c r="P3883" s="3" t="s">
        <v>68</v>
      </c>
      <c r="R3883" s="3" t="s">
        <v>70</v>
      </c>
      <c r="S3883" s="4">
        <v>0</v>
      </c>
      <c r="T3883" s="4">
        <v>0</v>
      </c>
      <c r="W3883" s="5" t="s">
        <v>72</v>
      </c>
      <c r="X3883" s="5" t="s">
        <v>72</v>
      </c>
      <c r="Y3883" s="4">
        <v>14</v>
      </c>
      <c r="Z3883" s="4">
        <v>7</v>
      </c>
      <c r="AA3883" s="4">
        <v>45</v>
      </c>
      <c r="AB3883" s="4">
        <v>1</v>
      </c>
      <c r="AC3883" s="4">
        <v>11</v>
      </c>
      <c r="AD3883" s="4">
        <v>7</v>
      </c>
      <c r="AE3883" s="4">
        <v>40</v>
      </c>
      <c r="AF3883" s="4">
        <v>0</v>
      </c>
      <c r="AG3883" s="4">
        <v>6</v>
      </c>
      <c r="AH3883" s="4">
        <v>5</v>
      </c>
      <c r="AI3883" s="4">
        <v>19</v>
      </c>
      <c r="AJ3883" s="4">
        <v>4</v>
      </c>
      <c r="AK3883" s="4">
        <v>18</v>
      </c>
      <c r="AL3883" s="4">
        <v>3</v>
      </c>
      <c r="AM3883" s="4">
        <v>8</v>
      </c>
      <c r="AN3883" s="4">
        <v>0</v>
      </c>
      <c r="AO3883" s="4">
        <v>0</v>
      </c>
      <c r="AP3883" s="4">
        <v>4</v>
      </c>
      <c r="AQ3883" s="4">
        <v>28</v>
      </c>
      <c r="AR3883" s="3" t="s">
        <v>128</v>
      </c>
      <c r="AS3883" s="3" t="s">
        <v>64</v>
      </c>
      <c r="AT3883" s="3" t="s">
        <v>64</v>
      </c>
      <c r="AV3883" s="6" t="str">
        <f>HYPERLINK("http://mcgill.on.worldcat.org/oclc/870525146","Catalog Record")</f>
        <v>Catalog Record</v>
      </c>
      <c r="AW3883" s="6" t="str">
        <f>HYPERLINK("http://www.worldcat.org/oclc/870525146","WorldCat Record")</f>
        <v>WorldCat Record</v>
      </c>
      <c r="AX3883" s="3" t="s">
        <v>38308</v>
      </c>
      <c r="AY3883" s="3" t="s">
        <v>38309</v>
      </c>
      <c r="AZ3883" s="3" t="s">
        <v>38310</v>
      </c>
      <c r="BA3883" s="3" t="s">
        <v>38310</v>
      </c>
      <c r="BB3883" s="3" t="s">
        <v>38311</v>
      </c>
      <c r="BC3883" s="3" t="s">
        <v>77</v>
      </c>
      <c r="BD3883" s="3" t="s">
        <v>78</v>
      </c>
      <c r="BE3883" s="3" t="s">
        <v>38312</v>
      </c>
      <c r="BF3883" s="3" t="s">
        <v>38311</v>
      </c>
      <c r="BG3883" s="3" t="s">
        <v>38313</v>
      </c>
      <c r="BH3883">
        <f t="shared" si="96"/>
        <v>0</v>
      </c>
    </row>
    <row r="3884" spans="1:60" ht="58" x14ac:dyDescent="0.35">
      <c r="A3884" s="2" t="s">
        <v>59</v>
      </c>
      <c r="B3884" s="2" t="s">
        <v>60</v>
      </c>
      <c r="C3884" s="2" t="s">
        <v>38314</v>
      </c>
      <c r="D3884" s="2" t="s">
        <v>38315</v>
      </c>
      <c r="E3884" s="2" t="s">
        <v>38316</v>
      </c>
      <c r="G3884" s="3" t="s">
        <v>64</v>
      </c>
      <c r="I3884" s="3" t="s">
        <v>64</v>
      </c>
      <c r="J3884" s="3" t="s">
        <v>64</v>
      </c>
      <c r="K3884" s="3" t="s">
        <v>65</v>
      </c>
      <c r="M3884" s="2" t="s">
        <v>38317</v>
      </c>
      <c r="N3884" s="3" t="s">
        <v>86</v>
      </c>
      <c r="P3884" s="3" t="s">
        <v>68</v>
      </c>
      <c r="R3884" s="3" t="s">
        <v>70</v>
      </c>
      <c r="S3884" s="4">
        <v>0</v>
      </c>
      <c r="T3884" s="4">
        <v>0</v>
      </c>
      <c r="W3884" s="5" t="s">
        <v>72</v>
      </c>
      <c r="X3884" s="5" t="s">
        <v>72</v>
      </c>
      <c r="Y3884" s="4">
        <v>17</v>
      </c>
      <c r="Z3884" s="4">
        <v>8</v>
      </c>
      <c r="AA3884" s="4">
        <v>99</v>
      </c>
      <c r="AB3884" s="4">
        <v>1</v>
      </c>
      <c r="AC3884" s="4">
        <v>22</v>
      </c>
      <c r="AD3884" s="4">
        <v>7</v>
      </c>
      <c r="AE3884" s="4">
        <v>88</v>
      </c>
      <c r="AF3884" s="4">
        <v>0</v>
      </c>
      <c r="AG3884" s="4">
        <v>8</v>
      </c>
      <c r="AH3884" s="4">
        <v>6</v>
      </c>
      <c r="AI3884" s="4">
        <v>50</v>
      </c>
      <c r="AJ3884" s="4">
        <v>3</v>
      </c>
      <c r="AK3884" s="4">
        <v>22</v>
      </c>
      <c r="AL3884" s="4">
        <v>3</v>
      </c>
      <c r="AM3884" s="4">
        <v>24</v>
      </c>
      <c r="AN3884" s="4">
        <v>0</v>
      </c>
      <c r="AO3884" s="4">
        <v>0</v>
      </c>
      <c r="AP3884" s="4">
        <v>4</v>
      </c>
      <c r="AQ3884" s="4">
        <v>46</v>
      </c>
      <c r="AR3884" s="3" t="s">
        <v>128</v>
      </c>
      <c r="AS3884" s="3" t="s">
        <v>64</v>
      </c>
      <c r="AT3884" s="3" t="s">
        <v>64</v>
      </c>
      <c r="AV3884" s="6" t="str">
        <f>HYPERLINK("http://mcgill.on.worldcat.org/oclc/814540524","Catalog Record")</f>
        <v>Catalog Record</v>
      </c>
      <c r="AW3884" s="6" t="str">
        <f>HYPERLINK("http://www.worldcat.org/oclc/814540524","WorldCat Record")</f>
        <v>WorldCat Record</v>
      </c>
      <c r="AX3884" s="3" t="s">
        <v>38318</v>
      </c>
      <c r="AY3884" s="3" t="s">
        <v>38319</v>
      </c>
      <c r="AZ3884" s="3" t="s">
        <v>38320</v>
      </c>
      <c r="BA3884" s="3" t="s">
        <v>38320</v>
      </c>
      <c r="BB3884" s="3" t="s">
        <v>38321</v>
      </c>
      <c r="BC3884" s="3" t="s">
        <v>77</v>
      </c>
      <c r="BD3884" s="3" t="s">
        <v>78</v>
      </c>
      <c r="BE3884" s="3" t="s">
        <v>38322</v>
      </c>
      <c r="BF3884" s="3" t="s">
        <v>38321</v>
      </c>
      <c r="BG3884" s="3" t="s">
        <v>38323</v>
      </c>
      <c r="BH3884">
        <f t="shared" si="96"/>
        <v>0</v>
      </c>
    </row>
    <row r="3885" spans="1:60" ht="58" x14ac:dyDescent="0.35">
      <c r="A3885" s="2" t="s">
        <v>59</v>
      </c>
      <c r="B3885" s="2" t="s">
        <v>60</v>
      </c>
      <c r="C3885" s="2" t="s">
        <v>38324</v>
      </c>
      <c r="D3885" s="2" t="s">
        <v>38325</v>
      </c>
      <c r="E3885" s="2" t="s">
        <v>38326</v>
      </c>
      <c r="G3885" s="3" t="s">
        <v>64</v>
      </c>
      <c r="I3885" s="3" t="s">
        <v>64</v>
      </c>
      <c r="J3885" s="3" t="s">
        <v>64</v>
      </c>
      <c r="K3885" s="3" t="s">
        <v>65</v>
      </c>
      <c r="L3885" s="2" t="s">
        <v>38327</v>
      </c>
      <c r="M3885" s="2" t="s">
        <v>38328</v>
      </c>
      <c r="N3885" s="3" t="s">
        <v>1075</v>
      </c>
      <c r="P3885" s="3" t="s">
        <v>68</v>
      </c>
      <c r="R3885" s="3" t="s">
        <v>70</v>
      </c>
      <c r="S3885" s="4">
        <v>5</v>
      </c>
      <c r="T3885" s="4">
        <v>5</v>
      </c>
      <c r="U3885" s="5" t="s">
        <v>457</v>
      </c>
      <c r="V3885" s="5" t="s">
        <v>457</v>
      </c>
      <c r="W3885" s="5" t="s">
        <v>72</v>
      </c>
      <c r="X3885" s="5" t="s">
        <v>72</v>
      </c>
      <c r="Y3885" s="4">
        <v>15</v>
      </c>
      <c r="Z3885" s="4">
        <v>11</v>
      </c>
      <c r="AA3885" s="4">
        <v>107</v>
      </c>
      <c r="AB3885" s="4">
        <v>5</v>
      </c>
      <c r="AC3885" s="4">
        <v>19</v>
      </c>
      <c r="AD3885" s="4">
        <v>8</v>
      </c>
      <c r="AE3885" s="4">
        <v>86</v>
      </c>
      <c r="AF3885" s="4">
        <v>3</v>
      </c>
      <c r="AG3885" s="4">
        <v>8</v>
      </c>
      <c r="AH3885" s="4">
        <v>4</v>
      </c>
      <c r="AI3885" s="4">
        <v>49</v>
      </c>
      <c r="AJ3885" s="4">
        <v>8</v>
      </c>
      <c r="AK3885" s="4">
        <v>20</v>
      </c>
      <c r="AL3885" s="4">
        <v>1</v>
      </c>
      <c r="AM3885" s="4">
        <v>23</v>
      </c>
      <c r="AN3885" s="4">
        <v>0</v>
      </c>
      <c r="AO3885" s="4">
        <v>0</v>
      </c>
      <c r="AP3885" s="4">
        <v>7</v>
      </c>
      <c r="AQ3885" s="4">
        <v>44</v>
      </c>
      <c r="AR3885" s="3" t="s">
        <v>128</v>
      </c>
      <c r="AS3885" s="3" t="s">
        <v>64</v>
      </c>
      <c r="AT3885" s="3" t="s">
        <v>64</v>
      </c>
      <c r="AV3885" s="6" t="str">
        <f>HYPERLINK("http://mcgill.on.worldcat.org/oclc/851238374","Catalog Record")</f>
        <v>Catalog Record</v>
      </c>
      <c r="AW3885" s="6" t="str">
        <f>HYPERLINK("http://www.worldcat.org/oclc/851238374","WorldCat Record")</f>
        <v>WorldCat Record</v>
      </c>
      <c r="AX3885" s="3" t="s">
        <v>38329</v>
      </c>
      <c r="AY3885" s="3" t="s">
        <v>38330</v>
      </c>
      <c r="AZ3885" s="3" t="s">
        <v>38331</v>
      </c>
      <c r="BA3885" s="3" t="s">
        <v>38331</v>
      </c>
      <c r="BB3885" s="3" t="s">
        <v>38332</v>
      </c>
      <c r="BC3885" s="3" t="s">
        <v>77</v>
      </c>
      <c r="BD3885" s="3" t="s">
        <v>78</v>
      </c>
      <c r="BE3885" s="3" t="s">
        <v>38333</v>
      </c>
      <c r="BF3885" s="3" t="s">
        <v>38332</v>
      </c>
      <c r="BG3885" s="3" t="s">
        <v>38334</v>
      </c>
      <c r="BH3885">
        <f t="shared" si="96"/>
        <v>0</v>
      </c>
    </row>
    <row r="3886" spans="1:60" ht="87" x14ac:dyDescent="0.35">
      <c r="A3886" s="2" t="s">
        <v>59</v>
      </c>
      <c r="B3886" s="2" t="s">
        <v>60</v>
      </c>
      <c r="C3886" s="2" t="s">
        <v>38335</v>
      </c>
      <c r="D3886" s="2" t="s">
        <v>38336</v>
      </c>
      <c r="E3886" s="2" t="s">
        <v>38337</v>
      </c>
      <c r="F3886" s="3" t="s">
        <v>38338</v>
      </c>
      <c r="G3886" s="3" t="s">
        <v>64</v>
      </c>
      <c r="I3886" s="3" t="s">
        <v>64</v>
      </c>
      <c r="J3886" s="3" t="s">
        <v>64</v>
      </c>
      <c r="K3886" s="3" t="s">
        <v>65</v>
      </c>
      <c r="L3886" s="2" t="s">
        <v>38339</v>
      </c>
      <c r="M3886" s="2" t="s">
        <v>38340</v>
      </c>
      <c r="N3886" s="3" t="s">
        <v>378</v>
      </c>
      <c r="P3886" s="3" t="s">
        <v>68</v>
      </c>
      <c r="Q3886" s="2" t="s">
        <v>38341</v>
      </c>
      <c r="R3886" s="3" t="s">
        <v>70</v>
      </c>
      <c r="S3886" s="4">
        <v>1</v>
      </c>
      <c r="T3886" s="4">
        <v>1</v>
      </c>
      <c r="U3886" s="5" t="s">
        <v>770</v>
      </c>
      <c r="V3886" s="5" t="s">
        <v>770</v>
      </c>
      <c r="W3886" s="5" t="s">
        <v>72</v>
      </c>
      <c r="X3886" s="5" t="s">
        <v>72</v>
      </c>
      <c r="Y3886" s="4">
        <v>26</v>
      </c>
      <c r="Z3886" s="4">
        <v>1</v>
      </c>
      <c r="AA3886" s="4">
        <v>16</v>
      </c>
      <c r="AB3886" s="4">
        <v>1</v>
      </c>
      <c r="AC3886" s="4">
        <v>4</v>
      </c>
      <c r="AD3886" s="4">
        <v>6</v>
      </c>
      <c r="AE3886" s="4">
        <v>24</v>
      </c>
      <c r="AF3886" s="4">
        <v>0</v>
      </c>
      <c r="AG3886" s="4">
        <v>2</v>
      </c>
      <c r="AH3886" s="4">
        <v>5</v>
      </c>
      <c r="AI3886" s="4">
        <v>18</v>
      </c>
      <c r="AJ3886" s="4">
        <v>0</v>
      </c>
      <c r="AK3886" s="4">
        <v>10</v>
      </c>
      <c r="AL3886" s="4">
        <v>4</v>
      </c>
      <c r="AM3886" s="4">
        <v>11</v>
      </c>
      <c r="AN3886" s="4">
        <v>0</v>
      </c>
      <c r="AO3886" s="4">
        <v>0</v>
      </c>
      <c r="AP3886" s="4">
        <v>0</v>
      </c>
      <c r="AQ3886" s="4">
        <v>9</v>
      </c>
      <c r="AR3886" s="3" t="s">
        <v>128</v>
      </c>
      <c r="AS3886" s="3" t="s">
        <v>64</v>
      </c>
      <c r="AT3886" s="3" t="s">
        <v>64</v>
      </c>
      <c r="AV3886" s="6" t="str">
        <f>HYPERLINK("http://mcgill.on.worldcat.org/oclc/80983411","Catalog Record")</f>
        <v>Catalog Record</v>
      </c>
      <c r="AW3886" s="6" t="str">
        <f>HYPERLINK("http://www.worldcat.org/oclc/80983411","WorldCat Record")</f>
        <v>WorldCat Record</v>
      </c>
      <c r="AX3886" s="3" t="s">
        <v>38342</v>
      </c>
      <c r="AY3886" s="3" t="s">
        <v>38343</v>
      </c>
      <c r="AZ3886" s="3" t="s">
        <v>38344</v>
      </c>
      <c r="BA3886" s="3" t="s">
        <v>38344</v>
      </c>
      <c r="BB3886" s="3" t="s">
        <v>38345</v>
      </c>
      <c r="BC3886" s="3" t="s">
        <v>77</v>
      </c>
      <c r="BD3886" s="3" t="s">
        <v>78</v>
      </c>
      <c r="BE3886" s="3" t="s">
        <v>38346</v>
      </c>
      <c r="BF3886" s="3" t="s">
        <v>38345</v>
      </c>
      <c r="BG3886" s="3" t="s">
        <v>38347</v>
      </c>
      <c r="BH3886">
        <f t="shared" si="96"/>
        <v>0</v>
      </c>
    </row>
    <row r="3887" spans="1:60" ht="72.5" x14ac:dyDescent="0.35">
      <c r="A3887" s="2" t="s">
        <v>59</v>
      </c>
      <c r="B3887" s="2" t="s">
        <v>60</v>
      </c>
      <c r="C3887" s="2" t="s">
        <v>38348</v>
      </c>
      <c r="D3887" s="2" t="s">
        <v>38349</v>
      </c>
      <c r="E3887" s="2" t="s">
        <v>38350</v>
      </c>
      <c r="F3887" s="3" t="s">
        <v>38351</v>
      </c>
      <c r="G3887" s="3" t="s">
        <v>64</v>
      </c>
      <c r="I3887" s="3" t="s">
        <v>64</v>
      </c>
      <c r="J3887" s="3" t="s">
        <v>64</v>
      </c>
      <c r="K3887" s="3" t="s">
        <v>65</v>
      </c>
      <c r="L3887" s="2" t="s">
        <v>38352</v>
      </c>
      <c r="M3887" s="2" t="s">
        <v>38353</v>
      </c>
      <c r="N3887" s="3" t="s">
        <v>3047</v>
      </c>
      <c r="P3887" s="3" t="s">
        <v>68</v>
      </c>
      <c r="Q3887" s="2" t="s">
        <v>38354</v>
      </c>
      <c r="R3887" s="3" t="s">
        <v>70</v>
      </c>
      <c r="S3887" s="4">
        <v>4</v>
      </c>
      <c r="T3887" s="4">
        <v>4</v>
      </c>
      <c r="U3887" s="5" t="s">
        <v>12963</v>
      </c>
      <c r="V3887" s="5" t="s">
        <v>12963</v>
      </c>
      <c r="W3887" s="5" t="s">
        <v>72</v>
      </c>
      <c r="X3887" s="5" t="s">
        <v>72</v>
      </c>
      <c r="Y3887" s="4">
        <v>53</v>
      </c>
      <c r="Z3887" s="4">
        <v>6</v>
      </c>
      <c r="AA3887" s="4">
        <v>16</v>
      </c>
      <c r="AB3887" s="4">
        <v>2</v>
      </c>
      <c r="AC3887" s="4">
        <v>4</v>
      </c>
      <c r="AD3887" s="4">
        <v>16</v>
      </c>
      <c r="AE3887" s="4">
        <v>24</v>
      </c>
      <c r="AF3887" s="4">
        <v>1</v>
      </c>
      <c r="AG3887" s="4">
        <v>2</v>
      </c>
      <c r="AH3887" s="4">
        <v>13</v>
      </c>
      <c r="AI3887" s="4">
        <v>18</v>
      </c>
      <c r="AJ3887" s="4">
        <v>5</v>
      </c>
      <c r="AK3887" s="4">
        <v>10</v>
      </c>
      <c r="AL3887" s="4">
        <v>8</v>
      </c>
      <c r="AM3887" s="4">
        <v>11</v>
      </c>
      <c r="AN3887" s="4">
        <v>0</v>
      </c>
      <c r="AO3887" s="4">
        <v>0</v>
      </c>
      <c r="AP3887" s="4">
        <v>4</v>
      </c>
      <c r="AQ3887" s="4">
        <v>9</v>
      </c>
      <c r="AR3887" s="3" t="s">
        <v>128</v>
      </c>
      <c r="AS3887" s="3" t="s">
        <v>64</v>
      </c>
      <c r="AT3887" s="3" t="s">
        <v>64</v>
      </c>
      <c r="AV3887" s="6" t="str">
        <f>HYPERLINK("http://mcgill.on.worldcat.org/oclc/17228435","Catalog Record")</f>
        <v>Catalog Record</v>
      </c>
      <c r="AW3887" s="6" t="str">
        <f>HYPERLINK("http://www.worldcat.org/oclc/17228435","WorldCat Record")</f>
        <v>WorldCat Record</v>
      </c>
      <c r="AX3887" s="3" t="s">
        <v>38355</v>
      </c>
      <c r="AY3887" s="3" t="s">
        <v>38356</v>
      </c>
      <c r="AZ3887" s="3" t="s">
        <v>38357</v>
      </c>
      <c r="BA3887" s="3" t="s">
        <v>38357</v>
      </c>
      <c r="BB3887" s="3" t="s">
        <v>38358</v>
      </c>
      <c r="BC3887" s="3" t="s">
        <v>77</v>
      </c>
      <c r="BD3887" s="3" t="s">
        <v>78</v>
      </c>
      <c r="BF3887" s="3" t="s">
        <v>38358</v>
      </c>
      <c r="BG3887" s="3" t="s">
        <v>38359</v>
      </c>
      <c r="BH3887">
        <f t="shared" si="96"/>
        <v>0</v>
      </c>
    </row>
    <row r="3888" spans="1:60" ht="72.5" x14ac:dyDescent="0.35">
      <c r="A3888" s="2" t="s">
        <v>59</v>
      </c>
      <c r="B3888" s="2" t="s">
        <v>60</v>
      </c>
      <c r="C3888" s="2" t="s">
        <v>38360</v>
      </c>
      <c r="D3888" s="2" t="s">
        <v>38361</v>
      </c>
      <c r="E3888" s="2" t="s">
        <v>38362</v>
      </c>
      <c r="F3888" s="3" t="s">
        <v>38363</v>
      </c>
      <c r="G3888" s="3" t="s">
        <v>64</v>
      </c>
      <c r="I3888" s="3" t="s">
        <v>64</v>
      </c>
      <c r="J3888" s="3" t="s">
        <v>64</v>
      </c>
      <c r="K3888" s="3" t="s">
        <v>65</v>
      </c>
      <c r="L3888" s="2" t="s">
        <v>38352</v>
      </c>
      <c r="M3888" s="2" t="s">
        <v>38364</v>
      </c>
      <c r="N3888" s="3" t="s">
        <v>3428</v>
      </c>
      <c r="P3888" s="3" t="s">
        <v>68</v>
      </c>
      <c r="Q3888" s="2" t="s">
        <v>38365</v>
      </c>
      <c r="R3888" s="3" t="s">
        <v>70</v>
      </c>
      <c r="S3888" s="4">
        <v>1</v>
      </c>
      <c r="T3888" s="4">
        <v>1</v>
      </c>
      <c r="U3888" s="5" t="s">
        <v>3034</v>
      </c>
      <c r="V3888" s="5" t="s">
        <v>3034</v>
      </c>
      <c r="W3888" s="5" t="s">
        <v>72</v>
      </c>
      <c r="X3888" s="5" t="s">
        <v>72</v>
      </c>
      <c r="Y3888" s="4">
        <v>39</v>
      </c>
      <c r="Z3888" s="4">
        <v>3</v>
      </c>
      <c r="AA3888" s="4">
        <v>13</v>
      </c>
      <c r="AB3888" s="4">
        <v>2</v>
      </c>
      <c r="AC3888" s="4">
        <v>4</v>
      </c>
      <c r="AD3888" s="4">
        <v>9</v>
      </c>
      <c r="AE3888" s="4">
        <v>16</v>
      </c>
      <c r="AF3888" s="4">
        <v>0</v>
      </c>
      <c r="AG3888" s="4">
        <v>2</v>
      </c>
      <c r="AH3888" s="4">
        <v>7</v>
      </c>
      <c r="AI3888" s="4">
        <v>11</v>
      </c>
      <c r="AJ3888" s="4">
        <v>1</v>
      </c>
      <c r="AK3888" s="4">
        <v>6</v>
      </c>
      <c r="AL3888" s="4">
        <v>5</v>
      </c>
      <c r="AM3888" s="4">
        <v>8</v>
      </c>
      <c r="AN3888" s="4">
        <v>0</v>
      </c>
      <c r="AO3888" s="4">
        <v>0</v>
      </c>
      <c r="AP3888" s="4">
        <v>0</v>
      </c>
      <c r="AQ3888" s="4">
        <v>5</v>
      </c>
      <c r="AR3888" s="3" t="s">
        <v>128</v>
      </c>
      <c r="AS3888" s="3" t="s">
        <v>64</v>
      </c>
      <c r="AT3888" s="3" t="s">
        <v>64</v>
      </c>
      <c r="AV3888" s="6" t="str">
        <f>HYPERLINK("http://mcgill.on.worldcat.org/oclc/29311379","Catalog Record")</f>
        <v>Catalog Record</v>
      </c>
      <c r="AW3888" s="6" t="str">
        <f>HYPERLINK("http://www.worldcat.org/oclc/29311379","WorldCat Record")</f>
        <v>WorldCat Record</v>
      </c>
      <c r="AX3888" s="3" t="s">
        <v>38366</v>
      </c>
      <c r="AY3888" s="3" t="s">
        <v>38367</v>
      </c>
      <c r="AZ3888" s="3" t="s">
        <v>38368</v>
      </c>
      <c r="BA3888" s="3" t="s">
        <v>38368</v>
      </c>
      <c r="BB3888" s="3" t="s">
        <v>38369</v>
      </c>
      <c r="BC3888" s="3" t="s">
        <v>77</v>
      </c>
      <c r="BD3888" s="3" t="s">
        <v>78</v>
      </c>
      <c r="BE3888" s="3" t="s">
        <v>38370</v>
      </c>
      <c r="BF3888" s="3" t="s">
        <v>38369</v>
      </c>
      <c r="BG3888" s="3" t="s">
        <v>38371</v>
      </c>
      <c r="BH3888">
        <f t="shared" si="96"/>
        <v>0</v>
      </c>
    </row>
    <row r="3889" spans="1:60" ht="58" x14ac:dyDescent="0.35">
      <c r="A3889" s="2" t="s">
        <v>59</v>
      </c>
      <c r="B3889" s="2" t="s">
        <v>60</v>
      </c>
      <c r="C3889" s="2" t="s">
        <v>38372</v>
      </c>
      <c r="D3889" s="2" t="s">
        <v>38373</v>
      </c>
      <c r="E3889" s="2" t="s">
        <v>38374</v>
      </c>
      <c r="G3889" s="3" t="s">
        <v>64</v>
      </c>
      <c r="I3889" s="3" t="s">
        <v>128</v>
      </c>
      <c r="J3889" s="3" t="s">
        <v>128</v>
      </c>
      <c r="K3889" s="3" t="s">
        <v>65</v>
      </c>
      <c r="L3889" s="2" t="s">
        <v>38375</v>
      </c>
      <c r="M3889" s="2" t="s">
        <v>38376</v>
      </c>
      <c r="N3889" s="3" t="s">
        <v>4972</v>
      </c>
      <c r="O3889" s="2" t="s">
        <v>38377</v>
      </c>
      <c r="P3889" s="3" t="s">
        <v>102</v>
      </c>
      <c r="R3889" s="3" t="s">
        <v>70</v>
      </c>
      <c r="S3889" s="4">
        <v>5</v>
      </c>
      <c r="T3889" s="4">
        <v>5</v>
      </c>
      <c r="U3889" s="5" t="s">
        <v>17303</v>
      </c>
      <c r="V3889" s="5" t="s">
        <v>17303</v>
      </c>
      <c r="W3889" s="5" t="s">
        <v>72</v>
      </c>
      <c r="X3889" s="5" t="s">
        <v>72</v>
      </c>
      <c r="Y3889" s="4">
        <v>113</v>
      </c>
      <c r="Z3889" s="4">
        <v>3</v>
      </c>
      <c r="AA3889" s="4">
        <v>63</v>
      </c>
      <c r="AB3889" s="4">
        <v>1</v>
      </c>
      <c r="AC3889" s="4">
        <v>7</v>
      </c>
      <c r="AD3889" s="4">
        <v>27</v>
      </c>
      <c r="AE3889" s="4">
        <v>144</v>
      </c>
      <c r="AF3889" s="4">
        <v>0</v>
      </c>
      <c r="AG3889" s="4">
        <v>4</v>
      </c>
      <c r="AH3889" s="4">
        <v>24</v>
      </c>
      <c r="AI3889" s="4">
        <v>110</v>
      </c>
      <c r="AJ3889" s="4">
        <v>2</v>
      </c>
      <c r="AK3889" s="4">
        <v>23</v>
      </c>
      <c r="AL3889" s="4">
        <v>16</v>
      </c>
      <c r="AM3889" s="4">
        <v>64</v>
      </c>
      <c r="AN3889" s="4">
        <v>0</v>
      </c>
      <c r="AO3889" s="4">
        <v>0</v>
      </c>
      <c r="AP3889" s="4">
        <v>2</v>
      </c>
      <c r="AQ3889" s="4">
        <v>37</v>
      </c>
      <c r="AR3889" s="3" t="s">
        <v>64</v>
      </c>
      <c r="AS3889" s="3" t="s">
        <v>64</v>
      </c>
      <c r="AT3889" s="3" t="s">
        <v>64</v>
      </c>
      <c r="AV3889" s="6" t="str">
        <f>HYPERLINK("http://mcgill.on.worldcat.org/oclc/3081806","Catalog Record")</f>
        <v>Catalog Record</v>
      </c>
      <c r="AW3889" s="6" t="str">
        <f>HYPERLINK("http://www.worldcat.org/oclc/3081806","WorldCat Record")</f>
        <v>WorldCat Record</v>
      </c>
      <c r="AX3889" s="3" t="s">
        <v>38378</v>
      </c>
      <c r="AY3889" s="3" t="s">
        <v>38379</v>
      </c>
      <c r="AZ3889" s="3" t="s">
        <v>38380</v>
      </c>
      <c r="BA3889" s="3" t="s">
        <v>38380</v>
      </c>
      <c r="BB3889" s="3" t="s">
        <v>38381</v>
      </c>
      <c r="BC3889" s="3" t="s">
        <v>77</v>
      </c>
      <c r="BD3889" s="3" t="s">
        <v>78</v>
      </c>
      <c r="BF3889" s="3" t="s">
        <v>38381</v>
      </c>
      <c r="BG3889" s="3" t="s">
        <v>38382</v>
      </c>
      <c r="BH3889">
        <f t="shared" si="96"/>
        <v>0</v>
      </c>
    </row>
    <row r="3890" spans="1:60" ht="58" x14ac:dyDescent="0.35">
      <c r="A3890" s="2" t="s">
        <v>59</v>
      </c>
      <c r="B3890" s="2" t="s">
        <v>60</v>
      </c>
      <c r="C3890" s="2" t="s">
        <v>38383</v>
      </c>
      <c r="D3890" s="2" t="s">
        <v>38384</v>
      </c>
      <c r="E3890" s="2" t="s">
        <v>38385</v>
      </c>
      <c r="G3890" s="3" t="s">
        <v>64</v>
      </c>
      <c r="I3890" s="3" t="s">
        <v>64</v>
      </c>
      <c r="J3890" s="3" t="s">
        <v>128</v>
      </c>
      <c r="K3890" s="3" t="s">
        <v>65</v>
      </c>
      <c r="L3890" s="2" t="s">
        <v>38386</v>
      </c>
      <c r="M3890" s="2" t="s">
        <v>38387</v>
      </c>
      <c r="N3890" s="3" t="s">
        <v>1017</v>
      </c>
      <c r="O3890" s="2" t="s">
        <v>2994</v>
      </c>
      <c r="P3890" s="3" t="s">
        <v>102</v>
      </c>
      <c r="R3890" s="3" t="s">
        <v>70</v>
      </c>
      <c r="S3890" s="4">
        <v>7</v>
      </c>
      <c r="T3890" s="4">
        <v>7</v>
      </c>
      <c r="U3890" s="5" t="s">
        <v>17303</v>
      </c>
      <c r="V3890" s="5" t="s">
        <v>17303</v>
      </c>
      <c r="W3890" s="5" t="s">
        <v>72</v>
      </c>
      <c r="X3890" s="5" t="s">
        <v>72</v>
      </c>
      <c r="Y3890" s="4">
        <v>862</v>
      </c>
      <c r="Z3890" s="4">
        <v>39</v>
      </c>
      <c r="AA3890" s="4">
        <v>63</v>
      </c>
      <c r="AB3890" s="4">
        <v>3</v>
      </c>
      <c r="AC3890" s="4">
        <v>7</v>
      </c>
      <c r="AD3890" s="4">
        <v>116</v>
      </c>
      <c r="AE3890" s="4">
        <v>144</v>
      </c>
      <c r="AF3890" s="4">
        <v>1</v>
      </c>
      <c r="AG3890" s="4">
        <v>4</v>
      </c>
      <c r="AH3890" s="4">
        <v>97</v>
      </c>
      <c r="AI3890" s="4">
        <v>110</v>
      </c>
      <c r="AJ3890" s="4">
        <v>16</v>
      </c>
      <c r="AK3890" s="4">
        <v>23</v>
      </c>
      <c r="AL3890" s="4">
        <v>57</v>
      </c>
      <c r="AM3890" s="4">
        <v>64</v>
      </c>
      <c r="AN3890" s="4">
        <v>0</v>
      </c>
      <c r="AO3890" s="4">
        <v>0</v>
      </c>
      <c r="AP3890" s="4">
        <v>24</v>
      </c>
      <c r="AQ3890" s="4">
        <v>37</v>
      </c>
      <c r="AR3890" s="3" t="s">
        <v>64</v>
      </c>
      <c r="AS3890" s="3" t="s">
        <v>64</v>
      </c>
      <c r="AT3890" s="3" t="s">
        <v>128</v>
      </c>
      <c r="AU3890" s="6" t="str">
        <f>HYPERLINK("http://catalog.hathitrust.org/Record/001167011","HathiTrust Record")</f>
        <v>HathiTrust Record</v>
      </c>
      <c r="AV3890" s="6" t="str">
        <f>HYPERLINK("http://mcgill.on.worldcat.org/oclc/96811","Catalog Record")</f>
        <v>Catalog Record</v>
      </c>
      <c r="AW3890" s="6" t="str">
        <f>HYPERLINK("http://www.worldcat.org/oclc/96811","WorldCat Record")</f>
        <v>WorldCat Record</v>
      </c>
      <c r="AX3890" s="3" t="s">
        <v>38378</v>
      </c>
      <c r="AY3890" s="3" t="s">
        <v>38388</v>
      </c>
      <c r="AZ3890" s="3" t="s">
        <v>38389</v>
      </c>
      <c r="BA3890" s="3" t="s">
        <v>38389</v>
      </c>
      <c r="BB3890" s="3" t="s">
        <v>38390</v>
      </c>
      <c r="BC3890" s="3" t="s">
        <v>77</v>
      </c>
      <c r="BD3890" s="3" t="s">
        <v>78</v>
      </c>
      <c r="BE3890" s="3" t="s">
        <v>38391</v>
      </c>
      <c r="BF3890" s="3" t="s">
        <v>38390</v>
      </c>
      <c r="BG3890" s="3" t="s">
        <v>38392</v>
      </c>
      <c r="BH3890">
        <f t="shared" si="96"/>
        <v>0</v>
      </c>
    </row>
    <row r="3891" spans="1:60" ht="58" x14ac:dyDescent="0.35">
      <c r="A3891" s="2" t="s">
        <v>59</v>
      </c>
      <c r="B3891" s="2" t="s">
        <v>60</v>
      </c>
      <c r="C3891" s="2" t="s">
        <v>38393</v>
      </c>
      <c r="D3891" s="2" t="s">
        <v>38394</v>
      </c>
      <c r="E3891" s="2" t="s">
        <v>38395</v>
      </c>
      <c r="G3891" s="3" t="s">
        <v>64</v>
      </c>
      <c r="I3891" s="3" t="s">
        <v>64</v>
      </c>
      <c r="J3891" s="3" t="s">
        <v>128</v>
      </c>
      <c r="K3891" s="3" t="s">
        <v>65</v>
      </c>
      <c r="L3891" s="2" t="s">
        <v>38396</v>
      </c>
      <c r="M3891" s="2" t="s">
        <v>38397</v>
      </c>
      <c r="N3891" s="3" t="s">
        <v>326</v>
      </c>
      <c r="O3891" s="2" t="s">
        <v>38398</v>
      </c>
      <c r="P3891" s="3" t="s">
        <v>68</v>
      </c>
      <c r="Q3891" s="2" t="s">
        <v>37298</v>
      </c>
      <c r="R3891" s="3" t="s">
        <v>70</v>
      </c>
      <c r="S3891" s="4">
        <v>0</v>
      </c>
      <c r="T3891" s="4">
        <v>0</v>
      </c>
      <c r="W3891" s="5" t="s">
        <v>72</v>
      </c>
      <c r="X3891" s="5" t="s">
        <v>72</v>
      </c>
      <c r="Y3891" s="4">
        <v>14</v>
      </c>
      <c r="Z3891" s="4">
        <v>3</v>
      </c>
      <c r="AA3891" s="4">
        <v>14</v>
      </c>
      <c r="AB3891" s="4">
        <v>1</v>
      </c>
      <c r="AC3891" s="4">
        <v>6</v>
      </c>
      <c r="AD3891" s="4">
        <v>4</v>
      </c>
      <c r="AE3891" s="4">
        <v>32</v>
      </c>
      <c r="AF3891" s="4">
        <v>0</v>
      </c>
      <c r="AG3891" s="4">
        <v>3</v>
      </c>
      <c r="AH3891" s="4">
        <v>3</v>
      </c>
      <c r="AI3891" s="4">
        <v>26</v>
      </c>
      <c r="AJ3891" s="4">
        <v>1</v>
      </c>
      <c r="AK3891" s="4">
        <v>9</v>
      </c>
      <c r="AL3891" s="4">
        <v>4</v>
      </c>
      <c r="AM3891" s="4">
        <v>20</v>
      </c>
      <c r="AN3891" s="4">
        <v>0</v>
      </c>
      <c r="AO3891" s="4">
        <v>0</v>
      </c>
      <c r="AP3891" s="4">
        <v>1</v>
      </c>
      <c r="AQ3891" s="4">
        <v>9</v>
      </c>
      <c r="AR3891" s="3" t="s">
        <v>64</v>
      </c>
      <c r="AS3891" s="3" t="s">
        <v>64</v>
      </c>
      <c r="AT3891" s="3" t="s">
        <v>64</v>
      </c>
      <c r="AV3891" s="6" t="str">
        <f>HYPERLINK("http://mcgill.on.worldcat.org/oclc/753625305","Catalog Record")</f>
        <v>Catalog Record</v>
      </c>
      <c r="AW3891" s="6" t="str">
        <f>HYPERLINK("http://www.worldcat.org/oclc/753625305","WorldCat Record")</f>
        <v>WorldCat Record</v>
      </c>
      <c r="AX3891" s="3" t="s">
        <v>38399</v>
      </c>
      <c r="AY3891" s="3" t="s">
        <v>38400</v>
      </c>
      <c r="AZ3891" s="3" t="s">
        <v>38401</v>
      </c>
      <c r="BA3891" s="3" t="s">
        <v>38401</v>
      </c>
      <c r="BB3891" s="3" t="s">
        <v>38402</v>
      </c>
      <c r="BC3891" s="3" t="s">
        <v>77</v>
      </c>
      <c r="BD3891" s="3" t="s">
        <v>78</v>
      </c>
      <c r="BE3891" s="3" t="s">
        <v>38403</v>
      </c>
      <c r="BF3891" s="3" t="s">
        <v>38402</v>
      </c>
      <c r="BG3891" s="3" t="s">
        <v>38404</v>
      </c>
      <c r="BH3891">
        <f t="shared" si="96"/>
        <v>0</v>
      </c>
    </row>
    <row r="3892" spans="1:60" ht="116" x14ac:dyDescent="0.35">
      <c r="A3892" s="2" t="s">
        <v>59</v>
      </c>
      <c r="B3892" s="2" t="s">
        <v>60</v>
      </c>
      <c r="C3892" s="2" t="s">
        <v>38405</v>
      </c>
      <c r="D3892" s="2" t="s">
        <v>38406</v>
      </c>
      <c r="E3892" s="2" t="s">
        <v>38407</v>
      </c>
      <c r="F3892" s="3" t="s">
        <v>489</v>
      </c>
      <c r="G3892" s="3" t="s">
        <v>128</v>
      </c>
      <c r="I3892" s="3" t="s">
        <v>64</v>
      </c>
      <c r="J3892" s="3" t="s">
        <v>64</v>
      </c>
      <c r="K3892" s="3" t="s">
        <v>65</v>
      </c>
      <c r="L3892" s="2" t="s">
        <v>38408</v>
      </c>
      <c r="M3892" s="2" t="s">
        <v>38409</v>
      </c>
      <c r="N3892" s="3" t="s">
        <v>5359</v>
      </c>
      <c r="P3892" s="3" t="s">
        <v>102</v>
      </c>
      <c r="R3892" s="3" t="s">
        <v>70</v>
      </c>
      <c r="S3892" s="4">
        <v>5</v>
      </c>
      <c r="T3892" s="4">
        <v>8</v>
      </c>
      <c r="U3892" s="5" t="s">
        <v>17303</v>
      </c>
      <c r="V3892" s="5" t="s">
        <v>17303</v>
      </c>
      <c r="W3892" s="5" t="s">
        <v>72</v>
      </c>
      <c r="X3892" s="5" t="s">
        <v>72</v>
      </c>
      <c r="Y3892" s="4">
        <v>299</v>
      </c>
      <c r="Z3892" s="4">
        <v>18</v>
      </c>
      <c r="AA3892" s="4">
        <v>39</v>
      </c>
      <c r="AB3892" s="4">
        <v>1</v>
      </c>
      <c r="AC3892" s="4">
        <v>3</v>
      </c>
      <c r="AD3892" s="4">
        <v>65</v>
      </c>
      <c r="AE3892" s="4">
        <v>128</v>
      </c>
      <c r="AF3892" s="4">
        <v>0</v>
      </c>
      <c r="AG3892" s="4">
        <v>2</v>
      </c>
      <c r="AH3892" s="4">
        <v>60</v>
      </c>
      <c r="AI3892" s="4">
        <v>108</v>
      </c>
      <c r="AJ3892" s="4">
        <v>7</v>
      </c>
      <c r="AK3892" s="4">
        <v>22</v>
      </c>
      <c r="AL3892" s="4">
        <v>38</v>
      </c>
      <c r="AM3892" s="4">
        <v>59</v>
      </c>
      <c r="AN3892" s="4">
        <v>0</v>
      </c>
      <c r="AO3892" s="4">
        <v>0</v>
      </c>
      <c r="AP3892" s="4">
        <v>10</v>
      </c>
      <c r="AQ3892" s="4">
        <v>25</v>
      </c>
      <c r="AR3892" s="3" t="s">
        <v>64</v>
      </c>
      <c r="AS3892" s="3" t="s">
        <v>64</v>
      </c>
      <c r="AT3892" s="3" t="s">
        <v>64</v>
      </c>
      <c r="AU3892" s="6" t="str">
        <f>HYPERLINK("http://catalog.hathitrust.org/Record/001167023","HathiTrust Record")</f>
        <v>HathiTrust Record</v>
      </c>
      <c r="AV3892" s="6" t="str">
        <f>HYPERLINK("http://mcgill.on.worldcat.org/oclc/229825","Catalog Record")</f>
        <v>Catalog Record</v>
      </c>
      <c r="AW3892" s="6" t="str">
        <f>HYPERLINK("http://www.worldcat.org/oclc/229825","WorldCat Record")</f>
        <v>WorldCat Record</v>
      </c>
      <c r="AX3892" s="3" t="s">
        <v>38410</v>
      </c>
      <c r="AY3892" s="3" t="s">
        <v>38411</v>
      </c>
      <c r="AZ3892" s="3" t="s">
        <v>38412</v>
      </c>
      <c r="BA3892" s="3" t="s">
        <v>38412</v>
      </c>
      <c r="BB3892" s="3" t="s">
        <v>38413</v>
      </c>
      <c r="BC3892" s="3" t="s">
        <v>77</v>
      </c>
      <c r="BD3892" s="3" t="s">
        <v>78</v>
      </c>
      <c r="BF3892" s="3" t="s">
        <v>38413</v>
      </c>
      <c r="BG3892" s="3" t="s">
        <v>38414</v>
      </c>
      <c r="BH3892">
        <f t="shared" si="96"/>
        <v>0</v>
      </c>
    </row>
    <row r="3893" spans="1:60" ht="116" x14ac:dyDescent="0.35">
      <c r="A3893" s="2" t="s">
        <v>59</v>
      </c>
      <c r="B3893" s="2" t="s">
        <v>60</v>
      </c>
      <c r="C3893" s="2" t="s">
        <v>38405</v>
      </c>
      <c r="D3893" s="2" t="s">
        <v>38406</v>
      </c>
      <c r="E3893" s="2" t="s">
        <v>38407</v>
      </c>
      <c r="F3893" s="3" t="s">
        <v>478</v>
      </c>
      <c r="G3893" s="3" t="s">
        <v>128</v>
      </c>
      <c r="I3893" s="3" t="s">
        <v>64</v>
      </c>
      <c r="J3893" s="3" t="s">
        <v>64</v>
      </c>
      <c r="K3893" s="3" t="s">
        <v>65</v>
      </c>
      <c r="L3893" s="2" t="s">
        <v>38408</v>
      </c>
      <c r="M3893" s="2" t="s">
        <v>38409</v>
      </c>
      <c r="N3893" s="3" t="s">
        <v>5359</v>
      </c>
      <c r="P3893" s="3" t="s">
        <v>102</v>
      </c>
      <c r="R3893" s="3" t="s">
        <v>70</v>
      </c>
      <c r="S3893" s="4">
        <v>3</v>
      </c>
      <c r="T3893" s="4">
        <v>8</v>
      </c>
      <c r="U3893" s="5" t="s">
        <v>38415</v>
      </c>
      <c r="V3893" s="5" t="s">
        <v>17303</v>
      </c>
      <c r="W3893" s="5" t="s">
        <v>72</v>
      </c>
      <c r="X3893" s="5" t="s">
        <v>72</v>
      </c>
      <c r="Y3893" s="4">
        <v>299</v>
      </c>
      <c r="Z3893" s="4">
        <v>18</v>
      </c>
      <c r="AA3893" s="4">
        <v>39</v>
      </c>
      <c r="AB3893" s="4">
        <v>1</v>
      </c>
      <c r="AC3893" s="4">
        <v>3</v>
      </c>
      <c r="AD3893" s="4">
        <v>65</v>
      </c>
      <c r="AE3893" s="4">
        <v>128</v>
      </c>
      <c r="AF3893" s="4">
        <v>0</v>
      </c>
      <c r="AG3893" s="4">
        <v>2</v>
      </c>
      <c r="AH3893" s="4">
        <v>60</v>
      </c>
      <c r="AI3893" s="4">
        <v>108</v>
      </c>
      <c r="AJ3893" s="4">
        <v>7</v>
      </c>
      <c r="AK3893" s="4">
        <v>22</v>
      </c>
      <c r="AL3893" s="4">
        <v>38</v>
      </c>
      <c r="AM3893" s="4">
        <v>59</v>
      </c>
      <c r="AN3893" s="4">
        <v>0</v>
      </c>
      <c r="AO3893" s="4">
        <v>0</v>
      </c>
      <c r="AP3893" s="4">
        <v>10</v>
      </c>
      <c r="AQ3893" s="4">
        <v>25</v>
      </c>
      <c r="AR3893" s="3" t="s">
        <v>64</v>
      </c>
      <c r="AS3893" s="3" t="s">
        <v>64</v>
      </c>
      <c r="AT3893" s="3" t="s">
        <v>64</v>
      </c>
      <c r="AU3893" s="6" t="str">
        <f>HYPERLINK("http://catalog.hathitrust.org/Record/001167023","HathiTrust Record")</f>
        <v>HathiTrust Record</v>
      </c>
      <c r="AV3893" s="6" t="str">
        <f>HYPERLINK("http://mcgill.on.worldcat.org/oclc/229825","Catalog Record")</f>
        <v>Catalog Record</v>
      </c>
      <c r="AW3893" s="6" t="str">
        <f>HYPERLINK("http://www.worldcat.org/oclc/229825","WorldCat Record")</f>
        <v>WorldCat Record</v>
      </c>
      <c r="AX3893" s="3" t="s">
        <v>38410</v>
      </c>
      <c r="AY3893" s="3" t="s">
        <v>38411</v>
      </c>
      <c r="AZ3893" s="3" t="s">
        <v>38412</v>
      </c>
      <c r="BA3893" s="3" t="s">
        <v>38412</v>
      </c>
      <c r="BB3893" s="3" t="s">
        <v>38416</v>
      </c>
      <c r="BC3893" s="3" t="s">
        <v>77</v>
      </c>
      <c r="BD3893" s="3" t="s">
        <v>78</v>
      </c>
      <c r="BF3893" s="3" t="s">
        <v>38416</v>
      </c>
      <c r="BG3893" s="3" t="s">
        <v>38417</v>
      </c>
      <c r="BH3893">
        <f t="shared" si="96"/>
        <v>0</v>
      </c>
    </row>
    <row r="3894" spans="1:60" ht="58" x14ac:dyDescent="0.35">
      <c r="A3894" s="2" t="s">
        <v>59</v>
      </c>
      <c r="B3894" s="2" t="s">
        <v>60</v>
      </c>
      <c r="C3894" s="2" t="s">
        <v>38418</v>
      </c>
      <c r="D3894" s="2" t="s">
        <v>38419</v>
      </c>
      <c r="E3894" s="2" t="s">
        <v>38420</v>
      </c>
      <c r="G3894" s="3" t="s">
        <v>64</v>
      </c>
      <c r="I3894" s="3" t="s">
        <v>64</v>
      </c>
      <c r="J3894" s="3" t="s">
        <v>64</v>
      </c>
      <c r="K3894" s="3" t="s">
        <v>65</v>
      </c>
      <c r="L3894" s="2" t="s">
        <v>38339</v>
      </c>
      <c r="M3894" s="2" t="s">
        <v>38421</v>
      </c>
      <c r="N3894" s="3" t="s">
        <v>537</v>
      </c>
      <c r="P3894" s="3" t="s">
        <v>1479</v>
      </c>
      <c r="Q3894" s="2" t="s">
        <v>38422</v>
      </c>
      <c r="R3894" s="3" t="s">
        <v>70</v>
      </c>
      <c r="S3894" s="4">
        <v>0</v>
      </c>
      <c r="T3894" s="4">
        <v>0</v>
      </c>
      <c r="W3894" s="5" t="s">
        <v>72</v>
      </c>
      <c r="X3894" s="5" t="s">
        <v>72</v>
      </c>
      <c r="Y3894" s="4">
        <v>22</v>
      </c>
      <c r="Z3894" s="4">
        <v>4</v>
      </c>
      <c r="AA3894" s="4">
        <v>4</v>
      </c>
      <c r="AB3894" s="4">
        <v>1</v>
      </c>
      <c r="AC3894" s="4">
        <v>1</v>
      </c>
      <c r="AD3894" s="4">
        <v>14</v>
      </c>
      <c r="AE3894" s="4">
        <v>14</v>
      </c>
      <c r="AF3894" s="4">
        <v>0</v>
      </c>
      <c r="AG3894" s="4">
        <v>0</v>
      </c>
      <c r="AH3894" s="4">
        <v>14</v>
      </c>
      <c r="AI3894" s="4">
        <v>14</v>
      </c>
      <c r="AJ3894" s="4">
        <v>1</v>
      </c>
      <c r="AK3894" s="4">
        <v>1</v>
      </c>
      <c r="AL3894" s="4">
        <v>10</v>
      </c>
      <c r="AM3894" s="4">
        <v>10</v>
      </c>
      <c r="AN3894" s="4">
        <v>0</v>
      </c>
      <c r="AO3894" s="4">
        <v>0</v>
      </c>
      <c r="AP3894" s="4">
        <v>2</v>
      </c>
      <c r="AQ3894" s="4">
        <v>2</v>
      </c>
      <c r="AR3894" s="3" t="s">
        <v>64</v>
      </c>
      <c r="AS3894" s="3" t="s">
        <v>64</v>
      </c>
      <c r="AT3894" s="3" t="s">
        <v>64</v>
      </c>
      <c r="AV3894" s="6" t="str">
        <f>HYPERLINK("http://mcgill.on.worldcat.org/oclc/959495773","Catalog Record")</f>
        <v>Catalog Record</v>
      </c>
      <c r="AW3894" s="6" t="str">
        <f>HYPERLINK("http://www.worldcat.org/oclc/959495773","WorldCat Record")</f>
        <v>WorldCat Record</v>
      </c>
      <c r="AX3894" s="3" t="s">
        <v>38423</v>
      </c>
      <c r="AY3894" s="3" t="s">
        <v>38424</v>
      </c>
      <c r="AZ3894" s="3" t="s">
        <v>38425</v>
      </c>
      <c r="BA3894" s="3" t="s">
        <v>38425</v>
      </c>
      <c r="BB3894" s="3" t="s">
        <v>38426</v>
      </c>
      <c r="BC3894" s="3" t="s">
        <v>77</v>
      </c>
      <c r="BD3894" s="3" t="s">
        <v>78</v>
      </c>
      <c r="BE3894" s="3" t="s">
        <v>38427</v>
      </c>
      <c r="BF3894" s="3" t="s">
        <v>38426</v>
      </c>
      <c r="BG3894" s="3" t="s">
        <v>38428</v>
      </c>
      <c r="BH3894">
        <f t="shared" si="96"/>
        <v>0</v>
      </c>
    </row>
    <row r="3895" spans="1:60" ht="72.5" x14ac:dyDescent="0.35">
      <c r="A3895" s="2" t="s">
        <v>59</v>
      </c>
      <c r="B3895" s="2" t="s">
        <v>1025</v>
      </c>
      <c r="C3895" s="2" t="s">
        <v>38429</v>
      </c>
      <c r="D3895" s="2" t="s">
        <v>38430</v>
      </c>
      <c r="E3895" s="2" t="s">
        <v>38431</v>
      </c>
      <c r="G3895" s="3" t="s">
        <v>64</v>
      </c>
      <c r="I3895" s="3" t="s">
        <v>64</v>
      </c>
      <c r="J3895" s="3" t="s">
        <v>64</v>
      </c>
      <c r="K3895" s="3" t="s">
        <v>65</v>
      </c>
      <c r="L3895" s="2" t="s">
        <v>4395</v>
      </c>
      <c r="M3895" s="2" t="s">
        <v>38432</v>
      </c>
      <c r="N3895" s="3" t="s">
        <v>685</v>
      </c>
      <c r="P3895" s="3" t="s">
        <v>68</v>
      </c>
      <c r="R3895" s="3" t="s">
        <v>70</v>
      </c>
      <c r="S3895" s="4">
        <v>1</v>
      </c>
      <c r="T3895" s="4">
        <v>1</v>
      </c>
      <c r="U3895" s="5" t="s">
        <v>12152</v>
      </c>
      <c r="V3895" s="5" t="s">
        <v>12152</v>
      </c>
      <c r="W3895" s="5" t="s">
        <v>72</v>
      </c>
      <c r="X3895" s="5" t="s">
        <v>72</v>
      </c>
      <c r="Y3895" s="4">
        <v>98</v>
      </c>
      <c r="Z3895" s="4">
        <v>6</v>
      </c>
      <c r="AA3895" s="4">
        <v>7</v>
      </c>
      <c r="AB3895" s="4">
        <v>2</v>
      </c>
      <c r="AC3895" s="4">
        <v>2</v>
      </c>
      <c r="AD3895" s="4">
        <v>43</v>
      </c>
      <c r="AE3895" s="4">
        <v>44</v>
      </c>
      <c r="AF3895" s="4">
        <v>0</v>
      </c>
      <c r="AG3895" s="4">
        <v>0</v>
      </c>
      <c r="AH3895" s="4">
        <v>42</v>
      </c>
      <c r="AI3895" s="4">
        <v>42</v>
      </c>
      <c r="AJ3895" s="4">
        <v>3</v>
      </c>
      <c r="AK3895" s="4">
        <v>4</v>
      </c>
      <c r="AL3895" s="4">
        <v>32</v>
      </c>
      <c r="AM3895" s="4">
        <v>32</v>
      </c>
      <c r="AN3895" s="4">
        <v>0</v>
      </c>
      <c r="AO3895" s="4">
        <v>0</v>
      </c>
      <c r="AP3895" s="4">
        <v>3</v>
      </c>
      <c r="AQ3895" s="4">
        <v>3</v>
      </c>
      <c r="AR3895" s="3" t="s">
        <v>64</v>
      </c>
      <c r="AS3895" s="3" t="s">
        <v>64</v>
      </c>
      <c r="AT3895" s="3" t="s">
        <v>128</v>
      </c>
      <c r="AU3895" s="6" t="str">
        <f>HYPERLINK("http://catalog.hathitrust.org/Record/001167097","HathiTrust Record")</f>
        <v>HathiTrust Record</v>
      </c>
      <c r="AV3895" s="6" t="str">
        <f>HYPERLINK("http://mcgill.on.worldcat.org/oclc/2677421","Catalog Record")</f>
        <v>Catalog Record</v>
      </c>
      <c r="AW3895" s="6" t="str">
        <f>HYPERLINK("http://www.worldcat.org/oclc/2677421","WorldCat Record")</f>
        <v>WorldCat Record</v>
      </c>
      <c r="AX3895" s="3" t="s">
        <v>38433</v>
      </c>
      <c r="AY3895" s="3" t="s">
        <v>38434</v>
      </c>
      <c r="AZ3895" s="3" t="s">
        <v>38435</v>
      </c>
      <c r="BA3895" s="3" t="s">
        <v>38435</v>
      </c>
      <c r="BB3895" s="3" t="s">
        <v>38436</v>
      </c>
      <c r="BC3895" s="3" t="s">
        <v>77</v>
      </c>
      <c r="BD3895" s="3" t="s">
        <v>78</v>
      </c>
      <c r="BF3895" s="3" t="s">
        <v>38436</v>
      </c>
      <c r="BG3895" s="3" t="s">
        <v>38437</v>
      </c>
      <c r="BH3895">
        <f t="shared" si="96"/>
        <v>0</v>
      </c>
    </row>
    <row r="3896" spans="1:60" ht="72.5" x14ac:dyDescent="0.35">
      <c r="A3896" s="2" t="s">
        <v>59</v>
      </c>
      <c r="B3896" s="2" t="s">
        <v>1025</v>
      </c>
      <c r="C3896" s="2" t="s">
        <v>38438</v>
      </c>
      <c r="D3896" s="2" t="s">
        <v>38439</v>
      </c>
      <c r="E3896" s="2" t="s">
        <v>38440</v>
      </c>
      <c r="G3896" s="3" t="s">
        <v>64</v>
      </c>
      <c r="I3896" s="3" t="s">
        <v>128</v>
      </c>
      <c r="J3896" s="3" t="s">
        <v>64</v>
      </c>
      <c r="K3896" s="3" t="s">
        <v>65</v>
      </c>
      <c r="L3896" s="2" t="s">
        <v>4395</v>
      </c>
      <c r="M3896" s="2" t="s">
        <v>38441</v>
      </c>
      <c r="N3896" s="3" t="s">
        <v>481</v>
      </c>
      <c r="P3896" s="3" t="s">
        <v>68</v>
      </c>
      <c r="R3896" s="3" t="s">
        <v>70</v>
      </c>
      <c r="S3896" s="4">
        <v>1</v>
      </c>
      <c r="T3896" s="4">
        <v>2</v>
      </c>
      <c r="U3896" s="5" t="s">
        <v>38442</v>
      </c>
      <c r="V3896" s="5" t="s">
        <v>10149</v>
      </c>
      <c r="W3896" s="5" t="s">
        <v>72</v>
      </c>
      <c r="X3896" s="5" t="s">
        <v>72</v>
      </c>
      <c r="Y3896" s="4">
        <v>3</v>
      </c>
      <c r="Z3896" s="4">
        <v>3</v>
      </c>
      <c r="AA3896" s="4">
        <v>24</v>
      </c>
      <c r="AB3896" s="4">
        <v>1</v>
      </c>
      <c r="AC3896" s="4">
        <v>6</v>
      </c>
      <c r="AD3896" s="4">
        <v>1</v>
      </c>
      <c r="AE3896" s="4">
        <v>71</v>
      </c>
      <c r="AF3896" s="4">
        <v>0</v>
      </c>
      <c r="AG3896" s="4">
        <v>3</v>
      </c>
      <c r="AH3896" s="4">
        <v>1</v>
      </c>
      <c r="AI3896" s="4">
        <v>60</v>
      </c>
      <c r="AJ3896" s="4">
        <v>1</v>
      </c>
      <c r="AK3896" s="4">
        <v>15</v>
      </c>
      <c r="AL3896" s="4">
        <v>1</v>
      </c>
      <c r="AM3896" s="4">
        <v>36</v>
      </c>
      <c r="AN3896" s="4">
        <v>0</v>
      </c>
      <c r="AO3896" s="4">
        <v>0</v>
      </c>
      <c r="AP3896" s="4">
        <v>1</v>
      </c>
      <c r="AQ3896" s="4">
        <v>14</v>
      </c>
      <c r="AR3896" s="3" t="s">
        <v>64</v>
      </c>
      <c r="AS3896" s="3" t="s">
        <v>64</v>
      </c>
      <c r="AT3896" s="3" t="s">
        <v>64</v>
      </c>
      <c r="AV3896" s="6" t="str">
        <f>HYPERLINK("http://mcgill.on.worldcat.org/oclc/61573547","Catalog Record")</f>
        <v>Catalog Record</v>
      </c>
      <c r="AW3896" s="6" t="str">
        <f>HYPERLINK("http://www.worldcat.org/oclc/61573547","WorldCat Record")</f>
        <v>WorldCat Record</v>
      </c>
      <c r="AX3896" s="3" t="s">
        <v>38443</v>
      </c>
      <c r="AY3896" s="3" t="s">
        <v>38444</v>
      </c>
      <c r="AZ3896" s="3" t="s">
        <v>38445</v>
      </c>
      <c r="BA3896" s="3" t="s">
        <v>38445</v>
      </c>
      <c r="BB3896" s="3" t="s">
        <v>38446</v>
      </c>
      <c r="BC3896" s="3" t="s">
        <v>77</v>
      </c>
      <c r="BD3896" s="3" t="s">
        <v>78</v>
      </c>
      <c r="BF3896" s="3" t="s">
        <v>38446</v>
      </c>
      <c r="BG3896" s="3" t="s">
        <v>38447</v>
      </c>
      <c r="BH3896">
        <f t="shared" si="96"/>
        <v>0</v>
      </c>
    </row>
    <row r="3897" spans="1:60" ht="72.5" x14ac:dyDescent="0.35">
      <c r="A3897" s="2" t="s">
        <v>59</v>
      </c>
      <c r="B3897" s="2" t="s">
        <v>38448</v>
      </c>
      <c r="C3897" s="2" t="s">
        <v>38449</v>
      </c>
      <c r="D3897" s="2" t="s">
        <v>38450</v>
      </c>
      <c r="E3897" s="2" t="s">
        <v>38451</v>
      </c>
      <c r="G3897" s="3" t="s">
        <v>64</v>
      </c>
      <c r="I3897" s="3" t="s">
        <v>128</v>
      </c>
      <c r="J3897" s="3" t="s">
        <v>128</v>
      </c>
      <c r="K3897" s="3" t="s">
        <v>65</v>
      </c>
      <c r="L3897" s="2" t="s">
        <v>38452</v>
      </c>
      <c r="M3897" s="2" t="s">
        <v>38453</v>
      </c>
      <c r="N3897" s="3" t="s">
        <v>38454</v>
      </c>
      <c r="P3897" s="3" t="s">
        <v>102</v>
      </c>
      <c r="Q3897" s="2" t="s">
        <v>38455</v>
      </c>
      <c r="R3897" s="3" t="s">
        <v>70</v>
      </c>
      <c r="S3897" s="4">
        <v>2</v>
      </c>
      <c r="T3897" s="4">
        <v>3</v>
      </c>
      <c r="U3897" s="5" t="s">
        <v>38456</v>
      </c>
      <c r="V3897" s="5" t="s">
        <v>687</v>
      </c>
      <c r="W3897" s="5" t="s">
        <v>72</v>
      </c>
      <c r="X3897" s="5" t="s">
        <v>72</v>
      </c>
      <c r="Y3897" s="4">
        <v>14</v>
      </c>
      <c r="Z3897" s="4">
        <v>4</v>
      </c>
      <c r="AA3897" s="4">
        <v>53</v>
      </c>
      <c r="AB3897" s="4">
        <v>1</v>
      </c>
      <c r="AC3897" s="4">
        <v>5</v>
      </c>
      <c r="AD3897" s="4">
        <v>4</v>
      </c>
      <c r="AE3897" s="4">
        <v>130</v>
      </c>
      <c r="AF3897" s="4">
        <v>0</v>
      </c>
      <c r="AG3897" s="4">
        <v>1</v>
      </c>
      <c r="AH3897" s="4">
        <v>4</v>
      </c>
      <c r="AI3897" s="4">
        <v>111</v>
      </c>
      <c r="AJ3897" s="4">
        <v>1</v>
      </c>
      <c r="AK3897" s="4">
        <v>19</v>
      </c>
      <c r="AL3897" s="4">
        <v>4</v>
      </c>
      <c r="AM3897" s="4">
        <v>60</v>
      </c>
      <c r="AN3897" s="4">
        <v>0</v>
      </c>
      <c r="AO3897" s="4">
        <v>0</v>
      </c>
      <c r="AP3897" s="4">
        <v>1</v>
      </c>
      <c r="AQ3897" s="4">
        <v>24</v>
      </c>
      <c r="AR3897" s="3" t="s">
        <v>64</v>
      </c>
      <c r="AS3897" s="3" t="s">
        <v>64</v>
      </c>
      <c r="AT3897" s="3" t="s">
        <v>64</v>
      </c>
      <c r="AU3897" s="6" t="str">
        <f>HYPERLINK("http://catalog.hathitrust.org/Record/009015046","HathiTrust Record")</f>
        <v>HathiTrust Record</v>
      </c>
      <c r="AV3897" s="6" t="str">
        <f>HYPERLINK("http://mcgill.on.worldcat.org/oclc/17536516","Catalog Record")</f>
        <v>Catalog Record</v>
      </c>
      <c r="AW3897" s="6" t="str">
        <f>HYPERLINK("http://www.worldcat.org/oclc/17536516","WorldCat Record")</f>
        <v>WorldCat Record</v>
      </c>
      <c r="AX3897" s="3" t="s">
        <v>38457</v>
      </c>
      <c r="AY3897" s="3" t="s">
        <v>38458</v>
      </c>
      <c r="AZ3897" s="3" t="s">
        <v>38459</v>
      </c>
      <c r="BA3897" s="3" t="s">
        <v>38459</v>
      </c>
      <c r="BB3897" s="3" t="s">
        <v>38460</v>
      </c>
      <c r="BC3897" s="3" t="s">
        <v>77</v>
      </c>
      <c r="BD3897" s="3" t="s">
        <v>78</v>
      </c>
      <c r="BF3897" s="3" t="s">
        <v>38460</v>
      </c>
      <c r="BG3897" s="3" t="s">
        <v>38461</v>
      </c>
      <c r="BH3897">
        <f t="shared" si="96"/>
        <v>0</v>
      </c>
    </row>
    <row r="3898" spans="1:60" ht="58" x14ac:dyDescent="0.35">
      <c r="A3898" s="2" t="s">
        <v>59</v>
      </c>
      <c r="B3898" s="2" t="s">
        <v>60</v>
      </c>
      <c r="C3898" s="2" t="s">
        <v>38462</v>
      </c>
      <c r="D3898" s="2" t="s">
        <v>38463</v>
      </c>
      <c r="E3898" s="2" t="s">
        <v>38464</v>
      </c>
      <c r="G3898" s="3" t="s">
        <v>64</v>
      </c>
      <c r="I3898" s="3" t="s">
        <v>64</v>
      </c>
      <c r="J3898" s="3" t="s">
        <v>64</v>
      </c>
      <c r="K3898" s="3" t="s">
        <v>65</v>
      </c>
      <c r="L3898" s="2" t="s">
        <v>38465</v>
      </c>
      <c r="N3898" s="3" t="s">
        <v>1075</v>
      </c>
      <c r="P3898" s="3" t="s">
        <v>68</v>
      </c>
      <c r="Q3898" s="2" t="s">
        <v>38466</v>
      </c>
      <c r="R3898" s="3" t="s">
        <v>70</v>
      </c>
      <c r="S3898" s="4">
        <v>0</v>
      </c>
      <c r="T3898" s="4">
        <v>0</v>
      </c>
      <c r="W3898" s="5" t="s">
        <v>72</v>
      </c>
      <c r="X3898" s="5" t="s">
        <v>72</v>
      </c>
      <c r="Y3898" s="4">
        <v>16</v>
      </c>
      <c r="Z3898" s="4">
        <v>13</v>
      </c>
      <c r="AA3898" s="4">
        <v>55</v>
      </c>
      <c r="AB3898" s="4">
        <v>7</v>
      </c>
      <c r="AC3898" s="4">
        <v>13</v>
      </c>
      <c r="AD3898" s="4">
        <v>6</v>
      </c>
      <c r="AE3898" s="4">
        <v>72</v>
      </c>
      <c r="AF3898" s="4">
        <v>3</v>
      </c>
      <c r="AG3898" s="4">
        <v>6</v>
      </c>
      <c r="AH3898" s="4">
        <v>3</v>
      </c>
      <c r="AI3898" s="4">
        <v>47</v>
      </c>
      <c r="AJ3898" s="4">
        <v>6</v>
      </c>
      <c r="AK3898" s="4">
        <v>20</v>
      </c>
      <c r="AL3898" s="4">
        <v>0</v>
      </c>
      <c r="AM3898" s="4">
        <v>24</v>
      </c>
      <c r="AN3898" s="4">
        <v>0</v>
      </c>
      <c r="AO3898" s="4">
        <v>0</v>
      </c>
      <c r="AP3898" s="4">
        <v>4</v>
      </c>
      <c r="AQ3898" s="4">
        <v>34</v>
      </c>
      <c r="AR3898" s="3" t="s">
        <v>128</v>
      </c>
      <c r="AS3898" s="3" t="s">
        <v>64</v>
      </c>
      <c r="AT3898" s="3" t="s">
        <v>64</v>
      </c>
      <c r="AV3898" s="6" t="str">
        <f>HYPERLINK("http://mcgill.on.worldcat.org/oclc/862237444","Catalog Record")</f>
        <v>Catalog Record</v>
      </c>
      <c r="AW3898" s="6" t="str">
        <f>HYPERLINK("http://www.worldcat.org/oclc/862237444","WorldCat Record")</f>
        <v>WorldCat Record</v>
      </c>
      <c r="AX3898" s="3" t="s">
        <v>38467</v>
      </c>
      <c r="AY3898" s="3" t="s">
        <v>38468</v>
      </c>
      <c r="AZ3898" s="3" t="s">
        <v>38469</v>
      </c>
      <c r="BA3898" s="3" t="s">
        <v>38469</v>
      </c>
      <c r="BB3898" s="3" t="s">
        <v>38470</v>
      </c>
      <c r="BC3898" s="3" t="s">
        <v>77</v>
      </c>
      <c r="BD3898" s="3" t="s">
        <v>78</v>
      </c>
      <c r="BE3898" s="3" t="s">
        <v>38471</v>
      </c>
      <c r="BF3898" s="3" t="s">
        <v>38470</v>
      </c>
      <c r="BG3898" s="3" t="s">
        <v>38472</v>
      </c>
      <c r="BH3898">
        <f t="shared" si="96"/>
        <v>0</v>
      </c>
    </row>
    <row r="3899" spans="1:60" ht="58" x14ac:dyDescent="0.35">
      <c r="A3899" s="2" t="s">
        <v>59</v>
      </c>
      <c r="B3899" s="2" t="s">
        <v>60</v>
      </c>
      <c r="C3899" s="2" t="s">
        <v>38473</v>
      </c>
      <c r="D3899" s="2" t="s">
        <v>38474</v>
      </c>
      <c r="E3899" s="2" t="s">
        <v>38475</v>
      </c>
      <c r="G3899" s="3" t="s">
        <v>64</v>
      </c>
      <c r="I3899" s="3" t="s">
        <v>64</v>
      </c>
      <c r="J3899" s="3" t="s">
        <v>64</v>
      </c>
      <c r="K3899" s="3" t="s">
        <v>65</v>
      </c>
      <c r="L3899" s="2" t="s">
        <v>38476</v>
      </c>
      <c r="M3899" s="2" t="s">
        <v>38477</v>
      </c>
      <c r="N3899" s="3" t="s">
        <v>101</v>
      </c>
      <c r="P3899" s="3" t="s">
        <v>102</v>
      </c>
      <c r="R3899" s="3" t="s">
        <v>70</v>
      </c>
      <c r="S3899" s="4">
        <v>8</v>
      </c>
      <c r="T3899" s="4">
        <v>8</v>
      </c>
      <c r="U3899" s="5" t="s">
        <v>27499</v>
      </c>
      <c r="V3899" s="5" t="s">
        <v>27499</v>
      </c>
      <c r="W3899" s="5" t="s">
        <v>72</v>
      </c>
      <c r="X3899" s="5" t="s">
        <v>72</v>
      </c>
      <c r="Y3899" s="4">
        <v>253</v>
      </c>
      <c r="Z3899" s="4">
        <v>21</v>
      </c>
      <c r="AA3899" s="4">
        <v>25</v>
      </c>
      <c r="AB3899" s="4">
        <v>1</v>
      </c>
      <c r="AC3899" s="4">
        <v>5</v>
      </c>
      <c r="AD3899" s="4">
        <v>91</v>
      </c>
      <c r="AE3899" s="4">
        <v>93</v>
      </c>
      <c r="AF3899" s="4">
        <v>0</v>
      </c>
      <c r="AG3899" s="4">
        <v>1</v>
      </c>
      <c r="AH3899" s="4">
        <v>83</v>
      </c>
      <c r="AI3899" s="4">
        <v>84</v>
      </c>
      <c r="AJ3899" s="4">
        <v>13</v>
      </c>
      <c r="AK3899" s="4">
        <v>14</v>
      </c>
      <c r="AL3899" s="4">
        <v>48</v>
      </c>
      <c r="AM3899" s="4">
        <v>48</v>
      </c>
      <c r="AN3899" s="4">
        <v>0</v>
      </c>
      <c r="AO3899" s="4">
        <v>0</v>
      </c>
      <c r="AP3899" s="4">
        <v>15</v>
      </c>
      <c r="AQ3899" s="4">
        <v>15</v>
      </c>
      <c r="AR3899" s="3" t="s">
        <v>64</v>
      </c>
      <c r="AS3899" s="3" t="s">
        <v>64</v>
      </c>
      <c r="AT3899" s="3" t="s">
        <v>64</v>
      </c>
      <c r="AV3899" s="6" t="str">
        <f>HYPERLINK("http://mcgill.on.worldcat.org/oclc/51020276","Catalog Record")</f>
        <v>Catalog Record</v>
      </c>
      <c r="AW3899" s="6" t="str">
        <f>HYPERLINK("http://www.worldcat.org/oclc/51020276","WorldCat Record")</f>
        <v>WorldCat Record</v>
      </c>
      <c r="AX3899" s="3" t="s">
        <v>38478</v>
      </c>
      <c r="AY3899" s="3" t="s">
        <v>38479</v>
      </c>
      <c r="AZ3899" s="3" t="s">
        <v>38480</v>
      </c>
      <c r="BA3899" s="3" t="s">
        <v>38480</v>
      </c>
      <c r="BB3899" s="3" t="s">
        <v>38481</v>
      </c>
      <c r="BC3899" s="3" t="s">
        <v>77</v>
      </c>
      <c r="BD3899" s="3" t="s">
        <v>165</v>
      </c>
      <c r="BE3899" s="3" t="s">
        <v>38482</v>
      </c>
      <c r="BF3899" s="3" t="s">
        <v>38481</v>
      </c>
      <c r="BG3899" s="3" t="s">
        <v>38483</v>
      </c>
      <c r="BH3899">
        <f t="shared" si="96"/>
        <v>0</v>
      </c>
    </row>
    <row r="3900" spans="1:60" ht="58" x14ac:dyDescent="0.35">
      <c r="A3900" s="2" t="s">
        <v>59</v>
      </c>
      <c r="B3900" s="2" t="s">
        <v>60</v>
      </c>
      <c r="C3900" s="2" t="s">
        <v>38484</v>
      </c>
      <c r="D3900" s="2" t="s">
        <v>38485</v>
      </c>
      <c r="E3900" s="2" t="s">
        <v>38486</v>
      </c>
      <c r="G3900" s="3" t="s">
        <v>64</v>
      </c>
      <c r="I3900" s="3" t="s">
        <v>64</v>
      </c>
      <c r="J3900" s="3" t="s">
        <v>64</v>
      </c>
      <c r="K3900" s="3" t="s">
        <v>65</v>
      </c>
      <c r="L3900" s="2" t="s">
        <v>38487</v>
      </c>
      <c r="M3900" s="2" t="s">
        <v>38488</v>
      </c>
      <c r="N3900" s="3" t="s">
        <v>67</v>
      </c>
      <c r="P3900" s="3" t="s">
        <v>102</v>
      </c>
      <c r="R3900" s="3" t="s">
        <v>70</v>
      </c>
      <c r="S3900" s="4">
        <v>0</v>
      </c>
      <c r="T3900" s="4">
        <v>0</v>
      </c>
      <c r="W3900" s="5" t="s">
        <v>72</v>
      </c>
      <c r="X3900" s="5" t="s">
        <v>72</v>
      </c>
      <c r="Y3900" s="4">
        <v>188</v>
      </c>
      <c r="Z3900" s="4">
        <v>13</v>
      </c>
      <c r="AA3900" s="4">
        <v>13</v>
      </c>
      <c r="AB3900" s="4">
        <v>2</v>
      </c>
      <c r="AC3900" s="4">
        <v>2</v>
      </c>
      <c r="AD3900" s="4">
        <v>59</v>
      </c>
      <c r="AE3900" s="4">
        <v>59</v>
      </c>
      <c r="AF3900" s="4">
        <v>0</v>
      </c>
      <c r="AG3900" s="4">
        <v>0</v>
      </c>
      <c r="AH3900" s="4">
        <v>56</v>
      </c>
      <c r="AI3900" s="4">
        <v>56</v>
      </c>
      <c r="AJ3900" s="4">
        <v>5</v>
      </c>
      <c r="AK3900" s="4">
        <v>5</v>
      </c>
      <c r="AL3900" s="4">
        <v>40</v>
      </c>
      <c r="AM3900" s="4">
        <v>40</v>
      </c>
      <c r="AN3900" s="4">
        <v>0</v>
      </c>
      <c r="AO3900" s="4">
        <v>0</v>
      </c>
      <c r="AP3900" s="4">
        <v>5</v>
      </c>
      <c r="AQ3900" s="4">
        <v>5</v>
      </c>
      <c r="AR3900" s="3" t="s">
        <v>64</v>
      </c>
      <c r="AS3900" s="3" t="s">
        <v>64</v>
      </c>
      <c r="AT3900" s="3" t="s">
        <v>64</v>
      </c>
      <c r="AV3900" s="6" t="str">
        <f>HYPERLINK("http://mcgill.on.worldcat.org/oclc/858080539","Catalog Record")</f>
        <v>Catalog Record</v>
      </c>
      <c r="AW3900" s="6" t="str">
        <f>HYPERLINK("http://www.worldcat.org/oclc/858080539","WorldCat Record")</f>
        <v>WorldCat Record</v>
      </c>
      <c r="AX3900" s="3" t="s">
        <v>38489</v>
      </c>
      <c r="AY3900" s="3" t="s">
        <v>38490</v>
      </c>
      <c r="AZ3900" s="3" t="s">
        <v>38491</v>
      </c>
      <c r="BA3900" s="3" t="s">
        <v>38491</v>
      </c>
      <c r="BB3900" s="3" t="s">
        <v>38492</v>
      </c>
      <c r="BC3900" s="3" t="s">
        <v>77</v>
      </c>
      <c r="BD3900" s="3" t="s">
        <v>78</v>
      </c>
      <c r="BE3900" s="3" t="s">
        <v>38493</v>
      </c>
      <c r="BF3900" s="3" t="s">
        <v>38492</v>
      </c>
      <c r="BG3900" s="3" t="s">
        <v>38494</v>
      </c>
      <c r="BH3900">
        <f t="shared" si="96"/>
        <v>0</v>
      </c>
    </row>
    <row r="3901" spans="1:60" ht="72.5" x14ac:dyDescent="0.35">
      <c r="A3901" s="2" t="s">
        <v>59</v>
      </c>
      <c r="B3901" s="2" t="s">
        <v>1025</v>
      </c>
      <c r="C3901" s="2" t="s">
        <v>38495</v>
      </c>
      <c r="D3901" s="2" t="s">
        <v>38496</v>
      </c>
      <c r="E3901" s="2" t="s">
        <v>38497</v>
      </c>
      <c r="G3901" s="3" t="s">
        <v>64</v>
      </c>
      <c r="H3901" s="3" t="s">
        <v>183</v>
      </c>
      <c r="I3901" s="3" t="s">
        <v>128</v>
      </c>
      <c r="J3901" s="3" t="s">
        <v>64</v>
      </c>
      <c r="K3901" s="3" t="s">
        <v>65</v>
      </c>
      <c r="L3901" s="2" t="s">
        <v>38498</v>
      </c>
      <c r="M3901" s="2" t="s">
        <v>38499</v>
      </c>
      <c r="N3901" s="3" t="s">
        <v>7285</v>
      </c>
      <c r="P3901" s="3" t="s">
        <v>102</v>
      </c>
      <c r="R3901" s="3" t="s">
        <v>70</v>
      </c>
      <c r="S3901" s="4">
        <v>0</v>
      </c>
      <c r="T3901" s="4">
        <v>2</v>
      </c>
      <c r="V3901" s="5" t="s">
        <v>10606</v>
      </c>
      <c r="W3901" s="5" t="s">
        <v>20794</v>
      </c>
      <c r="X3901" s="5" t="s">
        <v>20794</v>
      </c>
      <c r="Y3901" s="4">
        <v>323</v>
      </c>
      <c r="Z3901" s="4">
        <v>28</v>
      </c>
      <c r="AA3901" s="4">
        <v>46</v>
      </c>
      <c r="AB3901" s="4">
        <v>3</v>
      </c>
      <c r="AC3901" s="4">
        <v>8</v>
      </c>
      <c r="AD3901" s="4">
        <v>71</v>
      </c>
      <c r="AE3901" s="4">
        <v>120</v>
      </c>
      <c r="AF3901" s="4">
        <v>1</v>
      </c>
      <c r="AG3901" s="4">
        <v>4</v>
      </c>
      <c r="AH3901" s="4">
        <v>60</v>
      </c>
      <c r="AI3901" s="4">
        <v>99</v>
      </c>
      <c r="AJ3901" s="4">
        <v>13</v>
      </c>
      <c r="AK3901" s="4">
        <v>22</v>
      </c>
      <c r="AL3901" s="4">
        <v>34</v>
      </c>
      <c r="AM3901" s="4">
        <v>54</v>
      </c>
      <c r="AN3901" s="4">
        <v>0</v>
      </c>
      <c r="AO3901" s="4">
        <v>0</v>
      </c>
      <c r="AP3901" s="4">
        <v>16</v>
      </c>
      <c r="AQ3901" s="4">
        <v>26</v>
      </c>
      <c r="AR3901" s="3" t="s">
        <v>64</v>
      </c>
      <c r="AS3901" s="3" t="s">
        <v>64</v>
      </c>
      <c r="AT3901" s="3" t="s">
        <v>128</v>
      </c>
      <c r="AU3901" s="6" t="str">
        <f>HYPERLINK("http://catalog.hathitrust.org/Record/001167071","HathiTrust Record")</f>
        <v>HathiTrust Record</v>
      </c>
      <c r="AV3901" s="6" t="str">
        <f>HYPERLINK("http://mcgill.on.worldcat.org/oclc/215052","Catalog Record")</f>
        <v>Catalog Record</v>
      </c>
      <c r="AW3901" s="6" t="str">
        <f>HYPERLINK("http://www.worldcat.org/oclc/215052","WorldCat Record")</f>
        <v>WorldCat Record</v>
      </c>
      <c r="AX3901" s="3" t="s">
        <v>38500</v>
      </c>
      <c r="AY3901" s="3" t="s">
        <v>38501</v>
      </c>
      <c r="AZ3901" s="3" t="s">
        <v>38502</v>
      </c>
      <c r="BA3901" s="3" t="s">
        <v>38502</v>
      </c>
      <c r="BB3901" s="3" t="s">
        <v>38503</v>
      </c>
      <c r="BC3901" s="3" t="s">
        <v>77</v>
      </c>
      <c r="BD3901" s="3" t="s">
        <v>1956</v>
      </c>
      <c r="BE3901" s="3" t="s">
        <v>38504</v>
      </c>
      <c r="BF3901" s="3" t="s">
        <v>38503</v>
      </c>
      <c r="BG3901" s="3" t="s">
        <v>38505</v>
      </c>
      <c r="BH3901">
        <f t="shared" si="96"/>
        <v>0</v>
      </c>
    </row>
    <row r="3902" spans="1:60" ht="72.5" x14ac:dyDescent="0.35">
      <c r="A3902" s="2" t="s">
        <v>59</v>
      </c>
      <c r="B3902" s="2" t="s">
        <v>1025</v>
      </c>
      <c r="C3902" s="2" t="s">
        <v>38506</v>
      </c>
      <c r="D3902" s="2" t="s">
        <v>38507</v>
      </c>
      <c r="E3902" s="2" t="s">
        <v>38508</v>
      </c>
      <c r="G3902" s="3" t="s">
        <v>64</v>
      </c>
      <c r="I3902" s="3" t="s">
        <v>64</v>
      </c>
      <c r="J3902" s="3" t="s">
        <v>64</v>
      </c>
      <c r="K3902" s="3" t="s">
        <v>65</v>
      </c>
      <c r="L3902" s="2" t="s">
        <v>38509</v>
      </c>
      <c r="M3902" s="2" t="s">
        <v>38510</v>
      </c>
      <c r="N3902" s="3" t="s">
        <v>7191</v>
      </c>
      <c r="P3902" s="3" t="s">
        <v>68</v>
      </c>
      <c r="R3902" s="3" t="s">
        <v>70</v>
      </c>
      <c r="S3902" s="4">
        <v>1</v>
      </c>
      <c r="T3902" s="4">
        <v>1</v>
      </c>
      <c r="U3902" s="5" t="s">
        <v>4397</v>
      </c>
      <c r="V3902" s="5" t="s">
        <v>4397</v>
      </c>
      <c r="W3902" s="5" t="s">
        <v>72</v>
      </c>
      <c r="X3902" s="5" t="s">
        <v>72</v>
      </c>
      <c r="Y3902" s="4">
        <v>102</v>
      </c>
      <c r="Z3902" s="4">
        <v>3</v>
      </c>
      <c r="AA3902" s="4">
        <v>3</v>
      </c>
      <c r="AB3902" s="4">
        <v>1</v>
      </c>
      <c r="AC3902" s="4">
        <v>1</v>
      </c>
      <c r="AD3902" s="4">
        <v>39</v>
      </c>
      <c r="AE3902" s="4">
        <v>39</v>
      </c>
      <c r="AF3902" s="4">
        <v>0</v>
      </c>
      <c r="AG3902" s="4">
        <v>0</v>
      </c>
      <c r="AH3902" s="4">
        <v>35</v>
      </c>
      <c r="AI3902" s="4">
        <v>35</v>
      </c>
      <c r="AJ3902" s="4">
        <v>1</v>
      </c>
      <c r="AK3902" s="4">
        <v>1</v>
      </c>
      <c r="AL3902" s="4">
        <v>29</v>
      </c>
      <c r="AM3902" s="4">
        <v>29</v>
      </c>
      <c r="AN3902" s="4">
        <v>0</v>
      </c>
      <c r="AO3902" s="4">
        <v>0</v>
      </c>
      <c r="AP3902" s="4">
        <v>1</v>
      </c>
      <c r="AQ3902" s="4">
        <v>1</v>
      </c>
      <c r="AR3902" s="3" t="s">
        <v>64</v>
      </c>
      <c r="AS3902" s="3" t="s">
        <v>64</v>
      </c>
      <c r="AT3902" s="3" t="s">
        <v>128</v>
      </c>
      <c r="AU3902" s="6" t="str">
        <f>HYPERLINK("http://catalog.hathitrust.org/Record/001167074","HathiTrust Record")</f>
        <v>HathiTrust Record</v>
      </c>
      <c r="AV3902" s="6" t="str">
        <f>HYPERLINK("http://mcgill.on.worldcat.org/oclc/2218955","Catalog Record")</f>
        <v>Catalog Record</v>
      </c>
      <c r="AW3902" s="6" t="str">
        <f>HYPERLINK("http://www.worldcat.org/oclc/2218955","WorldCat Record")</f>
        <v>WorldCat Record</v>
      </c>
      <c r="AX3902" s="3" t="s">
        <v>38511</v>
      </c>
      <c r="AY3902" s="3" t="s">
        <v>38512</v>
      </c>
      <c r="AZ3902" s="3" t="s">
        <v>38513</v>
      </c>
      <c r="BA3902" s="3" t="s">
        <v>38513</v>
      </c>
      <c r="BB3902" s="3" t="s">
        <v>38514</v>
      </c>
      <c r="BC3902" s="3" t="s">
        <v>77</v>
      </c>
      <c r="BD3902" s="3" t="s">
        <v>78</v>
      </c>
      <c r="BF3902" s="3" t="s">
        <v>38514</v>
      </c>
      <c r="BG3902" s="3" t="s">
        <v>38515</v>
      </c>
      <c r="BH3902">
        <f t="shared" si="96"/>
        <v>0</v>
      </c>
    </row>
    <row r="3903" spans="1:60" ht="58" x14ac:dyDescent="0.35">
      <c r="A3903" s="2" t="s">
        <v>59</v>
      </c>
      <c r="B3903" s="2" t="s">
        <v>60</v>
      </c>
      <c r="C3903" s="2" t="s">
        <v>38516</v>
      </c>
      <c r="D3903" s="2" t="s">
        <v>38517</v>
      </c>
      <c r="E3903" s="2" t="s">
        <v>38518</v>
      </c>
      <c r="G3903" s="3" t="s">
        <v>64</v>
      </c>
      <c r="I3903" s="3" t="s">
        <v>64</v>
      </c>
      <c r="J3903" s="3" t="s">
        <v>64</v>
      </c>
      <c r="K3903" s="3" t="s">
        <v>65</v>
      </c>
      <c r="L3903" s="2" t="s">
        <v>38519</v>
      </c>
      <c r="M3903" s="2" t="s">
        <v>38520</v>
      </c>
      <c r="N3903" s="3" t="s">
        <v>578</v>
      </c>
      <c r="P3903" s="3" t="s">
        <v>102</v>
      </c>
      <c r="R3903" s="3" t="s">
        <v>70</v>
      </c>
      <c r="S3903" s="4">
        <v>1</v>
      </c>
      <c r="T3903" s="4">
        <v>1</v>
      </c>
      <c r="U3903" s="5" t="s">
        <v>23007</v>
      </c>
      <c r="V3903" s="5" t="s">
        <v>23007</v>
      </c>
      <c r="W3903" s="5" t="s">
        <v>72</v>
      </c>
      <c r="X3903" s="5" t="s">
        <v>72</v>
      </c>
      <c r="Y3903" s="4">
        <v>110</v>
      </c>
      <c r="Z3903" s="4">
        <v>4</v>
      </c>
      <c r="AA3903" s="4">
        <v>4</v>
      </c>
      <c r="AB3903" s="4">
        <v>1</v>
      </c>
      <c r="AC3903" s="4">
        <v>1</v>
      </c>
      <c r="AD3903" s="4">
        <v>38</v>
      </c>
      <c r="AE3903" s="4">
        <v>38</v>
      </c>
      <c r="AF3903" s="4">
        <v>0</v>
      </c>
      <c r="AG3903" s="4">
        <v>0</v>
      </c>
      <c r="AH3903" s="4">
        <v>37</v>
      </c>
      <c r="AI3903" s="4">
        <v>37</v>
      </c>
      <c r="AJ3903" s="4">
        <v>3</v>
      </c>
      <c r="AK3903" s="4">
        <v>3</v>
      </c>
      <c r="AL3903" s="4">
        <v>27</v>
      </c>
      <c r="AM3903" s="4">
        <v>27</v>
      </c>
      <c r="AN3903" s="4">
        <v>0</v>
      </c>
      <c r="AO3903" s="4">
        <v>0</v>
      </c>
      <c r="AP3903" s="4">
        <v>3</v>
      </c>
      <c r="AQ3903" s="4">
        <v>3</v>
      </c>
      <c r="AR3903" s="3" t="s">
        <v>64</v>
      </c>
      <c r="AS3903" s="3" t="s">
        <v>64</v>
      </c>
      <c r="AT3903" s="3" t="s">
        <v>64</v>
      </c>
      <c r="AV3903" s="6" t="str">
        <f>HYPERLINK("http://mcgill.on.worldcat.org/oclc/883391311","Catalog Record")</f>
        <v>Catalog Record</v>
      </c>
      <c r="AW3903" s="6" t="str">
        <f>HYPERLINK("http://www.worldcat.org/oclc/883391311","WorldCat Record")</f>
        <v>WorldCat Record</v>
      </c>
      <c r="AX3903" s="3" t="s">
        <v>38521</v>
      </c>
      <c r="AY3903" s="3" t="s">
        <v>38522</v>
      </c>
      <c r="AZ3903" s="3" t="s">
        <v>38523</v>
      </c>
      <c r="BA3903" s="3" t="s">
        <v>38523</v>
      </c>
      <c r="BB3903" s="3" t="s">
        <v>38524</v>
      </c>
      <c r="BC3903" s="3" t="s">
        <v>77</v>
      </c>
      <c r="BD3903" s="3" t="s">
        <v>165</v>
      </c>
      <c r="BE3903" s="3" t="s">
        <v>38525</v>
      </c>
      <c r="BF3903" s="3" t="s">
        <v>38524</v>
      </c>
      <c r="BG3903" s="3" t="s">
        <v>38526</v>
      </c>
      <c r="BH3903">
        <f t="shared" si="96"/>
        <v>0</v>
      </c>
    </row>
    <row r="3904" spans="1:60" ht="58" x14ac:dyDescent="0.35">
      <c r="A3904" s="2" t="s">
        <v>59</v>
      </c>
      <c r="B3904" s="2" t="s">
        <v>60</v>
      </c>
      <c r="C3904" s="2" t="s">
        <v>38527</v>
      </c>
      <c r="D3904" s="2" t="s">
        <v>38528</v>
      </c>
      <c r="E3904" s="2" t="s">
        <v>38529</v>
      </c>
      <c r="G3904" s="3" t="s">
        <v>64</v>
      </c>
      <c r="I3904" s="3" t="s">
        <v>64</v>
      </c>
      <c r="J3904" s="3" t="s">
        <v>64</v>
      </c>
      <c r="K3904" s="3" t="s">
        <v>65</v>
      </c>
      <c r="M3904" s="2" t="s">
        <v>38530</v>
      </c>
      <c r="N3904" s="3" t="s">
        <v>190</v>
      </c>
      <c r="P3904" s="3" t="s">
        <v>102</v>
      </c>
      <c r="Q3904" s="2" t="s">
        <v>4886</v>
      </c>
      <c r="R3904" s="3" t="s">
        <v>70</v>
      </c>
      <c r="S3904" s="4">
        <v>0</v>
      </c>
      <c r="T3904" s="4">
        <v>0</v>
      </c>
      <c r="W3904" s="5" t="s">
        <v>72</v>
      </c>
      <c r="X3904" s="5" t="s">
        <v>72</v>
      </c>
      <c r="Y3904" s="4">
        <v>44</v>
      </c>
      <c r="Z3904" s="4">
        <v>3</v>
      </c>
      <c r="AA3904" s="4">
        <v>16</v>
      </c>
      <c r="AB3904" s="4">
        <v>1</v>
      </c>
      <c r="AC3904" s="4">
        <v>6</v>
      </c>
      <c r="AD3904" s="4">
        <v>20</v>
      </c>
      <c r="AE3904" s="4">
        <v>40</v>
      </c>
      <c r="AF3904" s="4">
        <v>0</v>
      </c>
      <c r="AG3904" s="4">
        <v>3</v>
      </c>
      <c r="AH3904" s="4">
        <v>18</v>
      </c>
      <c r="AI3904" s="4">
        <v>30</v>
      </c>
      <c r="AJ3904" s="4">
        <v>1</v>
      </c>
      <c r="AK3904" s="4">
        <v>9</v>
      </c>
      <c r="AL3904" s="4">
        <v>14</v>
      </c>
      <c r="AM3904" s="4">
        <v>21</v>
      </c>
      <c r="AN3904" s="4">
        <v>0</v>
      </c>
      <c r="AO3904" s="4">
        <v>0</v>
      </c>
      <c r="AP3904" s="4">
        <v>1</v>
      </c>
      <c r="AQ3904" s="4">
        <v>12</v>
      </c>
      <c r="AR3904" s="3" t="s">
        <v>64</v>
      </c>
      <c r="AS3904" s="3" t="s">
        <v>64</v>
      </c>
      <c r="AT3904" s="3" t="s">
        <v>64</v>
      </c>
      <c r="AV3904" s="6" t="str">
        <f>HYPERLINK("http://mcgill.on.worldcat.org/oclc/969829752","Catalog Record")</f>
        <v>Catalog Record</v>
      </c>
      <c r="AW3904" s="6" t="str">
        <f>HYPERLINK("http://www.worldcat.org/oclc/969829752","WorldCat Record")</f>
        <v>WorldCat Record</v>
      </c>
      <c r="AX3904" s="3" t="s">
        <v>38531</v>
      </c>
      <c r="AY3904" s="3" t="s">
        <v>38532</v>
      </c>
      <c r="AZ3904" s="3" t="s">
        <v>38533</v>
      </c>
      <c r="BA3904" s="3" t="s">
        <v>38533</v>
      </c>
      <c r="BB3904" s="3" t="s">
        <v>38534</v>
      </c>
      <c r="BC3904" s="3" t="s">
        <v>77</v>
      </c>
      <c r="BD3904" s="3" t="s">
        <v>78</v>
      </c>
      <c r="BE3904" s="3" t="s">
        <v>38535</v>
      </c>
      <c r="BF3904" s="3" t="s">
        <v>38534</v>
      </c>
      <c r="BG3904" s="3" t="s">
        <v>38536</v>
      </c>
      <c r="BH3904">
        <f t="shared" si="96"/>
        <v>0</v>
      </c>
    </row>
    <row r="3905" spans="1:60" ht="58" x14ac:dyDescent="0.35">
      <c r="A3905" s="2" t="s">
        <v>59</v>
      </c>
      <c r="B3905" s="2" t="s">
        <v>60</v>
      </c>
      <c r="C3905" s="2" t="s">
        <v>38537</v>
      </c>
      <c r="D3905" s="2" t="s">
        <v>38538</v>
      </c>
      <c r="E3905" s="2" t="s">
        <v>38539</v>
      </c>
      <c r="G3905" s="3" t="s">
        <v>64</v>
      </c>
      <c r="I3905" s="3" t="s">
        <v>128</v>
      </c>
      <c r="J3905" s="3" t="s">
        <v>128</v>
      </c>
      <c r="K3905" s="3" t="s">
        <v>65</v>
      </c>
      <c r="L3905" s="2" t="s">
        <v>264</v>
      </c>
      <c r="M3905" s="2" t="s">
        <v>38540</v>
      </c>
      <c r="N3905" s="3" t="s">
        <v>6948</v>
      </c>
      <c r="P3905" s="3" t="s">
        <v>102</v>
      </c>
      <c r="Q3905" s="2" t="s">
        <v>38541</v>
      </c>
      <c r="R3905" s="3" t="s">
        <v>70</v>
      </c>
      <c r="S3905" s="4">
        <v>4</v>
      </c>
      <c r="T3905" s="4">
        <v>4</v>
      </c>
      <c r="U3905" s="5" t="s">
        <v>118</v>
      </c>
      <c r="V3905" s="5" t="s">
        <v>118</v>
      </c>
      <c r="W3905" s="5" t="s">
        <v>72</v>
      </c>
      <c r="X3905" s="5" t="s">
        <v>72</v>
      </c>
      <c r="Y3905" s="4">
        <v>351</v>
      </c>
      <c r="Z3905" s="4">
        <v>30</v>
      </c>
      <c r="AA3905" s="4">
        <v>39</v>
      </c>
      <c r="AB3905" s="4">
        <v>1</v>
      </c>
      <c r="AC3905" s="4">
        <v>1</v>
      </c>
      <c r="AD3905" s="4">
        <v>104</v>
      </c>
      <c r="AE3905" s="4">
        <v>133</v>
      </c>
      <c r="AF3905" s="4">
        <v>0</v>
      </c>
      <c r="AG3905" s="4">
        <v>0</v>
      </c>
      <c r="AH3905" s="4">
        <v>87</v>
      </c>
      <c r="AI3905" s="4">
        <v>112</v>
      </c>
      <c r="AJ3905" s="4">
        <v>19</v>
      </c>
      <c r="AK3905" s="4">
        <v>23</v>
      </c>
      <c r="AL3905" s="4">
        <v>47</v>
      </c>
      <c r="AM3905" s="4">
        <v>58</v>
      </c>
      <c r="AN3905" s="4">
        <v>0</v>
      </c>
      <c r="AO3905" s="4">
        <v>0</v>
      </c>
      <c r="AP3905" s="4">
        <v>21</v>
      </c>
      <c r="AQ3905" s="4">
        <v>27</v>
      </c>
      <c r="AR3905" s="3" t="s">
        <v>64</v>
      </c>
      <c r="AS3905" s="3" t="s">
        <v>64</v>
      </c>
      <c r="AT3905" s="3" t="s">
        <v>128</v>
      </c>
      <c r="AU3905" s="6" t="str">
        <f>HYPERLINK("http://catalog.hathitrust.org/Record/010098074","HathiTrust Record")</f>
        <v>HathiTrust Record</v>
      </c>
      <c r="AV3905" s="6" t="str">
        <f>HYPERLINK("http://mcgill.on.worldcat.org/oclc/681347","Catalog Record")</f>
        <v>Catalog Record</v>
      </c>
      <c r="AW3905" s="6" t="str">
        <f>HYPERLINK("http://www.worldcat.org/oclc/681347","WorldCat Record")</f>
        <v>WorldCat Record</v>
      </c>
      <c r="AX3905" s="3" t="s">
        <v>38542</v>
      </c>
      <c r="AY3905" s="3" t="s">
        <v>38543</v>
      </c>
      <c r="AZ3905" s="3" t="s">
        <v>38544</v>
      </c>
      <c r="BA3905" s="3" t="s">
        <v>38544</v>
      </c>
      <c r="BB3905" s="3" t="s">
        <v>38545</v>
      </c>
      <c r="BC3905" s="3" t="s">
        <v>77</v>
      </c>
      <c r="BD3905" s="3" t="s">
        <v>78</v>
      </c>
      <c r="BE3905" s="3" t="s">
        <v>38546</v>
      </c>
      <c r="BF3905" s="3" t="s">
        <v>38545</v>
      </c>
      <c r="BG3905" s="3" t="s">
        <v>38547</v>
      </c>
      <c r="BH3905">
        <f t="shared" si="96"/>
        <v>0</v>
      </c>
    </row>
    <row r="3906" spans="1:60" ht="58" x14ac:dyDescent="0.35">
      <c r="A3906" s="2" t="s">
        <v>59</v>
      </c>
      <c r="B3906" s="2" t="s">
        <v>60</v>
      </c>
      <c r="C3906" s="2" t="s">
        <v>38548</v>
      </c>
      <c r="D3906" s="2" t="s">
        <v>38549</v>
      </c>
      <c r="E3906" s="2" t="s">
        <v>38550</v>
      </c>
      <c r="G3906" s="3" t="s">
        <v>64</v>
      </c>
      <c r="I3906" s="3" t="s">
        <v>64</v>
      </c>
      <c r="J3906" s="3" t="s">
        <v>64</v>
      </c>
      <c r="K3906" s="3" t="s">
        <v>65</v>
      </c>
      <c r="L3906" s="2" t="s">
        <v>38551</v>
      </c>
      <c r="M3906" s="2" t="s">
        <v>38552</v>
      </c>
      <c r="N3906" s="3" t="s">
        <v>1075</v>
      </c>
      <c r="P3906" s="3" t="s">
        <v>102</v>
      </c>
      <c r="R3906" s="3" t="s">
        <v>70</v>
      </c>
      <c r="S3906" s="4">
        <v>2</v>
      </c>
      <c r="T3906" s="4">
        <v>2</v>
      </c>
      <c r="U3906" s="5" t="s">
        <v>38553</v>
      </c>
      <c r="V3906" s="5" t="s">
        <v>38553</v>
      </c>
      <c r="W3906" s="5" t="s">
        <v>72</v>
      </c>
      <c r="X3906" s="5" t="s">
        <v>72</v>
      </c>
      <c r="Y3906" s="4">
        <v>11</v>
      </c>
      <c r="Z3906" s="4">
        <v>2</v>
      </c>
      <c r="AA3906" s="4">
        <v>2</v>
      </c>
      <c r="AB3906" s="4">
        <v>1</v>
      </c>
      <c r="AC3906" s="4">
        <v>1</v>
      </c>
      <c r="AD3906" s="4">
        <v>4</v>
      </c>
      <c r="AE3906" s="4">
        <v>4</v>
      </c>
      <c r="AF3906" s="4">
        <v>0</v>
      </c>
      <c r="AG3906" s="4">
        <v>0</v>
      </c>
      <c r="AH3906" s="4">
        <v>4</v>
      </c>
      <c r="AI3906" s="4">
        <v>4</v>
      </c>
      <c r="AJ3906" s="4">
        <v>1</v>
      </c>
      <c r="AK3906" s="4">
        <v>1</v>
      </c>
      <c r="AL3906" s="4">
        <v>2</v>
      </c>
      <c r="AM3906" s="4">
        <v>2</v>
      </c>
      <c r="AN3906" s="4">
        <v>0</v>
      </c>
      <c r="AO3906" s="4">
        <v>0</v>
      </c>
      <c r="AP3906" s="4">
        <v>1</v>
      </c>
      <c r="AQ3906" s="4">
        <v>1</v>
      </c>
      <c r="AR3906" s="3" t="s">
        <v>64</v>
      </c>
      <c r="AS3906" s="3" t="s">
        <v>64</v>
      </c>
      <c r="AT3906" s="3" t="s">
        <v>64</v>
      </c>
      <c r="AV3906" s="6" t="str">
        <f>HYPERLINK("http://mcgill.on.worldcat.org/oclc/839527540","Catalog Record")</f>
        <v>Catalog Record</v>
      </c>
      <c r="AW3906" s="6" t="str">
        <f>HYPERLINK("http://www.worldcat.org/oclc/839527540","WorldCat Record")</f>
        <v>WorldCat Record</v>
      </c>
      <c r="AX3906" s="3" t="s">
        <v>38554</v>
      </c>
      <c r="AY3906" s="3" t="s">
        <v>38555</v>
      </c>
      <c r="AZ3906" s="3" t="s">
        <v>38556</v>
      </c>
      <c r="BA3906" s="3" t="s">
        <v>38556</v>
      </c>
      <c r="BB3906" s="3" t="s">
        <v>38557</v>
      </c>
      <c r="BC3906" s="3" t="s">
        <v>77</v>
      </c>
      <c r="BD3906" s="3" t="s">
        <v>78</v>
      </c>
      <c r="BE3906" s="3" t="s">
        <v>38558</v>
      </c>
      <c r="BF3906" s="3" t="s">
        <v>38557</v>
      </c>
      <c r="BG3906" s="3" t="s">
        <v>38559</v>
      </c>
      <c r="BH3906">
        <f t="shared" ref="BH3906:BH3969" si="100">IF(COUNTIF($BF$1:$BF$5431,BF3906)=1,0,1)</f>
        <v>0</v>
      </c>
    </row>
    <row r="3907" spans="1:60" ht="58" x14ac:dyDescent="0.35">
      <c r="A3907" s="2" t="s">
        <v>59</v>
      </c>
      <c r="B3907" s="2" t="s">
        <v>60</v>
      </c>
      <c r="C3907" s="2" t="s">
        <v>38560</v>
      </c>
      <c r="D3907" s="2" t="s">
        <v>38561</v>
      </c>
      <c r="E3907" s="2" t="s">
        <v>38562</v>
      </c>
      <c r="G3907" s="3" t="s">
        <v>64</v>
      </c>
      <c r="I3907" s="3" t="s">
        <v>64</v>
      </c>
      <c r="J3907" s="3" t="s">
        <v>64</v>
      </c>
      <c r="K3907" s="3" t="s">
        <v>65</v>
      </c>
      <c r="L3907" s="2" t="s">
        <v>38563</v>
      </c>
      <c r="M3907" s="2" t="s">
        <v>38564</v>
      </c>
      <c r="N3907" s="3" t="s">
        <v>434</v>
      </c>
      <c r="O3907" s="2" t="s">
        <v>1990</v>
      </c>
      <c r="P3907" s="3" t="s">
        <v>102</v>
      </c>
      <c r="R3907" s="3" t="s">
        <v>70</v>
      </c>
      <c r="S3907" s="4">
        <v>7</v>
      </c>
      <c r="T3907" s="4">
        <v>7</v>
      </c>
      <c r="U3907" s="5" t="s">
        <v>38565</v>
      </c>
      <c r="V3907" s="5" t="s">
        <v>38565</v>
      </c>
      <c r="W3907" s="5" t="s">
        <v>72</v>
      </c>
      <c r="X3907" s="5" t="s">
        <v>72</v>
      </c>
      <c r="Y3907" s="4">
        <v>706</v>
      </c>
      <c r="Z3907" s="4">
        <v>12</v>
      </c>
      <c r="AA3907" s="4">
        <v>37</v>
      </c>
      <c r="AB3907" s="4">
        <v>1</v>
      </c>
      <c r="AC3907" s="4">
        <v>5</v>
      </c>
      <c r="AD3907" s="4">
        <v>60</v>
      </c>
      <c r="AE3907" s="4">
        <v>81</v>
      </c>
      <c r="AF3907" s="4">
        <v>0</v>
      </c>
      <c r="AG3907" s="4">
        <v>0</v>
      </c>
      <c r="AH3907" s="4">
        <v>56</v>
      </c>
      <c r="AI3907" s="4">
        <v>75</v>
      </c>
      <c r="AJ3907" s="4">
        <v>5</v>
      </c>
      <c r="AK3907" s="4">
        <v>6</v>
      </c>
      <c r="AL3907" s="4">
        <v>30</v>
      </c>
      <c r="AM3907" s="4">
        <v>43</v>
      </c>
      <c r="AN3907" s="4">
        <v>0</v>
      </c>
      <c r="AO3907" s="4">
        <v>0</v>
      </c>
      <c r="AP3907" s="4">
        <v>7</v>
      </c>
      <c r="AQ3907" s="4">
        <v>8</v>
      </c>
      <c r="AR3907" s="3" t="s">
        <v>64</v>
      </c>
      <c r="AS3907" s="3" t="s">
        <v>64</v>
      </c>
      <c r="AT3907" s="3" t="s">
        <v>64</v>
      </c>
      <c r="AV3907" s="6" t="str">
        <f>HYPERLINK("http://mcgill.on.worldcat.org/oclc/61278647","Catalog Record")</f>
        <v>Catalog Record</v>
      </c>
      <c r="AW3907" s="6" t="str">
        <f>HYPERLINK("http://www.worldcat.org/oclc/61278647","WorldCat Record")</f>
        <v>WorldCat Record</v>
      </c>
      <c r="AX3907" s="3" t="s">
        <v>38566</v>
      </c>
      <c r="AY3907" s="3" t="s">
        <v>38567</v>
      </c>
      <c r="AZ3907" s="3" t="s">
        <v>38568</v>
      </c>
      <c r="BA3907" s="3" t="s">
        <v>38568</v>
      </c>
      <c r="BB3907" s="3" t="s">
        <v>38569</v>
      </c>
      <c r="BC3907" s="3" t="s">
        <v>77</v>
      </c>
      <c r="BD3907" s="3" t="s">
        <v>78</v>
      </c>
      <c r="BE3907" s="3" t="s">
        <v>38570</v>
      </c>
      <c r="BF3907" s="3" t="s">
        <v>38569</v>
      </c>
      <c r="BG3907" s="3" t="s">
        <v>38571</v>
      </c>
      <c r="BH3907">
        <f t="shared" si="100"/>
        <v>0</v>
      </c>
    </row>
    <row r="3908" spans="1:60" ht="58" x14ac:dyDescent="0.35">
      <c r="A3908" s="2" t="s">
        <v>59</v>
      </c>
      <c r="B3908" s="2" t="s">
        <v>60</v>
      </c>
      <c r="C3908" s="2" t="s">
        <v>38572</v>
      </c>
      <c r="D3908" s="2" t="s">
        <v>38573</v>
      </c>
      <c r="E3908" s="2" t="s">
        <v>38574</v>
      </c>
      <c r="G3908" s="3" t="s">
        <v>64</v>
      </c>
      <c r="I3908" s="3" t="s">
        <v>64</v>
      </c>
      <c r="J3908" s="3" t="s">
        <v>64</v>
      </c>
      <c r="K3908" s="3" t="s">
        <v>65</v>
      </c>
      <c r="M3908" s="2" t="s">
        <v>1527</v>
      </c>
      <c r="N3908" s="3" t="s">
        <v>537</v>
      </c>
      <c r="P3908" s="3" t="s">
        <v>102</v>
      </c>
      <c r="Q3908" s="2" t="s">
        <v>38575</v>
      </c>
      <c r="R3908" s="3" t="s">
        <v>70</v>
      </c>
      <c r="S3908" s="4">
        <v>2</v>
      </c>
      <c r="T3908" s="4">
        <v>2</v>
      </c>
      <c r="U3908" s="5" t="s">
        <v>2874</v>
      </c>
      <c r="V3908" s="5" t="s">
        <v>2874</v>
      </c>
      <c r="W3908" s="5" t="s">
        <v>72</v>
      </c>
      <c r="X3908" s="5" t="s">
        <v>72</v>
      </c>
      <c r="Y3908" s="4">
        <v>77</v>
      </c>
      <c r="Z3908" s="4">
        <v>3</v>
      </c>
      <c r="AA3908" s="4">
        <v>8</v>
      </c>
      <c r="AB3908" s="4">
        <v>1</v>
      </c>
      <c r="AC3908" s="4">
        <v>3</v>
      </c>
      <c r="AD3908" s="4">
        <v>24</v>
      </c>
      <c r="AE3908" s="4">
        <v>30</v>
      </c>
      <c r="AF3908" s="4">
        <v>0</v>
      </c>
      <c r="AG3908" s="4">
        <v>0</v>
      </c>
      <c r="AH3908" s="4">
        <v>23</v>
      </c>
      <c r="AI3908" s="4">
        <v>28</v>
      </c>
      <c r="AJ3908" s="4">
        <v>1</v>
      </c>
      <c r="AK3908" s="4">
        <v>4</v>
      </c>
      <c r="AL3908" s="4">
        <v>19</v>
      </c>
      <c r="AM3908" s="4">
        <v>21</v>
      </c>
      <c r="AN3908" s="4">
        <v>0</v>
      </c>
      <c r="AO3908" s="4">
        <v>0</v>
      </c>
      <c r="AP3908" s="4">
        <v>1</v>
      </c>
      <c r="AQ3908" s="4">
        <v>4</v>
      </c>
      <c r="AR3908" s="3" t="s">
        <v>64</v>
      </c>
      <c r="AS3908" s="3" t="s">
        <v>64</v>
      </c>
      <c r="AT3908" s="3" t="s">
        <v>64</v>
      </c>
      <c r="AV3908" s="6" t="str">
        <f>HYPERLINK("http://mcgill.on.worldcat.org/oclc/932175224","Catalog Record")</f>
        <v>Catalog Record</v>
      </c>
      <c r="AW3908" s="6" t="str">
        <f>HYPERLINK("http://www.worldcat.org/oclc/932175224","WorldCat Record")</f>
        <v>WorldCat Record</v>
      </c>
      <c r="AX3908" s="3" t="s">
        <v>38576</v>
      </c>
      <c r="AY3908" s="3" t="s">
        <v>38577</v>
      </c>
      <c r="AZ3908" s="3" t="s">
        <v>38578</v>
      </c>
      <c r="BA3908" s="3" t="s">
        <v>38578</v>
      </c>
      <c r="BB3908" s="3" t="s">
        <v>38579</v>
      </c>
      <c r="BC3908" s="3" t="s">
        <v>77</v>
      </c>
      <c r="BD3908" s="3" t="s">
        <v>78</v>
      </c>
      <c r="BE3908" s="3" t="s">
        <v>38580</v>
      </c>
      <c r="BF3908" s="3" t="s">
        <v>38579</v>
      </c>
      <c r="BG3908" s="3" t="s">
        <v>38581</v>
      </c>
      <c r="BH3908">
        <f t="shared" si="100"/>
        <v>0</v>
      </c>
    </row>
    <row r="3909" spans="1:60" ht="58" x14ac:dyDescent="0.35">
      <c r="A3909" s="2" t="s">
        <v>59</v>
      </c>
      <c r="B3909" s="2" t="s">
        <v>60</v>
      </c>
      <c r="C3909" s="2" t="s">
        <v>38582</v>
      </c>
      <c r="D3909" s="2" t="s">
        <v>38583</v>
      </c>
      <c r="E3909" s="2" t="s">
        <v>38584</v>
      </c>
      <c r="G3909" s="3" t="s">
        <v>64</v>
      </c>
      <c r="I3909" s="3" t="s">
        <v>64</v>
      </c>
      <c r="J3909" s="3" t="s">
        <v>64</v>
      </c>
      <c r="K3909" s="3" t="s">
        <v>65</v>
      </c>
      <c r="L3909" s="2" t="s">
        <v>38585</v>
      </c>
      <c r="M3909" s="2" t="s">
        <v>38586</v>
      </c>
      <c r="N3909" s="3" t="s">
        <v>578</v>
      </c>
      <c r="P3909" s="3" t="s">
        <v>102</v>
      </c>
      <c r="R3909" s="3" t="s">
        <v>70</v>
      </c>
      <c r="S3909" s="4">
        <v>4</v>
      </c>
      <c r="T3909" s="4">
        <v>4</v>
      </c>
      <c r="U3909" s="5" t="s">
        <v>6806</v>
      </c>
      <c r="V3909" s="5" t="s">
        <v>6806</v>
      </c>
      <c r="W3909" s="5" t="s">
        <v>72</v>
      </c>
      <c r="X3909" s="5" t="s">
        <v>72</v>
      </c>
      <c r="Y3909" s="4">
        <v>29</v>
      </c>
      <c r="Z3909" s="4">
        <v>1</v>
      </c>
      <c r="AA3909" s="4">
        <v>8</v>
      </c>
      <c r="AB3909" s="4">
        <v>1</v>
      </c>
      <c r="AC3909" s="4">
        <v>3</v>
      </c>
      <c r="AD3909" s="4">
        <v>7</v>
      </c>
      <c r="AE3909" s="4">
        <v>21</v>
      </c>
      <c r="AF3909" s="4">
        <v>0</v>
      </c>
      <c r="AG3909" s="4">
        <v>0</v>
      </c>
      <c r="AH3909" s="4">
        <v>6</v>
      </c>
      <c r="AI3909" s="4">
        <v>19</v>
      </c>
      <c r="AJ3909" s="4">
        <v>0</v>
      </c>
      <c r="AK3909" s="4">
        <v>3</v>
      </c>
      <c r="AL3909" s="4">
        <v>4</v>
      </c>
      <c r="AM3909" s="4">
        <v>14</v>
      </c>
      <c r="AN3909" s="4">
        <v>0</v>
      </c>
      <c r="AO3909" s="4">
        <v>0</v>
      </c>
      <c r="AP3909" s="4">
        <v>0</v>
      </c>
      <c r="AQ3909" s="4">
        <v>3</v>
      </c>
      <c r="AR3909" s="3" t="s">
        <v>64</v>
      </c>
      <c r="AS3909" s="3" t="s">
        <v>64</v>
      </c>
      <c r="AT3909" s="3" t="s">
        <v>64</v>
      </c>
      <c r="AV3909" s="6" t="str">
        <f>HYPERLINK("http://mcgill.on.worldcat.org/oclc/990029415","Catalog Record")</f>
        <v>Catalog Record</v>
      </c>
      <c r="AW3909" s="6" t="str">
        <f>HYPERLINK("http://www.worldcat.org/oclc/990029415","WorldCat Record")</f>
        <v>WorldCat Record</v>
      </c>
      <c r="AX3909" s="3" t="s">
        <v>38587</v>
      </c>
      <c r="AY3909" s="3" t="s">
        <v>38588</v>
      </c>
      <c r="AZ3909" s="3" t="s">
        <v>38589</v>
      </c>
      <c r="BA3909" s="3" t="s">
        <v>38589</v>
      </c>
      <c r="BB3909" s="3" t="s">
        <v>38590</v>
      </c>
      <c r="BC3909" s="3" t="s">
        <v>77</v>
      </c>
      <c r="BD3909" s="3" t="s">
        <v>78</v>
      </c>
      <c r="BE3909" s="3" t="s">
        <v>38591</v>
      </c>
      <c r="BF3909" s="3" t="s">
        <v>38590</v>
      </c>
      <c r="BG3909" s="3" t="s">
        <v>38592</v>
      </c>
      <c r="BH3909">
        <f t="shared" si="100"/>
        <v>0</v>
      </c>
    </row>
    <row r="3910" spans="1:60" ht="87" x14ac:dyDescent="0.35">
      <c r="A3910" s="2" t="s">
        <v>59</v>
      </c>
      <c r="B3910" s="2" t="s">
        <v>60</v>
      </c>
      <c r="C3910" s="2" t="s">
        <v>38593</v>
      </c>
      <c r="D3910" s="2" t="s">
        <v>38594</v>
      </c>
      <c r="E3910" s="2" t="s">
        <v>38595</v>
      </c>
      <c r="G3910" s="3" t="s">
        <v>64</v>
      </c>
      <c r="I3910" s="3" t="s">
        <v>64</v>
      </c>
      <c r="J3910" s="3" t="s">
        <v>64</v>
      </c>
      <c r="K3910" s="3" t="s">
        <v>65</v>
      </c>
      <c r="L3910" s="2" t="s">
        <v>38596</v>
      </c>
      <c r="M3910" s="2" t="s">
        <v>38597</v>
      </c>
      <c r="N3910" s="3" t="s">
        <v>67</v>
      </c>
      <c r="P3910" s="3" t="s">
        <v>102</v>
      </c>
      <c r="Q3910" s="2" t="s">
        <v>38598</v>
      </c>
      <c r="R3910" s="3" t="s">
        <v>70</v>
      </c>
      <c r="S3910" s="4">
        <v>0</v>
      </c>
      <c r="T3910" s="4">
        <v>0</v>
      </c>
      <c r="W3910" s="5" t="s">
        <v>72</v>
      </c>
      <c r="X3910" s="5" t="s">
        <v>72</v>
      </c>
      <c r="Y3910" s="4">
        <v>4</v>
      </c>
      <c r="Z3910" s="4">
        <v>1</v>
      </c>
      <c r="AA3910" s="4">
        <v>1</v>
      </c>
      <c r="AB3910" s="4">
        <v>1</v>
      </c>
      <c r="AC3910" s="4">
        <v>1</v>
      </c>
      <c r="AD3910" s="4">
        <v>0</v>
      </c>
      <c r="AE3910" s="4">
        <v>0</v>
      </c>
      <c r="AF3910" s="4">
        <v>0</v>
      </c>
      <c r="AG3910" s="4">
        <v>0</v>
      </c>
      <c r="AH3910" s="4">
        <v>0</v>
      </c>
      <c r="AI3910" s="4">
        <v>0</v>
      </c>
      <c r="AJ3910" s="4">
        <v>0</v>
      </c>
      <c r="AK3910" s="4">
        <v>0</v>
      </c>
      <c r="AL3910" s="4">
        <v>0</v>
      </c>
      <c r="AM3910" s="4">
        <v>0</v>
      </c>
      <c r="AN3910" s="4">
        <v>0</v>
      </c>
      <c r="AO3910" s="4">
        <v>0</v>
      </c>
      <c r="AP3910" s="4">
        <v>0</v>
      </c>
      <c r="AQ3910" s="4">
        <v>0</v>
      </c>
      <c r="AR3910" s="3" t="s">
        <v>64</v>
      </c>
      <c r="AS3910" s="3" t="s">
        <v>64</v>
      </c>
      <c r="AT3910" s="3" t="s">
        <v>64</v>
      </c>
      <c r="AV3910" s="6" t="str">
        <f>HYPERLINK("http://mcgill.on.worldcat.org/oclc/896856164","Catalog Record")</f>
        <v>Catalog Record</v>
      </c>
      <c r="AW3910" s="6" t="str">
        <f>HYPERLINK("http://www.worldcat.org/oclc/896856164","WorldCat Record")</f>
        <v>WorldCat Record</v>
      </c>
      <c r="AX3910" s="3" t="s">
        <v>38599</v>
      </c>
      <c r="AY3910" s="3" t="s">
        <v>38600</v>
      </c>
      <c r="AZ3910" s="3" t="s">
        <v>38601</v>
      </c>
      <c r="BA3910" s="3" t="s">
        <v>38601</v>
      </c>
      <c r="BB3910" s="3" t="s">
        <v>38602</v>
      </c>
      <c r="BC3910" s="3" t="s">
        <v>77</v>
      </c>
      <c r="BD3910" s="3" t="s">
        <v>78</v>
      </c>
      <c r="BE3910" s="3" t="s">
        <v>38603</v>
      </c>
      <c r="BF3910" s="3" t="s">
        <v>38602</v>
      </c>
      <c r="BG3910" s="3" t="s">
        <v>38604</v>
      </c>
      <c r="BH3910">
        <f t="shared" si="100"/>
        <v>0</v>
      </c>
    </row>
    <row r="3911" spans="1:60" ht="116" x14ac:dyDescent="0.35">
      <c r="A3911" s="2" t="s">
        <v>59</v>
      </c>
      <c r="B3911" s="2" t="s">
        <v>1183</v>
      </c>
      <c r="C3911" s="2" t="s">
        <v>38605</v>
      </c>
      <c r="D3911" s="2" t="s">
        <v>38606</v>
      </c>
      <c r="E3911" s="2" t="s">
        <v>38607</v>
      </c>
      <c r="G3911" s="3" t="s">
        <v>64</v>
      </c>
      <c r="I3911" s="3" t="s">
        <v>64</v>
      </c>
      <c r="J3911" s="3" t="s">
        <v>64</v>
      </c>
      <c r="K3911" s="3" t="s">
        <v>65</v>
      </c>
      <c r="M3911" s="2" t="s">
        <v>38608</v>
      </c>
      <c r="N3911" s="3" t="s">
        <v>511</v>
      </c>
      <c r="O3911" s="2" t="s">
        <v>1189</v>
      </c>
      <c r="P3911" s="3" t="s">
        <v>1190</v>
      </c>
      <c r="R3911" s="3" t="s">
        <v>70</v>
      </c>
      <c r="S3911" s="4">
        <v>0</v>
      </c>
      <c r="T3911" s="4">
        <v>0</v>
      </c>
      <c r="W3911" s="5" t="s">
        <v>72</v>
      </c>
      <c r="X3911" s="5" t="s">
        <v>72</v>
      </c>
      <c r="Y3911" s="4">
        <v>15</v>
      </c>
      <c r="Z3911" s="4">
        <v>3</v>
      </c>
      <c r="AA3911" s="4">
        <v>3</v>
      </c>
      <c r="AB3911" s="4">
        <v>1</v>
      </c>
      <c r="AC3911" s="4">
        <v>1</v>
      </c>
      <c r="AD3911" s="4">
        <v>9</v>
      </c>
      <c r="AE3911" s="4">
        <v>9</v>
      </c>
      <c r="AF3911" s="4">
        <v>0</v>
      </c>
      <c r="AG3911" s="4">
        <v>0</v>
      </c>
      <c r="AH3911" s="4">
        <v>9</v>
      </c>
      <c r="AI3911" s="4">
        <v>9</v>
      </c>
      <c r="AJ3911" s="4">
        <v>1</v>
      </c>
      <c r="AK3911" s="4">
        <v>1</v>
      </c>
      <c r="AL3911" s="4">
        <v>8</v>
      </c>
      <c r="AM3911" s="4">
        <v>8</v>
      </c>
      <c r="AN3911" s="4">
        <v>0</v>
      </c>
      <c r="AO3911" s="4">
        <v>0</v>
      </c>
      <c r="AP3911" s="4">
        <v>1</v>
      </c>
      <c r="AQ3911" s="4">
        <v>1</v>
      </c>
      <c r="AR3911" s="3" t="s">
        <v>64</v>
      </c>
      <c r="AS3911" s="3" t="s">
        <v>64</v>
      </c>
      <c r="AT3911" s="3" t="s">
        <v>64</v>
      </c>
      <c r="AV3911" s="6" t="str">
        <f>HYPERLINK("http://mcgill.on.worldcat.org/oclc/756766208","Catalog Record")</f>
        <v>Catalog Record</v>
      </c>
      <c r="AW3911" s="6" t="str">
        <f>HYPERLINK("http://www.worldcat.org/oclc/756766208","WorldCat Record")</f>
        <v>WorldCat Record</v>
      </c>
      <c r="AX3911" s="3" t="s">
        <v>38609</v>
      </c>
      <c r="AY3911" s="3" t="s">
        <v>38610</v>
      </c>
      <c r="AZ3911" s="3" t="s">
        <v>38611</v>
      </c>
      <c r="BA3911" s="3" t="s">
        <v>38611</v>
      </c>
      <c r="BB3911" s="3" t="s">
        <v>38612</v>
      </c>
      <c r="BC3911" s="3" t="s">
        <v>77</v>
      </c>
      <c r="BD3911" s="3" t="s">
        <v>78</v>
      </c>
      <c r="BE3911" s="3" t="s">
        <v>38613</v>
      </c>
      <c r="BF3911" s="3" t="s">
        <v>38612</v>
      </c>
      <c r="BG3911" s="3" t="s">
        <v>38614</v>
      </c>
      <c r="BH3911">
        <f t="shared" si="100"/>
        <v>0</v>
      </c>
    </row>
    <row r="3912" spans="1:60" ht="58" x14ac:dyDescent="0.35">
      <c r="A3912" s="2" t="s">
        <v>59</v>
      </c>
      <c r="B3912" s="2" t="s">
        <v>7607</v>
      </c>
      <c r="C3912" s="2" t="s">
        <v>38615</v>
      </c>
      <c r="D3912" s="2" t="s">
        <v>38616</v>
      </c>
      <c r="E3912" s="2" t="s">
        <v>38617</v>
      </c>
      <c r="G3912" s="3" t="s">
        <v>64</v>
      </c>
      <c r="I3912" s="3" t="s">
        <v>64</v>
      </c>
      <c r="J3912" s="3" t="s">
        <v>64</v>
      </c>
      <c r="K3912" s="3" t="s">
        <v>65</v>
      </c>
      <c r="M3912" s="2" t="s">
        <v>38618</v>
      </c>
      <c r="N3912" s="3" t="s">
        <v>537</v>
      </c>
      <c r="O3912" s="2" t="s">
        <v>15120</v>
      </c>
      <c r="P3912" s="3" t="s">
        <v>102</v>
      </c>
      <c r="R3912" s="3" t="s">
        <v>70</v>
      </c>
      <c r="S3912" s="4">
        <v>0</v>
      </c>
      <c r="T3912" s="4">
        <v>0</v>
      </c>
      <c r="W3912" s="5" t="s">
        <v>72</v>
      </c>
      <c r="X3912" s="5" t="s">
        <v>72</v>
      </c>
      <c r="Y3912" s="4">
        <v>87</v>
      </c>
      <c r="Z3912" s="4">
        <v>5</v>
      </c>
      <c r="AA3912" s="4">
        <v>71</v>
      </c>
      <c r="AB3912" s="4">
        <v>1</v>
      </c>
      <c r="AC3912" s="4">
        <v>14</v>
      </c>
      <c r="AD3912" s="4">
        <v>18</v>
      </c>
      <c r="AE3912" s="4">
        <v>81</v>
      </c>
      <c r="AF3912" s="4">
        <v>0</v>
      </c>
      <c r="AG3912" s="4">
        <v>8</v>
      </c>
      <c r="AH3912" s="4">
        <v>18</v>
      </c>
      <c r="AI3912" s="4">
        <v>54</v>
      </c>
      <c r="AJ3912" s="4">
        <v>1</v>
      </c>
      <c r="AK3912" s="4">
        <v>17</v>
      </c>
      <c r="AL3912" s="4">
        <v>15</v>
      </c>
      <c r="AM3912" s="4">
        <v>30</v>
      </c>
      <c r="AN3912" s="4">
        <v>0</v>
      </c>
      <c r="AO3912" s="4">
        <v>0</v>
      </c>
      <c r="AP3912" s="4">
        <v>1</v>
      </c>
      <c r="AQ3912" s="4">
        <v>33</v>
      </c>
      <c r="AR3912" s="3" t="s">
        <v>64</v>
      </c>
      <c r="AS3912" s="3" t="s">
        <v>64</v>
      </c>
      <c r="AT3912" s="3" t="s">
        <v>64</v>
      </c>
      <c r="AV3912" s="6" t="str">
        <f>HYPERLINK("http://mcgill.on.worldcat.org/oclc/898841927","Catalog Record")</f>
        <v>Catalog Record</v>
      </c>
      <c r="AW3912" s="6" t="str">
        <f>HYPERLINK("http://www.worldcat.org/oclc/898841927","WorldCat Record")</f>
        <v>WorldCat Record</v>
      </c>
      <c r="AX3912" s="3" t="s">
        <v>38619</v>
      </c>
      <c r="AY3912" s="3" t="s">
        <v>38620</v>
      </c>
      <c r="AZ3912" s="3" t="s">
        <v>38621</v>
      </c>
      <c r="BA3912" s="3" t="s">
        <v>38621</v>
      </c>
      <c r="BB3912" s="3" t="s">
        <v>38622</v>
      </c>
      <c r="BC3912" s="3" t="s">
        <v>77</v>
      </c>
      <c r="BD3912" s="3" t="s">
        <v>78</v>
      </c>
      <c r="BE3912" s="3" t="s">
        <v>38623</v>
      </c>
      <c r="BF3912" s="3" t="s">
        <v>38622</v>
      </c>
      <c r="BG3912" s="3" t="s">
        <v>38624</v>
      </c>
      <c r="BH3912">
        <f t="shared" si="100"/>
        <v>0</v>
      </c>
    </row>
    <row r="3913" spans="1:60" ht="116" x14ac:dyDescent="0.35">
      <c r="A3913" s="2" t="s">
        <v>59</v>
      </c>
      <c r="B3913" s="2" t="s">
        <v>25844</v>
      </c>
      <c r="C3913" s="2" t="s">
        <v>38625</v>
      </c>
      <c r="D3913" s="2" t="s">
        <v>38626</v>
      </c>
      <c r="E3913" s="2" t="s">
        <v>38627</v>
      </c>
      <c r="F3913" s="3" t="s">
        <v>525</v>
      </c>
      <c r="G3913" s="3" t="s">
        <v>128</v>
      </c>
      <c r="I3913" s="3" t="s">
        <v>64</v>
      </c>
      <c r="J3913" s="3" t="s">
        <v>64</v>
      </c>
      <c r="K3913" s="3" t="s">
        <v>65</v>
      </c>
      <c r="M3913" s="2" t="s">
        <v>38628</v>
      </c>
      <c r="N3913" s="3" t="s">
        <v>190</v>
      </c>
      <c r="O3913" s="2" t="s">
        <v>1189</v>
      </c>
      <c r="P3913" s="3" t="s">
        <v>1190</v>
      </c>
      <c r="R3913" s="3" t="s">
        <v>70</v>
      </c>
      <c r="S3913" s="4">
        <v>0</v>
      </c>
      <c r="T3913" s="4">
        <v>0</v>
      </c>
      <c r="W3913" s="5" t="s">
        <v>72</v>
      </c>
      <c r="X3913" s="5" t="s">
        <v>72</v>
      </c>
      <c r="Y3913" s="4">
        <v>2</v>
      </c>
      <c r="Z3913" s="4">
        <v>1</v>
      </c>
      <c r="AA3913" s="4">
        <v>1</v>
      </c>
      <c r="AB3913" s="4">
        <v>1</v>
      </c>
      <c r="AC3913" s="4">
        <v>1</v>
      </c>
      <c r="AD3913" s="4">
        <v>1</v>
      </c>
      <c r="AE3913" s="4">
        <v>1</v>
      </c>
      <c r="AF3913" s="4">
        <v>0</v>
      </c>
      <c r="AG3913" s="4">
        <v>0</v>
      </c>
      <c r="AH3913" s="4">
        <v>1</v>
      </c>
      <c r="AI3913" s="4">
        <v>1</v>
      </c>
      <c r="AJ3913" s="4">
        <v>0</v>
      </c>
      <c r="AK3913" s="4">
        <v>0</v>
      </c>
      <c r="AL3913" s="4">
        <v>1</v>
      </c>
      <c r="AM3913" s="4">
        <v>1</v>
      </c>
      <c r="AN3913" s="4">
        <v>0</v>
      </c>
      <c r="AO3913" s="4">
        <v>0</v>
      </c>
      <c r="AP3913" s="4">
        <v>0</v>
      </c>
      <c r="AQ3913" s="4">
        <v>0</v>
      </c>
      <c r="AR3913" s="3" t="s">
        <v>64</v>
      </c>
      <c r="AS3913" s="3" t="s">
        <v>64</v>
      </c>
      <c r="AT3913" s="3" t="s">
        <v>64</v>
      </c>
      <c r="AV3913" s="6" t="str">
        <f>HYPERLINK("http://mcgill.on.worldcat.org/oclc/1032072743","Catalog Record")</f>
        <v>Catalog Record</v>
      </c>
      <c r="AW3913" s="6" t="str">
        <f>HYPERLINK("http://www.worldcat.org/oclc/1032072743","WorldCat Record")</f>
        <v>WorldCat Record</v>
      </c>
      <c r="AX3913" s="3" t="s">
        <v>38629</v>
      </c>
      <c r="AY3913" s="3" t="s">
        <v>38630</v>
      </c>
      <c r="AZ3913" s="3" t="s">
        <v>38631</v>
      </c>
      <c r="BA3913" s="3" t="s">
        <v>38631</v>
      </c>
      <c r="BB3913" s="3" t="s">
        <v>38632</v>
      </c>
      <c r="BC3913" s="3" t="s">
        <v>77</v>
      </c>
      <c r="BD3913" s="3" t="s">
        <v>78</v>
      </c>
      <c r="BE3913" s="3" t="s">
        <v>38633</v>
      </c>
      <c r="BF3913" s="3" t="s">
        <v>38632</v>
      </c>
      <c r="BG3913" s="3" t="s">
        <v>38634</v>
      </c>
      <c r="BH3913">
        <f t="shared" si="100"/>
        <v>0</v>
      </c>
    </row>
    <row r="3914" spans="1:60" ht="116" x14ac:dyDescent="0.35">
      <c r="A3914" s="2" t="s">
        <v>59</v>
      </c>
      <c r="B3914" s="2" t="s">
        <v>25844</v>
      </c>
      <c r="C3914" s="2" t="s">
        <v>38625</v>
      </c>
      <c r="D3914" s="2" t="s">
        <v>38626</v>
      </c>
      <c r="E3914" s="2" t="s">
        <v>38627</v>
      </c>
      <c r="F3914" s="3" t="s">
        <v>529</v>
      </c>
      <c r="G3914" s="3" t="s">
        <v>128</v>
      </c>
      <c r="I3914" s="3" t="s">
        <v>64</v>
      </c>
      <c r="J3914" s="3" t="s">
        <v>64</v>
      </c>
      <c r="K3914" s="3" t="s">
        <v>65</v>
      </c>
      <c r="M3914" s="2" t="s">
        <v>38628</v>
      </c>
      <c r="N3914" s="3" t="s">
        <v>190</v>
      </c>
      <c r="O3914" s="2" t="s">
        <v>1189</v>
      </c>
      <c r="P3914" s="3" t="s">
        <v>1190</v>
      </c>
      <c r="R3914" s="3" t="s">
        <v>70</v>
      </c>
      <c r="S3914" s="4">
        <v>0</v>
      </c>
      <c r="T3914" s="4">
        <v>0</v>
      </c>
      <c r="W3914" s="5" t="s">
        <v>72</v>
      </c>
      <c r="X3914" s="5" t="s">
        <v>72</v>
      </c>
      <c r="Y3914" s="4">
        <v>2</v>
      </c>
      <c r="Z3914" s="4">
        <v>1</v>
      </c>
      <c r="AA3914" s="4">
        <v>1</v>
      </c>
      <c r="AB3914" s="4">
        <v>1</v>
      </c>
      <c r="AC3914" s="4">
        <v>1</v>
      </c>
      <c r="AD3914" s="4">
        <v>1</v>
      </c>
      <c r="AE3914" s="4">
        <v>1</v>
      </c>
      <c r="AF3914" s="4">
        <v>0</v>
      </c>
      <c r="AG3914" s="4">
        <v>0</v>
      </c>
      <c r="AH3914" s="4">
        <v>1</v>
      </c>
      <c r="AI3914" s="4">
        <v>1</v>
      </c>
      <c r="AJ3914" s="4">
        <v>0</v>
      </c>
      <c r="AK3914" s="4">
        <v>0</v>
      </c>
      <c r="AL3914" s="4">
        <v>1</v>
      </c>
      <c r="AM3914" s="4">
        <v>1</v>
      </c>
      <c r="AN3914" s="4">
        <v>0</v>
      </c>
      <c r="AO3914" s="4">
        <v>0</v>
      </c>
      <c r="AP3914" s="4">
        <v>0</v>
      </c>
      <c r="AQ3914" s="4">
        <v>0</v>
      </c>
      <c r="AR3914" s="3" t="s">
        <v>64</v>
      </c>
      <c r="AS3914" s="3" t="s">
        <v>64</v>
      </c>
      <c r="AT3914" s="3" t="s">
        <v>64</v>
      </c>
      <c r="AV3914" s="6" t="str">
        <f>HYPERLINK("http://mcgill.on.worldcat.org/oclc/1032072743","Catalog Record")</f>
        <v>Catalog Record</v>
      </c>
      <c r="AW3914" s="6" t="str">
        <f>HYPERLINK("http://www.worldcat.org/oclc/1032072743","WorldCat Record")</f>
        <v>WorldCat Record</v>
      </c>
      <c r="AX3914" s="3" t="s">
        <v>38629</v>
      </c>
      <c r="AY3914" s="3" t="s">
        <v>38630</v>
      </c>
      <c r="AZ3914" s="3" t="s">
        <v>38631</v>
      </c>
      <c r="BA3914" s="3" t="s">
        <v>38631</v>
      </c>
      <c r="BB3914" s="3" t="s">
        <v>38635</v>
      </c>
      <c r="BC3914" s="3" t="s">
        <v>77</v>
      </c>
      <c r="BD3914" s="3" t="s">
        <v>78</v>
      </c>
      <c r="BE3914" s="3" t="s">
        <v>38633</v>
      </c>
      <c r="BF3914" s="3" t="s">
        <v>38635</v>
      </c>
      <c r="BG3914" s="3" t="s">
        <v>38636</v>
      </c>
      <c r="BH3914">
        <f t="shared" si="100"/>
        <v>0</v>
      </c>
    </row>
    <row r="3915" spans="1:60" ht="58" x14ac:dyDescent="0.35">
      <c r="A3915" s="2" t="s">
        <v>59</v>
      </c>
      <c r="B3915" s="2" t="s">
        <v>60</v>
      </c>
      <c r="C3915" s="2" t="s">
        <v>38637</v>
      </c>
      <c r="D3915" s="2" t="s">
        <v>38638</v>
      </c>
      <c r="E3915" s="2" t="s">
        <v>38639</v>
      </c>
      <c r="G3915" s="3" t="s">
        <v>64</v>
      </c>
      <c r="I3915" s="3" t="s">
        <v>64</v>
      </c>
      <c r="J3915" s="3" t="s">
        <v>64</v>
      </c>
      <c r="K3915" s="3" t="s">
        <v>65</v>
      </c>
      <c r="L3915" s="2" t="s">
        <v>38640</v>
      </c>
      <c r="M3915" s="2" t="s">
        <v>38641</v>
      </c>
      <c r="N3915" s="3" t="s">
        <v>1075</v>
      </c>
      <c r="P3915" s="3" t="s">
        <v>102</v>
      </c>
      <c r="R3915" s="3" t="s">
        <v>70</v>
      </c>
      <c r="S3915" s="4">
        <v>0</v>
      </c>
      <c r="T3915" s="4">
        <v>0</v>
      </c>
      <c r="W3915" s="5" t="s">
        <v>72</v>
      </c>
      <c r="X3915" s="5" t="s">
        <v>72</v>
      </c>
      <c r="Y3915" s="4">
        <v>595</v>
      </c>
      <c r="Z3915" s="4">
        <v>20</v>
      </c>
      <c r="AA3915" s="4">
        <v>25</v>
      </c>
      <c r="AB3915" s="4">
        <v>1</v>
      </c>
      <c r="AC3915" s="4">
        <v>4</v>
      </c>
      <c r="AD3915" s="4">
        <v>81</v>
      </c>
      <c r="AE3915" s="4">
        <v>81</v>
      </c>
      <c r="AF3915" s="4">
        <v>0</v>
      </c>
      <c r="AG3915" s="4">
        <v>0</v>
      </c>
      <c r="AH3915" s="4">
        <v>72</v>
      </c>
      <c r="AI3915" s="4">
        <v>72</v>
      </c>
      <c r="AJ3915" s="4">
        <v>9</v>
      </c>
      <c r="AK3915" s="4">
        <v>9</v>
      </c>
      <c r="AL3915" s="4">
        <v>45</v>
      </c>
      <c r="AM3915" s="4">
        <v>45</v>
      </c>
      <c r="AN3915" s="4">
        <v>0</v>
      </c>
      <c r="AO3915" s="4">
        <v>0</v>
      </c>
      <c r="AP3915" s="4">
        <v>11</v>
      </c>
      <c r="AQ3915" s="4">
        <v>11</v>
      </c>
      <c r="AR3915" s="3" t="s">
        <v>64</v>
      </c>
      <c r="AS3915" s="3" t="s">
        <v>64</v>
      </c>
      <c r="AT3915" s="3" t="s">
        <v>64</v>
      </c>
      <c r="AV3915" s="6" t="str">
        <f>HYPERLINK("http://mcgill.on.worldcat.org/oclc/813938844","Catalog Record")</f>
        <v>Catalog Record</v>
      </c>
      <c r="AW3915" s="6" t="str">
        <f>HYPERLINK("http://www.worldcat.org/oclc/813938844","WorldCat Record")</f>
        <v>WorldCat Record</v>
      </c>
      <c r="AX3915" s="3" t="s">
        <v>38642</v>
      </c>
      <c r="AY3915" s="3" t="s">
        <v>38643</v>
      </c>
      <c r="AZ3915" s="3" t="s">
        <v>38644</v>
      </c>
      <c r="BA3915" s="3" t="s">
        <v>38644</v>
      </c>
      <c r="BB3915" s="3" t="s">
        <v>38645</v>
      </c>
      <c r="BC3915" s="3" t="s">
        <v>77</v>
      </c>
      <c r="BD3915" s="3" t="s">
        <v>78</v>
      </c>
      <c r="BE3915" s="3" t="s">
        <v>38646</v>
      </c>
      <c r="BF3915" s="3" t="s">
        <v>38645</v>
      </c>
      <c r="BG3915" s="3" t="s">
        <v>38647</v>
      </c>
      <c r="BH3915">
        <f t="shared" si="100"/>
        <v>0</v>
      </c>
    </row>
    <row r="3916" spans="1:60" ht="58" x14ac:dyDescent="0.35">
      <c r="A3916" s="2" t="s">
        <v>59</v>
      </c>
      <c r="B3916" s="2" t="s">
        <v>60</v>
      </c>
      <c r="C3916" s="2" t="s">
        <v>38648</v>
      </c>
      <c r="D3916" s="2" t="s">
        <v>38649</v>
      </c>
      <c r="E3916" s="2" t="s">
        <v>38650</v>
      </c>
      <c r="G3916" s="3" t="s">
        <v>64</v>
      </c>
      <c r="I3916" s="3" t="s">
        <v>64</v>
      </c>
      <c r="J3916" s="3" t="s">
        <v>64</v>
      </c>
      <c r="K3916" s="3" t="s">
        <v>65</v>
      </c>
      <c r="L3916" s="2" t="s">
        <v>8521</v>
      </c>
      <c r="M3916" s="2" t="s">
        <v>38651</v>
      </c>
      <c r="N3916" s="3" t="s">
        <v>190</v>
      </c>
      <c r="P3916" s="3" t="s">
        <v>102</v>
      </c>
      <c r="R3916" s="3" t="s">
        <v>70</v>
      </c>
      <c r="S3916" s="4">
        <v>0</v>
      </c>
      <c r="T3916" s="4">
        <v>0</v>
      </c>
      <c r="W3916" s="5" t="s">
        <v>72</v>
      </c>
      <c r="X3916" s="5" t="s">
        <v>72</v>
      </c>
      <c r="Y3916" s="4">
        <v>153</v>
      </c>
      <c r="Z3916" s="4">
        <v>8</v>
      </c>
      <c r="AA3916" s="4">
        <v>14</v>
      </c>
      <c r="AB3916" s="4">
        <v>1</v>
      </c>
      <c r="AC3916" s="4">
        <v>2</v>
      </c>
      <c r="AD3916" s="4">
        <v>56</v>
      </c>
      <c r="AE3916" s="4">
        <v>64</v>
      </c>
      <c r="AF3916" s="4">
        <v>0</v>
      </c>
      <c r="AG3916" s="4">
        <v>1</v>
      </c>
      <c r="AH3916" s="4">
        <v>51</v>
      </c>
      <c r="AI3916" s="4">
        <v>57</v>
      </c>
      <c r="AJ3916" s="4">
        <v>4</v>
      </c>
      <c r="AK3916" s="4">
        <v>10</v>
      </c>
      <c r="AL3916" s="4">
        <v>36</v>
      </c>
      <c r="AM3916" s="4">
        <v>38</v>
      </c>
      <c r="AN3916" s="4">
        <v>0</v>
      </c>
      <c r="AO3916" s="4">
        <v>0</v>
      </c>
      <c r="AP3916" s="4">
        <v>6</v>
      </c>
      <c r="AQ3916" s="4">
        <v>11</v>
      </c>
      <c r="AR3916" s="3" t="s">
        <v>64</v>
      </c>
      <c r="AS3916" s="3" t="s">
        <v>64</v>
      </c>
      <c r="AT3916" s="3" t="s">
        <v>64</v>
      </c>
      <c r="AV3916" s="6" t="str">
        <f>HYPERLINK("http://mcgill.on.worldcat.org/oclc/1021215196","Catalog Record")</f>
        <v>Catalog Record</v>
      </c>
      <c r="AW3916" s="6" t="str">
        <f>HYPERLINK("http://www.worldcat.org/oclc/1021215196","WorldCat Record")</f>
        <v>WorldCat Record</v>
      </c>
      <c r="AX3916" s="3" t="s">
        <v>38652</v>
      </c>
      <c r="AY3916" s="3" t="s">
        <v>38653</v>
      </c>
      <c r="AZ3916" s="3" t="s">
        <v>38654</v>
      </c>
      <c r="BA3916" s="3" t="s">
        <v>38654</v>
      </c>
      <c r="BB3916" s="3" t="s">
        <v>38655</v>
      </c>
      <c r="BC3916" s="3" t="s">
        <v>77</v>
      </c>
      <c r="BD3916" s="3" t="s">
        <v>78</v>
      </c>
      <c r="BE3916" s="3" t="s">
        <v>38656</v>
      </c>
      <c r="BF3916" s="3" t="s">
        <v>38655</v>
      </c>
      <c r="BG3916" s="3" t="s">
        <v>38657</v>
      </c>
      <c r="BH3916">
        <f t="shared" si="100"/>
        <v>0</v>
      </c>
    </row>
    <row r="3917" spans="1:60" ht="116" x14ac:dyDescent="0.35">
      <c r="A3917" s="2" t="s">
        <v>59</v>
      </c>
      <c r="B3917" s="2" t="s">
        <v>1183</v>
      </c>
      <c r="C3917" s="2" t="s">
        <v>38658</v>
      </c>
      <c r="D3917" s="2" t="s">
        <v>38659</v>
      </c>
      <c r="E3917" s="2" t="s">
        <v>38660</v>
      </c>
      <c r="F3917" s="3" t="s">
        <v>519</v>
      </c>
      <c r="G3917" s="3" t="s">
        <v>128</v>
      </c>
      <c r="I3917" s="3" t="s">
        <v>64</v>
      </c>
      <c r="J3917" s="3" t="s">
        <v>64</v>
      </c>
      <c r="K3917" s="3" t="s">
        <v>65</v>
      </c>
      <c r="M3917" s="2" t="s">
        <v>38661</v>
      </c>
      <c r="N3917" s="3" t="s">
        <v>326</v>
      </c>
      <c r="O3917" s="2" t="s">
        <v>1189</v>
      </c>
      <c r="P3917" s="3" t="s">
        <v>1190</v>
      </c>
      <c r="Q3917" s="2" t="s">
        <v>38662</v>
      </c>
      <c r="R3917" s="3" t="s">
        <v>70</v>
      </c>
      <c r="S3917" s="4">
        <v>0</v>
      </c>
      <c r="T3917" s="4">
        <v>0</v>
      </c>
      <c r="W3917" s="5" t="s">
        <v>72</v>
      </c>
      <c r="X3917" s="5" t="s">
        <v>72</v>
      </c>
      <c r="Y3917" s="4">
        <v>34</v>
      </c>
      <c r="Z3917" s="4">
        <v>2</v>
      </c>
      <c r="AA3917" s="4">
        <v>4</v>
      </c>
      <c r="AB3917" s="4">
        <v>1</v>
      </c>
      <c r="AC3917" s="4">
        <v>1</v>
      </c>
      <c r="AD3917" s="4">
        <v>23</v>
      </c>
      <c r="AE3917" s="4">
        <v>25</v>
      </c>
      <c r="AF3917" s="4">
        <v>0</v>
      </c>
      <c r="AG3917" s="4">
        <v>0</v>
      </c>
      <c r="AH3917" s="4">
        <v>21</v>
      </c>
      <c r="AI3917" s="4">
        <v>23</v>
      </c>
      <c r="AJ3917" s="4">
        <v>1</v>
      </c>
      <c r="AK3917" s="4">
        <v>2</v>
      </c>
      <c r="AL3917" s="4">
        <v>18</v>
      </c>
      <c r="AM3917" s="4">
        <v>20</v>
      </c>
      <c r="AN3917" s="4">
        <v>0</v>
      </c>
      <c r="AO3917" s="4">
        <v>0</v>
      </c>
      <c r="AP3917" s="4">
        <v>1</v>
      </c>
      <c r="AQ3917" s="4">
        <v>2</v>
      </c>
      <c r="AR3917" s="3" t="s">
        <v>64</v>
      </c>
      <c r="AS3917" s="3" t="s">
        <v>64</v>
      </c>
      <c r="AT3917" s="3" t="s">
        <v>128</v>
      </c>
      <c r="AU3917" s="6" t="str">
        <f t="shared" ref="AU3917:AU3922" si="101">HYPERLINK("http://catalog.hathitrust.org/Record/009660114","HathiTrust Record")</f>
        <v>HathiTrust Record</v>
      </c>
      <c r="AV3917" s="6" t="str">
        <f t="shared" ref="AV3917:AV3922" si="102">HYPERLINK("http://mcgill.on.worldcat.org/oclc/707607578","Catalog Record")</f>
        <v>Catalog Record</v>
      </c>
      <c r="AW3917" s="6" t="str">
        <f t="shared" ref="AW3917:AW3922" si="103">HYPERLINK("http://www.worldcat.org/oclc/707607578","WorldCat Record")</f>
        <v>WorldCat Record</v>
      </c>
      <c r="AX3917" s="3" t="s">
        <v>38663</v>
      </c>
      <c r="AY3917" s="3" t="s">
        <v>38664</v>
      </c>
      <c r="AZ3917" s="3" t="s">
        <v>38665</v>
      </c>
      <c r="BA3917" s="3" t="s">
        <v>38665</v>
      </c>
      <c r="BB3917" s="3" t="s">
        <v>38666</v>
      </c>
      <c r="BC3917" s="3" t="s">
        <v>77</v>
      </c>
      <c r="BD3917" s="3" t="s">
        <v>78</v>
      </c>
      <c r="BE3917" s="3" t="s">
        <v>38667</v>
      </c>
      <c r="BF3917" s="3" t="s">
        <v>38666</v>
      </c>
      <c r="BG3917" s="3" t="s">
        <v>38668</v>
      </c>
      <c r="BH3917">
        <f t="shared" si="100"/>
        <v>0</v>
      </c>
    </row>
    <row r="3918" spans="1:60" ht="116" x14ac:dyDescent="0.35">
      <c r="A3918" s="2" t="s">
        <v>59</v>
      </c>
      <c r="B3918" s="2" t="s">
        <v>1183</v>
      </c>
      <c r="C3918" s="2" t="s">
        <v>38658</v>
      </c>
      <c r="D3918" s="2" t="s">
        <v>38659</v>
      </c>
      <c r="E3918" s="2" t="s">
        <v>38660</v>
      </c>
      <c r="F3918" s="3" t="s">
        <v>509</v>
      </c>
      <c r="G3918" s="3" t="s">
        <v>128</v>
      </c>
      <c r="I3918" s="3" t="s">
        <v>64</v>
      </c>
      <c r="J3918" s="3" t="s">
        <v>64</v>
      </c>
      <c r="K3918" s="3" t="s">
        <v>65</v>
      </c>
      <c r="M3918" s="2" t="s">
        <v>38661</v>
      </c>
      <c r="N3918" s="3" t="s">
        <v>326</v>
      </c>
      <c r="O3918" s="2" t="s">
        <v>1189</v>
      </c>
      <c r="P3918" s="3" t="s">
        <v>1190</v>
      </c>
      <c r="Q3918" s="2" t="s">
        <v>38662</v>
      </c>
      <c r="R3918" s="3" t="s">
        <v>70</v>
      </c>
      <c r="S3918" s="4">
        <v>0</v>
      </c>
      <c r="T3918" s="4">
        <v>0</v>
      </c>
      <c r="W3918" s="5" t="s">
        <v>72</v>
      </c>
      <c r="X3918" s="5" t="s">
        <v>72</v>
      </c>
      <c r="Y3918" s="4">
        <v>34</v>
      </c>
      <c r="Z3918" s="4">
        <v>2</v>
      </c>
      <c r="AA3918" s="4">
        <v>4</v>
      </c>
      <c r="AB3918" s="4">
        <v>1</v>
      </c>
      <c r="AC3918" s="4">
        <v>1</v>
      </c>
      <c r="AD3918" s="4">
        <v>23</v>
      </c>
      <c r="AE3918" s="4">
        <v>25</v>
      </c>
      <c r="AF3918" s="4">
        <v>0</v>
      </c>
      <c r="AG3918" s="4">
        <v>0</v>
      </c>
      <c r="AH3918" s="4">
        <v>21</v>
      </c>
      <c r="AI3918" s="4">
        <v>23</v>
      </c>
      <c r="AJ3918" s="4">
        <v>1</v>
      </c>
      <c r="AK3918" s="4">
        <v>2</v>
      </c>
      <c r="AL3918" s="4">
        <v>18</v>
      </c>
      <c r="AM3918" s="4">
        <v>20</v>
      </c>
      <c r="AN3918" s="4">
        <v>0</v>
      </c>
      <c r="AO3918" s="4">
        <v>0</v>
      </c>
      <c r="AP3918" s="4">
        <v>1</v>
      </c>
      <c r="AQ3918" s="4">
        <v>2</v>
      </c>
      <c r="AR3918" s="3" t="s">
        <v>64</v>
      </c>
      <c r="AS3918" s="3" t="s">
        <v>64</v>
      </c>
      <c r="AT3918" s="3" t="s">
        <v>128</v>
      </c>
      <c r="AU3918" s="6" t="str">
        <f t="shared" si="101"/>
        <v>HathiTrust Record</v>
      </c>
      <c r="AV3918" s="6" t="str">
        <f t="shared" si="102"/>
        <v>Catalog Record</v>
      </c>
      <c r="AW3918" s="6" t="str">
        <f t="shared" si="103"/>
        <v>WorldCat Record</v>
      </c>
      <c r="AX3918" s="3" t="s">
        <v>38663</v>
      </c>
      <c r="AY3918" s="3" t="s">
        <v>38664</v>
      </c>
      <c r="AZ3918" s="3" t="s">
        <v>38665</v>
      </c>
      <c r="BA3918" s="3" t="s">
        <v>38665</v>
      </c>
      <c r="BB3918" s="3" t="s">
        <v>38669</v>
      </c>
      <c r="BC3918" s="3" t="s">
        <v>77</v>
      </c>
      <c r="BD3918" s="3" t="s">
        <v>78</v>
      </c>
      <c r="BE3918" s="3" t="s">
        <v>38667</v>
      </c>
      <c r="BF3918" s="3" t="s">
        <v>38669</v>
      </c>
      <c r="BG3918" s="3" t="s">
        <v>38670</v>
      </c>
      <c r="BH3918">
        <f t="shared" si="100"/>
        <v>0</v>
      </c>
    </row>
    <row r="3919" spans="1:60" ht="116" x14ac:dyDescent="0.35">
      <c r="A3919" s="2" t="s">
        <v>59</v>
      </c>
      <c r="B3919" s="2" t="s">
        <v>1183</v>
      </c>
      <c r="C3919" s="2" t="s">
        <v>38658</v>
      </c>
      <c r="D3919" s="2" t="s">
        <v>38659</v>
      </c>
      <c r="E3919" s="2" t="s">
        <v>38660</v>
      </c>
      <c r="F3919" s="3" t="s">
        <v>10094</v>
      </c>
      <c r="G3919" s="3" t="s">
        <v>128</v>
      </c>
      <c r="I3919" s="3" t="s">
        <v>64</v>
      </c>
      <c r="J3919" s="3" t="s">
        <v>64</v>
      </c>
      <c r="K3919" s="3" t="s">
        <v>65</v>
      </c>
      <c r="M3919" s="2" t="s">
        <v>38661</v>
      </c>
      <c r="N3919" s="3" t="s">
        <v>326</v>
      </c>
      <c r="O3919" s="2" t="s">
        <v>1189</v>
      </c>
      <c r="P3919" s="3" t="s">
        <v>1190</v>
      </c>
      <c r="Q3919" s="2" t="s">
        <v>38662</v>
      </c>
      <c r="R3919" s="3" t="s">
        <v>70</v>
      </c>
      <c r="S3919" s="4">
        <v>0</v>
      </c>
      <c r="T3919" s="4">
        <v>0</v>
      </c>
      <c r="W3919" s="5" t="s">
        <v>72</v>
      </c>
      <c r="X3919" s="5" t="s">
        <v>72</v>
      </c>
      <c r="Y3919" s="4">
        <v>34</v>
      </c>
      <c r="Z3919" s="4">
        <v>2</v>
      </c>
      <c r="AA3919" s="4">
        <v>4</v>
      </c>
      <c r="AB3919" s="4">
        <v>1</v>
      </c>
      <c r="AC3919" s="4">
        <v>1</v>
      </c>
      <c r="AD3919" s="4">
        <v>23</v>
      </c>
      <c r="AE3919" s="4">
        <v>25</v>
      </c>
      <c r="AF3919" s="4">
        <v>0</v>
      </c>
      <c r="AG3919" s="4">
        <v>0</v>
      </c>
      <c r="AH3919" s="4">
        <v>21</v>
      </c>
      <c r="AI3919" s="4">
        <v>23</v>
      </c>
      <c r="AJ3919" s="4">
        <v>1</v>
      </c>
      <c r="AK3919" s="4">
        <v>2</v>
      </c>
      <c r="AL3919" s="4">
        <v>18</v>
      </c>
      <c r="AM3919" s="4">
        <v>20</v>
      </c>
      <c r="AN3919" s="4">
        <v>0</v>
      </c>
      <c r="AO3919" s="4">
        <v>0</v>
      </c>
      <c r="AP3919" s="4">
        <v>1</v>
      </c>
      <c r="AQ3919" s="4">
        <v>2</v>
      </c>
      <c r="AR3919" s="3" t="s">
        <v>64</v>
      </c>
      <c r="AS3919" s="3" t="s">
        <v>64</v>
      </c>
      <c r="AT3919" s="3" t="s">
        <v>128</v>
      </c>
      <c r="AU3919" s="6" t="str">
        <f t="shared" si="101"/>
        <v>HathiTrust Record</v>
      </c>
      <c r="AV3919" s="6" t="str">
        <f t="shared" si="102"/>
        <v>Catalog Record</v>
      </c>
      <c r="AW3919" s="6" t="str">
        <f t="shared" si="103"/>
        <v>WorldCat Record</v>
      </c>
      <c r="AX3919" s="3" t="s">
        <v>38663</v>
      </c>
      <c r="AY3919" s="3" t="s">
        <v>38664</v>
      </c>
      <c r="AZ3919" s="3" t="s">
        <v>38665</v>
      </c>
      <c r="BA3919" s="3" t="s">
        <v>38665</v>
      </c>
      <c r="BB3919" s="3" t="s">
        <v>38671</v>
      </c>
      <c r="BC3919" s="3" t="s">
        <v>77</v>
      </c>
      <c r="BD3919" s="3" t="s">
        <v>78</v>
      </c>
      <c r="BE3919" s="3" t="s">
        <v>38667</v>
      </c>
      <c r="BF3919" s="3" t="s">
        <v>38671</v>
      </c>
      <c r="BG3919" s="3" t="s">
        <v>38672</v>
      </c>
      <c r="BH3919">
        <f t="shared" si="100"/>
        <v>0</v>
      </c>
    </row>
    <row r="3920" spans="1:60" ht="116" x14ac:dyDescent="0.35">
      <c r="A3920" s="2" t="s">
        <v>59</v>
      </c>
      <c r="B3920" s="2" t="s">
        <v>1183</v>
      </c>
      <c r="C3920" s="2" t="s">
        <v>38658</v>
      </c>
      <c r="D3920" s="2" t="s">
        <v>38659</v>
      </c>
      <c r="E3920" s="2" t="s">
        <v>38660</v>
      </c>
      <c r="F3920" s="3" t="s">
        <v>529</v>
      </c>
      <c r="G3920" s="3" t="s">
        <v>128</v>
      </c>
      <c r="I3920" s="3" t="s">
        <v>64</v>
      </c>
      <c r="J3920" s="3" t="s">
        <v>64</v>
      </c>
      <c r="K3920" s="3" t="s">
        <v>65</v>
      </c>
      <c r="M3920" s="2" t="s">
        <v>38661</v>
      </c>
      <c r="N3920" s="3" t="s">
        <v>326</v>
      </c>
      <c r="O3920" s="2" t="s">
        <v>1189</v>
      </c>
      <c r="P3920" s="3" t="s">
        <v>1190</v>
      </c>
      <c r="Q3920" s="2" t="s">
        <v>38662</v>
      </c>
      <c r="R3920" s="3" t="s">
        <v>70</v>
      </c>
      <c r="S3920" s="4">
        <v>0</v>
      </c>
      <c r="T3920" s="4">
        <v>0</v>
      </c>
      <c r="W3920" s="5" t="s">
        <v>72</v>
      </c>
      <c r="X3920" s="5" t="s">
        <v>72</v>
      </c>
      <c r="Y3920" s="4">
        <v>34</v>
      </c>
      <c r="Z3920" s="4">
        <v>2</v>
      </c>
      <c r="AA3920" s="4">
        <v>4</v>
      </c>
      <c r="AB3920" s="4">
        <v>1</v>
      </c>
      <c r="AC3920" s="4">
        <v>1</v>
      </c>
      <c r="AD3920" s="4">
        <v>23</v>
      </c>
      <c r="AE3920" s="4">
        <v>25</v>
      </c>
      <c r="AF3920" s="4">
        <v>0</v>
      </c>
      <c r="AG3920" s="4">
        <v>0</v>
      </c>
      <c r="AH3920" s="4">
        <v>21</v>
      </c>
      <c r="AI3920" s="4">
        <v>23</v>
      </c>
      <c r="AJ3920" s="4">
        <v>1</v>
      </c>
      <c r="AK3920" s="4">
        <v>2</v>
      </c>
      <c r="AL3920" s="4">
        <v>18</v>
      </c>
      <c r="AM3920" s="4">
        <v>20</v>
      </c>
      <c r="AN3920" s="4">
        <v>0</v>
      </c>
      <c r="AO3920" s="4">
        <v>0</v>
      </c>
      <c r="AP3920" s="4">
        <v>1</v>
      </c>
      <c r="AQ3920" s="4">
        <v>2</v>
      </c>
      <c r="AR3920" s="3" t="s">
        <v>64</v>
      </c>
      <c r="AS3920" s="3" t="s">
        <v>64</v>
      </c>
      <c r="AT3920" s="3" t="s">
        <v>128</v>
      </c>
      <c r="AU3920" s="6" t="str">
        <f t="shared" si="101"/>
        <v>HathiTrust Record</v>
      </c>
      <c r="AV3920" s="6" t="str">
        <f t="shared" si="102"/>
        <v>Catalog Record</v>
      </c>
      <c r="AW3920" s="6" t="str">
        <f t="shared" si="103"/>
        <v>WorldCat Record</v>
      </c>
      <c r="AX3920" s="3" t="s">
        <v>38663</v>
      </c>
      <c r="AY3920" s="3" t="s">
        <v>38664</v>
      </c>
      <c r="AZ3920" s="3" t="s">
        <v>38665</v>
      </c>
      <c r="BA3920" s="3" t="s">
        <v>38665</v>
      </c>
      <c r="BB3920" s="3" t="s">
        <v>38673</v>
      </c>
      <c r="BC3920" s="3" t="s">
        <v>77</v>
      </c>
      <c r="BD3920" s="3" t="s">
        <v>78</v>
      </c>
      <c r="BE3920" s="3" t="s">
        <v>38667</v>
      </c>
      <c r="BF3920" s="3" t="s">
        <v>38673</v>
      </c>
      <c r="BG3920" s="3" t="s">
        <v>38674</v>
      </c>
      <c r="BH3920">
        <f t="shared" si="100"/>
        <v>0</v>
      </c>
    </row>
    <row r="3921" spans="1:60" ht="116" x14ac:dyDescent="0.35">
      <c r="A3921" s="2" t="s">
        <v>59</v>
      </c>
      <c r="B3921" s="2" t="s">
        <v>1183</v>
      </c>
      <c r="C3921" s="2" t="s">
        <v>38658</v>
      </c>
      <c r="D3921" s="2" t="s">
        <v>38659</v>
      </c>
      <c r="E3921" s="2" t="s">
        <v>38660</v>
      </c>
      <c r="F3921" s="3" t="s">
        <v>522</v>
      </c>
      <c r="G3921" s="3" t="s">
        <v>128</v>
      </c>
      <c r="I3921" s="3" t="s">
        <v>64</v>
      </c>
      <c r="J3921" s="3" t="s">
        <v>64</v>
      </c>
      <c r="K3921" s="3" t="s">
        <v>65</v>
      </c>
      <c r="M3921" s="2" t="s">
        <v>38661</v>
      </c>
      <c r="N3921" s="3" t="s">
        <v>326</v>
      </c>
      <c r="O3921" s="2" t="s">
        <v>1189</v>
      </c>
      <c r="P3921" s="3" t="s">
        <v>1190</v>
      </c>
      <c r="Q3921" s="2" t="s">
        <v>38662</v>
      </c>
      <c r="R3921" s="3" t="s">
        <v>70</v>
      </c>
      <c r="S3921" s="4">
        <v>0</v>
      </c>
      <c r="T3921" s="4">
        <v>0</v>
      </c>
      <c r="W3921" s="5" t="s">
        <v>72</v>
      </c>
      <c r="X3921" s="5" t="s">
        <v>72</v>
      </c>
      <c r="Y3921" s="4">
        <v>34</v>
      </c>
      <c r="Z3921" s="4">
        <v>2</v>
      </c>
      <c r="AA3921" s="4">
        <v>4</v>
      </c>
      <c r="AB3921" s="4">
        <v>1</v>
      </c>
      <c r="AC3921" s="4">
        <v>1</v>
      </c>
      <c r="AD3921" s="4">
        <v>23</v>
      </c>
      <c r="AE3921" s="4">
        <v>25</v>
      </c>
      <c r="AF3921" s="4">
        <v>0</v>
      </c>
      <c r="AG3921" s="4">
        <v>0</v>
      </c>
      <c r="AH3921" s="4">
        <v>21</v>
      </c>
      <c r="AI3921" s="4">
        <v>23</v>
      </c>
      <c r="AJ3921" s="4">
        <v>1</v>
      </c>
      <c r="AK3921" s="4">
        <v>2</v>
      </c>
      <c r="AL3921" s="4">
        <v>18</v>
      </c>
      <c r="AM3921" s="4">
        <v>20</v>
      </c>
      <c r="AN3921" s="4">
        <v>0</v>
      </c>
      <c r="AO3921" s="4">
        <v>0</v>
      </c>
      <c r="AP3921" s="4">
        <v>1</v>
      </c>
      <c r="AQ3921" s="4">
        <v>2</v>
      </c>
      <c r="AR3921" s="3" t="s">
        <v>64</v>
      </c>
      <c r="AS3921" s="3" t="s">
        <v>64</v>
      </c>
      <c r="AT3921" s="3" t="s">
        <v>128</v>
      </c>
      <c r="AU3921" s="6" t="str">
        <f t="shared" si="101"/>
        <v>HathiTrust Record</v>
      </c>
      <c r="AV3921" s="6" t="str">
        <f t="shared" si="102"/>
        <v>Catalog Record</v>
      </c>
      <c r="AW3921" s="6" t="str">
        <f t="shared" si="103"/>
        <v>WorldCat Record</v>
      </c>
      <c r="AX3921" s="3" t="s">
        <v>38663</v>
      </c>
      <c r="AY3921" s="3" t="s">
        <v>38664</v>
      </c>
      <c r="AZ3921" s="3" t="s">
        <v>38665</v>
      </c>
      <c r="BA3921" s="3" t="s">
        <v>38665</v>
      </c>
      <c r="BB3921" s="3" t="s">
        <v>38675</v>
      </c>
      <c r="BC3921" s="3" t="s">
        <v>77</v>
      </c>
      <c r="BD3921" s="3" t="s">
        <v>78</v>
      </c>
      <c r="BE3921" s="3" t="s">
        <v>38667</v>
      </c>
      <c r="BF3921" s="3" t="s">
        <v>38675</v>
      </c>
      <c r="BG3921" s="3" t="s">
        <v>38676</v>
      </c>
      <c r="BH3921">
        <f t="shared" si="100"/>
        <v>0</v>
      </c>
    </row>
    <row r="3922" spans="1:60" ht="116" x14ac:dyDescent="0.35">
      <c r="A3922" s="2" t="s">
        <v>59</v>
      </c>
      <c r="B3922" s="2" t="s">
        <v>1183</v>
      </c>
      <c r="C3922" s="2" t="s">
        <v>38658</v>
      </c>
      <c r="D3922" s="2" t="s">
        <v>38659</v>
      </c>
      <c r="E3922" s="2" t="s">
        <v>38660</v>
      </c>
      <c r="F3922" s="3" t="s">
        <v>525</v>
      </c>
      <c r="G3922" s="3" t="s">
        <v>128</v>
      </c>
      <c r="I3922" s="3" t="s">
        <v>64</v>
      </c>
      <c r="J3922" s="3" t="s">
        <v>64</v>
      </c>
      <c r="K3922" s="3" t="s">
        <v>65</v>
      </c>
      <c r="M3922" s="2" t="s">
        <v>38661</v>
      </c>
      <c r="N3922" s="3" t="s">
        <v>326</v>
      </c>
      <c r="O3922" s="2" t="s">
        <v>1189</v>
      </c>
      <c r="P3922" s="3" t="s">
        <v>1190</v>
      </c>
      <c r="Q3922" s="2" t="s">
        <v>38662</v>
      </c>
      <c r="R3922" s="3" t="s">
        <v>70</v>
      </c>
      <c r="S3922" s="4">
        <v>0</v>
      </c>
      <c r="T3922" s="4">
        <v>0</v>
      </c>
      <c r="W3922" s="5" t="s">
        <v>72</v>
      </c>
      <c r="X3922" s="5" t="s">
        <v>72</v>
      </c>
      <c r="Y3922" s="4">
        <v>34</v>
      </c>
      <c r="Z3922" s="4">
        <v>2</v>
      </c>
      <c r="AA3922" s="4">
        <v>4</v>
      </c>
      <c r="AB3922" s="4">
        <v>1</v>
      </c>
      <c r="AC3922" s="4">
        <v>1</v>
      </c>
      <c r="AD3922" s="4">
        <v>23</v>
      </c>
      <c r="AE3922" s="4">
        <v>25</v>
      </c>
      <c r="AF3922" s="4">
        <v>0</v>
      </c>
      <c r="AG3922" s="4">
        <v>0</v>
      </c>
      <c r="AH3922" s="4">
        <v>21</v>
      </c>
      <c r="AI3922" s="4">
        <v>23</v>
      </c>
      <c r="AJ3922" s="4">
        <v>1</v>
      </c>
      <c r="AK3922" s="4">
        <v>2</v>
      </c>
      <c r="AL3922" s="4">
        <v>18</v>
      </c>
      <c r="AM3922" s="4">
        <v>20</v>
      </c>
      <c r="AN3922" s="4">
        <v>0</v>
      </c>
      <c r="AO3922" s="4">
        <v>0</v>
      </c>
      <c r="AP3922" s="4">
        <v>1</v>
      </c>
      <c r="AQ3922" s="4">
        <v>2</v>
      </c>
      <c r="AR3922" s="3" t="s">
        <v>64</v>
      </c>
      <c r="AS3922" s="3" t="s">
        <v>64</v>
      </c>
      <c r="AT3922" s="3" t="s">
        <v>128</v>
      </c>
      <c r="AU3922" s="6" t="str">
        <f t="shared" si="101"/>
        <v>HathiTrust Record</v>
      </c>
      <c r="AV3922" s="6" t="str">
        <f t="shared" si="102"/>
        <v>Catalog Record</v>
      </c>
      <c r="AW3922" s="6" t="str">
        <f t="shared" si="103"/>
        <v>WorldCat Record</v>
      </c>
      <c r="AX3922" s="3" t="s">
        <v>38663</v>
      </c>
      <c r="AY3922" s="3" t="s">
        <v>38664</v>
      </c>
      <c r="AZ3922" s="3" t="s">
        <v>38665</v>
      </c>
      <c r="BA3922" s="3" t="s">
        <v>38665</v>
      </c>
      <c r="BB3922" s="3" t="s">
        <v>38677</v>
      </c>
      <c r="BC3922" s="3" t="s">
        <v>77</v>
      </c>
      <c r="BD3922" s="3" t="s">
        <v>78</v>
      </c>
      <c r="BE3922" s="3" t="s">
        <v>38667</v>
      </c>
      <c r="BF3922" s="3" t="s">
        <v>38677</v>
      </c>
      <c r="BG3922" s="3" t="s">
        <v>38678</v>
      </c>
      <c r="BH3922">
        <f t="shared" si="100"/>
        <v>0</v>
      </c>
    </row>
    <row r="3923" spans="1:60" ht="116" x14ac:dyDescent="0.35">
      <c r="A3923" s="2" t="s">
        <v>59</v>
      </c>
      <c r="B3923" s="2" t="s">
        <v>1183</v>
      </c>
      <c r="C3923" s="2" t="s">
        <v>38679</v>
      </c>
      <c r="D3923" s="2" t="s">
        <v>38680</v>
      </c>
      <c r="E3923" s="2" t="s">
        <v>38681</v>
      </c>
      <c r="G3923" s="3" t="s">
        <v>64</v>
      </c>
      <c r="I3923" s="3" t="s">
        <v>64</v>
      </c>
      <c r="J3923" s="3" t="s">
        <v>64</v>
      </c>
      <c r="K3923" s="3" t="s">
        <v>65</v>
      </c>
      <c r="L3923" s="2" t="s">
        <v>38682</v>
      </c>
      <c r="M3923" s="2" t="s">
        <v>38683</v>
      </c>
      <c r="N3923" s="3" t="s">
        <v>326</v>
      </c>
      <c r="O3923" s="2" t="s">
        <v>1189</v>
      </c>
      <c r="P3923" s="3" t="s">
        <v>1190</v>
      </c>
      <c r="R3923" s="3" t="s">
        <v>70</v>
      </c>
      <c r="S3923" s="4">
        <v>0</v>
      </c>
      <c r="T3923" s="4">
        <v>0</v>
      </c>
      <c r="W3923" s="5" t="s">
        <v>72</v>
      </c>
      <c r="X3923" s="5" t="s">
        <v>72</v>
      </c>
      <c r="Y3923" s="4">
        <v>20</v>
      </c>
      <c r="Z3923" s="4">
        <v>3</v>
      </c>
      <c r="AA3923" s="4">
        <v>3</v>
      </c>
      <c r="AB3923" s="4">
        <v>1</v>
      </c>
      <c r="AC3923" s="4">
        <v>1</v>
      </c>
      <c r="AD3923" s="4">
        <v>11</v>
      </c>
      <c r="AE3923" s="4">
        <v>11</v>
      </c>
      <c r="AF3923" s="4">
        <v>0</v>
      </c>
      <c r="AG3923" s="4">
        <v>0</v>
      </c>
      <c r="AH3923" s="4">
        <v>10</v>
      </c>
      <c r="AI3923" s="4">
        <v>10</v>
      </c>
      <c r="AJ3923" s="4">
        <v>1</v>
      </c>
      <c r="AK3923" s="4">
        <v>1</v>
      </c>
      <c r="AL3923" s="4">
        <v>10</v>
      </c>
      <c r="AM3923" s="4">
        <v>10</v>
      </c>
      <c r="AN3923" s="4">
        <v>0</v>
      </c>
      <c r="AO3923" s="4">
        <v>0</v>
      </c>
      <c r="AP3923" s="4">
        <v>1</v>
      </c>
      <c r="AQ3923" s="4">
        <v>1</v>
      </c>
      <c r="AR3923" s="3" t="s">
        <v>64</v>
      </c>
      <c r="AS3923" s="3" t="s">
        <v>64</v>
      </c>
      <c r="AT3923" s="3" t="s">
        <v>64</v>
      </c>
      <c r="AV3923" s="6" t="str">
        <f>HYPERLINK("http://mcgill.on.worldcat.org/oclc/733913493","Catalog Record")</f>
        <v>Catalog Record</v>
      </c>
      <c r="AW3923" s="6" t="str">
        <f>HYPERLINK("http://www.worldcat.org/oclc/733913493","WorldCat Record")</f>
        <v>WorldCat Record</v>
      </c>
      <c r="AX3923" s="3" t="s">
        <v>38684</v>
      </c>
      <c r="AY3923" s="3" t="s">
        <v>38685</v>
      </c>
      <c r="AZ3923" s="3" t="s">
        <v>38686</v>
      </c>
      <c r="BA3923" s="3" t="s">
        <v>38686</v>
      </c>
      <c r="BB3923" s="3" t="s">
        <v>38687</v>
      </c>
      <c r="BC3923" s="3" t="s">
        <v>77</v>
      </c>
      <c r="BD3923" s="3" t="s">
        <v>78</v>
      </c>
      <c r="BE3923" s="3" t="s">
        <v>38688</v>
      </c>
      <c r="BF3923" s="3" t="s">
        <v>38687</v>
      </c>
      <c r="BG3923" s="3" t="s">
        <v>38689</v>
      </c>
      <c r="BH3923">
        <f t="shared" si="100"/>
        <v>0</v>
      </c>
    </row>
    <row r="3924" spans="1:60" ht="116" x14ac:dyDescent="0.35">
      <c r="A3924" s="2" t="s">
        <v>59</v>
      </c>
      <c r="B3924" s="2" t="s">
        <v>25844</v>
      </c>
      <c r="C3924" s="2" t="s">
        <v>38690</v>
      </c>
      <c r="D3924" s="2" t="s">
        <v>38691</v>
      </c>
      <c r="E3924" s="2" t="s">
        <v>38692</v>
      </c>
      <c r="G3924" s="3" t="s">
        <v>64</v>
      </c>
      <c r="I3924" s="3" t="s">
        <v>64</v>
      </c>
      <c r="J3924" s="3" t="s">
        <v>64</v>
      </c>
      <c r="K3924" s="3" t="s">
        <v>65</v>
      </c>
      <c r="L3924" s="2" t="s">
        <v>38693</v>
      </c>
      <c r="M3924" s="2" t="s">
        <v>38683</v>
      </c>
      <c r="N3924" s="3" t="s">
        <v>326</v>
      </c>
      <c r="O3924" s="2" t="s">
        <v>1189</v>
      </c>
      <c r="P3924" s="3" t="s">
        <v>1190</v>
      </c>
      <c r="R3924" s="3" t="s">
        <v>70</v>
      </c>
      <c r="S3924" s="4">
        <v>0</v>
      </c>
      <c r="T3924" s="4">
        <v>0</v>
      </c>
      <c r="W3924" s="5" t="s">
        <v>72</v>
      </c>
      <c r="X3924" s="5" t="s">
        <v>72</v>
      </c>
      <c r="Y3924" s="4">
        <v>24</v>
      </c>
      <c r="Z3924" s="4">
        <v>3</v>
      </c>
      <c r="AA3924" s="4">
        <v>3</v>
      </c>
      <c r="AB3924" s="4">
        <v>1</v>
      </c>
      <c r="AC3924" s="4">
        <v>1</v>
      </c>
      <c r="AD3924" s="4">
        <v>11</v>
      </c>
      <c r="AE3924" s="4">
        <v>11</v>
      </c>
      <c r="AF3924" s="4">
        <v>0</v>
      </c>
      <c r="AG3924" s="4">
        <v>0</v>
      </c>
      <c r="AH3924" s="4">
        <v>11</v>
      </c>
      <c r="AI3924" s="4">
        <v>11</v>
      </c>
      <c r="AJ3924" s="4">
        <v>1</v>
      </c>
      <c r="AK3924" s="4">
        <v>1</v>
      </c>
      <c r="AL3924" s="4">
        <v>9</v>
      </c>
      <c r="AM3924" s="4">
        <v>9</v>
      </c>
      <c r="AN3924" s="4">
        <v>0</v>
      </c>
      <c r="AO3924" s="4">
        <v>0</v>
      </c>
      <c r="AP3924" s="4">
        <v>1</v>
      </c>
      <c r="AQ3924" s="4">
        <v>1</v>
      </c>
      <c r="AR3924" s="3" t="s">
        <v>64</v>
      </c>
      <c r="AS3924" s="3" t="s">
        <v>64</v>
      </c>
      <c r="AT3924" s="3" t="s">
        <v>64</v>
      </c>
      <c r="AV3924" s="6" t="str">
        <f>HYPERLINK("http://mcgill.on.worldcat.org/oclc/768569903","Catalog Record")</f>
        <v>Catalog Record</v>
      </c>
      <c r="AW3924" s="6" t="str">
        <f>HYPERLINK("http://www.worldcat.org/oclc/768569903","WorldCat Record")</f>
        <v>WorldCat Record</v>
      </c>
      <c r="AX3924" s="3" t="s">
        <v>38694</v>
      </c>
      <c r="AY3924" s="3" t="s">
        <v>38695</v>
      </c>
      <c r="AZ3924" s="3" t="s">
        <v>38696</v>
      </c>
      <c r="BA3924" s="3" t="s">
        <v>38696</v>
      </c>
      <c r="BB3924" s="3" t="s">
        <v>38697</v>
      </c>
      <c r="BC3924" s="3" t="s">
        <v>77</v>
      </c>
      <c r="BD3924" s="3" t="s">
        <v>78</v>
      </c>
      <c r="BE3924" s="3" t="s">
        <v>38698</v>
      </c>
      <c r="BF3924" s="3" t="s">
        <v>38697</v>
      </c>
      <c r="BG3924" s="3" t="s">
        <v>38699</v>
      </c>
      <c r="BH3924">
        <f t="shared" si="100"/>
        <v>0</v>
      </c>
    </row>
    <row r="3925" spans="1:60" ht="116" x14ac:dyDescent="0.35">
      <c r="A3925" s="2" t="s">
        <v>59</v>
      </c>
      <c r="B3925" s="2" t="s">
        <v>1183</v>
      </c>
      <c r="C3925" s="2" t="s">
        <v>38700</v>
      </c>
      <c r="D3925" s="2" t="s">
        <v>38701</v>
      </c>
      <c r="E3925" s="2" t="s">
        <v>38702</v>
      </c>
      <c r="G3925" s="3" t="s">
        <v>64</v>
      </c>
      <c r="I3925" s="3" t="s">
        <v>64</v>
      </c>
      <c r="J3925" s="3" t="s">
        <v>64</v>
      </c>
      <c r="K3925" s="3" t="s">
        <v>65</v>
      </c>
      <c r="L3925" s="2" t="s">
        <v>38703</v>
      </c>
      <c r="M3925" s="2" t="s">
        <v>38704</v>
      </c>
      <c r="N3925" s="3" t="s">
        <v>86</v>
      </c>
      <c r="O3925" s="2" t="s">
        <v>1189</v>
      </c>
      <c r="P3925" s="3" t="s">
        <v>1190</v>
      </c>
      <c r="Q3925" s="2" t="s">
        <v>38705</v>
      </c>
      <c r="R3925" s="3" t="s">
        <v>70</v>
      </c>
      <c r="S3925" s="4">
        <v>0</v>
      </c>
      <c r="T3925" s="4">
        <v>0</v>
      </c>
      <c r="W3925" s="5" t="s">
        <v>72</v>
      </c>
      <c r="X3925" s="5" t="s">
        <v>72</v>
      </c>
      <c r="Y3925" s="4">
        <v>24</v>
      </c>
      <c r="Z3925" s="4">
        <v>1</v>
      </c>
      <c r="AA3925" s="4">
        <v>1</v>
      </c>
      <c r="AB3925" s="4">
        <v>1</v>
      </c>
      <c r="AC3925" s="4">
        <v>1</v>
      </c>
      <c r="AD3925" s="4">
        <v>13</v>
      </c>
      <c r="AE3925" s="4">
        <v>13</v>
      </c>
      <c r="AF3925" s="4">
        <v>0</v>
      </c>
      <c r="AG3925" s="4">
        <v>0</v>
      </c>
      <c r="AH3925" s="4">
        <v>12</v>
      </c>
      <c r="AI3925" s="4">
        <v>12</v>
      </c>
      <c r="AJ3925" s="4">
        <v>0</v>
      </c>
      <c r="AK3925" s="4">
        <v>0</v>
      </c>
      <c r="AL3925" s="4">
        <v>12</v>
      </c>
      <c r="AM3925" s="4">
        <v>12</v>
      </c>
      <c r="AN3925" s="4">
        <v>0</v>
      </c>
      <c r="AO3925" s="4">
        <v>0</v>
      </c>
      <c r="AP3925" s="4">
        <v>0</v>
      </c>
      <c r="AQ3925" s="4">
        <v>0</v>
      </c>
      <c r="AR3925" s="3" t="s">
        <v>64</v>
      </c>
      <c r="AS3925" s="3" t="s">
        <v>64</v>
      </c>
      <c r="AT3925" s="3" t="s">
        <v>64</v>
      </c>
      <c r="AV3925" s="6" t="str">
        <f>HYPERLINK("http://mcgill.on.worldcat.org/oclc/781538994","Catalog Record")</f>
        <v>Catalog Record</v>
      </c>
      <c r="AW3925" s="6" t="str">
        <f>HYPERLINK("http://www.worldcat.org/oclc/781538994","WorldCat Record")</f>
        <v>WorldCat Record</v>
      </c>
      <c r="AX3925" s="3" t="s">
        <v>38706</v>
      </c>
      <c r="AY3925" s="3" t="s">
        <v>38707</v>
      </c>
      <c r="AZ3925" s="3" t="s">
        <v>38708</v>
      </c>
      <c r="BA3925" s="3" t="s">
        <v>38708</v>
      </c>
      <c r="BB3925" s="3" t="s">
        <v>38709</v>
      </c>
      <c r="BC3925" s="3" t="s">
        <v>77</v>
      </c>
      <c r="BD3925" s="3" t="s">
        <v>78</v>
      </c>
      <c r="BE3925" s="3" t="s">
        <v>38710</v>
      </c>
      <c r="BF3925" s="3" t="s">
        <v>38709</v>
      </c>
      <c r="BG3925" s="3" t="s">
        <v>38711</v>
      </c>
      <c r="BH3925">
        <f t="shared" si="100"/>
        <v>0</v>
      </c>
    </row>
    <row r="3926" spans="1:60" ht="116" x14ac:dyDescent="0.35">
      <c r="A3926" s="2" t="s">
        <v>59</v>
      </c>
      <c r="B3926" s="2" t="s">
        <v>1183</v>
      </c>
      <c r="C3926" s="2" t="s">
        <v>38712</v>
      </c>
      <c r="D3926" s="2" t="s">
        <v>38713</v>
      </c>
      <c r="E3926" s="2" t="s">
        <v>38714</v>
      </c>
      <c r="G3926" s="3" t="s">
        <v>64</v>
      </c>
      <c r="I3926" s="3" t="s">
        <v>64</v>
      </c>
      <c r="J3926" s="3" t="s">
        <v>64</v>
      </c>
      <c r="K3926" s="3" t="s">
        <v>65</v>
      </c>
      <c r="L3926" s="2" t="s">
        <v>38715</v>
      </c>
      <c r="M3926" s="2" t="s">
        <v>38716</v>
      </c>
      <c r="N3926" s="3" t="s">
        <v>511</v>
      </c>
      <c r="O3926" s="2" t="s">
        <v>1189</v>
      </c>
      <c r="P3926" s="3" t="s">
        <v>1190</v>
      </c>
      <c r="Q3926" s="2" t="s">
        <v>38717</v>
      </c>
      <c r="R3926" s="3" t="s">
        <v>70</v>
      </c>
      <c r="S3926" s="4">
        <v>0</v>
      </c>
      <c r="T3926" s="4">
        <v>0</v>
      </c>
      <c r="W3926" s="5" t="s">
        <v>72</v>
      </c>
      <c r="X3926" s="5" t="s">
        <v>72</v>
      </c>
      <c r="Y3926" s="4">
        <v>17</v>
      </c>
      <c r="Z3926" s="4">
        <v>1</v>
      </c>
      <c r="AA3926" s="4">
        <v>1</v>
      </c>
      <c r="AB3926" s="4">
        <v>1</v>
      </c>
      <c r="AC3926" s="4">
        <v>1</v>
      </c>
      <c r="AD3926" s="4">
        <v>9</v>
      </c>
      <c r="AE3926" s="4">
        <v>9</v>
      </c>
      <c r="AF3926" s="4">
        <v>0</v>
      </c>
      <c r="AG3926" s="4">
        <v>0</v>
      </c>
      <c r="AH3926" s="4">
        <v>9</v>
      </c>
      <c r="AI3926" s="4">
        <v>9</v>
      </c>
      <c r="AJ3926" s="4">
        <v>0</v>
      </c>
      <c r="AK3926" s="4">
        <v>0</v>
      </c>
      <c r="AL3926" s="4">
        <v>7</v>
      </c>
      <c r="AM3926" s="4">
        <v>7</v>
      </c>
      <c r="AN3926" s="4">
        <v>0</v>
      </c>
      <c r="AO3926" s="4">
        <v>0</v>
      </c>
      <c r="AP3926" s="4">
        <v>0</v>
      </c>
      <c r="AQ3926" s="4">
        <v>0</v>
      </c>
      <c r="AR3926" s="3" t="s">
        <v>64</v>
      </c>
      <c r="AS3926" s="3" t="s">
        <v>64</v>
      </c>
      <c r="AT3926" s="3" t="s">
        <v>64</v>
      </c>
      <c r="AV3926" s="6" t="str">
        <f>HYPERLINK("http://mcgill.on.worldcat.org/oclc/682539743","Catalog Record")</f>
        <v>Catalog Record</v>
      </c>
      <c r="AW3926" s="6" t="str">
        <f>HYPERLINK("http://www.worldcat.org/oclc/682539743","WorldCat Record")</f>
        <v>WorldCat Record</v>
      </c>
      <c r="AX3926" s="3" t="s">
        <v>38718</v>
      </c>
      <c r="AY3926" s="3" t="s">
        <v>38719</v>
      </c>
      <c r="AZ3926" s="3" t="s">
        <v>38720</v>
      </c>
      <c r="BA3926" s="3" t="s">
        <v>38720</v>
      </c>
      <c r="BB3926" s="3" t="s">
        <v>38721</v>
      </c>
      <c r="BC3926" s="3" t="s">
        <v>77</v>
      </c>
      <c r="BD3926" s="3" t="s">
        <v>78</v>
      </c>
      <c r="BE3926" s="3" t="s">
        <v>38722</v>
      </c>
      <c r="BF3926" s="3" t="s">
        <v>38721</v>
      </c>
      <c r="BG3926" s="3" t="s">
        <v>38723</v>
      </c>
      <c r="BH3926">
        <f t="shared" si="100"/>
        <v>0</v>
      </c>
    </row>
    <row r="3927" spans="1:60" ht="58" x14ac:dyDescent="0.35">
      <c r="A3927" s="2" t="s">
        <v>59</v>
      </c>
      <c r="B3927" s="2" t="s">
        <v>60</v>
      </c>
      <c r="C3927" s="2" t="s">
        <v>38724</v>
      </c>
      <c r="D3927" s="2" t="s">
        <v>38725</v>
      </c>
      <c r="E3927" s="2" t="s">
        <v>38726</v>
      </c>
      <c r="G3927" s="3" t="s">
        <v>64</v>
      </c>
      <c r="I3927" s="3" t="s">
        <v>128</v>
      </c>
      <c r="J3927" s="3" t="s">
        <v>64</v>
      </c>
      <c r="K3927" s="3" t="s">
        <v>65</v>
      </c>
      <c r="L3927" s="2" t="s">
        <v>38727</v>
      </c>
      <c r="M3927" s="2" t="s">
        <v>38728</v>
      </c>
      <c r="N3927" s="3" t="s">
        <v>364</v>
      </c>
      <c r="P3927" s="3" t="s">
        <v>102</v>
      </c>
      <c r="R3927" s="3" t="s">
        <v>70</v>
      </c>
      <c r="S3927" s="4">
        <v>12</v>
      </c>
      <c r="T3927" s="4">
        <v>12</v>
      </c>
      <c r="U3927" s="5" t="s">
        <v>38729</v>
      </c>
      <c r="V3927" s="5" t="s">
        <v>38729</v>
      </c>
      <c r="W3927" s="5" t="s">
        <v>72</v>
      </c>
      <c r="X3927" s="5" t="s">
        <v>72</v>
      </c>
      <c r="Y3927" s="4">
        <v>483</v>
      </c>
      <c r="Z3927" s="4">
        <v>22</v>
      </c>
      <c r="AA3927" s="4">
        <v>52</v>
      </c>
      <c r="AB3927" s="4">
        <v>3</v>
      </c>
      <c r="AC3927" s="4">
        <v>9</v>
      </c>
      <c r="AD3927" s="4">
        <v>70</v>
      </c>
      <c r="AE3927" s="4">
        <v>131</v>
      </c>
      <c r="AF3927" s="4">
        <v>1</v>
      </c>
      <c r="AG3927" s="4">
        <v>6</v>
      </c>
      <c r="AH3927" s="4">
        <v>57</v>
      </c>
      <c r="AI3927" s="4">
        <v>102</v>
      </c>
      <c r="AJ3927" s="4">
        <v>9</v>
      </c>
      <c r="AK3927" s="4">
        <v>26</v>
      </c>
      <c r="AL3927" s="4">
        <v>32</v>
      </c>
      <c r="AM3927" s="4">
        <v>51</v>
      </c>
      <c r="AN3927" s="4">
        <v>0</v>
      </c>
      <c r="AO3927" s="4">
        <v>0</v>
      </c>
      <c r="AP3927" s="4">
        <v>15</v>
      </c>
      <c r="AQ3927" s="4">
        <v>37</v>
      </c>
      <c r="AR3927" s="3" t="s">
        <v>64</v>
      </c>
      <c r="AS3927" s="3" t="s">
        <v>64</v>
      </c>
      <c r="AT3927" s="3" t="s">
        <v>128</v>
      </c>
      <c r="AU3927" s="6" t="str">
        <f>HYPERLINK("http://catalog.hathitrust.org/Record/001167140","HathiTrust Record")</f>
        <v>HathiTrust Record</v>
      </c>
      <c r="AV3927" s="6" t="str">
        <f>HYPERLINK("http://mcgill.on.worldcat.org/oclc/524190","Catalog Record")</f>
        <v>Catalog Record</v>
      </c>
      <c r="AW3927" s="6" t="str">
        <f>HYPERLINK("http://www.worldcat.org/oclc/524190","WorldCat Record")</f>
        <v>WorldCat Record</v>
      </c>
      <c r="AX3927" s="3" t="s">
        <v>38730</v>
      </c>
      <c r="AY3927" s="3" t="s">
        <v>38731</v>
      </c>
      <c r="AZ3927" s="3" t="s">
        <v>38732</v>
      </c>
      <c r="BA3927" s="3" t="s">
        <v>38732</v>
      </c>
      <c r="BB3927" s="3" t="s">
        <v>38733</v>
      </c>
      <c r="BC3927" s="3" t="s">
        <v>77</v>
      </c>
      <c r="BD3927" s="3" t="s">
        <v>78</v>
      </c>
      <c r="BE3927" s="3" t="s">
        <v>38734</v>
      </c>
      <c r="BF3927" s="3" t="s">
        <v>38733</v>
      </c>
      <c r="BG3927" s="3" t="s">
        <v>38735</v>
      </c>
      <c r="BH3927">
        <f t="shared" si="100"/>
        <v>0</v>
      </c>
    </row>
    <row r="3928" spans="1:60" ht="58" x14ac:dyDescent="0.35">
      <c r="A3928" s="2" t="s">
        <v>59</v>
      </c>
      <c r="B3928" s="2" t="s">
        <v>60</v>
      </c>
      <c r="C3928" s="2" t="s">
        <v>38736</v>
      </c>
      <c r="D3928" s="2" t="s">
        <v>38737</v>
      </c>
      <c r="E3928" s="2" t="s">
        <v>38738</v>
      </c>
      <c r="G3928" s="3" t="s">
        <v>64</v>
      </c>
      <c r="I3928" s="3" t="s">
        <v>64</v>
      </c>
      <c r="J3928" s="3" t="s">
        <v>64</v>
      </c>
      <c r="K3928" s="3" t="s">
        <v>65</v>
      </c>
      <c r="L3928" s="2" t="s">
        <v>38739</v>
      </c>
      <c r="M3928" s="2" t="s">
        <v>38740</v>
      </c>
      <c r="N3928" s="3" t="s">
        <v>498</v>
      </c>
      <c r="P3928" s="3" t="s">
        <v>102</v>
      </c>
      <c r="Q3928" s="2" t="s">
        <v>38741</v>
      </c>
      <c r="R3928" s="3" t="s">
        <v>70</v>
      </c>
      <c r="S3928" s="4">
        <v>8</v>
      </c>
      <c r="T3928" s="4">
        <v>8</v>
      </c>
      <c r="U3928" s="5" t="s">
        <v>13478</v>
      </c>
      <c r="V3928" s="5" t="s">
        <v>13478</v>
      </c>
      <c r="W3928" s="5" t="s">
        <v>72</v>
      </c>
      <c r="X3928" s="5" t="s">
        <v>72</v>
      </c>
      <c r="Y3928" s="4">
        <v>280</v>
      </c>
      <c r="Z3928" s="4">
        <v>26</v>
      </c>
      <c r="AA3928" s="4">
        <v>46</v>
      </c>
      <c r="AB3928" s="4">
        <v>2</v>
      </c>
      <c r="AC3928" s="4">
        <v>5</v>
      </c>
      <c r="AD3928" s="4">
        <v>74</v>
      </c>
      <c r="AE3928" s="4">
        <v>132</v>
      </c>
      <c r="AF3928" s="4">
        <v>1</v>
      </c>
      <c r="AG3928" s="4">
        <v>4</v>
      </c>
      <c r="AH3928" s="4">
        <v>60</v>
      </c>
      <c r="AI3928" s="4">
        <v>105</v>
      </c>
      <c r="AJ3928" s="4">
        <v>17</v>
      </c>
      <c r="AK3928" s="4">
        <v>24</v>
      </c>
      <c r="AL3928" s="4">
        <v>36</v>
      </c>
      <c r="AM3928" s="4">
        <v>59</v>
      </c>
      <c r="AN3928" s="4">
        <v>0</v>
      </c>
      <c r="AO3928" s="4">
        <v>0</v>
      </c>
      <c r="AP3928" s="4">
        <v>22</v>
      </c>
      <c r="AQ3928" s="4">
        <v>33</v>
      </c>
      <c r="AR3928" s="3" t="s">
        <v>64</v>
      </c>
      <c r="AS3928" s="3" t="s">
        <v>64</v>
      </c>
      <c r="AT3928" s="3" t="s">
        <v>64</v>
      </c>
      <c r="AV3928" s="6" t="str">
        <f>HYPERLINK("http://mcgill.on.worldcat.org/oclc/1257729","Catalog Record")</f>
        <v>Catalog Record</v>
      </c>
      <c r="AW3928" s="6" t="str">
        <f>HYPERLINK("http://www.worldcat.org/oclc/1257729","WorldCat Record")</f>
        <v>WorldCat Record</v>
      </c>
      <c r="AX3928" s="3" t="s">
        <v>38742</v>
      </c>
      <c r="AY3928" s="3" t="s">
        <v>38743</v>
      </c>
      <c r="AZ3928" s="3" t="s">
        <v>38744</v>
      </c>
      <c r="BA3928" s="3" t="s">
        <v>38744</v>
      </c>
      <c r="BB3928" s="3" t="s">
        <v>38745</v>
      </c>
      <c r="BC3928" s="3" t="s">
        <v>77</v>
      </c>
      <c r="BD3928" s="3" t="s">
        <v>78</v>
      </c>
      <c r="BE3928" s="3" t="s">
        <v>38746</v>
      </c>
      <c r="BF3928" s="3" t="s">
        <v>38745</v>
      </c>
      <c r="BG3928" s="3" t="s">
        <v>38747</v>
      </c>
      <c r="BH3928">
        <f t="shared" si="100"/>
        <v>0</v>
      </c>
    </row>
    <row r="3929" spans="1:60" ht="58" x14ac:dyDescent="0.35">
      <c r="A3929" s="2" t="s">
        <v>59</v>
      </c>
      <c r="B3929" s="2" t="s">
        <v>60</v>
      </c>
      <c r="C3929" s="2" t="s">
        <v>38748</v>
      </c>
      <c r="D3929" s="2" t="s">
        <v>38749</v>
      </c>
      <c r="E3929" s="2" t="s">
        <v>38750</v>
      </c>
      <c r="G3929" s="3" t="s">
        <v>64</v>
      </c>
      <c r="I3929" s="3" t="s">
        <v>128</v>
      </c>
      <c r="J3929" s="3" t="s">
        <v>64</v>
      </c>
      <c r="K3929" s="3" t="s">
        <v>65</v>
      </c>
      <c r="M3929" s="2" t="s">
        <v>38751</v>
      </c>
      <c r="N3929" s="3" t="s">
        <v>511</v>
      </c>
      <c r="P3929" s="3" t="s">
        <v>102</v>
      </c>
      <c r="R3929" s="3" t="s">
        <v>70</v>
      </c>
      <c r="S3929" s="4">
        <v>0</v>
      </c>
      <c r="T3929" s="4">
        <v>0</v>
      </c>
      <c r="W3929" s="5" t="s">
        <v>72</v>
      </c>
      <c r="X3929" s="5" t="s">
        <v>72</v>
      </c>
      <c r="Y3929" s="4">
        <v>118</v>
      </c>
      <c r="Z3929" s="4">
        <v>13</v>
      </c>
      <c r="AA3929" s="4">
        <v>13</v>
      </c>
      <c r="AB3929" s="4">
        <v>1</v>
      </c>
      <c r="AC3929" s="4">
        <v>1</v>
      </c>
      <c r="AD3929" s="4">
        <v>45</v>
      </c>
      <c r="AE3929" s="4">
        <v>45</v>
      </c>
      <c r="AF3929" s="4">
        <v>0</v>
      </c>
      <c r="AG3929" s="4">
        <v>0</v>
      </c>
      <c r="AH3929" s="4">
        <v>42</v>
      </c>
      <c r="AI3929" s="4">
        <v>42</v>
      </c>
      <c r="AJ3929" s="4">
        <v>7</v>
      </c>
      <c r="AK3929" s="4">
        <v>7</v>
      </c>
      <c r="AL3929" s="4">
        <v>28</v>
      </c>
      <c r="AM3929" s="4">
        <v>28</v>
      </c>
      <c r="AN3929" s="4">
        <v>0</v>
      </c>
      <c r="AO3929" s="4">
        <v>0</v>
      </c>
      <c r="AP3929" s="4">
        <v>7</v>
      </c>
      <c r="AQ3929" s="4">
        <v>7</v>
      </c>
      <c r="AR3929" s="3" t="s">
        <v>64</v>
      </c>
      <c r="AS3929" s="3" t="s">
        <v>64</v>
      </c>
      <c r="AT3929" s="3" t="s">
        <v>128</v>
      </c>
      <c r="AU3929" s="6" t="str">
        <f>HYPERLINK("http://catalog.hathitrust.org/Record/008934353","HathiTrust Record")</f>
        <v>HathiTrust Record</v>
      </c>
      <c r="AV3929" s="6" t="str">
        <f>HYPERLINK("http://mcgill.on.worldcat.org/oclc/642204033","Catalog Record")</f>
        <v>Catalog Record</v>
      </c>
      <c r="AW3929" s="6" t="str">
        <f>HYPERLINK("http://www.worldcat.org/oclc/642204033","WorldCat Record")</f>
        <v>WorldCat Record</v>
      </c>
      <c r="AX3929" s="3" t="s">
        <v>38752</v>
      </c>
      <c r="AY3929" s="3" t="s">
        <v>38753</v>
      </c>
      <c r="AZ3929" s="3" t="s">
        <v>38754</v>
      </c>
      <c r="BA3929" s="3" t="s">
        <v>38754</v>
      </c>
      <c r="BB3929" s="3" t="s">
        <v>38755</v>
      </c>
      <c r="BC3929" s="3" t="s">
        <v>77</v>
      </c>
      <c r="BD3929" s="3" t="s">
        <v>78</v>
      </c>
      <c r="BE3929" s="3" t="s">
        <v>38756</v>
      </c>
      <c r="BF3929" s="3" t="s">
        <v>38755</v>
      </c>
      <c r="BG3929" s="3" t="s">
        <v>38757</v>
      </c>
      <c r="BH3929">
        <f t="shared" si="100"/>
        <v>0</v>
      </c>
    </row>
    <row r="3930" spans="1:60" ht="58" x14ac:dyDescent="0.35">
      <c r="A3930" s="2" t="s">
        <v>59</v>
      </c>
      <c r="B3930" s="2" t="s">
        <v>60</v>
      </c>
      <c r="C3930" s="2" t="s">
        <v>38758</v>
      </c>
      <c r="D3930" s="2" t="s">
        <v>38759</v>
      </c>
      <c r="E3930" s="2" t="s">
        <v>38760</v>
      </c>
      <c r="G3930" s="3" t="s">
        <v>64</v>
      </c>
      <c r="I3930" s="3" t="s">
        <v>64</v>
      </c>
      <c r="J3930" s="3" t="s">
        <v>64</v>
      </c>
      <c r="K3930" s="3" t="s">
        <v>65</v>
      </c>
      <c r="L3930" s="2" t="s">
        <v>38761</v>
      </c>
      <c r="M3930" s="2" t="s">
        <v>38762</v>
      </c>
      <c r="N3930" s="3" t="s">
        <v>511</v>
      </c>
      <c r="P3930" s="3" t="s">
        <v>102</v>
      </c>
      <c r="R3930" s="3" t="s">
        <v>70</v>
      </c>
      <c r="S3930" s="4">
        <v>7</v>
      </c>
      <c r="T3930" s="4">
        <v>7</v>
      </c>
      <c r="U3930" s="5" t="s">
        <v>38763</v>
      </c>
      <c r="V3930" s="5" t="s">
        <v>38763</v>
      </c>
      <c r="W3930" s="5" t="s">
        <v>72</v>
      </c>
      <c r="X3930" s="5" t="s">
        <v>72</v>
      </c>
      <c r="Y3930" s="4">
        <v>89</v>
      </c>
      <c r="Z3930" s="4">
        <v>28</v>
      </c>
      <c r="AA3930" s="4">
        <v>28</v>
      </c>
      <c r="AB3930" s="4">
        <v>1</v>
      </c>
      <c r="AC3930" s="4">
        <v>1</v>
      </c>
      <c r="AD3930" s="4">
        <v>75</v>
      </c>
      <c r="AE3930" s="4">
        <v>76</v>
      </c>
      <c r="AF3930" s="4">
        <v>0</v>
      </c>
      <c r="AG3930" s="4">
        <v>0</v>
      </c>
      <c r="AH3930" s="4">
        <v>60</v>
      </c>
      <c r="AI3930" s="4">
        <v>61</v>
      </c>
      <c r="AJ3930" s="4">
        <v>19</v>
      </c>
      <c r="AK3930" s="4">
        <v>19</v>
      </c>
      <c r="AL3930" s="4">
        <v>31</v>
      </c>
      <c r="AM3930" s="4">
        <v>32</v>
      </c>
      <c r="AN3930" s="4">
        <v>0</v>
      </c>
      <c r="AO3930" s="4">
        <v>0</v>
      </c>
      <c r="AP3930" s="4">
        <v>21</v>
      </c>
      <c r="AQ3930" s="4">
        <v>21</v>
      </c>
      <c r="AR3930" s="3" t="s">
        <v>128</v>
      </c>
      <c r="AS3930" s="3" t="s">
        <v>64</v>
      </c>
      <c r="AT3930" s="3" t="s">
        <v>64</v>
      </c>
      <c r="AV3930" s="6" t="str">
        <f>HYPERLINK("http://mcgill.on.worldcat.org/oclc/445230165","Catalog Record")</f>
        <v>Catalog Record</v>
      </c>
      <c r="AW3930" s="6" t="str">
        <f>HYPERLINK("http://www.worldcat.org/oclc/445230165","WorldCat Record")</f>
        <v>WorldCat Record</v>
      </c>
      <c r="AX3930" s="3" t="s">
        <v>38764</v>
      </c>
      <c r="AY3930" s="3" t="s">
        <v>38765</v>
      </c>
      <c r="AZ3930" s="3" t="s">
        <v>38766</v>
      </c>
      <c r="BA3930" s="3" t="s">
        <v>38766</v>
      </c>
      <c r="BB3930" s="3" t="s">
        <v>38767</v>
      </c>
      <c r="BC3930" s="3" t="s">
        <v>77</v>
      </c>
      <c r="BD3930" s="3" t="s">
        <v>78</v>
      </c>
      <c r="BE3930" s="3" t="s">
        <v>38768</v>
      </c>
      <c r="BF3930" s="3" t="s">
        <v>38767</v>
      </c>
      <c r="BG3930" s="3" t="s">
        <v>38769</v>
      </c>
      <c r="BH3930">
        <f t="shared" si="100"/>
        <v>0</v>
      </c>
    </row>
    <row r="3931" spans="1:60" ht="58" x14ac:dyDescent="0.35">
      <c r="A3931" s="2" t="s">
        <v>59</v>
      </c>
      <c r="B3931" s="2" t="s">
        <v>60</v>
      </c>
      <c r="C3931" s="2" t="s">
        <v>38770</v>
      </c>
      <c r="D3931" s="2" t="s">
        <v>38771</v>
      </c>
      <c r="E3931" s="2" t="s">
        <v>38772</v>
      </c>
      <c r="G3931" s="3" t="s">
        <v>64</v>
      </c>
      <c r="I3931" s="3" t="s">
        <v>64</v>
      </c>
      <c r="J3931" s="3" t="s">
        <v>64</v>
      </c>
      <c r="K3931" s="3" t="s">
        <v>65</v>
      </c>
      <c r="L3931" s="2" t="s">
        <v>38773</v>
      </c>
      <c r="M3931" s="2" t="s">
        <v>38774</v>
      </c>
      <c r="N3931" s="3" t="s">
        <v>86</v>
      </c>
      <c r="O3931" s="2" t="s">
        <v>117</v>
      </c>
      <c r="P3931" s="3" t="s">
        <v>102</v>
      </c>
      <c r="R3931" s="3" t="s">
        <v>70</v>
      </c>
      <c r="S3931" s="4">
        <v>6</v>
      </c>
      <c r="T3931" s="4">
        <v>6</v>
      </c>
      <c r="U3931" s="5" t="s">
        <v>38775</v>
      </c>
      <c r="V3931" s="5" t="s">
        <v>38775</v>
      </c>
      <c r="W3931" s="5" t="s">
        <v>72</v>
      </c>
      <c r="X3931" s="5" t="s">
        <v>72</v>
      </c>
      <c r="Y3931" s="4">
        <v>55</v>
      </c>
      <c r="Z3931" s="4">
        <v>16</v>
      </c>
      <c r="AA3931" s="4">
        <v>16</v>
      </c>
      <c r="AB3931" s="4">
        <v>1</v>
      </c>
      <c r="AC3931" s="4">
        <v>1</v>
      </c>
      <c r="AD3931" s="4">
        <v>37</v>
      </c>
      <c r="AE3931" s="4">
        <v>37</v>
      </c>
      <c r="AF3931" s="4">
        <v>0</v>
      </c>
      <c r="AG3931" s="4">
        <v>0</v>
      </c>
      <c r="AH3931" s="4">
        <v>31</v>
      </c>
      <c r="AI3931" s="4">
        <v>31</v>
      </c>
      <c r="AJ3931" s="4">
        <v>10</v>
      </c>
      <c r="AK3931" s="4">
        <v>10</v>
      </c>
      <c r="AL3931" s="4">
        <v>20</v>
      </c>
      <c r="AM3931" s="4">
        <v>20</v>
      </c>
      <c r="AN3931" s="4">
        <v>0</v>
      </c>
      <c r="AO3931" s="4">
        <v>0</v>
      </c>
      <c r="AP3931" s="4">
        <v>10</v>
      </c>
      <c r="AQ3931" s="4">
        <v>10</v>
      </c>
      <c r="AR3931" s="3" t="s">
        <v>128</v>
      </c>
      <c r="AS3931" s="3" t="s">
        <v>64</v>
      </c>
      <c r="AT3931" s="3" t="s">
        <v>64</v>
      </c>
      <c r="AV3931" s="6" t="str">
        <f>HYPERLINK("http://mcgill.on.worldcat.org/oclc/809408660","Catalog Record")</f>
        <v>Catalog Record</v>
      </c>
      <c r="AW3931" s="6" t="str">
        <f>HYPERLINK("http://www.worldcat.org/oclc/809408660","WorldCat Record")</f>
        <v>WorldCat Record</v>
      </c>
      <c r="AX3931" s="3" t="s">
        <v>38776</v>
      </c>
      <c r="AY3931" s="3" t="s">
        <v>38777</v>
      </c>
      <c r="AZ3931" s="3" t="s">
        <v>38778</v>
      </c>
      <c r="BA3931" s="3" t="s">
        <v>38778</v>
      </c>
      <c r="BB3931" s="3" t="s">
        <v>38779</v>
      </c>
      <c r="BC3931" s="3" t="s">
        <v>77</v>
      </c>
      <c r="BD3931" s="3" t="s">
        <v>78</v>
      </c>
      <c r="BE3931" s="3" t="s">
        <v>38780</v>
      </c>
      <c r="BF3931" s="3" t="s">
        <v>38779</v>
      </c>
      <c r="BG3931" s="3" t="s">
        <v>38781</v>
      </c>
      <c r="BH3931">
        <f t="shared" si="100"/>
        <v>0</v>
      </c>
    </row>
    <row r="3932" spans="1:60" ht="58" x14ac:dyDescent="0.35">
      <c r="A3932" s="2" t="s">
        <v>59</v>
      </c>
      <c r="B3932" s="2" t="s">
        <v>60</v>
      </c>
      <c r="C3932" s="2" t="s">
        <v>38782</v>
      </c>
      <c r="D3932" s="2" t="s">
        <v>38783</v>
      </c>
      <c r="E3932" s="2" t="s">
        <v>38784</v>
      </c>
      <c r="G3932" s="3" t="s">
        <v>64</v>
      </c>
      <c r="I3932" s="3" t="s">
        <v>64</v>
      </c>
      <c r="J3932" s="3" t="s">
        <v>64</v>
      </c>
      <c r="K3932" s="3" t="s">
        <v>65</v>
      </c>
      <c r="L3932" s="2" t="s">
        <v>38785</v>
      </c>
      <c r="M3932" s="2" t="s">
        <v>38786</v>
      </c>
      <c r="N3932" s="3" t="s">
        <v>537</v>
      </c>
      <c r="O3932" s="2" t="s">
        <v>117</v>
      </c>
      <c r="P3932" s="3" t="s">
        <v>102</v>
      </c>
      <c r="R3932" s="3" t="s">
        <v>70</v>
      </c>
      <c r="S3932" s="4">
        <v>5</v>
      </c>
      <c r="T3932" s="4">
        <v>5</v>
      </c>
      <c r="U3932" s="5" t="s">
        <v>9193</v>
      </c>
      <c r="V3932" s="5" t="s">
        <v>9193</v>
      </c>
      <c r="W3932" s="5" t="s">
        <v>72</v>
      </c>
      <c r="X3932" s="5" t="s">
        <v>72</v>
      </c>
      <c r="Y3932" s="4">
        <v>344</v>
      </c>
      <c r="Z3932" s="4">
        <v>14</v>
      </c>
      <c r="AA3932" s="4">
        <v>14</v>
      </c>
      <c r="AB3932" s="4">
        <v>2</v>
      </c>
      <c r="AC3932" s="4">
        <v>2</v>
      </c>
      <c r="AD3932" s="4">
        <v>57</v>
      </c>
      <c r="AE3932" s="4">
        <v>59</v>
      </c>
      <c r="AF3932" s="4">
        <v>0</v>
      </c>
      <c r="AG3932" s="4">
        <v>0</v>
      </c>
      <c r="AH3932" s="4">
        <v>52</v>
      </c>
      <c r="AI3932" s="4">
        <v>54</v>
      </c>
      <c r="AJ3932" s="4">
        <v>3</v>
      </c>
      <c r="AK3932" s="4">
        <v>3</v>
      </c>
      <c r="AL3932" s="4">
        <v>35</v>
      </c>
      <c r="AM3932" s="4">
        <v>37</v>
      </c>
      <c r="AN3932" s="4">
        <v>0</v>
      </c>
      <c r="AO3932" s="4">
        <v>0</v>
      </c>
      <c r="AP3932" s="4">
        <v>4</v>
      </c>
      <c r="AQ3932" s="4">
        <v>4</v>
      </c>
      <c r="AR3932" s="3" t="s">
        <v>64</v>
      </c>
      <c r="AS3932" s="3" t="s">
        <v>64</v>
      </c>
      <c r="AT3932" s="3" t="s">
        <v>64</v>
      </c>
      <c r="AV3932" s="6" t="str">
        <f>HYPERLINK("http://mcgill.on.worldcat.org/oclc/952700498","Catalog Record")</f>
        <v>Catalog Record</v>
      </c>
      <c r="AW3932" s="6" t="str">
        <f>HYPERLINK("http://www.worldcat.org/oclc/952700498","WorldCat Record")</f>
        <v>WorldCat Record</v>
      </c>
      <c r="AX3932" s="3" t="s">
        <v>38787</v>
      </c>
      <c r="AY3932" s="3" t="s">
        <v>38788</v>
      </c>
      <c r="AZ3932" s="3" t="s">
        <v>38789</v>
      </c>
      <c r="BA3932" s="3" t="s">
        <v>38789</v>
      </c>
      <c r="BB3932" s="3" t="s">
        <v>38790</v>
      </c>
      <c r="BC3932" s="3" t="s">
        <v>77</v>
      </c>
      <c r="BD3932" s="3" t="s">
        <v>7558</v>
      </c>
      <c r="BE3932" s="3" t="s">
        <v>38791</v>
      </c>
      <c r="BF3932" s="3" t="s">
        <v>38790</v>
      </c>
      <c r="BG3932" s="3" t="s">
        <v>38792</v>
      </c>
      <c r="BH3932">
        <f t="shared" si="100"/>
        <v>0</v>
      </c>
    </row>
    <row r="3933" spans="1:60" ht="58" x14ac:dyDescent="0.35">
      <c r="A3933" s="2" t="s">
        <v>59</v>
      </c>
      <c r="B3933" s="2" t="s">
        <v>60</v>
      </c>
      <c r="C3933" s="2" t="s">
        <v>38793</v>
      </c>
      <c r="D3933" s="2" t="s">
        <v>38794</v>
      </c>
      <c r="E3933" s="2" t="s">
        <v>38795</v>
      </c>
      <c r="G3933" s="3" t="s">
        <v>64</v>
      </c>
      <c r="I3933" s="3" t="s">
        <v>64</v>
      </c>
      <c r="J3933" s="3" t="s">
        <v>64</v>
      </c>
      <c r="K3933" s="3" t="s">
        <v>65</v>
      </c>
      <c r="L3933" s="2" t="s">
        <v>38796</v>
      </c>
      <c r="M3933" s="2" t="s">
        <v>38797</v>
      </c>
      <c r="N3933" s="3" t="s">
        <v>253</v>
      </c>
      <c r="P3933" s="3" t="s">
        <v>102</v>
      </c>
      <c r="R3933" s="3" t="s">
        <v>70</v>
      </c>
      <c r="S3933" s="4">
        <v>3</v>
      </c>
      <c r="T3933" s="4">
        <v>3</v>
      </c>
      <c r="U3933" s="5" t="s">
        <v>15052</v>
      </c>
      <c r="V3933" s="5" t="s">
        <v>15052</v>
      </c>
      <c r="W3933" s="5" t="s">
        <v>72</v>
      </c>
      <c r="X3933" s="5" t="s">
        <v>72</v>
      </c>
      <c r="Y3933" s="4">
        <v>907</v>
      </c>
      <c r="Z3933" s="4">
        <v>42</v>
      </c>
      <c r="AA3933" s="4">
        <v>101</v>
      </c>
      <c r="AB3933" s="4">
        <v>3</v>
      </c>
      <c r="AC3933" s="4">
        <v>14</v>
      </c>
      <c r="AD3933" s="4">
        <v>88</v>
      </c>
      <c r="AE3933" s="4">
        <v>134</v>
      </c>
      <c r="AF3933" s="4">
        <v>2</v>
      </c>
      <c r="AG3933" s="4">
        <v>8</v>
      </c>
      <c r="AH3933" s="4">
        <v>72</v>
      </c>
      <c r="AI3933" s="4">
        <v>94</v>
      </c>
      <c r="AJ3933" s="4">
        <v>13</v>
      </c>
      <c r="AK3933" s="4">
        <v>24</v>
      </c>
      <c r="AL3933" s="4">
        <v>43</v>
      </c>
      <c r="AM3933" s="4">
        <v>53</v>
      </c>
      <c r="AN3933" s="4">
        <v>0</v>
      </c>
      <c r="AO3933" s="4">
        <v>0</v>
      </c>
      <c r="AP3933" s="4">
        <v>21</v>
      </c>
      <c r="AQ3933" s="4">
        <v>46</v>
      </c>
      <c r="AR3933" s="3" t="s">
        <v>64</v>
      </c>
      <c r="AS3933" s="3" t="s">
        <v>64</v>
      </c>
      <c r="AT3933" s="3" t="s">
        <v>64</v>
      </c>
      <c r="AV3933" s="6" t="str">
        <f>HYPERLINK("http://mcgill.on.worldcat.org/oclc/879527805","Catalog Record")</f>
        <v>Catalog Record</v>
      </c>
      <c r="AW3933" s="6" t="str">
        <f>HYPERLINK("http://www.worldcat.org/oclc/879527805","WorldCat Record")</f>
        <v>WorldCat Record</v>
      </c>
      <c r="AX3933" s="3" t="s">
        <v>38798</v>
      </c>
      <c r="AY3933" s="3" t="s">
        <v>38799</v>
      </c>
      <c r="AZ3933" s="3" t="s">
        <v>38800</v>
      </c>
      <c r="BA3933" s="3" t="s">
        <v>38800</v>
      </c>
      <c r="BB3933" s="3" t="s">
        <v>38801</v>
      </c>
      <c r="BC3933" s="3" t="s">
        <v>77</v>
      </c>
      <c r="BD3933" s="3" t="s">
        <v>165</v>
      </c>
      <c r="BE3933" s="3" t="s">
        <v>38802</v>
      </c>
      <c r="BF3933" s="3" t="s">
        <v>38801</v>
      </c>
      <c r="BG3933" s="3" t="s">
        <v>38803</v>
      </c>
      <c r="BH3933">
        <f t="shared" si="100"/>
        <v>0</v>
      </c>
    </row>
    <row r="3934" spans="1:60" ht="58" x14ac:dyDescent="0.35">
      <c r="A3934" s="2" t="s">
        <v>59</v>
      </c>
      <c r="B3934" s="2" t="s">
        <v>60</v>
      </c>
      <c r="C3934" s="2" t="s">
        <v>38804</v>
      </c>
      <c r="D3934" s="2" t="s">
        <v>38805</v>
      </c>
      <c r="E3934" s="2" t="s">
        <v>38806</v>
      </c>
      <c r="G3934" s="3" t="s">
        <v>64</v>
      </c>
      <c r="I3934" s="3" t="s">
        <v>64</v>
      </c>
      <c r="J3934" s="3" t="s">
        <v>64</v>
      </c>
      <c r="K3934" s="3" t="s">
        <v>65</v>
      </c>
      <c r="L3934" s="2" t="s">
        <v>38807</v>
      </c>
      <c r="M3934" s="2" t="s">
        <v>38808</v>
      </c>
      <c r="N3934" s="3" t="s">
        <v>511</v>
      </c>
      <c r="P3934" s="3" t="s">
        <v>68</v>
      </c>
      <c r="Q3934" s="2" t="s">
        <v>38809</v>
      </c>
      <c r="R3934" s="3" t="s">
        <v>70</v>
      </c>
      <c r="S3934" s="4">
        <v>1</v>
      </c>
      <c r="T3934" s="4">
        <v>1</v>
      </c>
      <c r="U3934" s="5" t="s">
        <v>38810</v>
      </c>
      <c r="V3934" s="5" t="s">
        <v>38810</v>
      </c>
      <c r="W3934" s="5" t="s">
        <v>72</v>
      </c>
      <c r="X3934" s="5" t="s">
        <v>72</v>
      </c>
      <c r="Y3934" s="4">
        <v>29</v>
      </c>
      <c r="Z3934" s="4">
        <v>4</v>
      </c>
      <c r="AA3934" s="4">
        <v>17</v>
      </c>
      <c r="AB3934" s="4">
        <v>1</v>
      </c>
      <c r="AC3934" s="4">
        <v>11</v>
      </c>
      <c r="AD3934" s="4">
        <v>16</v>
      </c>
      <c r="AE3934" s="4">
        <v>25</v>
      </c>
      <c r="AF3934" s="4">
        <v>0</v>
      </c>
      <c r="AG3934" s="4">
        <v>6</v>
      </c>
      <c r="AH3934" s="4">
        <v>15</v>
      </c>
      <c r="AI3934" s="4">
        <v>18</v>
      </c>
      <c r="AJ3934" s="4">
        <v>2</v>
      </c>
      <c r="AK3934" s="4">
        <v>9</v>
      </c>
      <c r="AL3934" s="4">
        <v>12</v>
      </c>
      <c r="AM3934" s="4">
        <v>12</v>
      </c>
      <c r="AN3934" s="4">
        <v>0</v>
      </c>
      <c r="AO3934" s="4">
        <v>0</v>
      </c>
      <c r="AP3934" s="4">
        <v>2</v>
      </c>
      <c r="AQ3934" s="4">
        <v>9</v>
      </c>
      <c r="AR3934" s="3" t="s">
        <v>64</v>
      </c>
      <c r="AS3934" s="3" t="s">
        <v>64</v>
      </c>
      <c r="AT3934" s="3" t="s">
        <v>64</v>
      </c>
      <c r="AV3934" s="6" t="str">
        <f>HYPERLINK("http://mcgill.on.worldcat.org/oclc/549153716","Catalog Record")</f>
        <v>Catalog Record</v>
      </c>
      <c r="AW3934" s="6" t="str">
        <f>HYPERLINK("http://www.worldcat.org/oclc/549153716","WorldCat Record")</f>
        <v>WorldCat Record</v>
      </c>
      <c r="AX3934" s="3" t="s">
        <v>38811</v>
      </c>
      <c r="AY3934" s="3" t="s">
        <v>38812</v>
      </c>
      <c r="AZ3934" s="3" t="s">
        <v>38813</v>
      </c>
      <c r="BA3934" s="3" t="s">
        <v>38813</v>
      </c>
      <c r="BB3934" s="3" t="s">
        <v>38814</v>
      </c>
      <c r="BC3934" s="3" t="s">
        <v>77</v>
      </c>
      <c r="BD3934" s="3" t="s">
        <v>78</v>
      </c>
      <c r="BE3934" s="3" t="s">
        <v>38815</v>
      </c>
      <c r="BF3934" s="3" t="s">
        <v>38814</v>
      </c>
      <c r="BG3934" s="3" t="s">
        <v>38816</v>
      </c>
      <c r="BH3934">
        <f t="shared" si="100"/>
        <v>0</v>
      </c>
    </row>
    <row r="3935" spans="1:60" ht="58" x14ac:dyDescent="0.35">
      <c r="A3935" s="2" t="s">
        <v>59</v>
      </c>
      <c r="B3935" s="2" t="s">
        <v>60</v>
      </c>
      <c r="C3935" s="2" t="s">
        <v>38817</v>
      </c>
      <c r="D3935" s="2" t="s">
        <v>38818</v>
      </c>
      <c r="E3935" s="2" t="s">
        <v>38819</v>
      </c>
      <c r="G3935" s="3" t="s">
        <v>64</v>
      </c>
      <c r="I3935" s="3" t="s">
        <v>64</v>
      </c>
      <c r="J3935" s="3" t="s">
        <v>64</v>
      </c>
      <c r="K3935" s="3" t="s">
        <v>65</v>
      </c>
      <c r="L3935" s="2" t="s">
        <v>38820</v>
      </c>
      <c r="M3935" s="2" t="s">
        <v>38821</v>
      </c>
      <c r="N3935" s="3" t="s">
        <v>326</v>
      </c>
      <c r="P3935" s="3" t="s">
        <v>68</v>
      </c>
      <c r="Q3935" s="2" t="s">
        <v>38822</v>
      </c>
      <c r="R3935" s="3" t="s">
        <v>70</v>
      </c>
      <c r="S3935" s="4">
        <v>1</v>
      </c>
      <c r="T3935" s="4">
        <v>1</v>
      </c>
      <c r="U3935" s="5" t="s">
        <v>38810</v>
      </c>
      <c r="V3935" s="5" t="s">
        <v>38810</v>
      </c>
      <c r="W3935" s="5" t="s">
        <v>72</v>
      </c>
      <c r="X3935" s="5" t="s">
        <v>72</v>
      </c>
      <c r="Y3935" s="4">
        <v>22</v>
      </c>
      <c r="Z3935" s="4">
        <v>2</v>
      </c>
      <c r="AA3935" s="4">
        <v>17</v>
      </c>
      <c r="AB3935" s="4">
        <v>1</v>
      </c>
      <c r="AC3935" s="4">
        <v>14</v>
      </c>
      <c r="AD3935" s="4">
        <v>13</v>
      </c>
      <c r="AE3935" s="4">
        <v>23</v>
      </c>
      <c r="AF3935" s="4">
        <v>0</v>
      </c>
      <c r="AG3935" s="4">
        <v>6</v>
      </c>
      <c r="AH3935" s="4">
        <v>11</v>
      </c>
      <c r="AI3935" s="4">
        <v>15</v>
      </c>
      <c r="AJ3935" s="4">
        <v>0</v>
      </c>
      <c r="AK3935" s="4">
        <v>6</v>
      </c>
      <c r="AL3935" s="4">
        <v>12</v>
      </c>
      <c r="AM3935" s="4">
        <v>13</v>
      </c>
      <c r="AN3935" s="4">
        <v>0</v>
      </c>
      <c r="AO3935" s="4">
        <v>0</v>
      </c>
      <c r="AP3935" s="4">
        <v>1</v>
      </c>
      <c r="AQ3935" s="4">
        <v>7</v>
      </c>
      <c r="AR3935" s="3" t="s">
        <v>64</v>
      </c>
      <c r="AS3935" s="3" t="s">
        <v>64</v>
      </c>
      <c r="AT3935" s="3" t="s">
        <v>64</v>
      </c>
      <c r="AV3935" s="6" t="str">
        <f>HYPERLINK("http://mcgill.on.worldcat.org/oclc/758436999","Catalog Record")</f>
        <v>Catalog Record</v>
      </c>
      <c r="AW3935" s="6" t="str">
        <f>HYPERLINK("http://www.worldcat.org/oclc/758436999","WorldCat Record")</f>
        <v>WorldCat Record</v>
      </c>
      <c r="AX3935" s="3" t="s">
        <v>38823</v>
      </c>
      <c r="AY3935" s="3" t="s">
        <v>38824</v>
      </c>
      <c r="AZ3935" s="3" t="s">
        <v>38825</v>
      </c>
      <c r="BA3935" s="3" t="s">
        <v>38825</v>
      </c>
      <c r="BB3935" s="3" t="s">
        <v>38826</v>
      </c>
      <c r="BC3935" s="3" t="s">
        <v>77</v>
      </c>
      <c r="BD3935" s="3" t="s">
        <v>78</v>
      </c>
      <c r="BF3935" s="3" t="s">
        <v>38826</v>
      </c>
      <c r="BG3935" s="3" t="s">
        <v>38827</v>
      </c>
      <c r="BH3935">
        <f t="shared" si="100"/>
        <v>0</v>
      </c>
    </row>
    <row r="3936" spans="1:60" ht="58" x14ac:dyDescent="0.35">
      <c r="A3936" s="2" t="s">
        <v>59</v>
      </c>
      <c r="B3936" s="2" t="s">
        <v>60</v>
      </c>
      <c r="C3936" s="2" t="s">
        <v>38828</v>
      </c>
      <c r="D3936" s="2" t="s">
        <v>38829</v>
      </c>
      <c r="E3936" s="2" t="s">
        <v>38830</v>
      </c>
      <c r="G3936" s="3" t="s">
        <v>64</v>
      </c>
      <c r="I3936" s="3" t="s">
        <v>64</v>
      </c>
      <c r="J3936" s="3" t="s">
        <v>64</v>
      </c>
      <c r="K3936" s="3" t="s">
        <v>65</v>
      </c>
      <c r="M3936" s="2" t="s">
        <v>4309</v>
      </c>
      <c r="N3936" s="3" t="s">
        <v>511</v>
      </c>
      <c r="P3936" s="3" t="s">
        <v>102</v>
      </c>
      <c r="R3936" s="3" t="s">
        <v>70</v>
      </c>
      <c r="S3936" s="4">
        <v>0</v>
      </c>
      <c r="T3936" s="4">
        <v>0</v>
      </c>
      <c r="W3936" s="5" t="s">
        <v>72</v>
      </c>
      <c r="X3936" s="5" t="s">
        <v>72</v>
      </c>
      <c r="Y3936" s="4">
        <v>79</v>
      </c>
      <c r="Z3936" s="4">
        <v>9</v>
      </c>
      <c r="AA3936" s="4">
        <v>64</v>
      </c>
      <c r="AB3936" s="4">
        <v>1</v>
      </c>
      <c r="AC3936" s="4">
        <v>10</v>
      </c>
      <c r="AD3936" s="4">
        <v>27</v>
      </c>
      <c r="AE3936" s="4">
        <v>82</v>
      </c>
      <c r="AF3936" s="4">
        <v>0</v>
      </c>
      <c r="AG3936" s="4">
        <v>2</v>
      </c>
      <c r="AH3936" s="4">
        <v>25</v>
      </c>
      <c r="AI3936" s="4">
        <v>62</v>
      </c>
      <c r="AJ3936" s="4">
        <v>5</v>
      </c>
      <c r="AK3936" s="4">
        <v>15</v>
      </c>
      <c r="AL3936" s="4">
        <v>17</v>
      </c>
      <c r="AM3936" s="4">
        <v>34</v>
      </c>
      <c r="AN3936" s="4">
        <v>0</v>
      </c>
      <c r="AO3936" s="4">
        <v>0</v>
      </c>
      <c r="AP3936" s="4">
        <v>6</v>
      </c>
      <c r="AQ3936" s="4">
        <v>26</v>
      </c>
      <c r="AR3936" s="3" t="s">
        <v>64</v>
      </c>
      <c r="AS3936" s="3" t="s">
        <v>64</v>
      </c>
      <c r="AT3936" s="3" t="s">
        <v>64</v>
      </c>
      <c r="AV3936" s="6" t="str">
        <f>HYPERLINK("http://mcgill.on.worldcat.org/oclc/651903054","Catalog Record")</f>
        <v>Catalog Record</v>
      </c>
      <c r="AW3936" s="6" t="str">
        <f>HYPERLINK("http://www.worldcat.org/oclc/651903054","WorldCat Record")</f>
        <v>WorldCat Record</v>
      </c>
      <c r="AX3936" s="3" t="s">
        <v>38831</v>
      </c>
      <c r="AY3936" s="3" t="s">
        <v>38832</v>
      </c>
      <c r="AZ3936" s="3" t="s">
        <v>38833</v>
      </c>
      <c r="BA3936" s="3" t="s">
        <v>38833</v>
      </c>
      <c r="BB3936" s="3" t="s">
        <v>38834</v>
      </c>
      <c r="BC3936" s="3" t="s">
        <v>77</v>
      </c>
      <c r="BD3936" s="3" t="s">
        <v>78</v>
      </c>
      <c r="BE3936" s="3" t="s">
        <v>38835</v>
      </c>
      <c r="BF3936" s="3" t="s">
        <v>38834</v>
      </c>
      <c r="BG3936" s="3" t="s">
        <v>38836</v>
      </c>
      <c r="BH3936">
        <f t="shared" si="100"/>
        <v>0</v>
      </c>
    </row>
    <row r="3937" spans="1:60" ht="72.5" x14ac:dyDescent="0.35">
      <c r="A3937" s="2" t="s">
        <v>59</v>
      </c>
      <c r="B3937" s="2" t="s">
        <v>60</v>
      </c>
      <c r="C3937" s="2" t="s">
        <v>38837</v>
      </c>
      <c r="D3937" s="2" t="s">
        <v>38838</v>
      </c>
      <c r="E3937" s="2" t="s">
        <v>38839</v>
      </c>
      <c r="G3937" s="3" t="s">
        <v>64</v>
      </c>
      <c r="I3937" s="3" t="s">
        <v>64</v>
      </c>
      <c r="J3937" s="3" t="s">
        <v>64</v>
      </c>
      <c r="K3937" s="3" t="s">
        <v>65</v>
      </c>
      <c r="L3937" s="2" t="s">
        <v>38840</v>
      </c>
      <c r="M3937" s="2" t="s">
        <v>38841</v>
      </c>
      <c r="N3937" s="3" t="s">
        <v>511</v>
      </c>
      <c r="P3937" s="3" t="s">
        <v>102</v>
      </c>
      <c r="Q3937" s="2" t="s">
        <v>38842</v>
      </c>
      <c r="R3937" s="3" t="s">
        <v>70</v>
      </c>
      <c r="S3937" s="4">
        <v>0</v>
      </c>
      <c r="T3937" s="4">
        <v>0</v>
      </c>
      <c r="W3937" s="5" t="s">
        <v>72</v>
      </c>
      <c r="X3937" s="5" t="s">
        <v>72</v>
      </c>
      <c r="Y3937" s="4">
        <v>6</v>
      </c>
      <c r="Z3937" s="4">
        <v>2</v>
      </c>
      <c r="AA3937" s="4">
        <v>4</v>
      </c>
      <c r="AB3937" s="4">
        <v>1</v>
      </c>
      <c r="AC3937" s="4">
        <v>2</v>
      </c>
      <c r="AD3937" s="4">
        <v>1</v>
      </c>
      <c r="AE3937" s="4">
        <v>2</v>
      </c>
      <c r="AF3937" s="4">
        <v>0</v>
      </c>
      <c r="AG3937" s="4">
        <v>0</v>
      </c>
      <c r="AH3937" s="4">
        <v>1</v>
      </c>
      <c r="AI3937" s="4">
        <v>1</v>
      </c>
      <c r="AJ3937" s="4">
        <v>0</v>
      </c>
      <c r="AK3937" s="4">
        <v>1</v>
      </c>
      <c r="AL3937" s="4">
        <v>1</v>
      </c>
      <c r="AM3937" s="4">
        <v>1</v>
      </c>
      <c r="AN3937" s="4">
        <v>0</v>
      </c>
      <c r="AO3937" s="4">
        <v>0</v>
      </c>
      <c r="AP3937" s="4">
        <v>0</v>
      </c>
      <c r="AQ3937" s="4">
        <v>0</v>
      </c>
      <c r="AR3937" s="3" t="s">
        <v>64</v>
      </c>
      <c r="AS3937" s="3" t="s">
        <v>64</v>
      </c>
      <c r="AT3937" s="3" t="s">
        <v>64</v>
      </c>
      <c r="AV3937" s="6" t="str">
        <f>HYPERLINK("http://mcgill.on.worldcat.org/oclc/688334696","Catalog Record")</f>
        <v>Catalog Record</v>
      </c>
      <c r="AW3937" s="6" t="str">
        <f>HYPERLINK("http://www.worldcat.org/oclc/688334696","WorldCat Record")</f>
        <v>WorldCat Record</v>
      </c>
      <c r="AX3937" s="3" t="s">
        <v>38843</v>
      </c>
      <c r="AY3937" s="3" t="s">
        <v>38844</v>
      </c>
      <c r="AZ3937" s="3" t="s">
        <v>38845</v>
      </c>
      <c r="BA3937" s="3" t="s">
        <v>38845</v>
      </c>
      <c r="BB3937" s="3" t="s">
        <v>38846</v>
      </c>
      <c r="BC3937" s="3" t="s">
        <v>77</v>
      </c>
      <c r="BD3937" s="3" t="s">
        <v>78</v>
      </c>
      <c r="BE3937" s="3" t="s">
        <v>38847</v>
      </c>
      <c r="BF3937" s="3" t="s">
        <v>38846</v>
      </c>
      <c r="BG3937" s="3" t="s">
        <v>38848</v>
      </c>
      <c r="BH3937">
        <f t="shared" si="100"/>
        <v>0</v>
      </c>
    </row>
    <row r="3938" spans="1:60" ht="87" x14ac:dyDescent="0.35">
      <c r="A3938" s="2" t="s">
        <v>59</v>
      </c>
      <c r="B3938" s="2" t="s">
        <v>60</v>
      </c>
      <c r="C3938" s="2" t="s">
        <v>38849</v>
      </c>
      <c r="D3938" s="2" t="s">
        <v>38850</v>
      </c>
      <c r="E3938" s="2" t="s">
        <v>38851</v>
      </c>
      <c r="G3938" s="3" t="s">
        <v>64</v>
      </c>
      <c r="I3938" s="3" t="s">
        <v>64</v>
      </c>
      <c r="J3938" s="3" t="s">
        <v>64</v>
      </c>
      <c r="K3938" s="3" t="s">
        <v>65</v>
      </c>
      <c r="M3938" s="2" t="s">
        <v>38852</v>
      </c>
      <c r="N3938" s="3" t="s">
        <v>86</v>
      </c>
      <c r="P3938" s="3" t="s">
        <v>4873</v>
      </c>
      <c r="Q3938" s="2" t="s">
        <v>38853</v>
      </c>
      <c r="R3938" s="3" t="s">
        <v>70</v>
      </c>
      <c r="S3938" s="4">
        <v>0</v>
      </c>
      <c r="T3938" s="4">
        <v>0</v>
      </c>
      <c r="W3938" s="5" t="s">
        <v>72</v>
      </c>
      <c r="X3938" s="5" t="s">
        <v>72</v>
      </c>
      <c r="Y3938" s="4">
        <v>29</v>
      </c>
      <c r="Z3938" s="4">
        <v>3</v>
      </c>
      <c r="AA3938" s="4">
        <v>3</v>
      </c>
      <c r="AB3938" s="4">
        <v>1</v>
      </c>
      <c r="AC3938" s="4">
        <v>1</v>
      </c>
      <c r="AD3938" s="4">
        <v>20</v>
      </c>
      <c r="AE3938" s="4">
        <v>20</v>
      </c>
      <c r="AF3938" s="4">
        <v>0</v>
      </c>
      <c r="AG3938" s="4">
        <v>0</v>
      </c>
      <c r="AH3938" s="4">
        <v>19</v>
      </c>
      <c r="AI3938" s="4">
        <v>19</v>
      </c>
      <c r="AJ3938" s="4">
        <v>1</v>
      </c>
      <c r="AK3938" s="4">
        <v>1</v>
      </c>
      <c r="AL3938" s="4">
        <v>17</v>
      </c>
      <c r="AM3938" s="4">
        <v>17</v>
      </c>
      <c r="AN3938" s="4">
        <v>0</v>
      </c>
      <c r="AO3938" s="4">
        <v>0</v>
      </c>
      <c r="AP3938" s="4">
        <v>1</v>
      </c>
      <c r="AQ3938" s="4">
        <v>1</v>
      </c>
      <c r="AR3938" s="3" t="s">
        <v>64</v>
      </c>
      <c r="AS3938" s="3" t="s">
        <v>64</v>
      </c>
      <c r="AT3938" s="3" t="s">
        <v>64</v>
      </c>
      <c r="AV3938" s="6" t="str">
        <f>HYPERLINK("http://mcgill.on.worldcat.org/oclc/809032612","Catalog Record")</f>
        <v>Catalog Record</v>
      </c>
      <c r="AW3938" s="6" t="str">
        <f>HYPERLINK("http://www.worldcat.org/oclc/809032612","WorldCat Record")</f>
        <v>WorldCat Record</v>
      </c>
      <c r="AX3938" s="3" t="s">
        <v>38854</v>
      </c>
      <c r="AY3938" s="3" t="s">
        <v>38855</v>
      </c>
      <c r="AZ3938" s="3" t="s">
        <v>38856</v>
      </c>
      <c r="BA3938" s="3" t="s">
        <v>38856</v>
      </c>
      <c r="BB3938" s="3" t="s">
        <v>38857</v>
      </c>
      <c r="BC3938" s="3" t="s">
        <v>77</v>
      </c>
      <c r="BD3938" s="3" t="s">
        <v>78</v>
      </c>
      <c r="BE3938" s="3" t="s">
        <v>38858</v>
      </c>
      <c r="BF3938" s="3" t="s">
        <v>38857</v>
      </c>
      <c r="BG3938" s="3" t="s">
        <v>38859</v>
      </c>
      <c r="BH3938">
        <f t="shared" si="100"/>
        <v>0</v>
      </c>
    </row>
    <row r="3939" spans="1:60" ht="58" x14ac:dyDescent="0.35">
      <c r="A3939" s="2" t="s">
        <v>59</v>
      </c>
      <c r="B3939" s="2" t="s">
        <v>60</v>
      </c>
      <c r="C3939" s="2" t="s">
        <v>38860</v>
      </c>
      <c r="D3939" s="2" t="s">
        <v>38861</v>
      </c>
      <c r="E3939" s="2" t="s">
        <v>38862</v>
      </c>
      <c r="G3939" s="3" t="s">
        <v>64</v>
      </c>
      <c r="I3939" s="3" t="s">
        <v>64</v>
      </c>
      <c r="J3939" s="3" t="s">
        <v>64</v>
      </c>
      <c r="K3939" s="3" t="s">
        <v>65</v>
      </c>
      <c r="L3939" s="2" t="s">
        <v>38863</v>
      </c>
      <c r="M3939" s="2" t="s">
        <v>38864</v>
      </c>
      <c r="N3939" s="3" t="s">
        <v>67</v>
      </c>
      <c r="P3939" s="3" t="s">
        <v>102</v>
      </c>
      <c r="R3939" s="3" t="s">
        <v>70</v>
      </c>
      <c r="S3939" s="4">
        <v>0</v>
      </c>
      <c r="T3939" s="4">
        <v>0</v>
      </c>
      <c r="W3939" s="5" t="s">
        <v>72</v>
      </c>
      <c r="X3939" s="5" t="s">
        <v>72</v>
      </c>
      <c r="Y3939" s="4">
        <v>31</v>
      </c>
      <c r="Z3939" s="4">
        <v>11</v>
      </c>
      <c r="AA3939" s="4">
        <v>13</v>
      </c>
      <c r="AB3939" s="4">
        <v>1</v>
      </c>
      <c r="AC3939" s="4">
        <v>2</v>
      </c>
      <c r="AD3939" s="4">
        <v>14</v>
      </c>
      <c r="AE3939" s="4">
        <v>15</v>
      </c>
      <c r="AF3939" s="4">
        <v>0</v>
      </c>
      <c r="AG3939" s="4">
        <v>0</v>
      </c>
      <c r="AH3939" s="4">
        <v>10</v>
      </c>
      <c r="AI3939" s="4">
        <v>10</v>
      </c>
      <c r="AJ3939" s="4">
        <v>6</v>
      </c>
      <c r="AK3939" s="4">
        <v>7</v>
      </c>
      <c r="AL3939" s="4">
        <v>5</v>
      </c>
      <c r="AM3939" s="4">
        <v>5</v>
      </c>
      <c r="AN3939" s="4">
        <v>0</v>
      </c>
      <c r="AO3939" s="4">
        <v>0</v>
      </c>
      <c r="AP3939" s="4">
        <v>6</v>
      </c>
      <c r="AQ3939" s="4">
        <v>7</v>
      </c>
      <c r="AR3939" s="3" t="s">
        <v>128</v>
      </c>
      <c r="AS3939" s="3" t="s">
        <v>64</v>
      </c>
      <c r="AT3939" s="3" t="s">
        <v>64</v>
      </c>
      <c r="AV3939" s="6" t="str">
        <f>HYPERLINK("http://mcgill.on.worldcat.org/oclc/869584602","Catalog Record")</f>
        <v>Catalog Record</v>
      </c>
      <c r="AW3939" s="6" t="str">
        <f>HYPERLINK("http://www.worldcat.org/oclc/869584602","WorldCat Record")</f>
        <v>WorldCat Record</v>
      </c>
      <c r="AX3939" s="3" t="s">
        <v>38865</v>
      </c>
      <c r="AY3939" s="3" t="s">
        <v>38866</v>
      </c>
      <c r="AZ3939" s="3" t="s">
        <v>38867</v>
      </c>
      <c r="BA3939" s="3" t="s">
        <v>38867</v>
      </c>
      <c r="BB3939" s="3" t="s">
        <v>38868</v>
      </c>
      <c r="BC3939" s="3" t="s">
        <v>77</v>
      </c>
      <c r="BD3939" s="3" t="s">
        <v>78</v>
      </c>
      <c r="BE3939" s="3" t="s">
        <v>38869</v>
      </c>
      <c r="BF3939" s="3" t="s">
        <v>38868</v>
      </c>
      <c r="BG3939" s="3" t="s">
        <v>38870</v>
      </c>
      <c r="BH3939">
        <f t="shared" si="100"/>
        <v>0</v>
      </c>
    </row>
    <row r="3940" spans="1:60" ht="58" x14ac:dyDescent="0.35">
      <c r="A3940" s="2" t="s">
        <v>59</v>
      </c>
      <c r="B3940" s="2" t="s">
        <v>60</v>
      </c>
      <c r="C3940" s="2" t="s">
        <v>38871</v>
      </c>
      <c r="D3940" s="2" t="s">
        <v>38872</v>
      </c>
      <c r="E3940" s="2" t="s">
        <v>38873</v>
      </c>
      <c r="G3940" s="3" t="s">
        <v>64</v>
      </c>
      <c r="H3940" s="3" t="s">
        <v>183</v>
      </c>
      <c r="I3940" s="3" t="s">
        <v>64</v>
      </c>
      <c r="J3940" s="3" t="s">
        <v>64</v>
      </c>
      <c r="K3940" s="3" t="s">
        <v>65</v>
      </c>
      <c r="L3940" s="2" t="s">
        <v>38874</v>
      </c>
      <c r="M3940" s="2" t="s">
        <v>38875</v>
      </c>
      <c r="N3940" s="3" t="s">
        <v>1492</v>
      </c>
      <c r="P3940" s="3" t="s">
        <v>102</v>
      </c>
      <c r="R3940" s="3" t="s">
        <v>70</v>
      </c>
      <c r="S3940" s="4">
        <v>0</v>
      </c>
      <c r="T3940" s="4">
        <v>0</v>
      </c>
      <c r="W3940" s="5" t="s">
        <v>826</v>
      </c>
      <c r="X3940" s="5" t="s">
        <v>826</v>
      </c>
      <c r="Y3940" s="4">
        <v>64</v>
      </c>
      <c r="Z3940" s="4">
        <v>2</v>
      </c>
      <c r="AA3940" s="4">
        <v>14</v>
      </c>
      <c r="AB3940" s="4">
        <v>1</v>
      </c>
      <c r="AC3940" s="4">
        <v>6</v>
      </c>
      <c r="AD3940" s="4">
        <v>26</v>
      </c>
      <c r="AE3940" s="4">
        <v>46</v>
      </c>
      <c r="AF3940" s="4">
        <v>0</v>
      </c>
      <c r="AG3940" s="4">
        <v>2</v>
      </c>
      <c r="AH3940" s="4">
        <v>26</v>
      </c>
      <c r="AI3940" s="4">
        <v>41</v>
      </c>
      <c r="AJ3940" s="4">
        <v>1</v>
      </c>
      <c r="AK3940" s="4">
        <v>7</v>
      </c>
      <c r="AL3940" s="4">
        <v>19</v>
      </c>
      <c r="AM3940" s="4">
        <v>25</v>
      </c>
      <c r="AN3940" s="4">
        <v>0</v>
      </c>
      <c r="AO3940" s="4">
        <v>0</v>
      </c>
      <c r="AP3940" s="4">
        <v>1</v>
      </c>
      <c r="AQ3940" s="4">
        <v>10</v>
      </c>
      <c r="AR3940" s="3" t="s">
        <v>64</v>
      </c>
      <c r="AS3940" s="3" t="s">
        <v>64</v>
      </c>
      <c r="AT3940" s="3" t="s">
        <v>64</v>
      </c>
      <c r="AV3940" s="6" t="str">
        <f>HYPERLINK("http://mcgill.on.worldcat.org/oclc/1055828789","Catalog Record")</f>
        <v>Catalog Record</v>
      </c>
      <c r="AW3940" s="6" t="str">
        <f>HYPERLINK("http://www.worldcat.org/oclc/1055828789","WorldCat Record")</f>
        <v>WorldCat Record</v>
      </c>
      <c r="AX3940" s="3" t="s">
        <v>38876</v>
      </c>
      <c r="AY3940" s="3" t="s">
        <v>38877</v>
      </c>
      <c r="AZ3940" s="3" t="s">
        <v>38878</v>
      </c>
      <c r="BA3940" s="3" t="s">
        <v>38878</v>
      </c>
      <c r="BB3940" s="3" t="s">
        <v>38879</v>
      </c>
      <c r="BC3940" s="3" t="s">
        <v>77</v>
      </c>
      <c r="BD3940" s="3" t="s">
        <v>78</v>
      </c>
      <c r="BE3940" s="3" t="s">
        <v>38880</v>
      </c>
      <c r="BF3940" s="3" t="s">
        <v>38879</v>
      </c>
      <c r="BG3940" s="3" t="s">
        <v>38881</v>
      </c>
      <c r="BH3940">
        <f t="shared" si="100"/>
        <v>0</v>
      </c>
    </row>
    <row r="3941" spans="1:60" ht="58" x14ac:dyDescent="0.35">
      <c r="A3941" s="2" t="s">
        <v>59</v>
      </c>
      <c r="B3941" s="2" t="s">
        <v>60</v>
      </c>
      <c r="C3941" s="2" t="s">
        <v>38882</v>
      </c>
      <c r="D3941" s="2" t="s">
        <v>38883</v>
      </c>
      <c r="E3941" s="2" t="s">
        <v>38884</v>
      </c>
      <c r="G3941" s="3" t="s">
        <v>64</v>
      </c>
      <c r="I3941" s="3" t="s">
        <v>64</v>
      </c>
      <c r="J3941" s="3" t="s">
        <v>64</v>
      </c>
      <c r="K3941" s="3" t="s">
        <v>65</v>
      </c>
      <c r="M3941" s="2" t="s">
        <v>38885</v>
      </c>
      <c r="N3941" s="3" t="s">
        <v>1075</v>
      </c>
      <c r="P3941" s="3" t="s">
        <v>102</v>
      </c>
      <c r="R3941" s="3" t="s">
        <v>70</v>
      </c>
      <c r="S3941" s="4">
        <v>1</v>
      </c>
      <c r="T3941" s="4">
        <v>1</v>
      </c>
      <c r="U3941" s="5" t="s">
        <v>38886</v>
      </c>
      <c r="V3941" s="5" t="s">
        <v>38886</v>
      </c>
      <c r="W3941" s="5" t="s">
        <v>72</v>
      </c>
      <c r="X3941" s="5" t="s">
        <v>72</v>
      </c>
      <c r="Y3941" s="4">
        <v>500</v>
      </c>
      <c r="Z3941" s="4">
        <v>25</v>
      </c>
      <c r="AA3941" s="4">
        <v>28</v>
      </c>
      <c r="AB3941" s="4">
        <v>3</v>
      </c>
      <c r="AC3941" s="4">
        <v>5</v>
      </c>
      <c r="AD3941" s="4">
        <v>85</v>
      </c>
      <c r="AE3941" s="4">
        <v>88</v>
      </c>
      <c r="AF3941" s="4">
        <v>1</v>
      </c>
      <c r="AG3941" s="4">
        <v>1</v>
      </c>
      <c r="AH3941" s="4">
        <v>75</v>
      </c>
      <c r="AI3941" s="4">
        <v>77</v>
      </c>
      <c r="AJ3941" s="4">
        <v>10</v>
      </c>
      <c r="AK3941" s="4">
        <v>11</v>
      </c>
      <c r="AL3941" s="4">
        <v>42</v>
      </c>
      <c r="AM3941" s="4">
        <v>44</v>
      </c>
      <c r="AN3941" s="4">
        <v>0</v>
      </c>
      <c r="AO3941" s="4">
        <v>0</v>
      </c>
      <c r="AP3941" s="4">
        <v>14</v>
      </c>
      <c r="AQ3941" s="4">
        <v>15</v>
      </c>
      <c r="AR3941" s="3" t="s">
        <v>64</v>
      </c>
      <c r="AS3941" s="3" t="s">
        <v>64</v>
      </c>
      <c r="AT3941" s="3" t="s">
        <v>64</v>
      </c>
      <c r="AV3941" s="6" t="str">
        <f>HYPERLINK("http://mcgill.on.worldcat.org/oclc/869140677","Catalog Record")</f>
        <v>Catalog Record</v>
      </c>
      <c r="AW3941" s="6" t="str">
        <f>HYPERLINK("http://www.worldcat.org/oclc/869140677","WorldCat Record")</f>
        <v>WorldCat Record</v>
      </c>
      <c r="AX3941" s="3" t="s">
        <v>38887</v>
      </c>
      <c r="AY3941" s="3" t="s">
        <v>38888</v>
      </c>
      <c r="AZ3941" s="3" t="s">
        <v>38889</v>
      </c>
      <c r="BA3941" s="3" t="s">
        <v>38889</v>
      </c>
      <c r="BB3941" s="3" t="s">
        <v>38890</v>
      </c>
      <c r="BC3941" s="3" t="s">
        <v>77</v>
      </c>
      <c r="BD3941" s="3" t="s">
        <v>78</v>
      </c>
      <c r="BE3941" s="3" t="s">
        <v>38891</v>
      </c>
      <c r="BF3941" s="3" t="s">
        <v>38890</v>
      </c>
      <c r="BG3941" s="3" t="s">
        <v>38892</v>
      </c>
      <c r="BH3941">
        <f t="shared" si="100"/>
        <v>0</v>
      </c>
    </row>
    <row r="3942" spans="1:60" ht="58" x14ac:dyDescent="0.35">
      <c r="A3942" s="2" t="s">
        <v>59</v>
      </c>
      <c r="B3942" s="2" t="s">
        <v>60</v>
      </c>
      <c r="C3942" s="2" t="s">
        <v>38893</v>
      </c>
      <c r="D3942" s="2" t="s">
        <v>38894</v>
      </c>
      <c r="E3942" s="2" t="s">
        <v>38895</v>
      </c>
      <c r="G3942" s="3" t="s">
        <v>64</v>
      </c>
      <c r="I3942" s="3" t="s">
        <v>64</v>
      </c>
      <c r="J3942" s="3" t="s">
        <v>64</v>
      </c>
      <c r="K3942" s="3" t="s">
        <v>65</v>
      </c>
      <c r="L3942" s="2" t="s">
        <v>38896</v>
      </c>
      <c r="M3942" s="2" t="s">
        <v>38897</v>
      </c>
      <c r="N3942" s="3" t="s">
        <v>326</v>
      </c>
      <c r="P3942" s="3" t="s">
        <v>102</v>
      </c>
      <c r="R3942" s="3" t="s">
        <v>70</v>
      </c>
      <c r="S3942" s="4">
        <v>3</v>
      </c>
      <c r="T3942" s="4">
        <v>3</v>
      </c>
      <c r="U3942" s="5" t="s">
        <v>5214</v>
      </c>
      <c r="V3942" s="5" t="s">
        <v>5214</v>
      </c>
      <c r="W3942" s="5" t="s">
        <v>72</v>
      </c>
      <c r="X3942" s="5" t="s">
        <v>72</v>
      </c>
      <c r="Y3942" s="4">
        <v>212</v>
      </c>
      <c r="Z3942" s="4">
        <v>51</v>
      </c>
      <c r="AA3942" s="4">
        <v>139</v>
      </c>
      <c r="AB3942" s="4">
        <v>4</v>
      </c>
      <c r="AC3942" s="4">
        <v>21</v>
      </c>
      <c r="AD3942" s="4">
        <v>67</v>
      </c>
      <c r="AE3942" s="4">
        <v>134</v>
      </c>
      <c r="AF3942" s="4">
        <v>2</v>
      </c>
      <c r="AG3942" s="4">
        <v>8</v>
      </c>
      <c r="AH3942" s="4">
        <v>48</v>
      </c>
      <c r="AI3942" s="4">
        <v>90</v>
      </c>
      <c r="AJ3942" s="4">
        <v>20</v>
      </c>
      <c r="AK3942" s="4">
        <v>28</v>
      </c>
      <c r="AL3942" s="4">
        <v>26</v>
      </c>
      <c r="AM3942" s="4">
        <v>45</v>
      </c>
      <c r="AN3942" s="4">
        <v>0</v>
      </c>
      <c r="AO3942" s="4">
        <v>0</v>
      </c>
      <c r="AP3942" s="4">
        <v>26</v>
      </c>
      <c r="AQ3942" s="4">
        <v>53</v>
      </c>
      <c r="AR3942" s="3" t="s">
        <v>128</v>
      </c>
      <c r="AS3942" s="3" t="s">
        <v>64</v>
      </c>
      <c r="AT3942" s="3" t="s">
        <v>64</v>
      </c>
      <c r="AV3942" s="6" t="str">
        <f>HYPERLINK("http://mcgill.on.worldcat.org/oclc/711936641","Catalog Record")</f>
        <v>Catalog Record</v>
      </c>
      <c r="AW3942" s="6" t="str">
        <f>HYPERLINK("http://www.worldcat.org/oclc/711936641","WorldCat Record")</f>
        <v>WorldCat Record</v>
      </c>
      <c r="AX3942" s="3" t="s">
        <v>38898</v>
      </c>
      <c r="AY3942" s="3" t="s">
        <v>38899</v>
      </c>
      <c r="AZ3942" s="3" t="s">
        <v>38900</v>
      </c>
      <c r="BA3942" s="3" t="s">
        <v>38900</v>
      </c>
      <c r="BB3942" s="3" t="s">
        <v>38901</v>
      </c>
      <c r="BC3942" s="3" t="s">
        <v>77</v>
      </c>
      <c r="BD3942" s="3" t="s">
        <v>78</v>
      </c>
      <c r="BE3942" s="3" t="s">
        <v>38902</v>
      </c>
      <c r="BF3942" s="3" t="s">
        <v>38901</v>
      </c>
      <c r="BG3942" s="3" t="s">
        <v>38903</v>
      </c>
      <c r="BH3942">
        <f t="shared" si="100"/>
        <v>0</v>
      </c>
    </row>
    <row r="3943" spans="1:60" ht="58" x14ac:dyDescent="0.35">
      <c r="A3943" s="2" t="s">
        <v>59</v>
      </c>
      <c r="B3943" s="2" t="s">
        <v>60</v>
      </c>
      <c r="C3943" s="2" t="s">
        <v>38904</v>
      </c>
      <c r="D3943" s="2" t="s">
        <v>38905</v>
      </c>
      <c r="E3943" s="2" t="s">
        <v>38906</v>
      </c>
      <c r="G3943" s="3" t="s">
        <v>64</v>
      </c>
      <c r="I3943" s="3" t="s">
        <v>64</v>
      </c>
      <c r="J3943" s="3" t="s">
        <v>64</v>
      </c>
      <c r="K3943" s="3" t="s">
        <v>65</v>
      </c>
      <c r="M3943" s="2" t="s">
        <v>38907</v>
      </c>
      <c r="N3943" s="3" t="s">
        <v>1938</v>
      </c>
      <c r="P3943" s="3" t="s">
        <v>102</v>
      </c>
      <c r="R3943" s="3" t="s">
        <v>70</v>
      </c>
      <c r="S3943" s="4">
        <v>1</v>
      </c>
      <c r="T3943" s="4">
        <v>1</v>
      </c>
      <c r="U3943" s="5" t="s">
        <v>25307</v>
      </c>
      <c r="V3943" s="5" t="s">
        <v>25307</v>
      </c>
      <c r="W3943" s="5" t="s">
        <v>72</v>
      </c>
      <c r="X3943" s="5" t="s">
        <v>72</v>
      </c>
      <c r="Y3943" s="4">
        <v>418</v>
      </c>
      <c r="Z3943" s="4">
        <v>28</v>
      </c>
      <c r="AA3943" s="4">
        <v>30</v>
      </c>
      <c r="AB3943" s="4">
        <v>2</v>
      </c>
      <c r="AC3943" s="4">
        <v>2</v>
      </c>
      <c r="AD3943" s="4">
        <v>81</v>
      </c>
      <c r="AE3943" s="4">
        <v>87</v>
      </c>
      <c r="AF3943" s="4">
        <v>0</v>
      </c>
      <c r="AG3943" s="4">
        <v>0</v>
      </c>
      <c r="AH3943" s="4">
        <v>71</v>
      </c>
      <c r="AI3943" s="4">
        <v>76</v>
      </c>
      <c r="AJ3943" s="4">
        <v>11</v>
      </c>
      <c r="AK3943" s="4">
        <v>13</v>
      </c>
      <c r="AL3943" s="4">
        <v>35</v>
      </c>
      <c r="AM3943" s="4">
        <v>37</v>
      </c>
      <c r="AN3943" s="4">
        <v>0</v>
      </c>
      <c r="AO3943" s="4">
        <v>0</v>
      </c>
      <c r="AP3943" s="4">
        <v>15</v>
      </c>
      <c r="AQ3943" s="4">
        <v>17</v>
      </c>
      <c r="AR3943" s="3" t="s">
        <v>64</v>
      </c>
      <c r="AS3943" s="3" t="s">
        <v>64</v>
      </c>
      <c r="AT3943" s="3" t="s">
        <v>128</v>
      </c>
      <c r="AU3943" s="6" t="str">
        <f>HYPERLINK("http://catalog.hathitrust.org/Record/007140030","HathiTrust Record")</f>
        <v>HathiTrust Record</v>
      </c>
      <c r="AV3943" s="6" t="str">
        <f>HYPERLINK("http://mcgill.on.worldcat.org/oclc/21491848","Catalog Record")</f>
        <v>Catalog Record</v>
      </c>
      <c r="AW3943" s="6" t="str">
        <f>HYPERLINK("http://www.worldcat.org/oclc/21491848","WorldCat Record")</f>
        <v>WorldCat Record</v>
      </c>
      <c r="AX3943" s="3" t="s">
        <v>38908</v>
      </c>
      <c r="AY3943" s="3" t="s">
        <v>38909</v>
      </c>
      <c r="AZ3943" s="3" t="s">
        <v>38910</v>
      </c>
      <c r="BA3943" s="3" t="s">
        <v>38910</v>
      </c>
      <c r="BB3943" s="3" t="s">
        <v>38911</v>
      </c>
      <c r="BC3943" s="3" t="s">
        <v>77</v>
      </c>
      <c r="BD3943" s="3" t="s">
        <v>78</v>
      </c>
      <c r="BE3943" s="3" t="s">
        <v>38912</v>
      </c>
      <c r="BF3943" s="3" t="s">
        <v>38911</v>
      </c>
      <c r="BG3943" s="3" t="s">
        <v>38913</v>
      </c>
      <c r="BH3943">
        <f t="shared" si="100"/>
        <v>0</v>
      </c>
    </row>
    <row r="3944" spans="1:60" ht="58" x14ac:dyDescent="0.35">
      <c r="A3944" s="2" t="s">
        <v>59</v>
      </c>
      <c r="B3944" s="2" t="s">
        <v>60</v>
      </c>
      <c r="C3944" s="2" t="s">
        <v>38914</v>
      </c>
      <c r="D3944" s="2" t="s">
        <v>38915</v>
      </c>
      <c r="E3944" s="2" t="s">
        <v>38916</v>
      </c>
      <c r="G3944" s="3" t="s">
        <v>64</v>
      </c>
      <c r="I3944" s="3" t="s">
        <v>64</v>
      </c>
      <c r="J3944" s="3" t="s">
        <v>128</v>
      </c>
      <c r="K3944" s="3" t="s">
        <v>65</v>
      </c>
      <c r="M3944" s="2" t="s">
        <v>38917</v>
      </c>
      <c r="N3944" s="3" t="s">
        <v>378</v>
      </c>
      <c r="P3944" s="3" t="s">
        <v>102</v>
      </c>
      <c r="R3944" s="3" t="s">
        <v>70</v>
      </c>
      <c r="S3944" s="4">
        <v>1</v>
      </c>
      <c r="T3944" s="4">
        <v>1</v>
      </c>
      <c r="U3944" s="5" t="s">
        <v>25307</v>
      </c>
      <c r="V3944" s="5" t="s">
        <v>25307</v>
      </c>
      <c r="W3944" s="5" t="s">
        <v>72</v>
      </c>
      <c r="X3944" s="5" t="s">
        <v>72</v>
      </c>
      <c r="Y3944" s="4">
        <v>378</v>
      </c>
      <c r="Z3944" s="4">
        <v>8</v>
      </c>
      <c r="AA3944" s="4">
        <v>12</v>
      </c>
      <c r="AB3944" s="4">
        <v>1</v>
      </c>
      <c r="AC3944" s="4">
        <v>2</v>
      </c>
      <c r="AD3944" s="4">
        <v>73</v>
      </c>
      <c r="AE3944" s="4">
        <v>82</v>
      </c>
      <c r="AF3944" s="4">
        <v>0</v>
      </c>
      <c r="AG3944" s="4">
        <v>0</v>
      </c>
      <c r="AH3944" s="4">
        <v>68</v>
      </c>
      <c r="AI3944" s="4">
        <v>76</v>
      </c>
      <c r="AJ3944" s="4">
        <v>2</v>
      </c>
      <c r="AK3944" s="4">
        <v>4</v>
      </c>
      <c r="AL3944" s="4">
        <v>42</v>
      </c>
      <c r="AM3944" s="4">
        <v>46</v>
      </c>
      <c r="AN3944" s="4">
        <v>1</v>
      </c>
      <c r="AO3944" s="4">
        <v>6</v>
      </c>
      <c r="AP3944" s="4">
        <v>3</v>
      </c>
      <c r="AQ3944" s="4">
        <v>5</v>
      </c>
      <c r="AR3944" s="3" t="s">
        <v>64</v>
      </c>
      <c r="AS3944" s="3" t="s">
        <v>64</v>
      </c>
      <c r="AT3944" s="3" t="s">
        <v>128</v>
      </c>
      <c r="AU3944" s="6" t="str">
        <f>HYPERLINK("http://catalog.hathitrust.org/Record/000488870","HathiTrust Record")</f>
        <v>HathiTrust Record</v>
      </c>
      <c r="AV3944" s="6" t="str">
        <f>HYPERLINK("http://mcgill.on.worldcat.org/oclc/14909022","Catalog Record")</f>
        <v>Catalog Record</v>
      </c>
      <c r="AW3944" s="6" t="str">
        <f>HYPERLINK("http://www.worldcat.org/oclc/14909022","WorldCat Record")</f>
        <v>WorldCat Record</v>
      </c>
      <c r="AX3944" s="3" t="s">
        <v>38918</v>
      </c>
      <c r="AY3944" s="3" t="s">
        <v>38919</v>
      </c>
      <c r="AZ3944" s="3" t="s">
        <v>38920</v>
      </c>
      <c r="BA3944" s="3" t="s">
        <v>38920</v>
      </c>
      <c r="BB3944" s="3" t="s">
        <v>38921</v>
      </c>
      <c r="BC3944" s="3" t="s">
        <v>77</v>
      </c>
      <c r="BD3944" s="3" t="s">
        <v>78</v>
      </c>
      <c r="BE3944" s="3" t="s">
        <v>38922</v>
      </c>
      <c r="BF3944" s="3" t="s">
        <v>38921</v>
      </c>
      <c r="BG3944" s="3" t="s">
        <v>38923</v>
      </c>
      <c r="BH3944">
        <f t="shared" si="100"/>
        <v>0</v>
      </c>
    </row>
    <row r="3945" spans="1:60" ht="58" x14ac:dyDescent="0.35">
      <c r="A3945" s="2" t="s">
        <v>59</v>
      </c>
      <c r="B3945" s="2" t="s">
        <v>60</v>
      </c>
      <c r="C3945" s="2" t="s">
        <v>38924</v>
      </c>
      <c r="D3945" s="2" t="s">
        <v>38925</v>
      </c>
      <c r="E3945" s="2" t="s">
        <v>38926</v>
      </c>
      <c r="G3945" s="3" t="s">
        <v>64</v>
      </c>
      <c r="I3945" s="3" t="s">
        <v>64</v>
      </c>
      <c r="J3945" s="3" t="s">
        <v>64</v>
      </c>
      <c r="K3945" s="3" t="s">
        <v>65</v>
      </c>
      <c r="M3945" s="2" t="s">
        <v>38927</v>
      </c>
      <c r="N3945" s="3" t="s">
        <v>685</v>
      </c>
      <c r="P3945" s="3" t="s">
        <v>102</v>
      </c>
      <c r="Q3945" s="2" t="s">
        <v>38928</v>
      </c>
      <c r="R3945" s="3" t="s">
        <v>70</v>
      </c>
      <c r="S3945" s="4">
        <v>1</v>
      </c>
      <c r="T3945" s="4">
        <v>1</v>
      </c>
      <c r="U3945" s="5" t="s">
        <v>3355</v>
      </c>
      <c r="V3945" s="5" t="s">
        <v>3355</v>
      </c>
      <c r="W3945" s="5" t="s">
        <v>72</v>
      </c>
      <c r="X3945" s="5" t="s">
        <v>72</v>
      </c>
      <c r="Y3945" s="4">
        <v>44</v>
      </c>
      <c r="Z3945" s="4">
        <v>5</v>
      </c>
      <c r="AA3945" s="4">
        <v>7</v>
      </c>
      <c r="AB3945" s="4">
        <v>1</v>
      </c>
      <c r="AC3945" s="4">
        <v>1</v>
      </c>
      <c r="AD3945" s="4">
        <v>3</v>
      </c>
      <c r="AE3945" s="4">
        <v>9</v>
      </c>
      <c r="AF3945" s="4">
        <v>0</v>
      </c>
      <c r="AG3945" s="4">
        <v>0</v>
      </c>
      <c r="AH3945" s="4">
        <v>2</v>
      </c>
      <c r="AI3945" s="4">
        <v>6</v>
      </c>
      <c r="AJ3945" s="4">
        <v>0</v>
      </c>
      <c r="AK3945" s="4">
        <v>0</v>
      </c>
      <c r="AL3945" s="4">
        <v>0</v>
      </c>
      <c r="AM3945" s="4">
        <v>2</v>
      </c>
      <c r="AN3945" s="4">
        <v>0</v>
      </c>
      <c r="AO3945" s="4">
        <v>0</v>
      </c>
      <c r="AP3945" s="4">
        <v>1</v>
      </c>
      <c r="AQ3945" s="4">
        <v>3</v>
      </c>
      <c r="AR3945" s="3" t="s">
        <v>64</v>
      </c>
      <c r="AS3945" s="3" t="s">
        <v>64</v>
      </c>
      <c r="AT3945" s="3" t="s">
        <v>128</v>
      </c>
      <c r="AU3945" s="6" t="str">
        <f>HYPERLINK("http://catalog.hathitrust.org/Record/004535782","HathiTrust Record")</f>
        <v>HathiTrust Record</v>
      </c>
      <c r="AV3945" s="6" t="str">
        <f>HYPERLINK("http://mcgill.on.worldcat.org/oclc/48758165","Catalog Record")</f>
        <v>Catalog Record</v>
      </c>
      <c r="AW3945" s="6" t="str">
        <f>HYPERLINK("http://www.worldcat.org/oclc/48758165","WorldCat Record")</f>
        <v>WorldCat Record</v>
      </c>
      <c r="AX3945" s="3" t="s">
        <v>38929</v>
      </c>
      <c r="AY3945" s="3" t="s">
        <v>38930</v>
      </c>
      <c r="AZ3945" s="3" t="s">
        <v>38931</v>
      </c>
      <c r="BA3945" s="3" t="s">
        <v>38931</v>
      </c>
      <c r="BB3945" s="3" t="s">
        <v>38932</v>
      </c>
      <c r="BC3945" s="3" t="s">
        <v>77</v>
      </c>
      <c r="BD3945" s="3" t="s">
        <v>78</v>
      </c>
      <c r="BF3945" s="3" t="s">
        <v>38932</v>
      </c>
      <c r="BG3945" s="3" t="s">
        <v>38933</v>
      </c>
      <c r="BH3945">
        <f t="shared" si="100"/>
        <v>0</v>
      </c>
    </row>
    <row r="3946" spans="1:60" ht="58" x14ac:dyDescent="0.35">
      <c r="A3946" s="2" t="s">
        <v>59</v>
      </c>
      <c r="B3946" s="2" t="s">
        <v>60</v>
      </c>
      <c r="C3946" s="2" t="s">
        <v>38934</v>
      </c>
      <c r="D3946" s="2" t="s">
        <v>38935</v>
      </c>
      <c r="E3946" s="2" t="s">
        <v>38936</v>
      </c>
      <c r="G3946" s="3" t="s">
        <v>64</v>
      </c>
      <c r="I3946" s="3" t="s">
        <v>64</v>
      </c>
      <c r="J3946" s="3" t="s">
        <v>64</v>
      </c>
      <c r="K3946" s="3" t="s">
        <v>65</v>
      </c>
      <c r="M3946" s="2" t="s">
        <v>38317</v>
      </c>
      <c r="N3946" s="3" t="s">
        <v>86</v>
      </c>
      <c r="P3946" s="3" t="s">
        <v>68</v>
      </c>
      <c r="R3946" s="3" t="s">
        <v>70</v>
      </c>
      <c r="S3946" s="4">
        <v>0</v>
      </c>
      <c r="T3946" s="4">
        <v>0</v>
      </c>
      <c r="W3946" s="5" t="s">
        <v>72</v>
      </c>
      <c r="X3946" s="5" t="s">
        <v>72</v>
      </c>
      <c r="Y3946" s="4">
        <v>19</v>
      </c>
      <c r="Z3946" s="4">
        <v>12</v>
      </c>
      <c r="AA3946" s="4">
        <v>90</v>
      </c>
      <c r="AB3946" s="4">
        <v>2</v>
      </c>
      <c r="AC3946" s="4">
        <v>19</v>
      </c>
      <c r="AD3946" s="4">
        <v>14</v>
      </c>
      <c r="AE3946" s="4">
        <v>87</v>
      </c>
      <c r="AF3946" s="4">
        <v>0</v>
      </c>
      <c r="AG3946" s="4">
        <v>8</v>
      </c>
      <c r="AH3946" s="4">
        <v>11</v>
      </c>
      <c r="AI3946" s="4">
        <v>51</v>
      </c>
      <c r="AJ3946" s="4">
        <v>8</v>
      </c>
      <c r="AK3946" s="4">
        <v>21</v>
      </c>
      <c r="AL3946" s="4">
        <v>3</v>
      </c>
      <c r="AM3946" s="4">
        <v>23</v>
      </c>
      <c r="AN3946" s="4">
        <v>0</v>
      </c>
      <c r="AO3946" s="4">
        <v>0</v>
      </c>
      <c r="AP3946" s="4">
        <v>9</v>
      </c>
      <c r="AQ3946" s="4">
        <v>44</v>
      </c>
      <c r="AR3946" s="3" t="s">
        <v>128</v>
      </c>
      <c r="AS3946" s="3" t="s">
        <v>64</v>
      </c>
      <c r="AT3946" s="3" t="s">
        <v>64</v>
      </c>
      <c r="AV3946" s="6" t="str">
        <f>HYPERLINK("http://mcgill.on.worldcat.org/oclc/821047184","Catalog Record")</f>
        <v>Catalog Record</v>
      </c>
      <c r="AW3946" s="6" t="str">
        <f>HYPERLINK("http://www.worldcat.org/oclc/821047184","WorldCat Record")</f>
        <v>WorldCat Record</v>
      </c>
      <c r="AX3946" s="3" t="s">
        <v>38937</v>
      </c>
      <c r="AY3946" s="3" t="s">
        <v>38938</v>
      </c>
      <c r="AZ3946" s="3" t="s">
        <v>38939</v>
      </c>
      <c r="BA3946" s="3" t="s">
        <v>38939</v>
      </c>
      <c r="BB3946" s="3" t="s">
        <v>38940</v>
      </c>
      <c r="BC3946" s="3" t="s">
        <v>77</v>
      </c>
      <c r="BD3946" s="3" t="s">
        <v>78</v>
      </c>
      <c r="BE3946" s="3" t="s">
        <v>38941</v>
      </c>
      <c r="BF3946" s="3" t="s">
        <v>38940</v>
      </c>
      <c r="BG3946" s="3" t="s">
        <v>38942</v>
      </c>
      <c r="BH3946">
        <f t="shared" si="100"/>
        <v>0</v>
      </c>
    </row>
    <row r="3947" spans="1:60" ht="58" x14ac:dyDescent="0.35">
      <c r="A3947" s="2" t="s">
        <v>59</v>
      </c>
      <c r="B3947" s="2" t="s">
        <v>7607</v>
      </c>
      <c r="C3947" s="2" t="s">
        <v>38943</v>
      </c>
      <c r="D3947" s="2" t="s">
        <v>38944</v>
      </c>
      <c r="E3947" s="2" t="s">
        <v>38945</v>
      </c>
      <c r="G3947" s="3" t="s">
        <v>64</v>
      </c>
      <c r="I3947" s="3" t="s">
        <v>64</v>
      </c>
      <c r="J3947" s="3" t="s">
        <v>64</v>
      </c>
      <c r="K3947" s="3" t="s">
        <v>65</v>
      </c>
      <c r="M3947" s="2" t="s">
        <v>23721</v>
      </c>
      <c r="N3947" s="3" t="s">
        <v>67</v>
      </c>
      <c r="P3947" s="3" t="s">
        <v>102</v>
      </c>
      <c r="R3947" s="3" t="s">
        <v>70</v>
      </c>
      <c r="S3947" s="4">
        <v>0</v>
      </c>
      <c r="T3947" s="4">
        <v>0</v>
      </c>
      <c r="W3947" s="5" t="s">
        <v>72</v>
      </c>
      <c r="X3947" s="5" t="s">
        <v>72</v>
      </c>
      <c r="Y3947" s="4">
        <v>215</v>
      </c>
      <c r="Z3947" s="4">
        <v>7</v>
      </c>
      <c r="AA3947" s="4">
        <v>103</v>
      </c>
      <c r="AB3947" s="4">
        <v>1</v>
      </c>
      <c r="AC3947" s="4">
        <v>15</v>
      </c>
      <c r="AD3947" s="4">
        <v>47</v>
      </c>
      <c r="AE3947" s="4">
        <v>121</v>
      </c>
      <c r="AF3947" s="4">
        <v>0</v>
      </c>
      <c r="AG3947" s="4">
        <v>8</v>
      </c>
      <c r="AH3947" s="4">
        <v>46</v>
      </c>
      <c r="AI3947" s="4">
        <v>83</v>
      </c>
      <c r="AJ3947" s="4">
        <v>4</v>
      </c>
      <c r="AK3947" s="4">
        <v>22</v>
      </c>
      <c r="AL3947" s="4">
        <v>25</v>
      </c>
      <c r="AM3947" s="4">
        <v>43</v>
      </c>
      <c r="AN3947" s="4">
        <v>0</v>
      </c>
      <c r="AO3947" s="4">
        <v>0</v>
      </c>
      <c r="AP3947" s="4">
        <v>4</v>
      </c>
      <c r="AQ3947" s="4">
        <v>44</v>
      </c>
      <c r="AR3947" s="3" t="s">
        <v>64</v>
      </c>
      <c r="AS3947" s="3" t="s">
        <v>64</v>
      </c>
      <c r="AT3947" s="3" t="s">
        <v>64</v>
      </c>
      <c r="AV3947" s="6" t="str">
        <f>HYPERLINK("http://mcgill.on.worldcat.org/oclc/878224566","Catalog Record")</f>
        <v>Catalog Record</v>
      </c>
      <c r="AW3947" s="6" t="str">
        <f>HYPERLINK("http://www.worldcat.org/oclc/878224566","WorldCat Record")</f>
        <v>WorldCat Record</v>
      </c>
      <c r="AX3947" s="3" t="s">
        <v>38946</v>
      </c>
      <c r="AY3947" s="3" t="s">
        <v>38947</v>
      </c>
      <c r="AZ3947" s="3" t="s">
        <v>38948</v>
      </c>
      <c r="BA3947" s="3" t="s">
        <v>38948</v>
      </c>
      <c r="BB3947" s="3" t="s">
        <v>38949</v>
      </c>
      <c r="BC3947" s="3" t="s">
        <v>77</v>
      </c>
      <c r="BD3947" s="3" t="s">
        <v>78</v>
      </c>
      <c r="BE3947" s="3" t="s">
        <v>38950</v>
      </c>
      <c r="BF3947" s="3" t="s">
        <v>38949</v>
      </c>
      <c r="BG3947" s="3" t="s">
        <v>38951</v>
      </c>
      <c r="BH3947">
        <f t="shared" si="100"/>
        <v>0</v>
      </c>
    </row>
    <row r="3948" spans="1:60" ht="58" x14ac:dyDescent="0.35">
      <c r="A3948" s="2" t="s">
        <v>59</v>
      </c>
      <c r="B3948" s="2" t="s">
        <v>60</v>
      </c>
      <c r="C3948" s="2" t="s">
        <v>38952</v>
      </c>
      <c r="D3948" s="2" t="s">
        <v>38953</v>
      </c>
      <c r="E3948" s="2" t="s">
        <v>38954</v>
      </c>
      <c r="G3948" s="3" t="s">
        <v>64</v>
      </c>
      <c r="I3948" s="3" t="s">
        <v>64</v>
      </c>
      <c r="J3948" s="3" t="s">
        <v>64</v>
      </c>
      <c r="K3948" s="3" t="s">
        <v>65</v>
      </c>
      <c r="L3948" s="2" t="s">
        <v>29047</v>
      </c>
      <c r="M3948" s="2" t="s">
        <v>30362</v>
      </c>
      <c r="N3948" s="3" t="s">
        <v>153</v>
      </c>
      <c r="P3948" s="3" t="s">
        <v>102</v>
      </c>
      <c r="Q3948" s="2" t="s">
        <v>38955</v>
      </c>
      <c r="R3948" s="3" t="s">
        <v>70</v>
      </c>
      <c r="S3948" s="4">
        <v>3</v>
      </c>
      <c r="T3948" s="4">
        <v>3</v>
      </c>
      <c r="U3948" s="5" t="s">
        <v>306</v>
      </c>
      <c r="V3948" s="5" t="s">
        <v>306</v>
      </c>
      <c r="W3948" s="5" t="s">
        <v>72</v>
      </c>
      <c r="X3948" s="5" t="s">
        <v>72</v>
      </c>
      <c r="Y3948" s="4">
        <v>451</v>
      </c>
      <c r="Z3948" s="4">
        <v>23</v>
      </c>
      <c r="AA3948" s="4">
        <v>26</v>
      </c>
      <c r="AB3948" s="4">
        <v>1</v>
      </c>
      <c r="AC3948" s="4">
        <v>4</v>
      </c>
      <c r="AD3948" s="4">
        <v>91</v>
      </c>
      <c r="AE3948" s="4">
        <v>93</v>
      </c>
      <c r="AF3948" s="4">
        <v>0</v>
      </c>
      <c r="AG3948" s="4">
        <v>2</v>
      </c>
      <c r="AH3948" s="4">
        <v>80</v>
      </c>
      <c r="AI3948" s="4">
        <v>81</v>
      </c>
      <c r="AJ3948" s="4">
        <v>12</v>
      </c>
      <c r="AK3948" s="4">
        <v>14</v>
      </c>
      <c r="AL3948" s="4">
        <v>46</v>
      </c>
      <c r="AM3948" s="4">
        <v>46</v>
      </c>
      <c r="AN3948" s="4">
        <v>0</v>
      </c>
      <c r="AO3948" s="4">
        <v>0</v>
      </c>
      <c r="AP3948" s="4">
        <v>17</v>
      </c>
      <c r="AQ3948" s="4">
        <v>18</v>
      </c>
      <c r="AR3948" s="3" t="s">
        <v>64</v>
      </c>
      <c r="AS3948" s="3" t="s">
        <v>64</v>
      </c>
      <c r="AT3948" s="3" t="s">
        <v>64</v>
      </c>
      <c r="AV3948" s="6" t="str">
        <f>HYPERLINK("http://mcgill.on.worldcat.org/oclc/36407821","Catalog Record")</f>
        <v>Catalog Record</v>
      </c>
      <c r="AW3948" s="6" t="str">
        <f>HYPERLINK("http://www.worldcat.org/oclc/36407821","WorldCat Record")</f>
        <v>WorldCat Record</v>
      </c>
      <c r="AX3948" s="3" t="s">
        <v>38956</v>
      </c>
      <c r="AY3948" s="3" t="s">
        <v>38957</v>
      </c>
      <c r="AZ3948" s="3" t="s">
        <v>38958</v>
      </c>
      <c r="BA3948" s="3" t="s">
        <v>38958</v>
      </c>
      <c r="BB3948" s="3" t="s">
        <v>38959</v>
      </c>
      <c r="BC3948" s="3" t="s">
        <v>77</v>
      </c>
      <c r="BD3948" s="3" t="s">
        <v>78</v>
      </c>
      <c r="BE3948" s="3" t="s">
        <v>38960</v>
      </c>
      <c r="BF3948" s="3" t="s">
        <v>38959</v>
      </c>
      <c r="BG3948" s="3" t="s">
        <v>38961</v>
      </c>
      <c r="BH3948">
        <f t="shared" si="100"/>
        <v>0</v>
      </c>
    </row>
    <row r="3949" spans="1:60" ht="58" x14ac:dyDescent="0.35">
      <c r="A3949" s="2" t="s">
        <v>59</v>
      </c>
      <c r="B3949" s="2" t="s">
        <v>60</v>
      </c>
      <c r="C3949" s="2" t="s">
        <v>38962</v>
      </c>
      <c r="D3949" s="2" t="s">
        <v>38963</v>
      </c>
      <c r="E3949" s="2" t="s">
        <v>38964</v>
      </c>
      <c r="G3949" s="3" t="s">
        <v>64</v>
      </c>
      <c r="I3949" s="3" t="s">
        <v>64</v>
      </c>
      <c r="J3949" s="3" t="s">
        <v>64</v>
      </c>
      <c r="K3949" s="3" t="s">
        <v>65</v>
      </c>
      <c r="L3949" s="2" t="s">
        <v>38965</v>
      </c>
      <c r="M3949" s="2" t="s">
        <v>38966</v>
      </c>
      <c r="N3949" s="3" t="s">
        <v>537</v>
      </c>
      <c r="P3949" s="3" t="s">
        <v>102</v>
      </c>
      <c r="R3949" s="3" t="s">
        <v>70</v>
      </c>
      <c r="S3949" s="4">
        <v>2</v>
      </c>
      <c r="T3949" s="4">
        <v>2</v>
      </c>
      <c r="U3949" s="5" t="s">
        <v>38967</v>
      </c>
      <c r="V3949" s="5" t="s">
        <v>38967</v>
      </c>
      <c r="W3949" s="5" t="s">
        <v>72</v>
      </c>
      <c r="X3949" s="5" t="s">
        <v>72</v>
      </c>
      <c r="Y3949" s="4">
        <v>969</v>
      </c>
      <c r="Z3949" s="4">
        <v>29</v>
      </c>
      <c r="AA3949" s="4">
        <v>32</v>
      </c>
      <c r="AB3949" s="4">
        <v>4</v>
      </c>
      <c r="AC3949" s="4">
        <v>7</v>
      </c>
      <c r="AD3949" s="4">
        <v>80</v>
      </c>
      <c r="AE3949" s="4">
        <v>81</v>
      </c>
      <c r="AF3949" s="4">
        <v>2</v>
      </c>
      <c r="AG3949" s="4">
        <v>3</v>
      </c>
      <c r="AH3949" s="4">
        <v>70</v>
      </c>
      <c r="AI3949" s="4">
        <v>70</v>
      </c>
      <c r="AJ3949" s="4">
        <v>10</v>
      </c>
      <c r="AK3949" s="4">
        <v>11</v>
      </c>
      <c r="AL3949" s="4">
        <v>46</v>
      </c>
      <c r="AM3949" s="4">
        <v>46</v>
      </c>
      <c r="AN3949" s="4">
        <v>0</v>
      </c>
      <c r="AO3949" s="4">
        <v>0</v>
      </c>
      <c r="AP3949" s="4">
        <v>11</v>
      </c>
      <c r="AQ3949" s="4">
        <v>11</v>
      </c>
      <c r="AR3949" s="3" t="s">
        <v>64</v>
      </c>
      <c r="AS3949" s="3" t="s">
        <v>64</v>
      </c>
      <c r="AT3949" s="3" t="s">
        <v>64</v>
      </c>
      <c r="AV3949" s="6" t="str">
        <f>HYPERLINK("http://mcgill.on.worldcat.org/oclc/898418972","Catalog Record")</f>
        <v>Catalog Record</v>
      </c>
      <c r="AW3949" s="6" t="str">
        <f>HYPERLINK("http://www.worldcat.org/oclc/898418972","WorldCat Record")</f>
        <v>WorldCat Record</v>
      </c>
      <c r="AX3949" s="3" t="s">
        <v>38968</v>
      </c>
      <c r="AY3949" s="3" t="s">
        <v>38969</v>
      </c>
      <c r="AZ3949" s="3" t="s">
        <v>38970</v>
      </c>
      <c r="BA3949" s="3" t="s">
        <v>38970</v>
      </c>
      <c r="BB3949" s="3" t="s">
        <v>38971</v>
      </c>
      <c r="BC3949" s="3" t="s">
        <v>77</v>
      </c>
      <c r="BD3949" s="3" t="s">
        <v>78</v>
      </c>
      <c r="BE3949" s="3" t="s">
        <v>38972</v>
      </c>
      <c r="BF3949" s="3" t="s">
        <v>38971</v>
      </c>
      <c r="BG3949" s="3" t="s">
        <v>38973</v>
      </c>
      <c r="BH3949">
        <f t="shared" si="100"/>
        <v>0</v>
      </c>
    </row>
    <row r="3950" spans="1:60" ht="116" x14ac:dyDescent="0.35">
      <c r="A3950" s="2" t="s">
        <v>59</v>
      </c>
      <c r="B3950" s="2" t="s">
        <v>25844</v>
      </c>
      <c r="C3950" s="2" t="s">
        <v>38975</v>
      </c>
      <c r="D3950" s="2" t="s">
        <v>38976</v>
      </c>
      <c r="E3950" s="2" t="s">
        <v>38977</v>
      </c>
      <c r="F3950" s="3" t="s">
        <v>478</v>
      </c>
      <c r="G3950" s="3" t="s">
        <v>128</v>
      </c>
      <c r="I3950" s="3" t="s">
        <v>64</v>
      </c>
      <c r="J3950" s="3" t="s">
        <v>64</v>
      </c>
      <c r="K3950" s="3" t="s">
        <v>65</v>
      </c>
      <c r="L3950" s="2" t="s">
        <v>38978</v>
      </c>
      <c r="M3950" s="2" t="s">
        <v>38979</v>
      </c>
      <c r="N3950" s="3" t="s">
        <v>378</v>
      </c>
      <c r="O3950" s="2" t="s">
        <v>1189</v>
      </c>
      <c r="P3950" s="3" t="s">
        <v>1190</v>
      </c>
      <c r="R3950" s="3" t="s">
        <v>70</v>
      </c>
      <c r="S3950" s="4">
        <v>8</v>
      </c>
      <c r="T3950" s="4">
        <v>10</v>
      </c>
      <c r="U3950" s="5" t="s">
        <v>14190</v>
      </c>
      <c r="V3950" s="5" t="s">
        <v>14190</v>
      </c>
      <c r="W3950" s="5" t="s">
        <v>72</v>
      </c>
      <c r="X3950" s="5" t="s">
        <v>72</v>
      </c>
      <c r="Y3950" s="4">
        <v>50</v>
      </c>
      <c r="Z3950" s="4">
        <v>5</v>
      </c>
      <c r="AA3950" s="4">
        <v>5</v>
      </c>
      <c r="AB3950" s="4">
        <v>1</v>
      </c>
      <c r="AC3950" s="4">
        <v>1</v>
      </c>
      <c r="AD3950" s="4">
        <v>35</v>
      </c>
      <c r="AE3950" s="4">
        <v>39</v>
      </c>
      <c r="AF3950" s="4">
        <v>0</v>
      </c>
      <c r="AG3950" s="4">
        <v>0</v>
      </c>
      <c r="AH3950" s="4">
        <v>35</v>
      </c>
      <c r="AI3950" s="4">
        <v>38</v>
      </c>
      <c r="AJ3950" s="4">
        <v>3</v>
      </c>
      <c r="AK3950" s="4">
        <v>3</v>
      </c>
      <c r="AL3950" s="4">
        <v>25</v>
      </c>
      <c r="AM3950" s="4">
        <v>28</v>
      </c>
      <c r="AN3950" s="4">
        <v>0</v>
      </c>
      <c r="AO3950" s="4">
        <v>0</v>
      </c>
      <c r="AP3950" s="4">
        <v>3</v>
      </c>
      <c r="AQ3950" s="4">
        <v>3</v>
      </c>
      <c r="AR3950" s="3" t="s">
        <v>64</v>
      </c>
      <c r="AS3950" s="3" t="s">
        <v>64</v>
      </c>
      <c r="AT3950" s="3" t="s">
        <v>128</v>
      </c>
      <c r="AU3950" s="6" t="str">
        <f>HYPERLINK("http://catalog.hathitrust.org/Record/008019870","HathiTrust Record")</f>
        <v>HathiTrust Record</v>
      </c>
      <c r="AV3950" s="6" t="str">
        <f>HYPERLINK("http://mcgill.on.worldcat.org/oclc/17323175","Catalog Record")</f>
        <v>Catalog Record</v>
      </c>
      <c r="AW3950" s="6" t="str">
        <f>HYPERLINK("http://www.worldcat.org/oclc/17323175","WorldCat Record")</f>
        <v>WorldCat Record</v>
      </c>
      <c r="AX3950" s="3" t="s">
        <v>38980</v>
      </c>
      <c r="AY3950" s="3" t="s">
        <v>38981</v>
      </c>
      <c r="AZ3950" s="3" t="s">
        <v>38982</v>
      </c>
      <c r="BA3950" s="3" t="s">
        <v>38982</v>
      </c>
      <c r="BB3950" s="3" t="s">
        <v>38983</v>
      </c>
      <c r="BC3950" s="3" t="s">
        <v>77</v>
      </c>
      <c r="BD3950" s="3" t="s">
        <v>78</v>
      </c>
      <c r="BF3950" s="3" t="s">
        <v>38983</v>
      </c>
      <c r="BG3950" s="3" t="s">
        <v>38984</v>
      </c>
      <c r="BH3950">
        <f t="shared" si="100"/>
        <v>0</v>
      </c>
    </row>
    <row r="3951" spans="1:60" ht="116" x14ac:dyDescent="0.35">
      <c r="A3951" s="2" t="s">
        <v>59</v>
      </c>
      <c r="B3951" s="2" t="s">
        <v>25844</v>
      </c>
      <c r="C3951" s="2" t="s">
        <v>38975</v>
      </c>
      <c r="D3951" s="2" t="s">
        <v>38976</v>
      </c>
      <c r="E3951" s="2" t="s">
        <v>38977</v>
      </c>
      <c r="F3951" s="3" t="s">
        <v>489</v>
      </c>
      <c r="G3951" s="3" t="s">
        <v>128</v>
      </c>
      <c r="I3951" s="3" t="s">
        <v>64</v>
      </c>
      <c r="J3951" s="3" t="s">
        <v>64</v>
      </c>
      <c r="K3951" s="3" t="s">
        <v>65</v>
      </c>
      <c r="L3951" s="2" t="s">
        <v>38978</v>
      </c>
      <c r="M3951" s="2" t="s">
        <v>38979</v>
      </c>
      <c r="N3951" s="3" t="s">
        <v>378</v>
      </c>
      <c r="O3951" s="2" t="s">
        <v>1189</v>
      </c>
      <c r="P3951" s="3" t="s">
        <v>1190</v>
      </c>
      <c r="R3951" s="3" t="s">
        <v>70</v>
      </c>
      <c r="S3951" s="4">
        <v>2</v>
      </c>
      <c r="T3951" s="4">
        <v>10</v>
      </c>
      <c r="U3951" s="5" t="s">
        <v>14190</v>
      </c>
      <c r="V3951" s="5" t="s">
        <v>14190</v>
      </c>
      <c r="W3951" s="5" t="s">
        <v>72</v>
      </c>
      <c r="X3951" s="5" t="s">
        <v>72</v>
      </c>
      <c r="Y3951" s="4">
        <v>50</v>
      </c>
      <c r="Z3951" s="4">
        <v>5</v>
      </c>
      <c r="AA3951" s="4">
        <v>5</v>
      </c>
      <c r="AB3951" s="4">
        <v>1</v>
      </c>
      <c r="AC3951" s="4">
        <v>1</v>
      </c>
      <c r="AD3951" s="4">
        <v>35</v>
      </c>
      <c r="AE3951" s="4">
        <v>39</v>
      </c>
      <c r="AF3951" s="4">
        <v>0</v>
      </c>
      <c r="AG3951" s="4">
        <v>0</v>
      </c>
      <c r="AH3951" s="4">
        <v>35</v>
      </c>
      <c r="AI3951" s="4">
        <v>38</v>
      </c>
      <c r="AJ3951" s="4">
        <v>3</v>
      </c>
      <c r="AK3951" s="4">
        <v>3</v>
      </c>
      <c r="AL3951" s="4">
        <v>25</v>
      </c>
      <c r="AM3951" s="4">
        <v>28</v>
      </c>
      <c r="AN3951" s="4">
        <v>0</v>
      </c>
      <c r="AO3951" s="4">
        <v>0</v>
      </c>
      <c r="AP3951" s="4">
        <v>3</v>
      </c>
      <c r="AQ3951" s="4">
        <v>3</v>
      </c>
      <c r="AR3951" s="3" t="s">
        <v>64</v>
      </c>
      <c r="AS3951" s="3" t="s">
        <v>64</v>
      </c>
      <c r="AT3951" s="3" t="s">
        <v>128</v>
      </c>
      <c r="AU3951" s="6" t="str">
        <f>HYPERLINK("http://catalog.hathitrust.org/Record/008019870","HathiTrust Record")</f>
        <v>HathiTrust Record</v>
      </c>
      <c r="AV3951" s="6" t="str">
        <f>HYPERLINK("http://mcgill.on.worldcat.org/oclc/17323175","Catalog Record")</f>
        <v>Catalog Record</v>
      </c>
      <c r="AW3951" s="6" t="str">
        <f>HYPERLINK("http://www.worldcat.org/oclc/17323175","WorldCat Record")</f>
        <v>WorldCat Record</v>
      </c>
      <c r="AX3951" s="3" t="s">
        <v>38980</v>
      </c>
      <c r="AY3951" s="3" t="s">
        <v>38981</v>
      </c>
      <c r="AZ3951" s="3" t="s">
        <v>38982</v>
      </c>
      <c r="BA3951" s="3" t="s">
        <v>38982</v>
      </c>
      <c r="BB3951" s="3" t="s">
        <v>38985</v>
      </c>
      <c r="BC3951" s="3" t="s">
        <v>77</v>
      </c>
      <c r="BD3951" s="3" t="s">
        <v>78</v>
      </c>
      <c r="BF3951" s="3" t="s">
        <v>38985</v>
      </c>
      <c r="BG3951" s="3" t="s">
        <v>38986</v>
      </c>
      <c r="BH3951">
        <f t="shared" si="100"/>
        <v>0</v>
      </c>
    </row>
    <row r="3952" spans="1:60" ht="58" x14ac:dyDescent="0.35">
      <c r="A3952" s="2" t="s">
        <v>59</v>
      </c>
      <c r="B3952" s="2" t="s">
        <v>60</v>
      </c>
      <c r="C3952" s="2" t="s">
        <v>38987</v>
      </c>
      <c r="D3952" s="2" t="s">
        <v>38988</v>
      </c>
      <c r="E3952" s="2" t="s">
        <v>38989</v>
      </c>
      <c r="G3952" s="3" t="s">
        <v>64</v>
      </c>
      <c r="I3952" s="3" t="s">
        <v>128</v>
      </c>
      <c r="J3952" s="3" t="s">
        <v>64</v>
      </c>
      <c r="K3952" s="3" t="s">
        <v>65</v>
      </c>
      <c r="L3952" s="2" t="s">
        <v>38990</v>
      </c>
      <c r="M3952" s="2" t="s">
        <v>36721</v>
      </c>
      <c r="N3952" s="3" t="s">
        <v>511</v>
      </c>
      <c r="P3952" s="3" t="s">
        <v>102</v>
      </c>
      <c r="R3952" s="3" t="s">
        <v>70</v>
      </c>
      <c r="S3952" s="4">
        <v>16</v>
      </c>
      <c r="T3952" s="4">
        <v>27</v>
      </c>
      <c r="U3952" s="5" t="s">
        <v>14794</v>
      </c>
      <c r="V3952" s="5" t="s">
        <v>352</v>
      </c>
      <c r="W3952" s="5" t="s">
        <v>72</v>
      </c>
      <c r="X3952" s="5" t="s">
        <v>72</v>
      </c>
      <c r="Y3952" s="4">
        <v>847</v>
      </c>
      <c r="Z3952" s="4">
        <v>43</v>
      </c>
      <c r="AA3952" s="4">
        <v>62</v>
      </c>
      <c r="AB3952" s="4">
        <v>2</v>
      </c>
      <c r="AC3952" s="4">
        <v>8</v>
      </c>
      <c r="AD3952" s="4">
        <v>122</v>
      </c>
      <c r="AE3952" s="4">
        <v>138</v>
      </c>
      <c r="AF3952" s="4">
        <v>1</v>
      </c>
      <c r="AG3952" s="4">
        <v>4</v>
      </c>
      <c r="AH3952" s="4">
        <v>101</v>
      </c>
      <c r="AI3952" s="4">
        <v>109</v>
      </c>
      <c r="AJ3952" s="4">
        <v>18</v>
      </c>
      <c r="AK3952" s="4">
        <v>24</v>
      </c>
      <c r="AL3952" s="4">
        <v>54</v>
      </c>
      <c r="AM3952" s="4">
        <v>58</v>
      </c>
      <c r="AN3952" s="4">
        <v>0</v>
      </c>
      <c r="AO3952" s="4">
        <v>0</v>
      </c>
      <c r="AP3952" s="4">
        <v>29</v>
      </c>
      <c r="AQ3952" s="4">
        <v>38</v>
      </c>
      <c r="AR3952" s="3" t="s">
        <v>64</v>
      </c>
      <c r="AS3952" s="3" t="s">
        <v>64</v>
      </c>
      <c r="AT3952" s="3" t="s">
        <v>64</v>
      </c>
      <c r="AV3952" s="6" t="str">
        <f>HYPERLINK("http://mcgill.on.worldcat.org/oclc/601347978","Catalog Record")</f>
        <v>Catalog Record</v>
      </c>
      <c r="AW3952" s="6" t="str">
        <f>HYPERLINK("http://www.worldcat.org/oclc/601347978","WorldCat Record")</f>
        <v>WorldCat Record</v>
      </c>
      <c r="AX3952" s="3" t="s">
        <v>38991</v>
      </c>
      <c r="AY3952" s="3" t="s">
        <v>38992</v>
      </c>
      <c r="AZ3952" s="3" t="s">
        <v>38993</v>
      </c>
      <c r="BA3952" s="3" t="s">
        <v>38993</v>
      </c>
      <c r="BB3952" s="3" t="s">
        <v>38994</v>
      </c>
      <c r="BC3952" s="3" t="s">
        <v>77</v>
      </c>
      <c r="BD3952" s="3" t="s">
        <v>165</v>
      </c>
      <c r="BE3952" s="3" t="s">
        <v>38995</v>
      </c>
      <c r="BF3952" s="3" t="s">
        <v>38994</v>
      </c>
      <c r="BG3952" s="3" t="s">
        <v>38996</v>
      </c>
      <c r="BH3952">
        <f t="shared" si="100"/>
        <v>0</v>
      </c>
    </row>
    <row r="3953" spans="1:60" ht="58" x14ac:dyDescent="0.35">
      <c r="A3953" s="2" t="s">
        <v>59</v>
      </c>
      <c r="B3953" s="2" t="s">
        <v>60</v>
      </c>
      <c r="C3953" s="2" t="s">
        <v>38997</v>
      </c>
      <c r="D3953" s="2" t="s">
        <v>38998</v>
      </c>
      <c r="E3953" s="2" t="s">
        <v>38999</v>
      </c>
      <c r="G3953" s="3" t="s">
        <v>64</v>
      </c>
      <c r="I3953" s="3" t="s">
        <v>64</v>
      </c>
      <c r="J3953" s="3" t="s">
        <v>64</v>
      </c>
      <c r="K3953" s="3" t="s">
        <v>65</v>
      </c>
      <c r="L3953" s="2" t="s">
        <v>39000</v>
      </c>
      <c r="M3953" s="2" t="s">
        <v>39001</v>
      </c>
      <c r="N3953" s="3" t="s">
        <v>86</v>
      </c>
      <c r="O3953" s="2" t="s">
        <v>39002</v>
      </c>
      <c r="P3953" s="3" t="s">
        <v>102</v>
      </c>
      <c r="R3953" s="3" t="s">
        <v>70</v>
      </c>
      <c r="S3953" s="4">
        <v>9</v>
      </c>
      <c r="T3953" s="4">
        <v>9</v>
      </c>
      <c r="U3953" s="5" t="s">
        <v>17763</v>
      </c>
      <c r="V3953" s="5" t="s">
        <v>17763</v>
      </c>
      <c r="W3953" s="5" t="s">
        <v>72</v>
      </c>
      <c r="X3953" s="5" t="s">
        <v>72</v>
      </c>
      <c r="Y3953" s="4">
        <v>20</v>
      </c>
      <c r="Z3953" s="4">
        <v>15</v>
      </c>
      <c r="AA3953" s="4">
        <v>37</v>
      </c>
      <c r="AB3953" s="4">
        <v>2</v>
      </c>
      <c r="AC3953" s="4">
        <v>5</v>
      </c>
      <c r="AD3953" s="4">
        <v>5</v>
      </c>
      <c r="AE3953" s="4">
        <v>12</v>
      </c>
      <c r="AF3953" s="4">
        <v>0</v>
      </c>
      <c r="AG3953" s="4">
        <v>0</v>
      </c>
      <c r="AH3953" s="4">
        <v>4</v>
      </c>
      <c r="AI3953" s="4">
        <v>7</v>
      </c>
      <c r="AJ3953" s="4">
        <v>4</v>
      </c>
      <c r="AK3953" s="4">
        <v>7</v>
      </c>
      <c r="AL3953" s="4">
        <v>1</v>
      </c>
      <c r="AM3953" s="4">
        <v>2</v>
      </c>
      <c r="AN3953" s="4">
        <v>0</v>
      </c>
      <c r="AO3953" s="4">
        <v>0</v>
      </c>
      <c r="AP3953" s="4">
        <v>3</v>
      </c>
      <c r="AQ3953" s="4">
        <v>7</v>
      </c>
      <c r="AR3953" s="3" t="s">
        <v>128</v>
      </c>
      <c r="AS3953" s="3" t="s">
        <v>64</v>
      </c>
      <c r="AT3953" s="3" t="s">
        <v>64</v>
      </c>
      <c r="AV3953" s="6" t="str">
        <f>HYPERLINK("http://mcgill.on.worldcat.org/oclc/777304402","Catalog Record")</f>
        <v>Catalog Record</v>
      </c>
      <c r="AW3953" s="6" t="str">
        <f>HYPERLINK("http://www.worldcat.org/oclc/777304402","WorldCat Record")</f>
        <v>WorldCat Record</v>
      </c>
      <c r="AX3953" s="3" t="s">
        <v>39003</v>
      </c>
      <c r="AY3953" s="3" t="s">
        <v>39004</v>
      </c>
      <c r="AZ3953" s="3" t="s">
        <v>39005</v>
      </c>
      <c r="BA3953" s="3" t="s">
        <v>39005</v>
      </c>
      <c r="BB3953" s="3" t="s">
        <v>39006</v>
      </c>
      <c r="BC3953" s="3" t="s">
        <v>77</v>
      </c>
      <c r="BD3953" s="3" t="s">
        <v>78</v>
      </c>
      <c r="BE3953" s="3" t="s">
        <v>39007</v>
      </c>
      <c r="BF3953" s="3" t="s">
        <v>39006</v>
      </c>
      <c r="BG3953" s="3" t="s">
        <v>39008</v>
      </c>
      <c r="BH3953">
        <f t="shared" si="100"/>
        <v>0</v>
      </c>
    </row>
    <row r="3954" spans="1:60" ht="58" x14ac:dyDescent="0.35">
      <c r="A3954" s="2" t="s">
        <v>59</v>
      </c>
      <c r="B3954" s="2" t="s">
        <v>60</v>
      </c>
      <c r="C3954" s="2" t="s">
        <v>39009</v>
      </c>
      <c r="D3954" s="2" t="s">
        <v>39010</v>
      </c>
      <c r="E3954" s="2" t="s">
        <v>39011</v>
      </c>
      <c r="G3954" s="3" t="s">
        <v>64</v>
      </c>
      <c r="I3954" s="3" t="s">
        <v>64</v>
      </c>
      <c r="J3954" s="3" t="s">
        <v>64</v>
      </c>
      <c r="K3954" s="3" t="s">
        <v>65</v>
      </c>
      <c r="L3954" s="2" t="s">
        <v>39000</v>
      </c>
      <c r="M3954" s="2" t="s">
        <v>39012</v>
      </c>
      <c r="N3954" s="3" t="s">
        <v>551</v>
      </c>
      <c r="P3954" s="3" t="s">
        <v>102</v>
      </c>
      <c r="R3954" s="3" t="s">
        <v>70</v>
      </c>
      <c r="S3954" s="4">
        <v>9</v>
      </c>
      <c r="T3954" s="4">
        <v>9</v>
      </c>
      <c r="U3954" s="5" t="s">
        <v>39013</v>
      </c>
      <c r="V3954" s="5" t="s">
        <v>39013</v>
      </c>
      <c r="W3954" s="5" t="s">
        <v>72</v>
      </c>
      <c r="X3954" s="5" t="s">
        <v>72</v>
      </c>
      <c r="Y3954" s="4">
        <v>88</v>
      </c>
      <c r="Z3954" s="4">
        <v>56</v>
      </c>
      <c r="AA3954" s="4">
        <v>74</v>
      </c>
      <c r="AB3954" s="4">
        <v>6</v>
      </c>
      <c r="AC3954" s="4">
        <v>10</v>
      </c>
      <c r="AD3954" s="4">
        <v>26</v>
      </c>
      <c r="AE3954" s="4">
        <v>30</v>
      </c>
      <c r="AF3954" s="4">
        <v>0</v>
      </c>
      <c r="AG3954" s="4">
        <v>1</v>
      </c>
      <c r="AH3954" s="4">
        <v>17</v>
      </c>
      <c r="AI3954" s="4">
        <v>18</v>
      </c>
      <c r="AJ3954" s="4">
        <v>10</v>
      </c>
      <c r="AK3954" s="4">
        <v>13</v>
      </c>
      <c r="AL3954" s="4">
        <v>8</v>
      </c>
      <c r="AM3954" s="4">
        <v>8</v>
      </c>
      <c r="AN3954" s="4">
        <v>0</v>
      </c>
      <c r="AO3954" s="4">
        <v>0</v>
      </c>
      <c r="AP3954" s="4">
        <v>13</v>
      </c>
      <c r="AQ3954" s="4">
        <v>17</v>
      </c>
      <c r="AR3954" s="3" t="s">
        <v>128</v>
      </c>
      <c r="AS3954" s="3" t="s">
        <v>64</v>
      </c>
      <c r="AT3954" s="3" t="s">
        <v>64</v>
      </c>
      <c r="AV3954" s="6" t="str">
        <f>HYPERLINK("http://mcgill.on.worldcat.org/oclc/417025567","Catalog Record")</f>
        <v>Catalog Record</v>
      </c>
      <c r="AW3954" s="6" t="str">
        <f>HYPERLINK("http://www.worldcat.org/oclc/417025567","WorldCat Record")</f>
        <v>WorldCat Record</v>
      </c>
      <c r="AX3954" s="3" t="s">
        <v>39014</v>
      </c>
      <c r="AY3954" s="3" t="s">
        <v>39015</v>
      </c>
      <c r="AZ3954" s="3" t="s">
        <v>39016</v>
      </c>
      <c r="BA3954" s="3" t="s">
        <v>39016</v>
      </c>
      <c r="BB3954" s="3" t="s">
        <v>39017</v>
      </c>
      <c r="BC3954" s="3" t="s">
        <v>77</v>
      </c>
      <c r="BD3954" s="3" t="s">
        <v>78</v>
      </c>
      <c r="BE3954" s="3" t="s">
        <v>39018</v>
      </c>
      <c r="BF3954" s="3" t="s">
        <v>39017</v>
      </c>
      <c r="BG3954" s="3" t="s">
        <v>39019</v>
      </c>
      <c r="BH3954">
        <f t="shared" si="100"/>
        <v>0</v>
      </c>
    </row>
    <row r="3955" spans="1:60" ht="58" x14ac:dyDescent="0.35">
      <c r="A3955" s="2" t="s">
        <v>59</v>
      </c>
      <c r="B3955" s="2" t="s">
        <v>60</v>
      </c>
      <c r="C3955" s="2" t="s">
        <v>39020</v>
      </c>
      <c r="D3955" s="2" t="s">
        <v>39021</v>
      </c>
      <c r="E3955" s="2" t="s">
        <v>39022</v>
      </c>
      <c r="G3955" s="3" t="s">
        <v>64</v>
      </c>
      <c r="I3955" s="3" t="s">
        <v>64</v>
      </c>
      <c r="J3955" s="3" t="s">
        <v>64</v>
      </c>
      <c r="K3955" s="3" t="s">
        <v>65</v>
      </c>
      <c r="M3955" s="2" t="s">
        <v>39023</v>
      </c>
      <c r="N3955" s="3" t="s">
        <v>116</v>
      </c>
      <c r="P3955" s="3" t="s">
        <v>102</v>
      </c>
      <c r="R3955" s="3" t="s">
        <v>70</v>
      </c>
      <c r="S3955" s="4">
        <v>6</v>
      </c>
      <c r="T3955" s="4">
        <v>6</v>
      </c>
      <c r="U3955" s="5" t="s">
        <v>435</v>
      </c>
      <c r="V3955" s="5" t="s">
        <v>435</v>
      </c>
      <c r="W3955" s="5" t="s">
        <v>72</v>
      </c>
      <c r="X3955" s="5" t="s">
        <v>72</v>
      </c>
      <c r="Y3955" s="4">
        <v>185</v>
      </c>
      <c r="Z3955" s="4">
        <v>14</v>
      </c>
      <c r="AA3955" s="4">
        <v>15</v>
      </c>
      <c r="AB3955" s="4">
        <v>2</v>
      </c>
      <c r="AC3955" s="4">
        <v>3</v>
      </c>
      <c r="AD3955" s="4">
        <v>46</v>
      </c>
      <c r="AE3955" s="4">
        <v>47</v>
      </c>
      <c r="AF3955" s="4">
        <v>0</v>
      </c>
      <c r="AG3955" s="4">
        <v>1</v>
      </c>
      <c r="AH3955" s="4">
        <v>40</v>
      </c>
      <c r="AI3955" s="4">
        <v>40</v>
      </c>
      <c r="AJ3955" s="4">
        <v>8</v>
      </c>
      <c r="AK3955" s="4">
        <v>9</v>
      </c>
      <c r="AL3955" s="4">
        <v>19</v>
      </c>
      <c r="AM3955" s="4">
        <v>19</v>
      </c>
      <c r="AN3955" s="4">
        <v>0</v>
      </c>
      <c r="AO3955" s="4">
        <v>0</v>
      </c>
      <c r="AP3955" s="4">
        <v>10</v>
      </c>
      <c r="AQ3955" s="4">
        <v>10</v>
      </c>
      <c r="AR3955" s="3" t="s">
        <v>64</v>
      </c>
      <c r="AS3955" s="3" t="s">
        <v>64</v>
      </c>
      <c r="AT3955" s="3" t="s">
        <v>64</v>
      </c>
      <c r="AV3955" s="6" t="str">
        <f>HYPERLINK("http://mcgill.on.worldcat.org/oclc/46600308","Catalog Record")</f>
        <v>Catalog Record</v>
      </c>
      <c r="AW3955" s="6" t="str">
        <f>HYPERLINK("http://www.worldcat.org/oclc/46600308","WorldCat Record")</f>
        <v>WorldCat Record</v>
      </c>
      <c r="AX3955" s="3" t="s">
        <v>39024</v>
      </c>
      <c r="AY3955" s="3" t="s">
        <v>39025</v>
      </c>
      <c r="AZ3955" s="3" t="s">
        <v>39026</v>
      </c>
      <c r="BA3955" s="3" t="s">
        <v>39026</v>
      </c>
      <c r="BB3955" s="3" t="s">
        <v>39027</v>
      </c>
      <c r="BC3955" s="3" t="s">
        <v>77</v>
      </c>
      <c r="BD3955" s="3" t="s">
        <v>78</v>
      </c>
      <c r="BE3955" s="3" t="s">
        <v>39028</v>
      </c>
      <c r="BF3955" s="3" t="s">
        <v>39027</v>
      </c>
      <c r="BG3955" s="3" t="s">
        <v>39029</v>
      </c>
      <c r="BH3955">
        <f t="shared" si="100"/>
        <v>0</v>
      </c>
    </row>
    <row r="3956" spans="1:60" ht="58" x14ac:dyDescent="0.35">
      <c r="A3956" s="2" t="s">
        <v>59</v>
      </c>
      <c r="B3956" s="2" t="s">
        <v>60</v>
      </c>
      <c r="C3956" s="2" t="s">
        <v>39030</v>
      </c>
      <c r="D3956" s="2" t="s">
        <v>39031</v>
      </c>
      <c r="E3956" s="2" t="s">
        <v>39032</v>
      </c>
      <c r="G3956" s="3" t="s">
        <v>64</v>
      </c>
      <c r="I3956" s="3" t="s">
        <v>64</v>
      </c>
      <c r="J3956" s="3" t="s">
        <v>64</v>
      </c>
      <c r="K3956" s="3" t="s">
        <v>65</v>
      </c>
      <c r="L3956" s="2" t="s">
        <v>39033</v>
      </c>
      <c r="M3956" s="2" t="s">
        <v>39034</v>
      </c>
      <c r="N3956" s="3" t="s">
        <v>421</v>
      </c>
      <c r="O3956" s="2" t="s">
        <v>2149</v>
      </c>
      <c r="P3956" s="3" t="s">
        <v>102</v>
      </c>
      <c r="R3956" s="3" t="s">
        <v>70</v>
      </c>
      <c r="S3956" s="4">
        <v>10</v>
      </c>
      <c r="T3956" s="4">
        <v>10</v>
      </c>
      <c r="U3956" s="5" t="s">
        <v>15479</v>
      </c>
      <c r="V3956" s="5" t="s">
        <v>15479</v>
      </c>
      <c r="W3956" s="5" t="s">
        <v>72</v>
      </c>
      <c r="X3956" s="5" t="s">
        <v>72</v>
      </c>
      <c r="Y3956" s="4">
        <v>203</v>
      </c>
      <c r="Z3956" s="4">
        <v>16</v>
      </c>
      <c r="AA3956" s="4">
        <v>17</v>
      </c>
      <c r="AB3956" s="4">
        <v>2</v>
      </c>
      <c r="AC3956" s="4">
        <v>2</v>
      </c>
      <c r="AD3956" s="4">
        <v>85</v>
      </c>
      <c r="AE3956" s="4">
        <v>90</v>
      </c>
      <c r="AF3956" s="4">
        <v>1</v>
      </c>
      <c r="AG3956" s="4">
        <v>1</v>
      </c>
      <c r="AH3956" s="4">
        <v>75</v>
      </c>
      <c r="AI3956" s="4">
        <v>79</v>
      </c>
      <c r="AJ3956" s="4">
        <v>7</v>
      </c>
      <c r="AK3956" s="4">
        <v>7</v>
      </c>
      <c r="AL3956" s="4">
        <v>45</v>
      </c>
      <c r="AM3956" s="4">
        <v>47</v>
      </c>
      <c r="AN3956" s="4">
        <v>0</v>
      </c>
      <c r="AO3956" s="4">
        <v>0</v>
      </c>
      <c r="AP3956" s="4">
        <v>12</v>
      </c>
      <c r="AQ3956" s="4">
        <v>13</v>
      </c>
      <c r="AR3956" s="3" t="s">
        <v>64</v>
      </c>
      <c r="AS3956" s="3" t="s">
        <v>64</v>
      </c>
      <c r="AT3956" s="3" t="s">
        <v>64</v>
      </c>
      <c r="AV3956" s="6" t="str">
        <f>HYPERLINK("http://mcgill.on.worldcat.org/oclc/36681684","Catalog Record")</f>
        <v>Catalog Record</v>
      </c>
      <c r="AW3956" s="6" t="str">
        <f>HYPERLINK("http://www.worldcat.org/oclc/36681684","WorldCat Record")</f>
        <v>WorldCat Record</v>
      </c>
      <c r="AX3956" s="3" t="s">
        <v>39035</v>
      </c>
      <c r="AY3956" s="3" t="s">
        <v>39036</v>
      </c>
      <c r="AZ3956" s="3" t="s">
        <v>39037</v>
      </c>
      <c r="BA3956" s="3" t="s">
        <v>39037</v>
      </c>
      <c r="BB3956" s="3" t="s">
        <v>39038</v>
      </c>
      <c r="BC3956" s="3" t="s">
        <v>77</v>
      </c>
      <c r="BD3956" s="3" t="s">
        <v>78</v>
      </c>
      <c r="BE3956" s="3" t="s">
        <v>39039</v>
      </c>
      <c r="BF3956" s="3" t="s">
        <v>39038</v>
      </c>
      <c r="BG3956" s="3" t="s">
        <v>39040</v>
      </c>
      <c r="BH3956">
        <f t="shared" si="100"/>
        <v>0</v>
      </c>
    </row>
    <row r="3957" spans="1:60" ht="58" x14ac:dyDescent="0.35">
      <c r="A3957" s="2" t="s">
        <v>59</v>
      </c>
      <c r="B3957" s="2" t="s">
        <v>60</v>
      </c>
      <c r="C3957" s="2" t="s">
        <v>39041</v>
      </c>
      <c r="D3957" s="2" t="s">
        <v>39042</v>
      </c>
      <c r="E3957" s="2" t="s">
        <v>39043</v>
      </c>
      <c r="G3957" s="3" t="s">
        <v>64</v>
      </c>
      <c r="I3957" s="3" t="s">
        <v>64</v>
      </c>
      <c r="J3957" s="3" t="s">
        <v>128</v>
      </c>
      <c r="K3957" s="3" t="s">
        <v>65</v>
      </c>
      <c r="L3957" s="2" t="s">
        <v>39044</v>
      </c>
      <c r="M3957" s="2" t="s">
        <v>39045</v>
      </c>
      <c r="N3957" s="3" t="s">
        <v>979</v>
      </c>
      <c r="O3957" s="2" t="s">
        <v>7660</v>
      </c>
      <c r="P3957" s="3" t="s">
        <v>102</v>
      </c>
      <c r="R3957" s="3" t="s">
        <v>70</v>
      </c>
      <c r="S3957" s="4">
        <v>14</v>
      </c>
      <c r="T3957" s="4">
        <v>14</v>
      </c>
      <c r="U3957" s="5" t="s">
        <v>39046</v>
      </c>
      <c r="V3957" s="5" t="s">
        <v>39046</v>
      </c>
      <c r="W3957" s="5" t="s">
        <v>72</v>
      </c>
      <c r="X3957" s="5" t="s">
        <v>72</v>
      </c>
      <c r="Y3957" s="4">
        <v>194</v>
      </c>
      <c r="Z3957" s="4">
        <v>16</v>
      </c>
      <c r="AA3957" s="4">
        <v>57</v>
      </c>
      <c r="AB3957" s="4">
        <v>1</v>
      </c>
      <c r="AC3957" s="4">
        <v>5</v>
      </c>
      <c r="AD3957" s="4">
        <v>45</v>
      </c>
      <c r="AE3957" s="4">
        <v>109</v>
      </c>
      <c r="AF3957" s="4">
        <v>0</v>
      </c>
      <c r="AG3957" s="4">
        <v>2</v>
      </c>
      <c r="AH3957" s="4">
        <v>42</v>
      </c>
      <c r="AI3957" s="4">
        <v>88</v>
      </c>
      <c r="AJ3957" s="4">
        <v>7</v>
      </c>
      <c r="AK3957" s="4">
        <v>18</v>
      </c>
      <c r="AL3957" s="4">
        <v>18</v>
      </c>
      <c r="AM3957" s="4">
        <v>41</v>
      </c>
      <c r="AN3957" s="4">
        <v>5</v>
      </c>
      <c r="AO3957" s="4">
        <v>10</v>
      </c>
      <c r="AP3957" s="4">
        <v>8</v>
      </c>
      <c r="AQ3957" s="4">
        <v>29</v>
      </c>
      <c r="AR3957" s="3" t="s">
        <v>64</v>
      </c>
      <c r="AS3957" s="3" t="s">
        <v>64</v>
      </c>
      <c r="AT3957" s="3" t="s">
        <v>128</v>
      </c>
      <c r="AU3957" s="6" t="str">
        <f>HYPERLINK("http://catalog.hathitrust.org/Record/102008180","HathiTrust Record")</f>
        <v>HathiTrust Record</v>
      </c>
      <c r="AV3957" s="6" t="str">
        <f>HYPERLINK("http://mcgill.on.worldcat.org/oclc/41266017","Catalog Record")</f>
        <v>Catalog Record</v>
      </c>
      <c r="AW3957" s="6" t="str">
        <f>HYPERLINK("http://www.worldcat.org/oclc/41266017","WorldCat Record")</f>
        <v>WorldCat Record</v>
      </c>
      <c r="AX3957" s="3" t="s">
        <v>39047</v>
      </c>
      <c r="AY3957" s="3" t="s">
        <v>39048</v>
      </c>
      <c r="AZ3957" s="3" t="s">
        <v>39049</v>
      </c>
      <c r="BA3957" s="3" t="s">
        <v>39049</v>
      </c>
      <c r="BB3957" s="3" t="s">
        <v>39050</v>
      </c>
      <c r="BC3957" s="3" t="s">
        <v>77</v>
      </c>
      <c r="BD3957" s="3" t="s">
        <v>78</v>
      </c>
      <c r="BE3957" s="3" t="s">
        <v>39051</v>
      </c>
      <c r="BF3957" s="3" t="s">
        <v>39050</v>
      </c>
      <c r="BG3957" s="3" t="s">
        <v>39052</v>
      </c>
      <c r="BH3957">
        <f t="shared" si="100"/>
        <v>0</v>
      </c>
    </row>
    <row r="3958" spans="1:60" ht="58" x14ac:dyDescent="0.35">
      <c r="A3958" s="2" t="s">
        <v>59</v>
      </c>
      <c r="B3958" s="2" t="s">
        <v>60</v>
      </c>
      <c r="C3958" s="2" t="s">
        <v>39053</v>
      </c>
      <c r="D3958" s="2" t="s">
        <v>39054</v>
      </c>
      <c r="E3958" s="2" t="s">
        <v>39055</v>
      </c>
      <c r="G3958" s="3" t="s">
        <v>64</v>
      </c>
      <c r="I3958" s="3" t="s">
        <v>64</v>
      </c>
      <c r="J3958" s="3" t="s">
        <v>64</v>
      </c>
      <c r="K3958" s="3" t="s">
        <v>65</v>
      </c>
      <c r="L3958" s="2" t="s">
        <v>39056</v>
      </c>
      <c r="M3958" s="2" t="s">
        <v>1406</v>
      </c>
      <c r="N3958" s="3" t="s">
        <v>326</v>
      </c>
      <c r="P3958" s="3" t="s">
        <v>102</v>
      </c>
      <c r="R3958" s="3" t="s">
        <v>70</v>
      </c>
      <c r="S3958" s="4">
        <v>5</v>
      </c>
      <c r="T3958" s="4">
        <v>5</v>
      </c>
      <c r="U3958" s="5" t="s">
        <v>39057</v>
      </c>
      <c r="V3958" s="5" t="s">
        <v>39057</v>
      </c>
      <c r="W3958" s="5" t="s">
        <v>72</v>
      </c>
      <c r="X3958" s="5" t="s">
        <v>72</v>
      </c>
      <c r="Y3958" s="4">
        <v>242</v>
      </c>
      <c r="Z3958" s="4">
        <v>21</v>
      </c>
      <c r="AA3958" s="4">
        <v>23</v>
      </c>
      <c r="AB3958" s="4">
        <v>1</v>
      </c>
      <c r="AC3958" s="4">
        <v>3</v>
      </c>
      <c r="AD3958" s="4">
        <v>73</v>
      </c>
      <c r="AE3958" s="4">
        <v>74</v>
      </c>
      <c r="AF3958" s="4">
        <v>0</v>
      </c>
      <c r="AG3958" s="4">
        <v>1</v>
      </c>
      <c r="AH3958" s="4">
        <v>66</v>
      </c>
      <c r="AI3958" s="4">
        <v>66</v>
      </c>
      <c r="AJ3958" s="4">
        <v>13</v>
      </c>
      <c r="AK3958" s="4">
        <v>14</v>
      </c>
      <c r="AL3958" s="4">
        <v>41</v>
      </c>
      <c r="AM3958" s="4">
        <v>41</v>
      </c>
      <c r="AN3958" s="4">
        <v>0</v>
      </c>
      <c r="AO3958" s="4">
        <v>0</v>
      </c>
      <c r="AP3958" s="4">
        <v>16</v>
      </c>
      <c r="AQ3958" s="4">
        <v>16</v>
      </c>
      <c r="AR3958" s="3" t="s">
        <v>64</v>
      </c>
      <c r="AS3958" s="3" t="s">
        <v>64</v>
      </c>
      <c r="AT3958" s="3" t="s">
        <v>64</v>
      </c>
      <c r="AV3958" s="6" t="str">
        <f>HYPERLINK("http://mcgill.on.worldcat.org/oclc/655301533","Catalog Record")</f>
        <v>Catalog Record</v>
      </c>
      <c r="AW3958" s="6" t="str">
        <f>HYPERLINK("http://www.worldcat.org/oclc/655301533","WorldCat Record")</f>
        <v>WorldCat Record</v>
      </c>
      <c r="AX3958" s="3" t="s">
        <v>39058</v>
      </c>
      <c r="AY3958" s="3" t="s">
        <v>39059</v>
      </c>
      <c r="AZ3958" s="3" t="s">
        <v>39060</v>
      </c>
      <c r="BA3958" s="3" t="s">
        <v>39060</v>
      </c>
      <c r="BB3958" s="3" t="s">
        <v>39061</v>
      </c>
      <c r="BC3958" s="3" t="s">
        <v>77</v>
      </c>
      <c r="BD3958" s="3" t="s">
        <v>78</v>
      </c>
      <c r="BE3958" s="3" t="s">
        <v>39062</v>
      </c>
      <c r="BF3958" s="3" t="s">
        <v>39061</v>
      </c>
      <c r="BG3958" s="3" t="s">
        <v>39063</v>
      </c>
      <c r="BH3958">
        <f t="shared" si="100"/>
        <v>0</v>
      </c>
    </row>
    <row r="3959" spans="1:60" ht="58" x14ac:dyDescent="0.35">
      <c r="A3959" s="2" t="s">
        <v>59</v>
      </c>
      <c r="B3959" s="2" t="s">
        <v>60</v>
      </c>
      <c r="C3959" s="2" t="s">
        <v>39064</v>
      </c>
      <c r="D3959" s="2" t="s">
        <v>39065</v>
      </c>
      <c r="E3959" s="2" t="s">
        <v>39066</v>
      </c>
      <c r="G3959" s="3" t="s">
        <v>64</v>
      </c>
      <c r="I3959" s="3" t="s">
        <v>64</v>
      </c>
      <c r="J3959" s="3" t="s">
        <v>128</v>
      </c>
      <c r="K3959" s="3" t="s">
        <v>65</v>
      </c>
      <c r="L3959" s="2" t="s">
        <v>39067</v>
      </c>
      <c r="M3959" s="2" t="s">
        <v>39068</v>
      </c>
      <c r="N3959" s="3" t="s">
        <v>116</v>
      </c>
      <c r="O3959" s="2" t="s">
        <v>39069</v>
      </c>
      <c r="P3959" s="3" t="s">
        <v>102</v>
      </c>
      <c r="R3959" s="3" t="s">
        <v>70</v>
      </c>
      <c r="S3959" s="4">
        <v>40</v>
      </c>
      <c r="T3959" s="4">
        <v>40</v>
      </c>
      <c r="U3959" s="5" t="s">
        <v>39070</v>
      </c>
      <c r="V3959" s="5" t="s">
        <v>39070</v>
      </c>
      <c r="W3959" s="5" t="s">
        <v>72</v>
      </c>
      <c r="X3959" s="5" t="s">
        <v>72</v>
      </c>
      <c r="Y3959" s="4">
        <v>223</v>
      </c>
      <c r="Z3959" s="4">
        <v>1</v>
      </c>
      <c r="AA3959" s="4">
        <v>49</v>
      </c>
      <c r="AB3959" s="4">
        <v>1</v>
      </c>
      <c r="AC3959" s="4">
        <v>6</v>
      </c>
      <c r="AD3959" s="4">
        <v>32</v>
      </c>
      <c r="AE3959" s="4">
        <v>117</v>
      </c>
      <c r="AF3959" s="4">
        <v>0</v>
      </c>
      <c r="AG3959" s="4">
        <v>3</v>
      </c>
      <c r="AH3959" s="4">
        <v>31</v>
      </c>
      <c r="AI3959" s="4">
        <v>96</v>
      </c>
      <c r="AJ3959" s="4">
        <v>0</v>
      </c>
      <c r="AK3959" s="4">
        <v>21</v>
      </c>
      <c r="AL3959" s="4">
        <v>16</v>
      </c>
      <c r="AM3959" s="4">
        <v>47</v>
      </c>
      <c r="AN3959" s="4">
        <v>0</v>
      </c>
      <c r="AO3959" s="4">
        <v>0</v>
      </c>
      <c r="AP3959" s="4">
        <v>0</v>
      </c>
      <c r="AQ3959" s="4">
        <v>28</v>
      </c>
      <c r="AR3959" s="3" t="s">
        <v>64</v>
      </c>
      <c r="AS3959" s="3" t="s">
        <v>64</v>
      </c>
      <c r="AT3959" s="3" t="s">
        <v>128</v>
      </c>
      <c r="AU3959" s="6" t="str">
        <f>HYPERLINK("http://catalog.hathitrust.org/Record/003863712","HathiTrust Record")</f>
        <v>HathiTrust Record</v>
      </c>
      <c r="AV3959" s="6" t="str">
        <f>HYPERLINK("http://mcgill.on.worldcat.org/oclc/43328928","Catalog Record")</f>
        <v>Catalog Record</v>
      </c>
      <c r="AW3959" s="6" t="str">
        <f>HYPERLINK("http://www.worldcat.org/oclc/43328928","WorldCat Record")</f>
        <v>WorldCat Record</v>
      </c>
      <c r="AX3959" s="3" t="s">
        <v>39071</v>
      </c>
      <c r="AY3959" s="3" t="s">
        <v>39072</v>
      </c>
      <c r="AZ3959" s="3" t="s">
        <v>39073</v>
      </c>
      <c r="BA3959" s="3" t="s">
        <v>39073</v>
      </c>
      <c r="BB3959" s="3" t="s">
        <v>39074</v>
      </c>
      <c r="BC3959" s="3" t="s">
        <v>77</v>
      </c>
      <c r="BD3959" s="3" t="s">
        <v>78</v>
      </c>
      <c r="BE3959" s="3" t="s">
        <v>39075</v>
      </c>
      <c r="BF3959" s="3" t="s">
        <v>39074</v>
      </c>
      <c r="BG3959" s="3" t="s">
        <v>39076</v>
      </c>
      <c r="BH3959">
        <f t="shared" si="100"/>
        <v>0</v>
      </c>
    </row>
    <row r="3960" spans="1:60" ht="58" x14ac:dyDescent="0.35">
      <c r="A3960" s="2" t="s">
        <v>59</v>
      </c>
      <c r="B3960" s="2" t="s">
        <v>60</v>
      </c>
      <c r="C3960" s="2" t="s">
        <v>39077</v>
      </c>
      <c r="D3960" s="2" t="s">
        <v>39078</v>
      </c>
      <c r="E3960" s="2" t="s">
        <v>39079</v>
      </c>
      <c r="G3960" s="3" t="s">
        <v>64</v>
      </c>
      <c r="I3960" s="3" t="s">
        <v>64</v>
      </c>
      <c r="J3960" s="3" t="s">
        <v>64</v>
      </c>
      <c r="K3960" s="3" t="s">
        <v>65</v>
      </c>
      <c r="L3960" s="2" t="s">
        <v>39080</v>
      </c>
      <c r="M3960" s="2" t="s">
        <v>39081</v>
      </c>
      <c r="N3960" s="3" t="s">
        <v>144</v>
      </c>
      <c r="P3960" s="3" t="s">
        <v>102</v>
      </c>
      <c r="R3960" s="3" t="s">
        <v>70</v>
      </c>
      <c r="S3960" s="4">
        <v>9</v>
      </c>
      <c r="T3960" s="4">
        <v>9</v>
      </c>
      <c r="U3960" s="5" t="s">
        <v>9476</v>
      </c>
      <c r="V3960" s="5" t="s">
        <v>9476</v>
      </c>
      <c r="W3960" s="5" t="s">
        <v>72</v>
      </c>
      <c r="X3960" s="5" t="s">
        <v>72</v>
      </c>
      <c r="Y3960" s="4">
        <v>624</v>
      </c>
      <c r="Z3960" s="4">
        <v>47</v>
      </c>
      <c r="AA3960" s="4">
        <v>63</v>
      </c>
      <c r="AB3960" s="4">
        <v>3</v>
      </c>
      <c r="AC3960" s="4">
        <v>9</v>
      </c>
      <c r="AD3960" s="4">
        <v>107</v>
      </c>
      <c r="AE3960" s="4">
        <v>117</v>
      </c>
      <c r="AF3960" s="4">
        <v>2</v>
      </c>
      <c r="AG3960" s="4">
        <v>5</v>
      </c>
      <c r="AH3960" s="4">
        <v>83</v>
      </c>
      <c r="AI3960" s="4">
        <v>89</v>
      </c>
      <c r="AJ3960" s="4">
        <v>17</v>
      </c>
      <c r="AK3960" s="4">
        <v>20</v>
      </c>
      <c r="AL3960" s="4">
        <v>46</v>
      </c>
      <c r="AM3960" s="4">
        <v>49</v>
      </c>
      <c r="AN3960" s="4">
        <v>0</v>
      </c>
      <c r="AO3960" s="4">
        <v>0</v>
      </c>
      <c r="AP3960" s="4">
        <v>32</v>
      </c>
      <c r="AQ3960" s="4">
        <v>36</v>
      </c>
      <c r="AR3960" s="3" t="s">
        <v>64</v>
      </c>
      <c r="AS3960" s="3" t="s">
        <v>64</v>
      </c>
      <c r="AT3960" s="3" t="s">
        <v>128</v>
      </c>
      <c r="AU3960" s="6" t="str">
        <f>HYPERLINK("http://catalog.hathitrust.org/Record/006964488","HathiTrust Record")</f>
        <v>HathiTrust Record</v>
      </c>
      <c r="AV3960" s="6" t="str">
        <f>HYPERLINK("http://mcgill.on.worldcat.org/oclc/183179540","Catalog Record")</f>
        <v>Catalog Record</v>
      </c>
      <c r="AW3960" s="6" t="str">
        <f>HYPERLINK("http://www.worldcat.org/oclc/183179540","WorldCat Record")</f>
        <v>WorldCat Record</v>
      </c>
      <c r="AX3960" s="3" t="s">
        <v>39082</v>
      </c>
      <c r="AY3960" s="3" t="s">
        <v>39083</v>
      </c>
      <c r="AZ3960" s="3" t="s">
        <v>39084</v>
      </c>
      <c r="BA3960" s="3" t="s">
        <v>39084</v>
      </c>
      <c r="BB3960" s="3" t="s">
        <v>39085</v>
      </c>
      <c r="BC3960" s="3" t="s">
        <v>77</v>
      </c>
      <c r="BD3960" s="3" t="s">
        <v>78</v>
      </c>
      <c r="BE3960" s="3" t="s">
        <v>39086</v>
      </c>
      <c r="BF3960" s="3" t="s">
        <v>39085</v>
      </c>
      <c r="BG3960" s="3" t="s">
        <v>39087</v>
      </c>
      <c r="BH3960">
        <f t="shared" si="100"/>
        <v>0</v>
      </c>
    </row>
    <row r="3961" spans="1:60" ht="58" x14ac:dyDescent="0.35">
      <c r="A3961" s="2" t="s">
        <v>59</v>
      </c>
      <c r="B3961" s="2" t="s">
        <v>6744</v>
      </c>
      <c r="C3961" s="2" t="s">
        <v>39088</v>
      </c>
      <c r="D3961" s="2" t="s">
        <v>39089</v>
      </c>
      <c r="E3961" s="2" t="s">
        <v>39090</v>
      </c>
      <c r="G3961" s="3" t="s">
        <v>64</v>
      </c>
      <c r="I3961" s="3" t="s">
        <v>64</v>
      </c>
      <c r="J3961" s="3" t="s">
        <v>128</v>
      </c>
      <c r="K3961" s="3" t="s">
        <v>65</v>
      </c>
      <c r="L3961" s="2" t="s">
        <v>39080</v>
      </c>
      <c r="M3961" s="2" t="s">
        <v>39091</v>
      </c>
      <c r="N3961" s="3" t="s">
        <v>101</v>
      </c>
      <c r="O3961" s="2" t="s">
        <v>2994</v>
      </c>
      <c r="P3961" s="3" t="s">
        <v>102</v>
      </c>
      <c r="R3961" s="3" t="s">
        <v>70</v>
      </c>
      <c r="S3961" s="4">
        <v>127</v>
      </c>
      <c r="T3961" s="4">
        <v>127</v>
      </c>
      <c r="U3961" s="5" t="s">
        <v>11884</v>
      </c>
      <c r="V3961" s="5" t="s">
        <v>11884</v>
      </c>
      <c r="W3961" s="5" t="s">
        <v>72</v>
      </c>
      <c r="X3961" s="5" t="s">
        <v>72</v>
      </c>
      <c r="Y3961" s="4">
        <v>319</v>
      </c>
      <c r="Z3961" s="4">
        <v>31</v>
      </c>
      <c r="AA3961" s="4">
        <v>65</v>
      </c>
      <c r="AB3961" s="4">
        <v>3</v>
      </c>
      <c r="AC3961" s="4">
        <v>6</v>
      </c>
      <c r="AD3961" s="4">
        <v>61</v>
      </c>
      <c r="AE3961" s="4">
        <v>120</v>
      </c>
      <c r="AF3961" s="4">
        <v>2</v>
      </c>
      <c r="AG3961" s="4">
        <v>4</v>
      </c>
      <c r="AH3961" s="4">
        <v>46</v>
      </c>
      <c r="AI3961" s="4">
        <v>91</v>
      </c>
      <c r="AJ3961" s="4">
        <v>14</v>
      </c>
      <c r="AK3961" s="4">
        <v>23</v>
      </c>
      <c r="AL3961" s="4">
        <v>22</v>
      </c>
      <c r="AM3961" s="4">
        <v>39</v>
      </c>
      <c r="AN3961" s="4">
        <v>0</v>
      </c>
      <c r="AO3961" s="4">
        <v>0</v>
      </c>
      <c r="AP3961" s="4">
        <v>21</v>
      </c>
      <c r="AQ3961" s="4">
        <v>39</v>
      </c>
      <c r="AR3961" s="3" t="s">
        <v>64</v>
      </c>
      <c r="AS3961" s="3" t="s">
        <v>64</v>
      </c>
      <c r="AT3961" s="3" t="s">
        <v>64</v>
      </c>
      <c r="AV3961" s="6" t="str">
        <f>HYPERLINK("http://mcgill.on.worldcat.org/oclc/49011220","Catalog Record")</f>
        <v>Catalog Record</v>
      </c>
      <c r="AW3961" s="6" t="str">
        <f>HYPERLINK("http://www.worldcat.org/oclc/49011220","WorldCat Record")</f>
        <v>WorldCat Record</v>
      </c>
      <c r="AX3961" s="3" t="s">
        <v>39092</v>
      </c>
      <c r="AY3961" s="3" t="s">
        <v>39093</v>
      </c>
      <c r="AZ3961" s="3" t="s">
        <v>39094</v>
      </c>
      <c r="BA3961" s="3" t="s">
        <v>39094</v>
      </c>
      <c r="BB3961" s="3" t="s">
        <v>39095</v>
      </c>
      <c r="BC3961" s="3" t="s">
        <v>77</v>
      </c>
      <c r="BD3961" s="3" t="s">
        <v>78</v>
      </c>
      <c r="BE3961" s="3" t="s">
        <v>39096</v>
      </c>
      <c r="BF3961" s="3" t="s">
        <v>39095</v>
      </c>
      <c r="BG3961" s="3" t="s">
        <v>39097</v>
      </c>
      <c r="BH3961">
        <f t="shared" si="100"/>
        <v>0</v>
      </c>
    </row>
    <row r="3962" spans="1:60" ht="72.5" x14ac:dyDescent="0.35">
      <c r="A3962" s="2" t="s">
        <v>6202</v>
      </c>
      <c r="B3962" s="2" t="s">
        <v>6203</v>
      </c>
      <c r="C3962" s="2" t="s">
        <v>39098</v>
      </c>
      <c r="D3962" s="2" t="s">
        <v>39099</v>
      </c>
      <c r="E3962" s="2" t="s">
        <v>39100</v>
      </c>
      <c r="G3962" s="3" t="s">
        <v>64</v>
      </c>
      <c r="I3962" s="3" t="s">
        <v>128</v>
      </c>
      <c r="J3962" s="3" t="s">
        <v>64</v>
      </c>
      <c r="K3962" s="3" t="s">
        <v>65</v>
      </c>
      <c r="L3962" s="2" t="s">
        <v>39101</v>
      </c>
      <c r="M3962" s="2" t="s">
        <v>39102</v>
      </c>
      <c r="N3962" s="3" t="s">
        <v>922</v>
      </c>
      <c r="P3962" s="3" t="s">
        <v>102</v>
      </c>
      <c r="R3962" s="3" t="s">
        <v>70</v>
      </c>
      <c r="S3962" s="4">
        <v>1</v>
      </c>
      <c r="T3962" s="4">
        <v>2</v>
      </c>
      <c r="U3962" s="5" t="s">
        <v>39103</v>
      </c>
      <c r="V3962" s="5" t="s">
        <v>37908</v>
      </c>
      <c r="W3962" s="5" t="s">
        <v>72</v>
      </c>
      <c r="X3962" s="5" t="s">
        <v>72</v>
      </c>
      <c r="Y3962" s="4">
        <v>102</v>
      </c>
      <c r="Z3962" s="4">
        <v>10</v>
      </c>
      <c r="AA3962" s="4">
        <v>21</v>
      </c>
      <c r="AB3962" s="4">
        <v>1</v>
      </c>
      <c r="AC3962" s="4">
        <v>1</v>
      </c>
      <c r="AD3962" s="4">
        <v>33</v>
      </c>
      <c r="AE3962" s="4">
        <v>103</v>
      </c>
      <c r="AF3962" s="4">
        <v>0</v>
      </c>
      <c r="AG3962" s="4">
        <v>0</v>
      </c>
      <c r="AH3962" s="4">
        <v>27</v>
      </c>
      <c r="AI3962" s="4">
        <v>90</v>
      </c>
      <c r="AJ3962" s="4">
        <v>9</v>
      </c>
      <c r="AK3962" s="4">
        <v>16</v>
      </c>
      <c r="AL3962" s="4">
        <v>15</v>
      </c>
      <c r="AM3962" s="4">
        <v>51</v>
      </c>
      <c r="AN3962" s="4">
        <v>0</v>
      </c>
      <c r="AO3962" s="4">
        <v>0</v>
      </c>
      <c r="AP3962" s="4">
        <v>8</v>
      </c>
      <c r="AQ3962" s="4">
        <v>17</v>
      </c>
      <c r="AR3962" s="3" t="s">
        <v>64</v>
      </c>
      <c r="AS3962" s="3" t="s">
        <v>64</v>
      </c>
      <c r="AT3962" s="3" t="s">
        <v>128</v>
      </c>
      <c r="AU3962" s="6" t="str">
        <f>HYPERLINK("http://catalog.hathitrust.org/Record/001167716","HathiTrust Record")</f>
        <v>HathiTrust Record</v>
      </c>
      <c r="AV3962" s="6" t="str">
        <f>HYPERLINK("http://mcgill.on.worldcat.org/oclc/2722461","Catalog Record")</f>
        <v>Catalog Record</v>
      </c>
      <c r="AW3962" s="6" t="str">
        <f>HYPERLINK("http://www.worldcat.org/oclc/2722461","WorldCat Record")</f>
        <v>WorldCat Record</v>
      </c>
      <c r="AX3962" s="3" t="s">
        <v>39104</v>
      </c>
      <c r="AY3962" s="3" t="s">
        <v>39105</v>
      </c>
      <c r="AZ3962" s="3" t="s">
        <v>39106</v>
      </c>
      <c r="BA3962" s="3" t="s">
        <v>39106</v>
      </c>
      <c r="BB3962" s="3" t="s">
        <v>39107</v>
      </c>
      <c r="BC3962" s="3" t="s">
        <v>77</v>
      </c>
      <c r="BD3962" s="3" t="s">
        <v>78</v>
      </c>
      <c r="BE3962" s="3" t="s">
        <v>39108</v>
      </c>
      <c r="BF3962" s="3" t="s">
        <v>39107</v>
      </c>
      <c r="BG3962" s="3" t="s">
        <v>39109</v>
      </c>
      <c r="BH3962">
        <f t="shared" si="100"/>
        <v>0</v>
      </c>
    </row>
    <row r="3963" spans="1:60" ht="72.5" x14ac:dyDescent="0.35">
      <c r="A3963" s="2" t="s">
        <v>59</v>
      </c>
      <c r="B3963" s="2" t="s">
        <v>60</v>
      </c>
      <c r="C3963" s="2" t="s">
        <v>39098</v>
      </c>
      <c r="D3963" s="2" t="s">
        <v>39099</v>
      </c>
      <c r="E3963" s="2" t="s">
        <v>39100</v>
      </c>
      <c r="G3963" s="3" t="s">
        <v>64</v>
      </c>
      <c r="I3963" s="3" t="s">
        <v>128</v>
      </c>
      <c r="J3963" s="3" t="s">
        <v>64</v>
      </c>
      <c r="K3963" s="3" t="s">
        <v>65</v>
      </c>
      <c r="L3963" s="2" t="s">
        <v>39101</v>
      </c>
      <c r="M3963" s="2" t="s">
        <v>39102</v>
      </c>
      <c r="N3963" s="3" t="s">
        <v>922</v>
      </c>
      <c r="P3963" s="3" t="s">
        <v>102</v>
      </c>
      <c r="R3963" s="3" t="s">
        <v>70</v>
      </c>
      <c r="S3963" s="4">
        <v>0</v>
      </c>
      <c r="T3963" s="4">
        <v>2</v>
      </c>
      <c r="V3963" s="5" t="s">
        <v>37908</v>
      </c>
      <c r="W3963" s="5" t="s">
        <v>72</v>
      </c>
      <c r="X3963" s="5" t="s">
        <v>72</v>
      </c>
      <c r="Y3963" s="4">
        <v>102</v>
      </c>
      <c r="Z3963" s="4">
        <v>10</v>
      </c>
      <c r="AA3963" s="4">
        <v>21</v>
      </c>
      <c r="AB3963" s="4">
        <v>1</v>
      </c>
      <c r="AC3963" s="4">
        <v>1</v>
      </c>
      <c r="AD3963" s="4">
        <v>33</v>
      </c>
      <c r="AE3963" s="4">
        <v>103</v>
      </c>
      <c r="AF3963" s="4">
        <v>0</v>
      </c>
      <c r="AG3963" s="4">
        <v>0</v>
      </c>
      <c r="AH3963" s="4">
        <v>27</v>
      </c>
      <c r="AI3963" s="4">
        <v>90</v>
      </c>
      <c r="AJ3963" s="4">
        <v>9</v>
      </c>
      <c r="AK3963" s="4">
        <v>16</v>
      </c>
      <c r="AL3963" s="4">
        <v>15</v>
      </c>
      <c r="AM3963" s="4">
        <v>51</v>
      </c>
      <c r="AN3963" s="4">
        <v>0</v>
      </c>
      <c r="AO3963" s="4">
        <v>0</v>
      </c>
      <c r="AP3963" s="4">
        <v>8</v>
      </c>
      <c r="AQ3963" s="4">
        <v>17</v>
      </c>
      <c r="AR3963" s="3" t="s">
        <v>64</v>
      </c>
      <c r="AS3963" s="3" t="s">
        <v>64</v>
      </c>
      <c r="AT3963" s="3" t="s">
        <v>128</v>
      </c>
      <c r="AU3963" s="6" t="str">
        <f>HYPERLINK("http://catalog.hathitrust.org/Record/001167716","HathiTrust Record")</f>
        <v>HathiTrust Record</v>
      </c>
      <c r="AV3963" s="6" t="str">
        <f>HYPERLINK("http://mcgill.on.worldcat.org/oclc/2722461","Catalog Record")</f>
        <v>Catalog Record</v>
      </c>
      <c r="AW3963" s="6" t="str">
        <f>HYPERLINK("http://www.worldcat.org/oclc/2722461","WorldCat Record")</f>
        <v>WorldCat Record</v>
      </c>
      <c r="AX3963" s="3" t="s">
        <v>39104</v>
      </c>
      <c r="AY3963" s="3" t="s">
        <v>39105</v>
      </c>
      <c r="AZ3963" s="3" t="s">
        <v>39106</v>
      </c>
      <c r="BA3963" s="3" t="s">
        <v>39106</v>
      </c>
      <c r="BB3963" s="3" t="s">
        <v>39110</v>
      </c>
      <c r="BC3963" s="3" t="s">
        <v>77</v>
      </c>
      <c r="BD3963" s="3" t="s">
        <v>78</v>
      </c>
      <c r="BE3963" s="3" t="s">
        <v>39108</v>
      </c>
      <c r="BF3963" s="3" t="s">
        <v>39110</v>
      </c>
      <c r="BG3963" s="3" t="s">
        <v>39111</v>
      </c>
      <c r="BH3963">
        <f t="shared" si="100"/>
        <v>0</v>
      </c>
    </row>
    <row r="3964" spans="1:60" ht="72.5" x14ac:dyDescent="0.35">
      <c r="A3964" s="2" t="s">
        <v>59</v>
      </c>
      <c r="B3964" s="2" t="s">
        <v>1025</v>
      </c>
      <c r="C3964" s="2" t="s">
        <v>39112</v>
      </c>
      <c r="D3964" s="2" t="s">
        <v>39113</v>
      </c>
      <c r="E3964" s="2" t="s">
        <v>39114</v>
      </c>
      <c r="G3964" s="3" t="s">
        <v>64</v>
      </c>
      <c r="I3964" s="3" t="s">
        <v>64</v>
      </c>
      <c r="J3964" s="3" t="s">
        <v>64</v>
      </c>
      <c r="K3964" s="3" t="s">
        <v>65</v>
      </c>
      <c r="L3964" s="2" t="s">
        <v>39115</v>
      </c>
      <c r="M3964" s="2" t="s">
        <v>39116</v>
      </c>
      <c r="N3964" s="3" t="s">
        <v>378</v>
      </c>
      <c r="P3964" s="3" t="s">
        <v>102</v>
      </c>
      <c r="R3964" s="3" t="s">
        <v>70</v>
      </c>
      <c r="S3964" s="4">
        <v>7</v>
      </c>
      <c r="T3964" s="4">
        <v>7</v>
      </c>
      <c r="U3964" s="5" t="s">
        <v>39117</v>
      </c>
      <c r="V3964" s="5" t="s">
        <v>39117</v>
      </c>
      <c r="W3964" s="5" t="s">
        <v>72</v>
      </c>
      <c r="X3964" s="5" t="s">
        <v>72</v>
      </c>
      <c r="Y3964" s="4">
        <v>463</v>
      </c>
      <c r="Z3964" s="4">
        <v>30</v>
      </c>
      <c r="AA3964" s="4">
        <v>30</v>
      </c>
      <c r="AB3964" s="4">
        <v>1</v>
      </c>
      <c r="AC3964" s="4">
        <v>1</v>
      </c>
      <c r="AD3964" s="4">
        <v>101</v>
      </c>
      <c r="AE3964" s="4">
        <v>101</v>
      </c>
      <c r="AF3964" s="4">
        <v>0</v>
      </c>
      <c r="AG3964" s="4">
        <v>0</v>
      </c>
      <c r="AH3964" s="4">
        <v>88</v>
      </c>
      <c r="AI3964" s="4">
        <v>88</v>
      </c>
      <c r="AJ3964" s="4">
        <v>15</v>
      </c>
      <c r="AK3964" s="4">
        <v>15</v>
      </c>
      <c r="AL3964" s="4">
        <v>44</v>
      </c>
      <c r="AM3964" s="4">
        <v>44</v>
      </c>
      <c r="AN3964" s="4">
        <v>0</v>
      </c>
      <c r="AO3964" s="4">
        <v>0</v>
      </c>
      <c r="AP3964" s="4">
        <v>17</v>
      </c>
      <c r="AQ3964" s="4">
        <v>17</v>
      </c>
      <c r="AR3964" s="3" t="s">
        <v>64</v>
      </c>
      <c r="AS3964" s="3" t="s">
        <v>64</v>
      </c>
      <c r="AT3964" s="3" t="s">
        <v>64</v>
      </c>
      <c r="AV3964" s="6" t="str">
        <f>HYPERLINK("http://mcgill.on.worldcat.org/oclc/13823488","Catalog Record")</f>
        <v>Catalog Record</v>
      </c>
      <c r="AW3964" s="6" t="str">
        <f>HYPERLINK("http://www.worldcat.org/oclc/13823488","WorldCat Record")</f>
        <v>WorldCat Record</v>
      </c>
      <c r="AX3964" s="3" t="s">
        <v>39118</v>
      </c>
      <c r="AY3964" s="3" t="s">
        <v>39119</v>
      </c>
      <c r="AZ3964" s="3" t="s">
        <v>39120</v>
      </c>
      <c r="BA3964" s="3" t="s">
        <v>39120</v>
      </c>
      <c r="BB3964" s="3" t="s">
        <v>39121</v>
      </c>
      <c r="BC3964" s="3" t="s">
        <v>77</v>
      </c>
      <c r="BD3964" s="3" t="s">
        <v>78</v>
      </c>
      <c r="BE3964" s="3" t="s">
        <v>39122</v>
      </c>
      <c r="BF3964" s="3" t="s">
        <v>39121</v>
      </c>
      <c r="BG3964" s="3" t="s">
        <v>39123</v>
      </c>
      <c r="BH3964">
        <f t="shared" si="100"/>
        <v>0</v>
      </c>
    </row>
    <row r="3965" spans="1:60" ht="58" x14ac:dyDescent="0.35">
      <c r="A3965" s="2" t="s">
        <v>59</v>
      </c>
      <c r="B3965" s="2" t="s">
        <v>60</v>
      </c>
      <c r="C3965" s="2" t="s">
        <v>39124</v>
      </c>
      <c r="D3965" s="2" t="s">
        <v>39125</v>
      </c>
      <c r="E3965" s="2" t="s">
        <v>39126</v>
      </c>
      <c r="G3965" s="3" t="s">
        <v>64</v>
      </c>
      <c r="I3965" s="3" t="s">
        <v>64</v>
      </c>
      <c r="J3965" s="3" t="s">
        <v>64</v>
      </c>
      <c r="K3965" s="3" t="s">
        <v>65</v>
      </c>
      <c r="L3965" s="2" t="s">
        <v>39127</v>
      </c>
      <c r="M3965" s="2" t="s">
        <v>16911</v>
      </c>
      <c r="N3965" s="3" t="s">
        <v>1075</v>
      </c>
      <c r="P3965" s="3" t="s">
        <v>102</v>
      </c>
      <c r="R3965" s="3" t="s">
        <v>70</v>
      </c>
      <c r="S3965" s="4">
        <v>1</v>
      </c>
      <c r="T3965" s="4">
        <v>1</v>
      </c>
      <c r="U3965" s="5" t="s">
        <v>39128</v>
      </c>
      <c r="V3965" s="5" t="s">
        <v>39128</v>
      </c>
      <c r="W3965" s="5" t="s">
        <v>72</v>
      </c>
      <c r="X3965" s="5" t="s">
        <v>72</v>
      </c>
      <c r="Y3965" s="4">
        <v>285</v>
      </c>
      <c r="Z3965" s="4">
        <v>9</v>
      </c>
      <c r="AA3965" s="4">
        <v>104</v>
      </c>
      <c r="AB3965" s="4">
        <v>1</v>
      </c>
      <c r="AC3965" s="4">
        <v>14</v>
      </c>
      <c r="AD3965" s="4">
        <v>42</v>
      </c>
      <c r="AE3965" s="4">
        <v>118</v>
      </c>
      <c r="AF3965" s="4">
        <v>0</v>
      </c>
      <c r="AG3965" s="4">
        <v>8</v>
      </c>
      <c r="AH3965" s="4">
        <v>41</v>
      </c>
      <c r="AI3965" s="4">
        <v>80</v>
      </c>
      <c r="AJ3965" s="4">
        <v>3</v>
      </c>
      <c r="AK3965" s="4">
        <v>20</v>
      </c>
      <c r="AL3965" s="4">
        <v>18</v>
      </c>
      <c r="AM3965" s="4">
        <v>39</v>
      </c>
      <c r="AN3965" s="4">
        <v>0</v>
      </c>
      <c r="AO3965" s="4">
        <v>0</v>
      </c>
      <c r="AP3965" s="4">
        <v>3</v>
      </c>
      <c r="AQ3965" s="4">
        <v>42</v>
      </c>
      <c r="AR3965" s="3" t="s">
        <v>64</v>
      </c>
      <c r="AS3965" s="3" t="s">
        <v>64</v>
      </c>
      <c r="AT3965" s="3" t="s">
        <v>64</v>
      </c>
      <c r="AV3965" s="6" t="str">
        <f>HYPERLINK("http://mcgill.on.worldcat.org/oclc/794711898","Catalog Record")</f>
        <v>Catalog Record</v>
      </c>
      <c r="AW3965" s="6" t="str">
        <f>HYPERLINK("http://www.worldcat.org/oclc/794711898","WorldCat Record")</f>
        <v>WorldCat Record</v>
      </c>
      <c r="AX3965" s="3" t="s">
        <v>39129</v>
      </c>
      <c r="AY3965" s="3" t="s">
        <v>39130</v>
      </c>
      <c r="AZ3965" s="3" t="s">
        <v>39131</v>
      </c>
      <c r="BA3965" s="3" t="s">
        <v>39131</v>
      </c>
      <c r="BB3965" s="3" t="s">
        <v>39132</v>
      </c>
      <c r="BC3965" s="3" t="s">
        <v>77</v>
      </c>
      <c r="BD3965" s="3" t="s">
        <v>78</v>
      </c>
      <c r="BE3965" s="3" t="s">
        <v>39133</v>
      </c>
      <c r="BF3965" s="3" t="s">
        <v>39132</v>
      </c>
      <c r="BG3965" s="3" t="s">
        <v>39134</v>
      </c>
      <c r="BH3965">
        <f t="shared" si="100"/>
        <v>0</v>
      </c>
    </row>
    <row r="3966" spans="1:60" ht="58" x14ac:dyDescent="0.35">
      <c r="A3966" s="2" t="s">
        <v>59</v>
      </c>
      <c r="B3966" s="2" t="s">
        <v>60</v>
      </c>
      <c r="C3966" s="2" t="s">
        <v>39135</v>
      </c>
      <c r="D3966" s="2" t="s">
        <v>39136</v>
      </c>
      <c r="E3966" s="2" t="s">
        <v>39137</v>
      </c>
      <c r="G3966" s="3" t="s">
        <v>64</v>
      </c>
      <c r="I3966" s="3" t="s">
        <v>64</v>
      </c>
      <c r="J3966" s="3" t="s">
        <v>64</v>
      </c>
      <c r="K3966" s="3" t="s">
        <v>65</v>
      </c>
      <c r="L3966" s="2" t="s">
        <v>39138</v>
      </c>
      <c r="M3966" s="2" t="s">
        <v>13931</v>
      </c>
      <c r="N3966" s="3" t="s">
        <v>144</v>
      </c>
      <c r="P3966" s="3" t="s">
        <v>102</v>
      </c>
      <c r="Q3966" s="2" t="s">
        <v>15094</v>
      </c>
      <c r="R3966" s="3" t="s">
        <v>70</v>
      </c>
      <c r="S3966" s="4">
        <v>1</v>
      </c>
      <c r="T3966" s="4">
        <v>1</v>
      </c>
      <c r="U3966" s="5" t="s">
        <v>39139</v>
      </c>
      <c r="V3966" s="5" t="s">
        <v>39139</v>
      </c>
      <c r="W3966" s="5" t="s">
        <v>72</v>
      </c>
      <c r="X3966" s="5" t="s">
        <v>72</v>
      </c>
      <c r="Y3966" s="4">
        <v>158</v>
      </c>
      <c r="Z3966" s="4">
        <v>15</v>
      </c>
      <c r="AA3966" s="4">
        <v>21</v>
      </c>
      <c r="AB3966" s="4">
        <v>1</v>
      </c>
      <c r="AC3966" s="4">
        <v>4</v>
      </c>
      <c r="AD3966" s="4">
        <v>32</v>
      </c>
      <c r="AE3966" s="4">
        <v>42</v>
      </c>
      <c r="AF3966" s="4">
        <v>0</v>
      </c>
      <c r="AG3966" s="4">
        <v>1</v>
      </c>
      <c r="AH3966" s="4">
        <v>31</v>
      </c>
      <c r="AI3966" s="4">
        <v>40</v>
      </c>
      <c r="AJ3966" s="4">
        <v>4</v>
      </c>
      <c r="AK3966" s="4">
        <v>7</v>
      </c>
      <c r="AL3966" s="4">
        <v>17</v>
      </c>
      <c r="AM3966" s="4">
        <v>21</v>
      </c>
      <c r="AN3966" s="4">
        <v>0</v>
      </c>
      <c r="AO3966" s="4">
        <v>0</v>
      </c>
      <c r="AP3966" s="4">
        <v>6</v>
      </c>
      <c r="AQ3966" s="4">
        <v>8</v>
      </c>
      <c r="AR3966" s="3" t="s">
        <v>64</v>
      </c>
      <c r="AS3966" s="3" t="s">
        <v>64</v>
      </c>
      <c r="AT3966" s="3" t="s">
        <v>64</v>
      </c>
      <c r="AV3966" s="6" t="str">
        <f>HYPERLINK("http://mcgill.on.worldcat.org/oclc/229020786","Catalog Record")</f>
        <v>Catalog Record</v>
      </c>
      <c r="AW3966" s="6" t="str">
        <f>HYPERLINK("http://www.worldcat.org/oclc/229020786","WorldCat Record")</f>
        <v>WorldCat Record</v>
      </c>
      <c r="AX3966" s="3" t="s">
        <v>39140</v>
      </c>
      <c r="AY3966" s="3" t="s">
        <v>39141</v>
      </c>
      <c r="AZ3966" s="3" t="s">
        <v>39142</v>
      </c>
      <c r="BA3966" s="3" t="s">
        <v>39142</v>
      </c>
      <c r="BB3966" s="3" t="s">
        <v>39143</v>
      </c>
      <c r="BC3966" s="3" t="s">
        <v>77</v>
      </c>
      <c r="BD3966" s="3" t="s">
        <v>78</v>
      </c>
      <c r="BE3966" s="3" t="s">
        <v>39144</v>
      </c>
      <c r="BF3966" s="3" t="s">
        <v>39143</v>
      </c>
      <c r="BG3966" s="3" t="s">
        <v>39145</v>
      </c>
      <c r="BH3966">
        <f t="shared" si="100"/>
        <v>0</v>
      </c>
    </row>
    <row r="3967" spans="1:60" ht="101.5" x14ac:dyDescent="0.35">
      <c r="A3967" s="2" t="s">
        <v>59</v>
      </c>
      <c r="B3967" s="2" t="s">
        <v>60</v>
      </c>
      <c r="C3967" s="2" t="s">
        <v>39146</v>
      </c>
      <c r="D3967" s="2" t="s">
        <v>39147</v>
      </c>
      <c r="E3967" s="2" t="s">
        <v>39148</v>
      </c>
      <c r="G3967" s="3" t="s">
        <v>64</v>
      </c>
      <c r="I3967" s="3" t="s">
        <v>64</v>
      </c>
      <c r="J3967" s="3" t="s">
        <v>64</v>
      </c>
      <c r="K3967" s="3" t="s">
        <v>65</v>
      </c>
      <c r="M3967" s="2" t="s">
        <v>39149</v>
      </c>
      <c r="N3967" s="3" t="s">
        <v>421</v>
      </c>
      <c r="P3967" s="3" t="s">
        <v>102</v>
      </c>
      <c r="R3967" s="3" t="s">
        <v>70</v>
      </c>
      <c r="S3967" s="4">
        <v>3</v>
      </c>
      <c r="T3967" s="4">
        <v>3</v>
      </c>
      <c r="U3967" s="5" t="s">
        <v>39150</v>
      </c>
      <c r="V3967" s="5" t="s">
        <v>39150</v>
      </c>
      <c r="W3967" s="5" t="s">
        <v>72</v>
      </c>
      <c r="X3967" s="5" t="s">
        <v>72</v>
      </c>
      <c r="Y3967" s="4">
        <v>10</v>
      </c>
      <c r="Z3967" s="4">
        <v>10</v>
      </c>
      <c r="AA3967" s="4">
        <v>20</v>
      </c>
      <c r="AB3967" s="4">
        <v>2</v>
      </c>
      <c r="AC3967" s="4">
        <v>2</v>
      </c>
      <c r="AD3967" s="4">
        <v>8</v>
      </c>
      <c r="AE3967" s="4">
        <v>18</v>
      </c>
      <c r="AF3967" s="4">
        <v>1</v>
      </c>
      <c r="AG3967" s="4">
        <v>1</v>
      </c>
      <c r="AH3967" s="4">
        <v>3</v>
      </c>
      <c r="AI3967" s="4">
        <v>8</v>
      </c>
      <c r="AJ3967" s="4">
        <v>7</v>
      </c>
      <c r="AK3967" s="4">
        <v>15</v>
      </c>
      <c r="AL3967" s="4">
        <v>1</v>
      </c>
      <c r="AM3967" s="4">
        <v>1</v>
      </c>
      <c r="AN3967" s="4">
        <v>0</v>
      </c>
      <c r="AO3967" s="4">
        <v>0</v>
      </c>
      <c r="AP3967" s="4">
        <v>7</v>
      </c>
      <c r="AQ3967" s="4">
        <v>16</v>
      </c>
      <c r="AR3967" s="3" t="s">
        <v>128</v>
      </c>
      <c r="AS3967" s="3" t="s">
        <v>64</v>
      </c>
      <c r="AT3967" s="3" t="s">
        <v>64</v>
      </c>
      <c r="AV3967" s="6" t="str">
        <f>HYPERLINK("http://mcgill.on.worldcat.org/oclc/428115591","Catalog Record")</f>
        <v>Catalog Record</v>
      </c>
      <c r="AW3967" s="6" t="str">
        <f>HYPERLINK("http://www.worldcat.org/oclc/428115591","WorldCat Record")</f>
        <v>WorldCat Record</v>
      </c>
      <c r="AX3967" s="3" t="s">
        <v>39151</v>
      </c>
      <c r="AY3967" s="3" t="s">
        <v>39152</v>
      </c>
      <c r="AZ3967" s="3" t="s">
        <v>39153</v>
      </c>
      <c r="BA3967" s="3" t="s">
        <v>39153</v>
      </c>
      <c r="BB3967" s="3" t="s">
        <v>39154</v>
      </c>
      <c r="BC3967" s="3" t="s">
        <v>77</v>
      </c>
      <c r="BD3967" s="3" t="s">
        <v>78</v>
      </c>
      <c r="BE3967" s="3" t="s">
        <v>39155</v>
      </c>
      <c r="BF3967" s="3" t="s">
        <v>39154</v>
      </c>
      <c r="BG3967" s="3" t="s">
        <v>39156</v>
      </c>
      <c r="BH3967">
        <f t="shared" si="100"/>
        <v>0</v>
      </c>
    </row>
    <row r="3968" spans="1:60" ht="72.5" x14ac:dyDescent="0.35">
      <c r="A3968" s="2" t="s">
        <v>59</v>
      </c>
      <c r="B3968" s="2" t="s">
        <v>6744</v>
      </c>
      <c r="C3968" s="2" t="s">
        <v>39157</v>
      </c>
      <c r="D3968" s="2" t="s">
        <v>39158</v>
      </c>
      <c r="E3968" s="2" t="s">
        <v>39159</v>
      </c>
      <c r="F3968" s="3" t="s">
        <v>19770</v>
      </c>
      <c r="G3968" s="3" t="s">
        <v>64</v>
      </c>
      <c r="I3968" s="3" t="s">
        <v>64</v>
      </c>
      <c r="J3968" s="3" t="s">
        <v>64</v>
      </c>
      <c r="K3968" s="3" t="s">
        <v>65</v>
      </c>
      <c r="L3968" s="2" t="s">
        <v>39160</v>
      </c>
      <c r="M3968" s="2" t="s">
        <v>39161</v>
      </c>
      <c r="N3968" s="3" t="s">
        <v>159</v>
      </c>
      <c r="O3968" s="2" t="s">
        <v>39162</v>
      </c>
      <c r="P3968" s="3" t="s">
        <v>102</v>
      </c>
      <c r="R3968" s="3" t="s">
        <v>70</v>
      </c>
      <c r="S3968" s="4">
        <v>7</v>
      </c>
      <c r="T3968" s="4">
        <v>7</v>
      </c>
      <c r="U3968" s="5" t="s">
        <v>39070</v>
      </c>
      <c r="V3968" s="5" t="s">
        <v>39070</v>
      </c>
      <c r="W3968" s="5" t="s">
        <v>72</v>
      </c>
      <c r="X3968" s="5" t="s">
        <v>72</v>
      </c>
      <c r="Y3968" s="4">
        <v>201</v>
      </c>
      <c r="Z3968" s="4">
        <v>8</v>
      </c>
      <c r="AA3968" s="4">
        <v>8</v>
      </c>
      <c r="AB3968" s="4">
        <v>1</v>
      </c>
      <c r="AC3968" s="4">
        <v>1</v>
      </c>
      <c r="AD3968" s="4">
        <v>29</v>
      </c>
      <c r="AE3968" s="4">
        <v>32</v>
      </c>
      <c r="AF3968" s="4">
        <v>0</v>
      </c>
      <c r="AG3968" s="4">
        <v>0</v>
      </c>
      <c r="AH3968" s="4">
        <v>26</v>
      </c>
      <c r="AI3968" s="4">
        <v>29</v>
      </c>
      <c r="AJ3968" s="4">
        <v>5</v>
      </c>
      <c r="AK3968" s="4">
        <v>5</v>
      </c>
      <c r="AL3968" s="4">
        <v>11</v>
      </c>
      <c r="AM3968" s="4">
        <v>12</v>
      </c>
      <c r="AN3968" s="4">
        <v>0</v>
      </c>
      <c r="AO3968" s="4">
        <v>0</v>
      </c>
      <c r="AP3968" s="4">
        <v>6</v>
      </c>
      <c r="AQ3968" s="4">
        <v>6</v>
      </c>
      <c r="AR3968" s="3" t="s">
        <v>64</v>
      </c>
      <c r="AS3968" s="3" t="s">
        <v>64</v>
      </c>
      <c r="AT3968" s="3" t="s">
        <v>64</v>
      </c>
      <c r="AV3968" s="6" t="str">
        <f>HYPERLINK("http://mcgill.on.worldcat.org/oclc/46785342","Catalog Record")</f>
        <v>Catalog Record</v>
      </c>
      <c r="AW3968" s="6" t="str">
        <f>HYPERLINK("http://www.worldcat.org/oclc/46785342","WorldCat Record")</f>
        <v>WorldCat Record</v>
      </c>
      <c r="AX3968" s="3" t="s">
        <v>39163</v>
      </c>
      <c r="AY3968" s="3" t="s">
        <v>39164</v>
      </c>
      <c r="AZ3968" s="3" t="s">
        <v>39165</v>
      </c>
      <c r="BA3968" s="3" t="s">
        <v>39165</v>
      </c>
      <c r="BB3968" s="3" t="s">
        <v>39166</v>
      </c>
      <c r="BC3968" s="3" t="s">
        <v>77</v>
      </c>
      <c r="BD3968" s="3" t="s">
        <v>78</v>
      </c>
      <c r="BE3968" s="3" t="s">
        <v>39167</v>
      </c>
      <c r="BF3968" s="3" t="s">
        <v>39166</v>
      </c>
      <c r="BG3968" s="3" t="s">
        <v>39168</v>
      </c>
      <c r="BH3968">
        <f t="shared" si="100"/>
        <v>0</v>
      </c>
    </row>
    <row r="3969" spans="1:60" ht="58" x14ac:dyDescent="0.35">
      <c r="A3969" s="2" t="s">
        <v>59</v>
      </c>
      <c r="B3969" s="2" t="s">
        <v>60</v>
      </c>
      <c r="C3969" s="2" t="s">
        <v>39169</v>
      </c>
      <c r="D3969" s="2" t="s">
        <v>39170</v>
      </c>
      <c r="E3969" s="2" t="s">
        <v>39171</v>
      </c>
      <c r="G3969" s="3" t="s">
        <v>64</v>
      </c>
      <c r="I3969" s="3" t="s">
        <v>64</v>
      </c>
      <c r="J3969" s="3" t="s">
        <v>64</v>
      </c>
      <c r="K3969" s="3" t="s">
        <v>65</v>
      </c>
      <c r="L3969" s="2" t="s">
        <v>39172</v>
      </c>
      <c r="M3969" s="2" t="s">
        <v>15272</v>
      </c>
      <c r="N3969" s="3" t="s">
        <v>291</v>
      </c>
      <c r="P3969" s="3" t="s">
        <v>102</v>
      </c>
      <c r="Q3969" s="2" t="s">
        <v>39173</v>
      </c>
      <c r="R3969" s="3" t="s">
        <v>70</v>
      </c>
      <c r="S3969" s="4">
        <v>4</v>
      </c>
      <c r="T3969" s="4">
        <v>4</v>
      </c>
      <c r="U3969" s="5" t="s">
        <v>5340</v>
      </c>
      <c r="V3969" s="5" t="s">
        <v>5340</v>
      </c>
      <c r="W3969" s="5" t="s">
        <v>72</v>
      </c>
      <c r="X3969" s="5" t="s">
        <v>72</v>
      </c>
      <c r="Y3969" s="4">
        <v>593</v>
      </c>
      <c r="Z3969" s="4">
        <v>28</v>
      </c>
      <c r="AA3969" s="4">
        <v>33</v>
      </c>
      <c r="AB3969" s="4">
        <v>2</v>
      </c>
      <c r="AC3969" s="4">
        <v>3</v>
      </c>
      <c r="AD3969" s="4">
        <v>72</v>
      </c>
      <c r="AE3969" s="4">
        <v>77</v>
      </c>
      <c r="AF3969" s="4">
        <v>0</v>
      </c>
      <c r="AG3969" s="4">
        <v>0</v>
      </c>
      <c r="AH3969" s="4">
        <v>64</v>
      </c>
      <c r="AI3969" s="4">
        <v>68</v>
      </c>
      <c r="AJ3969" s="4">
        <v>8</v>
      </c>
      <c r="AK3969" s="4">
        <v>10</v>
      </c>
      <c r="AL3969" s="4">
        <v>36</v>
      </c>
      <c r="AM3969" s="4">
        <v>38</v>
      </c>
      <c r="AN3969" s="4">
        <v>0</v>
      </c>
      <c r="AO3969" s="4">
        <v>0</v>
      </c>
      <c r="AP3969" s="4">
        <v>12</v>
      </c>
      <c r="AQ3969" s="4">
        <v>14</v>
      </c>
      <c r="AR3969" s="3" t="s">
        <v>64</v>
      </c>
      <c r="AS3969" s="3" t="s">
        <v>64</v>
      </c>
      <c r="AT3969" s="3" t="s">
        <v>64</v>
      </c>
      <c r="AV3969" s="6" t="str">
        <f>HYPERLINK("http://mcgill.on.worldcat.org/oclc/123029265","Catalog Record")</f>
        <v>Catalog Record</v>
      </c>
      <c r="AW3969" s="6" t="str">
        <f>HYPERLINK("http://www.worldcat.org/oclc/123029265","WorldCat Record")</f>
        <v>WorldCat Record</v>
      </c>
      <c r="AX3969" s="3" t="s">
        <v>39174</v>
      </c>
      <c r="AY3969" s="3" t="s">
        <v>39175</v>
      </c>
      <c r="AZ3969" s="3" t="s">
        <v>39176</v>
      </c>
      <c r="BA3969" s="3" t="s">
        <v>39176</v>
      </c>
      <c r="BB3969" s="3" t="s">
        <v>39177</v>
      </c>
      <c r="BC3969" s="3" t="s">
        <v>77</v>
      </c>
      <c r="BD3969" s="3" t="s">
        <v>78</v>
      </c>
      <c r="BE3969" s="3" t="s">
        <v>39178</v>
      </c>
      <c r="BF3969" s="3" t="s">
        <v>39177</v>
      </c>
      <c r="BG3969" s="3" t="s">
        <v>39179</v>
      </c>
      <c r="BH3969">
        <f t="shared" si="100"/>
        <v>0</v>
      </c>
    </row>
    <row r="3970" spans="1:60" ht="58" x14ac:dyDescent="0.35">
      <c r="A3970" s="2" t="s">
        <v>59</v>
      </c>
      <c r="B3970" s="2" t="s">
        <v>60</v>
      </c>
      <c r="C3970" s="2" t="s">
        <v>39180</v>
      </c>
      <c r="D3970" s="2" t="s">
        <v>39181</v>
      </c>
      <c r="E3970" s="2" t="s">
        <v>39182</v>
      </c>
      <c r="G3970" s="3" t="s">
        <v>64</v>
      </c>
      <c r="I3970" s="3" t="s">
        <v>64</v>
      </c>
      <c r="J3970" s="3" t="s">
        <v>128</v>
      </c>
      <c r="K3970" s="3" t="s">
        <v>65</v>
      </c>
      <c r="L3970" s="2" t="s">
        <v>39183</v>
      </c>
      <c r="M3970" s="2" t="s">
        <v>15259</v>
      </c>
      <c r="N3970" s="3" t="s">
        <v>171</v>
      </c>
      <c r="O3970" s="2" t="s">
        <v>24637</v>
      </c>
      <c r="P3970" s="3" t="s">
        <v>102</v>
      </c>
      <c r="Q3970" s="2" t="s">
        <v>39173</v>
      </c>
      <c r="R3970" s="3" t="s">
        <v>70</v>
      </c>
      <c r="S3970" s="4">
        <v>1</v>
      </c>
      <c r="T3970" s="4">
        <v>1</v>
      </c>
      <c r="U3970" s="5" t="s">
        <v>39184</v>
      </c>
      <c r="V3970" s="5" t="s">
        <v>39184</v>
      </c>
      <c r="W3970" s="5" t="s">
        <v>72</v>
      </c>
      <c r="X3970" s="5" t="s">
        <v>72</v>
      </c>
      <c r="Y3970" s="4">
        <v>690</v>
      </c>
      <c r="Z3970" s="4">
        <v>29</v>
      </c>
      <c r="AA3970" s="4">
        <v>83</v>
      </c>
      <c r="AB3970" s="4">
        <v>2</v>
      </c>
      <c r="AC3970" s="4">
        <v>7</v>
      </c>
      <c r="AD3970" s="4">
        <v>62</v>
      </c>
      <c r="AE3970" s="4">
        <v>119</v>
      </c>
      <c r="AF3970" s="4">
        <v>1</v>
      </c>
      <c r="AG3970" s="4">
        <v>2</v>
      </c>
      <c r="AH3970" s="4">
        <v>55</v>
      </c>
      <c r="AI3970" s="4">
        <v>96</v>
      </c>
      <c r="AJ3970" s="4">
        <v>8</v>
      </c>
      <c r="AK3970" s="4">
        <v>20</v>
      </c>
      <c r="AL3970" s="4">
        <v>27</v>
      </c>
      <c r="AM3970" s="4">
        <v>48</v>
      </c>
      <c r="AN3970" s="4">
        <v>0</v>
      </c>
      <c r="AO3970" s="4">
        <v>0</v>
      </c>
      <c r="AP3970" s="4">
        <v>13</v>
      </c>
      <c r="AQ3970" s="4">
        <v>32</v>
      </c>
      <c r="AR3970" s="3" t="s">
        <v>64</v>
      </c>
      <c r="AS3970" s="3" t="s">
        <v>64</v>
      </c>
      <c r="AT3970" s="3" t="s">
        <v>64</v>
      </c>
      <c r="AV3970" s="6" t="str">
        <f>HYPERLINK("http://mcgill.on.worldcat.org/oclc/62152885","Catalog Record")</f>
        <v>Catalog Record</v>
      </c>
      <c r="AW3970" s="6" t="str">
        <f>HYPERLINK("http://www.worldcat.org/oclc/62152885","WorldCat Record")</f>
        <v>WorldCat Record</v>
      </c>
      <c r="AX3970" s="3" t="s">
        <v>39185</v>
      </c>
      <c r="AY3970" s="3" t="s">
        <v>39186</v>
      </c>
      <c r="AZ3970" s="3" t="s">
        <v>39187</v>
      </c>
      <c r="BA3970" s="3" t="s">
        <v>39187</v>
      </c>
      <c r="BB3970" s="3" t="s">
        <v>39188</v>
      </c>
      <c r="BC3970" s="3" t="s">
        <v>77</v>
      </c>
      <c r="BD3970" s="3" t="s">
        <v>78</v>
      </c>
      <c r="BE3970" s="3" t="s">
        <v>39189</v>
      </c>
      <c r="BF3970" s="3" t="s">
        <v>39188</v>
      </c>
      <c r="BG3970" s="3" t="s">
        <v>39190</v>
      </c>
      <c r="BH3970">
        <f t="shared" ref="BH3970:BH4033" si="104">IF(COUNTIF($BF$1:$BF$5431,BF3970)=1,0,1)</f>
        <v>0</v>
      </c>
    </row>
    <row r="3971" spans="1:60" ht="58" x14ac:dyDescent="0.35">
      <c r="A3971" s="2" t="s">
        <v>59</v>
      </c>
      <c r="B3971" s="2" t="s">
        <v>60</v>
      </c>
      <c r="C3971" s="2" t="s">
        <v>39191</v>
      </c>
      <c r="D3971" s="2" t="s">
        <v>39192</v>
      </c>
      <c r="E3971" s="2" t="s">
        <v>39193</v>
      </c>
      <c r="G3971" s="3" t="s">
        <v>64</v>
      </c>
      <c r="I3971" s="3" t="s">
        <v>64</v>
      </c>
      <c r="J3971" s="3" t="s">
        <v>128</v>
      </c>
      <c r="K3971" s="3" t="s">
        <v>65</v>
      </c>
      <c r="L3971" s="2" t="s">
        <v>39183</v>
      </c>
      <c r="M3971" s="2" t="s">
        <v>39194</v>
      </c>
      <c r="N3971" s="3" t="s">
        <v>511</v>
      </c>
      <c r="O3971" s="2" t="s">
        <v>7504</v>
      </c>
      <c r="P3971" s="3" t="s">
        <v>102</v>
      </c>
      <c r="Q3971" s="2" t="s">
        <v>39173</v>
      </c>
      <c r="R3971" s="3" t="s">
        <v>70</v>
      </c>
      <c r="S3971" s="4">
        <v>0</v>
      </c>
      <c r="T3971" s="4">
        <v>0</v>
      </c>
      <c r="W3971" s="5" t="s">
        <v>72</v>
      </c>
      <c r="X3971" s="5" t="s">
        <v>72</v>
      </c>
      <c r="Y3971" s="4">
        <v>453</v>
      </c>
      <c r="Z3971" s="4">
        <v>20</v>
      </c>
      <c r="AA3971" s="4">
        <v>83</v>
      </c>
      <c r="AB3971" s="4">
        <v>1</v>
      </c>
      <c r="AC3971" s="4">
        <v>7</v>
      </c>
      <c r="AD3971" s="4">
        <v>45</v>
      </c>
      <c r="AE3971" s="4">
        <v>119</v>
      </c>
      <c r="AF3971" s="4">
        <v>0</v>
      </c>
      <c r="AG3971" s="4">
        <v>2</v>
      </c>
      <c r="AH3971" s="4">
        <v>40</v>
      </c>
      <c r="AI3971" s="4">
        <v>96</v>
      </c>
      <c r="AJ3971" s="4">
        <v>6</v>
      </c>
      <c r="AK3971" s="4">
        <v>20</v>
      </c>
      <c r="AL3971" s="4">
        <v>21</v>
      </c>
      <c r="AM3971" s="4">
        <v>48</v>
      </c>
      <c r="AN3971" s="4">
        <v>0</v>
      </c>
      <c r="AO3971" s="4">
        <v>0</v>
      </c>
      <c r="AP3971" s="4">
        <v>10</v>
      </c>
      <c r="AQ3971" s="4">
        <v>32</v>
      </c>
      <c r="AR3971" s="3" t="s">
        <v>64</v>
      </c>
      <c r="AS3971" s="3" t="s">
        <v>64</v>
      </c>
      <c r="AT3971" s="3" t="s">
        <v>64</v>
      </c>
      <c r="AV3971" s="6" t="str">
        <f>HYPERLINK("http://mcgill.on.worldcat.org/oclc/430839891","Catalog Record")</f>
        <v>Catalog Record</v>
      </c>
      <c r="AW3971" s="6" t="str">
        <f>HYPERLINK("http://www.worldcat.org/oclc/430839891","WorldCat Record")</f>
        <v>WorldCat Record</v>
      </c>
      <c r="AX3971" s="3" t="s">
        <v>39185</v>
      </c>
      <c r="AY3971" s="3" t="s">
        <v>39195</v>
      </c>
      <c r="AZ3971" s="3" t="s">
        <v>39196</v>
      </c>
      <c r="BA3971" s="3" t="s">
        <v>39196</v>
      </c>
      <c r="BB3971" s="3" t="s">
        <v>39197</v>
      </c>
      <c r="BC3971" s="3" t="s">
        <v>77</v>
      </c>
      <c r="BD3971" s="3" t="s">
        <v>78</v>
      </c>
      <c r="BE3971" s="3" t="s">
        <v>39198</v>
      </c>
      <c r="BF3971" s="3" t="s">
        <v>39197</v>
      </c>
      <c r="BG3971" s="3" t="s">
        <v>39199</v>
      </c>
      <c r="BH3971">
        <f t="shared" si="104"/>
        <v>0</v>
      </c>
    </row>
    <row r="3972" spans="1:60" ht="58" x14ac:dyDescent="0.35">
      <c r="A3972" s="2" t="s">
        <v>59</v>
      </c>
      <c r="B3972" s="2" t="s">
        <v>60</v>
      </c>
      <c r="C3972" s="2" t="s">
        <v>39200</v>
      </c>
      <c r="D3972" s="2" t="s">
        <v>39201</v>
      </c>
      <c r="E3972" s="2" t="s">
        <v>39202</v>
      </c>
      <c r="G3972" s="3" t="s">
        <v>64</v>
      </c>
      <c r="I3972" s="3" t="s">
        <v>64</v>
      </c>
      <c r="J3972" s="3" t="s">
        <v>64</v>
      </c>
      <c r="K3972" s="3" t="s">
        <v>65</v>
      </c>
      <c r="L3972" s="2" t="s">
        <v>39183</v>
      </c>
      <c r="M3972" s="2" t="s">
        <v>15272</v>
      </c>
      <c r="N3972" s="3" t="s">
        <v>291</v>
      </c>
      <c r="P3972" s="3" t="s">
        <v>102</v>
      </c>
      <c r="Q3972" s="2" t="s">
        <v>39173</v>
      </c>
      <c r="R3972" s="3" t="s">
        <v>70</v>
      </c>
      <c r="S3972" s="4">
        <v>4</v>
      </c>
      <c r="T3972" s="4">
        <v>4</v>
      </c>
      <c r="U3972" s="5" t="s">
        <v>39203</v>
      </c>
      <c r="V3972" s="5" t="s">
        <v>39203</v>
      </c>
      <c r="W3972" s="5" t="s">
        <v>72</v>
      </c>
      <c r="X3972" s="5" t="s">
        <v>72</v>
      </c>
      <c r="Y3972" s="4">
        <v>211</v>
      </c>
      <c r="Z3972" s="4">
        <v>6</v>
      </c>
      <c r="AA3972" s="4">
        <v>6</v>
      </c>
      <c r="AB3972" s="4">
        <v>2</v>
      </c>
      <c r="AC3972" s="4">
        <v>2</v>
      </c>
      <c r="AD3972" s="4">
        <v>28</v>
      </c>
      <c r="AE3972" s="4">
        <v>28</v>
      </c>
      <c r="AF3972" s="4">
        <v>1</v>
      </c>
      <c r="AG3972" s="4">
        <v>1</v>
      </c>
      <c r="AH3972" s="4">
        <v>25</v>
      </c>
      <c r="AI3972" s="4">
        <v>25</v>
      </c>
      <c r="AJ3972" s="4">
        <v>3</v>
      </c>
      <c r="AK3972" s="4">
        <v>3</v>
      </c>
      <c r="AL3972" s="4">
        <v>15</v>
      </c>
      <c r="AM3972" s="4">
        <v>15</v>
      </c>
      <c r="AN3972" s="4">
        <v>0</v>
      </c>
      <c r="AO3972" s="4">
        <v>0</v>
      </c>
      <c r="AP3972" s="4">
        <v>5</v>
      </c>
      <c r="AQ3972" s="4">
        <v>5</v>
      </c>
      <c r="AR3972" s="3" t="s">
        <v>64</v>
      </c>
      <c r="AS3972" s="3" t="s">
        <v>64</v>
      </c>
      <c r="AT3972" s="3" t="s">
        <v>64</v>
      </c>
      <c r="AV3972" s="6" t="str">
        <f>HYPERLINK("http://mcgill.on.worldcat.org/oclc/163336389","Catalog Record")</f>
        <v>Catalog Record</v>
      </c>
      <c r="AW3972" s="6" t="str">
        <f>HYPERLINK("http://www.worldcat.org/oclc/163336389","WorldCat Record")</f>
        <v>WorldCat Record</v>
      </c>
      <c r="AX3972" s="3" t="s">
        <v>39204</v>
      </c>
      <c r="AY3972" s="3" t="s">
        <v>39205</v>
      </c>
      <c r="AZ3972" s="3" t="s">
        <v>39206</v>
      </c>
      <c r="BA3972" s="3" t="s">
        <v>39206</v>
      </c>
      <c r="BB3972" s="3" t="s">
        <v>39207</v>
      </c>
      <c r="BC3972" s="3" t="s">
        <v>77</v>
      </c>
      <c r="BD3972" s="3" t="s">
        <v>78</v>
      </c>
      <c r="BE3972" s="3" t="s">
        <v>39208</v>
      </c>
      <c r="BF3972" s="3" t="s">
        <v>39207</v>
      </c>
      <c r="BG3972" s="3" t="s">
        <v>39209</v>
      </c>
      <c r="BH3972">
        <f t="shared" si="104"/>
        <v>0</v>
      </c>
    </row>
    <row r="3973" spans="1:60" ht="58" x14ac:dyDescent="0.35">
      <c r="A3973" s="2" t="s">
        <v>59</v>
      </c>
      <c r="B3973" s="2" t="s">
        <v>60</v>
      </c>
      <c r="C3973" s="2" t="s">
        <v>39210</v>
      </c>
      <c r="D3973" s="2" t="s">
        <v>39211</v>
      </c>
      <c r="E3973" s="2" t="s">
        <v>39212</v>
      </c>
      <c r="G3973" s="3" t="s">
        <v>64</v>
      </c>
      <c r="I3973" s="3" t="s">
        <v>64</v>
      </c>
      <c r="J3973" s="3" t="s">
        <v>128</v>
      </c>
      <c r="K3973" s="3" t="s">
        <v>65</v>
      </c>
      <c r="L3973" s="2" t="s">
        <v>39213</v>
      </c>
      <c r="M3973" s="2" t="s">
        <v>16093</v>
      </c>
      <c r="N3973" s="3" t="s">
        <v>511</v>
      </c>
      <c r="O3973" s="2" t="s">
        <v>24637</v>
      </c>
      <c r="P3973" s="3" t="s">
        <v>102</v>
      </c>
      <c r="Q3973" s="2" t="s">
        <v>39214</v>
      </c>
      <c r="R3973" s="3" t="s">
        <v>70</v>
      </c>
      <c r="S3973" s="4">
        <v>1</v>
      </c>
      <c r="T3973" s="4">
        <v>1</v>
      </c>
      <c r="U3973" s="5" t="s">
        <v>39215</v>
      </c>
      <c r="V3973" s="5" t="s">
        <v>39215</v>
      </c>
      <c r="W3973" s="5" t="s">
        <v>72</v>
      </c>
      <c r="X3973" s="5" t="s">
        <v>72</v>
      </c>
      <c r="Y3973" s="4">
        <v>597</v>
      </c>
      <c r="Z3973" s="4">
        <v>25</v>
      </c>
      <c r="AA3973" s="4">
        <v>93</v>
      </c>
      <c r="AB3973" s="4">
        <v>1</v>
      </c>
      <c r="AC3973" s="4">
        <v>6</v>
      </c>
      <c r="AD3973" s="4">
        <v>49</v>
      </c>
      <c r="AE3973" s="4">
        <v>131</v>
      </c>
      <c r="AF3973" s="4">
        <v>0</v>
      </c>
      <c r="AG3973" s="4">
        <v>2</v>
      </c>
      <c r="AH3973" s="4">
        <v>42</v>
      </c>
      <c r="AI3973" s="4">
        <v>99</v>
      </c>
      <c r="AJ3973" s="4">
        <v>6</v>
      </c>
      <c r="AK3973" s="4">
        <v>23</v>
      </c>
      <c r="AL3973" s="4">
        <v>20</v>
      </c>
      <c r="AM3973" s="4">
        <v>50</v>
      </c>
      <c r="AN3973" s="4">
        <v>0</v>
      </c>
      <c r="AO3973" s="4">
        <v>0</v>
      </c>
      <c r="AP3973" s="4">
        <v>11</v>
      </c>
      <c r="AQ3973" s="4">
        <v>41</v>
      </c>
      <c r="AR3973" s="3" t="s">
        <v>64</v>
      </c>
      <c r="AS3973" s="3" t="s">
        <v>64</v>
      </c>
      <c r="AT3973" s="3" t="s">
        <v>64</v>
      </c>
      <c r="AV3973" s="6" t="str">
        <f>HYPERLINK("http://mcgill.on.worldcat.org/oclc/505422442","Catalog Record")</f>
        <v>Catalog Record</v>
      </c>
      <c r="AW3973" s="6" t="str">
        <f>HYPERLINK("http://www.worldcat.org/oclc/505422442","WorldCat Record")</f>
        <v>WorldCat Record</v>
      </c>
      <c r="AX3973" s="3" t="s">
        <v>39216</v>
      </c>
      <c r="AY3973" s="3" t="s">
        <v>39217</v>
      </c>
      <c r="AZ3973" s="3" t="s">
        <v>39218</v>
      </c>
      <c r="BA3973" s="3" t="s">
        <v>39218</v>
      </c>
      <c r="BB3973" s="3" t="s">
        <v>39219</v>
      </c>
      <c r="BC3973" s="3" t="s">
        <v>77</v>
      </c>
      <c r="BD3973" s="3" t="s">
        <v>78</v>
      </c>
      <c r="BE3973" s="3" t="s">
        <v>39220</v>
      </c>
      <c r="BF3973" s="3" t="s">
        <v>39219</v>
      </c>
      <c r="BG3973" s="3" t="s">
        <v>39221</v>
      </c>
      <c r="BH3973">
        <f t="shared" si="104"/>
        <v>0</v>
      </c>
    </row>
    <row r="3974" spans="1:60" ht="58" x14ac:dyDescent="0.35">
      <c r="A3974" s="2" t="s">
        <v>59</v>
      </c>
      <c r="B3974" s="2" t="s">
        <v>60</v>
      </c>
      <c r="C3974" s="2" t="s">
        <v>39222</v>
      </c>
      <c r="D3974" s="2" t="s">
        <v>39223</v>
      </c>
      <c r="E3974" s="2" t="s">
        <v>39224</v>
      </c>
      <c r="G3974" s="3" t="s">
        <v>64</v>
      </c>
      <c r="I3974" s="3" t="s">
        <v>64</v>
      </c>
      <c r="J3974" s="3" t="s">
        <v>64</v>
      </c>
      <c r="K3974" s="3" t="s">
        <v>65</v>
      </c>
      <c r="L3974" s="2" t="s">
        <v>39225</v>
      </c>
      <c r="M3974" s="2" t="s">
        <v>39226</v>
      </c>
      <c r="N3974" s="3" t="s">
        <v>291</v>
      </c>
      <c r="P3974" s="3" t="s">
        <v>102</v>
      </c>
      <c r="R3974" s="3" t="s">
        <v>70</v>
      </c>
      <c r="S3974" s="4">
        <v>10</v>
      </c>
      <c r="T3974" s="4">
        <v>10</v>
      </c>
      <c r="U3974" s="5" t="s">
        <v>39227</v>
      </c>
      <c r="V3974" s="5" t="s">
        <v>39227</v>
      </c>
      <c r="W3974" s="5" t="s">
        <v>72</v>
      </c>
      <c r="X3974" s="5" t="s">
        <v>72</v>
      </c>
      <c r="Y3974" s="4">
        <v>1016</v>
      </c>
      <c r="Z3974" s="4">
        <v>37</v>
      </c>
      <c r="AA3974" s="4">
        <v>39</v>
      </c>
      <c r="AB3974" s="4">
        <v>3</v>
      </c>
      <c r="AC3974" s="4">
        <v>4</v>
      </c>
      <c r="AD3974" s="4">
        <v>24</v>
      </c>
      <c r="AE3974" s="4">
        <v>24</v>
      </c>
      <c r="AF3974" s="4">
        <v>0</v>
      </c>
      <c r="AG3974" s="4">
        <v>0</v>
      </c>
      <c r="AH3974" s="4">
        <v>22</v>
      </c>
      <c r="AI3974" s="4">
        <v>22</v>
      </c>
      <c r="AJ3974" s="4">
        <v>6</v>
      </c>
      <c r="AK3974" s="4">
        <v>6</v>
      </c>
      <c r="AL3974" s="4">
        <v>13</v>
      </c>
      <c r="AM3974" s="4">
        <v>13</v>
      </c>
      <c r="AN3974" s="4">
        <v>0</v>
      </c>
      <c r="AO3974" s="4">
        <v>0</v>
      </c>
      <c r="AP3974" s="4">
        <v>6</v>
      </c>
      <c r="AQ3974" s="4">
        <v>6</v>
      </c>
      <c r="AR3974" s="3" t="s">
        <v>64</v>
      </c>
      <c r="AS3974" s="3" t="s">
        <v>64</v>
      </c>
      <c r="AT3974" s="3" t="s">
        <v>128</v>
      </c>
      <c r="AU3974" s="6" t="str">
        <f>HYPERLINK("http://catalog.hathitrust.org/Record/009427343","HathiTrust Record")</f>
        <v>HathiTrust Record</v>
      </c>
      <c r="AV3974" s="6" t="str">
        <f>HYPERLINK("http://mcgill.on.worldcat.org/oclc/86081047","Catalog Record")</f>
        <v>Catalog Record</v>
      </c>
      <c r="AW3974" s="6" t="str">
        <f>HYPERLINK("http://www.worldcat.org/oclc/86081047","WorldCat Record")</f>
        <v>WorldCat Record</v>
      </c>
      <c r="AX3974" s="3" t="s">
        <v>39228</v>
      </c>
      <c r="AY3974" s="3" t="s">
        <v>39229</v>
      </c>
      <c r="AZ3974" s="3" t="s">
        <v>39230</v>
      </c>
      <c r="BA3974" s="3" t="s">
        <v>39230</v>
      </c>
      <c r="BB3974" s="3" t="s">
        <v>39231</v>
      </c>
      <c r="BC3974" s="3" t="s">
        <v>77</v>
      </c>
      <c r="BD3974" s="3" t="s">
        <v>78</v>
      </c>
      <c r="BE3974" s="3" t="s">
        <v>39232</v>
      </c>
      <c r="BF3974" s="3" t="s">
        <v>39231</v>
      </c>
      <c r="BG3974" s="3" t="s">
        <v>39233</v>
      </c>
      <c r="BH3974">
        <f t="shared" si="104"/>
        <v>0</v>
      </c>
    </row>
    <row r="3975" spans="1:60" ht="58" x14ac:dyDescent="0.35">
      <c r="A3975" s="2" t="s">
        <v>59</v>
      </c>
      <c r="B3975" s="2" t="s">
        <v>60</v>
      </c>
      <c r="C3975" s="2" t="s">
        <v>39234</v>
      </c>
      <c r="D3975" s="2" t="s">
        <v>39235</v>
      </c>
      <c r="E3975" s="2" t="s">
        <v>39236</v>
      </c>
      <c r="G3975" s="3" t="s">
        <v>64</v>
      </c>
      <c r="I3975" s="3" t="s">
        <v>128</v>
      </c>
      <c r="J3975" s="3" t="s">
        <v>64</v>
      </c>
      <c r="K3975" s="3" t="s">
        <v>65</v>
      </c>
      <c r="L3975" s="2" t="s">
        <v>39237</v>
      </c>
      <c r="M3975" s="2" t="s">
        <v>39238</v>
      </c>
      <c r="N3975" s="3" t="s">
        <v>7285</v>
      </c>
      <c r="P3975" s="3" t="s">
        <v>102</v>
      </c>
      <c r="Q3975" s="2" t="s">
        <v>39239</v>
      </c>
      <c r="R3975" s="3" t="s">
        <v>70</v>
      </c>
      <c r="S3975" s="4">
        <v>4</v>
      </c>
      <c r="T3975" s="4">
        <v>5</v>
      </c>
      <c r="U3975" s="5" t="s">
        <v>39240</v>
      </c>
      <c r="V3975" s="5" t="s">
        <v>39241</v>
      </c>
      <c r="W3975" s="5" t="s">
        <v>72</v>
      </c>
      <c r="X3975" s="5" t="s">
        <v>72</v>
      </c>
      <c r="Y3975" s="4">
        <v>187</v>
      </c>
      <c r="Z3975" s="4">
        <v>9</v>
      </c>
      <c r="AA3975" s="4">
        <v>11</v>
      </c>
      <c r="AB3975" s="4">
        <v>1</v>
      </c>
      <c r="AC3975" s="4">
        <v>1</v>
      </c>
      <c r="AD3975" s="4">
        <v>36</v>
      </c>
      <c r="AE3975" s="4">
        <v>38</v>
      </c>
      <c r="AF3975" s="4">
        <v>0</v>
      </c>
      <c r="AG3975" s="4">
        <v>0</v>
      </c>
      <c r="AH3975" s="4">
        <v>32</v>
      </c>
      <c r="AI3975" s="4">
        <v>33</v>
      </c>
      <c r="AJ3975" s="4">
        <v>2</v>
      </c>
      <c r="AK3975" s="4">
        <v>3</v>
      </c>
      <c r="AL3975" s="4">
        <v>17</v>
      </c>
      <c r="AM3975" s="4">
        <v>17</v>
      </c>
      <c r="AN3975" s="4">
        <v>0</v>
      </c>
      <c r="AO3975" s="4">
        <v>0</v>
      </c>
      <c r="AP3975" s="4">
        <v>5</v>
      </c>
      <c r="AQ3975" s="4">
        <v>7</v>
      </c>
      <c r="AR3975" s="3" t="s">
        <v>64</v>
      </c>
      <c r="AS3975" s="3" t="s">
        <v>64</v>
      </c>
      <c r="AT3975" s="3" t="s">
        <v>128</v>
      </c>
      <c r="AU3975" s="6" t="str">
        <f>HYPERLINK("http://catalog.hathitrust.org/Record/001167461","HathiTrust Record")</f>
        <v>HathiTrust Record</v>
      </c>
      <c r="AV3975" s="6" t="str">
        <f>HYPERLINK("http://mcgill.on.worldcat.org/oclc/147636","Catalog Record")</f>
        <v>Catalog Record</v>
      </c>
      <c r="AW3975" s="6" t="str">
        <f>HYPERLINK("http://www.worldcat.org/oclc/147636","WorldCat Record")</f>
        <v>WorldCat Record</v>
      </c>
      <c r="AX3975" s="3" t="s">
        <v>39242</v>
      </c>
      <c r="AY3975" s="3" t="s">
        <v>39243</v>
      </c>
      <c r="AZ3975" s="3" t="s">
        <v>39244</v>
      </c>
      <c r="BA3975" s="3" t="s">
        <v>39244</v>
      </c>
      <c r="BB3975" s="3" t="s">
        <v>39245</v>
      </c>
      <c r="BC3975" s="3" t="s">
        <v>77</v>
      </c>
      <c r="BD3975" s="3" t="s">
        <v>78</v>
      </c>
      <c r="BE3975" s="3" t="s">
        <v>39246</v>
      </c>
      <c r="BF3975" s="3" t="s">
        <v>39245</v>
      </c>
      <c r="BG3975" s="3" t="s">
        <v>39247</v>
      </c>
      <c r="BH3975">
        <f t="shared" si="104"/>
        <v>0</v>
      </c>
    </row>
    <row r="3976" spans="1:60" ht="58" x14ac:dyDescent="0.35">
      <c r="A3976" s="2" t="s">
        <v>59</v>
      </c>
      <c r="B3976" s="2" t="s">
        <v>60</v>
      </c>
      <c r="C3976" s="2" t="s">
        <v>39248</v>
      </c>
      <c r="D3976" s="2" t="s">
        <v>39249</v>
      </c>
      <c r="E3976" s="2" t="s">
        <v>39250</v>
      </c>
      <c r="G3976" s="3" t="s">
        <v>64</v>
      </c>
      <c r="I3976" s="3" t="s">
        <v>64</v>
      </c>
      <c r="J3976" s="3" t="s">
        <v>64</v>
      </c>
      <c r="K3976" s="3" t="s">
        <v>65</v>
      </c>
      <c r="L3976" s="2" t="s">
        <v>39251</v>
      </c>
      <c r="M3976" s="2" t="s">
        <v>39252</v>
      </c>
      <c r="N3976" s="3" t="s">
        <v>922</v>
      </c>
      <c r="P3976" s="3" t="s">
        <v>102</v>
      </c>
      <c r="R3976" s="3" t="s">
        <v>70</v>
      </c>
      <c r="S3976" s="4">
        <v>1</v>
      </c>
      <c r="T3976" s="4">
        <v>1</v>
      </c>
      <c r="U3976" s="5" t="s">
        <v>39253</v>
      </c>
      <c r="V3976" s="5" t="s">
        <v>39253</v>
      </c>
      <c r="W3976" s="5" t="s">
        <v>72</v>
      </c>
      <c r="X3976" s="5" t="s">
        <v>72</v>
      </c>
      <c r="Y3976" s="4">
        <v>94</v>
      </c>
      <c r="Z3976" s="4">
        <v>4</v>
      </c>
      <c r="AA3976" s="4">
        <v>7</v>
      </c>
      <c r="AB3976" s="4">
        <v>1</v>
      </c>
      <c r="AC3976" s="4">
        <v>1</v>
      </c>
      <c r="AD3976" s="4">
        <v>33</v>
      </c>
      <c r="AE3976" s="4">
        <v>35</v>
      </c>
      <c r="AF3976" s="4">
        <v>0</v>
      </c>
      <c r="AG3976" s="4">
        <v>0</v>
      </c>
      <c r="AH3976" s="4">
        <v>30</v>
      </c>
      <c r="AI3976" s="4">
        <v>31</v>
      </c>
      <c r="AJ3976" s="4">
        <v>3</v>
      </c>
      <c r="AK3976" s="4">
        <v>5</v>
      </c>
      <c r="AL3976" s="4">
        <v>22</v>
      </c>
      <c r="AM3976" s="4">
        <v>22</v>
      </c>
      <c r="AN3976" s="4">
        <v>0</v>
      </c>
      <c r="AO3976" s="4">
        <v>0</v>
      </c>
      <c r="AP3976" s="4">
        <v>2</v>
      </c>
      <c r="AQ3976" s="4">
        <v>4</v>
      </c>
      <c r="AR3976" s="3" t="s">
        <v>64</v>
      </c>
      <c r="AS3976" s="3" t="s">
        <v>64</v>
      </c>
      <c r="AT3976" s="3" t="s">
        <v>64</v>
      </c>
      <c r="AV3976" s="6" t="str">
        <f>HYPERLINK("http://mcgill.on.worldcat.org/oclc/340483","Catalog Record")</f>
        <v>Catalog Record</v>
      </c>
      <c r="AW3976" s="6" t="str">
        <f>HYPERLINK("http://www.worldcat.org/oclc/340483","WorldCat Record")</f>
        <v>WorldCat Record</v>
      </c>
      <c r="AX3976" s="3" t="s">
        <v>39254</v>
      </c>
      <c r="AY3976" s="3" t="s">
        <v>39255</v>
      </c>
      <c r="AZ3976" s="3" t="s">
        <v>39256</v>
      </c>
      <c r="BA3976" s="3" t="s">
        <v>39256</v>
      </c>
      <c r="BB3976" s="3" t="s">
        <v>39257</v>
      </c>
      <c r="BC3976" s="3" t="s">
        <v>77</v>
      </c>
      <c r="BD3976" s="3" t="s">
        <v>78</v>
      </c>
      <c r="BE3976" s="3" t="s">
        <v>39258</v>
      </c>
      <c r="BF3976" s="3" t="s">
        <v>39257</v>
      </c>
      <c r="BG3976" s="3" t="s">
        <v>39259</v>
      </c>
      <c r="BH3976">
        <f t="shared" si="104"/>
        <v>0</v>
      </c>
    </row>
    <row r="3977" spans="1:60" ht="58" x14ac:dyDescent="0.35">
      <c r="A3977" s="2" t="s">
        <v>59</v>
      </c>
      <c r="B3977" s="2" t="s">
        <v>60</v>
      </c>
      <c r="C3977" s="2" t="s">
        <v>39260</v>
      </c>
      <c r="D3977" s="2" t="s">
        <v>39261</v>
      </c>
      <c r="E3977" s="2" t="s">
        <v>39262</v>
      </c>
      <c r="G3977" s="3" t="s">
        <v>64</v>
      </c>
      <c r="I3977" s="3" t="s">
        <v>64</v>
      </c>
      <c r="J3977" s="3" t="s">
        <v>128</v>
      </c>
      <c r="K3977" s="3" t="s">
        <v>65</v>
      </c>
      <c r="L3977" s="2" t="s">
        <v>39263</v>
      </c>
      <c r="M3977" s="2" t="s">
        <v>16093</v>
      </c>
      <c r="N3977" s="3" t="s">
        <v>511</v>
      </c>
      <c r="O3977" s="2" t="s">
        <v>39069</v>
      </c>
      <c r="P3977" s="3" t="s">
        <v>102</v>
      </c>
      <c r="R3977" s="3" t="s">
        <v>70</v>
      </c>
      <c r="S3977" s="4">
        <v>2</v>
      </c>
      <c r="T3977" s="4">
        <v>2</v>
      </c>
      <c r="U3977" s="5" t="s">
        <v>18230</v>
      </c>
      <c r="V3977" s="5" t="s">
        <v>18230</v>
      </c>
      <c r="W3977" s="5" t="s">
        <v>72</v>
      </c>
      <c r="X3977" s="5" t="s">
        <v>72</v>
      </c>
      <c r="Y3977" s="4">
        <v>109</v>
      </c>
      <c r="Z3977" s="4">
        <v>6</v>
      </c>
      <c r="AA3977" s="4">
        <v>13</v>
      </c>
      <c r="AB3977" s="4">
        <v>1</v>
      </c>
      <c r="AC3977" s="4">
        <v>2</v>
      </c>
      <c r="AD3977" s="4">
        <v>28</v>
      </c>
      <c r="AE3977" s="4">
        <v>67</v>
      </c>
      <c r="AF3977" s="4">
        <v>0</v>
      </c>
      <c r="AG3977" s="4">
        <v>0</v>
      </c>
      <c r="AH3977" s="4">
        <v>28</v>
      </c>
      <c r="AI3977" s="4">
        <v>64</v>
      </c>
      <c r="AJ3977" s="4">
        <v>4</v>
      </c>
      <c r="AK3977" s="4">
        <v>7</v>
      </c>
      <c r="AL3977" s="4">
        <v>17</v>
      </c>
      <c r="AM3977" s="4">
        <v>35</v>
      </c>
      <c r="AN3977" s="4">
        <v>0</v>
      </c>
      <c r="AO3977" s="4">
        <v>0</v>
      </c>
      <c r="AP3977" s="4">
        <v>4</v>
      </c>
      <c r="AQ3977" s="4">
        <v>7</v>
      </c>
      <c r="AR3977" s="3" t="s">
        <v>64</v>
      </c>
      <c r="AS3977" s="3" t="s">
        <v>64</v>
      </c>
      <c r="AT3977" s="3" t="s">
        <v>64</v>
      </c>
      <c r="AV3977" s="6" t="str">
        <f>HYPERLINK("http://mcgill.on.worldcat.org/oclc/475446641","Catalog Record")</f>
        <v>Catalog Record</v>
      </c>
      <c r="AW3977" s="6" t="str">
        <f>HYPERLINK("http://www.worldcat.org/oclc/475446641","WorldCat Record")</f>
        <v>WorldCat Record</v>
      </c>
      <c r="AX3977" s="3" t="s">
        <v>39264</v>
      </c>
      <c r="AY3977" s="3" t="s">
        <v>39265</v>
      </c>
      <c r="AZ3977" s="3" t="s">
        <v>39266</v>
      </c>
      <c r="BA3977" s="3" t="s">
        <v>39266</v>
      </c>
      <c r="BB3977" s="3" t="s">
        <v>39267</v>
      </c>
      <c r="BC3977" s="3" t="s">
        <v>77</v>
      </c>
      <c r="BD3977" s="3" t="s">
        <v>78</v>
      </c>
      <c r="BE3977" s="3" t="s">
        <v>39268</v>
      </c>
      <c r="BF3977" s="3" t="s">
        <v>39267</v>
      </c>
      <c r="BG3977" s="3" t="s">
        <v>39269</v>
      </c>
      <c r="BH3977">
        <f t="shared" si="104"/>
        <v>0</v>
      </c>
    </row>
    <row r="3978" spans="1:60" ht="58" x14ac:dyDescent="0.35">
      <c r="A3978" s="2" t="s">
        <v>59</v>
      </c>
      <c r="B3978" s="2" t="s">
        <v>60</v>
      </c>
      <c r="C3978" s="2" t="s">
        <v>39270</v>
      </c>
      <c r="D3978" s="2" t="s">
        <v>39271</v>
      </c>
      <c r="E3978" s="2" t="s">
        <v>39272</v>
      </c>
      <c r="G3978" s="3" t="s">
        <v>64</v>
      </c>
      <c r="I3978" s="3" t="s">
        <v>64</v>
      </c>
      <c r="J3978" s="3" t="s">
        <v>64</v>
      </c>
      <c r="K3978" s="3" t="s">
        <v>65</v>
      </c>
      <c r="M3978" s="2" t="s">
        <v>39273</v>
      </c>
      <c r="N3978" s="3" t="s">
        <v>511</v>
      </c>
      <c r="P3978" s="3" t="s">
        <v>102</v>
      </c>
      <c r="Q3978" s="2" t="s">
        <v>39274</v>
      </c>
      <c r="R3978" s="3" t="s">
        <v>70</v>
      </c>
      <c r="S3978" s="4">
        <v>4</v>
      </c>
      <c r="T3978" s="4">
        <v>4</v>
      </c>
      <c r="U3978" s="5" t="s">
        <v>39275</v>
      </c>
      <c r="V3978" s="5" t="s">
        <v>39275</v>
      </c>
      <c r="W3978" s="5" t="s">
        <v>72</v>
      </c>
      <c r="X3978" s="5" t="s">
        <v>72</v>
      </c>
      <c r="Y3978" s="4">
        <v>139</v>
      </c>
      <c r="Z3978" s="4">
        <v>10</v>
      </c>
      <c r="AA3978" s="4">
        <v>18</v>
      </c>
      <c r="AB3978" s="4">
        <v>3</v>
      </c>
      <c r="AC3978" s="4">
        <v>9</v>
      </c>
      <c r="AD3978" s="4">
        <v>51</v>
      </c>
      <c r="AE3978" s="4">
        <v>59</v>
      </c>
      <c r="AF3978" s="4">
        <v>1</v>
      </c>
      <c r="AG3978" s="4">
        <v>2</v>
      </c>
      <c r="AH3978" s="4">
        <v>48</v>
      </c>
      <c r="AI3978" s="4">
        <v>53</v>
      </c>
      <c r="AJ3978" s="4">
        <v>7</v>
      </c>
      <c r="AK3978" s="4">
        <v>9</v>
      </c>
      <c r="AL3978" s="4">
        <v>34</v>
      </c>
      <c r="AM3978" s="4">
        <v>36</v>
      </c>
      <c r="AN3978" s="4">
        <v>0</v>
      </c>
      <c r="AO3978" s="4">
        <v>0</v>
      </c>
      <c r="AP3978" s="4">
        <v>7</v>
      </c>
      <c r="AQ3978" s="4">
        <v>9</v>
      </c>
      <c r="AR3978" s="3" t="s">
        <v>64</v>
      </c>
      <c r="AS3978" s="3" t="s">
        <v>64</v>
      </c>
      <c r="AT3978" s="3" t="s">
        <v>64</v>
      </c>
      <c r="AV3978" s="6" t="str">
        <f>HYPERLINK("http://mcgill.on.worldcat.org/oclc/311756477","Catalog Record")</f>
        <v>Catalog Record</v>
      </c>
      <c r="AW3978" s="6" t="str">
        <f>HYPERLINK("http://www.worldcat.org/oclc/311756477","WorldCat Record")</f>
        <v>WorldCat Record</v>
      </c>
      <c r="AX3978" s="3" t="s">
        <v>39276</v>
      </c>
      <c r="AY3978" s="3" t="s">
        <v>39277</v>
      </c>
      <c r="AZ3978" s="3" t="s">
        <v>39278</v>
      </c>
      <c r="BA3978" s="3" t="s">
        <v>39278</v>
      </c>
      <c r="BB3978" s="3" t="s">
        <v>39279</v>
      </c>
      <c r="BC3978" s="3" t="s">
        <v>77</v>
      </c>
      <c r="BD3978" s="3" t="s">
        <v>78</v>
      </c>
      <c r="BE3978" s="3" t="s">
        <v>39280</v>
      </c>
      <c r="BF3978" s="3" t="s">
        <v>39279</v>
      </c>
      <c r="BG3978" s="3" t="s">
        <v>39281</v>
      </c>
      <c r="BH3978">
        <f t="shared" si="104"/>
        <v>0</v>
      </c>
    </row>
    <row r="3979" spans="1:60" ht="58" x14ac:dyDescent="0.35">
      <c r="A3979" s="2" t="s">
        <v>59</v>
      </c>
      <c r="B3979" s="2" t="s">
        <v>60</v>
      </c>
      <c r="C3979" s="2" t="s">
        <v>39282</v>
      </c>
      <c r="D3979" s="2" t="s">
        <v>39283</v>
      </c>
      <c r="E3979" s="2" t="s">
        <v>39284</v>
      </c>
      <c r="F3979" s="3" t="s">
        <v>525</v>
      </c>
      <c r="G3979" s="3" t="s">
        <v>128</v>
      </c>
      <c r="I3979" s="3" t="s">
        <v>128</v>
      </c>
      <c r="J3979" s="3" t="s">
        <v>64</v>
      </c>
      <c r="K3979" s="3" t="s">
        <v>65</v>
      </c>
      <c r="L3979" s="2" t="s">
        <v>39285</v>
      </c>
      <c r="M3979" s="2" t="s">
        <v>39286</v>
      </c>
      <c r="N3979" s="3" t="s">
        <v>304</v>
      </c>
      <c r="P3979" s="3" t="s">
        <v>102</v>
      </c>
      <c r="R3979" s="3" t="s">
        <v>70</v>
      </c>
      <c r="S3979" s="4">
        <v>2</v>
      </c>
      <c r="T3979" s="4">
        <v>4</v>
      </c>
      <c r="U3979" s="5" t="s">
        <v>174</v>
      </c>
      <c r="V3979" s="5" t="s">
        <v>174</v>
      </c>
      <c r="W3979" s="5" t="s">
        <v>72</v>
      </c>
      <c r="X3979" s="5" t="s">
        <v>72</v>
      </c>
      <c r="Y3979" s="4">
        <v>179</v>
      </c>
      <c r="Z3979" s="4">
        <v>16</v>
      </c>
      <c r="AA3979" s="4">
        <v>37</v>
      </c>
      <c r="AB3979" s="4">
        <v>2</v>
      </c>
      <c r="AC3979" s="4">
        <v>4</v>
      </c>
      <c r="AD3979" s="4">
        <v>58</v>
      </c>
      <c r="AE3979" s="4">
        <v>91</v>
      </c>
      <c r="AF3979" s="4">
        <v>0</v>
      </c>
      <c r="AG3979" s="4">
        <v>1</v>
      </c>
      <c r="AH3979" s="4">
        <v>53</v>
      </c>
      <c r="AI3979" s="4">
        <v>78</v>
      </c>
      <c r="AJ3979" s="4">
        <v>5</v>
      </c>
      <c r="AK3979" s="4">
        <v>15</v>
      </c>
      <c r="AL3979" s="4">
        <v>34</v>
      </c>
      <c r="AM3979" s="4">
        <v>46</v>
      </c>
      <c r="AN3979" s="4">
        <v>0</v>
      </c>
      <c r="AO3979" s="4">
        <v>0</v>
      </c>
      <c r="AP3979" s="4">
        <v>5</v>
      </c>
      <c r="AQ3979" s="4">
        <v>18</v>
      </c>
      <c r="AR3979" s="3" t="s">
        <v>128</v>
      </c>
      <c r="AS3979" s="3" t="s">
        <v>64</v>
      </c>
      <c r="AT3979" s="3" t="s">
        <v>128</v>
      </c>
      <c r="AU3979" s="6" t="str">
        <f>HYPERLINK("http://catalog.hathitrust.org/Record/001167705","HathiTrust Record")</f>
        <v>HathiTrust Record</v>
      </c>
      <c r="AV3979" s="6" t="str">
        <f>HYPERLINK("http://mcgill.on.worldcat.org/oclc/576163","Catalog Record")</f>
        <v>Catalog Record</v>
      </c>
      <c r="AW3979" s="6" t="str">
        <f>HYPERLINK("http://www.worldcat.org/oclc/576163","WorldCat Record")</f>
        <v>WorldCat Record</v>
      </c>
      <c r="AX3979" s="3" t="s">
        <v>39287</v>
      </c>
      <c r="AY3979" s="3" t="s">
        <v>39288</v>
      </c>
      <c r="AZ3979" s="3" t="s">
        <v>39289</v>
      </c>
      <c r="BA3979" s="3" t="s">
        <v>39289</v>
      </c>
      <c r="BB3979" s="3" t="s">
        <v>39290</v>
      </c>
      <c r="BC3979" s="3" t="s">
        <v>77</v>
      </c>
      <c r="BD3979" s="3" t="s">
        <v>78</v>
      </c>
      <c r="BE3979" s="3" t="s">
        <v>39291</v>
      </c>
      <c r="BF3979" s="3" t="s">
        <v>39290</v>
      </c>
      <c r="BG3979" s="3" t="s">
        <v>39292</v>
      </c>
      <c r="BH3979">
        <f t="shared" si="104"/>
        <v>0</v>
      </c>
    </row>
    <row r="3980" spans="1:60" ht="58" x14ac:dyDescent="0.35">
      <c r="A3980" s="2" t="s">
        <v>59</v>
      </c>
      <c r="B3980" s="2" t="s">
        <v>60</v>
      </c>
      <c r="C3980" s="2" t="s">
        <v>39282</v>
      </c>
      <c r="D3980" s="2" t="s">
        <v>39283</v>
      </c>
      <c r="E3980" s="2" t="s">
        <v>39284</v>
      </c>
      <c r="F3980" s="3" t="s">
        <v>529</v>
      </c>
      <c r="G3980" s="3" t="s">
        <v>128</v>
      </c>
      <c r="I3980" s="3" t="s">
        <v>128</v>
      </c>
      <c r="J3980" s="3" t="s">
        <v>64</v>
      </c>
      <c r="K3980" s="3" t="s">
        <v>65</v>
      </c>
      <c r="L3980" s="2" t="s">
        <v>39285</v>
      </c>
      <c r="M3980" s="2" t="s">
        <v>39286</v>
      </c>
      <c r="N3980" s="3" t="s">
        <v>304</v>
      </c>
      <c r="P3980" s="3" t="s">
        <v>102</v>
      </c>
      <c r="R3980" s="3" t="s">
        <v>70</v>
      </c>
      <c r="S3980" s="4">
        <v>2</v>
      </c>
      <c r="T3980" s="4">
        <v>4</v>
      </c>
      <c r="U3980" s="5" t="s">
        <v>174</v>
      </c>
      <c r="V3980" s="5" t="s">
        <v>174</v>
      </c>
      <c r="W3980" s="5" t="s">
        <v>72</v>
      </c>
      <c r="X3980" s="5" t="s">
        <v>72</v>
      </c>
      <c r="Y3980" s="4">
        <v>179</v>
      </c>
      <c r="Z3980" s="4">
        <v>16</v>
      </c>
      <c r="AA3980" s="4">
        <v>37</v>
      </c>
      <c r="AB3980" s="4">
        <v>2</v>
      </c>
      <c r="AC3980" s="4">
        <v>4</v>
      </c>
      <c r="AD3980" s="4">
        <v>58</v>
      </c>
      <c r="AE3980" s="4">
        <v>91</v>
      </c>
      <c r="AF3980" s="4">
        <v>0</v>
      </c>
      <c r="AG3980" s="4">
        <v>1</v>
      </c>
      <c r="AH3980" s="4">
        <v>53</v>
      </c>
      <c r="AI3980" s="4">
        <v>78</v>
      </c>
      <c r="AJ3980" s="4">
        <v>5</v>
      </c>
      <c r="AK3980" s="4">
        <v>15</v>
      </c>
      <c r="AL3980" s="4">
        <v>34</v>
      </c>
      <c r="AM3980" s="4">
        <v>46</v>
      </c>
      <c r="AN3980" s="4">
        <v>0</v>
      </c>
      <c r="AO3980" s="4">
        <v>0</v>
      </c>
      <c r="AP3980" s="4">
        <v>5</v>
      </c>
      <c r="AQ3980" s="4">
        <v>18</v>
      </c>
      <c r="AR3980" s="3" t="s">
        <v>128</v>
      </c>
      <c r="AS3980" s="3" t="s">
        <v>64</v>
      </c>
      <c r="AT3980" s="3" t="s">
        <v>128</v>
      </c>
      <c r="AU3980" s="6" t="str">
        <f>HYPERLINK("http://catalog.hathitrust.org/Record/001167705","HathiTrust Record")</f>
        <v>HathiTrust Record</v>
      </c>
      <c r="AV3980" s="6" t="str">
        <f>HYPERLINK("http://mcgill.on.worldcat.org/oclc/576163","Catalog Record")</f>
        <v>Catalog Record</v>
      </c>
      <c r="AW3980" s="6" t="str">
        <f>HYPERLINK("http://www.worldcat.org/oclc/576163","WorldCat Record")</f>
        <v>WorldCat Record</v>
      </c>
      <c r="AX3980" s="3" t="s">
        <v>39287</v>
      </c>
      <c r="AY3980" s="3" t="s">
        <v>39288</v>
      </c>
      <c r="AZ3980" s="3" t="s">
        <v>39289</v>
      </c>
      <c r="BA3980" s="3" t="s">
        <v>39289</v>
      </c>
      <c r="BB3980" s="3" t="s">
        <v>39293</v>
      </c>
      <c r="BC3980" s="3" t="s">
        <v>77</v>
      </c>
      <c r="BD3980" s="3" t="s">
        <v>78</v>
      </c>
      <c r="BE3980" s="3" t="s">
        <v>39291</v>
      </c>
      <c r="BF3980" s="3" t="s">
        <v>39293</v>
      </c>
      <c r="BG3980" s="3" t="s">
        <v>39294</v>
      </c>
      <c r="BH3980">
        <f t="shared" si="104"/>
        <v>0</v>
      </c>
    </row>
    <row r="3981" spans="1:60" ht="101.5" x14ac:dyDescent="0.35">
      <c r="A3981" s="2" t="s">
        <v>59</v>
      </c>
      <c r="B3981" s="2" t="s">
        <v>39295</v>
      </c>
      <c r="C3981" s="2" t="s">
        <v>39296</v>
      </c>
      <c r="D3981" s="2" t="s">
        <v>39297</v>
      </c>
      <c r="E3981" s="2" t="s">
        <v>39284</v>
      </c>
      <c r="F3981" s="3" t="s">
        <v>525</v>
      </c>
      <c r="G3981" s="3" t="s">
        <v>128</v>
      </c>
      <c r="I3981" s="3" t="s">
        <v>128</v>
      </c>
      <c r="J3981" s="3" t="s">
        <v>64</v>
      </c>
      <c r="K3981" s="3" t="s">
        <v>65</v>
      </c>
      <c r="L3981" s="2" t="s">
        <v>39285</v>
      </c>
      <c r="M3981" s="2" t="s">
        <v>39298</v>
      </c>
      <c r="N3981" s="3" t="s">
        <v>1750</v>
      </c>
      <c r="P3981" s="3" t="s">
        <v>102</v>
      </c>
      <c r="R3981" s="3" t="s">
        <v>70</v>
      </c>
      <c r="S3981" s="4">
        <v>0</v>
      </c>
      <c r="T3981" s="4">
        <v>2</v>
      </c>
      <c r="V3981" s="5" t="s">
        <v>2935</v>
      </c>
      <c r="W3981" s="5" t="s">
        <v>72</v>
      </c>
      <c r="X3981" s="5" t="s">
        <v>72</v>
      </c>
      <c r="Y3981" s="4">
        <v>17</v>
      </c>
      <c r="Z3981" s="4">
        <v>9</v>
      </c>
      <c r="AA3981" s="4">
        <v>26</v>
      </c>
      <c r="AB3981" s="4">
        <v>1</v>
      </c>
      <c r="AC3981" s="4">
        <v>2</v>
      </c>
      <c r="AD3981" s="4">
        <v>8</v>
      </c>
      <c r="AE3981" s="4">
        <v>52</v>
      </c>
      <c r="AF3981" s="4">
        <v>0</v>
      </c>
      <c r="AG3981" s="4">
        <v>1</v>
      </c>
      <c r="AH3981" s="4">
        <v>4</v>
      </c>
      <c r="AI3981" s="4">
        <v>42</v>
      </c>
      <c r="AJ3981" s="4">
        <v>6</v>
      </c>
      <c r="AK3981" s="4">
        <v>11</v>
      </c>
      <c r="AL3981" s="4">
        <v>2</v>
      </c>
      <c r="AM3981" s="4">
        <v>25</v>
      </c>
      <c r="AN3981" s="4">
        <v>0</v>
      </c>
      <c r="AO3981" s="4">
        <v>0</v>
      </c>
      <c r="AP3981" s="4">
        <v>5</v>
      </c>
      <c r="AQ3981" s="4">
        <v>14</v>
      </c>
      <c r="AR3981" s="3" t="s">
        <v>128</v>
      </c>
      <c r="AS3981" s="3" t="s">
        <v>64</v>
      </c>
      <c r="AT3981" s="3" t="s">
        <v>128</v>
      </c>
      <c r="AU3981" s="6" t="str">
        <f>HYPERLINK("http://catalog.hathitrust.org/Record/102194132","HathiTrust Record")</f>
        <v>HathiTrust Record</v>
      </c>
      <c r="AV3981" s="6" t="str">
        <f>HYPERLINK("http://mcgill.on.worldcat.org/oclc/505723463","Catalog Record")</f>
        <v>Catalog Record</v>
      </c>
      <c r="AW3981" s="6" t="str">
        <f>HYPERLINK("http://www.worldcat.org/oclc/505723463","WorldCat Record")</f>
        <v>WorldCat Record</v>
      </c>
      <c r="AX3981" s="3" t="s">
        <v>39299</v>
      </c>
      <c r="AY3981" s="3" t="s">
        <v>39300</v>
      </c>
      <c r="AZ3981" s="3" t="s">
        <v>39301</v>
      </c>
      <c r="BA3981" s="3" t="s">
        <v>39301</v>
      </c>
      <c r="BB3981" s="3" t="s">
        <v>39302</v>
      </c>
      <c r="BC3981" s="3" t="s">
        <v>77</v>
      </c>
      <c r="BD3981" s="3" t="s">
        <v>78</v>
      </c>
      <c r="BE3981" s="3" t="s">
        <v>39303</v>
      </c>
      <c r="BF3981" s="3" t="s">
        <v>39302</v>
      </c>
      <c r="BG3981" s="3" t="s">
        <v>39304</v>
      </c>
      <c r="BH3981">
        <f t="shared" si="104"/>
        <v>0</v>
      </c>
    </row>
    <row r="3982" spans="1:60" ht="87" x14ac:dyDescent="0.35">
      <c r="A3982" s="2" t="s">
        <v>59</v>
      </c>
      <c r="B3982" s="2" t="s">
        <v>39305</v>
      </c>
      <c r="C3982" s="2" t="s">
        <v>39296</v>
      </c>
      <c r="D3982" s="2" t="s">
        <v>39297</v>
      </c>
      <c r="E3982" s="2" t="s">
        <v>39284</v>
      </c>
      <c r="F3982" s="3" t="s">
        <v>529</v>
      </c>
      <c r="G3982" s="3" t="s">
        <v>128</v>
      </c>
      <c r="I3982" s="3" t="s">
        <v>128</v>
      </c>
      <c r="J3982" s="3" t="s">
        <v>64</v>
      </c>
      <c r="K3982" s="3" t="s">
        <v>65</v>
      </c>
      <c r="L3982" s="2" t="s">
        <v>39285</v>
      </c>
      <c r="M3982" s="2" t="s">
        <v>39298</v>
      </c>
      <c r="N3982" s="3" t="s">
        <v>1750</v>
      </c>
      <c r="P3982" s="3" t="s">
        <v>102</v>
      </c>
      <c r="R3982" s="3" t="s">
        <v>70</v>
      </c>
      <c r="S3982" s="4">
        <v>0</v>
      </c>
      <c r="T3982" s="4">
        <v>2</v>
      </c>
      <c r="V3982" s="5" t="s">
        <v>2935</v>
      </c>
      <c r="W3982" s="5" t="s">
        <v>72</v>
      </c>
      <c r="X3982" s="5" t="s">
        <v>72</v>
      </c>
      <c r="Y3982" s="4">
        <v>17</v>
      </c>
      <c r="Z3982" s="4">
        <v>9</v>
      </c>
      <c r="AA3982" s="4">
        <v>26</v>
      </c>
      <c r="AB3982" s="4">
        <v>1</v>
      </c>
      <c r="AC3982" s="4">
        <v>2</v>
      </c>
      <c r="AD3982" s="4">
        <v>8</v>
      </c>
      <c r="AE3982" s="4">
        <v>52</v>
      </c>
      <c r="AF3982" s="4">
        <v>0</v>
      </c>
      <c r="AG3982" s="4">
        <v>1</v>
      </c>
      <c r="AH3982" s="4">
        <v>4</v>
      </c>
      <c r="AI3982" s="4">
        <v>42</v>
      </c>
      <c r="AJ3982" s="4">
        <v>6</v>
      </c>
      <c r="AK3982" s="4">
        <v>11</v>
      </c>
      <c r="AL3982" s="4">
        <v>2</v>
      </c>
      <c r="AM3982" s="4">
        <v>25</v>
      </c>
      <c r="AN3982" s="4">
        <v>0</v>
      </c>
      <c r="AO3982" s="4">
        <v>0</v>
      </c>
      <c r="AP3982" s="4">
        <v>5</v>
      </c>
      <c r="AQ3982" s="4">
        <v>14</v>
      </c>
      <c r="AR3982" s="3" t="s">
        <v>128</v>
      </c>
      <c r="AS3982" s="3" t="s">
        <v>64</v>
      </c>
      <c r="AT3982" s="3" t="s">
        <v>128</v>
      </c>
      <c r="AU3982" s="6" t="str">
        <f>HYPERLINK("http://catalog.hathitrust.org/Record/102194132","HathiTrust Record")</f>
        <v>HathiTrust Record</v>
      </c>
      <c r="AV3982" s="6" t="str">
        <f>HYPERLINK("http://mcgill.on.worldcat.org/oclc/505723463","Catalog Record")</f>
        <v>Catalog Record</v>
      </c>
      <c r="AW3982" s="6" t="str">
        <f>HYPERLINK("http://www.worldcat.org/oclc/505723463","WorldCat Record")</f>
        <v>WorldCat Record</v>
      </c>
      <c r="AX3982" s="3" t="s">
        <v>39299</v>
      </c>
      <c r="AY3982" s="3" t="s">
        <v>39300</v>
      </c>
      <c r="AZ3982" s="3" t="s">
        <v>39301</v>
      </c>
      <c r="BA3982" s="3" t="s">
        <v>39301</v>
      </c>
      <c r="BB3982" s="3" t="s">
        <v>39306</v>
      </c>
      <c r="BC3982" s="3" t="s">
        <v>77</v>
      </c>
      <c r="BD3982" s="3" t="s">
        <v>78</v>
      </c>
      <c r="BE3982" s="3" t="s">
        <v>39303</v>
      </c>
      <c r="BF3982" s="3" t="s">
        <v>39306</v>
      </c>
      <c r="BG3982" s="3" t="s">
        <v>39307</v>
      </c>
      <c r="BH3982">
        <f t="shared" si="104"/>
        <v>0</v>
      </c>
    </row>
    <row r="3983" spans="1:60" ht="72.5" x14ac:dyDescent="0.35">
      <c r="A3983" s="2" t="s">
        <v>59</v>
      </c>
      <c r="B3983" s="2" t="s">
        <v>60</v>
      </c>
      <c r="C3983" s="2" t="s">
        <v>39308</v>
      </c>
      <c r="D3983" s="2" t="s">
        <v>39309</v>
      </c>
      <c r="E3983" s="2" t="s">
        <v>39310</v>
      </c>
      <c r="G3983" s="3" t="s">
        <v>64</v>
      </c>
      <c r="I3983" s="3" t="s">
        <v>128</v>
      </c>
      <c r="J3983" s="3" t="s">
        <v>64</v>
      </c>
      <c r="K3983" s="3" t="s">
        <v>65</v>
      </c>
      <c r="L3983" s="2" t="s">
        <v>39311</v>
      </c>
      <c r="M3983" s="2" t="s">
        <v>39312</v>
      </c>
      <c r="N3983" s="3" t="s">
        <v>3721</v>
      </c>
      <c r="P3983" s="3" t="s">
        <v>102</v>
      </c>
      <c r="R3983" s="3" t="s">
        <v>70</v>
      </c>
      <c r="S3983" s="4">
        <v>1</v>
      </c>
      <c r="T3983" s="4">
        <v>1</v>
      </c>
      <c r="U3983" s="5" t="s">
        <v>174</v>
      </c>
      <c r="V3983" s="5" t="s">
        <v>174</v>
      </c>
      <c r="W3983" s="5" t="s">
        <v>72</v>
      </c>
      <c r="X3983" s="5" t="s">
        <v>72</v>
      </c>
      <c r="Y3983" s="4">
        <v>52</v>
      </c>
      <c r="Z3983" s="4">
        <v>17</v>
      </c>
      <c r="AA3983" s="4">
        <v>17</v>
      </c>
      <c r="AB3983" s="4">
        <v>1</v>
      </c>
      <c r="AC3983" s="4">
        <v>1</v>
      </c>
      <c r="AD3983" s="4">
        <v>23</v>
      </c>
      <c r="AE3983" s="4">
        <v>23</v>
      </c>
      <c r="AF3983" s="4">
        <v>0</v>
      </c>
      <c r="AG3983" s="4">
        <v>0</v>
      </c>
      <c r="AH3983" s="4">
        <v>18</v>
      </c>
      <c r="AI3983" s="4">
        <v>18</v>
      </c>
      <c r="AJ3983" s="4">
        <v>9</v>
      </c>
      <c r="AK3983" s="4">
        <v>9</v>
      </c>
      <c r="AL3983" s="4">
        <v>8</v>
      </c>
      <c r="AM3983" s="4">
        <v>8</v>
      </c>
      <c r="AN3983" s="4">
        <v>0</v>
      </c>
      <c r="AO3983" s="4">
        <v>0</v>
      </c>
      <c r="AP3983" s="4">
        <v>10</v>
      </c>
      <c r="AQ3983" s="4">
        <v>10</v>
      </c>
      <c r="AR3983" s="3" t="s">
        <v>128</v>
      </c>
      <c r="AS3983" s="3" t="s">
        <v>64</v>
      </c>
      <c r="AT3983" s="3" t="s">
        <v>64</v>
      </c>
      <c r="AV3983" s="6" t="str">
        <f>HYPERLINK("http://mcgill.on.worldcat.org/oclc/16018368","Catalog Record")</f>
        <v>Catalog Record</v>
      </c>
      <c r="AW3983" s="6" t="str">
        <f>HYPERLINK("http://www.worldcat.org/oclc/16018368","WorldCat Record")</f>
        <v>WorldCat Record</v>
      </c>
      <c r="AX3983" s="3" t="s">
        <v>39313</v>
      </c>
      <c r="AY3983" s="3" t="s">
        <v>39314</v>
      </c>
      <c r="AZ3983" s="3" t="s">
        <v>39315</v>
      </c>
      <c r="BA3983" s="3" t="s">
        <v>39315</v>
      </c>
      <c r="BB3983" s="3" t="s">
        <v>39316</v>
      </c>
      <c r="BC3983" s="3" t="s">
        <v>77</v>
      </c>
      <c r="BD3983" s="3" t="s">
        <v>78</v>
      </c>
      <c r="BF3983" s="3" t="s">
        <v>39316</v>
      </c>
      <c r="BG3983" s="3" t="s">
        <v>39317</v>
      </c>
      <c r="BH3983">
        <f t="shared" si="104"/>
        <v>0</v>
      </c>
    </row>
    <row r="3984" spans="1:60" ht="58" x14ac:dyDescent="0.35">
      <c r="A3984" s="2" t="s">
        <v>59</v>
      </c>
      <c r="B3984" s="2" t="s">
        <v>60</v>
      </c>
      <c r="C3984" s="2" t="s">
        <v>39318</v>
      </c>
      <c r="D3984" s="2" t="s">
        <v>39319</v>
      </c>
      <c r="E3984" s="2" t="s">
        <v>39320</v>
      </c>
      <c r="G3984" s="3" t="s">
        <v>64</v>
      </c>
      <c r="I3984" s="3" t="s">
        <v>64</v>
      </c>
      <c r="J3984" s="3" t="s">
        <v>64</v>
      </c>
      <c r="K3984" s="3" t="s">
        <v>65</v>
      </c>
      <c r="M3984" s="2" t="s">
        <v>4199</v>
      </c>
      <c r="N3984" s="3" t="s">
        <v>1075</v>
      </c>
      <c r="P3984" s="3" t="s">
        <v>102</v>
      </c>
      <c r="Q3984" s="2" t="s">
        <v>39321</v>
      </c>
      <c r="R3984" s="3" t="s">
        <v>70</v>
      </c>
      <c r="S3984" s="4">
        <v>3</v>
      </c>
      <c r="T3984" s="4">
        <v>3</v>
      </c>
      <c r="U3984" s="5" t="s">
        <v>6395</v>
      </c>
      <c r="V3984" s="5" t="s">
        <v>6395</v>
      </c>
      <c r="W3984" s="5" t="s">
        <v>72</v>
      </c>
      <c r="X3984" s="5" t="s">
        <v>72</v>
      </c>
      <c r="Y3984" s="4">
        <v>76</v>
      </c>
      <c r="Z3984" s="4">
        <v>6</v>
      </c>
      <c r="AA3984" s="4">
        <v>78</v>
      </c>
      <c r="AB3984" s="4">
        <v>1</v>
      </c>
      <c r="AC3984" s="4">
        <v>15</v>
      </c>
      <c r="AD3984" s="4">
        <v>22</v>
      </c>
      <c r="AE3984" s="4">
        <v>102</v>
      </c>
      <c r="AF3984" s="4">
        <v>0</v>
      </c>
      <c r="AG3984" s="4">
        <v>8</v>
      </c>
      <c r="AH3984" s="4">
        <v>21</v>
      </c>
      <c r="AI3984" s="4">
        <v>72</v>
      </c>
      <c r="AJ3984" s="4">
        <v>3</v>
      </c>
      <c r="AK3984" s="4">
        <v>20</v>
      </c>
      <c r="AL3984" s="4">
        <v>14</v>
      </c>
      <c r="AM3984" s="4">
        <v>38</v>
      </c>
      <c r="AN3984" s="4">
        <v>0</v>
      </c>
      <c r="AO3984" s="4">
        <v>0</v>
      </c>
      <c r="AP3984" s="4">
        <v>3</v>
      </c>
      <c r="AQ3984" s="4">
        <v>37</v>
      </c>
      <c r="AR3984" s="3" t="s">
        <v>64</v>
      </c>
      <c r="AS3984" s="3" t="s">
        <v>64</v>
      </c>
      <c r="AT3984" s="3" t="s">
        <v>64</v>
      </c>
      <c r="AV3984" s="6" t="str">
        <f>HYPERLINK("http://mcgill.on.worldcat.org/oclc/808417359","Catalog Record")</f>
        <v>Catalog Record</v>
      </c>
      <c r="AW3984" s="6" t="str">
        <f>HYPERLINK("http://www.worldcat.org/oclc/808417359","WorldCat Record")</f>
        <v>WorldCat Record</v>
      </c>
      <c r="AX3984" s="3" t="s">
        <v>39322</v>
      </c>
      <c r="AY3984" s="3" t="s">
        <v>39323</v>
      </c>
      <c r="AZ3984" s="3" t="s">
        <v>39324</v>
      </c>
      <c r="BA3984" s="3" t="s">
        <v>39324</v>
      </c>
      <c r="BB3984" s="3" t="s">
        <v>39325</v>
      </c>
      <c r="BC3984" s="3" t="s">
        <v>77</v>
      </c>
      <c r="BD3984" s="3" t="s">
        <v>78</v>
      </c>
      <c r="BE3984" s="3" t="s">
        <v>39326</v>
      </c>
      <c r="BF3984" s="3" t="s">
        <v>39325</v>
      </c>
      <c r="BG3984" s="3" t="s">
        <v>39327</v>
      </c>
      <c r="BH3984">
        <f t="shared" si="104"/>
        <v>0</v>
      </c>
    </row>
    <row r="3985" spans="1:60" ht="58" x14ac:dyDescent="0.35">
      <c r="A3985" s="2" t="s">
        <v>59</v>
      </c>
      <c r="B3985" s="2" t="s">
        <v>60</v>
      </c>
      <c r="C3985" s="2" t="s">
        <v>39328</v>
      </c>
      <c r="D3985" s="2" t="s">
        <v>39329</v>
      </c>
      <c r="E3985" s="2" t="s">
        <v>39330</v>
      </c>
      <c r="G3985" s="3" t="s">
        <v>64</v>
      </c>
      <c r="I3985" s="3" t="s">
        <v>128</v>
      </c>
      <c r="J3985" s="3" t="s">
        <v>64</v>
      </c>
      <c r="K3985" s="3" t="s">
        <v>65</v>
      </c>
      <c r="M3985" s="2" t="s">
        <v>28960</v>
      </c>
      <c r="N3985" s="3" t="s">
        <v>67</v>
      </c>
      <c r="P3985" s="3" t="s">
        <v>102</v>
      </c>
      <c r="R3985" s="3" t="s">
        <v>70</v>
      </c>
      <c r="S3985" s="4">
        <v>4</v>
      </c>
      <c r="T3985" s="4">
        <v>5</v>
      </c>
      <c r="U3985" s="5" t="s">
        <v>39331</v>
      </c>
      <c r="V3985" s="5" t="s">
        <v>39331</v>
      </c>
      <c r="W3985" s="5" t="s">
        <v>72</v>
      </c>
      <c r="X3985" s="5" t="s">
        <v>72</v>
      </c>
      <c r="Y3985" s="4">
        <v>99</v>
      </c>
      <c r="Z3985" s="4">
        <v>9</v>
      </c>
      <c r="AA3985" s="4">
        <v>11</v>
      </c>
      <c r="AB3985" s="4">
        <v>1</v>
      </c>
      <c r="AC3985" s="4">
        <v>3</v>
      </c>
      <c r="AD3985" s="4">
        <v>33</v>
      </c>
      <c r="AE3985" s="4">
        <v>37</v>
      </c>
      <c r="AF3985" s="4">
        <v>0</v>
      </c>
      <c r="AG3985" s="4">
        <v>0</v>
      </c>
      <c r="AH3985" s="4">
        <v>28</v>
      </c>
      <c r="AI3985" s="4">
        <v>32</v>
      </c>
      <c r="AJ3985" s="4">
        <v>6</v>
      </c>
      <c r="AK3985" s="4">
        <v>6</v>
      </c>
      <c r="AL3985" s="4">
        <v>18</v>
      </c>
      <c r="AM3985" s="4">
        <v>21</v>
      </c>
      <c r="AN3985" s="4">
        <v>0</v>
      </c>
      <c r="AO3985" s="4">
        <v>0</v>
      </c>
      <c r="AP3985" s="4">
        <v>6</v>
      </c>
      <c r="AQ3985" s="4">
        <v>6</v>
      </c>
      <c r="AR3985" s="3" t="s">
        <v>64</v>
      </c>
      <c r="AS3985" s="3" t="s">
        <v>64</v>
      </c>
      <c r="AT3985" s="3" t="s">
        <v>64</v>
      </c>
      <c r="AV3985" s="6" t="str">
        <f>HYPERLINK("http://mcgill.on.worldcat.org/oclc/876466356","Catalog Record")</f>
        <v>Catalog Record</v>
      </c>
      <c r="AW3985" s="6" t="str">
        <f>HYPERLINK("http://www.worldcat.org/oclc/876466356","WorldCat Record")</f>
        <v>WorldCat Record</v>
      </c>
      <c r="AX3985" s="3" t="s">
        <v>39332</v>
      </c>
      <c r="AY3985" s="3" t="s">
        <v>39333</v>
      </c>
      <c r="AZ3985" s="3" t="s">
        <v>39334</v>
      </c>
      <c r="BA3985" s="3" t="s">
        <v>39334</v>
      </c>
      <c r="BB3985" s="3" t="s">
        <v>39335</v>
      </c>
      <c r="BC3985" s="3" t="s">
        <v>77</v>
      </c>
      <c r="BD3985" s="3" t="s">
        <v>78</v>
      </c>
      <c r="BE3985" s="3" t="s">
        <v>39336</v>
      </c>
      <c r="BF3985" s="3" t="s">
        <v>39335</v>
      </c>
      <c r="BG3985" s="3" t="s">
        <v>39337</v>
      </c>
      <c r="BH3985">
        <f t="shared" si="104"/>
        <v>0</v>
      </c>
    </row>
    <row r="3986" spans="1:60" ht="58" x14ac:dyDescent="0.35">
      <c r="A3986" s="2" t="s">
        <v>59</v>
      </c>
      <c r="B3986" s="2" t="s">
        <v>60</v>
      </c>
      <c r="C3986" s="2" t="s">
        <v>39328</v>
      </c>
      <c r="D3986" s="2" t="s">
        <v>39329</v>
      </c>
      <c r="E3986" s="2" t="s">
        <v>39330</v>
      </c>
      <c r="G3986" s="3" t="s">
        <v>64</v>
      </c>
      <c r="I3986" s="3" t="s">
        <v>128</v>
      </c>
      <c r="J3986" s="3" t="s">
        <v>64</v>
      </c>
      <c r="K3986" s="3" t="s">
        <v>65</v>
      </c>
      <c r="M3986" s="2" t="s">
        <v>28960</v>
      </c>
      <c r="N3986" s="3" t="s">
        <v>67</v>
      </c>
      <c r="P3986" s="3" t="s">
        <v>102</v>
      </c>
      <c r="R3986" s="3" t="s">
        <v>70</v>
      </c>
      <c r="S3986" s="4">
        <v>1</v>
      </c>
      <c r="T3986" s="4">
        <v>5</v>
      </c>
      <c r="U3986" s="5" t="s">
        <v>17014</v>
      </c>
      <c r="V3986" s="5" t="s">
        <v>39331</v>
      </c>
      <c r="W3986" s="5" t="s">
        <v>72</v>
      </c>
      <c r="X3986" s="5" t="s">
        <v>72</v>
      </c>
      <c r="Y3986" s="4">
        <v>99</v>
      </c>
      <c r="Z3986" s="4">
        <v>9</v>
      </c>
      <c r="AA3986" s="4">
        <v>11</v>
      </c>
      <c r="AB3986" s="4">
        <v>1</v>
      </c>
      <c r="AC3986" s="4">
        <v>3</v>
      </c>
      <c r="AD3986" s="4">
        <v>33</v>
      </c>
      <c r="AE3986" s="4">
        <v>37</v>
      </c>
      <c r="AF3986" s="4">
        <v>0</v>
      </c>
      <c r="AG3986" s="4">
        <v>0</v>
      </c>
      <c r="AH3986" s="4">
        <v>28</v>
      </c>
      <c r="AI3986" s="4">
        <v>32</v>
      </c>
      <c r="AJ3986" s="4">
        <v>6</v>
      </c>
      <c r="AK3986" s="4">
        <v>6</v>
      </c>
      <c r="AL3986" s="4">
        <v>18</v>
      </c>
      <c r="AM3986" s="4">
        <v>21</v>
      </c>
      <c r="AN3986" s="4">
        <v>0</v>
      </c>
      <c r="AO3986" s="4">
        <v>0</v>
      </c>
      <c r="AP3986" s="4">
        <v>6</v>
      </c>
      <c r="AQ3986" s="4">
        <v>6</v>
      </c>
      <c r="AR3986" s="3" t="s">
        <v>64</v>
      </c>
      <c r="AS3986" s="3" t="s">
        <v>64</v>
      </c>
      <c r="AT3986" s="3" t="s">
        <v>64</v>
      </c>
      <c r="AV3986" s="6" t="str">
        <f>HYPERLINK("http://mcgill.on.worldcat.org/oclc/876466356","Catalog Record")</f>
        <v>Catalog Record</v>
      </c>
      <c r="AW3986" s="6" t="str">
        <f>HYPERLINK("http://www.worldcat.org/oclc/876466356","WorldCat Record")</f>
        <v>WorldCat Record</v>
      </c>
      <c r="AX3986" s="3" t="s">
        <v>39332</v>
      </c>
      <c r="AY3986" s="3" t="s">
        <v>39333</v>
      </c>
      <c r="AZ3986" s="3" t="s">
        <v>39334</v>
      </c>
      <c r="BA3986" s="3" t="s">
        <v>39334</v>
      </c>
      <c r="BB3986" s="3" t="s">
        <v>39338</v>
      </c>
      <c r="BC3986" s="3" t="s">
        <v>77</v>
      </c>
      <c r="BD3986" s="3" t="s">
        <v>78</v>
      </c>
      <c r="BE3986" s="3" t="s">
        <v>39336</v>
      </c>
      <c r="BF3986" s="3" t="s">
        <v>39338</v>
      </c>
      <c r="BG3986" s="3" t="s">
        <v>39339</v>
      </c>
      <c r="BH3986">
        <f t="shared" si="104"/>
        <v>0</v>
      </c>
    </row>
    <row r="3987" spans="1:60" ht="58" x14ac:dyDescent="0.35">
      <c r="A3987" s="2" t="s">
        <v>59</v>
      </c>
      <c r="B3987" s="2" t="s">
        <v>60</v>
      </c>
      <c r="C3987" s="2" t="s">
        <v>39340</v>
      </c>
      <c r="D3987" s="2" t="s">
        <v>39341</v>
      </c>
      <c r="E3987" s="2" t="s">
        <v>39342</v>
      </c>
      <c r="G3987" s="3" t="s">
        <v>64</v>
      </c>
      <c r="I3987" s="3" t="s">
        <v>64</v>
      </c>
      <c r="J3987" s="3" t="s">
        <v>64</v>
      </c>
      <c r="K3987" s="3" t="s">
        <v>65</v>
      </c>
      <c r="M3987" s="2" t="s">
        <v>39343</v>
      </c>
      <c r="N3987" s="3" t="s">
        <v>392</v>
      </c>
      <c r="P3987" s="3" t="s">
        <v>102</v>
      </c>
      <c r="R3987" s="3" t="s">
        <v>70</v>
      </c>
      <c r="S3987" s="4">
        <v>8</v>
      </c>
      <c r="T3987" s="4">
        <v>8</v>
      </c>
      <c r="U3987" s="5" t="s">
        <v>33141</v>
      </c>
      <c r="V3987" s="5" t="s">
        <v>33141</v>
      </c>
      <c r="W3987" s="5" t="s">
        <v>72</v>
      </c>
      <c r="X3987" s="5" t="s">
        <v>72</v>
      </c>
      <c r="Y3987" s="4">
        <v>504</v>
      </c>
      <c r="Z3987" s="4">
        <v>25</v>
      </c>
      <c r="AA3987" s="4">
        <v>28</v>
      </c>
      <c r="AB3987" s="4">
        <v>2</v>
      </c>
      <c r="AC3987" s="4">
        <v>3</v>
      </c>
      <c r="AD3987" s="4">
        <v>66</v>
      </c>
      <c r="AE3987" s="4">
        <v>71</v>
      </c>
      <c r="AF3987" s="4">
        <v>0</v>
      </c>
      <c r="AG3987" s="4">
        <v>0</v>
      </c>
      <c r="AH3987" s="4">
        <v>62</v>
      </c>
      <c r="AI3987" s="4">
        <v>66</v>
      </c>
      <c r="AJ3987" s="4">
        <v>6</v>
      </c>
      <c r="AK3987" s="4">
        <v>6</v>
      </c>
      <c r="AL3987" s="4">
        <v>35</v>
      </c>
      <c r="AM3987" s="4">
        <v>36</v>
      </c>
      <c r="AN3987" s="4">
        <v>0</v>
      </c>
      <c r="AO3987" s="4">
        <v>0</v>
      </c>
      <c r="AP3987" s="4">
        <v>8</v>
      </c>
      <c r="AQ3987" s="4">
        <v>9</v>
      </c>
      <c r="AR3987" s="3" t="s">
        <v>64</v>
      </c>
      <c r="AS3987" s="3" t="s">
        <v>64</v>
      </c>
      <c r="AT3987" s="3" t="s">
        <v>128</v>
      </c>
      <c r="AU3987" s="6" t="str">
        <f>HYPERLINK("http://catalog.hathitrust.org/Record/004023113","HathiTrust Record")</f>
        <v>HathiTrust Record</v>
      </c>
      <c r="AV3987" s="6" t="str">
        <f>HYPERLINK("http://mcgill.on.worldcat.org/oclc/40074108","Catalog Record")</f>
        <v>Catalog Record</v>
      </c>
      <c r="AW3987" s="6" t="str">
        <f>HYPERLINK("http://www.worldcat.org/oclc/40074108","WorldCat Record")</f>
        <v>WorldCat Record</v>
      </c>
      <c r="AX3987" s="3" t="s">
        <v>39344</v>
      </c>
      <c r="AY3987" s="3" t="s">
        <v>39345</v>
      </c>
      <c r="AZ3987" s="3" t="s">
        <v>39346</v>
      </c>
      <c r="BA3987" s="3" t="s">
        <v>39346</v>
      </c>
      <c r="BB3987" s="3" t="s">
        <v>39347</v>
      </c>
      <c r="BC3987" s="3" t="s">
        <v>77</v>
      </c>
      <c r="BD3987" s="3" t="s">
        <v>78</v>
      </c>
      <c r="BE3987" s="3" t="s">
        <v>39348</v>
      </c>
      <c r="BF3987" s="3" t="s">
        <v>39347</v>
      </c>
      <c r="BG3987" s="3" t="s">
        <v>39349</v>
      </c>
      <c r="BH3987">
        <f t="shared" si="104"/>
        <v>0</v>
      </c>
    </row>
    <row r="3988" spans="1:60" ht="58" x14ac:dyDescent="0.35">
      <c r="A3988" s="2" t="s">
        <v>59</v>
      </c>
      <c r="B3988" s="2" t="s">
        <v>60</v>
      </c>
      <c r="C3988" s="2" t="s">
        <v>39350</v>
      </c>
      <c r="D3988" s="2" t="s">
        <v>39351</v>
      </c>
      <c r="E3988" s="2" t="s">
        <v>39352</v>
      </c>
      <c r="G3988" s="3" t="s">
        <v>64</v>
      </c>
      <c r="I3988" s="3" t="s">
        <v>64</v>
      </c>
      <c r="J3988" s="3" t="s">
        <v>64</v>
      </c>
      <c r="K3988" s="3" t="s">
        <v>65</v>
      </c>
      <c r="M3988" s="2" t="s">
        <v>39353</v>
      </c>
      <c r="N3988" s="3" t="s">
        <v>116</v>
      </c>
      <c r="O3988" s="2" t="s">
        <v>39354</v>
      </c>
      <c r="P3988" s="3" t="s">
        <v>102</v>
      </c>
      <c r="R3988" s="3" t="s">
        <v>70</v>
      </c>
      <c r="S3988" s="4">
        <v>8</v>
      </c>
      <c r="T3988" s="4">
        <v>8</v>
      </c>
      <c r="U3988" s="5" t="s">
        <v>6395</v>
      </c>
      <c r="V3988" s="5" t="s">
        <v>6395</v>
      </c>
      <c r="W3988" s="5" t="s">
        <v>72</v>
      </c>
      <c r="X3988" s="5" t="s">
        <v>72</v>
      </c>
      <c r="Y3988" s="4">
        <v>380</v>
      </c>
      <c r="Z3988" s="4">
        <v>7</v>
      </c>
      <c r="AA3988" s="4">
        <v>74</v>
      </c>
      <c r="AB3988" s="4">
        <v>1</v>
      </c>
      <c r="AC3988" s="4">
        <v>5</v>
      </c>
      <c r="AD3988" s="4">
        <v>46</v>
      </c>
      <c r="AE3988" s="4">
        <v>88</v>
      </c>
      <c r="AF3988" s="4">
        <v>0</v>
      </c>
      <c r="AG3988" s="4">
        <v>1</v>
      </c>
      <c r="AH3988" s="4">
        <v>44</v>
      </c>
      <c r="AI3988" s="4">
        <v>65</v>
      </c>
      <c r="AJ3988" s="4">
        <v>3</v>
      </c>
      <c r="AK3988" s="4">
        <v>23</v>
      </c>
      <c r="AL3988" s="4">
        <v>27</v>
      </c>
      <c r="AM3988" s="4">
        <v>39</v>
      </c>
      <c r="AN3988" s="4">
        <v>0</v>
      </c>
      <c r="AO3988" s="4">
        <v>0</v>
      </c>
      <c r="AP3988" s="4">
        <v>4</v>
      </c>
      <c r="AQ3988" s="4">
        <v>32</v>
      </c>
      <c r="AR3988" s="3" t="s">
        <v>64</v>
      </c>
      <c r="AS3988" s="3" t="s">
        <v>64</v>
      </c>
      <c r="AT3988" s="3" t="s">
        <v>64</v>
      </c>
      <c r="AV3988" s="6" t="str">
        <f>HYPERLINK("http://mcgill.on.worldcat.org/oclc/45320443","Catalog Record")</f>
        <v>Catalog Record</v>
      </c>
      <c r="AW3988" s="6" t="str">
        <f>HYPERLINK("http://www.worldcat.org/oclc/45320443","WorldCat Record")</f>
        <v>WorldCat Record</v>
      </c>
      <c r="AX3988" s="3" t="s">
        <v>39355</v>
      </c>
      <c r="AY3988" s="3" t="s">
        <v>39356</v>
      </c>
      <c r="AZ3988" s="3" t="s">
        <v>39357</v>
      </c>
      <c r="BA3988" s="3" t="s">
        <v>39357</v>
      </c>
      <c r="BB3988" s="3" t="s">
        <v>39358</v>
      </c>
      <c r="BC3988" s="3" t="s">
        <v>77</v>
      </c>
      <c r="BD3988" s="3" t="s">
        <v>78</v>
      </c>
      <c r="BE3988" s="3" t="s">
        <v>39359</v>
      </c>
      <c r="BF3988" s="3" t="s">
        <v>39358</v>
      </c>
      <c r="BG3988" s="3" t="s">
        <v>39360</v>
      </c>
      <c r="BH3988">
        <f t="shared" si="104"/>
        <v>0</v>
      </c>
    </row>
    <row r="3989" spans="1:60" ht="58" x14ac:dyDescent="0.35">
      <c r="A3989" s="2" t="s">
        <v>59</v>
      </c>
      <c r="B3989" s="2" t="s">
        <v>60</v>
      </c>
      <c r="C3989" s="2" t="s">
        <v>39361</v>
      </c>
      <c r="D3989" s="2" t="s">
        <v>39362</v>
      </c>
      <c r="E3989" s="2" t="s">
        <v>39363</v>
      </c>
      <c r="G3989" s="3" t="s">
        <v>64</v>
      </c>
      <c r="I3989" s="3" t="s">
        <v>64</v>
      </c>
      <c r="J3989" s="3" t="s">
        <v>64</v>
      </c>
      <c r="K3989" s="3" t="s">
        <v>65</v>
      </c>
      <c r="L3989" s="2" t="s">
        <v>39364</v>
      </c>
      <c r="M3989" s="2" t="s">
        <v>39365</v>
      </c>
      <c r="N3989" s="3" t="s">
        <v>537</v>
      </c>
      <c r="P3989" s="3" t="s">
        <v>102</v>
      </c>
      <c r="Q3989" s="2" t="s">
        <v>3876</v>
      </c>
      <c r="R3989" s="3" t="s">
        <v>70</v>
      </c>
      <c r="S3989" s="4">
        <v>0</v>
      </c>
      <c r="T3989" s="4">
        <v>0</v>
      </c>
      <c r="W3989" s="5" t="s">
        <v>72</v>
      </c>
      <c r="X3989" s="5" t="s">
        <v>72</v>
      </c>
      <c r="Y3989" s="4">
        <v>217</v>
      </c>
      <c r="Z3989" s="4">
        <v>5</v>
      </c>
      <c r="AA3989" s="4">
        <v>72</v>
      </c>
      <c r="AB3989" s="4">
        <v>1</v>
      </c>
      <c r="AC3989" s="4">
        <v>16</v>
      </c>
      <c r="AD3989" s="4">
        <v>59</v>
      </c>
      <c r="AE3989" s="4">
        <v>120</v>
      </c>
      <c r="AF3989" s="4">
        <v>0</v>
      </c>
      <c r="AG3989" s="4">
        <v>8</v>
      </c>
      <c r="AH3989" s="4">
        <v>57</v>
      </c>
      <c r="AI3989" s="4">
        <v>89</v>
      </c>
      <c r="AJ3989" s="4">
        <v>2</v>
      </c>
      <c r="AK3989" s="4">
        <v>16</v>
      </c>
      <c r="AL3989" s="4">
        <v>39</v>
      </c>
      <c r="AM3989" s="4">
        <v>51</v>
      </c>
      <c r="AN3989" s="4">
        <v>0</v>
      </c>
      <c r="AO3989" s="4">
        <v>0</v>
      </c>
      <c r="AP3989" s="4">
        <v>2</v>
      </c>
      <c r="AQ3989" s="4">
        <v>35</v>
      </c>
      <c r="AR3989" s="3" t="s">
        <v>64</v>
      </c>
      <c r="AS3989" s="3" t="s">
        <v>64</v>
      </c>
      <c r="AT3989" s="3" t="s">
        <v>64</v>
      </c>
      <c r="AV3989" s="6" t="str">
        <f>HYPERLINK("http://mcgill.on.worldcat.org/oclc/930997630","Catalog Record")</f>
        <v>Catalog Record</v>
      </c>
      <c r="AW3989" s="6" t="str">
        <f>HYPERLINK("http://www.worldcat.org/oclc/930997630","WorldCat Record")</f>
        <v>WorldCat Record</v>
      </c>
      <c r="AX3989" s="3" t="s">
        <v>39366</v>
      </c>
      <c r="AY3989" s="3" t="s">
        <v>39367</v>
      </c>
      <c r="AZ3989" s="3" t="s">
        <v>39368</v>
      </c>
      <c r="BA3989" s="3" t="s">
        <v>39368</v>
      </c>
      <c r="BB3989" s="3" t="s">
        <v>39369</v>
      </c>
      <c r="BC3989" s="3" t="s">
        <v>77</v>
      </c>
      <c r="BD3989" s="3" t="s">
        <v>78</v>
      </c>
      <c r="BE3989" s="3" t="s">
        <v>39370</v>
      </c>
      <c r="BF3989" s="3" t="s">
        <v>39369</v>
      </c>
      <c r="BG3989" s="3" t="s">
        <v>39371</v>
      </c>
      <c r="BH3989">
        <f t="shared" si="104"/>
        <v>0</v>
      </c>
    </row>
    <row r="3990" spans="1:60" ht="58" x14ac:dyDescent="0.35">
      <c r="A3990" s="2" t="s">
        <v>59</v>
      </c>
      <c r="B3990" s="2" t="s">
        <v>60</v>
      </c>
      <c r="C3990" s="2" t="s">
        <v>39372</v>
      </c>
      <c r="D3990" s="2" t="s">
        <v>39373</v>
      </c>
      <c r="E3990" s="2" t="s">
        <v>39374</v>
      </c>
      <c r="G3990" s="3" t="s">
        <v>64</v>
      </c>
      <c r="I3990" s="3" t="s">
        <v>64</v>
      </c>
      <c r="J3990" s="3" t="s">
        <v>64</v>
      </c>
      <c r="K3990" s="3" t="s">
        <v>65</v>
      </c>
      <c r="L3990" s="2" t="s">
        <v>39375</v>
      </c>
      <c r="M3990" s="2" t="s">
        <v>39376</v>
      </c>
      <c r="N3990" s="3" t="s">
        <v>421</v>
      </c>
      <c r="P3990" s="3" t="s">
        <v>102</v>
      </c>
      <c r="R3990" s="3" t="s">
        <v>70</v>
      </c>
      <c r="S3990" s="4">
        <v>15</v>
      </c>
      <c r="T3990" s="4">
        <v>15</v>
      </c>
      <c r="U3990" s="5" t="s">
        <v>394</v>
      </c>
      <c r="V3990" s="5" t="s">
        <v>394</v>
      </c>
      <c r="W3990" s="5" t="s">
        <v>72</v>
      </c>
      <c r="X3990" s="5" t="s">
        <v>72</v>
      </c>
      <c r="Y3990" s="4">
        <v>231</v>
      </c>
      <c r="Z3990" s="4">
        <v>9</v>
      </c>
      <c r="AA3990" s="4">
        <v>9</v>
      </c>
      <c r="AB3990" s="4">
        <v>2</v>
      </c>
      <c r="AC3990" s="4">
        <v>2</v>
      </c>
      <c r="AD3990" s="4">
        <v>76</v>
      </c>
      <c r="AE3990" s="4">
        <v>76</v>
      </c>
      <c r="AF3990" s="4">
        <v>1</v>
      </c>
      <c r="AG3990" s="4">
        <v>1</v>
      </c>
      <c r="AH3990" s="4">
        <v>70</v>
      </c>
      <c r="AI3990" s="4">
        <v>70</v>
      </c>
      <c r="AJ3990" s="4">
        <v>4</v>
      </c>
      <c r="AK3990" s="4">
        <v>4</v>
      </c>
      <c r="AL3990" s="4">
        <v>45</v>
      </c>
      <c r="AM3990" s="4">
        <v>45</v>
      </c>
      <c r="AN3990" s="4">
        <v>0</v>
      </c>
      <c r="AO3990" s="4">
        <v>0</v>
      </c>
      <c r="AP3990" s="4">
        <v>6</v>
      </c>
      <c r="AQ3990" s="4">
        <v>6</v>
      </c>
      <c r="AR3990" s="3" t="s">
        <v>64</v>
      </c>
      <c r="AS3990" s="3" t="s">
        <v>64</v>
      </c>
      <c r="AT3990" s="3" t="s">
        <v>64</v>
      </c>
      <c r="AV3990" s="6" t="str">
        <f>HYPERLINK("http://mcgill.on.worldcat.org/oclc/36123610","Catalog Record")</f>
        <v>Catalog Record</v>
      </c>
      <c r="AW3990" s="6" t="str">
        <f>HYPERLINK("http://www.worldcat.org/oclc/36123610","WorldCat Record")</f>
        <v>WorldCat Record</v>
      </c>
      <c r="AX3990" s="3" t="s">
        <v>39377</v>
      </c>
      <c r="AY3990" s="3" t="s">
        <v>39378</v>
      </c>
      <c r="AZ3990" s="3" t="s">
        <v>39379</v>
      </c>
      <c r="BA3990" s="3" t="s">
        <v>39379</v>
      </c>
      <c r="BB3990" s="3" t="s">
        <v>39380</v>
      </c>
      <c r="BC3990" s="3" t="s">
        <v>77</v>
      </c>
      <c r="BD3990" s="3" t="s">
        <v>78</v>
      </c>
      <c r="BE3990" s="3" t="s">
        <v>39381</v>
      </c>
      <c r="BF3990" s="3" t="s">
        <v>39380</v>
      </c>
      <c r="BG3990" s="3" t="s">
        <v>39382</v>
      </c>
      <c r="BH3990">
        <f t="shared" si="104"/>
        <v>0</v>
      </c>
    </row>
    <row r="3991" spans="1:60" ht="58" x14ac:dyDescent="0.35">
      <c r="A3991" s="2" t="s">
        <v>59</v>
      </c>
      <c r="B3991" s="2" t="s">
        <v>60</v>
      </c>
      <c r="C3991" s="2" t="s">
        <v>39383</v>
      </c>
      <c r="D3991" s="2" t="s">
        <v>39384</v>
      </c>
      <c r="E3991" s="2" t="s">
        <v>39385</v>
      </c>
      <c r="G3991" s="3" t="s">
        <v>64</v>
      </c>
      <c r="I3991" s="3" t="s">
        <v>64</v>
      </c>
      <c r="J3991" s="3" t="s">
        <v>128</v>
      </c>
      <c r="K3991" s="3" t="s">
        <v>65</v>
      </c>
      <c r="L3991" s="2" t="s">
        <v>39386</v>
      </c>
      <c r="M3991" s="2" t="s">
        <v>3492</v>
      </c>
      <c r="N3991" s="3" t="s">
        <v>116</v>
      </c>
      <c r="P3991" s="3" t="s">
        <v>102</v>
      </c>
      <c r="R3991" s="3" t="s">
        <v>70</v>
      </c>
      <c r="S3991" s="4">
        <v>37</v>
      </c>
      <c r="T3991" s="4">
        <v>37</v>
      </c>
      <c r="U3991" s="5" t="s">
        <v>23320</v>
      </c>
      <c r="V3991" s="5" t="s">
        <v>23320</v>
      </c>
      <c r="W3991" s="5" t="s">
        <v>72</v>
      </c>
      <c r="X3991" s="5" t="s">
        <v>72</v>
      </c>
      <c r="Y3991" s="4">
        <v>651</v>
      </c>
      <c r="Z3991" s="4">
        <v>44</v>
      </c>
      <c r="AA3991" s="4">
        <v>104</v>
      </c>
      <c r="AB3991" s="4">
        <v>3</v>
      </c>
      <c r="AC3991" s="4">
        <v>15</v>
      </c>
      <c r="AD3991" s="4">
        <v>127</v>
      </c>
      <c r="AE3991" s="4">
        <v>155</v>
      </c>
      <c r="AF3991" s="4">
        <v>1</v>
      </c>
      <c r="AG3991" s="4">
        <v>8</v>
      </c>
      <c r="AH3991" s="4">
        <v>102</v>
      </c>
      <c r="AI3991" s="4">
        <v>111</v>
      </c>
      <c r="AJ3991" s="4">
        <v>18</v>
      </c>
      <c r="AK3991" s="4">
        <v>27</v>
      </c>
      <c r="AL3991" s="4">
        <v>53</v>
      </c>
      <c r="AM3991" s="4">
        <v>57</v>
      </c>
      <c r="AN3991" s="4">
        <v>0</v>
      </c>
      <c r="AO3991" s="4">
        <v>0</v>
      </c>
      <c r="AP3991" s="4">
        <v>34</v>
      </c>
      <c r="AQ3991" s="4">
        <v>55</v>
      </c>
      <c r="AR3991" s="3" t="s">
        <v>64</v>
      </c>
      <c r="AS3991" s="3" t="s">
        <v>64</v>
      </c>
      <c r="AT3991" s="3" t="s">
        <v>64</v>
      </c>
      <c r="AV3991" s="6" t="str">
        <f>HYPERLINK("http://mcgill.on.worldcat.org/oclc/45610399","Catalog Record")</f>
        <v>Catalog Record</v>
      </c>
      <c r="AW3991" s="6" t="str">
        <f>HYPERLINK("http://www.worldcat.org/oclc/45610399","WorldCat Record")</f>
        <v>WorldCat Record</v>
      </c>
      <c r="AX3991" s="3" t="s">
        <v>39387</v>
      </c>
      <c r="AY3991" s="3" t="s">
        <v>39388</v>
      </c>
      <c r="AZ3991" s="3" t="s">
        <v>39389</v>
      </c>
      <c r="BA3991" s="3" t="s">
        <v>39389</v>
      </c>
      <c r="BB3991" s="3" t="s">
        <v>39390</v>
      </c>
      <c r="BC3991" s="3" t="s">
        <v>77</v>
      </c>
      <c r="BD3991" s="3" t="s">
        <v>78</v>
      </c>
      <c r="BE3991" s="3" t="s">
        <v>39391</v>
      </c>
      <c r="BF3991" s="3" t="s">
        <v>39390</v>
      </c>
      <c r="BG3991" s="3" t="s">
        <v>39392</v>
      </c>
      <c r="BH3991">
        <f t="shared" si="104"/>
        <v>0</v>
      </c>
    </row>
    <row r="3992" spans="1:60" ht="58" x14ac:dyDescent="0.35">
      <c r="A3992" s="2" t="s">
        <v>59</v>
      </c>
      <c r="B3992" s="2" t="s">
        <v>60</v>
      </c>
      <c r="C3992" s="2" t="s">
        <v>39393</v>
      </c>
      <c r="D3992" s="2" t="s">
        <v>39394</v>
      </c>
      <c r="E3992" s="2" t="s">
        <v>39385</v>
      </c>
      <c r="G3992" s="3" t="s">
        <v>64</v>
      </c>
      <c r="I3992" s="3" t="s">
        <v>64</v>
      </c>
      <c r="J3992" s="3" t="s">
        <v>128</v>
      </c>
      <c r="K3992" s="3" t="s">
        <v>65</v>
      </c>
      <c r="L3992" s="2" t="s">
        <v>39386</v>
      </c>
      <c r="M3992" s="2" t="s">
        <v>39395</v>
      </c>
      <c r="N3992" s="3" t="s">
        <v>511</v>
      </c>
      <c r="O3992" s="2" t="s">
        <v>172</v>
      </c>
      <c r="P3992" s="3" t="s">
        <v>102</v>
      </c>
      <c r="R3992" s="3" t="s">
        <v>70</v>
      </c>
      <c r="S3992" s="4">
        <v>18</v>
      </c>
      <c r="T3992" s="4">
        <v>18</v>
      </c>
      <c r="U3992" s="5" t="s">
        <v>1140</v>
      </c>
      <c r="V3992" s="5" t="s">
        <v>1140</v>
      </c>
      <c r="W3992" s="5" t="s">
        <v>72</v>
      </c>
      <c r="X3992" s="5" t="s">
        <v>72</v>
      </c>
      <c r="Y3992" s="4">
        <v>168</v>
      </c>
      <c r="Z3992" s="4">
        <v>9</v>
      </c>
      <c r="AA3992" s="4">
        <v>104</v>
      </c>
      <c r="AB3992" s="4">
        <v>1</v>
      </c>
      <c r="AC3992" s="4">
        <v>15</v>
      </c>
      <c r="AD3992" s="4">
        <v>47</v>
      </c>
      <c r="AE3992" s="4">
        <v>155</v>
      </c>
      <c r="AF3992" s="4">
        <v>0</v>
      </c>
      <c r="AG3992" s="4">
        <v>8</v>
      </c>
      <c r="AH3992" s="4">
        <v>44</v>
      </c>
      <c r="AI3992" s="4">
        <v>111</v>
      </c>
      <c r="AJ3992" s="4">
        <v>4</v>
      </c>
      <c r="AK3992" s="4">
        <v>27</v>
      </c>
      <c r="AL3992" s="4">
        <v>28</v>
      </c>
      <c r="AM3992" s="4">
        <v>57</v>
      </c>
      <c r="AN3992" s="4">
        <v>0</v>
      </c>
      <c r="AO3992" s="4">
        <v>0</v>
      </c>
      <c r="AP3992" s="4">
        <v>5</v>
      </c>
      <c r="AQ3992" s="4">
        <v>55</v>
      </c>
      <c r="AR3992" s="3" t="s">
        <v>64</v>
      </c>
      <c r="AS3992" s="3" t="s">
        <v>64</v>
      </c>
      <c r="AT3992" s="3" t="s">
        <v>64</v>
      </c>
      <c r="AV3992" s="6" t="str">
        <f>HYPERLINK("http://mcgill.on.worldcat.org/oclc/520723375","Catalog Record")</f>
        <v>Catalog Record</v>
      </c>
      <c r="AW3992" s="6" t="str">
        <f>HYPERLINK("http://www.worldcat.org/oclc/520723375","WorldCat Record")</f>
        <v>WorldCat Record</v>
      </c>
      <c r="AX3992" s="3" t="s">
        <v>39387</v>
      </c>
      <c r="AY3992" s="3" t="s">
        <v>39396</v>
      </c>
      <c r="AZ3992" s="3" t="s">
        <v>39397</v>
      </c>
      <c r="BA3992" s="3" t="s">
        <v>39397</v>
      </c>
      <c r="BB3992" s="3" t="s">
        <v>39398</v>
      </c>
      <c r="BC3992" s="3" t="s">
        <v>77</v>
      </c>
      <c r="BD3992" s="3" t="s">
        <v>78</v>
      </c>
      <c r="BE3992" s="3" t="s">
        <v>39399</v>
      </c>
      <c r="BF3992" s="3" t="s">
        <v>39398</v>
      </c>
      <c r="BG3992" s="3" t="s">
        <v>39400</v>
      </c>
      <c r="BH3992">
        <f t="shared" si="104"/>
        <v>0</v>
      </c>
    </row>
    <row r="3993" spans="1:60" ht="58" x14ac:dyDescent="0.35">
      <c r="A3993" s="2" t="s">
        <v>59</v>
      </c>
      <c r="B3993" s="2" t="s">
        <v>60</v>
      </c>
      <c r="C3993" s="2" t="s">
        <v>39401</v>
      </c>
      <c r="D3993" s="2" t="s">
        <v>39402</v>
      </c>
      <c r="E3993" s="2" t="s">
        <v>39403</v>
      </c>
      <c r="G3993" s="3" t="s">
        <v>64</v>
      </c>
      <c r="I3993" s="3" t="s">
        <v>64</v>
      </c>
      <c r="J3993" s="3" t="s">
        <v>64</v>
      </c>
      <c r="K3993" s="3" t="s">
        <v>65</v>
      </c>
      <c r="L3993" s="2" t="s">
        <v>39404</v>
      </c>
      <c r="M3993" s="2" t="s">
        <v>39405</v>
      </c>
      <c r="N3993" s="3" t="s">
        <v>3428</v>
      </c>
      <c r="P3993" s="3" t="s">
        <v>102</v>
      </c>
      <c r="Q3993" s="2" t="s">
        <v>39406</v>
      </c>
      <c r="R3993" s="3" t="s">
        <v>70</v>
      </c>
      <c r="S3993" s="4">
        <v>18</v>
      </c>
      <c r="T3993" s="4">
        <v>18</v>
      </c>
      <c r="U3993" s="5" t="s">
        <v>39407</v>
      </c>
      <c r="V3993" s="5" t="s">
        <v>39407</v>
      </c>
      <c r="W3993" s="5" t="s">
        <v>72</v>
      </c>
      <c r="X3993" s="5" t="s">
        <v>72</v>
      </c>
      <c r="Y3993" s="4">
        <v>246</v>
      </c>
      <c r="Z3993" s="4">
        <v>23</v>
      </c>
      <c r="AA3993" s="4">
        <v>24</v>
      </c>
      <c r="AB3993" s="4">
        <v>2</v>
      </c>
      <c r="AC3993" s="4">
        <v>3</v>
      </c>
      <c r="AD3993" s="4">
        <v>72</v>
      </c>
      <c r="AE3993" s="4">
        <v>73</v>
      </c>
      <c r="AF3993" s="4">
        <v>1</v>
      </c>
      <c r="AG3993" s="4">
        <v>2</v>
      </c>
      <c r="AH3993" s="4">
        <v>63</v>
      </c>
      <c r="AI3993" s="4">
        <v>63</v>
      </c>
      <c r="AJ3993" s="4">
        <v>12</v>
      </c>
      <c r="AK3993" s="4">
        <v>13</v>
      </c>
      <c r="AL3993" s="4">
        <v>39</v>
      </c>
      <c r="AM3993" s="4">
        <v>39</v>
      </c>
      <c r="AN3993" s="4">
        <v>0</v>
      </c>
      <c r="AO3993" s="4">
        <v>0</v>
      </c>
      <c r="AP3993" s="4">
        <v>15</v>
      </c>
      <c r="AQ3993" s="4">
        <v>15</v>
      </c>
      <c r="AR3993" s="3" t="s">
        <v>64</v>
      </c>
      <c r="AS3993" s="3" t="s">
        <v>64</v>
      </c>
      <c r="AT3993" s="3" t="s">
        <v>64</v>
      </c>
      <c r="AV3993" s="6" t="str">
        <f>HYPERLINK("http://mcgill.on.worldcat.org/oclc/30779212","Catalog Record")</f>
        <v>Catalog Record</v>
      </c>
      <c r="AW3993" s="6" t="str">
        <f>HYPERLINK("http://www.worldcat.org/oclc/30779212","WorldCat Record")</f>
        <v>WorldCat Record</v>
      </c>
      <c r="AX3993" s="3" t="s">
        <v>39408</v>
      </c>
      <c r="AY3993" s="3" t="s">
        <v>39409</v>
      </c>
      <c r="AZ3993" s="3" t="s">
        <v>39410</v>
      </c>
      <c r="BA3993" s="3" t="s">
        <v>39410</v>
      </c>
      <c r="BB3993" s="3" t="s">
        <v>39411</v>
      </c>
      <c r="BC3993" s="3" t="s">
        <v>77</v>
      </c>
      <c r="BD3993" s="3" t="s">
        <v>165</v>
      </c>
      <c r="BE3993" s="3" t="s">
        <v>39412</v>
      </c>
      <c r="BF3993" s="3" t="s">
        <v>39411</v>
      </c>
      <c r="BG3993" s="3" t="s">
        <v>39413</v>
      </c>
      <c r="BH3993">
        <f t="shared" si="104"/>
        <v>0</v>
      </c>
    </row>
    <row r="3994" spans="1:60" ht="58" x14ac:dyDescent="0.35">
      <c r="A3994" s="2" t="s">
        <v>59</v>
      </c>
      <c r="B3994" s="2" t="s">
        <v>60</v>
      </c>
      <c r="C3994" s="2" t="s">
        <v>39414</v>
      </c>
      <c r="D3994" s="2" t="s">
        <v>39415</v>
      </c>
      <c r="E3994" s="2" t="s">
        <v>39416</v>
      </c>
      <c r="G3994" s="3" t="s">
        <v>64</v>
      </c>
      <c r="I3994" s="3" t="s">
        <v>64</v>
      </c>
      <c r="J3994" s="3" t="s">
        <v>64</v>
      </c>
      <c r="K3994" s="3" t="s">
        <v>65</v>
      </c>
      <c r="L3994" s="2" t="s">
        <v>39417</v>
      </c>
      <c r="M3994" s="2" t="s">
        <v>39418</v>
      </c>
      <c r="N3994" s="3" t="s">
        <v>1263</v>
      </c>
      <c r="P3994" s="3" t="s">
        <v>102</v>
      </c>
      <c r="R3994" s="3" t="s">
        <v>70</v>
      </c>
      <c r="S3994" s="4">
        <v>42</v>
      </c>
      <c r="T3994" s="4">
        <v>42</v>
      </c>
      <c r="U3994" s="5" t="s">
        <v>512</v>
      </c>
      <c r="V3994" s="5" t="s">
        <v>512</v>
      </c>
      <c r="W3994" s="5" t="s">
        <v>72</v>
      </c>
      <c r="X3994" s="5" t="s">
        <v>72</v>
      </c>
      <c r="Y3994" s="4">
        <v>622</v>
      </c>
      <c r="Z3994" s="4">
        <v>50</v>
      </c>
      <c r="AA3994" s="4">
        <v>55</v>
      </c>
      <c r="AB3994" s="4">
        <v>3</v>
      </c>
      <c r="AC3994" s="4">
        <v>4</v>
      </c>
      <c r="AD3994" s="4">
        <v>139</v>
      </c>
      <c r="AE3994" s="4">
        <v>145</v>
      </c>
      <c r="AF3994" s="4">
        <v>1</v>
      </c>
      <c r="AG3994" s="4">
        <v>1</v>
      </c>
      <c r="AH3994" s="4">
        <v>109</v>
      </c>
      <c r="AI3994" s="4">
        <v>111</v>
      </c>
      <c r="AJ3994" s="4">
        <v>22</v>
      </c>
      <c r="AK3994" s="4">
        <v>24</v>
      </c>
      <c r="AL3994" s="4">
        <v>58</v>
      </c>
      <c r="AM3994" s="4">
        <v>59</v>
      </c>
      <c r="AN3994" s="4">
        <v>0</v>
      </c>
      <c r="AO3994" s="4">
        <v>3</v>
      </c>
      <c r="AP3994" s="4">
        <v>38</v>
      </c>
      <c r="AQ3994" s="4">
        <v>42</v>
      </c>
      <c r="AR3994" s="3" t="s">
        <v>64</v>
      </c>
      <c r="AS3994" s="3" t="s">
        <v>64</v>
      </c>
      <c r="AT3994" s="3" t="s">
        <v>64</v>
      </c>
      <c r="AV3994" s="6" t="str">
        <f>HYPERLINK("http://mcgill.on.worldcat.org/oclc/27431207","Catalog Record")</f>
        <v>Catalog Record</v>
      </c>
      <c r="AW3994" s="6" t="str">
        <f>HYPERLINK("http://www.worldcat.org/oclc/27431207","WorldCat Record")</f>
        <v>WorldCat Record</v>
      </c>
      <c r="AX3994" s="3" t="s">
        <v>39419</v>
      </c>
      <c r="AY3994" s="3" t="s">
        <v>39420</v>
      </c>
      <c r="AZ3994" s="3" t="s">
        <v>39421</v>
      </c>
      <c r="BA3994" s="3" t="s">
        <v>39421</v>
      </c>
      <c r="BB3994" s="3" t="s">
        <v>39422</v>
      </c>
      <c r="BC3994" s="3" t="s">
        <v>77</v>
      </c>
      <c r="BD3994" s="3" t="s">
        <v>78</v>
      </c>
      <c r="BE3994" s="3" t="s">
        <v>39423</v>
      </c>
      <c r="BF3994" s="3" t="s">
        <v>39422</v>
      </c>
      <c r="BG3994" s="3" t="s">
        <v>39424</v>
      </c>
      <c r="BH3994">
        <f t="shared" si="104"/>
        <v>0</v>
      </c>
    </row>
    <row r="3995" spans="1:60" ht="58" x14ac:dyDescent="0.35">
      <c r="A3995" s="2" t="s">
        <v>59</v>
      </c>
      <c r="B3995" s="2" t="s">
        <v>60</v>
      </c>
      <c r="C3995" s="2" t="s">
        <v>39425</v>
      </c>
      <c r="D3995" s="2" t="s">
        <v>39426</v>
      </c>
      <c r="E3995" s="2" t="s">
        <v>39427</v>
      </c>
      <c r="G3995" s="3" t="s">
        <v>64</v>
      </c>
      <c r="I3995" s="3" t="s">
        <v>64</v>
      </c>
      <c r="J3995" s="3" t="s">
        <v>64</v>
      </c>
      <c r="K3995" s="3" t="s">
        <v>65</v>
      </c>
      <c r="M3995" s="2" t="s">
        <v>39428</v>
      </c>
      <c r="N3995" s="3" t="s">
        <v>378</v>
      </c>
      <c r="P3995" s="3" t="s">
        <v>102</v>
      </c>
      <c r="R3995" s="3" t="s">
        <v>70</v>
      </c>
      <c r="S3995" s="4">
        <v>31</v>
      </c>
      <c r="T3995" s="4">
        <v>31</v>
      </c>
      <c r="U3995" s="5" t="s">
        <v>39429</v>
      </c>
      <c r="V3995" s="5" t="s">
        <v>39429</v>
      </c>
      <c r="W3995" s="5" t="s">
        <v>72</v>
      </c>
      <c r="X3995" s="5" t="s">
        <v>72</v>
      </c>
      <c r="Y3995" s="4">
        <v>849</v>
      </c>
      <c r="Z3995" s="4">
        <v>41</v>
      </c>
      <c r="AA3995" s="4">
        <v>44</v>
      </c>
      <c r="AB3995" s="4">
        <v>3</v>
      </c>
      <c r="AC3995" s="4">
        <v>5</v>
      </c>
      <c r="AD3995" s="4">
        <v>130</v>
      </c>
      <c r="AE3995" s="4">
        <v>133</v>
      </c>
      <c r="AF3995" s="4">
        <v>2</v>
      </c>
      <c r="AG3995" s="4">
        <v>4</v>
      </c>
      <c r="AH3995" s="4">
        <v>106</v>
      </c>
      <c r="AI3995" s="4">
        <v>108</v>
      </c>
      <c r="AJ3995" s="4">
        <v>20</v>
      </c>
      <c r="AK3995" s="4">
        <v>22</v>
      </c>
      <c r="AL3995" s="4">
        <v>57</v>
      </c>
      <c r="AM3995" s="4">
        <v>57</v>
      </c>
      <c r="AN3995" s="4">
        <v>0</v>
      </c>
      <c r="AO3995" s="4">
        <v>0</v>
      </c>
      <c r="AP3995" s="4">
        <v>29</v>
      </c>
      <c r="AQ3995" s="4">
        <v>31</v>
      </c>
      <c r="AR3995" s="3" t="s">
        <v>64</v>
      </c>
      <c r="AS3995" s="3" t="s">
        <v>64</v>
      </c>
      <c r="AT3995" s="3" t="s">
        <v>128</v>
      </c>
      <c r="AU3995" s="6" t="str">
        <f>HYPERLINK("http://catalog.hathitrust.org/Record/000476094","HathiTrust Record")</f>
        <v>HathiTrust Record</v>
      </c>
      <c r="AV3995" s="6" t="str">
        <f>HYPERLINK("http://mcgill.on.worldcat.org/oclc/12160959","Catalog Record")</f>
        <v>Catalog Record</v>
      </c>
      <c r="AW3995" s="6" t="str">
        <f>HYPERLINK("http://www.worldcat.org/oclc/12160959","WorldCat Record")</f>
        <v>WorldCat Record</v>
      </c>
      <c r="AX3995" s="3" t="s">
        <v>39430</v>
      </c>
      <c r="AY3995" s="3" t="s">
        <v>39431</v>
      </c>
      <c r="AZ3995" s="3" t="s">
        <v>39432</v>
      </c>
      <c r="BA3995" s="3" t="s">
        <v>39432</v>
      </c>
      <c r="BB3995" s="3" t="s">
        <v>39433</v>
      </c>
      <c r="BC3995" s="3" t="s">
        <v>77</v>
      </c>
      <c r="BD3995" s="3" t="s">
        <v>78</v>
      </c>
      <c r="BE3995" s="3" t="s">
        <v>39434</v>
      </c>
      <c r="BF3995" s="3" t="s">
        <v>39433</v>
      </c>
      <c r="BG3995" s="3" t="s">
        <v>39435</v>
      </c>
      <c r="BH3995">
        <f t="shared" si="104"/>
        <v>0</v>
      </c>
    </row>
    <row r="3996" spans="1:60" x14ac:dyDescent="0.35">
      <c r="A3996" t="s">
        <v>59</v>
      </c>
      <c r="B3996" t="s">
        <v>60</v>
      </c>
      <c r="C3996" t="s">
        <v>53009</v>
      </c>
      <c r="D3996" t="s">
        <v>53010</v>
      </c>
      <c r="E3996" t="s">
        <v>53011</v>
      </c>
      <c r="F3996" t="s">
        <v>53012</v>
      </c>
      <c r="G3996" t="s">
        <v>53013</v>
      </c>
      <c r="H3996" t="s">
        <v>434</v>
      </c>
      <c r="J3996" t="s">
        <v>102</v>
      </c>
      <c r="Q3996" t="s">
        <v>53014</v>
      </c>
      <c r="R3996" t="s">
        <v>70</v>
      </c>
      <c r="S3996">
        <v>117</v>
      </c>
      <c r="T3996">
        <v>12</v>
      </c>
      <c r="U3996">
        <v>27</v>
      </c>
      <c r="V3996">
        <v>1</v>
      </c>
      <c r="W3996">
        <v>4</v>
      </c>
      <c r="X3996">
        <v>59</v>
      </c>
      <c r="Y3996">
        <v>84</v>
      </c>
      <c r="Z3996">
        <v>0</v>
      </c>
      <c r="AA3996">
        <v>1</v>
      </c>
      <c r="AB3996">
        <v>56</v>
      </c>
      <c r="AC3996">
        <v>72</v>
      </c>
      <c r="AD3996">
        <v>6</v>
      </c>
      <c r="AE3996">
        <v>9</v>
      </c>
      <c r="AF3996">
        <v>39</v>
      </c>
      <c r="AG3996">
        <v>46</v>
      </c>
      <c r="AH3996">
        <v>0</v>
      </c>
      <c r="AI3996">
        <v>0</v>
      </c>
      <c r="AJ3996">
        <v>6</v>
      </c>
      <c r="AK3996">
        <v>14</v>
      </c>
      <c r="AL3996" t="s">
        <v>64</v>
      </c>
      <c r="AM3996" t="s">
        <v>64</v>
      </c>
      <c r="AN3996" t="s">
        <v>64</v>
      </c>
      <c r="AP3996" t="s">
        <v>52902</v>
      </c>
      <c r="AQ3996" t="s">
        <v>52903</v>
      </c>
      <c r="AR3996" t="s">
        <v>53015</v>
      </c>
      <c r="AS3996" t="s">
        <v>53016</v>
      </c>
      <c r="AT3996" t="s">
        <v>53017</v>
      </c>
      <c r="AU3996" t="s">
        <v>53017</v>
      </c>
      <c r="AW3996" t="s">
        <v>77</v>
      </c>
      <c r="AX3996" t="s">
        <v>78</v>
      </c>
      <c r="AY3996" t="s">
        <v>53019</v>
      </c>
      <c r="AZ3996" t="s">
        <v>53018</v>
      </c>
      <c r="BA3996" t="s">
        <v>53020</v>
      </c>
      <c r="BF3996" t="s">
        <v>53018</v>
      </c>
      <c r="BH3996">
        <f t="shared" si="104"/>
        <v>0</v>
      </c>
    </row>
    <row r="3997" spans="1:60" ht="58" x14ac:dyDescent="0.35">
      <c r="A3997" s="2" t="s">
        <v>59</v>
      </c>
      <c r="B3997" s="2" t="s">
        <v>60</v>
      </c>
      <c r="C3997" s="2" t="s">
        <v>39436</v>
      </c>
      <c r="D3997" s="2" t="s">
        <v>39437</v>
      </c>
      <c r="E3997" s="2" t="s">
        <v>39438</v>
      </c>
      <c r="G3997" s="3" t="s">
        <v>64</v>
      </c>
      <c r="I3997" s="3" t="s">
        <v>64</v>
      </c>
      <c r="J3997" s="3" t="s">
        <v>64</v>
      </c>
      <c r="K3997" s="3" t="s">
        <v>65</v>
      </c>
      <c r="L3997" s="2" t="s">
        <v>39439</v>
      </c>
      <c r="M3997" s="2" t="s">
        <v>39440</v>
      </c>
      <c r="N3997" s="3" t="s">
        <v>511</v>
      </c>
      <c r="P3997" s="3" t="s">
        <v>102</v>
      </c>
      <c r="R3997" s="3" t="s">
        <v>70</v>
      </c>
      <c r="S3997" s="4">
        <v>8</v>
      </c>
      <c r="T3997" s="4">
        <v>8</v>
      </c>
      <c r="U3997" s="5" t="s">
        <v>39441</v>
      </c>
      <c r="V3997" s="5" t="s">
        <v>39441</v>
      </c>
      <c r="W3997" s="5" t="s">
        <v>72</v>
      </c>
      <c r="X3997" s="5" t="s">
        <v>72</v>
      </c>
      <c r="Y3997" s="4">
        <v>494</v>
      </c>
      <c r="Z3997" s="4">
        <v>22</v>
      </c>
      <c r="AA3997" s="4">
        <v>91</v>
      </c>
      <c r="AB3997" s="4">
        <v>1</v>
      </c>
      <c r="AC3997" s="4">
        <v>15</v>
      </c>
      <c r="AD3997" s="4">
        <v>100</v>
      </c>
      <c r="AE3997" s="4">
        <v>143</v>
      </c>
      <c r="AF3997" s="4">
        <v>0</v>
      </c>
      <c r="AG3997" s="4">
        <v>8</v>
      </c>
      <c r="AH3997" s="4">
        <v>91</v>
      </c>
      <c r="AI3997" s="4">
        <v>103</v>
      </c>
      <c r="AJ3997" s="4">
        <v>13</v>
      </c>
      <c r="AK3997" s="4">
        <v>23</v>
      </c>
      <c r="AL3997" s="4">
        <v>47</v>
      </c>
      <c r="AM3997" s="4">
        <v>55</v>
      </c>
      <c r="AN3997" s="4">
        <v>0</v>
      </c>
      <c r="AO3997" s="4">
        <v>0</v>
      </c>
      <c r="AP3997" s="4">
        <v>16</v>
      </c>
      <c r="AQ3997" s="4">
        <v>46</v>
      </c>
      <c r="AR3997" s="3" t="s">
        <v>64</v>
      </c>
      <c r="AS3997" s="3" t="s">
        <v>64</v>
      </c>
      <c r="AT3997" s="3" t="s">
        <v>64</v>
      </c>
      <c r="AV3997" s="6" t="str">
        <f>HYPERLINK("http://mcgill.on.worldcat.org/oclc/441211773","Catalog Record")</f>
        <v>Catalog Record</v>
      </c>
      <c r="AW3997" s="6" t="str">
        <f>HYPERLINK("http://www.worldcat.org/oclc/441211773","WorldCat Record")</f>
        <v>WorldCat Record</v>
      </c>
      <c r="AX3997" s="3" t="s">
        <v>39442</v>
      </c>
      <c r="AY3997" s="3" t="s">
        <v>39443</v>
      </c>
      <c r="AZ3997" s="3" t="s">
        <v>39444</v>
      </c>
      <c r="BA3997" s="3" t="s">
        <v>39444</v>
      </c>
      <c r="BB3997" s="3" t="s">
        <v>39445</v>
      </c>
      <c r="BC3997" s="3" t="s">
        <v>77</v>
      </c>
      <c r="BD3997" s="3" t="s">
        <v>78</v>
      </c>
      <c r="BE3997" s="3" t="s">
        <v>39446</v>
      </c>
      <c r="BF3997" s="3" t="s">
        <v>39445</v>
      </c>
      <c r="BG3997" s="3" t="s">
        <v>39447</v>
      </c>
      <c r="BH3997">
        <f t="shared" si="104"/>
        <v>0</v>
      </c>
    </row>
    <row r="3998" spans="1:60" ht="72.5" x14ac:dyDescent="0.35">
      <c r="A3998" s="2" t="s">
        <v>59</v>
      </c>
      <c r="B3998" s="2" t="s">
        <v>60</v>
      </c>
      <c r="C3998" s="2" t="s">
        <v>39448</v>
      </c>
      <c r="D3998" s="2" t="s">
        <v>39449</v>
      </c>
      <c r="E3998" s="2" t="s">
        <v>39450</v>
      </c>
      <c r="G3998" s="3" t="s">
        <v>64</v>
      </c>
      <c r="I3998" s="3" t="s">
        <v>64</v>
      </c>
      <c r="J3998" s="3" t="s">
        <v>64</v>
      </c>
      <c r="K3998" s="3" t="s">
        <v>65</v>
      </c>
      <c r="M3998" s="2" t="s">
        <v>17620</v>
      </c>
      <c r="N3998" s="3" t="s">
        <v>326</v>
      </c>
      <c r="P3998" s="3" t="s">
        <v>102</v>
      </c>
      <c r="Q3998" s="2" t="s">
        <v>4381</v>
      </c>
      <c r="R3998" s="3" t="s">
        <v>70</v>
      </c>
      <c r="S3998" s="4">
        <v>5</v>
      </c>
      <c r="T3998" s="4">
        <v>5</v>
      </c>
      <c r="U3998" s="5" t="s">
        <v>13101</v>
      </c>
      <c r="V3998" s="5" t="s">
        <v>13101</v>
      </c>
      <c r="W3998" s="5" t="s">
        <v>72</v>
      </c>
      <c r="X3998" s="5" t="s">
        <v>72</v>
      </c>
      <c r="Y3998" s="4">
        <v>122</v>
      </c>
      <c r="Z3998" s="4">
        <v>12</v>
      </c>
      <c r="AA3998" s="4">
        <v>100</v>
      </c>
      <c r="AB3998" s="4">
        <v>1</v>
      </c>
      <c r="AC3998" s="4">
        <v>18</v>
      </c>
      <c r="AD3998" s="4">
        <v>46</v>
      </c>
      <c r="AE3998" s="4">
        <v>117</v>
      </c>
      <c r="AF3998" s="4">
        <v>0</v>
      </c>
      <c r="AG3998" s="4">
        <v>8</v>
      </c>
      <c r="AH3998" s="4">
        <v>43</v>
      </c>
      <c r="AI3998" s="4">
        <v>80</v>
      </c>
      <c r="AJ3998" s="4">
        <v>6</v>
      </c>
      <c r="AK3998" s="4">
        <v>20</v>
      </c>
      <c r="AL3998" s="4">
        <v>26</v>
      </c>
      <c r="AM3998" s="4">
        <v>44</v>
      </c>
      <c r="AN3998" s="4">
        <v>0</v>
      </c>
      <c r="AO3998" s="4">
        <v>0</v>
      </c>
      <c r="AP3998" s="4">
        <v>8</v>
      </c>
      <c r="AQ3998" s="4">
        <v>44</v>
      </c>
      <c r="AR3998" s="3" t="s">
        <v>64</v>
      </c>
      <c r="AS3998" s="3" t="s">
        <v>64</v>
      </c>
      <c r="AT3998" s="3" t="s">
        <v>64</v>
      </c>
      <c r="AV3998" s="6" t="str">
        <f>HYPERLINK("http://mcgill.on.worldcat.org/oclc/695685841","Catalog Record")</f>
        <v>Catalog Record</v>
      </c>
      <c r="AW3998" s="6" t="str">
        <f>HYPERLINK("http://www.worldcat.org/oclc/695685841","WorldCat Record")</f>
        <v>WorldCat Record</v>
      </c>
      <c r="AX3998" s="3" t="s">
        <v>39451</v>
      </c>
      <c r="AY3998" s="3" t="s">
        <v>39452</v>
      </c>
      <c r="AZ3998" s="3" t="s">
        <v>39453</v>
      </c>
      <c r="BA3998" s="3" t="s">
        <v>39453</v>
      </c>
      <c r="BB3998" s="3" t="s">
        <v>39454</v>
      </c>
      <c r="BC3998" s="3" t="s">
        <v>77</v>
      </c>
      <c r="BD3998" s="3" t="s">
        <v>78</v>
      </c>
      <c r="BE3998" s="3" t="s">
        <v>39455</v>
      </c>
      <c r="BF3998" s="3" t="s">
        <v>39454</v>
      </c>
      <c r="BG3998" s="3" t="s">
        <v>39456</v>
      </c>
      <c r="BH3998">
        <f t="shared" si="104"/>
        <v>0</v>
      </c>
    </row>
    <row r="3999" spans="1:60" ht="58" x14ac:dyDescent="0.35">
      <c r="A3999" s="2" t="s">
        <v>59</v>
      </c>
      <c r="B3999" s="2" t="s">
        <v>60</v>
      </c>
      <c r="C3999" s="2" t="s">
        <v>39457</v>
      </c>
      <c r="D3999" s="2" t="s">
        <v>39458</v>
      </c>
      <c r="E3999" s="2" t="s">
        <v>39459</v>
      </c>
      <c r="G3999" s="3" t="s">
        <v>64</v>
      </c>
      <c r="I3999" s="3" t="s">
        <v>64</v>
      </c>
      <c r="J3999" s="3" t="s">
        <v>64</v>
      </c>
      <c r="K3999" s="3" t="s">
        <v>65</v>
      </c>
      <c r="L3999" s="2" t="s">
        <v>39460</v>
      </c>
      <c r="M3999" s="2" t="s">
        <v>30362</v>
      </c>
      <c r="N3999" s="3" t="s">
        <v>153</v>
      </c>
      <c r="P3999" s="3" t="s">
        <v>102</v>
      </c>
      <c r="Q3999" s="2" t="s">
        <v>39461</v>
      </c>
      <c r="R3999" s="3" t="s">
        <v>70</v>
      </c>
      <c r="S3999" s="4">
        <v>1</v>
      </c>
      <c r="T3999" s="4">
        <v>1</v>
      </c>
      <c r="U3999" s="5" t="s">
        <v>39462</v>
      </c>
      <c r="V3999" s="5" t="s">
        <v>39462</v>
      </c>
      <c r="W3999" s="5" t="s">
        <v>72</v>
      </c>
      <c r="X3999" s="5" t="s">
        <v>72</v>
      </c>
      <c r="Y3999" s="4">
        <v>320</v>
      </c>
      <c r="Z3999" s="4">
        <v>20</v>
      </c>
      <c r="AA3999" s="4">
        <v>22</v>
      </c>
      <c r="AB3999" s="4">
        <v>2</v>
      </c>
      <c r="AC3999" s="4">
        <v>3</v>
      </c>
      <c r="AD3999" s="4">
        <v>101</v>
      </c>
      <c r="AE3999" s="4">
        <v>103</v>
      </c>
      <c r="AF3999" s="4">
        <v>1</v>
      </c>
      <c r="AG3999" s="4">
        <v>2</v>
      </c>
      <c r="AH3999" s="4">
        <v>88</v>
      </c>
      <c r="AI3999" s="4">
        <v>89</v>
      </c>
      <c r="AJ3999" s="4">
        <v>12</v>
      </c>
      <c r="AK3999" s="4">
        <v>14</v>
      </c>
      <c r="AL3999" s="4">
        <v>50</v>
      </c>
      <c r="AM3999" s="4">
        <v>50</v>
      </c>
      <c r="AN3999" s="4">
        <v>0</v>
      </c>
      <c r="AO3999" s="4">
        <v>0</v>
      </c>
      <c r="AP3999" s="4">
        <v>16</v>
      </c>
      <c r="AQ3999" s="4">
        <v>18</v>
      </c>
      <c r="AR3999" s="3" t="s">
        <v>64</v>
      </c>
      <c r="AS3999" s="3" t="s">
        <v>64</v>
      </c>
      <c r="AT3999" s="3" t="s">
        <v>128</v>
      </c>
      <c r="AU3999" s="6" t="str">
        <f>HYPERLINK("http://catalog.hathitrust.org/Record/003301357","HathiTrust Record")</f>
        <v>HathiTrust Record</v>
      </c>
      <c r="AV3999" s="6" t="str">
        <f>HYPERLINK("http://mcgill.on.worldcat.org/oclc/37156460","Catalog Record")</f>
        <v>Catalog Record</v>
      </c>
      <c r="AW3999" s="6" t="str">
        <f>HYPERLINK("http://www.worldcat.org/oclc/37156460","WorldCat Record")</f>
        <v>WorldCat Record</v>
      </c>
      <c r="AX3999" s="3" t="s">
        <v>39463</v>
      </c>
      <c r="AY3999" s="3" t="s">
        <v>39464</v>
      </c>
      <c r="AZ3999" s="3" t="s">
        <v>39465</v>
      </c>
      <c r="BA3999" s="3" t="s">
        <v>39465</v>
      </c>
      <c r="BB3999" s="3" t="s">
        <v>39466</v>
      </c>
      <c r="BC3999" s="3" t="s">
        <v>77</v>
      </c>
      <c r="BD3999" s="3" t="s">
        <v>78</v>
      </c>
      <c r="BE3999" s="3" t="s">
        <v>39467</v>
      </c>
      <c r="BF3999" s="3" t="s">
        <v>39466</v>
      </c>
      <c r="BG3999" s="3" t="s">
        <v>39468</v>
      </c>
      <c r="BH3999">
        <f t="shared" si="104"/>
        <v>0</v>
      </c>
    </row>
    <row r="4000" spans="1:60" ht="72.5" x14ac:dyDescent="0.35">
      <c r="A4000" s="2" t="s">
        <v>59</v>
      </c>
      <c r="B4000" s="2" t="s">
        <v>60</v>
      </c>
      <c r="C4000" s="2" t="s">
        <v>39469</v>
      </c>
      <c r="D4000" s="2" t="s">
        <v>39470</v>
      </c>
      <c r="E4000" s="2" t="s">
        <v>39471</v>
      </c>
      <c r="G4000" s="3" t="s">
        <v>64</v>
      </c>
      <c r="I4000" s="3" t="s">
        <v>64</v>
      </c>
      <c r="J4000" s="3" t="s">
        <v>64</v>
      </c>
      <c r="K4000" s="3" t="s">
        <v>65</v>
      </c>
      <c r="L4000" s="2" t="s">
        <v>39472</v>
      </c>
      <c r="M4000" s="2" t="s">
        <v>39473</v>
      </c>
      <c r="N4000" s="3" t="s">
        <v>392</v>
      </c>
      <c r="P4000" s="3" t="s">
        <v>102</v>
      </c>
      <c r="R4000" s="3" t="s">
        <v>70</v>
      </c>
      <c r="S4000" s="4">
        <v>1</v>
      </c>
      <c r="T4000" s="4">
        <v>1</v>
      </c>
      <c r="U4000" s="5" t="s">
        <v>39474</v>
      </c>
      <c r="V4000" s="5" t="s">
        <v>39474</v>
      </c>
      <c r="W4000" s="5" t="s">
        <v>72</v>
      </c>
      <c r="X4000" s="5" t="s">
        <v>72</v>
      </c>
      <c r="Y4000" s="4">
        <v>75</v>
      </c>
      <c r="Z4000" s="4">
        <v>52</v>
      </c>
      <c r="AA4000" s="4">
        <v>54</v>
      </c>
      <c r="AB4000" s="4">
        <v>2</v>
      </c>
      <c r="AC4000" s="4">
        <v>3</v>
      </c>
      <c r="AD4000" s="4">
        <v>32</v>
      </c>
      <c r="AE4000" s="4">
        <v>32</v>
      </c>
      <c r="AF4000" s="4">
        <v>0</v>
      </c>
      <c r="AG4000" s="4">
        <v>0</v>
      </c>
      <c r="AH4000" s="4">
        <v>17</v>
      </c>
      <c r="AI4000" s="4">
        <v>17</v>
      </c>
      <c r="AJ4000" s="4">
        <v>13</v>
      </c>
      <c r="AK4000" s="4">
        <v>13</v>
      </c>
      <c r="AL4000" s="4">
        <v>8</v>
      </c>
      <c r="AM4000" s="4">
        <v>8</v>
      </c>
      <c r="AN4000" s="4">
        <v>0</v>
      </c>
      <c r="AO4000" s="4">
        <v>0</v>
      </c>
      <c r="AP4000" s="4">
        <v>20</v>
      </c>
      <c r="AQ4000" s="4">
        <v>20</v>
      </c>
      <c r="AR4000" s="3" t="s">
        <v>128</v>
      </c>
      <c r="AS4000" s="3" t="s">
        <v>64</v>
      </c>
      <c r="AT4000" s="3" t="s">
        <v>64</v>
      </c>
      <c r="AV4000" s="6" t="str">
        <f>HYPERLINK("http://mcgill.on.worldcat.org/oclc/45264095","Catalog Record")</f>
        <v>Catalog Record</v>
      </c>
      <c r="AW4000" s="6" t="str">
        <f>HYPERLINK("http://www.worldcat.org/oclc/45264095","WorldCat Record")</f>
        <v>WorldCat Record</v>
      </c>
      <c r="AX4000" s="3" t="s">
        <v>39475</v>
      </c>
      <c r="AY4000" s="3" t="s">
        <v>39476</v>
      </c>
      <c r="AZ4000" s="3" t="s">
        <v>39477</v>
      </c>
      <c r="BA4000" s="3" t="s">
        <v>39477</v>
      </c>
      <c r="BB4000" s="3" t="s">
        <v>39478</v>
      </c>
      <c r="BC4000" s="3" t="s">
        <v>77</v>
      </c>
      <c r="BD4000" s="3" t="s">
        <v>78</v>
      </c>
      <c r="BE4000" s="3" t="s">
        <v>39479</v>
      </c>
      <c r="BF4000" s="3" t="s">
        <v>39478</v>
      </c>
      <c r="BG4000" s="3" t="s">
        <v>39480</v>
      </c>
      <c r="BH4000">
        <f t="shared" si="104"/>
        <v>0</v>
      </c>
    </row>
    <row r="4001" spans="1:60" ht="58" x14ac:dyDescent="0.35">
      <c r="A4001" s="2" t="s">
        <v>59</v>
      </c>
      <c r="B4001" s="2" t="s">
        <v>60</v>
      </c>
      <c r="C4001" s="2" t="s">
        <v>39481</v>
      </c>
      <c r="D4001" s="2" t="s">
        <v>39482</v>
      </c>
      <c r="E4001" s="2" t="s">
        <v>39483</v>
      </c>
      <c r="G4001" s="3" t="s">
        <v>64</v>
      </c>
      <c r="I4001" s="3" t="s">
        <v>64</v>
      </c>
      <c r="J4001" s="3" t="s">
        <v>64</v>
      </c>
      <c r="K4001" s="3" t="s">
        <v>65</v>
      </c>
      <c r="L4001" s="2" t="s">
        <v>39484</v>
      </c>
      <c r="M4001" s="2" t="s">
        <v>39485</v>
      </c>
      <c r="N4001" s="3" t="s">
        <v>874</v>
      </c>
      <c r="P4001" s="3" t="s">
        <v>102</v>
      </c>
      <c r="Q4001" s="2" t="s">
        <v>39486</v>
      </c>
      <c r="R4001" s="3" t="s">
        <v>70</v>
      </c>
      <c r="S4001" s="4">
        <v>2</v>
      </c>
      <c r="T4001" s="4">
        <v>2</v>
      </c>
      <c r="U4001" s="5" t="s">
        <v>39487</v>
      </c>
      <c r="V4001" s="5" t="s">
        <v>39487</v>
      </c>
      <c r="W4001" s="5" t="s">
        <v>72</v>
      </c>
      <c r="X4001" s="5" t="s">
        <v>72</v>
      </c>
      <c r="Y4001" s="4">
        <v>43</v>
      </c>
      <c r="Z4001" s="4">
        <v>31</v>
      </c>
      <c r="AA4001" s="4">
        <v>37</v>
      </c>
      <c r="AB4001" s="4">
        <v>3</v>
      </c>
      <c r="AC4001" s="4">
        <v>6</v>
      </c>
      <c r="AD4001" s="4">
        <v>31</v>
      </c>
      <c r="AE4001" s="4">
        <v>37</v>
      </c>
      <c r="AF4001" s="4">
        <v>1</v>
      </c>
      <c r="AG4001" s="4">
        <v>4</v>
      </c>
      <c r="AH4001" s="4">
        <v>17</v>
      </c>
      <c r="AI4001" s="4">
        <v>19</v>
      </c>
      <c r="AJ4001" s="4">
        <v>16</v>
      </c>
      <c r="AK4001" s="4">
        <v>22</v>
      </c>
      <c r="AL4001" s="4">
        <v>5</v>
      </c>
      <c r="AM4001" s="4">
        <v>5</v>
      </c>
      <c r="AN4001" s="4">
        <v>0</v>
      </c>
      <c r="AO4001" s="4">
        <v>0</v>
      </c>
      <c r="AP4001" s="4">
        <v>25</v>
      </c>
      <c r="AQ4001" s="4">
        <v>29</v>
      </c>
      <c r="AR4001" s="3" t="s">
        <v>128</v>
      </c>
      <c r="AS4001" s="3" t="s">
        <v>64</v>
      </c>
      <c r="AT4001" s="3" t="s">
        <v>64</v>
      </c>
      <c r="AV4001" s="6" t="str">
        <f>HYPERLINK("http://mcgill.on.worldcat.org/oclc/10431702","Catalog Record")</f>
        <v>Catalog Record</v>
      </c>
      <c r="AW4001" s="6" t="str">
        <f>HYPERLINK("http://www.worldcat.org/oclc/10431702","WorldCat Record")</f>
        <v>WorldCat Record</v>
      </c>
      <c r="AX4001" s="3" t="s">
        <v>39488</v>
      </c>
      <c r="AY4001" s="3" t="s">
        <v>39489</v>
      </c>
      <c r="AZ4001" s="3" t="s">
        <v>39490</v>
      </c>
      <c r="BA4001" s="3" t="s">
        <v>39490</v>
      </c>
      <c r="BB4001" s="3" t="s">
        <v>39491</v>
      </c>
      <c r="BC4001" s="3" t="s">
        <v>77</v>
      </c>
      <c r="BD4001" s="3" t="s">
        <v>78</v>
      </c>
      <c r="BF4001" s="3" t="s">
        <v>39491</v>
      </c>
      <c r="BG4001" s="3" t="s">
        <v>39492</v>
      </c>
      <c r="BH4001">
        <f t="shared" si="104"/>
        <v>0</v>
      </c>
    </row>
    <row r="4002" spans="1:60" ht="58" x14ac:dyDescent="0.35">
      <c r="A4002" s="2" t="s">
        <v>59</v>
      </c>
      <c r="B4002" s="2" t="s">
        <v>6744</v>
      </c>
      <c r="C4002" s="2" t="s">
        <v>39493</v>
      </c>
      <c r="D4002" s="2" t="s">
        <v>39494</v>
      </c>
      <c r="E4002" s="2" t="s">
        <v>39495</v>
      </c>
      <c r="G4002" s="3" t="s">
        <v>64</v>
      </c>
      <c r="I4002" s="3" t="s">
        <v>128</v>
      </c>
      <c r="J4002" s="3" t="s">
        <v>64</v>
      </c>
      <c r="K4002" s="3" t="s">
        <v>65</v>
      </c>
      <c r="L4002" s="2" t="s">
        <v>39496</v>
      </c>
      <c r="M4002" s="2" t="s">
        <v>39497</v>
      </c>
      <c r="N4002" s="3" t="s">
        <v>898</v>
      </c>
      <c r="P4002" s="3" t="s">
        <v>102</v>
      </c>
      <c r="Q4002" s="2" t="s">
        <v>39498</v>
      </c>
      <c r="R4002" s="3" t="s">
        <v>70</v>
      </c>
      <c r="S4002" s="4">
        <v>0</v>
      </c>
      <c r="T4002" s="4">
        <v>3</v>
      </c>
      <c r="V4002" s="5" t="s">
        <v>39474</v>
      </c>
      <c r="W4002" s="5" t="s">
        <v>72</v>
      </c>
      <c r="X4002" s="5" t="s">
        <v>72</v>
      </c>
      <c r="Y4002" s="4">
        <v>119</v>
      </c>
      <c r="Z4002" s="4">
        <v>67</v>
      </c>
      <c r="AA4002" s="4">
        <v>74</v>
      </c>
      <c r="AB4002" s="4">
        <v>4</v>
      </c>
      <c r="AC4002" s="4">
        <v>10</v>
      </c>
      <c r="AD4002" s="4">
        <v>64</v>
      </c>
      <c r="AE4002" s="4">
        <v>67</v>
      </c>
      <c r="AF4002" s="4">
        <v>1</v>
      </c>
      <c r="AG4002" s="4">
        <v>4</v>
      </c>
      <c r="AH4002" s="4">
        <v>34</v>
      </c>
      <c r="AI4002" s="4">
        <v>35</v>
      </c>
      <c r="AJ4002" s="4">
        <v>23</v>
      </c>
      <c r="AK4002" s="4">
        <v>26</v>
      </c>
      <c r="AL4002" s="4">
        <v>15</v>
      </c>
      <c r="AM4002" s="4">
        <v>15</v>
      </c>
      <c r="AN4002" s="4">
        <v>0</v>
      </c>
      <c r="AO4002" s="4">
        <v>0</v>
      </c>
      <c r="AP4002" s="4">
        <v>39</v>
      </c>
      <c r="AQ4002" s="4">
        <v>41</v>
      </c>
      <c r="AR4002" s="3" t="s">
        <v>128</v>
      </c>
      <c r="AS4002" s="3" t="s">
        <v>64</v>
      </c>
      <c r="AT4002" s="3" t="s">
        <v>128</v>
      </c>
      <c r="AU4002" s="6" t="str">
        <f>HYPERLINK("http://catalog.hathitrust.org/Record/000272918","HathiTrust Record")</f>
        <v>HathiTrust Record</v>
      </c>
      <c r="AV4002" s="6" t="str">
        <f>HYPERLINK("http://mcgill.on.worldcat.org/oclc/7416035","Catalog Record")</f>
        <v>Catalog Record</v>
      </c>
      <c r="AW4002" s="6" t="str">
        <f>HYPERLINK("http://www.worldcat.org/oclc/7416035","WorldCat Record")</f>
        <v>WorldCat Record</v>
      </c>
      <c r="AX4002" s="3" t="s">
        <v>39499</v>
      </c>
      <c r="AY4002" s="3" t="s">
        <v>39500</v>
      </c>
      <c r="AZ4002" s="3" t="s">
        <v>39501</v>
      </c>
      <c r="BA4002" s="3" t="s">
        <v>39501</v>
      </c>
      <c r="BB4002" s="3" t="s">
        <v>39502</v>
      </c>
      <c r="BC4002" s="3" t="s">
        <v>77</v>
      </c>
      <c r="BD4002" s="3" t="s">
        <v>78</v>
      </c>
      <c r="BE4002" s="3" t="s">
        <v>39503</v>
      </c>
      <c r="BF4002" s="3" t="s">
        <v>39502</v>
      </c>
      <c r="BG4002" s="3" t="s">
        <v>39504</v>
      </c>
      <c r="BH4002">
        <f t="shared" si="104"/>
        <v>0</v>
      </c>
    </row>
    <row r="4003" spans="1:60" ht="58" x14ac:dyDescent="0.35">
      <c r="A4003" s="2" t="s">
        <v>59</v>
      </c>
      <c r="B4003" s="2" t="s">
        <v>7607</v>
      </c>
      <c r="C4003" s="2" t="s">
        <v>39493</v>
      </c>
      <c r="D4003" s="2" t="s">
        <v>39494</v>
      </c>
      <c r="E4003" s="2" t="s">
        <v>39495</v>
      </c>
      <c r="G4003" s="3" t="s">
        <v>64</v>
      </c>
      <c r="I4003" s="3" t="s">
        <v>128</v>
      </c>
      <c r="J4003" s="3" t="s">
        <v>64</v>
      </c>
      <c r="K4003" s="3" t="s">
        <v>65</v>
      </c>
      <c r="L4003" s="2" t="s">
        <v>39496</v>
      </c>
      <c r="M4003" s="2" t="s">
        <v>39497</v>
      </c>
      <c r="N4003" s="3" t="s">
        <v>898</v>
      </c>
      <c r="P4003" s="3" t="s">
        <v>102</v>
      </c>
      <c r="Q4003" s="2" t="s">
        <v>39498</v>
      </c>
      <c r="R4003" s="3" t="s">
        <v>70</v>
      </c>
      <c r="S4003" s="4">
        <v>3</v>
      </c>
      <c r="T4003" s="4">
        <v>3</v>
      </c>
      <c r="U4003" s="5" t="s">
        <v>39474</v>
      </c>
      <c r="V4003" s="5" t="s">
        <v>39474</v>
      </c>
      <c r="W4003" s="5" t="s">
        <v>72</v>
      </c>
      <c r="X4003" s="5" t="s">
        <v>72</v>
      </c>
      <c r="Y4003" s="4">
        <v>119</v>
      </c>
      <c r="Z4003" s="4">
        <v>67</v>
      </c>
      <c r="AA4003" s="4">
        <v>74</v>
      </c>
      <c r="AB4003" s="4">
        <v>4</v>
      </c>
      <c r="AC4003" s="4">
        <v>10</v>
      </c>
      <c r="AD4003" s="4">
        <v>64</v>
      </c>
      <c r="AE4003" s="4">
        <v>67</v>
      </c>
      <c r="AF4003" s="4">
        <v>1</v>
      </c>
      <c r="AG4003" s="4">
        <v>4</v>
      </c>
      <c r="AH4003" s="4">
        <v>34</v>
      </c>
      <c r="AI4003" s="4">
        <v>35</v>
      </c>
      <c r="AJ4003" s="4">
        <v>23</v>
      </c>
      <c r="AK4003" s="4">
        <v>26</v>
      </c>
      <c r="AL4003" s="4">
        <v>15</v>
      </c>
      <c r="AM4003" s="4">
        <v>15</v>
      </c>
      <c r="AN4003" s="4">
        <v>0</v>
      </c>
      <c r="AO4003" s="4">
        <v>0</v>
      </c>
      <c r="AP4003" s="4">
        <v>39</v>
      </c>
      <c r="AQ4003" s="4">
        <v>41</v>
      </c>
      <c r="AR4003" s="3" t="s">
        <v>128</v>
      </c>
      <c r="AS4003" s="3" t="s">
        <v>64</v>
      </c>
      <c r="AT4003" s="3" t="s">
        <v>128</v>
      </c>
      <c r="AU4003" s="6" t="str">
        <f>HYPERLINK("http://catalog.hathitrust.org/Record/000272918","HathiTrust Record")</f>
        <v>HathiTrust Record</v>
      </c>
      <c r="AV4003" s="6" t="str">
        <f>HYPERLINK("http://mcgill.on.worldcat.org/oclc/7416035","Catalog Record")</f>
        <v>Catalog Record</v>
      </c>
      <c r="AW4003" s="6" t="str">
        <f>HYPERLINK("http://www.worldcat.org/oclc/7416035","WorldCat Record")</f>
        <v>WorldCat Record</v>
      </c>
      <c r="AX4003" s="3" t="s">
        <v>39499</v>
      </c>
      <c r="AY4003" s="3" t="s">
        <v>39500</v>
      </c>
      <c r="AZ4003" s="3" t="s">
        <v>39501</v>
      </c>
      <c r="BA4003" s="3" t="s">
        <v>39501</v>
      </c>
      <c r="BB4003" s="3" t="s">
        <v>39505</v>
      </c>
      <c r="BC4003" s="3" t="s">
        <v>77</v>
      </c>
      <c r="BD4003" s="3" t="s">
        <v>78</v>
      </c>
      <c r="BE4003" s="3" t="s">
        <v>39503</v>
      </c>
      <c r="BF4003" s="3" t="s">
        <v>39505</v>
      </c>
      <c r="BG4003" s="3" t="s">
        <v>39506</v>
      </c>
      <c r="BH4003">
        <f t="shared" si="104"/>
        <v>0</v>
      </c>
    </row>
    <row r="4004" spans="1:60" ht="58" x14ac:dyDescent="0.35">
      <c r="A4004" s="2" t="s">
        <v>59</v>
      </c>
      <c r="B4004" s="2" t="s">
        <v>7607</v>
      </c>
      <c r="C4004" s="2" t="s">
        <v>39507</v>
      </c>
      <c r="D4004" s="2" t="s">
        <v>39508</v>
      </c>
      <c r="E4004" s="2" t="s">
        <v>39509</v>
      </c>
      <c r="G4004" s="3" t="s">
        <v>64</v>
      </c>
      <c r="I4004" s="3" t="s">
        <v>128</v>
      </c>
      <c r="J4004" s="3" t="s">
        <v>64</v>
      </c>
      <c r="K4004" s="3" t="s">
        <v>65</v>
      </c>
      <c r="L4004" s="2" t="s">
        <v>39510</v>
      </c>
      <c r="M4004" s="2" t="s">
        <v>39511</v>
      </c>
      <c r="N4004" s="3" t="s">
        <v>1047</v>
      </c>
      <c r="P4004" s="3" t="s">
        <v>102</v>
      </c>
      <c r="Q4004" s="2" t="s">
        <v>39512</v>
      </c>
      <c r="R4004" s="3" t="s">
        <v>70</v>
      </c>
      <c r="S4004" s="4">
        <v>3</v>
      </c>
      <c r="T4004" s="4">
        <v>3</v>
      </c>
      <c r="U4004" s="5" t="s">
        <v>12865</v>
      </c>
      <c r="V4004" s="5" t="s">
        <v>12865</v>
      </c>
      <c r="W4004" s="5" t="s">
        <v>72</v>
      </c>
      <c r="X4004" s="5" t="s">
        <v>72</v>
      </c>
      <c r="Y4004" s="4">
        <v>441</v>
      </c>
      <c r="Z4004" s="4">
        <v>71</v>
      </c>
      <c r="AA4004" s="4">
        <v>76</v>
      </c>
      <c r="AB4004" s="4">
        <v>3</v>
      </c>
      <c r="AC4004" s="4">
        <v>8</v>
      </c>
      <c r="AD4004" s="4">
        <v>133</v>
      </c>
      <c r="AE4004" s="4">
        <v>136</v>
      </c>
      <c r="AF4004" s="4">
        <v>1</v>
      </c>
      <c r="AG4004" s="4">
        <v>4</v>
      </c>
      <c r="AH4004" s="4">
        <v>101</v>
      </c>
      <c r="AI4004" s="4">
        <v>102</v>
      </c>
      <c r="AJ4004" s="4">
        <v>24</v>
      </c>
      <c r="AK4004" s="4">
        <v>27</v>
      </c>
      <c r="AL4004" s="4">
        <v>49</v>
      </c>
      <c r="AM4004" s="4">
        <v>49</v>
      </c>
      <c r="AN4004" s="4">
        <v>0</v>
      </c>
      <c r="AO4004" s="4">
        <v>0</v>
      </c>
      <c r="AP4004" s="4">
        <v>41</v>
      </c>
      <c r="AQ4004" s="4">
        <v>43</v>
      </c>
      <c r="AR4004" s="3" t="s">
        <v>64</v>
      </c>
      <c r="AS4004" s="3" t="s">
        <v>64</v>
      </c>
      <c r="AT4004" s="3" t="s">
        <v>128</v>
      </c>
      <c r="AU4004" s="6" t="str">
        <f>HYPERLINK("http://catalog.hathitrust.org/Record/000764035","HathiTrust Record")</f>
        <v>HathiTrust Record</v>
      </c>
      <c r="AV4004" s="6" t="str">
        <f>HYPERLINK("http://mcgill.on.worldcat.org/oclc/7975996","Catalog Record")</f>
        <v>Catalog Record</v>
      </c>
      <c r="AW4004" s="6" t="str">
        <f>HYPERLINK("http://www.worldcat.org/oclc/7975996","WorldCat Record")</f>
        <v>WorldCat Record</v>
      </c>
      <c r="AX4004" s="3" t="s">
        <v>39513</v>
      </c>
      <c r="AY4004" s="3" t="s">
        <v>39514</v>
      </c>
      <c r="AZ4004" s="3" t="s">
        <v>39515</v>
      </c>
      <c r="BA4004" s="3" t="s">
        <v>39515</v>
      </c>
      <c r="BB4004" s="3" t="s">
        <v>39516</v>
      </c>
      <c r="BC4004" s="3" t="s">
        <v>77</v>
      </c>
      <c r="BD4004" s="3" t="s">
        <v>78</v>
      </c>
      <c r="BE4004" s="3" t="s">
        <v>39517</v>
      </c>
      <c r="BF4004" s="3" t="s">
        <v>39516</v>
      </c>
      <c r="BG4004" s="3" t="s">
        <v>39518</v>
      </c>
      <c r="BH4004">
        <f t="shared" si="104"/>
        <v>0</v>
      </c>
    </row>
    <row r="4005" spans="1:60" ht="58" x14ac:dyDescent="0.35">
      <c r="A4005" s="2" t="s">
        <v>59</v>
      </c>
      <c r="B4005" s="2" t="s">
        <v>60</v>
      </c>
      <c r="C4005" s="2" t="s">
        <v>39519</v>
      </c>
      <c r="D4005" s="2" t="s">
        <v>39520</v>
      </c>
      <c r="E4005" s="2" t="s">
        <v>39521</v>
      </c>
      <c r="G4005" s="3" t="s">
        <v>64</v>
      </c>
      <c r="I4005" s="3" t="s">
        <v>128</v>
      </c>
      <c r="J4005" s="3" t="s">
        <v>64</v>
      </c>
      <c r="K4005" s="3" t="s">
        <v>65</v>
      </c>
      <c r="L4005" s="2" t="s">
        <v>39522</v>
      </c>
      <c r="M4005" s="2" t="s">
        <v>39523</v>
      </c>
      <c r="N4005" s="3" t="s">
        <v>1061</v>
      </c>
      <c r="P4005" s="3" t="s">
        <v>68</v>
      </c>
      <c r="Q4005" s="2" t="s">
        <v>39524</v>
      </c>
      <c r="R4005" s="3" t="s">
        <v>70</v>
      </c>
      <c r="S4005" s="4">
        <v>0</v>
      </c>
      <c r="T4005" s="4">
        <v>3</v>
      </c>
      <c r="V4005" s="5" t="s">
        <v>3621</v>
      </c>
      <c r="W4005" s="5" t="s">
        <v>72</v>
      </c>
      <c r="X4005" s="5" t="s">
        <v>72</v>
      </c>
      <c r="Y4005" s="4">
        <v>42</v>
      </c>
      <c r="Z4005" s="4">
        <v>29</v>
      </c>
      <c r="AA4005" s="4">
        <v>39</v>
      </c>
      <c r="AB4005" s="4">
        <v>13</v>
      </c>
      <c r="AC4005" s="4">
        <v>14</v>
      </c>
      <c r="AD4005" s="4">
        <v>22</v>
      </c>
      <c r="AE4005" s="4">
        <v>31</v>
      </c>
      <c r="AF4005" s="4">
        <v>5</v>
      </c>
      <c r="AG4005" s="4">
        <v>6</v>
      </c>
      <c r="AH4005" s="4">
        <v>13</v>
      </c>
      <c r="AI4005" s="4">
        <v>17</v>
      </c>
      <c r="AJ4005" s="4">
        <v>11</v>
      </c>
      <c r="AK4005" s="4">
        <v>19</v>
      </c>
      <c r="AL4005" s="4">
        <v>6</v>
      </c>
      <c r="AM4005" s="4">
        <v>6</v>
      </c>
      <c r="AN4005" s="4">
        <v>0</v>
      </c>
      <c r="AO4005" s="4">
        <v>0</v>
      </c>
      <c r="AP4005" s="4">
        <v>12</v>
      </c>
      <c r="AQ4005" s="4">
        <v>21</v>
      </c>
      <c r="AR4005" s="3" t="s">
        <v>128</v>
      </c>
      <c r="AS4005" s="3" t="s">
        <v>64</v>
      </c>
      <c r="AT4005" s="3" t="s">
        <v>64</v>
      </c>
      <c r="AV4005" s="6" t="str">
        <f>HYPERLINK("http://mcgill.on.worldcat.org/oclc/16027865","Catalog Record")</f>
        <v>Catalog Record</v>
      </c>
      <c r="AW4005" s="6" t="str">
        <f>HYPERLINK("http://www.worldcat.org/oclc/16027865","WorldCat Record")</f>
        <v>WorldCat Record</v>
      </c>
      <c r="AX4005" s="3" t="s">
        <v>39525</v>
      </c>
      <c r="AY4005" s="3" t="s">
        <v>39526</v>
      </c>
      <c r="AZ4005" s="3" t="s">
        <v>39527</v>
      </c>
      <c r="BA4005" s="3" t="s">
        <v>39527</v>
      </c>
      <c r="BB4005" s="3" t="s">
        <v>39528</v>
      </c>
      <c r="BC4005" s="3" t="s">
        <v>77</v>
      </c>
      <c r="BD4005" s="3" t="s">
        <v>78</v>
      </c>
      <c r="BE4005" s="3" t="s">
        <v>39529</v>
      </c>
      <c r="BF4005" s="3" t="s">
        <v>39528</v>
      </c>
      <c r="BG4005" s="3" t="s">
        <v>39530</v>
      </c>
      <c r="BH4005">
        <f t="shared" si="104"/>
        <v>0</v>
      </c>
    </row>
    <row r="4006" spans="1:60" ht="58" x14ac:dyDescent="0.35">
      <c r="A4006" s="2" t="s">
        <v>59</v>
      </c>
      <c r="B4006" s="2" t="s">
        <v>60</v>
      </c>
      <c r="C4006" s="2" t="s">
        <v>39519</v>
      </c>
      <c r="D4006" s="2" t="s">
        <v>39520</v>
      </c>
      <c r="E4006" s="2" t="s">
        <v>39521</v>
      </c>
      <c r="G4006" s="3" t="s">
        <v>64</v>
      </c>
      <c r="I4006" s="3" t="s">
        <v>128</v>
      </c>
      <c r="J4006" s="3" t="s">
        <v>64</v>
      </c>
      <c r="K4006" s="3" t="s">
        <v>65</v>
      </c>
      <c r="L4006" s="2" t="s">
        <v>39522</v>
      </c>
      <c r="M4006" s="2" t="s">
        <v>39523</v>
      </c>
      <c r="N4006" s="3" t="s">
        <v>1061</v>
      </c>
      <c r="P4006" s="3" t="s">
        <v>68</v>
      </c>
      <c r="Q4006" s="2" t="s">
        <v>39524</v>
      </c>
      <c r="R4006" s="3" t="s">
        <v>70</v>
      </c>
      <c r="S4006" s="4">
        <v>3</v>
      </c>
      <c r="T4006" s="4">
        <v>3</v>
      </c>
      <c r="U4006" s="5" t="s">
        <v>3621</v>
      </c>
      <c r="V4006" s="5" t="s">
        <v>3621</v>
      </c>
      <c r="W4006" s="5" t="s">
        <v>72</v>
      </c>
      <c r="X4006" s="5" t="s">
        <v>72</v>
      </c>
      <c r="Y4006" s="4">
        <v>42</v>
      </c>
      <c r="Z4006" s="4">
        <v>29</v>
      </c>
      <c r="AA4006" s="4">
        <v>39</v>
      </c>
      <c r="AB4006" s="4">
        <v>13</v>
      </c>
      <c r="AC4006" s="4">
        <v>14</v>
      </c>
      <c r="AD4006" s="4">
        <v>22</v>
      </c>
      <c r="AE4006" s="4">
        <v>31</v>
      </c>
      <c r="AF4006" s="4">
        <v>5</v>
      </c>
      <c r="AG4006" s="4">
        <v>6</v>
      </c>
      <c r="AH4006" s="4">
        <v>13</v>
      </c>
      <c r="AI4006" s="4">
        <v>17</v>
      </c>
      <c r="AJ4006" s="4">
        <v>11</v>
      </c>
      <c r="AK4006" s="4">
        <v>19</v>
      </c>
      <c r="AL4006" s="4">
        <v>6</v>
      </c>
      <c r="AM4006" s="4">
        <v>6</v>
      </c>
      <c r="AN4006" s="4">
        <v>0</v>
      </c>
      <c r="AO4006" s="4">
        <v>0</v>
      </c>
      <c r="AP4006" s="4">
        <v>12</v>
      </c>
      <c r="AQ4006" s="4">
        <v>21</v>
      </c>
      <c r="AR4006" s="3" t="s">
        <v>128</v>
      </c>
      <c r="AS4006" s="3" t="s">
        <v>64</v>
      </c>
      <c r="AT4006" s="3" t="s">
        <v>64</v>
      </c>
      <c r="AV4006" s="6" t="str">
        <f>HYPERLINK("http://mcgill.on.worldcat.org/oclc/16027865","Catalog Record")</f>
        <v>Catalog Record</v>
      </c>
      <c r="AW4006" s="6" t="str">
        <f>HYPERLINK("http://www.worldcat.org/oclc/16027865","WorldCat Record")</f>
        <v>WorldCat Record</v>
      </c>
      <c r="AX4006" s="3" t="s">
        <v>39525</v>
      </c>
      <c r="AY4006" s="3" t="s">
        <v>39526</v>
      </c>
      <c r="AZ4006" s="3" t="s">
        <v>39527</v>
      </c>
      <c r="BA4006" s="3" t="s">
        <v>39527</v>
      </c>
      <c r="BB4006" s="3" t="s">
        <v>39531</v>
      </c>
      <c r="BC4006" s="3" t="s">
        <v>77</v>
      </c>
      <c r="BD4006" s="3" t="s">
        <v>78</v>
      </c>
      <c r="BE4006" s="3" t="s">
        <v>39529</v>
      </c>
      <c r="BF4006" s="3" t="s">
        <v>39531</v>
      </c>
      <c r="BG4006" s="3" t="s">
        <v>39532</v>
      </c>
      <c r="BH4006">
        <f t="shared" si="104"/>
        <v>0</v>
      </c>
    </row>
    <row r="4007" spans="1:60" ht="72.5" x14ac:dyDescent="0.35">
      <c r="A4007" s="2" t="s">
        <v>59</v>
      </c>
      <c r="B4007" s="2" t="s">
        <v>60</v>
      </c>
      <c r="C4007" s="2" t="s">
        <v>39533</v>
      </c>
      <c r="D4007" s="2" t="s">
        <v>39534</v>
      </c>
      <c r="E4007" s="2" t="s">
        <v>39535</v>
      </c>
      <c r="G4007" s="3" t="s">
        <v>64</v>
      </c>
      <c r="I4007" s="3" t="s">
        <v>64</v>
      </c>
      <c r="J4007" s="3" t="s">
        <v>64</v>
      </c>
      <c r="K4007" s="3" t="s">
        <v>65</v>
      </c>
      <c r="L4007" s="2" t="s">
        <v>39536</v>
      </c>
      <c r="M4007" s="2" t="s">
        <v>39537</v>
      </c>
      <c r="N4007" s="3" t="s">
        <v>1263</v>
      </c>
      <c r="P4007" s="3" t="s">
        <v>68</v>
      </c>
      <c r="Q4007" s="2" t="s">
        <v>39538</v>
      </c>
      <c r="R4007" s="3" t="s">
        <v>70</v>
      </c>
      <c r="S4007" s="4">
        <v>1</v>
      </c>
      <c r="T4007" s="4">
        <v>1</v>
      </c>
      <c r="U4007" s="5" t="s">
        <v>20195</v>
      </c>
      <c r="V4007" s="5" t="s">
        <v>20195</v>
      </c>
      <c r="W4007" s="5" t="s">
        <v>72</v>
      </c>
      <c r="X4007" s="5" t="s">
        <v>72</v>
      </c>
      <c r="Y4007" s="4">
        <v>2</v>
      </c>
      <c r="Z4007" s="4">
        <v>1</v>
      </c>
      <c r="AA4007" s="4">
        <v>11</v>
      </c>
      <c r="AB4007" s="4">
        <v>1</v>
      </c>
      <c r="AC4007" s="4">
        <v>7</v>
      </c>
      <c r="AD4007" s="4">
        <v>0</v>
      </c>
      <c r="AE4007" s="4">
        <v>7</v>
      </c>
      <c r="AF4007" s="4">
        <v>0</v>
      </c>
      <c r="AG4007" s="4">
        <v>4</v>
      </c>
      <c r="AH4007" s="4">
        <v>0</v>
      </c>
      <c r="AI4007" s="4">
        <v>3</v>
      </c>
      <c r="AJ4007" s="4">
        <v>0</v>
      </c>
      <c r="AK4007" s="4">
        <v>6</v>
      </c>
      <c r="AL4007" s="4">
        <v>0</v>
      </c>
      <c r="AM4007" s="4">
        <v>1</v>
      </c>
      <c r="AN4007" s="4">
        <v>0</v>
      </c>
      <c r="AO4007" s="4">
        <v>0</v>
      </c>
      <c r="AP4007" s="4">
        <v>0</v>
      </c>
      <c r="AQ4007" s="4">
        <v>5</v>
      </c>
      <c r="AR4007" s="3" t="s">
        <v>128</v>
      </c>
      <c r="AS4007" s="3" t="s">
        <v>64</v>
      </c>
      <c r="AT4007" s="3" t="s">
        <v>64</v>
      </c>
      <c r="AV4007" s="6" t="str">
        <f>HYPERLINK("http://mcgill.on.worldcat.org/oclc/428002215","Catalog Record")</f>
        <v>Catalog Record</v>
      </c>
      <c r="AW4007" s="6" t="str">
        <f>HYPERLINK("http://www.worldcat.org/oclc/428002215","WorldCat Record")</f>
        <v>WorldCat Record</v>
      </c>
      <c r="AX4007" s="3" t="s">
        <v>39539</v>
      </c>
      <c r="AY4007" s="3" t="s">
        <v>39540</v>
      </c>
      <c r="AZ4007" s="3" t="s">
        <v>39541</v>
      </c>
      <c r="BA4007" s="3" t="s">
        <v>39541</v>
      </c>
      <c r="BB4007" s="3" t="s">
        <v>39542</v>
      </c>
      <c r="BC4007" s="3" t="s">
        <v>77</v>
      </c>
      <c r="BD4007" s="3" t="s">
        <v>78</v>
      </c>
      <c r="BE4007" s="3" t="s">
        <v>39543</v>
      </c>
      <c r="BF4007" s="3" t="s">
        <v>39542</v>
      </c>
      <c r="BG4007" s="3" t="s">
        <v>39544</v>
      </c>
      <c r="BH4007">
        <f t="shared" si="104"/>
        <v>0</v>
      </c>
    </row>
    <row r="4008" spans="1:60" ht="58" x14ac:dyDescent="0.35">
      <c r="A4008" s="2" t="s">
        <v>59</v>
      </c>
      <c r="B4008" s="2" t="s">
        <v>7607</v>
      </c>
      <c r="C4008" s="2" t="s">
        <v>39545</v>
      </c>
      <c r="D4008" s="2" t="s">
        <v>39546</v>
      </c>
      <c r="E4008" s="2" t="s">
        <v>39547</v>
      </c>
      <c r="G4008" s="3" t="s">
        <v>64</v>
      </c>
      <c r="I4008" s="3" t="s">
        <v>64</v>
      </c>
      <c r="J4008" s="3" t="s">
        <v>128</v>
      </c>
      <c r="K4008" s="3" t="s">
        <v>65</v>
      </c>
      <c r="M4008" s="2" t="s">
        <v>39548</v>
      </c>
      <c r="N4008" s="3" t="s">
        <v>116</v>
      </c>
      <c r="P4008" s="3" t="s">
        <v>102</v>
      </c>
      <c r="Q4008" s="2" t="s">
        <v>39549</v>
      </c>
      <c r="R4008" s="3" t="s">
        <v>70</v>
      </c>
      <c r="S4008" s="4">
        <v>10</v>
      </c>
      <c r="T4008" s="4">
        <v>10</v>
      </c>
      <c r="U4008" s="5" t="s">
        <v>33130</v>
      </c>
      <c r="V4008" s="5" t="s">
        <v>33130</v>
      </c>
      <c r="W4008" s="5" t="s">
        <v>72</v>
      </c>
      <c r="X4008" s="5" t="s">
        <v>72</v>
      </c>
      <c r="Y4008" s="4">
        <v>181</v>
      </c>
      <c r="Z4008" s="4">
        <v>63</v>
      </c>
      <c r="AA4008" s="4">
        <v>88</v>
      </c>
      <c r="AB4008" s="4">
        <v>1</v>
      </c>
      <c r="AC4008" s="4">
        <v>4</v>
      </c>
      <c r="AD4008" s="4">
        <v>40</v>
      </c>
      <c r="AE4008" s="4">
        <v>63</v>
      </c>
      <c r="AF4008" s="4">
        <v>0</v>
      </c>
      <c r="AG4008" s="4">
        <v>2</v>
      </c>
      <c r="AH4008" s="4">
        <v>22</v>
      </c>
      <c r="AI4008" s="4">
        <v>40</v>
      </c>
      <c r="AJ4008" s="4">
        <v>15</v>
      </c>
      <c r="AK4008" s="4">
        <v>21</v>
      </c>
      <c r="AL4008" s="4">
        <v>9</v>
      </c>
      <c r="AM4008" s="4">
        <v>20</v>
      </c>
      <c r="AN4008" s="4">
        <v>0</v>
      </c>
      <c r="AO4008" s="4">
        <v>0</v>
      </c>
      <c r="AP4008" s="4">
        <v>24</v>
      </c>
      <c r="AQ4008" s="4">
        <v>33</v>
      </c>
      <c r="AR4008" s="3" t="s">
        <v>128</v>
      </c>
      <c r="AS4008" s="3" t="s">
        <v>64</v>
      </c>
      <c r="AT4008" s="3" t="s">
        <v>128</v>
      </c>
      <c r="AU4008" s="6" t="str">
        <f>HYPERLINK("http://catalog.hathitrust.org/Record/004302113","HathiTrust Record")</f>
        <v>HathiTrust Record</v>
      </c>
      <c r="AV4008" s="6" t="str">
        <f>HYPERLINK("http://mcgill.on.worldcat.org/oclc/46627958","Catalog Record")</f>
        <v>Catalog Record</v>
      </c>
      <c r="AW4008" s="6" t="str">
        <f>HYPERLINK("http://www.worldcat.org/oclc/46627958","WorldCat Record")</f>
        <v>WorldCat Record</v>
      </c>
      <c r="AX4008" s="3" t="s">
        <v>39550</v>
      </c>
      <c r="AY4008" s="3" t="s">
        <v>39551</v>
      </c>
      <c r="AZ4008" s="3" t="s">
        <v>39552</v>
      </c>
      <c r="BA4008" s="3" t="s">
        <v>39552</v>
      </c>
      <c r="BB4008" s="3" t="s">
        <v>39553</v>
      </c>
      <c r="BC4008" s="3" t="s">
        <v>77</v>
      </c>
      <c r="BD4008" s="3" t="s">
        <v>78</v>
      </c>
      <c r="BE4008" s="3" t="s">
        <v>39554</v>
      </c>
      <c r="BF4008" s="3" t="s">
        <v>39553</v>
      </c>
      <c r="BG4008" s="3" t="s">
        <v>39555</v>
      </c>
      <c r="BH4008">
        <f t="shared" si="104"/>
        <v>0</v>
      </c>
    </row>
    <row r="4009" spans="1:60" ht="58" x14ac:dyDescent="0.35">
      <c r="A4009" s="2" t="s">
        <v>59</v>
      </c>
      <c r="B4009" s="2" t="s">
        <v>60</v>
      </c>
      <c r="C4009" s="2" t="s">
        <v>39556</v>
      </c>
      <c r="D4009" s="2" t="s">
        <v>39557</v>
      </c>
      <c r="E4009" s="2" t="s">
        <v>39558</v>
      </c>
      <c r="G4009" s="3" t="s">
        <v>64</v>
      </c>
      <c r="I4009" s="3" t="s">
        <v>64</v>
      </c>
      <c r="J4009" s="3" t="s">
        <v>64</v>
      </c>
      <c r="K4009" s="3" t="s">
        <v>65</v>
      </c>
      <c r="L4009" s="2" t="s">
        <v>39559</v>
      </c>
      <c r="M4009" s="2" t="s">
        <v>39560</v>
      </c>
      <c r="N4009" s="3" t="s">
        <v>768</v>
      </c>
      <c r="P4009" s="3" t="s">
        <v>102</v>
      </c>
      <c r="Q4009" s="2" t="s">
        <v>39561</v>
      </c>
      <c r="R4009" s="3" t="s">
        <v>70</v>
      </c>
      <c r="S4009" s="4">
        <v>1</v>
      </c>
      <c r="T4009" s="4">
        <v>1</v>
      </c>
      <c r="U4009" s="5" t="s">
        <v>39562</v>
      </c>
      <c r="V4009" s="5" t="s">
        <v>39562</v>
      </c>
      <c r="W4009" s="5" t="s">
        <v>72</v>
      </c>
      <c r="X4009" s="5" t="s">
        <v>72</v>
      </c>
      <c r="Y4009" s="4">
        <v>608</v>
      </c>
      <c r="Z4009" s="4">
        <v>33</v>
      </c>
      <c r="AA4009" s="4">
        <v>35</v>
      </c>
      <c r="AB4009" s="4">
        <v>2</v>
      </c>
      <c r="AC4009" s="4">
        <v>4</v>
      </c>
      <c r="AD4009" s="4">
        <v>121</v>
      </c>
      <c r="AE4009" s="4">
        <v>123</v>
      </c>
      <c r="AF4009" s="4">
        <v>0</v>
      </c>
      <c r="AG4009" s="4">
        <v>2</v>
      </c>
      <c r="AH4009" s="4">
        <v>105</v>
      </c>
      <c r="AI4009" s="4">
        <v>106</v>
      </c>
      <c r="AJ4009" s="4">
        <v>11</v>
      </c>
      <c r="AK4009" s="4">
        <v>13</v>
      </c>
      <c r="AL4009" s="4">
        <v>54</v>
      </c>
      <c r="AM4009" s="4">
        <v>54</v>
      </c>
      <c r="AN4009" s="4">
        <v>0</v>
      </c>
      <c r="AO4009" s="4">
        <v>0</v>
      </c>
      <c r="AP4009" s="4">
        <v>23</v>
      </c>
      <c r="AQ4009" s="4">
        <v>24</v>
      </c>
      <c r="AR4009" s="3" t="s">
        <v>64</v>
      </c>
      <c r="AS4009" s="3" t="s">
        <v>64</v>
      </c>
      <c r="AT4009" s="3" t="s">
        <v>64</v>
      </c>
      <c r="AV4009" s="6" t="str">
        <f>HYPERLINK("http://mcgill.on.worldcat.org/oclc/4004974","Catalog Record")</f>
        <v>Catalog Record</v>
      </c>
      <c r="AW4009" s="6" t="str">
        <f>HYPERLINK("http://www.worldcat.org/oclc/4004974","WorldCat Record")</f>
        <v>WorldCat Record</v>
      </c>
      <c r="AX4009" s="3" t="s">
        <v>39563</v>
      </c>
      <c r="AY4009" s="3" t="s">
        <v>39564</v>
      </c>
      <c r="AZ4009" s="3" t="s">
        <v>39565</v>
      </c>
      <c r="BA4009" s="3" t="s">
        <v>39565</v>
      </c>
      <c r="BB4009" s="3" t="s">
        <v>39566</v>
      </c>
      <c r="BC4009" s="3" t="s">
        <v>77</v>
      </c>
      <c r="BD4009" s="3" t="s">
        <v>78</v>
      </c>
      <c r="BE4009" s="3" t="s">
        <v>39567</v>
      </c>
      <c r="BF4009" s="3" t="s">
        <v>39566</v>
      </c>
      <c r="BG4009" s="3" t="s">
        <v>39568</v>
      </c>
      <c r="BH4009">
        <f t="shared" si="104"/>
        <v>0</v>
      </c>
    </row>
    <row r="4010" spans="1:60" ht="72.5" x14ac:dyDescent="0.35">
      <c r="A4010" s="2" t="s">
        <v>59</v>
      </c>
      <c r="B4010" s="2" t="s">
        <v>60</v>
      </c>
      <c r="C4010" s="2" t="s">
        <v>39569</v>
      </c>
      <c r="D4010" s="2" t="s">
        <v>39570</v>
      </c>
      <c r="E4010" s="2" t="s">
        <v>39571</v>
      </c>
      <c r="G4010" s="3" t="s">
        <v>64</v>
      </c>
      <c r="I4010" s="3" t="s">
        <v>64</v>
      </c>
      <c r="J4010" s="3" t="s">
        <v>64</v>
      </c>
      <c r="K4010" s="3" t="s">
        <v>65</v>
      </c>
      <c r="L4010" s="2" t="s">
        <v>39572</v>
      </c>
      <c r="M4010" s="2" t="s">
        <v>39573</v>
      </c>
      <c r="N4010" s="3" t="s">
        <v>1047</v>
      </c>
      <c r="P4010" s="3" t="s">
        <v>102</v>
      </c>
      <c r="R4010" s="3" t="s">
        <v>70</v>
      </c>
      <c r="S4010" s="4">
        <v>2</v>
      </c>
      <c r="T4010" s="4">
        <v>2</v>
      </c>
      <c r="U4010" s="5" t="s">
        <v>29719</v>
      </c>
      <c r="V4010" s="5" t="s">
        <v>29719</v>
      </c>
      <c r="W4010" s="5" t="s">
        <v>72</v>
      </c>
      <c r="X4010" s="5" t="s">
        <v>72</v>
      </c>
      <c r="Y4010" s="4">
        <v>71</v>
      </c>
      <c r="Z4010" s="4">
        <v>7</v>
      </c>
      <c r="AA4010" s="4">
        <v>8</v>
      </c>
      <c r="AB4010" s="4">
        <v>1</v>
      </c>
      <c r="AC4010" s="4">
        <v>2</v>
      </c>
      <c r="AD4010" s="4">
        <v>34</v>
      </c>
      <c r="AE4010" s="4">
        <v>35</v>
      </c>
      <c r="AF4010" s="4">
        <v>0</v>
      </c>
      <c r="AG4010" s="4">
        <v>1</v>
      </c>
      <c r="AH4010" s="4">
        <v>29</v>
      </c>
      <c r="AI4010" s="4">
        <v>30</v>
      </c>
      <c r="AJ4010" s="4">
        <v>2</v>
      </c>
      <c r="AK4010" s="4">
        <v>3</v>
      </c>
      <c r="AL4010" s="4">
        <v>23</v>
      </c>
      <c r="AM4010" s="4">
        <v>23</v>
      </c>
      <c r="AN4010" s="4">
        <v>0</v>
      </c>
      <c r="AO4010" s="4">
        <v>0</v>
      </c>
      <c r="AP4010" s="4">
        <v>4</v>
      </c>
      <c r="AQ4010" s="4">
        <v>5</v>
      </c>
      <c r="AR4010" s="3" t="s">
        <v>64</v>
      </c>
      <c r="AS4010" s="3" t="s">
        <v>64</v>
      </c>
      <c r="AT4010" s="3" t="s">
        <v>64</v>
      </c>
      <c r="AV4010" s="6" t="str">
        <f>HYPERLINK("http://mcgill.on.worldcat.org/oclc/8784997","Catalog Record")</f>
        <v>Catalog Record</v>
      </c>
      <c r="AW4010" s="6" t="str">
        <f>HYPERLINK("http://www.worldcat.org/oclc/8784997","WorldCat Record")</f>
        <v>WorldCat Record</v>
      </c>
      <c r="AX4010" s="3" t="s">
        <v>39574</v>
      </c>
      <c r="AY4010" s="3" t="s">
        <v>39575</v>
      </c>
      <c r="AZ4010" s="3" t="s">
        <v>39576</v>
      </c>
      <c r="BA4010" s="3" t="s">
        <v>39576</v>
      </c>
      <c r="BB4010" s="3" t="s">
        <v>39577</v>
      </c>
      <c r="BC4010" s="3" t="s">
        <v>77</v>
      </c>
      <c r="BD4010" s="3" t="s">
        <v>78</v>
      </c>
      <c r="BF4010" s="3" t="s">
        <v>39577</v>
      </c>
      <c r="BG4010" s="3" t="s">
        <v>39578</v>
      </c>
      <c r="BH4010">
        <f t="shared" si="104"/>
        <v>0</v>
      </c>
    </row>
    <row r="4011" spans="1:60" ht="58" x14ac:dyDescent="0.35">
      <c r="A4011" s="2" t="s">
        <v>59</v>
      </c>
      <c r="B4011" s="2" t="s">
        <v>6744</v>
      </c>
      <c r="C4011" s="2" t="s">
        <v>39579</v>
      </c>
      <c r="D4011" s="2" t="s">
        <v>39580</v>
      </c>
      <c r="E4011" s="2" t="s">
        <v>39581</v>
      </c>
      <c r="G4011" s="3" t="s">
        <v>64</v>
      </c>
      <c r="I4011" s="3" t="s">
        <v>128</v>
      </c>
      <c r="J4011" s="3" t="s">
        <v>64</v>
      </c>
      <c r="K4011" s="3" t="s">
        <v>65</v>
      </c>
      <c r="L4011" s="2" t="s">
        <v>39582</v>
      </c>
      <c r="M4011" s="2" t="s">
        <v>39583</v>
      </c>
      <c r="N4011" s="3" t="s">
        <v>4548</v>
      </c>
      <c r="P4011" s="3" t="s">
        <v>102</v>
      </c>
      <c r="Q4011" s="2" t="s">
        <v>39584</v>
      </c>
      <c r="R4011" s="3" t="s">
        <v>70</v>
      </c>
      <c r="S4011" s="4">
        <v>0</v>
      </c>
      <c r="T4011" s="4">
        <v>2</v>
      </c>
      <c r="V4011" s="5" t="s">
        <v>14833</v>
      </c>
      <c r="W4011" s="5" t="s">
        <v>72</v>
      </c>
      <c r="X4011" s="5" t="s">
        <v>72</v>
      </c>
      <c r="Y4011" s="4">
        <v>89</v>
      </c>
      <c r="Z4011" s="4">
        <v>38</v>
      </c>
      <c r="AA4011" s="4">
        <v>44</v>
      </c>
      <c r="AB4011" s="4">
        <v>2</v>
      </c>
      <c r="AC4011" s="4">
        <v>5</v>
      </c>
      <c r="AD4011" s="4">
        <v>54</v>
      </c>
      <c r="AE4011" s="4">
        <v>61</v>
      </c>
      <c r="AF4011" s="4">
        <v>0</v>
      </c>
      <c r="AG4011" s="4">
        <v>3</v>
      </c>
      <c r="AH4011" s="4">
        <v>37</v>
      </c>
      <c r="AI4011" s="4">
        <v>39</v>
      </c>
      <c r="AJ4011" s="4">
        <v>18</v>
      </c>
      <c r="AK4011" s="4">
        <v>22</v>
      </c>
      <c r="AL4011" s="4">
        <v>18</v>
      </c>
      <c r="AM4011" s="4">
        <v>18</v>
      </c>
      <c r="AN4011" s="4">
        <v>0</v>
      </c>
      <c r="AO4011" s="4">
        <v>0</v>
      </c>
      <c r="AP4011" s="4">
        <v>27</v>
      </c>
      <c r="AQ4011" s="4">
        <v>32</v>
      </c>
      <c r="AR4011" s="3" t="s">
        <v>128</v>
      </c>
      <c r="AS4011" s="3" t="s">
        <v>64</v>
      </c>
      <c r="AT4011" s="3" t="s">
        <v>64</v>
      </c>
      <c r="AV4011" s="6" t="str">
        <f>HYPERLINK("http://mcgill.on.worldcat.org/oclc/1277050","Catalog Record")</f>
        <v>Catalog Record</v>
      </c>
      <c r="AW4011" s="6" t="str">
        <f>HYPERLINK("http://www.worldcat.org/oclc/1277050","WorldCat Record")</f>
        <v>WorldCat Record</v>
      </c>
      <c r="AX4011" s="3" t="s">
        <v>39585</v>
      </c>
      <c r="AY4011" s="3" t="s">
        <v>39586</v>
      </c>
      <c r="AZ4011" s="3" t="s">
        <v>39587</v>
      </c>
      <c r="BA4011" s="3" t="s">
        <v>39587</v>
      </c>
      <c r="BB4011" s="3" t="s">
        <v>39588</v>
      </c>
      <c r="BC4011" s="3" t="s">
        <v>77</v>
      </c>
      <c r="BD4011" s="3" t="s">
        <v>78</v>
      </c>
      <c r="BF4011" s="3" t="s">
        <v>39588</v>
      </c>
      <c r="BG4011" s="3" t="s">
        <v>39589</v>
      </c>
      <c r="BH4011">
        <f t="shared" si="104"/>
        <v>0</v>
      </c>
    </row>
    <row r="4012" spans="1:60" ht="58" x14ac:dyDescent="0.35">
      <c r="A4012" s="2" t="s">
        <v>59</v>
      </c>
      <c r="B4012" s="2" t="s">
        <v>60</v>
      </c>
      <c r="C4012" s="2" t="s">
        <v>39579</v>
      </c>
      <c r="D4012" s="2" t="s">
        <v>39580</v>
      </c>
      <c r="E4012" s="2" t="s">
        <v>39581</v>
      </c>
      <c r="G4012" s="3" t="s">
        <v>64</v>
      </c>
      <c r="I4012" s="3" t="s">
        <v>128</v>
      </c>
      <c r="J4012" s="3" t="s">
        <v>64</v>
      </c>
      <c r="K4012" s="3" t="s">
        <v>65</v>
      </c>
      <c r="L4012" s="2" t="s">
        <v>39582</v>
      </c>
      <c r="M4012" s="2" t="s">
        <v>39583</v>
      </c>
      <c r="N4012" s="3" t="s">
        <v>4548</v>
      </c>
      <c r="P4012" s="3" t="s">
        <v>102</v>
      </c>
      <c r="Q4012" s="2" t="s">
        <v>39584</v>
      </c>
      <c r="R4012" s="3" t="s">
        <v>70</v>
      </c>
      <c r="S4012" s="4">
        <v>2</v>
      </c>
      <c r="T4012" s="4">
        <v>2</v>
      </c>
      <c r="U4012" s="5" t="s">
        <v>14833</v>
      </c>
      <c r="V4012" s="5" t="s">
        <v>14833</v>
      </c>
      <c r="W4012" s="5" t="s">
        <v>72</v>
      </c>
      <c r="X4012" s="5" t="s">
        <v>72</v>
      </c>
      <c r="Y4012" s="4">
        <v>89</v>
      </c>
      <c r="Z4012" s="4">
        <v>38</v>
      </c>
      <c r="AA4012" s="4">
        <v>44</v>
      </c>
      <c r="AB4012" s="4">
        <v>2</v>
      </c>
      <c r="AC4012" s="4">
        <v>5</v>
      </c>
      <c r="AD4012" s="4">
        <v>54</v>
      </c>
      <c r="AE4012" s="4">
        <v>61</v>
      </c>
      <c r="AF4012" s="4">
        <v>0</v>
      </c>
      <c r="AG4012" s="4">
        <v>3</v>
      </c>
      <c r="AH4012" s="4">
        <v>37</v>
      </c>
      <c r="AI4012" s="4">
        <v>39</v>
      </c>
      <c r="AJ4012" s="4">
        <v>18</v>
      </c>
      <c r="AK4012" s="4">
        <v>22</v>
      </c>
      <c r="AL4012" s="4">
        <v>18</v>
      </c>
      <c r="AM4012" s="4">
        <v>18</v>
      </c>
      <c r="AN4012" s="4">
        <v>0</v>
      </c>
      <c r="AO4012" s="4">
        <v>0</v>
      </c>
      <c r="AP4012" s="4">
        <v>27</v>
      </c>
      <c r="AQ4012" s="4">
        <v>32</v>
      </c>
      <c r="AR4012" s="3" t="s">
        <v>128</v>
      </c>
      <c r="AS4012" s="3" t="s">
        <v>64</v>
      </c>
      <c r="AT4012" s="3" t="s">
        <v>64</v>
      </c>
      <c r="AV4012" s="6" t="str">
        <f>HYPERLINK("http://mcgill.on.worldcat.org/oclc/1277050","Catalog Record")</f>
        <v>Catalog Record</v>
      </c>
      <c r="AW4012" s="6" t="str">
        <f>HYPERLINK("http://www.worldcat.org/oclc/1277050","WorldCat Record")</f>
        <v>WorldCat Record</v>
      </c>
      <c r="AX4012" s="3" t="s">
        <v>39585</v>
      </c>
      <c r="AY4012" s="3" t="s">
        <v>39586</v>
      </c>
      <c r="AZ4012" s="3" t="s">
        <v>39587</v>
      </c>
      <c r="BA4012" s="3" t="s">
        <v>39587</v>
      </c>
      <c r="BB4012" s="3" t="s">
        <v>39590</v>
      </c>
      <c r="BC4012" s="3" t="s">
        <v>77</v>
      </c>
      <c r="BD4012" s="3" t="s">
        <v>78</v>
      </c>
      <c r="BF4012" s="3" t="s">
        <v>39590</v>
      </c>
      <c r="BG4012" s="3" t="s">
        <v>39591</v>
      </c>
      <c r="BH4012">
        <f t="shared" si="104"/>
        <v>0</v>
      </c>
    </row>
    <row r="4013" spans="1:60" ht="58" x14ac:dyDescent="0.35">
      <c r="A4013" s="2" t="s">
        <v>59</v>
      </c>
      <c r="B4013" s="2" t="s">
        <v>6744</v>
      </c>
      <c r="C4013" s="2" t="s">
        <v>39579</v>
      </c>
      <c r="D4013" s="2" t="s">
        <v>39580</v>
      </c>
      <c r="E4013" s="2" t="s">
        <v>39581</v>
      </c>
      <c r="G4013" s="3" t="s">
        <v>64</v>
      </c>
      <c r="I4013" s="3" t="s">
        <v>128</v>
      </c>
      <c r="J4013" s="3" t="s">
        <v>64</v>
      </c>
      <c r="K4013" s="3" t="s">
        <v>65</v>
      </c>
      <c r="L4013" s="2" t="s">
        <v>39582</v>
      </c>
      <c r="M4013" s="2" t="s">
        <v>39583</v>
      </c>
      <c r="N4013" s="3" t="s">
        <v>4548</v>
      </c>
      <c r="P4013" s="3" t="s">
        <v>102</v>
      </c>
      <c r="Q4013" s="2" t="s">
        <v>39584</v>
      </c>
      <c r="R4013" s="3" t="s">
        <v>70</v>
      </c>
      <c r="S4013" s="4">
        <v>0</v>
      </c>
      <c r="T4013" s="4">
        <v>2</v>
      </c>
      <c r="V4013" s="5" t="s">
        <v>14833</v>
      </c>
      <c r="W4013" s="5" t="s">
        <v>72</v>
      </c>
      <c r="X4013" s="5" t="s">
        <v>72</v>
      </c>
      <c r="Y4013" s="4">
        <v>89</v>
      </c>
      <c r="Z4013" s="4">
        <v>38</v>
      </c>
      <c r="AA4013" s="4">
        <v>44</v>
      </c>
      <c r="AB4013" s="4">
        <v>2</v>
      </c>
      <c r="AC4013" s="4">
        <v>5</v>
      </c>
      <c r="AD4013" s="4">
        <v>54</v>
      </c>
      <c r="AE4013" s="4">
        <v>61</v>
      </c>
      <c r="AF4013" s="4">
        <v>0</v>
      </c>
      <c r="AG4013" s="4">
        <v>3</v>
      </c>
      <c r="AH4013" s="4">
        <v>37</v>
      </c>
      <c r="AI4013" s="4">
        <v>39</v>
      </c>
      <c r="AJ4013" s="4">
        <v>18</v>
      </c>
      <c r="AK4013" s="4">
        <v>22</v>
      </c>
      <c r="AL4013" s="4">
        <v>18</v>
      </c>
      <c r="AM4013" s="4">
        <v>18</v>
      </c>
      <c r="AN4013" s="4">
        <v>0</v>
      </c>
      <c r="AO4013" s="4">
        <v>0</v>
      </c>
      <c r="AP4013" s="4">
        <v>27</v>
      </c>
      <c r="AQ4013" s="4">
        <v>32</v>
      </c>
      <c r="AR4013" s="3" t="s">
        <v>128</v>
      </c>
      <c r="AS4013" s="3" t="s">
        <v>64</v>
      </c>
      <c r="AT4013" s="3" t="s">
        <v>64</v>
      </c>
      <c r="AV4013" s="6" t="str">
        <f>HYPERLINK("http://mcgill.on.worldcat.org/oclc/1277050","Catalog Record")</f>
        <v>Catalog Record</v>
      </c>
      <c r="AW4013" s="6" t="str">
        <f>HYPERLINK("http://www.worldcat.org/oclc/1277050","WorldCat Record")</f>
        <v>WorldCat Record</v>
      </c>
      <c r="AX4013" s="3" t="s">
        <v>39585</v>
      </c>
      <c r="AY4013" s="3" t="s">
        <v>39586</v>
      </c>
      <c r="AZ4013" s="3" t="s">
        <v>39587</v>
      </c>
      <c r="BA4013" s="3" t="s">
        <v>39587</v>
      </c>
      <c r="BB4013" s="3" t="s">
        <v>39592</v>
      </c>
      <c r="BC4013" s="3" t="s">
        <v>77</v>
      </c>
      <c r="BD4013" s="3" t="s">
        <v>78</v>
      </c>
      <c r="BF4013" s="3" t="s">
        <v>39592</v>
      </c>
      <c r="BG4013" s="3" t="s">
        <v>39593</v>
      </c>
      <c r="BH4013">
        <f t="shared" si="104"/>
        <v>0</v>
      </c>
    </row>
    <row r="4014" spans="1:60" ht="130.5" x14ac:dyDescent="0.35">
      <c r="A4014" s="2" t="s">
        <v>59</v>
      </c>
      <c r="B4014" s="2" t="s">
        <v>39594</v>
      </c>
      <c r="C4014" s="2" t="s">
        <v>39595</v>
      </c>
      <c r="D4014" s="2" t="s">
        <v>39596</v>
      </c>
      <c r="E4014" s="2" t="s">
        <v>39597</v>
      </c>
      <c r="G4014" s="3" t="s">
        <v>64</v>
      </c>
      <c r="I4014" s="3" t="s">
        <v>64</v>
      </c>
      <c r="J4014" s="3" t="s">
        <v>64</v>
      </c>
      <c r="K4014" s="3" t="s">
        <v>65</v>
      </c>
      <c r="L4014" s="2" t="s">
        <v>39598</v>
      </c>
      <c r="M4014" s="2" t="s">
        <v>39599</v>
      </c>
      <c r="N4014" s="3" t="s">
        <v>116</v>
      </c>
      <c r="O4014" s="2" t="s">
        <v>2994</v>
      </c>
      <c r="P4014" s="3" t="s">
        <v>102</v>
      </c>
      <c r="R4014" s="3" t="s">
        <v>70</v>
      </c>
      <c r="S4014" s="4">
        <v>1</v>
      </c>
      <c r="T4014" s="4">
        <v>1</v>
      </c>
      <c r="U4014" s="5" t="s">
        <v>8446</v>
      </c>
      <c r="V4014" s="5" t="s">
        <v>8446</v>
      </c>
      <c r="W4014" s="5" t="s">
        <v>72</v>
      </c>
      <c r="X4014" s="5" t="s">
        <v>72</v>
      </c>
      <c r="Y4014" s="4">
        <v>596</v>
      </c>
      <c r="Z4014" s="4">
        <v>20</v>
      </c>
      <c r="AA4014" s="4">
        <v>22</v>
      </c>
      <c r="AB4014" s="4">
        <v>3</v>
      </c>
      <c r="AC4014" s="4">
        <v>5</v>
      </c>
      <c r="AD4014" s="4">
        <v>103</v>
      </c>
      <c r="AE4014" s="4">
        <v>105</v>
      </c>
      <c r="AF4014" s="4">
        <v>1</v>
      </c>
      <c r="AG4014" s="4">
        <v>3</v>
      </c>
      <c r="AH4014" s="4">
        <v>92</v>
      </c>
      <c r="AI4014" s="4">
        <v>93</v>
      </c>
      <c r="AJ4014" s="4">
        <v>14</v>
      </c>
      <c r="AK4014" s="4">
        <v>16</v>
      </c>
      <c r="AL4014" s="4">
        <v>52</v>
      </c>
      <c r="AM4014" s="4">
        <v>52</v>
      </c>
      <c r="AN4014" s="4">
        <v>0</v>
      </c>
      <c r="AO4014" s="4">
        <v>0</v>
      </c>
      <c r="AP4014" s="4">
        <v>13</v>
      </c>
      <c r="AQ4014" s="4">
        <v>15</v>
      </c>
      <c r="AR4014" s="3" t="s">
        <v>64</v>
      </c>
      <c r="AS4014" s="3" t="s">
        <v>64</v>
      </c>
      <c r="AT4014" s="3" t="s">
        <v>64</v>
      </c>
      <c r="AV4014" s="6" t="str">
        <f>HYPERLINK("http://mcgill.on.worldcat.org/oclc/44263349","Catalog Record")</f>
        <v>Catalog Record</v>
      </c>
      <c r="AW4014" s="6" t="str">
        <f>HYPERLINK("http://www.worldcat.org/oclc/44263349","WorldCat Record")</f>
        <v>WorldCat Record</v>
      </c>
      <c r="AX4014" s="3" t="s">
        <v>39600</v>
      </c>
      <c r="AY4014" s="3" t="s">
        <v>39601</v>
      </c>
      <c r="AZ4014" s="3" t="s">
        <v>39602</v>
      </c>
      <c r="BA4014" s="3" t="s">
        <v>39602</v>
      </c>
      <c r="BB4014" s="3" t="s">
        <v>39603</v>
      </c>
      <c r="BC4014" s="3" t="s">
        <v>77</v>
      </c>
      <c r="BD4014" s="3" t="s">
        <v>78</v>
      </c>
      <c r="BE4014" s="3" t="s">
        <v>39604</v>
      </c>
      <c r="BF4014" s="3" t="s">
        <v>39603</v>
      </c>
      <c r="BG4014" s="3" t="s">
        <v>39605</v>
      </c>
      <c r="BH4014">
        <f t="shared" si="104"/>
        <v>0</v>
      </c>
    </row>
    <row r="4015" spans="1:60" ht="58" x14ac:dyDescent="0.35">
      <c r="A4015" s="2" t="s">
        <v>59</v>
      </c>
      <c r="B4015" s="2" t="s">
        <v>60</v>
      </c>
      <c r="C4015" s="2" t="s">
        <v>39606</v>
      </c>
      <c r="D4015" s="2" t="s">
        <v>39607</v>
      </c>
      <c r="E4015" s="2" t="s">
        <v>39608</v>
      </c>
      <c r="G4015" s="3" t="s">
        <v>64</v>
      </c>
      <c r="I4015" s="3" t="s">
        <v>64</v>
      </c>
      <c r="J4015" s="3" t="s">
        <v>64</v>
      </c>
      <c r="K4015" s="3" t="s">
        <v>65</v>
      </c>
      <c r="L4015" s="2" t="s">
        <v>39609</v>
      </c>
      <c r="M4015" s="2" t="s">
        <v>39610</v>
      </c>
      <c r="N4015" s="3" t="s">
        <v>1075</v>
      </c>
      <c r="P4015" s="3" t="s">
        <v>102</v>
      </c>
      <c r="R4015" s="3" t="s">
        <v>70</v>
      </c>
      <c r="S4015" s="4">
        <v>0</v>
      </c>
      <c r="T4015" s="4">
        <v>0</v>
      </c>
      <c r="W4015" s="5" t="s">
        <v>72</v>
      </c>
      <c r="X4015" s="5" t="s">
        <v>72</v>
      </c>
      <c r="Y4015" s="4">
        <v>170</v>
      </c>
      <c r="Z4015" s="4">
        <v>6</v>
      </c>
      <c r="AA4015" s="4">
        <v>6</v>
      </c>
      <c r="AB4015" s="4">
        <v>1</v>
      </c>
      <c r="AC4015" s="4">
        <v>1</v>
      </c>
      <c r="AD4015" s="4">
        <v>57</v>
      </c>
      <c r="AE4015" s="4">
        <v>58</v>
      </c>
      <c r="AF4015" s="4">
        <v>0</v>
      </c>
      <c r="AG4015" s="4">
        <v>0</v>
      </c>
      <c r="AH4015" s="4">
        <v>53</v>
      </c>
      <c r="AI4015" s="4">
        <v>54</v>
      </c>
      <c r="AJ4015" s="4">
        <v>5</v>
      </c>
      <c r="AK4015" s="4">
        <v>5</v>
      </c>
      <c r="AL4015" s="4">
        <v>31</v>
      </c>
      <c r="AM4015" s="4">
        <v>32</v>
      </c>
      <c r="AN4015" s="4">
        <v>0</v>
      </c>
      <c r="AO4015" s="4">
        <v>0</v>
      </c>
      <c r="AP4015" s="4">
        <v>5</v>
      </c>
      <c r="AQ4015" s="4">
        <v>5</v>
      </c>
      <c r="AR4015" s="3" t="s">
        <v>64</v>
      </c>
      <c r="AS4015" s="3" t="s">
        <v>64</v>
      </c>
      <c r="AT4015" s="3" t="s">
        <v>64</v>
      </c>
      <c r="AV4015" s="6" t="str">
        <f>HYPERLINK("http://mcgill.on.worldcat.org/oclc/872286704","Catalog Record")</f>
        <v>Catalog Record</v>
      </c>
      <c r="AW4015" s="6" t="str">
        <f>HYPERLINK("http://www.worldcat.org/oclc/872286704","WorldCat Record")</f>
        <v>WorldCat Record</v>
      </c>
      <c r="AX4015" s="3" t="s">
        <v>39611</v>
      </c>
      <c r="AY4015" s="3" t="s">
        <v>39612</v>
      </c>
      <c r="AZ4015" s="3" t="s">
        <v>39613</v>
      </c>
      <c r="BA4015" s="3" t="s">
        <v>39613</v>
      </c>
      <c r="BB4015" s="3" t="s">
        <v>39614</v>
      </c>
      <c r="BC4015" s="3" t="s">
        <v>77</v>
      </c>
      <c r="BD4015" s="3" t="s">
        <v>78</v>
      </c>
      <c r="BE4015" s="3" t="s">
        <v>39615</v>
      </c>
      <c r="BF4015" s="3" t="s">
        <v>39614</v>
      </c>
      <c r="BG4015" s="3" t="s">
        <v>39616</v>
      </c>
      <c r="BH4015">
        <f t="shared" si="104"/>
        <v>0</v>
      </c>
    </row>
    <row r="4016" spans="1:60" ht="58" x14ac:dyDescent="0.35">
      <c r="A4016" s="2" t="s">
        <v>59</v>
      </c>
      <c r="B4016" s="2" t="s">
        <v>60</v>
      </c>
      <c r="C4016" s="2" t="s">
        <v>39617</v>
      </c>
      <c r="D4016" s="2" t="s">
        <v>39618</v>
      </c>
      <c r="E4016" s="2" t="s">
        <v>39619</v>
      </c>
      <c r="G4016" s="3" t="s">
        <v>64</v>
      </c>
      <c r="I4016" s="3" t="s">
        <v>64</v>
      </c>
      <c r="J4016" s="3" t="s">
        <v>64</v>
      </c>
      <c r="K4016" s="3" t="s">
        <v>65</v>
      </c>
      <c r="L4016" s="2" t="s">
        <v>39620</v>
      </c>
      <c r="M4016" s="2" t="s">
        <v>39621</v>
      </c>
      <c r="N4016" s="3" t="s">
        <v>1075</v>
      </c>
      <c r="O4016" s="2" t="s">
        <v>39622</v>
      </c>
      <c r="P4016" s="3" t="s">
        <v>102</v>
      </c>
      <c r="R4016" s="3" t="s">
        <v>70</v>
      </c>
      <c r="S4016" s="4">
        <v>0</v>
      </c>
      <c r="T4016" s="4">
        <v>0</v>
      </c>
      <c r="W4016" s="5" t="s">
        <v>72</v>
      </c>
      <c r="X4016" s="5" t="s">
        <v>72</v>
      </c>
      <c r="Y4016" s="4">
        <v>66</v>
      </c>
      <c r="Z4016" s="4">
        <v>5</v>
      </c>
      <c r="AA4016" s="4">
        <v>8</v>
      </c>
      <c r="AB4016" s="4">
        <v>1</v>
      </c>
      <c r="AC4016" s="4">
        <v>3</v>
      </c>
      <c r="AD4016" s="4">
        <v>29</v>
      </c>
      <c r="AE4016" s="4">
        <v>33</v>
      </c>
      <c r="AF4016" s="4">
        <v>0</v>
      </c>
      <c r="AG4016" s="4">
        <v>0</v>
      </c>
      <c r="AH4016" s="4">
        <v>27</v>
      </c>
      <c r="AI4016" s="4">
        <v>31</v>
      </c>
      <c r="AJ4016" s="4">
        <v>2</v>
      </c>
      <c r="AK4016" s="4">
        <v>3</v>
      </c>
      <c r="AL4016" s="4">
        <v>22</v>
      </c>
      <c r="AM4016" s="4">
        <v>25</v>
      </c>
      <c r="AN4016" s="4">
        <v>0</v>
      </c>
      <c r="AO4016" s="4">
        <v>0</v>
      </c>
      <c r="AP4016" s="4">
        <v>2</v>
      </c>
      <c r="AQ4016" s="4">
        <v>3</v>
      </c>
      <c r="AR4016" s="3" t="s">
        <v>64</v>
      </c>
      <c r="AS4016" s="3" t="s">
        <v>64</v>
      </c>
      <c r="AT4016" s="3" t="s">
        <v>64</v>
      </c>
      <c r="AV4016" s="6" t="str">
        <f>HYPERLINK("http://mcgill.on.worldcat.org/oclc/795909493","Catalog Record")</f>
        <v>Catalog Record</v>
      </c>
      <c r="AW4016" s="6" t="str">
        <f>HYPERLINK("http://www.worldcat.org/oclc/795909493","WorldCat Record")</f>
        <v>WorldCat Record</v>
      </c>
      <c r="AX4016" s="3" t="s">
        <v>39623</v>
      </c>
      <c r="AY4016" s="3" t="s">
        <v>39624</v>
      </c>
      <c r="AZ4016" s="3" t="s">
        <v>39625</v>
      </c>
      <c r="BA4016" s="3" t="s">
        <v>39625</v>
      </c>
      <c r="BB4016" s="3" t="s">
        <v>39626</v>
      </c>
      <c r="BC4016" s="3" t="s">
        <v>77</v>
      </c>
      <c r="BD4016" s="3" t="s">
        <v>78</v>
      </c>
      <c r="BE4016" s="3" t="s">
        <v>39627</v>
      </c>
      <c r="BF4016" s="3" t="s">
        <v>39626</v>
      </c>
      <c r="BG4016" s="3" t="s">
        <v>39628</v>
      </c>
      <c r="BH4016">
        <f t="shared" si="104"/>
        <v>0</v>
      </c>
    </row>
    <row r="4017" spans="1:60" ht="87" x14ac:dyDescent="0.35">
      <c r="A4017" s="2" t="s">
        <v>6202</v>
      </c>
      <c r="B4017" s="2" t="s">
        <v>38148</v>
      </c>
      <c r="C4017" s="2" t="s">
        <v>39629</v>
      </c>
      <c r="D4017" s="2" t="s">
        <v>39630</v>
      </c>
      <c r="E4017" s="2" t="s">
        <v>39631</v>
      </c>
      <c r="G4017" s="3" t="s">
        <v>64</v>
      </c>
      <c r="I4017" s="3" t="s">
        <v>64</v>
      </c>
      <c r="J4017" s="3" t="s">
        <v>64</v>
      </c>
      <c r="K4017" s="3" t="s">
        <v>65</v>
      </c>
      <c r="L4017" s="2" t="s">
        <v>39632</v>
      </c>
      <c r="M4017" s="2" t="s">
        <v>39633</v>
      </c>
      <c r="N4017" s="3" t="s">
        <v>434</v>
      </c>
      <c r="P4017" s="3" t="s">
        <v>102</v>
      </c>
      <c r="R4017" s="3" t="s">
        <v>70</v>
      </c>
      <c r="S4017" s="4">
        <v>2</v>
      </c>
      <c r="T4017" s="4">
        <v>2</v>
      </c>
      <c r="U4017" s="5" t="s">
        <v>29908</v>
      </c>
      <c r="V4017" s="5" t="s">
        <v>29908</v>
      </c>
      <c r="W4017" s="5" t="s">
        <v>72</v>
      </c>
      <c r="X4017" s="5" t="s">
        <v>72</v>
      </c>
      <c r="Y4017" s="4">
        <v>138</v>
      </c>
      <c r="Z4017" s="4">
        <v>4</v>
      </c>
      <c r="AA4017" s="4">
        <v>73</v>
      </c>
      <c r="AB4017" s="4">
        <v>1</v>
      </c>
      <c r="AC4017" s="4">
        <v>14</v>
      </c>
      <c r="AD4017" s="4">
        <v>59</v>
      </c>
      <c r="AE4017" s="4">
        <v>112</v>
      </c>
      <c r="AF4017" s="4">
        <v>0</v>
      </c>
      <c r="AG4017" s="4">
        <v>8</v>
      </c>
      <c r="AH4017" s="4">
        <v>57</v>
      </c>
      <c r="AI4017" s="4">
        <v>81</v>
      </c>
      <c r="AJ4017" s="4">
        <v>2</v>
      </c>
      <c r="AK4017" s="4">
        <v>17</v>
      </c>
      <c r="AL4017" s="4">
        <v>33</v>
      </c>
      <c r="AM4017" s="4">
        <v>43</v>
      </c>
      <c r="AN4017" s="4">
        <v>0</v>
      </c>
      <c r="AO4017" s="4">
        <v>0</v>
      </c>
      <c r="AP4017" s="4">
        <v>2</v>
      </c>
      <c r="AQ4017" s="4">
        <v>37</v>
      </c>
      <c r="AR4017" s="3" t="s">
        <v>64</v>
      </c>
      <c r="AS4017" s="3" t="s">
        <v>64</v>
      </c>
      <c r="AT4017" s="3" t="s">
        <v>64</v>
      </c>
      <c r="AV4017" s="6" t="str">
        <f>HYPERLINK("http://mcgill.on.worldcat.org/oclc/60668963","Catalog Record")</f>
        <v>Catalog Record</v>
      </c>
      <c r="AW4017" s="6" t="str">
        <f>HYPERLINK("http://www.worldcat.org/oclc/60668963","WorldCat Record")</f>
        <v>WorldCat Record</v>
      </c>
      <c r="AX4017" s="3" t="s">
        <v>39634</v>
      </c>
      <c r="AY4017" s="3" t="s">
        <v>39635</v>
      </c>
      <c r="AZ4017" s="3" t="s">
        <v>39636</v>
      </c>
      <c r="BA4017" s="3" t="s">
        <v>39636</v>
      </c>
      <c r="BB4017" s="3" t="s">
        <v>39637</v>
      </c>
      <c r="BC4017" s="3" t="s">
        <v>77</v>
      </c>
      <c r="BD4017" s="3" t="s">
        <v>78</v>
      </c>
      <c r="BE4017" s="3" t="s">
        <v>39638</v>
      </c>
      <c r="BF4017" s="3" t="s">
        <v>39637</v>
      </c>
      <c r="BG4017" s="3" t="s">
        <v>39639</v>
      </c>
      <c r="BH4017">
        <f t="shared" si="104"/>
        <v>0</v>
      </c>
    </row>
    <row r="4018" spans="1:60" ht="58" x14ac:dyDescent="0.35">
      <c r="A4018" s="2" t="s">
        <v>59</v>
      </c>
      <c r="B4018" s="2" t="s">
        <v>60</v>
      </c>
      <c r="C4018" s="2" t="s">
        <v>39640</v>
      </c>
      <c r="D4018" s="2" t="s">
        <v>39641</v>
      </c>
      <c r="E4018" s="2" t="s">
        <v>39642</v>
      </c>
      <c r="G4018" s="3" t="s">
        <v>64</v>
      </c>
      <c r="I4018" s="3" t="s">
        <v>64</v>
      </c>
      <c r="J4018" s="3" t="s">
        <v>64</v>
      </c>
      <c r="K4018" s="3" t="s">
        <v>65</v>
      </c>
      <c r="L4018" s="2" t="s">
        <v>39643</v>
      </c>
      <c r="M4018" s="2" t="s">
        <v>39644</v>
      </c>
      <c r="N4018" s="3" t="s">
        <v>86</v>
      </c>
      <c r="P4018" s="3" t="s">
        <v>102</v>
      </c>
      <c r="Q4018" s="2" t="s">
        <v>39645</v>
      </c>
      <c r="R4018" s="3" t="s">
        <v>70</v>
      </c>
      <c r="S4018" s="4">
        <v>0</v>
      </c>
      <c r="T4018" s="4">
        <v>0</v>
      </c>
      <c r="W4018" s="5" t="s">
        <v>72</v>
      </c>
      <c r="X4018" s="5" t="s">
        <v>72</v>
      </c>
      <c r="Y4018" s="4">
        <v>148</v>
      </c>
      <c r="Z4018" s="4">
        <v>11</v>
      </c>
      <c r="AA4018" s="4">
        <v>11</v>
      </c>
      <c r="AB4018" s="4">
        <v>1</v>
      </c>
      <c r="AC4018" s="4">
        <v>1</v>
      </c>
      <c r="AD4018" s="4">
        <v>61</v>
      </c>
      <c r="AE4018" s="4">
        <v>62</v>
      </c>
      <c r="AF4018" s="4">
        <v>0</v>
      </c>
      <c r="AG4018" s="4">
        <v>0</v>
      </c>
      <c r="AH4018" s="4">
        <v>57</v>
      </c>
      <c r="AI4018" s="4">
        <v>58</v>
      </c>
      <c r="AJ4018" s="4">
        <v>8</v>
      </c>
      <c r="AK4018" s="4">
        <v>8</v>
      </c>
      <c r="AL4018" s="4">
        <v>36</v>
      </c>
      <c r="AM4018" s="4">
        <v>37</v>
      </c>
      <c r="AN4018" s="4">
        <v>0</v>
      </c>
      <c r="AO4018" s="4">
        <v>0</v>
      </c>
      <c r="AP4018" s="4">
        <v>8</v>
      </c>
      <c r="AQ4018" s="4">
        <v>8</v>
      </c>
      <c r="AR4018" s="3" t="s">
        <v>64</v>
      </c>
      <c r="AS4018" s="3" t="s">
        <v>64</v>
      </c>
      <c r="AT4018" s="3" t="s">
        <v>64</v>
      </c>
      <c r="AV4018" s="6" t="str">
        <f>HYPERLINK("http://mcgill.on.worldcat.org/oclc/761481957","Catalog Record")</f>
        <v>Catalog Record</v>
      </c>
      <c r="AW4018" s="6" t="str">
        <f>HYPERLINK("http://www.worldcat.org/oclc/761481957","WorldCat Record")</f>
        <v>WorldCat Record</v>
      </c>
      <c r="AX4018" s="3" t="s">
        <v>39646</v>
      </c>
      <c r="AY4018" s="3" t="s">
        <v>39647</v>
      </c>
      <c r="AZ4018" s="3" t="s">
        <v>39648</v>
      </c>
      <c r="BA4018" s="3" t="s">
        <v>39648</v>
      </c>
      <c r="BB4018" s="3" t="s">
        <v>39649</v>
      </c>
      <c r="BC4018" s="3" t="s">
        <v>77</v>
      </c>
      <c r="BD4018" s="3" t="s">
        <v>78</v>
      </c>
      <c r="BE4018" s="3" t="s">
        <v>39650</v>
      </c>
      <c r="BF4018" s="3" t="s">
        <v>39649</v>
      </c>
      <c r="BG4018" s="3" t="s">
        <v>39651</v>
      </c>
      <c r="BH4018">
        <f t="shared" si="104"/>
        <v>0</v>
      </c>
    </row>
    <row r="4019" spans="1:60" ht="58" x14ac:dyDescent="0.35">
      <c r="A4019" s="2" t="s">
        <v>59</v>
      </c>
      <c r="B4019" s="2" t="s">
        <v>60</v>
      </c>
      <c r="C4019" s="2" t="s">
        <v>39652</v>
      </c>
      <c r="D4019" s="2" t="s">
        <v>39653</v>
      </c>
      <c r="E4019" s="2" t="s">
        <v>39654</v>
      </c>
      <c r="G4019" s="3" t="s">
        <v>64</v>
      </c>
      <c r="I4019" s="3" t="s">
        <v>64</v>
      </c>
      <c r="J4019" s="3" t="s">
        <v>64</v>
      </c>
      <c r="K4019" s="3" t="s">
        <v>65</v>
      </c>
      <c r="M4019" s="2" t="s">
        <v>39655</v>
      </c>
      <c r="N4019" s="3" t="s">
        <v>159</v>
      </c>
      <c r="P4019" s="3" t="s">
        <v>102</v>
      </c>
      <c r="R4019" s="3" t="s">
        <v>70</v>
      </c>
      <c r="S4019" s="4">
        <v>2</v>
      </c>
      <c r="T4019" s="4">
        <v>2</v>
      </c>
      <c r="U4019" s="5" t="s">
        <v>39656</v>
      </c>
      <c r="V4019" s="5" t="s">
        <v>39656</v>
      </c>
      <c r="W4019" s="5" t="s">
        <v>72</v>
      </c>
      <c r="X4019" s="5" t="s">
        <v>72</v>
      </c>
      <c r="Y4019" s="4">
        <v>844</v>
      </c>
      <c r="Z4019" s="4">
        <v>43</v>
      </c>
      <c r="AA4019" s="4">
        <v>81</v>
      </c>
      <c r="AB4019" s="4">
        <v>3</v>
      </c>
      <c r="AC4019" s="4">
        <v>5</v>
      </c>
      <c r="AD4019" s="4">
        <v>73</v>
      </c>
      <c r="AE4019" s="4">
        <v>99</v>
      </c>
      <c r="AF4019" s="4">
        <v>0</v>
      </c>
      <c r="AG4019" s="4">
        <v>0</v>
      </c>
      <c r="AH4019" s="4">
        <v>68</v>
      </c>
      <c r="AI4019" s="4">
        <v>78</v>
      </c>
      <c r="AJ4019" s="4">
        <v>9</v>
      </c>
      <c r="AK4019" s="4">
        <v>16</v>
      </c>
      <c r="AL4019" s="4">
        <v>36</v>
      </c>
      <c r="AM4019" s="4">
        <v>39</v>
      </c>
      <c r="AN4019" s="4">
        <v>0</v>
      </c>
      <c r="AO4019" s="4">
        <v>0</v>
      </c>
      <c r="AP4019" s="4">
        <v>11</v>
      </c>
      <c r="AQ4019" s="4">
        <v>29</v>
      </c>
      <c r="AR4019" s="3" t="s">
        <v>64</v>
      </c>
      <c r="AS4019" s="3" t="s">
        <v>64</v>
      </c>
      <c r="AT4019" s="3" t="s">
        <v>64</v>
      </c>
      <c r="AV4019" s="6" t="str">
        <f>HYPERLINK("http://mcgill.on.worldcat.org/oclc/50503317","Catalog Record")</f>
        <v>Catalog Record</v>
      </c>
      <c r="AW4019" s="6" t="str">
        <f>HYPERLINK("http://www.worldcat.org/oclc/50503317","WorldCat Record")</f>
        <v>WorldCat Record</v>
      </c>
      <c r="AX4019" s="3" t="s">
        <v>39657</v>
      </c>
      <c r="AY4019" s="3" t="s">
        <v>39658</v>
      </c>
      <c r="AZ4019" s="3" t="s">
        <v>39659</v>
      </c>
      <c r="BA4019" s="3" t="s">
        <v>39659</v>
      </c>
      <c r="BB4019" s="3" t="s">
        <v>39660</v>
      </c>
      <c r="BC4019" s="3" t="s">
        <v>77</v>
      </c>
      <c r="BD4019" s="3" t="s">
        <v>78</v>
      </c>
      <c r="BE4019" s="3" t="s">
        <v>39661</v>
      </c>
      <c r="BF4019" s="3" t="s">
        <v>39660</v>
      </c>
      <c r="BG4019" s="3" t="s">
        <v>39662</v>
      </c>
      <c r="BH4019">
        <f t="shared" si="104"/>
        <v>0</v>
      </c>
    </row>
    <row r="4020" spans="1:60" ht="58" x14ac:dyDescent="0.35">
      <c r="A4020" s="2" t="s">
        <v>59</v>
      </c>
      <c r="B4020" s="2" t="s">
        <v>60</v>
      </c>
      <c r="C4020" s="2" t="s">
        <v>39663</v>
      </c>
      <c r="D4020" s="2" t="s">
        <v>39664</v>
      </c>
      <c r="E4020" s="2" t="s">
        <v>39665</v>
      </c>
      <c r="G4020" s="3" t="s">
        <v>64</v>
      </c>
      <c r="I4020" s="3" t="s">
        <v>64</v>
      </c>
      <c r="J4020" s="3" t="s">
        <v>64</v>
      </c>
      <c r="K4020" s="3" t="s">
        <v>65</v>
      </c>
      <c r="L4020" s="2" t="s">
        <v>24527</v>
      </c>
      <c r="M4020" s="2" t="s">
        <v>21760</v>
      </c>
      <c r="N4020" s="3" t="s">
        <v>101</v>
      </c>
      <c r="O4020" s="2" t="s">
        <v>172</v>
      </c>
      <c r="P4020" s="3" t="s">
        <v>102</v>
      </c>
      <c r="Q4020" s="2" t="s">
        <v>24529</v>
      </c>
      <c r="R4020" s="3" t="s">
        <v>70</v>
      </c>
      <c r="S4020" s="4">
        <v>7</v>
      </c>
      <c r="T4020" s="4">
        <v>7</v>
      </c>
      <c r="U4020" s="5" t="s">
        <v>39139</v>
      </c>
      <c r="V4020" s="5" t="s">
        <v>39139</v>
      </c>
      <c r="W4020" s="5" t="s">
        <v>72</v>
      </c>
      <c r="X4020" s="5" t="s">
        <v>72</v>
      </c>
      <c r="Y4020" s="4">
        <v>558</v>
      </c>
      <c r="Z4020" s="4">
        <v>27</v>
      </c>
      <c r="AA4020" s="4">
        <v>67</v>
      </c>
      <c r="AB4020" s="4">
        <v>2</v>
      </c>
      <c r="AC4020" s="4">
        <v>3</v>
      </c>
      <c r="AD4020" s="4">
        <v>58</v>
      </c>
      <c r="AE4020" s="4">
        <v>96</v>
      </c>
      <c r="AF4020" s="4">
        <v>0</v>
      </c>
      <c r="AG4020" s="4">
        <v>0</v>
      </c>
      <c r="AH4020" s="4">
        <v>56</v>
      </c>
      <c r="AI4020" s="4">
        <v>85</v>
      </c>
      <c r="AJ4020" s="4">
        <v>7</v>
      </c>
      <c r="AK4020" s="4">
        <v>15</v>
      </c>
      <c r="AL4020" s="4">
        <v>26</v>
      </c>
      <c r="AM4020" s="4">
        <v>43</v>
      </c>
      <c r="AN4020" s="4">
        <v>0</v>
      </c>
      <c r="AO4020" s="4">
        <v>0</v>
      </c>
      <c r="AP4020" s="4">
        <v>7</v>
      </c>
      <c r="AQ4020" s="4">
        <v>18</v>
      </c>
      <c r="AR4020" s="3" t="s">
        <v>64</v>
      </c>
      <c r="AS4020" s="3" t="s">
        <v>64</v>
      </c>
      <c r="AT4020" s="3" t="s">
        <v>64</v>
      </c>
      <c r="AV4020" s="6" t="str">
        <f>HYPERLINK("http://mcgill.on.worldcat.org/oclc/52520412","Catalog Record")</f>
        <v>Catalog Record</v>
      </c>
      <c r="AW4020" s="6" t="str">
        <f>HYPERLINK("http://www.worldcat.org/oclc/52520412","WorldCat Record")</f>
        <v>WorldCat Record</v>
      </c>
      <c r="AX4020" s="3" t="s">
        <v>39666</v>
      </c>
      <c r="AY4020" s="3" t="s">
        <v>39667</v>
      </c>
      <c r="AZ4020" s="3" t="s">
        <v>39668</v>
      </c>
      <c r="BA4020" s="3" t="s">
        <v>39668</v>
      </c>
      <c r="BB4020" s="3" t="s">
        <v>39669</v>
      </c>
      <c r="BC4020" s="3" t="s">
        <v>77</v>
      </c>
      <c r="BD4020" s="3" t="s">
        <v>78</v>
      </c>
      <c r="BE4020" s="3" t="s">
        <v>39670</v>
      </c>
      <c r="BF4020" s="3" t="s">
        <v>39669</v>
      </c>
      <c r="BG4020" s="3" t="s">
        <v>39671</v>
      </c>
      <c r="BH4020">
        <f t="shared" si="104"/>
        <v>0</v>
      </c>
    </row>
    <row r="4021" spans="1:60" ht="58" x14ac:dyDescent="0.35">
      <c r="A4021" s="2" t="s">
        <v>59</v>
      </c>
      <c r="B4021" s="2" t="s">
        <v>60</v>
      </c>
      <c r="C4021" s="2" t="s">
        <v>39672</v>
      </c>
      <c r="D4021" s="2" t="s">
        <v>39673</v>
      </c>
      <c r="E4021" s="2" t="s">
        <v>39674</v>
      </c>
      <c r="G4021" s="3" t="s">
        <v>64</v>
      </c>
      <c r="I4021" s="3" t="s">
        <v>64</v>
      </c>
      <c r="J4021" s="3" t="s">
        <v>64</v>
      </c>
      <c r="K4021" s="3" t="s">
        <v>65</v>
      </c>
      <c r="L4021" s="2" t="s">
        <v>39675</v>
      </c>
      <c r="M4021" s="2" t="s">
        <v>16093</v>
      </c>
      <c r="N4021" s="3" t="s">
        <v>511</v>
      </c>
      <c r="P4021" s="3" t="s">
        <v>102</v>
      </c>
      <c r="Q4021" s="2" t="s">
        <v>24529</v>
      </c>
      <c r="R4021" s="3" t="s">
        <v>70</v>
      </c>
      <c r="S4021" s="4">
        <v>3</v>
      </c>
      <c r="T4021" s="4">
        <v>3</v>
      </c>
      <c r="U4021" s="5" t="s">
        <v>39139</v>
      </c>
      <c r="V4021" s="5" t="s">
        <v>39139</v>
      </c>
      <c r="W4021" s="5" t="s">
        <v>72</v>
      </c>
      <c r="X4021" s="5" t="s">
        <v>72</v>
      </c>
      <c r="Y4021" s="4">
        <v>242</v>
      </c>
      <c r="Z4021" s="4">
        <v>18</v>
      </c>
      <c r="AA4021" s="4">
        <v>18</v>
      </c>
      <c r="AB4021" s="4">
        <v>2</v>
      </c>
      <c r="AC4021" s="4">
        <v>2</v>
      </c>
      <c r="AD4021" s="4">
        <v>51</v>
      </c>
      <c r="AE4021" s="4">
        <v>51</v>
      </c>
      <c r="AF4021" s="4">
        <v>0</v>
      </c>
      <c r="AG4021" s="4">
        <v>0</v>
      </c>
      <c r="AH4021" s="4">
        <v>48</v>
      </c>
      <c r="AI4021" s="4">
        <v>48</v>
      </c>
      <c r="AJ4021" s="4">
        <v>7</v>
      </c>
      <c r="AK4021" s="4">
        <v>7</v>
      </c>
      <c r="AL4021" s="4">
        <v>30</v>
      </c>
      <c r="AM4021" s="4">
        <v>30</v>
      </c>
      <c r="AN4021" s="4">
        <v>0</v>
      </c>
      <c r="AO4021" s="4">
        <v>0</v>
      </c>
      <c r="AP4021" s="4">
        <v>8</v>
      </c>
      <c r="AQ4021" s="4">
        <v>8</v>
      </c>
      <c r="AR4021" s="3" t="s">
        <v>64</v>
      </c>
      <c r="AS4021" s="3" t="s">
        <v>64</v>
      </c>
      <c r="AT4021" s="3" t="s">
        <v>128</v>
      </c>
      <c r="AU4021" s="6" t="str">
        <f>HYPERLINK("http://catalog.hathitrust.org/Record/012269943","HathiTrust Record")</f>
        <v>HathiTrust Record</v>
      </c>
      <c r="AV4021" s="6" t="str">
        <f>HYPERLINK("http://mcgill.on.worldcat.org/oclc/475446622","Catalog Record")</f>
        <v>Catalog Record</v>
      </c>
      <c r="AW4021" s="6" t="str">
        <f>HYPERLINK("http://www.worldcat.org/oclc/475446622","WorldCat Record")</f>
        <v>WorldCat Record</v>
      </c>
      <c r="AX4021" s="3" t="s">
        <v>39676</v>
      </c>
      <c r="AY4021" s="3" t="s">
        <v>39677</v>
      </c>
      <c r="AZ4021" s="3" t="s">
        <v>39678</v>
      </c>
      <c r="BA4021" s="3" t="s">
        <v>39678</v>
      </c>
      <c r="BB4021" s="3" t="s">
        <v>39679</v>
      </c>
      <c r="BC4021" s="3" t="s">
        <v>77</v>
      </c>
      <c r="BD4021" s="3" t="s">
        <v>78</v>
      </c>
      <c r="BE4021" s="3" t="s">
        <v>39680</v>
      </c>
      <c r="BF4021" s="3" t="s">
        <v>39679</v>
      </c>
      <c r="BG4021" s="3" t="s">
        <v>39681</v>
      </c>
      <c r="BH4021">
        <f t="shared" si="104"/>
        <v>0</v>
      </c>
    </row>
    <row r="4022" spans="1:60" ht="72.5" x14ac:dyDescent="0.35">
      <c r="A4022" s="2" t="s">
        <v>6202</v>
      </c>
      <c r="B4022" s="2" t="s">
        <v>6203</v>
      </c>
      <c r="C4022" s="2" t="s">
        <v>39682</v>
      </c>
      <c r="D4022" s="2" t="s">
        <v>39683</v>
      </c>
      <c r="E4022" s="2" t="s">
        <v>39684</v>
      </c>
      <c r="G4022" s="3" t="s">
        <v>64</v>
      </c>
      <c r="I4022" s="3" t="s">
        <v>64</v>
      </c>
      <c r="J4022" s="3" t="s">
        <v>64</v>
      </c>
      <c r="K4022" s="3" t="s">
        <v>65</v>
      </c>
      <c r="L4022" s="2" t="s">
        <v>39685</v>
      </c>
      <c r="M4022" s="2" t="s">
        <v>39686</v>
      </c>
      <c r="N4022" s="3" t="s">
        <v>3330</v>
      </c>
      <c r="P4022" s="3" t="s">
        <v>102</v>
      </c>
      <c r="Q4022" s="2" t="s">
        <v>39687</v>
      </c>
      <c r="R4022" s="3" t="s">
        <v>70</v>
      </c>
      <c r="S4022" s="4">
        <v>2</v>
      </c>
      <c r="T4022" s="4">
        <v>2</v>
      </c>
      <c r="U4022" s="5" t="s">
        <v>7573</v>
      </c>
      <c r="V4022" s="5" t="s">
        <v>7573</v>
      </c>
      <c r="W4022" s="5" t="s">
        <v>72</v>
      </c>
      <c r="X4022" s="5" t="s">
        <v>72</v>
      </c>
      <c r="Y4022" s="4">
        <v>373</v>
      </c>
      <c r="Z4022" s="4">
        <v>16</v>
      </c>
      <c r="AA4022" s="4">
        <v>19</v>
      </c>
      <c r="AB4022" s="4">
        <v>1</v>
      </c>
      <c r="AC4022" s="4">
        <v>4</v>
      </c>
      <c r="AD4022" s="4">
        <v>102</v>
      </c>
      <c r="AE4022" s="4">
        <v>104</v>
      </c>
      <c r="AF4022" s="4">
        <v>0</v>
      </c>
      <c r="AG4022" s="4">
        <v>2</v>
      </c>
      <c r="AH4022" s="4">
        <v>95</v>
      </c>
      <c r="AI4022" s="4">
        <v>95</v>
      </c>
      <c r="AJ4022" s="4">
        <v>12</v>
      </c>
      <c r="AK4022" s="4">
        <v>14</v>
      </c>
      <c r="AL4022" s="4">
        <v>53</v>
      </c>
      <c r="AM4022" s="4">
        <v>53</v>
      </c>
      <c r="AN4022" s="4">
        <v>0</v>
      </c>
      <c r="AO4022" s="4">
        <v>0</v>
      </c>
      <c r="AP4022" s="4">
        <v>13</v>
      </c>
      <c r="AQ4022" s="4">
        <v>14</v>
      </c>
      <c r="AR4022" s="3" t="s">
        <v>64</v>
      </c>
      <c r="AS4022" s="3" t="s">
        <v>64</v>
      </c>
      <c r="AT4022" s="3" t="s">
        <v>64</v>
      </c>
      <c r="AV4022" s="6" t="str">
        <f>HYPERLINK("http://mcgill.on.worldcat.org/oclc/17383684","Catalog Record")</f>
        <v>Catalog Record</v>
      </c>
      <c r="AW4022" s="6" t="str">
        <f>HYPERLINK("http://www.worldcat.org/oclc/17383684","WorldCat Record")</f>
        <v>WorldCat Record</v>
      </c>
      <c r="AX4022" s="3" t="s">
        <v>39688</v>
      </c>
      <c r="AY4022" s="3" t="s">
        <v>39689</v>
      </c>
      <c r="AZ4022" s="3" t="s">
        <v>39690</v>
      </c>
      <c r="BA4022" s="3" t="s">
        <v>39690</v>
      </c>
      <c r="BB4022" s="3" t="s">
        <v>39691</v>
      </c>
      <c r="BC4022" s="3" t="s">
        <v>77</v>
      </c>
      <c r="BD4022" s="3" t="s">
        <v>1956</v>
      </c>
      <c r="BE4022" s="3" t="s">
        <v>39692</v>
      </c>
      <c r="BF4022" s="3" t="s">
        <v>39691</v>
      </c>
      <c r="BG4022" s="3" t="s">
        <v>39693</v>
      </c>
      <c r="BH4022">
        <f t="shared" si="104"/>
        <v>0</v>
      </c>
    </row>
    <row r="4023" spans="1:60" ht="58" x14ac:dyDescent="0.35">
      <c r="A4023" s="2" t="s">
        <v>6202</v>
      </c>
      <c r="B4023" s="2" t="s">
        <v>6203</v>
      </c>
      <c r="C4023" s="2" t="s">
        <v>39694</v>
      </c>
      <c r="D4023" s="2" t="s">
        <v>39695</v>
      </c>
      <c r="E4023" s="2" t="s">
        <v>39696</v>
      </c>
      <c r="G4023" s="3" t="s">
        <v>64</v>
      </c>
      <c r="I4023" s="3" t="s">
        <v>64</v>
      </c>
      <c r="J4023" s="3" t="s">
        <v>64</v>
      </c>
      <c r="K4023" s="3" t="s">
        <v>65</v>
      </c>
      <c r="L4023" s="2" t="s">
        <v>39697</v>
      </c>
      <c r="M4023" s="2" t="s">
        <v>39698</v>
      </c>
      <c r="N4023" s="3" t="s">
        <v>511</v>
      </c>
      <c r="P4023" s="3" t="s">
        <v>102</v>
      </c>
      <c r="Q4023" s="2" t="s">
        <v>39699</v>
      </c>
      <c r="R4023" s="3" t="s">
        <v>70</v>
      </c>
      <c r="S4023" s="4">
        <v>1</v>
      </c>
      <c r="T4023" s="4">
        <v>1</v>
      </c>
      <c r="U4023" s="5" t="s">
        <v>39700</v>
      </c>
      <c r="V4023" s="5" t="s">
        <v>39700</v>
      </c>
      <c r="W4023" s="5" t="s">
        <v>72</v>
      </c>
      <c r="X4023" s="5" t="s">
        <v>72</v>
      </c>
      <c r="Y4023" s="4">
        <v>75</v>
      </c>
      <c r="Z4023" s="4">
        <v>3</v>
      </c>
      <c r="AA4023" s="4">
        <v>9</v>
      </c>
      <c r="AB4023" s="4">
        <v>1</v>
      </c>
      <c r="AC4023" s="4">
        <v>4</v>
      </c>
      <c r="AD4023" s="4">
        <v>35</v>
      </c>
      <c r="AE4023" s="4">
        <v>44</v>
      </c>
      <c r="AF4023" s="4">
        <v>0</v>
      </c>
      <c r="AG4023" s="4">
        <v>0</v>
      </c>
      <c r="AH4023" s="4">
        <v>35</v>
      </c>
      <c r="AI4023" s="4">
        <v>42</v>
      </c>
      <c r="AJ4023" s="4">
        <v>2</v>
      </c>
      <c r="AK4023" s="4">
        <v>4</v>
      </c>
      <c r="AL4023" s="4">
        <v>21</v>
      </c>
      <c r="AM4023" s="4">
        <v>26</v>
      </c>
      <c r="AN4023" s="4">
        <v>0</v>
      </c>
      <c r="AO4023" s="4">
        <v>0</v>
      </c>
      <c r="AP4023" s="4">
        <v>2</v>
      </c>
      <c r="AQ4023" s="4">
        <v>4</v>
      </c>
      <c r="AR4023" s="3" t="s">
        <v>64</v>
      </c>
      <c r="AS4023" s="3" t="s">
        <v>64</v>
      </c>
      <c r="AT4023" s="3" t="s">
        <v>64</v>
      </c>
      <c r="AV4023" s="6" t="str">
        <f>HYPERLINK("http://mcgill.on.worldcat.org/oclc/179814300","Catalog Record")</f>
        <v>Catalog Record</v>
      </c>
      <c r="AW4023" s="6" t="str">
        <f>HYPERLINK("http://www.worldcat.org/oclc/179814300","WorldCat Record")</f>
        <v>WorldCat Record</v>
      </c>
      <c r="AX4023" s="3" t="s">
        <v>39701</v>
      </c>
      <c r="AY4023" s="3" t="s">
        <v>39702</v>
      </c>
      <c r="AZ4023" s="3" t="s">
        <v>39703</v>
      </c>
      <c r="BA4023" s="3" t="s">
        <v>39703</v>
      </c>
      <c r="BB4023" s="3" t="s">
        <v>39704</v>
      </c>
      <c r="BC4023" s="3" t="s">
        <v>77</v>
      </c>
      <c r="BD4023" s="3" t="s">
        <v>78</v>
      </c>
      <c r="BE4023" s="3" t="s">
        <v>39705</v>
      </c>
      <c r="BF4023" s="3" t="s">
        <v>39704</v>
      </c>
      <c r="BG4023" s="3" t="s">
        <v>39706</v>
      </c>
      <c r="BH4023">
        <f t="shared" si="104"/>
        <v>0</v>
      </c>
    </row>
    <row r="4024" spans="1:60" ht="72.5" x14ac:dyDescent="0.35">
      <c r="A4024" s="2" t="s">
        <v>59</v>
      </c>
      <c r="B4024" s="2" t="s">
        <v>60</v>
      </c>
      <c r="C4024" s="2" t="s">
        <v>39707</v>
      </c>
      <c r="D4024" s="2" t="s">
        <v>39708</v>
      </c>
      <c r="E4024" s="2" t="s">
        <v>39709</v>
      </c>
      <c r="F4024" s="3" t="s">
        <v>489</v>
      </c>
      <c r="G4024" s="3" t="s">
        <v>128</v>
      </c>
      <c r="I4024" s="3" t="s">
        <v>64</v>
      </c>
      <c r="J4024" s="3" t="s">
        <v>64</v>
      </c>
      <c r="K4024" s="3" t="s">
        <v>65</v>
      </c>
      <c r="L4024" s="2" t="s">
        <v>39710</v>
      </c>
      <c r="M4024" s="2" t="s">
        <v>39711</v>
      </c>
      <c r="N4024" s="3" t="s">
        <v>7191</v>
      </c>
      <c r="P4024" s="3" t="s">
        <v>102</v>
      </c>
      <c r="R4024" s="3" t="s">
        <v>70</v>
      </c>
      <c r="S4024" s="4">
        <v>2</v>
      </c>
      <c r="T4024" s="4">
        <v>4</v>
      </c>
      <c r="U4024" s="5" t="s">
        <v>17811</v>
      </c>
      <c r="V4024" s="5" t="s">
        <v>17811</v>
      </c>
      <c r="W4024" s="5" t="s">
        <v>72</v>
      </c>
      <c r="X4024" s="5" t="s">
        <v>72</v>
      </c>
      <c r="Y4024" s="4">
        <v>92</v>
      </c>
      <c r="Z4024" s="4">
        <v>4</v>
      </c>
      <c r="AA4024" s="4">
        <v>8</v>
      </c>
      <c r="AB4024" s="4">
        <v>1</v>
      </c>
      <c r="AC4024" s="4">
        <v>3</v>
      </c>
      <c r="AD4024" s="4">
        <v>43</v>
      </c>
      <c r="AE4024" s="4">
        <v>52</v>
      </c>
      <c r="AF4024" s="4">
        <v>0</v>
      </c>
      <c r="AG4024" s="4">
        <v>1</v>
      </c>
      <c r="AH4024" s="4">
        <v>42</v>
      </c>
      <c r="AI4024" s="4">
        <v>50</v>
      </c>
      <c r="AJ4024" s="4">
        <v>2</v>
      </c>
      <c r="AK4024" s="4">
        <v>5</v>
      </c>
      <c r="AL4024" s="4">
        <v>28</v>
      </c>
      <c r="AM4024" s="4">
        <v>29</v>
      </c>
      <c r="AN4024" s="4">
        <v>0</v>
      </c>
      <c r="AO4024" s="4">
        <v>0</v>
      </c>
      <c r="AP4024" s="4">
        <v>2</v>
      </c>
      <c r="AQ4024" s="4">
        <v>4</v>
      </c>
      <c r="AR4024" s="3" t="s">
        <v>64</v>
      </c>
      <c r="AS4024" s="3" t="s">
        <v>64</v>
      </c>
      <c r="AT4024" s="3" t="s">
        <v>128</v>
      </c>
      <c r="AU4024" s="6" t="str">
        <f>HYPERLINK("http://catalog.hathitrust.org/Record/100953546","HathiTrust Record")</f>
        <v>HathiTrust Record</v>
      </c>
      <c r="AV4024" s="6" t="str">
        <f>HYPERLINK("http://mcgill.on.worldcat.org/oclc/3178998","Catalog Record")</f>
        <v>Catalog Record</v>
      </c>
      <c r="AW4024" s="6" t="str">
        <f>HYPERLINK("http://www.worldcat.org/oclc/3178998","WorldCat Record")</f>
        <v>WorldCat Record</v>
      </c>
      <c r="AX4024" s="3" t="s">
        <v>39712</v>
      </c>
      <c r="AY4024" s="3" t="s">
        <v>39713</v>
      </c>
      <c r="AZ4024" s="3" t="s">
        <v>39714</v>
      </c>
      <c r="BA4024" s="3" t="s">
        <v>39714</v>
      </c>
      <c r="BB4024" s="3" t="s">
        <v>39715</v>
      </c>
      <c r="BC4024" s="3" t="s">
        <v>77</v>
      </c>
      <c r="BD4024" s="3" t="s">
        <v>78</v>
      </c>
      <c r="BF4024" s="3" t="s">
        <v>39715</v>
      </c>
      <c r="BG4024" s="3" t="s">
        <v>39716</v>
      </c>
      <c r="BH4024">
        <f t="shared" si="104"/>
        <v>0</v>
      </c>
    </row>
    <row r="4025" spans="1:60" ht="72.5" x14ac:dyDescent="0.35">
      <c r="A4025" s="2" t="s">
        <v>59</v>
      </c>
      <c r="B4025" s="2" t="s">
        <v>60</v>
      </c>
      <c r="C4025" s="2" t="s">
        <v>39707</v>
      </c>
      <c r="D4025" s="2" t="s">
        <v>39708</v>
      </c>
      <c r="E4025" s="2" t="s">
        <v>39709</v>
      </c>
      <c r="F4025" s="3" t="s">
        <v>478</v>
      </c>
      <c r="G4025" s="3" t="s">
        <v>128</v>
      </c>
      <c r="I4025" s="3" t="s">
        <v>64</v>
      </c>
      <c r="J4025" s="3" t="s">
        <v>64</v>
      </c>
      <c r="K4025" s="3" t="s">
        <v>65</v>
      </c>
      <c r="L4025" s="2" t="s">
        <v>39710</v>
      </c>
      <c r="M4025" s="2" t="s">
        <v>39711</v>
      </c>
      <c r="N4025" s="3" t="s">
        <v>7191</v>
      </c>
      <c r="P4025" s="3" t="s">
        <v>102</v>
      </c>
      <c r="R4025" s="3" t="s">
        <v>70</v>
      </c>
      <c r="S4025" s="4">
        <v>2</v>
      </c>
      <c r="T4025" s="4">
        <v>4</v>
      </c>
      <c r="U4025" s="5" t="s">
        <v>17811</v>
      </c>
      <c r="V4025" s="5" t="s">
        <v>17811</v>
      </c>
      <c r="W4025" s="5" t="s">
        <v>72</v>
      </c>
      <c r="X4025" s="5" t="s">
        <v>72</v>
      </c>
      <c r="Y4025" s="4">
        <v>92</v>
      </c>
      <c r="Z4025" s="4">
        <v>4</v>
      </c>
      <c r="AA4025" s="4">
        <v>8</v>
      </c>
      <c r="AB4025" s="4">
        <v>1</v>
      </c>
      <c r="AC4025" s="4">
        <v>3</v>
      </c>
      <c r="AD4025" s="4">
        <v>43</v>
      </c>
      <c r="AE4025" s="4">
        <v>52</v>
      </c>
      <c r="AF4025" s="4">
        <v>0</v>
      </c>
      <c r="AG4025" s="4">
        <v>1</v>
      </c>
      <c r="AH4025" s="4">
        <v>42</v>
      </c>
      <c r="AI4025" s="4">
        <v>50</v>
      </c>
      <c r="AJ4025" s="4">
        <v>2</v>
      </c>
      <c r="AK4025" s="4">
        <v>5</v>
      </c>
      <c r="AL4025" s="4">
        <v>28</v>
      </c>
      <c r="AM4025" s="4">
        <v>29</v>
      </c>
      <c r="AN4025" s="4">
        <v>0</v>
      </c>
      <c r="AO4025" s="4">
        <v>0</v>
      </c>
      <c r="AP4025" s="4">
        <v>2</v>
      </c>
      <c r="AQ4025" s="4">
        <v>4</v>
      </c>
      <c r="AR4025" s="3" t="s">
        <v>64</v>
      </c>
      <c r="AS4025" s="3" t="s">
        <v>64</v>
      </c>
      <c r="AT4025" s="3" t="s">
        <v>128</v>
      </c>
      <c r="AU4025" s="6" t="str">
        <f>HYPERLINK("http://catalog.hathitrust.org/Record/100953546","HathiTrust Record")</f>
        <v>HathiTrust Record</v>
      </c>
      <c r="AV4025" s="6" t="str">
        <f>HYPERLINK("http://mcgill.on.worldcat.org/oclc/3178998","Catalog Record")</f>
        <v>Catalog Record</v>
      </c>
      <c r="AW4025" s="6" t="str">
        <f>HYPERLINK("http://www.worldcat.org/oclc/3178998","WorldCat Record")</f>
        <v>WorldCat Record</v>
      </c>
      <c r="AX4025" s="3" t="s">
        <v>39712</v>
      </c>
      <c r="AY4025" s="3" t="s">
        <v>39713</v>
      </c>
      <c r="AZ4025" s="3" t="s">
        <v>39714</v>
      </c>
      <c r="BA4025" s="3" t="s">
        <v>39714</v>
      </c>
      <c r="BB4025" s="3" t="s">
        <v>39717</v>
      </c>
      <c r="BC4025" s="3" t="s">
        <v>77</v>
      </c>
      <c r="BD4025" s="3" t="s">
        <v>78</v>
      </c>
      <c r="BF4025" s="3" t="s">
        <v>39717</v>
      </c>
      <c r="BG4025" s="3" t="s">
        <v>39718</v>
      </c>
      <c r="BH4025">
        <f t="shared" si="104"/>
        <v>0</v>
      </c>
    </row>
    <row r="4026" spans="1:60" ht="58" x14ac:dyDescent="0.35">
      <c r="A4026" s="2" t="s">
        <v>59</v>
      </c>
      <c r="B4026" s="2" t="s">
        <v>60</v>
      </c>
      <c r="C4026" s="2" t="s">
        <v>39719</v>
      </c>
      <c r="D4026" s="2" t="s">
        <v>39720</v>
      </c>
      <c r="E4026" s="2" t="s">
        <v>39721</v>
      </c>
      <c r="G4026" s="3" t="s">
        <v>64</v>
      </c>
      <c r="I4026" s="3" t="s">
        <v>64</v>
      </c>
      <c r="J4026" s="3" t="s">
        <v>64</v>
      </c>
      <c r="K4026" s="3" t="s">
        <v>65</v>
      </c>
      <c r="L4026" s="2" t="s">
        <v>39722</v>
      </c>
      <c r="M4026" s="2" t="s">
        <v>39723</v>
      </c>
      <c r="N4026" s="3" t="s">
        <v>86</v>
      </c>
      <c r="P4026" s="3" t="s">
        <v>102</v>
      </c>
      <c r="R4026" s="3" t="s">
        <v>70</v>
      </c>
      <c r="S4026" s="4">
        <v>0</v>
      </c>
      <c r="T4026" s="4">
        <v>0</v>
      </c>
      <c r="W4026" s="5" t="s">
        <v>72</v>
      </c>
      <c r="X4026" s="5" t="s">
        <v>72</v>
      </c>
      <c r="Y4026" s="4">
        <v>67</v>
      </c>
      <c r="Z4026" s="4">
        <v>4</v>
      </c>
      <c r="AA4026" s="4">
        <v>4</v>
      </c>
      <c r="AB4026" s="4">
        <v>1</v>
      </c>
      <c r="AC4026" s="4">
        <v>1</v>
      </c>
      <c r="AD4026" s="4">
        <v>24</v>
      </c>
      <c r="AE4026" s="4">
        <v>24</v>
      </c>
      <c r="AF4026" s="4">
        <v>0</v>
      </c>
      <c r="AG4026" s="4">
        <v>0</v>
      </c>
      <c r="AH4026" s="4">
        <v>23</v>
      </c>
      <c r="AI4026" s="4">
        <v>23</v>
      </c>
      <c r="AJ4026" s="4">
        <v>2</v>
      </c>
      <c r="AK4026" s="4">
        <v>2</v>
      </c>
      <c r="AL4026" s="4">
        <v>18</v>
      </c>
      <c r="AM4026" s="4">
        <v>18</v>
      </c>
      <c r="AN4026" s="4">
        <v>0</v>
      </c>
      <c r="AO4026" s="4">
        <v>0</v>
      </c>
      <c r="AP4026" s="4">
        <v>2</v>
      </c>
      <c r="AQ4026" s="4">
        <v>2</v>
      </c>
      <c r="AR4026" s="3" t="s">
        <v>64</v>
      </c>
      <c r="AS4026" s="3" t="s">
        <v>64</v>
      </c>
      <c r="AT4026" s="3" t="s">
        <v>64</v>
      </c>
      <c r="AV4026" s="6" t="str">
        <f>HYPERLINK("http://mcgill.on.worldcat.org/oclc/754186768","Catalog Record")</f>
        <v>Catalog Record</v>
      </c>
      <c r="AW4026" s="6" t="str">
        <f>HYPERLINK("http://www.worldcat.org/oclc/754186768","WorldCat Record")</f>
        <v>WorldCat Record</v>
      </c>
      <c r="AX4026" s="3" t="s">
        <v>39724</v>
      </c>
      <c r="AY4026" s="3" t="s">
        <v>39725</v>
      </c>
      <c r="AZ4026" s="3" t="s">
        <v>39726</v>
      </c>
      <c r="BA4026" s="3" t="s">
        <v>39726</v>
      </c>
      <c r="BB4026" s="3" t="s">
        <v>39727</v>
      </c>
      <c r="BC4026" s="3" t="s">
        <v>77</v>
      </c>
      <c r="BD4026" s="3" t="s">
        <v>78</v>
      </c>
      <c r="BE4026" s="3" t="s">
        <v>39728</v>
      </c>
      <c r="BF4026" s="3" t="s">
        <v>39727</v>
      </c>
      <c r="BG4026" s="3" t="s">
        <v>39729</v>
      </c>
      <c r="BH4026">
        <f t="shared" si="104"/>
        <v>0</v>
      </c>
    </row>
    <row r="4027" spans="1:60" ht="58" x14ac:dyDescent="0.35">
      <c r="A4027" s="2" t="s">
        <v>59</v>
      </c>
      <c r="B4027" s="2" t="s">
        <v>7607</v>
      </c>
      <c r="C4027" s="2" t="s">
        <v>39730</v>
      </c>
      <c r="D4027" s="2" t="s">
        <v>39731</v>
      </c>
      <c r="E4027" s="2" t="s">
        <v>39732</v>
      </c>
      <c r="G4027" s="3" t="s">
        <v>64</v>
      </c>
      <c r="I4027" s="3" t="s">
        <v>64</v>
      </c>
      <c r="J4027" s="3" t="s">
        <v>64</v>
      </c>
      <c r="K4027" s="3" t="s">
        <v>65</v>
      </c>
      <c r="M4027" s="2" t="s">
        <v>39733</v>
      </c>
      <c r="N4027" s="3" t="s">
        <v>1004</v>
      </c>
      <c r="P4027" s="3" t="s">
        <v>102</v>
      </c>
      <c r="Q4027" s="2" t="s">
        <v>39734</v>
      </c>
      <c r="R4027" s="3" t="s">
        <v>70</v>
      </c>
      <c r="S4027" s="4">
        <v>2</v>
      </c>
      <c r="T4027" s="4">
        <v>2</v>
      </c>
      <c r="U4027" s="5" t="s">
        <v>29848</v>
      </c>
      <c r="V4027" s="5" t="s">
        <v>29848</v>
      </c>
      <c r="W4027" s="5" t="s">
        <v>72</v>
      </c>
      <c r="X4027" s="5" t="s">
        <v>72</v>
      </c>
      <c r="Y4027" s="4">
        <v>336</v>
      </c>
      <c r="Z4027" s="4">
        <v>39</v>
      </c>
      <c r="AA4027" s="4">
        <v>48</v>
      </c>
      <c r="AB4027" s="4">
        <v>3</v>
      </c>
      <c r="AC4027" s="4">
        <v>10</v>
      </c>
      <c r="AD4027" s="4">
        <v>115</v>
      </c>
      <c r="AE4027" s="4">
        <v>122</v>
      </c>
      <c r="AF4027" s="4">
        <v>1</v>
      </c>
      <c r="AG4027" s="4">
        <v>5</v>
      </c>
      <c r="AH4027" s="4">
        <v>94</v>
      </c>
      <c r="AI4027" s="4">
        <v>96</v>
      </c>
      <c r="AJ4027" s="4">
        <v>22</v>
      </c>
      <c r="AK4027" s="4">
        <v>26</v>
      </c>
      <c r="AL4027" s="4">
        <v>49</v>
      </c>
      <c r="AM4027" s="4">
        <v>51</v>
      </c>
      <c r="AN4027" s="4">
        <v>0</v>
      </c>
      <c r="AO4027" s="4">
        <v>0</v>
      </c>
      <c r="AP4027" s="4">
        <v>29</v>
      </c>
      <c r="AQ4027" s="4">
        <v>33</v>
      </c>
      <c r="AR4027" s="3" t="s">
        <v>64</v>
      </c>
      <c r="AS4027" s="3" t="s">
        <v>64</v>
      </c>
      <c r="AT4027" s="3" t="s">
        <v>128</v>
      </c>
      <c r="AU4027" s="6" t="str">
        <f>HYPERLINK("http://catalog.hathitrust.org/Record/000151821","HathiTrust Record")</f>
        <v>HathiTrust Record</v>
      </c>
      <c r="AV4027" s="6" t="str">
        <f>HYPERLINK("http://mcgill.on.worldcat.org/oclc/9111711","Catalog Record")</f>
        <v>Catalog Record</v>
      </c>
      <c r="AW4027" s="6" t="str">
        <f>HYPERLINK("http://www.worldcat.org/oclc/9111711","WorldCat Record")</f>
        <v>WorldCat Record</v>
      </c>
      <c r="AX4027" s="3" t="s">
        <v>39735</v>
      </c>
      <c r="AY4027" s="3" t="s">
        <v>39736</v>
      </c>
      <c r="AZ4027" s="3" t="s">
        <v>39737</v>
      </c>
      <c r="BA4027" s="3" t="s">
        <v>39737</v>
      </c>
      <c r="BB4027" s="3" t="s">
        <v>39738</v>
      </c>
      <c r="BC4027" s="3" t="s">
        <v>77</v>
      </c>
      <c r="BD4027" s="3" t="s">
        <v>78</v>
      </c>
      <c r="BE4027" s="3" t="s">
        <v>39739</v>
      </c>
      <c r="BF4027" s="3" t="s">
        <v>39738</v>
      </c>
      <c r="BG4027" s="3" t="s">
        <v>39740</v>
      </c>
      <c r="BH4027">
        <f t="shared" si="104"/>
        <v>0</v>
      </c>
    </row>
    <row r="4028" spans="1:60" ht="58" x14ac:dyDescent="0.35">
      <c r="A4028" s="2" t="s">
        <v>6202</v>
      </c>
      <c r="B4028" s="2" t="s">
        <v>6203</v>
      </c>
      <c r="C4028" s="2" t="s">
        <v>39741</v>
      </c>
      <c r="D4028" s="2" t="s">
        <v>39742</v>
      </c>
      <c r="E4028" s="2" t="s">
        <v>39743</v>
      </c>
      <c r="G4028" s="3" t="s">
        <v>64</v>
      </c>
      <c r="I4028" s="3" t="s">
        <v>64</v>
      </c>
      <c r="J4028" s="3" t="s">
        <v>64</v>
      </c>
      <c r="K4028" s="3" t="s">
        <v>65</v>
      </c>
      <c r="L4028" s="2" t="s">
        <v>39744</v>
      </c>
      <c r="M4028" s="2" t="s">
        <v>39745</v>
      </c>
      <c r="N4028" s="3" t="s">
        <v>5262</v>
      </c>
      <c r="P4028" s="3" t="s">
        <v>102</v>
      </c>
      <c r="R4028" s="3" t="s">
        <v>70</v>
      </c>
      <c r="S4028" s="4">
        <v>1</v>
      </c>
      <c r="T4028" s="4">
        <v>1</v>
      </c>
      <c r="U4028" s="5" t="s">
        <v>27499</v>
      </c>
      <c r="V4028" s="5" t="s">
        <v>27499</v>
      </c>
      <c r="W4028" s="5" t="s">
        <v>72</v>
      </c>
      <c r="X4028" s="5" t="s">
        <v>72</v>
      </c>
      <c r="Y4028" s="4">
        <v>506</v>
      </c>
      <c r="Z4028" s="4">
        <v>46</v>
      </c>
      <c r="AA4028" s="4">
        <v>55</v>
      </c>
      <c r="AB4028" s="4">
        <v>5</v>
      </c>
      <c r="AC4028" s="4">
        <v>11</v>
      </c>
      <c r="AD4028" s="4">
        <v>117</v>
      </c>
      <c r="AE4028" s="4">
        <v>122</v>
      </c>
      <c r="AF4028" s="4">
        <v>2</v>
      </c>
      <c r="AG4028" s="4">
        <v>5</v>
      </c>
      <c r="AH4028" s="4">
        <v>96</v>
      </c>
      <c r="AI4028" s="4">
        <v>98</v>
      </c>
      <c r="AJ4028" s="4">
        <v>24</v>
      </c>
      <c r="AK4028" s="4">
        <v>28</v>
      </c>
      <c r="AL4028" s="4">
        <v>52</v>
      </c>
      <c r="AM4028" s="4">
        <v>52</v>
      </c>
      <c r="AN4028" s="4">
        <v>0</v>
      </c>
      <c r="AO4028" s="4">
        <v>0</v>
      </c>
      <c r="AP4028" s="4">
        <v>28</v>
      </c>
      <c r="AQ4028" s="4">
        <v>32</v>
      </c>
      <c r="AR4028" s="3" t="s">
        <v>64</v>
      </c>
      <c r="AS4028" s="3" t="s">
        <v>64</v>
      </c>
      <c r="AT4028" s="3" t="s">
        <v>128</v>
      </c>
      <c r="AU4028" s="6" t="str">
        <f>HYPERLINK("http://catalog.hathitrust.org/Record/001168578","HathiTrust Record")</f>
        <v>HathiTrust Record</v>
      </c>
      <c r="AV4028" s="6" t="str">
        <f>HYPERLINK("http://mcgill.on.worldcat.org/oclc/904430","Catalog Record")</f>
        <v>Catalog Record</v>
      </c>
      <c r="AW4028" s="6" t="str">
        <f>HYPERLINK("http://www.worldcat.org/oclc/904430","WorldCat Record")</f>
        <v>WorldCat Record</v>
      </c>
      <c r="AX4028" s="3" t="s">
        <v>39746</v>
      </c>
      <c r="AY4028" s="3" t="s">
        <v>39747</v>
      </c>
      <c r="AZ4028" s="3" t="s">
        <v>39748</v>
      </c>
      <c r="BA4028" s="3" t="s">
        <v>39748</v>
      </c>
      <c r="BB4028" s="3" t="s">
        <v>39749</v>
      </c>
      <c r="BC4028" s="3" t="s">
        <v>77</v>
      </c>
      <c r="BD4028" s="3" t="s">
        <v>78</v>
      </c>
      <c r="BF4028" s="3" t="s">
        <v>39749</v>
      </c>
      <c r="BG4028" s="3" t="s">
        <v>39750</v>
      </c>
      <c r="BH4028">
        <f t="shared" si="104"/>
        <v>0</v>
      </c>
    </row>
    <row r="4029" spans="1:60" ht="58" x14ac:dyDescent="0.35">
      <c r="A4029" s="2" t="s">
        <v>6202</v>
      </c>
      <c r="B4029" s="2" t="s">
        <v>6203</v>
      </c>
      <c r="C4029" s="2" t="s">
        <v>39751</v>
      </c>
      <c r="D4029" s="2" t="s">
        <v>39752</v>
      </c>
      <c r="E4029" s="2" t="s">
        <v>39753</v>
      </c>
      <c r="G4029" s="3" t="s">
        <v>64</v>
      </c>
      <c r="I4029" s="3" t="s">
        <v>64</v>
      </c>
      <c r="J4029" s="3" t="s">
        <v>64</v>
      </c>
      <c r="K4029" s="3" t="s">
        <v>65</v>
      </c>
      <c r="L4029" s="2" t="s">
        <v>39754</v>
      </c>
      <c r="M4029" s="2" t="s">
        <v>39755</v>
      </c>
      <c r="N4029" s="3" t="s">
        <v>405</v>
      </c>
      <c r="P4029" s="3" t="s">
        <v>102</v>
      </c>
      <c r="R4029" s="3" t="s">
        <v>70</v>
      </c>
      <c r="S4029" s="4">
        <v>1</v>
      </c>
      <c r="T4029" s="4">
        <v>1</v>
      </c>
      <c r="U4029" s="5" t="s">
        <v>39756</v>
      </c>
      <c r="V4029" s="5" t="s">
        <v>39756</v>
      </c>
      <c r="W4029" s="5" t="s">
        <v>72</v>
      </c>
      <c r="X4029" s="5" t="s">
        <v>72</v>
      </c>
      <c r="Y4029" s="4">
        <v>508</v>
      </c>
      <c r="Z4029" s="4">
        <v>19</v>
      </c>
      <c r="AA4029" s="4">
        <v>21</v>
      </c>
      <c r="AB4029" s="4">
        <v>1</v>
      </c>
      <c r="AC4029" s="4">
        <v>3</v>
      </c>
      <c r="AD4029" s="4">
        <v>111</v>
      </c>
      <c r="AE4029" s="4">
        <v>114</v>
      </c>
      <c r="AF4029" s="4">
        <v>0</v>
      </c>
      <c r="AG4029" s="4">
        <v>2</v>
      </c>
      <c r="AH4029" s="4">
        <v>101</v>
      </c>
      <c r="AI4029" s="4">
        <v>102</v>
      </c>
      <c r="AJ4029" s="4">
        <v>13</v>
      </c>
      <c r="AK4029" s="4">
        <v>15</v>
      </c>
      <c r="AL4029" s="4">
        <v>55</v>
      </c>
      <c r="AM4029" s="4">
        <v>55</v>
      </c>
      <c r="AN4029" s="4">
        <v>0</v>
      </c>
      <c r="AO4029" s="4">
        <v>0</v>
      </c>
      <c r="AP4029" s="4">
        <v>15</v>
      </c>
      <c r="AQ4029" s="4">
        <v>16</v>
      </c>
      <c r="AR4029" s="3" t="s">
        <v>64</v>
      </c>
      <c r="AS4029" s="3" t="s">
        <v>64</v>
      </c>
      <c r="AT4029" s="3" t="s">
        <v>128</v>
      </c>
      <c r="AU4029" s="6" t="str">
        <f>HYPERLINK("http://catalog.hathitrust.org/Record/000715944","HathiTrust Record")</f>
        <v>HathiTrust Record</v>
      </c>
      <c r="AV4029" s="6" t="str">
        <f>HYPERLINK("http://mcgill.on.worldcat.org/oclc/1973870","Catalog Record")</f>
        <v>Catalog Record</v>
      </c>
      <c r="AW4029" s="6" t="str">
        <f>HYPERLINK("http://www.worldcat.org/oclc/1973870","WorldCat Record")</f>
        <v>WorldCat Record</v>
      </c>
      <c r="AX4029" s="3" t="s">
        <v>39757</v>
      </c>
      <c r="AY4029" s="3" t="s">
        <v>39758</v>
      </c>
      <c r="AZ4029" s="3" t="s">
        <v>39759</v>
      </c>
      <c r="BA4029" s="3" t="s">
        <v>39759</v>
      </c>
      <c r="BB4029" s="3" t="s">
        <v>39760</v>
      </c>
      <c r="BC4029" s="3" t="s">
        <v>77</v>
      </c>
      <c r="BD4029" s="3" t="s">
        <v>78</v>
      </c>
      <c r="BE4029" s="3" t="s">
        <v>39761</v>
      </c>
      <c r="BF4029" s="3" t="s">
        <v>39760</v>
      </c>
      <c r="BG4029" s="3" t="s">
        <v>39762</v>
      </c>
      <c r="BH4029">
        <f t="shared" si="104"/>
        <v>0</v>
      </c>
    </row>
    <row r="4030" spans="1:60" ht="58" x14ac:dyDescent="0.35">
      <c r="A4030" s="2" t="s">
        <v>6202</v>
      </c>
      <c r="B4030" s="2" t="s">
        <v>6203</v>
      </c>
      <c r="C4030" s="2" t="s">
        <v>39763</v>
      </c>
      <c r="D4030" s="2" t="s">
        <v>39764</v>
      </c>
      <c r="E4030" s="2" t="s">
        <v>39765</v>
      </c>
      <c r="G4030" s="3" t="s">
        <v>64</v>
      </c>
      <c r="I4030" s="3" t="s">
        <v>64</v>
      </c>
      <c r="J4030" s="3" t="s">
        <v>64</v>
      </c>
      <c r="K4030" s="3" t="s">
        <v>65</v>
      </c>
      <c r="L4030" s="2" t="s">
        <v>39766</v>
      </c>
      <c r="M4030" s="2" t="s">
        <v>39767</v>
      </c>
      <c r="N4030" s="3" t="s">
        <v>2067</v>
      </c>
      <c r="P4030" s="3" t="s">
        <v>102</v>
      </c>
      <c r="Q4030" s="2" t="s">
        <v>39768</v>
      </c>
      <c r="R4030" s="3" t="s">
        <v>70</v>
      </c>
      <c r="S4030" s="4">
        <v>1</v>
      </c>
      <c r="T4030" s="4">
        <v>1</v>
      </c>
      <c r="U4030" s="5" t="s">
        <v>39769</v>
      </c>
      <c r="V4030" s="5" t="s">
        <v>39769</v>
      </c>
      <c r="W4030" s="5" t="s">
        <v>72</v>
      </c>
      <c r="X4030" s="5" t="s">
        <v>72</v>
      </c>
      <c r="Y4030" s="4">
        <v>408</v>
      </c>
      <c r="Z4030" s="4">
        <v>14</v>
      </c>
      <c r="AA4030" s="4">
        <v>14</v>
      </c>
      <c r="AB4030" s="4">
        <v>1</v>
      </c>
      <c r="AC4030" s="4">
        <v>1</v>
      </c>
      <c r="AD4030" s="4">
        <v>102</v>
      </c>
      <c r="AE4030" s="4">
        <v>102</v>
      </c>
      <c r="AF4030" s="4">
        <v>0</v>
      </c>
      <c r="AG4030" s="4">
        <v>0</v>
      </c>
      <c r="AH4030" s="4">
        <v>96</v>
      </c>
      <c r="AI4030" s="4">
        <v>96</v>
      </c>
      <c r="AJ4030" s="4">
        <v>12</v>
      </c>
      <c r="AK4030" s="4">
        <v>12</v>
      </c>
      <c r="AL4030" s="4">
        <v>54</v>
      </c>
      <c r="AM4030" s="4">
        <v>54</v>
      </c>
      <c r="AN4030" s="4">
        <v>0</v>
      </c>
      <c r="AO4030" s="4">
        <v>0</v>
      </c>
      <c r="AP4030" s="4">
        <v>11</v>
      </c>
      <c r="AQ4030" s="4">
        <v>11</v>
      </c>
      <c r="AR4030" s="3" t="s">
        <v>64</v>
      </c>
      <c r="AS4030" s="3" t="s">
        <v>64</v>
      </c>
      <c r="AT4030" s="3" t="s">
        <v>64</v>
      </c>
      <c r="AV4030" s="6" t="str">
        <f>HYPERLINK("http://mcgill.on.worldcat.org/oclc/19323868","Catalog Record")</f>
        <v>Catalog Record</v>
      </c>
      <c r="AW4030" s="6" t="str">
        <f>HYPERLINK("http://www.worldcat.org/oclc/19323868","WorldCat Record")</f>
        <v>WorldCat Record</v>
      </c>
      <c r="AX4030" s="3" t="s">
        <v>39770</v>
      </c>
      <c r="AY4030" s="3" t="s">
        <v>39771</v>
      </c>
      <c r="AZ4030" s="3" t="s">
        <v>39772</v>
      </c>
      <c r="BA4030" s="3" t="s">
        <v>39772</v>
      </c>
      <c r="BB4030" s="3" t="s">
        <v>39773</v>
      </c>
      <c r="BC4030" s="3" t="s">
        <v>77</v>
      </c>
      <c r="BD4030" s="3" t="s">
        <v>78</v>
      </c>
      <c r="BE4030" s="3" t="s">
        <v>39774</v>
      </c>
      <c r="BF4030" s="3" t="s">
        <v>39773</v>
      </c>
      <c r="BG4030" s="3" t="s">
        <v>39775</v>
      </c>
      <c r="BH4030">
        <f t="shared" si="104"/>
        <v>0</v>
      </c>
    </row>
    <row r="4031" spans="1:60" ht="72.5" x14ac:dyDescent="0.35">
      <c r="A4031" s="2" t="s">
        <v>6202</v>
      </c>
      <c r="B4031" s="2" t="s">
        <v>6203</v>
      </c>
      <c r="C4031" s="2" t="s">
        <v>39776</v>
      </c>
      <c r="D4031" s="2" t="s">
        <v>39777</v>
      </c>
      <c r="E4031" s="2" t="s">
        <v>39778</v>
      </c>
      <c r="G4031" s="3" t="s">
        <v>64</v>
      </c>
      <c r="I4031" s="3" t="s">
        <v>64</v>
      </c>
      <c r="J4031" s="3" t="s">
        <v>64</v>
      </c>
      <c r="K4031" s="3" t="s">
        <v>65</v>
      </c>
      <c r="L4031" s="2" t="s">
        <v>39779</v>
      </c>
      <c r="M4031" s="2" t="s">
        <v>39780</v>
      </c>
      <c r="N4031" s="3" t="s">
        <v>1250</v>
      </c>
      <c r="O4031" s="2" t="s">
        <v>39781</v>
      </c>
      <c r="P4031" s="3" t="s">
        <v>102</v>
      </c>
      <c r="R4031" s="3" t="s">
        <v>70</v>
      </c>
      <c r="S4031" s="4">
        <v>1</v>
      </c>
      <c r="T4031" s="4">
        <v>1</v>
      </c>
      <c r="U4031" s="5" t="s">
        <v>1541</v>
      </c>
      <c r="V4031" s="5" t="s">
        <v>1541</v>
      </c>
      <c r="W4031" s="5" t="s">
        <v>72</v>
      </c>
      <c r="X4031" s="5" t="s">
        <v>72</v>
      </c>
      <c r="Y4031" s="4">
        <v>188</v>
      </c>
      <c r="Z4031" s="4">
        <v>59</v>
      </c>
      <c r="AA4031" s="4">
        <v>60</v>
      </c>
      <c r="AB4031" s="4">
        <v>5</v>
      </c>
      <c r="AC4031" s="4">
        <v>5</v>
      </c>
      <c r="AD4031" s="4">
        <v>99</v>
      </c>
      <c r="AE4031" s="4">
        <v>99</v>
      </c>
      <c r="AF4031" s="4">
        <v>2</v>
      </c>
      <c r="AG4031" s="4">
        <v>2</v>
      </c>
      <c r="AH4031" s="4">
        <v>73</v>
      </c>
      <c r="AI4031" s="4">
        <v>73</v>
      </c>
      <c r="AJ4031" s="4">
        <v>23</v>
      </c>
      <c r="AK4031" s="4">
        <v>23</v>
      </c>
      <c r="AL4031" s="4">
        <v>41</v>
      </c>
      <c r="AM4031" s="4">
        <v>41</v>
      </c>
      <c r="AN4031" s="4">
        <v>0</v>
      </c>
      <c r="AO4031" s="4">
        <v>0</v>
      </c>
      <c r="AP4031" s="4">
        <v>32</v>
      </c>
      <c r="AQ4031" s="4">
        <v>32</v>
      </c>
      <c r="AR4031" s="3" t="s">
        <v>128</v>
      </c>
      <c r="AS4031" s="3" t="s">
        <v>64</v>
      </c>
      <c r="AT4031" s="3" t="s">
        <v>64</v>
      </c>
      <c r="AV4031" s="6" t="str">
        <f>HYPERLINK("http://mcgill.on.worldcat.org/oclc/32430820","Catalog Record")</f>
        <v>Catalog Record</v>
      </c>
      <c r="AW4031" s="6" t="str">
        <f>HYPERLINK("http://www.worldcat.org/oclc/32430820","WorldCat Record")</f>
        <v>WorldCat Record</v>
      </c>
      <c r="AX4031" s="3" t="s">
        <v>39782</v>
      </c>
      <c r="AY4031" s="3" t="s">
        <v>39783</v>
      </c>
      <c r="AZ4031" s="3" t="s">
        <v>39784</v>
      </c>
      <c r="BA4031" s="3" t="s">
        <v>39784</v>
      </c>
      <c r="BB4031" s="3" t="s">
        <v>39785</v>
      </c>
      <c r="BC4031" s="3" t="s">
        <v>77</v>
      </c>
      <c r="BD4031" s="3" t="s">
        <v>78</v>
      </c>
      <c r="BE4031" s="3" t="s">
        <v>39786</v>
      </c>
      <c r="BF4031" s="3" t="s">
        <v>39785</v>
      </c>
      <c r="BG4031" s="3" t="s">
        <v>39787</v>
      </c>
      <c r="BH4031">
        <f t="shared" si="104"/>
        <v>0</v>
      </c>
    </row>
    <row r="4032" spans="1:60" ht="101.5" x14ac:dyDescent="0.35">
      <c r="A4032" s="2" t="s">
        <v>6202</v>
      </c>
      <c r="B4032" s="2" t="s">
        <v>6203</v>
      </c>
      <c r="C4032" s="2" t="s">
        <v>39788</v>
      </c>
      <c r="D4032" s="2" t="s">
        <v>39789</v>
      </c>
      <c r="E4032" s="2" t="s">
        <v>39790</v>
      </c>
      <c r="G4032" s="3" t="s">
        <v>64</v>
      </c>
      <c r="I4032" s="3" t="s">
        <v>128</v>
      </c>
      <c r="J4032" s="3" t="s">
        <v>64</v>
      </c>
      <c r="K4032" s="3" t="s">
        <v>65</v>
      </c>
      <c r="L4032" s="2" t="s">
        <v>39791</v>
      </c>
      <c r="M4032" s="2" t="s">
        <v>39792</v>
      </c>
      <c r="N4032" s="3" t="s">
        <v>1615</v>
      </c>
      <c r="P4032" s="3" t="s">
        <v>102</v>
      </c>
      <c r="R4032" s="3" t="s">
        <v>70</v>
      </c>
      <c r="S4032" s="4">
        <v>0</v>
      </c>
      <c r="T4032" s="4">
        <v>1</v>
      </c>
      <c r="V4032" s="5" t="s">
        <v>1541</v>
      </c>
      <c r="W4032" s="5" t="s">
        <v>72</v>
      </c>
      <c r="X4032" s="5" t="s">
        <v>72</v>
      </c>
      <c r="Y4032" s="4">
        <v>228</v>
      </c>
      <c r="Z4032" s="4">
        <v>65</v>
      </c>
      <c r="AA4032" s="4">
        <v>65</v>
      </c>
      <c r="AB4032" s="4">
        <v>6</v>
      </c>
      <c r="AC4032" s="4">
        <v>6</v>
      </c>
      <c r="AD4032" s="4">
        <v>88</v>
      </c>
      <c r="AE4032" s="4">
        <v>88</v>
      </c>
      <c r="AF4032" s="4">
        <v>1</v>
      </c>
      <c r="AG4032" s="4">
        <v>1</v>
      </c>
      <c r="AH4032" s="4">
        <v>64</v>
      </c>
      <c r="AI4032" s="4">
        <v>64</v>
      </c>
      <c r="AJ4032" s="4">
        <v>16</v>
      </c>
      <c r="AK4032" s="4">
        <v>16</v>
      </c>
      <c r="AL4032" s="4">
        <v>36</v>
      </c>
      <c r="AM4032" s="4">
        <v>36</v>
      </c>
      <c r="AN4032" s="4">
        <v>0</v>
      </c>
      <c r="AO4032" s="4">
        <v>0</v>
      </c>
      <c r="AP4032" s="4">
        <v>28</v>
      </c>
      <c r="AQ4032" s="4">
        <v>28</v>
      </c>
      <c r="AR4032" s="3" t="s">
        <v>128</v>
      </c>
      <c r="AS4032" s="3" t="s">
        <v>64</v>
      </c>
      <c r="AT4032" s="3" t="s">
        <v>64</v>
      </c>
      <c r="AV4032" s="6" t="str">
        <f>HYPERLINK("http://mcgill.on.worldcat.org/oclc/35010833","Catalog Record")</f>
        <v>Catalog Record</v>
      </c>
      <c r="AW4032" s="6" t="str">
        <f>HYPERLINK("http://www.worldcat.org/oclc/35010833","WorldCat Record")</f>
        <v>WorldCat Record</v>
      </c>
      <c r="AX4032" s="3" t="s">
        <v>39793</v>
      </c>
      <c r="AY4032" s="3" t="s">
        <v>39794</v>
      </c>
      <c r="AZ4032" s="3" t="s">
        <v>39795</v>
      </c>
      <c r="BA4032" s="3" t="s">
        <v>39795</v>
      </c>
      <c r="BB4032" s="3" t="s">
        <v>39796</v>
      </c>
      <c r="BC4032" s="3" t="s">
        <v>77</v>
      </c>
      <c r="BD4032" s="3" t="s">
        <v>78</v>
      </c>
      <c r="BE4032" s="3" t="s">
        <v>39797</v>
      </c>
      <c r="BF4032" s="3" t="s">
        <v>39796</v>
      </c>
      <c r="BG4032" s="3" t="s">
        <v>39798</v>
      </c>
      <c r="BH4032">
        <f t="shared" si="104"/>
        <v>0</v>
      </c>
    </row>
    <row r="4033" spans="1:60" ht="101.5" x14ac:dyDescent="0.35">
      <c r="A4033" s="2" t="s">
        <v>6202</v>
      </c>
      <c r="B4033" s="2" t="s">
        <v>6203</v>
      </c>
      <c r="C4033" s="2" t="s">
        <v>39788</v>
      </c>
      <c r="D4033" s="2" t="s">
        <v>39789</v>
      </c>
      <c r="E4033" s="2" t="s">
        <v>39790</v>
      </c>
      <c r="G4033" s="3" t="s">
        <v>64</v>
      </c>
      <c r="I4033" s="3" t="s">
        <v>128</v>
      </c>
      <c r="J4033" s="3" t="s">
        <v>64</v>
      </c>
      <c r="K4033" s="3" t="s">
        <v>65</v>
      </c>
      <c r="L4033" s="2" t="s">
        <v>39791</v>
      </c>
      <c r="M4033" s="2" t="s">
        <v>39792</v>
      </c>
      <c r="N4033" s="3" t="s">
        <v>1615</v>
      </c>
      <c r="P4033" s="3" t="s">
        <v>102</v>
      </c>
      <c r="R4033" s="3" t="s">
        <v>70</v>
      </c>
      <c r="S4033" s="4">
        <v>1</v>
      </c>
      <c r="T4033" s="4">
        <v>1</v>
      </c>
      <c r="U4033" s="5" t="s">
        <v>1541</v>
      </c>
      <c r="V4033" s="5" t="s">
        <v>1541</v>
      </c>
      <c r="W4033" s="5" t="s">
        <v>72</v>
      </c>
      <c r="X4033" s="5" t="s">
        <v>72</v>
      </c>
      <c r="Y4033" s="4">
        <v>228</v>
      </c>
      <c r="Z4033" s="4">
        <v>65</v>
      </c>
      <c r="AA4033" s="4">
        <v>65</v>
      </c>
      <c r="AB4033" s="4">
        <v>6</v>
      </c>
      <c r="AC4033" s="4">
        <v>6</v>
      </c>
      <c r="AD4033" s="4">
        <v>88</v>
      </c>
      <c r="AE4033" s="4">
        <v>88</v>
      </c>
      <c r="AF4033" s="4">
        <v>1</v>
      </c>
      <c r="AG4033" s="4">
        <v>1</v>
      </c>
      <c r="AH4033" s="4">
        <v>64</v>
      </c>
      <c r="AI4033" s="4">
        <v>64</v>
      </c>
      <c r="AJ4033" s="4">
        <v>16</v>
      </c>
      <c r="AK4033" s="4">
        <v>16</v>
      </c>
      <c r="AL4033" s="4">
        <v>36</v>
      </c>
      <c r="AM4033" s="4">
        <v>36</v>
      </c>
      <c r="AN4033" s="4">
        <v>0</v>
      </c>
      <c r="AO4033" s="4">
        <v>0</v>
      </c>
      <c r="AP4033" s="4">
        <v>28</v>
      </c>
      <c r="AQ4033" s="4">
        <v>28</v>
      </c>
      <c r="AR4033" s="3" t="s">
        <v>128</v>
      </c>
      <c r="AS4033" s="3" t="s">
        <v>64</v>
      </c>
      <c r="AT4033" s="3" t="s">
        <v>64</v>
      </c>
      <c r="AV4033" s="6" t="str">
        <f>HYPERLINK("http://mcgill.on.worldcat.org/oclc/35010833","Catalog Record")</f>
        <v>Catalog Record</v>
      </c>
      <c r="AW4033" s="6" t="str">
        <f>HYPERLINK("http://www.worldcat.org/oclc/35010833","WorldCat Record")</f>
        <v>WorldCat Record</v>
      </c>
      <c r="AX4033" s="3" t="s">
        <v>39793</v>
      </c>
      <c r="AY4033" s="3" t="s">
        <v>39794</v>
      </c>
      <c r="AZ4033" s="3" t="s">
        <v>39795</v>
      </c>
      <c r="BA4033" s="3" t="s">
        <v>39795</v>
      </c>
      <c r="BB4033" s="3" t="s">
        <v>39799</v>
      </c>
      <c r="BC4033" s="3" t="s">
        <v>77</v>
      </c>
      <c r="BD4033" s="3" t="s">
        <v>78</v>
      </c>
      <c r="BE4033" s="3" t="s">
        <v>39797</v>
      </c>
      <c r="BF4033" s="3" t="s">
        <v>39799</v>
      </c>
      <c r="BG4033" s="3" t="s">
        <v>39800</v>
      </c>
      <c r="BH4033">
        <f t="shared" si="104"/>
        <v>0</v>
      </c>
    </row>
    <row r="4034" spans="1:60" ht="72.5" x14ac:dyDescent="0.35">
      <c r="A4034" s="2" t="s">
        <v>6202</v>
      </c>
      <c r="B4034" s="2" t="s">
        <v>6203</v>
      </c>
      <c r="C4034" s="2" t="s">
        <v>39801</v>
      </c>
      <c r="D4034" s="2" t="s">
        <v>39802</v>
      </c>
      <c r="E4034" s="2" t="s">
        <v>39803</v>
      </c>
      <c r="G4034" s="3" t="s">
        <v>64</v>
      </c>
      <c r="I4034" s="3" t="s">
        <v>128</v>
      </c>
      <c r="J4034" s="3" t="s">
        <v>64</v>
      </c>
      <c r="K4034" s="3" t="s">
        <v>65</v>
      </c>
      <c r="L4034" s="2" t="s">
        <v>39804</v>
      </c>
      <c r="M4034" s="2" t="s">
        <v>39805</v>
      </c>
      <c r="N4034" s="3" t="s">
        <v>3330</v>
      </c>
      <c r="P4034" s="3" t="s">
        <v>102</v>
      </c>
      <c r="R4034" s="3" t="s">
        <v>70</v>
      </c>
      <c r="S4034" s="4">
        <v>3</v>
      </c>
      <c r="T4034" s="4">
        <v>3</v>
      </c>
      <c r="U4034" s="5" t="s">
        <v>3019</v>
      </c>
      <c r="V4034" s="5" t="s">
        <v>3019</v>
      </c>
      <c r="W4034" s="5" t="s">
        <v>72</v>
      </c>
      <c r="X4034" s="5" t="s">
        <v>72</v>
      </c>
      <c r="Y4034" s="4">
        <v>194</v>
      </c>
      <c r="Z4034" s="4">
        <v>98</v>
      </c>
      <c r="AA4034" s="4">
        <v>98</v>
      </c>
      <c r="AB4034" s="4">
        <v>8</v>
      </c>
      <c r="AC4034" s="4">
        <v>8</v>
      </c>
      <c r="AD4034" s="4">
        <v>96</v>
      </c>
      <c r="AE4034" s="4">
        <v>96</v>
      </c>
      <c r="AF4034" s="4">
        <v>2</v>
      </c>
      <c r="AG4034" s="4">
        <v>2</v>
      </c>
      <c r="AH4034" s="4">
        <v>57</v>
      </c>
      <c r="AI4034" s="4">
        <v>57</v>
      </c>
      <c r="AJ4034" s="4">
        <v>26</v>
      </c>
      <c r="AK4034" s="4">
        <v>26</v>
      </c>
      <c r="AL4034" s="4">
        <v>32</v>
      </c>
      <c r="AM4034" s="4">
        <v>32</v>
      </c>
      <c r="AN4034" s="4">
        <v>0</v>
      </c>
      <c r="AO4034" s="4">
        <v>0</v>
      </c>
      <c r="AP4034" s="4">
        <v>47</v>
      </c>
      <c r="AQ4034" s="4">
        <v>47</v>
      </c>
      <c r="AR4034" s="3" t="s">
        <v>128</v>
      </c>
      <c r="AS4034" s="3" t="s">
        <v>64</v>
      </c>
      <c r="AT4034" s="3" t="s">
        <v>128</v>
      </c>
      <c r="AU4034" s="6" t="str">
        <f>HYPERLINK("http://catalog.hathitrust.org/Record/000949320","HathiTrust Record")</f>
        <v>HathiTrust Record</v>
      </c>
      <c r="AV4034" s="6" t="str">
        <f>HYPERLINK("http://mcgill.on.worldcat.org/oclc/19325725","Catalog Record")</f>
        <v>Catalog Record</v>
      </c>
      <c r="AW4034" s="6" t="str">
        <f>HYPERLINK("http://www.worldcat.org/oclc/19325725","WorldCat Record")</f>
        <v>WorldCat Record</v>
      </c>
      <c r="AX4034" s="3" t="s">
        <v>39806</v>
      </c>
      <c r="AY4034" s="3" t="s">
        <v>39807</v>
      </c>
      <c r="AZ4034" s="3" t="s">
        <v>39808</v>
      </c>
      <c r="BA4034" s="3" t="s">
        <v>39808</v>
      </c>
      <c r="BB4034" s="3" t="s">
        <v>39809</v>
      </c>
      <c r="BC4034" s="3" t="s">
        <v>77</v>
      </c>
      <c r="BD4034" s="3" t="s">
        <v>78</v>
      </c>
      <c r="BE4034" s="3" t="s">
        <v>39810</v>
      </c>
      <c r="BF4034" s="3" t="s">
        <v>39809</v>
      </c>
      <c r="BG4034" s="3" t="s">
        <v>39811</v>
      </c>
      <c r="BH4034">
        <f t="shared" ref="BH4034:BH4097" si="105">IF(COUNTIF($BF$1:$BF$5431,BF4034)=1,0,1)</f>
        <v>0</v>
      </c>
    </row>
    <row r="4035" spans="1:60" ht="58" x14ac:dyDescent="0.35">
      <c r="A4035" s="2" t="s">
        <v>59</v>
      </c>
      <c r="B4035" s="2" t="s">
        <v>60</v>
      </c>
      <c r="C4035" s="2" t="s">
        <v>39812</v>
      </c>
      <c r="D4035" s="2" t="s">
        <v>39813</v>
      </c>
      <c r="E4035" s="2" t="s">
        <v>39814</v>
      </c>
      <c r="G4035" s="3" t="s">
        <v>64</v>
      </c>
      <c r="I4035" s="3" t="s">
        <v>64</v>
      </c>
      <c r="J4035" s="3" t="s">
        <v>64</v>
      </c>
      <c r="K4035" s="3" t="s">
        <v>65</v>
      </c>
      <c r="L4035" s="2" t="s">
        <v>39815</v>
      </c>
      <c r="M4035" s="2" t="s">
        <v>39816</v>
      </c>
      <c r="N4035" s="3" t="s">
        <v>1263</v>
      </c>
      <c r="O4035" s="2" t="s">
        <v>39817</v>
      </c>
      <c r="P4035" s="3" t="s">
        <v>944</v>
      </c>
      <c r="Q4035" s="2" t="s">
        <v>39818</v>
      </c>
      <c r="R4035" s="3" t="s">
        <v>70</v>
      </c>
      <c r="S4035" s="4">
        <v>3</v>
      </c>
      <c r="T4035" s="4">
        <v>3</v>
      </c>
      <c r="U4035" s="5" t="s">
        <v>724</v>
      </c>
      <c r="V4035" s="5" t="s">
        <v>724</v>
      </c>
      <c r="W4035" s="5" t="s">
        <v>72</v>
      </c>
      <c r="X4035" s="5" t="s">
        <v>72</v>
      </c>
      <c r="Y4035" s="4">
        <v>30</v>
      </c>
      <c r="Z4035" s="4">
        <v>8</v>
      </c>
      <c r="AA4035" s="4">
        <v>9</v>
      </c>
      <c r="AB4035" s="4">
        <v>1</v>
      </c>
      <c r="AC4035" s="4">
        <v>2</v>
      </c>
      <c r="AD4035" s="4">
        <v>11</v>
      </c>
      <c r="AE4035" s="4">
        <v>14</v>
      </c>
      <c r="AF4035" s="4">
        <v>0</v>
      </c>
      <c r="AG4035" s="4">
        <v>0</v>
      </c>
      <c r="AH4035" s="4">
        <v>9</v>
      </c>
      <c r="AI4035" s="4">
        <v>12</v>
      </c>
      <c r="AJ4035" s="4">
        <v>5</v>
      </c>
      <c r="AK4035" s="4">
        <v>5</v>
      </c>
      <c r="AL4035" s="4">
        <v>5</v>
      </c>
      <c r="AM4035" s="4">
        <v>7</v>
      </c>
      <c r="AN4035" s="4">
        <v>0</v>
      </c>
      <c r="AO4035" s="4">
        <v>0</v>
      </c>
      <c r="AP4035" s="4">
        <v>5</v>
      </c>
      <c r="AQ4035" s="4">
        <v>5</v>
      </c>
      <c r="AR4035" s="3" t="s">
        <v>64</v>
      </c>
      <c r="AS4035" s="3" t="s">
        <v>64</v>
      </c>
      <c r="AT4035" s="3" t="s">
        <v>64</v>
      </c>
      <c r="AV4035" s="6" t="str">
        <f>HYPERLINK("http://mcgill.on.worldcat.org/oclc/30035940","Catalog Record")</f>
        <v>Catalog Record</v>
      </c>
      <c r="AW4035" s="6" t="str">
        <f>HYPERLINK("http://www.worldcat.org/oclc/30035940","WorldCat Record")</f>
        <v>WorldCat Record</v>
      </c>
      <c r="AX4035" s="3" t="s">
        <v>39819</v>
      </c>
      <c r="AY4035" s="3" t="s">
        <v>39820</v>
      </c>
      <c r="AZ4035" s="3" t="s">
        <v>39821</v>
      </c>
      <c r="BA4035" s="3" t="s">
        <v>39821</v>
      </c>
      <c r="BB4035" s="3" t="s">
        <v>39822</v>
      </c>
      <c r="BC4035" s="3" t="s">
        <v>77</v>
      </c>
      <c r="BD4035" s="3" t="s">
        <v>78</v>
      </c>
      <c r="BE4035" s="3" t="s">
        <v>39823</v>
      </c>
      <c r="BF4035" s="3" t="s">
        <v>39822</v>
      </c>
      <c r="BG4035" s="3" t="s">
        <v>39824</v>
      </c>
      <c r="BH4035">
        <f t="shared" si="105"/>
        <v>0</v>
      </c>
    </row>
    <row r="4036" spans="1:60" ht="87" x14ac:dyDescent="0.35">
      <c r="A4036" s="2" t="s">
        <v>6202</v>
      </c>
      <c r="B4036" s="2" t="s">
        <v>6203</v>
      </c>
      <c r="C4036" s="2" t="s">
        <v>39825</v>
      </c>
      <c r="D4036" s="2" t="s">
        <v>39826</v>
      </c>
      <c r="E4036" s="2" t="s">
        <v>39827</v>
      </c>
      <c r="G4036" s="3" t="s">
        <v>64</v>
      </c>
      <c r="I4036" s="3" t="s">
        <v>64</v>
      </c>
      <c r="J4036" s="3" t="s">
        <v>64</v>
      </c>
      <c r="K4036" s="3" t="s">
        <v>65</v>
      </c>
      <c r="L4036" s="2" t="s">
        <v>39779</v>
      </c>
      <c r="M4036" s="2" t="s">
        <v>39828</v>
      </c>
      <c r="N4036" s="3" t="s">
        <v>101</v>
      </c>
      <c r="O4036" s="2" t="s">
        <v>39829</v>
      </c>
      <c r="P4036" s="3" t="s">
        <v>102</v>
      </c>
      <c r="R4036" s="3" t="s">
        <v>70</v>
      </c>
      <c r="S4036" s="4">
        <v>1</v>
      </c>
      <c r="T4036" s="4">
        <v>1</v>
      </c>
      <c r="U4036" s="5" t="s">
        <v>1541</v>
      </c>
      <c r="V4036" s="5" t="s">
        <v>1541</v>
      </c>
      <c r="W4036" s="5" t="s">
        <v>72</v>
      </c>
      <c r="X4036" s="5" t="s">
        <v>72</v>
      </c>
      <c r="Y4036" s="4">
        <v>121</v>
      </c>
      <c r="Z4036" s="4">
        <v>57</v>
      </c>
      <c r="AA4036" s="4">
        <v>145</v>
      </c>
      <c r="AB4036" s="4">
        <v>6</v>
      </c>
      <c r="AC4036" s="4">
        <v>25</v>
      </c>
      <c r="AD4036" s="4">
        <v>68</v>
      </c>
      <c r="AE4036" s="4">
        <v>130</v>
      </c>
      <c r="AF4036" s="4">
        <v>2</v>
      </c>
      <c r="AG4036" s="4">
        <v>8</v>
      </c>
      <c r="AH4036" s="4">
        <v>42</v>
      </c>
      <c r="AI4036" s="4">
        <v>79</v>
      </c>
      <c r="AJ4036" s="4">
        <v>16</v>
      </c>
      <c r="AK4036" s="4">
        <v>29</v>
      </c>
      <c r="AL4036" s="4">
        <v>21</v>
      </c>
      <c r="AM4036" s="4">
        <v>38</v>
      </c>
      <c r="AN4036" s="4">
        <v>0</v>
      </c>
      <c r="AO4036" s="4">
        <v>0</v>
      </c>
      <c r="AP4036" s="4">
        <v>33</v>
      </c>
      <c r="AQ4036" s="4">
        <v>60</v>
      </c>
      <c r="AR4036" s="3" t="s">
        <v>128</v>
      </c>
      <c r="AS4036" s="3" t="s">
        <v>64</v>
      </c>
      <c r="AT4036" s="3" t="s">
        <v>64</v>
      </c>
      <c r="AV4036" s="6" t="str">
        <f>HYPERLINK("http://mcgill.on.worldcat.org/oclc/50755992","Catalog Record")</f>
        <v>Catalog Record</v>
      </c>
      <c r="AW4036" s="6" t="str">
        <f>HYPERLINK("http://www.worldcat.org/oclc/50755992","WorldCat Record")</f>
        <v>WorldCat Record</v>
      </c>
      <c r="AX4036" s="3" t="s">
        <v>39830</v>
      </c>
      <c r="AY4036" s="3" t="s">
        <v>39831</v>
      </c>
      <c r="AZ4036" s="3" t="s">
        <v>39832</v>
      </c>
      <c r="BA4036" s="3" t="s">
        <v>39832</v>
      </c>
      <c r="BB4036" s="3" t="s">
        <v>39833</v>
      </c>
      <c r="BC4036" s="3" t="s">
        <v>77</v>
      </c>
      <c r="BD4036" s="3" t="s">
        <v>78</v>
      </c>
      <c r="BE4036" s="3" t="s">
        <v>39834</v>
      </c>
      <c r="BF4036" s="3" t="s">
        <v>39833</v>
      </c>
      <c r="BG4036" s="3" t="s">
        <v>39835</v>
      </c>
      <c r="BH4036">
        <f t="shared" si="105"/>
        <v>0</v>
      </c>
    </row>
    <row r="4037" spans="1:60" ht="72.5" x14ac:dyDescent="0.35">
      <c r="A4037" s="2" t="s">
        <v>6202</v>
      </c>
      <c r="B4037" s="2" t="s">
        <v>6203</v>
      </c>
      <c r="C4037" s="2" t="s">
        <v>39836</v>
      </c>
      <c r="D4037" s="2" t="s">
        <v>39837</v>
      </c>
      <c r="E4037" s="2" t="s">
        <v>39838</v>
      </c>
      <c r="G4037" s="3" t="s">
        <v>128</v>
      </c>
      <c r="I4037" s="3" t="s">
        <v>128</v>
      </c>
      <c r="J4037" s="3" t="s">
        <v>64</v>
      </c>
      <c r="K4037" s="3" t="s">
        <v>65</v>
      </c>
      <c r="L4037" s="2" t="s">
        <v>39839</v>
      </c>
      <c r="M4037" s="2" t="s">
        <v>39840</v>
      </c>
      <c r="N4037" s="3" t="s">
        <v>339</v>
      </c>
      <c r="P4037" s="3" t="s">
        <v>102</v>
      </c>
      <c r="R4037" s="3" t="s">
        <v>70</v>
      </c>
      <c r="S4037" s="4">
        <v>0</v>
      </c>
      <c r="T4037" s="4">
        <v>3</v>
      </c>
      <c r="V4037" s="5" t="s">
        <v>724</v>
      </c>
      <c r="W4037" s="5" t="s">
        <v>3035</v>
      </c>
      <c r="X4037" s="5" t="s">
        <v>20937</v>
      </c>
      <c r="Y4037" s="4">
        <v>19</v>
      </c>
      <c r="Z4037" s="4">
        <v>4</v>
      </c>
      <c r="AA4037" s="4">
        <v>12</v>
      </c>
      <c r="AB4037" s="4">
        <v>1</v>
      </c>
      <c r="AC4037" s="4">
        <v>4</v>
      </c>
      <c r="AD4037" s="4">
        <v>5</v>
      </c>
      <c r="AE4037" s="4">
        <v>10</v>
      </c>
      <c r="AF4037" s="4">
        <v>0</v>
      </c>
      <c r="AG4037" s="4">
        <v>2</v>
      </c>
      <c r="AH4037" s="4">
        <v>4</v>
      </c>
      <c r="AI4037" s="4">
        <v>6</v>
      </c>
      <c r="AJ4037" s="4">
        <v>1</v>
      </c>
      <c r="AK4037" s="4">
        <v>6</v>
      </c>
      <c r="AL4037" s="4">
        <v>1</v>
      </c>
      <c r="AM4037" s="4">
        <v>1</v>
      </c>
      <c r="AN4037" s="4">
        <v>0</v>
      </c>
      <c r="AO4037" s="4">
        <v>0</v>
      </c>
      <c r="AP4037" s="4">
        <v>1</v>
      </c>
      <c r="AQ4037" s="4">
        <v>5</v>
      </c>
      <c r="AR4037" s="3" t="s">
        <v>128</v>
      </c>
      <c r="AS4037" s="3" t="s">
        <v>64</v>
      </c>
      <c r="AT4037" s="3" t="s">
        <v>64</v>
      </c>
      <c r="AV4037" s="6" t="str">
        <f>HYPERLINK("http://mcgill.on.worldcat.org/oclc/4153105","Catalog Record")</f>
        <v>Catalog Record</v>
      </c>
      <c r="AW4037" s="6" t="str">
        <f>HYPERLINK("http://www.worldcat.org/oclc/4153105","WorldCat Record")</f>
        <v>WorldCat Record</v>
      </c>
      <c r="AX4037" s="3" t="s">
        <v>39841</v>
      </c>
      <c r="AY4037" s="3" t="s">
        <v>39842</v>
      </c>
      <c r="AZ4037" s="3" t="s">
        <v>39843</v>
      </c>
      <c r="BA4037" s="3" t="s">
        <v>39843</v>
      </c>
      <c r="BB4037" s="3" t="s">
        <v>39844</v>
      </c>
      <c r="BC4037" s="3" t="s">
        <v>77</v>
      </c>
      <c r="BD4037" s="3" t="s">
        <v>78</v>
      </c>
      <c r="BF4037" s="3" t="s">
        <v>39844</v>
      </c>
      <c r="BG4037" s="3" t="s">
        <v>39845</v>
      </c>
      <c r="BH4037">
        <f t="shared" si="105"/>
        <v>0</v>
      </c>
    </row>
    <row r="4038" spans="1:60" ht="72.5" x14ac:dyDescent="0.35">
      <c r="A4038" s="2" t="s">
        <v>59</v>
      </c>
      <c r="B4038" s="2" t="s">
        <v>60</v>
      </c>
      <c r="C4038" s="2" t="s">
        <v>39836</v>
      </c>
      <c r="D4038" s="2" t="s">
        <v>39837</v>
      </c>
      <c r="E4038" s="2" t="s">
        <v>39838</v>
      </c>
      <c r="G4038" s="3" t="s">
        <v>128</v>
      </c>
      <c r="I4038" s="3" t="s">
        <v>128</v>
      </c>
      <c r="J4038" s="3" t="s">
        <v>64</v>
      </c>
      <c r="K4038" s="3" t="s">
        <v>65</v>
      </c>
      <c r="L4038" s="2" t="s">
        <v>39839</v>
      </c>
      <c r="M4038" s="2" t="s">
        <v>39840</v>
      </c>
      <c r="N4038" s="3" t="s">
        <v>339</v>
      </c>
      <c r="P4038" s="3" t="s">
        <v>102</v>
      </c>
      <c r="R4038" s="3" t="s">
        <v>70</v>
      </c>
      <c r="S4038" s="4">
        <v>3</v>
      </c>
      <c r="T4038" s="4">
        <v>3</v>
      </c>
      <c r="U4038" s="5" t="s">
        <v>724</v>
      </c>
      <c r="V4038" s="5" t="s">
        <v>724</v>
      </c>
      <c r="W4038" s="5" t="s">
        <v>3035</v>
      </c>
      <c r="X4038" s="5" t="s">
        <v>20937</v>
      </c>
      <c r="Y4038" s="4">
        <v>19</v>
      </c>
      <c r="Z4038" s="4">
        <v>4</v>
      </c>
      <c r="AA4038" s="4">
        <v>12</v>
      </c>
      <c r="AB4038" s="4">
        <v>1</v>
      </c>
      <c r="AC4038" s="4">
        <v>4</v>
      </c>
      <c r="AD4038" s="4">
        <v>5</v>
      </c>
      <c r="AE4038" s="4">
        <v>10</v>
      </c>
      <c r="AF4038" s="4">
        <v>0</v>
      </c>
      <c r="AG4038" s="4">
        <v>2</v>
      </c>
      <c r="AH4038" s="4">
        <v>4</v>
      </c>
      <c r="AI4038" s="4">
        <v>6</v>
      </c>
      <c r="AJ4038" s="4">
        <v>1</v>
      </c>
      <c r="AK4038" s="4">
        <v>6</v>
      </c>
      <c r="AL4038" s="4">
        <v>1</v>
      </c>
      <c r="AM4038" s="4">
        <v>1</v>
      </c>
      <c r="AN4038" s="4">
        <v>0</v>
      </c>
      <c r="AO4038" s="4">
        <v>0</v>
      </c>
      <c r="AP4038" s="4">
        <v>1</v>
      </c>
      <c r="AQ4038" s="4">
        <v>5</v>
      </c>
      <c r="AR4038" s="3" t="s">
        <v>128</v>
      </c>
      <c r="AS4038" s="3" t="s">
        <v>64</v>
      </c>
      <c r="AT4038" s="3" t="s">
        <v>64</v>
      </c>
      <c r="AV4038" s="6" t="str">
        <f>HYPERLINK("http://mcgill.on.worldcat.org/oclc/4153105","Catalog Record")</f>
        <v>Catalog Record</v>
      </c>
      <c r="AW4038" s="6" t="str">
        <f>HYPERLINK("http://www.worldcat.org/oclc/4153105","WorldCat Record")</f>
        <v>WorldCat Record</v>
      </c>
      <c r="AX4038" s="3" t="s">
        <v>39841</v>
      </c>
      <c r="AY4038" s="3" t="s">
        <v>39842</v>
      </c>
      <c r="AZ4038" s="3" t="s">
        <v>39843</v>
      </c>
      <c r="BA4038" s="3" t="s">
        <v>39843</v>
      </c>
      <c r="BB4038" s="3" t="s">
        <v>39846</v>
      </c>
      <c r="BC4038" s="3" t="s">
        <v>77</v>
      </c>
      <c r="BD4038" s="3" t="s">
        <v>78</v>
      </c>
      <c r="BF4038" s="3" t="s">
        <v>39846</v>
      </c>
      <c r="BG4038" s="3" t="s">
        <v>39847</v>
      </c>
      <c r="BH4038">
        <f t="shared" si="105"/>
        <v>0</v>
      </c>
    </row>
    <row r="4039" spans="1:60" ht="72.5" x14ac:dyDescent="0.35">
      <c r="A4039" s="2" t="s">
        <v>6202</v>
      </c>
      <c r="B4039" s="2" t="s">
        <v>6203</v>
      </c>
      <c r="C4039" s="2" t="s">
        <v>39848</v>
      </c>
      <c r="D4039" s="2" t="s">
        <v>39849</v>
      </c>
      <c r="E4039" s="2" t="s">
        <v>39850</v>
      </c>
      <c r="F4039" s="3" t="s">
        <v>525</v>
      </c>
      <c r="G4039" s="3" t="s">
        <v>128</v>
      </c>
      <c r="I4039" s="3" t="s">
        <v>128</v>
      </c>
      <c r="J4039" s="3" t="s">
        <v>64</v>
      </c>
      <c r="K4039" s="3" t="s">
        <v>65</v>
      </c>
      <c r="L4039" s="2" t="s">
        <v>39851</v>
      </c>
      <c r="M4039" s="2" t="s">
        <v>39852</v>
      </c>
      <c r="N4039" s="3" t="s">
        <v>1061</v>
      </c>
      <c r="P4039" s="3" t="s">
        <v>102</v>
      </c>
      <c r="R4039" s="3" t="s">
        <v>70</v>
      </c>
      <c r="S4039" s="4">
        <v>0</v>
      </c>
      <c r="T4039" s="4">
        <v>4</v>
      </c>
      <c r="V4039" s="5" t="s">
        <v>724</v>
      </c>
      <c r="W4039" s="5" t="s">
        <v>72</v>
      </c>
      <c r="X4039" s="5" t="s">
        <v>72</v>
      </c>
      <c r="Y4039" s="4">
        <v>68</v>
      </c>
      <c r="Z4039" s="4">
        <v>35</v>
      </c>
      <c r="AA4039" s="4">
        <v>39</v>
      </c>
      <c r="AB4039" s="4">
        <v>5</v>
      </c>
      <c r="AC4039" s="4">
        <v>9</v>
      </c>
      <c r="AD4039" s="4">
        <v>37</v>
      </c>
      <c r="AE4039" s="4">
        <v>40</v>
      </c>
      <c r="AF4039" s="4">
        <v>1</v>
      </c>
      <c r="AG4039" s="4">
        <v>4</v>
      </c>
      <c r="AH4039" s="4">
        <v>27</v>
      </c>
      <c r="AI4039" s="4">
        <v>28</v>
      </c>
      <c r="AJ4039" s="4">
        <v>11</v>
      </c>
      <c r="AK4039" s="4">
        <v>14</v>
      </c>
      <c r="AL4039" s="4">
        <v>17</v>
      </c>
      <c r="AM4039" s="4">
        <v>17</v>
      </c>
      <c r="AN4039" s="4">
        <v>0</v>
      </c>
      <c r="AO4039" s="4">
        <v>0</v>
      </c>
      <c r="AP4039" s="4">
        <v>14</v>
      </c>
      <c r="AQ4039" s="4">
        <v>16</v>
      </c>
      <c r="AR4039" s="3" t="s">
        <v>128</v>
      </c>
      <c r="AS4039" s="3" t="s">
        <v>64</v>
      </c>
      <c r="AT4039" s="3" t="s">
        <v>128</v>
      </c>
      <c r="AU4039" s="6" t="str">
        <f t="shared" ref="AU4039:AU4044" si="106">HYPERLINK("http://catalog.hathitrust.org/Record/100880718","HathiTrust Record")</f>
        <v>HathiTrust Record</v>
      </c>
      <c r="AV4039" s="6" t="str">
        <f t="shared" ref="AV4039:AV4044" si="107">HYPERLINK("http://mcgill.on.worldcat.org/oclc/12357312","Catalog Record")</f>
        <v>Catalog Record</v>
      </c>
      <c r="AW4039" s="6" t="str">
        <f t="shared" ref="AW4039:AW4044" si="108">HYPERLINK("http://www.worldcat.org/oclc/12357312","WorldCat Record")</f>
        <v>WorldCat Record</v>
      </c>
      <c r="AX4039" s="3" t="s">
        <v>39853</v>
      </c>
      <c r="AY4039" s="3" t="s">
        <v>39854</v>
      </c>
      <c r="AZ4039" s="3" t="s">
        <v>39855</v>
      </c>
      <c r="BA4039" s="3" t="s">
        <v>39855</v>
      </c>
      <c r="BB4039" s="3" t="s">
        <v>39856</v>
      </c>
      <c r="BC4039" s="3" t="s">
        <v>77</v>
      </c>
      <c r="BD4039" s="3" t="s">
        <v>78</v>
      </c>
      <c r="BE4039" s="3" t="s">
        <v>39857</v>
      </c>
      <c r="BF4039" s="3" t="s">
        <v>39856</v>
      </c>
      <c r="BG4039" s="3" t="s">
        <v>39858</v>
      </c>
      <c r="BH4039">
        <f t="shared" si="105"/>
        <v>0</v>
      </c>
    </row>
    <row r="4040" spans="1:60" ht="72.5" x14ac:dyDescent="0.35">
      <c r="A4040" s="2" t="s">
        <v>6202</v>
      </c>
      <c r="B4040" s="2" t="s">
        <v>6203</v>
      </c>
      <c r="C4040" s="2" t="s">
        <v>39848</v>
      </c>
      <c r="D4040" s="2" t="s">
        <v>39849</v>
      </c>
      <c r="E4040" s="2" t="s">
        <v>39850</v>
      </c>
      <c r="F4040" s="3" t="s">
        <v>509</v>
      </c>
      <c r="G4040" s="3" t="s">
        <v>128</v>
      </c>
      <c r="I4040" s="3" t="s">
        <v>128</v>
      </c>
      <c r="J4040" s="3" t="s">
        <v>64</v>
      </c>
      <c r="K4040" s="3" t="s">
        <v>65</v>
      </c>
      <c r="L4040" s="2" t="s">
        <v>39851</v>
      </c>
      <c r="M4040" s="2" t="s">
        <v>39852</v>
      </c>
      <c r="N4040" s="3" t="s">
        <v>1061</v>
      </c>
      <c r="P4040" s="3" t="s">
        <v>102</v>
      </c>
      <c r="R4040" s="3" t="s">
        <v>70</v>
      </c>
      <c r="S4040" s="4">
        <v>0</v>
      </c>
      <c r="T4040" s="4">
        <v>4</v>
      </c>
      <c r="V4040" s="5" t="s">
        <v>724</v>
      </c>
      <c r="W4040" s="5" t="s">
        <v>72</v>
      </c>
      <c r="X4040" s="5" t="s">
        <v>72</v>
      </c>
      <c r="Y4040" s="4">
        <v>68</v>
      </c>
      <c r="Z4040" s="4">
        <v>35</v>
      </c>
      <c r="AA4040" s="4">
        <v>39</v>
      </c>
      <c r="AB4040" s="4">
        <v>5</v>
      </c>
      <c r="AC4040" s="4">
        <v>9</v>
      </c>
      <c r="AD4040" s="4">
        <v>37</v>
      </c>
      <c r="AE4040" s="4">
        <v>40</v>
      </c>
      <c r="AF4040" s="4">
        <v>1</v>
      </c>
      <c r="AG4040" s="4">
        <v>4</v>
      </c>
      <c r="AH4040" s="4">
        <v>27</v>
      </c>
      <c r="AI4040" s="4">
        <v>28</v>
      </c>
      <c r="AJ4040" s="4">
        <v>11</v>
      </c>
      <c r="AK4040" s="4">
        <v>14</v>
      </c>
      <c r="AL4040" s="4">
        <v>17</v>
      </c>
      <c r="AM4040" s="4">
        <v>17</v>
      </c>
      <c r="AN4040" s="4">
        <v>0</v>
      </c>
      <c r="AO4040" s="4">
        <v>0</v>
      </c>
      <c r="AP4040" s="4">
        <v>14</v>
      </c>
      <c r="AQ4040" s="4">
        <v>16</v>
      </c>
      <c r="AR4040" s="3" t="s">
        <v>128</v>
      </c>
      <c r="AS4040" s="3" t="s">
        <v>64</v>
      </c>
      <c r="AT4040" s="3" t="s">
        <v>128</v>
      </c>
      <c r="AU4040" s="6" t="str">
        <f t="shared" si="106"/>
        <v>HathiTrust Record</v>
      </c>
      <c r="AV4040" s="6" t="str">
        <f t="shared" si="107"/>
        <v>Catalog Record</v>
      </c>
      <c r="AW4040" s="6" t="str">
        <f t="shared" si="108"/>
        <v>WorldCat Record</v>
      </c>
      <c r="AX4040" s="3" t="s">
        <v>39853</v>
      </c>
      <c r="AY4040" s="3" t="s">
        <v>39854</v>
      </c>
      <c r="AZ4040" s="3" t="s">
        <v>39855</v>
      </c>
      <c r="BA4040" s="3" t="s">
        <v>39855</v>
      </c>
      <c r="BB4040" s="3" t="s">
        <v>39859</v>
      </c>
      <c r="BC4040" s="3" t="s">
        <v>77</v>
      </c>
      <c r="BD4040" s="3" t="s">
        <v>78</v>
      </c>
      <c r="BE4040" s="3" t="s">
        <v>39857</v>
      </c>
      <c r="BF4040" s="3" t="s">
        <v>39859</v>
      </c>
      <c r="BG4040" s="3" t="s">
        <v>39860</v>
      </c>
      <c r="BH4040">
        <f t="shared" si="105"/>
        <v>0</v>
      </c>
    </row>
    <row r="4041" spans="1:60" ht="72.5" x14ac:dyDescent="0.35">
      <c r="A4041" s="2" t="s">
        <v>59</v>
      </c>
      <c r="B4041" s="2" t="s">
        <v>60</v>
      </c>
      <c r="C4041" s="2" t="s">
        <v>39848</v>
      </c>
      <c r="D4041" s="2" t="s">
        <v>39849</v>
      </c>
      <c r="E4041" s="2" t="s">
        <v>39850</v>
      </c>
      <c r="F4041" s="3" t="s">
        <v>525</v>
      </c>
      <c r="G4041" s="3" t="s">
        <v>128</v>
      </c>
      <c r="I4041" s="3" t="s">
        <v>128</v>
      </c>
      <c r="J4041" s="3" t="s">
        <v>64</v>
      </c>
      <c r="K4041" s="3" t="s">
        <v>65</v>
      </c>
      <c r="L4041" s="2" t="s">
        <v>39851</v>
      </c>
      <c r="M4041" s="2" t="s">
        <v>39852</v>
      </c>
      <c r="N4041" s="3" t="s">
        <v>1061</v>
      </c>
      <c r="P4041" s="3" t="s">
        <v>102</v>
      </c>
      <c r="R4041" s="3" t="s">
        <v>70</v>
      </c>
      <c r="S4041" s="4">
        <v>2</v>
      </c>
      <c r="T4041" s="4">
        <v>4</v>
      </c>
      <c r="U4041" s="5" t="s">
        <v>39861</v>
      </c>
      <c r="V4041" s="5" t="s">
        <v>724</v>
      </c>
      <c r="W4041" s="5" t="s">
        <v>72</v>
      </c>
      <c r="X4041" s="5" t="s">
        <v>72</v>
      </c>
      <c r="Y4041" s="4">
        <v>68</v>
      </c>
      <c r="Z4041" s="4">
        <v>35</v>
      </c>
      <c r="AA4041" s="4">
        <v>39</v>
      </c>
      <c r="AB4041" s="4">
        <v>5</v>
      </c>
      <c r="AC4041" s="4">
        <v>9</v>
      </c>
      <c r="AD4041" s="4">
        <v>37</v>
      </c>
      <c r="AE4041" s="4">
        <v>40</v>
      </c>
      <c r="AF4041" s="4">
        <v>1</v>
      </c>
      <c r="AG4041" s="4">
        <v>4</v>
      </c>
      <c r="AH4041" s="4">
        <v>27</v>
      </c>
      <c r="AI4041" s="4">
        <v>28</v>
      </c>
      <c r="AJ4041" s="4">
        <v>11</v>
      </c>
      <c r="AK4041" s="4">
        <v>14</v>
      </c>
      <c r="AL4041" s="4">
        <v>17</v>
      </c>
      <c r="AM4041" s="4">
        <v>17</v>
      </c>
      <c r="AN4041" s="4">
        <v>0</v>
      </c>
      <c r="AO4041" s="4">
        <v>0</v>
      </c>
      <c r="AP4041" s="4">
        <v>14</v>
      </c>
      <c r="AQ4041" s="4">
        <v>16</v>
      </c>
      <c r="AR4041" s="3" t="s">
        <v>128</v>
      </c>
      <c r="AS4041" s="3" t="s">
        <v>64</v>
      </c>
      <c r="AT4041" s="3" t="s">
        <v>128</v>
      </c>
      <c r="AU4041" s="6" t="str">
        <f t="shared" si="106"/>
        <v>HathiTrust Record</v>
      </c>
      <c r="AV4041" s="6" t="str">
        <f t="shared" si="107"/>
        <v>Catalog Record</v>
      </c>
      <c r="AW4041" s="6" t="str">
        <f t="shared" si="108"/>
        <v>WorldCat Record</v>
      </c>
      <c r="AX4041" s="3" t="s">
        <v>39853</v>
      </c>
      <c r="AY4041" s="3" t="s">
        <v>39854</v>
      </c>
      <c r="AZ4041" s="3" t="s">
        <v>39855</v>
      </c>
      <c r="BA4041" s="3" t="s">
        <v>39855</v>
      </c>
      <c r="BB4041" s="3" t="s">
        <v>39862</v>
      </c>
      <c r="BC4041" s="3" t="s">
        <v>77</v>
      </c>
      <c r="BD4041" s="3" t="s">
        <v>78</v>
      </c>
      <c r="BE4041" s="3" t="s">
        <v>39857</v>
      </c>
      <c r="BF4041" s="3" t="s">
        <v>39862</v>
      </c>
      <c r="BG4041" s="3" t="s">
        <v>39863</v>
      </c>
      <c r="BH4041">
        <f t="shared" si="105"/>
        <v>0</v>
      </c>
    </row>
    <row r="4042" spans="1:60" ht="72.5" x14ac:dyDescent="0.35">
      <c r="A4042" s="2" t="s">
        <v>59</v>
      </c>
      <c r="B4042" s="2" t="s">
        <v>60</v>
      </c>
      <c r="C4042" s="2" t="s">
        <v>39848</v>
      </c>
      <c r="D4042" s="2" t="s">
        <v>39849</v>
      </c>
      <c r="E4042" s="2" t="s">
        <v>39850</v>
      </c>
      <c r="F4042" s="3" t="s">
        <v>522</v>
      </c>
      <c r="G4042" s="3" t="s">
        <v>128</v>
      </c>
      <c r="I4042" s="3" t="s">
        <v>128</v>
      </c>
      <c r="J4042" s="3" t="s">
        <v>64</v>
      </c>
      <c r="K4042" s="3" t="s">
        <v>65</v>
      </c>
      <c r="L4042" s="2" t="s">
        <v>39851</v>
      </c>
      <c r="M4042" s="2" t="s">
        <v>39852</v>
      </c>
      <c r="N4042" s="3" t="s">
        <v>1061</v>
      </c>
      <c r="P4042" s="3" t="s">
        <v>102</v>
      </c>
      <c r="R4042" s="3" t="s">
        <v>70</v>
      </c>
      <c r="S4042" s="4">
        <v>1</v>
      </c>
      <c r="T4042" s="4">
        <v>4</v>
      </c>
      <c r="U4042" s="5" t="s">
        <v>39861</v>
      </c>
      <c r="V4042" s="5" t="s">
        <v>724</v>
      </c>
      <c r="W4042" s="5" t="s">
        <v>72</v>
      </c>
      <c r="X4042" s="5" t="s">
        <v>72</v>
      </c>
      <c r="Y4042" s="4">
        <v>68</v>
      </c>
      <c r="Z4042" s="4">
        <v>35</v>
      </c>
      <c r="AA4042" s="4">
        <v>39</v>
      </c>
      <c r="AB4042" s="4">
        <v>5</v>
      </c>
      <c r="AC4042" s="4">
        <v>9</v>
      </c>
      <c r="AD4042" s="4">
        <v>37</v>
      </c>
      <c r="AE4042" s="4">
        <v>40</v>
      </c>
      <c r="AF4042" s="4">
        <v>1</v>
      </c>
      <c r="AG4042" s="4">
        <v>4</v>
      </c>
      <c r="AH4042" s="4">
        <v>27</v>
      </c>
      <c r="AI4042" s="4">
        <v>28</v>
      </c>
      <c r="AJ4042" s="4">
        <v>11</v>
      </c>
      <c r="AK4042" s="4">
        <v>14</v>
      </c>
      <c r="AL4042" s="4">
        <v>17</v>
      </c>
      <c r="AM4042" s="4">
        <v>17</v>
      </c>
      <c r="AN4042" s="4">
        <v>0</v>
      </c>
      <c r="AO4042" s="4">
        <v>0</v>
      </c>
      <c r="AP4042" s="4">
        <v>14</v>
      </c>
      <c r="AQ4042" s="4">
        <v>16</v>
      </c>
      <c r="AR4042" s="3" t="s">
        <v>128</v>
      </c>
      <c r="AS4042" s="3" t="s">
        <v>64</v>
      </c>
      <c r="AT4042" s="3" t="s">
        <v>128</v>
      </c>
      <c r="AU4042" s="6" t="str">
        <f t="shared" si="106"/>
        <v>HathiTrust Record</v>
      </c>
      <c r="AV4042" s="6" t="str">
        <f t="shared" si="107"/>
        <v>Catalog Record</v>
      </c>
      <c r="AW4042" s="6" t="str">
        <f t="shared" si="108"/>
        <v>WorldCat Record</v>
      </c>
      <c r="AX4042" s="3" t="s">
        <v>39853</v>
      </c>
      <c r="AY4042" s="3" t="s">
        <v>39854</v>
      </c>
      <c r="AZ4042" s="3" t="s">
        <v>39855</v>
      </c>
      <c r="BA4042" s="3" t="s">
        <v>39855</v>
      </c>
      <c r="BB4042" s="3" t="s">
        <v>39864</v>
      </c>
      <c r="BC4042" s="3" t="s">
        <v>77</v>
      </c>
      <c r="BD4042" s="3" t="s">
        <v>78</v>
      </c>
      <c r="BE4042" s="3" t="s">
        <v>39857</v>
      </c>
      <c r="BF4042" s="3" t="s">
        <v>39864</v>
      </c>
      <c r="BG4042" s="3" t="s">
        <v>39865</v>
      </c>
      <c r="BH4042">
        <f t="shared" si="105"/>
        <v>0</v>
      </c>
    </row>
    <row r="4043" spans="1:60" ht="72.5" x14ac:dyDescent="0.35">
      <c r="A4043" s="2" t="s">
        <v>6202</v>
      </c>
      <c r="B4043" s="2" t="s">
        <v>6203</v>
      </c>
      <c r="C4043" s="2" t="s">
        <v>39848</v>
      </c>
      <c r="D4043" s="2" t="s">
        <v>39849</v>
      </c>
      <c r="E4043" s="2" t="s">
        <v>39850</v>
      </c>
      <c r="F4043" s="3" t="s">
        <v>529</v>
      </c>
      <c r="G4043" s="3" t="s">
        <v>128</v>
      </c>
      <c r="I4043" s="3" t="s">
        <v>128</v>
      </c>
      <c r="J4043" s="3" t="s">
        <v>64</v>
      </c>
      <c r="K4043" s="3" t="s">
        <v>65</v>
      </c>
      <c r="L4043" s="2" t="s">
        <v>39851</v>
      </c>
      <c r="M4043" s="2" t="s">
        <v>39852</v>
      </c>
      <c r="N4043" s="3" t="s">
        <v>1061</v>
      </c>
      <c r="P4043" s="3" t="s">
        <v>102</v>
      </c>
      <c r="R4043" s="3" t="s">
        <v>70</v>
      </c>
      <c r="S4043" s="4">
        <v>1</v>
      </c>
      <c r="T4043" s="4">
        <v>4</v>
      </c>
      <c r="U4043" s="5" t="s">
        <v>724</v>
      </c>
      <c r="V4043" s="5" t="s">
        <v>724</v>
      </c>
      <c r="W4043" s="5" t="s">
        <v>72</v>
      </c>
      <c r="X4043" s="5" t="s">
        <v>72</v>
      </c>
      <c r="Y4043" s="4">
        <v>68</v>
      </c>
      <c r="Z4043" s="4">
        <v>35</v>
      </c>
      <c r="AA4043" s="4">
        <v>39</v>
      </c>
      <c r="AB4043" s="4">
        <v>5</v>
      </c>
      <c r="AC4043" s="4">
        <v>9</v>
      </c>
      <c r="AD4043" s="4">
        <v>37</v>
      </c>
      <c r="AE4043" s="4">
        <v>40</v>
      </c>
      <c r="AF4043" s="4">
        <v>1</v>
      </c>
      <c r="AG4043" s="4">
        <v>4</v>
      </c>
      <c r="AH4043" s="4">
        <v>27</v>
      </c>
      <c r="AI4043" s="4">
        <v>28</v>
      </c>
      <c r="AJ4043" s="4">
        <v>11</v>
      </c>
      <c r="AK4043" s="4">
        <v>14</v>
      </c>
      <c r="AL4043" s="4">
        <v>17</v>
      </c>
      <c r="AM4043" s="4">
        <v>17</v>
      </c>
      <c r="AN4043" s="4">
        <v>0</v>
      </c>
      <c r="AO4043" s="4">
        <v>0</v>
      </c>
      <c r="AP4043" s="4">
        <v>14</v>
      </c>
      <c r="AQ4043" s="4">
        <v>16</v>
      </c>
      <c r="AR4043" s="3" t="s">
        <v>128</v>
      </c>
      <c r="AS4043" s="3" t="s">
        <v>64</v>
      </c>
      <c r="AT4043" s="3" t="s">
        <v>128</v>
      </c>
      <c r="AU4043" s="6" t="str">
        <f t="shared" si="106"/>
        <v>HathiTrust Record</v>
      </c>
      <c r="AV4043" s="6" t="str">
        <f t="shared" si="107"/>
        <v>Catalog Record</v>
      </c>
      <c r="AW4043" s="6" t="str">
        <f t="shared" si="108"/>
        <v>WorldCat Record</v>
      </c>
      <c r="AX4043" s="3" t="s">
        <v>39853</v>
      </c>
      <c r="AY4043" s="3" t="s">
        <v>39854</v>
      </c>
      <c r="AZ4043" s="3" t="s">
        <v>39855</v>
      </c>
      <c r="BA4043" s="3" t="s">
        <v>39855</v>
      </c>
      <c r="BB4043" s="3" t="s">
        <v>39866</v>
      </c>
      <c r="BC4043" s="3" t="s">
        <v>77</v>
      </c>
      <c r="BD4043" s="3" t="s">
        <v>78</v>
      </c>
      <c r="BE4043" s="3" t="s">
        <v>39857</v>
      </c>
      <c r="BF4043" s="3" t="s">
        <v>39866</v>
      </c>
      <c r="BG4043" s="3" t="s">
        <v>39867</v>
      </c>
      <c r="BH4043">
        <f t="shared" si="105"/>
        <v>0</v>
      </c>
    </row>
    <row r="4044" spans="1:60" ht="72.5" x14ac:dyDescent="0.35">
      <c r="A4044" s="2" t="s">
        <v>6202</v>
      </c>
      <c r="B4044" s="2" t="s">
        <v>6203</v>
      </c>
      <c r="C4044" s="2" t="s">
        <v>39848</v>
      </c>
      <c r="D4044" s="2" t="s">
        <v>39849</v>
      </c>
      <c r="E4044" s="2" t="s">
        <v>39850</v>
      </c>
      <c r="F4044" s="3" t="s">
        <v>522</v>
      </c>
      <c r="G4044" s="3" t="s">
        <v>128</v>
      </c>
      <c r="I4044" s="3" t="s">
        <v>128</v>
      </c>
      <c r="J4044" s="3" t="s">
        <v>64</v>
      </c>
      <c r="K4044" s="3" t="s">
        <v>65</v>
      </c>
      <c r="L4044" s="2" t="s">
        <v>39851</v>
      </c>
      <c r="M4044" s="2" t="s">
        <v>39852</v>
      </c>
      <c r="N4044" s="3" t="s">
        <v>1061</v>
      </c>
      <c r="P4044" s="3" t="s">
        <v>102</v>
      </c>
      <c r="R4044" s="3" t="s">
        <v>70</v>
      </c>
      <c r="S4044" s="4">
        <v>0</v>
      </c>
      <c r="T4044" s="4">
        <v>4</v>
      </c>
      <c r="V4044" s="5" t="s">
        <v>724</v>
      </c>
      <c r="W4044" s="5" t="s">
        <v>72</v>
      </c>
      <c r="X4044" s="5" t="s">
        <v>72</v>
      </c>
      <c r="Y4044" s="4">
        <v>68</v>
      </c>
      <c r="Z4044" s="4">
        <v>35</v>
      </c>
      <c r="AA4044" s="4">
        <v>39</v>
      </c>
      <c r="AB4044" s="4">
        <v>5</v>
      </c>
      <c r="AC4044" s="4">
        <v>9</v>
      </c>
      <c r="AD4044" s="4">
        <v>37</v>
      </c>
      <c r="AE4044" s="4">
        <v>40</v>
      </c>
      <c r="AF4044" s="4">
        <v>1</v>
      </c>
      <c r="AG4044" s="4">
        <v>4</v>
      </c>
      <c r="AH4044" s="4">
        <v>27</v>
      </c>
      <c r="AI4044" s="4">
        <v>28</v>
      </c>
      <c r="AJ4044" s="4">
        <v>11</v>
      </c>
      <c r="AK4044" s="4">
        <v>14</v>
      </c>
      <c r="AL4044" s="4">
        <v>17</v>
      </c>
      <c r="AM4044" s="4">
        <v>17</v>
      </c>
      <c r="AN4044" s="4">
        <v>0</v>
      </c>
      <c r="AO4044" s="4">
        <v>0</v>
      </c>
      <c r="AP4044" s="4">
        <v>14</v>
      </c>
      <c r="AQ4044" s="4">
        <v>16</v>
      </c>
      <c r="AR4044" s="3" t="s">
        <v>128</v>
      </c>
      <c r="AS4044" s="3" t="s">
        <v>64</v>
      </c>
      <c r="AT4044" s="3" t="s">
        <v>128</v>
      </c>
      <c r="AU4044" s="6" t="str">
        <f t="shared" si="106"/>
        <v>HathiTrust Record</v>
      </c>
      <c r="AV4044" s="6" t="str">
        <f t="shared" si="107"/>
        <v>Catalog Record</v>
      </c>
      <c r="AW4044" s="6" t="str">
        <f t="shared" si="108"/>
        <v>WorldCat Record</v>
      </c>
      <c r="AX4044" s="3" t="s">
        <v>39853</v>
      </c>
      <c r="AY4044" s="3" t="s">
        <v>39854</v>
      </c>
      <c r="AZ4044" s="3" t="s">
        <v>39855</v>
      </c>
      <c r="BA4044" s="3" t="s">
        <v>39855</v>
      </c>
      <c r="BB4044" s="3" t="s">
        <v>39868</v>
      </c>
      <c r="BC4044" s="3" t="s">
        <v>77</v>
      </c>
      <c r="BD4044" s="3" t="s">
        <v>78</v>
      </c>
      <c r="BE4044" s="3" t="s">
        <v>39857</v>
      </c>
      <c r="BF4044" s="3" t="s">
        <v>39868</v>
      </c>
      <c r="BG4044" s="3" t="s">
        <v>39869</v>
      </c>
      <c r="BH4044">
        <f t="shared" si="105"/>
        <v>0</v>
      </c>
    </row>
    <row r="4045" spans="1:60" ht="58" x14ac:dyDescent="0.35">
      <c r="A4045" s="2" t="s">
        <v>59</v>
      </c>
      <c r="B4045" s="2" t="s">
        <v>60</v>
      </c>
      <c r="C4045" s="2" t="s">
        <v>39870</v>
      </c>
      <c r="D4045" s="2" t="s">
        <v>39871</v>
      </c>
      <c r="E4045" s="2" t="s">
        <v>39872</v>
      </c>
      <c r="G4045" s="3" t="s">
        <v>64</v>
      </c>
      <c r="I4045" s="3" t="s">
        <v>128</v>
      </c>
      <c r="J4045" s="3" t="s">
        <v>64</v>
      </c>
      <c r="K4045" s="3" t="s">
        <v>65</v>
      </c>
      <c r="L4045" s="2" t="s">
        <v>39873</v>
      </c>
      <c r="M4045" s="2" t="s">
        <v>39874</v>
      </c>
      <c r="N4045" s="3" t="s">
        <v>3549</v>
      </c>
      <c r="P4045" s="3" t="s">
        <v>102</v>
      </c>
      <c r="R4045" s="3" t="s">
        <v>70</v>
      </c>
      <c r="S4045" s="4">
        <v>3</v>
      </c>
      <c r="T4045" s="4">
        <v>3</v>
      </c>
      <c r="U4045" s="5" t="s">
        <v>7801</v>
      </c>
      <c r="V4045" s="5" t="s">
        <v>7801</v>
      </c>
      <c r="W4045" s="5" t="s">
        <v>72</v>
      </c>
      <c r="X4045" s="5" t="s">
        <v>72</v>
      </c>
      <c r="Y4045" s="4">
        <v>66</v>
      </c>
      <c r="Z4045" s="4">
        <v>35</v>
      </c>
      <c r="AA4045" s="4">
        <v>43</v>
      </c>
      <c r="AB4045" s="4">
        <v>2</v>
      </c>
      <c r="AC4045" s="4">
        <v>6</v>
      </c>
      <c r="AD4045" s="4">
        <v>41</v>
      </c>
      <c r="AE4045" s="4">
        <v>46</v>
      </c>
      <c r="AF4045" s="4">
        <v>1</v>
      </c>
      <c r="AG4045" s="4">
        <v>3</v>
      </c>
      <c r="AH4045" s="4">
        <v>26</v>
      </c>
      <c r="AI4045" s="4">
        <v>29</v>
      </c>
      <c r="AJ4045" s="4">
        <v>19</v>
      </c>
      <c r="AK4045" s="4">
        <v>24</v>
      </c>
      <c r="AL4045" s="4">
        <v>14</v>
      </c>
      <c r="AM4045" s="4">
        <v>14</v>
      </c>
      <c r="AN4045" s="4">
        <v>0</v>
      </c>
      <c r="AO4045" s="4">
        <v>0</v>
      </c>
      <c r="AP4045" s="4">
        <v>24</v>
      </c>
      <c r="AQ4045" s="4">
        <v>27</v>
      </c>
      <c r="AR4045" s="3" t="s">
        <v>128</v>
      </c>
      <c r="AS4045" s="3" t="s">
        <v>64</v>
      </c>
      <c r="AT4045" s="3" t="s">
        <v>128</v>
      </c>
      <c r="AU4045" s="6" t="str">
        <f>HYPERLINK("http://catalog.hathitrust.org/Record/001168664","HathiTrust Record")</f>
        <v>HathiTrust Record</v>
      </c>
      <c r="AV4045" s="6" t="str">
        <f>HYPERLINK("http://mcgill.on.worldcat.org/oclc/13552930","Catalog Record")</f>
        <v>Catalog Record</v>
      </c>
      <c r="AW4045" s="6" t="str">
        <f>HYPERLINK("http://www.worldcat.org/oclc/13552930","WorldCat Record")</f>
        <v>WorldCat Record</v>
      </c>
      <c r="AX4045" s="3" t="s">
        <v>39875</v>
      </c>
      <c r="AY4045" s="3" t="s">
        <v>39876</v>
      </c>
      <c r="AZ4045" s="3" t="s">
        <v>39877</v>
      </c>
      <c r="BA4045" s="3" t="s">
        <v>39877</v>
      </c>
      <c r="BB4045" s="3" t="s">
        <v>39878</v>
      </c>
      <c r="BC4045" s="3" t="s">
        <v>77</v>
      </c>
      <c r="BD4045" s="3" t="s">
        <v>78</v>
      </c>
      <c r="BF4045" s="3" t="s">
        <v>39878</v>
      </c>
      <c r="BG4045" s="3" t="s">
        <v>39879</v>
      </c>
      <c r="BH4045">
        <f t="shared" si="105"/>
        <v>0</v>
      </c>
    </row>
    <row r="4046" spans="1:60" ht="58" x14ac:dyDescent="0.35">
      <c r="A4046" s="2" t="s">
        <v>59</v>
      </c>
      <c r="B4046" s="2" t="s">
        <v>60</v>
      </c>
      <c r="C4046" s="2" t="s">
        <v>39880</v>
      </c>
      <c r="D4046" s="2" t="s">
        <v>39881</v>
      </c>
      <c r="E4046" s="2" t="s">
        <v>39882</v>
      </c>
      <c r="G4046" s="3" t="s">
        <v>64</v>
      </c>
      <c r="I4046" s="3" t="s">
        <v>128</v>
      </c>
      <c r="J4046" s="3" t="s">
        <v>64</v>
      </c>
      <c r="K4046" s="3" t="s">
        <v>65</v>
      </c>
      <c r="L4046" s="2" t="s">
        <v>39883</v>
      </c>
      <c r="M4046" s="2" t="s">
        <v>39884</v>
      </c>
      <c r="N4046" s="3" t="s">
        <v>190</v>
      </c>
      <c r="O4046" s="2" t="s">
        <v>117</v>
      </c>
      <c r="P4046" s="3" t="s">
        <v>102</v>
      </c>
      <c r="R4046" s="3" t="s">
        <v>70</v>
      </c>
      <c r="S4046" s="4">
        <v>0</v>
      </c>
      <c r="T4046" s="4">
        <v>0</v>
      </c>
      <c r="W4046" s="5" t="s">
        <v>72</v>
      </c>
      <c r="X4046" s="5" t="s">
        <v>20937</v>
      </c>
      <c r="Y4046" s="4">
        <v>42</v>
      </c>
      <c r="Z4046" s="4">
        <v>14</v>
      </c>
      <c r="AA4046" s="4">
        <v>14</v>
      </c>
      <c r="AB4046" s="4">
        <v>1</v>
      </c>
      <c r="AC4046" s="4">
        <v>1</v>
      </c>
      <c r="AD4046" s="4">
        <v>23</v>
      </c>
      <c r="AE4046" s="4">
        <v>23</v>
      </c>
      <c r="AF4046" s="4">
        <v>0</v>
      </c>
      <c r="AG4046" s="4">
        <v>0</v>
      </c>
      <c r="AH4046" s="4">
        <v>16</v>
      </c>
      <c r="AI4046" s="4">
        <v>16</v>
      </c>
      <c r="AJ4046" s="4">
        <v>7</v>
      </c>
      <c r="AK4046" s="4">
        <v>7</v>
      </c>
      <c r="AL4046" s="4">
        <v>9</v>
      </c>
      <c r="AM4046" s="4">
        <v>9</v>
      </c>
      <c r="AN4046" s="4">
        <v>0</v>
      </c>
      <c r="AO4046" s="4">
        <v>0</v>
      </c>
      <c r="AP4046" s="4">
        <v>8</v>
      </c>
      <c r="AQ4046" s="4">
        <v>8</v>
      </c>
      <c r="AR4046" s="3" t="s">
        <v>128</v>
      </c>
      <c r="AS4046" s="3" t="s">
        <v>64</v>
      </c>
      <c r="AT4046" s="3" t="s">
        <v>64</v>
      </c>
      <c r="AV4046" s="6" t="str">
        <f>HYPERLINK("http://mcgill.on.worldcat.org/oclc/1035215246","Catalog Record")</f>
        <v>Catalog Record</v>
      </c>
      <c r="AW4046" s="6" t="str">
        <f>HYPERLINK("http://www.worldcat.org/oclc/1035215246","WorldCat Record")</f>
        <v>WorldCat Record</v>
      </c>
      <c r="AX4046" s="3" t="s">
        <v>39885</v>
      </c>
      <c r="AY4046" s="3" t="s">
        <v>39886</v>
      </c>
      <c r="AZ4046" s="3" t="s">
        <v>39887</v>
      </c>
      <c r="BA4046" s="3" t="s">
        <v>39887</v>
      </c>
      <c r="BB4046" s="3" t="s">
        <v>39888</v>
      </c>
      <c r="BC4046" s="3" t="s">
        <v>77</v>
      </c>
      <c r="BD4046" s="3" t="s">
        <v>78</v>
      </c>
      <c r="BE4046" s="3" t="s">
        <v>39889</v>
      </c>
      <c r="BF4046" s="3" t="s">
        <v>39888</v>
      </c>
      <c r="BG4046" s="3" t="s">
        <v>39890</v>
      </c>
      <c r="BH4046">
        <f t="shared" si="105"/>
        <v>0</v>
      </c>
    </row>
    <row r="4047" spans="1:60" ht="130.5" x14ac:dyDescent="0.35">
      <c r="A4047" s="2" t="s">
        <v>59</v>
      </c>
      <c r="B4047" s="2" t="s">
        <v>39594</v>
      </c>
      <c r="C4047" s="2" t="s">
        <v>39891</v>
      </c>
      <c r="D4047" s="2" t="s">
        <v>39892</v>
      </c>
      <c r="E4047" s="2" t="s">
        <v>39893</v>
      </c>
      <c r="G4047" s="3" t="s">
        <v>64</v>
      </c>
      <c r="I4047" s="3" t="s">
        <v>64</v>
      </c>
      <c r="J4047" s="3" t="s">
        <v>64</v>
      </c>
      <c r="K4047" s="3" t="s">
        <v>65</v>
      </c>
      <c r="L4047" s="2" t="s">
        <v>39894</v>
      </c>
      <c r="M4047" s="2" t="s">
        <v>39895</v>
      </c>
      <c r="N4047" s="3" t="s">
        <v>511</v>
      </c>
      <c r="P4047" s="3" t="s">
        <v>102</v>
      </c>
      <c r="R4047" s="3" t="s">
        <v>70</v>
      </c>
      <c r="S4047" s="4">
        <v>0</v>
      </c>
      <c r="T4047" s="4">
        <v>0</v>
      </c>
      <c r="W4047" s="5" t="s">
        <v>72</v>
      </c>
      <c r="X4047" s="5" t="s">
        <v>72</v>
      </c>
      <c r="Y4047" s="4">
        <v>3</v>
      </c>
      <c r="Z4047" s="4">
        <v>3</v>
      </c>
      <c r="AA4047" s="4">
        <v>4</v>
      </c>
      <c r="AB4047" s="4">
        <v>1</v>
      </c>
      <c r="AC4047" s="4">
        <v>1</v>
      </c>
      <c r="AD4047" s="4">
        <v>1</v>
      </c>
      <c r="AE4047" s="4">
        <v>2</v>
      </c>
      <c r="AF4047" s="4">
        <v>0</v>
      </c>
      <c r="AG4047" s="4">
        <v>0</v>
      </c>
      <c r="AH4047" s="4">
        <v>0</v>
      </c>
      <c r="AI4047" s="4">
        <v>0</v>
      </c>
      <c r="AJ4047" s="4">
        <v>1</v>
      </c>
      <c r="AK4047" s="4">
        <v>2</v>
      </c>
      <c r="AL4047" s="4">
        <v>0</v>
      </c>
      <c r="AM4047" s="4">
        <v>0</v>
      </c>
      <c r="AN4047" s="4">
        <v>0</v>
      </c>
      <c r="AO4047" s="4">
        <v>0</v>
      </c>
      <c r="AP4047" s="4">
        <v>0</v>
      </c>
      <c r="AQ4047" s="4">
        <v>0</v>
      </c>
      <c r="AR4047" s="3" t="s">
        <v>128</v>
      </c>
      <c r="AS4047" s="3" t="s">
        <v>64</v>
      </c>
      <c r="AT4047" s="3" t="s">
        <v>64</v>
      </c>
      <c r="AV4047" s="6" t="str">
        <f>HYPERLINK("http://mcgill.on.worldcat.org/oclc/671530576","Catalog Record")</f>
        <v>Catalog Record</v>
      </c>
      <c r="AW4047" s="6" t="str">
        <f>HYPERLINK("http://www.worldcat.org/oclc/671530576","WorldCat Record")</f>
        <v>WorldCat Record</v>
      </c>
      <c r="AX4047" s="3" t="s">
        <v>39896</v>
      </c>
      <c r="AY4047" s="3" t="s">
        <v>39897</v>
      </c>
      <c r="AZ4047" s="3" t="s">
        <v>39898</v>
      </c>
      <c r="BA4047" s="3" t="s">
        <v>39898</v>
      </c>
      <c r="BB4047" s="3" t="s">
        <v>39899</v>
      </c>
      <c r="BC4047" s="3" t="s">
        <v>77</v>
      </c>
      <c r="BD4047" s="3" t="s">
        <v>78</v>
      </c>
      <c r="BE4047" s="3" t="s">
        <v>39900</v>
      </c>
      <c r="BF4047" s="3" t="s">
        <v>39899</v>
      </c>
      <c r="BG4047" s="3" t="s">
        <v>39901</v>
      </c>
      <c r="BH4047">
        <f t="shared" si="105"/>
        <v>0</v>
      </c>
    </row>
    <row r="4048" spans="1:60" ht="130.5" x14ac:dyDescent="0.35">
      <c r="A4048" s="2" t="s">
        <v>59</v>
      </c>
      <c r="B4048" s="2" t="s">
        <v>39594</v>
      </c>
      <c r="C4048" s="2" t="s">
        <v>39902</v>
      </c>
      <c r="D4048" s="2" t="s">
        <v>39903</v>
      </c>
      <c r="E4048" s="2" t="s">
        <v>39904</v>
      </c>
      <c r="G4048" s="3" t="s">
        <v>64</v>
      </c>
      <c r="I4048" s="3" t="s">
        <v>64</v>
      </c>
      <c r="J4048" s="3" t="s">
        <v>64</v>
      </c>
      <c r="K4048" s="3" t="s">
        <v>65</v>
      </c>
      <c r="L4048" s="2" t="s">
        <v>39894</v>
      </c>
      <c r="M4048" s="2" t="s">
        <v>39895</v>
      </c>
      <c r="N4048" s="3" t="s">
        <v>511</v>
      </c>
      <c r="P4048" s="3" t="s">
        <v>68</v>
      </c>
      <c r="R4048" s="3" t="s">
        <v>70</v>
      </c>
      <c r="S4048" s="4">
        <v>0</v>
      </c>
      <c r="T4048" s="4">
        <v>0</v>
      </c>
      <c r="W4048" s="5" t="s">
        <v>72</v>
      </c>
      <c r="X4048" s="5" t="s">
        <v>72</v>
      </c>
      <c r="Y4048" s="4">
        <v>3</v>
      </c>
      <c r="Z4048" s="4">
        <v>3</v>
      </c>
      <c r="AA4048" s="4">
        <v>4</v>
      </c>
      <c r="AB4048" s="4">
        <v>2</v>
      </c>
      <c r="AC4048" s="4">
        <v>2</v>
      </c>
      <c r="AD4048" s="4">
        <v>1</v>
      </c>
      <c r="AE4048" s="4">
        <v>2</v>
      </c>
      <c r="AF4048" s="4">
        <v>0</v>
      </c>
      <c r="AG4048" s="4">
        <v>0</v>
      </c>
      <c r="AH4048" s="4">
        <v>0</v>
      </c>
      <c r="AI4048" s="4">
        <v>0</v>
      </c>
      <c r="AJ4048" s="4">
        <v>1</v>
      </c>
      <c r="AK4048" s="4">
        <v>2</v>
      </c>
      <c r="AL4048" s="4">
        <v>0</v>
      </c>
      <c r="AM4048" s="4">
        <v>0</v>
      </c>
      <c r="AN4048" s="4">
        <v>0</v>
      </c>
      <c r="AO4048" s="4">
        <v>0</v>
      </c>
      <c r="AP4048" s="4">
        <v>0</v>
      </c>
      <c r="AQ4048" s="4">
        <v>0</v>
      </c>
      <c r="AR4048" s="3" t="s">
        <v>128</v>
      </c>
      <c r="AS4048" s="3" t="s">
        <v>64</v>
      </c>
      <c r="AT4048" s="3" t="s">
        <v>64</v>
      </c>
      <c r="AV4048" s="6" t="str">
        <f>HYPERLINK("http://mcgill.on.worldcat.org/oclc/671530577","Catalog Record")</f>
        <v>Catalog Record</v>
      </c>
      <c r="AW4048" s="6" t="str">
        <f>HYPERLINK("http://www.worldcat.org/oclc/671530577","WorldCat Record")</f>
        <v>WorldCat Record</v>
      </c>
      <c r="AX4048" s="3" t="s">
        <v>39905</v>
      </c>
      <c r="AY4048" s="3" t="s">
        <v>39906</v>
      </c>
      <c r="AZ4048" s="3" t="s">
        <v>39907</v>
      </c>
      <c r="BA4048" s="3" t="s">
        <v>39907</v>
      </c>
      <c r="BB4048" s="3" t="s">
        <v>39908</v>
      </c>
      <c r="BC4048" s="3" t="s">
        <v>77</v>
      </c>
      <c r="BD4048" s="3" t="s">
        <v>78</v>
      </c>
      <c r="BE4048" s="3" t="s">
        <v>39909</v>
      </c>
      <c r="BF4048" s="3" t="s">
        <v>39908</v>
      </c>
      <c r="BG4048" s="3" t="s">
        <v>39910</v>
      </c>
      <c r="BH4048">
        <f t="shared" si="105"/>
        <v>0</v>
      </c>
    </row>
    <row r="4049" spans="1:60" ht="58" x14ac:dyDescent="0.35">
      <c r="A4049" s="2" t="s">
        <v>59</v>
      </c>
      <c r="B4049" s="2" t="s">
        <v>60</v>
      </c>
      <c r="C4049" s="2" t="s">
        <v>39911</v>
      </c>
      <c r="D4049" s="2" t="s">
        <v>39912</v>
      </c>
      <c r="E4049" s="2" t="s">
        <v>39913</v>
      </c>
      <c r="G4049" s="3" t="s">
        <v>64</v>
      </c>
      <c r="I4049" s="3" t="s">
        <v>64</v>
      </c>
      <c r="J4049" s="3" t="s">
        <v>64</v>
      </c>
      <c r="K4049" s="3" t="s">
        <v>65</v>
      </c>
      <c r="L4049" s="2" t="s">
        <v>39914</v>
      </c>
      <c r="M4049" s="2" t="s">
        <v>39915</v>
      </c>
      <c r="N4049" s="3" t="s">
        <v>434</v>
      </c>
      <c r="P4049" s="3" t="s">
        <v>102</v>
      </c>
      <c r="R4049" s="3" t="s">
        <v>70</v>
      </c>
      <c r="S4049" s="4">
        <v>1</v>
      </c>
      <c r="T4049" s="4">
        <v>1</v>
      </c>
      <c r="U4049" s="5" t="s">
        <v>15675</v>
      </c>
      <c r="V4049" s="5" t="s">
        <v>15675</v>
      </c>
      <c r="W4049" s="5" t="s">
        <v>72</v>
      </c>
      <c r="X4049" s="5" t="s">
        <v>72</v>
      </c>
      <c r="Y4049" s="4">
        <v>236</v>
      </c>
      <c r="Z4049" s="4">
        <v>51</v>
      </c>
      <c r="AA4049" s="4">
        <v>63</v>
      </c>
      <c r="AB4049" s="4">
        <v>3</v>
      </c>
      <c r="AC4049" s="4">
        <v>7</v>
      </c>
      <c r="AD4049" s="4">
        <v>98</v>
      </c>
      <c r="AE4049" s="4">
        <v>110</v>
      </c>
      <c r="AF4049" s="4">
        <v>1</v>
      </c>
      <c r="AG4049" s="4">
        <v>5</v>
      </c>
      <c r="AH4049" s="4">
        <v>74</v>
      </c>
      <c r="AI4049" s="4">
        <v>78</v>
      </c>
      <c r="AJ4049" s="4">
        <v>16</v>
      </c>
      <c r="AK4049" s="4">
        <v>24</v>
      </c>
      <c r="AL4049" s="4">
        <v>43</v>
      </c>
      <c r="AM4049" s="4">
        <v>43</v>
      </c>
      <c r="AN4049" s="4">
        <v>0</v>
      </c>
      <c r="AO4049" s="4">
        <v>0</v>
      </c>
      <c r="AP4049" s="4">
        <v>31</v>
      </c>
      <c r="AQ4049" s="4">
        <v>42</v>
      </c>
      <c r="AR4049" s="3" t="s">
        <v>128</v>
      </c>
      <c r="AS4049" s="3" t="s">
        <v>64</v>
      </c>
      <c r="AT4049" s="3" t="s">
        <v>64</v>
      </c>
      <c r="AV4049" s="6" t="str">
        <f>HYPERLINK("http://mcgill.on.worldcat.org/oclc/55146976","Catalog Record")</f>
        <v>Catalog Record</v>
      </c>
      <c r="AW4049" s="6" t="str">
        <f>HYPERLINK("http://www.worldcat.org/oclc/55146976","WorldCat Record")</f>
        <v>WorldCat Record</v>
      </c>
      <c r="AX4049" s="3" t="s">
        <v>39916</v>
      </c>
      <c r="AY4049" s="3" t="s">
        <v>39917</v>
      </c>
      <c r="AZ4049" s="3" t="s">
        <v>39918</v>
      </c>
      <c r="BA4049" s="3" t="s">
        <v>39918</v>
      </c>
      <c r="BB4049" s="3" t="s">
        <v>39919</v>
      </c>
      <c r="BC4049" s="3" t="s">
        <v>77</v>
      </c>
      <c r="BD4049" s="3" t="s">
        <v>78</v>
      </c>
      <c r="BE4049" s="3" t="s">
        <v>39920</v>
      </c>
      <c r="BF4049" s="3" t="s">
        <v>39919</v>
      </c>
      <c r="BG4049" s="3" t="s">
        <v>39921</v>
      </c>
      <c r="BH4049">
        <f t="shared" si="105"/>
        <v>0</v>
      </c>
    </row>
    <row r="4050" spans="1:60" ht="58" x14ac:dyDescent="0.35">
      <c r="A4050" s="2" t="s">
        <v>59</v>
      </c>
      <c r="B4050" s="2" t="s">
        <v>60</v>
      </c>
      <c r="C4050" s="2" t="s">
        <v>39922</v>
      </c>
      <c r="D4050" s="2" t="s">
        <v>39923</v>
      </c>
      <c r="E4050" s="2" t="s">
        <v>39924</v>
      </c>
      <c r="F4050" s="3" t="s">
        <v>39925</v>
      </c>
      <c r="G4050" s="3" t="s">
        <v>128</v>
      </c>
      <c r="I4050" s="3" t="s">
        <v>128</v>
      </c>
      <c r="J4050" s="3" t="s">
        <v>64</v>
      </c>
      <c r="K4050" s="3" t="s">
        <v>65</v>
      </c>
      <c r="L4050" s="2" t="s">
        <v>12621</v>
      </c>
      <c r="M4050" s="2" t="s">
        <v>39926</v>
      </c>
      <c r="N4050" s="3" t="s">
        <v>3721</v>
      </c>
      <c r="P4050" s="3" t="s">
        <v>102</v>
      </c>
      <c r="R4050" s="3" t="s">
        <v>70</v>
      </c>
      <c r="S4050" s="4">
        <v>2</v>
      </c>
      <c r="T4050" s="4">
        <v>26</v>
      </c>
      <c r="U4050" s="5" t="s">
        <v>39927</v>
      </c>
      <c r="V4050" s="5" t="s">
        <v>39928</v>
      </c>
      <c r="W4050" s="5" t="s">
        <v>72</v>
      </c>
      <c r="X4050" s="5" t="s">
        <v>72</v>
      </c>
      <c r="Y4050" s="4">
        <v>34</v>
      </c>
      <c r="Z4050" s="4">
        <v>21</v>
      </c>
      <c r="AA4050" s="4">
        <v>80</v>
      </c>
      <c r="AB4050" s="4">
        <v>1</v>
      </c>
      <c r="AC4050" s="4">
        <v>3</v>
      </c>
      <c r="AD4050" s="4">
        <v>10</v>
      </c>
      <c r="AE4050" s="4">
        <v>137</v>
      </c>
      <c r="AF4050" s="4">
        <v>0</v>
      </c>
      <c r="AG4050" s="4">
        <v>2</v>
      </c>
      <c r="AH4050" s="4">
        <v>3</v>
      </c>
      <c r="AI4050" s="4">
        <v>101</v>
      </c>
      <c r="AJ4050" s="4">
        <v>4</v>
      </c>
      <c r="AK4050" s="4">
        <v>21</v>
      </c>
      <c r="AL4050" s="4">
        <v>1</v>
      </c>
      <c r="AM4050" s="4">
        <v>54</v>
      </c>
      <c r="AN4050" s="4">
        <v>0</v>
      </c>
      <c r="AO4050" s="4">
        <v>0</v>
      </c>
      <c r="AP4050" s="4">
        <v>10</v>
      </c>
      <c r="AQ4050" s="4">
        <v>41</v>
      </c>
      <c r="AR4050" s="3" t="s">
        <v>128</v>
      </c>
      <c r="AS4050" s="3" t="s">
        <v>64</v>
      </c>
      <c r="AT4050" s="3" t="s">
        <v>64</v>
      </c>
      <c r="AV4050" s="6" t="str">
        <f t="shared" ref="AV4050:AV4064" si="109">HYPERLINK("http://mcgill.on.worldcat.org/oclc/427290544","Catalog Record")</f>
        <v>Catalog Record</v>
      </c>
      <c r="AW4050" s="6" t="str">
        <f t="shared" ref="AW4050:AW4064" si="110">HYPERLINK("http://www.worldcat.org/oclc/427290544","WorldCat Record")</f>
        <v>WorldCat Record</v>
      </c>
      <c r="AX4050" s="3" t="s">
        <v>39929</v>
      </c>
      <c r="AY4050" s="3" t="s">
        <v>39930</v>
      </c>
      <c r="AZ4050" s="3" t="s">
        <v>39931</v>
      </c>
      <c r="BA4050" s="3" t="s">
        <v>39931</v>
      </c>
      <c r="BB4050" s="3" t="s">
        <v>39932</v>
      </c>
      <c r="BC4050" s="3" t="s">
        <v>77</v>
      </c>
      <c r="BD4050" s="3" t="s">
        <v>78</v>
      </c>
      <c r="BE4050" s="3" t="s">
        <v>39933</v>
      </c>
      <c r="BF4050" s="3" t="s">
        <v>39932</v>
      </c>
      <c r="BG4050" s="3" t="s">
        <v>39934</v>
      </c>
      <c r="BH4050">
        <f t="shared" si="105"/>
        <v>0</v>
      </c>
    </row>
    <row r="4051" spans="1:60" ht="58" x14ac:dyDescent="0.35">
      <c r="A4051" s="2" t="s">
        <v>59</v>
      </c>
      <c r="B4051" s="2" t="s">
        <v>7607</v>
      </c>
      <c r="C4051" s="2" t="s">
        <v>39922</v>
      </c>
      <c r="D4051" s="2" t="s">
        <v>39923</v>
      </c>
      <c r="E4051" s="2" t="s">
        <v>39924</v>
      </c>
      <c r="F4051" s="3" t="s">
        <v>2044</v>
      </c>
      <c r="G4051" s="3" t="s">
        <v>128</v>
      </c>
      <c r="I4051" s="3" t="s">
        <v>128</v>
      </c>
      <c r="J4051" s="3" t="s">
        <v>64</v>
      </c>
      <c r="K4051" s="3" t="s">
        <v>65</v>
      </c>
      <c r="L4051" s="2" t="s">
        <v>12621</v>
      </c>
      <c r="M4051" s="2" t="s">
        <v>39926</v>
      </c>
      <c r="N4051" s="3" t="s">
        <v>3721</v>
      </c>
      <c r="P4051" s="3" t="s">
        <v>102</v>
      </c>
      <c r="R4051" s="3" t="s">
        <v>70</v>
      </c>
      <c r="S4051" s="4">
        <v>0</v>
      </c>
      <c r="T4051" s="4">
        <v>26</v>
      </c>
      <c r="V4051" s="5" t="s">
        <v>39928</v>
      </c>
      <c r="W4051" s="5" t="s">
        <v>72</v>
      </c>
      <c r="X4051" s="5" t="s">
        <v>72</v>
      </c>
      <c r="Y4051" s="4">
        <v>34</v>
      </c>
      <c r="Z4051" s="4">
        <v>21</v>
      </c>
      <c r="AA4051" s="4">
        <v>80</v>
      </c>
      <c r="AB4051" s="4">
        <v>1</v>
      </c>
      <c r="AC4051" s="4">
        <v>3</v>
      </c>
      <c r="AD4051" s="4">
        <v>10</v>
      </c>
      <c r="AE4051" s="4">
        <v>137</v>
      </c>
      <c r="AF4051" s="4">
        <v>0</v>
      </c>
      <c r="AG4051" s="4">
        <v>2</v>
      </c>
      <c r="AH4051" s="4">
        <v>3</v>
      </c>
      <c r="AI4051" s="4">
        <v>101</v>
      </c>
      <c r="AJ4051" s="4">
        <v>4</v>
      </c>
      <c r="AK4051" s="4">
        <v>21</v>
      </c>
      <c r="AL4051" s="4">
        <v>1</v>
      </c>
      <c r="AM4051" s="4">
        <v>54</v>
      </c>
      <c r="AN4051" s="4">
        <v>0</v>
      </c>
      <c r="AO4051" s="4">
        <v>0</v>
      </c>
      <c r="AP4051" s="4">
        <v>10</v>
      </c>
      <c r="AQ4051" s="4">
        <v>41</v>
      </c>
      <c r="AR4051" s="3" t="s">
        <v>128</v>
      </c>
      <c r="AS4051" s="3" t="s">
        <v>64</v>
      </c>
      <c r="AT4051" s="3" t="s">
        <v>64</v>
      </c>
      <c r="AV4051" s="6" t="str">
        <f t="shared" si="109"/>
        <v>Catalog Record</v>
      </c>
      <c r="AW4051" s="6" t="str">
        <f t="shared" si="110"/>
        <v>WorldCat Record</v>
      </c>
      <c r="AX4051" s="3" t="s">
        <v>39929</v>
      </c>
      <c r="AY4051" s="3" t="s">
        <v>39930</v>
      </c>
      <c r="AZ4051" s="3" t="s">
        <v>39931</v>
      </c>
      <c r="BA4051" s="3" t="s">
        <v>39931</v>
      </c>
      <c r="BB4051" s="3" t="s">
        <v>39935</v>
      </c>
      <c r="BC4051" s="3" t="s">
        <v>77</v>
      </c>
      <c r="BD4051" s="3" t="s">
        <v>78</v>
      </c>
      <c r="BE4051" s="3" t="s">
        <v>39933</v>
      </c>
      <c r="BF4051" s="3" t="s">
        <v>39935</v>
      </c>
      <c r="BG4051" s="3" t="s">
        <v>39936</v>
      </c>
      <c r="BH4051">
        <f t="shared" si="105"/>
        <v>0</v>
      </c>
    </row>
    <row r="4052" spans="1:60" ht="58" x14ac:dyDescent="0.35">
      <c r="A4052" s="2" t="s">
        <v>59</v>
      </c>
      <c r="B4052" s="2" t="s">
        <v>7607</v>
      </c>
      <c r="C4052" s="2" t="s">
        <v>39922</v>
      </c>
      <c r="D4052" s="2" t="s">
        <v>39923</v>
      </c>
      <c r="E4052" s="2" t="s">
        <v>39924</v>
      </c>
      <c r="F4052" s="3" t="s">
        <v>478</v>
      </c>
      <c r="G4052" s="3" t="s">
        <v>128</v>
      </c>
      <c r="I4052" s="3" t="s">
        <v>128</v>
      </c>
      <c r="J4052" s="3" t="s">
        <v>64</v>
      </c>
      <c r="K4052" s="3" t="s">
        <v>65</v>
      </c>
      <c r="L4052" s="2" t="s">
        <v>12621</v>
      </c>
      <c r="M4052" s="2" t="s">
        <v>39926</v>
      </c>
      <c r="N4052" s="3" t="s">
        <v>3721</v>
      </c>
      <c r="P4052" s="3" t="s">
        <v>102</v>
      </c>
      <c r="R4052" s="3" t="s">
        <v>70</v>
      </c>
      <c r="S4052" s="4">
        <v>1</v>
      </c>
      <c r="T4052" s="4">
        <v>26</v>
      </c>
      <c r="U4052" s="5" t="s">
        <v>687</v>
      </c>
      <c r="V4052" s="5" t="s">
        <v>39928</v>
      </c>
      <c r="W4052" s="5" t="s">
        <v>72</v>
      </c>
      <c r="X4052" s="5" t="s">
        <v>72</v>
      </c>
      <c r="Y4052" s="4">
        <v>34</v>
      </c>
      <c r="Z4052" s="4">
        <v>21</v>
      </c>
      <c r="AA4052" s="4">
        <v>80</v>
      </c>
      <c r="AB4052" s="4">
        <v>1</v>
      </c>
      <c r="AC4052" s="4">
        <v>3</v>
      </c>
      <c r="AD4052" s="4">
        <v>10</v>
      </c>
      <c r="AE4052" s="4">
        <v>137</v>
      </c>
      <c r="AF4052" s="4">
        <v>0</v>
      </c>
      <c r="AG4052" s="4">
        <v>2</v>
      </c>
      <c r="AH4052" s="4">
        <v>3</v>
      </c>
      <c r="AI4052" s="4">
        <v>101</v>
      </c>
      <c r="AJ4052" s="4">
        <v>4</v>
      </c>
      <c r="AK4052" s="4">
        <v>21</v>
      </c>
      <c r="AL4052" s="4">
        <v>1</v>
      </c>
      <c r="AM4052" s="4">
        <v>54</v>
      </c>
      <c r="AN4052" s="4">
        <v>0</v>
      </c>
      <c r="AO4052" s="4">
        <v>0</v>
      </c>
      <c r="AP4052" s="4">
        <v>10</v>
      </c>
      <c r="AQ4052" s="4">
        <v>41</v>
      </c>
      <c r="AR4052" s="3" t="s">
        <v>128</v>
      </c>
      <c r="AS4052" s="3" t="s">
        <v>64</v>
      </c>
      <c r="AT4052" s="3" t="s">
        <v>64</v>
      </c>
      <c r="AV4052" s="6" t="str">
        <f t="shared" si="109"/>
        <v>Catalog Record</v>
      </c>
      <c r="AW4052" s="6" t="str">
        <f t="shared" si="110"/>
        <v>WorldCat Record</v>
      </c>
      <c r="AX4052" s="3" t="s">
        <v>39929</v>
      </c>
      <c r="AY4052" s="3" t="s">
        <v>39930</v>
      </c>
      <c r="AZ4052" s="3" t="s">
        <v>39931</v>
      </c>
      <c r="BA4052" s="3" t="s">
        <v>39931</v>
      </c>
      <c r="BB4052" s="3" t="s">
        <v>39937</v>
      </c>
      <c r="BC4052" s="3" t="s">
        <v>77</v>
      </c>
      <c r="BD4052" s="3" t="s">
        <v>78</v>
      </c>
      <c r="BE4052" s="3" t="s">
        <v>39933</v>
      </c>
      <c r="BF4052" s="3" t="s">
        <v>39937</v>
      </c>
      <c r="BG4052" s="3" t="s">
        <v>39938</v>
      </c>
      <c r="BH4052">
        <f t="shared" si="105"/>
        <v>0</v>
      </c>
    </row>
    <row r="4053" spans="1:60" ht="58" x14ac:dyDescent="0.35">
      <c r="A4053" s="2" t="s">
        <v>59</v>
      </c>
      <c r="B4053" s="2" t="s">
        <v>60</v>
      </c>
      <c r="C4053" s="2" t="s">
        <v>39922</v>
      </c>
      <c r="D4053" s="2" t="s">
        <v>39923</v>
      </c>
      <c r="E4053" s="2" t="s">
        <v>39924</v>
      </c>
      <c r="F4053" s="3" t="s">
        <v>39939</v>
      </c>
      <c r="G4053" s="3" t="s">
        <v>128</v>
      </c>
      <c r="I4053" s="3" t="s">
        <v>128</v>
      </c>
      <c r="J4053" s="3" t="s">
        <v>64</v>
      </c>
      <c r="K4053" s="3" t="s">
        <v>65</v>
      </c>
      <c r="L4053" s="2" t="s">
        <v>12621</v>
      </c>
      <c r="M4053" s="2" t="s">
        <v>39926</v>
      </c>
      <c r="N4053" s="3" t="s">
        <v>3721</v>
      </c>
      <c r="P4053" s="3" t="s">
        <v>102</v>
      </c>
      <c r="R4053" s="3" t="s">
        <v>70</v>
      </c>
      <c r="S4053" s="4">
        <v>4</v>
      </c>
      <c r="T4053" s="4">
        <v>26</v>
      </c>
      <c r="U4053" s="5" t="s">
        <v>39940</v>
      </c>
      <c r="V4053" s="5" t="s">
        <v>39928</v>
      </c>
      <c r="W4053" s="5" t="s">
        <v>72</v>
      </c>
      <c r="X4053" s="5" t="s">
        <v>72</v>
      </c>
      <c r="Y4053" s="4">
        <v>34</v>
      </c>
      <c r="Z4053" s="4">
        <v>21</v>
      </c>
      <c r="AA4053" s="4">
        <v>80</v>
      </c>
      <c r="AB4053" s="4">
        <v>1</v>
      </c>
      <c r="AC4053" s="4">
        <v>3</v>
      </c>
      <c r="AD4053" s="4">
        <v>10</v>
      </c>
      <c r="AE4053" s="4">
        <v>137</v>
      </c>
      <c r="AF4053" s="4">
        <v>0</v>
      </c>
      <c r="AG4053" s="4">
        <v>2</v>
      </c>
      <c r="AH4053" s="4">
        <v>3</v>
      </c>
      <c r="AI4053" s="4">
        <v>101</v>
      </c>
      <c r="AJ4053" s="4">
        <v>4</v>
      </c>
      <c r="AK4053" s="4">
        <v>21</v>
      </c>
      <c r="AL4053" s="4">
        <v>1</v>
      </c>
      <c r="AM4053" s="4">
        <v>54</v>
      </c>
      <c r="AN4053" s="4">
        <v>0</v>
      </c>
      <c r="AO4053" s="4">
        <v>0</v>
      </c>
      <c r="AP4053" s="4">
        <v>10</v>
      </c>
      <c r="AQ4053" s="4">
        <v>41</v>
      </c>
      <c r="AR4053" s="3" t="s">
        <v>128</v>
      </c>
      <c r="AS4053" s="3" t="s">
        <v>64</v>
      </c>
      <c r="AT4053" s="3" t="s">
        <v>64</v>
      </c>
      <c r="AV4053" s="6" t="str">
        <f t="shared" si="109"/>
        <v>Catalog Record</v>
      </c>
      <c r="AW4053" s="6" t="str">
        <f t="shared" si="110"/>
        <v>WorldCat Record</v>
      </c>
      <c r="AX4053" s="3" t="s">
        <v>39929</v>
      </c>
      <c r="AY4053" s="3" t="s">
        <v>39930</v>
      </c>
      <c r="AZ4053" s="3" t="s">
        <v>39931</v>
      </c>
      <c r="BA4053" s="3" t="s">
        <v>39931</v>
      </c>
      <c r="BB4053" s="3" t="s">
        <v>39941</v>
      </c>
      <c r="BC4053" s="3" t="s">
        <v>77</v>
      </c>
      <c r="BD4053" s="3" t="s">
        <v>78</v>
      </c>
      <c r="BE4053" s="3" t="s">
        <v>39933</v>
      </c>
      <c r="BF4053" s="3" t="s">
        <v>39941</v>
      </c>
      <c r="BG4053" s="3" t="s">
        <v>39942</v>
      </c>
      <c r="BH4053">
        <f t="shared" si="105"/>
        <v>0</v>
      </c>
    </row>
    <row r="4054" spans="1:60" ht="58" x14ac:dyDescent="0.35">
      <c r="A4054" s="2" t="s">
        <v>59</v>
      </c>
      <c r="B4054" s="2" t="s">
        <v>60</v>
      </c>
      <c r="C4054" s="2" t="s">
        <v>39922</v>
      </c>
      <c r="D4054" s="2" t="s">
        <v>39923</v>
      </c>
      <c r="E4054" s="2" t="s">
        <v>39924</v>
      </c>
      <c r="F4054" s="3" t="s">
        <v>39943</v>
      </c>
      <c r="G4054" s="3" t="s">
        <v>128</v>
      </c>
      <c r="I4054" s="3" t="s">
        <v>128</v>
      </c>
      <c r="J4054" s="3" t="s">
        <v>64</v>
      </c>
      <c r="K4054" s="3" t="s">
        <v>65</v>
      </c>
      <c r="L4054" s="2" t="s">
        <v>12621</v>
      </c>
      <c r="M4054" s="2" t="s">
        <v>39926</v>
      </c>
      <c r="N4054" s="3" t="s">
        <v>3721</v>
      </c>
      <c r="P4054" s="3" t="s">
        <v>102</v>
      </c>
      <c r="R4054" s="3" t="s">
        <v>70</v>
      </c>
      <c r="S4054" s="4">
        <v>0</v>
      </c>
      <c r="T4054" s="4">
        <v>26</v>
      </c>
      <c r="V4054" s="5" t="s">
        <v>39928</v>
      </c>
      <c r="W4054" s="5" t="s">
        <v>72</v>
      </c>
      <c r="X4054" s="5" t="s">
        <v>72</v>
      </c>
      <c r="Y4054" s="4">
        <v>34</v>
      </c>
      <c r="Z4054" s="4">
        <v>21</v>
      </c>
      <c r="AA4054" s="4">
        <v>80</v>
      </c>
      <c r="AB4054" s="4">
        <v>1</v>
      </c>
      <c r="AC4054" s="4">
        <v>3</v>
      </c>
      <c r="AD4054" s="4">
        <v>10</v>
      </c>
      <c r="AE4054" s="4">
        <v>137</v>
      </c>
      <c r="AF4054" s="4">
        <v>0</v>
      </c>
      <c r="AG4054" s="4">
        <v>2</v>
      </c>
      <c r="AH4054" s="4">
        <v>3</v>
      </c>
      <c r="AI4054" s="4">
        <v>101</v>
      </c>
      <c r="AJ4054" s="4">
        <v>4</v>
      </c>
      <c r="AK4054" s="4">
        <v>21</v>
      </c>
      <c r="AL4054" s="4">
        <v>1</v>
      </c>
      <c r="AM4054" s="4">
        <v>54</v>
      </c>
      <c r="AN4054" s="4">
        <v>0</v>
      </c>
      <c r="AO4054" s="4">
        <v>0</v>
      </c>
      <c r="AP4054" s="4">
        <v>10</v>
      </c>
      <c r="AQ4054" s="4">
        <v>41</v>
      </c>
      <c r="AR4054" s="3" t="s">
        <v>128</v>
      </c>
      <c r="AS4054" s="3" t="s">
        <v>64</v>
      </c>
      <c r="AT4054" s="3" t="s">
        <v>64</v>
      </c>
      <c r="AV4054" s="6" t="str">
        <f t="shared" si="109"/>
        <v>Catalog Record</v>
      </c>
      <c r="AW4054" s="6" t="str">
        <f t="shared" si="110"/>
        <v>WorldCat Record</v>
      </c>
      <c r="AX4054" s="3" t="s">
        <v>39929</v>
      </c>
      <c r="AY4054" s="3" t="s">
        <v>39930</v>
      </c>
      <c r="AZ4054" s="3" t="s">
        <v>39931</v>
      </c>
      <c r="BA4054" s="3" t="s">
        <v>39931</v>
      </c>
      <c r="BB4054" s="3" t="s">
        <v>39944</v>
      </c>
      <c r="BC4054" s="3" t="s">
        <v>77</v>
      </c>
      <c r="BD4054" s="3" t="s">
        <v>78</v>
      </c>
      <c r="BE4054" s="3" t="s">
        <v>39933</v>
      </c>
      <c r="BF4054" s="3" t="s">
        <v>39944</v>
      </c>
      <c r="BG4054" s="3" t="s">
        <v>39945</v>
      </c>
      <c r="BH4054">
        <f t="shared" si="105"/>
        <v>0</v>
      </c>
    </row>
    <row r="4055" spans="1:60" ht="58" x14ac:dyDescent="0.35">
      <c r="A4055" s="2" t="s">
        <v>59</v>
      </c>
      <c r="B4055" s="2" t="s">
        <v>60</v>
      </c>
      <c r="C4055" s="2" t="s">
        <v>39922</v>
      </c>
      <c r="D4055" s="2" t="s">
        <v>39923</v>
      </c>
      <c r="E4055" s="2" t="s">
        <v>39924</v>
      </c>
      <c r="F4055" s="3" t="s">
        <v>39946</v>
      </c>
      <c r="G4055" s="3" t="s">
        <v>128</v>
      </c>
      <c r="I4055" s="3" t="s">
        <v>128</v>
      </c>
      <c r="J4055" s="3" t="s">
        <v>64</v>
      </c>
      <c r="K4055" s="3" t="s">
        <v>65</v>
      </c>
      <c r="L4055" s="2" t="s">
        <v>12621</v>
      </c>
      <c r="M4055" s="2" t="s">
        <v>39926</v>
      </c>
      <c r="N4055" s="3" t="s">
        <v>3721</v>
      </c>
      <c r="P4055" s="3" t="s">
        <v>102</v>
      </c>
      <c r="R4055" s="3" t="s">
        <v>70</v>
      </c>
      <c r="S4055" s="4">
        <v>4</v>
      </c>
      <c r="T4055" s="4">
        <v>26</v>
      </c>
      <c r="U4055" s="5" t="s">
        <v>39928</v>
      </c>
      <c r="V4055" s="5" t="s">
        <v>39928</v>
      </c>
      <c r="W4055" s="5" t="s">
        <v>72</v>
      </c>
      <c r="X4055" s="5" t="s">
        <v>72</v>
      </c>
      <c r="Y4055" s="4">
        <v>34</v>
      </c>
      <c r="Z4055" s="4">
        <v>21</v>
      </c>
      <c r="AA4055" s="4">
        <v>80</v>
      </c>
      <c r="AB4055" s="4">
        <v>1</v>
      </c>
      <c r="AC4055" s="4">
        <v>3</v>
      </c>
      <c r="AD4055" s="4">
        <v>10</v>
      </c>
      <c r="AE4055" s="4">
        <v>137</v>
      </c>
      <c r="AF4055" s="4">
        <v>0</v>
      </c>
      <c r="AG4055" s="4">
        <v>2</v>
      </c>
      <c r="AH4055" s="4">
        <v>3</v>
      </c>
      <c r="AI4055" s="4">
        <v>101</v>
      </c>
      <c r="AJ4055" s="4">
        <v>4</v>
      </c>
      <c r="AK4055" s="4">
        <v>21</v>
      </c>
      <c r="AL4055" s="4">
        <v>1</v>
      </c>
      <c r="AM4055" s="4">
        <v>54</v>
      </c>
      <c r="AN4055" s="4">
        <v>0</v>
      </c>
      <c r="AO4055" s="4">
        <v>0</v>
      </c>
      <c r="AP4055" s="4">
        <v>10</v>
      </c>
      <c r="AQ4055" s="4">
        <v>41</v>
      </c>
      <c r="AR4055" s="3" t="s">
        <v>128</v>
      </c>
      <c r="AS4055" s="3" t="s">
        <v>64</v>
      </c>
      <c r="AT4055" s="3" t="s">
        <v>64</v>
      </c>
      <c r="AV4055" s="6" t="str">
        <f t="shared" si="109"/>
        <v>Catalog Record</v>
      </c>
      <c r="AW4055" s="6" t="str">
        <f t="shared" si="110"/>
        <v>WorldCat Record</v>
      </c>
      <c r="AX4055" s="3" t="s">
        <v>39929</v>
      </c>
      <c r="AY4055" s="3" t="s">
        <v>39930</v>
      </c>
      <c r="AZ4055" s="3" t="s">
        <v>39931</v>
      </c>
      <c r="BA4055" s="3" t="s">
        <v>39931</v>
      </c>
      <c r="BB4055" s="3" t="s">
        <v>39947</v>
      </c>
      <c r="BC4055" s="3" t="s">
        <v>77</v>
      </c>
      <c r="BD4055" s="3" t="s">
        <v>78</v>
      </c>
      <c r="BE4055" s="3" t="s">
        <v>39933</v>
      </c>
      <c r="BF4055" s="3" t="s">
        <v>39947</v>
      </c>
      <c r="BG4055" s="3" t="s">
        <v>39948</v>
      </c>
      <c r="BH4055">
        <f t="shared" si="105"/>
        <v>0</v>
      </c>
    </row>
    <row r="4056" spans="1:60" ht="58" x14ac:dyDescent="0.35">
      <c r="A4056" s="2" t="s">
        <v>59</v>
      </c>
      <c r="B4056" s="2" t="s">
        <v>7607</v>
      </c>
      <c r="C4056" s="2" t="s">
        <v>39922</v>
      </c>
      <c r="D4056" s="2" t="s">
        <v>39923</v>
      </c>
      <c r="E4056" s="2" t="s">
        <v>39924</v>
      </c>
      <c r="F4056" s="3" t="s">
        <v>489</v>
      </c>
      <c r="G4056" s="3" t="s">
        <v>128</v>
      </c>
      <c r="I4056" s="3" t="s">
        <v>128</v>
      </c>
      <c r="J4056" s="3" t="s">
        <v>64</v>
      </c>
      <c r="K4056" s="3" t="s">
        <v>65</v>
      </c>
      <c r="L4056" s="2" t="s">
        <v>12621</v>
      </c>
      <c r="M4056" s="2" t="s">
        <v>39926</v>
      </c>
      <c r="N4056" s="3" t="s">
        <v>3721</v>
      </c>
      <c r="P4056" s="3" t="s">
        <v>102</v>
      </c>
      <c r="R4056" s="3" t="s">
        <v>70</v>
      </c>
      <c r="S4056" s="4">
        <v>1</v>
      </c>
      <c r="T4056" s="4">
        <v>26</v>
      </c>
      <c r="U4056" s="5" t="s">
        <v>39949</v>
      </c>
      <c r="V4056" s="5" t="s">
        <v>39928</v>
      </c>
      <c r="W4056" s="5" t="s">
        <v>72</v>
      </c>
      <c r="X4056" s="5" t="s">
        <v>72</v>
      </c>
      <c r="Y4056" s="4">
        <v>34</v>
      </c>
      <c r="Z4056" s="4">
        <v>21</v>
      </c>
      <c r="AA4056" s="4">
        <v>80</v>
      </c>
      <c r="AB4056" s="4">
        <v>1</v>
      </c>
      <c r="AC4056" s="4">
        <v>3</v>
      </c>
      <c r="AD4056" s="4">
        <v>10</v>
      </c>
      <c r="AE4056" s="4">
        <v>137</v>
      </c>
      <c r="AF4056" s="4">
        <v>0</v>
      </c>
      <c r="AG4056" s="4">
        <v>2</v>
      </c>
      <c r="AH4056" s="4">
        <v>3</v>
      </c>
      <c r="AI4056" s="4">
        <v>101</v>
      </c>
      <c r="AJ4056" s="4">
        <v>4</v>
      </c>
      <c r="AK4056" s="4">
        <v>21</v>
      </c>
      <c r="AL4056" s="4">
        <v>1</v>
      </c>
      <c r="AM4056" s="4">
        <v>54</v>
      </c>
      <c r="AN4056" s="4">
        <v>0</v>
      </c>
      <c r="AO4056" s="4">
        <v>0</v>
      </c>
      <c r="AP4056" s="4">
        <v>10</v>
      </c>
      <c r="AQ4056" s="4">
        <v>41</v>
      </c>
      <c r="AR4056" s="3" t="s">
        <v>128</v>
      </c>
      <c r="AS4056" s="3" t="s">
        <v>64</v>
      </c>
      <c r="AT4056" s="3" t="s">
        <v>64</v>
      </c>
      <c r="AV4056" s="6" t="str">
        <f t="shared" si="109"/>
        <v>Catalog Record</v>
      </c>
      <c r="AW4056" s="6" t="str">
        <f t="shared" si="110"/>
        <v>WorldCat Record</v>
      </c>
      <c r="AX4056" s="3" t="s">
        <v>39929</v>
      </c>
      <c r="AY4056" s="3" t="s">
        <v>39930</v>
      </c>
      <c r="AZ4056" s="3" t="s">
        <v>39931</v>
      </c>
      <c r="BA4056" s="3" t="s">
        <v>39931</v>
      </c>
      <c r="BB4056" s="3" t="s">
        <v>39950</v>
      </c>
      <c r="BC4056" s="3" t="s">
        <v>77</v>
      </c>
      <c r="BD4056" s="3" t="s">
        <v>78</v>
      </c>
      <c r="BE4056" s="3" t="s">
        <v>39933</v>
      </c>
      <c r="BF4056" s="3" t="s">
        <v>39950</v>
      </c>
      <c r="BG4056" s="3" t="s">
        <v>39951</v>
      </c>
      <c r="BH4056">
        <f t="shared" si="105"/>
        <v>0</v>
      </c>
    </row>
    <row r="4057" spans="1:60" ht="58" x14ac:dyDescent="0.35">
      <c r="A4057" s="2" t="s">
        <v>59</v>
      </c>
      <c r="B4057" s="2" t="s">
        <v>7607</v>
      </c>
      <c r="C4057" s="2" t="s">
        <v>39922</v>
      </c>
      <c r="D4057" s="2" t="s">
        <v>39923</v>
      </c>
      <c r="E4057" s="2" t="s">
        <v>39924</v>
      </c>
      <c r="F4057" s="3" t="s">
        <v>39952</v>
      </c>
      <c r="G4057" s="3" t="s">
        <v>128</v>
      </c>
      <c r="I4057" s="3" t="s">
        <v>128</v>
      </c>
      <c r="J4057" s="3" t="s">
        <v>64</v>
      </c>
      <c r="K4057" s="3" t="s">
        <v>65</v>
      </c>
      <c r="L4057" s="2" t="s">
        <v>12621</v>
      </c>
      <c r="M4057" s="2" t="s">
        <v>39926</v>
      </c>
      <c r="N4057" s="3" t="s">
        <v>3721</v>
      </c>
      <c r="P4057" s="3" t="s">
        <v>102</v>
      </c>
      <c r="R4057" s="3" t="s">
        <v>70</v>
      </c>
      <c r="S4057" s="4">
        <v>0</v>
      </c>
      <c r="T4057" s="4">
        <v>26</v>
      </c>
      <c r="V4057" s="5" t="s">
        <v>39928</v>
      </c>
      <c r="W4057" s="5" t="s">
        <v>72</v>
      </c>
      <c r="X4057" s="5" t="s">
        <v>72</v>
      </c>
      <c r="Y4057" s="4">
        <v>34</v>
      </c>
      <c r="Z4057" s="4">
        <v>21</v>
      </c>
      <c r="AA4057" s="4">
        <v>80</v>
      </c>
      <c r="AB4057" s="4">
        <v>1</v>
      </c>
      <c r="AC4057" s="4">
        <v>3</v>
      </c>
      <c r="AD4057" s="4">
        <v>10</v>
      </c>
      <c r="AE4057" s="4">
        <v>137</v>
      </c>
      <c r="AF4057" s="4">
        <v>0</v>
      </c>
      <c r="AG4057" s="4">
        <v>2</v>
      </c>
      <c r="AH4057" s="4">
        <v>3</v>
      </c>
      <c r="AI4057" s="4">
        <v>101</v>
      </c>
      <c r="AJ4057" s="4">
        <v>4</v>
      </c>
      <c r="AK4057" s="4">
        <v>21</v>
      </c>
      <c r="AL4057" s="4">
        <v>1</v>
      </c>
      <c r="AM4057" s="4">
        <v>54</v>
      </c>
      <c r="AN4057" s="4">
        <v>0</v>
      </c>
      <c r="AO4057" s="4">
        <v>0</v>
      </c>
      <c r="AP4057" s="4">
        <v>10</v>
      </c>
      <c r="AQ4057" s="4">
        <v>41</v>
      </c>
      <c r="AR4057" s="3" t="s">
        <v>128</v>
      </c>
      <c r="AS4057" s="3" t="s">
        <v>64</v>
      </c>
      <c r="AT4057" s="3" t="s">
        <v>64</v>
      </c>
      <c r="AV4057" s="6" t="str">
        <f t="shared" si="109"/>
        <v>Catalog Record</v>
      </c>
      <c r="AW4057" s="6" t="str">
        <f t="shared" si="110"/>
        <v>WorldCat Record</v>
      </c>
      <c r="AX4057" s="3" t="s">
        <v>39929</v>
      </c>
      <c r="AY4057" s="3" t="s">
        <v>39930</v>
      </c>
      <c r="AZ4057" s="3" t="s">
        <v>39931</v>
      </c>
      <c r="BA4057" s="3" t="s">
        <v>39931</v>
      </c>
      <c r="BB4057" s="3" t="s">
        <v>39953</v>
      </c>
      <c r="BC4057" s="3" t="s">
        <v>77</v>
      </c>
      <c r="BD4057" s="3" t="s">
        <v>78</v>
      </c>
      <c r="BE4057" s="3" t="s">
        <v>39933</v>
      </c>
      <c r="BF4057" s="3" t="s">
        <v>39953</v>
      </c>
      <c r="BG4057" s="3" t="s">
        <v>39954</v>
      </c>
      <c r="BH4057">
        <f t="shared" si="105"/>
        <v>0</v>
      </c>
    </row>
    <row r="4058" spans="1:60" ht="58" x14ac:dyDescent="0.35">
      <c r="A4058" s="2" t="s">
        <v>59</v>
      </c>
      <c r="B4058" s="2" t="s">
        <v>7607</v>
      </c>
      <c r="C4058" s="2" t="s">
        <v>39922</v>
      </c>
      <c r="D4058" s="2" t="s">
        <v>39923</v>
      </c>
      <c r="E4058" s="2" t="s">
        <v>39924</v>
      </c>
      <c r="F4058" s="3" t="s">
        <v>2047</v>
      </c>
      <c r="G4058" s="3" t="s">
        <v>128</v>
      </c>
      <c r="I4058" s="3" t="s">
        <v>128</v>
      </c>
      <c r="J4058" s="3" t="s">
        <v>64</v>
      </c>
      <c r="K4058" s="3" t="s">
        <v>65</v>
      </c>
      <c r="L4058" s="2" t="s">
        <v>12621</v>
      </c>
      <c r="M4058" s="2" t="s">
        <v>39926</v>
      </c>
      <c r="N4058" s="3" t="s">
        <v>3721</v>
      </c>
      <c r="P4058" s="3" t="s">
        <v>102</v>
      </c>
      <c r="R4058" s="3" t="s">
        <v>70</v>
      </c>
      <c r="S4058" s="4">
        <v>1</v>
      </c>
      <c r="T4058" s="4">
        <v>26</v>
      </c>
      <c r="U4058" s="5" t="s">
        <v>3677</v>
      </c>
      <c r="V4058" s="5" t="s">
        <v>39928</v>
      </c>
      <c r="W4058" s="5" t="s">
        <v>72</v>
      </c>
      <c r="X4058" s="5" t="s">
        <v>72</v>
      </c>
      <c r="Y4058" s="4">
        <v>34</v>
      </c>
      <c r="Z4058" s="4">
        <v>21</v>
      </c>
      <c r="AA4058" s="4">
        <v>80</v>
      </c>
      <c r="AB4058" s="4">
        <v>1</v>
      </c>
      <c r="AC4058" s="4">
        <v>3</v>
      </c>
      <c r="AD4058" s="4">
        <v>10</v>
      </c>
      <c r="AE4058" s="4">
        <v>137</v>
      </c>
      <c r="AF4058" s="4">
        <v>0</v>
      </c>
      <c r="AG4058" s="4">
        <v>2</v>
      </c>
      <c r="AH4058" s="4">
        <v>3</v>
      </c>
      <c r="AI4058" s="4">
        <v>101</v>
      </c>
      <c r="AJ4058" s="4">
        <v>4</v>
      </c>
      <c r="AK4058" s="4">
        <v>21</v>
      </c>
      <c r="AL4058" s="4">
        <v>1</v>
      </c>
      <c r="AM4058" s="4">
        <v>54</v>
      </c>
      <c r="AN4058" s="4">
        <v>0</v>
      </c>
      <c r="AO4058" s="4">
        <v>0</v>
      </c>
      <c r="AP4058" s="4">
        <v>10</v>
      </c>
      <c r="AQ4058" s="4">
        <v>41</v>
      </c>
      <c r="AR4058" s="3" t="s">
        <v>128</v>
      </c>
      <c r="AS4058" s="3" t="s">
        <v>64</v>
      </c>
      <c r="AT4058" s="3" t="s">
        <v>64</v>
      </c>
      <c r="AV4058" s="6" t="str">
        <f t="shared" si="109"/>
        <v>Catalog Record</v>
      </c>
      <c r="AW4058" s="6" t="str">
        <f t="shared" si="110"/>
        <v>WorldCat Record</v>
      </c>
      <c r="AX4058" s="3" t="s">
        <v>39929</v>
      </c>
      <c r="AY4058" s="3" t="s">
        <v>39930</v>
      </c>
      <c r="AZ4058" s="3" t="s">
        <v>39931</v>
      </c>
      <c r="BA4058" s="3" t="s">
        <v>39931</v>
      </c>
      <c r="BB4058" s="3" t="s">
        <v>39955</v>
      </c>
      <c r="BC4058" s="3" t="s">
        <v>77</v>
      </c>
      <c r="BD4058" s="3" t="s">
        <v>78</v>
      </c>
      <c r="BE4058" s="3" t="s">
        <v>39933</v>
      </c>
      <c r="BF4058" s="3" t="s">
        <v>39955</v>
      </c>
      <c r="BG4058" s="3" t="s">
        <v>39956</v>
      </c>
      <c r="BH4058">
        <f t="shared" si="105"/>
        <v>0</v>
      </c>
    </row>
    <row r="4059" spans="1:60" ht="58" x14ac:dyDescent="0.35">
      <c r="A4059" s="2" t="s">
        <v>59</v>
      </c>
      <c r="B4059" s="2" t="s">
        <v>7607</v>
      </c>
      <c r="C4059" s="2" t="s">
        <v>39922</v>
      </c>
      <c r="D4059" s="2" t="s">
        <v>39923</v>
      </c>
      <c r="E4059" s="2" t="s">
        <v>39924</v>
      </c>
      <c r="F4059" s="3" t="s">
        <v>39957</v>
      </c>
      <c r="G4059" s="3" t="s">
        <v>128</v>
      </c>
      <c r="I4059" s="3" t="s">
        <v>128</v>
      </c>
      <c r="J4059" s="3" t="s">
        <v>64</v>
      </c>
      <c r="K4059" s="3" t="s">
        <v>65</v>
      </c>
      <c r="L4059" s="2" t="s">
        <v>12621</v>
      </c>
      <c r="M4059" s="2" t="s">
        <v>39926</v>
      </c>
      <c r="N4059" s="3" t="s">
        <v>3721</v>
      </c>
      <c r="P4059" s="3" t="s">
        <v>102</v>
      </c>
      <c r="R4059" s="3" t="s">
        <v>70</v>
      </c>
      <c r="S4059" s="4">
        <v>0</v>
      </c>
      <c r="T4059" s="4">
        <v>26</v>
      </c>
      <c r="V4059" s="5" t="s">
        <v>39928</v>
      </c>
      <c r="W4059" s="5" t="s">
        <v>72</v>
      </c>
      <c r="X4059" s="5" t="s">
        <v>72</v>
      </c>
      <c r="Y4059" s="4">
        <v>34</v>
      </c>
      <c r="Z4059" s="4">
        <v>21</v>
      </c>
      <c r="AA4059" s="4">
        <v>80</v>
      </c>
      <c r="AB4059" s="4">
        <v>1</v>
      </c>
      <c r="AC4059" s="4">
        <v>3</v>
      </c>
      <c r="AD4059" s="4">
        <v>10</v>
      </c>
      <c r="AE4059" s="4">
        <v>137</v>
      </c>
      <c r="AF4059" s="4">
        <v>0</v>
      </c>
      <c r="AG4059" s="4">
        <v>2</v>
      </c>
      <c r="AH4059" s="4">
        <v>3</v>
      </c>
      <c r="AI4059" s="4">
        <v>101</v>
      </c>
      <c r="AJ4059" s="4">
        <v>4</v>
      </c>
      <c r="AK4059" s="4">
        <v>21</v>
      </c>
      <c r="AL4059" s="4">
        <v>1</v>
      </c>
      <c r="AM4059" s="4">
        <v>54</v>
      </c>
      <c r="AN4059" s="4">
        <v>0</v>
      </c>
      <c r="AO4059" s="4">
        <v>0</v>
      </c>
      <c r="AP4059" s="4">
        <v>10</v>
      </c>
      <c r="AQ4059" s="4">
        <v>41</v>
      </c>
      <c r="AR4059" s="3" t="s">
        <v>128</v>
      </c>
      <c r="AS4059" s="3" t="s">
        <v>64</v>
      </c>
      <c r="AT4059" s="3" t="s">
        <v>64</v>
      </c>
      <c r="AV4059" s="6" t="str">
        <f t="shared" si="109"/>
        <v>Catalog Record</v>
      </c>
      <c r="AW4059" s="6" t="str">
        <f t="shared" si="110"/>
        <v>WorldCat Record</v>
      </c>
      <c r="AX4059" s="3" t="s">
        <v>39929</v>
      </c>
      <c r="AY4059" s="3" t="s">
        <v>39930</v>
      </c>
      <c r="AZ4059" s="3" t="s">
        <v>39931</v>
      </c>
      <c r="BA4059" s="3" t="s">
        <v>39931</v>
      </c>
      <c r="BB4059" s="3" t="s">
        <v>39958</v>
      </c>
      <c r="BC4059" s="3" t="s">
        <v>77</v>
      </c>
      <c r="BD4059" s="3" t="s">
        <v>78</v>
      </c>
      <c r="BE4059" s="3" t="s">
        <v>39933</v>
      </c>
      <c r="BF4059" s="3" t="s">
        <v>39958</v>
      </c>
      <c r="BG4059" s="3" t="s">
        <v>39959</v>
      </c>
      <c r="BH4059">
        <f t="shared" si="105"/>
        <v>0</v>
      </c>
    </row>
    <row r="4060" spans="1:60" ht="58" x14ac:dyDescent="0.35">
      <c r="A4060" s="2" t="s">
        <v>59</v>
      </c>
      <c r="B4060" s="2" t="s">
        <v>60</v>
      </c>
      <c r="C4060" s="2" t="s">
        <v>39922</v>
      </c>
      <c r="D4060" s="2" t="s">
        <v>39923</v>
      </c>
      <c r="E4060" s="2" t="s">
        <v>39924</v>
      </c>
      <c r="F4060" s="3" t="s">
        <v>39960</v>
      </c>
      <c r="G4060" s="3" t="s">
        <v>128</v>
      </c>
      <c r="I4060" s="3" t="s">
        <v>128</v>
      </c>
      <c r="J4060" s="3" t="s">
        <v>64</v>
      </c>
      <c r="K4060" s="3" t="s">
        <v>65</v>
      </c>
      <c r="L4060" s="2" t="s">
        <v>12621</v>
      </c>
      <c r="M4060" s="2" t="s">
        <v>39926</v>
      </c>
      <c r="N4060" s="3" t="s">
        <v>3721</v>
      </c>
      <c r="P4060" s="3" t="s">
        <v>102</v>
      </c>
      <c r="R4060" s="3" t="s">
        <v>70</v>
      </c>
      <c r="S4060" s="4">
        <v>5</v>
      </c>
      <c r="T4060" s="4">
        <v>26</v>
      </c>
      <c r="U4060" s="5" t="s">
        <v>7650</v>
      </c>
      <c r="V4060" s="5" t="s">
        <v>39928</v>
      </c>
      <c r="W4060" s="5" t="s">
        <v>72</v>
      </c>
      <c r="X4060" s="5" t="s">
        <v>72</v>
      </c>
      <c r="Y4060" s="4">
        <v>34</v>
      </c>
      <c r="Z4060" s="4">
        <v>21</v>
      </c>
      <c r="AA4060" s="4">
        <v>80</v>
      </c>
      <c r="AB4060" s="4">
        <v>1</v>
      </c>
      <c r="AC4060" s="4">
        <v>3</v>
      </c>
      <c r="AD4060" s="4">
        <v>10</v>
      </c>
      <c r="AE4060" s="4">
        <v>137</v>
      </c>
      <c r="AF4060" s="4">
        <v>0</v>
      </c>
      <c r="AG4060" s="4">
        <v>2</v>
      </c>
      <c r="AH4060" s="4">
        <v>3</v>
      </c>
      <c r="AI4060" s="4">
        <v>101</v>
      </c>
      <c r="AJ4060" s="4">
        <v>4</v>
      </c>
      <c r="AK4060" s="4">
        <v>21</v>
      </c>
      <c r="AL4060" s="4">
        <v>1</v>
      </c>
      <c r="AM4060" s="4">
        <v>54</v>
      </c>
      <c r="AN4060" s="4">
        <v>0</v>
      </c>
      <c r="AO4060" s="4">
        <v>0</v>
      </c>
      <c r="AP4060" s="4">
        <v>10</v>
      </c>
      <c r="AQ4060" s="4">
        <v>41</v>
      </c>
      <c r="AR4060" s="3" t="s">
        <v>128</v>
      </c>
      <c r="AS4060" s="3" t="s">
        <v>64</v>
      </c>
      <c r="AT4060" s="3" t="s">
        <v>64</v>
      </c>
      <c r="AV4060" s="6" t="str">
        <f t="shared" si="109"/>
        <v>Catalog Record</v>
      </c>
      <c r="AW4060" s="6" t="str">
        <f t="shared" si="110"/>
        <v>WorldCat Record</v>
      </c>
      <c r="AX4060" s="3" t="s">
        <v>39929</v>
      </c>
      <c r="AY4060" s="3" t="s">
        <v>39930</v>
      </c>
      <c r="AZ4060" s="3" t="s">
        <v>39931</v>
      </c>
      <c r="BA4060" s="3" t="s">
        <v>39931</v>
      </c>
      <c r="BB4060" s="3" t="s">
        <v>39961</v>
      </c>
      <c r="BC4060" s="3" t="s">
        <v>77</v>
      </c>
      <c r="BD4060" s="3" t="s">
        <v>78</v>
      </c>
      <c r="BE4060" s="3" t="s">
        <v>39933</v>
      </c>
      <c r="BF4060" s="3" t="s">
        <v>39961</v>
      </c>
      <c r="BG4060" s="3" t="s">
        <v>39962</v>
      </c>
      <c r="BH4060">
        <f t="shared" si="105"/>
        <v>0</v>
      </c>
    </row>
    <row r="4061" spans="1:60" ht="58" x14ac:dyDescent="0.35">
      <c r="A4061" s="2" t="s">
        <v>59</v>
      </c>
      <c r="B4061" s="2" t="s">
        <v>60</v>
      </c>
      <c r="C4061" s="2" t="s">
        <v>39922</v>
      </c>
      <c r="D4061" s="2" t="s">
        <v>39923</v>
      </c>
      <c r="E4061" s="2" t="s">
        <v>39924</v>
      </c>
      <c r="F4061" s="3" t="s">
        <v>39963</v>
      </c>
      <c r="G4061" s="3" t="s">
        <v>128</v>
      </c>
      <c r="I4061" s="3" t="s">
        <v>128</v>
      </c>
      <c r="J4061" s="3" t="s">
        <v>64</v>
      </c>
      <c r="K4061" s="3" t="s">
        <v>65</v>
      </c>
      <c r="L4061" s="2" t="s">
        <v>12621</v>
      </c>
      <c r="M4061" s="2" t="s">
        <v>39926</v>
      </c>
      <c r="N4061" s="3" t="s">
        <v>3721</v>
      </c>
      <c r="P4061" s="3" t="s">
        <v>102</v>
      </c>
      <c r="R4061" s="3" t="s">
        <v>70</v>
      </c>
      <c r="S4061" s="4">
        <v>0</v>
      </c>
      <c r="T4061" s="4">
        <v>26</v>
      </c>
      <c r="V4061" s="5" t="s">
        <v>39928</v>
      </c>
      <c r="W4061" s="5" t="s">
        <v>72</v>
      </c>
      <c r="X4061" s="5" t="s">
        <v>72</v>
      </c>
      <c r="Y4061" s="4">
        <v>34</v>
      </c>
      <c r="Z4061" s="4">
        <v>21</v>
      </c>
      <c r="AA4061" s="4">
        <v>80</v>
      </c>
      <c r="AB4061" s="4">
        <v>1</v>
      </c>
      <c r="AC4061" s="4">
        <v>3</v>
      </c>
      <c r="AD4061" s="4">
        <v>10</v>
      </c>
      <c r="AE4061" s="4">
        <v>137</v>
      </c>
      <c r="AF4061" s="4">
        <v>0</v>
      </c>
      <c r="AG4061" s="4">
        <v>2</v>
      </c>
      <c r="AH4061" s="4">
        <v>3</v>
      </c>
      <c r="AI4061" s="4">
        <v>101</v>
      </c>
      <c r="AJ4061" s="4">
        <v>4</v>
      </c>
      <c r="AK4061" s="4">
        <v>21</v>
      </c>
      <c r="AL4061" s="4">
        <v>1</v>
      </c>
      <c r="AM4061" s="4">
        <v>54</v>
      </c>
      <c r="AN4061" s="4">
        <v>0</v>
      </c>
      <c r="AO4061" s="4">
        <v>0</v>
      </c>
      <c r="AP4061" s="4">
        <v>10</v>
      </c>
      <c r="AQ4061" s="4">
        <v>41</v>
      </c>
      <c r="AR4061" s="3" t="s">
        <v>128</v>
      </c>
      <c r="AS4061" s="3" t="s">
        <v>64</v>
      </c>
      <c r="AT4061" s="3" t="s">
        <v>64</v>
      </c>
      <c r="AV4061" s="6" t="str">
        <f t="shared" si="109"/>
        <v>Catalog Record</v>
      </c>
      <c r="AW4061" s="6" t="str">
        <f t="shared" si="110"/>
        <v>WorldCat Record</v>
      </c>
      <c r="AX4061" s="3" t="s">
        <v>39929</v>
      </c>
      <c r="AY4061" s="3" t="s">
        <v>39930</v>
      </c>
      <c r="AZ4061" s="3" t="s">
        <v>39931</v>
      </c>
      <c r="BA4061" s="3" t="s">
        <v>39931</v>
      </c>
      <c r="BB4061" s="3" t="s">
        <v>39964</v>
      </c>
      <c r="BC4061" s="3" t="s">
        <v>77</v>
      </c>
      <c r="BD4061" s="3" t="s">
        <v>78</v>
      </c>
      <c r="BE4061" s="3" t="s">
        <v>39933</v>
      </c>
      <c r="BF4061" s="3" t="s">
        <v>39964</v>
      </c>
      <c r="BG4061" s="3" t="s">
        <v>39965</v>
      </c>
      <c r="BH4061">
        <f t="shared" si="105"/>
        <v>0</v>
      </c>
    </row>
    <row r="4062" spans="1:60" ht="58" x14ac:dyDescent="0.35">
      <c r="A4062" s="2" t="s">
        <v>59</v>
      </c>
      <c r="B4062" s="2" t="s">
        <v>60</v>
      </c>
      <c r="C4062" s="2" t="s">
        <v>39922</v>
      </c>
      <c r="D4062" s="2" t="s">
        <v>39923</v>
      </c>
      <c r="E4062" s="2" t="s">
        <v>39924</v>
      </c>
      <c r="F4062" s="3" t="s">
        <v>39966</v>
      </c>
      <c r="G4062" s="3" t="s">
        <v>128</v>
      </c>
      <c r="I4062" s="3" t="s">
        <v>128</v>
      </c>
      <c r="J4062" s="3" t="s">
        <v>64</v>
      </c>
      <c r="K4062" s="3" t="s">
        <v>65</v>
      </c>
      <c r="L4062" s="2" t="s">
        <v>12621</v>
      </c>
      <c r="M4062" s="2" t="s">
        <v>39926</v>
      </c>
      <c r="N4062" s="3" t="s">
        <v>3721</v>
      </c>
      <c r="P4062" s="3" t="s">
        <v>102</v>
      </c>
      <c r="R4062" s="3" t="s">
        <v>70</v>
      </c>
      <c r="S4062" s="4">
        <v>8</v>
      </c>
      <c r="T4062" s="4">
        <v>26</v>
      </c>
      <c r="U4062" s="5" t="s">
        <v>15675</v>
      </c>
      <c r="V4062" s="5" t="s">
        <v>39928</v>
      </c>
      <c r="W4062" s="5" t="s">
        <v>72</v>
      </c>
      <c r="X4062" s="5" t="s">
        <v>72</v>
      </c>
      <c r="Y4062" s="4">
        <v>34</v>
      </c>
      <c r="Z4062" s="4">
        <v>21</v>
      </c>
      <c r="AA4062" s="4">
        <v>80</v>
      </c>
      <c r="AB4062" s="4">
        <v>1</v>
      </c>
      <c r="AC4062" s="4">
        <v>3</v>
      </c>
      <c r="AD4062" s="4">
        <v>10</v>
      </c>
      <c r="AE4062" s="4">
        <v>137</v>
      </c>
      <c r="AF4062" s="4">
        <v>0</v>
      </c>
      <c r="AG4062" s="4">
        <v>2</v>
      </c>
      <c r="AH4062" s="4">
        <v>3</v>
      </c>
      <c r="AI4062" s="4">
        <v>101</v>
      </c>
      <c r="AJ4062" s="4">
        <v>4</v>
      </c>
      <c r="AK4062" s="4">
        <v>21</v>
      </c>
      <c r="AL4062" s="4">
        <v>1</v>
      </c>
      <c r="AM4062" s="4">
        <v>54</v>
      </c>
      <c r="AN4062" s="4">
        <v>0</v>
      </c>
      <c r="AO4062" s="4">
        <v>0</v>
      </c>
      <c r="AP4062" s="4">
        <v>10</v>
      </c>
      <c r="AQ4062" s="4">
        <v>41</v>
      </c>
      <c r="AR4062" s="3" t="s">
        <v>128</v>
      </c>
      <c r="AS4062" s="3" t="s">
        <v>64</v>
      </c>
      <c r="AT4062" s="3" t="s">
        <v>64</v>
      </c>
      <c r="AV4062" s="6" t="str">
        <f t="shared" si="109"/>
        <v>Catalog Record</v>
      </c>
      <c r="AW4062" s="6" t="str">
        <f t="shared" si="110"/>
        <v>WorldCat Record</v>
      </c>
      <c r="AX4062" s="3" t="s">
        <v>39929</v>
      </c>
      <c r="AY4062" s="3" t="s">
        <v>39930</v>
      </c>
      <c r="AZ4062" s="3" t="s">
        <v>39931</v>
      </c>
      <c r="BA4062" s="3" t="s">
        <v>39931</v>
      </c>
      <c r="BB4062" s="3" t="s">
        <v>39967</v>
      </c>
      <c r="BC4062" s="3" t="s">
        <v>77</v>
      </c>
      <c r="BD4062" s="3" t="s">
        <v>78</v>
      </c>
      <c r="BE4062" s="3" t="s">
        <v>39933</v>
      </c>
      <c r="BF4062" s="3" t="s">
        <v>39967</v>
      </c>
      <c r="BG4062" s="3" t="s">
        <v>39968</v>
      </c>
      <c r="BH4062">
        <f t="shared" si="105"/>
        <v>0</v>
      </c>
    </row>
    <row r="4063" spans="1:60" ht="58" x14ac:dyDescent="0.35">
      <c r="A4063" s="2" t="s">
        <v>59</v>
      </c>
      <c r="B4063" s="2" t="s">
        <v>7607</v>
      </c>
      <c r="C4063" s="2" t="s">
        <v>39922</v>
      </c>
      <c r="D4063" s="2" t="s">
        <v>39923</v>
      </c>
      <c r="E4063" s="2" t="s">
        <v>39924</v>
      </c>
      <c r="F4063" s="3" t="s">
        <v>39969</v>
      </c>
      <c r="G4063" s="3" t="s">
        <v>128</v>
      </c>
      <c r="I4063" s="3" t="s">
        <v>128</v>
      </c>
      <c r="J4063" s="3" t="s">
        <v>64</v>
      </c>
      <c r="K4063" s="3" t="s">
        <v>65</v>
      </c>
      <c r="L4063" s="2" t="s">
        <v>12621</v>
      </c>
      <c r="M4063" s="2" t="s">
        <v>39926</v>
      </c>
      <c r="N4063" s="3" t="s">
        <v>3721</v>
      </c>
      <c r="P4063" s="3" t="s">
        <v>102</v>
      </c>
      <c r="R4063" s="3" t="s">
        <v>70</v>
      </c>
      <c r="S4063" s="4">
        <v>0</v>
      </c>
      <c r="T4063" s="4">
        <v>26</v>
      </c>
      <c r="V4063" s="5" t="s">
        <v>39928</v>
      </c>
      <c r="W4063" s="5" t="s">
        <v>72</v>
      </c>
      <c r="X4063" s="5" t="s">
        <v>72</v>
      </c>
      <c r="Y4063" s="4">
        <v>34</v>
      </c>
      <c r="Z4063" s="4">
        <v>21</v>
      </c>
      <c r="AA4063" s="4">
        <v>80</v>
      </c>
      <c r="AB4063" s="4">
        <v>1</v>
      </c>
      <c r="AC4063" s="4">
        <v>3</v>
      </c>
      <c r="AD4063" s="4">
        <v>10</v>
      </c>
      <c r="AE4063" s="4">
        <v>137</v>
      </c>
      <c r="AF4063" s="4">
        <v>0</v>
      </c>
      <c r="AG4063" s="4">
        <v>2</v>
      </c>
      <c r="AH4063" s="4">
        <v>3</v>
      </c>
      <c r="AI4063" s="4">
        <v>101</v>
      </c>
      <c r="AJ4063" s="4">
        <v>4</v>
      </c>
      <c r="AK4063" s="4">
        <v>21</v>
      </c>
      <c r="AL4063" s="4">
        <v>1</v>
      </c>
      <c r="AM4063" s="4">
        <v>54</v>
      </c>
      <c r="AN4063" s="4">
        <v>0</v>
      </c>
      <c r="AO4063" s="4">
        <v>0</v>
      </c>
      <c r="AP4063" s="4">
        <v>10</v>
      </c>
      <c r="AQ4063" s="4">
        <v>41</v>
      </c>
      <c r="AR4063" s="3" t="s">
        <v>128</v>
      </c>
      <c r="AS4063" s="3" t="s">
        <v>64</v>
      </c>
      <c r="AT4063" s="3" t="s">
        <v>64</v>
      </c>
      <c r="AV4063" s="6" t="str">
        <f t="shared" si="109"/>
        <v>Catalog Record</v>
      </c>
      <c r="AW4063" s="6" t="str">
        <f t="shared" si="110"/>
        <v>WorldCat Record</v>
      </c>
      <c r="AX4063" s="3" t="s">
        <v>39929</v>
      </c>
      <c r="AY4063" s="3" t="s">
        <v>39930</v>
      </c>
      <c r="AZ4063" s="3" t="s">
        <v>39931</v>
      </c>
      <c r="BA4063" s="3" t="s">
        <v>39931</v>
      </c>
      <c r="BB4063" s="3" t="s">
        <v>39970</v>
      </c>
      <c r="BC4063" s="3" t="s">
        <v>77</v>
      </c>
      <c r="BD4063" s="3" t="s">
        <v>78</v>
      </c>
      <c r="BE4063" s="3" t="s">
        <v>39933</v>
      </c>
      <c r="BF4063" s="3" t="s">
        <v>39970</v>
      </c>
      <c r="BG4063" s="3" t="s">
        <v>39971</v>
      </c>
      <c r="BH4063">
        <f t="shared" si="105"/>
        <v>0</v>
      </c>
    </row>
    <row r="4064" spans="1:60" ht="58" x14ac:dyDescent="0.35">
      <c r="A4064" s="2" t="s">
        <v>59</v>
      </c>
      <c r="B4064" s="2" t="s">
        <v>7607</v>
      </c>
      <c r="C4064" s="2" t="s">
        <v>39922</v>
      </c>
      <c r="D4064" s="2" t="s">
        <v>39923</v>
      </c>
      <c r="E4064" s="2" t="s">
        <v>39924</v>
      </c>
      <c r="F4064" s="3" t="s">
        <v>39972</v>
      </c>
      <c r="G4064" s="3" t="s">
        <v>128</v>
      </c>
      <c r="I4064" s="3" t="s">
        <v>128</v>
      </c>
      <c r="J4064" s="3" t="s">
        <v>64</v>
      </c>
      <c r="K4064" s="3" t="s">
        <v>65</v>
      </c>
      <c r="L4064" s="2" t="s">
        <v>12621</v>
      </c>
      <c r="M4064" s="2" t="s">
        <v>39926</v>
      </c>
      <c r="N4064" s="3" t="s">
        <v>3721</v>
      </c>
      <c r="P4064" s="3" t="s">
        <v>102</v>
      </c>
      <c r="R4064" s="3" t="s">
        <v>70</v>
      </c>
      <c r="S4064" s="4">
        <v>0</v>
      </c>
      <c r="T4064" s="4">
        <v>26</v>
      </c>
      <c r="V4064" s="5" t="s">
        <v>39928</v>
      </c>
      <c r="W4064" s="5" t="s">
        <v>72</v>
      </c>
      <c r="X4064" s="5" t="s">
        <v>72</v>
      </c>
      <c r="Y4064" s="4">
        <v>34</v>
      </c>
      <c r="Z4064" s="4">
        <v>21</v>
      </c>
      <c r="AA4064" s="4">
        <v>80</v>
      </c>
      <c r="AB4064" s="4">
        <v>1</v>
      </c>
      <c r="AC4064" s="4">
        <v>3</v>
      </c>
      <c r="AD4064" s="4">
        <v>10</v>
      </c>
      <c r="AE4064" s="4">
        <v>137</v>
      </c>
      <c r="AF4064" s="4">
        <v>0</v>
      </c>
      <c r="AG4064" s="4">
        <v>2</v>
      </c>
      <c r="AH4064" s="4">
        <v>3</v>
      </c>
      <c r="AI4064" s="4">
        <v>101</v>
      </c>
      <c r="AJ4064" s="4">
        <v>4</v>
      </c>
      <c r="AK4064" s="4">
        <v>21</v>
      </c>
      <c r="AL4064" s="4">
        <v>1</v>
      </c>
      <c r="AM4064" s="4">
        <v>54</v>
      </c>
      <c r="AN4064" s="4">
        <v>0</v>
      </c>
      <c r="AO4064" s="4">
        <v>0</v>
      </c>
      <c r="AP4064" s="4">
        <v>10</v>
      </c>
      <c r="AQ4064" s="4">
        <v>41</v>
      </c>
      <c r="AR4064" s="3" t="s">
        <v>128</v>
      </c>
      <c r="AS4064" s="3" t="s">
        <v>64</v>
      </c>
      <c r="AT4064" s="3" t="s">
        <v>64</v>
      </c>
      <c r="AV4064" s="6" t="str">
        <f t="shared" si="109"/>
        <v>Catalog Record</v>
      </c>
      <c r="AW4064" s="6" t="str">
        <f t="shared" si="110"/>
        <v>WorldCat Record</v>
      </c>
      <c r="AX4064" s="3" t="s">
        <v>39929</v>
      </c>
      <c r="AY4064" s="3" t="s">
        <v>39930</v>
      </c>
      <c r="AZ4064" s="3" t="s">
        <v>39931</v>
      </c>
      <c r="BA4064" s="3" t="s">
        <v>39931</v>
      </c>
      <c r="BB4064" s="3" t="s">
        <v>39973</v>
      </c>
      <c r="BC4064" s="3" t="s">
        <v>77</v>
      </c>
      <c r="BD4064" s="3" t="s">
        <v>78</v>
      </c>
      <c r="BE4064" s="3" t="s">
        <v>39933</v>
      </c>
      <c r="BF4064" s="3" t="s">
        <v>39973</v>
      </c>
      <c r="BG4064" s="3" t="s">
        <v>39974</v>
      </c>
      <c r="BH4064">
        <f t="shared" si="105"/>
        <v>0</v>
      </c>
    </row>
    <row r="4065" spans="1:60" ht="58" x14ac:dyDescent="0.35">
      <c r="A4065" s="2" t="s">
        <v>59</v>
      </c>
      <c r="B4065" s="2" t="s">
        <v>60</v>
      </c>
      <c r="C4065" s="2" t="s">
        <v>39975</v>
      </c>
      <c r="D4065" s="2" t="s">
        <v>39976</v>
      </c>
      <c r="E4065" s="2" t="s">
        <v>39977</v>
      </c>
      <c r="G4065" s="3" t="s">
        <v>64</v>
      </c>
      <c r="I4065" s="3" t="s">
        <v>64</v>
      </c>
      <c r="J4065" s="3" t="s">
        <v>64</v>
      </c>
      <c r="K4065" s="3" t="s">
        <v>65</v>
      </c>
      <c r="L4065" s="2" t="s">
        <v>12621</v>
      </c>
      <c r="M4065" s="2" t="s">
        <v>39978</v>
      </c>
      <c r="N4065" s="3" t="s">
        <v>421</v>
      </c>
      <c r="P4065" s="3" t="s">
        <v>102</v>
      </c>
      <c r="R4065" s="3" t="s">
        <v>70</v>
      </c>
      <c r="S4065" s="4">
        <v>5</v>
      </c>
      <c r="T4065" s="4">
        <v>5</v>
      </c>
      <c r="U4065" s="5" t="s">
        <v>39979</v>
      </c>
      <c r="V4065" s="5" t="s">
        <v>39979</v>
      </c>
      <c r="W4065" s="5" t="s">
        <v>72</v>
      </c>
      <c r="X4065" s="5" t="s">
        <v>72</v>
      </c>
      <c r="Y4065" s="4">
        <v>67</v>
      </c>
      <c r="Z4065" s="4">
        <v>37</v>
      </c>
      <c r="AA4065" s="4">
        <v>40</v>
      </c>
      <c r="AB4065" s="4">
        <v>4</v>
      </c>
      <c r="AC4065" s="4">
        <v>7</v>
      </c>
      <c r="AD4065" s="4">
        <v>47</v>
      </c>
      <c r="AE4065" s="4">
        <v>50</v>
      </c>
      <c r="AF4065" s="4">
        <v>2</v>
      </c>
      <c r="AG4065" s="4">
        <v>5</v>
      </c>
      <c r="AH4065" s="4">
        <v>31</v>
      </c>
      <c r="AI4065" s="4">
        <v>32</v>
      </c>
      <c r="AJ4065" s="4">
        <v>21</v>
      </c>
      <c r="AK4065" s="4">
        <v>24</v>
      </c>
      <c r="AL4065" s="4">
        <v>12</v>
      </c>
      <c r="AM4065" s="4">
        <v>12</v>
      </c>
      <c r="AN4065" s="4">
        <v>0</v>
      </c>
      <c r="AO4065" s="4">
        <v>0</v>
      </c>
      <c r="AP4065" s="4">
        <v>27</v>
      </c>
      <c r="AQ4065" s="4">
        <v>30</v>
      </c>
      <c r="AR4065" s="3" t="s">
        <v>128</v>
      </c>
      <c r="AS4065" s="3" t="s">
        <v>64</v>
      </c>
      <c r="AT4065" s="3" t="s">
        <v>64</v>
      </c>
      <c r="AV4065" s="6" t="str">
        <f>HYPERLINK("http://mcgill.on.worldcat.org/oclc/37981570","Catalog Record")</f>
        <v>Catalog Record</v>
      </c>
      <c r="AW4065" s="6" t="str">
        <f>HYPERLINK("http://www.worldcat.org/oclc/37981570","WorldCat Record")</f>
        <v>WorldCat Record</v>
      </c>
      <c r="AX4065" s="3" t="s">
        <v>39980</v>
      </c>
      <c r="AY4065" s="3" t="s">
        <v>39981</v>
      </c>
      <c r="AZ4065" s="3" t="s">
        <v>39982</v>
      </c>
      <c r="BA4065" s="3" t="s">
        <v>39982</v>
      </c>
      <c r="BB4065" s="3" t="s">
        <v>39983</v>
      </c>
      <c r="BC4065" s="3" t="s">
        <v>77</v>
      </c>
      <c r="BD4065" s="3" t="s">
        <v>78</v>
      </c>
      <c r="BE4065" s="3" t="s">
        <v>39984</v>
      </c>
      <c r="BF4065" s="3" t="s">
        <v>39983</v>
      </c>
      <c r="BG4065" s="3" t="s">
        <v>39985</v>
      </c>
      <c r="BH4065">
        <f t="shared" si="105"/>
        <v>0</v>
      </c>
    </row>
    <row r="4066" spans="1:60" ht="58" x14ac:dyDescent="0.35">
      <c r="A4066" s="2" t="s">
        <v>59</v>
      </c>
      <c r="B4066" s="2" t="s">
        <v>60</v>
      </c>
      <c r="C4066" s="2" t="s">
        <v>39986</v>
      </c>
      <c r="D4066" s="2" t="s">
        <v>39987</v>
      </c>
      <c r="E4066" s="2" t="s">
        <v>39988</v>
      </c>
      <c r="G4066" s="3" t="s">
        <v>64</v>
      </c>
      <c r="I4066" s="3" t="s">
        <v>64</v>
      </c>
      <c r="J4066" s="3" t="s">
        <v>128</v>
      </c>
      <c r="K4066" s="3" t="s">
        <v>65</v>
      </c>
      <c r="L4066" s="2" t="s">
        <v>39989</v>
      </c>
      <c r="M4066" s="2" t="s">
        <v>39990</v>
      </c>
      <c r="N4066" s="3" t="s">
        <v>3072</v>
      </c>
      <c r="O4066" s="2" t="s">
        <v>734</v>
      </c>
      <c r="P4066" s="3" t="s">
        <v>102</v>
      </c>
      <c r="R4066" s="3" t="s">
        <v>70</v>
      </c>
      <c r="S4066" s="4">
        <v>3</v>
      </c>
      <c r="T4066" s="4">
        <v>3</v>
      </c>
      <c r="U4066" s="5" t="s">
        <v>28245</v>
      </c>
      <c r="V4066" s="5" t="s">
        <v>28245</v>
      </c>
      <c r="W4066" s="5" t="s">
        <v>72</v>
      </c>
      <c r="X4066" s="5" t="s">
        <v>72</v>
      </c>
      <c r="Y4066" s="4">
        <v>6</v>
      </c>
      <c r="Z4066" s="4">
        <v>2</v>
      </c>
      <c r="AA4066" s="4">
        <v>6</v>
      </c>
      <c r="AB4066" s="4">
        <v>2</v>
      </c>
      <c r="AC4066" s="4">
        <v>4</v>
      </c>
      <c r="AD4066" s="4">
        <v>0</v>
      </c>
      <c r="AE4066" s="4">
        <v>1</v>
      </c>
      <c r="AF4066" s="4">
        <v>0</v>
      </c>
      <c r="AG4066" s="4">
        <v>1</v>
      </c>
      <c r="AH4066" s="4">
        <v>0</v>
      </c>
      <c r="AI4066" s="4">
        <v>0</v>
      </c>
      <c r="AJ4066" s="4">
        <v>0</v>
      </c>
      <c r="AK4066" s="4">
        <v>1</v>
      </c>
      <c r="AL4066" s="4">
        <v>0</v>
      </c>
      <c r="AM4066" s="4">
        <v>0</v>
      </c>
      <c r="AN4066" s="4">
        <v>0</v>
      </c>
      <c r="AO4066" s="4">
        <v>0</v>
      </c>
      <c r="AP4066" s="4">
        <v>0</v>
      </c>
      <c r="AQ4066" s="4">
        <v>1</v>
      </c>
      <c r="AR4066" s="3" t="s">
        <v>128</v>
      </c>
      <c r="AS4066" s="3" t="s">
        <v>64</v>
      </c>
      <c r="AT4066" s="3" t="s">
        <v>64</v>
      </c>
      <c r="AV4066" s="6" t="str">
        <f>HYPERLINK("http://mcgill.on.worldcat.org/oclc/61651361","Catalog Record")</f>
        <v>Catalog Record</v>
      </c>
      <c r="AW4066" s="6" t="str">
        <f>HYPERLINK("http://www.worldcat.org/oclc/61651361","WorldCat Record")</f>
        <v>WorldCat Record</v>
      </c>
      <c r="AX4066" s="3" t="s">
        <v>39991</v>
      </c>
      <c r="AY4066" s="3" t="s">
        <v>39992</v>
      </c>
      <c r="AZ4066" s="3" t="s">
        <v>39993</v>
      </c>
      <c r="BA4066" s="3" t="s">
        <v>39993</v>
      </c>
      <c r="BB4066" s="3" t="s">
        <v>39994</v>
      </c>
      <c r="BC4066" s="3" t="s">
        <v>77</v>
      </c>
      <c r="BD4066" s="3" t="s">
        <v>78</v>
      </c>
      <c r="BF4066" s="3" t="s">
        <v>39994</v>
      </c>
      <c r="BG4066" s="3" t="s">
        <v>39995</v>
      </c>
      <c r="BH4066">
        <f t="shared" si="105"/>
        <v>0</v>
      </c>
    </row>
    <row r="4067" spans="1:60" ht="101.5" x14ac:dyDescent="0.35">
      <c r="A4067" s="2" t="s">
        <v>59</v>
      </c>
      <c r="B4067" s="2" t="s">
        <v>60</v>
      </c>
      <c r="C4067" s="2" t="s">
        <v>39996</v>
      </c>
      <c r="D4067" s="2" t="s">
        <v>39997</v>
      </c>
      <c r="E4067" s="2" t="s">
        <v>39998</v>
      </c>
      <c r="G4067" s="3" t="s">
        <v>64</v>
      </c>
      <c r="I4067" s="3" t="s">
        <v>128</v>
      </c>
      <c r="J4067" s="3" t="s">
        <v>64</v>
      </c>
      <c r="K4067" s="3" t="s">
        <v>65</v>
      </c>
      <c r="M4067" s="2" t="s">
        <v>39999</v>
      </c>
      <c r="N4067" s="3" t="s">
        <v>511</v>
      </c>
      <c r="P4067" s="3" t="s">
        <v>102</v>
      </c>
      <c r="R4067" s="3" t="s">
        <v>70</v>
      </c>
      <c r="S4067" s="4">
        <v>3</v>
      </c>
      <c r="T4067" s="4">
        <v>3</v>
      </c>
      <c r="U4067" s="5" t="s">
        <v>5348</v>
      </c>
      <c r="V4067" s="5" t="s">
        <v>5348</v>
      </c>
      <c r="W4067" s="5" t="s">
        <v>72</v>
      </c>
      <c r="X4067" s="5" t="s">
        <v>72</v>
      </c>
      <c r="Y4067" s="4">
        <v>51</v>
      </c>
      <c r="Z4067" s="4">
        <v>22</v>
      </c>
      <c r="AA4067" s="4">
        <v>25</v>
      </c>
      <c r="AB4067" s="4">
        <v>3</v>
      </c>
      <c r="AC4067" s="4">
        <v>5</v>
      </c>
      <c r="AD4067" s="4">
        <v>30</v>
      </c>
      <c r="AE4067" s="4">
        <v>32</v>
      </c>
      <c r="AF4067" s="4">
        <v>0</v>
      </c>
      <c r="AG4067" s="4">
        <v>1</v>
      </c>
      <c r="AH4067" s="4">
        <v>21</v>
      </c>
      <c r="AI4067" s="4">
        <v>22</v>
      </c>
      <c r="AJ4067" s="4">
        <v>13</v>
      </c>
      <c r="AK4067" s="4">
        <v>15</v>
      </c>
      <c r="AL4067" s="4">
        <v>13</v>
      </c>
      <c r="AM4067" s="4">
        <v>13</v>
      </c>
      <c r="AN4067" s="4">
        <v>0</v>
      </c>
      <c r="AO4067" s="4">
        <v>0</v>
      </c>
      <c r="AP4067" s="4">
        <v>15</v>
      </c>
      <c r="AQ4067" s="4">
        <v>17</v>
      </c>
      <c r="AR4067" s="3" t="s">
        <v>128</v>
      </c>
      <c r="AS4067" s="3" t="s">
        <v>64</v>
      </c>
      <c r="AT4067" s="3" t="s">
        <v>64</v>
      </c>
      <c r="AV4067" s="6" t="str">
        <f>HYPERLINK("http://mcgill.on.worldcat.org/oclc/565930694","Catalog Record")</f>
        <v>Catalog Record</v>
      </c>
      <c r="AW4067" s="6" t="str">
        <f>HYPERLINK("http://www.worldcat.org/oclc/565930694","WorldCat Record")</f>
        <v>WorldCat Record</v>
      </c>
      <c r="AX4067" s="3" t="s">
        <v>40000</v>
      </c>
      <c r="AY4067" s="3" t="s">
        <v>40001</v>
      </c>
      <c r="AZ4067" s="3" t="s">
        <v>40002</v>
      </c>
      <c r="BA4067" s="3" t="s">
        <v>40002</v>
      </c>
      <c r="BB4067" s="3" t="s">
        <v>40003</v>
      </c>
      <c r="BC4067" s="3" t="s">
        <v>77</v>
      </c>
      <c r="BD4067" s="3" t="s">
        <v>78</v>
      </c>
      <c r="BE4067" s="3" t="s">
        <v>40004</v>
      </c>
      <c r="BF4067" s="3" t="s">
        <v>40003</v>
      </c>
      <c r="BG4067" s="3" t="s">
        <v>40005</v>
      </c>
      <c r="BH4067">
        <f t="shared" si="105"/>
        <v>0</v>
      </c>
    </row>
    <row r="4068" spans="1:60" ht="159.5" x14ac:dyDescent="0.35">
      <c r="A4068" s="2" t="s">
        <v>59</v>
      </c>
      <c r="B4068" s="2" t="s">
        <v>60</v>
      </c>
      <c r="C4068" s="2" t="s">
        <v>40006</v>
      </c>
      <c r="D4068" s="2" t="s">
        <v>40007</v>
      </c>
      <c r="E4068" s="2" t="s">
        <v>40008</v>
      </c>
      <c r="G4068" s="3" t="s">
        <v>64</v>
      </c>
      <c r="I4068" s="3" t="s">
        <v>64</v>
      </c>
      <c r="J4068" s="3" t="s">
        <v>64</v>
      </c>
      <c r="K4068" s="3" t="s">
        <v>65</v>
      </c>
      <c r="L4068" s="2" t="s">
        <v>40009</v>
      </c>
      <c r="M4068" s="2" t="s">
        <v>40010</v>
      </c>
      <c r="N4068" s="3" t="s">
        <v>1615</v>
      </c>
      <c r="P4068" s="3" t="s">
        <v>102</v>
      </c>
      <c r="R4068" s="3" t="s">
        <v>70</v>
      </c>
      <c r="S4068" s="4">
        <v>1</v>
      </c>
      <c r="T4068" s="4">
        <v>1</v>
      </c>
      <c r="U4068" s="5" t="s">
        <v>3284</v>
      </c>
      <c r="V4068" s="5" t="s">
        <v>3284</v>
      </c>
      <c r="W4068" s="5" t="s">
        <v>72</v>
      </c>
      <c r="X4068" s="5" t="s">
        <v>72</v>
      </c>
      <c r="Y4068" s="4">
        <v>53</v>
      </c>
      <c r="Z4068" s="4">
        <v>28</v>
      </c>
      <c r="AA4068" s="4">
        <v>37</v>
      </c>
      <c r="AB4068" s="4">
        <v>1</v>
      </c>
      <c r="AC4068" s="4">
        <v>2</v>
      </c>
      <c r="AD4068" s="4">
        <v>31</v>
      </c>
      <c r="AE4068" s="4">
        <v>44</v>
      </c>
      <c r="AF4068" s="4">
        <v>0</v>
      </c>
      <c r="AG4068" s="4">
        <v>1</v>
      </c>
      <c r="AH4068" s="4">
        <v>22</v>
      </c>
      <c r="AI4068" s="4">
        <v>30</v>
      </c>
      <c r="AJ4068" s="4">
        <v>10</v>
      </c>
      <c r="AK4068" s="4">
        <v>16</v>
      </c>
      <c r="AL4068" s="4">
        <v>14</v>
      </c>
      <c r="AM4068" s="4">
        <v>19</v>
      </c>
      <c r="AN4068" s="4">
        <v>0</v>
      </c>
      <c r="AO4068" s="4">
        <v>0</v>
      </c>
      <c r="AP4068" s="4">
        <v>14</v>
      </c>
      <c r="AQ4068" s="4">
        <v>20</v>
      </c>
      <c r="AR4068" s="3" t="s">
        <v>128</v>
      </c>
      <c r="AS4068" s="3" t="s">
        <v>64</v>
      </c>
      <c r="AT4068" s="3" t="s">
        <v>64</v>
      </c>
      <c r="AV4068" s="6" t="str">
        <f>HYPERLINK("http://mcgill.on.worldcat.org/oclc/37372280","Catalog Record")</f>
        <v>Catalog Record</v>
      </c>
      <c r="AW4068" s="6" t="str">
        <f>HYPERLINK("http://www.worldcat.org/oclc/37372280","WorldCat Record")</f>
        <v>WorldCat Record</v>
      </c>
      <c r="AX4068" s="3" t="s">
        <v>40011</v>
      </c>
      <c r="AY4068" s="3" t="s">
        <v>40012</v>
      </c>
      <c r="AZ4068" s="3" t="s">
        <v>40013</v>
      </c>
      <c r="BA4068" s="3" t="s">
        <v>40013</v>
      </c>
      <c r="BB4068" s="3" t="s">
        <v>40014</v>
      </c>
      <c r="BC4068" s="3" t="s">
        <v>77</v>
      </c>
      <c r="BD4068" s="3" t="s">
        <v>78</v>
      </c>
      <c r="BE4068" s="3" t="s">
        <v>40015</v>
      </c>
      <c r="BF4068" s="3" t="s">
        <v>40014</v>
      </c>
      <c r="BG4068" s="3" t="s">
        <v>40016</v>
      </c>
      <c r="BH4068">
        <f t="shared" si="105"/>
        <v>0</v>
      </c>
    </row>
    <row r="4069" spans="1:60" ht="87" x14ac:dyDescent="0.35">
      <c r="A4069" s="2" t="s">
        <v>59</v>
      </c>
      <c r="B4069" s="2" t="s">
        <v>60</v>
      </c>
      <c r="C4069" s="2" t="s">
        <v>40017</v>
      </c>
      <c r="D4069" s="2" t="s">
        <v>40018</v>
      </c>
      <c r="E4069" s="2" t="s">
        <v>40019</v>
      </c>
      <c r="F4069" s="3" t="s">
        <v>40020</v>
      </c>
      <c r="G4069" s="3" t="s">
        <v>64</v>
      </c>
      <c r="I4069" s="3" t="s">
        <v>64</v>
      </c>
      <c r="J4069" s="3" t="s">
        <v>64</v>
      </c>
      <c r="K4069" s="3" t="s">
        <v>65</v>
      </c>
      <c r="L4069" s="2" t="s">
        <v>40021</v>
      </c>
      <c r="M4069" s="2" t="s">
        <v>40022</v>
      </c>
      <c r="N4069" s="3" t="s">
        <v>3721</v>
      </c>
      <c r="O4069" s="2" t="s">
        <v>2149</v>
      </c>
      <c r="P4069" s="3" t="s">
        <v>102</v>
      </c>
      <c r="R4069" s="3" t="s">
        <v>70</v>
      </c>
      <c r="S4069" s="4">
        <v>3</v>
      </c>
      <c r="T4069" s="4">
        <v>3</v>
      </c>
      <c r="U4069" s="5" t="s">
        <v>5575</v>
      </c>
      <c r="V4069" s="5" t="s">
        <v>5575</v>
      </c>
      <c r="W4069" s="5" t="s">
        <v>72</v>
      </c>
      <c r="X4069" s="5" t="s">
        <v>72</v>
      </c>
      <c r="Y4069" s="4">
        <v>104</v>
      </c>
      <c r="Z4069" s="4">
        <v>47</v>
      </c>
      <c r="AA4069" s="4">
        <v>75</v>
      </c>
      <c r="AB4069" s="4">
        <v>6</v>
      </c>
      <c r="AC4069" s="4">
        <v>12</v>
      </c>
      <c r="AD4069" s="4">
        <v>58</v>
      </c>
      <c r="AE4069" s="4">
        <v>107</v>
      </c>
      <c r="AF4069" s="4">
        <v>2</v>
      </c>
      <c r="AG4069" s="4">
        <v>4</v>
      </c>
      <c r="AH4069" s="4">
        <v>37</v>
      </c>
      <c r="AI4069" s="4">
        <v>78</v>
      </c>
      <c r="AJ4069" s="4">
        <v>18</v>
      </c>
      <c r="AK4069" s="4">
        <v>24</v>
      </c>
      <c r="AL4069" s="4">
        <v>20</v>
      </c>
      <c r="AM4069" s="4">
        <v>44</v>
      </c>
      <c r="AN4069" s="4">
        <v>0</v>
      </c>
      <c r="AO4069" s="4">
        <v>0</v>
      </c>
      <c r="AP4069" s="4">
        <v>29</v>
      </c>
      <c r="AQ4069" s="4">
        <v>39</v>
      </c>
      <c r="AR4069" s="3" t="s">
        <v>128</v>
      </c>
      <c r="AS4069" s="3" t="s">
        <v>64</v>
      </c>
      <c r="AT4069" s="3" t="s">
        <v>128</v>
      </c>
      <c r="AU4069" s="6" t="str">
        <f>HYPERLINK("http://catalog.hathitrust.org/Record/000029188","HathiTrust Record")</f>
        <v>HathiTrust Record</v>
      </c>
      <c r="AV4069" s="6" t="str">
        <f>HYPERLINK("http://mcgill.on.worldcat.org/oclc/6059164","Catalog Record")</f>
        <v>Catalog Record</v>
      </c>
      <c r="AW4069" s="6" t="str">
        <f>HYPERLINK("http://www.worldcat.org/oclc/6059164","WorldCat Record")</f>
        <v>WorldCat Record</v>
      </c>
      <c r="AX4069" s="3" t="s">
        <v>40023</v>
      </c>
      <c r="AY4069" s="3" t="s">
        <v>40024</v>
      </c>
      <c r="AZ4069" s="3" t="s">
        <v>40025</v>
      </c>
      <c r="BA4069" s="3" t="s">
        <v>40025</v>
      </c>
      <c r="BB4069" s="3" t="s">
        <v>40026</v>
      </c>
      <c r="BC4069" s="3" t="s">
        <v>77</v>
      </c>
      <c r="BD4069" s="3" t="s">
        <v>165</v>
      </c>
      <c r="BE4069" s="3" t="s">
        <v>40027</v>
      </c>
      <c r="BF4069" s="3" t="s">
        <v>40026</v>
      </c>
      <c r="BG4069" s="3" t="s">
        <v>40028</v>
      </c>
      <c r="BH4069">
        <f t="shared" si="105"/>
        <v>0</v>
      </c>
    </row>
    <row r="4070" spans="1:60" ht="58" x14ac:dyDescent="0.35">
      <c r="A4070" s="2" t="s">
        <v>6202</v>
      </c>
      <c r="B4070" s="2" t="s">
        <v>6203</v>
      </c>
      <c r="C4070" s="2" t="s">
        <v>40029</v>
      </c>
      <c r="D4070" s="2" t="s">
        <v>40030</v>
      </c>
      <c r="E4070" s="2" t="s">
        <v>40031</v>
      </c>
      <c r="G4070" s="3" t="s">
        <v>64</v>
      </c>
      <c r="I4070" s="3" t="s">
        <v>128</v>
      </c>
      <c r="J4070" s="3" t="s">
        <v>64</v>
      </c>
      <c r="K4070" s="3" t="s">
        <v>65</v>
      </c>
      <c r="M4070" s="2" t="s">
        <v>40032</v>
      </c>
      <c r="N4070" s="3" t="s">
        <v>898</v>
      </c>
      <c r="P4070" s="3" t="s">
        <v>102</v>
      </c>
      <c r="R4070" s="3" t="s">
        <v>70</v>
      </c>
      <c r="S4070" s="4">
        <v>1</v>
      </c>
      <c r="T4070" s="4">
        <v>1</v>
      </c>
      <c r="U4070" s="5" t="s">
        <v>34451</v>
      </c>
      <c r="V4070" s="5" t="s">
        <v>34451</v>
      </c>
      <c r="W4070" s="5" t="s">
        <v>72</v>
      </c>
      <c r="X4070" s="5" t="s">
        <v>72</v>
      </c>
      <c r="Y4070" s="4">
        <v>7</v>
      </c>
      <c r="Z4070" s="4">
        <v>7</v>
      </c>
      <c r="AA4070" s="4">
        <v>78</v>
      </c>
      <c r="AB4070" s="4">
        <v>1</v>
      </c>
      <c r="AC4070" s="4">
        <v>10</v>
      </c>
      <c r="AD4070" s="4">
        <v>2</v>
      </c>
      <c r="AE4070" s="4">
        <v>111</v>
      </c>
      <c r="AF4070" s="4">
        <v>0</v>
      </c>
      <c r="AG4070" s="4">
        <v>6</v>
      </c>
      <c r="AH4070" s="4">
        <v>0</v>
      </c>
      <c r="AI4070" s="4">
        <v>73</v>
      </c>
      <c r="AJ4070" s="4">
        <v>0</v>
      </c>
      <c r="AK4070" s="4">
        <v>26</v>
      </c>
      <c r="AL4070" s="4">
        <v>0</v>
      </c>
      <c r="AM4070" s="4">
        <v>41</v>
      </c>
      <c r="AN4070" s="4">
        <v>0</v>
      </c>
      <c r="AO4070" s="4">
        <v>0</v>
      </c>
      <c r="AP4070" s="4">
        <v>2</v>
      </c>
      <c r="AQ4070" s="4">
        <v>46</v>
      </c>
      <c r="AR4070" s="3" t="s">
        <v>128</v>
      </c>
      <c r="AS4070" s="3" t="s">
        <v>64</v>
      </c>
      <c r="AT4070" s="3" t="s">
        <v>128</v>
      </c>
      <c r="AU4070" s="6" t="str">
        <f>HYPERLINK("http://catalog.hathitrust.org/Record/000741337","HathiTrust Record")</f>
        <v>HathiTrust Record</v>
      </c>
      <c r="AV4070" s="6" t="str">
        <f>HYPERLINK("http://mcgill.on.worldcat.org/oclc/427300834","Catalog Record")</f>
        <v>Catalog Record</v>
      </c>
      <c r="AW4070" s="6" t="str">
        <f>HYPERLINK("http://www.worldcat.org/oclc/427300834","WorldCat Record")</f>
        <v>WorldCat Record</v>
      </c>
      <c r="AX4070" s="3" t="s">
        <v>40033</v>
      </c>
      <c r="AY4070" s="3" t="s">
        <v>40034</v>
      </c>
      <c r="AZ4070" s="3" t="s">
        <v>40035</v>
      </c>
      <c r="BA4070" s="3" t="s">
        <v>40035</v>
      </c>
      <c r="BB4070" s="3" t="s">
        <v>40036</v>
      </c>
      <c r="BC4070" s="3" t="s">
        <v>77</v>
      </c>
      <c r="BD4070" s="3" t="s">
        <v>40037</v>
      </c>
      <c r="BE4070" s="3" t="s">
        <v>40038</v>
      </c>
      <c r="BF4070" s="3" t="s">
        <v>40036</v>
      </c>
      <c r="BG4070" s="3" t="s">
        <v>40039</v>
      </c>
      <c r="BH4070">
        <f t="shared" si="105"/>
        <v>0</v>
      </c>
    </row>
    <row r="4071" spans="1:60" ht="58" x14ac:dyDescent="0.35">
      <c r="A4071" s="2" t="s">
        <v>6202</v>
      </c>
      <c r="B4071" s="2" t="s">
        <v>6203</v>
      </c>
      <c r="C4071" s="2" t="s">
        <v>40040</v>
      </c>
      <c r="D4071" s="2" t="s">
        <v>40041</v>
      </c>
      <c r="E4071" s="2" t="s">
        <v>40042</v>
      </c>
      <c r="G4071" s="3" t="s">
        <v>64</v>
      </c>
      <c r="I4071" s="3" t="s">
        <v>64</v>
      </c>
      <c r="J4071" s="3" t="s">
        <v>64</v>
      </c>
      <c r="K4071" s="3" t="s">
        <v>65</v>
      </c>
      <c r="L4071" s="2" t="s">
        <v>40043</v>
      </c>
      <c r="M4071" s="2" t="s">
        <v>40044</v>
      </c>
      <c r="N4071" s="3" t="s">
        <v>4872</v>
      </c>
      <c r="P4071" s="3" t="s">
        <v>102</v>
      </c>
      <c r="R4071" s="3" t="s">
        <v>70</v>
      </c>
      <c r="S4071" s="4">
        <v>2</v>
      </c>
      <c r="T4071" s="4">
        <v>2</v>
      </c>
      <c r="U4071" s="5" t="s">
        <v>34451</v>
      </c>
      <c r="V4071" s="5" t="s">
        <v>34451</v>
      </c>
      <c r="W4071" s="5" t="s">
        <v>72</v>
      </c>
      <c r="X4071" s="5" t="s">
        <v>72</v>
      </c>
      <c r="Y4071" s="4">
        <v>58</v>
      </c>
      <c r="Z4071" s="4">
        <v>35</v>
      </c>
      <c r="AA4071" s="4">
        <v>45</v>
      </c>
      <c r="AB4071" s="4">
        <v>3</v>
      </c>
      <c r="AC4071" s="4">
        <v>8</v>
      </c>
      <c r="AD4071" s="4">
        <v>43</v>
      </c>
      <c r="AE4071" s="4">
        <v>49</v>
      </c>
      <c r="AF4071" s="4">
        <v>2</v>
      </c>
      <c r="AG4071" s="4">
        <v>5</v>
      </c>
      <c r="AH4071" s="4">
        <v>25</v>
      </c>
      <c r="AI4071" s="4">
        <v>28</v>
      </c>
      <c r="AJ4071" s="4">
        <v>17</v>
      </c>
      <c r="AK4071" s="4">
        <v>23</v>
      </c>
      <c r="AL4071" s="4">
        <v>15</v>
      </c>
      <c r="AM4071" s="4">
        <v>15</v>
      </c>
      <c r="AN4071" s="4">
        <v>0</v>
      </c>
      <c r="AO4071" s="4">
        <v>0</v>
      </c>
      <c r="AP4071" s="4">
        <v>25</v>
      </c>
      <c r="AQ4071" s="4">
        <v>30</v>
      </c>
      <c r="AR4071" s="3" t="s">
        <v>128</v>
      </c>
      <c r="AS4071" s="3" t="s">
        <v>64</v>
      </c>
      <c r="AT4071" s="3" t="s">
        <v>128</v>
      </c>
      <c r="AU4071" s="6" t="str">
        <f>HYPERLINK("http://catalog.hathitrust.org/Record/001168674","HathiTrust Record")</f>
        <v>HathiTrust Record</v>
      </c>
      <c r="AV4071" s="6" t="str">
        <f>HYPERLINK("http://mcgill.on.worldcat.org/oclc/4755162","Catalog Record")</f>
        <v>Catalog Record</v>
      </c>
      <c r="AW4071" s="6" t="str">
        <f>HYPERLINK("http://www.worldcat.org/oclc/4755162","WorldCat Record")</f>
        <v>WorldCat Record</v>
      </c>
      <c r="AX4071" s="3" t="s">
        <v>40045</v>
      </c>
      <c r="AY4071" s="3" t="s">
        <v>40046</v>
      </c>
      <c r="AZ4071" s="3" t="s">
        <v>40047</v>
      </c>
      <c r="BA4071" s="3" t="s">
        <v>40047</v>
      </c>
      <c r="BB4071" s="3" t="s">
        <v>40048</v>
      </c>
      <c r="BC4071" s="3" t="s">
        <v>77</v>
      </c>
      <c r="BD4071" s="3" t="s">
        <v>40037</v>
      </c>
      <c r="BF4071" s="3" t="s">
        <v>40048</v>
      </c>
      <c r="BG4071" s="3" t="s">
        <v>40049</v>
      </c>
      <c r="BH4071">
        <f t="shared" si="105"/>
        <v>0</v>
      </c>
    </row>
    <row r="4072" spans="1:60" ht="72.5" x14ac:dyDescent="0.35">
      <c r="A4072" s="2" t="s">
        <v>6202</v>
      </c>
      <c r="B4072" s="2" t="s">
        <v>6203</v>
      </c>
      <c r="C4072" s="2" t="s">
        <v>40050</v>
      </c>
      <c r="D4072" s="2" t="s">
        <v>40051</v>
      </c>
      <c r="E4072" s="2" t="s">
        <v>40052</v>
      </c>
      <c r="F4072" s="3" t="s">
        <v>6565</v>
      </c>
      <c r="G4072" s="3" t="s">
        <v>64</v>
      </c>
      <c r="I4072" s="3" t="s">
        <v>64</v>
      </c>
      <c r="J4072" s="3" t="s">
        <v>64</v>
      </c>
      <c r="K4072" s="3" t="s">
        <v>65</v>
      </c>
      <c r="L4072" s="2" t="s">
        <v>40043</v>
      </c>
      <c r="M4072" s="2" t="s">
        <v>40053</v>
      </c>
      <c r="N4072" s="3" t="s">
        <v>5986</v>
      </c>
      <c r="P4072" s="3" t="s">
        <v>102</v>
      </c>
      <c r="R4072" s="3" t="s">
        <v>70</v>
      </c>
      <c r="S4072" s="4">
        <v>3</v>
      </c>
      <c r="T4072" s="4">
        <v>3</v>
      </c>
      <c r="U4072" s="5" t="s">
        <v>18455</v>
      </c>
      <c r="V4072" s="5" t="s">
        <v>18455</v>
      </c>
      <c r="W4072" s="5" t="s">
        <v>72</v>
      </c>
      <c r="X4072" s="5" t="s">
        <v>72</v>
      </c>
      <c r="Y4072" s="4">
        <v>24</v>
      </c>
      <c r="Z4072" s="4">
        <v>15</v>
      </c>
      <c r="AA4072" s="4">
        <v>21</v>
      </c>
      <c r="AB4072" s="4">
        <v>1</v>
      </c>
      <c r="AC4072" s="4">
        <v>2</v>
      </c>
      <c r="AD4072" s="4">
        <v>13</v>
      </c>
      <c r="AE4072" s="4">
        <v>17</v>
      </c>
      <c r="AF4072" s="4">
        <v>0</v>
      </c>
      <c r="AG4072" s="4">
        <v>0</v>
      </c>
      <c r="AH4072" s="4">
        <v>8</v>
      </c>
      <c r="AI4072" s="4">
        <v>11</v>
      </c>
      <c r="AJ4072" s="4">
        <v>5</v>
      </c>
      <c r="AK4072" s="4">
        <v>7</v>
      </c>
      <c r="AL4072" s="4">
        <v>8</v>
      </c>
      <c r="AM4072" s="4">
        <v>8</v>
      </c>
      <c r="AN4072" s="4">
        <v>0</v>
      </c>
      <c r="AO4072" s="4">
        <v>0</v>
      </c>
      <c r="AP4072" s="4">
        <v>6</v>
      </c>
      <c r="AQ4072" s="4">
        <v>10</v>
      </c>
      <c r="AR4072" s="3" t="s">
        <v>128</v>
      </c>
      <c r="AS4072" s="3" t="s">
        <v>64</v>
      </c>
      <c r="AT4072" s="3" t="s">
        <v>64</v>
      </c>
      <c r="AV4072" s="6" t="str">
        <f>HYPERLINK("http://mcgill.on.worldcat.org/oclc/3299866","Catalog Record")</f>
        <v>Catalog Record</v>
      </c>
      <c r="AW4072" s="6" t="str">
        <f>HYPERLINK("http://www.worldcat.org/oclc/3299866","WorldCat Record")</f>
        <v>WorldCat Record</v>
      </c>
      <c r="AX4072" s="3" t="s">
        <v>40054</v>
      </c>
      <c r="AY4072" s="3" t="s">
        <v>40055</v>
      </c>
      <c r="AZ4072" s="3" t="s">
        <v>40056</v>
      </c>
      <c r="BA4072" s="3" t="s">
        <v>40056</v>
      </c>
      <c r="BB4072" s="3" t="s">
        <v>40057</v>
      </c>
      <c r="BC4072" s="3" t="s">
        <v>77</v>
      </c>
      <c r="BD4072" s="3" t="s">
        <v>78</v>
      </c>
      <c r="BF4072" s="3" t="s">
        <v>40057</v>
      </c>
      <c r="BG4072" s="3" t="s">
        <v>40058</v>
      </c>
      <c r="BH4072">
        <f t="shared" si="105"/>
        <v>0</v>
      </c>
    </row>
    <row r="4073" spans="1:60" ht="58" x14ac:dyDescent="0.35">
      <c r="A4073" s="2" t="s">
        <v>6202</v>
      </c>
      <c r="B4073" s="2" t="s">
        <v>6203</v>
      </c>
      <c r="C4073" s="2" t="s">
        <v>40059</v>
      </c>
      <c r="D4073" s="2" t="s">
        <v>40060</v>
      </c>
      <c r="E4073" s="2" t="s">
        <v>40061</v>
      </c>
      <c r="G4073" s="3" t="s">
        <v>64</v>
      </c>
      <c r="I4073" s="3" t="s">
        <v>64</v>
      </c>
      <c r="J4073" s="3" t="s">
        <v>64</v>
      </c>
      <c r="K4073" s="3" t="s">
        <v>65</v>
      </c>
      <c r="L4073" s="2" t="s">
        <v>40062</v>
      </c>
      <c r="M4073" s="2" t="s">
        <v>40063</v>
      </c>
      <c r="N4073" s="3" t="s">
        <v>1061</v>
      </c>
      <c r="P4073" s="3" t="s">
        <v>68</v>
      </c>
      <c r="Q4073" s="2" t="s">
        <v>40064</v>
      </c>
      <c r="R4073" s="3" t="s">
        <v>70</v>
      </c>
      <c r="S4073" s="4">
        <v>1</v>
      </c>
      <c r="T4073" s="4">
        <v>1</v>
      </c>
      <c r="U4073" s="5" t="s">
        <v>34451</v>
      </c>
      <c r="V4073" s="5" t="s">
        <v>34451</v>
      </c>
      <c r="W4073" s="5" t="s">
        <v>72</v>
      </c>
      <c r="X4073" s="5" t="s">
        <v>72</v>
      </c>
      <c r="Y4073" s="4">
        <v>56</v>
      </c>
      <c r="Z4073" s="4">
        <v>29</v>
      </c>
      <c r="AA4073" s="4">
        <v>44</v>
      </c>
      <c r="AB4073" s="4">
        <v>4</v>
      </c>
      <c r="AC4073" s="4">
        <v>14</v>
      </c>
      <c r="AD4073" s="4">
        <v>41</v>
      </c>
      <c r="AE4073" s="4">
        <v>48</v>
      </c>
      <c r="AF4073" s="4">
        <v>2</v>
      </c>
      <c r="AG4073" s="4">
        <v>8</v>
      </c>
      <c r="AH4073" s="4">
        <v>26</v>
      </c>
      <c r="AI4073" s="4">
        <v>28</v>
      </c>
      <c r="AJ4073" s="4">
        <v>18</v>
      </c>
      <c r="AK4073" s="4">
        <v>23</v>
      </c>
      <c r="AL4073" s="4">
        <v>13</v>
      </c>
      <c r="AM4073" s="4">
        <v>14</v>
      </c>
      <c r="AN4073" s="4">
        <v>0</v>
      </c>
      <c r="AO4073" s="4">
        <v>0</v>
      </c>
      <c r="AP4073" s="4">
        <v>24</v>
      </c>
      <c r="AQ4073" s="4">
        <v>30</v>
      </c>
      <c r="AR4073" s="3" t="s">
        <v>128</v>
      </c>
      <c r="AS4073" s="3" t="s">
        <v>64</v>
      </c>
      <c r="AT4073" s="3" t="s">
        <v>128</v>
      </c>
      <c r="AU4073" s="6" t="str">
        <f>HYPERLINK("http://catalog.hathitrust.org/Record/004714484","HathiTrust Record")</f>
        <v>HathiTrust Record</v>
      </c>
      <c r="AV4073" s="6" t="str">
        <f>HYPERLINK("http://mcgill.on.worldcat.org/oclc/13212318","Catalog Record")</f>
        <v>Catalog Record</v>
      </c>
      <c r="AW4073" s="6" t="str">
        <f>HYPERLINK("http://www.worldcat.org/oclc/13212318","WorldCat Record")</f>
        <v>WorldCat Record</v>
      </c>
      <c r="AX4073" s="3" t="s">
        <v>40065</v>
      </c>
      <c r="AY4073" s="3" t="s">
        <v>40066</v>
      </c>
      <c r="AZ4073" s="3" t="s">
        <v>40067</v>
      </c>
      <c r="BA4073" s="3" t="s">
        <v>40067</v>
      </c>
      <c r="BB4073" s="3" t="s">
        <v>40068</v>
      </c>
      <c r="BC4073" s="3" t="s">
        <v>77</v>
      </c>
      <c r="BD4073" s="3" t="s">
        <v>1956</v>
      </c>
      <c r="BE4073" s="3" t="s">
        <v>40069</v>
      </c>
      <c r="BF4073" s="3" t="s">
        <v>40068</v>
      </c>
      <c r="BG4073" s="3" t="s">
        <v>40070</v>
      </c>
      <c r="BH4073">
        <f t="shared" si="105"/>
        <v>0</v>
      </c>
    </row>
    <row r="4074" spans="1:60" ht="58" x14ac:dyDescent="0.35">
      <c r="A4074" s="2" t="s">
        <v>6202</v>
      </c>
      <c r="B4074" s="2" t="s">
        <v>6203</v>
      </c>
      <c r="C4074" s="2" t="s">
        <v>40071</v>
      </c>
      <c r="D4074" s="2" t="s">
        <v>40072</v>
      </c>
      <c r="E4074" s="2" t="s">
        <v>40073</v>
      </c>
      <c r="G4074" s="3" t="s">
        <v>64</v>
      </c>
      <c r="I4074" s="3" t="s">
        <v>64</v>
      </c>
      <c r="J4074" s="3" t="s">
        <v>64</v>
      </c>
      <c r="K4074" s="3" t="s">
        <v>65</v>
      </c>
      <c r="L4074" s="2" t="s">
        <v>40074</v>
      </c>
      <c r="M4074" s="2" t="s">
        <v>40075</v>
      </c>
      <c r="N4074" s="3" t="s">
        <v>768</v>
      </c>
      <c r="P4074" s="3" t="s">
        <v>102</v>
      </c>
      <c r="Q4074" s="2" t="s">
        <v>40076</v>
      </c>
      <c r="R4074" s="3" t="s">
        <v>70</v>
      </c>
      <c r="S4074" s="4">
        <v>2</v>
      </c>
      <c r="T4074" s="4">
        <v>2</v>
      </c>
      <c r="U4074" s="5" t="s">
        <v>34451</v>
      </c>
      <c r="V4074" s="5" t="s">
        <v>34451</v>
      </c>
      <c r="W4074" s="5" t="s">
        <v>72</v>
      </c>
      <c r="X4074" s="5" t="s">
        <v>72</v>
      </c>
      <c r="Y4074" s="4">
        <v>105</v>
      </c>
      <c r="Z4074" s="4">
        <v>37</v>
      </c>
      <c r="AA4074" s="4">
        <v>39</v>
      </c>
      <c r="AB4074" s="4">
        <v>2</v>
      </c>
      <c r="AC4074" s="4">
        <v>4</v>
      </c>
      <c r="AD4074" s="4">
        <v>61</v>
      </c>
      <c r="AE4074" s="4">
        <v>62</v>
      </c>
      <c r="AF4074" s="4">
        <v>1</v>
      </c>
      <c r="AG4074" s="4">
        <v>2</v>
      </c>
      <c r="AH4074" s="4">
        <v>45</v>
      </c>
      <c r="AI4074" s="4">
        <v>45</v>
      </c>
      <c r="AJ4074" s="4">
        <v>19</v>
      </c>
      <c r="AK4074" s="4">
        <v>20</v>
      </c>
      <c r="AL4074" s="4">
        <v>27</v>
      </c>
      <c r="AM4074" s="4">
        <v>27</v>
      </c>
      <c r="AN4074" s="4">
        <v>0</v>
      </c>
      <c r="AO4074" s="4">
        <v>0</v>
      </c>
      <c r="AP4074" s="4">
        <v>26</v>
      </c>
      <c r="AQ4074" s="4">
        <v>26</v>
      </c>
      <c r="AR4074" s="3" t="s">
        <v>128</v>
      </c>
      <c r="AS4074" s="3" t="s">
        <v>64</v>
      </c>
      <c r="AT4074" s="3" t="s">
        <v>128</v>
      </c>
      <c r="AU4074" s="6" t="str">
        <f>HYPERLINK("http://catalog.hathitrust.org/Record/008308681","HathiTrust Record")</f>
        <v>HathiTrust Record</v>
      </c>
      <c r="AV4074" s="6" t="str">
        <f>HYPERLINK("http://mcgill.on.worldcat.org/oclc/4982601","Catalog Record")</f>
        <v>Catalog Record</v>
      </c>
      <c r="AW4074" s="6" t="str">
        <f>HYPERLINK("http://www.worldcat.org/oclc/4982601","WorldCat Record")</f>
        <v>WorldCat Record</v>
      </c>
      <c r="AX4074" s="3" t="s">
        <v>40077</v>
      </c>
      <c r="AY4074" s="3" t="s">
        <v>40078</v>
      </c>
      <c r="AZ4074" s="3" t="s">
        <v>40079</v>
      </c>
      <c r="BA4074" s="3" t="s">
        <v>40079</v>
      </c>
      <c r="BB4074" s="3" t="s">
        <v>40080</v>
      </c>
      <c r="BC4074" s="3" t="s">
        <v>77</v>
      </c>
      <c r="BD4074" s="3" t="s">
        <v>40037</v>
      </c>
      <c r="BE4074" s="3" t="s">
        <v>40081</v>
      </c>
      <c r="BF4074" s="3" t="s">
        <v>40080</v>
      </c>
      <c r="BG4074" s="3" t="s">
        <v>40082</v>
      </c>
      <c r="BH4074">
        <f t="shared" si="105"/>
        <v>0</v>
      </c>
    </row>
    <row r="4075" spans="1:60" ht="58" x14ac:dyDescent="0.35">
      <c r="A4075" s="2" t="s">
        <v>59</v>
      </c>
      <c r="B4075" s="2" t="s">
        <v>60</v>
      </c>
      <c r="C4075" s="2" t="s">
        <v>40083</v>
      </c>
      <c r="D4075" s="2" t="s">
        <v>40084</v>
      </c>
      <c r="E4075" s="2" t="s">
        <v>40085</v>
      </c>
      <c r="G4075" s="3" t="s">
        <v>64</v>
      </c>
      <c r="I4075" s="3" t="s">
        <v>128</v>
      </c>
      <c r="J4075" s="3" t="s">
        <v>64</v>
      </c>
      <c r="K4075" s="3" t="s">
        <v>65</v>
      </c>
      <c r="L4075" s="2" t="s">
        <v>40086</v>
      </c>
      <c r="M4075" s="2" t="s">
        <v>40087</v>
      </c>
      <c r="N4075" s="3" t="s">
        <v>405</v>
      </c>
      <c r="P4075" s="3" t="s">
        <v>102</v>
      </c>
      <c r="Q4075" s="2" t="s">
        <v>40088</v>
      </c>
      <c r="R4075" s="3" t="s">
        <v>70</v>
      </c>
      <c r="S4075" s="4">
        <v>2</v>
      </c>
      <c r="T4075" s="4">
        <v>2</v>
      </c>
      <c r="U4075" s="5" t="s">
        <v>40089</v>
      </c>
      <c r="V4075" s="5" t="s">
        <v>40089</v>
      </c>
      <c r="W4075" s="5" t="s">
        <v>72</v>
      </c>
      <c r="X4075" s="5" t="s">
        <v>72</v>
      </c>
      <c r="Y4075" s="4">
        <v>22</v>
      </c>
      <c r="Z4075" s="4">
        <v>17</v>
      </c>
      <c r="AA4075" s="4">
        <v>44</v>
      </c>
      <c r="AB4075" s="4">
        <v>3</v>
      </c>
      <c r="AC4075" s="4">
        <v>6</v>
      </c>
      <c r="AD4075" s="4">
        <v>9</v>
      </c>
      <c r="AE4075" s="4">
        <v>90</v>
      </c>
      <c r="AF4075" s="4">
        <v>2</v>
      </c>
      <c r="AG4075" s="4">
        <v>5</v>
      </c>
      <c r="AH4075" s="4">
        <v>4</v>
      </c>
      <c r="AI4075" s="4">
        <v>64</v>
      </c>
      <c r="AJ4075" s="4">
        <v>8</v>
      </c>
      <c r="AK4075" s="4">
        <v>23</v>
      </c>
      <c r="AL4075" s="4">
        <v>1</v>
      </c>
      <c r="AM4075" s="4">
        <v>39</v>
      </c>
      <c r="AN4075" s="4">
        <v>0</v>
      </c>
      <c r="AO4075" s="4">
        <v>0</v>
      </c>
      <c r="AP4075" s="4">
        <v>8</v>
      </c>
      <c r="AQ4075" s="4">
        <v>32</v>
      </c>
      <c r="AR4075" s="3" t="s">
        <v>128</v>
      </c>
      <c r="AS4075" s="3" t="s">
        <v>64</v>
      </c>
      <c r="AT4075" s="3" t="s">
        <v>128</v>
      </c>
      <c r="AU4075" s="6" t="str">
        <f>HYPERLINK("http://catalog.hathitrust.org/Record/000720740","HathiTrust Record")</f>
        <v>HathiTrust Record</v>
      </c>
      <c r="AV4075" s="6" t="str">
        <f>HYPERLINK("http://mcgill.on.worldcat.org/oclc/277229915","Catalog Record")</f>
        <v>Catalog Record</v>
      </c>
      <c r="AW4075" s="6" t="str">
        <f>HYPERLINK("http://www.worldcat.org/oclc/277229915","WorldCat Record")</f>
        <v>WorldCat Record</v>
      </c>
      <c r="AX4075" s="3" t="s">
        <v>40090</v>
      </c>
      <c r="AY4075" s="3" t="s">
        <v>40091</v>
      </c>
      <c r="AZ4075" s="3" t="s">
        <v>40092</v>
      </c>
      <c r="BA4075" s="3" t="s">
        <v>40092</v>
      </c>
      <c r="BB4075" s="3" t="s">
        <v>40093</v>
      </c>
      <c r="BC4075" s="3" t="s">
        <v>77</v>
      </c>
      <c r="BD4075" s="3" t="s">
        <v>78</v>
      </c>
      <c r="BF4075" s="3" t="s">
        <v>40093</v>
      </c>
      <c r="BG4075" s="3" t="s">
        <v>40094</v>
      </c>
      <c r="BH4075">
        <f t="shared" si="105"/>
        <v>0</v>
      </c>
    </row>
    <row r="4076" spans="1:60" ht="58" x14ac:dyDescent="0.35">
      <c r="A4076" s="2" t="s">
        <v>59</v>
      </c>
      <c r="B4076" s="2" t="s">
        <v>7607</v>
      </c>
      <c r="C4076" s="2" t="s">
        <v>40083</v>
      </c>
      <c r="D4076" s="2" t="s">
        <v>40084</v>
      </c>
      <c r="E4076" s="2" t="s">
        <v>40085</v>
      </c>
      <c r="G4076" s="3" t="s">
        <v>64</v>
      </c>
      <c r="I4076" s="3" t="s">
        <v>128</v>
      </c>
      <c r="J4076" s="3" t="s">
        <v>64</v>
      </c>
      <c r="K4076" s="3" t="s">
        <v>65</v>
      </c>
      <c r="L4076" s="2" t="s">
        <v>40086</v>
      </c>
      <c r="M4076" s="2" t="s">
        <v>40087</v>
      </c>
      <c r="N4076" s="3" t="s">
        <v>405</v>
      </c>
      <c r="P4076" s="3" t="s">
        <v>102</v>
      </c>
      <c r="Q4076" s="2" t="s">
        <v>40088</v>
      </c>
      <c r="R4076" s="3" t="s">
        <v>70</v>
      </c>
      <c r="S4076" s="4">
        <v>0</v>
      </c>
      <c r="T4076" s="4">
        <v>2</v>
      </c>
      <c r="V4076" s="5" t="s">
        <v>40089</v>
      </c>
      <c r="W4076" s="5" t="s">
        <v>72</v>
      </c>
      <c r="X4076" s="5" t="s">
        <v>72</v>
      </c>
      <c r="Y4076" s="4">
        <v>22</v>
      </c>
      <c r="Z4076" s="4">
        <v>17</v>
      </c>
      <c r="AA4076" s="4">
        <v>44</v>
      </c>
      <c r="AB4076" s="4">
        <v>3</v>
      </c>
      <c r="AC4076" s="4">
        <v>6</v>
      </c>
      <c r="AD4076" s="4">
        <v>9</v>
      </c>
      <c r="AE4076" s="4">
        <v>90</v>
      </c>
      <c r="AF4076" s="4">
        <v>2</v>
      </c>
      <c r="AG4076" s="4">
        <v>5</v>
      </c>
      <c r="AH4076" s="4">
        <v>4</v>
      </c>
      <c r="AI4076" s="4">
        <v>64</v>
      </c>
      <c r="AJ4076" s="4">
        <v>8</v>
      </c>
      <c r="AK4076" s="4">
        <v>23</v>
      </c>
      <c r="AL4076" s="4">
        <v>1</v>
      </c>
      <c r="AM4076" s="4">
        <v>39</v>
      </c>
      <c r="AN4076" s="4">
        <v>0</v>
      </c>
      <c r="AO4076" s="4">
        <v>0</v>
      </c>
      <c r="AP4076" s="4">
        <v>8</v>
      </c>
      <c r="AQ4076" s="4">
        <v>32</v>
      </c>
      <c r="AR4076" s="3" t="s">
        <v>128</v>
      </c>
      <c r="AS4076" s="3" t="s">
        <v>64</v>
      </c>
      <c r="AT4076" s="3" t="s">
        <v>128</v>
      </c>
      <c r="AU4076" s="6" t="str">
        <f>HYPERLINK("http://catalog.hathitrust.org/Record/000720740","HathiTrust Record")</f>
        <v>HathiTrust Record</v>
      </c>
      <c r="AV4076" s="6" t="str">
        <f>HYPERLINK("http://mcgill.on.worldcat.org/oclc/277229915","Catalog Record")</f>
        <v>Catalog Record</v>
      </c>
      <c r="AW4076" s="6" t="str">
        <f>HYPERLINK("http://www.worldcat.org/oclc/277229915","WorldCat Record")</f>
        <v>WorldCat Record</v>
      </c>
      <c r="AX4076" s="3" t="s">
        <v>40090</v>
      </c>
      <c r="AY4076" s="3" t="s">
        <v>40091</v>
      </c>
      <c r="AZ4076" s="3" t="s">
        <v>40092</v>
      </c>
      <c r="BA4076" s="3" t="s">
        <v>40092</v>
      </c>
      <c r="BB4076" s="3" t="s">
        <v>40095</v>
      </c>
      <c r="BC4076" s="3" t="s">
        <v>77</v>
      </c>
      <c r="BD4076" s="3" t="s">
        <v>78</v>
      </c>
      <c r="BF4076" s="3" t="s">
        <v>40095</v>
      </c>
      <c r="BG4076" s="3" t="s">
        <v>40096</v>
      </c>
      <c r="BH4076">
        <f t="shared" si="105"/>
        <v>0</v>
      </c>
    </row>
    <row r="4077" spans="1:60" ht="58" x14ac:dyDescent="0.35">
      <c r="A4077" s="2" t="s">
        <v>6202</v>
      </c>
      <c r="B4077" s="2" t="s">
        <v>6203</v>
      </c>
      <c r="C4077" s="2" t="s">
        <v>40097</v>
      </c>
      <c r="D4077" s="2" t="s">
        <v>40098</v>
      </c>
      <c r="E4077" s="2" t="s">
        <v>40099</v>
      </c>
      <c r="G4077" s="3" t="s">
        <v>64</v>
      </c>
      <c r="I4077" s="3" t="s">
        <v>64</v>
      </c>
      <c r="J4077" s="3" t="s">
        <v>64</v>
      </c>
      <c r="K4077" s="3" t="s">
        <v>65</v>
      </c>
      <c r="M4077" s="2" t="s">
        <v>40100</v>
      </c>
      <c r="N4077" s="3" t="s">
        <v>3721</v>
      </c>
      <c r="P4077" s="3" t="s">
        <v>102</v>
      </c>
      <c r="R4077" s="3" t="s">
        <v>70</v>
      </c>
      <c r="S4077" s="4">
        <v>1</v>
      </c>
      <c r="T4077" s="4">
        <v>1</v>
      </c>
      <c r="U4077" s="5" t="s">
        <v>40101</v>
      </c>
      <c r="V4077" s="5" t="s">
        <v>40101</v>
      </c>
      <c r="W4077" s="5" t="s">
        <v>72</v>
      </c>
      <c r="X4077" s="5" t="s">
        <v>72</v>
      </c>
      <c r="Y4077" s="4">
        <v>84</v>
      </c>
      <c r="Z4077" s="4">
        <v>28</v>
      </c>
      <c r="AA4077" s="4">
        <v>31</v>
      </c>
      <c r="AB4077" s="4">
        <v>2</v>
      </c>
      <c r="AC4077" s="4">
        <v>5</v>
      </c>
      <c r="AD4077" s="4">
        <v>50</v>
      </c>
      <c r="AE4077" s="4">
        <v>52</v>
      </c>
      <c r="AF4077" s="4">
        <v>1</v>
      </c>
      <c r="AG4077" s="4">
        <v>3</v>
      </c>
      <c r="AH4077" s="4">
        <v>38</v>
      </c>
      <c r="AI4077" s="4">
        <v>39</v>
      </c>
      <c r="AJ4077" s="4">
        <v>18</v>
      </c>
      <c r="AK4077" s="4">
        <v>20</v>
      </c>
      <c r="AL4077" s="4">
        <v>23</v>
      </c>
      <c r="AM4077" s="4">
        <v>23</v>
      </c>
      <c r="AN4077" s="4">
        <v>0</v>
      </c>
      <c r="AO4077" s="4">
        <v>0</v>
      </c>
      <c r="AP4077" s="4">
        <v>20</v>
      </c>
      <c r="AQ4077" s="4">
        <v>22</v>
      </c>
      <c r="AR4077" s="3" t="s">
        <v>128</v>
      </c>
      <c r="AS4077" s="3" t="s">
        <v>64</v>
      </c>
      <c r="AT4077" s="3" t="s">
        <v>128</v>
      </c>
      <c r="AU4077" s="6" t="str">
        <f>HYPERLINK("http://catalog.hathitrust.org/Record/000095568","HathiTrust Record")</f>
        <v>HathiTrust Record</v>
      </c>
      <c r="AV4077" s="6" t="str">
        <f>HYPERLINK("http://mcgill.on.worldcat.org/oclc/5955817","Catalog Record")</f>
        <v>Catalog Record</v>
      </c>
      <c r="AW4077" s="6" t="str">
        <f>HYPERLINK("http://www.worldcat.org/oclc/5955817","WorldCat Record")</f>
        <v>WorldCat Record</v>
      </c>
      <c r="AX4077" s="3" t="s">
        <v>40102</v>
      </c>
      <c r="AY4077" s="3" t="s">
        <v>40103</v>
      </c>
      <c r="AZ4077" s="3" t="s">
        <v>40104</v>
      </c>
      <c r="BA4077" s="3" t="s">
        <v>40104</v>
      </c>
      <c r="BB4077" s="3" t="s">
        <v>40105</v>
      </c>
      <c r="BC4077" s="3" t="s">
        <v>77</v>
      </c>
      <c r="BD4077" s="3" t="s">
        <v>78</v>
      </c>
      <c r="BE4077" s="3" t="s">
        <v>40106</v>
      </c>
      <c r="BF4077" s="3" t="s">
        <v>40105</v>
      </c>
      <c r="BG4077" s="3" t="s">
        <v>40107</v>
      </c>
      <c r="BH4077">
        <f t="shared" si="105"/>
        <v>0</v>
      </c>
    </row>
    <row r="4078" spans="1:60" ht="58" x14ac:dyDescent="0.35">
      <c r="A4078" s="2" t="s">
        <v>59</v>
      </c>
      <c r="B4078" s="2" t="s">
        <v>60</v>
      </c>
      <c r="C4078" s="2" t="s">
        <v>40108</v>
      </c>
      <c r="D4078" s="2" t="s">
        <v>40109</v>
      </c>
      <c r="E4078" s="2" t="s">
        <v>40110</v>
      </c>
      <c r="G4078" s="3" t="s">
        <v>64</v>
      </c>
      <c r="I4078" s="3" t="s">
        <v>128</v>
      </c>
      <c r="J4078" s="3" t="s">
        <v>64</v>
      </c>
      <c r="K4078" s="3" t="s">
        <v>65</v>
      </c>
      <c r="L4078" s="2" t="s">
        <v>40111</v>
      </c>
      <c r="M4078" s="2" t="s">
        <v>40112</v>
      </c>
      <c r="N4078" s="3" t="s">
        <v>7800</v>
      </c>
      <c r="P4078" s="3" t="s">
        <v>102</v>
      </c>
      <c r="R4078" s="3" t="s">
        <v>70</v>
      </c>
      <c r="S4078" s="4">
        <v>2</v>
      </c>
      <c r="T4078" s="4">
        <v>2</v>
      </c>
      <c r="U4078" s="5" t="s">
        <v>5324</v>
      </c>
      <c r="V4078" s="5" t="s">
        <v>5324</v>
      </c>
      <c r="W4078" s="5" t="s">
        <v>72</v>
      </c>
      <c r="X4078" s="5" t="s">
        <v>72</v>
      </c>
      <c r="Y4078" s="4">
        <v>133</v>
      </c>
      <c r="Z4078" s="4">
        <v>52</v>
      </c>
      <c r="AA4078" s="4">
        <v>64</v>
      </c>
      <c r="AB4078" s="4">
        <v>3</v>
      </c>
      <c r="AC4078" s="4">
        <v>9</v>
      </c>
      <c r="AD4078" s="4">
        <v>66</v>
      </c>
      <c r="AE4078" s="4">
        <v>94</v>
      </c>
      <c r="AF4078" s="4">
        <v>2</v>
      </c>
      <c r="AG4078" s="4">
        <v>5</v>
      </c>
      <c r="AH4078" s="4">
        <v>44</v>
      </c>
      <c r="AI4078" s="4">
        <v>66</v>
      </c>
      <c r="AJ4078" s="4">
        <v>21</v>
      </c>
      <c r="AK4078" s="4">
        <v>25</v>
      </c>
      <c r="AL4078" s="4">
        <v>24</v>
      </c>
      <c r="AM4078" s="4">
        <v>35</v>
      </c>
      <c r="AN4078" s="4">
        <v>0</v>
      </c>
      <c r="AO4078" s="4">
        <v>0</v>
      </c>
      <c r="AP4078" s="4">
        <v>30</v>
      </c>
      <c r="AQ4078" s="4">
        <v>36</v>
      </c>
      <c r="AR4078" s="3" t="s">
        <v>128</v>
      </c>
      <c r="AS4078" s="3" t="s">
        <v>64</v>
      </c>
      <c r="AT4078" s="3" t="s">
        <v>128</v>
      </c>
      <c r="AU4078" s="6" t="str">
        <f>HYPERLINK("http://catalog.hathitrust.org/Record/006193105","HathiTrust Record")</f>
        <v>HathiTrust Record</v>
      </c>
      <c r="AV4078" s="6" t="str">
        <f>HYPERLINK("http://mcgill.on.worldcat.org/oclc/1067813","Catalog Record")</f>
        <v>Catalog Record</v>
      </c>
      <c r="AW4078" s="6" t="str">
        <f>HYPERLINK("http://www.worldcat.org/oclc/1067813","WorldCat Record")</f>
        <v>WorldCat Record</v>
      </c>
      <c r="AX4078" s="3" t="s">
        <v>40113</v>
      </c>
      <c r="AY4078" s="3" t="s">
        <v>40114</v>
      </c>
      <c r="AZ4078" s="3" t="s">
        <v>40115</v>
      </c>
      <c r="BA4078" s="3" t="s">
        <v>40115</v>
      </c>
      <c r="BB4078" s="3" t="s">
        <v>40116</v>
      </c>
      <c r="BC4078" s="3" t="s">
        <v>77</v>
      </c>
      <c r="BD4078" s="3" t="s">
        <v>78</v>
      </c>
      <c r="BF4078" s="3" t="s">
        <v>40116</v>
      </c>
      <c r="BG4078" s="3" t="s">
        <v>40117</v>
      </c>
      <c r="BH4078">
        <f t="shared" si="105"/>
        <v>0</v>
      </c>
    </row>
    <row r="4079" spans="1:60" ht="58" x14ac:dyDescent="0.35">
      <c r="A4079" s="2" t="s">
        <v>6202</v>
      </c>
      <c r="B4079" s="2" t="s">
        <v>6203</v>
      </c>
      <c r="C4079" s="2" t="s">
        <v>40108</v>
      </c>
      <c r="D4079" s="2" t="s">
        <v>40109</v>
      </c>
      <c r="E4079" s="2" t="s">
        <v>40110</v>
      </c>
      <c r="G4079" s="3" t="s">
        <v>64</v>
      </c>
      <c r="I4079" s="3" t="s">
        <v>128</v>
      </c>
      <c r="J4079" s="3" t="s">
        <v>64</v>
      </c>
      <c r="K4079" s="3" t="s">
        <v>65</v>
      </c>
      <c r="L4079" s="2" t="s">
        <v>40111</v>
      </c>
      <c r="M4079" s="2" t="s">
        <v>40112</v>
      </c>
      <c r="N4079" s="3" t="s">
        <v>7800</v>
      </c>
      <c r="P4079" s="3" t="s">
        <v>102</v>
      </c>
      <c r="R4079" s="3" t="s">
        <v>70</v>
      </c>
      <c r="S4079" s="4">
        <v>0</v>
      </c>
      <c r="T4079" s="4">
        <v>2</v>
      </c>
      <c r="V4079" s="5" t="s">
        <v>5324</v>
      </c>
      <c r="W4079" s="5" t="s">
        <v>72</v>
      </c>
      <c r="X4079" s="5" t="s">
        <v>72</v>
      </c>
      <c r="Y4079" s="4">
        <v>133</v>
      </c>
      <c r="Z4079" s="4">
        <v>52</v>
      </c>
      <c r="AA4079" s="4">
        <v>64</v>
      </c>
      <c r="AB4079" s="4">
        <v>3</v>
      </c>
      <c r="AC4079" s="4">
        <v>9</v>
      </c>
      <c r="AD4079" s="4">
        <v>66</v>
      </c>
      <c r="AE4079" s="4">
        <v>94</v>
      </c>
      <c r="AF4079" s="4">
        <v>2</v>
      </c>
      <c r="AG4079" s="4">
        <v>5</v>
      </c>
      <c r="AH4079" s="4">
        <v>44</v>
      </c>
      <c r="AI4079" s="4">
        <v>66</v>
      </c>
      <c r="AJ4079" s="4">
        <v>21</v>
      </c>
      <c r="AK4079" s="4">
        <v>25</v>
      </c>
      <c r="AL4079" s="4">
        <v>24</v>
      </c>
      <c r="AM4079" s="4">
        <v>35</v>
      </c>
      <c r="AN4079" s="4">
        <v>0</v>
      </c>
      <c r="AO4079" s="4">
        <v>0</v>
      </c>
      <c r="AP4079" s="4">
        <v>30</v>
      </c>
      <c r="AQ4079" s="4">
        <v>36</v>
      </c>
      <c r="AR4079" s="3" t="s">
        <v>128</v>
      </c>
      <c r="AS4079" s="3" t="s">
        <v>64</v>
      </c>
      <c r="AT4079" s="3" t="s">
        <v>128</v>
      </c>
      <c r="AU4079" s="6" t="str">
        <f>HYPERLINK("http://catalog.hathitrust.org/Record/006193105","HathiTrust Record")</f>
        <v>HathiTrust Record</v>
      </c>
      <c r="AV4079" s="6" t="str">
        <f>HYPERLINK("http://mcgill.on.worldcat.org/oclc/1067813","Catalog Record")</f>
        <v>Catalog Record</v>
      </c>
      <c r="AW4079" s="6" t="str">
        <f>HYPERLINK("http://www.worldcat.org/oclc/1067813","WorldCat Record")</f>
        <v>WorldCat Record</v>
      </c>
      <c r="AX4079" s="3" t="s">
        <v>40113</v>
      </c>
      <c r="AY4079" s="3" t="s">
        <v>40114</v>
      </c>
      <c r="AZ4079" s="3" t="s">
        <v>40115</v>
      </c>
      <c r="BA4079" s="3" t="s">
        <v>40115</v>
      </c>
      <c r="BB4079" s="3" t="s">
        <v>40118</v>
      </c>
      <c r="BC4079" s="3" t="s">
        <v>77</v>
      </c>
      <c r="BD4079" s="3" t="s">
        <v>78</v>
      </c>
      <c r="BF4079" s="3" t="s">
        <v>40118</v>
      </c>
      <c r="BG4079" s="3" t="s">
        <v>40119</v>
      </c>
      <c r="BH4079">
        <f t="shared" si="105"/>
        <v>0</v>
      </c>
    </row>
    <row r="4080" spans="1:60" ht="58" x14ac:dyDescent="0.35">
      <c r="A4080" s="2" t="s">
        <v>59</v>
      </c>
      <c r="B4080" s="2" t="s">
        <v>60</v>
      </c>
      <c r="C4080" s="2" t="s">
        <v>40120</v>
      </c>
      <c r="D4080" s="2" t="s">
        <v>40121</v>
      </c>
      <c r="E4080" s="2" t="s">
        <v>40122</v>
      </c>
      <c r="G4080" s="3" t="s">
        <v>64</v>
      </c>
      <c r="I4080" s="3" t="s">
        <v>64</v>
      </c>
      <c r="J4080" s="3" t="s">
        <v>64</v>
      </c>
      <c r="K4080" s="3" t="s">
        <v>65</v>
      </c>
      <c r="L4080" s="2" t="s">
        <v>40123</v>
      </c>
      <c r="M4080" s="2" t="s">
        <v>40124</v>
      </c>
      <c r="N4080" s="3" t="s">
        <v>392</v>
      </c>
      <c r="P4080" s="3" t="s">
        <v>68</v>
      </c>
      <c r="Q4080" s="2" t="s">
        <v>40125</v>
      </c>
      <c r="R4080" s="3" t="s">
        <v>70</v>
      </c>
      <c r="S4080" s="4">
        <v>5</v>
      </c>
      <c r="T4080" s="4">
        <v>5</v>
      </c>
      <c r="U4080" s="5" t="s">
        <v>40126</v>
      </c>
      <c r="V4080" s="5" t="s">
        <v>40126</v>
      </c>
      <c r="W4080" s="5" t="s">
        <v>72</v>
      </c>
      <c r="X4080" s="5" t="s">
        <v>72</v>
      </c>
      <c r="Y4080" s="4">
        <v>9</v>
      </c>
      <c r="Z4080" s="4">
        <v>8</v>
      </c>
      <c r="AA4080" s="4">
        <v>9</v>
      </c>
      <c r="AB4080" s="4">
        <v>6</v>
      </c>
      <c r="AC4080" s="4">
        <v>6</v>
      </c>
      <c r="AD4080" s="4">
        <v>6</v>
      </c>
      <c r="AE4080" s="4">
        <v>7</v>
      </c>
      <c r="AF4080" s="4">
        <v>3</v>
      </c>
      <c r="AG4080" s="4">
        <v>3</v>
      </c>
      <c r="AH4080" s="4">
        <v>2</v>
      </c>
      <c r="AI4080" s="4">
        <v>3</v>
      </c>
      <c r="AJ4080" s="4">
        <v>5</v>
      </c>
      <c r="AK4080" s="4">
        <v>6</v>
      </c>
      <c r="AL4080" s="4">
        <v>1</v>
      </c>
      <c r="AM4080" s="4">
        <v>1</v>
      </c>
      <c r="AN4080" s="4">
        <v>0</v>
      </c>
      <c r="AO4080" s="4">
        <v>0</v>
      </c>
      <c r="AP4080" s="4">
        <v>3</v>
      </c>
      <c r="AQ4080" s="4">
        <v>4</v>
      </c>
      <c r="AR4080" s="3" t="s">
        <v>128</v>
      </c>
      <c r="AS4080" s="3" t="s">
        <v>64</v>
      </c>
      <c r="AT4080" s="3" t="s">
        <v>64</v>
      </c>
      <c r="AV4080" s="6" t="str">
        <f>HYPERLINK("http://mcgill.on.worldcat.org/oclc/41273805","Catalog Record")</f>
        <v>Catalog Record</v>
      </c>
      <c r="AW4080" s="6" t="str">
        <f>HYPERLINK("http://www.worldcat.org/oclc/41273805","WorldCat Record")</f>
        <v>WorldCat Record</v>
      </c>
      <c r="AX4080" s="3" t="s">
        <v>40127</v>
      </c>
      <c r="AY4080" s="3" t="s">
        <v>40128</v>
      </c>
      <c r="AZ4080" s="3" t="s">
        <v>40129</v>
      </c>
      <c r="BA4080" s="3" t="s">
        <v>40129</v>
      </c>
      <c r="BB4080" s="3" t="s">
        <v>40130</v>
      </c>
      <c r="BC4080" s="3" t="s">
        <v>77</v>
      </c>
      <c r="BD4080" s="3" t="s">
        <v>78</v>
      </c>
      <c r="BE4080" s="3" t="s">
        <v>40131</v>
      </c>
      <c r="BF4080" s="3" t="s">
        <v>40130</v>
      </c>
      <c r="BG4080" s="3" t="s">
        <v>40132</v>
      </c>
      <c r="BH4080">
        <f t="shared" si="105"/>
        <v>0</v>
      </c>
    </row>
    <row r="4081" spans="1:60" ht="87" x14ac:dyDescent="0.35">
      <c r="A4081" s="2" t="s">
        <v>59</v>
      </c>
      <c r="B4081" s="2" t="s">
        <v>60</v>
      </c>
      <c r="C4081" s="2" t="s">
        <v>40133</v>
      </c>
      <c r="D4081" s="2" t="s">
        <v>40134</v>
      </c>
      <c r="E4081" s="2" t="s">
        <v>40135</v>
      </c>
      <c r="G4081" s="3" t="s">
        <v>64</v>
      </c>
      <c r="I4081" s="3" t="s">
        <v>64</v>
      </c>
      <c r="J4081" s="3" t="s">
        <v>64</v>
      </c>
      <c r="K4081" s="3" t="s">
        <v>65</v>
      </c>
      <c r="L4081" s="2" t="s">
        <v>40136</v>
      </c>
      <c r="M4081" s="2" t="s">
        <v>40137</v>
      </c>
      <c r="N4081" s="3" t="s">
        <v>1087</v>
      </c>
      <c r="P4081" s="3" t="s">
        <v>68</v>
      </c>
      <c r="R4081" s="3" t="s">
        <v>70</v>
      </c>
      <c r="S4081" s="4">
        <v>4</v>
      </c>
      <c r="T4081" s="4">
        <v>4</v>
      </c>
      <c r="U4081" s="5" t="s">
        <v>5611</v>
      </c>
      <c r="V4081" s="5" t="s">
        <v>5611</v>
      </c>
      <c r="W4081" s="5" t="s">
        <v>72</v>
      </c>
      <c r="X4081" s="5" t="s">
        <v>72</v>
      </c>
      <c r="Y4081" s="4">
        <v>12</v>
      </c>
      <c r="Z4081" s="4">
        <v>8</v>
      </c>
      <c r="AA4081" s="4">
        <v>14</v>
      </c>
      <c r="AB4081" s="4">
        <v>2</v>
      </c>
      <c r="AC4081" s="4">
        <v>7</v>
      </c>
      <c r="AD4081" s="4">
        <v>8</v>
      </c>
      <c r="AE4081" s="4">
        <v>13</v>
      </c>
      <c r="AF4081" s="4">
        <v>1</v>
      </c>
      <c r="AG4081" s="4">
        <v>5</v>
      </c>
      <c r="AH4081" s="4">
        <v>7</v>
      </c>
      <c r="AI4081" s="4">
        <v>9</v>
      </c>
      <c r="AJ4081" s="4">
        <v>6</v>
      </c>
      <c r="AK4081" s="4">
        <v>11</v>
      </c>
      <c r="AL4081" s="4">
        <v>3</v>
      </c>
      <c r="AM4081" s="4">
        <v>3</v>
      </c>
      <c r="AN4081" s="4">
        <v>0</v>
      </c>
      <c r="AO4081" s="4">
        <v>0</v>
      </c>
      <c r="AP4081" s="4">
        <v>6</v>
      </c>
      <c r="AQ4081" s="4">
        <v>10</v>
      </c>
      <c r="AR4081" s="3" t="s">
        <v>128</v>
      </c>
      <c r="AS4081" s="3" t="s">
        <v>64</v>
      </c>
      <c r="AT4081" s="3" t="s">
        <v>64</v>
      </c>
      <c r="AV4081" s="6" t="str">
        <f>HYPERLINK("http://mcgill.on.worldcat.org/oclc/28804622","Catalog Record")</f>
        <v>Catalog Record</v>
      </c>
      <c r="AW4081" s="6" t="str">
        <f>HYPERLINK("http://www.worldcat.org/oclc/28804622","WorldCat Record")</f>
        <v>WorldCat Record</v>
      </c>
      <c r="AX4081" s="3" t="s">
        <v>40138</v>
      </c>
      <c r="AY4081" s="3" t="s">
        <v>40139</v>
      </c>
      <c r="AZ4081" s="3" t="s">
        <v>40140</v>
      </c>
      <c r="BA4081" s="3" t="s">
        <v>40140</v>
      </c>
      <c r="BB4081" s="3" t="s">
        <v>40141</v>
      </c>
      <c r="BC4081" s="3" t="s">
        <v>77</v>
      </c>
      <c r="BD4081" s="3" t="s">
        <v>165</v>
      </c>
      <c r="BE4081" s="3" t="s">
        <v>40142</v>
      </c>
      <c r="BF4081" s="3" t="s">
        <v>40141</v>
      </c>
      <c r="BG4081" s="3" t="s">
        <v>40143</v>
      </c>
      <c r="BH4081">
        <f t="shared" si="105"/>
        <v>0</v>
      </c>
    </row>
    <row r="4082" spans="1:60" ht="58" x14ac:dyDescent="0.35">
      <c r="A4082" s="2" t="s">
        <v>59</v>
      </c>
      <c r="B4082" s="2" t="s">
        <v>60</v>
      </c>
      <c r="C4082" s="2" t="s">
        <v>40144</v>
      </c>
      <c r="D4082" s="2" t="s">
        <v>40145</v>
      </c>
      <c r="E4082" s="2" t="s">
        <v>40146</v>
      </c>
      <c r="G4082" s="3" t="s">
        <v>64</v>
      </c>
      <c r="I4082" s="3" t="s">
        <v>64</v>
      </c>
      <c r="J4082" s="3" t="s">
        <v>64</v>
      </c>
      <c r="K4082" s="3" t="s">
        <v>65</v>
      </c>
      <c r="L4082" s="2" t="s">
        <v>40147</v>
      </c>
      <c r="M4082" s="2" t="s">
        <v>40148</v>
      </c>
      <c r="N4082" s="3" t="s">
        <v>3330</v>
      </c>
      <c r="P4082" s="3" t="s">
        <v>102</v>
      </c>
      <c r="Q4082" s="2" t="s">
        <v>40149</v>
      </c>
      <c r="R4082" s="3" t="s">
        <v>70</v>
      </c>
      <c r="S4082" s="4">
        <v>1</v>
      </c>
      <c r="T4082" s="4">
        <v>1</v>
      </c>
      <c r="U4082" s="5" t="s">
        <v>40150</v>
      </c>
      <c r="V4082" s="5" t="s">
        <v>40150</v>
      </c>
      <c r="W4082" s="5" t="s">
        <v>72</v>
      </c>
      <c r="X4082" s="5" t="s">
        <v>72</v>
      </c>
      <c r="Y4082" s="4">
        <v>52</v>
      </c>
      <c r="Z4082" s="4">
        <v>24</v>
      </c>
      <c r="AA4082" s="4">
        <v>32</v>
      </c>
      <c r="AB4082" s="4">
        <v>2</v>
      </c>
      <c r="AC4082" s="4">
        <v>2</v>
      </c>
      <c r="AD4082" s="4">
        <v>25</v>
      </c>
      <c r="AE4082" s="4">
        <v>32</v>
      </c>
      <c r="AF4082" s="4">
        <v>1</v>
      </c>
      <c r="AG4082" s="4">
        <v>1</v>
      </c>
      <c r="AH4082" s="4">
        <v>11</v>
      </c>
      <c r="AI4082" s="4">
        <v>14</v>
      </c>
      <c r="AJ4082" s="4">
        <v>9</v>
      </c>
      <c r="AK4082" s="4">
        <v>15</v>
      </c>
      <c r="AL4082" s="4">
        <v>7</v>
      </c>
      <c r="AM4082" s="4">
        <v>7</v>
      </c>
      <c r="AN4082" s="4">
        <v>0</v>
      </c>
      <c r="AO4082" s="4">
        <v>0</v>
      </c>
      <c r="AP4082" s="4">
        <v>18</v>
      </c>
      <c r="AQ4082" s="4">
        <v>25</v>
      </c>
      <c r="AR4082" s="3" t="s">
        <v>128</v>
      </c>
      <c r="AS4082" s="3" t="s">
        <v>64</v>
      </c>
      <c r="AT4082" s="3" t="s">
        <v>64</v>
      </c>
      <c r="AV4082" s="6" t="str">
        <f>HYPERLINK("http://mcgill.on.worldcat.org/oclc/18740689","Catalog Record")</f>
        <v>Catalog Record</v>
      </c>
      <c r="AW4082" s="6" t="str">
        <f>HYPERLINK("http://www.worldcat.org/oclc/18740689","WorldCat Record")</f>
        <v>WorldCat Record</v>
      </c>
      <c r="AX4082" s="3" t="s">
        <v>40151</v>
      </c>
      <c r="AY4082" s="3" t="s">
        <v>40152</v>
      </c>
      <c r="AZ4082" s="3" t="s">
        <v>40153</v>
      </c>
      <c r="BA4082" s="3" t="s">
        <v>40153</v>
      </c>
      <c r="BB4082" s="3" t="s">
        <v>40154</v>
      </c>
      <c r="BC4082" s="3" t="s">
        <v>77</v>
      </c>
      <c r="BD4082" s="3" t="s">
        <v>78</v>
      </c>
      <c r="BE4082" s="3" t="s">
        <v>40155</v>
      </c>
      <c r="BF4082" s="3" t="s">
        <v>40154</v>
      </c>
      <c r="BG4082" s="3" t="s">
        <v>40156</v>
      </c>
      <c r="BH4082">
        <f t="shared" si="105"/>
        <v>0</v>
      </c>
    </row>
    <row r="4083" spans="1:60" ht="58" x14ac:dyDescent="0.35">
      <c r="A4083" s="2" t="s">
        <v>6202</v>
      </c>
      <c r="B4083" s="2" t="s">
        <v>6203</v>
      </c>
      <c r="C4083" s="2" t="s">
        <v>40157</v>
      </c>
      <c r="D4083" s="2" t="s">
        <v>40158</v>
      </c>
      <c r="E4083" s="2" t="s">
        <v>40159</v>
      </c>
      <c r="G4083" s="3" t="s">
        <v>64</v>
      </c>
      <c r="I4083" s="3" t="s">
        <v>64</v>
      </c>
      <c r="J4083" s="3" t="s">
        <v>64</v>
      </c>
      <c r="K4083" s="3" t="s">
        <v>65</v>
      </c>
      <c r="L4083" s="2" t="s">
        <v>40160</v>
      </c>
      <c r="M4083" s="2" t="s">
        <v>40161</v>
      </c>
      <c r="N4083" s="3" t="s">
        <v>421</v>
      </c>
      <c r="P4083" s="3" t="s">
        <v>68</v>
      </c>
      <c r="Q4083" s="2" t="s">
        <v>40162</v>
      </c>
      <c r="R4083" s="3" t="s">
        <v>70</v>
      </c>
      <c r="S4083" s="4">
        <v>1</v>
      </c>
      <c r="T4083" s="4">
        <v>1</v>
      </c>
      <c r="U4083" s="5" t="s">
        <v>40163</v>
      </c>
      <c r="V4083" s="5" t="s">
        <v>40163</v>
      </c>
      <c r="W4083" s="5" t="s">
        <v>72</v>
      </c>
      <c r="X4083" s="5" t="s">
        <v>72</v>
      </c>
      <c r="Y4083" s="4">
        <v>3</v>
      </c>
      <c r="Z4083" s="4">
        <v>1</v>
      </c>
      <c r="AA4083" s="4">
        <v>11</v>
      </c>
      <c r="AB4083" s="4">
        <v>1</v>
      </c>
      <c r="AC4083" s="4">
        <v>6</v>
      </c>
      <c r="AD4083" s="4">
        <v>1</v>
      </c>
      <c r="AE4083" s="4">
        <v>9</v>
      </c>
      <c r="AF4083" s="4">
        <v>0</v>
      </c>
      <c r="AG4083" s="4">
        <v>3</v>
      </c>
      <c r="AH4083" s="4">
        <v>1</v>
      </c>
      <c r="AI4083" s="4">
        <v>4</v>
      </c>
      <c r="AJ4083" s="4">
        <v>0</v>
      </c>
      <c r="AK4083" s="4">
        <v>7</v>
      </c>
      <c r="AL4083" s="4">
        <v>1</v>
      </c>
      <c r="AM4083" s="4">
        <v>3</v>
      </c>
      <c r="AN4083" s="4">
        <v>0</v>
      </c>
      <c r="AO4083" s="4">
        <v>0</v>
      </c>
      <c r="AP4083" s="4">
        <v>0</v>
      </c>
      <c r="AQ4083" s="4">
        <v>5</v>
      </c>
      <c r="AR4083" s="3" t="s">
        <v>128</v>
      </c>
      <c r="AS4083" s="3" t="s">
        <v>64</v>
      </c>
      <c r="AT4083" s="3" t="s">
        <v>64</v>
      </c>
      <c r="AV4083" s="6" t="str">
        <f>HYPERLINK("http://mcgill.on.worldcat.org/oclc/38431867","Catalog Record")</f>
        <v>Catalog Record</v>
      </c>
      <c r="AW4083" s="6" t="str">
        <f>HYPERLINK("http://www.worldcat.org/oclc/38431867","WorldCat Record")</f>
        <v>WorldCat Record</v>
      </c>
      <c r="AX4083" s="3" t="s">
        <v>40164</v>
      </c>
      <c r="AY4083" s="3" t="s">
        <v>40165</v>
      </c>
      <c r="AZ4083" s="3" t="s">
        <v>40166</v>
      </c>
      <c r="BA4083" s="3" t="s">
        <v>40166</v>
      </c>
      <c r="BB4083" s="3" t="s">
        <v>40167</v>
      </c>
      <c r="BC4083" s="3" t="s">
        <v>77</v>
      </c>
      <c r="BD4083" s="3" t="s">
        <v>78</v>
      </c>
      <c r="BF4083" s="3" t="s">
        <v>40167</v>
      </c>
      <c r="BG4083" s="3" t="s">
        <v>40168</v>
      </c>
      <c r="BH4083">
        <f t="shared" si="105"/>
        <v>0</v>
      </c>
    </row>
    <row r="4084" spans="1:60" ht="58" x14ac:dyDescent="0.35">
      <c r="A4084" s="2" t="s">
        <v>59</v>
      </c>
      <c r="B4084" s="2" t="s">
        <v>6744</v>
      </c>
      <c r="C4084" s="2" t="s">
        <v>40169</v>
      </c>
      <c r="D4084" s="2" t="s">
        <v>40170</v>
      </c>
      <c r="E4084" s="2" t="s">
        <v>40171</v>
      </c>
      <c r="G4084" s="3" t="s">
        <v>64</v>
      </c>
      <c r="I4084" s="3" t="s">
        <v>128</v>
      </c>
      <c r="J4084" s="3" t="s">
        <v>64</v>
      </c>
      <c r="K4084" s="3" t="s">
        <v>65</v>
      </c>
      <c r="L4084" s="2" t="s">
        <v>40172</v>
      </c>
      <c r="M4084" s="2" t="s">
        <v>40173</v>
      </c>
      <c r="N4084" s="3" t="s">
        <v>1750</v>
      </c>
      <c r="P4084" s="3" t="s">
        <v>68</v>
      </c>
      <c r="Q4084" s="2" t="s">
        <v>40174</v>
      </c>
      <c r="R4084" s="3" t="s">
        <v>70</v>
      </c>
      <c r="S4084" s="4">
        <v>1</v>
      </c>
      <c r="T4084" s="4">
        <v>2</v>
      </c>
      <c r="U4084" s="5" t="s">
        <v>3651</v>
      </c>
      <c r="V4084" s="5" t="s">
        <v>3651</v>
      </c>
      <c r="W4084" s="5" t="s">
        <v>72</v>
      </c>
      <c r="X4084" s="5" t="s">
        <v>72</v>
      </c>
      <c r="Y4084" s="4">
        <v>99</v>
      </c>
      <c r="Z4084" s="4">
        <v>30</v>
      </c>
      <c r="AA4084" s="4">
        <v>47</v>
      </c>
      <c r="AB4084" s="4">
        <v>3</v>
      </c>
      <c r="AC4084" s="4">
        <v>13</v>
      </c>
      <c r="AD4084" s="4">
        <v>60</v>
      </c>
      <c r="AE4084" s="4">
        <v>69</v>
      </c>
      <c r="AF4084" s="4">
        <v>1</v>
      </c>
      <c r="AG4084" s="4">
        <v>6</v>
      </c>
      <c r="AH4084" s="4">
        <v>47</v>
      </c>
      <c r="AI4084" s="4">
        <v>49</v>
      </c>
      <c r="AJ4084" s="4">
        <v>13</v>
      </c>
      <c r="AK4084" s="4">
        <v>20</v>
      </c>
      <c r="AL4084" s="4">
        <v>30</v>
      </c>
      <c r="AM4084" s="4">
        <v>30</v>
      </c>
      <c r="AN4084" s="4">
        <v>0</v>
      </c>
      <c r="AO4084" s="4">
        <v>0</v>
      </c>
      <c r="AP4084" s="4">
        <v>20</v>
      </c>
      <c r="AQ4084" s="4">
        <v>26</v>
      </c>
      <c r="AR4084" s="3" t="s">
        <v>128</v>
      </c>
      <c r="AS4084" s="3" t="s">
        <v>64</v>
      </c>
      <c r="AT4084" s="3" t="s">
        <v>128</v>
      </c>
      <c r="AU4084" s="6" t="str">
        <f>HYPERLINK("http://catalog.hathitrust.org/Record/001168678","HathiTrust Record")</f>
        <v>HathiTrust Record</v>
      </c>
      <c r="AV4084" s="6" t="str">
        <f>HYPERLINK("http://mcgill.on.worldcat.org/oclc/1670127","Catalog Record")</f>
        <v>Catalog Record</v>
      </c>
      <c r="AW4084" s="6" t="str">
        <f>HYPERLINK("http://www.worldcat.org/oclc/1670127","WorldCat Record")</f>
        <v>WorldCat Record</v>
      </c>
      <c r="AX4084" s="3" t="s">
        <v>40175</v>
      </c>
      <c r="AY4084" s="3" t="s">
        <v>40176</v>
      </c>
      <c r="AZ4084" s="3" t="s">
        <v>40177</v>
      </c>
      <c r="BA4084" s="3" t="s">
        <v>40177</v>
      </c>
      <c r="BB4084" s="3" t="s">
        <v>40178</v>
      </c>
      <c r="BC4084" s="3" t="s">
        <v>77</v>
      </c>
      <c r="BD4084" s="3" t="s">
        <v>78</v>
      </c>
      <c r="BF4084" s="3" t="s">
        <v>40178</v>
      </c>
      <c r="BG4084" s="3" t="s">
        <v>40179</v>
      </c>
      <c r="BH4084">
        <f t="shared" si="105"/>
        <v>0</v>
      </c>
    </row>
    <row r="4085" spans="1:60" ht="58" x14ac:dyDescent="0.35">
      <c r="A4085" s="2" t="s">
        <v>59</v>
      </c>
      <c r="B4085" s="2" t="s">
        <v>60</v>
      </c>
      <c r="C4085" s="2" t="s">
        <v>40169</v>
      </c>
      <c r="D4085" s="2" t="s">
        <v>40170</v>
      </c>
      <c r="E4085" s="2" t="s">
        <v>40171</v>
      </c>
      <c r="G4085" s="3" t="s">
        <v>64</v>
      </c>
      <c r="I4085" s="3" t="s">
        <v>128</v>
      </c>
      <c r="J4085" s="3" t="s">
        <v>64</v>
      </c>
      <c r="K4085" s="3" t="s">
        <v>65</v>
      </c>
      <c r="L4085" s="2" t="s">
        <v>40172</v>
      </c>
      <c r="M4085" s="2" t="s">
        <v>40173</v>
      </c>
      <c r="N4085" s="3" t="s">
        <v>1750</v>
      </c>
      <c r="P4085" s="3" t="s">
        <v>68</v>
      </c>
      <c r="Q4085" s="2" t="s">
        <v>40174</v>
      </c>
      <c r="R4085" s="3" t="s">
        <v>70</v>
      </c>
      <c r="S4085" s="4">
        <v>1</v>
      </c>
      <c r="T4085" s="4">
        <v>2</v>
      </c>
      <c r="U4085" s="5" t="s">
        <v>14157</v>
      </c>
      <c r="V4085" s="5" t="s">
        <v>3651</v>
      </c>
      <c r="W4085" s="5" t="s">
        <v>72</v>
      </c>
      <c r="X4085" s="5" t="s">
        <v>72</v>
      </c>
      <c r="Y4085" s="4">
        <v>99</v>
      </c>
      <c r="Z4085" s="4">
        <v>30</v>
      </c>
      <c r="AA4085" s="4">
        <v>47</v>
      </c>
      <c r="AB4085" s="4">
        <v>3</v>
      </c>
      <c r="AC4085" s="4">
        <v>13</v>
      </c>
      <c r="AD4085" s="4">
        <v>60</v>
      </c>
      <c r="AE4085" s="4">
        <v>69</v>
      </c>
      <c r="AF4085" s="4">
        <v>1</v>
      </c>
      <c r="AG4085" s="4">
        <v>6</v>
      </c>
      <c r="AH4085" s="4">
        <v>47</v>
      </c>
      <c r="AI4085" s="4">
        <v>49</v>
      </c>
      <c r="AJ4085" s="4">
        <v>13</v>
      </c>
      <c r="AK4085" s="4">
        <v>20</v>
      </c>
      <c r="AL4085" s="4">
        <v>30</v>
      </c>
      <c r="AM4085" s="4">
        <v>30</v>
      </c>
      <c r="AN4085" s="4">
        <v>0</v>
      </c>
      <c r="AO4085" s="4">
        <v>0</v>
      </c>
      <c r="AP4085" s="4">
        <v>20</v>
      </c>
      <c r="AQ4085" s="4">
        <v>26</v>
      </c>
      <c r="AR4085" s="3" t="s">
        <v>128</v>
      </c>
      <c r="AS4085" s="3" t="s">
        <v>64</v>
      </c>
      <c r="AT4085" s="3" t="s">
        <v>128</v>
      </c>
      <c r="AU4085" s="6" t="str">
        <f>HYPERLINK("http://catalog.hathitrust.org/Record/001168678","HathiTrust Record")</f>
        <v>HathiTrust Record</v>
      </c>
      <c r="AV4085" s="6" t="str">
        <f>HYPERLINK("http://mcgill.on.worldcat.org/oclc/1670127","Catalog Record")</f>
        <v>Catalog Record</v>
      </c>
      <c r="AW4085" s="6" t="str">
        <f>HYPERLINK("http://www.worldcat.org/oclc/1670127","WorldCat Record")</f>
        <v>WorldCat Record</v>
      </c>
      <c r="AX4085" s="3" t="s">
        <v>40175</v>
      </c>
      <c r="AY4085" s="3" t="s">
        <v>40176</v>
      </c>
      <c r="AZ4085" s="3" t="s">
        <v>40177</v>
      </c>
      <c r="BA4085" s="3" t="s">
        <v>40177</v>
      </c>
      <c r="BB4085" s="3" t="s">
        <v>40180</v>
      </c>
      <c r="BC4085" s="3" t="s">
        <v>77</v>
      </c>
      <c r="BD4085" s="3" t="s">
        <v>78</v>
      </c>
      <c r="BF4085" s="3" t="s">
        <v>40180</v>
      </c>
      <c r="BG4085" s="3" t="s">
        <v>40181</v>
      </c>
      <c r="BH4085">
        <f t="shared" si="105"/>
        <v>0</v>
      </c>
    </row>
    <row r="4086" spans="1:60" ht="58" x14ac:dyDescent="0.35">
      <c r="A4086" s="2" t="s">
        <v>59</v>
      </c>
      <c r="B4086" s="2" t="s">
        <v>60</v>
      </c>
      <c r="C4086" s="2" t="s">
        <v>40182</v>
      </c>
      <c r="D4086" s="2" t="s">
        <v>40183</v>
      </c>
      <c r="E4086" s="2" t="s">
        <v>40184</v>
      </c>
      <c r="G4086" s="3" t="s">
        <v>64</v>
      </c>
      <c r="I4086" s="3" t="s">
        <v>64</v>
      </c>
      <c r="J4086" s="3" t="s">
        <v>64</v>
      </c>
      <c r="K4086" s="3" t="s">
        <v>65</v>
      </c>
      <c r="L4086" s="2" t="s">
        <v>40185</v>
      </c>
      <c r="M4086" s="2" t="s">
        <v>40186</v>
      </c>
      <c r="N4086" s="3" t="s">
        <v>4548</v>
      </c>
      <c r="P4086" s="3" t="s">
        <v>102</v>
      </c>
      <c r="R4086" s="3" t="s">
        <v>70</v>
      </c>
      <c r="S4086" s="4">
        <v>2</v>
      </c>
      <c r="T4086" s="4">
        <v>2</v>
      </c>
      <c r="U4086" s="5" t="s">
        <v>4697</v>
      </c>
      <c r="V4086" s="5" t="s">
        <v>4697</v>
      </c>
      <c r="W4086" s="5" t="s">
        <v>72</v>
      </c>
      <c r="X4086" s="5" t="s">
        <v>72</v>
      </c>
      <c r="Y4086" s="4">
        <v>67</v>
      </c>
      <c r="Z4086" s="4">
        <v>26</v>
      </c>
      <c r="AA4086" s="4">
        <v>29</v>
      </c>
      <c r="AB4086" s="4">
        <v>1</v>
      </c>
      <c r="AC4086" s="4">
        <v>3</v>
      </c>
      <c r="AD4086" s="4">
        <v>41</v>
      </c>
      <c r="AE4086" s="4">
        <v>44</v>
      </c>
      <c r="AF4086" s="4">
        <v>0</v>
      </c>
      <c r="AG4086" s="4">
        <v>2</v>
      </c>
      <c r="AH4086" s="4">
        <v>31</v>
      </c>
      <c r="AI4086" s="4">
        <v>32</v>
      </c>
      <c r="AJ4086" s="4">
        <v>16</v>
      </c>
      <c r="AK4086" s="4">
        <v>18</v>
      </c>
      <c r="AL4086" s="4">
        <v>13</v>
      </c>
      <c r="AM4086" s="4">
        <v>13</v>
      </c>
      <c r="AN4086" s="4">
        <v>0</v>
      </c>
      <c r="AO4086" s="4">
        <v>0</v>
      </c>
      <c r="AP4086" s="4">
        <v>17</v>
      </c>
      <c r="AQ4086" s="4">
        <v>20</v>
      </c>
      <c r="AR4086" s="3" t="s">
        <v>128</v>
      </c>
      <c r="AS4086" s="3" t="s">
        <v>64</v>
      </c>
      <c r="AT4086" s="3" t="s">
        <v>64</v>
      </c>
      <c r="AV4086" s="6" t="str">
        <f>HYPERLINK("http://mcgill.on.worldcat.org/oclc/462229","Catalog Record")</f>
        <v>Catalog Record</v>
      </c>
      <c r="AW4086" s="6" t="str">
        <f>HYPERLINK("http://www.worldcat.org/oclc/462229","WorldCat Record")</f>
        <v>WorldCat Record</v>
      </c>
      <c r="AX4086" s="3" t="s">
        <v>40187</v>
      </c>
      <c r="AY4086" s="3" t="s">
        <v>40188</v>
      </c>
      <c r="AZ4086" s="3" t="s">
        <v>40189</v>
      </c>
      <c r="BA4086" s="3" t="s">
        <v>40189</v>
      </c>
      <c r="BB4086" s="3" t="s">
        <v>40190</v>
      </c>
      <c r="BC4086" s="3" t="s">
        <v>77</v>
      </c>
      <c r="BD4086" s="3" t="s">
        <v>78</v>
      </c>
      <c r="BF4086" s="3" t="s">
        <v>40190</v>
      </c>
      <c r="BG4086" s="3" t="s">
        <v>40191</v>
      </c>
      <c r="BH4086">
        <f t="shared" si="105"/>
        <v>0</v>
      </c>
    </row>
    <row r="4087" spans="1:60" ht="58" x14ac:dyDescent="0.35">
      <c r="A4087" s="2" t="s">
        <v>59</v>
      </c>
      <c r="B4087" s="2" t="s">
        <v>60</v>
      </c>
      <c r="C4087" s="2" t="s">
        <v>40192</v>
      </c>
      <c r="D4087" s="2" t="s">
        <v>40193</v>
      </c>
      <c r="E4087" s="2" t="s">
        <v>40194</v>
      </c>
      <c r="G4087" s="3" t="s">
        <v>64</v>
      </c>
      <c r="I4087" s="3" t="s">
        <v>64</v>
      </c>
      <c r="J4087" s="3" t="s">
        <v>64</v>
      </c>
      <c r="K4087" s="3" t="s">
        <v>65</v>
      </c>
      <c r="L4087" s="2" t="s">
        <v>40195</v>
      </c>
      <c r="M4087" s="2" t="s">
        <v>40196</v>
      </c>
      <c r="N4087" s="3" t="s">
        <v>511</v>
      </c>
      <c r="P4087" s="3" t="s">
        <v>102</v>
      </c>
      <c r="R4087" s="3" t="s">
        <v>70</v>
      </c>
      <c r="S4087" s="4">
        <v>0</v>
      </c>
      <c r="T4087" s="4">
        <v>0</v>
      </c>
      <c r="W4087" s="5" t="s">
        <v>72</v>
      </c>
      <c r="X4087" s="5" t="s">
        <v>72</v>
      </c>
      <c r="Y4087" s="4">
        <v>63</v>
      </c>
      <c r="Z4087" s="4">
        <v>19</v>
      </c>
      <c r="AA4087" s="4">
        <v>27</v>
      </c>
      <c r="AB4087" s="4">
        <v>1</v>
      </c>
      <c r="AC4087" s="4">
        <v>3</v>
      </c>
      <c r="AD4087" s="4">
        <v>32</v>
      </c>
      <c r="AE4087" s="4">
        <v>38</v>
      </c>
      <c r="AF4087" s="4">
        <v>0</v>
      </c>
      <c r="AG4087" s="4">
        <v>0</v>
      </c>
      <c r="AH4087" s="4">
        <v>21</v>
      </c>
      <c r="AI4087" s="4">
        <v>24</v>
      </c>
      <c r="AJ4087" s="4">
        <v>9</v>
      </c>
      <c r="AK4087" s="4">
        <v>12</v>
      </c>
      <c r="AL4087" s="4">
        <v>11</v>
      </c>
      <c r="AM4087" s="4">
        <v>12</v>
      </c>
      <c r="AN4087" s="4">
        <v>0</v>
      </c>
      <c r="AO4087" s="4">
        <v>0</v>
      </c>
      <c r="AP4087" s="4">
        <v>15</v>
      </c>
      <c r="AQ4087" s="4">
        <v>20</v>
      </c>
      <c r="AR4087" s="3" t="s">
        <v>64</v>
      </c>
      <c r="AS4087" s="3" t="s">
        <v>64</v>
      </c>
      <c r="AT4087" s="3" t="s">
        <v>64</v>
      </c>
      <c r="AV4087" s="6" t="str">
        <f>HYPERLINK("http://mcgill.on.worldcat.org/oclc/458737482","Catalog Record")</f>
        <v>Catalog Record</v>
      </c>
      <c r="AW4087" s="6" t="str">
        <f>HYPERLINK("http://www.worldcat.org/oclc/458737482","WorldCat Record")</f>
        <v>WorldCat Record</v>
      </c>
      <c r="AX4087" s="3" t="s">
        <v>40197</v>
      </c>
      <c r="AY4087" s="3" t="s">
        <v>40198</v>
      </c>
      <c r="AZ4087" s="3" t="s">
        <v>40199</v>
      </c>
      <c r="BA4087" s="3" t="s">
        <v>40199</v>
      </c>
      <c r="BB4087" s="3" t="s">
        <v>40200</v>
      </c>
      <c r="BC4087" s="3" t="s">
        <v>77</v>
      </c>
      <c r="BD4087" s="3" t="s">
        <v>78</v>
      </c>
      <c r="BE4087" s="3" t="s">
        <v>40201</v>
      </c>
      <c r="BF4087" s="3" t="s">
        <v>40200</v>
      </c>
      <c r="BG4087" s="3" t="s">
        <v>40202</v>
      </c>
      <c r="BH4087">
        <f t="shared" si="105"/>
        <v>0</v>
      </c>
    </row>
    <row r="4088" spans="1:60" ht="58" x14ac:dyDescent="0.35">
      <c r="A4088" s="2" t="s">
        <v>6202</v>
      </c>
      <c r="B4088" s="2" t="s">
        <v>6203</v>
      </c>
      <c r="C4088" s="2" t="s">
        <v>40203</v>
      </c>
      <c r="D4088" s="2" t="s">
        <v>40204</v>
      </c>
      <c r="E4088" s="2" t="s">
        <v>40205</v>
      </c>
      <c r="G4088" s="3" t="s">
        <v>64</v>
      </c>
      <c r="I4088" s="3" t="s">
        <v>128</v>
      </c>
      <c r="J4088" s="3" t="s">
        <v>64</v>
      </c>
      <c r="K4088" s="3" t="s">
        <v>65</v>
      </c>
      <c r="L4088" s="2" t="s">
        <v>40206</v>
      </c>
      <c r="M4088" s="2" t="s">
        <v>40207</v>
      </c>
      <c r="N4088" s="3" t="s">
        <v>2067</v>
      </c>
      <c r="P4088" s="3" t="s">
        <v>102</v>
      </c>
      <c r="R4088" s="3" t="s">
        <v>70</v>
      </c>
      <c r="S4088" s="4">
        <v>1</v>
      </c>
      <c r="T4088" s="4">
        <v>1</v>
      </c>
      <c r="U4088" s="5" t="s">
        <v>25160</v>
      </c>
      <c r="V4088" s="5" t="s">
        <v>25160</v>
      </c>
      <c r="W4088" s="5" t="s">
        <v>72</v>
      </c>
      <c r="X4088" s="5" t="s">
        <v>72</v>
      </c>
      <c r="Y4088" s="4">
        <v>100</v>
      </c>
      <c r="Z4088" s="4">
        <v>46</v>
      </c>
      <c r="AA4088" s="4">
        <v>51</v>
      </c>
      <c r="AB4088" s="4">
        <v>6</v>
      </c>
      <c r="AC4088" s="4">
        <v>8</v>
      </c>
      <c r="AD4088" s="4">
        <v>56</v>
      </c>
      <c r="AE4088" s="4">
        <v>60</v>
      </c>
      <c r="AF4088" s="4">
        <v>2</v>
      </c>
      <c r="AG4088" s="4">
        <v>4</v>
      </c>
      <c r="AH4088" s="4">
        <v>35</v>
      </c>
      <c r="AI4088" s="4">
        <v>37</v>
      </c>
      <c r="AJ4088" s="4">
        <v>18</v>
      </c>
      <c r="AK4088" s="4">
        <v>21</v>
      </c>
      <c r="AL4088" s="4">
        <v>21</v>
      </c>
      <c r="AM4088" s="4">
        <v>21</v>
      </c>
      <c r="AN4088" s="4">
        <v>0</v>
      </c>
      <c r="AO4088" s="4">
        <v>0</v>
      </c>
      <c r="AP4088" s="4">
        <v>27</v>
      </c>
      <c r="AQ4088" s="4">
        <v>30</v>
      </c>
      <c r="AR4088" s="3" t="s">
        <v>128</v>
      </c>
      <c r="AS4088" s="3" t="s">
        <v>64</v>
      </c>
      <c r="AT4088" s="3" t="s">
        <v>64</v>
      </c>
      <c r="AV4088" s="6" t="str">
        <f>HYPERLINK("http://mcgill.on.worldcat.org/oclc/22765544","Catalog Record")</f>
        <v>Catalog Record</v>
      </c>
      <c r="AW4088" s="6" t="str">
        <f>HYPERLINK("http://www.worldcat.org/oclc/22765544","WorldCat Record")</f>
        <v>WorldCat Record</v>
      </c>
      <c r="AX4088" s="3" t="s">
        <v>40208</v>
      </c>
      <c r="AY4088" s="3" t="s">
        <v>40209</v>
      </c>
      <c r="AZ4088" s="3" t="s">
        <v>40210</v>
      </c>
      <c r="BA4088" s="3" t="s">
        <v>40210</v>
      </c>
      <c r="BB4088" s="3" t="s">
        <v>40211</v>
      </c>
      <c r="BC4088" s="3" t="s">
        <v>77</v>
      </c>
      <c r="BD4088" s="3" t="s">
        <v>78</v>
      </c>
      <c r="BE4088" s="3" t="s">
        <v>40212</v>
      </c>
      <c r="BF4088" s="3" t="s">
        <v>40211</v>
      </c>
      <c r="BG4088" s="3" t="s">
        <v>40213</v>
      </c>
      <c r="BH4088">
        <f t="shared" si="105"/>
        <v>0</v>
      </c>
    </row>
    <row r="4089" spans="1:60" ht="87" x14ac:dyDescent="0.35">
      <c r="A4089" s="2" t="s">
        <v>59</v>
      </c>
      <c r="B4089" s="2" t="s">
        <v>60</v>
      </c>
      <c r="C4089" s="2" t="s">
        <v>40214</v>
      </c>
      <c r="D4089" s="2" t="s">
        <v>40215</v>
      </c>
      <c r="E4089" s="2" t="s">
        <v>40216</v>
      </c>
      <c r="G4089" s="3" t="s">
        <v>64</v>
      </c>
      <c r="I4089" s="3" t="s">
        <v>64</v>
      </c>
      <c r="J4089" s="3" t="s">
        <v>64</v>
      </c>
      <c r="K4089" s="3" t="s">
        <v>65</v>
      </c>
      <c r="L4089" s="2" t="s">
        <v>40217</v>
      </c>
      <c r="M4089" s="2" t="s">
        <v>40218</v>
      </c>
      <c r="N4089" s="3" t="s">
        <v>1263</v>
      </c>
      <c r="P4089" s="3" t="s">
        <v>68</v>
      </c>
      <c r="R4089" s="3" t="s">
        <v>70</v>
      </c>
      <c r="S4089" s="4">
        <v>3</v>
      </c>
      <c r="T4089" s="4">
        <v>3</v>
      </c>
      <c r="U4089" s="5" t="s">
        <v>5052</v>
      </c>
      <c r="V4089" s="5" t="s">
        <v>5052</v>
      </c>
      <c r="W4089" s="5" t="s">
        <v>72</v>
      </c>
      <c r="X4089" s="5" t="s">
        <v>72</v>
      </c>
      <c r="Y4089" s="4">
        <v>23</v>
      </c>
      <c r="Z4089" s="4">
        <v>14</v>
      </c>
      <c r="AA4089" s="4">
        <v>14</v>
      </c>
      <c r="AB4089" s="4">
        <v>1</v>
      </c>
      <c r="AC4089" s="4">
        <v>1</v>
      </c>
      <c r="AD4089" s="4">
        <v>14</v>
      </c>
      <c r="AE4089" s="4">
        <v>14</v>
      </c>
      <c r="AF4089" s="4">
        <v>0</v>
      </c>
      <c r="AG4089" s="4">
        <v>0</v>
      </c>
      <c r="AH4089" s="4">
        <v>8</v>
      </c>
      <c r="AI4089" s="4">
        <v>8</v>
      </c>
      <c r="AJ4089" s="4">
        <v>7</v>
      </c>
      <c r="AK4089" s="4">
        <v>7</v>
      </c>
      <c r="AL4089" s="4">
        <v>1</v>
      </c>
      <c r="AM4089" s="4">
        <v>1</v>
      </c>
      <c r="AN4089" s="4">
        <v>0</v>
      </c>
      <c r="AO4089" s="4">
        <v>0</v>
      </c>
      <c r="AP4089" s="4">
        <v>10</v>
      </c>
      <c r="AQ4089" s="4">
        <v>10</v>
      </c>
      <c r="AR4089" s="3" t="s">
        <v>128</v>
      </c>
      <c r="AS4089" s="3" t="s">
        <v>64</v>
      </c>
      <c r="AT4089" s="3" t="s">
        <v>64</v>
      </c>
      <c r="AV4089" s="6" t="str">
        <f>HYPERLINK("http://mcgill.on.worldcat.org/oclc/41572421","Catalog Record")</f>
        <v>Catalog Record</v>
      </c>
      <c r="AW4089" s="6" t="str">
        <f>HYPERLINK("http://www.worldcat.org/oclc/41572421","WorldCat Record")</f>
        <v>WorldCat Record</v>
      </c>
      <c r="AX4089" s="3" t="s">
        <v>40219</v>
      </c>
      <c r="AY4089" s="3" t="s">
        <v>40220</v>
      </c>
      <c r="AZ4089" s="3" t="s">
        <v>40221</v>
      </c>
      <c r="BA4089" s="3" t="s">
        <v>40221</v>
      </c>
      <c r="BB4089" s="3" t="s">
        <v>40222</v>
      </c>
      <c r="BC4089" s="3" t="s">
        <v>77</v>
      </c>
      <c r="BD4089" s="3" t="s">
        <v>78</v>
      </c>
      <c r="BE4089" s="3" t="s">
        <v>40223</v>
      </c>
      <c r="BF4089" s="3" t="s">
        <v>40222</v>
      </c>
      <c r="BG4089" s="3" t="s">
        <v>40224</v>
      </c>
      <c r="BH4089">
        <f t="shared" si="105"/>
        <v>0</v>
      </c>
    </row>
    <row r="4090" spans="1:60" ht="87" x14ac:dyDescent="0.35">
      <c r="A4090" s="2" t="s">
        <v>6202</v>
      </c>
      <c r="B4090" s="2" t="s">
        <v>6203</v>
      </c>
      <c r="C4090" s="2" t="s">
        <v>40225</v>
      </c>
      <c r="D4090" s="2" t="s">
        <v>40226</v>
      </c>
      <c r="E4090" s="2" t="s">
        <v>40227</v>
      </c>
      <c r="G4090" s="3" t="s">
        <v>64</v>
      </c>
      <c r="I4090" s="3" t="s">
        <v>64</v>
      </c>
      <c r="J4090" s="3" t="s">
        <v>64</v>
      </c>
      <c r="K4090" s="3" t="s">
        <v>65</v>
      </c>
      <c r="L4090" s="2" t="s">
        <v>40228</v>
      </c>
      <c r="M4090" s="2" t="s">
        <v>40229</v>
      </c>
      <c r="N4090" s="3" t="s">
        <v>1004</v>
      </c>
      <c r="P4090" s="3" t="s">
        <v>102</v>
      </c>
      <c r="R4090" s="3" t="s">
        <v>70</v>
      </c>
      <c r="S4090" s="4">
        <v>2</v>
      </c>
      <c r="T4090" s="4">
        <v>2</v>
      </c>
      <c r="U4090" s="5" t="s">
        <v>10988</v>
      </c>
      <c r="V4090" s="5" t="s">
        <v>10988</v>
      </c>
      <c r="W4090" s="5" t="s">
        <v>72</v>
      </c>
      <c r="X4090" s="5" t="s">
        <v>72</v>
      </c>
      <c r="Y4090" s="4">
        <v>8</v>
      </c>
      <c r="Z4090" s="4">
        <v>8</v>
      </c>
      <c r="AA4090" s="4">
        <v>11</v>
      </c>
      <c r="AB4090" s="4">
        <v>1</v>
      </c>
      <c r="AC4090" s="4">
        <v>3</v>
      </c>
      <c r="AD4090" s="4">
        <v>5</v>
      </c>
      <c r="AE4090" s="4">
        <v>13</v>
      </c>
      <c r="AF4090" s="4">
        <v>0</v>
      </c>
      <c r="AG4090" s="4">
        <v>1</v>
      </c>
      <c r="AH4090" s="4">
        <v>3</v>
      </c>
      <c r="AI4090" s="4">
        <v>10</v>
      </c>
      <c r="AJ4090" s="4">
        <v>5</v>
      </c>
      <c r="AK4090" s="4">
        <v>7</v>
      </c>
      <c r="AL4090" s="4">
        <v>1</v>
      </c>
      <c r="AM4090" s="4">
        <v>6</v>
      </c>
      <c r="AN4090" s="4">
        <v>0</v>
      </c>
      <c r="AO4090" s="4">
        <v>0</v>
      </c>
      <c r="AP4090" s="4">
        <v>4</v>
      </c>
      <c r="AQ4090" s="4">
        <v>5</v>
      </c>
      <c r="AR4090" s="3" t="s">
        <v>128</v>
      </c>
      <c r="AS4090" s="3" t="s">
        <v>64</v>
      </c>
      <c r="AT4090" s="3" t="s">
        <v>64</v>
      </c>
      <c r="AV4090" s="6" t="str">
        <f>HYPERLINK("http://mcgill.on.worldcat.org/oclc/317810396","Catalog Record")</f>
        <v>Catalog Record</v>
      </c>
      <c r="AW4090" s="6" t="str">
        <f>HYPERLINK("http://www.worldcat.org/oclc/317810396","WorldCat Record")</f>
        <v>WorldCat Record</v>
      </c>
      <c r="AX4090" s="3" t="s">
        <v>40230</v>
      </c>
      <c r="AY4090" s="3" t="s">
        <v>40231</v>
      </c>
      <c r="AZ4090" s="3" t="s">
        <v>40232</v>
      </c>
      <c r="BA4090" s="3" t="s">
        <v>40232</v>
      </c>
      <c r="BB4090" s="3" t="s">
        <v>40233</v>
      </c>
      <c r="BC4090" s="3" t="s">
        <v>77</v>
      </c>
      <c r="BD4090" s="3" t="s">
        <v>78</v>
      </c>
      <c r="BF4090" s="3" t="s">
        <v>40233</v>
      </c>
      <c r="BG4090" s="3" t="s">
        <v>40234</v>
      </c>
      <c r="BH4090">
        <f t="shared" si="105"/>
        <v>0</v>
      </c>
    </row>
    <row r="4091" spans="1:60" ht="72.5" x14ac:dyDescent="0.35">
      <c r="A4091" s="2" t="s">
        <v>6202</v>
      </c>
      <c r="B4091" s="2" t="s">
        <v>6203</v>
      </c>
      <c r="C4091" s="2" t="s">
        <v>40235</v>
      </c>
      <c r="D4091" s="2" t="s">
        <v>40236</v>
      </c>
      <c r="E4091" s="2" t="s">
        <v>40237</v>
      </c>
      <c r="G4091" s="3" t="s">
        <v>64</v>
      </c>
      <c r="I4091" s="3" t="s">
        <v>64</v>
      </c>
      <c r="J4091" s="3" t="s">
        <v>64</v>
      </c>
      <c r="K4091" s="3" t="s">
        <v>65</v>
      </c>
      <c r="L4091" s="2" t="s">
        <v>40228</v>
      </c>
      <c r="M4091" s="2" t="s">
        <v>40238</v>
      </c>
      <c r="N4091" s="3" t="s">
        <v>1763</v>
      </c>
      <c r="P4091" s="3" t="s">
        <v>102</v>
      </c>
      <c r="R4091" s="3" t="s">
        <v>70</v>
      </c>
      <c r="S4091" s="4">
        <v>2</v>
      </c>
      <c r="T4091" s="4">
        <v>2</v>
      </c>
      <c r="U4091" s="5" t="s">
        <v>10988</v>
      </c>
      <c r="V4091" s="5" t="s">
        <v>10988</v>
      </c>
      <c r="W4091" s="5" t="s">
        <v>72</v>
      </c>
      <c r="X4091" s="5" t="s">
        <v>72</v>
      </c>
      <c r="Y4091" s="4">
        <v>28</v>
      </c>
      <c r="Z4091" s="4">
        <v>5</v>
      </c>
      <c r="AA4091" s="4">
        <v>6</v>
      </c>
      <c r="AB4091" s="4">
        <v>1</v>
      </c>
      <c r="AC4091" s="4">
        <v>2</v>
      </c>
      <c r="AD4091" s="4">
        <v>11</v>
      </c>
      <c r="AE4091" s="4">
        <v>11</v>
      </c>
      <c r="AF4091" s="4">
        <v>0</v>
      </c>
      <c r="AG4091" s="4">
        <v>0</v>
      </c>
      <c r="AH4091" s="4">
        <v>10</v>
      </c>
      <c r="AI4091" s="4">
        <v>10</v>
      </c>
      <c r="AJ4091" s="4">
        <v>4</v>
      </c>
      <c r="AK4091" s="4">
        <v>4</v>
      </c>
      <c r="AL4091" s="4">
        <v>6</v>
      </c>
      <c r="AM4091" s="4">
        <v>6</v>
      </c>
      <c r="AN4091" s="4">
        <v>0</v>
      </c>
      <c r="AO4091" s="4">
        <v>0</v>
      </c>
      <c r="AP4091" s="4">
        <v>3</v>
      </c>
      <c r="AQ4091" s="4">
        <v>3</v>
      </c>
      <c r="AR4091" s="3" t="s">
        <v>128</v>
      </c>
      <c r="AS4091" s="3" t="s">
        <v>64</v>
      </c>
      <c r="AT4091" s="3" t="s">
        <v>64</v>
      </c>
      <c r="AV4091" s="6" t="str">
        <f>HYPERLINK("http://mcgill.on.worldcat.org/oclc/13562379","Catalog Record")</f>
        <v>Catalog Record</v>
      </c>
      <c r="AW4091" s="6" t="str">
        <f>HYPERLINK("http://www.worldcat.org/oclc/13562379","WorldCat Record")</f>
        <v>WorldCat Record</v>
      </c>
      <c r="AX4091" s="3" t="s">
        <v>40239</v>
      </c>
      <c r="AY4091" s="3" t="s">
        <v>40240</v>
      </c>
      <c r="AZ4091" s="3" t="s">
        <v>40241</v>
      </c>
      <c r="BA4091" s="3" t="s">
        <v>40241</v>
      </c>
      <c r="BB4091" s="3" t="s">
        <v>40242</v>
      </c>
      <c r="BC4091" s="3" t="s">
        <v>77</v>
      </c>
      <c r="BD4091" s="3" t="s">
        <v>78</v>
      </c>
      <c r="BF4091" s="3" t="s">
        <v>40242</v>
      </c>
      <c r="BG4091" s="3" t="s">
        <v>40243</v>
      </c>
      <c r="BH4091">
        <f t="shared" si="105"/>
        <v>0</v>
      </c>
    </row>
    <row r="4092" spans="1:60" ht="58" x14ac:dyDescent="0.35">
      <c r="A4092" s="2" t="s">
        <v>6202</v>
      </c>
      <c r="B4092" s="2" t="s">
        <v>6203</v>
      </c>
      <c r="C4092" s="2" t="s">
        <v>40244</v>
      </c>
      <c r="D4092" s="2" t="s">
        <v>40245</v>
      </c>
      <c r="E4092" s="2" t="s">
        <v>40246</v>
      </c>
      <c r="G4092" s="3" t="s">
        <v>64</v>
      </c>
      <c r="I4092" s="3" t="s">
        <v>64</v>
      </c>
      <c r="J4092" s="3" t="s">
        <v>64</v>
      </c>
      <c r="K4092" s="3" t="s">
        <v>65</v>
      </c>
      <c r="L4092" s="2" t="s">
        <v>40228</v>
      </c>
      <c r="M4092" s="2" t="s">
        <v>40247</v>
      </c>
      <c r="N4092" s="3" t="s">
        <v>1061</v>
      </c>
      <c r="P4092" s="3" t="s">
        <v>102</v>
      </c>
      <c r="R4092" s="3" t="s">
        <v>70</v>
      </c>
      <c r="S4092" s="4">
        <v>2</v>
      </c>
      <c r="T4092" s="4">
        <v>2</v>
      </c>
      <c r="U4092" s="5" t="s">
        <v>10988</v>
      </c>
      <c r="V4092" s="5" t="s">
        <v>10988</v>
      </c>
      <c r="W4092" s="5" t="s">
        <v>72</v>
      </c>
      <c r="X4092" s="5" t="s">
        <v>72</v>
      </c>
      <c r="Y4092" s="4">
        <v>28</v>
      </c>
      <c r="Z4092" s="4">
        <v>7</v>
      </c>
      <c r="AA4092" s="4">
        <v>7</v>
      </c>
      <c r="AB4092" s="4">
        <v>1</v>
      </c>
      <c r="AC4092" s="4">
        <v>1</v>
      </c>
      <c r="AD4092" s="4">
        <v>13</v>
      </c>
      <c r="AE4092" s="4">
        <v>13</v>
      </c>
      <c r="AF4092" s="4">
        <v>0</v>
      </c>
      <c r="AG4092" s="4">
        <v>0</v>
      </c>
      <c r="AH4092" s="4">
        <v>10</v>
      </c>
      <c r="AI4092" s="4">
        <v>10</v>
      </c>
      <c r="AJ4092" s="4">
        <v>6</v>
      </c>
      <c r="AK4092" s="4">
        <v>6</v>
      </c>
      <c r="AL4092" s="4">
        <v>6</v>
      </c>
      <c r="AM4092" s="4">
        <v>6</v>
      </c>
      <c r="AN4092" s="4">
        <v>0</v>
      </c>
      <c r="AO4092" s="4">
        <v>0</v>
      </c>
      <c r="AP4092" s="4">
        <v>5</v>
      </c>
      <c r="AQ4092" s="4">
        <v>5</v>
      </c>
      <c r="AR4092" s="3" t="s">
        <v>128</v>
      </c>
      <c r="AS4092" s="3" t="s">
        <v>64</v>
      </c>
      <c r="AT4092" s="3" t="s">
        <v>64</v>
      </c>
      <c r="AV4092" s="6" t="str">
        <f>HYPERLINK("http://mcgill.on.worldcat.org/oclc/16180034","Catalog Record")</f>
        <v>Catalog Record</v>
      </c>
      <c r="AW4092" s="6" t="str">
        <f>HYPERLINK("http://www.worldcat.org/oclc/16180034","WorldCat Record")</f>
        <v>WorldCat Record</v>
      </c>
      <c r="AX4092" s="3" t="s">
        <v>40248</v>
      </c>
      <c r="AY4092" s="3" t="s">
        <v>40249</v>
      </c>
      <c r="AZ4092" s="3" t="s">
        <v>40250</v>
      </c>
      <c r="BA4092" s="3" t="s">
        <v>40250</v>
      </c>
      <c r="BB4092" s="3" t="s">
        <v>40251</v>
      </c>
      <c r="BC4092" s="3" t="s">
        <v>77</v>
      </c>
      <c r="BD4092" s="3" t="s">
        <v>78</v>
      </c>
      <c r="BF4092" s="3" t="s">
        <v>40251</v>
      </c>
      <c r="BG4092" s="3" t="s">
        <v>40252</v>
      </c>
      <c r="BH4092">
        <f t="shared" si="105"/>
        <v>0</v>
      </c>
    </row>
    <row r="4093" spans="1:60" ht="72.5" x14ac:dyDescent="0.35">
      <c r="A4093" s="2" t="s">
        <v>6202</v>
      </c>
      <c r="B4093" s="2" t="s">
        <v>6203</v>
      </c>
      <c r="C4093" s="2" t="s">
        <v>40253</v>
      </c>
      <c r="D4093" s="2" t="s">
        <v>40254</v>
      </c>
      <c r="E4093" s="2" t="s">
        <v>40255</v>
      </c>
      <c r="G4093" s="3" t="s">
        <v>64</v>
      </c>
      <c r="I4093" s="3" t="s">
        <v>64</v>
      </c>
      <c r="J4093" s="3" t="s">
        <v>64</v>
      </c>
      <c r="K4093" s="3" t="s">
        <v>65</v>
      </c>
      <c r="L4093" s="2" t="s">
        <v>40256</v>
      </c>
      <c r="M4093" s="2" t="s">
        <v>40257</v>
      </c>
      <c r="N4093" s="3" t="s">
        <v>378</v>
      </c>
      <c r="P4093" s="3" t="s">
        <v>102</v>
      </c>
      <c r="R4093" s="3" t="s">
        <v>70</v>
      </c>
      <c r="S4093" s="4">
        <v>2</v>
      </c>
      <c r="T4093" s="4">
        <v>2</v>
      </c>
      <c r="U4093" s="5" t="s">
        <v>10988</v>
      </c>
      <c r="V4093" s="5" t="s">
        <v>10988</v>
      </c>
      <c r="W4093" s="5" t="s">
        <v>72</v>
      </c>
      <c r="X4093" s="5" t="s">
        <v>72</v>
      </c>
      <c r="Y4093" s="4">
        <v>30</v>
      </c>
      <c r="Z4093" s="4">
        <v>6</v>
      </c>
      <c r="AA4093" s="4">
        <v>7</v>
      </c>
      <c r="AB4093" s="4">
        <v>1</v>
      </c>
      <c r="AC4093" s="4">
        <v>2</v>
      </c>
      <c r="AD4093" s="4">
        <v>14</v>
      </c>
      <c r="AE4093" s="4">
        <v>14</v>
      </c>
      <c r="AF4093" s="4">
        <v>0</v>
      </c>
      <c r="AG4093" s="4">
        <v>0</v>
      </c>
      <c r="AH4093" s="4">
        <v>12</v>
      </c>
      <c r="AI4093" s="4">
        <v>12</v>
      </c>
      <c r="AJ4093" s="4">
        <v>5</v>
      </c>
      <c r="AK4093" s="4">
        <v>5</v>
      </c>
      <c r="AL4093" s="4">
        <v>8</v>
      </c>
      <c r="AM4093" s="4">
        <v>8</v>
      </c>
      <c r="AN4093" s="4">
        <v>0</v>
      </c>
      <c r="AO4093" s="4">
        <v>0</v>
      </c>
      <c r="AP4093" s="4">
        <v>4</v>
      </c>
      <c r="AQ4093" s="4">
        <v>4</v>
      </c>
      <c r="AR4093" s="3" t="s">
        <v>128</v>
      </c>
      <c r="AS4093" s="3" t="s">
        <v>64</v>
      </c>
      <c r="AT4093" s="3" t="s">
        <v>64</v>
      </c>
      <c r="AV4093" s="6" t="str">
        <f>HYPERLINK("http://mcgill.on.worldcat.org/oclc/15075012","Catalog Record")</f>
        <v>Catalog Record</v>
      </c>
      <c r="AW4093" s="6" t="str">
        <f>HYPERLINK("http://www.worldcat.org/oclc/15075012","WorldCat Record")</f>
        <v>WorldCat Record</v>
      </c>
      <c r="AX4093" s="3" t="s">
        <v>40258</v>
      </c>
      <c r="AY4093" s="3" t="s">
        <v>40259</v>
      </c>
      <c r="AZ4093" s="3" t="s">
        <v>40260</v>
      </c>
      <c r="BA4093" s="3" t="s">
        <v>40260</v>
      </c>
      <c r="BB4093" s="3" t="s">
        <v>40261</v>
      </c>
      <c r="BC4093" s="3" t="s">
        <v>77</v>
      </c>
      <c r="BD4093" s="3" t="s">
        <v>78</v>
      </c>
      <c r="BF4093" s="3" t="s">
        <v>40261</v>
      </c>
      <c r="BG4093" s="3" t="s">
        <v>40262</v>
      </c>
      <c r="BH4093">
        <f t="shared" si="105"/>
        <v>0</v>
      </c>
    </row>
    <row r="4094" spans="1:60" ht="58" x14ac:dyDescent="0.35">
      <c r="A4094" s="2" t="s">
        <v>6202</v>
      </c>
      <c r="B4094" s="2" t="s">
        <v>6203</v>
      </c>
      <c r="C4094" s="2" t="s">
        <v>40263</v>
      </c>
      <c r="D4094" s="2" t="s">
        <v>40264</v>
      </c>
      <c r="E4094" s="2" t="s">
        <v>40265</v>
      </c>
      <c r="G4094" s="3" t="s">
        <v>64</v>
      </c>
      <c r="I4094" s="3" t="s">
        <v>64</v>
      </c>
      <c r="J4094" s="3" t="s">
        <v>64</v>
      </c>
      <c r="K4094" s="3" t="s">
        <v>65</v>
      </c>
      <c r="L4094" s="2" t="s">
        <v>40256</v>
      </c>
      <c r="M4094" s="2" t="s">
        <v>40266</v>
      </c>
      <c r="N4094" s="3" t="s">
        <v>1047</v>
      </c>
      <c r="P4094" s="3" t="s">
        <v>102</v>
      </c>
      <c r="R4094" s="3" t="s">
        <v>70</v>
      </c>
      <c r="S4094" s="4">
        <v>2</v>
      </c>
      <c r="T4094" s="4">
        <v>2</v>
      </c>
      <c r="U4094" s="5" t="s">
        <v>10988</v>
      </c>
      <c r="V4094" s="5" t="s">
        <v>10988</v>
      </c>
      <c r="W4094" s="5" t="s">
        <v>72</v>
      </c>
      <c r="X4094" s="5" t="s">
        <v>72</v>
      </c>
      <c r="Y4094" s="4">
        <v>44</v>
      </c>
      <c r="Z4094" s="4">
        <v>9</v>
      </c>
      <c r="AA4094" s="4">
        <v>10</v>
      </c>
      <c r="AB4094" s="4">
        <v>1</v>
      </c>
      <c r="AC4094" s="4">
        <v>2</v>
      </c>
      <c r="AD4094" s="4">
        <v>20</v>
      </c>
      <c r="AE4094" s="4">
        <v>20</v>
      </c>
      <c r="AF4094" s="4">
        <v>0</v>
      </c>
      <c r="AG4094" s="4">
        <v>0</v>
      </c>
      <c r="AH4094" s="4">
        <v>17</v>
      </c>
      <c r="AI4094" s="4">
        <v>17</v>
      </c>
      <c r="AJ4094" s="4">
        <v>7</v>
      </c>
      <c r="AK4094" s="4">
        <v>7</v>
      </c>
      <c r="AL4094" s="4">
        <v>9</v>
      </c>
      <c r="AM4094" s="4">
        <v>9</v>
      </c>
      <c r="AN4094" s="4">
        <v>0</v>
      </c>
      <c r="AO4094" s="4">
        <v>0</v>
      </c>
      <c r="AP4094" s="4">
        <v>7</v>
      </c>
      <c r="AQ4094" s="4">
        <v>7</v>
      </c>
      <c r="AR4094" s="3" t="s">
        <v>128</v>
      </c>
      <c r="AS4094" s="3" t="s">
        <v>64</v>
      </c>
      <c r="AT4094" s="3" t="s">
        <v>64</v>
      </c>
      <c r="AV4094" s="6" t="str">
        <f>HYPERLINK("http://mcgill.on.worldcat.org/oclc/11044407","Catalog Record")</f>
        <v>Catalog Record</v>
      </c>
      <c r="AW4094" s="6" t="str">
        <f>HYPERLINK("http://www.worldcat.org/oclc/11044407","WorldCat Record")</f>
        <v>WorldCat Record</v>
      </c>
      <c r="AX4094" s="3" t="s">
        <v>40267</v>
      </c>
      <c r="AY4094" s="3" t="s">
        <v>40268</v>
      </c>
      <c r="AZ4094" s="3" t="s">
        <v>40269</v>
      </c>
      <c r="BA4094" s="3" t="s">
        <v>40269</v>
      </c>
      <c r="BB4094" s="3" t="s">
        <v>40270</v>
      </c>
      <c r="BC4094" s="3" t="s">
        <v>77</v>
      </c>
      <c r="BD4094" s="3" t="s">
        <v>78</v>
      </c>
      <c r="BF4094" s="3" t="s">
        <v>40270</v>
      </c>
      <c r="BG4094" s="3" t="s">
        <v>40271</v>
      </c>
      <c r="BH4094">
        <f t="shared" si="105"/>
        <v>0</v>
      </c>
    </row>
    <row r="4095" spans="1:60" ht="116" x14ac:dyDescent="0.35">
      <c r="A4095" s="2" t="s">
        <v>6202</v>
      </c>
      <c r="B4095" s="2" t="s">
        <v>6203</v>
      </c>
      <c r="C4095" s="2" t="s">
        <v>40272</v>
      </c>
      <c r="D4095" s="2" t="s">
        <v>40273</v>
      </c>
      <c r="E4095" s="2" t="s">
        <v>40274</v>
      </c>
      <c r="G4095" s="3" t="s">
        <v>64</v>
      </c>
      <c r="I4095" s="3" t="s">
        <v>64</v>
      </c>
      <c r="J4095" s="3" t="s">
        <v>64</v>
      </c>
      <c r="K4095" s="3" t="s">
        <v>65</v>
      </c>
      <c r="L4095" s="2" t="s">
        <v>40275</v>
      </c>
      <c r="M4095" s="2" t="s">
        <v>40276</v>
      </c>
      <c r="N4095" s="3" t="s">
        <v>3047</v>
      </c>
      <c r="P4095" s="3" t="s">
        <v>102</v>
      </c>
      <c r="R4095" s="3" t="s">
        <v>70</v>
      </c>
      <c r="S4095" s="4">
        <v>2</v>
      </c>
      <c r="T4095" s="4">
        <v>2</v>
      </c>
      <c r="U4095" s="5" t="s">
        <v>10988</v>
      </c>
      <c r="V4095" s="5" t="s">
        <v>10988</v>
      </c>
      <c r="W4095" s="5" t="s">
        <v>72</v>
      </c>
      <c r="X4095" s="5" t="s">
        <v>72</v>
      </c>
      <c r="Y4095" s="4">
        <v>5</v>
      </c>
      <c r="Z4095" s="4">
        <v>4</v>
      </c>
      <c r="AA4095" s="4">
        <v>5</v>
      </c>
      <c r="AB4095" s="4">
        <v>1</v>
      </c>
      <c r="AC4095" s="4">
        <v>2</v>
      </c>
      <c r="AD4095" s="4">
        <v>3</v>
      </c>
      <c r="AE4095" s="4">
        <v>7</v>
      </c>
      <c r="AF4095" s="4">
        <v>0</v>
      </c>
      <c r="AG4095" s="4">
        <v>0</v>
      </c>
      <c r="AH4095" s="4">
        <v>1</v>
      </c>
      <c r="AI4095" s="4">
        <v>5</v>
      </c>
      <c r="AJ4095" s="4">
        <v>3</v>
      </c>
      <c r="AK4095" s="4">
        <v>3</v>
      </c>
      <c r="AL4095" s="4">
        <v>0</v>
      </c>
      <c r="AM4095" s="4">
        <v>4</v>
      </c>
      <c r="AN4095" s="4">
        <v>0</v>
      </c>
      <c r="AO4095" s="4">
        <v>0</v>
      </c>
      <c r="AP4095" s="4">
        <v>2</v>
      </c>
      <c r="AQ4095" s="4">
        <v>2</v>
      </c>
      <c r="AR4095" s="3" t="s">
        <v>64</v>
      </c>
      <c r="AS4095" s="3" t="s">
        <v>64</v>
      </c>
      <c r="AT4095" s="3" t="s">
        <v>64</v>
      </c>
      <c r="AV4095" s="6" t="str">
        <f>HYPERLINK("http://mcgill.on.worldcat.org/oclc/289682646","Catalog Record")</f>
        <v>Catalog Record</v>
      </c>
      <c r="AW4095" s="6" t="str">
        <f>HYPERLINK("http://www.worldcat.org/oclc/289682646","WorldCat Record")</f>
        <v>WorldCat Record</v>
      </c>
      <c r="AX4095" s="3" t="s">
        <v>40277</v>
      </c>
      <c r="AY4095" s="3" t="s">
        <v>40278</v>
      </c>
      <c r="AZ4095" s="3" t="s">
        <v>40279</v>
      </c>
      <c r="BA4095" s="3" t="s">
        <v>40279</v>
      </c>
      <c r="BB4095" s="3" t="s">
        <v>40280</v>
      </c>
      <c r="BC4095" s="3" t="s">
        <v>77</v>
      </c>
      <c r="BD4095" s="3" t="s">
        <v>78</v>
      </c>
      <c r="BF4095" s="3" t="s">
        <v>40280</v>
      </c>
      <c r="BG4095" s="3" t="s">
        <v>40281</v>
      </c>
      <c r="BH4095">
        <f t="shared" si="105"/>
        <v>0</v>
      </c>
    </row>
    <row r="4096" spans="1:60" ht="58" x14ac:dyDescent="0.35">
      <c r="A4096" s="2" t="s">
        <v>6202</v>
      </c>
      <c r="B4096" s="2" t="s">
        <v>6203</v>
      </c>
      <c r="C4096" s="2" t="s">
        <v>40282</v>
      </c>
      <c r="D4096" s="2" t="s">
        <v>40283</v>
      </c>
      <c r="E4096" s="2" t="s">
        <v>40284</v>
      </c>
      <c r="G4096" s="3" t="s">
        <v>64</v>
      </c>
      <c r="I4096" s="3" t="s">
        <v>64</v>
      </c>
      <c r="J4096" s="3" t="s">
        <v>64</v>
      </c>
      <c r="K4096" s="3" t="s">
        <v>65</v>
      </c>
      <c r="L4096" s="2" t="s">
        <v>40285</v>
      </c>
      <c r="M4096" s="2" t="s">
        <v>40286</v>
      </c>
      <c r="N4096" s="3" t="s">
        <v>1047</v>
      </c>
      <c r="P4096" s="3" t="s">
        <v>102</v>
      </c>
      <c r="R4096" s="3" t="s">
        <v>70</v>
      </c>
      <c r="S4096" s="4">
        <v>1</v>
      </c>
      <c r="T4096" s="4">
        <v>1</v>
      </c>
      <c r="U4096" s="5" t="s">
        <v>118</v>
      </c>
      <c r="V4096" s="5" t="s">
        <v>118</v>
      </c>
      <c r="W4096" s="5" t="s">
        <v>72</v>
      </c>
      <c r="X4096" s="5" t="s">
        <v>72</v>
      </c>
      <c r="Y4096" s="4">
        <v>3</v>
      </c>
      <c r="Z4096" s="4">
        <v>2</v>
      </c>
      <c r="AA4096" s="4">
        <v>2</v>
      </c>
      <c r="AB4096" s="4">
        <v>1</v>
      </c>
      <c r="AC4096" s="4">
        <v>1</v>
      </c>
      <c r="AD4096" s="4">
        <v>2</v>
      </c>
      <c r="AE4096" s="4">
        <v>2</v>
      </c>
      <c r="AF4096" s="4">
        <v>0</v>
      </c>
      <c r="AG4096" s="4">
        <v>0</v>
      </c>
      <c r="AH4096" s="4">
        <v>2</v>
      </c>
      <c r="AI4096" s="4">
        <v>2</v>
      </c>
      <c r="AJ4096" s="4">
        <v>1</v>
      </c>
      <c r="AK4096" s="4">
        <v>1</v>
      </c>
      <c r="AL4096" s="4">
        <v>1</v>
      </c>
      <c r="AM4096" s="4">
        <v>1</v>
      </c>
      <c r="AN4096" s="4">
        <v>0</v>
      </c>
      <c r="AO4096" s="4">
        <v>0</v>
      </c>
      <c r="AP4096" s="4">
        <v>1</v>
      </c>
      <c r="AQ4096" s="4">
        <v>1</v>
      </c>
      <c r="AR4096" s="3" t="s">
        <v>128</v>
      </c>
      <c r="AS4096" s="3" t="s">
        <v>64</v>
      </c>
      <c r="AT4096" s="3" t="s">
        <v>64</v>
      </c>
      <c r="AV4096" s="6" t="str">
        <f>HYPERLINK("http://mcgill.on.worldcat.org/oclc/8904189","Catalog Record")</f>
        <v>Catalog Record</v>
      </c>
      <c r="AW4096" s="6" t="str">
        <f>HYPERLINK("http://www.worldcat.org/oclc/8904189","WorldCat Record")</f>
        <v>WorldCat Record</v>
      </c>
      <c r="AX4096" s="3" t="s">
        <v>40287</v>
      </c>
      <c r="AY4096" s="3" t="s">
        <v>40288</v>
      </c>
      <c r="AZ4096" s="3" t="s">
        <v>40289</v>
      </c>
      <c r="BA4096" s="3" t="s">
        <v>40289</v>
      </c>
      <c r="BB4096" s="3" t="s">
        <v>40290</v>
      </c>
      <c r="BC4096" s="3" t="s">
        <v>77</v>
      </c>
      <c r="BD4096" s="3" t="s">
        <v>78</v>
      </c>
      <c r="BF4096" s="3" t="s">
        <v>40290</v>
      </c>
      <c r="BG4096" s="3" t="s">
        <v>40291</v>
      </c>
      <c r="BH4096">
        <f t="shared" si="105"/>
        <v>0</v>
      </c>
    </row>
    <row r="4097" spans="1:60" ht="58" x14ac:dyDescent="0.35">
      <c r="A4097" s="2" t="s">
        <v>59</v>
      </c>
      <c r="B4097" s="2" t="s">
        <v>60</v>
      </c>
      <c r="C4097" s="2" t="s">
        <v>40292</v>
      </c>
      <c r="D4097" s="2" t="s">
        <v>40293</v>
      </c>
      <c r="E4097" s="2" t="s">
        <v>40294</v>
      </c>
      <c r="G4097" s="3" t="s">
        <v>64</v>
      </c>
      <c r="I4097" s="3" t="s">
        <v>64</v>
      </c>
      <c r="J4097" s="3" t="s">
        <v>64</v>
      </c>
      <c r="K4097" s="3" t="s">
        <v>65</v>
      </c>
      <c r="L4097" s="2" t="s">
        <v>40295</v>
      </c>
      <c r="M4097" s="2" t="s">
        <v>40296</v>
      </c>
      <c r="N4097" s="3" t="s">
        <v>1763</v>
      </c>
      <c r="O4097" s="2" t="s">
        <v>172</v>
      </c>
      <c r="P4097" s="3" t="s">
        <v>102</v>
      </c>
      <c r="Q4097" s="2" t="s">
        <v>40297</v>
      </c>
      <c r="R4097" s="3" t="s">
        <v>70</v>
      </c>
      <c r="S4097" s="4">
        <v>10</v>
      </c>
      <c r="T4097" s="4">
        <v>10</v>
      </c>
      <c r="U4097" s="5" t="s">
        <v>2763</v>
      </c>
      <c r="V4097" s="5" t="s">
        <v>2763</v>
      </c>
      <c r="W4097" s="5" t="s">
        <v>72</v>
      </c>
      <c r="X4097" s="5" t="s">
        <v>72</v>
      </c>
      <c r="Y4097" s="4">
        <v>126</v>
      </c>
      <c r="Z4097" s="4">
        <v>50</v>
      </c>
      <c r="AA4097" s="4">
        <v>53</v>
      </c>
      <c r="AB4097" s="4">
        <v>2</v>
      </c>
      <c r="AC4097" s="4">
        <v>5</v>
      </c>
      <c r="AD4097" s="4">
        <v>65</v>
      </c>
      <c r="AE4097" s="4">
        <v>66</v>
      </c>
      <c r="AF4097" s="4">
        <v>1</v>
      </c>
      <c r="AG4097" s="4">
        <v>2</v>
      </c>
      <c r="AH4097" s="4">
        <v>45</v>
      </c>
      <c r="AI4097" s="4">
        <v>45</v>
      </c>
      <c r="AJ4097" s="4">
        <v>18</v>
      </c>
      <c r="AK4097" s="4">
        <v>19</v>
      </c>
      <c r="AL4097" s="4">
        <v>28</v>
      </c>
      <c r="AM4097" s="4">
        <v>28</v>
      </c>
      <c r="AN4097" s="4">
        <v>0</v>
      </c>
      <c r="AO4097" s="4">
        <v>0</v>
      </c>
      <c r="AP4097" s="4">
        <v>26</v>
      </c>
      <c r="AQ4097" s="4">
        <v>27</v>
      </c>
      <c r="AR4097" s="3" t="s">
        <v>128</v>
      </c>
      <c r="AS4097" s="3" t="s">
        <v>64</v>
      </c>
      <c r="AT4097" s="3" t="s">
        <v>64</v>
      </c>
      <c r="AV4097" s="6" t="str">
        <f>HYPERLINK("http://mcgill.on.worldcat.org/oclc/11866802","Catalog Record")</f>
        <v>Catalog Record</v>
      </c>
      <c r="AW4097" s="6" t="str">
        <f>HYPERLINK("http://www.worldcat.org/oclc/11866802","WorldCat Record")</f>
        <v>WorldCat Record</v>
      </c>
      <c r="AX4097" s="3" t="s">
        <v>40298</v>
      </c>
      <c r="AY4097" s="3" t="s">
        <v>40299</v>
      </c>
      <c r="AZ4097" s="3" t="s">
        <v>40300</v>
      </c>
      <c r="BA4097" s="3" t="s">
        <v>40300</v>
      </c>
      <c r="BB4097" s="3" t="s">
        <v>40301</v>
      </c>
      <c r="BC4097" s="3" t="s">
        <v>77</v>
      </c>
      <c r="BD4097" s="3" t="s">
        <v>78</v>
      </c>
      <c r="BE4097" s="3" t="s">
        <v>40302</v>
      </c>
      <c r="BF4097" s="3" t="s">
        <v>40301</v>
      </c>
      <c r="BG4097" s="3" t="s">
        <v>40303</v>
      </c>
      <c r="BH4097">
        <f t="shared" si="105"/>
        <v>0</v>
      </c>
    </row>
    <row r="4098" spans="1:60" ht="58" x14ac:dyDescent="0.35">
      <c r="A4098" s="2" t="s">
        <v>59</v>
      </c>
      <c r="B4098" s="2" t="s">
        <v>60</v>
      </c>
      <c r="C4098" s="2" t="s">
        <v>40304</v>
      </c>
      <c r="D4098" s="2" t="s">
        <v>40305</v>
      </c>
      <c r="E4098" s="2" t="s">
        <v>40306</v>
      </c>
      <c r="G4098" s="3" t="s">
        <v>64</v>
      </c>
      <c r="I4098" s="3" t="s">
        <v>128</v>
      </c>
      <c r="J4098" s="3" t="s">
        <v>64</v>
      </c>
      <c r="K4098" s="3" t="s">
        <v>65</v>
      </c>
      <c r="L4098" s="2" t="s">
        <v>40307</v>
      </c>
      <c r="M4098" s="2" t="s">
        <v>40308</v>
      </c>
      <c r="N4098" s="3" t="s">
        <v>1615</v>
      </c>
      <c r="P4098" s="3" t="s">
        <v>102</v>
      </c>
      <c r="R4098" s="3" t="s">
        <v>70</v>
      </c>
      <c r="S4098" s="4">
        <v>9</v>
      </c>
      <c r="T4098" s="4">
        <v>13</v>
      </c>
      <c r="U4098" s="5" t="s">
        <v>2763</v>
      </c>
      <c r="V4098" s="5" t="s">
        <v>2763</v>
      </c>
      <c r="W4098" s="5" t="s">
        <v>72</v>
      </c>
      <c r="X4098" s="5" t="s">
        <v>72</v>
      </c>
      <c r="Y4098" s="4">
        <v>44</v>
      </c>
      <c r="Z4098" s="4">
        <v>26</v>
      </c>
      <c r="AA4098" s="4">
        <v>28</v>
      </c>
      <c r="AB4098" s="4">
        <v>2</v>
      </c>
      <c r="AC4098" s="4">
        <v>3</v>
      </c>
      <c r="AD4098" s="4">
        <v>28</v>
      </c>
      <c r="AE4098" s="4">
        <v>30</v>
      </c>
      <c r="AF4098" s="4">
        <v>1</v>
      </c>
      <c r="AG4098" s="4">
        <v>2</v>
      </c>
      <c r="AH4098" s="4">
        <v>17</v>
      </c>
      <c r="AI4098" s="4">
        <v>18</v>
      </c>
      <c r="AJ4098" s="4">
        <v>20</v>
      </c>
      <c r="AK4098" s="4">
        <v>21</v>
      </c>
      <c r="AL4098" s="4">
        <v>7</v>
      </c>
      <c r="AM4098" s="4">
        <v>7</v>
      </c>
      <c r="AN4098" s="4">
        <v>0</v>
      </c>
      <c r="AO4098" s="4">
        <v>0</v>
      </c>
      <c r="AP4098" s="4">
        <v>20</v>
      </c>
      <c r="AQ4098" s="4">
        <v>21</v>
      </c>
      <c r="AR4098" s="3" t="s">
        <v>128</v>
      </c>
      <c r="AS4098" s="3" t="s">
        <v>64</v>
      </c>
      <c r="AT4098" s="3" t="s">
        <v>64</v>
      </c>
      <c r="AV4098" s="6" t="str">
        <f>HYPERLINK("http://mcgill.on.worldcat.org/oclc/35637269","Catalog Record")</f>
        <v>Catalog Record</v>
      </c>
      <c r="AW4098" s="6" t="str">
        <f>HYPERLINK("http://www.worldcat.org/oclc/35637269","WorldCat Record")</f>
        <v>WorldCat Record</v>
      </c>
      <c r="AX4098" s="3" t="s">
        <v>40309</v>
      </c>
      <c r="AY4098" s="3" t="s">
        <v>40310</v>
      </c>
      <c r="AZ4098" s="3" t="s">
        <v>40311</v>
      </c>
      <c r="BA4098" s="3" t="s">
        <v>40311</v>
      </c>
      <c r="BB4098" s="3" t="s">
        <v>40312</v>
      </c>
      <c r="BC4098" s="3" t="s">
        <v>77</v>
      </c>
      <c r="BD4098" s="3" t="s">
        <v>78</v>
      </c>
      <c r="BE4098" s="3" t="s">
        <v>40313</v>
      </c>
      <c r="BF4098" s="3" t="s">
        <v>40312</v>
      </c>
      <c r="BG4098" s="3" t="s">
        <v>40314</v>
      </c>
      <c r="BH4098">
        <f t="shared" ref="BH4098:BH4161" si="111">IF(COUNTIF($BF$1:$BF$5431,BF4098)=1,0,1)</f>
        <v>0</v>
      </c>
    </row>
    <row r="4099" spans="1:60" ht="58" x14ac:dyDescent="0.35">
      <c r="A4099" s="2" t="s">
        <v>59</v>
      </c>
      <c r="B4099" s="2" t="s">
        <v>60</v>
      </c>
      <c r="C4099" s="2" t="s">
        <v>40304</v>
      </c>
      <c r="D4099" s="2" t="s">
        <v>40305</v>
      </c>
      <c r="E4099" s="2" t="s">
        <v>40306</v>
      </c>
      <c r="G4099" s="3" t="s">
        <v>64</v>
      </c>
      <c r="I4099" s="3" t="s">
        <v>128</v>
      </c>
      <c r="J4099" s="3" t="s">
        <v>64</v>
      </c>
      <c r="K4099" s="3" t="s">
        <v>65</v>
      </c>
      <c r="L4099" s="2" t="s">
        <v>40307</v>
      </c>
      <c r="M4099" s="2" t="s">
        <v>40308</v>
      </c>
      <c r="N4099" s="3" t="s">
        <v>1615</v>
      </c>
      <c r="P4099" s="3" t="s">
        <v>102</v>
      </c>
      <c r="R4099" s="3" t="s">
        <v>70</v>
      </c>
      <c r="S4099" s="4">
        <v>4</v>
      </c>
      <c r="T4099" s="4">
        <v>13</v>
      </c>
      <c r="U4099" s="5" t="s">
        <v>40315</v>
      </c>
      <c r="V4099" s="5" t="s">
        <v>2763</v>
      </c>
      <c r="W4099" s="5" t="s">
        <v>72</v>
      </c>
      <c r="X4099" s="5" t="s">
        <v>72</v>
      </c>
      <c r="Y4099" s="4">
        <v>44</v>
      </c>
      <c r="Z4099" s="4">
        <v>26</v>
      </c>
      <c r="AA4099" s="4">
        <v>28</v>
      </c>
      <c r="AB4099" s="4">
        <v>2</v>
      </c>
      <c r="AC4099" s="4">
        <v>3</v>
      </c>
      <c r="AD4099" s="4">
        <v>28</v>
      </c>
      <c r="AE4099" s="4">
        <v>30</v>
      </c>
      <c r="AF4099" s="4">
        <v>1</v>
      </c>
      <c r="AG4099" s="4">
        <v>2</v>
      </c>
      <c r="AH4099" s="4">
        <v>17</v>
      </c>
      <c r="AI4099" s="4">
        <v>18</v>
      </c>
      <c r="AJ4099" s="4">
        <v>20</v>
      </c>
      <c r="AK4099" s="4">
        <v>21</v>
      </c>
      <c r="AL4099" s="4">
        <v>7</v>
      </c>
      <c r="AM4099" s="4">
        <v>7</v>
      </c>
      <c r="AN4099" s="4">
        <v>0</v>
      </c>
      <c r="AO4099" s="4">
        <v>0</v>
      </c>
      <c r="AP4099" s="4">
        <v>20</v>
      </c>
      <c r="AQ4099" s="4">
        <v>21</v>
      </c>
      <c r="AR4099" s="3" t="s">
        <v>128</v>
      </c>
      <c r="AS4099" s="3" t="s">
        <v>64</v>
      </c>
      <c r="AT4099" s="3" t="s">
        <v>64</v>
      </c>
      <c r="AV4099" s="6" t="str">
        <f>HYPERLINK("http://mcgill.on.worldcat.org/oclc/35637269","Catalog Record")</f>
        <v>Catalog Record</v>
      </c>
      <c r="AW4099" s="6" t="str">
        <f>HYPERLINK("http://www.worldcat.org/oclc/35637269","WorldCat Record")</f>
        <v>WorldCat Record</v>
      </c>
      <c r="AX4099" s="3" t="s">
        <v>40309</v>
      </c>
      <c r="AY4099" s="3" t="s">
        <v>40310</v>
      </c>
      <c r="AZ4099" s="3" t="s">
        <v>40311</v>
      </c>
      <c r="BA4099" s="3" t="s">
        <v>40311</v>
      </c>
      <c r="BB4099" s="3" t="s">
        <v>40316</v>
      </c>
      <c r="BC4099" s="3" t="s">
        <v>77</v>
      </c>
      <c r="BD4099" s="3" t="s">
        <v>78</v>
      </c>
      <c r="BE4099" s="3" t="s">
        <v>40313</v>
      </c>
      <c r="BF4099" s="3" t="s">
        <v>40316</v>
      </c>
      <c r="BG4099" s="3" t="s">
        <v>40317</v>
      </c>
      <c r="BH4099">
        <f t="shared" si="111"/>
        <v>0</v>
      </c>
    </row>
    <row r="4100" spans="1:60" ht="58" x14ac:dyDescent="0.35">
      <c r="A4100" s="2" t="s">
        <v>6202</v>
      </c>
      <c r="B4100" s="2" t="s">
        <v>6203</v>
      </c>
      <c r="C4100" s="2" t="s">
        <v>40318</v>
      </c>
      <c r="D4100" s="2" t="s">
        <v>40319</v>
      </c>
      <c r="E4100" s="2" t="s">
        <v>40320</v>
      </c>
      <c r="G4100" s="3" t="s">
        <v>64</v>
      </c>
      <c r="I4100" s="3" t="s">
        <v>64</v>
      </c>
      <c r="J4100" s="3" t="s">
        <v>64</v>
      </c>
      <c r="K4100" s="3" t="s">
        <v>65</v>
      </c>
      <c r="L4100" s="2" t="s">
        <v>40321</v>
      </c>
      <c r="M4100" s="2" t="s">
        <v>40322</v>
      </c>
      <c r="N4100" s="3" t="s">
        <v>1750</v>
      </c>
      <c r="P4100" s="3" t="s">
        <v>102</v>
      </c>
      <c r="R4100" s="3" t="s">
        <v>70</v>
      </c>
      <c r="S4100" s="4">
        <v>1</v>
      </c>
      <c r="T4100" s="4">
        <v>1</v>
      </c>
      <c r="U4100" s="5" t="s">
        <v>1541</v>
      </c>
      <c r="V4100" s="5" t="s">
        <v>1541</v>
      </c>
      <c r="W4100" s="5" t="s">
        <v>72</v>
      </c>
      <c r="X4100" s="5" t="s">
        <v>72</v>
      </c>
      <c r="Y4100" s="4">
        <v>143</v>
      </c>
      <c r="Z4100" s="4">
        <v>58</v>
      </c>
      <c r="AA4100" s="4">
        <v>62</v>
      </c>
      <c r="AB4100" s="4">
        <v>5</v>
      </c>
      <c r="AC4100" s="4">
        <v>9</v>
      </c>
      <c r="AD4100" s="4">
        <v>63</v>
      </c>
      <c r="AE4100" s="4">
        <v>80</v>
      </c>
      <c r="AF4100" s="4">
        <v>1</v>
      </c>
      <c r="AG4100" s="4">
        <v>4</v>
      </c>
      <c r="AH4100" s="4">
        <v>36</v>
      </c>
      <c r="AI4100" s="4">
        <v>51</v>
      </c>
      <c r="AJ4100" s="4">
        <v>20</v>
      </c>
      <c r="AK4100" s="4">
        <v>23</v>
      </c>
      <c r="AL4100" s="4">
        <v>23</v>
      </c>
      <c r="AM4100" s="4">
        <v>30</v>
      </c>
      <c r="AN4100" s="4">
        <v>0</v>
      </c>
      <c r="AO4100" s="4">
        <v>0</v>
      </c>
      <c r="AP4100" s="4">
        <v>33</v>
      </c>
      <c r="AQ4100" s="4">
        <v>35</v>
      </c>
      <c r="AR4100" s="3" t="s">
        <v>128</v>
      </c>
      <c r="AS4100" s="3" t="s">
        <v>64</v>
      </c>
      <c r="AT4100" s="3" t="s">
        <v>128</v>
      </c>
      <c r="AU4100" s="6" t="str">
        <f>HYPERLINK("http://catalog.hathitrust.org/Record/000212635","HathiTrust Record")</f>
        <v>HathiTrust Record</v>
      </c>
      <c r="AV4100" s="6" t="str">
        <f>HYPERLINK("http://mcgill.on.worldcat.org/oclc/2930868","Catalog Record")</f>
        <v>Catalog Record</v>
      </c>
      <c r="AW4100" s="6" t="str">
        <f>HYPERLINK("http://www.worldcat.org/oclc/2930868","WorldCat Record")</f>
        <v>WorldCat Record</v>
      </c>
      <c r="AX4100" s="3" t="s">
        <v>40323</v>
      </c>
      <c r="AY4100" s="3" t="s">
        <v>40324</v>
      </c>
      <c r="AZ4100" s="3" t="s">
        <v>40325</v>
      </c>
      <c r="BA4100" s="3" t="s">
        <v>40325</v>
      </c>
      <c r="BB4100" s="3" t="s">
        <v>40326</v>
      </c>
      <c r="BC4100" s="3" t="s">
        <v>77</v>
      </c>
      <c r="BD4100" s="3" t="s">
        <v>78</v>
      </c>
      <c r="BE4100" s="3" t="s">
        <v>40327</v>
      </c>
      <c r="BF4100" s="3" t="s">
        <v>40326</v>
      </c>
      <c r="BG4100" s="3" t="s">
        <v>40328</v>
      </c>
      <c r="BH4100">
        <f t="shared" si="111"/>
        <v>0</v>
      </c>
    </row>
    <row r="4101" spans="1:60" ht="58" x14ac:dyDescent="0.35">
      <c r="A4101" s="2" t="s">
        <v>6202</v>
      </c>
      <c r="B4101" s="2" t="s">
        <v>6203</v>
      </c>
      <c r="C4101" s="2" t="s">
        <v>40329</v>
      </c>
      <c r="D4101" s="2" t="s">
        <v>40330</v>
      </c>
      <c r="E4101" s="2" t="s">
        <v>40331</v>
      </c>
      <c r="G4101" s="3" t="s">
        <v>64</v>
      </c>
      <c r="I4101" s="3" t="s">
        <v>64</v>
      </c>
      <c r="J4101" s="3" t="s">
        <v>64</v>
      </c>
      <c r="K4101" s="3" t="s">
        <v>65</v>
      </c>
      <c r="L4101" s="2" t="s">
        <v>40332</v>
      </c>
      <c r="M4101" s="2" t="s">
        <v>40333</v>
      </c>
      <c r="N4101" s="3" t="s">
        <v>874</v>
      </c>
      <c r="P4101" s="3" t="s">
        <v>68</v>
      </c>
      <c r="R4101" s="3" t="s">
        <v>70</v>
      </c>
      <c r="S4101" s="4">
        <v>1</v>
      </c>
      <c r="T4101" s="4">
        <v>1</v>
      </c>
      <c r="U4101" s="5" t="s">
        <v>4481</v>
      </c>
      <c r="V4101" s="5" t="s">
        <v>4481</v>
      </c>
      <c r="W4101" s="5" t="s">
        <v>72</v>
      </c>
      <c r="X4101" s="5" t="s">
        <v>72</v>
      </c>
      <c r="Y4101" s="4">
        <v>1</v>
      </c>
      <c r="Z4101" s="4">
        <v>1</v>
      </c>
      <c r="AA4101" s="4">
        <v>1</v>
      </c>
      <c r="AB4101" s="4">
        <v>1</v>
      </c>
      <c r="AC4101" s="4">
        <v>1</v>
      </c>
      <c r="AD4101" s="4">
        <v>0</v>
      </c>
      <c r="AE4101" s="4">
        <v>0</v>
      </c>
      <c r="AF4101" s="4">
        <v>0</v>
      </c>
      <c r="AG4101" s="4">
        <v>0</v>
      </c>
      <c r="AH4101" s="4">
        <v>0</v>
      </c>
      <c r="AI4101" s="4">
        <v>0</v>
      </c>
      <c r="AJ4101" s="4">
        <v>0</v>
      </c>
      <c r="AK4101" s="4">
        <v>0</v>
      </c>
      <c r="AL4101" s="4">
        <v>0</v>
      </c>
      <c r="AM4101" s="4">
        <v>0</v>
      </c>
      <c r="AN4101" s="4">
        <v>0</v>
      </c>
      <c r="AO4101" s="4">
        <v>0</v>
      </c>
      <c r="AP4101" s="4">
        <v>0</v>
      </c>
      <c r="AQ4101" s="4">
        <v>0</v>
      </c>
      <c r="AR4101" s="3" t="s">
        <v>128</v>
      </c>
      <c r="AS4101" s="3" t="s">
        <v>64</v>
      </c>
      <c r="AT4101" s="3" t="s">
        <v>64</v>
      </c>
      <c r="AV4101" s="6" t="str">
        <f>HYPERLINK("http://mcgill.on.worldcat.org/oclc/61539436","Catalog Record")</f>
        <v>Catalog Record</v>
      </c>
      <c r="AW4101" s="6" t="str">
        <f>HYPERLINK("http://www.worldcat.org/oclc/61539436","WorldCat Record")</f>
        <v>WorldCat Record</v>
      </c>
      <c r="AX4101" s="3" t="s">
        <v>40334</v>
      </c>
      <c r="AY4101" s="3" t="s">
        <v>40335</v>
      </c>
      <c r="AZ4101" s="3" t="s">
        <v>40336</v>
      </c>
      <c r="BA4101" s="3" t="s">
        <v>40336</v>
      </c>
      <c r="BB4101" s="3" t="s">
        <v>40337</v>
      </c>
      <c r="BC4101" s="3" t="s">
        <v>77</v>
      </c>
      <c r="BD4101" s="3" t="s">
        <v>78</v>
      </c>
      <c r="BF4101" s="3" t="s">
        <v>40337</v>
      </c>
      <c r="BG4101" s="3" t="s">
        <v>40338</v>
      </c>
      <c r="BH4101">
        <f t="shared" si="111"/>
        <v>0</v>
      </c>
    </row>
    <row r="4102" spans="1:60" ht="58" x14ac:dyDescent="0.35">
      <c r="A4102" s="2" t="s">
        <v>6202</v>
      </c>
      <c r="B4102" s="2" t="s">
        <v>6203</v>
      </c>
      <c r="C4102" s="2" t="s">
        <v>40339</v>
      </c>
      <c r="D4102" s="2" t="s">
        <v>40340</v>
      </c>
      <c r="E4102" s="2" t="s">
        <v>40341</v>
      </c>
      <c r="G4102" s="3" t="s">
        <v>64</v>
      </c>
      <c r="I4102" s="3" t="s">
        <v>128</v>
      </c>
      <c r="J4102" s="3" t="s">
        <v>64</v>
      </c>
      <c r="K4102" s="3" t="s">
        <v>65</v>
      </c>
      <c r="L4102" s="2" t="s">
        <v>40342</v>
      </c>
      <c r="M4102" s="2" t="s">
        <v>40343</v>
      </c>
      <c r="N4102" s="3" t="s">
        <v>378</v>
      </c>
      <c r="P4102" s="3" t="s">
        <v>102</v>
      </c>
      <c r="Q4102" s="2" t="s">
        <v>40344</v>
      </c>
      <c r="R4102" s="3" t="s">
        <v>70</v>
      </c>
      <c r="S4102" s="4">
        <v>0</v>
      </c>
      <c r="T4102" s="4">
        <v>1</v>
      </c>
      <c r="V4102" s="5" t="s">
        <v>15927</v>
      </c>
      <c r="W4102" s="5" t="s">
        <v>72</v>
      </c>
      <c r="X4102" s="5" t="s">
        <v>72</v>
      </c>
      <c r="Y4102" s="4">
        <v>5</v>
      </c>
      <c r="Z4102" s="4">
        <v>5</v>
      </c>
      <c r="AA4102" s="4">
        <v>8</v>
      </c>
      <c r="AB4102" s="4">
        <v>2</v>
      </c>
      <c r="AC4102" s="4">
        <v>5</v>
      </c>
      <c r="AD4102" s="4">
        <v>2</v>
      </c>
      <c r="AE4102" s="4">
        <v>4</v>
      </c>
      <c r="AF4102" s="4">
        <v>0</v>
      </c>
      <c r="AG4102" s="4">
        <v>2</v>
      </c>
      <c r="AH4102" s="4">
        <v>1</v>
      </c>
      <c r="AI4102" s="4">
        <v>1</v>
      </c>
      <c r="AJ4102" s="4">
        <v>1</v>
      </c>
      <c r="AK4102" s="4">
        <v>2</v>
      </c>
      <c r="AL4102" s="4">
        <v>1</v>
      </c>
      <c r="AM4102" s="4">
        <v>1</v>
      </c>
      <c r="AN4102" s="4">
        <v>0</v>
      </c>
      <c r="AO4102" s="4">
        <v>0</v>
      </c>
      <c r="AP4102" s="4">
        <v>2</v>
      </c>
      <c r="AQ4102" s="4">
        <v>4</v>
      </c>
      <c r="AR4102" s="3" t="s">
        <v>128</v>
      </c>
      <c r="AS4102" s="3" t="s">
        <v>64</v>
      </c>
      <c r="AT4102" s="3" t="s">
        <v>64</v>
      </c>
      <c r="AV4102" s="6" t="str">
        <f>HYPERLINK("http://mcgill.on.worldcat.org/oclc/427387354","Catalog Record")</f>
        <v>Catalog Record</v>
      </c>
      <c r="AW4102" s="6" t="str">
        <f>HYPERLINK("http://www.worldcat.org/oclc/427387354","WorldCat Record")</f>
        <v>WorldCat Record</v>
      </c>
      <c r="AX4102" s="3" t="s">
        <v>40345</v>
      </c>
      <c r="AY4102" s="3" t="s">
        <v>40346</v>
      </c>
      <c r="AZ4102" s="3" t="s">
        <v>40347</v>
      </c>
      <c r="BA4102" s="3" t="s">
        <v>40347</v>
      </c>
      <c r="BB4102" s="3" t="s">
        <v>40348</v>
      </c>
      <c r="BC4102" s="3" t="s">
        <v>77</v>
      </c>
      <c r="BD4102" s="3" t="s">
        <v>78</v>
      </c>
      <c r="BF4102" s="3" t="s">
        <v>40348</v>
      </c>
      <c r="BG4102" s="3" t="s">
        <v>40349</v>
      </c>
      <c r="BH4102">
        <f t="shared" si="111"/>
        <v>0</v>
      </c>
    </row>
    <row r="4103" spans="1:60" ht="58" x14ac:dyDescent="0.35">
      <c r="A4103" s="2" t="s">
        <v>6202</v>
      </c>
      <c r="B4103" s="2" t="s">
        <v>6203</v>
      </c>
      <c r="C4103" s="2" t="s">
        <v>40350</v>
      </c>
      <c r="D4103" s="2" t="s">
        <v>40351</v>
      </c>
      <c r="E4103" s="2" t="s">
        <v>40352</v>
      </c>
      <c r="F4103" s="3" t="s">
        <v>489</v>
      </c>
      <c r="G4103" s="3" t="s">
        <v>128</v>
      </c>
      <c r="I4103" s="3" t="s">
        <v>64</v>
      </c>
      <c r="J4103" s="3" t="s">
        <v>64</v>
      </c>
      <c r="K4103" s="3" t="s">
        <v>65</v>
      </c>
      <c r="L4103" s="2" t="s">
        <v>40353</v>
      </c>
      <c r="M4103" s="2" t="s">
        <v>40354</v>
      </c>
      <c r="N4103" s="3" t="s">
        <v>378</v>
      </c>
      <c r="P4103" s="3" t="s">
        <v>102</v>
      </c>
      <c r="R4103" s="3" t="s">
        <v>70</v>
      </c>
      <c r="S4103" s="4">
        <v>1</v>
      </c>
      <c r="T4103" s="4">
        <v>2</v>
      </c>
      <c r="U4103" s="5" t="s">
        <v>1541</v>
      </c>
      <c r="V4103" s="5" t="s">
        <v>1541</v>
      </c>
      <c r="W4103" s="5" t="s">
        <v>72</v>
      </c>
      <c r="X4103" s="5" t="s">
        <v>72</v>
      </c>
      <c r="Y4103" s="4">
        <v>138</v>
      </c>
      <c r="Z4103" s="4">
        <v>53</v>
      </c>
      <c r="AA4103" s="4">
        <v>61</v>
      </c>
      <c r="AB4103" s="4">
        <v>4</v>
      </c>
      <c r="AC4103" s="4">
        <v>10</v>
      </c>
      <c r="AD4103" s="4">
        <v>78</v>
      </c>
      <c r="AE4103" s="4">
        <v>83</v>
      </c>
      <c r="AF4103" s="4">
        <v>1</v>
      </c>
      <c r="AG4103" s="4">
        <v>5</v>
      </c>
      <c r="AH4103" s="4">
        <v>54</v>
      </c>
      <c r="AI4103" s="4">
        <v>55</v>
      </c>
      <c r="AJ4103" s="4">
        <v>23</v>
      </c>
      <c r="AK4103" s="4">
        <v>27</v>
      </c>
      <c r="AL4103" s="4">
        <v>28</v>
      </c>
      <c r="AM4103" s="4">
        <v>28</v>
      </c>
      <c r="AN4103" s="4">
        <v>0</v>
      </c>
      <c r="AO4103" s="4">
        <v>0</v>
      </c>
      <c r="AP4103" s="4">
        <v>33</v>
      </c>
      <c r="AQ4103" s="4">
        <v>37</v>
      </c>
      <c r="AR4103" s="3" t="s">
        <v>128</v>
      </c>
      <c r="AS4103" s="3" t="s">
        <v>64</v>
      </c>
      <c r="AT4103" s="3" t="s">
        <v>128</v>
      </c>
      <c r="AU4103" s="6" t="str">
        <f>HYPERLINK("http://catalog.hathitrust.org/Record/000821669","HathiTrust Record")</f>
        <v>HathiTrust Record</v>
      </c>
      <c r="AV4103" s="6" t="str">
        <f>HYPERLINK("http://mcgill.on.worldcat.org/oclc/14937577","Catalog Record")</f>
        <v>Catalog Record</v>
      </c>
      <c r="AW4103" s="6" t="str">
        <f>HYPERLINK("http://www.worldcat.org/oclc/14937577","WorldCat Record")</f>
        <v>WorldCat Record</v>
      </c>
      <c r="AX4103" s="3" t="s">
        <v>40355</v>
      </c>
      <c r="AY4103" s="3" t="s">
        <v>40356</v>
      </c>
      <c r="AZ4103" s="3" t="s">
        <v>40357</v>
      </c>
      <c r="BA4103" s="3" t="s">
        <v>40357</v>
      </c>
      <c r="BB4103" s="3" t="s">
        <v>40358</v>
      </c>
      <c r="BC4103" s="3" t="s">
        <v>77</v>
      </c>
      <c r="BD4103" s="3" t="s">
        <v>78</v>
      </c>
      <c r="BE4103" s="3" t="s">
        <v>40359</v>
      </c>
      <c r="BF4103" s="3" t="s">
        <v>40358</v>
      </c>
      <c r="BG4103" s="3" t="s">
        <v>40360</v>
      </c>
      <c r="BH4103">
        <f t="shared" si="111"/>
        <v>0</v>
      </c>
    </row>
    <row r="4104" spans="1:60" ht="58" x14ac:dyDescent="0.35">
      <c r="A4104" s="2" t="s">
        <v>6202</v>
      </c>
      <c r="B4104" s="2" t="s">
        <v>6203</v>
      </c>
      <c r="C4104" s="2" t="s">
        <v>40350</v>
      </c>
      <c r="D4104" s="2" t="s">
        <v>40351</v>
      </c>
      <c r="E4104" s="2" t="s">
        <v>40352</v>
      </c>
      <c r="F4104" s="3" t="s">
        <v>478</v>
      </c>
      <c r="G4104" s="3" t="s">
        <v>128</v>
      </c>
      <c r="I4104" s="3" t="s">
        <v>64</v>
      </c>
      <c r="J4104" s="3" t="s">
        <v>64</v>
      </c>
      <c r="K4104" s="3" t="s">
        <v>65</v>
      </c>
      <c r="L4104" s="2" t="s">
        <v>40353</v>
      </c>
      <c r="M4104" s="2" t="s">
        <v>40354</v>
      </c>
      <c r="N4104" s="3" t="s">
        <v>378</v>
      </c>
      <c r="P4104" s="3" t="s">
        <v>102</v>
      </c>
      <c r="R4104" s="3" t="s">
        <v>70</v>
      </c>
      <c r="S4104" s="4">
        <v>1</v>
      </c>
      <c r="T4104" s="4">
        <v>2</v>
      </c>
      <c r="U4104" s="5" t="s">
        <v>1541</v>
      </c>
      <c r="V4104" s="5" t="s">
        <v>1541</v>
      </c>
      <c r="W4104" s="5" t="s">
        <v>72</v>
      </c>
      <c r="X4104" s="5" t="s">
        <v>72</v>
      </c>
      <c r="Y4104" s="4">
        <v>138</v>
      </c>
      <c r="Z4104" s="4">
        <v>53</v>
      </c>
      <c r="AA4104" s="4">
        <v>61</v>
      </c>
      <c r="AB4104" s="4">
        <v>4</v>
      </c>
      <c r="AC4104" s="4">
        <v>10</v>
      </c>
      <c r="AD4104" s="4">
        <v>78</v>
      </c>
      <c r="AE4104" s="4">
        <v>83</v>
      </c>
      <c r="AF4104" s="4">
        <v>1</v>
      </c>
      <c r="AG4104" s="4">
        <v>5</v>
      </c>
      <c r="AH4104" s="4">
        <v>54</v>
      </c>
      <c r="AI4104" s="4">
        <v>55</v>
      </c>
      <c r="AJ4104" s="4">
        <v>23</v>
      </c>
      <c r="AK4104" s="4">
        <v>27</v>
      </c>
      <c r="AL4104" s="4">
        <v>28</v>
      </c>
      <c r="AM4104" s="4">
        <v>28</v>
      </c>
      <c r="AN4104" s="4">
        <v>0</v>
      </c>
      <c r="AO4104" s="4">
        <v>0</v>
      </c>
      <c r="AP4104" s="4">
        <v>33</v>
      </c>
      <c r="AQ4104" s="4">
        <v>37</v>
      </c>
      <c r="AR4104" s="3" t="s">
        <v>128</v>
      </c>
      <c r="AS4104" s="3" t="s">
        <v>64</v>
      </c>
      <c r="AT4104" s="3" t="s">
        <v>128</v>
      </c>
      <c r="AU4104" s="6" t="str">
        <f>HYPERLINK("http://catalog.hathitrust.org/Record/000821669","HathiTrust Record")</f>
        <v>HathiTrust Record</v>
      </c>
      <c r="AV4104" s="6" t="str">
        <f>HYPERLINK("http://mcgill.on.worldcat.org/oclc/14937577","Catalog Record")</f>
        <v>Catalog Record</v>
      </c>
      <c r="AW4104" s="6" t="str">
        <f>HYPERLINK("http://www.worldcat.org/oclc/14937577","WorldCat Record")</f>
        <v>WorldCat Record</v>
      </c>
      <c r="AX4104" s="3" t="s">
        <v>40355</v>
      </c>
      <c r="AY4104" s="3" t="s">
        <v>40356</v>
      </c>
      <c r="AZ4104" s="3" t="s">
        <v>40357</v>
      </c>
      <c r="BA4104" s="3" t="s">
        <v>40357</v>
      </c>
      <c r="BB4104" s="3" t="s">
        <v>40361</v>
      </c>
      <c r="BC4104" s="3" t="s">
        <v>77</v>
      </c>
      <c r="BD4104" s="3" t="s">
        <v>78</v>
      </c>
      <c r="BE4104" s="3" t="s">
        <v>40359</v>
      </c>
      <c r="BF4104" s="3" t="s">
        <v>40361</v>
      </c>
      <c r="BG4104" s="3" t="s">
        <v>40362</v>
      </c>
      <c r="BH4104">
        <f t="shared" si="111"/>
        <v>0</v>
      </c>
    </row>
    <row r="4105" spans="1:60" ht="58" x14ac:dyDescent="0.35">
      <c r="A4105" s="2" t="s">
        <v>6202</v>
      </c>
      <c r="B4105" s="2" t="s">
        <v>6203</v>
      </c>
      <c r="C4105" s="2" t="s">
        <v>40363</v>
      </c>
      <c r="D4105" s="2" t="s">
        <v>40364</v>
      </c>
      <c r="E4105" s="2" t="s">
        <v>40365</v>
      </c>
      <c r="G4105" s="3" t="s">
        <v>64</v>
      </c>
      <c r="I4105" s="3" t="s">
        <v>128</v>
      </c>
      <c r="J4105" s="3" t="s">
        <v>64</v>
      </c>
      <c r="K4105" s="3" t="s">
        <v>65</v>
      </c>
      <c r="L4105" s="2" t="s">
        <v>40366</v>
      </c>
      <c r="M4105" s="2" t="s">
        <v>40367</v>
      </c>
      <c r="N4105" s="3" t="s">
        <v>405</v>
      </c>
      <c r="P4105" s="3" t="s">
        <v>102</v>
      </c>
      <c r="Q4105" s="2" t="s">
        <v>40368</v>
      </c>
      <c r="R4105" s="3" t="s">
        <v>70</v>
      </c>
      <c r="S4105" s="4">
        <v>0</v>
      </c>
      <c r="T4105" s="4">
        <v>1</v>
      </c>
      <c r="V4105" s="5" t="s">
        <v>40369</v>
      </c>
      <c r="W4105" s="5" t="s">
        <v>72</v>
      </c>
      <c r="X4105" s="5" t="s">
        <v>72</v>
      </c>
      <c r="Y4105" s="4">
        <v>35</v>
      </c>
      <c r="Z4105" s="4">
        <v>15</v>
      </c>
      <c r="AA4105" s="4">
        <v>22</v>
      </c>
      <c r="AB4105" s="4">
        <v>2</v>
      </c>
      <c r="AC4105" s="4">
        <v>9</v>
      </c>
      <c r="AD4105" s="4">
        <v>18</v>
      </c>
      <c r="AE4105" s="4">
        <v>21</v>
      </c>
      <c r="AF4105" s="4">
        <v>1</v>
      </c>
      <c r="AG4105" s="4">
        <v>4</v>
      </c>
      <c r="AH4105" s="4">
        <v>13</v>
      </c>
      <c r="AI4105" s="4">
        <v>14</v>
      </c>
      <c r="AJ4105" s="4">
        <v>11</v>
      </c>
      <c r="AK4105" s="4">
        <v>14</v>
      </c>
      <c r="AL4105" s="4">
        <v>6</v>
      </c>
      <c r="AM4105" s="4">
        <v>6</v>
      </c>
      <c r="AN4105" s="4">
        <v>0</v>
      </c>
      <c r="AO4105" s="4">
        <v>0</v>
      </c>
      <c r="AP4105" s="4">
        <v>10</v>
      </c>
      <c r="AQ4105" s="4">
        <v>12</v>
      </c>
      <c r="AR4105" s="3" t="s">
        <v>128</v>
      </c>
      <c r="AS4105" s="3" t="s">
        <v>64</v>
      </c>
      <c r="AT4105" s="3" t="s">
        <v>64</v>
      </c>
      <c r="AV4105" s="6" t="str">
        <f>HYPERLINK("http://mcgill.on.worldcat.org/oclc/3482141","Catalog Record")</f>
        <v>Catalog Record</v>
      </c>
      <c r="AW4105" s="6" t="str">
        <f>HYPERLINK("http://www.worldcat.org/oclc/3482141","WorldCat Record")</f>
        <v>WorldCat Record</v>
      </c>
      <c r="AX4105" s="3" t="s">
        <v>40370</v>
      </c>
      <c r="AY4105" s="3" t="s">
        <v>40371</v>
      </c>
      <c r="AZ4105" s="3" t="s">
        <v>40372</v>
      </c>
      <c r="BA4105" s="3" t="s">
        <v>40372</v>
      </c>
      <c r="BB4105" s="3" t="s">
        <v>40373</v>
      </c>
      <c r="BC4105" s="3" t="s">
        <v>77</v>
      </c>
      <c r="BD4105" s="3" t="s">
        <v>78</v>
      </c>
      <c r="BF4105" s="3" t="s">
        <v>40373</v>
      </c>
      <c r="BG4105" s="3" t="s">
        <v>40374</v>
      </c>
      <c r="BH4105">
        <f t="shared" si="111"/>
        <v>0</v>
      </c>
    </row>
    <row r="4106" spans="1:60" ht="58" x14ac:dyDescent="0.35">
      <c r="A4106" s="2" t="s">
        <v>1040</v>
      </c>
      <c r="B4106" s="2" t="s">
        <v>7607</v>
      </c>
      <c r="C4106" s="2" t="s">
        <v>40363</v>
      </c>
      <c r="D4106" s="2" t="s">
        <v>40364</v>
      </c>
      <c r="E4106" s="2" t="s">
        <v>40365</v>
      </c>
      <c r="G4106" s="3" t="s">
        <v>64</v>
      </c>
      <c r="I4106" s="3" t="s">
        <v>128</v>
      </c>
      <c r="J4106" s="3" t="s">
        <v>64</v>
      </c>
      <c r="K4106" s="3" t="s">
        <v>65</v>
      </c>
      <c r="L4106" s="2" t="s">
        <v>40366</v>
      </c>
      <c r="M4106" s="2" t="s">
        <v>40367</v>
      </c>
      <c r="N4106" s="3" t="s">
        <v>405</v>
      </c>
      <c r="P4106" s="3" t="s">
        <v>102</v>
      </c>
      <c r="Q4106" s="2" t="s">
        <v>40368</v>
      </c>
      <c r="R4106" s="3" t="s">
        <v>70</v>
      </c>
      <c r="S4106" s="4">
        <v>0</v>
      </c>
      <c r="T4106" s="4">
        <v>1</v>
      </c>
      <c r="V4106" s="5" t="s">
        <v>40369</v>
      </c>
      <c r="W4106" s="5" t="s">
        <v>72</v>
      </c>
      <c r="X4106" s="5" t="s">
        <v>72</v>
      </c>
      <c r="Y4106" s="4">
        <v>35</v>
      </c>
      <c r="Z4106" s="4">
        <v>15</v>
      </c>
      <c r="AA4106" s="4">
        <v>22</v>
      </c>
      <c r="AB4106" s="4">
        <v>2</v>
      </c>
      <c r="AC4106" s="4">
        <v>9</v>
      </c>
      <c r="AD4106" s="4">
        <v>18</v>
      </c>
      <c r="AE4106" s="4">
        <v>21</v>
      </c>
      <c r="AF4106" s="4">
        <v>1</v>
      </c>
      <c r="AG4106" s="4">
        <v>4</v>
      </c>
      <c r="AH4106" s="4">
        <v>13</v>
      </c>
      <c r="AI4106" s="4">
        <v>14</v>
      </c>
      <c r="AJ4106" s="4">
        <v>11</v>
      </c>
      <c r="AK4106" s="4">
        <v>14</v>
      </c>
      <c r="AL4106" s="4">
        <v>6</v>
      </c>
      <c r="AM4106" s="4">
        <v>6</v>
      </c>
      <c r="AN4106" s="4">
        <v>0</v>
      </c>
      <c r="AO4106" s="4">
        <v>0</v>
      </c>
      <c r="AP4106" s="4">
        <v>10</v>
      </c>
      <c r="AQ4106" s="4">
        <v>12</v>
      </c>
      <c r="AR4106" s="3" t="s">
        <v>128</v>
      </c>
      <c r="AS4106" s="3" t="s">
        <v>64</v>
      </c>
      <c r="AT4106" s="3" t="s">
        <v>64</v>
      </c>
      <c r="AV4106" s="6" t="str">
        <f>HYPERLINK("http://mcgill.on.worldcat.org/oclc/3482141","Catalog Record")</f>
        <v>Catalog Record</v>
      </c>
      <c r="AW4106" s="6" t="str">
        <f>HYPERLINK("http://www.worldcat.org/oclc/3482141","WorldCat Record")</f>
        <v>WorldCat Record</v>
      </c>
      <c r="AX4106" s="3" t="s">
        <v>40370</v>
      </c>
      <c r="AY4106" s="3" t="s">
        <v>40371</v>
      </c>
      <c r="AZ4106" s="3" t="s">
        <v>40372</v>
      </c>
      <c r="BA4106" s="3" t="s">
        <v>40372</v>
      </c>
      <c r="BB4106" s="3" t="s">
        <v>40375</v>
      </c>
      <c r="BC4106" s="3" t="s">
        <v>77</v>
      </c>
      <c r="BD4106" s="3" t="s">
        <v>78</v>
      </c>
      <c r="BF4106" s="3" t="s">
        <v>40375</v>
      </c>
      <c r="BG4106" s="3" t="s">
        <v>40376</v>
      </c>
      <c r="BH4106">
        <f t="shared" si="111"/>
        <v>0</v>
      </c>
    </row>
    <row r="4107" spans="1:60" ht="87" x14ac:dyDescent="0.35">
      <c r="A4107" s="2" t="s">
        <v>6202</v>
      </c>
      <c r="B4107" s="2" t="s">
        <v>6203</v>
      </c>
      <c r="C4107" s="2" t="s">
        <v>40377</v>
      </c>
      <c r="D4107" s="2" t="s">
        <v>40378</v>
      </c>
      <c r="E4107" s="2" t="s">
        <v>40379</v>
      </c>
      <c r="G4107" s="3" t="s">
        <v>64</v>
      </c>
      <c r="I4107" s="3" t="s">
        <v>64</v>
      </c>
      <c r="J4107" s="3" t="s">
        <v>64</v>
      </c>
      <c r="K4107" s="3" t="s">
        <v>65</v>
      </c>
      <c r="L4107" s="2" t="s">
        <v>39839</v>
      </c>
      <c r="M4107" s="2" t="s">
        <v>40380</v>
      </c>
      <c r="N4107" s="3" t="s">
        <v>7935</v>
      </c>
      <c r="P4107" s="3" t="s">
        <v>102</v>
      </c>
      <c r="R4107" s="3" t="s">
        <v>70</v>
      </c>
      <c r="S4107" s="4">
        <v>1</v>
      </c>
      <c r="T4107" s="4">
        <v>1</v>
      </c>
      <c r="U4107" s="5" t="s">
        <v>16374</v>
      </c>
      <c r="V4107" s="5" t="s">
        <v>16374</v>
      </c>
      <c r="W4107" s="5" t="s">
        <v>72</v>
      </c>
      <c r="X4107" s="5" t="s">
        <v>72</v>
      </c>
      <c r="Y4107" s="4">
        <v>107</v>
      </c>
      <c r="Z4107" s="4">
        <v>44</v>
      </c>
      <c r="AA4107" s="4">
        <v>50</v>
      </c>
      <c r="AB4107" s="4">
        <v>2</v>
      </c>
      <c r="AC4107" s="4">
        <v>4</v>
      </c>
      <c r="AD4107" s="4">
        <v>63</v>
      </c>
      <c r="AE4107" s="4">
        <v>68</v>
      </c>
      <c r="AF4107" s="4">
        <v>1</v>
      </c>
      <c r="AG4107" s="4">
        <v>2</v>
      </c>
      <c r="AH4107" s="4">
        <v>42</v>
      </c>
      <c r="AI4107" s="4">
        <v>45</v>
      </c>
      <c r="AJ4107" s="4">
        <v>20</v>
      </c>
      <c r="AK4107" s="4">
        <v>25</v>
      </c>
      <c r="AL4107" s="4">
        <v>24</v>
      </c>
      <c r="AM4107" s="4">
        <v>24</v>
      </c>
      <c r="AN4107" s="4">
        <v>0</v>
      </c>
      <c r="AO4107" s="4">
        <v>0</v>
      </c>
      <c r="AP4107" s="4">
        <v>26</v>
      </c>
      <c r="AQ4107" s="4">
        <v>31</v>
      </c>
      <c r="AR4107" s="3" t="s">
        <v>128</v>
      </c>
      <c r="AS4107" s="3" t="s">
        <v>64</v>
      </c>
      <c r="AT4107" s="3" t="s">
        <v>64</v>
      </c>
      <c r="AU4107" s="6" t="str">
        <f>HYPERLINK("http://catalog.hathitrust.org/Record/001957585","HathiTrust Record")</f>
        <v>HathiTrust Record</v>
      </c>
      <c r="AV4107" s="6" t="str">
        <f>HYPERLINK("http://mcgill.on.worldcat.org/oclc/1724131","Catalog Record")</f>
        <v>Catalog Record</v>
      </c>
      <c r="AW4107" s="6" t="str">
        <f>HYPERLINK("http://www.worldcat.org/oclc/1724131","WorldCat Record")</f>
        <v>WorldCat Record</v>
      </c>
      <c r="AX4107" s="3" t="s">
        <v>40381</v>
      </c>
      <c r="AY4107" s="3" t="s">
        <v>40382</v>
      </c>
      <c r="AZ4107" s="3" t="s">
        <v>40383</v>
      </c>
      <c r="BA4107" s="3" t="s">
        <v>40383</v>
      </c>
      <c r="BB4107" s="3" t="s">
        <v>40384</v>
      </c>
      <c r="BC4107" s="3" t="s">
        <v>77</v>
      </c>
      <c r="BD4107" s="3" t="s">
        <v>40037</v>
      </c>
      <c r="BF4107" s="3" t="s">
        <v>40384</v>
      </c>
      <c r="BG4107" s="3" t="s">
        <v>40385</v>
      </c>
      <c r="BH4107">
        <f t="shared" si="111"/>
        <v>0</v>
      </c>
    </row>
    <row r="4108" spans="1:60" ht="58" x14ac:dyDescent="0.35">
      <c r="A4108" s="2" t="s">
        <v>6202</v>
      </c>
      <c r="B4108" s="2" t="s">
        <v>6203</v>
      </c>
      <c r="C4108" s="2" t="s">
        <v>40386</v>
      </c>
      <c r="D4108" s="2" t="s">
        <v>40387</v>
      </c>
      <c r="E4108" s="2" t="s">
        <v>40388</v>
      </c>
      <c r="G4108" s="3" t="s">
        <v>64</v>
      </c>
      <c r="I4108" s="3" t="s">
        <v>64</v>
      </c>
      <c r="J4108" s="3" t="s">
        <v>64</v>
      </c>
      <c r="K4108" s="3" t="s">
        <v>65</v>
      </c>
      <c r="L4108" s="2" t="s">
        <v>40389</v>
      </c>
      <c r="M4108" s="2" t="s">
        <v>40390</v>
      </c>
      <c r="N4108" s="3" t="s">
        <v>315</v>
      </c>
      <c r="P4108" s="3" t="s">
        <v>102</v>
      </c>
      <c r="R4108" s="3" t="s">
        <v>70</v>
      </c>
      <c r="S4108" s="4">
        <v>1</v>
      </c>
      <c r="T4108" s="4">
        <v>1</v>
      </c>
      <c r="U4108" s="5" t="s">
        <v>40391</v>
      </c>
      <c r="V4108" s="5" t="s">
        <v>40391</v>
      </c>
      <c r="W4108" s="5" t="s">
        <v>72</v>
      </c>
      <c r="X4108" s="5" t="s">
        <v>72</v>
      </c>
      <c r="Y4108" s="4">
        <v>210</v>
      </c>
      <c r="Z4108" s="4">
        <v>53</v>
      </c>
      <c r="AA4108" s="4">
        <v>76</v>
      </c>
      <c r="AB4108" s="4">
        <v>4</v>
      </c>
      <c r="AC4108" s="4">
        <v>13</v>
      </c>
      <c r="AD4108" s="4">
        <v>103</v>
      </c>
      <c r="AE4108" s="4">
        <v>112</v>
      </c>
      <c r="AF4108" s="4">
        <v>0</v>
      </c>
      <c r="AG4108" s="4">
        <v>3</v>
      </c>
      <c r="AH4108" s="4">
        <v>82</v>
      </c>
      <c r="AI4108" s="4">
        <v>85</v>
      </c>
      <c r="AJ4108" s="4">
        <v>20</v>
      </c>
      <c r="AK4108" s="4">
        <v>25</v>
      </c>
      <c r="AL4108" s="4">
        <v>41</v>
      </c>
      <c r="AM4108" s="4">
        <v>41</v>
      </c>
      <c r="AN4108" s="4">
        <v>0</v>
      </c>
      <c r="AO4108" s="4">
        <v>0</v>
      </c>
      <c r="AP4108" s="4">
        <v>30</v>
      </c>
      <c r="AQ4108" s="4">
        <v>35</v>
      </c>
      <c r="AR4108" s="3" t="s">
        <v>128</v>
      </c>
      <c r="AS4108" s="3" t="s">
        <v>64</v>
      </c>
      <c r="AT4108" s="3" t="s">
        <v>128</v>
      </c>
      <c r="AU4108" s="6" t="str">
        <f>HYPERLINK("http://catalog.hathitrust.org/Record/001168692","HathiTrust Record")</f>
        <v>HathiTrust Record</v>
      </c>
      <c r="AV4108" s="6" t="str">
        <f>HYPERLINK("http://mcgill.on.worldcat.org/oclc/459610","Catalog Record")</f>
        <v>Catalog Record</v>
      </c>
      <c r="AW4108" s="6" t="str">
        <f>HYPERLINK("http://www.worldcat.org/oclc/459610","WorldCat Record")</f>
        <v>WorldCat Record</v>
      </c>
      <c r="AX4108" s="3" t="s">
        <v>40392</v>
      </c>
      <c r="AY4108" s="3" t="s">
        <v>40393</v>
      </c>
      <c r="AZ4108" s="3" t="s">
        <v>40394</v>
      </c>
      <c r="BA4108" s="3" t="s">
        <v>40394</v>
      </c>
      <c r="BB4108" s="3" t="s">
        <v>40395</v>
      </c>
      <c r="BC4108" s="3" t="s">
        <v>77</v>
      </c>
      <c r="BD4108" s="3" t="s">
        <v>78</v>
      </c>
      <c r="BF4108" s="3" t="s">
        <v>40395</v>
      </c>
      <c r="BG4108" s="3" t="s">
        <v>40396</v>
      </c>
      <c r="BH4108">
        <f t="shared" si="111"/>
        <v>0</v>
      </c>
    </row>
    <row r="4109" spans="1:60" ht="116" x14ac:dyDescent="0.35">
      <c r="A4109" s="2" t="s">
        <v>59</v>
      </c>
      <c r="B4109" s="2" t="s">
        <v>60</v>
      </c>
      <c r="C4109" s="2" t="s">
        <v>40397</v>
      </c>
      <c r="D4109" s="2" t="s">
        <v>40398</v>
      </c>
      <c r="E4109" s="2" t="s">
        <v>40399</v>
      </c>
      <c r="F4109" s="3" t="s">
        <v>40400</v>
      </c>
      <c r="G4109" s="3" t="s">
        <v>64</v>
      </c>
      <c r="I4109" s="3" t="s">
        <v>64</v>
      </c>
      <c r="J4109" s="3" t="s">
        <v>64</v>
      </c>
      <c r="K4109" s="3" t="s">
        <v>65</v>
      </c>
      <c r="M4109" s="2" t="s">
        <v>40401</v>
      </c>
      <c r="N4109" s="3" t="s">
        <v>101</v>
      </c>
      <c r="P4109" s="3" t="s">
        <v>68</v>
      </c>
      <c r="Q4109" s="2" t="s">
        <v>40402</v>
      </c>
      <c r="R4109" s="3" t="s">
        <v>70</v>
      </c>
      <c r="S4109" s="4">
        <v>1</v>
      </c>
      <c r="T4109" s="4">
        <v>1</v>
      </c>
      <c r="U4109" s="5" t="s">
        <v>6174</v>
      </c>
      <c r="V4109" s="5" t="s">
        <v>6174</v>
      </c>
      <c r="W4109" s="5" t="s">
        <v>72</v>
      </c>
      <c r="X4109" s="5" t="s">
        <v>72</v>
      </c>
      <c r="Y4109" s="4">
        <v>9</v>
      </c>
      <c r="Z4109" s="4">
        <v>7</v>
      </c>
      <c r="AA4109" s="4">
        <v>26</v>
      </c>
      <c r="AB4109" s="4">
        <v>4</v>
      </c>
      <c r="AC4109" s="4">
        <v>18</v>
      </c>
      <c r="AD4109" s="4">
        <v>3</v>
      </c>
      <c r="AE4109" s="4">
        <v>13</v>
      </c>
      <c r="AF4109" s="4">
        <v>1</v>
      </c>
      <c r="AG4109" s="4">
        <v>7</v>
      </c>
      <c r="AH4109" s="4">
        <v>2</v>
      </c>
      <c r="AI4109" s="4">
        <v>5</v>
      </c>
      <c r="AJ4109" s="4">
        <v>1</v>
      </c>
      <c r="AK4109" s="4">
        <v>10</v>
      </c>
      <c r="AL4109" s="4">
        <v>1</v>
      </c>
      <c r="AM4109" s="4">
        <v>1</v>
      </c>
      <c r="AN4109" s="4">
        <v>0</v>
      </c>
      <c r="AO4109" s="4">
        <v>0</v>
      </c>
      <c r="AP4109" s="4">
        <v>2</v>
      </c>
      <c r="AQ4109" s="4">
        <v>9</v>
      </c>
      <c r="AR4109" s="3" t="s">
        <v>128</v>
      </c>
      <c r="AS4109" s="3" t="s">
        <v>64</v>
      </c>
      <c r="AT4109" s="3" t="s">
        <v>64</v>
      </c>
      <c r="AV4109" s="6" t="str">
        <f>HYPERLINK("http://mcgill.on.worldcat.org/oclc/300967645","Catalog Record")</f>
        <v>Catalog Record</v>
      </c>
      <c r="AW4109" s="6" t="str">
        <f>HYPERLINK("http://www.worldcat.org/oclc/300967645","WorldCat Record")</f>
        <v>WorldCat Record</v>
      </c>
      <c r="AX4109" s="3" t="s">
        <v>40403</v>
      </c>
      <c r="AY4109" s="3" t="s">
        <v>40404</v>
      </c>
      <c r="AZ4109" s="3" t="s">
        <v>40405</v>
      </c>
      <c r="BA4109" s="3" t="s">
        <v>40405</v>
      </c>
      <c r="BB4109" s="3" t="s">
        <v>40406</v>
      </c>
      <c r="BC4109" s="3" t="s">
        <v>77</v>
      </c>
      <c r="BD4109" s="3" t="s">
        <v>78</v>
      </c>
      <c r="BE4109" s="3" t="s">
        <v>40407</v>
      </c>
      <c r="BF4109" s="3" t="s">
        <v>40406</v>
      </c>
      <c r="BG4109" s="3" t="s">
        <v>40408</v>
      </c>
      <c r="BH4109">
        <f t="shared" si="111"/>
        <v>0</v>
      </c>
    </row>
    <row r="4110" spans="1:60" ht="58" x14ac:dyDescent="0.35">
      <c r="A4110" s="2" t="s">
        <v>6202</v>
      </c>
      <c r="B4110" s="2" t="s">
        <v>6203</v>
      </c>
      <c r="C4110" s="2" t="s">
        <v>40409</v>
      </c>
      <c r="D4110" s="2" t="s">
        <v>40410</v>
      </c>
      <c r="E4110" s="2" t="s">
        <v>40411</v>
      </c>
      <c r="F4110" s="3" t="s">
        <v>40412</v>
      </c>
      <c r="G4110" s="3" t="s">
        <v>128</v>
      </c>
      <c r="I4110" s="3" t="s">
        <v>128</v>
      </c>
      <c r="J4110" s="3" t="s">
        <v>64</v>
      </c>
      <c r="K4110" s="3" t="s">
        <v>65</v>
      </c>
      <c r="L4110" s="2" t="s">
        <v>40413</v>
      </c>
      <c r="N4110" s="3" t="s">
        <v>40414</v>
      </c>
      <c r="P4110" s="3" t="s">
        <v>68</v>
      </c>
      <c r="Q4110" s="2" t="s">
        <v>40415</v>
      </c>
      <c r="R4110" s="3" t="s">
        <v>70</v>
      </c>
      <c r="S4110" s="4">
        <v>0</v>
      </c>
      <c r="T4110" s="4">
        <v>1</v>
      </c>
      <c r="V4110" s="5" t="s">
        <v>14916</v>
      </c>
      <c r="W4110" s="5" t="s">
        <v>72</v>
      </c>
      <c r="X4110" s="5" t="s">
        <v>72</v>
      </c>
      <c r="Y4110" s="4">
        <v>63</v>
      </c>
      <c r="Z4110" s="4">
        <v>14</v>
      </c>
      <c r="AA4110" s="4">
        <v>17</v>
      </c>
      <c r="AB4110" s="4">
        <v>3</v>
      </c>
      <c r="AC4110" s="4">
        <v>3</v>
      </c>
      <c r="AD4110" s="4">
        <v>27</v>
      </c>
      <c r="AE4110" s="4">
        <v>31</v>
      </c>
      <c r="AF4110" s="4">
        <v>0</v>
      </c>
      <c r="AG4110" s="4">
        <v>0</v>
      </c>
      <c r="AH4110" s="4">
        <v>25</v>
      </c>
      <c r="AI4110" s="4">
        <v>27</v>
      </c>
      <c r="AJ4110" s="4">
        <v>7</v>
      </c>
      <c r="AK4110" s="4">
        <v>8</v>
      </c>
      <c r="AL4110" s="4">
        <v>15</v>
      </c>
      <c r="AM4110" s="4">
        <v>15</v>
      </c>
      <c r="AN4110" s="4">
        <v>0</v>
      </c>
      <c r="AO4110" s="4">
        <v>0</v>
      </c>
      <c r="AP4110" s="4">
        <v>6</v>
      </c>
      <c r="AQ4110" s="4">
        <v>9</v>
      </c>
      <c r="AR4110" s="3" t="s">
        <v>128</v>
      </c>
      <c r="AS4110" s="3" t="s">
        <v>64</v>
      </c>
      <c r="AT4110" s="3" t="s">
        <v>64</v>
      </c>
      <c r="AU4110" s="6" t="str">
        <f>HYPERLINK("http://catalog.hathitrust.org/Record/001168697","HathiTrust Record")</f>
        <v>HathiTrust Record</v>
      </c>
      <c r="AV4110" s="6" t="str">
        <f>HYPERLINK("http://mcgill.on.worldcat.org/oclc/2001392","Catalog Record")</f>
        <v>Catalog Record</v>
      </c>
      <c r="AW4110" s="6" t="str">
        <f>HYPERLINK("http://www.worldcat.org/oclc/2001392","WorldCat Record")</f>
        <v>WorldCat Record</v>
      </c>
      <c r="AX4110" s="3" t="s">
        <v>40416</v>
      </c>
      <c r="AY4110" s="3" t="s">
        <v>40417</v>
      </c>
      <c r="AZ4110" s="3" t="s">
        <v>40418</v>
      </c>
      <c r="BA4110" s="3" t="s">
        <v>40418</v>
      </c>
      <c r="BB4110" s="3" t="s">
        <v>40419</v>
      </c>
      <c r="BC4110" s="3" t="s">
        <v>77</v>
      </c>
      <c r="BD4110" s="3" t="s">
        <v>78</v>
      </c>
      <c r="BF4110" s="3" t="s">
        <v>40419</v>
      </c>
      <c r="BG4110" s="3" t="s">
        <v>40420</v>
      </c>
      <c r="BH4110">
        <f t="shared" si="111"/>
        <v>0</v>
      </c>
    </row>
    <row r="4111" spans="1:60" ht="58" x14ac:dyDescent="0.35">
      <c r="A4111" s="2" t="s">
        <v>6202</v>
      </c>
      <c r="B4111" s="2" t="s">
        <v>6203</v>
      </c>
      <c r="C4111" s="2" t="s">
        <v>40409</v>
      </c>
      <c r="D4111" s="2" t="s">
        <v>40410</v>
      </c>
      <c r="E4111" s="2" t="s">
        <v>40411</v>
      </c>
      <c r="F4111" s="3" t="s">
        <v>40421</v>
      </c>
      <c r="G4111" s="3" t="s">
        <v>128</v>
      </c>
      <c r="I4111" s="3" t="s">
        <v>128</v>
      </c>
      <c r="J4111" s="3" t="s">
        <v>64</v>
      </c>
      <c r="K4111" s="3" t="s">
        <v>65</v>
      </c>
      <c r="L4111" s="2" t="s">
        <v>40413</v>
      </c>
      <c r="N4111" s="3" t="s">
        <v>40414</v>
      </c>
      <c r="P4111" s="3" t="s">
        <v>68</v>
      </c>
      <c r="Q4111" s="2" t="s">
        <v>40415</v>
      </c>
      <c r="R4111" s="3" t="s">
        <v>70</v>
      </c>
      <c r="S4111" s="4">
        <v>0</v>
      </c>
      <c r="T4111" s="4">
        <v>1</v>
      </c>
      <c r="V4111" s="5" t="s">
        <v>14916</v>
      </c>
      <c r="W4111" s="5" t="s">
        <v>72</v>
      </c>
      <c r="X4111" s="5" t="s">
        <v>72</v>
      </c>
      <c r="Y4111" s="4">
        <v>63</v>
      </c>
      <c r="Z4111" s="4">
        <v>14</v>
      </c>
      <c r="AA4111" s="4">
        <v>17</v>
      </c>
      <c r="AB4111" s="4">
        <v>3</v>
      </c>
      <c r="AC4111" s="4">
        <v>3</v>
      </c>
      <c r="AD4111" s="4">
        <v>27</v>
      </c>
      <c r="AE4111" s="4">
        <v>31</v>
      </c>
      <c r="AF4111" s="4">
        <v>0</v>
      </c>
      <c r="AG4111" s="4">
        <v>0</v>
      </c>
      <c r="AH4111" s="4">
        <v>25</v>
      </c>
      <c r="AI4111" s="4">
        <v>27</v>
      </c>
      <c r="AJ4111" s="4">
        <v>7</v>
      </c>
      <c r="AK4111" s="4">
        <v>8</v>
      </c>
      <c r="AL4111" s="4">
        <v>15</v>
      </c>
      <c r="AM4111" s="4">
        <v>15</v>
      </c>
      <c r="AN4111" s="4">
        <v>0</v>
      </c>
      <c r="AO4111" s="4">
        <v>0</v>
      </c>
      <c r="AP4111" s="4">
        <v>6</v>
      </c>
      <c r="AQ4111" s="4">
        <v>9</v>
      </c>
      <c r="AR4111" s="3" t="s">
        <v>128</v>
      </c>
      <c r="AS4111" s="3" t="s">
        <v>64</v>
      </c>
      <c r="AT4111" s="3" t="s">
        <v>64</v>
      </c>
      <c r="AU4111" s="6" t="str">
        <f>HYPERLINK("http://catalog.hathitrust.org/Record/001168697","HathiTrust Record")</f>
        <v>HathiTrust Record</v>
      </c>
      <c r="AV4111" s="6" t="str">
        <f>HYPERLINK("http://mcgill.on.worldcat.org/oclc/2001392","Catalog Record")</f>
        <v>Catalog Record</v>
      </c>
      <c r="AW4111" s="6" t="str">
        <f>HYPERLINK("http://www.worldcat.org/oclc/2001392","WorldCat Record")</f>
        <v>WorldCat Record</v>
      </c>
      <c r="AX4111" s="3" t="s">
        <v>40416</v>
      </c>
      <c r="AY4111" s="3" t="s">
        <v>40417</v>
      </c>
      <c r="AZ4111" s="3" t="s">
        <v>40418</v>
      </c>
      <c r="BA4111" s="3" t="s">
        <v>40418</v>
      </c>
      <c r="BB4111" s="3" t="s">
        <v>40422</v>
      </c>
      <c r="BC4111" s="3" t="s">
        <v>77</v>
      </c>
      <c r="BD4111" s="3" t="s">
        <v>78</v>
      </c>
      <c r="BF4111" s="3" t="s">
        <v>40422</v>
      </c>
      <c r="BG4111" s="3" t="s">
        <v>40423</v>
      </c>
      <c r="BH4111">
        <f t="shared" si="111"/>
        <v>0</v>
      </c>
    </row>
    <row r="4112" spans="1:60" ht="58" x14ac:dyDescent="0.35">
      <c r="A4112" s="2" t="s">
        <v>6202</v>
      </c>
      <c r="B4112" s="2" t="s">
        <v>6203</v>
      </c>
      <c r="C4112" s="2" t="s">
        <v>40409</v>
      </c>
      <c r="D4112" s="2" t="s">
        <v>40410</v>
      </c>
      <c r="E4112" s="2" t="s">
        <v>40411</v>
      </c>
      <c r="F4112" s="3" t="s">
        <v>40424</v>
      </c>
      <c r="G4112" s="3" t="s">
        <v>128</v>
      </c>
      <c r="I4112" s="3" t="s">
        <v>128</v>
      </c>
      <c r="J4112" s="3" t="s">
        <v>64</v>
      </c>
      <c r="K4112" s="3" t="s">
        <v>65</v>
      </c>
      <c r="L4112" s="2" t="s">
        <v>40413</v>
      </c>
      <c r="N4112" s="3" t="s">
        <v>40414</v>
      </c>
      <c r="P4112" s="3" t="s">
        <v>68</v>
      </c>
      <c r="Q4112" s="2" t="s">
        <v>40415</v>
      </c>
      <c r="R4112" s="3" t="s">
        <v>70</v>
      </c>
      <c r="S4112" s="4">
        <v>0</v>
      </c>
      <c r="T4112" s="4">
        <v>1</v>
      </c>
      <c r="V4112" s="5" t="s">
        <v>14916</v>
      </c>
      <c r="W4112" s="5" t="s">
        <v>72</v>
      </c>
      <c r="X4112" s="5" t="s">
        <v>72</v>
      </c>
      <c r="Y4112" s="4">
        <v>63</v>
      </c>
      <c r="Z4112" s="4">
        <v>14</v>
      </c>
      <c r="AA4112" s="4">
        <v>17</v>
      </c>
      <c r="AB4112" s="4">
        <v>3</v>
      </c>
      <c r="AC4112" s="4">
        <v>3</v>
      </c>
      <c r="AD4112" s="4">
        <v>27</v>
      </c>
      <c r="AE4112" s="4">
        <v>31</v>
      </c>
      <c r="AF4112" s="4">
        <v>0</v>
      </c>
      <c r="AG4112" s="4">
        <v>0</v>
      </c>
      <c r="AH4112" s="4">
        <v>25</v>
      </c>
      <c r="AI4112" s="4">
        <v>27</v>
      </c>
      <c r="AJ4112" s="4">
        <v>7</v>
      </c>
      <c r="AK4112" s="4">
        <v>8</v>
      </c>
      <c r="AL4112" s="4">
        <v>15</v>
      </c>
      <c r="AM4112" s="4">
        <v>15</v>
      </c>
      <c r="AN4112" s="4">
        <v>0</v>
      </c>
      <c r="AO4112" s="4">
        <v>0</v>
      </c>
      <c r="AP4112" s="4">
        <v>6</v>
      </c>
      <c r="AQ4112" s="4">
        <v>9</v>
      </c>
      <c r="AR4112" s="3" t="s">
        <v>128</v>
      </c>
      <c r="AS4112" s="3" t="s">
        <v>64</v>
      </c>
      <c r="AT4112" s="3" t="s">
        <v>64</v>
      </c>
      <c r="AU4112" s="6" t="str">
        <f>HYPERLINK("http://catalog.hathitrust.org/Record/001168697","HathiTrust Record")</f>
        <v>HathiTrust Record</v>
      </c>
      <c r="AV4112" s="6" t="str">
        <f>HYPERLINK("http://mcgill.on.worldcat.org/oclc/2001392","Catalog Record")</f>
        <v>Catalog Record</v>
      </c>
      <c r="AW4112" s="6" t="str">
        <f>HYPERLINK("http://www.worldcat.org/oclc/2001392","WorldCat Record")</f>
        <v>WorldCat Record</v>
      </c>
      <c r="AX4112" s="3" t="s">
        <v>40416</v>
      </c>
      <c r="AY4112" s="3" t="s">
        <v>40417</v>
      </c>
      <c r="AZ4112" s="3" t="s">
        <v>40418</v>
      </c>
      <c r="BA4112" s="3" t="s">
        <v>40418</v>
      </c>
      <c r="BB4112" s="3" t="s">
        <v>40425</v>
      </c>
      <c r="BC4112" s="3" t="s">
        <v>77</v>
      </c>
      <c r="BD4112" s="3" t="s">
        <v>78</v>
      </c>
      <c r="BF4112" s="3" t="s">
        <v>40425</v>
      </c>
      <c r="BG4112" s="3" t="s">
        <v>40426</v>
      </c>
      <c r="BH4112">
        <f t="shared" si="111"/>
        <v>0</v>
      </c>
    </row>
    <row r="4113" spans="1:60" ht="58" x14ac:dyDescent="0.35">
      <c r="A4113" s="2" t="s">
        <v>6202</v>
      </c>
      <c r="B4113" s="2" t="s">
        <v>6203</v>
      </c>
      <c r="C4113" s="2" t="s">
        <v>40427</v>
      </c>
      <c r="D4113" s="2" t="s">
        <v>40428</v>
      </c>
      <c r="E4113" s="2" t="s">
        <v>40429</v>
      </c>
      <c r="G4113" s="3" t="s">
        <v>64</v>
      </c>
      <c r="I4113" s="3" t="s">
        <v>64</v>
      </c>
      <c r="J4113" s="3" t="s">
        <v>64</v>
      </c>
      <c r="K4113" s="3" t="s">
        <v>65</v>
      </c>
      <c r="L4113" s="2" t="s">
        <v>40430</v>
      </c>
      <c r="M4113" s="2" t="s">
        <v>40431</v>
      </c>
      <c r="N4113" s="3" t="s">
        <v>266</v>
      </c>
      <c r="P4113" s="3" t="s">
        <v>68</v>
      </c>
      <c r="R4113" s="3" t="s">
        <v>70</v>
      </c>
      <c r="S4113" s="4">
        <v>1</v>
      </c>
      <c r="T4113" s="4">
        <v>1</v>
      </c>
      <c r="U4113" s="5" t="s">
        <v>1541</v>
      </c>
      <c r="V4113" s="5" t="s">
        <v>1541</v>
      </c>
      <c r="W4113" s="5" t="s">
        <v>72</v>
      </c>
      <c r="X4113" s="5" t="s">
        <v>72</v>
      </c>
      <c r="Y4113" s="4">
        <v>114</v>
      </c>
      <c r="Z4113" s="4">
        <v>37</v>
      </c>
      <c r="AA4113" s="4">
        <v>51</v>
      </c>
      <c r="AB4113" s="4">
        <v>3</v>
      </c>
      <c r="AC4113" s="4">
        <v>12</v>
      </c>
      <c r="AD4113" s="4">
        <v>78</v>
      </c>
      <c r="AE4113" s="4">
        <v>85</v>
      </c>
      <c r="AF4113" s="4">
        <v>1</v>
      </c>
      <c r="AG4113" s="4">
        <v>6</v>
      </c>
      <c r="AH4113" s="4">
        <v>59</v>
      </c>
      <c r="AI4113" s="4">
        <v>60</v>
      </c>
      <c r="AJ4113" s="4">
        <v>21</v>
      </c>
      <c r="AK4113" s="4">
        <v>27</v>
      </c>
      <c r="AL4113" s="4">
        <v>37</v>
      </c>
      <c r="AM4113" s="4">
        <v>37</v>
      </c>
      <c r="AN4113" s="4">
        <v>0</v>
      </c>
      <c r="AO4113" s="4">
        <v>0</v>
      </c>
      <c r="AP4113" s="4">
        <v>29</v>
      </c>
      <c r="AQ4113" s="4">
        <v>33</v>
      </c>
      <c r="AR4113" s="3" t="s">
        <v>128</v>
      </c>
      <c r="AS4113" s="3" t="s">
        <v>64</v>
      </c>
      <c r="AT4113" s="3" t="s">
        <v>128</v>
      </c>
      <c r="AU4113" s="6" t="str">
        <f>HYPERLINK("http://catalog.hathitrust.org/Record/001957586","HathiTrust Record")</f>
        <v>HathiTrust Record</v>
      </c>
      <c r="AV4113" s="6" t="str">
        <f>HYPERLINK("http://mcgill.on.worldcat.org/oclc/846472","Catalog Record")</f>
        <v>Catalog Record</v>
      </c>
      <c r="AW4113" s="6" t="str">
        <f>HYPERLINK("http://www.worldcat.org/oclc/846472","WorldCat Record")</f>
        <v>WorldCat Record</v>
      </c>
      <c r="AX4113" s="3" t="s">
        <v>40432</v>
      </c>
      <c r="AY4113" s="3" t="s">
        <v>40433</v>
      </c>
      <c r="AZ4113" s="3" t="s">
        <v>40434</v>
      </c>
      <c r="BA4113" s="3" t="s">
        <v>40434</v>
      </c>
      <c r="BB4113" s="3" t="s">
        <v>40435</v>
      </c>
      <c r="BC4113" s="3" t="s">
        <v>77</v>
      </c>
      <c r="BD4113" s="3" t="s">
        <v>78</v>
      </c>
      <c r="BF4113" s="3" t="s">
        <v>40435</v>
      </c>
      <c r="BG4113" s="3" t="s">
        <v>40436</v>
      </c>
      <c r="BH4113">
        <f t="shared" si="111"/>
        <v>0</v>
      </c>
    </row>
    <row r="4114" spans="1:60" ht="58" x14ac:dyDescent="0.35">
      <c r="A4114" s="2" t="s">
        <v>6202</v>
      </c>
      <c r="B4114" s="2" t="s">
        <v>6203</v>
      </c>
      <c r="C4114" s="2" t="s">
        <v>40437</v>
      </c>
      <c r="D4114" s="2" t="s">
        <v>40438</v>
      </c>
      <c r="E4114" s="2" t="s">
        <v>40439</v>
      </c>
      <c r="G4114" s="3" t="s">
        <v>64</v>
      </c>
      <c r="I4114" s="3" t="s">
        <v>64</v>
      </c>
      <c r="J4114" s="3" t="s">
        <v>64</v>
      </c>
      <c r="K4114" s="3" t="s">
        <v>65</v>
      </c>
      <c r="L4114" s="2" t="s">
        <v>40440</v>
      </c>
      <c r="M4114" s="2" t="s">
        <v>40441</v>
      </c>
      <c r="N4114" s="3" t="s">
        <v>153</v>
      </c>
      <c r="P4114" s="3" t="s">
        <v>102</v>
      </c>
      <c r="Q4114" s="2" t="s">
        <v>40442</v>
      </c>
      <c r="R4114" s="3" t="s">
        <v>70</v>
      </c>
      <c r="S4114" s="4">
        <v>2</v>
      </c>
      <c r="T4114" s="4">
        <v>2</v>
      </c>
      <c r="U4114" s="5" t="s">
        <v>40443</v>
      </c>
      <c r="V4114" s="5" t="s">
        <v>40443</v>
      </c>
      <c r="W4114" s="5" t="s">
        <v>72</v>
      </c>
      <c r="X4114" s="5" t="s">
        <v>72</v>
      </c>
      <c r="Y4114" s="4">
        <v>167</v>
      </c>
      <c r="Z4114" s="4">
        <v>22</v>
      </c>
      <c r="AA4114" s="4">
        <v>66</v>
      </c>
      <c r="AB4114" s="4">
        <v>2</v>
      </c>
      <c r="AC4114" s="4">
        <v>11</v>
      </c>
      <c r="AD4114" s="4">
        <v>78</v>
      </c>
      <c r="AE4114" s="4">
        <v>108</v>
      </c>
      <c r="AF4114" s="4">
        <v>1</v>
      </c>
      <c r="AG4114" s="4">
        <v>4</v>
      </c>
      <c r="AH4114" s="4">
        <v>68</v>
      </c>
      <c r="AI4114" s="4">
        <v>87</v>
      </c>
      <c r="AJ4114" s="4">
        <v>16</v>
      </c>
      <c r="AK4114" s="4">
        <v>22</v>
      </c>
      <c r="AL4114" s="4">
        <v>40</v>
      </c>
      <c r="AM4114" s="4">
        <v>45</v>
      </c>
      <c r="AN4114" s="4">
        <v>0</v>
      </c>
      <c r="AO4114" s="4">
        <v>0</v>
      </c>
      <c r="AP4114" s="4">
        <v>17</v>
      </c>
      <c r="AQ4114" s="4">
        <v>29</v>
      </c>
      <c r="AR4114" s="3" t="s">
        <v>64</v>
      </c>
      <c r="AS4114" s="3" t="s">
        <v>64</v>
      </c>
      <c r="AT4114" s="3" t="s">
        <v>64</v>
      </c>
      <c r="AV4114" s="6" t="str">
        <f>HYPERLINK("http://mcgill.on.worldcat.org/oclc/40524869","Catalog Record")</f>
        <v>Catalog Record</v>
      </c>
      <c r="AW4114" s="6" t="str">
        <f>HYPERLINK("http://www.worldcat.org/oclc/40524869","WorldCat Record")</f>
        <v>WorldCat Record</v>
      </c>
      <c r="AX4114" s="3" t="s">
        <v>40444</v>
      </c>
      <c r="AY4114" s="3" t="s">
        <v>40445</v>
      </c>
      <c r="AZ4114" s="3" t="s">
        <v>40446</v>
      </c>
      <c r="BA4114" s="3" t="s">
        <v>40446</v>
      </c>
      <c r="BB4114" s="3" t="s">
        <v>40447</v>
      </c>
      <c r="BC4114" s="3" t="s">
        <v>77</v>
      </c>
      <c r="BD4114" s="3" t="s">
        <v>78</v>
      </c>
      <c r="BE4114" s="3" t="s">
        <v>40448</v>
      </c>
      <c r="BF4114" s="3" t="s">
        <v>40447</v>
      </c>
      <c r="BG4114" s="3" t="s">
        <v>40449</v>
      </c>
      <c r="BH4114">
        <f t="shared" si="111"/>
        <v>0</v>
      </c>
    </row>
    <row r="4115" spans="1:60" ht="58" x14ac:dyDescent="0.35">
      <c r="A4115" s="2" t="s">
        <v>6202</v>
      </c>
      <c r="B4115" s="2" t="s">
        <v>6203</v>
      </c>
      <c r="C4115" s="2" t="s">
        <v>40450</v>
      </c>
      <c r="D4115" s="2" t="s">
        <v>40451</v>
      </c>
      <c r="E4115" s="2" t="s">
        <v>40452</v>
      </c>
      <c r="G4115" s="3" t="s">
        <v>64</v>
      </c>
      <c r="I4115" s="3" t="s">
        <v>64</v>
      </c>
      <c r="J4115" s="3" t="s">
        <v>64</v>
      </c>
      <c r="K4115" s="3" t="s">
        <v>65</v>
      </c>
      <c r="L4115" s="2" t="s">
        <v>40453</v>
      </c>
      <c r="M4115" s="2" t="s">
        <v>40454</v>
      </c>
      <c r="N4115" s="3" t="s">
        <v>1938</v>
      </c>
      <c r="P4115" s="3" t="s">
        <v>68</v>
      </c>
      <c r="R4115" s="3" t="s">
        <v>70</v>
      </c>
      <c r="S4115" s="4">
        <v>2</v>
      </c>
      <c r="T4115" s="4">
        <v>2</v>
      </c>
      <c r="U4115" s="5" t="s">
        <v>37309</v>
      </c>
      <c r="V4115" s="5" t="s">
        <v>37309</v>
      </c>
      <c r="W4115" s="5" t="s">
        <v>72</v>
      </c>
      <c r="X4115" s="5" t="s">
        <v>72</v>
      </c>
      <c r="Y4115" s="4">
        <v>33</v>
      </c>
      <c r="Z4115" s="4">
        <v>21</v>
      </c>
      <c r="AA4115" s="4">
        <v>37</v>
      </c>
      <c r="AB4115" s="4">
        <v>11</v>
      </c>
      <c r="AC4115" s="4">
        <v>12</v>
      </c>
      <c r="AD4115" s="4">
        <v>16</v>
      </c>
      <c r="AE4115" s="4">
        <v>39</v>
      </c>
      <c r="AF4115" s="4">
        <v>5</v>
      </c>
      <c r="AG4115" s="4">
        <v>6</v>
      </c>
      <c r="AH4115" s="4">
        <v>7</v>
      </c>
      <c r="AI4115" s="4">
        <v>25</v>
      </c>
      <c r="AJ4115" s="4">
        <v>12</v>
      </c>
      <c r="AK4115" s="4">
        <v>22</v>
      </c>
      <c r="AL4115" s="4">
        <v>4</v>
      </c>
      <c r="AM4115" s="4">
        <v>11</v>
      </c>
      <c r="AN4115" s="4">
        <v>0</v>
      </c>
      <c r="AO4115" s="4">
        <v>0</v>
      </c>
      <c r="AP4115" s="4">
        <v>10</v>
      </c>
      <c r="AQ4115" s="4">
        <v>22</v>
      </c>
      <c r="AR4115" s="3" t="s">
        <v>128</v>
      </c>
      <c r="AS4115" s="3" t="s">
        <v>64</v>
      </c>
      <c r="AT4115" s="3" t="s">
        <v>64</v>
      </c>
      <c r="AV4115" s="6" t="str">
        <f>HYPERLINK("http://mcgill.on.worldcat.org/oclc/22957126","Catalog Record")</f>
        <v>Catalog Record</v>
      </c>
      <c r="AW4115" s="6" t="str">
        <f>HYPERLINK("http://www.worldcat.org/oclc/22957126","WorldCat Record")</f>
        <v>WorldCat Record</v>
      </c>
      <c r="AX4115" s="3" t="s">
        <v>40455</v>
      </c>
      <c r="AY4115" s="3" t="s">
        <v>40456</v>
      </c>
      <c r="AZ4115" s="3" t="s">
        <v>40457</v>
      </c>
      <c r="BA4115" s="3" t="s">
        <v>40457</v>
      </c>
      <c r="BB4115" s="3" t="s">
        <v>40458</v>
      </c>
      <c r="BC4115" s="3" t="s">
        <v>77</v>
      </c>
      <c r="BD4115" s="3" t="s">
        <v>78</v>
      </c>
      <c r="BE4115" s="3" t="s">
        <v>40459</v>
      </c>
      <c r="BF4115" s="3" t="s">
        <v>40458</v>
      </c>
      <c r="BG4115" s="3" t="s">
        <v>40460</v>
      </c>
      <c r="BH4115">
        <f t="shared" si="111"/>
        <v>0</v>
      </c>
    </row>
    <row r="4116" spans="1:60" ht="58" x14ac:dyDescent="0.35">
      <c r="A4116" s="2" t="s">
        <v>6202</v>
      </c>
      <c r="B4116" s="2" t="s">
        <v>6203</v>
      </c>
      <c r="C4116" s="2" t="s">
        <v>40461</v>
      </c>
      <c r="D4116" s="2" t="s">
        <v>40462</v>
      </c>
      <c r="E4116" s="2" t="s">
        <v>40463</v>
      </c>
      <c r="G4116" s="3" t="s">
        <v>64</v>
      </c>
      <c r="I4116" s="3" t="s">
        <v>128</v>
      </c>
      <c r="J4116" s="3" t="s">
        <v>64</v>
      </c>
      <c r="K4116" s="3" t="s">
        <v>65</v>
      </c>
      <c r="L4116" s="2" t="s">
        <v>40464</v>
      </c>
      <c r="M4116" s="2" t="s">
        <v>40465</v>
      </c>
      <c r="N4116" s="3" t="s">
        <v>1763</v>
      </c>
      <c r="P4116" s="3" t="s">
        <v>102</v>
      </c>
      <c r="R4116" s="3" t="s">
        <v>70</v>
      </c>
      <c r="S4116" s="4">
        <v>1</v>
      </c>
      <c r="T4116" s="4">
        <v>1</v>
      </c>
      <c r="U4116" s="5" t="s">
        <v>1786</v>
      </c>
      <c r="V4116" s="5" t="s">
        <v>1786</v>
      </c>
      <c r="W4116" s="5" t="s">
        <v>72</v>
      </c>
      <c r="X4116" s="5" t="s">
        <v>72</v>
      </c>
      <c r="Y4116" s="4">
        <v>16</v>
      </c>
      <c r="Z4116" s="4">
        <v>10</v>
      </c>
      <c r="AA4116" s="4">
        <v>10</v>
      </c>
      <c r="AB4116" s="4">
        <v>2</v>
      </c>
      <c r="AC4116" s="4">
        <v>2</v>
      </c>
      <c r="AD4116" s="4">
        <v>10</v>
      </c>
      <c r="AE4116" s="4">
        <v>10</v>
      </c>
      <c r="AF4116" s="4">
        <v>1</v>
      </c>
      <c r="AG4116" s="4">
        <v>1</v>
      </c>
      <c r="AH4116" s="4">
        <v>3</v>
      </c>
      <c r="AI4116" s="4">
        <v>3</v>
      </c>
      <c r="AJ4116" s="4">
        <v>6</v>
      </c>
      <c r="AK4116" s="4">
        <v>6</v>
      </c>
      <c r="AL4116" s="4">
        <v>1</v>
      </c>
      <c r="AM4116" s="4">
        <v>1</v>
      </c>
      <c r="AN4116" s="4">
        <v>0</v>
      </c>
      <c r="AO4116" s="4">
        <v>0</v>
      </c>
      <c r="AP4116" s="4">
        <v>8</v>
      </c>
      <c r="AQ4116" s="4">
        <v>8</v>
      </c>
      <c r="AR4116" s="3" t="s">
        <v>128</v>
      </c>
      <c r="AS4116" s="3" t="s">
        <v>64</v>
      </c>
      <c r="AT4116" s="3" t="s">
        <v>64</v>
      </c>
      <c r="AV4116" s="6" t="str">
        <f>HYPERLINK("http://mcgill.on.worldcat.org/oclc/17522486","Catalog Record")</f>
        <v>Catalog Record</v>
      </c>
      <c r="AW4116" s="6" t="str">
        <f>HYPERLINK("http://www.worldcat.org/oclc/17522486","WorldCat Record")</f>
        <v>WorldCat Record</v>
      </c>
      <c r="AX4116" s="3" t="s">
        <v>40466</v>
      </c>
      <c r="AY4116" s="3" t="s">
        <v>40467</v>
      </c>
      <c r="AZ4116" s="3" t="s">
        <v>40468</v>
      </c>
      <c r="BA4116" s="3" t="s">
        <v>40468</v>
      </c>
      <c r="BB4116" s="3" t="s">
        <v>40469</v>
      </c>
      <c r="BC4116" s="3" t="s">
        <v>77</v>
      </c>
      <c r="BD4116" s="3" t="s">
        <v>78</v>
      </c>
      <c r="BF4116" s="3" t="s">
        <v>40469</v>
      </c>
      <c r="BG4116" s="3" t="s">
        <v>40470</v>
      </c>
      <c r="BH4116">
        <f t="shared" si="111"/>
        <v>0</v>
      </c>
    </row>
    <row r="4117" spans="1:60" ht="58" x14ac:dyDescent="0.35">
      <c r="A4117" s="2" t="s">
        <v>59</v>
      </c>
      <c r="B4117" s="2" t="s">
        <v>60</v>
      </c>
      <c r="C4117" s="2" t="s">
        <v>40471</v>
      </c>
      <c r="D4117" s="2" t="s">
        <v>40472</v>
      </c>
      <c r="E4117" s="2" t="s">
        <v>40473</v>
      </c>
      <c r="G4117" s="3" t="s">
        <v>64</v>
      </c>
      <c r="I4117" s="3" t="s">
        <v>64</v>
      </c>
      <c r="J4117" s="3" t="s">
        <v>64</v>
      </c>
      <c r="K4117" s="3" t="s">
        <v>65</v>
      </c>
      <c r="L4117" s="2" t="s">
        <v>40474</v>
      </c>
      <c r="M4117" s="2" t="s">
        <v>40475</v>
      </c>
      <c r="N4117" s="3" t="s">
        <v>67</v>
      </c>
      <c r="P4117" s="3" t="s">
        <v>68</v>
      </c>
      <c r="R4117" s="3" t="s">
        <v>70</v>
      </c>
      <c r="S4117" s="4">
        <v>0</v>
      </c>
      <c r="T4117" s="4">
        <v>0</v>
      </c>
      <c r="W4117" s="5" t="s">
        <v>72</v>
      </c>
      <c r="X4117" s="5" t="s">
        <v>72</v>
      </c>
      <c r="Y4117" s="4">
        <v>7</v>
      </c>
      <c r="Z4117" s="4">
        <v>1</v>
      </c>
      <c r="AA4117" s="4">
        <v>48</v>
      </c>
      <c r="AB4117" s="4">
        <v>1</v>
      </c>
      <c r="AC4117" s="4">
        <v>16</v>
      </c>
      <c r="AD4117" s="4">
        <v>3</v>
      </c>
      <c r="AE4117" s="4">
        <v>38</v>
      </c>
      <c r="AF4117" s="4">
        <v>0</v>
      </c>
      <c r="AG4117" s="4">
        <v>6</v>
      </c>
      <c r="AH4117" s="4">
        <v>3</v>
      </c>
      <c r="AI4117" s="4">
        <v>14</v>
      </c>
      <c r="AJ4117" s="4">
        <v>0</v>
      </c>
      <c r="AK4117" s="4">
        <v>17</v>
      </c>
      <c r="AL4117" s="4">
        <v>3</v>
      </c>
      <c r="AM4117" s="4">
        <v>6</v>
      </c>
      <c r="AN4117" s="4">
        <v>0</v>
      </c>
      <c r="AO4117" s="4">
        <v>0</v>
      </c>
      <c r="AP4117" s="4">
        <v>0</v>
      </c>
      <c r="AQ4117" s="4">
        <v>27</v>
      </c>
      <c r="AR4117" s="3" t="s">
        <v>128</v>
      </c>
      <c r="AS4117" s="3" t="s">
        <v>64</v>
      </c>
      <c r="AT4117" s="3" t="s">
        <v>64</v>
      </c>
      <c r="AV4117" s="6" t="str">
        <f>HYPERLINK("http://mcgill.on.worldcat.org/oclc/899159999","Catalog Record")</f>
        <v>Catalog Record</v>
      </c>
      <c r="AW4117" s="6" t="str">
        <f>HYPERLINK("http://www.worldcat.org/oclc/899159999","WorldCat Record")</f>
        <v>WorldCat Record</v>
      </c>
      <c r="AX4117" s="3" t="s">
        <v>40476</v>
      </c>
      <c r="AY4117" s="3" t="s">
        <v>40477</v>
      </c>
      <c r="AZ4117" s="3" t="s">
        <v>40478</v>
      </c>
      <c r="BA4117" s="3" t="s">
        <v>40478</v>
      </c>
      <c r="BB4117" s="3" t="s">
        <v>40479</v>
      </c>
      <c r="BC4117" s="3" t="s">
        <v>77</v>
      </c>
      <c r="BD4117" s="3" t="s">
        <v>78</v>
      </c>
      <c r="BE4117" s="3" t="s">
        <v>40480</v>
      </c>
      <c r="BF4117" s="3" t="s">
        <v>40479</v>
      </c>
      <c r="BG4117" s="3" t="s">
        <v>40481</v>
      </c>
      <c r="BH4117">
        <f t="shared" si="111"/>
        <v>0</v>
      </c>
    </row>
    <row r="4118" spans="1:60" ht="58" x14ac:dyDescent="0.35">
      <c r="A4118" s="2" t="s">
        <v>6202</v>
      </c>
      <c r="B4118" s="2" t="s">
        <v>6203</v>
      </c>
      <c r="C4118" s="2" t="s">
        <v>40482</v>
      </c>
      <c r="D4118" s="2" t="s">
        <v>40483</v>
      </c>
      <c r="E4118" s="2" t="s">
        <v>40484</v>
      </c>
      <c r="G4118" s="3" t="s">
        <v>64</v>
      </c>
      <c r="I4118" s="3" t="s">
        <v>64</v>
      </c>
      <c r="J4118" s="3" t="s">
        <v>64</v>
      </c>
      <c r="K4118" s="3" t="s">
        <v>65</v>
      </c>
      <c r="L4118" s="2" t="s">
        <v>40485</v>
      </c>
      <c r="M4118" s="2" t="s">
        <v>40486</v>
      </c>
      <c r="N4118" s="3" t="s">
        <v>392</v>
      </c>
      <c r="O4118" s="2" t="s">
        <v>40487</v>
      </c>
      <c r="P4118" s="3" t="s">
        <v>102</v>
      </c>
      <c r="R4118" s="3" t="s">
        <v>70</v>
      </c>
      <c r="S4118" s="4">
        <v>1</v>
      </c>
      <c r="T4118" s="4">
        <v>1</v>
      </c>
      <c r="U4118" s="5" t="s">
        <v>15147</v>
      </c>
      <c r="V4118" s="5" t="s">
        <v>15147</v>
      </c>
      <c r="W4118" s="5" t="s">
        <v>72</v>
      </c>
      <c r="X4118" s="5" t="s">
        <v>72</v>
      </c>
      <c r="Y4118" s="4">
        <v>34</v>
      </c>
      <c r="Z4118" s="4">
        <v>5</v>
      </c>
      <c r="AA4118" s="4">
        <v>12</v>
      </c>
      <c r="AB4118" s="4">
        <v>2</v>
      </c>
      <c r="AC4118" s="4">
        <v>7</v>
      </c>
      <c r="AD4118" s="4">
        <v>16</v>
      </c>
      <c r="AE4118" s="4">
        <v>21</v>
      </c>
      <c r="AF4118" s="4">
        <v>1</v>
      </c>
      <c r="AG4118" s="4">
        <v>5</v>
      </c>
      <c r="AH4118" s="4">
        <v>13</v>
      </c>
      <c r="AI4118" s="4">
        <v>14</v>
      </c>
      <c r="AJ4118" s="4">
        <v>4</v>
      </c>
      <c r="AK4118" s="4">
        <v>9</v>
      </c>
      <c r="AL4118" s="4">
        <v>7</v>
      </c>
      <c r="AM4118" s="4">
        <v>7</v>
      </c>
      <c r="AN4118" s="4">
        <v>0</v>
      </c>
      <c r="AO4118" s="4">
        <v>0</v>
      </c>
      <c r="AP4118" s="4">
        <v>3</v>
      </c>
      <c r="AQ4118" s="4">
        <v>6</v>
      </c>
      <c r="AR4118" s="3" t="s">
        <v>128</v>
      </c>
      <c r="AS4118" s="3" t="s">
        <v>64</v>
      </c>
      <c r="AT4118" s="3" t="s">
        <v>128</v>
      </c>
      <c r="AU4118" s="6" t="str">
        <f>HYPERLINK("http://catalog.hathitrust.org/Record/003513819","HathiTrust Record")</f>
        <v>HathiTrust Record</v>
      </c>
      <c r="AV4118" s="6" t="str">
        <f>HYPERLINK("http://mcgill.on.worldcat.org/oclc/42457595","Catalog Record")</f>
        <v>Catalog Record</v>
      </c>
      <c r="AW4118" s="6" t="str">
        <f>HYPERLINK("http://www.worldcat.org/oclc/42457595","WorldCat Record")</f>
        <v>WorldCat Record</v>
      </c>
      <c r="AX4118" s="3" t="s">
        <v>40488</v>
      </c>
      <c r="AY4118" s="3" t="s">
        <v>40489</v>
      </c>
      <c r="AZ4118" s="3" t="s">
        <v>40490</v>
      </c>
      <c r="BA4118" s="3" t="s">
        <v>40490</v>
      </c>
      <c r="BB4118" s="3" t="s">
        <v>40491</v>
      </c>
      <c r="BC4118" s="3" t="s">
        <v>77</v>
      </c>
      <c r="BD4118" s="3" t="s">
        <v>78</v>
      </c>
      <c r="BE4118" s="3" t="s">
        <v>40492</v>
      </c>
      <c r="BF4118" s="3" t="s">
        <v>40491</v>
      </c>
      <c r="BG4118" s="3" t="s">
        <v>40493</v>
      </c>
      <c r="BH4118">
        <f t="shared" si="111"/>
        <v>0</v>
      </c>
    </row>
    <row r="4119" spans="1:60" ht="58" x14ac:dyDescent="0.35">
      <c r="A4119" s="2" t="s">
        <v>6202</v>
      </c>
      <c r="B4119" s="2" t="s">
        <v>6203</v>
      </c>
      <c r="C4119" s="2" t="s">
        <v>40494</v>
      </c>
      <c r="D4119" s="2" t="s">
        <v>40495</v>
      </c>
      <c r="E4119" s="2" t="s">
        <v>40496</v>
      </c>
      <c r="G4119" s="3" t="s">
        <v>64</v>
      </c>
      <c r="I4119" s="3" t="s">
        <v>64</v>
      </c>
      <c r="J4119" s="3" t="s">
        <v>64</v>
      </c>
      <c r="K4119" s="3" t="s">
        <v>65</v>
      </c>
      <c r="L4119" s="2" t="s">
        <v>40497</v>
      </c>
      <c r="M4119" s="2" t="s">
        <v>40498</v>
      </c>
      <c r="N4119" s="3" t="s">
        <v>1263</v>
      </c>
      <c r="P4119" s="3" t="s">
        <v>102</v>
      </c>
      <c r="R4119" s="3" t="s">
        <v>70</v>
      </c>
      <c r="S4119" s="4">
        <v>1</v>
      </c>
      <c r="T4119" s="4">
        <v>1</v>
      </c>
      <c r="U4119" s="5" t="s">
        <v>40499</v>
      </c>
      <c r="V4119" s="5" t="s">
        <v>40499</v>
      </c>
      <c r="W4119" s="5" t="s">
        <v>72</v>
      </c>
      <c r="X4119" s="5" t="s">
        <v>72</v>
      </c>
      <c r="Y4119" s="4">
        <v>15</v>
      </c>
      <c r="Z4119" s="4">
        <v>8</v>
      </c>
      <c r="AA4119" s="4">
        <v>10</v>
      </c>
      <c r="AB4119" s="4">
        <v>1</v>
      </c>
      <c r="AC4119" s="4">
        <v>1</v>
      </c>
      <c r="AD4119" s="4">
        <v>7</v>
      </c>
      <c r="AE4119" s="4">
        <v>8</v>
      </c>
      <c r="AF4119" s="4">
        <v>0</v>
      </c>
      <c r="AG4119" s="4">
        <v>0</v>
      </c>
      <c r="AH4119" s="4">
        <v>4</v>
      </c>
      <c r="AI4119" s="4">
        <v>4</v>
      </c>
      <c r="AJ4119" s="4">
        <v>4</v>
      </c>
      <c r="AK4119" s="4">
        <v>4</v>
      </c>
      <c r="AL4119" s="4">
        <v>1</v>
      </c>
      <c r="AM4119" s="4">
        <v>1</v>
      </c>
      <c r="AN4119" s="4">
        <v>0</v>
      </c>
      <c r="AO4119" s="4">
        <v>0</v>
      </c>
      <c r="AP4119" s="4">
        <v>5</v>
      </c>
      <c r="AQ4119" s="4">
        <v>6</v>
      </c>
      <c r="AR4119" s="3" t="s">
        <v>128</v>
      </c>
      <c r="AS4119" s="3" t="s">
        <v>64</v>
      </c>
      <c r="AT4119" s="3" t="s">
        <v>64</v>
      </c>
      <c r="AV4119" s="6" t="str">
        <f>HYPERLINK("http://mcgill.on.worldcat.org/oclc/28024836","Catalog Record")</f>
        <v>Catalog Record</v>
      </c>
      <c r="AW4119" s="6" t="str">
        <f>HYPERLINK("http://www.worldcat.org/oclc/28024836","WorldCat Record")</f>
        <v>WorldCat Record</v>
      </c>
      <c r="AX4119" s="3" t="s">
        <v>40500</v>
      </c>
      <c r="AY4119" s="3" t="s">
        <v>40501</v>
      </c>
      <c r="AZ4119" s="3" t="s">
        <v>40502</v>
      </c>
      <c r="BA4119" s="3" t="s">
        <v>40502</v>
      </c>
      <c r="BB4119" s="3" t="s">
        <v>40503</v>
      </c>
      <c r="BC4119" s="3" t="s">
        <v>77</v>
      </c>
      <c r="BD4119" s="3" t="s">
        <v>78</v>
      </c>
      <c r="BE4119" s="3" t="s">
        <v>40504</v>
      </c>
      <c r="BF4119" s="3" t="s">
        <v>40503</v>
      </c>
      <c r="BG4119" s="3" t="s">
        <v>40505</v>
      </c>
      <c r="BH4119">
        <f t="shared" si="111"/>
        <v>0</v>
      </c>
    </row>
    <row r="4120" spans="1:60" ht="58" x14ac:dyDescent="0.35">
      <c r="A4120" s="2" t="s">
        <v>59</v>
      </c>
      <c r="B4120" s="2" t="s">
        <v>7607</v>
      </c>
      <c r="C4120" s="2" t="s">
        <v>40506</v>
      </c>
      <c r="D4120" s="2" t="s">
        <v>40507</v>
      </c>
      <c r="E4120" s="2" t="s">
        <v>40508</v>
      </c>
      <c r="G4120" s="3" t="s">
        <v>64</v>
      </c>
      <c r="I4120" s="3" t="s">
        <v>64</v>
      </c>
      <c r="J4120" s="3" t="s">
        <v>64</v>
      </c>
      <c r="K4120" s="3" t="s">
        <v>65</v>
      </c>
      <c r="L4120" s="2" t="s">
        <v>40509</v>
      </c>
      <c r="M4120" s="2" t="s">
        <v>40510</v>
      </c>
      <c r="N4120" s="3" t="s">
        <v>101</v>
      </c>
      <c r="P4120" s="3" t="s">
        <v>102</v>
      </c>
      <c r="Q4120" s="2" t="s">
        <v>40511</v>
      </c>
      <c r="R4120" s="3" t="s">
        <v>70</v>
      </c>
      <c r="S4120" s="4">
        <v>8</v>
      </c>
      <c r="T4120" s="4">
        <v>8</v>
      </c>
      <c r="U4120" s="5" t="s">
        <v>9072</v>
      </c>
      <c r="V4120" s="5" t="s">
        <v>9072</v>
      </c>
      <c r="W4120" s="5" t="s">
        <v>72</v>
      </c>
      <c r="X4120" s="5" t="s">
        <v>72</v>
      </c>
      <c r="Y4120" s="4">
        <v>157</v>
      </c>
      <c r="Z4120" s="4">
        <v>30</v>
      </c>
      <c r="AA4120" s="4">
        <v>80</v>
      </c>
      <c r="AB4120" s="4">
        <v>3</v>
      </c>
      <c r="AC4120" s="4">
        <v>8</v>
      </c>
      <c r="AD4120" s="4">
        <v>84</v>
      </c>
      <c r="AE4120" s="4">
        <v>110</v>
      </c>
      <c r="AF4120" s="4">
        <v>0</v>
      </c>
      <c r="AG4120" s="4">
        <v>0</v>
      </c>
      <c r="AH4120" s="4">
        <v>71</v>
      </c>
      <c r="AI4120" s="4">
        <v>84</v>
      </c>
      <c r="AJ4120" s="4">
        <v>13</v>
      </c>
      <c r="AK4120" s="4">
        <v>17</v>
      </c>
      <c r="AL4120" s="4">
        <v>39</v>
      </c>
      <c r="AM4120" s="4">
        <v>45</v>
      </c>
      <c r="AN4120" s="4">
        <v>0</v>
      </c>
      <c r="AO4120" s="4">
        <v>0</v>
      </c>
      <c r="AP4120" s="4">
        <v>20</v>
      </c>
      <c r="AQ4120" s="4">
        <v>33</v>
      </c>
      <c r="AR4120" s="3" t="s">
        <v>64</v>
      </c>
      <c r="AS4120" s="3" t="s">
        <v>64</v>
      </c>
      <c r="AT4120" s="3" t="s">
        <v>64</v>
      </c>
      <c r="AV4120" s="6" t="str">
        <f>HYPERLINK("http://mcgill.on.worldcat.org/oclc/50028469","Catalog Record")</f>
        <v>Catalog Record</v>
      </c>
      <c r="AW4120" s="6" t="str">
        <f>HYPERLINK("http://www.worldcat.org/oclc/50028469","WorldCat Record")</f>
        <v>WorldCat Record</v>
      </c>
      <c r="AX4120" s="3" t="s">
        <v>40512</v>
      </c>
      <c r="AY4120" s="3" t="s">
        <v>40513</v>
      </c>
      <c r="AZ4120" s="3" t="s">
        <v>40514</v>
      </c>
      <c r="BA4120" s="3" t="s">
        <v>40514</v>
      </c>
      <c r="BB4120" s="3" t="s">
        <v>40515</v>
      </c>
      <c r="BC4120" s="3" t="s">
        <v>77</v>
      </c>
      <c r="BD4120" s="3" t="s">
        <v>78</v>
      </c>
      <c r="BE4120" s="3" t="s">
        <v>40516</v>
      </c>
      <c r="BF4120" s="3" t="s">
        <v>40515</v>
      </c>
      <c r="BG4120" s="3" t="s">
        <v>40517</v>
      </c>
      <c r="BH4120">
        <f t="shared" si="111"/>
        <v>0</v>
      </c>
    </row>
    <row r="4121" spans="1:60" ht="58" x14ac:dyDescent="0.35">
      <c r="A4121" s="2" t="s">
        <v>59</v>
      </c>
      <c r="B4121" s="2" t="s">
        <v>7607</v>
      </c>
      <c r="C4121" s="2" t="s">
        <v>40518</v>
      </c>
      <c r="D4121" s="2" t="s">
        <v>40519</v>
      </c>
      <c r="E4121" s="2" t="s">
        <v>40520</v>
      </c>
      <c r="G4121" s="3" t="s">
        <v>64</v>
      </c>
      <c r="I4121" s="3" t="s">
        <v>64</v>
      </c>
      <c r="J4121" s="3" t="s">
        <v>64</v>
      </c>
      <c r="K4121" s="3" t="s">
        <v>65</v>
      </c>
      <c r="L4121" s="2" t="s">
        <v>40521</v>
      </c>
      <c r="M4121" s="2" t="s">
        <v>40522</v>
      </c>
      <c r="N4121" s="3" t="s">
        <v>922</v>
      </c>
      <c r="P4121" s="3" t="s">
        <v>102</v>
      </c>
      <c r="R4121" s="3" t="s">
        <v>70</v>
      </c>
      <c r="S4121" s="4">
        <v>1</v>
      </c>
      <c r="T4121" s="4">
        <v>1</v>
      </c>
      <c r="U4121" s="5" t="s">
        <v>11603</v>
      </c>
      <c r="V4121" s="5" t="s">
        <v>11603</v>
      </c>
      <c r="W4121" s="5" t="s">
        <v>72</v>
      </c>
      <c r="X4121" s="5" t="s">
        <v>72</v>
      </c>
      <c r="Y4121" s="4">
        <v>166</v>
      </c>
      <c r="Z4121" s="4">
        <v>37</v>
      </c>
      <c r="AA4121" s="4">
        <v>62</v>
      </c>
      <c r="AB4121" s="4">
        <v>4</v>
      </c>
      <c r="AC4121" s="4">
        <v>9</v>
      </c>
      <c r="AD4121" s="4">
        <v>74</v>
      </c>
      <c r="AE4121" s="4">
        <v>89</v>
      </c>
      <c r="AF4121" s="4">
        <v>1</v>
      </c>
      <c r="AG4121" s="4">
        <v>5</v>
      </c>
      <c r="AH4121" s="4">
        <v>53</v>
      </c>
      <c r="AI4121" s="4">
        <v>60</v>
      </c>
      <c r="AJ4121" s="4">
        <v>13</v>
      </c>
      <c r="AK4121" s="4">
        <v>26</v>
      </c>
      <c r="AL4121" s="4">
        <v>29</v>
      </c>
      <c r="AM4121" s="4">
        <v>31</v>
      </c>
      <c r="AN4121" s="4">
        <v>0</v>
      </c>
      <c r="AO4121" s="4">
        <v>0</v>
      </c>
      <c r="AP4121" s="4">
        <v>26</v>
      </c>
      <c r="AQ4121" s="4">
        <v>38</v>
      </c>
      <c r="AR4121" s="3" t="s">
        <v>128</v>
      </c>
      <c r="AS4121" s="3" t="s">
        <v>64</v>
      </c>
      <c r="AT4121" s="3" t="s">
        <v>128</v>
      </c>
      <c r="AU4121" s="6" t="str">
        <f>HYPERLINK("http://catalog.hathitrust.org/Record/001168702","HathiTrust Record")</f>
        <v>HathiTrust Record</v>
      </c>
      <c r="AV4121" s="6" t="str">
        <f>HYPERLINK("http://mcgill.on.worldcat.org/oclc/696552","Catalog Record")</f>
        <v>Catalog Record</v>
      </c>
      <c r="AW4121" s="6" t="str">
        <f>HYPERLINK("http://www.worldcat.org/oclc/696552","WorldCat Record")</f>
        <v>WorldCat Record</v>
      </c>
      <c r="AX4121" s="3" t="s">
        <v>40523</v>
      </c>
      <c r="AY4121" s="3" t="s">
        <v>40524</v>
      </c>
      <c r="AZ4121" s="3" t="s">
        <v>40525</v>
      </c>
      <c r="BA4121" s="3" t="s">
        <v>40525</v>
      </c>
      <c r="BB4121" s="3" t="s">
        <v>40526</v>
      </c>
      <c r="BC4121" s="3" t="s">
        <v>77</v>
      </c>
      <c r="BD4121" s="3" t="s">
        <v>78</v>
      </c>
      <c r="BF4121" s="3" t="s">
        <v>40526</v>
      </c>
      <c r="BG4121" s="3" t="s">
        <v>40527</v>
      </c>
      <c r="BH4121">
        <f t="shared" si="111"/>
        <v>0</v>
      </c>
    </row>
    <row r="4122" spans="1:60" ht="58" x14ac:dyDescent="0.35">
      <c r="A4122" s="2" t="s">
        <v>59</v>
      </c>
      <c r="B4122" s="2" t="s">
        <v>60</v>
      </c>
      <c r="C4122" s="2" t="s">
        <v>40528</v>
      </c>
      <c r="D4122" s="2" t="s">
        <v>40529</v>
      </c>
      <c r="E4122" s="2" t="s">
        <v>40530</v>
      </c>
      <c r="G4122" s="3" t="s">
        <v>64</v>
      </c>
      <c r="I4122" s="3" t="s">
        <v>64</v>
      </c>
      <c r="J4122" s="3" t="s">
        <v>64</v>
      </c>
      <c r="K4122" s="3" t="s">
        <v>65</v>
      </c>
      <c r="L4122" s="2" t="s">
        <v>40531</v>
      </c>
      <c r="M4122" s="2" t="s">
        <v>40532</v>
      </c>
      <c r="N4122" s="3" t="s">
        <v>1075</v>
      </c>
      <c r="P4122" s="3" t="s">
        <v>68</v>
      </c>
      <c r="R4122" s="3" t="s">
        <v>70</v>
      </c>
      <c r="S4122" s="4">
        <v>3</v>
      </c>
      <c r="T4122" s="4">
        <v>3</v>
      </c>
      <c r="U4122" s="5" t="s">
        <v>6890</v>
      </c>
      <c r="V4122" s="5" t="s">
        <v>6890</v>
      </c>
      <c r="W4122" s="5" t="s">
        <v>72</v>
      </c>
      <c r="X4122" s="5" t="s">
        <v>72</v>
      </c>
      <c r="Y4122" s="4">
        <v>13</v>
      </c>
      <c r="Z4122" s="4">
        <v>4</v>
      </c>
      <c r="AA4122" s="4">
        <v>15</v>
      </c>
      <c r="AB4122" s="4">
        <v>1</v>
      </c>
      <c r="AC4122" s="4">
        <v>10</v>
      </c>
      <c r="AD4122" s="4">
        <v>4</v>
      </c>
      <c r="AE4122" s="4">
        <v>10</v>
      </c>
      <c r="AF4122" s="4">
        <v>0</v>
      </c>
      <c r="AG4122" s="4">
        <v>4</v>
      </c>
      <c r="AH4122" s="4">
        <v>4</v>
      </c>
      <c r="AI4122" s="4">
        <v>6</v>
      </c>
      <c r="AJ4122" s="4">
        <v>1</v>
      </c>
      <c r="AK4122" s="4">
        <v>7</v>
      </c>
      <c r="AL4122" s="4">
        <v>3</v>
      </c>
      <c r="AM4122" s="4">
        <v>3</v>
      </c>
      <c r="AN4122" s="4">
        <v>0</v>
      </c>
      <c r="AO4122" s="4">
        <v>0</v>
      </c>
      <c r="AP4122" s="4">
        <v>1</v>
      </c>
      <c r="AQ4122" s="4">
        <v>5</v>
      </c>
      <c r="AR4122" s="3" t="s">
        <v>64</v>
      </c>
      <c r="AS4122" s="3" t="s">
        <v>64</v>
      </c>
      <c r="AT4122" s="3" t="s">
        <v>64</v>
      </c>
      <c r="AV4122" s="6" t="str">
        <f>HYPERLINK("http://mcgill.on.worldcat.org/oclc/905696657","Catalog Record")</f>
        <v>Catalog Record</v>
      </c>
      <c r="AW4122" s="6" t="str">
        <f>HYPERLINK("http://www.worldcat.org/oclc/905696657","WorldCat Record")</f>
        <v>WorldCat Record</v>
      </c>
      <c r="AX4122" s="3" t="s">
        <v>40533</v>
      </c>
      <c r="AY4122" s="3" t="s">
        <v>40534</v>
      </c>
      <c r="AZ4122" s="3" t="s">
        <v>40535</v>
      </c>
      <c r="BA4122" s="3" t="s">
        <v>40535</v>
      </c>
      <c r="BB4122" s="3" t="s">
        <v>40536</v>
      </c>
      <c r="BC4122" s="3" t="s">
        <v>77</v>
      </c>
      <c r="BD4122" s="3" t="s">
        <v>78</v>
      </c>
      <c r="BE4122" s="3" t="s">
        <v>40537</v>
      </c>
      <c r="BF4122" s="3" t="s">
        <v>40536</v>
      </c>
      <c r="BG4122" s="3" t="s">
        <v>40538</v>
      </c>
      <c r="BH4122">
        <f t="shared" si="111"/>
        <v>0</v>
      </c>
    </row>
    <row r="4123" spans="1:60" ht="58" x14ac:dyDescent="0.35">
      <c r="A4123" s="2" t="s">
        <v>59</v>
      </c>
      <c r="B4123" s="2" t="s">
        <v>7607</v>
      </c>
      <c r="C4123" s="2" t="s">
        <v>40539</v>
      </c>
      <c r="D4123" s="2" t="s">
        <v>40540</v>
      </c>
      <c r="E4123" s="2" t="s">
        <v>40541</v>
      </c>
      <c r="G4123" s="3" t="s">
        <v>64</v>
      </c>
      <c r="I4123" s="3" t="s">
        <v>64</v>
      </c>
      <c r="J4123" s="3" t="s">
        <v>64</v>
      </c>
      <c r="K4123" s="3" t="s">
        <v>65</v>
      </c>
      <c r="L4123" s="2" t="s">
        <v>40542</v>
      </c>
      <c r="M4123" s="2" t="s">
        <v>40543</v>
      </c>
      <c r="N4123" s="3" t="s">
        <v>1047</v>
      </c>
      <c r="P4123" s="3" t="s">
        <v>102</v>
      </c>
      <c r="R4123" s="3" t="s">
        <v>70</v>
      </c>
      <c r="S4123" s="4">
        <v>1</v>
      </c>
      <c r="T4123" s="4">
        <v>1</v>
      </c>
      <c r="U4123" s="5" t="s">
        <v>15961</v>
      </c>
      <c r="V4123" s="5" t="s">
        <v>15961</v>
      </c>
      <c r="W4123" s="5" t="s">
        <v>72</v>
      </c>
      <c r="X4123" s="5" t="s">
        <v>72</v>
      </c>
      <c r="Y4123" s="4">
        <v>1</v>
      </c>
      <c r="Z4123" s="4">
        <v>1</v>
      </c>
      <c r="AA4123" s="4">
        <v>5</v>
      </c>
      <c r="AB4123" s="4">
        <v>1</v>
      </c>
      <c r="AC4123" s="4">
        <v>2</v>
      </c>
      <c r="AD4123" s="4">
        <v>0</v>
      </c>
      <c r="AE4123" s="4">
        <v>5</v>
      </c>
      <c r="AF4123" s="4">
        <v>0</v>
      </c>
      <c r="AG4123" s="4">
        <v>0</v>
      </c>
      <c r="AH4123" s="4">
        <v>0</v>
      </c>
      <c r="AI4123" s="4">
        <v>3</v>
      </c>
      <c r="AJ4123" s="4">
        <v>0</v>
      </c>
      <c r="AK4123" s="4">
        <v>2</v>
      </c>
      <c r="AL4123" s="4">
        <v>0</v>
      </c>
      <c r="AM4123" s="4">
        <v>3</v>
      </c>
      <c r="AN4123" s="4">
        <v>0</v>
      </c>
      <c r="AO4123" s="4">
        <v>0</v>
      </c>
      <c r="AP4123" s="4">
        <v>0</v>
      </c>
      <c r="AQ4123" s="4">
        <v>1</v>
      </c>
      <c r="AR4123" s="3" t="s">
        <v>128</v>
      </c>
      <c r="AS4123" s="3" t="s">
        <v>64</v>
      </c>
      <c r="AT4123" s="3" t="s">
        <v>64</v>
      </c>
      <c r="AV4123" s="6" t="str">
        <f>HYPERLINK("http://mcgill.on.worldcat.org/oclc/427228209","Catalog Record")</f>
        <v>Catalog Record</v>
      </c>
      <c r="AW4123" s="6" t="str">
        <f>HYPERLINK("http://www.worldcat.org/oclc/427228209","WorldCat Record")</f>
        <v>WorldCat Record</v>
      </c>
      <c r="AX4123" s="3" t="s">
        <v>40544</v>
      </c>
      <c r="AY4123" s="3" t="s">
        <v>40545</v>
      </c>
      <c r="AZ4123" s="3" t="s">
        <v>40546</v>
      </c>
      <c r="BA4123" s="3" t="s">
        <v>40546</v>
      </c>
      <c r="BB4123" s="3" t="s">
        <v>40547</v>
      </c>
      <c r="BC4123" s="3" t="s">
        <v>77</v>
      </c>
      <c r="BD4123" s="3" t="s">
        <v>78</v>
      </c>
      <c r="BF4123" s="3" t="s">
        <v>40547</v>
      </c>
      <c r="BG4123" s="3" t="s">
        <v>40548</v>
      </c>
      <c r="BH4123">
        <f t="shared" si="111"/>
        <v>0</v>
      </c>
    </row>
    <row r="4124" spans="1:60" ht="58" x14ac:dyDescent="0.35">
      <c r="A4124" s="2" t="s">
        <v>59</v>
      </c>
      <c r="B4124" s="2" t="s">
        <v>7607</v>
      </c>
      <c r="C4124" s="2" t="s">
        <v>40549</v>
      </c>
      <c r="D4124" s="2" t="s">
        <v>40550</v>
      </c>
      <c r="E4124" s="2" t="s">
        <v>40551</v>
      </c>
      <c r="G4124" s="3" t="s">
        <v>64</v>
      </c>
      <c r="I4124" s="3" t="s">
        <v>64</v>
      </c>
      <c r="J4124" s="3" t="s">
        <v>64</v>
      </c>
      <c r="K4124" s="3" t="s">
        <v>65</v>
      </c>
      <c r="L4124" s="2" t="s">
        <v>40542</v>
      </c>
      <c r="M4124" s="2" t="s">
        <v>40552</v>
      </c>
      <c r="N4124" s="3" t="s">
        <v>2067</v>
      </c>
      <c r="P4124" s="3" t="s">
        <v>33449</v>
      </c>
      <c r="Q4124" s="2" t="s">
        <v>40553</v>
      </c>
      <c r="R4124" s="3" t="s">
        <v>70</v>
      </c>
      <c r="S4124" s="4">
        <v>1</v>
      </c>
      <c r="T4124" s="4">
        <v>1</v>
      </c>
      <c r="U4124" s="5" t="s">
        <v>7419</v>
      </c>
      <c r="V4124" s="5" t="s">
        <v>7419</v>
      </c>
      <c r="W4124" s="5" t="s">
        <v>72</v>
      </c>
      <c r="X4124" s="5" t="s">
        <v>72</v>
      </c>
      <c r="Y4124" s="4">
        <v>4</v>
      </c>
      <c r="Z4124" s="4">
        <v>2</v>
      </c>
      <c r="AA4124" s="4">
        <v>2</v>
      </c>
      <c r="AB4124" s="4">
        <v>1</v>
      </c>
      <c r="AC4124" s="4">
        <v>1</v>
      </c>
      <c r="AD4124" s="4">
        <v>3</v>
      </c>
      <c r="AE4124" s="4">
        <v>3</v>
      </c>
      <c r="AF4124" s="4">
        <v>0</v>
      </c>
      <c r="AG4124" s="4">
        <v>0</v>
      </c>
      <c r="AH4124" s="4">
        <v>2</v>
      </c>
      <c r="AI4124" s="4">
        <v>2</v>
      </c>
      <c r="AJ4124" s="4">
        <v>1</v>
      </c>
      <c r="AK4124" s="4">
        <v>1</v>
      </c>
      <c r="AL4124" s="4">
        <v>2</v>
      </c>
      <c r="AM4124" s="4">
        <v>2</v>
      </c>
      <c r="AN4124" s="4">
        <v>0</v>
      </c>
      <c r="AO4124" s="4">
        <v>0</v>
      </c>
      <c r="AP4124" s="4">
        <v>0</v>
      </c>
      <c r="AQ4124" s="4">
        <v>0</v>
      </c>
      <c r="AR4124" s="3" t="s">
        <v>64</v>
      </c>
      <c r="AS4124" s="3" t="s">
        <v>64</v>
      </c>
      <c r="AT4124" s="3" t="s">
        <v>128</v>
      </c>
      <c r="AU4124" s="6" t="str">
        <f>HYPERLINK("http://catalog.hathitrust.org/Record/001820877","HathiTrust Record")</f>
        <v>HathiTrust Record</v>
      </c>
      <c r="AV4124" s="6" t="str">
        <f>HYPERLINK("http://mcgill.on.worldcat.org/oclc/25369385","Catalog Record")</f>
        <v>Catalog Record</v>
      </c>
      <c r="AW4124" s="6" t="str">
        <f>HYPERLINK("http://www.worldcat.org/oclc/25369385","WorldCat Record")</f>
        <v>WorldCat Record</v>
      </c>
      <c r="AX4124" s="3" t="s">
        <v>40554</v>
      </c>
      <c r="AY4124" s="3" t="s">
        <v>40555</v>
      </c>
      <c r="AZ4124" s="3" t="s">
        <v>40556</v>
      </c>
      <c r="BA4124" s="3" t="s">
        <v>40556</v>
      </c>
      <c r="BB4124" s="3" t="s">
        <v>40557</v>
      </c>
      <c r="BC4124" s="3" t="s">
        <v>77</v>
      </c>
      <c r="BD4124" s="3" t="s">
        <v>78</v>
      </c>
      <c r="BF4124" s="3" t="s">
        <v>40557</v>
      </c>
      <c r="BG4124" s="3" t="s">
        <v>40558</v>
      </c>
      <c r="BH4124">
        <f t="shared" si="111"/>
        <v>0</v>
      </c>
    </row>
    <row r="4125" spans="1:60" ht="58" x14ac:dyDescent="0.35">
      <c r="A4125" s="2" t="s">
        <v>59</v>
      </c>
      <c r="B4125" s="2" t="s">
        <v>7607</v>
      </c>
      <c r="C4125" s="2" t="s">
        <v>40559</v>
      </c>
      <c r="D4125" s="2" t="s">
        <v>40560</v>
      </c>
      <c r="E4125" s="2" t="s">
        <v>40561</v>
      </c>
      <c r="G4125" s="3" t="s">
        <v>64</v>
      </c>
      <c r="I4125" s="3" t="s">
        <v>64</v>
      </c>
      <c r="J4125" s="3" t="s">
        <v>64</v>
      </c>
      <c r="K4125" s="3" t="s">
        <v>65</v>
      </c>
      <c r="L4125" s="2" t="s">
        <v>40562</v>
      </c>
      <c r="M4125" s="2" t="s">
        <v>40563</v>
      </c>
      <c r="N4125" s="3" t="s">
        <v>3047</v>
      </c>
      <c r="P4125" s="3" t="s">
        <v>102</v>
      </c>
      <c r="Q4125" s="2" t="s">
        <v>40564</v>
      </c>
      <c r="R4125" s="3" t="s">
        <v>70</v>
      </c>
      <c r="S4125" s="4">
        <v>6</v>
      </c>
      <c r="T4125" s="4">
        <v>6</v>
      </c>
      <c r="U4125" s="5" t="s">
        <v>11603</v>
      </c>
      <c r="V4125" s="5" t="s">
        <v>11603</v>
      </c>
      <c r="W4125" s="5" t="s">
        <v>72</v>
      </c>
      <c r="X4125" s="5" t="s">
        <v>72</v>
      </c>
      <c r="Y4125" s="4">
        <v>94</v>
      </c>
      <c r="Z4125" s="4">
        <v>44</v>
      </c>
      <c r="AA4125" s="4">
        <v>46</v>
      </c>
      <c r="AB4125" s="4">
        <v>2</v>
      </c>
      <c r="AC4125" s="4">
        <v>3</v>
      </c>
      <c r="AD4125" s="4">
        <v>54</v>
      </c>
      <c r="AE4125" s="4">
        <v>56</v>
      </c>
      <c r="AF4125" s="4">
        <v>0</v>
      </c>
      <c r="AG4125" s="4">
        <v>1</v>
      </c>
      <c r="AH4125" s="4">
        <v>37</v>
      </c>
      <c r="AI4125" s="4">
        <v>37</v>
      </c>
      <c r="AJ4125" s="4">
        <v>20</v>
      </c>
      <c r="AK4125" s="4">
        <v>22</v>
      </c>
      <c r="AL4125" s="4">
        <v>19</v>
      </c>
      <c r="AM4125" s="4">
        <v>19</v>
      </c>
      <c r="AN4125" s="4">
        <v>0</v>
      </c>
      <c r="AO4125" s="4">
        <v>0</v>
      </c>
      <c r="AP4125" s="4">
        <v>26</v>
      </c>
      <c r="AQ4125" s="4">
        <v>27</v>
      </c>
      <c r="AR4125" s="3" t="s">
        <v>128</v>
      </c>
      <c r="AS4125" s="3" t="s">
        <v>64</v>
      </c>
      <c r="AT4125" s="3" t="s">
        <v>128</v>
      </c>
      <c r="AU4125" s="6" t="str">
        <f>HYPERLINK("http://catalog.hathitrust.org/Record/000845713","HathiTrust Record")</f>
        <v>HathiTrust Record</v>
      </c>
      <c r="AV4125" s="6" t="str">
        <f>HYPERLINK("http://mcgill.on.worldcat.org/oclc/18290966","Catalog Record")</f>
        <v>Catalog Record</v>
      </c>
      <c r="AW4125" s="6" t="str">
        <f>HYPERLINK("http://www.worldcat.org/oclc/18290966","WorldCat Record")</f>
        <v>WorldCat Record</v>
      </c>
      <c r="AX4125" s="3" t="s">
        <v>40565</v>
      </c>
      <c r="AY4125" s="3" t="s">
        <v>40566</v>
      </c>
      <c r="AZ4125" s="3" t="s">
        <v>40567</v>
      </c>
      <c r="BA4125" s="3" t="s">
        <v>40567</v>
      </c>
      <c r="BB4125" s="3" t="s">
        <v>40568</v>
      </c>
      <c r="BC4125" s="3" t="s">
        <v>77</v>
      </c>
      <c r="BD4125" s="3" t="s">
        <v>78</v>
      </c>
      <c r="BE4125" s="3" t="s">
        <v>40569</v>
      </c>
      <c r="BF4125" s="3" t="s">
        <v>40568</v>
      </c>
      <c r="BG4125" s="3" t="s">
        <v>40570</v>
      </c>
      <c r="BH4125">
        <f t="shared" si="111"/>
        <v>0</v>
      </c>
    </row>
    <row r="4126" spans="1:60" ht="101.5" x14ac:dyDescent="0.35">
      <c r="A4126" s="2" t="s">
        <v>59</v>
      </c>
      <c r="B4126" s="2" t="s">
        <v>7607</v>
      </c>
      <c r="C4126" s="2" t="s">
        <v>40571</v>
      </c>
      <c r="D4126" s="2" t="s">
        <v>40572</v>
      </c>
      <c r="E4126" s="2" t="s">
        <v>40573</v>
      </c>
      <c r="G4126" s="3" t="s">
        <v>64</v>
      </c>
      <c r="I4126" s="3" t="s">
        <v>64</v>
      </c>
      <c r="J4126" s="3" t="s">
        <v>128</v>
      </c>
      <c r="K4126" s="3" t="s">
        <v>65</v>
      </c>
      <c r="L4126" s="2" t="s">
        <v>40562</v>
      </c>
      <c r="M4126" s="2" t="s">
        <v>40574</v>
      </c>
      <c r="N4126" s="3" t="s">
        <v>1250</v>
      </c>
      <c r="P4126" s="3" t="s">
        <v>102</v>
      </c>
      <c r="Q4126" s="2" t="s">
        <v>40575</v>
      </c>
      <c r="R4126" s="3" t="s">
        <v>70</v>
      </c>
      <c r="S4126" s="4">
        <v>1</v>
      </c>
      <c r="T4126" s="4">
        <v>1</v>
      </c>
      <c r="U4126" s="5" t="s">
        <v>11603</v>
      </c>
      <c r="V4126" s="5" t="s">
        <v>11603</v>
      </c>
      <c r="W4126" s="5" t="s">
        <v>72</v>
      </c>
      <c r="X4126" s="5" t="s">
        <v>72</v>
      </c>
      <c r="Y4126" s="4">
        <v>7</v>
      </c>
      <c r="Z4126" s="4">
        <v>6</v>
      </c>
      <c r="AA4126" s="4">
        <v>19</v>
      </c>
      <c r="AB4126" s="4">
        <v>1</v>
      </c>
      <c r="AC4126" s="4">
        <v>3</v>
      </c>
      <c r="AD4126" s="4">
        <v>6</v>
      </c>
      <c r="AE4126" s="4">
        <v>20</v>
      </c>
      <c r="AF4126" s="4">
        <v>0</v>
      </c>
      <c r="AG4126" s="4">
        <v>1</v>
      </c>
      <c r="AH4126" s="4">
        <v>4</v>
      </c>
      <c r="AI4126" s="4">
        <v>12</v>
      </c>
      <c r="AJ4126" s="4">
        <v>5</v>
      </c>
      <c r="AK4126" s="4">
        <v>12</v>
      </c>
      <c r="AL4126" s="4">
        <v>1</v>
      </c>
      <c r="AM4126" s="4">
        <v>5</v>
      </c>
      <c r="AN4126" s="4">
        <v>0</v>
      </c>
      <c r="AO4126" s="4">
        <v>0</v>
      </c>
      <c r="AP4126" s="4">
        <v>4</v>
      </c>
      <c r="AQ4126" s="4">
        <v>14</v>
      </c>
      <c r="AR4126" s="3" t="s">
        <v>128</v>
      </c>
      <c r="AS4126" s="3" t="s">
        <v>64</v>
      </c>
      <c r="AT4126" s="3" t="s">
        <v>64</v>
      </c>
      <c r="AV4126" s="6" t="str">
        <f>HYPERLINK("http://mcgill.on.worldcat.org/oclc/30668808","Catalog Record")</f>
        <v>Catalog Record</v>
      </c>
      <c r="AW4126" s="6" t="str">
        <f>HYPERLINK("http://www.worldcat.org/oclc/30668808","WorldCat Record")</f>
        <v>WorldCat Record</v>
      </c>
      <c r="AX4126" s="3" t="s">
        <v>40576</v>
      </c>
      <c r="AY4126" s="3" t="s">
        <v>40577</v>
      </c>
      <c r="AZ4126" s="3" t="s">
        <v>40578</v>
      </c>
      <c r="BA4126" s="3" t="s">
        <v>40578</v>
      </c>
      <c r="BB4126" s="3" t="s">
        <v>40579</v>
      </c>
      <c r="BC4126" s="3" t="s">
        <v>77</v>
      </c>
      <c r="BD4126" s="3" t="s">
        <v>78</v>
      </c>
      <c r="BE4126" s="3" t="s">
        <v>40580</v>
      </c>
      <c r="BF4126" s="3" t="s">
        <v>40579</v>
      </c>
      <c r="BG4126" s="3" t="s">
        <v>40581</v>
      </c>
      <c r="BH4126">
        <f t="shared" si="111"/>
        <v>0</v>
      </c>
    </row>
    <row r="4127" spans="1:60" ht="58" x14ac:dyDescent="0.35">
      <c r="A4127" s="2" t="s">
        <v>59</v>
      </c>
      <c r="B4127" s="2" t="s">
        <v>60</v>
      </c>
      <c r="C4127" s="2" t="s">
        <v>40582</v>
      </c>
      <c r="D4127" s="2" t="s">
        <v>40583</v>
      </c>
      <c r="E4127" s="2" t="s">
        <v>40584</v>
      </c>
      <c r="G4127" s="3" t="s">
        <v>64</v>
      </c>
      <c r="I4127" s="3" t="s">
        <v>64</v>
      </c>
      <c r="J4127" s="3" t="s">
        <v>64</v>
      </c>
      <c r="K4127" s="3" t="s">
        <v>65</v>
      </c>
      <c r="L4127" s="2" t="s">
        <v>40585</v>
      </c>
      <c r="M4127" s="2" t="s">
        <v>40586</v>
      </c>
      <c r="N4127" s="3" t="s">
        <v>326</v>
      </c>
      <c r="P4127" s="3" t="s">
        <v>102</v>
      </c>
      <c r="Q4127" s="2" t="s">
        <v>40587</v>
      </c>
      <c r="R4127" s="3" t="s">
        <v>70</v>
      </c>
      <c r="S4127" s="4">
        <v>0</v>
      </c>
      <c r="T4127" s="4">
        <v>0</v>
      </c>
      <c r="W4127" s="5" t="s">
        <v>72</v>
      </c>
      <c r="X4127" s="5" t="s">
        <v>72</v>
      </c>
      <c r="Y4127" s="4">
        <v>46</v>
      </c>
      <c r="Z4127" s="4">
        <v>18</v>
      </c>
      <c r="AA4127" s="4">
        <v>100</v>
      </c>
      <c r="AB4127" s="4">
        <v>2</v>
      </c>
      <c r="AC4127" s="4">
        <v>20</v>
      </c>
      <c r="AD4127" s="4">
        <v>31</v>
      </c>
      <c r="AE4127" s="4">
        <v>95</v>
      </c>
      <c r="AF4127" s="4">
        <v>1</v>
      </c>
      <c r="AG4127" s="4">
        <v>8</v>
      </c>
      <c r="AH4127" s="4">
        <v>22</v>
      </c>
      <c r="AI4127" s="4">
        <v>59</v>
      </c>
      <c r="AJ4127" s="4">
        <v>14</v>
      </c>
      <c r="AK4127" s="4">
        <v>23</v>
      </c>
      <c r="AL4127" s="4">
        <v>14</v>
      </c>
      <c r="AM4127" s="4">
        <v>29</v>
      </c>
      <c r="AN4127" s="4">
        <v>0</v>
      </c>
      <c r="AO4127" s="4">
        <v>0</v>
      </c>
      <c r="AP4127" s="4">
        <v>13</v>
      </c>
      <c r="AQ4127" s="4">
        <v>43</v>
      </c>
      <c r="AR4127" s="3" t="s">
        <v>128</v>
      </c>
      <c r="AS4127" s="3" t="s">
        <v>64</v>
      </c>
      <c r="AT4127" s="3" t="s">
        <v>64</v>
      </c>
      <c r="AV4127" s="6" t="str">
        <f>HYPERLINK("http://mcgill.on.worldcat.org/oclc/748089115","Catalog Record")</f>
        <v>Catalog Record</v>
      </c>
      <c r="AW4127" s="6" t="str">
        <f>HYPERLINK("http://www.worldcat.org/oclc/748089115","WorldCat Record")</f>
        <v>WorldCat Record</v>
      </c>
      <c r="AX4127" s="3" t="s">
        <v>40588</v>
      </c>
      <c r="AY4127" s="3" t="s">
        <v>40589</v>
      </c>
      <c r="AZ4127" s="3" t="s">
        <v>40590</v>
      </c>
      <c r="BA4127" s="3" t="s">
        <v>40590</v>
      </c>
      <c r="BB4127" s="3" t="s">
        <v>40591</v>
      </c>
      <c r="BC4127" s="3" t="s">
        <v>77</v>
      </c>
      <c r="BD4127" s="3" t="s">
        <v>78</v>
      </c>
      <c r="BE4127" s="3" t="s">
        <v>40592</v>
      </c>
      <c r="BF4127" s="3" t="s">
        <v>40591</v>
      </c>
      <c r="BG4127" s="3" t="s">
        <v>40593</v>
      </c>
      <c r="BH4127">
        <f t="shared" si="111"/>
        <v>0</v>
      </c>
    </row>
    <row r="4128" spans="1:60" ht="58" x14ac:dyDescent="0.35">
      <c r="A4128" s="2" t="s">
        <v>6202</v>
      </c>
      <c r="B4128" s="2" t="s">
        <v>6203</v>
      </c>
      <c r="C4128" s="2" t="s">
        <v>40594</v>
      </c>
      <c r="D4128" s="2" t="s">
        <v>40595</v>
      </c>
      <c r="E4128" s="2" t="s">
        <v>40596</v>
      </c>
      <c r="G4128" s="3" t="s">
        <v>64</v>
      </c>
      <c r="I4128" s="3" t="s">
        <v>64</v>
      </c>
      <c r="J4128" s="3" t="s">
        <v>64</v>
      </c>
      <c r="K4128" s="3" t="s">
        <v>65</v>
      </c>
      <c r="L4128" s="2" t="s">
        <v>40597</v>
      </c>
      <c r="M4128" s="2" t="s">
        <v>40598</v>
      </c>
      <c r="N4128" s="3" t="s">
        <v>874</v>
      </c>
      <c r="P4128" s="3" t="s">
        <v>102</v>
      </c>
      <c r="R4128" s="3" t="s">
        <v>70</v>
      </c>
      <c r="S4128" s="4">
        <v>3</v>
      </c>
      <c r="T4128" s="4">
        <v>3</v>
      </c>
      <c r="U4128" s="5" t="s">
        <v>22946</v>
      </c>
      <c r="V4128" s="5" t="s">
        <v>22946</v>
      </c>
      <c r="W4128" s="5" t="s">
        <v>72</v>
      </c>
      <c r="X4128" s="5" t="s">
        <v>72</v>
      </c>
      <c r="Y4128" s="4">
        <v>147</v>
      </c>
      <c r="Z4128" s="4">
        <v>32</v>
      </c>
      <c r="AA4128" s="4">
        <v>34</v>
      </c>
      <c r="AB4128" s="4">
        <v>2</v>
      </c>
      <c r="AC4128" s="4">
        <v>4</v>
      </c>
      <c r="AD4128" s="4">
        <v>75</v>
      </c>
      <c r="AE4128" s="4">
        <v>76</v>
      </c>
      <c r="AF4128" s="4">
        <v>0</v>
      </c>
      <c r="AG4128" s="4">
        <v>1</v>
      </c>
      <c r="AH4128" s="4">
        <v>61</v>
      </c>
      <c r="AI4128" s="4">
        <v>62</v>
      </c>
      <c r="AJ4128" s="4">
        <v>20</v>
      </c>
      <c r="AK4128" s="4">
        <v>21</v>
      </c>
      <c r="AL4128" s="4">
        <v>38</v>
      </c>
      <c r="AM4128" s="4">
        <v>38</v>
      </c>
      <c r="AN4128" s="4">
        <v>0</v>
      </c>
      <c r="AO4128" s="4">
        <v>0</v>
      </c>
      <c r="AP4128" s="4">
        <v>22</v>
      </c>
      <c r="AQ4128" s="4">
        <v>23</v>
      </c>
      <c r="AR4128" s="3" t="s">
        <v>64</v>
      </c>
      <c r="AS4128" s="3" t="s">
        <v>64</v>
      </c>
      <c r="AT4128" s="3" t="s">
        <v>128</v>
      </c>
      <c r="AU4128" s="6" t="str">
        <f>HYPERLINK("http://catalog.hathitrust.org/Record/000237998","HathiTrust Record")</f>
        <v>HathiTrust Record</v>
      </c>
      <c r="AV4128" s="6" t="str">
        <f>HYPERLINK("http://mcgill.on.worldcat.org/oclc/7917554","Catalog Record")</f>
        <v>Catalog Record</v>
      </c>
      <c r="AW4128" s="6" t="str">
        <f>HYPERLINK("http://www.worldcat.org/oclc/7917554","WorldCat Record")</f>
        <v>WorldCat Record</v>
      </c>
      <c r="AX4128" s="3" t="s">
        <v>40599</v>
      </c>
      <c r="AY4128" s="3" t="s">
        <v>40600</v>
      </c>
      <c r="AZ4128" s="3" t="s">
        <v>40601</v>
      </c>
      <c r="BA4128" s="3" t="s">
        <v>40601</v>
      </c>
      <c r="BB4128" s="3" t="s">
        <v>40602</v>
      </c>
      <c r="BC4128" s="3" t="s">
        <v>77</v>
      </c>
      <c r="BD4128" s="3" t="s">
        <v>78</v>
      </c>
      <c r="BE4128" s="3" t="s">
        <v>40603</v>
      </c>
      <c r="BF4128" s="3" t="s">
        <v>40602</v>
      </c>
      <c r="BG4128" s="3" t="s">
        <v>40604</v>
      </c>
      <c r="BH4128">
        <f t="shared" si="111"/>
        <v>0</v>
      </c>
    </row>
    <row r="4129" spans="1:60" ht="116" x14ac:dyDescent="0.35">
      <c r="A4129" s="2" t="s">
        <v>6202</v>
      </c>
      <c r="B4129" s="2" t="s">
        <v>6203</v>
      </c>
      <c r="C4129" s="2" t="s">
        <v>40605</v>
      </c>
      <c r="D4129" s="2" t="s">
        <v>40606</v>
      </c>
      <c r="E4129" s="2" t="s">
        <v>40607</v>
      </c>
      <c r="G4129" s="3" t="s">
        <v>64</v>
      </c>
      <c r="I4129" s="3" t="s">
        <v>128</v>
      </c>
      <c r="J4129" s="3" t="s">
        <v>64</v>
      </c>
      <c r="K4129" s="3" t="s">
        <v>65</v>
      </c>
      <c r="L4129" s="2" t="s">
        <v>40608</v>
      </c>
      <c r="M4129" s="2" t="s">
        <v>40609</v>
      </c>
      <c r="N4129" s="3" t="s">
        <v>3584</v>
      </c>
      <c r="P4129" s="3" t="s">
        <v>102</v>
      </c>
      <c r="R4129" s="3" t="s">
        <v>70</v>
      </c>
      <c r="S4129" s="4">
        <v>0</v>
      </c>
      <c r="T4129" s="4">
        <v>2</v>
      </c>
      <c r="V4129" s="5" t="s">
        <v>14833</v>
      </c>
      <c r="W4129" s="5" t="s">
        <v>72</v>
      </c>
      <c r="X4129" s="5" t="s">
        <v>72</v>
      </c>
      <c r="Y4129" s="4">
        <v>232</v>
      </c>
      <c r="Z4129" s="4">
        <v>12</v>
      </c>
      <c r="AA4129" s="4">
        <v>13</v>
      </c>
      <c r="AB4129" s="4">
        <v>1</v>
      </c>
      <c r="AC4129" s="4">
        <v>2</v>
      </c>
      <c r="AD4129" s="4">
        <v>90</v>
      </c>
      <c r="AE4129" s="4">
        <v>91</v>
      </c>
      <c r="AF4129" s="4">
        <v>0</v>
      </c>
      <c r="AG4129" s="4">
        <v>1</v>
      </c>
      <c r="AH4129" s="4">
        <v>85</v>
      </c>
      <c r="AI4129" s="4">
        <v>86</v>
      </c>
      <c r="AJ4129" s="4">
        <v>7</v>
      </c>
      <c r="AK4129" s="4">
        <v>8</v>
      </c>
      <c r="AL4129" s="4">
        <v>51</v>
      </c>
      <c r="AM4129" s="4">
        <v>51</v>
      </c>
      <c r="AN4129" s="4">
        <v>0</v>
      </c>
      <c r="AO4129" s="4">
        <v>0</v>
      </c>
      <c r="AP4129" s="4">
        <v>9</v>
      </c>
      <c r="AQ4129" s="4">
        <v>10</v>
      </c>
      <c r="AR4129" s="3" t="s">
        <v>64</v>
      </c>
      <c r="AS4129" s="3" t="s">
        <v>64</v>
      </c>
      <c r="AT4129" s="3" t="s">
        <v>64</v>
      </c>
      <c r="AU4129" s="6" t="str">
        <f>HYPERLINK("http://catalog.hathitrust.org/Record/003041056","HathiTrust Record")</f>
        <v>HathiTrust Record</v>
      </c>
      <c r="AV4129" s="6" t="str">
        <f>HYPERLINK("http://mcgill.on.worldcat.org/oclc/2332107","Catalog Record")</f>
        <v>Catalog Record</v>
      </c>
      <c r="AW4129" s="6" t="str">
        <f>HYPERLINK("http://www.worldcat.org/oclc/2332107","WorldCat Record")</f>
        <v>WorldCat Record</v>
      </c>
      <c r="AX4129" s="3" t="s">
        <v>40610</v>
      </c>
      <c r="AY4129" s="3" t="s">
        <v>40611</v>
      </c>
      <c r="AZ4129" s="3" t="s">
        <v>40612</v>
      </c>
      <c r="BA4129" s="3" t="s">
        <v>40612</v>
      </c>
      <c r="BB4129" s="3" t="s">
        <v>40613</v>
      </c>
      <c r="BC4129" s="3" t="s">
        <v>77</v>
      </c>
      <c r="BD4129" s="3" t="s">
        <v>78</v>
      </c>
      <c r="BE4129" s="3" t="s">
        <v>40614</v>
      </c>
      <c r="BF4129" s="3" t="s">
        <v>40613</v>
      </c>
      <c r="BG4129" s="3" t="s">
        <v>40615</v>
      </c>
      <c r="BH4129">
        <f t="shared" si="111"/>
        <v>0</v>
      </c>
    </row>
    <row r="4130" spans="1:60" ht="116" x14ac:dyDescent="0.35">
      <c r="A4130" s="2" t="s">
        <v>6202</v>
      </c>
      <c r="B4130" s="2" t="s">
        <v>6203</v>
      </c>
      <c r="C4130" s="2" t="s">
        <v>40605</v>
      </c>
      <c r="D4130" s="2" t="s">
        <v>40606</v>
      </c>
      <c r="E4130" s="2" t="s">
        <v>40607</v>
      </c>
      <c r="G4130" s="3" t="s">
        <v>64</v>
      </c>
      <c r="I4130" s="3" t="s">
        <v>128</v>
      </c>
      <c r="J4130" s="3" t="s">
        <v>64</v>
      </c>
      <c r="K4130" s="3" t="s">
        <v>65</v>
      </c>
      <c r="L4130" s="2" t="s">
        <v>40608</v>
      </c>
      <c r="M4130" s="2" t="s">
        <v>40609</v>
      </c>
      <c r="N4130" s="3" t="s">
        <v>3584</v>
      </c>
      <c r="P4130" s="3" t="s">
        <v>102</v>
      </c>
      <c r="R4130" s="3" t="s">
        <v>70</v>
      </c>
      <c r="S4130" s="4">
        <v>2</v>
      </c>
      <c r="T4130" s="4">
        <v>2</v>
      </c>
      <c r="U4130" s="5" t="s">
        <v>14833</v>
      </c>
      <c r="V4130" s="5" t="s">
        <v>14833</v>
      </c>
      <c r="W4130" s="5" t="s">
        <v>72</v>
      </c>
      <c r="X4130" s="5" t="s">
        <v>72</v>
      </c>
      <c r="Y4130" s="4">
        <v>232</v>
      </c>
      <c r="Z4130" s="4">
        <v>12</v>
      </c>
      <c r="AA4130" s="4">
        <v>13</v>
      </c>
      <c r="AB4130" s="4">
        <v>1</v>
      </c>
      <c r="AC4130" s="4">
        <v>2</v>
      </c>
      <c r="AD4130" s="4">
        <v>90</v>
      </c>
      <c r="AE4130" s="4">
        <v>91</v>
      </c>
      <c r="AF4130" s="4">
        <v>0</v>
      </c>
      <c r="AG4130" s="4">
        <v>1</v>
      </c>
      <c r="AH4130" s="4">
        <v>85</v>
      </c>
      <c r="AI4130" s="4">
        <v>86</v>
      </c>
      <c r="AJ4130" s="4">
        <v>7</v>
      </c>
      <c r="AK4130" s="4">
        <v>8</v>
      </c>
      <c r="AL4130" s="4">
        <v>51</v>
      </c>
      <c r="AM4130" s="4">
        <v>51</v>
      </c>
      <c r="AN4130" s="4">
        <v>0</v>
      </c>
      <c r="AO4130" s="4">
        <v>0</v>
      </c>
      <c r="AP4130" s="4">
        <v>9</v>
      </c>
      <c r="AQ4130" s="4">
        <v>10</v>
      </c>
      <c r="AR4130" s="3" t="s">
        <v>64</v>
      </c>
      <c r="AS4130" s="3" t="s">
        <v>64</v>
      </c>
      <c r="AT4130" s="3" t="s">
        <v>64</v>
      </c>
      <c r="AU4130" s="6" t="str">
        <f>HYPERLINK("http://catalog.hathitrust.org/Record/003041056","HathiTrust Record")</f>
        <v>HathiTrust Record</v>
      </c>
      <c r="AV4130" s="6" t="str">
        <f>HYPERLINK("http://mcgill.on.worldcat.org/oclc/2332107","Catalog Record")</f>
        <v>Catalog Record</v>
      </c>
      <c r="AW4130" s="6" t="str">
        <f>HYPERLINK("http://www.worldcat.org/oclc/2332107","WorldCat Record")</f>
        <v>WorldCat Record</v>
      </c>
      <c r="AX4130" s="3" t="s">
        <v>40610</v>
      </c>
      <c r="AY4130" s="3" t="s">
        <v>40611</v>
      </c>
      <c r="AZ4130" s="3" t="s">
        <v>40612</v>
      </c>
      <c r="BA4130" s="3" t="s">
        <v>40612</v>
      </c>
      <c r="BB4130" s="3" t="s">
        <v>40616</v>
      </c>
      <c r="BC4130" s="3" t="s">
        <v>77</v>
      </c>
      <c r="BD4130" s="3" t="s">
        <v>78</v>
      </c>
      <c r="BE4130" s="3" t="s">
        <v>40614</v>
      </c>
      <c r="BF4130" s="3" t="s">
        <v>40616</v>
      </c>
      <c r="BG4130" s="3" t="s">
        <v>40617</v>
      </c>
      <c r="BH4130">
        <f t="shared" si="111"/>
        <v>0</v>
      </c>
    </row>
    <row r="4131" spans="1:60" ht="58" x14ac:dyDescent="0.35">
      <c r="A4131" s="2" t="s">
        <v>6202</v>
      </c>
      <c r="B4131" s="2" t="s">
        <v>6203</v>
      </c>
      <c r="C4131" s="2" t="s">
        <v>40618</v>
      </c>
      <c r="D4131" s="2" t="s">
        <v>40619</v>
      </c>
      <c r="E4131" s="2" t="s">
        <v>40620</v>
      </c>
      <c r="F4131" s="3" t="s">
        <v>489</v>
      </c>
      <c r="G4131" s="3" t="s">
        <v>128</v>
      </c>
      <c r="I4131" s="3" t="s">
        <v>64</v>
      </c>
      <c r="J4131" s="3" t="s">
        <v>64</v>
      </c>
      <c r="K4131" s="3" t="s">
        <v>65</v>
      </c>
      <c r="L4131" s="2" t="s">
        <v>40621</v>
      </c>
      <c r="M4131" s="2" t="s">
        <v>40622</v>
      </c>
      <c r="N4131" s="3" t="s">
        <v>405</v>
      </c>
      <c r="P4131" s="3" t="s">
        <v>102</v>
      </c>
      <c r="R4131" s="3" t="s">
        <v>70</v>
      </c>
      <c r="S4131" s="4">
        <v>1</v>
      </c>
      <c r="T4131" s="4">
        <v>2</v>
      </c>
      <c r="U4131" s="5" t="s">
        <v>40623</v>
      </c>
      <c r="V4131" s="5" t="s">
        <v>40623</v>
      </c>
      <c r="W4131" s="5" t="s">
        <v>72</v>
      </c>
      <c r="X4131" s="5" t="s">
        <v>72</v>
      </c>
      <c r="Y4131" s="4">
        <v>115</v>
      </c>
      <c r="Z4131" s="4">
        <v>13</v>
      </c>
      <c r="AA4131" s="4">
        <v>15</v>
      </c>
      <c r="AB4131" s="4">
        <v>1</v>
      </c>
      <c r="AC4131" s="4">
        <v>3</v>
      </c>
      <c r="AD4131" s="4">
        <v>67</v>
      </c>
      <c r="AE4131" s="4">
        <v>71</v>
      </c>
      <c r="AF4131" s="4">
        <v>0</v>
      </c>
      <c r="AG4131" s="4">
        <v>2</v>
      </c>
      <c r="AH4131" s="4">
        <v>62</v>
      </c>
      <c r="AI4131" s="4">
        <v>65</v>
      </c>
      <c r="AJ4131" s="4">
        <v>9</v>
      </c>
      <c r="AK4131" s="4">
        <v>11</v>
      </c>
      <c r="AL4131" s="4">
        <v>38</v>
      </c>
      <c r="AM4131" s="4">
        <v>40</v>
      </c>
      <c r="AN4131" s="4">
        <v>0</v>
      </c>
      <c r="AO4131" s="4">
        <v>0</v>
      </c>
      <c r="AP4131" s="4">
        <v>10</v>
      </c>
      <c r="AQ4131" s="4">
        <v>11</v>
      </c>
      <c r="AR4131" s="3" t="s">
        <v>64</v>
      </c>
      <c r="AS4131" s="3" t="s">
        <v>64</v>
      </c>
      <c r="AT4131" s="3" t="s">
        <v>128</v>
      </c>
      <c r="AU4131" s="6" t="str">
        <f>HYPERLINK("http://catalog.hathitrust.org/Record/000212193","HathiTrust Record")</f>
        <v>HathiTrust Record</v>
      </c>
      <c r="AV4131" s="6" t="str">
        <f>HYPERLINK("http://mcgill.on.worldcat.org/oclc/2917618","Catalog Record")</f>
        <v>Catalog Record</v>
      </c>
      <c r="AW4131" s="6" t="str">
        <f>HYPERLINK("http://www.worldcat.org/oclc/2917618","WorldCat Record")</f>
        <v>WorldCat Record</v>
      </c>
      <c r="AX4131" s="3" t="s">
        <v>40624</v>
      </c>
      <c r="AY4131" s="3" t="s">
        <v>40625</v>
      </c>
      <c r="AZ4131" s="3" t="s">
        <v>40626</v>
      </c>
      <c r="BA4131" s="3" t="s">
        <v>40626</v>
      </c>
      <c r="BB4131" s="3" t="s">
        <v>40627</v>
      </c>
      <c r="BC4131" s="3" t="s">
        <v>77</v>
      </c>
      <c r="BD4131" s="3" t="s">
        <v>78</v>
      </c>
      <c r="BE4131" s="3" t="s">
        <v>40628</v>
      </c>
      <c r="BF4131" s="3" t="s">
        <v>40627</v>
      </c>
      <c r="BG4131" s="3" t="s">
        <v>40629</v>
      </c>
      <c r="BH4131">
        <f t="shared" si="111"/>
        <v>0</v>
      </c>
    </row>
    <row r="4132" spans="1:60" ht="58" x14ac:dyDescent="0.35">
      <c r="A4132" s="2" t="s">
        <v>6202</v>
      </c>
      <c r="B4132" s="2" t="s">
        <v>6203</v>
      </c>
      <c r="C4132" s="2" t="s">
        <v>40618</v>
      </c>
      <c r="D4132" s="2" t="s">
        <v>40619</v>
      </c>
      <c r="E4132" s="2" t="s">
        <v>40620</v>
      </c>
      <c r="F4132" s="3" t="s">
        <v>478</v>
      </c>
      <c r="G4132" s="3" t="s">
        <v>128</v>
      </c>
      <c r="I4132" s="3" t="s">
        <v>64</v>
      </c>
      <c r="J4132" s="3" t="s">
        <v>64</v>
      </c>
      <c r="K4132" s="3" t="s">
        <v>65</v>
      </c>
      <c r="L4132" s="2" t="s">
        <v>40621</v>
      </c>
      <c r="M4132" s="2" t="s">
        <v>40622</v>
      </c>
      <c r="N4132" s="3" t="s">
        <v>405</v>
      </c>
      <c r="P4132" s="3" t="s">
        <v>102</v>
      </c>
      <c r="R4132" s="3" t="s">
        <v>70</v>
      </c>
      <c r="S4132" s="4">
        <v>1</v>
      </c>
      <c r="T4132" s="4">
        <v>2</v>
      </c>
      <c r="U4132" s="5" t="s">
        <v>40623</v>
      </c>
      <c r="V4132" s="5" t="s">
        <v>40623</v>
      </c>
      <c r="W4132" s="5" t="s">
        <v>72</v>
      </c>
      <c r="X4132" s="5" t="s">
        <v>72</v>
      </c>
      <c r="Y4132" s="4">
        <v>115</v>
      </c>
      <c r="Z4132" s="4">
        <v>13</v>
      </c>
      <c r="AA4132" s="4">
        <v>15</v>
      </c>
      <c r="AB4132" s="4">
        <v>1</v>
      </c>
      <c r="AC4132" s="4">
        <v>3</v>
      </c>
      <c r="AD4132" s="4">
        <v>67</v>
      </c>
      <c r="AE4132" s="4">
        <v>71</v>
      </c>
      <c r="AF4132" s="4">
        <v>0</v>
      </c>
      <c r="AG4132" s="4">
        <v>2</v>
      </c>
      <c r="AH4132" s="4">
        <v>62</v>
      </c>
      <c r="AI4132" s="4">
        <v>65</v>
      </c>
      <c r="AJ4132" s="4">
        <v>9</v>
      </c>
      <c r="AK4132" s="4">
        <v>11</v>
      </c>
      <c r="AL4132" s="4">
        <v>38</v>
      </c>
      <c r="AM4132" s="4">
        <v>40</v>
      </c>
      <c r="AN4132" s="4">
        <v>0</v>
      </c>
      <c r="AO4132" s="4">
        <v>0</v>
      </c>
      <c r="AP4132" s="4">
        <v>10</v>
      </c>
      <c r="AQ4132" s="4">
        <v>11</v>
      </c>
      <c r="AR4132" s="3" t="s">
        <v>64</v>
      </c>
      <c r="AS4132" s="3" t="s">
        <v>64</v>
      </c>
      <c r="AT4132" s="3" t="s">
        <v>128</v>
      </c>
      <c r="AU4132" s="6" t="str">
        <f>HYPERLINK("http://catalog.hathitrust.org/Record/000212193","HathiTrust Record")</f>
        <v>HathiTrust Record</v>
      </c>
      <c r="AV4132" s="6" t="str">
        <f>HYPERLINK("http://mcgill.on.worldcat.org/oclc/2917618","Catalog Record")</f>
        <v>Catalog Record</v>
      </c>
      <c r="AW4132" s="6" t="str">
        <f>HYPERLINK("http://www.worldcat.org/oclc/2917618","WorldCat Record")</f>
        <v>WorldCat Record</v>
      </c>
      <c r="AX4132" s="3" t="s">
        <v>40624</v>
      </c>
      <c r="AY4132" s="3" t="s">
        <v>40625</v>
      </c>
      <c r="AZ4132" s="3" t="s">
        <v>40626</v>
      </c>
      <c r="BA4132" s="3" t="s">
        <v>40626</v>
      </c>
      <c r="BB4132" s="3" t="s">
        <v>40630</v>
      </c>
      <c r="BC4132" s="3" t="s">
        <v>77</v>
      </c>
      <c r="BD4132" s="3" t="s">
        <v>78</v>
      </c>
      <c r="BE4132" s="3" t="s">
        <v>40628</v>
      </c>
      <c r="BF4132" s="3" t="s">
        <v>40630</v>
      </c>
      <c r="BG4132" s="3" t="s">
        <v>40631</v>
      </c>
      <c r="BH4132">
        <f t="shared" si="111"/>
        <v>0</v>
      </c>
    </row>
    <row r="4133" spans="1:60" ht="58" x14ac:dyDescent="0.35">
      <c r="A4133" s="2" t="s">
        <v>6202</v>
      </c>
      <c r="B4133" s="2" t="s">
        <v>6203</v>
      </c>
      <c r="C4133" s="2" t="s">
        <v>40632</v>
      </c>
      <c r="D4133" s="2" t="s">
        <v>40633</v>
      </c>
      <c r="E4133" s="2" t="s">
        <v>40634</v>
      </c>
      <c r="G4133" s="3" t="s">
        <v>64</v>
      </c>
      <c r="I4133" s="3" t="s">
        <v>64</v>
      </c>
      <c r="J4133" s="3" t="s">
        <v>64</v>
      </c>
      <c r="K4133" s="3" t="s">
        <v>65</v>
      </c>
      <c r="L4133" s="2" t="s">
        <v>40635</v>
      </c>
      <c r="M4133" s="2" t="s">
        <v>40636</v>
      </c>
      <c r="N4133" s="3" t="s">
        <v>7285</v>
      </c>
      <c r="P4133" s="3" t="s">
        <v>102</v>
      </c>
      <c r="R4133" s="3" t="s">
        <v>70</v>
      </c>
      <c r="S4133" s="4">
        <v>1</v>
      </c>
      <c r="T4133" s="4">
        <v>1</v>
      </c>
      <c r="U4133" s="5" t="s">
        <v>6638</v>
      </c>
      <c r="V4133" s="5" t="s">
        <v>6638</v>
      </c>
      <c r="W4133" s="5" t="s">
        <v>72</v>
      </c>
      <c r="X4133" s="5" t="s">
        <v>72</v>
      </c>
      <c r="Y4133" s="4">
        <v>292</v>
      </c>
      <c r="Z4133" s="4">
        <v>23</v>
      </c>
      <c r="AA4133" s="4">
        <v>24</v>
      </c>
      <c r="AB4133" s="4">
        <v>1</v>
      </c>
      <c r="AC4133" s="4">
        <v>2</v>
      </c>
      <c r="AD4133" s="4">
        <v>111</v>
      </c>
      <c r="AE4133" s="4">
        <v>115</v>
      </c>
      <c r="AF4133" s="4">
        <v>0</v>
      </c>
      <c r="AG4133" s="4">
        <v>1</v>
      </c>
      <c r="AH4133" s="4">
        <v>99</v>
      </c>
      <c r="AI4133" s="4">
        <v>102</v>
      </c>
      <c r="AJ4133" s="4">
        <v>17</v>
      </c>
      <c r="AK4133" s="4">
        <v>18</v>
      </c>
      <c r="AL4133" s="4">
        <v>51</v>
      </c>
      <c r="AM4133" s="4">
        <v>53</v>
      </c>
      <c r="AN4133" s="4">
        <v>0</v>
      </c>
      <c r="AO4133" s="4">
        <v>0</v>
      </c>
      <c r="AP4133" s="4">
        <v>19</v>
      </c>
      <c r="AQ4133" s="4">
        <v>19</v>
      </c>
      <c r="AR4133" s="3" t="s">
        <v>64</v>
      </c>
      <c r="AS4133" s="3" t="s">
        <v>64</v>
      </c>
      <c r="AT4133" s="3" t="s">
        <v>128</v>
      </c>
      <c r="AU4133" s="6" t="str">
        <f>HYPERLINK("http://catalog.hathitrust.org/Record/001168788","HathiTrust Record")</f>
        <v>HathiTrust Record</v>
      </c>
      <c r="AV4133" s="6" t="str">
        <f>HYPERLINK("http://mcgill.on.worldcat.org/oclc/267847","Catalog Record")</f>
        <v>Catalog Record</v>
      </c>
      <c r="AW4133" s="6" t="str">
        <f>HYPERLINK("http://www.worldcat.org/oclc/267847","WorldCat Record")</f>
        <v>WorldCat Record</v>
      </c>
      <c r="AX4133" s="3" t="s">
        <v>40637</v>
      </c>
      <c r="AY4133" s="3" t="s">
        <v>40638</v>
      </c>
      <c r="AZ4133" s="3" t="s">
        <v>40639</v>
      </c>
      <c r="BA4133" s="3" t="s">
        <v>40639</v>
      </c>
      <c r="BB4133" s="3" t="s">
        <v>40640</v>
      </c>
      <c r="BC4133" s="3" t="s">
        <v>77</v>
      </c>
      <c r="BD4133" s="3" t="s">
        <v>78</v>
      </c>
      <c r="BE4133" s="3" t="s">
        <v>40641</v>
      </c>
      <c r="BF4133" s="3" t="s">
        <v>40640</v>
      </c>
      <c r="BG4133" s="3" t="s">
        <v>40642</v>
      </c>
      <c r="BH4133">
        <f t="shared" si="111"/>
        <v>0</v>
      </c>
    </row>
    <row r="4134" spans="1:60" ht="58" x14ac:dyDescent="0.35">
      <c r="A4134" s="2" t="s">
        <v>6202</v>
      </c>
      <c r="B4134" s="2" t="s">
        <v>6203</v>
      </c>
      <c r="C4134" s="2" t="s">
        <v>40643</v>
      </c>
      <c r="D4134" s="2" t="s">
        <v>40644</v>
      </c>
      <c r="E4134" s="2" t="s">
        <v>40645</v>
      </c>
      <c r="G4134" s="3" t="s">
        <v>64</v>
      </c>
      <c r="I4134" s="3" t="s">
        <v>64</v>
      </c>
      <c r="J4134" s="3" t="s">
        <v>64</v>
      </c>
      <c r="K4134" s="3" t="s">
        <v>65</v>
      </c>
      <c r="L4134" s="2" t="s">
        <v>40646</v>
      </c>
      <c r="M4134" s="2" t="s">
        <v>40647</v>
      </c>
      <c r="N4134" s="3" t="s">
        <v>1615</v>
      </c>
      <c r="P4134" s="3" t="s">
        <v>102</v>
      </c>
      <c r="Q4134" s="2" t="s">
        <v>40648</v>
      </c>
      <c r="R4134" s="3" t="s">
        <v>70</v>
      </c>
      <c r="S4134" s="4">
        <v>1</v>
      </c>
      <c r="T4134" s="4">
        <v>1</v>
      </c>
      <c r="U4134" s="5" t="s">
        <v>2935</v>
      </c>
      <c r="V4134" s="5" t="s">
        <v>2935</v>
      </c>
      <c r="W4134" s="5" t="s">
        <v>72</v>
      </c>
      <c r="X4134" s="5" t="s">
        <v>72</v>
      </c>
      <c r="Y4134" s="4">
        <v>198</v>
      </c>
      <c r="Z4134" s="4">
        <v>13</v>
      </c>
      <c r="AA4134" s="4">
        <v>37</v>
      </c>
      <c r="AB4134" s="4">
        <v>1</v>
      </c>
      <c r="AC4134" s="4">
        <v>6</v>
      </c>
      <c r="AD4134" s="4">
        <v>75</v>
      </c>
      <c r="AE4134" s="4">
        <v>93</v>
      </c>
      <c r="AF4134" s="4">
        <v>0</v>
      </c>
      <c r="AG4134" s="4">
        <v>1</v>
      </c>
      <c r="AH4134" s="4">
        <v>67</v>
      </c>
      <c r="AI4134" s="4">
        <v>83</v>
      </c>
      <c r="AJ4134" s="4">
        <v>10</v>
      </c>
      <c r="AK4134" s="4">
        <v>11</v>
      </c>
      <c r="AL4134" s="4">
        <v>43</v>
      </c>
      <c r="AM4134" s="4">
        <v>49</v>
      </c>
      <c r="AN4134" s="4">
        <v>0</v>
      </c>
      <c r="AO4134" s="4">
        <v>0</v>
      </c>
      <c r="AP4134" s="4">
        <v>9</v>
      </c>
      <c r="AQ4134" s="4">
        <v>12</v>
      </c>
      <c r="AR4134" s="3" t="s">
        <v>64</v>
      </c>
      <c r="AS4134" s="3" t="s">
        <v>64</v>
      </c>
      <c r="AT4134" s="3" t="s">
        <v>64</v>
      </c>
      <c r="AV4134" s="6" t="str">
        <f>HYPERLINK("http://mcgill.on.worldcat.org/oclc/34341738","Catalog Record")</f>
        <v>Catalog Record</v>
      </c>
      <c r="AW4134" s="6" t="str">
        <f>HYPERLINK("http://www.worldcat.org/oclc/34341738","WorldCat Record")</f>
        <v>WorldCat Record</v>
      </c>
      <c r="AX4134" s="3" t="s">
        <v>40649</v>
      </c>
      <c r="AY4134" s="3" t="s">
        <v>40650</v>
      </c>
      <c r="AZ4134" s="3" t="s">
        <v>40651</v>
      </c>
      <c r="BA4134" s="3" t="s">
        <v>40651</v>
      </c>
      <c r="BB4134" s="3" t="s">
        <v>40652</v>
      </c>
      <c r="BC4134" s="3" t="s">
        <v>77</v>
      </c>
      <c r="BD4134" s="3" t="s">
        <v>78</v>
      </c>
      <c r="BE4134" s="3" t="s">
        <v>40653</v>
      </c>
      <c r="BF4134" s="3" t="s">
        <v>40652</v>
      </c>
      <c r="BG4134" s="3" t="s">
        <v>40654</v>
      </c>
      <c r="BH4134">
        <f t="shared" si="111"/>
        <v>0</v>
      </c>
    </row>
    <row r="4135" spans="1:60" ht="58" x14ac:dyDescent="0.35">
      <c r="A4135" s="2" t="s">
        <v>59</v>
      </c>
      <c r="B4135" s="2" t="s">
        <v>60</v>
      </c>
      <c r="C4135" s="2" t="s">
        <v>40655</v>
      </c>
      <c r="D4135" s="2" t="s">
        <v>40656</v>
      </c>
      <c r="E4135" s="2" t="s">
        <v>40657</v>
      </c>
      <c r="G4135" s="3" t="s">
        <v>64</v>
      </c>
      <c r="I4135" s="3" t="s">
        <v>64</v>
      </c>
      <c r="J4135" s="3" t="s">
        <v>64</v>
      </c>
      <c r="K4135" s="3" t="s">
        <v>65</v>
      </c>
      <c r="L4135" s="2" t="s">
        <v>40658</v>
      </c>
      <c r="M4135" s="2" t="s">
        <v>40659</v>
      </c>
      <c r="N4135" s="3" t="s">
        <v>511</v>
      </c>
      <c r="P4135" s="3" t="s">
        <v>1479</v>
      </c>
      <c r="Q4135" s="2" t="s">
        <v>40660</v>
      </c>
      <c r="R4135" s="3" t="s">
        <v>70</v>
      </c>
      <c r="S4135" s="4">
        <v>1</v>
      </c>
      <c r="T4135" s="4">
        <v>1</v>
      </c>
      <c r="U4135" s="5" t="s">
        <v>31616</v>
      </c>
      <c r="V4135" s="5" t="s">
        <v>31616</v>
      </c>
      <c r="W4135" s="5" t="s">
        <v>72</v>
      </c>
      <c r="X4135" s="5" t="s">
        <v>72</v>
      </c>
      <c r="Y4135" s="4">
        <v>113</v>
      </c>
      <c r="Z4135" s="4">
        <v>10</v>
      </c>
      <c r="AA4135" s="4">
        <v>12</v>
      </c>
      <c r="AB4135" s="4">
        <v>1</v>
      </c>
      <c r="AC4135" s="4">
        <v>3</v>
      </c>
      <c r="AD4135" s="4">
        <v>58</v>
      </c>
      <c r="AE4135" s="4">
        <v>59</v>
      </c>
      <c r="AF4135" s="4">
        <v>0</v>
      </c>
      <c r="AG4135" s="4">
        <v>1</v>
      </c>
      <c r="AH4135" s="4">
        <v>56</v>
      </c>
      <c r="AI4135" s="4">
        <v>56</v>
      </c>
      <c r="AJ4135" s="4">
        <v>8</v>
      </c>
      <c r="AK4135" s="4">
        <v>9</v>
      </c>
      <c r="AL4135" s="4">
        <v>37</v>
      </c>
      <c r="AM4135" s="4">
        <v>37</v>
      </c>
      <c r="AN4135" s="4">
        <v>0</v>
      </c>
      <c r="AO4135" s="4">
        <v>0</v>
      </c>
      <c r="AP4135" s="4">
        <v>8</v>
      </c>
      <c r="AQ4135" s="4">
        <v>8</v>
      </c>
      <c r="AR4135" s="3" t="s">
        <v>64</v>
      </c>
      <c r="AS4135" s="3" t="s">
        <v>64</v>
      </c>
      <c r="AT4135" s="3" t="s">
        <v>64</v>
      </c>
      <c r="AV4135" s="6" t="str">
        <f>HYPERLINK("http://mcgill.on.worldcat.org/oclc/701842999","Catalog Record")</f>
        <v>Catalog Record</v>
      </c>
      <c r="AW4135" s="6" t="str">
        <f>HYPERLINK("http://www.worldcat.org/oclc/701842999","WorldCat Record")</f>
        <v>WorldCat Record</v>
      </c>
      <c r="AX4135" s="3" t="s">
        <v>40661</v>
      </c>
      <c r="AY4135" s="3" t="s">
        <v>40662</v>
      </c>
      <c r="AZ4135" s="3" t="s">
        <v>40663</v>
      </c>
      <c r="BA4135" s="3" t="s">
        <v>40663</v>
      </c>
      <c r="BB4135" s="3" t="s">
        <v>40664</v>
      </c>
      <c r="BC4135" s="3" t="s">
        <v>77</v>
      </c>
      <c r="BD4135" s="3" t="s">
        <v>78</v>
      </c>
      <c r="BE4135" s="3" t="s">
        <v>40665</v>
      </c>
      <c r="BF4135" s="3" t="s">
        <v>40664</v>
      </c>
      <c r="BG4135" s="3" t="s">
        <v>40666</v>
      </c>
      <c r="BH4135">
        <f t="shared" si="111"/>
        <v>0</v>
      </c>
    </row>
    <row r="4136" spans="1:60" ht="58" x14ac:dyDescent="0.35">
      <c r="A4136" s="2" t="s">
        <v>59</v>
      </c>
      <c r="B4136" s="2" t="s">
        <v>60</v>
      </c>
      <c r="C4136" s="2" t="s">
        <v>40667</v>
      </c>
      <c r="D4136" s="2" t="s">
        <v>40668</v>
      </c>
      <c r="E4136" s="2" t="s">
        <v>40669</v>
      </c>
      <c r="G4136" s="3" t="s">
        <v>64</v>
      </c>
      <c r="I4136" s="3" t="s">
        <v>64</v>
      </c>
      <c r="J4136" s="3" t="s">
        <v>64</v>
      </c>
      <c r="K4136" s="3" t="s">
        <v>65</v>
      </c>
      <c r="L4136" s="2" t="s">
        <v>40670</v>
      </c>
      <c r="M4136" s="2" t="s">
        <v>40671</v>
      </c>
      <c r="N4136" s="3" t="s">
        <v>578</v>
      </c>
      <c r="P4136" s="3" t="s">
        <v>102</v>
      </c>
      <c r="Q4136" s="2" t="s">
        <v>40672</v>
      </c>
      <c r="R4136" s="3" t="s">
        <v>70</v>
      </c>
      <c r="S4136" s="4">
        <v>0</v>
      </c>
      <c r="T4136" s="4">
        <v>0</v>
      </c>
      <c r="W4136" s="5" t="s">
        <v>72</v>
      </c>
      <c r="X4136" s="5" t="s">
        <v>72</v>
      </c>
      <c r="Y4136" s="4">
        <v>49</v>
      </c>
      <c r="Z4136" s="4">
        <v>4</v>
      </c>
      <c r="AA4136" s="4">
        <v>4</v>
      </c>
      <c r="AB4136" s="4">
        <v>1</v>
      </c>
      <c r="AC4136" s="4">
        <v>1</v>
      </c>
      <c r="AD4136" s="4">
        <v>36</v>
      </c>
      <c r="AE4136" s="4">
        <v>36</v>
      </c>
      <c r="AF4136" s="4">
        <v>0</v>
      </c>
      <c r="AG4136" s="4">
        <v>0</v>
      </c>
      <c r="AH4136" s="4">
        <v>35</v>
      </c>
      <c r="AI4136" s="4">
        <v>35</v>
      </c>
      <c r="AJ4136" s="4">
        <v>3</v>
      </c>
      <c r="AK4136" s="4">
        <v>3</v>
      </c>
      <c r="AL4136" s="4">
        <v>22</v>
      </c>
      <c r="AM4136" s="4">
        <v>22</v>
      </c>
      <c r="AN4136" s="4">
        <v>0</v>
      </c>
      <c r="AO4136" s="4">
        <v>0</v>
      </c>
      <c r="AP4136" s="4">
        <v>3</v>
      </c>
      <c r="AQ4136" s="4">
        <v>3</v>
      </c>
      <c r="AR4136" s="3" t="s">
        <v>64</v>
      </c>
      <c r="AS4136" s="3" t="s">
        <v>64</v>
      </c>
      <c r="AT4136" s="3" t="s">
        <v>64</v>
      </c>
      <c r="AV4136" s="6" t="str">
        <f>HYPERLINK("http://mcgill.on.worldcat.org/oclc/1002065885","Catalog Record")</f>
        <v>Catalog Record</v>
      </c>
      <c r="AW4136" s="6" t="str">
        <f>HYPERLINK("http://www.worldcat.org/oclc/1002065885","WorldCat Record")</f>
        <v>WorldCat Record</v>
      </c>
      <c r="AX4136" s="3" t="s">
        <v>40673</v>
      </c>
      <c r="AY4136" s="3" t="s">
        <v>40674</v>
      </c>
      <c r="AZ4136" s="3" t="s">
        <v>40675</v>
      </c>
      <c r="BA4136" s="3" t="s">
        <v>40675</v>
      </c>
      <c r="BB4136" s="3" t="s">
        <v>40676</v>
      </c>
      <c r="BC4136" s="3" t="s">
        <v>77</v>
      </c>
      <c r="BD4136" s="3" t="s">
        <v>78</v>
      </c>
      <c r="BF4136" s="3" t="s">
        <v>40676</v>
      </c>
      <c r="BG4136" s="3" t="s">
        <v>40677</v>
      </c>
      <c r="BH4136">
        <f t="shared" si="111"/>
        <v>0</v>
      </c>
    </row>
    <row r="4137" spans="1:60" ht="58" x14ac:dyDescent="0.35">
      <c r="A4137" s="2" t="s">
        <v>6202</v>
      </c>
      <c r="B4137" s="2" t="s">
        <v>6203</v>
      </c>
      <c r="C4137" s="2" t="s">
        <v>40678</v>
      </c>
      <c r="D4137" s="2" t="s">
        <v>40679</v>
      </c>
      <c r="E4137" s="2" t="s">
        <v>40680</v>
      </c>
      <c r="G4137" s="3" t="s">
        <v>64</v>
      </c>
      <c r="I4137" s="3" t="s">
        <v>64</v>
      </c>
      <c r="J4137" s="3" t="s">
        <v>64</v>
      </c>
      <c r="K4137" s="3" t="s">
        <v>65</v>
      </c>
      <c r="L4137" s="2" t="s">
        <v>40681</v>
      </c>
      <c r="M4137" s="2" t="s">
        <v>40682</v>
      </c>
      <c r="N4137" s="3" t="s">
        <v>3047</v>
      </c>
      <c r="P4137" s="3" t="s">
        <v>68</v>
      </c>
      <c r="R4137" s="3" t="s">
        <v>70</v>
      </c>
      <c r="S4137" s="4">
        <v>2</v>
      </c>
      <c r="T4137" s="4">
        <v>2</v>
      </c>
      <c r="U4137" s="5" t="s">
        <v>30478</v>
      </c>
      <c r="V4137" s="5" t="s">
        <v>30478</v>
      </c>
      <c r="W4137" s="5" t="s">
        <v>72</v>
      </c>
      <c r="X4137" s="5" t="s">
        <v>72</v>
      </c>
      <c r="Y4137" s="4">
        <v>57</v>
      </c>
      <c r="Z4137" s="4">
        <v>3</v>
      </c>
      <c r="AA4137" s="4">
        <v>3</v>
      </c>
      <c r="AB4137" s="4">
        <v>1</v>
      </c>
      <c r="AC4137" s="4">
        <v>1</v>
      </c>
      <c r="AD4137" s="4">
        <v>26</v>
      </c>
      <c r="AE4137" s="4">
        <v>26</v>
      </c>
      <c r="AF4137" s="4">
        <v>0</v>
      </c>
      <c r="AG4137" s="4">
        <v>0</v>
      </c>
      <c r="AH4137" s="4">
        <v>25</v>
      </c>
      <c r="AI4137" s="4">
        <v>25</v>
      </c>
      <c r="AJ4137" s="4">
        <v>1</v>
      </c>
      <c r="AK4137" s="4">
        <v>1</v>
      </c>
      <c r="AL4137" s="4">
        <v>21</v>
      </c>
      <c r="AM4137" s="4">
        <v>21</v>
      </c>
      <c r="AN4137" s="4">
        <v>0</v>
      </c>
      <c r="AO4137" s="4">
        <v>0</v>
      </c>
      <c r="AP4137" s="4">
        <v>1</v>
      </c>
      <c r="AQ4137" s="4">
        <v>1</v>
      </c>
      <c r="AR4137" s="3" t="s">
        <v>64</v>
      </c>
      <c r="AS4137" s="3" t="s">
        <v>64</v>
      </c>
      <c r="AT4137" s="3" t="s">
        <v>64</v>
      </c>
      <c r="AV4137" s="6" t="str">
        <f>HYPERLINK("http://mcgill.on.worldcat.org/oclc/17674157","Catalog Record")</f>
        <v>Catalog Record</v>
      </c>
      <c r="AW4137" s="6" t="str">
        <f>HYPERLINK("http://www.worldcat.org/oclc/17674157","WorldCat Record")</f>
        <v>WorldCat Record</v>
      </c>
      <c r="AX4137" s="3" t="s">
        <v>40683</v>
      </c>
      <c r="AY4137" s="3" t="s">
        <v>40684</v>
      </c>
      <c r="AZ4137" s="3" t="s">
        <v>40685</v>
      </c>
      <c r="BA4137" s="3" t="s">
        <v>40685</v>
      </c>
      <c r="BB4137" s="3" t="s">
        <v>40686</v>
      </c>
      <c r="BC4137" s="3" t="s">
        <v>77</v>
      </c>
      <c r="BD4137" s="3" t="s">
        <v>78</v>
      </c>
      <c r="BE4137" s="3" t="s">
        <v>40687</v>
      </c>
      <c r="BF4137" s="3" t="s">
        <v>40686</v>
      </c>
      <c r="BG4137" s="3" t="s">
        <v>40688</v>
      </c>
      <c r="BH4137">
        <f t="shared" si="111"/>
        <v>0</v>
      </c>
    </row>
    <row r="4138" spans="1:60" ht="58" x14ac:dyDescent="0.35">
      <c r="A4138" s="2" t="s">
        <v>59</v>
      </c>
      <c r="B4138" s="2" t="s">
        <v>60</v>
      </c>
      <c r="C4138" s="2" t="s">
        <v>40689</v>
      </c>
      <c r="D4138" s="2" t="s">
        <v>40690</v>
      </c>
      <c r="E4138" s="2" t="s">
        <v>40691</v>
      </c>
      <c r="G4138" s="3" t="s">
        <v>64</v>
      </c>
      <c r="I4138" s="3" t="s">
        <v>64</v>
      </c>
      <c r="J4138" s="3" t="s">
        <v>64</v>
      </c>
      <c r="K4138" s="3" t="s">
        <v>65</v>
      </c>
      <c r="M4138" s="2" t="s">
        <v>37762</v>
      </c>
      <c r="N4138" s="3" t="s">
        <v>537</v>
      </c>
      <c r="P4138" s="3" t="s">
        <v>1479</v>
      </c>
      <c r="Q4138" s="2" t="s">
        <v>40692</v>
      </c>
      <c r="R4138" s="3" t="s">
        <v>70</v>
      </c>
      <c r="S4138" s="4">
        <v>0</v>
      </c>
      <c r="T4138" s="4">
        <v>0</v>
      </c>
      <c r="W4138" s="5" t="s">
        <v>72</v>
      </c>
      <c r="X4138" s="5" t="s">
        <v>72</v>
      </c>
      <c r="Y4138" s="4">
        <v>55</v>
      </c>
      <c r="Z4138" s="4">
        <v>3</v>
      </c>
      <c r="AA4138" s="4">
        <v>4</v>
      </c>
      <c r="AB4138" s="4">
        <v>1</v>
      </c>
      <c r="AC4138" s="4">
        <v>2</v>
      </c>
      <c r="AD4138" s="4">
        <v>35</v>
      </c>
      <c r="AE4138" s="4">
        <v>37</v>
      </c>
      <c r="AF4138" s="4">
        <v>0</v>
      </c>
      <c r="AG4138" s="4">
        <v>0</v>
      </c>
      <c r="AH4138" s="4">
        <v>34</v>
      </c>
      <c r="AI4138" s="4">
        <v>36</v>
      </c>
      <c r="AJ4138" s="4">
        <v>2</v>
      </c>
      <c r="AK4138" s="4">
        <v>2</v>
      </c>
      <c r="AL4138" s="4">
        <v>26</v>
      </c>
      <c r="AM4138" s="4">
        <v>27</v>
      </c>
      <c r="AN4138" s="4">
        <v>0</v>
      </c>
      <c r="AO4138" s="4">
        <v>0</v>
      </c>
      <c r="AP4138" s="4">
        <v>2</v>
      </c>
      <c r="AQ4138" s="4">
        <v>2</v>
      </c>
      <c r="AR4138" s="3" t="s">
        <v>64</v>
      </c>
      <c r="AS4138" s="3" t="s">
        <v>64</v>
      </c>
      <c r="AT4138" s="3" t="s">
        <v>64</v>
      </c>
      <c r="AV4138" s="6" t="str">
        <f>HYPERLINK("http://mcgill.on.worldcat.org/oclc/951613161","Catalog Record")</f>
        <v>Catalog Record</v>
      </c>
      <c r="AW4138" s="6" t="str">
        <f>HYPERLINK("http://www.worldcat.org/oclc/951613161","WorldCat Record")</f>
        <v>WorldCat Record</v>
      </c>
      <c r="AX4138" s="3" t="s">
        <v>40693</v>
      </c>
      <c r="AY4138" s="3" t="s">
        <v>40694</v>
      </c>
      <c r="AZ4138" s="3" t="s">
        <v>40695</v>
      </c>
      <c r="BA4138" s="3" t="s">
        <v>40695</v>
      </c>
      <c r="BB4138" s="3" t="s">
        <v>40696</v>
      </c>
      <c r="BC4138" s="3" t="s">
        <v>77</v>
      </c>
      <c r="BD4138" s="3" t="s">
        <v>78</v>
      </c>
      <c r="BE4138" s="3" t="s">
        <v>40697</v>
      </c>
      <c r="BF4138" s="3" t="s">
        <v>40696</v>
      </c>
      <c r="BG4138" s="3" t="s">
        <v>40698</v>
      </c>
      <c r="BH4138">
        <f t="shared" si="111"/>
        <v>0</v>
      </c>
    </row>
    <row r="4139" spans="1:60" ht="58" x14ac:dyDescent="0.35">
      <c r="A4139" s="2" t="s">
        <v>6202</v>
      </c>
      <c r="B4139" s="2" t="s">
        <v>6203</v>
      </c>
      <c r="C4139" s="2" t="s">
        <v>40699</v>
      </c>
      <c r="D4139" s="2" t="s">
        <v>40700</v>
      </c>
      <c r="E4139" s="2" t="s">
        <v>40701</v>
      </c>
      <c r="G4139" s="3" t="s">
        <v>64</v>
      </c>
      <c r="I4139" s="3" t="s">
        <v>64</v>
      </c>
      <c r="J4139" s="3" t="s">
        <v>64</v>
      </c>
      <c r="K4139" s="3" t="s">
        <v>65</v>
      </c>
      <c r="L4139" s="2" t="s">
        <v>40702</v>
      </c>
      <c r="M4139" s="2" t="s">
        <v>40703</v>
      </c>
      <c r="N4139" s="3" t="s">
        <v>1763</v>
      </c>
      <c r="P4139" s="3" t="s">
        <v>68</v>
      </c>
      <c r="R4139" s="3" t="s">
        <v>70</v>
      </c>
      <c r="S4139" s="4">
        <v>1</v>
      </c>
      <c r="T4139" s="4">
        <v>1</v>
      </c>
      <c r="U4139" s="5" t="s">
        <v>40704</v>
      </c>
      <c r="V4139" s="5" t="s">
        <v>40704</v>
      </c>
      <c r="W4139" s="5" t="s">
        <v>72</v>
      </c>
      <c r="X4139" s="5" t="s">
        <v>72</v>
      </c>
      <c r="Y4139" s="4">
        <v>87</v>
      </c>
      <c r="Z4139" s="4">
        <v>6</v>
      </c>
      <c r="AA4139" s="4">
        <v>10</v>
      </c>
      <c r="AB4139" s="4">
        <v>1</v>
      </c>
      <c r="AC4139" s="4">
        <v>5</v>
      </c>
      <c r="AD4139" s="4">
        <v>52</v>
      </c>
      <c r="AE4139" s="4">
        <v>55</v>
      </c>
      <c r="AF4139" s="4">
        <v>0</v>
      </c>
      <c r="AG4139" s="4">
        <v>3</v>
      </c>
      <c r="AH4139" s="4">
        <v>50</v>
      </c>
      <c r="AI4139" s="4">
        <v>51</v>
      </c>
      <c r="AJ4139" s="4">
        <v>3</v>
      </c>
      <c r="AK4139" s="4">
        <v>6</v>
      </c>
      <c r="AL4139" s="4">
        <v>35</v>
      </c>
      <c r="AM4139" s="4">
        <v>35</v>
      </c>
      <c r="AN4139" s="4">
        <v>0</v>
      </c>
      <c r="AO4139" s="4">
        <v>0</v>
      </c>
      <c r="AP4139" s="4">
        <v>4</v>
      </c>
      <c r="AQ4139" s="4">
        <v>6</v>
      </c>
      <c r="AR4139" s="3" t="s">
        <v>64</v>
      </c>
      <c r="AS4139" s="3" t="s">
        <v>64</v>
      </c>
      <c r="AT4139" s="3" t="s">
        <v>128</v>
      </c>
      <c r="AU4139" s="6" t="str">
        <f>HYPERLINK("http://catalog.hathitrust.org/Record/000653139","HathiTrust Record")</f>
        <v>HathiTrust Record</v>
      </c>
      <c r="AV4139" s="6" t="str">
        <f>HYPERLINK("http://mcgill.on.worldcat.org/oclc/12550142","Catalog Record")</f>
        <v>Catalog Record</v>
      </c>
      <c r="AW4139" s="6" t="str">
        <f>HYPERLINK("http://www.worldcat.org/oclc/12550142","WorldCat Record")</f>
        <v>WorldCat Record</v>
      </c>
      <c r="AX4139" s="3" t="s">
        <v>40705</v>
      </c>
      <c r="AY4139" s="3" t="s">
        <v>40706</v>
      </c>
      <c r="AZ4139" s="3" t="s">
        <v>40707</v>
      </c>
      <c r="BA4139" s="3" t="s">
        <v>40707</v>
      </c>
      <c r="BB4139" s="3" t="s">
        <v>40708</v>
      </c>
      <c r="BC4139" s="3" t="s">
        <v>77</v>
      </c>
      <c r="BD4139" s="3" t="s">
        <v>78</v>
      </c>
      <c r="BE4139" s="3" t="s">
        <v>40709</v>
      </c>
      <c r="BF4139" s="3" t="s">
        <v>40708</v>
      </c>
      <c r="BG4139" s="3" t="s">
        <v>40710</v>
      </c>
      <c r="BH4139">
        <f t="shared" si="111"/>
        <v>0</v>
      </c>
    </row>
    <row r="4140" spans="1:60" ht="58" x14ac:dyDescent="0.35">
      <c r="A4140" s="2" t="s">
        <v>6202</v>
      </c>
      <c r="B4140" s="2" t="s">
        <v>6203</v>
      </c>
      <c r="C4140" s="2" t="s">
        <v>40711</v>
      </c>
      <c r="D4140" s="2" t="s">
        <v>40712</v>
      </c>
      <c r="E4140" s="2" t="s">
        <v>40713</v>
      </c>
      <c r="F4140" s="3" t="s">
        <v>39957</v>
      </c>
      <c r="G4140" s="3" t="s">
        <v>128</v>
      </c>
      <c r="I4140" s="3" t="s">
        <v>64</v>
      </c>
      <c r="J4140" s="3" t="s">
        <v>64</v>
      </c>
      <c r="K4140" s="3" t="s">
        <v>65</v>
      </c>
      <c r="L4140" s="2" t="s">
        <v>40714</v>
      </c>
      <c r="M4140" s="2" t="s">
        <v>40715</v>
      </c>
      <c r="N4140" s="3" t="s">
        <v>339</v>
      </c>
      <c r="P4140" s="3" t="s">
        <v>1479</v>
      </c>
      <c r="R4140" s="3" t="s">
        <v>70</v>
      </c>
      <c r="S4140" s="4">
        <v>0</v>
      </c>
      <c r="T4140" s="4">
        <v>3</v>
      </c>
      <c r="V4140" s="5" t="s">
        <v>40716</v>
      </c>
      <c r="W4140" s="5" t="s">
        <v>72</v>
      </c>
      <c r="X4140" s="5" t="s">
        <v>72</v>
      </c>
      <c r="Y4140" s="4">
        <v>73</v>
      </c>
      <c r="Z4140" s="4">
        <v>5</v>
      </c>
      <c r="AA4140" s="4">
        <v>5</v>
      </c>
      <c r="AB4140" s="4">
        <v>1</v>
      </c>
      <c r="AC4140" s="4">
        <v>1</v>
      </c>
      <c r="AD4140" s="4">
        <v>48</v>
      </c>
      <c r="AE4140" s="4">
        <v>49</v>
      </c>
      <c r="AF4140" s="4">
        <v>0</v>
      </c>
      <c r="AG4140" s="4">
        <v>0</v>
      </c>
      <c r="AH4140" s="4">
        <v>46</v>
      </c>
      <c r="AI4140" s="4">
        <v>47</v>
      </c>
      <c r="AJ4140" s="4">
        <v>4</v>
      </c>
      <c r="AK4140" s="4">
        <v>4</v>
      </c>
      <c r="AL4140" s="4">
        <v>31</v>
      </c>
      <c r="AM4140" s="4">
        <v>31</v>
      </c>
      <c r="AN4140" s="4">
        <v>0</v>
      </c>
      <c r="AO4140" s="4">
        <v>0</v>
      </c>
      <c r="AP4140" s="4">
        <v>4</v>
      </c>
      <c r="AQ4140" s="4">
        <v>4</v>
      </c>
      <c r="AR4140" s="3" t="s">
        <v>64</v>
      </c>
      <c r="AS4140" s="3" t="s">
        <v>64</v>
      </c>
      <c r="AT4140" s="3" t="s">
        <v>128</v>
      </c>
      <c r="AU4140" s="6" t="str">
        <f t="shared" ref="AU4140:AU4147" si="112">HYPERLINK("http://catalog.hathitrust.org/Record/001176947","HathiTrust Record")</f>
        <v>HathiTrust Record</v>
      </c>
      <c r="AV4140" s="6" t="str">
        <f t="shared" ref="AV4140:AV4147" si="113">HYPERLINK("http://mcgill.on.worldcat.org/oclc/1159045","Catalog Record")</f>
        <v>Catalog Record</v>
      </c>
      <c r="AW4140" s="6" t="str">
        <f t="shared" ref="AW4140:AW4147" si="114">HYPERLINK("http://www.worldcat.org/oclc/1159045","WorldCat Record")</f>
        <v>WorldCat Record</v>
      </c>
      <c r="AX4140" s="3" t="s">
        <v>40717</v>
      </c>
      <c r="AY4140" s="3" t="s">
        <v>40718</v>
      </c>
      <c r="AZ4140" s="3" t="s">
        <v>40719</v>
      </c>
      <c r="BA4140" s="3" t="s">
        <v>40719</v>
      </c>
      <c r="BB4140" s="3" t="s">
        <v>40720</v>
      </c>
      <c r="BC4140" s="3" t="s">
        <v>77</v>
      </c>
      <c r="BD4140" s="3" t="s">
        <v>78</v>
      </c>
      <c r="BF4140" s="3" t="s">
        <v>40720</v>
      </c>
      <c r="BG4140" s="3" t="s">
        <v>40721</v>
      </c>
      <c r="BH4140">
        <f t="shared" si="111"/>
        <v>0</v>
      </c>
    </row>
    <row r="4141" spans="1:60" ht="58" x14ac:dyDescent="0.35">
      <c r="A4141" s="2" t="s">
        <v>6202</v>
      </c>
      <c r="B4141" s="2" t="s">
        <v>6203</v>
      </c>
      <c r="C4141" s="2" t="s">
        <v>40711</v>
      </c>
      <c r="D4141" s="2" t="s">
        <v>40712</v>
      </c>
      <c r="E4141" s="2" t="s">
        <v>40713</v>
      </c>
      <c r="F4141" s="3" t="s">
        <v>40722</v>
      </c>
      <c r="G4141" s="3" t="s">
        <v>128</v>
      </c>
      <c r="I4141" s="3" t="s">
        <v>64</v>
      </c>
      <c r="J4141" s="3" t="s">
        <v>64</v>
      </c>
      <c r="K4141" s="3" t="s">
        <v>65</v>
      </c>
      <c r="L4141" s="2" t="s">
        <v>40714</v>
      </c>
      <c r="M4141" s="2" t="s">
        <v>40715</v>
      </c>
      <c r="N4141" s="3" t="s">
        <v>339</v>
      </c>
      <c r="P4141" s="3" t="s">
        <v>1479</v>
      </c>
      <c r="R4141" s="3" t="s">
        <v>70</v>
      </c>
      <c r="S4141" s="4">
        <v>0</v>
      </c>
      <c r="T4141" s="4">
        <v>3</v>
      </c>
      <c r="V4141" s="5" t="s">
        <v>40716</v>
      </c>
      <c r="W4141" s="5" t="s">
        <v>72</v>
      </c>
      <c r="X4141" s="5" t="s">
        <v>72</v>
      </c>
      <c r="Y4141" s="4">
        <v>73</v>
      </c>
      <c r="Z4141" s="4">
        <v>5</v>
      </c>
      <c r="AA4141" s="4">
        <v>5</v>
      </c>
      <c r="AB4141" s="4">
        <v>1</v>
      </c>
      <c r="AC4141" s="4">
        <v>1</v>
      </c>
      <c r="AD4141" s="4">
        <v>48</v>
      </c>
      <c r="AE4141" s="4">
        <v>49</v>
      </c>
      <c r="AF4141" s="4">
        <v>0</v>
      </c>
      <c r="AG4141" s="4">
        <v>0</v>
      </c>
      <c r="AH4141" s="4">
        <v>46</v>
      </c>
      <c r="AI4141" s="4">
        <v>47</v>
      </c>
      <c r="AJ4141" s="4">
        <v>4</v>
      </c>
      <c r="AK4141" s="4">
        <v>4</v>
      </c>
      <c r="AL4141" s="4">
        <v>31</v>
      </c>
      <c r="AM4141" s="4">
        <v>31</v>
      </c>
      <c r="AN4141" s="4">
        <v>0</v>
      </c>
      <c r="AO4141" s="4">
        <v>0</v>
      </c>
      <c r="AP4141" s="4">
        <v>4</v>
      </c>
      <c r="AQ4141" s="4">
        <v>4</v>
      </c>
      <c r="AR4141" s="3" t="s">
        <v>64</v>
      </c>
      <c r="AS4141" s="3" t="s">
        <v>64</v>
      </c>
      <c r="AT4141" s="3" t="s">
        <v>128</v>
      </c>
      <c r="AU4141" s="6" t="str">
        <f t="shared" si="112"/>
        <v>HathiTrust Record</v>
      </c>
      <c r="AV4141" s="6" t="str">
        <f t="shared" si="113"/>
        <v>Catalog Record</v>
      </c>
      <c r="AW4141" s="6" t="str">
        <f t="shared" si="114"/>
        <v>WorldCat Record</v>
      </c>
      <c r="AX4141" s="3" t="s">
        <v>40717</v>
      </c>
      <c r="AY4141" s="3" t="s">
        <v>40718</v>
      </c>
      <c r="AZ4141" s="3" t="s">
        <v>40719</v>
      </c>
      <c r="BA4141" s="3" t="s">
        <v>40719</v>
      </c>
      <c r="BB4141" s="3" t="s">
        <v>40723</v>
      </c>
      <c r="BC4141" s="3" t="s">
        <v>77</v>
      </c>
      <c r="BD4141" s="3" t="s">
        <v>78</v>
      </c>
      <c r="BF4141" s="3" t="s">
        <v>40723</v>
      </c>
      <c r="BG4141" s="3" t="s">
        <v>40724</v>
      </c>
      <c r="BH4141">
        <f t="shared" si="111"/>
        <v>0</v>
      </c>
    </row>
    <row r="4142" spans="1:60" ht="58" x14ac:dyDescent="0.35">
      <c r="A4142" s="2" t="s">
        <v>6202</v>
      </c>
      <c r="B4142" s="2" t="s">
        <v>6203</v>
      </c>
      <c r="C4142" s="2" t="s">
        <v>40711</v>
      </c>
      <c r="D4142" s="2" t="s">
        <v>40712</v>
      </c>
      <c r="E4142" s="2" t="s">
        <v>40713</v>
      </c>
      <c r="F4142" s="3" t="s">
        <v>39952</v>
      </c>
      <c r="G4142" s="3" t="s">
        <v>128</v>
      </c>
      <c r="I4142" s="3" t="s">
        <v>64</v>
      </c>
      <c r="J4142" s="3" t="s">
        <v>64</v>
      </c>
      <c r="K4142" s="3" t="s">
        <v>65</v>
      </c>
      <c r="L4142" s="2" t="s">
        <v>40714</v>
      </c>
      <c r="M4142" s="2" t="s">
        <v>40715</v>
      </c>
      <c r="N4142" s="3" t="s">
        <v>339</v>
      </c>
      <c r="P4142" s="3" t="s">
        <v>1479</v>
      </c>
      <c r="R4142" s="3" t="s">
        <v>70</v>
      </c>
      <c r="S4142" s="4">
        <v>3</v>
      </c>
      <c r="T4142" s="4">
        <v>3</v>
      </c>
      <c r="U4142" s="5" t="s">
        <v>40716</v>
      </c>
      <c r="V4142" s="5" t="s">
        <v>40716</v>
      </c>
      <c r="W4142" s="5" t="s">
        <v>72</v>
      </c>
      <c r="X4142" s="5" t="s">
        <v>72</v>
      </c>
      <c r="Y4142" s="4">
        <v>73</v>
      </c>
      <c r="Z4142" s="4">
        <v>5</v>
      </c>
      <c r="AA4142" s="4">
        <v>5</v>
      </c>
      <c r="AB4142" s="4">
        <v>1</v>
      </c>
      <c r="AC4142" s="4">
        <v>1</v>
      </c>
      <c r="AD4142" s="4">
        <v>48</v>
      </c>
      <c r="AE4142" s="4">
        <v>49</v>
      </c>
      <c r="AF4142" s="4">
        <v>0</v>
      </c>
      <c r="AG4142" s="4">
        <v>0</v>
      </c>
      <c r="AH4142" s="4">
        <v>46</v>
      </c>
      <c r="AI4142" s="4">
        <v>47</v>
      </c>
      <c r="AJ4142" s="4">
        <v>4</v>
      </c>
      <c r="AK4142" s="4">
        <v>4</v>
      </c>
      <c r="AL4142" s="4">
        <v>31</v>
      </c>
      <c r="AM4142" s="4">
        <v>31</v>
      </c>
      <c r="AN4142" s="4">
        <v>0</v>
      </c>
      <c r="AO4142" s="4">
        <v>0</v>
      </c>
      <c r="AP4142" s="4">
        <v>4</v>
      </c>
      <c r="AQ4142" s="4">
        <v>4</v>
      </c>
      <c r="AR4142" s="3" t="s">
        <v>64</v>
      </c>
      <c r="AS4142" s="3" t="s">
        <v>64</v>
      </c>
      <c r="AT4142" s="3" t="s">
        <v>128</v>
      </c>
      <c r="AU4142" s="6" t="str">
        <f t="shared" si="112"/>
        <v>HathiTrust Record</v>
      </c>
      <c r="AV4142" s="6" t="str">
        <f t="shared" si="113"/>
        <v>Catalog Record</v>
      </c>
      <c r="AW4142" s="6" t="str">
        <f t="shared" si="114"/>
        <v>WorldCat Record</v>
      </c>
      <c r="AX4142" s="3" t="s">
        <v>40717</v>
      </c>
      <c r="AY4142" s="3" t="s">
        <v>40718</v>
      </c>
      <c r="AZ4142" s="3" t="s">
        <v>40719</v>
      </c>
      <c r="BA4142" s="3" t="s">
        <v>40719</v>
      </c>
      <c r="BB4142" s="3" t="s">
        <v>40725</v>
      </c>
      <c r="BC4142" s="3" t="s">
        <v>77</v>
      </c>
      <c r="BD4142" s="3" t="s">
        <v>78</v>
      </c>
      <c r="BF4142" s="3" t="s">
        <v>40725</v>
      </c>
      <c r="BG4142" s="3" t="s">
        <v>40726</v>
      </c>
      <c r="BH4142">
        <f t="shared" si="111"/>
        <v>0</v>
      </c>
    </row>
    <row r="4143" spans="1:60" ht="58" x14ac:dyDescent="0.35">
      <c r="A4143" s="2" t="s">
        <v>6202</v>
      </c>
      <c r="B4143" s="2" t="s">
        <v>6203</v>
      </c>
      <c r="C4143" s="2" t="s">
        <v>40711</v>
      </c>
      <c r="D4143" s="2" t="s">
        <v>40712</v>
      </c>
      <c r="E4143" s="2" t="s">
        <v>40713</v>
      </c>
      <c r="F4143" s="3" t="s">
        <v>39969</v>
      </c>
      <c r="G4143" s="3" t="s">
        <v>128</v>
      </c>
      <c r="I4143" s="3" t="s">
        <v>64</v>
      </c>
      <c r="J4143" s="3" t="s">
        <v>64</v>
      </c>
      <c r="K4143" s="3" t="s">
        <v>65</v>
      </c>
      <c r="L4143" s="2" t="s">
        <v>40714</v>
      </c>
      <c r="M4143" s="2" t="s">
        <v>40715</v>
      </c>
      <c r="N4143" s="3" t="s">
        <v>339</v>
      </c>
      <c r="P4143" s="3" t="s">
        <v>1479</v>
      </c>
      <c r="R4143" s="3" t="s">
        <v>70</v>
      </c>
      <c r="S4143" s="4">
        <v>0</v>
      </c>
      <c r="T4143" s="4">
        <v>3</v>
      </c>
      <c r="V4143" s="5" t="s">
        <v>40716</v>
      </c>
      <c r="W4143" s="5" t="s">
        <v>72</v>
      </c>
      <c r="X4143" s="5" t="s">
        <v>72</v>
      </c>
      <c r="Y4143" s="4">
        <v>73</v>
      </c>
      <c r="Z4143" s="4">
        <v>5</v>
      </c>
      <c r="AA4143" s="4">
        <v>5</v>
      </c>
      <c r="AB4143" s="4">
        <v>1</v>
      </c>
      <c r="AC4143" s="4">
        <v>1</v>
      </c>
      <c r="AD4143" s="4">
        <v>48</v>
      </c>
      <c r="AE4143" s="4">
        <v>49</v>
      </c>
      <c r="AF4143" s="4">
        <v>0</v>
      </c>
      <c r="AG4143" s="4">
        <v>0</v>
      </c>
      <c r="AH4143" s="4">
        <v>46</v>
      </c>
      <c r="AI4143" s="4">
        <v>47</v>
      </c>
      <c r="AJ4143" s="4">
        <v>4</v>
      </c>
      <c r="AK4143" s="4">
        <v>4</v>
      </c>
      <c r="AL4143" s="4">
        <v>31</v>
      </c>
      <c r="AM4143" s="4">
        <v>31</v>
      </c>
      <c r="AN4143" s="4">
        <v>0</v>
      </c>
      <c r="AO4143" s="4">
        <v>0</v>
      </c>
      <c r="AP4143" s="4">
        <v>4</v>
      </c>
      <c r="AQ4143" s="4">
        <v>4</v>
      </c>
      <c r="AR4143" s="3" t="s">
        <v>64</v>
      </c>
      <c r="AS4143" s="3" t="s">
        <v>64</v>
      </c>
      <c r="AT4143" s="3" t="s">
        <v>128</v>
      </c>
      <c r="AU4143" s="6" t="str">
        <f t="shared" si="112"/>
        <v>HathiTrust Record</v>
      </c>
      <c r="AV4143" s="6" t="str">
        <f t="shared" si="113"/>
        <v>Catalog Record</v>
      </c>
      <c r="AW4143" s="6" t="str">
        <f t="shared" si="114"/>
        <v>WorldCat Record</v>
      </c>
      <c r="AX4143" s="3" t="s">
        <v>40717</v>
      </c>
      <c r="AY4143" s="3" t="s">
        <v>40718</v>
      </c>
      <c r="AZ4143" s="3" t="s">
        <v>40719</v>
      </c>
      <c r="BA4143" s="3" t="s">
        <v>40719</v>
      </c>
      <c r="BB4143" s="3" t="s">
        <v>40727</v>
      </c>
      <c r="BC4143" s="3" t="s">
        <v>77</v>
      </c>
      <c r="BD4143" s="3" t="s">
        <v>78</v>
      </c>
      <c r="BF4143" s="3" t="s">
        <v>40727</v>
      </c>
      <c r="BG4143" s="3" t="s">
        <v>40728</v>
      </c>
      <c r="BH4143">
        <f t="shared" si="111"/>
        <v>0</v>
      </c>
    </row>
    <row r="4144" spans="1:60" ht="58" x14ac:dyDescent="0.35">
      <c r="A4144" s="2" t="s">
        <v>6202</v>
      </c>
      <c r="B4144" s="2" t="s">
        <v>6203</v>
      </c>
      <c r="C4144" s="2" t="s">
        <v>40711</v>
      </c>
      <c r="D4144" s="2" t="s">
        <v>40712</v>
      </c>
      <c r="E4144" s="2" t="s">
        <v>40713</v>
      </c>
      <c r="F4144" s="3" t="s">
        <v>40729</v>
      </c>
      <c r="G4144" s="3" t="s">
        <v>128</v>
      </c>
      <c r="I4144" s="3" t="s">
        <v>64</v>
      </c>
      <c r="J4144" s="3" t="s">
        <v>64</v>
      </c>
      <c r="K4144" s="3" t="s">
        <v>65</v>
      </c>
      <c r="L4144" s="2" t="s">
        <v>40714</v>
      </c>
      <c r="M4144" s="2" t="s">
        <v>40715</v>
      </c>
      <c r="N4144" s="3" t="s">
        <v>339</v>
      </c>
      <c r="P4144" s="3" t="s">
        <v>1479</v>
      </c>
      <c r="R4144" s="3" t="s">
        <v>70</v>
      </c>
      <c r="S4144" s="4">
        <v>0</v>
      </c>
      <c r="T4144" s="4">
        <v>3</v>
      </c>
      <c r="V4144" s="5" t="s">
        <v>40716</v>
      </c>
      <c r="W4144" s="5" t="s">
        <v>72</v>
      </c>
      <c r="X4144" s="5" t="s">
        <v>72</v>
      </c>
      <c r="Y4144" s="4">
        <v>73</v>
      </c>
      <c r="Z4144" s="4">
        <v>5</v>
      </c>
      <c r="AA4144" s="4">
        <v>5</v>
      </c>
      <c r="AB4144" s="4">
        <v>1</v>
      </c>
      <c r="AC4144" s="4">
        <v>1</v>
      </c>
      <c r="AD4144" s="4">
        <v>48</v>
      </c>
      <c r="AE4144" s="4">
        <v>49</v>
      </c>
      <c r="AF4144" s="4">
        <v>0</v>
      </c>
      <c r="AG4144" s="4">
        <v>0</v>
      </c>
      <c r="AH4144" s="4">
        <v>46</v>
      </c>
      <c r="AI4144" s="4">
        <v>47</v>
      </c>
      <c r="AJ4144" s="4">
        <v>4</v>
      </c>
      <c r="AK4144" s="4">
        <v>4</v>
      </c>
      <c r="AL4144" s="4">
        <v>31</v>
      </c>
      <c r="AM4144" s="4">
        <v>31</v>
      </c>
      <c r="AN4144" s="4">
        <v>0</v>
      </c>
      <c r="AO4144" s="4">
        <v>0</v>
      </c>
      <c r="AP4144" s="4">
        <v>4</v>
      </c>
      <c r="AQ4144" s="4">
        <v>4</v>
      </c>
      <c r="AR4144" s="3" t="s">
        <v>64</v>
      </c>
      <c r="AS4144" s="3" t="s">
        <v>64</v>
      </c>
      <c r="AT4144" s="3" t="s">
        <v>128</v>
      </c>
      <c r="AU4144" s="6" t="str">
        <f t="shared" si="112"/>
        <v>HathiTrust Record</v>
      </c>
      <c r="AV4144" s="6" t="str">
        <f t="shared" si="113"/>
        <v>Catalog Record</v>
      </c>
      <c r="AW4144" s="6" t="str">
        <f t="shared" si="114"/>
        <v>WorldCat Record</v>
      </c>
      <c r="AX4144" s="3" t="s">
        <v>40717</v>
      </c>
      <c r="AY4144" s="3" t="s">
        <v>40718</v>
      </c>
      <c r="AZ4144" s="3" t="s">
        <v>40719</v>
      </c>
      <c r="BA4144" s="3" t="s">
        <v>40719</v>
      </c>
      <c r="BB4144" s="3" t="s">
        <v>40730</v>
      </c>
      <c r="BC4144" s="3" t="s">
        <v>77</v>
      </c>
      <c r="BD4144" s="3" t="s">
        <v>78</v>
      </c>
      <c r="BF4144" s="3" t="s">
        <v>40730</v>
      </c>
      <c r="BG4144" s="3" t="s">
        <v>40731</v>
      </c>
      <c r="BH4144">
        <f t="shared" si="111"/>
        <v>0</v>
      </c>
    </row>
    <row r="4145" spans="1:60" ht="58" x14ac:dyDescent="0.35">
      <c r="A4145" s="2" t="s">
        <v>6202</v>
      </c>
      <c r="B4145" s="2" t="s">
        <v>6203</v>
      </c>
      <c r="C4145" s="2" t="s">
        <v>40711</v>
      </c>
      <c r="D4145" s="2" t="s">
        <v>40712</v>
      </c>
      <c r="E4145" s="2" t="s">
        <v>40713</v>
      </c>
      <c r="F4145" s="3" t="s">
        <v>40732</v>
      </c>
      <c r="G4145" s="3" t="s">
        <v>128</v>
      </c>
      <c r="I4145" s="3" t="s">
        <v>64</v>
      </c>
      <c r="J4145" s="3" t="s">
        <v>64</v>
      </c>
      <c r="K4145" s="3" t="s">
        <v>65</v>
      </c>
      <c r="L4145" s="2" t="s">
        <v>40714</v>
      </c>
      <c r="M4145" s="2" t="s">
        <v>40715</v>
      </c>
      <c r="N4145" s="3" t="s">
        <v>339</v>
      </c>
      <c r="P4145" s="3" t="s">
        <v>1479</v>
      </c>
      <c r="R4145" s="3" t="s">
        <v>70</v>
      </c>
      <c r="S4145" s="4">
        <v>0</v>
      </c>
      <c r="T4145" s="4">
        <v>3</v>
      </c>
      <c r="V4145" s="5" t="s">
        <v>40716</v>
      </c>
      <c r="W4145" s="5" t="s">
        <v>72</v>
      </c>
      <c r="X4145" s="5" t="s">
        <v>72</v>
      </c>
      <c r="Y4145" s="4">
        <v>73</v>
      </c>
      <c r="Z4145" s="4">
        <v>5</v>
      </c>
      <c r="AA4145" s="4">
        <v>5</v>
      </c>
      <c r="AB4145" s="4">
        <v>1</v>
      </c>
      <c r="AC4145" s="4">
        <v>1</v>
      </c>
      <c r="AD4145" s="4">
        <v>48</v>
      </c>
      <c r="AE4145" s="4">
        <v>49</v>
      </c>
      <c r="AF4145" s="4">
        <v>0</v>
      </c>
      <c r="AG4145" s="4">
        <v>0</v>
      </c>
      <c r="AH4145" s="4">
        <v>46</v>
      </c>
      <c r="AI4145" s="4">
        <v>47</v>
      </c>
      <c r="AJ4145" s="4">
        <v>4</v>
      </c>
      <c r="AK4145" s="4">
        <v>4</v>
      </c>
      <c r="AL4145" s="4">
        <v>31</v>
      </c>
      <c r="AM4145" s="4">
        <v>31</v>
      </c>
      <c r="AN4145" s="4">
        <v>0</v>
      </c>
      <c r="AO4145" s="4">
        <v>0</v>
      </c>
      <c r="AP4145" s="4">
        <v>4</v>
      </c>
      <c r="AQ4145" s="4">
        <v>4</v>
      </c>
      <c r="AR4145" s="3" t="s">
        <v>64</v>
      </c>
      <c r="AS4145" s="3" t="s">
        <v>64</v>
      </c>
      <c r="AT4145" s="3" t="s">
        <v>128</v>
      </c>
      <c r="AU4145" s="6" t="str">
        <f t="shared" si="112"/>
        <v>HathiTrust Record</v>
      </c>
      <c r="AV4145" s="6" t="str">
        <f t="shared" si="113"/>
        <v>Catalog Record</v>
      </c>
      <c r="AW4145" s="6" t="str">
        <f t="shared" si="114"/>
        <v>WorldCat Record</v>
      </c>
      <c r="AX4145" s="3" t="s">
        <v>40717</v>
      </c>
      <c r="AY4145" s="3" t="s">
        <v>40718</v>
      </c>
      <c r="AZ4145" s="3" t="s">
        <v>40719</v>
      </c>
      <c r="BA4145" s="3" t="s">
        <v>40719</v>
      </c>
      <c r="BB4145" s="3" t="s">
        <v>40733</v>
      </c>
      <c r="BC4145" s="3" t="s">
        <v>77</v>
      </c>
      <c r="BD4145" s="3" t="s">
        <v>78</v>
      </c>
      <c r="BF4145" s="3" t="s">
        <v>40733</v>
      </c>
      <c r="BG4145" s="3" t="s">
        <v>40734</v>
      </c>
      <c r="BH4145">
        <f t="shared" si="111"/>
        <v>0</v>
      </c>
    </row>
    <row r="4146" spans="1:60" ht="58" x14ac:dyDescent="0.35">
      <c r="A4146" s="2" t="s">
        <v>6202</v>
      </c>
      <c r="B4146" s="2" t="s">
        <v>6203</v>
      </c>
      <c r="C4146" s="2" t="s">
        <v>40711</v>
      </c>
      <c r="D4146" s="2" t="s">
        <v>40712</v>
      </c>
      <c r="E4146" s="2" t="s">
        <v>40713</v>
      </c>
      <c r="F4146" s="3" t="s">
        <v>40735</v>
      </c>
      <c r="G4146" s="3" t="s">
        <v>128</v>
      </c>
      <c r="I4146" s="3" t="s">
        <v>64</v>
      </c>
      <c r="J4146" s="3" t="s">
        <v>64</v>
      </c>
      <c r="K4146" s="3" t="s">
        <v>65</v>
      </c>
      <c r="L4146" s="2" t="s">
        <v>40714</v>
      </c>
      <c r="M4146" s="2" t="s">
        <v>40715</v>
      </c>
      <c r="N4146" s="3" t="s">
        <v>339</v>
      </c>
      <c r="P4146" s="3" t="s">
        <v>1479</v>
      </c>
      <c r="R4146" s="3" t="s">
        <v>70</v>
      </c>
      <c r="S4146" s="4">
        <v>0</v>
      </c>
      <c r="T4146" s="4">
        <v>3</v>
      </c>
      <c r="V4146" s="5" t="s">
        <v>40716</v>
      </c>
      <c r="W4146" s="5" t="s">
        <v>72</v>
      </c>
      <c r="X4146" s="5" t="s">
        <v>72</v>
      </c>
      <c r="Y4146" s="4">
        <v>73</v>
      </c>
      <c r="Z4146" s="4">
        <v>5</v>
      </c>
      <c r="AA4146" s="4">
        <v>5</v>
      </c>
      <c r="AB4146" s="4">
        <v>1</v>
      </c>
      <c r="AC4146" s="4">
        <v>1</v>
      </c>
      <c r="AD4146" s="4">
        <v>48</v>
      </c>
      <c r="AE4146" s="4">
        <v>49</v>
      </c>
      <c r="AF4146" s="4">
        <v>0</v>
      </c>
      <c r="AG4146" s="4">
        <v>0</v>
      </c>
      <c r="AH4146" s="4">
        <v>46</v>
      </c>
      <c r="AI4146" s="4">
        <v>47</v>
      </c>
      <c r="AJ4146" s="4">
        <v>4</v>
      </c>
      <c r="AK4146" s="4">
        <v>4</v>
      </c>
      <c r="AL4146" s="4">
        <v>31</v>
      </c>
      <c r="AM4146" s="4">
        <v>31</v>
      </c>
      <c r="AN4146" s="4">
        <v>0</v>
      </c>
      <c r="AO4146" s="4">
        <v>0</v>
      </c>
      <c r="AP4146" s="4">
        <v>4</v>
      </c>
      <c r="AQ4146" s="4">
        <v>4</v>
      </c>
      <c r="AR4146" s="3" t="s">
        <v>64</v>
      </c>
      <c r="AS4146" s="3" t="s">
        <v>64</v>
      </c>
      <c r="AT4146" s="3" t="s">
        <v>128</v>
      </c>
      <c r="AU4146" s="6" t="str">
        <f t="shared" si="112"/>
        <v>HathiTrust Record</v>
      </c>
      <c r="AV4146" s="6" t="str">
        <f t="shared" si="113"/>
        <v>Catalog Record</v>
      </c>
      <c r="AW4146" s="6" t="str">
        <f t="shared" si="114"/>
        <v>WorldCat Record</v>
      </c>
      <c r="AX4146" s="3" t="s">
        <v>40717</v>
      </c>
      <c r="AY4146" s="3" t="s">
        <v>40718</v>
      </c>
      <c r="AZ4146" s="3" t="s">
        <v>40719</v>
      </c>
      <c r="BA4146" s="3" t="s">
        <v>40719</v>
      </c>
      <c r="BB4146" s="3" t="s">
        <v>40736</v>
      </c>
      <c r="BC4146" s="3" t="s">
        <v>77</v>
      </c>
      <c r="BD4146" s="3" t="s">
        <v>78</v>
      </c>
      <c r="BF4146" s="3" t="s">
        <v>40736</v>
      </c>
      <c r="BG4146" s="3" t="s">
        <v>40737</v>
      </c>
      <c r="BH4146">
        <f t="shared" si="111"/>
        <v>0</v>
      </c>
    </row>
    <row r="4147" spans="1:60" ht="58" x14ac:dyDescent="0.35">
      <c r="A4147" s="2" t="s">
        <v>6202</v>
      </c>
      <c r="B4147" s="2" t="s">
        <v>6203</v>
      </c>
      <c r="C4147" s="2" t="s">
        <v>40711</v>
      </c>
      <c r="D4147" s="2" t="s">
        <v>40712</v>
      </c>
      <c r="E4147" s="2" t="s">
        <v>40713</v>
      </c>
      <c r="F4147" s="3" t="s">
        <v>39972</v>
      </c>
      <c r="G4147" s="3" t="s">
        <v>128</v>
      </c>
      <c r="I4147" s="3" t="s">
        <v>64</v>
      </c>
      <c r="J4147" s="3" t="s">
        <v>64</v>
      </c>
      <c r="K4147" s="3" t="s">
        <v>65</v>
      </c>
      <c r="L4147" s="2" t="s">
        <v>40714</v>
      </c>
      <c r="M4147" s="2" t="s">
        <v>40715</v>
      </c>
      <c r="N4147" s="3" t="s">
        <v>339</v>
      </c>
      <c r="P4147" s="3" t="s">
        <v>1479</v>
      </c>
      <c r="R4147" s="3" t="s">
        <v>70</v>
      </c>
      <c r="S4147" s="4">
        <v>0</v>
      </c>
      <c r="T4147" s="4">
        <v>3</v>
      </c>
      <c r="V4147" s="5" t="s">
        <v>40716</v>
      </c>
      <c r="W4147" s="5" t="s">
        <v>72</v>
      </c>
      <c r="X4147" s="5" t="s">
        <v>72</v>
      </c>
      <c r="Y4147" s="4">
        <v>73</v>
      </c>
      <c r="Z4147" s="4">
        <v>5</v>
      </c>
      <c r="AA4147" s="4">
        <v>5</v>
      </c>
      <c r="AB4147" s="4">
        <v>1</v>
      </c>
      <c r="AC4147" s="4">
        <v>1</v>
      </c>
      <c r="AD4147" s="4">
        <v>48</v>
      </c>
      <c r="AE4147" s="4">
        <v>49</v>
      </c>
      <c r="AF4147" s="4">
        <v>0</v>
      </c>
      <c r="AG4147" s="4">
        <v>0</v>
      </c>
      <c r="AH4147" s="4">
        <v>46</v>
      </c>
      <c r="AI4147" s="4">
        <v>47</v>
      </c>
      <c r="AJ4147" s="4">
        <v>4</v>
      </c>
      <c r="AK4147" s="4">
        <v>4</v>
      </c>
      <c r="AL4147" s="4">
        <v>31</v>
      </c>
      <c r="AM4147" s="4">
        <v>31</v>
      </c>
      <c r="AN4147" s="4">
        <v>0</v>
      </c>
      <c r="AO4147" s="4">
        <v>0</v>
      </c>
      <c r="AP4147" s="4">
        <v>4</v>
      </c>
      <c r="AQ4147" s="4">
        <v>4</v>
      </c>
      <c r="AR4147" s="3" t="s">
        <v>64</v>
      </c>
      <c r="AS4147" s="3" t="s">
        <v>64</v>
      </c>
      <c r="AT4147" s="3" t="s">
        <v>128</v>
      </c>
      <c r="AU4147" s="6" t="str">
        <f t="shared" si="112"/>
        <v>HathiTrust Record</v>
      </c>
      <c r="AV4147" s="6" t="str">
        <f t="shared" si="113"/>
        <v>Catalog Record</v>
      </c>
      <c r="AW4147" s="6" t="str">
        <f t="shared" si="114"/>
        <v>WorldCat Record</v>
      </c>
      <c r="AX4147" s="3" t="s">
        <v>40717</v>
      </c>
      <c r="AY4147" s="3" t="s">
        <v>40718</v>
      </c>
      <c r="AZ4147" s="3" t="s">
        <v>40719</v>
      </c>
      <c r="BA4147" s="3" t="s">
        <v>40719</v>
      </c>
      <c r="BB4147" s="3" t="s">
        <v>40738</v>
      </c>
      <c r="BC4147" s="3" t="s">
        <v>77</v>
      </c>
      <c r="BD4147" s="3" t="s">
        <v>78</v>
      </c>
      <c r="BF4147" s="3" t="s">
        <v>40738</v>
      </c>
      <c r="BG4147" s="3" t="s">
        <v>40739</v>
      </c>
      <c r="BH4147">
        <f t="shared" si="111"/>
        <v>0</v>
      </c>
    </row>
    <row r="4148" spans="1:60" ht="58" x14ac:dyDescent="0.35">
      <c r="A4148" s="2" t="s">
        <v>59</v>
      </c>
      <c r="B4148" s="2" t="s">
        <v>60</v>
      </c>
      <c r="C4148" s="2" t="s">
        <v>40740</v>
      </c>
      <c r="D4148" s="2" t="s">
        <v>40741</v>
      </c>
      <c r="E4148" s="2" t="s">
        <v>40742</v>
      </c>
      <c r="G4148" s="3" t="s">
        <v>64</v>
      </c>
      <c r="I4148" s="3" t="s">
        <v>64</v>
      </c>
      <c r="J4148" s="3" t="s">
        <v>64</v>
      </c>
      <c r="K4148" s="3" t="s">
        <v>65</v>
      </c>
      <c r="M4148" s="2" t="s">
        <v>4199</v>
      </c>
      <c r="N4148" s="3" t="s">
        <v>1075</v>
      </c>
      <c r="P4148" s="3" t="s">
        <v>102</v>
      </c>
      <c r="Q4148" s="2" t="s">
        <v>40743</v>
      </c>
      <c r="R4148" s="3" t="s">
        <v>70</v>
      </c>
      <c r="S4148" s="4">
        <v>1</v>
      </c>
      <c r="T4148" s="4">
        <v>1</v>
      </c>
      <c r="U4148" s="5" t="s">
        <v>12169</v>
      </c>
      <c r="V4148" s="5" t="s">
        <v>12169</v>
      </c>
      <c r="W4148" s="5" t="s">
        <v>72</v>
      </c>
      <c r="X4148" s="5" t="s">
        <v>72</v>
      </c>
      <c r="Y4148" s="4">
        <v>92</v>
      </c>
      <c r="Z4148" s="4">
        <v>8</v>
      </c>
      <c r="AA4148" s="4">
        <v>75</v>
      </c>
      <c r="AB4148" s="4">
        <v>1</v>
      </c>
      <c r="AC4148" s="4">
        <v>14</v>
      </c>
      <c r="AD4148" s="4">
        <v>32</v>
      </c>
      <c r="AE4148" s="4">
        <v>103</v>
      </c>
      <c r="AF4148" s="4">
        <v>0</v>
      </c>
      <c r="AG4148" s="4">
        <v>8</v>
      </c>
      <c r="AH4148" s="4">
        <v>29</v>
      </c>
      <c r="AI4148" s="4">
        <v>72</v>
      </c>
      <c r="AJ4148" s="4">
        <v>6</v>
      </c>
      <c r="AK4148" s="4">
        <v>20</v>
      </c>
      <c r="AL4148" s="4">
        <v>21</v>
      </c>
      <c r="AM4148" s="4">
        <v>36</v>
      </c>
      <c r="AN4148" s="4">
        <v>0</v>
      </c>
      <c r="AO4148" s="4">
        <v>0</v>
      </c>
      <c r="AP4148" s="4">
        <v>6</v>
      </c>
      <c r="AQ4148" s="4">
        <v>37</v>
      </c>
      <c r="AR4148" s="3" t="s">
        <v>64</v>
      </c>
      <c r="AS4148" s="3" t="s">
        <v>64</v>
      </c>
      <c r="AT4148" s="3" t="s">
        <v>64</v>
      </c>
      <c r="AV4148" s="6" t="str">
        <f>HYPERLINK("http://mcgill.on.worldcat.org/oclc/857287789","Catalog Record")</f>
        <v>Catalog Record</v>
      </c>
      <c r="AW4148" s="6" t="str">
        <f>HYPERLINK("http://www.worldcat.org/oclc/857287789","WorldCat Record")</f>
        <v>WorldCat Record</v>
      </c>
      <c r="AX4148" s="3" t="s">
        <v>40744</v>
      </c>
      <c r="AY4148" s="3" t="s">
        <v>40745</v>
      </c>
      <c r="AZ4148" s="3" t="s">
        <v>40746</v>
      </c>
      <c r="BA4148" s="3" t="s">
        <v>40746</v>
      </c>
      <c r="BB4148" s="3" t="s">
        <v>40747</v>
      </c>
      <c r="BC4148" s="3" t="s">
        <v>77</v>
      </c>
      <c r="BD4148" s="3" t="s">
        <v>78</v>
      </c>
      <c r="BE4148" s="3" t="s">
        <v>40748</v>
      </c>
      <c r="BF4148" s="3" t="s">
        <v>40747</v>
      </c>
      <c r="BG4148" s="3" t="s">
        <v>40749</v>
      </c>
      <c r="BH4148">
        <f t="shared" si="111"/>
        <v>0</v>
      </c>
    </row>
    <row r="4149" spans="1:60" ht="58" x14ac:dyDescent="0.35">
      <c r="A4149" s="2" t="s">
        <v>59</v>
      </c>
      <c r="B4149" s="2" t="s">
        <v>60</v>
      </c>
      <c r="C4149" s="2" t="s">
        <v>40750</v>
      </c>
      <c r="D4149" s="2" t="s">
        <v>40751</v>
      </c>
      <c r="E4149" s="2" t="s">
        <v>40752</v>
      </c>
      <c r="G4149" s="3" t="s">
        <v>64</v>
      </c>
      <c r="I4149" s="3" t="s">
        <v>64</v>
      </c>
      <c r="J4149" s="3" t="s">
        <v>64</v>
      </c>
      <c r="K4149" s="3" t="s">
        <v>65</v>
      </c>
      <c r="L4149" s="2" t="s">
        <v>40753</v>
      </c>
      <c r="M4149" s="2" t="s">
        <v>40754</v>
      </c>
      <c r="N4149" s="3" t="s">
        <v>511</v>
      </c>
      <c r="P4149" s="3" t="s">
        <v>102</v>
      </c>
      <c r="Q4149" s="2" t="s">
        <v>40755</v>
      </c>
      <c r="R4149" s="3" t="s">
        <v>70</v>
      </c>
      <c r="S4149" s="4">
        <v>2</v>
      </c>
      <c r="T4149" s="4">
        <v>2</v>
      </c>
      <c r="U4149" s="5" t="s">
        <v>40756</v>
      </c>
      <c r="V4149" s="5" t="s">
        <v>40756</v>
      </c>
      <c r="W4149" s="5" t="s">
        <v>72</v>
      </c>
      <c r="X4149" s="5" t="s">
        <v>72</v>
      </c>
      <c r="Y4149" s="4">
        <v>92</v>
      </c>
      <c r="Z4149" s="4">
        <v>5</v>
      </c>
      <c r="AA4149" s="4">
        <v>5</v>
      </c>
      <c r="AB4149" s="4">
        <v>1</v>
      </c>
      <c r="AC4149" s="4">
        <v>1</v>
      </c>
      <c r="AD4149" s="4">
        <v>53</v>
      </c>
      <c r="AE4149" s="4">
        <v>53</v>
      </c>
      <c r="AF4149" s="4">
        <v>0</v>
      </c>
      <c r="AG4149" s="4">
        <v>0</v>
      </c>
      <c r="AH4149" s="4">
        <v>52</v>
      </c>
      <c r="AI4149" s="4">
        <v>52</v>
      </c>
      <c r="AJ4149" s="4">
        <v>3</v>
      </c>
      <c r="AK4149" s="4">
        <v>3</v>
      </c>
      <c r="AL4149" s="4">
        <v>34</v>
      </c>
      <c r="AM4149" s="4">
        <v>34</v>
      </c>
      <c r="AN4149" s="4">
        <v>0</v>
      </c>
      <c r="AO4149" s="4">
        <v>0</v>
      </c>
      <c r="AP4149" s="4">
        <v>3</v>
      </c>
      <c r="AQ4149" s="4">
        <v>3</v>
      </c>
      <c r="AR4149" s="3" t="s">
        <v>64</v>
      </c>
      <c r="AS4149" s="3" t="s">
        <v>64</v>
      </c>
      <c r="AT4149" s="3" t="s">
        <v>64</v>
      </c>
      <c r="AV4149" s="6" t="str">
        <f>HYPERLINK("http://mcgill.on.worldcat.org/oclc/678923696","Catalog Record")</f>
        <v>Catalog Record</v>
      </c>
      <c r="AW4149" s="6" t="str">
        <f>HYPERLINK("http://www.worldcat.org/oclc/678923696","WorldCat Record")</f>
        <v>WorldCat Record</v>
      </c>
      <c r="AX4149" s="3" t="s">
        <v>40757</v>
      </c>
      <c r="AY4149" s="3" t="s">
        <v>40758</v>
      </c>
      <c r="AZ4149" s="3" t="s">
        <v>40759</v>
      </c>
      <c r="BA4149" s="3" t="s">
        <v>40759</v>
      </c>
      <c r="BB4149" s="3" t="s">
        <v>40760</v>
      </c>
      <c r="BC4149" s="3" t="s">
        <v>77</v>
      </c>
      <c r="BD4149" s="3" t="s">
        <v>78</v>
      </c>
      <c r="BE4149" s="3" t="s">
        <v>40761</v>
      </c>
      <c r="BF4149" s="3" t="s">
        <v>40760</v>
      </c>
      <c r="BG4149" s="3" t="s">
        <v>40762</v>
      </c>
      <c r="BH4149">
        <f t="shared" si="111"/>
        <v>0</v>
      </c>
    </row>
    <row r="4150" spans="1:60" ht="58" x14ac:dyDescent="0.35">
      <c r="A4150" s="2" t="s">
        <v>59</v>
      </c>
      <c r="B4150" s="2" t="s">
        <v>60</v>
      </c>
      <c r="C4150" s="2" t="s">
        <v>40763</v>
      </c>
      <c r="D4150" s="2" t="s">
        <v>40764</v>
      </c>
      <c r="E4150" s="2" t="s">
        <v>40765</v>
      </c>
      <c r="G4150" s="3" t="s">
        <v>64</v>
      </c>
      <c r="I4150" s="3" t="s">
        <v>64</v>
      </c>
      <c r="J4150" s="3" t="s">
        <v>64</v>
      </c>
      <c r="K4150" s="3" t="s">
        <v>65</v>
      </c>
      <c r="L4150" s="2" t="s">
        <v>40766</v>
      </c>
      <c r="M4150" s="2" t="s">
        <v>40767</v>
      </c>
      <c r="N4150" s="3" t="s">
        <v>511</v>
      </c>
      <c r="P4150" s="3" t="s">
        <v>40768</v>
      </c>
      <c r="Q4150" s="2" t="s">
        <v>40769</v>
      </c>
      <c r="R4150" s="3" t="s">
        <v>70</v>
      </c>
      <c r="S4150" s="4">
        <v>1</v>
      </c>
      <c r="T4150" s="4">
        <v>1</v>
      </c>
      <c r="U4150" s="5" t="s">
        <v>40770</v>
      </c>
      <c r="V4150" s="5" t="s">
        <v>40770</v>
      </c>
      <c r="W4150" s="5" t="s">
        <v>72</v>
      </c>
      <c r="X4150" s="5" t="s">
        <v>72</v>
      </c>
      <c r="Y4150" s="4">
        <v>134</v>
      </c>
      <c r="Z4150" s="4">
        <v>18</v>
      </c>
      <c r="AA4150" s="4">
        <v>36</v>
      </c>
      <c r="AB4150" s="4">
        <v>1</v>
      </c>
      <c r="AC4150" s="4">
        <v>4</v>
      </c>
      <c r="AD4150" s="4">
        <v>62</v>
      </c>
      <c r="AE4150" s="4">
        <v>75</v>
      </c>
      <c r="AF4150" s="4">
        <v>0</v>
      </c>
      <c r="AG4150" s="4">
        <v>2</v>
      </c>
      <c r="AH4150" s="4">
        <v>54</v>
      </c>
      <c r="AI4150" s="4">
        <v>58</v>
      </c>
      <c r="AJ4150" s="4">
        <v>13</v>
      </c>
      <c r="AK4150" s="4">
        <v>17</v>
      </c>
      <c r="AL4150" s="4">
        <v>36</v>
      </c>
      <c r="AM4150" s="4">
        <v>36</v>
      </c>
      <c r="AN4150" s="4">
        <v>5</v>
      </c>
      <c r="AO4150" s="4">
        <v>5</v>
      </c>
      <c r="AP4150" s="4">
        <v>12</v>
      </c>
      <c r="AQ4150" s="4">
        <v>24</v>
      </c>
      <c r="AR4150" s="3" t="s">
        <v>128</v>
      </c>
      <c r="AS4150" s="3" t="s">
        <v>64</v>
      </c>
      <c r="AT4150" s="3" t="s">
        <v>128</v>
      </c>
      <c r="AU4150" s="6" t="str">
        <f>HYPERLINK("http://catalog.hathitrust.org/Record/008519723","HathiTrust Record")</f>
        <v>HathiTrust Record</v>
      </c>
      <c r="AV4150" s="6" t="str">
        <f>HYPERLINK("http://mcgill.on.worldcat.org/oclc/468103444","Catalog Record")</f>
        <v>Catalog Record</v>
      </c>
      <c r="AW4150" s="6" t="str">
        <f>HYPERLINK("http://www.worldcat.org/oclc/468103444","WorldCat Record")</f>
        <v>WorldCat Record</v>
      </c>
      <c r="AX4150" s="3" t="s">
        <v>40771</v>
      </c>
      <c r="AY4150" s="3" t="s">
        <v>40772</v>
      </c>
      <c r="AZ4150" s="3" t="s">
        <v>40773</v>
      </c>
      <c r="BA4150" s="3" t="s">
        <v>40773</v>
      </c>
      <c r="BB4150" s="3" t="s">
        <v>40774</v>
      </c>
      <c r="BC4150" s="3" t="s">
        <v>77</v>
      </c>
      <c r="BD4150" s="3" t="s">
        <v>78</v>
      </c>
      <c r="BE4150" s="3" t="s">
        <v>40775</v>
      </c>
      <c r="BF4150" s="3" t="s">
        <v>40774</v>
      </c>
      <c r="BG4150" s="3" t="s">
        <v>40776</v>
      </c>
      <c r="BH4150">
        <f t="shared" si="111"/>
        <v>0</v>
      </c>
    </row>
    <row r="4151" spans="1:60" ht="72.5" x14ac:dyDescent="0.35">
      <c r="A4151" s="2" t="s">
        <v>6202</v>
      </c>
      <c r="B4151" s="2" t="s">
        <v>6203</v>
      </c>
      <c r="C4151" s="2" t="s">
        <v>40777</v>
      </c>
      <c r="D4151" s="2" t="s">
        <v>40778</v>
      </c>
      <c r="E4151" s="2" t="s">
        <v>40779</v>
      </c>
      <c r="F4151" s="3" t="s">
        <v>478</v>
      </c>
      <c r="G4151" s="3" t="s">
        <v>128</v>
      </c>
      <c r="I4151" s="3" t="s">
        <v>64</v>
      </c>
      <c r="J4151" s="3" t="s">
        <v>128</v>
      </c>
      <c r="K4151" s="3" t="s">
        <v>65</v>
      </c>
      <c r="L4151" s="2" t="s">
        <v>40780</v>
      </c>
      <c r="M4151" s="2" t="s">
        <v>40781</v>
      </c>
      <c r="N4151" s="3" t="s">
        <v>405</v>
      </c>
      <c r="P4151" s="3" t="s">
        <v>102</v>
      </c>
      <c r="R4151" s="3" t="s">
        <v>70</v>
      </c>
      <c r="S4151" s="4">
        <v>0</v>
      </c>
      <c r="T4151" s="4">
        <v>1</v>
      </c>
      <c r="V4151" s="5" t="s">
        <v>40782</v>
      </c>
      <c r="W4151" s="5" t="s">
        <v>72</v>
      </c>
      <c r="X4151" s="5" t="s">
        <v>72</v>
      </c>
      <c r="Y4151" s="4">
        <v>10</v>
      </c>
      <c r="Z4151" s="4">
        <v>5</v>
      </c>
      <c r="AA4151" s="4">
        <v>41</v>
      </c>
      <c r="AB4151" s="4">
        <v>2</v>
      </c>
      <c r="AC4151" s="4">
        <v>7</v>
      </c>
      <c r="AD4151" s="4">
        <v>3</v>
      </c>
      <c r="AE4151" s="4">
        <v>126</v>
      </c>
      <c r="AF4151" s="4">
        <v>0</v>
      </c>
      <c r="AG4151" s="4">
        <v>4</v>
      </c>
      <c r="AH4151" s="4">
        <v>2</v>
      </c>
      <c r="AI4151" s="4">
        <v>105</v>
      </c>
      <c r="AJ4151" s="4">
        <v>3</v>
      </c>
      <c r="AK4151" s="4">
        <v>21</v>
      </c>
      <c r="AL4151" s="4">
        <v>0</v>
      </c>
      <c r="AM4151" s="4">
        <v>56</v>
      </c>
      <c r="AN4151" s="4">
        <v>0</v>
      </c>
      <c r="AO4151" s="4">
        <v>0</v>
      </c>
      <c r="AP4151" s="4">
        <v>3</v>
      </c>
      <c r="AQ4151" s="4">
        <v>27</v>
      </c>
      <c r="AR4151" s="3" t="s">
        <v>64</v>
      </c>
      <c r="AS4151" s="3" t="s">
        <v>64</v>
      </c>
      <c r="AT4151" s="3" t="s">
        <v>64</v>
      </c>
      <c r="AV4151" s="6" t="str">
        <f>HYPERLINK("http://mcgill.on.worldcat.org/oclc/238851330","Catalog Record")</f>
        <v>Catalog Record</v>
      </c>
      <c r="AW4151" s="6" t="str">
        <f>HYPERLINK("http://www.worldcat.org/oclc/238851330","WorldCat Record")</f>
        <v>WorldCat Record</v>
      </c>
      <c r="AX4151" s="3" t="s">
        <v>40783</v>
      </c>
      <c r="AY4151" s="3" t="s">
        <v>40784</v>
      </c>
      <c r="AZ4151" s="3" t="s">
        <v>40785</v>
      </c>
      <c r="BA4151" s="3" t="s">
        <v>40785</v>
      </c>
      <c r="BB4151" s="3" t="s">
        <v>40786</v>
      </c>
      <c r="BC4151" s="3" t="s">
        <v>77</v>
      </c>
      <c r="BD4151" s="3" t="s">
        <v>78</v>
      </c>
      <c r="BE4151" s="3" t="s">
        <v>40787</v>
      </c>
      <c r="BF4151" s="3" t="s">
        <v>40786</v>
      </c>
      <c r="BG4151" s="3" t="s">
        <v>40788</v>
      </c>
      <c r="BH4151">
        <f t="shared" si="111"/>
        <v>0</v>
      </c>
    </row>
    <row r="4152" spans="1:60" ht="72.5" x14ac:dyDescent="0.35">
      <c r="A4152" s="2" t="s">
        <v>6202</v>
      </c>
      <c r="B4152" s="2" t="s">
        <v>6203</v>
      </c>
      <c r="C4152" s="2" t="s">
        <v>40777</v>
      </c>
      <c r="D4152" s="2" t="s">
        <v>40778</v>
      </c>
      <c r="E4152" s="2" t="s">
        <v>40779</v>
      </c>
      <c r="F4152" s="3" t="s">
        <v>489</v>
      </c>
      <c r="G4152" s="3" t="s">
        <v>128</v>
      </c>
      <c r="I4152" s="3" t="s">
        <v>64</v>
      </c>
      <c r="J4152" s="3" t="s">
        <v>128</v>
      </c>
      <c r="K4152" s="3" t="s">
        <v>65</v>
      </c>
      <c r="L4152" s="2" t="s">
        <v>40780</v>
      </c>
      <c r="M4152" s="2" t="s">
        <v>40781</v>
      </c>
      <c r="N4152" s="3" t="s">
        <v>405</v>
      </c>
      <c r="P4152" s="3" t="s">
        <v>102</v>
      </c>
      <c r="R4152" s="3" t="s">
        <v>70</v>
      </c>
      <c r="S4152" s="4">
        <v>1</v>
      </c>
      <c r="T4152" s="4">
        <v>1</v>
      </c>
      <c r="U4152" s="5" t="s">
        <v>40782</v>
      </c>
      <c r="V4152" s="5" t="s">
        <v>40782</v>
      </c>
      <c r="W4152" s="5" t="s">
        <v>72</v>
      </c>
      <c r="X4152" s="5" t="s">
        <v>72</v>
      </c>
      <c r="Y4152" s="4">
        <v>10</v>
      </c>
      <c r="Z4152" s="4">
        <v>5</v>
      </c>
      <c r="AA4152" s="4">
        <v>41</v>
      </c>
      <c r="AB4152" s="4">
        <v>2</v>
      </c>
      <c r="AC4152" s="4">
        <v>7</v>
      </c>
      <c r="AD4152" s="4">
        <v>3</v>
      </c>
      <c r="AE4152" s="4">
        <v>126</v>
      </c>
      <c r="AF4152" s="4">
        <v>0</v>
      </c>
      <c r="AG4152" s="4">
        <v>4</v>
      </c>
      <c r="AH4152" s="4">
        <v>2</v>
      </c>
      <c r="AI4152" s="4">
        <v>105</v>
      </c>
      <c r="AJ4152" s="4">
        <v>3</v>
      </c>
      <c r="AK4152" s="4">
        <v>21</v>
      </c>
      <c r="AL4152" s="4">
        <v>0</v>
      </c>
      <c r="AM4152" s="4">
        <v>56</v>
      </c>
      <c r="AN4152" s="4">
        <v>0</v>
      </c>
      <c r="AO4152" s="4">
        <v>0</v>
      </c>
      <c r="AP4152" s="4">
        <v>3</v>
      </c>
      <c r="AQ4152" s="4">
        <v>27</v>
      </c>
      <c r="AR4152" s="3" t="s">
        <v>64</v>
      </c>
      <c r="AS4152" s="3" t="s">
        <v>64</v>
      </c>
      <c r="AT4152" s="3" t="s">
        <v>64</v>
      </c>
      <c r="AV4152" s="6" t="str">
        <f>HYPERLINK("http://mcgill.on.worldcat.org/oclc/238851330","Catalog Record")</f>
        <v>Catalog Record</v>
      </c>
      <c r="AW4152" s="6" t="str">
        <f>HYPERLINK("http://www.worldcat.org/oclc/238851330","WorldCat Record")</f>
        <v>WorldCat Record</v>
      </c>
      <c r="AX4152" s="3" t="s">
        <v>40783</v>
      </c>
      <c r="AY4152" s="3" t="s">
        <v>40784</v>
      </c>
      <c r="AZ4152" s="3" t="s">
        <v>40785</v>
      </c>
      <c r="BA4152" s="3" t="s">
        <v>40785</v>
      </c>
      <c r="BB4152" s="3" t="s">
        <v>40789</v>
      </c>
      <c r="BC4152" s="3" t="s">
        <v>77</v>
      </c>
      <c r="BD4152" s="3" t="s">
        <v>78</v>
      </c>
      <c r="BE4152" s="3" t="s">
        <v>40787</v>
      </c>
      <c r="BF4152" s="3" t="s">
        <v>40789</v>
      </c>
      <c r="BG4152" s="3" t="s">
        <v>40790</v>
      </c>
      <c r="BH4152">
        <f t="shared" si="111"/>
        <v>0</v>
      </c>
    </row>
    <row r="4153" spans="1:60" ht="58" x14ac:dyDescent="0.35">
      <c r="A4153" s="2" t="s">
        <v>6202</v>
      </c>
      <c r="B4153" s="2" t="s">
        <v>6203</v>
      </c>
      <c r="C4153" s="2" t="s">
        <v>40791</v>
      </c>
      <c r="D4153" s="2" t="s">
        <v>40792</v>
      </c>
      <c r="E4153" s="2" t="s">
        <v>40793</v>
      </c>
      <c r="G4153" s="3" t="s">
        <v>64</v>
      </c>
      <c r="I4153" s="3" t="s">
        <v>64</v>
      </c>
      <c r="J4153" s="3" t="s">
        <v>64</v>
      </c>
      <c r="K4153" s="3" t="s">
        <v>65</v>
      </c>
      <c r="L4153" s="2" t="s">
        <v>40794</v>
      </c>
      <c r="M4153" s="2" t="s">
        <v>21414</v>
      </c>
      <c r="N4153" s="3" t="s">
        <v>551</v>
      </c>
      <c r="P4153" s="3" t="s">
        <v>102</v>
      </c>
      <c r="Q4153" s="2" t="s">
        <v>40795</v>
      </c>
      <c r="R4153" s="3" t="s">
        <v>70</v>
      </c>
      <c r="S4153" s="4">
        <v>1</v>
      </c>
      <c r="T4153" s="4">
        <v>1</v>
      </c>
      <c r="U4153" s="5" t="s">
        <v>626</v>
      </c>
      <c r="V4153" s="5" t="s">
        <v>626</v>
      </c>
      <c r="W4153" s="5" t="s">
        <v>72</v>
      </c>
      <c r="X4153" s="5" t="s">
        <v>72</v>
      </c>
      <c r="Y4153" s="4">
        <v>93</v>
      </c>
      <c r="Z4153" s="4">
        <v>7</v>
      </c>
      <c r="AA4153" s="4">
        <v>7</v>
      </c>
      <c r="AB4153" s="4">
        <v>2</v>
      </c>
      <c r="AC4153" s="4">
        <v>2</v>
      </c>
      <c r="AD4153" s="4">
        <v>29</v>
      </c>
      <c r="AE4153" s="4">
        <v>29</v>
      </c>
      <c r="AF4153" s="4">
        <v>0</v>
      </c>
      <c r="AG4153" s="4">
        <v>0</v>
      </c>
      <c r="AH4153" s="4">
        <v>26</v>
      </c>
      <c r="AI4153" s="4">
        <v>26</v>
      </c>
      <c r="AJ4153" s="4">
        <v>4</v>
      </c>
      <c r="AK4153" s="4">
        <v>4</v>
      </c>
      <c r="AL4153" s="4">
        <v>20</v>
      </c>
      <c r="AM4153" s="4">
        <v>20</v>
      </c>
      <c r="AN4153" s="4">
        <v>0</v>
      </c>
      <c r="AO4153" s="4">
        <v>0</v>
      </c>
      <c r="AP4153" s="4">
        <v>4</v>
      </c>
      <c r="AQ4153" s="4">
        <v>4</v>
      </c>
      <c r="AR4153" s="3" t="s">
        <v>64</v>
      </c>
      <c r="AS4153" s="3" t="s">
        <v>64</v>
      </c>
      <c r="AT4153" s="3" t="s">
        <v>64</v>
      </c>
      <c r="AV4153" s="6" t="str">
        <f>HYPERLINK("http://mcgill.on.worldcat.org/oclc/212375771","Catalog Record")</f>
        <v>Catalog Record</v>
      </c>
      <c r="AW4153" s="6" t="str">
        <f>HYPERLINK("http://www.worldcat.org/oclc/212375771","WorldCat Record")</f>
        <v>WorldCat Record</v>
      </c>
      <c r="AX4153" s="3" t="s">
        <v>40796</v>
      </c>
      <c r="AY4153" s="3" t="s">
        <v>40797</v>
      </c>
      <c r="AZ4153" s="3" t="s">
        <v>40798</v>
      </c>
      <c r="BA4153" s="3" t="s">
        <v>40798</v>
      </c>
      <c r="BB4153" s="3" t="s">
        <v>40799</v>
      </c>
      <c r="BC4153" s="3" t="s">
        <v>77</v>
      </c>
      <c r="BD4153" s="3" t="s">
        <v>78</v>
      </c>
      <c r="BE4153" s="3" t="s">
        <v>40800</v>
      </c>
      <c r="BF4153" s="3" t="s">
        <v>40799</v>
      </c>
      <c r="BG4153" s="3" t="s">
        <v>40801</v>
      </c>
      <c r="BH4153">
        <f t="shared" si="111"/>
        <v>0</v>
      </c>
    </row>
    <row r="4154" spans="1:60" ht="58" x14ac:dyDescent="0.35">
      <c r="A4154" s="2" t="s">
        <v>6202</v>
      </c>
      <c r="B4154" s="2" t="s">
        <v>6203</v>
      </c>
      <c r="C4154" s="2" t="s">
        <v>40802</v>
      </c>
      <c r="D4154" s="2" t="s">
        <v>40803</v>
      </c>
      <c r="E4154" s="2" t="s">
        <v>40804</v>
      </c>
      <c r="F4154" s="3" t="s">
        <v>2044</v>
      </c>
      <c r="G4154" s="3" t="s">
        <v>128</v>
      </c>
      <c r="I4154" s="3" t="s">
        <v>128</v>
      </c>
      <c r="J4154" s="3" t="s">
        <v>64</v>
      </c>
      <c r="K4154" s="3" t="s">
        <v>65</v>
      </c>
      <c r="L4154" s="2" t="s">
        <v>40805</v>
      </c>
      <c r="M4154" s="2" t="s">
        <v>40806</v>
      </c>
      <c r="N4154" s="3" t="s">
        <v>5440</v>
      </c>
      <c r="P4154" s="3" t="s">
        <v>102</v>
      </c>
      <c r="R4154" s="3" t="s">
        <v>70</v>
      </c>
      <c r="S4154" s="4">
        <v>0</v>
      </c>
      <c r="T4154" s="4">
        <v>1</v>
      </c>
      <c r="V4154" s="5" t="s">
        <v>40782</v>
      </c>
      <c r="W4154" s="5" t="s">
        <v>72</v>
      </c>
      <c r="X4154" s="5" t="s">
        <v>72</v>
      </c>
      <c r="Y4154" s="4">
        <v>564</v>
      </c>
      <c r="Z4154" s="4">
        <v>34</v>
      </c>
      <c r="AA4154" s="4">
        <v>39</v>
      </c>
      <c r="AB4154" s="4">
        <v>2</v>
      </c>
      <c r="AC4154" s="4">
        <v>5</v>
      </c>
      <c r="AD4154" s="4">
        <v>123</v>
      </c>
      <c r="AE4154" s="4">
        <v>129</v>
      </c>
      <c r="AF4154" s="4">
        <v>0</v>
      </c>
      <c r="AG4154" s="4">
        <v>3</v>
      </c>
      <c r="AH4154" s="4">
        <v>102</v>
      </c>
      <c r="AI4154" s="4">
        <v>105</v>
      </c>
      <c r="AJ4154" s="4">
        <v>19</v>
      </c>
      <c r="AK4154" s="4">
        <v>23</v>
      </c>
      <c r="AL4154" s="4">
        <v>58</v>
      </c>
      <c r="AM4154" s="4">
        <v>59</v>
      </c>
      <c r="AN4154" s="4">
        <v>0</v>
      </c>
      <c r="AO4154" s="4">
        <v>0</v>
      </c>
      <c r="AP4154" s="4">
        <v>25</v>
      </c>
      <c r="AQ4154" s="4">
        <v>29</v>
      </c>
      <c r="AR4154" s="3" t="s">
        <v>64</v>
      </c>
      <c r="AS4154" s="3" t="s">
        <v>64</v>
      </c>
      <c r="AT4154" s="3" t="s">
        <v>128</v>
      </c>
      <c r="AU4154" s="6" t="str">
        <f>HYPERLINK("http://catalog.hathitrust.org/Record/001168979","HathiTrust Record")</f>
        <v>HathiTrust Record</v>
      </c>
      <c r="AV4154" s="6" t="str">
        <f>HYPERLINK("http://mcgill.on.worldcat.org/oclc/581731","Catalog Record")</f>
        <v>Catalog Record</v>
      </c>
      <c r="AW4154" s="6" t="str">
        <f>HYPERLINK("http://www.worldcat.org/oclc/581731","WorldCat Record")</f>
        <v>WorldCat Record</v>
      </c>
      <c r="AX4154" s="3" t="s">
        <v>40807</v>
      </c>
      <c r="AY4154" s="3" t="s">
        <v>40808</v>
      </c>
      <c r="AZ4154" s="3" t="s">
        <v>40809</v>
      </c>
      <c r="BA4154" s="3" t="s">
        <v>40809</v>
      </c>
      <c r="BB4154" s="3" t="s">
        <v>40810</v>
      </c>
      <c r="BC4154" s="3" t="s">
        <v>77</v>
      </c>
      <c r="BD4154" s="3" t="s">
        <v>40037</v>
      </c>
      <c r="BF4154" s="3" t="s">
        <v>40810</v>
      </c>
      <c r="BG4154" s="3" t="s">
        <v>40811</v>
      </c>
      <c r="BH4154">
        <f t="shared" si="111"/>
        <v>0</v>
      </c>
    </row>
    <row r="4155" spans="1:60" ht="58" x14ac:dyDescent="0.35">
      <c r="A4155" s="2" t="s">
        <v>6202</v>
      </c>
      <c r="B4155" s="2" t="s">
        <v>6203</v>
      </c>
      <c r="C4155" s="2" t="s">
        <v>40802</v>
      </c>
      <c r="D4155" s="2" t="s">
        <v>40803</v>
      </c>
      <c r="E4155" s="2" t="s">
        <v>40804</v>
      </c>
      <c r="F4155" s="3" t="s">
        <v>478</v>
      </c>
      <c r="G4155" s="3" t="s">
        <v>128</v>
      </c>
      <c r="I4155" s="3" t="s">
        <v>128</v>
      </c>
      <c r="J4155" s="3" t="s">
        <v>64</v>
      </c>
      <c r="K4155" s="3" t="s">
        <v>65</v>
      </c>
      <c r="L4155" s="2" t="s">
        <v>40805</v>
      </c>
      <c r="M4155" s="2" t="s">
        <v>40806</v>
      </c>
      <c r="N4155" s="3" t="s">
        <v>5440</v>
      </c>
      <c r="P4155" s="3" t="s">
        <v>102</v>
      </c>
      <c r="R4155" s="3" t="s">
        <v>70</v>
      </c>
      <c r="S4155" s="4">
        <v>1</v>
      </c>
      <c r="T4155" s="4">
        <v>1</v>
      </c>
      <c r="U4155" s="5" t="s">
        <v>40782</v>
      </c>
      <c r="V4155" s="5" t="s">
        <v>40782</v>
      </c>
      <c r="W4155" s="5" t="s">
        <v>72</v>
      </c>
      <c r="X4155" s="5" t="s">
        <v>72</v>
      </c>
      <c r="Y4155" s="4">
        <v>564</v>
      </c>
      <c r="Z4155" s="4">
        <v>34</v>
      </c>
      <c r="AA4155" s="4">
        <v>39</v>
      </c>
      <c r="AB4155" s="4">
        <v>2</v>
      </c>
      <c r="AC4155" s="4">
        <v>5</v>
      </c>
      <c r="AD4155" s="4">
        <v>123</v>
      </c>
      <c r="AE4155" s="4">
        <v>129</v>
      </c>
      <c r="AF4155" s="4">
        <v>0</v>
      </c>
      <c r="AG4155" s="4">
        <v>3</v>
      </c>
      <c r="AH4155" s="4">
        <v>102</v>
      </c>
      <c r="AI4155" s="4">
        <v>105</v>
      </c>
      <c r="AJ4155" s="4">
        <v>19</v>
      </c>
      <c r="AK4155" s="4">
        <v>23</v>
      </c>
      <c r="AL4155" s="4">
        <v>58</v>
      </c>
      <c r="AM4155" s="4">
        <v>59</v>
      </c>
      <c r="AN4155" s="4">
        <v>0</v>
      </c>
      <c r="AO4155" s="4">
        <v>0</v>
      </c>
      <c r="AP4155" s="4">
        <v>25</v>
      </c>
      <c r="AQ4155" s="4">
        <v>29</v>
      </c>
      <c r="AR4155" s="3" t="s">
        <v>64</v>
      </c>
      <c r="AS4155" s="3" t="s">
        <v>64</v>
      </c>
      <c r="AT4155" s="3" t="s">
        <v>128</v>
      </c>
      <c r="AU4155" s="6" t="str">
        <f>HYPERLINK("http://catalog.hathitrust.org/Record/001168979","HathiTrust Record")</f>
        <v>HathiTrust Record</v>
      </c>
      <c r="AV4155" s="6" t="str">
        <f>HYPERLINK("http://mcgill.on.worldcat.org/oclc/581731","Catalog Record")</f>
        <v>Catalog Record</v>
      </c>
      <c r="AW4155" s="6" t="str">
        <f>HYPERLINK("http://www.worldcat.org/oclc/581731","WorldCat Record")</f>
        <v>WorldCat Record</v>
      </c>
      <c r="AX4155" s="3" t="s">
        <v>40807</v>
      </c>
      <c r="AY4155" s="3" t="s">
        <v>40808</v>
      </c>
      <c r="AZ4155" s="3" t="s">
        <v>40809</v>
      </c>
      <c r="BA4155" s="3" t="s">
        <v>40809</v>
      </c>
      <c r="BB4155" s="3" t="s">
        <v>40812</v>
      </c>
      <c r="BC4155" s="3" t="s">
        <v>77</v>
      </c>
      <c r="BD4155" s="3" t="s">
        <v>78</v>
      </c>
      <c r="BF4155" s="3" t="s">
        <v>40812</v>
      </c>
      <c r="BG4155" s="3" t="s">
        <v>40813</v>
      </c>
      <c r="BH4155">
        <f t="shared" si="111"/>
        <v>0</v>
      </c>
    </row>
    <row r="4156" spans="1:60" ht="58" x14ac:dyDescent="0.35">
      <c r="A4156" s="2" t="s">
        <v>6202</v>
      </c>
      <c r="B4156" s="2" t="s">
        <v>6203</v>
      </c>
      <c r="C4156" s="2" t="s">
        <v>40802</v>
      </c>
      <c r="D4156" s="2" t="s">
        <v>40803</v>
      </c>
      <c r="E4156" s="2" t="s">
        <v>40804</v>
      </c>
      <c r="F4156" s="3" t="s">
        <v>489</v>
      </c>
      <c r="G4156" s="3" t="s">
        <v>128</v>
      </c>
      <c r="I4156" s="3" t="s">
        <v>128</v>
      </c>
      <c r="J4156" s="3" t="s">
        <v>64</v>
      </c>
      <c r="K4156" s="3" t="s">
        <v>65</v>
      </c>
      <c r="L4156" s="2" t="s">
        <v>40805</v>
      </c>
      <c r="M4156" s="2" t="s">
        <v>40806</v>
      </c>
      <c r="N4156" s="3" t="s">
        <v>5440</v>
      </c>
      <c r="P4156" s="3" t="s">
        <v>102</v>
      </c>
      <c r="R4156" s="3" t="s">
        <v>70</v>
      </c>
      <c r="S4156" s="4">
        <v>0</v>
      </c>
      <c r="T4156" s="4">
        <v>1</v>
      </c>
      <c r="V4156" s="5" t="s">
        <v>40782</v>
      </c>
      <c r="W4156" s="5" t="s">
        <v>72</v>
      </c>
      <c r="X4156" s="5" t="s">
        <v>72</v>
      </c>
      <c r="Y4156" s="4">
        <v>564</v>
      </c>
      <c r="Z4156" s="4">
        <v>34</v>
      </c>
      <c r="AA4156" s="4">
        <v>39</v>
      </c>
      <c r="AB4156" s="4">
        <v>2</v>
      </c>
      <c r="AC4156" s="4">
        <v>5</v>
      </c>
      <c r="AD4156" s="4">
        <v>123</v>
      </c>
      <c r="AE4156" s="4">
        <v>129</v>
      </c>
      <c r="AF4156" s="4">
        <v>0</v>
      </c>
      <c r="AG4156" s="4">
        <v>3</v>
      </c>
      <c r="AH4156" s="4">
        <v>102</v>
      </c>
      <c r="AI4156" s="4">
        <v>105</v>
      </c>
      <c r="AJ4156" s="4">
        <v>19</v>
      </c>
      <c r="AK4156" s="4">
        <v>23</v>
      </c>
      <c r="AL4156" s="4">
        <v>58</v>
      </c>
      <c r="AM4156" s="4">
        <v>59</v>
      </c>
      <c r="AN4156" s="4">
        <v>0</v>
      </c>
      <c r="AO4156" s="4">
        <v>0</v>
      </c>
      <c r="AP4156" s="4">
        <v>25</v>
      </c>
      <c r="AQ4156" s="4">
        <v>29</v>
      </c>
      <c r="AR4156" s="3" t="s">
        <v>64</v>
      </c>
      <c r="AS4156" s="3" t="s">
        <v>64</v>
      </c>
      <c r="AT4156" s="3" t="s">
        <v>128</v>
      </c>
      <c r="AU4156" s="6" t="str">
        <f>HYPERLINK("http://catalog.hathitrust.org/Record/001168979","HathiTrust Record")</f>
        <v>HathiTrust Record</v>
      </c>
      <c r="AV4156" s="6" t="str">
        <f>HYPERLINK("http://mcgill.on.worldcat.org/oclc/581731","Catalog Record")</f>
        <v>Catalog Record</v>
      </c>
      <c r="AW4156" s="6" t="str">
        <f>HYPERLINK("http://www.worldcat.org/oclc/581731","WorldCat Record")</f>
        <v>WorldCat Record</v>
      </c>
      <c r="AX4156" s="3" t="s">
        <v>40807</v>
      </c>
      <c r="AY4156" s="3" t="s">
        <v>40808</v>
      </c>
      <c r="AZ4156" s="3" t="s">
        <v>40809</v>
      </c>
      <c r="BA4156" s="3" t="s">
        <v>40809</v>
      </c>
      <c r="BB4156" s="3" t="s">
        <v>40814</v>
      </c>
      <c r="BC4156" s="3" t="s">
        <v>77</v>
      </c>
      <c r="BD4156" s="3" t="s">
        <v>40037</v>
      </c>
      <c r="BF4156" s="3" t="s">
        <v>40814</v>
      </c>
      <c r="BG4156" s="3" t="s">
        <v>40815</v>
      </c>
      <c r="BH4156">
        <f t="shared" si="111"/>
        <v>0</v>
      </c>
    </row>
    <row r="4157" spans="1:60" ht="130.5" x14ac:dyDescent="0.35">
      <c r="A4157" s="2" t="s">
        <v>59</v>
      </c>
      <c r="B4157" s="2" t="s">
        <v>39594</v>
      </c>
      <c r="C4157" s="2" t="s">
        <v>40816</v>
      </c>
      <c r="D4157" s="2" t="s">
        <v>40817</v>
      </c>
      <c r="E4157" s="2" t="s">
        <v>40818</v>
      </c>
      <c r="G4157" s="3" t="s">
        <v>64</v>
      </c>
      <c r="I4157" s="3" t="s">
        <v>64</v>
      </c>
      <c r="J4157" s="3" t="s">
        <v>64</v>
      </c>
      <c r="K4157" s="3" t="s">
        <v>65</v>
      </c>
      <c r="L4157" s="2" t="s">
        <v>40819</v>
      </c>
      <c r="M4157" s="2" t="s">
        <v>24922</v>
      </c>
      <c r="N4157" s="3" t="s">
        <v>86</v>
      </c>
      <c r="P4157" s="3" t="s">
        <v>102</v>
      </c>
      <c r="Q4157" s="2" t="s">
        <v>8981</v>
      </c>
      <c r="R4157" s="3" t="s">
        <v>70</v>
      </c>
      <c r="S4157" s="4">
        <v>0</v>
      </c>
      <c r="T4157" s="4">
        <v>0</v>
      </c>
      <c r="W4157" s="5" t="s">
        <v>72</v>
      </c>
      <c r="X4157" s="5" t="s">
        <v>72</v>
      </c>
      <c r="Y4157" s="4">
        <v>95</v>
      </c>
      <c r="Z4157" s="4">
        <v>11</v>
      </c>
      <c r="AA4157" s="4">
        <v>25</v>
      </c>
      <c r="AB4157" s="4">
        <v>1</v>
      </c>
      <c r="AC4157" s="4">
        <v>5</v>
      </c>
      <c r="AD4157" s="4">
        <v>26</v>
      </c>
      <c r="AE4157" s="4">
        <v>54</v>
      </c>
      <c r="AF4157" s="4">
        <v>0</v>
      </c>
      <c r="AG4157" s="4">
        <v>2</v>
      </c>
      <c r="AH4157" s="4">
        <v>22</v>
      </c>
      <c r="AI4157" s="4">
        <v>43</v>
      </c>
      <c r="AJ4157" s="4">
        <v>6</v>
      </c>
      <c r="AK4157" s="4">
        <v>11</v>
      </c>
      <c r="AL4157" s="4">
        <v>15</v>
      </c>
      <c r="AM4157" s="4">
        <v>25</v>
      </c>
      <c r="AN4157" s="4">
        <v>0</v>
      </c>
      <c r="AO4157" s="4">
        <v>0</v>
      </c>
      <c r="AP4157" s="4">
        <v>8</v>
      </c>
      <c r="AQ4157" s="4">
        <v>15</v>
      </c>
      <c r="AR4157" s="3" t="s">
        <v>64</v>
      </c>
      <c r="AS4157" s="3" t="s">
        <v>64</v>
      </c>
      <c r="AT4157" s="3" t="s">
        <v>64</v>
      </c>
      <c r="AV4157" s="6" t="str">
        <f>HYPERLINK("http://mcgill.on.worldcat.org/oclc/195722562","Catalog Record")</f>
        <v>Catalog Record</v>
      </c>
      <c r="AW4157" s="6" t="str">
        <f>HYPERLINK("http://www.worldcat.org/oclc/195722562","WorldCat Record")</f>
        <v>WorldCat Record</v>
      </c>
      <c r="AX4157" s="3" t="s">
        <v>40820</v>
      </c>
      <c r="AY4157" s="3" t="s">
        <v>40821</v>
      </c>
      <c r="AZ4157" s="3" t="s">
        <v>40822</v>
      </c>
      <c r="BA4157" s="3" t="s">
        <v>40822</v>
      </c>
      <c r="BB4157" s="3" t="s">
        <v>40823</v>
      </c>
      <c r="BC4157" s="3" t="s">
        <v>77</v>
      </c>
      <c r="BD4157" s="3" t="s">
        <v>78</v>
      </c>
      <c r="BE4157" s="3" t="s">
        <v>40824</v>
      </c>
      <c r="BF4157" s="3" t="s">
        <v>40823</v>
      </c>
      <c r="BG4157" s="3" t="s">
        <v>40825</v>
      </c>
      <c r="BH4157">
        <f t="shared" si="111"/>
        <v>0</v>
      </c>
    </row>
    <row r="4158" spans="1:60" ht="72.5" x14ac:dyDescent="0.35">
      <c r="A4158" s="2" t="s">
        <v>6202</v>
      </c>
      <c r="B4158" s="2" t="s">
        <v>6203</v>
      </c>
      <c r="C4158" s="2" t="s">
        <v>40826</v>
      </c>
      <c r="D4158" s="2" t="s">
        <v>40827</v>
      </c>
      <c r="E4158" s="2" t="s">
        <v>40828</v>
      </c>
      <c r="F4158" s="3" t="s">
        <v>40829</v>
      </c>
      <c r="G4158" s="3" t="s">
        <v>64</v>
      </c>
      <c r="I4158" s="3" t="s">
        <v>64</v>
      </c>
      <c r="J4158" s="3" t="s">
        <v>64</v>
      </c>
      <c r="K4158" s="3" t="s">
        <v>65</v>
      </c>
      <c r="L4158" s="2" t="s">
        <v>40830</v>
      </c>
      <c r="M4158" s="2" t="s">
        <v>40831</v>
      </c>
      <c r="N4158" s="3" t="s">
        <v>7285</v>
      </c>
      <c r="P4158" s="3" t="s">
        <v>102</v>
      </c>
      <c r="Q4158" s="2" t="s">
        <v>40832</v>
      </c>
      <c r="R4158" s="3" t="s">
        <v>70</v>
      </c>
      <c r="S4158" s="4">
        <v>1</v>
      </c>
      <c r="T4158" s="4">
        <v>1</v>
      </c>
      <c r="U4158" s="5" t="s">
        <v>4697</v>
      </c>
      <c r="V4158" s="5" t="s">
        <v>4697</v>
      </c>
      <c r="W4158" s="5" t="s">
        <v>72</v>
      </c>
      <c r="X4158" s="5" t="s">
        <v>72</v>
      </c>
      <c r="Y4158" s="4">
        <v>562</v>
      </c>
      <c r="Z4158" s="4">
        <v>39</v>
      </c>
      <c r="AA4158" s="4">
        <v>43</v>
      </c>
      <c r="AB4158" s="4">
        <v>1</v>
      </c>
      <c r="AC4158" s="4">
        <v>5</v>
      </c>
      <c r="AD4158" s="4">
        <v>111</v>
      </c>
      <c r="AE4158" s="4">
        <v>115</v>
      </c>
      <c r="AF4158" s="4">
        <v>0</v>
      </c>
      <c r="AG4158" s="4">
        <v>4</v>
      </c>
      <c r="AH4158" s="4">
        <v>88</v>
      </c>
      <c r="AI4158" s="4">
        <v>89</v>
      </c>
      <c r="AJ4158" s="4">
        <v>21</v>
      </c>
      <c r="AK4158" s="4">
        <v>25</v>
      </c>
      <c r="AL4158" s="4">
        <v>45</v>
      </c>
      <c r="AM4158" s="4">
        <v>45</v>
      </c>
      <c r="AN4158" s="4">
        <v>0</v>
      </c>
      <c r="AO4158" s="4">
        <v>0</v>
      </c>
      <c r="AP4158" s="4">
        <v>30</v>
      </c>
      <c r="AQ4158" s="4">
        <v>33</v>
      </c>
      <c r="AR4158" s="3" t="s">
        <v>64</v>
      </c>
      <c r="AS4158" s="3" t="s">
        <v>64</v>
      </c>
      <c r="AT4158" s="3" t="s">
        <v>128</v>
      </c>
      <c r="AU4158" s="6" t="str">
        <f>HYPERLINK("http://catalog.hathitrust.org/Record/007112478","HathiTrust Record")</f>
        <v>HathiTrust Record</v>
      </c>
      <c r="AV4158" s="6" t="str">
        <f>HYPERLINK("http://mcgill.on.worldcat.org/oclc/177486","Catalog Record")</f>
        <v>Catalog Record</v>
      </c>
      <c r="AW4158" s="6" t="str">
        <f>HYPERLINK("http://www.worldcat.org/oclc/177486","WorldCat Record")</f>
        <v>WorldCat Record</v>
      </c>
      <c r="AX4158" s="3" t="s">
        <v>40833</v>
      </c>
      <c r="AY4158" s="3" t="s">
        <v>40834</v>
      </c>
      <c r="AZ4158" s="3" t="s">
        <v>40835</v>
      </c>
      <c r="BA4158" s="3" t="s">
        <v>40835</v>
      </c>
      <c r="BB4158" s="3" t="s">
        <v>40836</v>
      </c>
      <c r="BC4158" s="3" t="s">
        <v>77</v>
      </c>
      <c r="BD4158" s="3" t="s">
        <v>78</v>
      </c>
      <c r="BE4158" s="3" t="s">
        <v>40837</v>
      </c>
      <c r="BF4158" s="3" t="s">
        <v>40836</v>
      </c>
      <c r="BG4158" s="3" t="s">
        <v>40838</v>
      </c>
      <c r="BH4158">
        <f t="shared" si="111"/>
        <v>0</v>
      </c>
    </row>
    <row r="4159" spans="1:60" ht="58" x14ac:dyDescent="0.35">
      <c r="A4159" s="2" t="s">
        <v>6202</v>
      </c>
      <c r="B4159" s="2" t="s">
        <v>6203</v>
      </c>
      <c r="C4159" s="2" t="s">
        <v>40839</v>
      </c>
      <c r="D4159" s="2" t="s">
        <v>40840</v>
      </c>
      <c r="E4159" s="2" t="s">
        <v>40841</v>
      </c>
      <c r="G4159" s="3" t="s">
        <v>64</v>
      </c>
      <c r="I4159" s="3" t="s">
        <v>64</v>
      </c>
      <c r="J4159" s="3" t="s">
        <v>64</v>
      </c>
      <c r="K4159" s="3" t="s">
        <v>65</v>
      </c>
      <c r="L4159" s="2" t="s">
        <v>40842</v>
      </c>
      <c r="M4159" s="2" t="s">
        <v>40843</v>
      </c>
      <c r="N4159" s="3" t="s">
        <v>468</v>
      </c>
      <c r="P4159" s="3" t="s">
        <v>102</v>
      </c>
      <c r="R4159" s="3" t="s">
        <v>70</v>
      </c>
      <c r="S4159" s="4">
        <v>2</v>
      </c>
      <c r="T4159" s="4">
        <v>2</v>
      </c>
      <c r="U4159" s="5" t="s">
        <v>133</v>
      </c>
      <c r="V4159" s="5" t="s">
        <v>133</v>
      </c>
      <c r="W4159" s="5" t="s">
        <v>72</v>
      </c>
      <c r="X4159" s="5" t="s">
        <v>72</v>
      </c>
      <c r="Y4159" s="4">
        <v>551</v>
      </c>
      <c r="Z4159" s="4">
        <v>35</v>
      </c>
      <c r="AA4159" s="4">
        <v>35</v>
      </c>
      <c r="AB4159" s="4">
        <v>1</v>
      </c>
      <c r="AC4159" s="4">
        <v>1</v>
      </c>
      <c r="AD4159" s="4">
        <v>126</v>
      </c>
      <c r="AE4159" s="4">
        <v>126</v>
      </c>
      <c r="AF4159" s="4">
        <v>0</v>
      </c>
      <c r="AG4159" s="4">
        <v>0</v>
      </c>
      <c r="AH4159" s="4">
        <v>105</v>
      </c>
      <c r="AI4159" s="4">
        <v>105</v>
      </c>
      <c r="AJ4159" s="4">
        <v>20</v>
      </c>
      <c r="AK4159" s="4">
        <v>20</v>
      </c>
      <c r="AL4159" s="4">
        <v>59</v>
      </c>
      <c r="AM4159" s="4">
        <v>59</v>
      </c>
      <c r="AN4159" s="4">
        <v>0</v>
      </c>
      <c r="AO4159" s="4">
        <v>0</v>
      </c>
      <c r="AP4159" s="4">
        <v>27</v>
      </c>
      <c r="AQ4159" s="4">
        <v>27</v>
      </c>
      <c r="AR4159" s="3" t="s">
        <v>64</v>
      </c>
      <c r="AS4159" s="3" t="s">
        <v>64</v>
      </c>
      <c r="AT4159" s="3" t="s">
        <v>64</v>
      </c>
      <c r="AV4159" s="6" t="str">
        <f>HYPERLINK("http://mcgill.on.worldcat.org/oclc/1172521","Catalog Record")</f>
        <v>Catalog Record</v>
      </c>
      <c r="AW4159" s="6" t="str">
        <f>HYPERLINK("http://www.worldcat.org/oclc/1172521","WorldCat Record")</f>
        <v>WorldCat Record</v>
      </c>
      <c r="AX4159" s="3" t="s">
        <v>40844</v>
      </c>
      <c r="AY4159" s="3" t="s">
        <v>40845</v>
      </c>
      <c r="AZ4159" s="3" t="s">
        <v>40846</v>
      </c>
      <c r="BA4159" s="3" t="s">
        <v>40846</v>
      </c>
      <c r="BB4159" s="3" t="s">
        <v>40847</v>
      </c>
      <c r="BC4159" s="3" t="s">
        <v>77</v>
      </c>
      <c r="BD4159" s="3" t="s">
        <v>78</v>
      </c>
      <c r="BF4159" s="3" t="s">
        <v>40847</v>
      </c>
      <c r="BG4159" s="3" t="s">
        <v>40848</v>
      </c>
      <c r="BH4159">
        <f t="shared" si="111"/>
        <v>0</v>
      </c>
    </row>
    <row r="4160" spans="1:60" ht="72.5" x14ac:dyDescent="0.35">
      <c r="A4160" s="2" t="s">
        <v>6202</v>
      </c>
      <c r="B4160" s="2" t="s">
        <v>6203</v>
      </c>
      <c r="C4160" s="2" t="s">
        <v>40849</v>
      </c>
      <c r="D4160" s="2" t="s">
        <v>40850</v>
      </c>
      <c r="E4160" s="2" t="s">
        <v>40851</v>
      </c>
      <c r="F4160" s="3" t="s">
        <v>40852</v>
      </c>
      <c r="G4160" s="3" t="s">
        <v>64</v>
      </c>
      <c r="I4160" s="3" t="s">
        <v>64</v>
      </c>
      <c r="J4160" s="3" t="s">
        <v>64</v>
      </c>
      <c r="K4160" s="3" t="s">
        <v>65</v>
      </c>
      <c r="L4160" s="2" t="s">
        <v>40853</v>
      </c>
      <c r="M4160" s="2" t="s">
        <v>40854</v>
      </c>
      <c r="N4160" s="3" t="s">
        <v>3428</v>
      </c>
      <c r="P4160" s="3" t="s">
        <v>102</v>
      </c>
      <c r="R4160" s="3" t="s">
        <v>70</v>
      </c>
      <c r="S4160" s="4">
        <v>2</v>
      </c>
      <c r="T4160" s="4">
        <v>2</v>
      </c>
      <c r="U4160" s="5" t="s">
        <v>133</v>
      </c>
      <c r="V4160" s="5" t="s">
        <v>133</v>
      </c>
      <c r="W4160" s="5" t="s">
        <v>72</v>
      </c>
      <c r="X4160" s="5" t="s">
        <v>72</v>
      </c>
      <c r="Y4160" s="4">
        <v>143</v>
      </c>
      <c r="Z4160" s="4">
        <v>14</v>
      </c>
      <c r="AA4160" s="4">
        <v>14</v>
      </c>
      <c r="AB4160" s="4">
        <v>1</v>
      </c>
      <c r="AC4160" s="4">
        <v>1</v>
      </c>
      <c r="AD4160" s="4">
        <v>75</v>
      </c>
      <c r="AE4160" s="4">
        <v>75</v>
      </c>
      <c r="AF4160" s="4">
        <v>0</v>
      </c>
      <c r="AG4160" s="4">
        <v>0</v>
      </c>
      <c r="AH4160" s="4">
        <v>69</v>
      </c>
      <c r="AI4160" s="4">
        <v>69</v>
      </c>
      <c r="AJ4160" s="4">
        <v>11</v>
      </c>
      <c r="AK4160" s="4">
        <v>11</v>
      </c>
      <c r="AL4160" s="4">
        <v>37</v>
      </c>
      <c r="AM4160" s="4">
        <v>37</v>
      </c>
      <c r="AN4160" s="4">
        <v>0</v>
      </c>
      <c r="AO4160" s="4">
        <v>0</v>
      </c>
      <c r="AP4160" s="4">
        <v>11</v>
      </c>
      <c r="AQ4160" s="4">
        <v>11</v>
      </c>
      <c r="AR4160" s="3" t="s">
        <v>64</v>
      </c>
      <c r="AS4160" s="3" t="s">
        <v>64</v>
      </c>
      <c r="AT4160" s="3" t="s">
        <v>128</v>
      </c>
      <c r="AU4160" s="6" t="str">
        <f>HYPERLINK("http://catalog.hathitrust.org/Record/003107989","HathiTrust Record")</f>
        <v>HathiTrust Record</v>
      </c>
      <c r="AV4160" s="6" t="str">
        <f>HYPERLINK("http://mcgill.on.worldcat.org/oclc/40073521","Catalog Record")</f>
        <v>Catalog Record</v>
      </c>
      <c r="AW4160" s="6" t="str">
        <f>HYPERLINK("http://www.worldcat.org/oclc/40073521","WorldCat Record")</f>
        <v>WorldCat Record</v>
      </c>
      <c r="AX4160" s="3" t="s">
        <v>40855</v>
      </c>
      <c r="AY4160" s="3" t="s">
        <v>40856</v>
      </c>
      <c r="AZ4160" s="3" t="s">
        <v>40857</v>
      </c>
      <c r="BA4160" s="3" t="s">
        <v>40857</v>
      </c>
      <c r="BB4160" s="3" t="s">
        <v>40858</v>
      </c>
      <c r="BC4160" s="3" t="s">
        <v>77</v>
      </c>
      <c r="BD4160" s="3" t="s">
        <v>78</v>
      </c>
      <c r="BE4160" s="3" t="s">
        <v>40859</v>
      </c>
      <c r="BF4160" s="3" t="s">
        <v>40858</v>
      </c>
      <c r="BG4160" s="3" t="s">
        <v>40860</v>
      </c>
      <c r="BH4160">
        <f t="shared" si="111"/>
        <v>0</v>
      </c>
    </row>
    <row r="4161" spans="1:60" ht="72.5" x14ac:dyDescent="0.35">
      <c r="A4161" s="2" t="s">
        <v>6202</v>
      </c>
      <c r="B4161" s="2" t="s">
        <v>6203</v>
      </c>
      <c r="C4161" s="2" t="s">
        <v>40861</v>
      </c>
      <c r="D4161" s="2" t="s">
        <v>40862</v>
      </c>
      <c r="E4161" s="2" t="s">
        <v>40863</v>
      </c>
      <c r="F4161" s="3" t="s">
        <v>6565</v>
      </c>
      <c r="G4161" s="3" t="s">
        <v>64</v>
      </c>
      <c r="I4161" s="3" t="s">
        <v>64</v>
      </c>
      <c r="J4161" s="3" t="s">
        <v>64</v>
      </c>
      <c r="K4161" s="3" t="s">
        <v>65</v>
      </c>
      <c r="L4161" s="2" t="s">
        <v>40864</v>
      </c>
      <c r="M4161" s="2" t="s">
        <v>40865</v>
      </c>
      <c r="N4161" s="3" t="s">
        <v>4548</v>
      </c>
      <c r="P4161" s="3" t="s">
        <v>102</v>
      </c>
      <c r="R4161" s="3" t="s">
        <v>70</v>
      </c>
      <c r="S4161" s="4">
        <v>2</v>
      </c>
      <c r="T4161" s="4">
        <v>2</v>
      </c>
      <c r="U4161" s="5" t="s">
        <v>133</v>
      </c>
      <c r="V4161" s="5" t="s">
        <v>133</v>
      </c>
      <c r="W4161" s="5" t="s">
        <v>72</v>
      </c>
      <c r="X4161" s="5" t="s">
        <v>72</v>
      </c>
      <c r="Y4161" s="4">
        <v>11</v>
      </c>
      <c r="Z4161" s="4">
        <v>4</v>
      </c>
      <c r="AA4161" s="4">
        <v>7</v>
      </c>
      <c r="AB4161" s="4">
        <v>1</v>
      </c>
      <c r="AC4161" s="4">
        <v>1</v>
      </c>
      <c r="AD4161" s="4">
        <v>4</v>
      </c>
      <c r="AE4161" s="4">
        <v>46</v>
      </c>
      <c r="AF4161" s="4">
        <v>0</v>
      </c>
      <c r="AG4161" s="4">
        <v>0</v>
      </c>
      <c r="AH4161" s="4">
        <v>4</v>
      </c>
      <c r="AI4161" s="4">
        <v>43</v>
      </c>
      <c r="AJ4161" s="4">
        <v>2</v>
      </c>
      <c r="AK4161" s="4">
        <v>4</v>
      </c>
      <c r="AL4161" s="4">
        <v>2</v>
      </c>
      <c r="AM4161" s="4">
        <v>24</v>
      </c>
      <c r="AN4161" s="4">
        <v>0</v>
      </c>
      <c r="AO4161" s="4">
        <v>0</v>
      </c>
      <c r="AP4161" s="4">
        <v>2</v>
      </c>
      <c r="AQ4161" s="4">
        <v>4</v>
      </c>
      <c r="AR4161" s="3" t="s">
        <v>64</v>
      </c>
      <c r="AS4161" s="3" t="s">
        <v>64</v>
      </c>
      <c r="AT4161" s="3" t="s">
        <v>64</v>
      </c>
      <c r="AV4161" s="6" t="str">
        <f>HYPERLINK("http://mcgill.on.worldcat.org/oclc/61573454","Catalog Record")</f>
        <v>Catalog Record</v>
      </c>
      <c r="AW4161" s="6" t="str">
        <f>HYPERLINK("http://www.worldcat.org/oclc/61573454","WorldCat Record")</f>
        <v>WorldCat Record</v>
      </c>
      <c r="AX4161" s="3" t="s">
        <v>40866</v>
      </c>
      <c r="AY4161" s="3" t="s">
        <v>40867</v>
      </c>
      <c r="AZ4161" s="3" t="s">
        <v>40868</v>
      </c>
      <c r="BA4161" s="3" t="s">
        <v>40868</v>
      </c>
      <c r="BB4161" s="3" t="s">
        <v>40869</v>
      </c>
      <c r="BC4161" s="3" t="s">
        <v>77</v>
      </c>
      <c r="BD4161" s="3" t="s">
        <v>78</v>
      </c>
      <c r="BF4161" s="3" t="s">
        <v>40869</v>
      </c>
      <c r="BG4161" s="3" t="s">
        <v>40870</v>
      </c>
      <c r="BH4161">
        <f t="shared" si="111"/>
        <v>0</v>
      </c>
    </row>
    <row r="4162" spans="1:60" ht="58" x14ac:dyDescent="0.35">
      <c r="A4162" s="2" t="s">
        <v>59</v>
      </c>
      <c r="B4162" s="2" t="s">
        <v>60</v>
      </c>
      <c r="C4162" s="2" t="s">
        <v>40871</v>
      </c>
      <c r="D4162" s="2" t="s">
        <v>40872</v>
      </c>
      <c r="E4162" s="2" t="s">
        <v>40873</v>
      </c>
      <c r="G4162" s="3" t="s">
        <v>64</v>
      </c>
      <c r="I4162" s="3" t="s">
        <v>64</v>
      </c>
      <c r="J4162" s="3" t="s">
        <v>64</v>
      </c>
      <c r="K4162" s="3" t="s">
        <v>65</v>
      </c>
      <c r="L4162" s="2" t="s">
        <v>40874</v>
      </c>
      <c r="M4162" s="2" t="s">
        <v>40875</v>
      </c>
      <c r="N4162" s="3" t="s">
        <v>421</v>
      </c>
      <c r="P4162" s="3" t="s">
        <v>102</v>
      </c>
      <c r="Q4162" s="2" t="s">
        <v>40876</v>
      </c>
      <c r="R4162" s="3" t="s">
        <v>70</v>
      </c>
      <c r="S4162" s="4">
        <v>9</v>
      </c>
      <c r="T4162" s="4">
        <v>9</v>
      </c>
      <c r="U4162" s="5" t="s">
        <v>1493</v>
      </c>
      <c r="V4162" s="5" t="s">
        <v>1493</v>
      </c>
      <c r="W4162" s="5" t="s">
        <v>72</v>
      </c>
      <c r="X4162" s="5" t="s">
        <v>72</v>
      </c>
      <c r="Y4162" s="4">
        <v>156</v>
      </c>
      <c r="Z4162" s="4">
        <v>10</v>
      </c>
      <c r="AA4162" s="4">
        <v>13</v>
      </c>
      <c r="AB4162" s="4">
        <v>2</v>
      </c>
      <c r="AC4162" s="4">
        <v>3</v>
      </c>
      <c r="AD4162" s="4">
        <v>73</v>
      </c>
      <c r="AE4162" s="4">
        <v>90</v>
      </c>
      <c r="AF4162" s="4">
        <v>1</v>
      </c>
      <c r="AG4162" s="4">
        <v>1</v>
      </c>
      <c r="AH4162" s="4">
        <v>67</v>
      </c>
      <c r="AI4162" s="4">
        <v>84</v>
      </c>
      <c r="AJ4162" s="4">
        <v>7</v>
      </c>
      <c r="AK4162" s="4">
        <v>8</v>
      </c>
      <c r="AL4162" s="4">
        <v>43</v>
      </c>
      <c r="AM4162" s="4">
        <v>49</v>
      </c>
      <c r="AN4162" s="4">
        <v>0</v>
      </c>
      <c r="AO4162" s="4">
        <v>0</v>
      </c>
      <c r="AP4162" s="4">
        <v>8</v>
      </c>
      <c r="AQ4162" s="4">
        <v>9</v>
      </c>
      <c r="AR4162" s="3" t="s">
        <v>64</v>
      </c>
      <c r="AS4162" s="3" t="s">
        <v>64</v>
      </c>
      <c r="AT4162" s="3" t="s">
        <v>64</v>
      </c>
      <c r="AV4162" s="6" t="str">
        <f>HYPERLINK("http://mcgill.on.worldcat.org/oclc/37201396","Catalog Record")</f>
        <v>Catalog Record</v>
      </c>
      <c r="AW4162" s="6" t="str">
        <f>HYPERLINK("http://www.worldcat.org/oclc/37201396","WorldCat Record")</f>
        <v>WorldCat Record</v>
      </c>
      <c r="AX4162" s="3" t="s">
        <v>40877</v>
      </c>
      <c r="AY4162" s="3" t="s">
        <v>40878</v>
      </c>
      <c r="AZ4162" s="3" t="s">
        <v>40879</v>
      </c>
      <c r="BA4162" s="3" t="s">
        <v>40879</v>
      </c>
      <c r="BB4162" s="3" t="s">
        <v>40880</v>
      </c>
      <c r="BC4162" s="3" t="s">
        <v>77</v>
      </c>
      <c r="BD4162" s="3" t="s">
        <v>78</v>
      </c>
      <c r="BE4162" s="3" t="s">
        <v>40881</v>
      </c>
      <c r="BF4162" s="3" t="s">
        <v>40880</v>
      </c>
      <c r="BG4162" s="3" t="s">
        <v>40882</v>
      </c>
      <c r="BH4162">
        <f t="shared" ref="BH4162:BH4225" si="115">IF(COUNTIF($BF$1:$BF$5431,BF4162)=1,0,1)</f>
        <v>0</v>
      </c>
    </row>
    <row r="4163" spans="1:60" ht="58" x14ac:dyDescent="0.35">
      <c r="A4163" s="2" t="s">
        <v>59</v>
      </c>
      <c r="B4163" s="2" t="s">
        <v>60</v>
      </c>
      <c r="C4163" s="2" t="s">
        <v>40883</v>
      </c>
      <c r="D4163" s="2" t="s">
        <v>40884</v>
      </c>
      <c r="E4163" s="2" t="s">
        <v>40885</v>
      </c>
      <c r="G4163" s="3" t="s">
        <v>64</v>
      </c>
      <c r="I4163" s="3" t="s">
        <v>64</v>
      </c>
      <c r="J4163" s="3" t="s">
        <v>64</v>
      </c>
      <c r="K4163" s="3" t="s">
        <v>65</v>
      </c>
      <c r="L4163" s="2" t="s">
        <v>40886</v>
      </c>
      <c r="M4163" s="2" t="s">
        <v>40887</v>
      </c>
      <c r="N4163" s="3" t="s">
        <v>434</v>
      </c>
      <c r="P4163" s="3" t="s">
        <v>102</v>
      </c>
      <c r="Q4163" s="2" t="s">
        <v>40888</v>
      </c>
      <c r="R4163" s="3" t="s">
        <v>70</v>
      </c>
      <c r="S4163" s="4">
        <v>4</v>
      </c>
      <c r="T4163" s="4">
        <v>4</v>
      </c>
      <c r="U4163" s="5" t="s">
        <v>234</v>
      </c>
      <c r="V4163" s="5" t="s">
        <v>234</v>
      </c>
      <c r="W4163" s="5" t="s">
        <v>72</v>
      </c>
      <c r="X4163" s="5" t="s">
        <v>72</v>
      </c>
      <c r="Y4163" s="4">
        <v>162</v>
      </c>
      <c r="Z4163" s="4">
        <v>12</v>
      </c>
      <c r="AA4163" s="4">
        <v>12</v>
      </c>
      <c r="AB4163" s="4">
        <v>1</v>
      </c>
      <c r="AC4163" s="4">
        <v>1</v>
      </c>
      <c r="AD4163" s="4">
        <v>70</v>
      </c>
      <c r="AE4163" s="4">
        <v>70</v>
      </c>
      <c r="AF4163" s="4">
        <v>0</v>
      </c>
      <c r="AG4163" s="4">
        <v>0</v>
      </c>
      <c r="AH4163" s="4">
        <v>65</v>
      </c>
      <c r="AI4163" s="4">
        <v>65</v>
      </c>
      <c r="AJ4163" s="4">
        <v>5</v>
      </c>
      <c r="AK4163" s="4">
        <v>5</v>
      </c>
      <c r="AL4163" s="4">
        <v>43</v>
      </c>
      <c r="AM4163" s="4">
        <v>43</v>
      </c>
      <c r="AN4163" s="4">
        <v>0</v>
      </c>
      <c r="AO4163" s="4">
        <v>0</v>
      </c>
      <c r="AP4163" s="4">
        <v>8</v>
      </c>
      <c r="AQ4163" s="4">
        <v>8</v>
      </c>
      <c r="AR4163" s="3" t="s">
        <v>64</v>
      </c>
      <c r="AS4163" s="3" t="s">
        <v>64</v>
      </c>
      <c r="AT4163" s="3" t="s">
        <v>64</v>
      </c>
      <c r="AV4163" s="6" t="str">
        <f>HYPERLINK("http://mcgill.on.worldcat.org/oclc/58599981","Catalog Record")</f>
        <v>Catalog Record</v>
      </c>
      <c r="AW4163" s="6" t="str">
        <f>HYPERLINK("http://www.worldcat.org/oclc/58599981","WorldCat Record")</f>
        <v>WorldCat Record</v>
      </c>
      <c r="AX4163" s="3" t="s">
        <v>40889</v>
      </c>
      <c r="AY4163" s="3" t="s">
        <v>40890</v>
      </c>
      <c r="AZ4163" s="3" t="s">
        <v>40891</v>
      </c>
      <c r="BA4163" s="3" t="s">
        <v>40891</v>
      </c>
      <c r="BB4163" s="3" t="s">
        <v>40892</v>
      </c>
      <c r="BC4163" s="3" t="s">
        <v>77</v>
      </c>
      <c r="BD4163" s="3" t="s">
        <v>165</v>
      </c>
      <c r="BE4163" s="3" t="s">
        <v>40893</v>
      </c>
      <c r="BF4163" s="3" t="s">
        <v>40892</v>
      </c>
      <c r="BG4163" s="3" t="s">
        <v>40894</v>
      </c>
      <c r="BH4163">
        <f t="shared" si="115"/>
        <v>0</v>
      </c>
    </row>
    <row r="4164" spans="1:60" ht="58" x14ac:dyDescent="0.35">
      <c r="A4164" s="2" t="s">
        <v>59</v>
      </c>
      <c r="B4164" s="2" t="s">
        <v>7607</v>
      </c>
      <c r="C4164" s="2" t="s">
        <v>40895</v>
      </c>
      <c r="D4164" s="2" t="s">
        <v>40896</v>
      </c>
      <c r="E4164" s="2" t="s">
        <v>40897</v>
      </c>
      <c r="G4164" s="3" t="s">
        <v>64</v>
      </c>
      <c r="I4164" s="3" t="s">
        <v>64</v>
      </c>
      <c r="J4164" s="3" t="s">
        <v>64</v>
      </c>
      <c r="K4164" s="3" t="s">
        <v>65</v>
      </c>
      <c r="L4164" s="2" t="s">
        <v>40898</v>
      </c>
      <c r="M4164" s="2" t="s">
        <v>40899</v>
      </c>
      <c r="N4164" s="3" t="s">
        <v>1938</v>
      </c>
      <c r="P4164" s="3" t="s">
        <v>102</v>
      </c>
      <c r="Q4164" s="2" t="s">
        <v>40900</v>
      </c>
      <c r="R4164" s="3" t="s">
        <v>70</v>
      </c>
      <c r="S4164" s="4">
        <v>1</v>
      </c>
      <c r="T4164" s="4">
        <v>1</v>
      </c>
      <c r="U4164" s="5" t="s">
        <v>40901</v>
      </c>
      <c r="V4164" s="5" t="s">
        <v>40901</v>
      </c>
      <c r="W4164" s="5" t="s">
        <v>72</v>
      </c>
      <c r="X4164" s="5" t="s">
        <v>72</v>
      </c>
      <c r="Y4164" s="4">
        <v>294</v>
      </c>
      <c r="Z4164" s="4">
        <v>14</v>
      </c>
      <c r="AA4164" s="4">
        <v>22</v>
      </c>
      <c r="AB4164" s="4">
        <v>1</v>
      </c>
      <c r="AC4164" s="4">
        <v>3</v>
      </c>
      <c r="AD4164" s="4">
        <v>95</v>
      </c>
      <c r="AE4164" s="4">
        <v>103</v>
      </c>
      <c r="AF4164" s="4">
        <v>0</v>
      </c>
      <c r="AG4164" s="4">
        <v>2</v>
      </c>
      <c r="AH4164" s="4">
        <v>86</v>
      </c>
      <c r="AI4164" s="4">
        <v>90</v>
      </c>
      <c r="AJ4164" s="4">
        <v>8</v>
      </c>
      <c r="AK4164" s="4">
        <v>15</v>
      </c>
      <c r="AL4164" s="4">
        <v>50</v>
      </c>
      <c r="AM4164" s="4">
        <v>50</v>
      </c>
      <c r="AN4164" s="4">
        <v>0</v>
      </c>
      <c r="AO4164" s="4">
        <v>0</v>
      </c>
      <c r="AP4164" s="4">
        <v>10</v>
      </c>
      <c r="AQ4164" s="4">
        <v>17</v>
      </c>
      <c r="AR4164" s="3" t="s">
        <v>64</v>
      </c>
      <c r="AS4164" s="3" t="s">
        <v>64</v>
      </c>
      <c r="AT4164" s="3" t="s">
        <v>64</v>
      </c>
      <c r="AV4164" s="6" t="str">
        <f>HYPERLINK("http://mcgill.on.worldcat.org/oclc/20358413","Catalog Record")</f>
        <v>Catalog Record</v>
      </c>
      <c r="AW4164" s="6" t="str">
        <f>HYPERLINK("http://www.worldcat.org/oclc/20358413","WorldCat Record")</f>
        <v>WorldCat Record</v>
      </c>
      <c r="AX4164" s="3" t="s">
        <v>40902</v>
      </c>
      <c r="AY4164" s="3" t="s">
        <v>40903</v>
      </c>
      <c r="AZ4164" s="3" t="s">
        <v>40904</v>
      </c>
      <c r="BA4164" s="3" t="s">
        <v>40904</v>
      </c>
      <c r="BB4164" s="3" t="s">
        <v>40905</v>
      </c>
      <c r="BC4164" s="3" t="s">
        <v>77</v>
      </c>
      <c r="BD4164" s="3" t="s">
        <v>78</v>
      </c>
      <c r="BE4164" s="3" t="s">
        <v>40906</v>
      </c>
      <c r="BF4164" s="3" t="s">
        <v>40905</v>
      </c>
      <c r="BG4164" s="3" t="s">
        <v>40907</v>
      </c>
      <c r="BH4164">
        <f t="shared" si="115"/>
        <v>0</v>
      </c>
    </row>
    <row r="4165" spans="1:60" ht="101.5" x14ac:dyDescent="0.35">
      <c r="A4165" s="2" t="s">
        <v>6202</v>
      </c>
      <c r="B4165" s="2" t="s">
        <v>6203</v>
      </c>
      <c r="C4165" s="2" t="s">
        <v>40908</v>
      </c>
      <c r="D4165" s="2" t="s">
        <v>40909</v>
      </c>
      <c r="E4165" s="2" t="s">
        <v>40910</v>
      </c>
      <c r="G4165" s="3" t="s">
        <v>64</v>
      </c>
      <c r="I4165" s="3" t="s">
        <v>64</v>
      </c>
      <c r="J4165" s="3" t="s">
        <v>64</v>
      </c>
      <c r="K4165" s="3" t="s">
        <v>65</v>
      </c>
      <c r="L4165" s="2" t="s">
        <v>40911</v>
      </c>
      <c r="M4165" s="2" t="s">
        <v>40912</v>
      </c>
      <c r="N4165" s="3" t="s">
        <v>315</v>
      </c>
      <c r="P4165" s="3" t="s">
        <v>102</v>
      </c>
      <c r="R4165" s="3" t="s">
        <v>70</v>
      </c>
      <c r="S4165" s="4">
        <v>1</v>
      </c>
      <c r="T4165" s="4">
        <v>1</v>
      </c>
      <c r="U4165" s="5" t="s">
        <v>15722</v>
      </c>
      <c r="V4165" s="5" t="s">
        <v>15722</v>
      </c>
      <c r="W4165" s="5" t="s">
        <v>72</v>
      </c>
      <c r="X4165" s="5" t="s">
        <v>72</v>
      </c>
      <c r="Y4165" s="4">
        <v>502</v>
      </c>
      <c r="Z4165" s="4">
        <v>17</v>
      </c>
      <c r="AA4165" s="4">
        <v>17</v>
      </c>
      <c r="AB4165" s="4">
        <v>1</v>
      </c>
      <c r="AC4165" s="4">
        <v>1</v>
      </c>
      <c r="AD4165" s="4">
        <v>98</v>
      </c>
      <c r="AE4165" s="4">
        <v>98</v>
      </c>
      <c r="AF4165" s="4">
        <v>0</v>
      </c>
      <c r="AG4165" s="4">
        <v>0</v>
      </c>
      <c r="AH4165" s="4">
        <v>91</v>
      </c>
      <c r="AI4165" s="4">
        <v>91</v>
      </c>
      <c r="AJ4165" s="4">
        <v>10</v>
      </c>
      <c r="AK4165" s="4">
        <v>10</v>
      </c>
      <c r="AL4165" s="4">
        <v>51</v>
      </c>
      <c r="AM4165" s="4">
        <v>51</v>
      </c>
      <c r="AN4165" s="4">
        <v>0</v>
      </c>
      <c r="AO4165" s="4">
        <v>0</v>
      </c>
      <c r="AP4165" s="4">
        <v>11</v>
      </c>
      <c r="AQ4165" s="4">
        <v>11</v>
      </c>
      <c r="AR4165" s="3" t="s">
        <v>64</v>
      </c>
      <c r="AS4165" s="3" t="s">
        <v>64</v>
      </c>
      <c r="AT4165" s="3" t="s">
        <v>64</v>
      </c>
      <c r="AV4165" s="6" t="str">
        <f>HYPERLINK("http://mcgill.on.worldcat.org/oclc/448585","Catalog Record")</f>
        <v>Catalog Record</v>
      </c>
      <c r="AW4165" s="6" t="str">
        <f>HYPERLINK("http://www.worldcat.org/oclc/448585","WorldCat Record")</f>
        <v>WorldCat Record</v>
      </c>
      <c r="AX4165" s="3" t="s">
        <v>40913</v>
      </c>
      <c r="AY4165" s="3" t="s">
        <v>40914</v>
      </c>
      <c r="AZ4165" s="3" t="s">
        <v>40915</v>
      </c>
      <c r="BA4165" s="3" t="s">
        <v>40915</v>
      </c>
      <c r="BB4165" s="3" t="s">
        <v>40916</v>
      </c>
      <c r="BC4165" s="3" t="s">
        <v>77</v>
      </c>
      <c r="BD4165" s="3" t="s">
        <v>78</v>
      </c>
      <c r="BF4165" s="3" t="s">
        <v>40916</v>
      </c>
      <c r="BG4165" s="3" t="s">
        <v>40917</v>
      </c>
      <c r="BH4165">
        <f t="shared" si="115"/>
        <v>0</v>
      </c>
    </row>
    <row r="4166" spans="1:60" ht="58" x14ac:dyDescent="0.35">
      <c r="A4166" s="2" t="s">
        <v>6202</v>
      </c>
      <c r="B4166" s="2" t="s">
        <v>6203</v>
      </c>
      <c r="C4166" s="2" t="s">
        <v>40918</v>
      </c>
      <c r="D4166" s="2" t="s">
        <v>40919</v>
      </c>
      <c r="E4166" s="2" t="s">
        <v>40920</v>
      </c>
      <c r="G4166" s="3" t="s">
        <v>64</v>
      </c>
      <c r="I4166" s="3" t="s">
        <v>64</v>
      </c>
      <c r="J4166" s="3" t="s">
        <v>64</v>
      </c>
      <c r="K4166" s="3" t="s">
        <v>65</v>
      </c>
      <c r="L4166" s="2" t="s">
        <v>40921</v>
      </c>
      <c r="M4166" s="2" t="s">
        <v>40922</v>
      </c>
      <c r="N4166" s="3" t="s">
        <v>768</v>
      </c>
      <c r="O4166" s="2" t="s">
        <v>2149</v>
      </c>
      <c r="P4166" s="3" t="s">
        <v>102</v>
      </c>
      <c r="R4166" s="3" t="s">
        <v>70</v>
      </c>
      <c r="S4166" s="4">
        <v>1</v>
      </c>
      <c r="T4166" s="4">
        <v>1</v>
      </c>
      <c r="U4166" s="5" t="s">
        <v>40901</v>
      </c>
      <c r="V4166" s="5" t="s">
        <v>40901</v>
      </c>
      <c r="W4166" s="5" t="s">
        <v>72</v>
      </c>
      <c r="X4166" s="5" t="s">
        <v>72</v>
      </c>
      <c r="Y4166" s="4">
        <v>242</v>
      </c>
      <c r="Z4166" s="4">
        <v>20</v>
      </c>
      <c r="AA4166" s="4">
        <v>21</v>
      </c>
      <c r="AB4166" s="4">
        <v>1</v>
      </c>
      <c r="AC4166" s="4">
        <v>2</v>
      </c>
      <c r="AD4166" s="4">
        <v>86</v>
      </c>
      <c r="AE4166" s="4">
        <v>87</v>
      </c>
      <c r="AF4166" s="4">
        <v>0</v>
      </c>
      <c r="AG4166" s="4">
        <v>1</v>
      </c>
      <c r="AH4166" s="4">
        <v>78</v>
      </c>
      <c r="AI4166" s="4">
        <v>78</v>
      </c>
      <c r="AJ4166" s="4">
        <v>14</v>
      </c>
      <c r="AK4166" s="4">
        <v>15</v>
      </c>
      <c r="AL4166" s="4">
        <v>46</v>
      </c>
      <c r="AM4166" s="4">
        <v>46</v>
      </c>
      <c r="AN4166" s="4">
        <v>0</v>
      </c>
      <c r="AO4166" s="4">
        <v>0</v>
      </c>
      <c r="AP4166" s="4">
        <v>16</v>
      </c>
      <c r="AQ4166" s="4">
        <v>17</v>
      </c>
      <c r="AR4166" s="3" t="s">
        <v>64</v>
      </c>
      <c r="AS4166" s="3" t="s">
        <v>64</v>
      </c>
      <c r="AT4166" s="3" t="s">
        <v>64</v>
      </c>
      <c r="AV4166" s="6" t="str">
        <f>HYPERLINK("http://mcgill.on.worldcat.org/oclc/4035737","Catalog Record")</f>
        <v>Catalog Record</v>
      </c>
      <c r="AW4166" s="6" t="str">
        <f>HYPERLINK("http://www.worldcat.org/oclc/4035737","WorldCat Record")</f>
        <v>WorldCat Record</v>
      </c>
      <c r="AX4166" s="3" t="s">
        <v>40923</v>
      </c>
      <c r="AY4166" s="3" t="s">
        <v>40924</v>
      </c>
      <c r="AZ4166" s="3" t="s">
        <v>40925</v>
      </c>
      <c r="BA4166" s="3" t="s">
        <v>40925</v>
      </c>
      <c r="BB4166" s="3" t="s">
        <v>40926</v>
      </c>
      <c r="BC4166" s="3" t="s">
        <v>77</v>
      </c>
      <c r="BD4166" s="3" t="s">
        <v>78</v>
      </c>
      <c r="BE4166" s="3" t="s">
        <v>40927</v>
      </c>
      <c r="BF4166" s="3" t="s">
        <v>40926</v>
      </c>
      <c r="BG4166" s="3" t="s">
        <v>40928</v>
      </c>
      <c r="BH4166">
        <f t="shared" si="115"/>
        <v>0</v>
      </c>
    </row>
    <row r="4167" spans="1:60" ht="58" x14ac:dyDescent="0.35">
      <c r="A4167" s="2" t="s">
        <v>6202</v>
      </c>
      <c r="B4167" s="2" t="s">
        <v>6203</v>
      </c>
      <c r="C4167" s="2" t="s">
        <v>40929</v>
      </c>
      <c r="D4167" s="2" t="s">
        <v>40930</v>
      </c>
      <c r="E4167" s="2" t="s">
        <v>40931</v>
      </c>
      <c r="G4167" s="3" t="s">
        <v>64</v>
      </c>
      <c r="I4167" s="3" t="s">
        <v>64</v>
      </c>
      <c r="J4167" s="3" t="s">
        <v>64</v>
      </c>
      <c r="K4167" s="3" t="s">
        <v>65</v>
      </c>
      <c r="L4167" s="2" t="s">
        <v>40932</v>
      </c>
      <c r="M4167" s="2" t="s">
        <v>40933</v>
      </c>
      <c r="N4167" s="3" t="s">
        <v>6324</v>
      </c>
      <c r="P4167" s="3" t="s">
        <v>102</v>
      </c>
      <c r="Q4167" s="2" t="s">
        <v>40934</v>
      </c>
      <c r="R4167" s="3" t="s">
        <v>70</v>
      </c>
      <c r="S4167" s="4">
        <v>1</v>
      </c>
      <c r="T4167" s="4">
        <v>1</v>
      </c>
      <c r="U4167" s="5" t="s">
        <v>7842</v>
      </c>
      <c r="V4167" s="5" t="s">
        <v>7842</v>
      </c>
      <c r="W4167" s="5" t="s">
        <v>72</v>
      </c>
      <c r="X4167" s="5" t="s">
        <v>72</v>
      </c>
      <c r="Y4167" s="4">
        <v>515</v>
      </c>
      <c r="Z4167" s="4">
        <v>24</v>
      </c>
      <c r="AA4167" s="4">
        <v>40</v>
      </c>
      <c r="AB4167" s="4">
        <v>3</v>
      </c>
      <c r="AC4167" s="4">
        <v>5</v>
      </c>
      <c r="AD4167" s="4">
        <v>113</v>
      </c>
      <c r="AE4167" s="4">
        <v>131</v>
      </c>
      <c r="AF4167" s="4">
        <v>1</v>
      </c>
      <c r="AG4167" s="4">
        <v>2</v>
      </c>
      <c r="AH4167" s="4">
        <v>100</v>
      </c>
      <c r="AI4167" s="4">
        <v>109</v>
      </c>
      <c r="AJ4167" s="4">
        <v>17</v>
      </c>
      <c r="AK4167" s="4">
        <v>23</v>
      </c>
      <c r="AL4167" s="4">
        <v>58</v>
      </c>
      <c r="AM4167" s="4">
        <v>59</v>
      </c>
      <c r="AN4167" s="4">
        <v>0</v>
      </c>
      <c r="AO4167" s="4">
        <v>0</v>
      </c>
      <c r="AP4167" s="4">
        <v>16</v>
      </c>
      <c r="AQ4167" s="4">
        <v>27</v>
      </c>
      <c r="AR4167" s="3" t="s">
        <v>64</v>
      </c>
      <c r="AS4167" s="3" t="s">
        <v>64</v>
      </c>
      <c r="AT4167" s="3" t="s">
        <v>128</v>
      </c>
      <c r="AU4167" s="6" t="str">
        <f>HYPERLINK("http://catalog.hathitrust.org/Record/001169117","HathiTrust Record")</f>
        <v>HathiTrust Record</v>
      </c>
      <c r="AV4167" s="6" t="str">
        <f>HYPERLINK("http://mcgill.on.worldcat.org/oclc/576749","Catalog Record")</f>
        <v>Catalog Record</v>
      </c>
      <c r="AW4167" s="6" t="str">
        <f>HYPERLINK("http://www.worldcat.org/oclc/576749","WorldCat Record")</f>
        <v>WorldCat Record</v>
      </c>
      <c r="AX4167" s="3" t="s">
        <v>40935</v>
      </c>
      <c r="AY4167" s="3" t="s">
        <v>40936</v>
      </c>
      <c r="AZ4167" s="3" t="s">
        <v>40937</v>
      </c>
      <c r="BA4167" s="3" t="s">
        <v>40937</v>
      </c>
      <c r="BB4167" s="3" t="s">
        <v>40938</v>
      </c>
      <c r="BC4167" s="3" t="s">
        <v>77</v>
      </c>
      <c r="BD4167" s="3" t="s">
        <v>78</v>
      </c>
      <c r="BE4167" s="3" t="s">
        <v>40939</v>
      </c>
      <c r="BF4167" s="3" t="s">
        <v>40938</v>
      </c>
      <c r="BG4167" s="3" t="s">
        <v>40940</v>
      </c>
      <c r="BH4167">
        <f t="shared" si="115"/>
        <v>0</v>
      </c>
    </row>
    <row r="4168" spans="1:60" ht="58" x14ac:dyDescent="0.35">
      <c r="A4168" s="2" t="s">
        <v>59</v>
      </c>
      <c r="B4168" s="2" t="s">
        <v>60</v>
      </c>
      <c r="C4168" s="2" t="s">
        <v>40941</v>
      </c>
      <c r="D4168" s="2" t="s">
        <v>40942</v>
      </c>
      <c r="E4168" s="2" t="s">
        <v>40943</v>
      </c>
      <c r="G4168" s="3" t="s">
        <v>64</v>
      </c>
      <c r="I4168" s="3" t="s">
        <v>64</v>
      </c>
      <c r="J4168" s="3" t="s">
        <v>128</v>
      </c>
      <c r="K4168" s="3" t="s">
        <v>65</v>
      </c>
      <c r="L4168" s="2" t="s">
        <v>40944</v>
      </c>
      <c r="M4168" s="2" t="s">
        <v>40945</v>
      </c>
      <c r="N4168" s="3" t="s">
        <v>4872</v>
      </c>
      <c r="O4168" s="2" t="s">
        <v>40946</v>
      </c>
      <c r="P4168" s="3" t="s">
        <v>102</v>
      </c>
      <c r="R4168" s="3" t="s">
        <v>70</v>
      </c>
      <c r="S4168" s="4">
        <v>5</v>
      </c>
      <c r="T4168" s="4">
        <v>5</v>
      </c>
      <c r="U4168" s="5" t="s">
        <v>21151</v>
      </c>
      <c r="V4168" s="5" t="s">
        <v>21151</v>
      </c>
      <c r="W4168" s="5" t="s">
        <v>72</v>
      </c>
      <c r="X4168" s="5" t="s">
        <v>72</v>
      </c>
      <c r="Y4168" s="4">
        <v>336</v>
      </c>
      <c r="Z4168" s="4">
        <v>19</v>
      </c>
      <c r="AA4168" s="4">
        <v>20</v>
      </c>
      <c r="AB4168" s="4">
        <v>2</v>
      </c>
      <c r="AC4168" s="4">
        <v>3</v>
      </c>
      <c r="AD4168" s="4">
        <v>86</v>
      </c>
      <c r="AE4168" s="4">
        <v>87</v>
      </c>
      <c r="AF4168" s="4">
        <v>1</v>
      </c>
      <c r="AG4168" s="4">
        <v>2</v>
      </c>
      <c r="AH4168" s="4">
        <v>73</v>
      </c>
      <c r="AI4168" s="4">
        <v>73</v>
      </c>
      <c r="AJ4168" s="4">
        <v>8</v>
      </c>
      <c r="AK4168" s="4">
        <v>9</v>
      </c>
      <c r="AL4168" s="4">
        <v>43</v>
      </c>
      <c r="AM4168" s="4">
        <v>43</v>
      </c>
      <c r="AN4168" s="4">
        <v>0</v>
      </c>
      <c r="AO4168" s="4">
        <v>0</v>
      </c>
      <c r="AP4168" s="4">
        <v>14</v>
      </c>
      <c r="AQ4168" s="4">
        <v>14</v>
      </c>
      <c r="AR4168" s="3" t="s">
        <v>64</v>
      </c>
      <c r="AS4168" s="3" t="s">
        <v>64</v>
      </c>
      <c r="AT4168" s="3" t="s">
        <v>64</v>
      </c>
      <c r="AV4168" s="6" t="str">
        <f>HYPERLINK("http://mcgill.on.worldcat.org/oclc/577398","Catalog Record")</f>
        <v>Catalog Record</v>
      </c>
      <c r="AW4168" s="6" t="str">
        <f>HYPERLINK("http://www.worldcat.org/oclc/577398","WorldCat Record")</f>
        <v>WorldCat Record</v>
      </c>
      <c r="AX4168" s="3" t="s">
        <v>40947</v>
      </c>
      <c r="AY4168" s="3" t="s">
        <v>40948</v>
      </c>
      <c r="AZ4168" s="3" t="s">
        <v>40949</v>
      </c>
      <c r="BA4168" s="3" t="s">
        <v>40949</v>
      </c>
      <c r="BB4168" s="3" t="s">
        <v>40950</v>
      </c>
      <c r="BC4168" s="3" t="s">
        <v>77</v>
      </c>
      <c r="BD4168" s="3" t="s">
        <v>78</v>
      </c>
      <c r="BF4168" s="3" t="s">
        <v>40950</v>
      </c>
      <c r="BG4168" s="3" t="s">
        <v>40951</v>
      </c>
      <c r="BH4168">
        <f t="shared" si="115"/>
        <v>0</v>
      </c>
    </row>
    <row r="4169" spans="1:60" ht="58" x14ac:dyDescent="0.35">
      <c r="A4169" s="2" t="s">
        <v>59</v>
      </c>
      <c r="B4169" s="2" t="s">
        <v>60</v>
      </c>
      <c r="C4169" s="2" t="s">
        <v>40952</v>
      </c>
      <c r="D4169" s="2" t="s">
        <v>40953</v>
      </c>
      <c r="E4169" s="2" t="s">
        <v>40954</v>
      </c>
      <c r="G4169" s="3" t="s">
        <v>64</v>
      </c>
      <c r="I4169" s="3" t="s">
        <v>64</v>
      </c>
      <c r="J4169" s="3" t="s">
        <v>64</v>
      </c>
      <c r="K4169" s="3" t="s">
        <v>65</v>
      </c>
      <c r="L4169" s="2" t="s">
        <v>40955</v>
      </c>
      <c r="M4169" s="2" t="s">
        <v>40956</v>
      </c>
      <c r="N4169" s="3" t="s">
        <v>253</v>
      </c>
      <c r="P4169" s="3" t="s">
        <v>102</v>
      </c>
      <c r="Q4169" s="2" t="s">
        <v>40957</v>
      </c>
      <c r="R4169" s="3" t="s">
        <v>70</v>
      </c>
      <c r="S4169" s="4">
        <v>1</v>
      </c>
      <c r="T4169" s="4">
        <v>1</v>
      </c>
      <c r="U4169" s="5" t="s">
        <v>21151</v>
      </c>
      <c r="V4169" s="5" t="s">
        <v>21151</v>
      </c>
      <c r="W4169" s="5" t="s">
        <v>72</v>
      </c>
      <c r="X4169" s="5" t="s">
        <v>72</v>
      </c>
      <c r="Y4169" s="4">
        <v>81</v>
      </c>
      <c r="Z4169" s="4">
        <v>6</v>
      </c>
      <c r="AA4169" s="4">
        <v>6</v>
      </c>
      <c r="AB4169" s="4">
        <v>1</v>
      </c>
      <c r="AC4169" s="4">
        <v>1</v>
      </c>
      <c r="AD4169" s="4">
        <v>50</v>
      </c>
      <c r="AE4169" s="4">
        <v>50</v>
      </c>
      <c r="AF4169" s="4">
        <v>0</v>
      </c>
      <c r="AG4169" s="4">
        <v>0</v>
      </c>
      <c r="AH4169" s="4">
        <v>47</v>
      </c>
      <c r="AI4169" s="4">
        <v>47</v>
      </c>
      <c r="AJ4169" s="4">
        <v>2</v>
      </c>
      <c r="AK4169" s="4">
        <v>2</v>
      </c>
      <c r="AL4169" s="4">
        <v>33</v>
      </c>
      <c r="AM4169" s="4">
        <v>33</v>
      </c>
      <c r="AN4169" s="4">
        <v>0</v>
      </c>
      <c r="AO4169" s="4">
        <v>0</v>
      </c>
      <c r="AP4169" s="4">
        <v>4</v>
      </c>
      <c r="AQ4169" s="4">
        <v>4</v>
      </c>
      <c r="AR4169" s="3" t="s">
        <v>64</v>
      </c>
      <c r="AS4169" s="3" t="s">
        <v>64</v>
      </c>
      <c r="AT4169" s="3" t="s">
        <v>64</v>
      </c>
      <c r="AV4169" s="6" t="str">
        <f>HYPERLINK("http://mcgill.on.worldcat.org/oclc/883391781","Catalog Record")</f>
        <v>Catalog Record</v>
      </c>
      <c r="AW4169" s="6" t="str">
        <f>HYPERLINK("http://www.worldcat.org/oclc/883391781","WorldCat Record")</f>
        <v>WorldCat Record</v>
      </c>
      <c r="AX4169" s="3" t="s">
        <v>40958</v>
      </c>
      <c r="AY4169" s="3" t="s">
        <v>40959</v>
      </c>
      <c r="AZ4169" s="3" t="s">
        <v>40960</v>
      </c>
      <c r="BA4169" s="3" t="s">
        <v>40960</v>
      </c>
      <c r="BB4169" s="3" t="s">
        <v>40961</v>
      </c>
      <c r="BC4169" s="3" t="s">
        <v>77</v>
      </c>
      <c r="BD4169" s="3" t="s">
        <v>78</v>
      </c>
      <c r="BE4169" s="3" t="s">
        <v>40962</v>
      </c>
      <c r="BF4169" s="3" t="s">
        <v>40961</v>
      </c>
      <c r="BG4169" s="3" t="s">
        <v>40963</v>
      </c>
      <c r="BH4169">
        <f t="shared" si="115"/>
        <v>0</v>
      </c>
    </row>
    <row r="4170" spans="1:60" ht="58" x14ac:dyDescent="0.35">
      <c r="A4170" s="2" t="s">
        <v>6202</v>
      </c>
      <c r="B4170" s="2" t="s">
        <v>6203</v>
      </c>
      <c r="C4170" s="2" t="s">
        <v>40964</v>
      </c>
      <c r="D4170" s="2" t="s">
        <v>40965</v>
      </c>
      <c r="E4170" s="2" t="s">
        <v>40966</v>
      </c>
      <c r="G4170" s="3" t="s">
        <v>64</v>
      </c>
      <c r="I4170" s="3" t="s">
        <v>64</v>
      </c>
      <c r="J4170" s="3" t="s">
        <v>64</v>
      </c>
      <c r="K4170" s="3" t="s">
        <v>65</v>
      </c>
      <c r="L4170" s="2" t="s">
        <v>40967</v>
      </c>
      <c r="M4170" s="2" t="s">
        <v>40968</v>
      </c>
      <c r="N4170" s="3" t="s">
        <v>6324</v>
      </c>
      <c r="P4170" s="3" t="s">
        <v>102</v>
      </c>
      <c r="Q4170" s="2" t="s">
        <v>40969</v>
      </c>
      <c r="R4170" s="3" t="s">
        <v>70</v>
      </c>
      <c r="S4170" s="4">
        <v>4</v>
      </c>
      <c r="T4170" s="4">
        <v>4</v>
      </c>
      <c r="U4170" s="5" t="s">
        <v>9072</v>
      </c>
      <c r="V4170" s="5" t="s">
        <v>9072</v>
      </c>
      <c r="W4170" s="5" t="s">
        <v>72</v>
      </c>
      <c r="X4170" s="5" t="s">
        <v>72</v>
      </c>
      <c r="Y4170" s="4">
        <v>127</v>
      </c>
      <c r="Z4170" s="4">
        <v>13</v>
      </c>
      <c r="AA4170" s="4">
        <v>15</v>
      </c>
      <c r="AB4170" s="4">
        <v>1</v>
      </c>
      <c r="AC4170" s="4">
        <v>1</v>
      </c>
      <c r="AD4170" s="4">
        <v>66</v>
      </c>
      <c r="AE4170" s="4">
        <v>68</v>
      </c>
      <c r="AF4170" s="4">
        <v>0</v>
      </c>
      <c r="AG4170" s="4">
        <v>0</v>
      </c>
      <c r="AH4170" s="4">
        <v>60</v>
      </c>
      <c r="AI4170" s="4">
        <v>62</v>
      </c>
      <c r="AJ4170" s="4">
        <v>9</v>
      </c>
      <c r="AK4170" s="4">
        <v>11</v>
      </c>
      <c r="AL4170" s="4">
        <v>41</v>
      </c>
      <c r="AM4170" s="4">
        <v>41</v>
      </c>
      <c r="AN4170" s="4">
        <v>1</v>
      </c>
      <c r="AO4170" s="4">
        <v>1</v>
      </c>
      <c r="AP4170" s="4">
        <v>8</v>
      </c>
      <c r="AQ4170" s="4">
        <v>10</v>
      </c>
      <c r="AR4170" s="3" t="s">
        <v>64</v>
      </c>
      <c r="AS4170" s="3" t="s">
        <v>64</v>
      </c>
      <c r="AT4170" s="3" t="s">
        <v>128</v>
      </c>
      <c r="AU4170" s="6" t="str">
        <f>HYPERLINK("http://catalog.hathitrust.org/Record/001678298","HathiTrust Record")</f>
        <v>HathiTrust Record</v>
      </c>
      <c r="AV4170" s="6" t="str">
        <f>HYPERLINK("http://mcgill.on.worldcat.org/oclc/3651982","Catalog Record")</f>
        <v>Catalog Record</v>
      </c>
      <c r="AW4170" s="6" t="str">
        <f>HYPERLINK("http://www.worldcat.org/oclc/3651982","WorldCat Record")</f>
        <v>WorldCat Record</v>
      </c>
      <c r="AX4170" s="3" t="s">
        <v>40970</v>
      </c>
      <c r="AY4170" s="3" t="s">
        <v>40971</v>
      </c>
      <c r="AZ4170" s="3" t="s">
        <v>40972</v>
      </c>
      <c r="BA4170" s="3" t="s">
        <v>40972</v>
      </c>
      <c r="BB4170" s="3" t="s">
        <v>40973</v>
      </c>
      <c r="BC4170" s="3" t="s">
        <v>77</v>
      </c>
      <c r="BD4170" s="3" t="s">
        <v>78</v>
      </c>
      <c r="BF4170" s="3" t="s">
        <v>40973</v>
      </c>
      <c r="BG4170" s="3" t="s">
        <v>40974</v>
      </c>
      <c r="BH4170">
        <f t="shared" si="115"/>
        <v>0</v>
      </c>
    </row>
    <row r="4171" spans="1:60" ht="58" x14ac:dyDescent="0.35">
      <c r="A4171" s="2" t="s">
        <v>6202</v>
      </c>
      <c r="B4171" s="2" t="s">
        <v>6203</v>
      </c>
      <c r="C4171" s="2" t="s">
        <v>40975</v>
      </c>
      <c r="D4171" s="2" t="s">
        <v>40976</v>
      </c>
      <c r="E4171" s="2" t="s">
        <v>40977</v>
      </c>
      <c r="G4171" s="3" t="s">
        <v>64</v>
      </c>
      <c r="I4171" s="3" t="s">
        <v>64</v>
      </c>
      <c r="J4171" s="3" t="s">
        <v>64</v>
      </c>
      <c r="K4171" s="3" t="s">
        <v>65</v>
      </c>
      <c r="M4171" s="2" t="s">
        <v>40978</v>
      </c>
      <c r="N4171" s="3" t="s">
        <v>3584</v>
      </c>
      <c r="P4171" s="3" t="s">
        <v>102</v>
      </c>
      <c r="Q4171" s="2" t="s">
        <v>40979</v>
      </c>
      <c r="R4171" s="3" t="s">
        <v>70</v>
      </c>
      <c r="S4171" s="4">
        <v>1</v>
      </c>
      <c r="T4171" s="4">
        <v>1</v>
      </c>
      <c r="U4171" s="5" t="s">
        <v>9558</v>
      </c>
      <c r="V4171" s="5" t="s">
        <v>9558</v>
      </c>
      <c r="W4171" s="5" t="s">
        <v>72</v>
      </c>
      <c r="X4171" s="5" t="s">
        <v>72</v>
      </c>
      <c r="Y4171" s="4">
        <v>600</v>
      </c>
      <c r="Z4171" s="4">
        <v>28</v>
      </c>
      <c r="AA4171" s="4">
        <v>28</v>
      </c>
      <c r="AB4171" s="4">
        <v>1</v>
      </c>
      <c r="AC4171" s="4">
        <v>1</v>
      </c>
      <c r="AD4171" s="4">
        <v>120</v>
      </c>
      <c r="AE4171" s="4">
        <v>120</v>
      </c>
      <c r="AF4171" s="4">
        <v>0</v>
      </c>
      <c r="AG4171" s="4">
        <v>0</v>
      </c>
      <c r="AH4171" s="4">
        <v>104</v>
      </c>
      <c r="AI4171" s="4">
        <v>104</v>
      </c>
      <c r="AJ4171" s="4">
        <v>15</v>
      </c>
      <c r="AK4171" s="4">
        <v>15</v>
      </c>
      <c r="AL4171" s="4">
        <v>52</v>
      </c>
      <c r="AM4171" s="4">
        <v>52</v>
      </c>
      <c r="AN4171" s="4">
        <v>0</v>
      </c>
      <c r="AO4171" s="4">
        <v>0</v>
      </c>
      <c r="AP4171" s="4">
        <v>24</v>
      </c>
      <c r="AQ4171" s="4">
        <v>24</v>
      </c>
      <c r="AR4171" s="3" t="s">
        <v>64</v>
      </c>
      <c r="AS4171" s="3" t="s">
        <v>64</v>
      </c>
      <c r="AT4171" s="3" t="s">
        <v>128</v>
      </c>
      <c r="AU4171" s="6" t="str">
        <f>HYPERLINK("http://catalog.hathitrust.org/Record/000129666","HathiTrust Record")</f>
        <v>HathiTrust Record</v>
      </c>
      <c r="AV4171" s="6" t="str">
        <f>HYPERLINK("http://mcgill.on.worldcat.org/oclc/2644272","Catalog Record")</f>
        <v>Catalog Record</v>
      </c>
      <c r="AW4171" s="6" t="str">
        <f>HYPERLINK("http://www.worldcat.org/oclc/2644272","WorldCat Record")</f>
        <v>WorldCat Record</v>
      </c>
      <c r="AX4171" s="3" t="s">
        <v>40980</v>
      </c>
      <c r="AY4171" s="3" t="s">
        <v>40981</v>
      </c>
      <c r="AZ4171" s="3" t="s">
        <v>40982</v>
      </c>
      <c r="BA4171" s="3" t="s">
        <v>40982</v>
      </c>
      <c r="BB4171" s="3" t="s">
        <v>40983</v>
      </c>
      <c r="BC4171" s="3" t="s">
        <v>77</v>
      </c>
      <c r="BD4171" s="3" t="s">
        <v>78</v>
      </c>
      <c r="BE4171" s="3" t="s">
        <v>40984</v>
      </c>
      <c r="BF4171" s="3" t="s">
        <v>40983</v>
      </c>
      <c r="BG4171" s="3" t="s">
        <v>40985</v>
      </c>
      <c r="BH4171">
        <f t="shared" si="115"/>
        <v>0</v>
      </c>
    </row>
    <row r="4172" spans="1:60" ht="58" x14ac:dyDescent="0.35">
      <c r="A4172" s="2" t="s">
        <v>6202</v>
      </c>
      <c r="B4172" s="2" t="s">
        <v>6203</v>
      </c>
      <c r="C4172" s="2" t="s">
        <v>40986</v>
      </c>
      <c r="D4172" s="2" t="s">
        <v>40987</v>
      </c>
      <c r="E4172" s="2" t="s">
        <v>40988</v>
      </c>
      <c r="G4172" s="3" t="s">
        <v>64</v>
      </c>
      <c r="I4172" s="3" t="s">
        <v>64</v>
      </c>
      <c r="J4172" s="3" t="s">
        <v>64</v>
      </c>
      <c r="K4172" s="3" t="s">
        <v>65</v>
      </c>
      <c r="L4172" s="2" t="s">
        <v>40989</v>
      </c>
      <c r="M4172" s="2" t="s">
        <v>40990</v>
      </c>
      <c r="N4172" s="3" t="s">
        <v>1750</v>
      </c>
      <c r="P4172" s="3" t="s">
        <v>102</v>
      </c>
      <c r="R4172" s="3" t="s">
        <v>70</v>
      </c>
      <c r="S4172" s="4">
        <v>1</v>
      </c>
      <c r="T4172" s="4">
        <v>1</v>
      </c>
      <c r="U4172" s="5" t="s">
        <v>9558</v>
      </c>
      <c r="V4172" s="5" t="s">
        <v>9558</v>
      </c>
      <c r="W4172" s="5" t="s">
        <v>72</v>
      </c>
      <c r="X4172" s="5" t="s">
        <v>72</v>
      </c>
      <c r="Y4172" s="4">
        <v>24</v>
      </c>
      <c r="Z4172" s="4">
        <v>11</v>
      </c>
      <c r="AA4172" s="4">
        <v>11</v>
      </c>
      <c r="AB4172" s="4">
        <v>1</v>
      </c>
      <c r="AC4172" s="4">
        <v>1</v>
      </c>
      <c r="AD4172" s="4">
        <v>13</v>
      </c>
      <c r="AE4172" s="4">
        <v>13</v>
      </c>
      <c r="AF4172" s="4">
        <v>0</v>
      </c>
      <c r="AG4172" s="4">
        <v>0</v>
      </c>
      <c r="AH4172" s="4">
        <v>11</v>
      </c>
      <c r="AI4172" s="4">
        <v>11</v>
      </c>
      <c r="AJ4172" s="4">
        <v>6</v>
      </c>
      <c r="AK4172" s="4">
        <v>6</v>
      </c>
      <c r="AL4172" s="4">
        <v>4</v>
      </c>
      <c r="AM4172" s="4">
        <v>4</v>
      </c>
      <c r="AN4172" s="4">
        <v>0</v>
      </c>
      <c r="AO4172" s="4">
        <v>0</v>
      </c>
      <c r="AP4172" s="4">
        <v>7</v>
      </c>
      <c r="AQ4172" s="4">
        <v>7</v>
      </c>
      <c r="AR4172" s="3" t="s">
        <v>64</v>
      </c>
      <c r="AS4172" s="3" t="s">
        <v>64</v>
      </c>
      <c r="AT4172" s="3" t="s">
        <v>128</v>
      </c>
      <c r="AU4172" s="6" t="str">
        <f>HYPERLINK("http://catalog.hathitrust.org/Record/001169133","HathiTrust Record")</f>
        <v>HathiTrust Record</v>
      </c>
      <c r="AV4172" s="6" t="str">
        <f>HYPERLINK("http://mcgill.on.worldcat.org/oclc/226650097","Catalog Record")</f>
        <v>Catalog Record</v>
      </c>
      <c r="AW4172" s="6" t="str">
        <f>HYPERLINK("http://www.worldcat.org/oclc/226650097","WorldCat Record")</f>
        <v>WorldCat Record</v>
      </c>
      <c r="AX4172" s="3" t="s">
        <v>40991</v>
      </c>
      <c r="AY4172" s="3" t="s">
        <v>40992</v>
      </c>
      <c r="AZ4172" s="3" t="s">
        <v>40993</v>
      </c>
      <c r="BA4172" s="3" t="s">
        <v>40993</v>
      </c>
      <c r="BB4172" s="3" t="s">
        <v>40994</v>
      </c>
      <c r="BC4172" s="3" t="s">
        <v>77</v>
      </c>
      <c r="BD4172" s="3" t="s">
        <v>78</v>
      </c>
      <c r="BE4172" s="3" t="s">
        <v>40995</v>
      </c>
      <c r="BF4172" s="3" t="s">
        <v>40994</v>
      </c>
      <c r="BG4172" s="3" t="s">
        <v>40996</v>
      </c>
      <c r="BH4172">
        <f t="shared" si="115"/>
        <v>0</v>
      </c>
    </row>
    <row r="4173" spans="1:60" ht="58" x14ac:dyDescent="0.35">
      <c r="A4173" s="2" t="s">
        <v>6202</v>
      </c>
      <c r="B4173" s="2" t="s">
        <v>6203</v>
      </c>
      <c r="C4173" s="2" t="s">
        <v>40997</v>
      </c>
      <c r="D4173" s="2" t="s">
        <v>40998</v>
      </c>
      <c r="E4173" s="2" t="s">
        <v>40999</v>
      </c>
      <c r="G4173" s="3" t="s">
        <v>64</v>
      </c>
      <c r="I4173" s="3" t="s">
        <v>64</v>
      </c>
      <c r="J4173" s="3" t="s">
        <v>64</v>
      </c>
      <c r="K4173" s="3" t="s">
        <v>65</v>
      </c>
      <c r="L4173" s="2" t="s">
        <v>40989</v>
      </c>
      <c r="M4173" s="2" t="s">
        <v>41000</v>
      </c>
      <c r="N4173" s="3" t="s">
        <v>364</v>
      </c>
      <c r="P4173" s="3" t="s">
        <v>102</v>
      </c>
      <c r="Q4173" s="2" t="s">
        <v>41001</v>
      </c>
      <c r="R4173" s="3" t="s">
        <v>70</v>
      </c>
      <c r="S4173" s="4">
        <v>1</v>
      </c>
      <c r="T4173" s="4">
        <v>1</v>
      </c>
      <c r="U4173" s="5" t="s">
        <v>9558</v>
      </c>
      <c r="V4173" s="5" t="s">
        <v>9558</v>
      </c>
      <c r="W4173" s="5" t="s">
        <v>72</v>
      </c>
      <c r="X4173" s="5" t="s">
        <v>72</v>
      </c>
      <c r="Y4173" s="4">
        <v>817</v>
      </c>
      <c r="Z4173" s="4">
        <v>30</v>
      </c>
      <c r="AA4173" s="4">
        <v>50</v>
      </c>
      <c r="AB4173" s="4">
        <v>4</v>
      </c>
      <c r="AC4173" s="4">
        <v>5</v>
      </c>
      <c r="AD4173" s="4">
        <v>124</v>
      </c>
      <c r="AE4173" s="4">
        <v>136</v>
      </c>
      <c r="AF4173" s="4">
        <v>2</v>
      </c>
      <c r="AG4173" s="4">
        <v>3</v>
      </c>
      <c r="AH4173" s="4">
        <v>100</v>
      </c>
      <c r="AI4173" s="4">
        <v>107</v>
      </c>
      <c r="AJ4173" s="4">
        <v>15</v>
      </c>
      <c r="AK4173" s="4">
        <v>24</v>
      </c>
      <c r="AL4173" s="4">
        <v>55</v>
      </c>
      <c r="AM4173" s="4">
        <v>57</v>
      </c>
      <c r="AN4173" s="4">
        <v>0</v>
      </c>
      <c r="AO4173" s="4">
        <v>0</v>
      </c>
      <c r="AP4173" s="4">
        <v>24</v>
      </c>
      <c r="AQ4173" s="4">
        <v>34</v>
      </c>
      <c r="AR4173" s="3" t="s">
        <v>64</v>
      </c>
      <c r="AS4173" s="3" t="s">
        <v>64</v>
      </c>
      <c r="AT4173" s="3" t="s">
        <v>128</v>
      </c>
      <c r="AU4173" s="6" t="str">
        <f>HYPERLINK("http://catalog.hathitrust.org/Record/001169134","HathiTrust Record")</f>
        <v>HathiTrust Record</v>
      </c>
      <c r="AV4173" s="6" t="str">
        <f>HYPERLINK("http://mcgill.on.worldcat.org/oclc/627864","Catalog Record")</f>
        <v>Catalog Record</v>
      </c>
      <c r="AW4173" s="6" t="str">
        <f>HYPERLINK("http://www.worldcat.org/oclc/627864","WorldCat Record")</f>
        <v>WorldCat Record</v>
      </c>
      <c r="AX4173" s="3" t="s">
        <v>41002</v>
      </c>
      <c r="AY4173" s="3" t="s">
        <v>41003</v>
      </c>
      <c r="AZ4173" s="3" t="s">
        <v>41004</v>
      </c>
      <c r="BA4173" s="3" t="s">
        <v>41004</v>
      </c>
      <c r="BB4173" s="3" t="s">
        <v>41005</v>
      </c>
      <c r="BC4173" s="3" t="s">
        <v>77</v>
      </c>
      <c r="BD4173" s="3" t="s">
        <v>78</v>
      </c>
      <c r="BE4173" s="3" t="s">
        <v>41006</v>
      </c>
      <c r="BF4173" s="3" t="s">
        <v>41005</v>
      </c>
      <c r="BG4173" s="3" t="s">
        <v>41007</v>
      </c>
      <c r="BH4173">
        <f t="shared" si="115"/>
        <v>0</v>
      </c>
    </row>
    <row r="4174" spans="1:60" ht="58" x14ac:dyDescent="0.35">
      <c r="A4174" s="2" t="s">
        <v>59</v>
      </c>
      <c r="B4174" s="2" t="s">
        <v>7607</v>
      </c>
      <c r="C4174" s="2" t="s">
        <v>41008</v>
      </c>
      <c r="D4174" s="2" t="s">
        <v>41009</v>
      </c>
      <c r="E4174" s="2" t="s">
        <v>41010</v>
      </c>
      <c r="F4174" s="3" t="s">
        <v>509</v>
      </c>
      <c r="G4174" s="3" t="s">
        <v>128</v>
      </c>
      <c r="I4174" s="3" t="s">
        <v>64</v>
      </c>
      <c r="J4174" s="3" t="s">
        <v>64</v>
      </c>
      <c r="K4174" s="3" t="s">
        <v>65</v>
      </c>
      <c r="L4174" s="2" t="s">
        <v>41011</v>
      </c>
      <c r="M4174" s="2" t="s">
        <v>41012</v>
      </c>
      <c r="N4174" s="3" t="s">
        <v>86</v>
      </c>
      <c r="P4174" s="3" t="s">
        <v>102</v>
      </c>
      <c r="R4174" s="3" t="s">
        <v>70</v>
      </c>
      <c r="S4174" s="4">
        <v>0</v>
      </c>
      <c r="T4174" s="4">
        <v>0</v>
      </c>
      <c r="W4174" s="5" t="s">
        <v>72</v>
      </c>
      <c r="X4174" s="5" t="s">
        <v>72</v>
      </c>
      <c r="Y4174" s="4">
        <v>216</v>
      </c>
      <c r="Z4174" s="4">
        <v>22</v>
      </c>
      <c r="AA4174" s="4">
        <v>22</v>
      </c>
      <c r="AB4174" s="4">
        <v>1</v>
      </c>
      <c r="AC4174" s="4">
        <v>1</v>
      </c>
      <c r="AD4174" s="4">
        <v>78</v>
      </c>
      <c r="AE4174" s="4">
        <v>79</v>
      </c>
      <c r="AF4174" s="4">
        <v>0</v>
      </c>
      <c r="AG4174" s="4">
        <v>0</v>
      </c>
      <c r="AH4174" s="4">
        <v>67</v>
      </c>
      <c r="AI4174" s="4">
        <v>68</v>
      </c>
      <c r="AJ4174" s="4">
        <v>14</v>
      </c>
      <c r="AK4174" s="4">
        <v>14</v>
      </c>
      <c r="AL4174" s="4">
        <v>40</v>
      </c>
      <c r="AM4174" s="4">
        <v>41</v>
      </c>
      <c r="AN4174" s="4">
        <v>0</v>
      </c>
      <c r="AO4174" s="4">
        <v>0</v>
      </c>
      <c r="AP4174" s="4">
        <v>18</v>
      </c>
      <c r="AQ4174" s="4">
        <v>18</v>
      </c>
      <c r="AR4174" s="3" t="s">
        <v>64</v>
      </c>
      <c r="AS4174" s="3" t="s">
        <v>64</v>
      </c>
      <c r="AT4174" s="3" t="s">
        <v>64</v>
      </c>
      <c r="AV4174" s="6" t="str">
        <f t="shared" ref="AV4174:AV4181" si="116">HYPERLINK("http://mcgill.on.worldcat.org/oclc/779704874","Catalog Record")</f>
        <v>Catalog Record</v>
      </c>
      <c r="AW4174" s="6" t="str">
        <f t="shared" ref="AW4174:AW4181" si="117">HYPERLINK("http://www.worldcat.org/oclc/779704874","WorldCat Record")</f>
        <v>WorldCat Record</v>
      </c>
      <c r="AX4174" s="3" t="s">
        <v>41013</v>
      </c>
      <c r="AY4174" s="3" t="s">
        <v>41014</v>
      </c>
      <c r="AZ4174" s="3" t="s">
        <v>41015</v>
      </c>
      <c r="BA4174" s="3" t="s">
        <v>41015</v>
      </c>
      <c r="BB4174" s="3" t="s">
        <v>41016</v>
      </c>
      <c r="BC4174" s="3" t="s">
        <v>77</v>
      </c>
      <c r="BD4174" s="3" t="s">
        <v>78</v>
      </c>
      <c r="BE4174" s="3" t="s">
        <v>41017</v>
      </c>
      <c r="BF4174" s="3" t="s">
        <v>41016</v>
      </c>
      <c r="BG4174" s="3" t="s">
        <v>41018</v>
      </c>
      <c r="BH4174">
        <f t="shared" si="115"/>
        <v>0</v>
      </c>
    </row>
    <row r="4175" spans="1:60" ht="58" x14ac:dyDescent="0.35">
      <c r="A4175" s="2" t="s">
        <v>59</v>
      </c>
      <c r="B4175" s="2" t="s">
        <v>7607</v>
      </c>
      <c r="C4175" s="2" t="s">
        <v>41008</v>
      </c>
      <c r="D4175" s="2" t="s">
        <v>41009</v>
      </c>
      <c r="E4175" s="2" t="s">
        <v>41010</v>
      </c>
      <c r="F4175" s="3" t="s">
        <v>11447</v>
      </c>
      <c r="G4175" s="3" t="s">
        <v>128</v>
      </c>
      <c r="I4175" s="3" t="s">
        <v>64</v>
      </c>
      <c r="J4175" s="3" t="s">
        <v>64</v>
      </c>
      <c r="K4175" s="3" t="s">
        <v>65</v>
      </c>
      <c r="L4175" s="2" t="s">
        <v>41011</v>
      </c>
      <c r="M4175" s="2" t="s">
        <v>41012</v>
      </c>
      <c r="N4175" s="3" t="s">
        <v>86</v>
      </c>
      <c r="P4175" s="3" t="s">
        <v>102</v>
      </c>
      <c r="R4175" s="3" t="s">
        <v>70</v>
      </c>
      <c r="S4175" s="4">
        <v>0</v>
      </c>
      <c r="T4175" s="4">
        <v>0</v>
      </c>
      <c r="W4175" s="5" t="s">
        <v>72</v>
      </c>
      <c r="X4175" s="5" t="s">
        <v>72</v>
      </c>
      <c r="Y4175" s="4">
        <v>216</v>
      </c>
      <c r="Z4175" s="4">
        <v>22</v>
      </c>
      <c r="AA4175" s="4">
        <v>22</v>
      </c>
      <c r="AB4175" s="4">
        <v>1</v>
      </c>
      <c r="AC4175" s="4">
        <v>1</v>
      </c>
      <c r="AD4175" s="4">
        <v>78</v>
      </c>
      <c r="AE4175" s="4">
        <v>79</v>
      </c>
      <c r="AF4175" s="4">
        <v>0</v>
      </c>
      <c r="AG4175" s="4">
        <v>0</v>
      </c>
      <c r="AH4175" s="4">
        <v>67</v>
      </c>
      <c r="AI4175" s="4">
        <v>68</v>
      </c>
      <c r="AJ4175" s="4">
        <v>14</v>
      </c>
      <c r="AK4175" s="4">
        <v>14</v>
      </c>
      <c r="AL4175" s="4">
        <v>40</v>
      </c>
      <c r="AM4175" s="4">
        <v>41</v>
      </c>
      <c r="AN4175" s="4">
        <v>0</v>
      </c>
      <c r="AO4175" s="4">
        <v>0</v>
      </c>
      <c r="AP4175" s="4">
        <v>18</v>
      </c>
      <c r="AQ4175" s="4">
        <v>18</v>
      </c>
      <c r="AR4175" s="3" t="s">
        <v>64</v>
      </c>
      <c r="AS4175" s="3" t="s">
        <v>64</v>
      </c>
      <c r="AT4175" s="3" t="s">
        <v>64</v>
      </c>
      <c r="AV4175" s="6" t="str">
        <f t="shared" si="116"/>
        <v>Catalog Record</v>
      </c>
      <c r="AW4175" s="6" t="str">
        <f t="shared" si="117"/>
        <v>WorldCat Record</v>
      </c>
      <c r="AX4175" s="3" t="s">
        <v>41013</v>
      </c>
      <c r="AY4175" s="3" t="s">
        <v>41014</v>
      </c>
      <c r="AZ4175" s="3" t="s">
        <v>41015</v>
      </c>
      <c r="BA4175" s="3" t="s">
        <v>41015</v>
      </c>
      <c r="BB4175" s="3" t="s">
        <v>41019</v>
      </c>
      <c r="BC4175" s="3" t="s">
        <v>77</v>
      </c>
      <c r="BD4175" s="3" t="s">
        <v>78</v>
      </c>
      <c r="BE4175" s="3" t="s">
        <v>41017</v>
      </c>
      <c r="BF4175" s="3" t="s">
        <v>41019</v>
      </c>
      <c r="BG4175" s="3" t="s">
        <v>41020</v>
      </c>
      <c r="BH4175">
        <f t="shared" si="115"/>
        <v>0</v>
      </c>
    </row>
    <row r="4176" spans="1:60" ht="58" x14ac:dyDescent="0.35">
      <c r="A4176" s="2" t="s">
        <v>59</v>
      </c>
      <c r="B4176" s="2" t="s">
        <v>7607</v>
      </c>
      <c r="C4176" s="2" t="s">
        <v>41008</v>
      </c>
      <c r="D4176" s="2" t="s">
        <v>41009</v>
      </c>
      <c r="E4176" s="2" t="s">
        <v>41010</v>
      </c>
      <c r="F4176" s="3" t="s">
        <v>11444</v>
      </c>
      <c r="G4176" s="3" t="s">
        <v>128</v>
      </c>
      <c r="I4176" s="3" t="s">
        <v>64</v>
      </c>
      <c r="J4176" s="3" t="s">
        <v>64</v>
      </c>
      <c r="K4176" s="3" t="s">
        <v>65</v>
      </c>
      <c r="L4176" s="2" t="s">
        <v>41011</v>
      </c>
      <c r="M4176" s="2" t="s">
        <v>41012</v>
      </c>
      <c r="N4176" s="3" t="s">
        <v>86</v>
      </c>
      <c r="P4176" s="3" t="s">
        <v>102</v>
      </c>
      <c r="R4176" s="3" t="s">
        <v>70</v>
      </c>
      <c r="S4176" s="4">
        <v>0</v>
      </c>
      <c r="T4176" s="4">
        <v>0</v>
      </c>
      <c r="W4176" s="5" t="s">
        <v>72</v>
      </c>
      <c r="X4176" s="5" t="s">
        <v>72</v>
      </c>
      <c r="Y4176" s="4">
        <v>216</v>
      </c>
      <c r="Z4176" s="4">
        <v>22</v>
      </c>
      <c r="AA4176" s="4">
        <v>22</v>
      </c>
      <c r="AB4176" s="4">
        <v>1</v>
      </c>
      <c r="AC4176" s="4">
        <v>1</v>
      </c>
      <c r="AD4176" s="4">
        <v>78</v>
      </c>
      <c r="AE4176" s="4">
        <v>79</v>
      </c>
      <c r="AF4176" s="4">
        <v>0</v>
      </c>
      <c r="AG4176" s="4">
        <v>0</v>
      </c>
      <c r="AH4176" s="4">
        <v>67</v>
      </c>
      <c r="AI4176" s="4">
        <v>68</v>
      </c>
      <c r="AJ4176" s="4">
        <v>14</v>
      </c>
      <c r="AK4176" s="4">
        <v>14</v>
      </c>
      <c r="AL4176" s="4">
        <v>40</v>
      </c>
      <c r="AM4176" s="4">
        <v>41</v>
      </c>
      <c r="AN4176" s="4">
        <v>0</v>
      </c>
      <c r="AO4176" s="4">
        <v>0</v>
      </c>
      <c r="AP4176" s="4">
        <v>18</v>
      </c>
      <c r="AQ4176" s="4">
        <v>18</v>
      </c>
      <c r="AR4176" s="3" t="s">
        <v>64</v>
      </c>
      <c r="AS4176" s="3" t="s">
        <v>64</v>
      </c>
      <c r="AT4176" s="3" t="s">
        <v>64</v>
      </c>
      <c r="AV4176" s="6" t="str">
        <f t="shared" si="116"/>
        <v>Catalog Record</v>
      </c>
      <c r="AW4176" s="6" t="str">
        <f t="shared" si="117"/>
        <v>WorldCat Record</v>
      </c>
      <c r="AX4176" s="3" t="s">
        <v>41013</v>
      </c>
      <c r="AY4176" s="3" t="s">
        <v>41014</v>
      </c>
      <c r="AZ4176" s="3" t="s">
        <v>41015</v>
      </c>
      <c r="BA4176" s="3" t="s">
        <v>41015</v>
      </c>
      <c r="BB4176" s="3" t="s">
        <v>41021</v>
      </c>
      <c r="BC4176" s="3" t="s">
        <v>77</v>
      </c>
      <c r="BD4176" s="3" t="s">
        <v>78</v>
      </c>
      <c r="BE4176" s="3" t="s">
        <v>41017</v>
      </c>
      <c r="BF4176" s="3" t="s">
        <v>41021</v>
      </c>
      <c r="BG4176" s="3" t="s">
        <v>41022</v>
      </c>
      <c r="BH4176">
        <f t="shared" si="115"/>
        <v>0</v>
      </c>
    </row>
    <row r="4177" spans="1:60" ht="58" x14ac:dyDescent="0.35">
      <c r="A4177" s="2" t="s">
        <v>59</v>
      </c>
      <c r="B4177" s="2" t="s">
        <v>7607</v>
      </c>
      <c r="C4177" s="2" t="s">
        <v>41008</v>
      </c>
      <c r="D4177" s="2" t="s">
        <v>41009</v>
      </c>
      <c r="E4177" s="2" t="s">
        <v>41010</v>
      </c>
      <c r="F4177" s="3" t="s">
        <v>525</v>
      </c>
      <c r="G4177" s="3" t="s">
        <v>128</v>
      </c>
      <c r="I4177" s="3" t="s">
        <v>64</v>
      </c>
      <c r="J4177" s="3" t="s">
        <v>64</v>
      </c>
      <c r="K4177" s="3" t="s">
        <v>65</v>
      </c>
      <c r="L4177" s="2" t="s">
        <v>41011</v>
      </c>
      <c r="M4177" s="2" t="s">
        <v>41012</v>
      </c>
      <c r="N4177" s="3" t="s">
        <v>86</v>
      </c>
      <c r="P4177" s="3" t="s">
        <v>102</v>
      </c>
      <c r="R4177" s="3" t="s">
        <v>70</v>
      </c>
      <c r="S4177" s="4">
        <v>0</v>
      </c>
      <c r="T4177" s="4">
        <v>0</v>
      </c>
      <c r="W4177" s="5" t="s">
        <v>72</v>
      </c>
      <c r="X4177" s="5" t="s">
        <v>72</v>
      </c>
      <c r="Y4177" s="4">
        <v>216</v>
      </c>
      <c r="Z4177" s="4">
        <v>22</v>
      </c>
      <c r="AA4177" s="4">
        <v>22</v>
      </c>
      <c r="AB4177" s="4">
        <v>1</v>
      </c>
      <c r="AC4177" s="4">
        <v>1</v>
      </c>
      <c r="AD4177" s="4">
        <v>78</v>
      </c>
      <c r="AE4177" s="4">
        <v>79</v>
      </c>
      <c r="AF4177" s="4">
        <v>0</v>
      </c>
      <c r="AG4177" s="4">
        <v>0</v>
      </c>
      <c r="AH4177" s="4">
        <v>67</v>
      </c>
      <c r="AI4177" s="4">
        <v>68</v>
      </c>
      <c r="AJ4177" s="4">
        <v>14</v>
      </c>
      <c r="AK4177" s="4">
        <v>14</v>
      </c>
      <c r="AL4177" s="4">
        <v>40</v>
      </c>
      <c r="AM4177" s="4">
        <v>41</v>
      </c>
      <c r="AN4177" s="4">
        <v>0</v>
      </c>
      <c r="AO4177" s="4">
        <v>0</v>
      </c>
      <c r="AP4177" s="4">
        <v>18</v>
      </c>
      <c r="AQ4177" s="4">
        <v>18</v>
      </c>
      <c r="AR4177" s="3" t="s">
        <v>64</v>
      </c>
      <c r="AS4177" s="3" t="s">
        <v>64</v>
      </c>
      <c r="AT4177" s="3" t="s">
        <v>64</v>
      </c>
      <c r="AV4177" s="6" t="str">
        <f t="shared" si="116"/>
        <v>Catalog Record</v>
      </c>
      <c r="AW4177" s="6" t="str">
        <f t="shared" si="117"/>
        <v>WorldCat Record</v>
      </c>
      <c r="AX4177" s="3" t="s">
        <v>41013</v>
      </c>
      <c r="AY4177" s="3" t="s">
        <v>41014</v>
      </c>
      <c r="AZ4177" s="3" t="s">
        <v>41015</v>
      </c>
      <c r="BA4177" s="3" t="s">
        <v>41015</v>
      </c>
      <c r="BB4177" s="3" t="s">
        <v>41023</v>
      </c>
      <c r="BC4177" s="3" t="s">
        <v>77</v>
      </c>
      <c r="BD4177" s="3" t="s">
        <v>78</v>
      </c>
      <c r="BE4177" s="3" t="s">
        <v>41017</v>
      </c>
      <c r="BF4177" s="3" t="s">
        <v>41023</v>
      </c>
      <c r="BG4177" s="3" t="s">
        <v>41024</v>
      </c>
      <c r="BH4177">
        <f t="shared" si="115"/>
        <v>0</v>
      </c>
    </row>
    <row r="4178" spans="1:60" ht="58" x14ac:dyDescent="0.35">
      <c r="A4178" s="2" t="s">
        <v>59</v>
      </c>
      <c r="B4178" s="2" t="s">
        <v>7607</v>
      </c>
      <c r="C4178" s="2" t="s">
        <v>41008</v>
      </c>
      <c r="D4178" s="2" t="s">
        <v>41009</v>
      </c>
      <c r="E4178" s="2" t="s">
        <v>41010</v>
      </c>
      <c r="F4178" s="3" t="s">
        <v>529</v>
      </c>
      <c r="G4178" s="3" t="s">
        <v>128</v>
      </c>
      <c r="I4178" s="3" t="s">
        <v>64</v>
      </c>
      <c r="J4178" s="3" t="s">
        <v>64</v>
      </c>
      <c r="K4178" s="3" t="s">
        <v>65</v>
      </c>
      <c r="L4178" s="2" t="s">
        <v>41011</v>
      </c>
      <c r="M4178" s="2" t="s">
        <v>41012</v>
      </c>
      <c r="N4178" s="3" t="s">
        <v>86</v>
      </c>
      <c r="P4178" s="3" t="s">
        <v>102</v>
      </c>
      <c r="R4178" s="3" t="s">
        <v>70</v>
      </c>
      <c r="S4178" s="4">
        <v>0</v>
      </c>
      <c r="T4178" s="4">
        <v>0</v>
      </c>
      <c r="W4178" s="5" t="s">
        <v>72</v>
      </c>
      <c r="X4178" s="5" t="s">
        <v>72</v>
      </c>
      <c r="Y4178" s="4">
        <v>216</v>
      </c>
      <c r="Z4178" s="4">
        <v>22</v>
      </c>
      <c r="AA4178" s="4">
        <v>22</v>
      </c>
      <c r="AB4178" s="4">
        <v>1</v>
      </c>
      <c r="AC4178" s="4">
        <v>1</v>
      </c>
      <c r="AD4178" s="4">
        <v>78</v>
      </c>
      <c r="AE4178" s="4">
        <v>79</v>
      </c>
      <c r="AF4178" s="4">
        <v>0</v>
      </c>
      <c r="AG4178" s="4">
        <v>0</v>
      </c>
      <c r="AH4178" s="4">
        <v>67</v>
      </c>
      <c r="AI4178" s="4">
        <v>68</v>
      </c>
      <c r="AJ4178" s="4">
        <v>14</v>
      </c>
      <c r="AK4178" s="4">
        <v>14</v>
      </c>
      <c r="AL4178" s="4">
        <v>40</v>
      </c>
      <c r="AM4178" s="4">
        <v>41</v>
      </c>
      <c r="AN4178" s="4">
        <v>0</v>
      </c>
      <c r="AO4178" s="4">
        <v>0</v>
      </c>
      <c r="AP4178" s="4">
        <v>18</v>
      </c>
      <c r="AQ4178" s="4">
        <v>18</v>
      </c>
      <c r="AR4178" s="3" t="s">
        <v>64</v>
      </c>
      <c r="AS4178" s="3" t="s">
        <v>64</v>
      </c>
      <c r="AT4178" s="3" t="s">
        <v>64</v>
      </c>
      <c r="AV4178" s="6" t="str">
        <f t="shared" si="116"/>
        <v>Catalog Record</v>
      </c>
      <c r="AW4178" s="6" t="str">
        <f t="shared" si="117"/>
        <v>WorldCat Record</v>
      </c>
      <c r="AX4178" s="3" t="s">
        <v>41013</v>
      </c>
      <c r="AY4178" s="3" t="s">
        <v>41014</v>
      </c>
      <c r="AZ4178" s="3" t="s">
        <v>41015</v>
      </c>
      <c r="BA4178" s="3" t="s">
        <v>41015</v>
      </c>
      <c r="BB4178" s="3" t="s">
        <v>41025</v>
      </c>
      <c r="BC4178" s="3" t="s">
        <v>77</v>
      </c>
      <c r="BD4178" s="3" t="s">
        <v>78</v>
      </c>
      <c r="BE4178" s="3" t="s">
        <v>41017</v>
      </c>
      <c r="BF4178" s="3" t="s">
        <v>41025</v>
      </c>
      <c r="BG4178" s="3" t="s">
        <v>41026</v>
      </c>
      <c r="BH4178">
        <f t="shared" si="115"/>
        <v>0</v>
      </c>
    </row>
    <row r="4179" spans="1:60" ht="58" x14ac:dyDescent="0.35">
      <c r="A4179" s="2" t="s">
        <v>59</v>
      </c>
      <c r="B4179" s="2" t="s">
        <v>7607</v>
      </c>
      <c r="C4179" s="2" t="s">
        <v>41008</v>
      </c>
      <c r="D4179" s="2" t="s">
        <v>41009</v>
      </c>
      <c r="E4179" s="2" t="s">
        <v>41010</v>
      </c>
      <c r="F4179" s="3" t="s">
        <v>522</v>
      </c>
      <c r="G4179" s="3" t="s">
        <v>128</v>
      </c>
      <c r="I4179" s="3" t="s">
        <v>64</v>
      </c>
      <c r="J4179" s="3" t="s">
        <v>64</v>
      </c>
      <c r="K4179" s="3" t="s">
        <v>65</v>
      </c>
      <c r="L4179" s="2" t="s">
        <v>41011</v>
      </c>
      <c r="M4179" s="2" t="s">
        <v>41012</v>
      </c>
      <c r="N4179" s="3" t="s">
        <v>86</v>
      </c>
      <c r="P4179" s="3" t="s">
        <v>102</v>
      </c>
      <c r="R4179" s="3" t="s">
        <v>70</v>
      </c>
      <c r="S4179" s="4">
        <v>0</v>
      </c>
      <c r="T4179" s="4">
        <v>0</v>
      </c>
      <c r="W4179" s="5" t="s">
        <v>72</v>
      </c>
      <c r="X4179" s="5" t="s">
        <v>72</v>
      </c>
      <c r="Y4179" s="4">
        <v>216</v>
      </c>
      <c r="Z4179" s="4">
        <v>22</v>
      </c>
      <c r="AA4179" s="4">
        <v>22</v>
      </c>
      <c r="AB4179" s="4">
        <v>1</v>
      </c>
      <c r="AC4179" s="4">
        <v>1</v>
      </c>
      <c r="AD4179" s="4">
        <v>78</v>
      </c>
      <c r="AE4179" s="4">
        <v>79</v>
      </c>
      <c r="AF4179" s="4">
        <v>0</v>
      </c>
      <c r="AG4179" s="4">
        <v>0</v>
      </c>
      <c r="AH4179" s="4">
        <v>67</v>
      </c>
      <c r="AI4179" s="4">
        <v>68</v>
      </c>
      <c r="AJ4179" s="4">
        <v>14</v>
      </c>
      <c r="AK4179" s="4">
        <v>14</v>
      </c>
      <c r="AL4179" s="4">
        <v>40</v>
      </c>
      <c r="AM4179" s="4">
        <v>41</v>
      </c>
      <c r="AN4179" s="4">
        <v>0</v>
      </c>
      <c r="AO4179" s="4">
        <v>0</v>
      </c>
      <c r="AP4179" s="4">
        <v>18</v>
      </c>
      <c r="AQ4179" s="4">
        <v>18</v>
      </c>
      <c r="AR4179" s="3" t="s">
        <v>64</v>
      </c>
      <c r="AS4179" s="3" t="s">
        <v>64</v>
      </c>
      <c r="AT4179" s="3" t="s">
        <v>64</v>
      </c>
      <c r="AV4179" s="6" t="str">
        <f t="shared" si="116"/>
        <v>Catalog Record</v>
      </c>
      <c r="AW4179" s="6" t="str">
        <f t="shared" si="117"/>
        <v>WorldCat Record</v>
      </c>
      <c r="AX4179" s="3" t="s">
        <v>41013</v>
      </c>
      <c r="AY4179" s="3" t="s">
        <v>41014</v>
      </c>
      <c r="AZ4179" s="3" t="s">
        <v>41015</v>
      </c>
      <c r="BA4179" s="3" t="s">
        <v>41015</v>
      </c>
      <c r="BB4179" s="3" t="s">
        <v>41027</v>
      </c>
      <c r="BC4179" s="3" t="s">
        <v>77</v>
      </c>
      <c r="BD4179" s="3" t="s">
        <v>78</v>
      </c>
      <c r="BE4179" s="3" t="s">
        <v>41017</v>
      </c>
      <c r="BF4179" s="3" t="s">
        <v>41027</v>
      </c>
      <c r="BG4179" s="3" t="s">
        <v>41028</v>
      </c>
      <c r="BH4179">
        <f t="shared" si="115"/>
        <v>0</v>
      </c>
    </row>
    <row r="4180" spans="1:60" ht="58" x14ac:dyDescent="0.35">
      <c r="A4180" s="2" t="s">
        <v>59</v>
      </c>
      <c r="B4180" s="2" t="s">
        <v>7607</v>
      </c>
      <c r="C4180" s="2" t="s">
        <v>41008</v>
      </c>
      <c r="D4180" s="2" t="s">
        <v>41009</v>
      </c>
      <c r="E4180" s="2" t="s">
        <v>41010</v>
      </c>
      <c r="F4180" s="3" t="s">
        <v>519</v>
      </c>
      <c r="G4180" s="3" t="s">
        <v>128</v>
      </c>
      <c r="I4180" s="3" t="s">
        <v>64</v>
      </c>
      <c r="J4180" s="3" t="s">
        <v>64</v>
      </c>
      <c r="K4180" s="3" t="s">
        <v>65</v>
      </c>
      <c r="L4180" s="2" t="s">
        <v>41011</v>
      </c>
      <c r="M4180" s="2" t="s">
        <v>41012</v>
      </c>
      <c r="N4180" s="3" t="s">
        <v>86</v>
      </c>
      <c r="P4180" s="3" t="s">
        <v>102</v>
      </c>
      <c r="R4180" s="3" t="s">
        <v>70</v>
      </c>
      <c r="S4180" s="4">
        <v>0</v>
      </c>
      <c r="T4180" s="4">
        <v>0</v>
      </c>
      <c r="W4180" s="5" t="s">
        <v>72</v>
      </c>
      <c r="X4180" s="5" t="s">
        <v>72</v>
      </c>
      <c r="Y4180" s="4">
        <v>216</v>
      </c>
      <c r="Z4180" s="4">
        <v>22</v>
      </c>
      <c r="AA4180" s="4">
        <v>22</v>
      </c>
      <c r="AB4180" s="4">
        <v>1</v>
      </c>
      <c r="AC4180" s="4">
        <v>1</v>
      </c>
      <c r="AD4180" s="4">
        <v>78</v>
      </c>
      <c r="AE4180" s="4">
        <v>79</v>
      </c>
      <c r="AF4180" s="4">
        <v>0</v>
      </c>
      <c r="AG4180" s="4">
        <v>0</v>
      </c>
      <c r="AH4180" s="4">
        <v>67</v>
      </c>
      <c r="AI4180" s="4">
        <v>68</v>
      </c>
      <c r="AJ4180" s="4">
        <v>14</v>
      </c>
      <c r="AK4180" s="4">
        <v>14</v>
      </c>
      <c r="AL4180" s="4">
        <v>40</v>
      </c>
      <c r="AM4180" s="4">
        <v>41</v>
      </c>
      <c r="AN4180" s="4">
        <v>0</v>
      </c>
      <c r="AO4180" s="4">
        <v>0</v>
      </c>
      <c r="AP4180" s="4">
        <v>18</v>
      </c>
      <c r="AQ4180" s="4">
        <v>18</v>
      </c>
      <c r="AR4180" s="3" t="s">
        <v>64</v>
      </c>
      <c r="AS4180" s="3" t="s">
        <v>64</v>
      </c>
      <c r="AT4180" s="3" t="s">
        <v>64</v>
      </c>
      <c r="AV4180" s="6" t="str">
        <f t="shared" si="116"/>
        <v>Catalog Record</v>
      </c>
      <c r="AW4180" s="6" t="str">
        <f t="shared" si="117"/>
        <v>WorldCat Record</v>
      </c>
      <c r="AX4180" s="3" t="s">
        <v>41013</v>
      </c>
      <c r="AY4180" s="3" t="s">
        <v>41014</v>
      </c>
      <c r="AZ4180" s="3" t="s">
        <v>41015</v>
      </c>
      <c r="BA4180" s="3" t="s">
        <v>41015</v>
      </c>
      <c r="BB4180" s="3" t="s">
        <v>41029</v>
      </c>
      <c r="BC4180" s="3" t="s">
        <v>77</v>
      </c>
      <c r="BD4180" s="3" t="s">
        <v>78</v>
      </c>
      <c r="BE4180" s="3" t="s">
        <v>41017</v>
      </c>
      <c r="BF4180" s="3" t="s">
        <v>41029</v>
      </c>
      <c r="BG4180" s="3" t="s">
        <v>41030</v>
      </c>
      <c r="BH4180">
        <f t="shared" si="115"/>
        <v>0</v>
      </c>
    </row>
    <row r="4181" spans="1:60" ht="58" x14ac:dyDescent="0.35">
      <c r="A4181" s="2" t="s">
        <v>59</v>
      </c>
      <c r="B4181" s="2" t="s">
        <v>7607</v>
      </c>
      <c r="C4181" s="2" t="s">
        <v>41008</v>
      </c>
      <c r="D4181" s="2" t="s">
        <v>41009</v>
      </c>
      <c r="E4181" s="2" t="s">
        <v>41010</v>
      </c>
      <c r="F4181" s="3" t="s">
        <v>10094</v>
      </c>
      <c r="G4181" s="3" t="s">
        <v>128</v>
      </c>
      <c r="I4181" s="3" t="s">
        <v>64</v>
      </c>
      <c r="J4181" s="3" t="s">
        <v>64</v>
      </c>
      <c r="K4181" s="3" t="s">
        <v>65</v>
      </c>
      <c r="L4181" s="2" t="s">
        <v>41011</v>
      </c>
      <c r="M4181" s="2" t="s">
        <v>41012</v>
      </c>
      <c r="N4181" s="3" t="s">
        <v>86</v>
      </c>
      <c r="P4181" s="3" t="s">
        <v>102</v>
      </c>
      <c r="R4181" s="3" t="s">
        <v>70</v>
      </c>
      <c r="S4181" s="4">
        <v>0</v>
      </c>
      <c r="T4181" s="4">
        <v>0</v>
      </c>
      <c r="W4181" s="5" t="s">
        <v>72</v>
      </c>
      <c r="X4181" s="5" t="s">
        <v>72</v>
      </c>
      <c r="Y4181" s="4">
        <v>216</v>
      </c>
      <c r="Z4181" s="4">
        <v>22</v>
      </c>
      <c r="AA4181" s="4">
        <v>22</v>
      </c>
      <c r="AB4181" s="4">
        <v>1</v>
      </c>
      <c r="AC4181" s="4">
        <v>1</v>
      </c>
      <c r="AD4181" s="4">
        <v>78</v>
      </c>
      <c r="AE4181" s="4">
        <v>79</v>
      </c>
      <c r="AF4181" s="4">
        <v>0</v>
      </c>
      <c r="AG4181" s="4">
        <v>0</v>
      </c>
      <c r="AH4181" s="4">
        <v>67</v>
      </c>
      <c r="AI4181" s="4">
        <v>68</v>
      </c>
      <c r="AJ4181" s="4">
        <v>14</v>
      </c>
      <c r="AK4181" s="4">
        <v>14</v>
      </c>
      <c r="AL4181" s="4">
        <v>40</v>
      </c>
      <c r="AM4181" s="4">
        <v>41</v>
      </c>
      <c r="AN4181" s="4">
        <v>0</v>
      </c>
      <c r="AO4181" s="4">
        <v>0</v>
      </c>
      <c r="AP4181" s="4">
        <v>18</v>
      </c>
      <c r="AQ4181" s="4">
        <v>18</v>
      </c>
      <c r="AR4181" s="3" t="s">
        <v>64</v>
      </c>
      <c r="AS4181" s="3" t="s">
        <v>64</v>
      </c>
      <c r="AT4181" s="3" t="s">
        <v>64</v>
      </c>
      <c r="AV4181" s="6" t="str">
        <f t="shared" si="116"/>
        <v>Catalog Record</v>
      </c>
      <c r="AW4181" s="6" t="str">
        <f t="shared" si="117"/>
        <v>WorldCat Record</v>
      </c>
      <c r="AX4181" s="3" t="s">
        <v>41013</v>
      </c>
      <c r="AY4181" s="3" t="s">
        <v>41014</v>
      </c>
      <c r="AZ4181" s="3" t="s">
        <v>41015</v>
      </c>
      <c r="BA4181" s="3" t="s">
        <v>41015</v>
      </c>
      <c r="BB4181" s="3" t="s">
        <v>41031</v>
      </c>
      <c r="BC4181" s="3" t="s">
        <v>77</v>
      </c>
      <c r="BD4181" s="3" t="s">
        <v>78</v>
      </c>
      <c r="BE4181" s="3" t="s">
        <v>41017</v>
      </c>
      <c r="BF4181" s="3" t="s">
        <v>41031</v>
      </c>
      <c r="BG4181" s="3" t="s">
        <v>41032</v>
      </c>
      <c r="BH4181">
        <f t="shared" si="115"/>
        <v>0</v>
      </c>
    </row>
    <row r="4182" spans="1:60" ht="72.5" x14ac:dyDescent="0.35">
      <c r="A4182" s="2" t="s">
        <v>6202</v>
      </c>
      <c r="B4182" s="2" t="s">
        <v>6203</v>
      </c>
      <c r="C4182" s="2" t="s">
        <v>41033</v>
      </c>
      <c r="D4182" s="2" t="s">
        <v>41034</v>
      </c>
      <c r="E4182" s="2" t="s">
        <v>41035</v>
      </c>
      <c r="G4182" s="3" t="s">
        <v>64</v>
      </c>
      <c r="I4182" s="3" t="s">
        <v>64</v>
      </c>
      <c r="J4182" s="3" t="s">
        <v>64</v>
      </c>
      <c r="K4182" s="3" t="s">
        <v>65</v>
      </c>
      <c r="L4182" s="2" t="s">
        <v>41036</v>
      </c>
      <c r="M4182" s="2" t="s">
        <v>41037</v>
      </c>
      <c r="N4182" s="3" t="s">
        <v>456</v>
      </c>
      <c r="O4182" s="2" t="s">
        <v>41038</v>
      </c>
      <c r="P4182" s="3" t="s">
        <v>102</v>
      </c>
      <c r="R4182" s="3" t="s">
        <v>70</v>
      </c>
      <c r="S4182" s="4">
        <v>3</v>
      </c>
      <c r="T4182" s="4">
        <v>3</v>
      </c>
      <c r="U4182" s="5" t="s">
        <v>14509</v>
      </c>
      <c r="V4182" s="5" t="s">
        <v>14509</v>
      </c>
      <c r="W4182" s="5" t="s">
        <v>72</v>
      </c>
      <c r="X4182" s="5" t="s">
        <v>72</v>
      </c>
      <c r="Y4182" s="4">
        <v>413</v>
      </c>
      <c r="Z4182" s="4">
        <v>20</v>
      </c>
      <c r="AA4182" s="4">
        <v>25</v>
      </c>
      <c r="AB4182" s="4">
        <v>2</v>
      </c>
      <c r="AC4182" s="4">
        <v>4</v>
      </c>
      <c r="AD4182" s="4">
        <v>93</v>
      </c>
      <c r="AE4182" s="4">
        <v>99</v>
      </c>
      <c r="AF4182" s="4">
        <v>0</v>
      </c>
      <c r="AG4182" s="4">
        <v>2</v>
      </c>
      <c r="AH4182" s="4">
        <v>82</v>
      </c>
      <c r="AI4182" s="4">
        <v>86</v>
      </c>
      <c r="AJ4182" s="4">
        <v>12</v>
      </c>
      <c r="AK4182" s="4">
        <v>17</v>
      </c>
      <c r="AL4182" s="4">
        <v>47</v>
      </c>
      <c r="AM4182" s="4">
        <v>48</v>
      </c>
      <c r="AN4182" s="4">
        <v>0</v>
      </c>
      <c r="AO4182" s="4">
        <v>0</v>
      </c>
      <c r="AP4182" s="4">
        <v>14</v>
      </c>
      <c r="AQ4182" s="4">
        <v>17</v>
      </c>
      <c r="AR4182" s="3" t="s">
        <v>64</v>
      </c>
      <c r="AS4182" s="3" t="s">
        <v>64</v>
      </c>
      <c r="AT4182" s="3" t="s">
        <v>128</v>
      </c>
      <c r="AU4182" s="6" t="str">
        <f>HYPERLINK("http://catalog.hathitrust.org/Record/001169148","HathiTrust Record")</f>
        <v>HathiTrust Record</v>
      </c>
      <c r="AV4182" s="6" t="str">
        <f>HYPERLINK("http://mcgill.on.worldcat.org/oclc/582321","Catalog Record")</f>
        <v>Catalog Record</v>
      </c>
      <c r="AW4182" s="6" t="str">
        <f>HYPERLINK("http://www.worldcat.org/oclc/582321","WorldCat Record")</f>
        <v>WorldCat Record</v>
      </c>
      <c r="AX4182" s="3" t="s">
        <v>41039</v>
      </c>
      <c r="AY4182" s="3" t="s">
        <v>41040</v>
      </c>
      <c r="AZ4182" s="3" t="s">
        <v>41041</v>
      </c>
      <c r="BA4182" s="3" t="s">
        <v>41041</v>
      </c>
      <c r="BB4182" s="3" t="s">
        <v>41042</v>
      </c>
      <c r="BC4182" s="3" t="s">
        <v>77</v>
      </c>
      <c r="BD4182" s="3" t="s">
        <v>78</v>
      </c>
      <c r="BF4182" s="3" t="s">
        <v>41042</v>
      </c>
      <c r="BG4182" s="3" t="s">
        <v>41043</v>
      </c>
      <c r="BH4182">
        <f t="shared" si="115"/>
        <v>0</v>
      </c>
    </row>
    <row r="4183" spans="1:60" ht="72.5" x14ac:dyDescent="0.35">
      <c r="A4183" s="2" t="s">
        <v>6202</v>
      </c>
      <c r="B4183" s="2" t="s">
        <v>6203</v>
      </c>
      <c r="C4183" s="2" t="s">
        <v>41044</v>
      </c>
      <c r="D4183" s="2" t="s">
        <v>41045</v>
      </c>
      <c r="E4183" s="2" t="s">
        <v>41046</v>
      </c>
      <c r="F4183" s="3" t="s">
        <v>26383</v>
      </c>
      <c r="G4183" s="3" t="s">
        <v>128</v>
      </c>
      <c r="I4183" s="3" t="s">
        <v>64</v>
      </c>
      <c r="J4183" s="3" t="s">
        <v>64</v>
      </c>
      <c r="K4183" s="3" t="s">
        <v>65</v>
      </c>
      <c r="M4183" s="2" t="s">
        <v>41047</v>
      </c>
      <c r="N4183" s="3" t="s">
        <v>979</v>
      </c>
      <c r="P4183" s="3" t="s">
        <v>102</v>
      </c>
      <c r="R4183" s="3" t="s">
        <v>70</v>
      </c>
      <c r="S4183" s="4">
        <v>12</v>
      </c>
      <c r="T4183" s="4">
        <v>27</v>
      </c>
      <c r="U4183" s="5" t="s">
        <v>30896</v>
      </c>
      <c r="V4183" s="5" t="s">
        <v>30896</v>
      </c>
      <c r="W4183" s="5" t="s">
        <v>72</v>
      </c>
      <c r="X4183" s="5" t="s">
        <v>72</v>
      </c>
      <c r="Y4183" s="4">
        <v>303</v>
      </c>
      <c r="Z4183" s="4">
        <v>25</v>
      </c>
      <c r="AA4183" s="4">
        <v>26</v>
      </c>
      <c r="AB4183" s="4">
        <v>1</v>
      </c>
      <c r="AC4183" s="4">
        <v>2</v>
      </c>
      <c r="AD4183" s="4">
        <v>107</v>
      </c>
      <c r="AE4183" s="4">
        <v>109</v>
      </c>
      <c r="AF4183" s="4">
        <v>0</v>
      </c>
      <c r="AG4183" s="4">
        <v>1</v>
      </c>
      <c r="AH4183" s="4">
        <v>92</v>
      </c>
      <c r="AI4183" s="4">
        <v>93</v>
      </c>
      <c r="AJ4183" s="4">
        <v>16</v>
      </c>
      <c r="AK4183" s="4">
        <v>17</v>
      </c>
      <c r="AL4183" s="4">
        <v>53</v>
      </c>
      <c r="AM4183" s="4">
        <v>54</v>
      </c>
      <c r="AN4183" s="4">
        <v>0</v>
      </c>
      <c r="AO4183" s="4">
        <v>0</v>
      </c>
      <c r="AP4183" s="4">
        <v>20</v>
      </c>
      <c r="AQ4183" s="4">
        <v>20</v>
      </c>
      <c r="AR4183" s="3" t="s">
        <v>64</v>
      </c>
      <c r="AS4183" s="3" t="s">
        <v>64</v>
      </c>
      <c r="AT4183" s="3" t="s">
        <v>128</v>
      </c>
      <c r="AU4183" s="6" t="str">
        <f>HYPERLINK("http://catalog.hathitrust.org/Record/004098100","HathiTrust Record")</f>
        <v>HathiTrust Record</v>
      </c>
      <c r="AV4183" s="6" t="str">
        <f>HYPERLINK("http://mcgill.on.worldcat.org/oclc/44707953","Catalog Record")</f>
        <v>Catalog Record</v>
      </c>
      <c r="AW4183" s="6" t="str">
        <f>HYPERLINK("http://www.worldcat.org/oclc/44707953","WorldCat Record")</f>
        <v>WorldCat Record</v>
      </c>
      <c r="AX4183" s="3" t="s">
        <v>41048</v>
      </c>
      <c r="AY4183" s="3" t="s">
        <v>41049</v>
      </c>
      <c r="AZ4183" s="3" t="s">
        <v>41050</v>
      </c>
      <c r="BA4183" s="3" t="s">
        <v>41050</v>
      </c>
      <c r="BB4183" s="3" t="s">
        <v>41051</v>
      </c>
      <c r="BC4183" s="3" t="s">
        <v>77</v>
      </c>
      <c r="BD4183" s="3" t="s">
        <v>78</v>
      </c>
      <c r="BE4183" s="3" t="s">
        <v>41052</v>
      </c>
      <c r="BF4183" s="3" t="s">
        <v>41051</v>
      </c>
      <c r="BG4183" s="3" t="s">
        <v>41053</v>
      </c>
      <c r="BH4183">
        <f t="shared" si="115"/>
        <v>0</v>
      </c>
    </row>
    <row r="4184" spans="1:60" ht="72.5" x14ac:dyDescent="0.35">
      <c r="A4184" s="2" t="s">
        <v>6202</v>
      </c>
      <c r="B4184" s="2" t="s">
        <v>6203</v>
      </c>
      <c r="C4184" s="2" t="s">
        <v>41044</v>
      </c>
      <c r="D4184" s="2" t="s">
        <v>41045</v>
      </c>
      <c r="E4184" s="2" t="s">
        <v>41046</v>
      </c>
      <c r="F4184" s="3" t="s">
        <v>525</v>
      </c>
      <c r="G4184" s="3" t="s">
        <v>128</v>
      </c>
      <c r="I4184" s="3" t="s">
        <v>64</v>
      </c>
      <c r="J4184" s="3" t="s">
        <v>64</v>
      </c>
      <c r="K4184" s="3" t="s">
        <v>65</v>
      </c>
      <c r="M4184" s="2" t="s">
        <v>41047</v>
      </c>
      <c r="N4184" s="3" t="s">
        <v>979</v>
      </c>
      <c r="P4184" s="3" t="s">
        <v>102</v>
      </c>
      <c r="R4184" s="3" t="s">
        <v>70</v>
      </c>
      <c r="S4184" s="4">
        <v>15</v>
      </c>
      <c r="T4184" s="4">
        <v>27</v>
      </c>
      <c r="U4184" s="5" t="s">
        <v>30896</v>
      </c>
      <c r="V4184" s="5" t="s">
        <v>30896</v>
      </c>
      <c r="W4184" s="5" t="s">
        <v>72</v>
      </c>
      <c r="X4184" s="5" t="s">
        <v>72</v>
      </c>
      <c r="Y4184" s="4">
        <v>303</v>
      </c>
      <c r="Z4184" s="4">
        <v>25</v>
      </c>
      <c r="AA4184" s="4">
        <v>26</v>
      </c>
      <c r="AB4184" s="4">
        <v>1</v>
      </c>
      <c r="AC4184" s="4">
        <v>2</v>
      </c>
      <c r="AD4184" s="4">
        <v>107</v>
      </c>
      <c r="AE4184" s="4">
        <v>109</v>
      </c>
      <c r="AF4184" s="4">
        <v>0</v>
      </c>
      <c r="AG4184" s="4">
        <v>1</v>
      </c>
      <c r="AH4184" s="4">
        <v>92</v>
      </c>
      <c r="AI4184" s="4">
        <v>93</v>
      </c>
      <c r="AJ4184" s="4">
        <v>16</v>
      </c>
      <c r="AK4184" s="4">
        <v>17</v>
      </c>
      <c r="AL4184" s="4">
        <v>53</v>
      </c>
      <c r="AM4184" s="4">
        <v>54</v>
      </c>
      <c r="AN4184" s="4">
        <v>0</v>
      </c>
      <c r="AO4184" s="4">
        <v>0</v>
      </c>
      <c r="AP4184" s="4">
        <v>20</v>
      </c>
      <c r="AQ4184" s="4">
        <v>20</v>
      </c>
      <c r="AR4184" s="3" t="s">
        <v>64</v>
      </c>
      <c r="AS4184" s="3" t="s">
        <v>64</v>
      </c>
      <c r="AT4184" s="3" t="s">
        <v>128</v>
      </c>
      <c r="AU4184" s="6" t="str">
        <f>HYPERLINK("http://catalog.hathitrust.org/Record/004098100","HathiTrust Record")</f>
        <v>HathiTrust Record</v>
      </c>
      <c r="AV4184" s="6" t="str">
        <f>HYPERLINK("http://mcgill.on.worldcat.org/oclc/44707953","Catalog Record")</f>
        <v>Catalog Record</v>
      </c>
      <c r="AW4184" s="6" t="str">
        <f>HYPERLINK("http://www.worldcat.org/oclc/44707953","WorldCat Record")</f>
        <v>WorldCat Record</v>
      </c>
      <c r="AX4184" s="3" t="s">
        <v>41048</v>
      </c>
      <c r="AY4184" s="3" t="s">
        <v>41049</v>
      </c>
      <c r="AZ4184" s="3" t="s">
        <v>41050</v>
      </c>
      <c r="BA4184" s="3" t="s">
        <v>41050</v>
      </c>
      <c r="BB4184" s="3" t="s">
        <v>41054</v>
      </c>
      <c r="BC4184" s="3" t="s">
        <v>77</v>
      </c>
      <c r="BD4184" s="3" t="s">
        <v>78</v>
      </c>
      <c r="BE4184" s="3" t="s">
        <v>41052</v>
      </c>
      <c r="BF4184" s="3" t="s">
        <v>41054</v>
      </c>
      <c r="BG4184" s="3" t="s">
        <v>41055</v>
      </c>
      <c r="BH4184">
        <f t="shared" si="115"/>
        <v>0</v>
      </c>
    </row>
    <row r="4185" spans="1:60" ht="58" x14ac:dyDescent="0.35">
      <c r="A4185" s="2" t="s">
        <v>6202</v>
      </c>
      <c r="B4185" s="2" t="s">
        <v>6203</v>
      </c>
      <c r="C4185" s="2" t="s">
        <v>41056</v>
      </c>
      <c r="D4185" s="2" t="s">
        <v>41057</v>
      </c>
      <c r="E4185" s="2" t="s">
        <v>41058</v>
      </c>
      <c r="G4185" s="3" t="s">
        <v>64</v>
      </c>
      <c r="I4185" s="3" t="s">
        <v>64</v>
      </c>
      <c r="J4185" s="3" t="s">
        <v>64</v>
      </c>
      <c r="K4185" s="3" t="s">
        <v>65</v>
      </c>
      <c r="L4185" s="2" t="s">
        <v>41059</v>
      </c>
      <c r="M4185" s="2" t="s">
        <v>17380</v>
      </c>
      <c r="N4185" s="3" t="s">
        <v>159</v>
      </c>
      <c r="P4185" s="3" t="s">
        <v>102</v>
      </c>
      <c r="Q4185" s="2" t="s">
        <v>41060</v>
      </c>
      <c r="R4185" s="3" t="s">
        <v>70</v>
      </c>
      <c r="S4185" s="4">
        <v>3</v>
      </c>
      <c r="T4185" s="4">
        <v>3</v>
      </c>
      <c r="U4185" s="5" t="s">
        <v>14509</v>
      </c>
      <c r="V4185" s="5" t="s">
        <v>14509</v>
      </c>
      <c r="W4185" s="5" t="s">
        <v>72</v>
      </c>
      <c r="X4185" s="5" t="s">
        <v>72</v>
      </c>
      <c r="Y4185" s="4">
        <v>202</v>
      </c>
      <c r="Z4185" s="4">
        <v>14</v>
      </c>
      <c r="AA4185" s="4">
        <v>40</v>
      </c>
      <c r="AB4185" s="4">
        <v>1</v>
      </c>
      <c r="AC4185" s="4">
        <v>6</v>
      </c>
      <c r="AD4185" s="4">
        <v>76</v>
      </c>
      <c r="AE4185" s="4">
        <v>85</v>
      </c>
      <c r="AF4185" s="4">
        <v>0</v>
      </c>
      <c r="AG4185" s="4">
        <v>0</v>
      </c>
      <c r="AH4185" s="4">
        <v>71</v>
      </c>
      <c r="AI4185" s="4">
        <v>78</v>
      </c>
      <c r="AJ4185" s="4">
        <v>9</v>
      </c>
      <c r="AK4185" s="4">
        <v>9</v>
      </c>
      <c r="AL4185" s="4">
        <v>44</v>
      </c>
      <c r="AM4185" s="4">
        <v>47</v>
      </c>
      <c r="AN4185" s="4">
        <v>0</v>
      </c>
      <c r="AO4185" s="4">
        <v>0</v>
      </c>
      <c r="AP4185" s="4">
        <v>10</v>
      </c>
      <c r="AQ4185" s="4">
        <v>12</v>
      </c>
      <c r="AR4185" s="3" t="s">
        <v>64</v>
      </c>
      <c r="AS4185" s="3" t="s">
        <v>64</v>
      </c>
      <c r="AT4185" s="3" t="s">
        <v>64</v>
      </c>
      <c r="AV4185" s="6" t="str">
        <f>HYPERLINK("http://mcgill.on.worldcat.org/oclc/49664353","Catalog Record")</f>
        <v>Catalog Record</v>
      </c>
      <c r="AW4185" s="6" t="str">
        <f>HYPERLINK("http://www.worldcat.org/oclc/49664353","WorldCat Record")</f>
        <v>WorldCat Record</v>
      </c>
      <c r="AX4185" s="3" t="s">
        <v>41061</v>
      </c>
      <c r="AY4185" s="3" t="s">
        <v>41062</v>
      </c>
      <c r="AZ4185" s="3" t="s">
        <v>41063</v>
      </c>
      <c r="BA4185" s="3" t="s">
        <v>41063</v>
      </c>
      <c r="BB4185" s="3" t="s">
        <v>41064</v>
      </c>
      <c r="BC4185" s="3" t="s">
        <v>77</v>
      </c>
      <c r="BD4185" s="3" t="s">
        <v>78</v>
      </c>
      <c r="BE4185" s="3" t="s">
        <v>41065</v>
      </c>
      <c r="BF4185" s="3" t="s">
        <v>41064</v>
      </c>
      <c r="BG4185" s="3" t="s">
        <v>41066</v>
      </c>
      <c r="BH4185">
        <f t="shared" si="115"/>
        <v>0</v>
      </c>
    </row>
    <row r="4186" spans="1:60" ht="116" x14ac:dyDescent="0.35">
      <c r="A4186" s="2" t="s">
        <v>59</v>
      </c>
      <c r="B4186" s="2" t="s">
        <v>60</v>
      </c>
      <c r="C4186" s="2" t="s">
        <v>41067</v>
      </c>
      <c r="D4186" s="2" t="s">
        <v>41068</v>
      </c>
      <c r="E4186" s="2" t="s">
        <v>41069</v>
      </c>
      <c r="G4186" s="3" t="s">
        <v>64</v>
      </c>
      <c r="I4186" s="3" t="s">
        <v>64</v>
      </c>
      <c r="J4186" s="3" t="s">
        <v>64</v>
      </c>
      <c r="K4186" s="3" t="s">
        <v>65</v>
      </c>
      <c r="L4186" s="2" t="s">
        <v>41070</v>
      </c>
      <c r="M4186" s="2" t="s">
        <v>41071</v>
      </c>
      <c r="N4186" s="3" t="s">
        <v>35668</v>
      </c>
      <c r="P4186" s="3" t="s">
        <v>102</v>
      </c>
      <c r="R4186" s="3" t="s">
        <v>70</v>
      </c>
      <c r="S4186" s="4">
        <v>3</v>
      </c>
      <c r="T4186" s="4">
        <v>3</v>
      </c>
      <c r="U4186" s="5" t="s">
        <v>41072</v>
      </c>
      <c r="V4186" s="5" t="s">
        <v>41072</v>
      </c>
      <c r="W4186" s="5" t="s">
        <v>72</v>
      </c>
      <c r="X4186" s="5" t="s">
        <v>72</v>
      </c>
      <c r="Y4186" s="4">
        <v>96</v>
      </c>
      <c r="Z4186" s="4">
        <v>10</v>
      </c>
      <c r="AA4186" s="4">
        <v>13</v>
      </c>
      <c r="AB4186" s="4">
        <v>1</v>
      </c>
      <c r="AC4186" s="4">
        <v>1</v>
      </c>
      <c r="AD4186" s="4">
        <v>45</v>
      </c>
      <c r="AE4186" s="4">
        <v>58</v>
      </c>
      <c r="AF4186" s="4">
        <v>0</v>
      </c>
      <c r="AG4186" s="4">
        <v>0</v>
      </c>
      <c r="AH4186" s="4">
        <v>40</v>
      </c>
      <c r="AI4186" s="4">
        <v>51</v>
      </c>
      <c r="AJ4186" s="4">
        <v>6</v>
      </c>
      <c r="AK4186" s="4">
        <v>8</v>
      </c>
      <c r="AL4186" s="4">
        <v>29</v>
      </c>
      <c r="AM4186" s="4">
        <v>35</v>
      </c>
      <c r="AN4186" s="4">
        <v>0</v>
      </c>
      <c r="AO4186" s="4">
        <v>0</v>
      </c>
      <c r="AP4186" s="4">
        <v>6</v>
      </c>
      <c r="AQ4186" s="4">
        <v>9</v>
      </c>
      <c r="AR4186" s="3" t="s">
        <v>64</v>
      </c>
      <c r="AS4186" s="3" t="s">
        <v>64</v>
      </c>
      <c r="AT4186" s="3" t="s">
        <v>128</v>
      </c>
      <c r="AU4186" s="6" t="str">
        <f>HYPERLINK("http://catalog.hathitrust.org/Record/001169179","HathiTrust Record")</f>
        <v>HathiTrust Record</v>
      </c>
      <c r="AV4186" s="6" t="str">
        <f>HYPERLINK("http://mcgill.on.worldcat.org/oclc/4820107","Catalog Record")</f>
        <v>Catalog Record</v>
      </c>
      <c r="AW4186" s="6" t="str">
        <f>HYPERLINK("http://www.worldcat.org/oclc/4820107","WorldCat Record")</f>
        <v>WorldCat Record</v>
      </c>
      <c r="AX4186" s="3" t="s">
        <v>41073</v>
      </c>
      <c r="AY4186" s="3" t="s">
        <v>41074</v>
      </c>
      <c r="AZ4186" s="3" t="s">
        <v>41075</v>
      </c>
      <c r="BA4186" s="3" t="s">
        <v>41075</v>
      </c>
      <c r="BB4186" s="3" t="s">
        <v>41076</v>
      </c>
      <c r="BC4186" s="3" t="s">
        <v>77</v>
      </c>
      <c r="BD4186" s="3" t="s">
        <v>78</v>
      </c>
      <c r="BF4186" s="3" t="s">
        <v>41076</v>
      </c>
      <c r="BG4186" s="3" t="s">
        <v>41077</v>
      </c>
      <c r="BH4186">
        <f t="shared" si="115"/>
        <v>0</v>
      </c>
    </row>
    <row r="4187" spans="1:60" ht="58" x14ac:dyDescent="0.35">
      <c r="A4187" s="2" t="s">
        <v>6202</v>
      </c>
      <c r="B4187" s="2" t="s">
        <v>6203</v>
      </c>
      <c r="C4187" s="2" t="s">
        <v>41078</v>
      </c>
      <c r="D4187" s="2" t="s">
        <v>41079</v>
      </c>
      <c r="E4187" s="2" t="s">
        <v>41080</v>
      </c>
      <c r="G4187" s="3" t="s">
        <v>64</v>
      </c>
      <c r="I4187" s="3" t="s">
        <v>64</v>
      </c>
      <c r="J4187" s="3" t="s">
        <v>64</v>
      </c>
      <c r="K4187" s="3" t="s">
        <v>65</v>
      </c>
      <c r="L4187" s="2" t="s">
        <v>10560</v>
      </c>
      <c r="M4187" s="2" t="s">
        <v>41081</v>
      </c>
      <c r="N4187" s="3" t="s">
        <v>3047</v>
      </c>
      <c r="P4187" s="3" t="s">
        <v>102</v>
      </c>
      <c r="R4187" s="3" t="s">
        <v>70</v>
      </c>
      <c r="S4187" s="4">
        <v>2</v>
      </c>
      <c r="T4187" s="4">
        <v>2</v>
      </c>
      <c r="U4187" s="5" t="s">
        <v>14111</v>
      </c>
      <c r="V4187" s="5" t="s">
        <v>14111</v>
      </c>
      <c r="W4187" s="5" t="s">
        <v>72</v>
      </c>
      <c r="X4187" s="5" t="s">
        <v>72</v>
      </c>
      <c r="Y4187" s="4">
        <v>295</v>
      </c>
      <c r="Z4187" s="4">
        <v>22</v>
      </c>
      <c r="AA4187" s="4">
        <v>23</v>
      </c>
      <c r="AB4187" s="4">
        <v>2</v>
      </c>
      <c r="AC4187" s="4">
        <v>3</v>
      </c>
      <c r="AD4187" s="4">
        <v>105</v>
      </c>
      <c r="AE4187" s="4">
        <v>106</v>
      </c>
      <c r="AF4187" s="4">
        <v>0</v>
      </c>
      <c r="AG4187" s="4">
        <v>1</v>
      </c>
      <c r="AH4187" s="4">
        <v>95</v>
      </c>
      <c r="AI4187" s="4">
        <v>96</v>
      </c>
      <c r="AJ4187" s="4">
        <v>14</v>
      </c>
      <c r="AK4187" s="4">
        <v>15</v>
      </c>
      <c r="AL4187" s="4">
        <v>53</v>
      </c>
      <c r="AM4187" s="4">
        <v>53</v>
      </c>
      <c r="AN4187" s="4">
        <v>0</v>
      </c>
      <c r="AO4187" s="4">
        <v>0</v>
      </c>
      <c r="AP4187" s="4">
        <v>16</v>
      </c>
      <c r="AQ4187" s="4">
        <v>17</v>
      </c>
      <c r="AR4187" s="3" t="s">
        <v>64</v>
      </c>
      <c r="AS4187" s="3" t="s">
        <v>64</v>
      </c>
      <c r="AT4187" s="3" t="s">
        <v>64</v>
      </c>
      <c r="AV4187" s="6" t="str">
        <f>HYPERLINK("http://mcgill.on.worldcat.org/oclc/15519870","Catalog Record")</f>
        <v>Catalog Record</v>
      </c>
      <c r="AW4187" s="6" t="str">
        <f>HYPERLINK("http://www.worldcat.org/oclc/15519870","WorldCat Record")</f>
        <v>WorldCat Record</v>
      </c>
      <c r="AX4187" s="3" t="s">
        <v>41082</v>
      </c>
      <c r="AY4187" s="3" t="s">
        <v>41083</v>
      </c>
      <c r="AZ4187" s="3" t="s">
        <v>41084</v>
      </c>
      <c r="BA4187" s="3" t="s">
        <v>41084</v>
      </c>
      <c r="BB4187" s="3" t="s">
        <v>41085</v>
      </c>
      <c r="BC4187" s="3" t="s">
        <v>77</v>
      </c>
      <c r="BD4187" s="3" t="s">
        <v>40037</v>
      </c>
      <c r="BE4187" s="3" t="s">
        <v>41086</v>
      </c>
      <c r="BF4187" s="3" t="s">
        <v>41085</v>
      </c>
      <c r="BG4187" s="3" t="s">
        <v>41087</v>
      </c>
      <c r="BH4187">
        <f t="shared" si="115"/>
        <v>0</v>
      </c>
    </row>
    <row r="4188" spans="1:60" ht="58" x14ac:dyDescent="0.35">
      <c r="A4188" s="2" t="s">
        <v>59</v>
      </c>
      <c r="B4188" s="2" t="s">
        <v>60</v>
      </c>
      <c r="C4188" s="2" t="s">
        <v>41088</v>
      </c>
      <c r="D4188" s="2" t="s">
        <v>41089</v>
      </c>
      <c r="E4188" s="2" t="s">
        <v>41090</v>
      </c>
      <c r="G4188" s="3" t="s">
        <v>64</v>
      </c>
      <c r="I4188" s="3" t="s">
        <v>64</v>
      </c>
      <c r="J4188" s="3" t="s">
        <v>64</v>
      </c>
      <c r="K4188" s="3" t="s">
        <v>65</v>
      </c>
      <c r="L4188" s="2" t="s">
        <v>41091</v>
      </c>
      <c r="M4188" s="2" t="s">
        <v>41092</v>
      </c>
      <c r="N4188" s="3" t="s">
        <v>434</v>
      </c>
      <c r="P4188" s="3" t="s">
        <v>102</v>
      </c>
      <c r="R4188" s="3" t="s">
        <v>70</v>
      </c>
      <c r="S4188" s="4">
        <v>2</v>
      </c>
      <c r="T4188" s="4">
        <v>2</v>
      </c>
      <c r="U4188" s="5" t="s">
        <v>12344</v>
      </c>
      <c r="V4188" s="5" t="s">
        <v>12344</v>
      </c>
      <c r="W4188" s="5" t="s">
        <v>72</v>
      </c>
      <c r="X4188" s="5" t="s">
        <v>72</v>
      </c>
      <c r="Y4188" s="4">
        <v>32</v>
      </c>
      <c r="Z4188" s="4">
        <v>1</v>
      </c>
      <c r="AA4188" s="4">
        <v>11</v>
      </c>
      <c r="AB4188" s="4">
        <v>1</v>
      </c>
      <c r="AC4188" s="4">
        <v>1</v>
      </c>
      <c r="AD4188" s="4">
        <v>0</v>
      </c>
      <c r="AE4188" s="4">
        <v>34</v>
      </c>
      <c r="AF4188" s="4">
        <v>0</v>
      </c>
      <c r="AG4188" s="4">
        <v>0</v>
      </c>
      <c r="AH4188" s="4">
        <v>0</v>
      </c>
      <c r="AI4188" s="4">
        <v>31</v>
      </c>
      <c r="AJ4188" s="4">
        <v>0</v>
      </c>
      <c r="AK4188" s="4">
        <v>5</v>
      </c>
      <c r="AL4188" s="4">
        <v>0</v>
      </c>
      <c r="AM4188" s="4">
        <v>22</v>
      </c>
      <c r="AN4188" s="4">
        <v>0</v>
      </c>
      <c r="AO4188" s="4">
        <v>5</v>
      </c>
      <c r="AP4188" s="4">
        <v>0</v>
      </c>
      <c r="AQ4188" s="4">
        <v>5</v>
      </c>
      <c r="AR4188" s="3" t="s">
        <v>64</v>
      </c>
      <c r="AS4188" s="3" t="s">
        <v>64</v>
      </c>
      <c r="AT4188" s="3" t="s">
        <v>64</v>
      </c>
      <c r="AV4188" s="6" t="str">
        <f>HYPERLINK("http://mcgill.on.worldcat.org/oclc/61424324","Catalog Record")</f>
        <v>Catalog Record</v>
      </c>
      <c r="AW4188" s="6" t="str">
        <f>HYPERLINK("http://www.worldcat.org/oclc/61424324","WorldCat Record")</f>
        <v>WorldCat Record</v>
      </c>
      <c r="AX4188" s="3" t="s">
        <v>41093</v>
      </c>
      <c r="AY4188" s="3" t="s">
        <v>41094</v>
      </c>
      <c r="AZ4188" s="3" t="s">
        <v>41095</v>
      </c>
      <c r="BA4188" s="3" t="s">
        <v>41095</v>
      </c>
      <c r="BB4188" s="3" t="s">
        <v>41096</v>
      </c>
      <c r="BC4188" s="3" t="s">
        <v>77</v>
      </c>
      <c r="BD4188" s="3" t="s">
        <v>78</v>
      </c>
      <c r="BE4188" s="3" t="s">
        <v>41097</v>
      </c>
      <c r="BF4188" s="3" t="s">
        <v>41096</v>
      </c>
      <c r="BG4188" s="3" t="s">
        <v>41098</v>
      </c>
      <c r="BH4188">
        <f t="shared" si="115"/>
        <v>0</v>
      </c>
    </row>
    <row r="4189" spans="1:60" ht="58" x14ac:dyDescent="0.35">
      <c r="A4189" s="2" t="s">
        <v>6202</v>
      </c>
      <c r="B4189" s="2" t="s">
        <v>6203</v>
      </c>
      <c r="C4189" s="2" t="s">
        <v>41099</v>
      </c>
      <c r="D4189" s="2" t="s">
        <v>41100</v>
      </c>
      <c r="E4189" s="2" t="s">
        <v>41101</v>
      </c>
      <c r="G4189" s="3" t="s">
        <v>64</v>
      </c>
      <c r="I4189" s="3" t="s">
        <v>64</v>
      </c>
      <c r="J4189" s="3" t="s">
        <v>64</v>
      </c>
      <c r="K4189" s="3" t="s">
        <v>65</v>
      </c>
      <c r="L4189" s="2" t="s">
        <v>41102</v>
      </c>
      <c r="M4189" s="2" t="s">
        <v>3152</v>
      </c>
      <c r="N4189" s="3" t="s">
        <v>434</v>
      </c>
      <c r="P4189" s="3" t="s">
        <v>102</v>
      </c>
      <c r="R4189" s="3" t="s">
        <v>70</v>
      </c>
      <c r="S4189" s="4">
        <v>4</v>
      </c>
      <c r="T4189" s="4">
        <v>4</v>
      </c>
      <c r="U4189" s="5" t="s">
        <v>911</v>
      </c>
      <c r="V4189" s="5" t="s">
        <v>911</v>
      </c>
      <c r="W4189" s="5" t="s">
        <v>72</v>
      </c>
      <c r="X4189" s="5" t="s">
        <v>72</v>
      </c>
      <c r="Y4189" s="4">
        <v>196</v>
      </c>
      <c r="Z4189" s="4">
        <v>24</v>
      </c>
      <c r="AA4189" s="4">
        <v>37</v>
      </c>
      <c r="AB4189" s="4">
        <v>2</v>
      </c>
      <c r="AC4189" s="4">
        <v>5</v>
      </c>
      <c r="AD4189" s="4">
        <v>81</v>
      </c>
      <c r="AE4189" s="4">
        <v>101</v>
      </c>
      <c r="AF4189" s="4">
        <v>1</v>
      </c>
      <c r="AG4189" s="4">
        <v>2</v>
      </c>
      <c r="AH4189" s="4">
        <v>69</v>
      </c>
      <c r="AI4189" s="4">
        <v>83</v>
      </c>
      <c r="AJ4189" s="4">
        <v>13</v>
      </c>
      <c r="AK4189" s="4">
        <v>16</v>
      </c>
      <c r="AL4189" s="4">
        <v>47</v>
      </c>
      <c r="AM4189" s="4">
        <v>51</v>
      </c>
      <c r="AN4189" s="4">
        <v>0</v>
      </c>
      <c r="AO4189" s="4">
        <v>0</v>
      </c>
      <c r="AP4189" s="4">
        <v>18</v>
      </c>
      <c r="AQ4189" s="4">
        <v>25</v>
      </c>
      <c r="AR4189" s="3" t="s">
        <v>64</v>
      </c>
      <c r="AS4189" s="3" t="s">
        <v>64</v>
      </c>
      <c r="AT4189" s="3" t="s">
        <v>128</v>
      </c>
      <c r="AU4189" s="6" t="str">
        <f>HYPERLINK("http://catalog.hathitrust.org/Record/005093826","HathiTrust Record")</f>
        <v>HathiTrust Record</v>
      </c>
      <c r="AV4189" s="6" t="str">
        <f>HYPERLINK("http://mcgill.on.worldcat.org/oclc/56645706","Catalog Record")</f>
        <v>Catalog Record</v>
      </c>
      <c r="AW4189" s="6" t="str">
        <f>HYPERLINK("http://www.worldcat.org/oclc/56645706","WorldCat Record")</f>
        <v>WorldCat Record</v>
      </c>
      <c r="AX4189" s="3" t="s">
        <v>41103</v>
      </c>
      <c r="AY4189" s="3" t="s">
        <v>41104</v>
      </c>
      <c r="AZ4189" s="3" t="s">
        <v>41105</v>
      </c>
      <c r="BA4189" s="3" t="s">
        <v>41105</v>
      </c>
      <c r="BB4189" s="3" t="s">
        <v>41106</v>
      </c>
      <c r="BC4189" s="3" t="s">
        <v>77</v>
      </c>
      <c r="BD4189" s="3" t="s">
        <v>78</v>
      </c>
      <c r="BE4189" s="3" t="s">
        <v>41107</v>
      </c>
      <c r="BF4189" s="3" t="s">
        <v>41106</v>
      </c>
      <c r="BG4189" s="3" t="s">
        <v>41108</v>
      </c>
      <c r="BH4189">
        <f t="shared" si="115"/>
        <v>0</v>
      </c>
    </row>
    <row r="4190" spans="1:60" ht="58" x14ac:dyDescent="0.35">
      <c r="A4190" s="2" t="s">
        <v>6202</v>
      </c>
      <c r="B4190" s="2" t="s">
        <v>6203</v>
      </c>
      <c r="C4190" s="2" t="s">
        <v>41109</v>
      </c>
      <c r="D4190" s="2" t="s">
        <v>41110</v>
      </c>
      <c r="E4190" s="2" t="s">
        <v>41111</v>
      </c>
      <c r="G4190" s="3" t="s">
        <v>64</v>
      </c>
      <c r="I4190" s="3" t="s">
        <v>64</v>
      </c>
      <c r="J4190" s="3" t="s">
        <v>64</v>
      </c>
      <c r="K4190" s="3" t="s">
        <v>65</v>
      </c>
      <c r="L4190" s="2" t="s">
        <v>41112</v>
      </c>
      <c r="M4190" s="2" t="s">
        <v>41113</v>
      </c>
      <c r="N4190" s="3" t="s">
        <v>3047</v>
      </c>
      <c r="P4190" s="3" t="s">
        <v>102</v>
      </c>
      <c r="Q4190" s="2" t="s">
        <v>41114</v>
      </c>
      <c r="R4190" s="3" t="s">
        <v>70</v>
      </c>
      <c r="S4190" s="4">
        <v>1</v>
      </c>
      <c r="T4190" s="4">
        <v>1</v>
      </c>
      <c r="U4190" s="5" t="s">
        <v>41115</v>
      </c>
      <c r="V4190" s="5" t="s">
        <v>41115</v>
      </c>
      <c r="W4190" s="5" t="s">
        <v>72</v>
      </c>
      <c r="X4190" s="5" t="s">
        <v>72</v>
      </c>
      <c r="Y4190" s="4">
        <v>290</v>
      </c>
      <c r="Z4190" s="4">
        <v>22</v>
      </c>
      <c r="AA4190" s="4">
        <v>24</v>
      </c>
      <c r="AB4190" s="4">
        <v>1</v>
      </c>
      <c r="AC4190" s="4">
        <v>3</v>
      </c>
      <c r="AD4190" s="4">
        <v>102</v>
      </c>
      <c r="AE4190" s="4">
        <v>104</v>
      </c>
      <c r="AF4190" s="4">
        <v>0</v>
      </c>
      <c r="AG4190" s="4">
        <v>2</v>
      </c>
      <c r="AH4190" s="4">
        <v>89</v>
      </c>
      <c r="AI4190" s="4">
        <v>90</v>
      </c>
      <c r="AJ4190" s="4">
        <v>16</v>
      </c>
      <c r="AK4190" s="4">
        <v>18</v>
      </c>
      <c r="AL4190" s="4">
        <v>49</v>
      </c>
      <c r="AM4190" s="4">
        <v>49</v>
      </c>
      <c r="AN4190" s="4">
        <v>0</v>
      </c>
      <c r="AO4190" s="4">
        <v>0</v>
      </c>
      <c r="AP4190" s="4">
        <v>20</v>
      </c>
      <c r="AQ4190" s="4">
        <v>21</v>
      </c>
      <c r="AR4190" s="3" t="s">
        <v>64</v>
      </c>
      <c r="AS4190" s="3" t="s">
        <v>64</v>
      </c>
      <c r="AT4190" s="3" t="s">
        <v>64</v>
      </c>
      <c r="AV4190" s="6" t="str">
        <f>HYPERLINK("http://mcgill.on.worldcat.org/oclc/15107033","Catalog Record")</f>
        <v>Catalog Record</v>
      </c>
      <c r="AW4190" s="6" t="str">
        <f>HYPERLINK("http://www.worldcat.org/oclc/15107033","WorldCat Record")</f>
        <v>WorldCat Record</v>
      </c>
      <c r="AX4190" s="3" t="s">
        <v>41116</v>
      </c>
      <c r="AY4190" s="3" t="s">
        <v>41117</v>
      </c>
      <c r="AZ4190" s="3" t="s">
        <v>41118</v>
      </c>
      <c r="BA4190" s="3" t="s">
        <v>41118</v>
      </c>
      <c r="BB4190" s="3" t="s">
        <v>41119</v>
      </c>
      <c r="BC4190" s="3" t="s">
        <v>77</v>
      </c>
      <c r="BD4190" s="3" t="s">
        <v>78</v>
      </c>
      <c r="BE4190" s="3" t="s">
        <v>41120</v>
      </c>
      <c r="BF4190" s="3" t="s">
        <v>41119</v>
      </c>
      <c r="BG4190" s="3" t="s">
        <v>41121</v>
      </c>
      <c r="BH4190">
        <f t="shared" si="115"/>
        <v>0</v>
      </c>
    </row>
    <row r="4191" spans="1:60" ht="58" x14ac:dyDescent="0.35">
      <c r="A4191" s="2" t="s">
        <v>6202</v>
      </c>
      <c r="B4191" s="2" t="s">
        <v>6203</v>
      </c>
      <c r="C4191" s="2" t="s">
        <v>41122</v>
      </c>
      <c r="D4191" s="2" t="s">
        <v>41123</v>
      </c>
      <c r="E4191" s="2" t="s">
        <v>41124</v>
      </c>
      <c r="G4191" s="3" t="s">
        <v>64</v>
      </c>
      <c r="I4191" s="3" t="s">
        <v>64</v>
      </c>
      <c r="J4191" s="3" t="s">
        <v>64</v>
      </c>
      <c r="K4191" s="3" t="s">
        <v>65</v>
      </c>
      <c r="L4191" s="2" t="s">
        <v>41125</v>
      </c>
      <c r="M4191" s="2" t="s">
        <v>24405</v>
      </c>
      <c r="N4191" s="3" t="s">
        <v>3428</v>
      </c>
      <c r="O4191" s="2" t="s">
        <v>2994</v>
      </c>
      <c r="P4191" s="3" t="s">
        <v>102</v>
      </c>
      <c r="Q4191" s="2" t="s">
        <v>41126</v>
      </c>
      <c r="R4191" s="3" t="s">
        <v>70</v>
      </c>
      <c r="S4191" s="4">
        <v>2</v>
      </c>
      <c r="T4191" s="4">
        <v>2</v>
      </c>
      <c r="U4191" s="5" t="s">
        <v>3430</v>
      </c>
      <c r="V4191" s="5" t="s">
        <v>3430</v>
      </c>
      <c r="W4191" s="5" t="s">
        <v>72</v>
      </c>
      <c r="X4191" s="5" t="s">
        <v>72</v>
      </c>
      <c r="Y4191" s="4">
        <v>244</v>
      </c>
      <c r="Z4191" s="4">
        <v>11</v>
      </c>
      <c r="AA4191" s="4">
        <v>25</v>
      </c>
      <c r="AB4191" s="4">
        <v>1</v>
      </c>
      <c r="AC4191" s="4">
        <v>4</v>
      </c>
      <c r="AD4191" s="4">
        <v>69</v>
      </c>
      <c r="AE4191" s="4">
        <v>102</v>
      </c>
      <c r="AF4191" s="4">
        <v>0</v>
      </c>
      <c r="AG4191" s="4">
        <v>3</v>
      </c>
      <c r="AH4191" s="4">
        <v>66</v>
      </c>
      <c r="AI4191" s="4">
        <v>89</v>
      </c>
      <c r="AJ4191" s="4">
        <v>7</v>
      </c>
      <c r="AK4191" s="4">
        <v>17</v>
      </c>
      <c r="AL4191" s="4">
        <v>41</v>
      </c>
      <c r="AM4191" s="4">
        <v>52</v>
      </c>
      <c r="AN4191" s="4">
        <v>0</v>
      </c>
      <c r="AO4191" s="4">
        <v>0</v>
      </c>
      <c r="AP4191" s="4">
        <v>7</v>
      </c>
      <c r="AQ4191" s="4">
        <v>20</v>
      </c>
      <c r="AR4191" s="3" t="s">
        <v>64</v>
      </c>
      <c r="AS4191" s="3" t="s">
        <v>64</v>
      </c>
      <c r="AT4191" s="3" t="s">
        <v>64</v>
      </c>
      <c r="AV4191" s="6" t="str">
        <f>HYPERLINK("http://mcgill.on.worldcat.org/oclc/30665710","Catalog Record")</f>
        <v>Catalog Record</v>
      </c>
      <c r="AW4191" s="6" t="str">
        <f>HYPERLINK("http://www.worldcat.org/oclc/30665710","WorldCat Record")</f>
        <v>WorldCat Record</v>
      </c>
      <c r="AX4191" s="3" t="s">
        <v>41127</v>
      </c>
      <c r="AY4191" s="3" t="s">
        <v>41128</v>
      </c>
      <c r="AZ4191" s="3" t="s">
        <v>41129</v>
      </c>
      <c r="BA4191" s="3" t="s">
        <v>41129</v>
      </c>
      <c r="BB4191" s="3" t="s">
        <v>41130</v>
      </c>
      <c r="BC4191" s="3" t="s">
        <v>77</v>
      </c>
      <c r="BD4191" s="3" t="s">
        <v>78</v>
      </c>
      <c r="BE4191" s="3" t="s">
        <v>41131</v>
      </c>
      <c r="BF4191" s="3" t="s">
        <v>41130</v>
      </c>
      <c r="BG4191" s="3" t="s">
        <v>41132</v>
      </c>
      <c r="BH4191">
        <f t="shared" si="115"/>
        <v>0</v>
      </c>
    </row>
    <row r="4192" spans="1:60" ht="72.5" x14ac:dyDescent="0.35">
      <c r="A4192" s="2" t="s">
        <v>59</v>
      </c>
      <c r="B4192" s="2" t="s">
        <v>60</v>
      </c>
      <c r="C4192" s="2" t="s">
        <v>41133</v>
      </c>
      <c r="D4192" s="2" t="s">
        <v>41134</v>
      </c>
      <c r="E4192" s="2" t="s">
        <v>41135</v>
      </c>
      <c r="F4192" s="3" t="s">
        <v>41136</v>
      </c>
      <c r="G4192" s="3" t="s">
        <v>128</v>
      </c>
      <c r="I4192" s="3" t="s">
        <v>64</v>
      </c>
      <c r="J4192" s="3" t="s">
        <v>64</v>
      </c>
      <c r="K4192" s="3" t="s">
        <v>65</v>
      </c>
      <c r="L4192" s="2" t="s">
        <v>41137</v>
      </c>
      <c r="M4192" s="2" t="s">
        <v>41138</v>
      </c>
      <c r="N4192" s="3" t="s">
        <v>511</v>
      </c>
      <c r="P4192" s="3" t="s">
        <v>102</v>
      </c>
      <c r="R4192" s="3" t="s">
        <v>70</v>
      </c>
      <c r="S4192" s="4">
        <v>0</v>
      </c>
      <c r="T4192" s="4">
        <v>0</v>
      </c>
      <c r="W4192" s="5" t="s">
        <v>72</v>
      </c>
      <c r="X4192" s="5" t="s">
        <v>72</v>
      </c>
      <c r="Y4192" s="4">
        <v>4</v>
      </c>
      <c r="Z4192" s="4">
        <v>1</v>
      </c>
      <c r="AA4192" s="4">
        <v>1</v>
      </c>
      <c r="AB4192" s="4">
        <v>1</v>
      </c>
      <c r="AC4192" s="4">
        <v>1</v>
      </c>
      <c r="AD4192" s="4">
        <v>1</v>
      </c>
      <c r="AE4192" s="4">
        <v>1</v>
      </c>
      <c r="AF4192" s="4">
        <v>0</v>
      </c>
      <c r="AG4192" s="4">
        <v>0</v>
      </c>
      <c r="AH4192" s="4">
        <v>1</v>
      </c>
      <c r="AI4192" s="4">
        <v>1</v>
      </c>
      <c r="AJ4192" s="4">
        <v>0</v>
      </c>
      <c r="AK4192" s="4">
        <v>0</v>
      </c>
      <c r="AL4192" s="4">
        <v>1</v>
      </c>
      <c r="AM4192" s="4">
        <v>1</v>
      </c>
      <c r="AN4192" s="4">
        <v>0</v>
      </c>
      <c r="AO4192" s="4">
        <v>0</v>
      </c>
      <c r="AP4192" s="4">
        <v>0</v>
      </c>
      <c r="AQ4192" s="4">
        <v>0</v>
      </c>
      <c r="AR4192" s="3" t="s">
        <v>64</v>
      </c>
      <c r="AS4192" s="3" t="s">
        <v>64</v>
      </c>
      <c r="AT4192" s="3" t="s">
        <v>64</v>
      </c>
      <c r="AV4192" s="6" t="str">
        <f>HYPERLINK("http://mcgill.on.worldcat.org/oclc/535497718","Catalog Record")</f>
        <v>Catalog Record</v>
      </c>
      <c r="AW4192" s="6" t="str">
        <f>HYPERLINK("http://www.worldcat.org/oclc/535497718","WorldCat Record")</f>
        <v>WorldCat Record</v>
      </c>
      <c r="AX4192" s="3" t="s">
        <v>41139</v>
      </c>
      <c r="AY4192" s="3" t="s">
        <v>41140</v>
      </c>
      <c r="AZ4192" s="3" t="s">
        <v>41141</v>
      </c>
      <c r="BA4192" s="3" t="s">
        <v>41141</v>
      </c>
      <c r="BB4192" s="3" t="s">
        <v>41142</v>
      </c>
      <c r="BC4192" s="3" t="s">
        <v>77</v>
      </c>
      <c r="BD4192" s="3" t="s">
        <v>78</v>
      </c>
      <c r="BF4192" s="3" t="s">
        <v>41142</v>
      </c>
      <c r="BG4192" s="3" t="s">
        <v>41143</v>
      </c>
      <c r="BH4192">
        <f t="shared" si="115"/>
        <v>0</v>
      </c>
    </row>
    <row r="4193" spans="1:60" ht="72.5" x14ac:dyDescent="0.35">
      <c r="A4193" s="2" t="s">
        <v>59</v>
      </c>
      <c r="B4193" s="2" t="s">
        <v>60</v>
      </c>
      <c r="C4193" s="2" t="s">
        <v>41133</v>
      </c>
      <c r="D4193" s="2" t="s">
        <v>41134</v>
      </c>
      <c r="E4193" s="2" t="s">
        <v>41135</v>
      </c>
      <c r="F4193" s="3" t="s">
        <v>41144</v>
      </c>
      <c r="G4193" s="3" t="s">
        <v>128</v>
      </c>
      <c r="I4193" s="3" t="s">
        <v>64</v>
      </c>
      <c r="J4193" s="3" t="s">
        <v>64</v>
      </c>
      <c r="K4193" s="3" t="s">
        <v>65</v>
      </c>
      <c r="L4193" s="2" t="s">
        <v>41137</v>
      </c>
      <c r="M4193" s="2" t="s">
        <v>41138</v>
      </c>
      <c r="N4193" s="3" t="s">
        <v>511</v>
      </c>
      <c r="P4193" s="3" t="s">
        <v>102</v>
      </c>
      <c r="R4193" s="3" t="s">
        <v>70</v>
      </c>
      <c r="S4193" s="4">
        <v>0</v>
      </c>
      <c r="T4193" s="4">
        <v>0</v>
      </c>
      <c r="W4193" s="5" t="s">
        <v>72</v>
      </c>
      <c r="X4193" s="5" t="s">
        <v>72</v>
      </c>
      <c r="Y4193" s="4">
        <v>4</v>
      </c>
      <c r="Z4193" s="4">
        <v>1</v>
      </c>
      <c r="AA4193" s="4">
        <v>1</v>
      </c>
      <c r="AB4193" s="4">
        <v>1</v>
      </c>
      <c r="AC4193" s="4">
        <v>1</v>
      </c>
      <c r="AD4193" s="4">
        <v>1</v>
      </c>
      <c r="AE4193" s="4">
        <v>1</v>
      </c>
      <c r="AF4193" s="4">
        <v>0</v>
      </c>
      <c r="AG4193" s="4">
        <v>0</v>
      </c>
      <c r="AH4193" s="4">
        <v>1</v>
      </c>
      <c r="AI4193" s="4">
        <v>1</v>
      </c>
      <c r="AJ4193" s="4">
        <v>0</v>
      </c>
      <c r="AK4193" s="4">
        <v>0</v>
      </c>
      <c r="AL4193" s="4">
        <v>1</v>
      </c>
      <c r="AM4193" s="4">
        <v>1</v>
      </c>
      <c r="AN4193" s="4">
        <v>0</v>
      </c>
      <c r="AO4193" s="4">
        <v>0</v>
      </c>
      <c r="AP4193" s="4">
        <v>0</v>
      </c>
      <c r="AQ4193" s="4">
        <v>0</v>
      </c>
      <c r="AR4193" s="3" t="s">
        <v>64</v>
      </c>
      <c r="AS4193" s="3" t="s">
        <v>64</v>
      </c>
      <c r="AT4193" s="3" t="s">
        <v>64</v>
      </c>
      <c r="AV4193" s="6" t="str">
        <f>HYPERLINK("http://mcgill.on.worldcat.org/oclc/535497718","Catalog Record")</f>
        <v>Catalog Record</v>
      </c>
      <c r="AW4193" s="6" t="str">
        <f>HYPERLINK("http://www.worldcat.org/oclc/535497718","WorldCat Record")</f>
        <v>WorldCat Record</v>
      </c>
      <c r="AX4193" s="3" t="s">
        <v>41139</v>
      </c>
      <c r="AY4193" s="3" t="s">
        <v>41140</v>
      </c>
      <c r="AZ4193" s="3" t="s">
        <v>41141</v>
      </c>
      <c r="BA4193" s="3" t="s">
        <v>41141</v>
      </c>
      <c r="BB4193" s="3" t="s">
        <v>41145</v>
      </c>
      <c r="BC4193" s="3" t="s">
        <v>77</v>
      </c>
      <c r="BD4193" s="3" t="s">
        <v>78</v>
      </c>
      <c r="BF4193" s="3" t="s">
        <v>41145</v>
      </c>
      <c r="BG4193" s="3" t="s">
        <v>41146</v>
      </c>
      <c r="BH4193">
        <f t="shared" si="115"/>
        <v>0</v>
      </c>
    </row>
    <row r="4194" spans="1:60" ht="72.5" x14ac:dyDescent="0.35">
      <c r="A4194" s="2" t="s">
        <v>59</v>
      </c>
      <c r="B4194" s="2" t="s">
        <v>60</v>
      </c>
      <c r="C4194" s="2" t="s">
        <v>41147</v>
      </c>
      <c r="D4194" s="2" t="s">
        <v>41148</v>
      </c>
      <c r="E4194" s="2" t="s">
        <v>41149</v>
      </c>
      <c r="F4194" s="3" t="s">
        <v>41150</v>
      </c>
      <c r="G4194" s="3" t="s">
        <v>64</v>
      </c>
      <c r="I4194" s="3" t="s">
        <v>64</v>
      </c>
      <c r="J4194" s="3" t="s">
        <v>64</v>
      </c>
      <c r="K4194" s="3" t="s">
        <v>65</v>
      </c>
      <c r="L4194" s="2" t="s">
        <v>36326</v>
      </c>
      <c r="M4194" s="2" t="s">
        <v>41151</v>
      </c>
      <c r="N4194" s="3" t="s">
        <v>326</v>
      </c>
      <c r="P4194" s="3" t="s">
        <v>102</v>
      </c>
      <c r="Q4194" s="2" t="s">
        <v>41152</v>
      </c>
      <c r="R4194" s="3" t="s">
        <v>70</v>
      </c>
      <c r="S4194" s="4">
        <v>0</v>
      </c>
      <c r="T4194" s="4">
        <v>0</v>
      </c>
      <c r="W4194" s="5" t="s">
        <v>72</v>
      </c>
      <c r="X4194" s="5" t="s">
        <v>72</v>
      </c>
      <c r="Y4194" s="4">
        <v>2</v>
      </c>
      <c r="Z4194" s="4">
        <v>1</v>
      </c>
      <c r="AA4194" s="4">
        <v>1</v>
      </c>
      <c r="AB4194" s="4">
        <v>1</v>
      </c>
      <c r="AC4194" s="4">
        <v>1</v>
      </c>
      <c r="AD4194" s="4">
        <v>1</v>
      </c>
      <c r="AE4194" s="4">
        <v>1</v>
      </c>
      <c r="AF4194" s="4">
        <v>0</v>
      </c>
      <c r="AG4194" s="4">
        <v>0</v>
      </c>
      <c r="AH4194" s="4">
        <v>1</v>
      </c>
      <c r="AI4194" s="4">
        <v>1</v>
      </c>
      <c r="AJ4194" s="4">
        <v>0</v>
      </c>
      <c r="AK4194" s="4">
        <v>0</v>
      </c>
      <c r="AL4194" s="4">
        <v>1</v>
      </c>
      <c r="AM4194" s="4">
        <v>1</v>
      </c>
      <c r="AN4194" s="4">
        <v>0</v>
      </c>
      <c r="AO4194" s="4">
        <v>0</v>
      </c>
      <c r="AP4194" s="4">
        <v>0</v>
      </c>
      <c r="AQ4194" s="4">
        <v>0</v>
      </c>
      <c r="AR4194" s="3" t="s">
        <v>64</v>
      </c>
      <c r="AS4194" s="3" t="s">
        <v>64</v>
      </c>
      <c r="AT4194" s="3" t="s">
        <v>64</v>
      </c>
      <c r="AV4194" s="6" t="str">
        <f>HYPERLINK("http://mcgill.on.worldcat.org/oclc/765904846","Catalog Record")</f>
        <v>Catalog Record</v>
      </c>
      <c r="AW4194" s="6" t="str">
        <f>HYPERLINK("http://www.worldcat.org/oclc/765904846","WorldCat Record")</f>
        <v>WorldCat Record</v>
      </c>
      <c r="AX4194" s="3" t="s">
        <v>41153</v>
      </c>
      <c r="AY4194" s="3" t="s">
        <v>41154</v>
      </c>
      <c r="AZ4194" s="3" t="s">
        <v>41155</v>
      </c>
      <c r="BA4194" s="3" t="s">
        <v>41155</v>
      </c>
      <c r="BB4194" s="3" t="s">
        <v>41156</v>
      </c>
      <c r="BC4194" s="3" t="s">
        <v>77</v>
      </c>
      <c r="BD4194" s="3" t="s">
        <v>78</v>
      </c>
      <c r="BF4194" s="3" t="s">
        <v>41156</v>
      </c>
      <c r="BG4194" s="3" t="s">
        <v>41157</v>
      </c>
      <c r="BH4194">
        <f t="shared" si="115"/>
        <v>0</v>
      </c>
    </row>
    <row r="4195" spans="1:60" ht="58" x14ac:dyDescent="0.35">
      <c r="A4195" s="2" t="s">
        <v>6202</v>
      </c>
      <c r="B4195" s="2" t="s">
        <v>6203</v>
      </c>
      <c r="C4195" s="2" t="s">
        <v>41158</v>
      </c>
      <c r="D4195" s="2" t="s">
        <v>41159</v>
      </c>
      <c r="E4195" s="2" t="s">
        <v>41160</v>
      </c>
      <c r="G4195" s="3" t="s">
        <v>128</v>
      </c>
      <c r="I4195" s="3" t="s">
        <v>64</v>
      </c>
      <c r="J4195" s="3" t="s">
        <v>64</v>
      </c>
      <c r="K4195" s="3" t="s">
        <v>65</v>
      </c>
      <c r="L4195" s="2" t="s">
        <v>41161</v>
      </c>
      <c r="M4195" s="2" t="s">
        <v>41162</v>
      </c>
      <c r="N4195" s="3" t="s">
        <v>511</v>
      </c>
      <c r="P4195" s="3" t="s">
        <v>102</v>
      </c>
      <c r="R4195" s="3" t="s">
        <v>70</v>
      </c>
      <c r="S4195" s="4">
        <v>0</v>
      </c>
      <c r="T4195" s="4">
        <v>0</v>
      </c>
      <c r="W4195" s="5" t="s">
        <v>72</v>
      </c>
      <c r="X4195" s="5" t="s">
        <v>72</v>
      </c>
      <c r="Y4195" s="4">
        <v>76</v>
      </c>
      <c r="Z4195" s="4">
        <v>5</v>
      </c>
      <c r="AA4195" s="4">
        <v>22</v>
      </c>
      <c r="AB4195" s="4">
        <v>2</v>
      </c>
      <c r="AC4195" s="4">
        <v>4</v>
      </c>
      <c r="AD4195" s="4">
        <v>44</v>
      </c>
      <c r="AE4195" s="4">
        <v>69</v>
      </c>
      <c r="AF4195" s="4">
        <v>0</v>
      </c>
      <c r="AG4195" s="4">
        <v>0</v>
      </c>
      <c r="AH4195" s="4">
        <v>42</v>
      </c>
      <c r="AI4195" s="4">
        <v>59</v>
      </c>
      <c r="AJ4195" s="4">
        <v>3</v>
      </c>
      <c r="AK4195" s="4">
        <v>8</v>
      </c>
      <c r="AL4195" s="4">
        <v>32</v>
      </c>
      <c r="AM4195" s="4">
        <v>39</v>
      </c>
      <c r="AN4195" s="4">
        <v>0</v>
      </c>
      <c r="AO4195" s="4">
        <v>0</v>
      </c>
      <c r="AP4195" s="4">
        <v>3</v>
      </c>
      <c r="AQ4195" s="4">
        <v>13</v>
      </c>
      <c r="AR4195" s="3" t="s">
        <v>64</v>
      </c>
      <c r="AS4195" s="3" t="s">
        <v>64</v>
      </c>
      <c r="AT4195" s="3" t="s">
        <v>64</v>
      </c>
      <c r="AV4195" s="6" t="str">
        <f>HYPERLINK("http://mcgill.on.worldcat.org/oclc/351319540","Catalog Record")</f>
        <v>Catalog Record</v>
      </c>
      <c r="AW4195" s="6" t="str">
        <f>HYPERLINK("http://www.worldcat.org/oclc/351319540","WorldCat Record")</f>
        <v>WorldCat Record</v>
      </c>
      <c r="AX4195" s="3" t="s">
        <v>41163</v>
      </c>
      <c r="AY4195" s="3" t="s">
        <v>41164</v>
      </c>
      <c r="AZ4195" s="3" t="s">
        <v>41165</v>
      </c>
      <c r="BA4195" s="3" t="s">
        <v>41165</v>
      </c>
      <c r="BB4195" s="3" t="s">
        <v>41166</v>
      </c>
      <c r="BC4195" s="3" t="s">
        <v>77</v>
      </c>
      <c r="BD4195" s="3" t="s">
        <v>78</v>
      </c>
      <c r="BE4195" s="3" t="s">
        <v>41167</v>
      </c>
      <c r="BF4195" s="3" t="s">
        <v>41166</v>
      </c>
      <c r="BG4195" s="3" t="s">
        <v>41168</v>
      </c>
      <c r="BH4195">
        <f t="shared" si="115"/>
        <v>0</v>
      </c>
    </row>
    <row r="4196" spans="1:60" ht="116" x14ac:dyDescent="0.35">
      <c r="A4196" s="2" t="s">
        <v>59</v>
      </c>
      <c r="B4196" s="2" t="s">
        <v>60</v>
      </c>
      <c r="C4196" s="2" t="s">
        <v>41169</v>
      </c>
      <c r="D4196" s="2" t="s">
        <v>41170</v>
      </c>
      <c r="E4196" s="2" t="s">
        <v>41171</v>
      </c>
      <c r="G4196" s="3" t="s">
        <v>64</v>
      </c>
      <c r="I4196" s="3" t="s">
        <v>64</v>
      </c>
      <c r="J4196" s="3" t="s">
        <v>64</v>
      </c>
      <c r="K4196" s="3" t="s">
        <v>65</v>
      </c>
      <c r="L4196" s="2" t="s">
        <v>41172</v>
      </c>
      <c r="M4196" s="2" t="s">
        <v>4573</v>
      </c>
      <c r="N4196" s="3" t="s">
        <v>511</v>
      </c>
      <c r="O4196" s="2" t="s">
        <v>41173</v>
      </c>
      <c r="P4196" s="3" t="s">
        <v>102</v>
      </c>
      <c r="R4196" s="3" t="s">
        <v>70</v>
      </c>
      <c r="S4196" s="4">
        <v>2</v>
      </c>
      <c r="T4196" s="4">
        <v>2</v>
      </c>
      <c r="U4196" s="5" t="s">
        <v>18836</v>
      </c>
      <c r="V4196" s="5" t="s">
        <v>18836</v>
      </c>
      <c r="W4196" s="5" t="s">
        <v>72</v>
      </c>
      <c r="X4196" s="5" t="s">
        <v>72</v>
      </c>
      <c r="Y4196" s="4">
        <v>85</v>
      </c>
      <c r="Z4196" s="4">
        <v>5</v>
      </c>
      <c r="AA4196" s="4">
        <v>24</v>
      </c>
      <c r="AB4196" s="4">
        <v>1</v>
      </c>
      <c r="AC4196" s="4">
        <v>4</v>
      </c>
      <c r="AD4196" s="4">
        <v>26</v>
      </c>
      <c r="AE4196" s="4">
        <v>59</v>
      </c>
      <c r="AF4196" s="4">
        <v>0</v>
      </c>
      <c r="AG4196" s="4">
        <v>1</v>
      </c>
      <c r="AH4196" s="4">
        <v>24</v>
      </c>
      <c r="AI4196" s="4">
        <v>47</v>
      </c>
      <c r="AJ4196" s="4">
        <v>2</v>
      </c>
      <c r="AK4196" s="4">
        <v>9</v>
      </c>
      <c r="AL4196" s="4">
        <v>19</v>
      </c>
      <c r="AM4196" s="4">
        <v>30</v>
      </c>
      <c r="AN4196" s="4">
        <v>0</v>
      </c>
      <c r="AO4196" s="4">
        <v>0</v>
      </c>
      <c r="AP4196" s="4">
        <v>2</v>
      </c>
      <c r="AQ4196" s="4">
        <v>15</v>
      </c>
      <c r="AR4196" s="3" t="s">
        <v>64</v>
      </c>
      <c r="AS4196" s="3" t="s">
        <v>64</v>
      </c>
      <c r="AT4196" s="3" t="s">
        <v>128</v>
      </c>
      <c r="AU4196" s="6" t="str">
        <f>HYPERLINK("http://catalog.hathitrust.org/Record/011801716","HathiTrust Record")</f>
        <v>HathiTrust Record</v>
      </c>
      <c r="AV4196" s="6" t="str">
        <f>HYPERLINK("http://mcgill.on.worldcat.org/oclc/650953233","Catalog Record")</f>
        <v>Catalog Record</v>
      </c>
      <c r="AW4196" s="6" t="str">
        <f>HYPERLINK("http://www.worldcat.org/oclc/650953233","WorldCat Record")</f>
        <v>WorldCat Record</v>
      </c>
      <c r="AX4196" s="3" t="s">
        <v>41174</v>
      </c>
      <c r="AY4196" s="3" t="s">
        <v>41175</v>
      </c>
      <c r="AZ4196" s="3" t="s">
        <v>41176</v>
      </c>
      <c r="BA4196" s="3" t="s">
        <v>41176</v>
      </c>
      <c r="BB4196" s="3" t="s">
        <v>41177</v>
      </c>
      <c r="BC4196" s="3" t="s">
        <v>77</v>
      </c>
      <c r="BD4196" s="3" t="s">
        <v>78</v>
      </c>
      <c r="BE4196" s="3" t="s">
        <v>41178</v>
      </c>
      <c r="BF4196" s="3" t="s">
        <v>41177</v>
      </c>
      <c r="BG4196" s="3" t="s">
        <v>41179</v>
      </c>
      <c r="BH4196">
        <f t="shared" si="115"/>
        <v>0</v>
      </c>
    </row>
    <row r="4197" spans="1:60" ht="87" x14ac:dyDescent="0.35">
      <c r="A4197" s="2" t="s">
        <v>6202</v>
      </c>
      <c r="B4197" s="2" t="s">
        <v>6203</v>
      </c>
      <c r="C4197" s="2" t="s">
        <v>41180</v>
      </c>
      <c r="D4197" s="2" t="s">
        <v>41181</v>
      </c>
      <c r="E4197" s="2" t="s">
        <v>41182</v>
      </c>
      <c r="F4197" s="3" t="s">
        <v>41183</v>
      </c>
      <c r="G4197" s="3" t="s">
        <v>64</v>
      </c>
      <c r="I4197" s="3" t="s">
        <v>128</v>
      </c>
      <c r="J4197" s="3" t="s">
        <v>64</v>
      </c>
      <c r="K4197" s="3" t="s">
        <v>65</v>
      </c>
      <c r="L4197" s="2" t="s">
        <v>40285</v>
      </c>
      <c r="M4197" s="2" t="s">
        <v>41184</v>
      </c>
      <c r="N4197" s="3" t="s">
        <v>41185</v>
      </c>
      <c r="P4197" s="3" t="s">
        <v>102</v>
      </c>
      <c r="R4197" s="3" t="s">
        <v>70</v>
      </c>
      <c r="S4197" s="4">
        <v>2</v>
      </c>
      <c r="T4197" s="4">
        <v>11</v>
      </c>
      <c r="U4197" s="5" t="s">
        <v>41186</v>
      </c>
      <c r="V4197" s="5" t="s">
        <v>204</v>
      </c>
      <c r="W4197" s="5" t="s">
        <v>72</v>
      </c>
      <c r="X4197" s="5" t="s">
        <v>72</v>
      </c>
      <c r="Y4197" s="4">
        <v>16</v>
      </c>
      <c r="Z4197" s="4">
        <v>3</v>
      </c>
      <c r="AA4197" s="4">
        <v>5</v>
      </c>
      <c r="AB4197" s="4">
        <v>1</v>
      </c>
      <c r="AC4197" s="4">
        <v>2</v>
      </c>
      <c r="AD4197" s="4">
        <v>8</v>
      </c>
      <c r="AE4197" s="4">
        <v>10</v>
      </c>
      <c r="AF4197" s="4">
        <v>0</v>
      </c>
      <c r="AG4197" s="4">
        <v>0</v>
      </c>
      <c r="AH4197" s="4">
        <v>7</v>
      </c>
      <c r="AI4197" s="4">
        <v>8</v>
      </c>
      <c r="AJ4197" s="4">
        <v>1</v>
      </c>
      <c r="AK4197" s="4">
        <v>1</v>
      </c>
      <c r="AL4197" s="4">
        <v>5</v>
      </c>
      <c r="AM4197" s="4">
        <v>5</v>
      </c>
      <c r="AN4197" s="4">
        <v>0</v>
      </c>
      <c r="AO4197" s="4">
        <v>0</v>
      </c>
      <c r="AP4197" s="4">
        <v>1</v>
      </c>
      <c r="AQ4197" s="4">
        <v>2</v>
      </c>
      <c r="AR4197" s="3" t="s">
        <v>64</v>
      </c>
      <c r="AS4197" s="3" t="s">
        <v>64</v>
      </c>
      <c r="AT4197" s="3" t="s">
        <v>64</v>
      </c>
      <c r="AU4197" s="6" t="str">
        <f>HYPERLINK("http://catalog.hathitrust.org/Record/007691403","HathiTrust Record")</f>
        <v>HathiTrust Record</v>
      </c>
      <c r="AV4197" s="6" t="str">
        <f>HYPERLINK("http://mcgill.on.worldcat.org/oclc/4007066","Catalog Record")</f>
        <v>Catalog Record</v>
      </c>
      <c r="AW4197" s="6" t="str">
        <f>HYPERLINK("http://www.worldcat.org/oclc/4007066","WorldCat Record")</f>
        <v>WorldCat Record</v>
      </c>
      <c r="AX4197" s="3" t="s">
        <v>41187</v>
      </c>
      <c r="AY4197" s="3" t="s">
        <v>41188</v>
      </c>
      <c r="AZ4197" s="3" t="s">
        <v>41189</v>
      </c>
      <c r="BA4197" s="3" t="s">
        <v>41189</v>
      </c>
      <c r="BB4197" s="3" t="s">
        <v>41190</v>
      </c>
      <c r="BC4197" s="3" t="s">
        <v>77</v>
      </c>
      <c r="BD4197" s="3" t="s">
        <v>78</v>
      </c>
      <c r="BF4197" s="3" t="s">
        <v>41190</v>
      </c>
      <c r="BG4197" s="3" t="s">
        <v>41191</v>
      </c>
      <c r="BH4197">
        <f t="shared" si="115"/>
        <v>0</v>
      </c>
    </row>
    <row r="4198" spans="1:60" ht="72.5" x14ac:dyDescent="0.35">
      <c r="A4198" s="2" t="s">
        <v>6202</v>
      </c>
      <c r="B4198" s="2" t="s">
        <v>6203</v>
      </c>
      <c r="C4198" s="2" t="s">
        <v>41192</v>
      </c>
      <c r="D4198" s="2" t="s">
        <v>41193</v>
      </c>
      <c r="E4198" s="2" t="s">
        <v>41194</v>
      </c>
      <c r="F4198" s="3" t="s">
        <v>41195</v>
      </c>
      <c r="G4198" s="3" t="s">
        <v>64</v>
      </c>
      <c r="I4198" s="3" t="s">
        <v>128</v>
      </c>
      <c r="J4198" s="3" t="s">
        <v>64</v>
      </c>
      <c r="K4198" s="3" t="s">
        <v>183</v>
      </c>
      <c r="L4198" s="2" t="s">
        <v>41196</v>
      </c>
      <c r="M4198" s="2" t="s">
        <v>41197</v>
      </c>
      <c r="N4198" s="3" t="s">
        <v>9843</v>
      </c>
      <c r="P4198" s="3" t="s">
        <v>102</v>
      </c>
      <c r="R4198" s="3" t="s">
        <v>70</v>
      </c>
      <c r="S4198" s="4">
        <v>2</v>
      </c>
      <c r="T4198" s="4">
        <v>11</v>
      </c>
      <c r="U4198" s="5" t="s">
        <v>41186</v>
      </c>
      <c r="V4198" s="5" t="s">
        <v>204</v>
      </c>
      <c r="W4198" s="5" t="s">
        <v>72</v>
      </c>
      <c r="X4198" s="5" t="s">
        <v>72</v>
      </c>
      <c r="Y4198" s="4">
        <v>24</v>
      </c>
      <c r="Z4198" s="4">
        <v>4</v>
      </c>
      <c r="AA4198" s="4">
        <v>7</v>
      </c>
      <c r="AB4198" s="4">
        <v>1</v>
      </c>
      <c r="AC4198" s="4">
        <v>1</v>
      </c>
      <c r="AD4198" s="4">
        <v>12</v>
      </c>
      <c r="AE4198" s="4">
        <v>17</v>
      </c>
      <c r="AF4198" s="4">
        <v>0</v>
      </c>
      <c r="AG4198" s="4">
        <v>0</v>
      </c>
      <c r="AH4198" s="4">
        <v>11</v>
      </c>
      <c r="AI4198" s="4">
        <v>14</v>
      </c>
      <c r="AJ4198" s="4">
        <v>3</v>
      </c>
      <c r="AK4198" s="4">
        <v>4</v>
      </c>
      <c r="AL4198" s="4">
        <v>7</v>
      </c>
      <c r="AM4198" s="4">
        <v>7</v>
      </c>
      <c r="AN4198" s="4">
        <v>0</v>
      </c>
      <c r="AO4198" s="4">
        <v>0</v>
      </c>
      <c r="AP4198" s="4">
        <v>2</v>
      </c>
      <c r="AQ4198" s="4">
        <v>5</v>
      </c>
      <c r="AR4198" s="3" t="s">
        <v>64</v>
      </c>
      <c r="AS4198" s="3" t="s">
        <v>128</v>
      </c>
      <c r="AT4198" s="3" t="s">
        <v>64</v>
      </c>
      <c r="AU4198" s="6" t="str">
        <f>HYPERLINK("http://catalog.hathitrust.org/Record/001169253","HathiTrust Record")</f>
        <v>HathiTrust Record</v>
      </c>
      <c r="AV4198" s="6" t="str">
        <f>HYPERLINK("http://mcgill.on.worldcat.org/oclc/4615825","Catalog Record")</f>
        <v>Catalog Record</v>
      </c>
      <c r="AW4198" s="6" t="str">
        <f>HYPERLINK("http://www.worldcat.org/oclc/4615825","WorldCat Record")</f>
        <v>WorldCat Record</v>
      </c>
      <c r="AX4198" s="3" t="s">
        <v>41198</v>
      </c>
      <c r="AY4198" s="3" t="s">
        <v>41199</v>
      </c>
      <c r="AZ4198" s="3" t="s">
        <v>41200</v>
      </c>
      <c r="BA4198" s="3" t="s">
        <v>41200</v>
      </c>
      <c r="BB4198" s="3" t="s">
        <v>41201</v>
      </c>
      <c r="BC4198" s="3" t="s">
        <v>77</v>
      </c>
      <c r="BD4198" s="3" t="s">
        <v>78</v>
      </c>
      <c r="BF4198" s="3" t="s">
        <v>41201</v>
      </c>
      <c r="BG4198" s="3" t="s">
        <v>41202</v>
      </c>
      <c r="BH4198">
        <f t="shared" si="115"/>
        <v>0</v>
      </c>
    </row>
    <row r="4199" spans="1:60" ht="58" x14ac:dyDescent="0.35">
      <c r="A4199" s="2" t="s">
        <v>6202</v>
      </c>
      <c r="B4199" s="2" t="s">
        <v>6203</v>
      </c>
      <c r="C4199" s="2" t="s">
        <v>41203</v>
      </c>
      <c r="D4199" s="2" t="s">
        <v>41204</v>
      </c>
      <c r="E4199" s="2" t="s">
        <v>41205</v>
      </c>
      <c r="G4199" s="3" t="s">
        <v>64</v>
      </c>
      <c r="I4199" s="3" t="s">
        <v>64</v>
      </c>
      <c r="J4199" s="3" t="s">
        <v>64</v>
      </c>
      <c r="K4199" s="3" t="s">
        <v>65</v>
      </c>
      <c r="L4199" s="2" t="s">
        <v>41206</v>
      </c>
      <c r="M4199" s="2" t="s">
        <v>41207</v>
      </c>
      <c r="N4199" s="3" t="s">
        <v>3428</v>
      </c>
      <c r="P4199" s="3" t="s">
        <v>102</v>
      </c>
      <c r="R4199" s="3" t="s">
        <v>70</v>
      </c>
      <c r="S4199" s="4">
        <v>1</v>
      </c>
      <c r="T4199" s="4">
        <v>1</v>
      </c>
      <c r="U4199" s="5" t="s">
        <v>9072</v>
      </c>
      <c r="V4199" s="5" t="s">
        <v>9072</v>
      </c>
      <c r="W4199" s="5" t="s">
        <v>72</v>
      </c>
      <c r="X4199" s="5" t="s">
        <v>72</v>
      </c>
      <c r="Y4199" s="4">
        <v>77</v>
      </c>
      <c r="Z4199" s="4">
        <v>4</v>
      </c>
      <c r="AA4199" s="4">
        <v>4</v>
      </c>
      <c r="AB4199" s="4">
        <v>1</v>
      </c>
      <c r="AC4199" s="4">
        <v>1</v>
      </c>
      <c r="AD4199" s="4">
        <v>26</v>
      </c>
      <c r="AE4199" s="4">
        <v>26</v>
      </c>
      <c r="AF4199" s="4">
        <v>0</v>
      </c>
      <c r="AG4199" s="4">
        <v>0</v>
      </c>
      <c r="AH4199" s="4">
        <v>25</v>
      </c>
      <c r="AI4199" s="4">
        <v>25</v>
      </c>
      <c r="AJ4199" s="4">
        <v>1</v>
      </c>
      <c r="AK4199" s="4">
        <v>1</v>
      </c>
      <c r="AL4199" s="4">
        <v>17</v>
      </c>
      <c r="AM4199" s="4">
        <v>17</v>
      </c>
      <c r="AN4199" s="4">
        <v>0</v>
      </c>
      <c r="AO4199" s="4">
        <v>0</v>
      </c>
      <c r="AP4199" s="4">
        <v>1</v>
      </c>
      <c r="AQ4199" s="4">
        <v>1</v>
      </c>
      <c r="AR4199" s="3" t="s">
        <v>64</v>
      </c>
      <c r="AS4199" s="3" t="s">
        <v>64</v>
      </c>
      <c r="AT4199" s="3" t="s">
        <v>128</v>
      </c>
      <c r="AU4199" s="6" t="str">
        <f>HYPERLINK("http://catalog.hathitrust.org/Record/003001681","HathiTrust Record")</f>
        <v>HathiTrust Record</v>
      </c>
      <c r="AV4199" s="6" t="str">
        <f>HYPERLINK("http://mcgill.on.worldcat.org/oclc/33258373","Catalog Record")</f>
        <v>Catalog Record</v>
      </c>
      <c r="AW4199" s="6" t="str">
        <f>HYPERLINK("http://www.worldcat.org/oclc/33258373","WorldCat Record")</f>
        <v>WorldCat Record</v>
      </c>
      <c r="AX4199" s="3" t="s">
        <v>41208</v>
      </c>
      <c r="AY4199" s="3" t="s">
        <v>41209</v>
      </c>
      <c r="AZ4199" s="3" t="s">
        <v>41210</v>
      </c>
      <c r="BA4199" s="3" t="s">
        <v>41210</v>
      </c>
      <c r="BB4199" s="3" t="s">
        <v>41211</v>
      </c>
      <c r="BC4199" s="3" t="s">
        <v>77</v>
      </c>
      <c r="BD4199" s="3" t="s">
        <v>78</v>
      </c>
      <c r="BE4199" s="3" t="s">
        <v>41212</v>
      </c>
      <c r="BF4199" s="3" t="s">
        <v>41211</v>
      </c>
      <c r="BG4199" s="3" t="s">
        <v>41213</v>
      </c>
      <c r="BH4199">
        <f t="shared" si="115"/>
        <v>0</v>
      </c>
    </row>
    <row r="4200" spans="1:60" ht="58" x14ac:dyDescent="0.35">
      <c r="A4200" s="2" t="s">
        <v>6202</v>
      </c>
      <c r="B4200" s="2" t="s">
        <v>6203</v>
      </c>
      <c r="C4200" s="2" t="s">
        <v>41214</v>
      </c>
      <c r="D4200" s="2" t="s">
        <v>41215</v>
      </c>
      <c r="E4200" s="2" t="s">
        <v>41216</v>
      </c>
      <c r="G4200" s="3" t="s">
        <v>64</v>
      </c>
      <c r="I4200" s="3" t="s">
        <v>64</v>
      </c>
      <c r="J4200" s="3" t="s">
        <v>64</v>
      </c>
      <c r="K4200" s="3" t="s">
        <v>65</v>
      </c>
      <c r="L4200" s="2" t="s">
        <v>41217</v>
      </c>
      <c r="M4200" s="2" t="s">
        <v>41218</v>
      </c>
      <c r="N4200" s="3" t="s">
        <v>1047</v>
      </c>
      <c r="P4200" s="3" t="s">
        <v>102</v>
      </c>
      <c r="R4200" s="3" t="s">
        <v>70</v>
      </c>
      <c r="S4200" s="4">
        <v>2</v>
      </c>
      <c r="T4200" s="4">
        <v>2</v>
      </c>
      <c r="U4200" s="5" t="s">
        <v>9096</v>
      </c>
      <c r="V4200" s="5" t="s">
        <v>9096</v>
      </c>
      <c r="W4200" s="5" t="s">
        <v>72</v>
      </c>
      <c r="X4200" s="5" t="s">
        <v>72</v>
      </c>
      <c r="Y4200" s="4">
        <v>167</v>
      </c>
      <c r="Z4200" s="4">
        <v>12</v>
      </c>
      <c r="AA4200" s="4">
        <v>15</v>
      </c>
      <c r="AB4200" s="4">
        <v>1</v>
      </c>
      <c r="AC4200" s="4">
        <v>4</v>
      </c>
      <c r="AD4200" s="4">
        <v>73</v>
      </c>
      <c r="AE4200" s="4">
        <v>74</v>
      </c>
      <c r="AF4200" s="4">
        <v>0</v>
      </c>
      <c r="AG4200" s="4">
        <v>1</v>
      </c>
      <c r="AH4200" s="4">
        <v>65</v>
      </c>
      <c r="AI4200" s="4">
        <v>66</v>
      </c>
      <c r="AJ4200" s="4">
        <v>9</v>
      </c>
      <c r="AK4200" s="4">
        <v>10</v>
      </c>
      <c r="AL4200" s="4">
        <v>43</v>
      </c>
      <c r="AM4200" s="4">
        <v>43</v>
      </c>
      <c r="AN4200" s="4">
        <v>0</v>
      </c>
      <c r="AO4200" s="4">
        <v>0</v>
      </c>
      <c r="AP4200" s="4">
        <v>10</v>
      </c>
      <c r="AQ4200" s="4">
        <v>11</v>
      </c>
      <c r="AR4200" s="3" t="s">
        <v>64</v>
      </c>
      <c r="AS4200" s="3" t="s">
        <v>64</v>
      </c>
      <c r="AT4200" s="3" t="s">
        <v>128</v>
      </c>
      <c r="AU4200" s="6" t="str">
        <f>HYPERLINK("http://catalog.hathitrust.org/Record/000268406","HathiTrust Record")</f>
        <v>HathiTrust Record</v>
      </c>
      <c r="AV4200" s="6" t="str">
        <f>HYPERLINK("http://mcgill.on.worldcat.org/oclc/9571822","Catalog Record")</f>
        <v>Catalog Record</v>
      </c>
      <c r="AW4200" s="6" t="str">
        <f>HYPERLINK("http://www.worldcat.org/oclc/9571822","WorldCat Record")</f>
        <v>WorldCat Record</v>
      </c>
      <c r="AX4200" s="3" t="s">
        <v>41219</v>
      </c>
      <c r="AY4200" s="3" t="s">
        <v>41220</v>
      </c>
      <c r="AZ4200" s="3" t="s">
        <v>41221</v>
      </c>
      <c r="BA4200" s="3" t="s">
        <v>41221</v>
      </c>
      <c r="BB4200" s="3" t="s">
        <v>41222</v>
      </c>
      <c r="BC4200" s="3" t="s">
        <v>77</v>
      </c>
      <c r="BD4200" s="3" t="s">
        <v>78</v>
      </c>
      <c r="BE4200" s="3" t="s">
        <v>41223</v>
      </c>
      <c r="BF4200" s="3" t="s">
        <v>41222</v>
      </c>
      <c r="BG4200" s="3" t="s">
        <v>41224</v>
      </c>
      <c r="BH4200">
        <f t="shared" si="115"/>
        <v>0</v>
      </c>
    </row>
    <row r="4201" spans="1:60" ht="58" x14ac:dyDescent="0.35">
      <c r="A4201" s="2" t="s">
        <v>6202</v>
      </c>
      <c r="B4201" s="2" t="s">
        <v>6203</v>
      </c>
      <c r="C4201" s="2" t="s">
        <v>41225</v>
      </c>
      <c r="D4201" s="2" t="s">
        <v>41226</v>
      </c>
      <c r="E4201" s="2" t="s">
        <v>41227</v>
      </c>
      <c r="F4201" s="3" t="s">
        <v>41228</v>
      </c>
      <c r="G4201" s="3" t="s">
        <v>128</v>
      </c>
      <c r="I4201" s="3" t="s">
        <v>64</v>
      </c>
      <c r="J4201" s="3" t="s">
        <v>64</v>
      </c>
      <c r="K4201" s="3" t="s">
        <v>65</v>
      </c>
      <c r="L4201" s="2" t="s">
        <v>41229</v>
      </c>
      <c r="M4201" s="2" t="s">
        <v>41230</v>
      </c>
      <c r="N4201" s="3" t="s">
        <v>1061</v>
      </c>
      <c r="P4201" s="3" t="s">
        <v>40768</v>
      </c>
      <c r="Q4201" s="2" t="s">
        <v>41231</v>
      </c>
      <c r="R4201" s="3" t="s">
        <v>70</v>
      </c>
      <c r="S4201" s="4">
        <v>0</v>
      </c>
      <c r="T4201" s="4">
        <v>1</v>
      </c>
      <c r="V4201" s="5" t="s">
        <v>41232</v>
      </c>
      <c r="W4201" s="5" t="s">
        <v>72</v>
      </c>
      <c r="X4201" s="5" t="s">
        <v>72</v>
      </c>
      <c r="Y4201" s="4">
        <v>41</v>
      </c>
      <c r="Z4201" s="4">
        <v>4</v>
      </c>
      <c r="AA4201" s="4">
        <v>4</v>
      </c>
      <c r="AB4201" s="4">
        <v>1</v>
      </c>
      <c r="AC4201" s="4">
        <v>1</v>
      </c>
      <c r="AD4201" s="4">
        <v>23</v>
      </c>
      <c r="AE4201" s="4">
        <v>23</v>
      </c>
      <c r="AF4201" s="4">
        <v>0</v>
      </c>
      <c r="AG4201" s="4">
        <v>0</v>
      </c>
      <c r="AH4201" s="4">
        <v>21</v>
      </c>
      <c r="AI4201" s="4">
        <v>21</v>
      </c>
      <c r="AJ4201" s="4">
        <v>1</v>
      </c>
      <c r="AK4201" s="4">
        <v>1</v>
      </c>
      <c r="AL4201" s="4">
        <v>19</v>
      </c>
      <c r="AM4201" s="4">
        <v>19</v>
      </c>
      <c r="AN4201" s="4">
        <v>0</v>
      </c>
      <c r="AO4201" s="4">
        <v>0</v>
      </c>
      <c r="AP4201" s="4">
        <v>1</v>
      </c>
      <c r="AQ4201" s="4">
        <v>1</v>
      </c>
      <c r="AR4201" s="3" t="s">
        <v>64</v>
      </c>
      <c r="AS4201" s="3" t="s">
        <v>64</v>
      </c>
      <c r="AT4201" s="3" t="s">
        <v>64</v>
      </c>
      <c r="AV4201" s="6" t="str">
        <f>HYPERLINK("http://mcgill.on.worldcat.org/oclc/12945505","Catalog Record")</f>
        <v>Catalog Record</v>
      </c>
      <c r="AW4201" s="6" t="str">
        <f>HYPERLINK("http://www.worldcat.org/oclc/12945505","WorldCat Record")</f>
        <v>WorldCat Record</v>
      </c>
      <c r="AX4201" s="3" t="s">
        <v>41233</v>
      </c>
      <c r="AY4201" s="3" t="s">
        <v>41234</v>
      </c>
      <c r="AZ4201" s="3" t="s">
        <v>41235</v>
      </c>
      <c r="BA4201" s="3" t="s">
        <v>41235</v>
      </c>
      <c r="BB4201" s="3" t="s">
        <v>41236</v>
      </c>
      <c r="BC4201" s="3" t="s">
        <v>77</v>
      </c>
      <c r="BD4201" s="3" t="s">
        <v>78</v>
      </c>
      <c r="BE4201" s="3" t="s">
        <v>41237</v>
      </c>
      <c r="BF4201" s="3" t="s">
        <v>41236</v>
      </c>
      <c r="BG4201" s="3" t="s">
        <v>41238</v>
      </c>
      <c r="BH4201">
        <f t="shared" si="115"/>
        <v>0</v>
      </c>
    </row>
    <row r="4202" spans="1:60" ht="58" x14ac:dyDescent="0.35">
      <c r="A4202" s="2" t="s">
        <v>6202</v>
      </c>
      <c r="B4202" s="2" t="s">
        <v>6203</v>
      </c>
      <c r="C4202" s="2" t="s">
        <v>41225</v>
      </c>
      <c r="D4202" s="2" t="s">
        <v>41226</v>
      </c>
      <c r="E4202" s="2" t="s">
        <v>41227</v>
      </c>
      <c r="F4202" s="3" t="s">
        <v>41239</v>
      </c>
      <c r="G4202" s="3" t="s">
        <v>128</v>
      </c>
      <c r="I4202" s="3" t="s">
        <v>64</v>
      </c>
      <c r="J4202" s="3" t="s">
        <v>64</v>
      </c>
      <c r="K4202" s="3" t="s">
        <v>65</v>
      </c>
      <c r="L4202" s="2" t="s">
        <v>41229</v>
      </c>
      <c r="M4202" s="2" t="s">
        <v>41230</v>
      </c>
      <c r="N4202" s="3" t="s">
        <v>1061</v>
      </c>
      <c r="P4202" s="3" t="s">
        <v>40768</v>
      </c>
      <c r="Q4202" s="2" t="s">
        <v>41231</v>
      </c>
      <c r="R4202" s="3" t="s">
        <v>70</v>
      </c>
      <c r="S4202" s="4">
        <v>1</v>
      </c>
      <c r="T4202" s="4">
        <v>1</v>
      </c>
      <c r="U4202" s="5" t="s">
        <v>41232</v>
      </c>
      <c r="V4202" s="5" t="s">
        <v>41232</v>
      </c>
      <c r="W4202" s="5" t="s">
        <v>72</v>
      </c>
      <c r="X4202" s="5" t="s">
        <v>72</v>
      </c>
      <c r="Y4202" s="4">
        <v>41</v>
      </c>
      <c r="Z4202" s="4">
        <v>4</v>
      </c>
      <c r="AA4202" s="4">
        <v>4</v>
      </c>
      <c r="AB4202" s="4">
        <v>1</v>
      </c>
      <c r="AC4202" s="4">
        <v>1</v>
      </c>
      <c r="AD4202" s="4">
        <v>23</v>
      </c>
      <c r="AE4202" s="4">
        <v>23</v>
      </c>
      <c r="AF4202" s="4">
        <v>0</v>
      </c>
      <c r="AG4202" s="4">
        <v>0</v>
      </c>
      <c r="AH4202" s="4">
        <v>21</v>
      </c>
      <c r="AI4202" s="4">
        <v>21</v>
      </c>
      <c r="AJ4202" s="4">
        <v>1</v>
      </c>
      <c r="AK4202" s="4">
        <v>1</v>
      </c>
      <c r="AL4202" s="4">
        <v>19</v>
      </c>
      <c r="AM4202" s="4">
        <v>19</v>
      </c>
      <c r="AN4202" s="4">
        <v>0</v>
      </c>
      <c r="AO4202" s="4">
        <v>0</v>
      </c>
      <c r="AP4202" s="4">
        <v>1</v>
      </c>
      <c r="AQ4202" s="4">
        <v>1</v>
      </c>
      <c r="AR4202" s="3" t="s">
        <v>64</v>
      </c>
      <c r="AS4202" s="3" t="s">
        <v>64</v>
      </c>
      <c r="AT4202" s="3" t="s">
        <v>64</v>
      </c>
      <c r="AV4202" s="6" t="str">
        <f>HYPERLINK("http://mcgill.on.worldcat.org/oclc/12945505","Catalog Record")</f>
        <v>Catalog Record</v>
      </c>
      <c r="AW4202" s="6" t="str">
        <f>HYPERLINK("http://www.worldcat.org/oclc/12945505","WorldCat Record")</f>
        <v>WorldCat Record</v>
      </c>
      <c r="AX4202" s="3" t="s">
        <v>41233</v>
      </c>
      <c r="AY4202" s="3" t="s">
        <v>41234</v>
      </c>
      <c r="AZ4202" s="3" t="s">
        <v>41235</v>
      </c>
      <c r="BA4202" s="3" t="s">
        <v>41235</v>
      </c>
      <c r="BB4202" s="3" t="s">
        <v>41240</v>
      </c>
      <c r="BC4202" s="3" t="s">
        <v>77</v>
      </c>
      <c r="BD4202" s="3" t="s">
        <v>78</v>
      </c>
      <c r="BE4202" s="3" t="s">
        <v>41237</v>
      </c>
      <c r="BF4202" s="3" t="s">
        <v>41240</v>
      </c>
      <c r="BG4202" s="3" t="s">
        <v>41241</v>
      </c>
      <c r="BH4202">
        <f t="shared" si="115"/>
        <v>0</v>
      </c>
    </row>
    <row r="4203" spans="1:60" ht="58" x14ac:dyDescent="0.35">
      <c r="A4203" s="2" t="s">
        <v>59</v>
      </c>
      <c r="B4203" s="2" t="s">
        <v>60</v>
      </c>
      <c r="C4203" s="2" t="s">
        <v>41242</v>
      </c>
      <c r="D4203" s="2" t="s">
        <v>41243</v>
      </c>
      <c r="E4203" s="2" t="s">
        <v>41244</v>
      </c>
      <c r="F4203" s="3" t="s">
        <v>41245</v>
      </c>
      <c r="G4203" s="3" t="s">
        <v>128</v>
      </c>
      <c r="I4203" s="3" t="s">
        <v>64</v>
      </c>
      <c r="J4203" s="3" t="s">
        <v>64</v>
      </c>
      <c r="K4203" s="3" t="s">
        <v>65</v>
      </c>
      <c r="L4203" s="2" t="s">
        <v>41246</v>
      </c>
      <c r="M4203" s="2" t="s">
        <v>41247</v>
      </c>
      <c r="N4203" s="3" t="s">
        <v>1017</v>
      </c>
      <c r="P4203" s="3" t="s">
        <v>68</v>
      </c>
      <c r="Q4203" s="2" t="s">
        <v>41248</v>
      </c>
      <c r="R4203" s="3" t="s">
        <v>70</v>
      </c>
      <c r="S4203" s="4">
        <v>1</v>
      </c>
      <c r="T4203" s="4">
        <v>6</v>
      </c>
      <c r="U4203" s="5" t="s">
        <v>724</v>
      </c>
      <c r="V4203" s="5" t="s">
        <v>724</v>
      </c>
      <c r="W4203" s="5" t="s">
        <v>72</v>
      </c>
      <c r="X4203" s="5" t="s">
        <v>72</v>
      </c>
      <c r="Y4203" s="4">
        <v>235</v>
      </c>
      <c r="Z4203" s="4">
        <v>22</v>
      </c>
      <c r="AA4203" s="4">
        <v>34</v>
      </c>
      <c r="AB4203" s="4">
        <v>1</v>
      </c>
      <c r="AC4203" s="4">
        <v>8</v>
      </c>
      <c r="AD4203" s="4">
        <v>101</v>
      </c>
      <c r="AE4203" s="4">
        <v>111</v>
      </c>
      <c r="AF4203" s="4">
        <v>0</v>
      </c>
      <c r="AG4203" s="4">
        <v>4</v>
      </c>
      <c r="AH4203" s="4">
        <v>90</v>
      </c>
      <c r="AI4203" s="4">
        <v>94</v>
      </c>
      <c r="AJ4203" s="4">
        <v>15</v>
      </c>
      <c r="AK4203" s="4">
        <v>22</v>
      </c>
      <c r="AL4203" s="4">
        <v>50</v>
      </c>
      <c r="AM4203" s="4">
        <v>51</v>
      </c>
      <c r="AN4203" s="4">
        <v>0</v>
      </c>
      <c r="AO4203" s="4">
        <v>0</v>
      </c>
      <c r="AP4203" s="4">
        <v>16</v>
      </c>
      <c r="AQ4203" s="4">
        <v>24</v>
      </c>
      <c r="AR4203" s="3" t="s">
        <v>64</v>
      </c>
      <c r="AS4203" s="3" t="s">
        <v>64</v>
      </c>
      <c r="AT4203" s="3" t="s">
        <v>128</v>
      </c>
      <c r="AU4203" s="6" t="str">
        <f t="shared" ref="AU4203:AU4208" si="118">HYPERLINK("http://catalog.hathitrust.org/Record/000274803","HathiTrust Record")</f>
        <v>HathiTrust Record</v>
      </c>
      <c r="AV4203" s="6" t="str">
        <f t="shared" ref="AV4203:AV4208" si="119">HYPERLINK("http://mcgill.on.worldcat.org/oclc/381224","Catalog Record")</f>
        <v>Catalog Record</v>
      </c>
      <c r="AW4203" s="6" t="str">
        <f t="shared" ref="AW4203:AW4208" si="120">HYPERLINK("http://www.worldcat.org/oclc/381224","WorldCat Record")</f>
        <v>WorldCat Record</v>
      </c>
      <c r="AX4203" s="3" t="s">
        <v>41249</v>
      </c>
      <c r="AY4203" s="3" t="s">
        <v>41250</v>
      </c>
      <c r="AZ4203" s="3" t="s">
        <v>41251</v>
      </c>
      <c r="BA4203" s="3" t="s">
        <v>41251</v>
      </c>
      <c r="BB4203" s="3" t="s">
        <v>41252</v>
      </c>
      <c r="BC4203" s="3" t="s">
        <v>77</v>
      </c>
      <c r="BD4203" s="3" t="s">
        <v>78</v>
      </c>
      <c r="BF4203" s="3" t="s">
        <v>41252</v>
      </c>
      <c r="BG4203" s="3" t="s">
        <v>41253</v>
      </c>
      <c r="BH4203">
        <f t="shared" si="115"/>
        <v>0</v>
      </c>
    </row>
    <row r="4204" spans="1:60" ht="58" x14ac:dyDescent="0.35">
      <c r="A4204" s="2" t="s">
        <v>59</v>
      </c>
      <c r="B4204" s="2" t="s">
        <v>60</v>
      </c>
      <c r="C4204" s="2" t="s">
        <v>41242</v>
      </c>
      <c r="D4204" s="2" t="s">
        <v>41243</v>
      </c>
      <c r="E4204" s="2" t="s">
        <v>41244</v>
      </c>
      <c r="F4204" s="3" t="s">
        <v>41254</v>
      </c>
      <c r="G4204" s="3" t="s">
        <v>128</v>
      </c>
      <c r="I4204" s="3" t="s">
        <v>64</v>
      </c>
      <c r="J4204" s="3" t="s">
        <v>64</v>
      </c>
      <c r="K4204" s="3" t="s">
        <v>65</v>
      </c>
      <c r="L4204" s="2" t="s">
        <v>41246</v>
      </c>
      <c r="M4204" s="2" t="s">
        <v>41247</v>
      </c>
      <c r="N4204" s="3" t="s">
        <v>1017</v>
      </c>
      <c r="P4204" s="3" t="s">
        <v>68</v>
      </c>
      <c r="Q4204" s="2" t="s">
        <v>41248</v>
      </c>
      <c r="R4204" s="3" t="s">
        <v>70</v>
      </c>
      <c r="S4204" s="4">
        <v>1</v>
      </c>
      <c r="T4204" s="4">
        <v>6</v>
      </c>
      <c r="U4204" s="5" t="s">
        <v>11203</v>
      </c>
      <c r="V4204" s="5" t="s">
        <v>724</v>
      </c>
      <c r="W4204" s="5" t="s">
        <v>72</v>
      </c>
      <c r="X4204" s="5" t="s">
        <v>72</v>
      </c>
      <c r="Y4204" s="4">
        <v>235</v>
      </c>
      <c r="Z4204" s="4">
        <v>22</v>
      </c>
      <c r="AA4204" s="4">
        <v>34</v>
      </c>
      <c r="AB4204" s="4">
        <v>1</v>
      </c>
      <c r="AC4204" s="4">
        <v>8</v>
      </c>
      <c r="AD4204" s="4">
        <v>101</v>
      </c>
      <c r="AE4204" s="4">
        <v>111</v>
      </c>
      <c r="AF4204" s="4">
        <v>0</v>
      </c>
      <c r="AG4204" s="4">
        <v>4</v>
      </c>
      <c r="AH4204" s="4">
        <v>90</v>
      </c>
      <c r="AI4204" s="4">
        <v>94</v>
      </c>
      <c r="AJ4204" s="4">
        <v>15</v>
      </c>
      <c r="AK4204" s="4">
        <v>22</v>
      </c>
      <c r="AL4204" s="4">
        <v>50</v>
      </c>
      <c r="AM4204" s="4">
        <v>51</v>
      </c>
      <c r="AN4204" s="4">
        <v>0</v>
      </c>
      <c r="AO4204" s="4">
        <v>0</v>
      </c>
      <c r="AP4204" s="4">
        <v>16</v>
      </c>
      <c r="AQ4204" s="4">
        <v>24</v>
      </c>
      <c r="AR4204" s="3" t="s">
        <v>64</v>
      </c>
      <c r="AS4204" s="3" t="s">
        <v>64</v>
      </c>
      <c r="AT4204" s="3" t="s">
        <v>128</v>
      </c>
      <c r="AU4204" s="6" t="str">
        <f t="shared" si="118"/>
        <v>HathiTrust Record</v>
      </c>
      <c r="AV4204" s="6" t="str">
        <f t="shared" si="119"/>
        <v>Catalog Record</v>
      </c>
      <c r="AW4204" s="6" t="str">
        <f t="shared" si="120"/>
        <v>WorldCat Record</v>
      </c>
      <c r="AX4204" s="3" t="s">
        <v>41249</v>
      </c>
      <c r="AY4204" s="3" t="s">
        <v>41250</v>
      </c>
      <c r="AZ4204" s="3" t="s">
        <v>41251</v>
      </c>
      <c r="BA4204" s="3" t="s">
        <v>41251</v>
      </c>
      <c r="BB4204" s="3" t="s">
        <v>41255</v>
      </c>
      <c r="BC4204" s="3" t="s">
        <v>77</v>
      </c>
      <c r="BD4204" s="3" t="s">
        <v>78</v>
      </c>
      <c r="BF4204" s="3" t="s">
        <v>41255</v>
      </c>
      <c r="BG4204" s="3" t="s">
        <v>41256</v>
      </c>
      <c r="BH4204">
        <f t="shared" si="115"/>
        <v>0</v>
      </c>
    </row>
    <row r="4205" spans="1:60" ht="58" x14ac:dyDescent="0.35">
      <c r="A4205" s="2" t="s">
        <v>59</v>
      </c>
      <c r="B4205" s="2" t="s">
        <v>60</v>
      </c>
      <c r="C4205" s="2" t="s">
        <v>41242</v>
      </c>
      <c r="D4205" s="2" t="s">
        <v>41243</v>
      </c>
      <c r="E4205" s="2" t="s">
        <v>41244</v>
      </c>
      <c r="F4205" s="3" t="s">
        <v>35337</v>
      </c>
      <c r="G4205" s="3" t="s">
        <v>128</v>
      </c>
      <c r="I4205" s="3" t="s">
        <v>64</v>
      </c>
      <c r="J4205" s="3" t="s">
        <v>64</v>
      </c>
      <c r="K4205" s="3" t="s">
        <v>65</v>
      </c>
      <c r="L4205" s="2" t="s">
        <v>41246</v>
      </c>
      <c r="M4205" s="2" t="s">
        <v>41247</v>
      </c>
      <c r="N4205" s="3" t="s">
        <v>1017</v>
      </c>
      <c r="P4205" s="3" t="s">
        <v>68</v>
      </c>
      <c r="Q4205" s="2" t="s">
        <v>41248</v>
      </c>
      <c r="R4205" s="3" t="s">
        <v>70</v>
      </c>
      <c r="S4205" s="4">
        <v>1</v>
      </c>
      <c r="T4205" s="4">
        <v>6</v>
      </c>
      <c r="U4205" s="5" t="s">
        <v>11203</v>
      </c>
      <c r="V4205" s="5" t="s">
        <v>724</v>
      </c>
      <c r="W4205" s="5" t="s">
        <v>72</v>
      </c>
      <c r="X4205" s="5" t="s">
        <v>72</v>
      </c>
      <c r="Y4205" s="4">
        <v>235</v>
      </c>
      <c r="Z4205" s="4">
        <v>22</v>
      </c>
      <c r="AA4205" s="4">
        <v>34</v>
      </c>
      <c r="AB4205" s="4">
        <v>1</v>
      </c>
      <c r="AC4205" s="4">
        <v>8</v>
      </c>
      <c r="AD4205" s="4">
        <v>101</v>
      </c>
      <c r="AE4205" s="4">
        <v>111</v>
      </c>
      <c r="AF4205" s="4">
        <v>0</v>
      </c>
      <c r="AG4205" s="4">
        <v>4</v>
      </c>
      <c r="AH4205" s="4">
        <v>90</v>
      </c>
      <c r="AI4205" s="4">
        <v>94</v>
      </c>
      <c r="AJ4205" s="4">
        <v>15</v>
      </c>
      <c r="AK4205" s="4">
        <v>22</v>
      </c>
      <c r="AL4205" s="4">
        <v>50</v>
      </c>
      <c r="AM4205" s="4">
        <v>51</v>
      </c>
      <c r="AN4205" s="4">
        <v>0</v>
      </c>
      <c r="AO4205" s="4">
        <v>0</v>
      </c>
      <c r="AP4205" s="4">
        <v>16</v>
      </c>
      <c r="AQ4205" s="4">
        <v>24</v>
      </c>
      <c r="AR4205" s="3" t="s">
        <v>64</v>
      </c>
      <c r="AS4205" s="3" t="s">
        <v>64</v>
      </c>
      <c r="AT4205" s="3" t="s">
        <v>128</v>
      </c>
      <c r="AU4205" s="6" t="str">
        <f t="shared" si="118"/>
        <v>HathiTrust Record</v>
      </c>
      <c r="AV4205" s="6" t="str">
        <f t="shared" si="119"/>
        <v>Catalog Record</v>
      </c>
      <c r="AW4205" s="6" t="str">
        <f t="shared" si="120"/>
        <v>WorldCat Record</v>
      </c>
      <c r="AX4205" s="3" t="s">
        <v>41249</v>
      </c>
      <c r="AY4205" s="3" t="s">
        <v>41250</v>
      </c>
      <c r="AZ4205" s="3" t="s">
        <v>41251</v>
      </c>
      <c r="BA4205" s="3" t="s">
        <v>41251</v>
      </c>
      <c r="BB4205" s="3" t="s">
        <v>41257</v>
      </c>
      <c r="BC4205" s="3" t="s">
        <v>77</v>
      </c>
      <c r="BD4205" s="3" t="s">
        <v>78</v>
      </c>
      <c r="BF4205" s="3" t="s">
        <v>41257</v>
      </c>
      <c r="BG4205" s="3" t="s">
        <v>41258</v>
      </c>
      <c r="BH4205">
        <f t="shared" si="115"/>
        <v>0</v>
      </c>
    </row>
    <row r="4206" spans="1:60" ht="58" x14ac:dyDescent="0.35">
      <c r="A4206" s="2" t="s">
        <v>59</v>
      </c>
      <c r="B4206" s="2" t="s">
        <v>60</v>
      </c>
      <c r="C4206" s="2" t="s">
        <v>41242</v>
      </c>
      <c r="D4206" s="2" t="s">
        <v>41243</v>
      </c>
      <c r="E4206" s="2" t="s">
        <v>41244</v>
      </c>
      <c r="F4206" s="3" t="s">
        <v>41259</v>
      </c>
      <c r="G4206" s="3" t="s">
        <v>128</v>
      </c>
      <c r="I4206" s="3" t="s">
        <v>64</v>
      </c>
      <c r="J4206" s="3" t="s">
        <v>64</v>
      </c>
      <c r="K4206" s="3" t="s">
        <v>65</v>
      </c>
      <c r="L4206" s="2" t="s">
        <v>41246</v>
      </c>
      <c r="M4206" s="2" t="s">
        <v>41247</v>
      </c>
      <c r="N4206" s="3" t="s">
        <v>1017</v>
      </c>
      <c r="P4206" s="3" t="s">
        <v>68</v>
      </c>
      <c r="Q4206" s="2" t="s">
        <v>41248</v>
      </c>
      <c r="R4206" s="3" t="s">
        <v>70</v>
      </c>
      <c r="S4206" s="4">
        <v>1</v>
      </c>
      <c r="T4206" s="4">
        <v>6</v>
      </c>
      <c r="U4206" s="5" t="s">
        <v>11203</v>
      </c>
      <c r="V4206" s="5" t="s">
        <v>724</v>
      </c>
      <c r="W4206" s="5" t="s">
        <v>72</v>
      </c>
      <c r="X4206" s="5" t="s">
        <v>72</v>
      </c>
      <c r="Y4206" s="4">
        <v>235</v>
      </c>
      <c r="Z4206" s="4">
        <v>22</v>
      </c>
      <c r="AA4206" s="4">
        <v>34</v>
      </c>
      <c r="AB4206" s="4">
        <v>1</v>
      </c>
      <c r="AC4206" s="4">
        <v>8</v>
      </c>
      <c r="AD4206" s="4">
        <v>101</v>
      </c>
      <c r="AE4206" s="4">
        <v>111</v>
      </c>
      <c r="AF4206" s="4">
        <v>0</v>
      </c>
      <c r="AG4206" s="4">
        <v>4</v>
      </c>
      <c r="AH4206" s="4">
        <v>90</v>
      </c>
      <c r="AI4206" s="4">
        <v>94</v>
      </c>
      <c r="AJ4206" s="4">
        <v>15</v>
      </c>
      <c r="AK4206" s="4">
        <v>22</v>
      </c>
      <c r="AL4206" s="4">
        <v>50</v>
      </c>
      <c r="AM4206" s="4">
        <v>51</v>
      </c>
      <c r="AN4206" s="4">
        <v>0</v>
      </c>
      <c r="AO4206" s="4">
        <v>0</v>
      </c>
      <c r="AP4206" s="4">
        <v>16</v>
      </c>
      <c r="AQ4206" s="4">
        <v>24</v>
      </c>
      <c r="AR4206" s="3" t="s">
        <v>64</v>
      </c>
      <c r="AS4206" s="3" t="s">
        <v>64</v>
      </c>
      <c r="AT4206" s="3" t="s">
        <v>128</v>
      </c>
      <c r="AU4206" s="6" t="str">
        <f t="shared" si="118"/>
        <v>HathiTrust Record</v>
      </c>
      <c r="AV4206" s="6" t="str">
        <f t="shared" si="119"/>
        <v>Catalog Record</v>
      </c>
      <c r="AW4206" s="6" t="str">
        <f t="shared" si="120"/>
        <v>WorldCat Record</v>
      </c>
      <c r="AX4206" s="3" t="s">
        <v>41249</v>
      </c>
      <c r="AY4206" s="3" t="s">
        <v>41250</v>
      </c>
      <c r="AZ4206" s="3" t="s">
        <v>41251</v>
      </c>
      <c r="BA4206" s="3" t="s">
        <v>41251</v>
      </c>
      <c r="BB4206" s="3" t="s">
        <v>41260</v>
      </c>
      <c r="BC4206" s="3" t="s">
        <v>77</v>
      </c>
      <c r="BD4206" s="3" t="s">
        <v>78</v>
      </c>
      <c r="BF4206" s="3" t="s">
        <v>41260</v>
      </c>
      <c r="BG4206" s="3" t="s">
        <v>41261</v>
      </c>
      <c r="BH4206">
        <f t="shared" si="115"/>
        <v>0</v>
      </c>
    </row>
    <row r="4207" spans="1:60" ht="58" x14ac:dyDescent="0.35">
      <c r="A4207" s="2" t="s">
        <v>59</v>
      </c>
      <c r="B4207" s="2" t="s">
        <v>60</v>
      </c>
      <c r="C4207" s="2" t="s">
        <v>41242</v>
      </c>
      <c r="D4207" s="2" t="s">
        <v>41243</v>
      </c>
      <c r="E4207" s="2" t="s">
        <v>41244</v>
      </c>
      <c r="F4207" s="3" t="s">
        <v>40421</v>
      </c>
      <c r="G4207" s="3" t="s">
        <v>128</v>
      </c>
      <c r="I4207" s="3" t="s">
        <v>64</v>
      </c>
      <c r="J4207" s="3" t="s">
        <v>64</v>
      </c>
      <c r="K4207" s="3" t="s">
        <v>65</v>
      </c>
      <c r="L4207" s="2" t="s">
        <v>41246</v>
      </c>
      <c r="M4207" s="2" t="s">
        <v>41247</v>
      </c>
      <c r="N4207" s="3" t="s">
        <v>1017</v>
      </c>
      <c r="P4207" s="3" t="s">
        <v>68</v>
      </c>
      <c r="Q4207" s="2" t="s">
        <v>41248</v>
      </c>
      <c r="R4207" s="3" t="s">
        <v>70</v>
      </c>
      <c r="S4207" s="4">
        <v>1</v>
      </c>
      <c r="T4207" s="4">
        <v>6</v>
      </c>
      <c r="U4207" s="5" t="s">
        <v>11203</v>
      </c>
      <c r="V4207" s="5" t="s">
        <v>724</v>
      </c>
      <c r="W4207" s="5" t="s">
        <v>72</v>
      </c>
      <c r="X4207" s="5" t="s">
        <v>72</v>
      </c>
      <c r="Y4207" s="4">
        <v>235</v>
      </c>
      <c r="Z4207" s="4">
        <v>22</v>
      </c>
      <c r="AA4207" s="4">
        <v>34</v>
      </c>
      <c r="AB4207" s="4">
        <v>1</v>
      </c>
      <c r="AC4207" s="4">
        <v>8</v>
      </c>
      <c r="AD4207" s="4">
        <v>101</v>
      </c>
      <c r="AE4207" s="4">
        <v>111</v>
      </c>
      <c r="AF4207" s="4">
        <v>0</v>
      </c>
      <c r="AG4207" s="4">
        <v>4</v>
      </c>
      <c r="AH4207" s="4">
        <v>90</v>
      </c>
      <c r="AI4207" s="4">
        <v>94</v>
      </c>
      <c r="AJ4207" s="4">
        <v>15</v>
      </c>
      <c r="AK4207" s="4">
        <v>22</v>
      </c>
      <c r="AL4207" s="4">
        <v>50</v>
      </c>
      <c r="AM4207" s="4">
        <v>51</v>
      </c>
      <c r="AN4207" s="4">
        <v>0</v>
      </c>
      <c r="AO4207" s="4">
        <v>0</v>
      </c>
      <c r="AP4207" s="4">
        <v>16</v>
      </c>
      <c r="AQ4207" s="4">
        <v>24</v>
      </c>
      <c r="AR4207" s="3" t="s">
        <v>64</v>
      </c>
      <c r="AS4207" s="3" t="s">
        <v>64</v>
      </c>
      <c r="AT4207" s="3" t="s">
        <v>128</v>
      </c>
      <c r="AU4207" s="6" t="str">
        <f t="shared" si="118"/>
        <v>HathiTrust Record</v>
      </c>
      <c r="AV4207" s="6" t="str">
        <f t="shared" si="119"/>
        <v>Catalog Record</v>
      </c>
      <c r="AW4207" s="6" t="str">
        <f t="shared" si="120"/>
        <v>WorldCat Record</v>
      </c>
      <c r="AX4207" s="3" t="s">
        <v>41249</v>
      </c>
      <c r="AY4207" s="3" t="s">
        <v>41250</v>
      </c>
      <c r="AZ4207" s="3" t="s">
        <v>41251</v>
      </c>
      <c r="BA4207" s="3" t="s">
        <v>41251</v>
      </c>
      <c r="BB4207" s="3" t="s">
        <v>41262</v>
      </c>
      <c r="BC4207" s="3" t="s">
        <v>77</v>
      </c>
      <c r="BD4207" s="3" t="s">
        <v>78</v>
      </c>
      <c r="BF4207" s="3" t="s">
        <v>41262</v>
      </c>
      <c r="BG4207" s="3" t="s">
        <v>41263</v>
      </c>
      <c r="BH4207">
        <f t="shared" si="115"/>
        <v>0</v>
      </c>
    </row>
    <row r="4208" spans="1:60" ht="58" x14ac:dyDescent="0.35">
      <c r="A4208" s="2" t="s">
        <v>59</v>
      </c>
      <c r="B4208" s="2" t="s">
        <v>60</v>
      </c>
      <c r="C4208" s="2" t="s">
        <v>41242</v>
      </c>
      <c r="D4208" s="2" t="s">
        <v>41243</v>
      </c>
      <c r="E4208" s="2" t="s">
        <v>41244</v>
      </c>
      <c r="F4208" s="3" t="s">
        <v>41264</v>
      </c>
      <c r="G4208" s="3" t="s">
        <v>128</v>
      </c>
      <c r="I4208" s="3" t="s">
        <v>64</v>
      </c>
      <c r="J4208" s="3" t="s">
        <v>64</v>
      </c>
      <c r="K4208" s="3" t="s">
        <v>65</v>
      </c>
      <c r="L4208" s="2" t="s">
        <v>41246</v>
      </c>
      <c r="M4208" s="2" t="s">
        <v>41247</v>
      </c>
      <c r="N4208" s="3" t="s">
        <v>1017</v>
      </c>
      <c r="P4208" s="3" t="s">
        <v>68</v>
      </c>
      <c r="Q4208" s="2" t="s">
        <v>41248</v>
      </c>
      <c r="R4208" s="3" t="s">
        <v>70</v>
      </c>
      <c r="S4208" s="4">
        <v>1</v>
      </c>
      <c r="T4208" s="4">
        <v>6</v>
      </c>
      <c r="U4208" s="5" t="s">
        <v>11203</v>
      </c>
      <c r="V4208" s="5" t="s">
        <v>724</v>
      </c>
      <c r="W4208" s="5" t="s">
        <v>72</v>
      </c>
      <c r="X4208" s="5" t="s">
        <v>72</v>
      </c>
      <c r="Y4208" s="4">
        <v>235</v>
      </c>
      <c r="Z4208" s="4">
        <v>22</v>
      </c>
      <c r="AA4208" s="4">
        <v>34</v>
      </c>
      <c r="AB4208" s="4">
        <v>1</v>
      </c>
      <c r="AC4208" s="4">
        <v>8</v>
      </c>
      <c r="AD4208" s="4">
        <v>101</v>
      </c>
      <c r="AE4208" s="4">
        <v>111</v>
      </c>
      <c r="AF4208" s="4">
        <v>0</v>
      </c>
      <c r="AG4208" s="4">
        <v>4</v>
      </c>
      <c r="AH4208" s="4">
        <v>90</v>
      </c>
      <c r="AI4208" s="4">
        <v>94</v>
      </c>
      <c r="AJ4208" s="4">
        <v>15</v>
      </c>
      <c r="AK4208" s="4">
        <v>22</v>
      </c>
      <c r="AL4208" s="4">
        <v>50</v>
      </c>
      <c r="AM4208" s="4">
        <v>51</v>
      </c>
      <c r="AN4208" s="4">
        <v>0</v>
      </c>
      <c r="AO4208" s="4">
        <v>0</v>
      </c>
      <c r="AP4208" s="4">
        <v>16</v>
      </c>
      <c r="AQ4208" s="4">
        <v>24</v>
      </c>
      <c r="AR4208" s="3" t="s">
        <v>64</v>
      </c>
      <c r="AS4208" s="3" t="s">
        <v>64</v>
      </c>
      <c r="AT4208" s="3" t="s">
        <v>128</v>
      </c>
      <c r="AU4208" s="6" t="str">
        <f t="shared" si="118"/>
        <v>HathiTrust Record</v>
      </c>
      <c r="AV4208" s="6" t="str">
        <f t="shared" si="119"/>
        <v>Catalog Record</v>
      </c>
      <c r="AW4208" s="6" t="str">
        <f t="shared" si="120"/>
        <v>WorldCat Record</v>
      </c>
      <c r="AX4208" s="3" t="s">
        <v>41249</v>
      </c>
      <c r="AY4208" s="3" t="s">
        <v>41250</v>
      </c>
      <c r="AZ4208" s="3" t="s">
        <v>41251</v>
      </c>
      <c r="BA4208" s="3" t="s">
        <v>41251</v>
      </c>
      <c r="BB4208" s="3" t="s">
        <v>41265</v>
      </c>
      <c r="BC4208" s="3" t="s">
        <v>77</v>
      </c>
      <c r="BD4208" s="3" t="s">
        <v>78</v>
      </c>
      <c r="BF4208" s="3" t="s">
        <v>41265</v>
      </c>
      <c r="BG4208" s="3" t="s">
        <v>41266</v>
      </c>
      <c r="BH4208">
        <f t="shared" si="115"/>
        <v>0</v>
      </c>
    </row>
    <row r="4209" spans="1:60" ht="58" x14ac:dyDescent="0.35">
      <c r="A4209" s="2" t="s">
        <v>6202</v>
      </c>
      <c r="B4209" s="2" t="s">
        <v>6203</v>
      </c>
      <c r="C4209" s="2" t="s">
        <v>41267</v>
      </c>
      <c r="D4209" s="2" t="s">
        <v>41268</v>
      </c>
      <c r="E4209" s="2" t="s">
        <v>41269</v>
      </c>
      <c r="G4209" s="3" t="s">
        <v>64</v>
      </c>
      <c r="I4209" s="3" t="s">
        <v>64</v>
      </c>
      <c r="J4209" s="3" t="s">
        <v>64</v>
      </c>
      <c r="K4209" s="3" t="s">
        <v>65</v>
      </c>
      <c r="L4209" s="2" t="s">
        <v>41270</v>
      </c>
      <c r="M4209" s="2" t="s">
        <v>41271</v>
      </c>
      <c r="N4209" s="3" t="s">
        <v>326</v>
      </c>
      <c r="P4209" s="3" t="s">
        <v>68</v>
      </c>
      <c r="Q4209" s="2" t="s">
        <v>41272</v>
      </c>
      <c r="R4209" s="3" t="s">
        <v>70</v>
      </c>
      <c r="S4209" s="4">
        <v>0</v>
      </c>
      <c r="T4209" s="4">
        <v>0</v>
      </c>
      <c r="W4209" s="5" t="s">
        <v>72</v>
      </c>
      <c r="X4209" s="5" t="s">
        <v>72</v>
      </c>
      <c r="Y4209" s="4">
        <v>35</v>
      </c>
      <c r="Z4209" s="4">
        <v>6</v>
      </c>
      <c r="AA4209" s="4">
        <v>12</v>
      </c>
      <c r="AB4209" s="4">
        <v>1</v>
      </c>
      <c r="AC4209" s="4">
        <v>4</v>
      </c>
      <c r="AD4209" s="4">
        <v>21</v>
      </c>
      <c r="AE4209" s="4">
        <v>26</v>
      </c>
      <c r="AF4209" s="4">
        <v>0</v>
      </c>
      <c r="AG4209" s="4">
        <v>2</v>
      </c>
      <c r="AH4209" s="4">
        <v>20</v>
      </c>
      <c r="AI4209" s="4">
        <v>22</v>
      </c>
      <c r="AJ4209" s="4">
        <v>3</v>
      </c>
      <c r="AK4209" s="4">
        <v>6</v>
      </c>
      <c r="AL4209" s="4">
        <v>17</v>
      </c>
      <c r="AM4209" s="4">
        <v>17</v>
      </c>
      <c r="AN4209" s="4">
        <v>0</v>
      </c>
      <c r="AO4209" s="4">
        <v>0</v>
      </c>
      <c r="AP4209" s="4">
        <v>3</v>
      </c>
      <c r="AQ4209" s="4">
        <v>8</v>
      </c>
      <c r="AR4209" s="3" t="s">
        <v>64</v>
      </c>
      <c r="AS4209" s="3" t="s">
        <v>64</v>
      </c>
      <c r="AT4209" s="3" t="s">
        <v>64</v>
      </c>
      <c r="AV4209" s="6" t="str">
        <f>HYPERLINK("http://mcgill.on.worldcat.org/oclc/707925354","Catalog Record")</f>
        <v>Catalog Record</v>
      </c>
      <c r="AW4209" s="6" t="str">
        <f>HYPERLINK("http://www.worldcat.org/oclc/707925354","WorldCat Record")</f>
        <v>WorldCat Record</v>
      </c>
      <c r="AX4209" s="3" t="s">
        <v>41273</v>
      </c>
      <c r="AY4209" s="3" t="s">
        <v>41274</v>
      </c>
      <c r="AZ4209" s="3" t="s">
        <v>41275</v>
      </c>
      <c r="BA4209" s="3" t="s">
        <v>41275</v>
      </c>
      <c r="BB4209" s="3" t="s">
        <v>41276</v>
      </c>
      <c r="BC4209" s="3" t="s">
        <v>77</v>
      </c>
      <c r="BD4209" s="3" t="s">
        <v>78</v>
      </c>
      <c r="BE4209" s="3" t="s">
        <v>41277</v>
      </c>
      <c r="BF4209" s="3" t="s">
        <v>41276</v>
      </c>
      <c r="BG4209" s="3" t="s">
        <v>41278</v>
      </c>
      <c r="BH4209">
        <f t="shared" si="115"/>
        <v>0</v>
      </c>
    </row>
    <row r="4210" spans="1:60" ht="58" x14ac:dyDescent="0.35">
      <c r="A4210" s="2" t="s">
        <v>59</v>
      </c>
      <c r="B4210" s="2" t="s">
        <v>60</v>
      </c>
      <c r="C4210" s="2" t="s">
        <v>41279</v>
      </c>
      <c r="D4210" s="2" t="s">
        <v>41280</v>
      </c>
      <c r="E4210" s="2" t="s">
        <v>41281</v>
      </c>
      <c r="F4210" s="3" t="s">
        <v>529</v>
      </c>
      <c r="G4210" s="3" t="s">
        <v>128</v>
      </c>
      <c r="I4210" s="3" t="s">
        <v>64</v>
      </c>
      <c r="J4210" s="3" t="s">
        <v>64</v>
      </c>
      <c r="K4210" s="3" t="s">
        <v>65</v>
      </c>
      <c r="L4210" s="2" t="s">
        <v>41282</v>
      </c>
      <c r="M4210" s="2" t="s">
        <v>41283</v>
      </c>
      <c r="N4210" s="3" t="s">
        <v>7800</v>
      </c>
      <c r="P4210" s="3" t="s">
        <v>68</v>
      </c>
      <c r="R4210" s="3" t="s">
        <v>70</v>
      </c>
      <c r="S4210" s="4">
        <v>1</v>
      </c>
      <c r="T4210" s="4">
        <v>1</v>
      </c>
      <c r="U4210" s="5" t="s">
        <v>724</v>
      </c>
      <c r="V4210" s="5" t="s">
        <v>724</v>
      </c>
      <c r="W4210" s="5" t="s">
        <v>72</v>
      </c>
      <c r="X4210" s="5" t="s">
        <v>72</v>
      </c>
      <c r="Y4210" s="4">
        <v>20</v>
      </c>
      <c r="Z4210" s="4">
        <v>1</v>
      </c>
      <c r="AA4210" s="4">
        <v>2</v>
      </c>
      <c r="AB4210" s="4">
        <v>1</v>
      </c>
      <c r="AC4210" s="4">
        <v>2</v>
      </c>
      <c r="AD4210" s="4">
        <v>12</v>
      </c>
      <c r="AE4210" s="4">
        <v>13</v>
      </c>
      <c r="AF4210" s="4">
        <v>0</v>
      </c>
      <c r="AG4210" s="4">
        <v>1</v>
      </c>
      <c r="AH4210" s="4">
        <v>12</v>
      </c>
      <c r="AI4210" s="4">
        <v>12</v>
      </c>
      <c r="AJ4210" s="4">
        <v>0</v>
      </c>
      <c r="AK4210" s="4">
        <v>1</v>
      </c>
      <c r="AL4210" s="4">
        <v>7</v>
      </c>
      <c r="AM4210" s="4">
        <v>7</v>
      </c>
      <c r="AN4210" s="4">
        <v>0</v>
      </c>
      <c r="AO4210" s="4">
        <v>0</v>
      </c>
      <c r="AP4210" s="4">
        <v>0</v>
      </c>
      <c r="AQ4210" s="4">
        <v>1</v>
      </c>
      <c r="AR4210" s="3" t="s">
        <v>64</v>
      </c>
      <c r="AS4210" s="3" t="s">
        <v>64</v>
      </c>
      <c r="AT4210" s="3" t="s">
        <v>64</v>
      </c>
      <c r="AV4210" s="6" t="str">
        <f>HYPERLINK("http://mcgill.on.worldcat.org/oclc/8270951","Catalog Record")</f>
        <v>Catalog Record</v>
      </c>
      <c r="AW4210" s="6" t="str">
        <f>HYPERLINK("http://www.worldcat.org/oclc/8270951","WorldCat Record")</f>
        <v>WorldCat Record</v>
      </c>
      <c r="AX4210" s="3" t="s">
        <v>41284</v>
      </c>
      <c r="AY4210" s="3" t="s">
        <v>41285</v>
      </c>
      <c r="AZ4210" s="3" t="s">
        <v>41286</v>
      </c>
      <c r="BA4210" s="3" t="s">
        <v>41286</v>
      </c>
      <c r="BB4210" s="3" t="s">
        <v>41287</v>
      </c>
      <c r="BC4210" s="3" t="s">
        <v>77</v>
      </c>
      <c r="BD4210" s="3" t="s">
        <v>78</v>
      </c>
      <c r="BF4210" s="3" t="s">
        <v>41287</v>
      </c>
      <c r="BG4210" s="3" t="s">
        <v>41288</v>
      </c>
      <c r="BH4210">
        <f t="shared" si="115"/>
        <v>0</v>
      </c>
    </row>
    <row r="4211" spans="1:60" ht="58" x14ac:dyDescent="0.35">
      <c r="A4211" s="2" t="s">
        <v>59</v>
      </c>
      <c r="B4211" s="2" t="s">
        <v>60</v>
      </c>
      <c r="C4211" s="2" t="s">
        <v>41289</v>
      </c>
      <c r="D4211" s="2" t="s">
        <v>41290</v>
      </c>
      <c r="E4211" s="2" t="s">
        <v>41291</v>
      </c>
      <c r="F4211" s="3" t="s">
        <v>525</v>
      </c>
      <c r="G4211" s="3" t="s">
        <v>128</v>
      </c>
      <c r="I4211" s="3" t="s">
        <v>64</v>
      </c>
      <c r="J4211" s="3" t="s">
        <v>64</v>
      </c>
      <c r="K4211" s="3" t="s">
        <v>65</v>
      </c>
      <c r="M4211" s="2" t="s">
        <v>41292</v>
      </c>
      <c r="N4211" s="3" t="s">
        <v>67</v>
      </c>
      <c r="P4211" s="3" t="s">
        <v>68</v>
      </c>
      <c r="Q4211" s="2" t="s">
        <v>41293</v>
      </c>
      <c r="R4211" s="3" t="s">
        <v>70</v>
      </c>
      <c r="S4211" s="4">
        <v>0</v>
      </c>
      <c r="T4211" s="4">
        <v>0</v>
      </c>
      <c r="W4211" s="5" t="s">
        <v>72</v>
      </c>
      <c r="X4211" s="5" t="s">
        <v>72</v>
      </c>
      <c r="Y4211" s="4">
        <v>32</v>
      </c>
      <c r="Z4211" s="4">
        <v>6</v>
      </c>
      <c r="AA4211" s="4">
        <v>15</v>
      </c>
      <c r="AB4211" s="4">
        <v>1</v>
      </c>
      <c r="AC4211" s="4">
        <v>8</v>
      </c>
      <c r="AD4211" s="4">
        <v>19</v>
      </c>
      <c r="AE4211" s="4">
        <v>25</v>
      </c>
      <c r="AF4211" s="4">
        <v>0</v>
      </c>
      <c r="AG4211" s="4">
        <v>4</v>
      </c>
      <c r="AH4211" s="4">
        <v>17</v>
      </c>
      <c r="AI4211" s="4">
        <v>19</v>
      </c>
      <c r="AJ4211" s="4">
        <v>4</v>
      </c>
      <c r="AK4211" s="4">
        <v>9</v>
      </c>
      <c r="AL4211" s="4">
        <v>14</v>
      </c>
      <c r="AM4211" s="4">
        <v>14</v>
      </c>
      <c r="AN4211" s="4">
        <v>0</v>
      </c>
      <c r="AO4211" s="4">
        <v>0</v>
      </c>
      <c r="AP4211" s="4">
        <v>4</v>
      </c>
      <c r="AQ4211" s="4">
        <v>9</v>
      </c>
      <c r="AR4211" s="3" t="s">
        <v>64</v>
      </c>
      <c r="AS4211" s="3" t="s">
        <v>64</v>
      </c>
      <c r="AT4211" s="3" t="s">
        <v>64</v>
      </c>
      <c r="AV4211" s="6" t="str">
        <f>HYPERLINK("http://mcgill.on.worldcat.org/oclc/896866449","Catalog Record")</f>
        <v>Catalog Record</v>
      </c>
      <c r="AW4211" s="6" t="str">
        <f>HYPERLINK("http://www.worldcat.org/oclc/896866449","WorldCat Record")</f>
        <v>WorldCat Record</v>
      </c>
      <c r="AX4211" s="3" t="s">
        <v>41294</v>
      </c>
      <c r="AY4211" s="3" t="s">
        <v>41295</v>
      </c>
      <c r="AZ4211" s="3" t="s">
        <v>41296</v>
      </c>
      <c r="BA4211" s="3" t="s">
        <v>41296</v>
      </c>
      <c r="BB4211" s="3" t="s">
        <v>41297</v>
      </c>
      <c r="BC4211" s="3" t="s">
        <v>77</v>
      </c>
      <c r="BD4211" s="3" t="s">
        <v>78</v>
      </c>
      <c r="BE4211" s="3" t="s">
        <v>41298</v>
      </c>
      <c r="BF4211" s="3" t="s">
        <v>41297</v>
      </c>
      <c r="BG4211" s="3" t="s">
        <v>41299</v>
      </c>
      <c r="BH4211">
        <f t="shared" si="115"/>
        <v>0</v>
      </c>
    </row>
    <row r="4212" spans="1:60" ht="58" x14ac:dyDescent="0.35">
      <c r="A4212" s="2" t="s">
        <v>59</v>
      </c>
      <c r="B4212" s="2" t="s">
        <v>60</v>
      </c>
      <c r="C4212" s="2" t="s">
        <v>41289</v>
      </c>
      <c r="D4212" s="2" t="s">
        <v>41290</v>
      </c>
      <c r="E4212" s="2" t="s">
        <v>41291</v>
      </c>
      <c r="F4212" s="3" t="s">
        <v>529</v>
      </c>
      <c r="G4212" s="3" t="s">
        <v>128</v>
      </c>
      <c r="I4212" s="3" t="s">
        <v>64</v>
      </c>
      <c r="J4212" s="3" t="s">
        <v>64</v>
      </c>
      <c r="K4212" s="3" t="s">
        <v>65</v>
      </c>
      <c r="M4212" s="2" t="s">
        <v>41292</v>
      </c>
      <c r="N4212" s="3" t="s">
        <v>67</v>
      </c>
      <c r="P4212" s="3" t="s">
        <v>68</v>
      </c>
      <c r="Q4212" s="2" t="s">
        <v>41293</v>
      </c>
      <c r="R4212" s="3" t="s">
        <v>70</v>
      </c>
      <c r="S4212" s="4">
        <v>0</v>
      </c>
      <c r="T4212" s="4">
        <v>0</v>
      </c>
      <c r="W4212" s="5" t="s">
        <v>72</v>
      </c>
      <c r="X4212" s="5" t="s">
        <v>72</v>
      </c>
      <c r="Y4212" s="4">
        <v>32</v>
      </c>
      <c r="Z4212" s="4">
        <v>6</v>
      </c>
      <c r="AA4212" s="4">
        <v>15</v>
      </c>
      <c r="AB4212" s="4">
        <v>1</v>
      </c>
      <c r="AC4212" s="4">
        <v>8</v>
      </c>
      <c r="AD4212" s="4">
        <v>19</v>
      </c>
      <c r="AE4212" s="4">
        <v>25</v>
      </c>
      <c r="AF4212" s="4">
        <v>0</v>
      </c>
      <c r="AG4212" s="4">
        <v>4</v>
      </c>
      <c r="AH4212" s="4">
        <v>17</v>
      </c>
      <c r="AI4212" s="4">
        <v>19</v>
      </c>
      <c r="AJ4212" s="4">
        <v>4</v>
      </c>
      <c r="AK4212" s="4">
        <v>9</v>
      </c>
      <c r="AL4212" s="4">
        <v>14</v>
      </c>
      <c r="AM4212" s="4">
        <v>14</v>
      </c>
      <c r="AN4212" s="4">
        <v>0</v>
      </c>
      <c r="AO4212" s="4">
        <v>0</v>
      </c>
      <c r="AP4212" s="4">
        <v>4</v>
      </c>
      <c r="AQ4212" s="4">
        <v>9</v>
      </c>
      <c r="AR4212" s="3" t="s">
        <v>64</v>
      </c>
      <c r="AS4212" s="3" t="s">
        <v>64</v>
      </c>
      <c r="AT4212" s="3" t="s">
        <v>64</v>
      </c>
      <c r="AV4212" s="6" t="str">
        <f>HYPERLINK("http://mcgill.on.worldcat.org/oclc/896866449","Catalog Record")</f>
        <v>Catalog Record</v>
      </c>
      <c r="AW4212" s="6" t="str">
        <f>HYPERLINK("http://www.worldcat.org/oclc/896866449","WorldCat Record")</f>
        <v>WorldCat Record</v>
      </c>
      <c r="AX4212" s="3" t="s">
        <v>41294</v>
      </c>
      <c r="AY4212" s="3" t="s">
        <v>41295</v>
      </c>
      <c r="AZ4212" s="3" t="s">
        <v>41296</v>
      </c>
      <c r="BA4212" s="3" t="s">
        <v>41296</v>
      </c>
      <c r="BB4212" s="3" t="s">
        <v>41300</v>
      </c>
      <c r="BC4212" s="3" t="s">
        <v>77</v>
      </c>
      <c r="BD4212" s="3" t="s">
        <v>78</v>
      </c>
      <c r="BE4212" s="3" t="s">
        <v>41298</v>
      </c>
      <c r="BF4212" s="3" t="s">
        <v>41300</v>
      </c>
      <c r="BG4212" s="3" t="s">
        <v>41301</v>
      </c>
      <c r="BH4212">
        <f t="shared" si="115"/>
        <v>0</v>
      </c>
    </row>
    <row r="4213" spans="1:60" ht="58" x14ac:dyDescent="0.35">
      <c r="A4213" s="2" t="s">
        <v>6202</v>
      </c>
      <c r="B4213" s="2" t="s">
        <v>6203</v>
      </c>
      <c r="C4213" s="2" t="s">
        <v>41302</v>
      </c>
      <c r="D4213" s="2" t="s">
        <v>41303</v>
      </c>
      <c r="E4213" s="2" t="s">
        <v>41304</v>
      </c>
      <c r="F4213" s="3" t="s">
        <v>41305</v>
      </c>
      <c r="G4213" s="3" t="s">
        <v>128</v>
      </c>
      <c r="I4213" s="3" t="s">
        <v>64</v>
      </c>
      <c r="J4213" s="3" t="s">
        <v>64</v>
      </c>
      <c r="K4213" s="3" t="s">
        <v>65</v>
      </c>
      <c r="M4213" s="2" t="s">
        <v>41306</v>
      </c>
      <c r="N4213" s="3" t="s">
        <v>242</v>
      </c>
      <c r="P4213" s="3" t="s">
        <v>102</v>
      </c>
      <c r="R4213" s="3" t="s">
        <v>70</v>
      </c>
      <c r="S4213" s="4">
        <v>0</v>
      </c>
      <c r="T4213" s="4">
        <v>3</v>
      </c>
      <c r="V4213" s="5" t="s">
        <v>5158</v>
      </c>
      <c r="W4213" s="5" t="s">
        <v>72</v>
      </c>
      <c r="X4213" s="5" t="s">
        <v>72</v>
      </c>
      <c r="Y4213" s="4">
        <v>730</v>
      </c>
      <c r="Z4213" s="4">
        <v>44</v>
      </c>
      <c r="AA4213" s="4">
        <v>44</v>
      </c>
      <c r="AB4213" s="4">
        <v>2</v>
      </c>
      <c r="AC4213" s="4">
        <v>2</v>
      </c>
      <c r="AD4213" s="4">
        <v>132</v>
      </c>
      <c r="AE4213" s="4">
        <v>132</v>
      </c>
      <c r="AF4213" s="4">
        <v>1</v>
      </c>
      <c r="AG4213" s="4">
        <v>1</v>
      </c>
      <c r="AH4213" s="4">
        <v>107</v>
      </c>
      <c r="AI4213" s="4">
        <v>107</v>
      </c>
      <c r="AJ4213" s="4">
        <v>20</v>
      </c>
      <c r="AK4213" s="4">
        <v>20</v>
      </c>
      <c r="AL4213" s="4">
        <v>58</v>
      </c>
      <c r="AM4213" s="4">
        <v>58</v>
      </c>
      <c r="AN4213" s="4">
        <v>0</v>
      </c>
      <c r="AO4213" s="4">
        <v>0</v>
      </c>
      <c r="AP4213" s="4">
        <v>31</v>
      </c>
      <c r="AQ4213" s="4">
        <v>31</v>
      </c>
      <c r="AR4213" s="3" t="s">
        <v>64</v>
      </c>
      <c r="AS4213" s="3" t="s">
        <v>128</v>
      </c>
      <c r="AT4213" s="3" t="s">
        <v>128</v>
      </c>
      <c r="AU4213" s="6" t="str">
        <f t="shared" ref="AU4213:AU4224" si="121">HYPERLINK("http://catalog.hathitrust.org/Record/000317385","HathiTrust Record")</f>
        <v>HathiTrust Record</v>
      </c>
      <c r="AV4213" s="6" t="str">
        <f t="shared" ref="AV4213:AV4224" si="122">HYPERLINK("http://mcgill.on.worldcat.org/oclc/581730","Catalog Record")</f>
        <v>Catalog Record</v>
      </c>
      <c r="AW4213" s="6" t="str">
        <f t="shared" ref="AW4213:AW4224" si="123">HYPERLINK("http://www.worldcat.org/oclc/581730","WorldCat Record")</f>
        <v>WorldCat Record</v>
      </c>
      <c r="AX4213" s="3" t="s">
        <v>41307</v>
      </c>
      <c r="AY4213" s="3" t="s">
        <v>41308</v>
      </c>
      <c r="AZ4213" s="3" t="s">
        <v>41309</v>
      </c>
      <c r="BA4213" s="3" t="s">
        <v>41309</v>
      </c>
      <c r="BB4213" s="3" t="s">
        <v>41310</v>
      </c>
      <c r="BC4213" s="3" t="s">
        <v>77</v>
      </c>
      <c r="BD4213" s="3" t="s">
        <v>78</v>
      </c>
      <c r="BE4213" s="3" t="s">
        <v>41311</v>
      </c>
      <c r="BF4213" s="3" t="s">
        <v>41310</v>
      </c>
      <c r="BG4213" s="3" t="s">
        <v>41312</v>
      </c>
      <c r="BH4213">
        <f t="shared" si="115"/>
        <v>0</v>
      </c>
    </row>
    <row r="4214" spans="1:60" ht="58" x14ac:dyDescent="0.35">
      <c r="A4214" s="2" t="s">
        <v>6202</v>
      </c>
      <c r="B4214" s="2" t="s">
        <v>6203</v>
      </c>
      <c r="C4214" s="2" t="s">
        <v>41302</v>
      </c>
      <c r="D4214" s="2" t="s">
        <v>41303</v>
      </c>
      <c r="E4214" s="2" t="s">
        <v>41304</v>
      </c>
      <c r="F4214" s="3" t="s">
        <v>509</v>
      </c>
      <c r="G4214" s="3" t="s">
        <v>128</v>
      </c>
      <c r="I4214" s="3" t="s">
        <v>64</v>
      </c>
      <c r="J4214" s="3" t="s">
        <v>64</v>
      </c>
      <c r="K4214" s="3" t="s">
        <v>65</v>
      </c>
      <c r="M4214" s="2" t="s">
        <v>41306</v>
      </c>
      <c r="N4214" s="3" t="s">
        <v>242</v>
      </c>
      <c r="P4214" s="3" t="s">
        <v>102</v>
      </c>
      <c r="R4214" s="3" t="s">
        <v>70</v>
      </c>
      <c r="S4214" s="4">
        <v>0</v>
      </c>
      <c r="T4214" s="4">
        <v>3</v>
      </c>
      <c r="V4214" s="5" t="s">
        <v>5158</v>
      </c>
      <c r="W4214" s="5" t="s">
        <v>72</v>
      </c>
      <c r="X4214" s="5" t="s">
        <v>72</v>
      </c>
      <c r="Y4214" s="4">
        <v>730</v>
      </c>
      <c r="Z4214" s="4">
        <v>44</v>
      </c>
      <c r="AA4214" s="4">
        <v>44</v>
      </c>
      <c r="AB4214" s="4">
        <v>2</v>
      </c>
      <c r="AC4214" s="4">
        <v>2</v>
      </c>
      <c r="AD4214" s="4">
        <v>132</v>
      </c>
      <c r="AE4214" s="4">
        <v>132</v>
      </c>
      <c r="AF4214" s="4">
        <v>1</v>
      </c>
      <c r="AG4214" s="4">
        <v>1</v>
      </c>
      <c r="AH4214" s="4">
        <v>107</v>
      </c>
      <c r="AI4214" s="4">
        <v>107</v>
      </c>
      <c r="AJ4214" s="4">
        <v>20</v>
      </c>
      <c r="AK4214" s="4">
        <v>20</v>
      </c>
      <c r="AL4214" s="4">
        <v>58</v>
      </c>
      <c r="AM4214" s="4">
        <v>58</v>
      </c>
      <c r="AN4214" s="4">
        <v>0</v>
      </c>
      <c r="AO4214" s="4">
        <v>0</v>
      </c>
      <c r="AP4214" s="4">
        <v>31</v>
      </c>
      <c r="AQ4214" s="4">
        <v>31</v>
      </c>
      <c r="AR4214" s="3" t="s">
        <v>64</v>
      </c>
      <c r="AS4214" s="3" t="s">
        <v>128</v>
      </c>
      <c r="AT4214" s="3" t="s">
        <v>128</v>
      </c>
      <c r="AU4214" s="6" t="str">
        <f t="shared" si="121"/>
        <v>HathiTrust Record</v>
      </c>
      <c r="AV4214" s="6" t="str">
        <f t="shared" si="122"/>
        <v>Catalog Record</v>
      </c>
      <c r="AW4214" s="6" t="str">
        <f t="shared" si="123"/>
        <v>WorldCat Record</v>
      </c>
      <c r="AX4214" s="3" t="s">
        <v>41307</v>
      </c>
      <c r="AY4214" s="3" t="s">
        <v>41308</v>
      </c>
      <c r="AZ4214" s="3" t="s">
        <v>41309</v>
      </c>
      <c r="BA4214" s="3" t="s">
        <v>41309</v>
      </c>
      <c r="BB4214" s="3" t="s">
        <v>41313</v>
      </c>
      <c r="BC4214" s="3" t="s">
        <v>77</v>
      </c>
      <c r="BD4214" s="3" t="s">
        <v>78</v>
      </c>
      <c r="BE4214" s="3" t="s">
        <v>41311</v>
      </c>
      <c r="BF4214" s="3" t="s">
        <v>41313</v>
      </c>
      <c r="BG4214" s="3" t="s">
        <v>41314</v>
      </c>
      <c r="BH4214">
        <f t="shared" si="115"/>
        <v>0</v>
      </c>
    </row>
    <row r="4215" spans="1:60" ht="58" x14ac:dyDescent="0.35">
      <c r="A4215" s="2" t="s">
        <v>6202</v>
      </c>
      <c r="B4215" s="2" t="s">
        <v>6203</v>
      </c>
      <c r="C4215" s="2" t="s">
        <v>41302</v>
      </c>
      <c r="D4215" s="2" t="s">
        <v>41303</v>
      </c>
      <c r="E4215" s="2" t="s">
        <v>41304</v>
      </c>
      <c r="F4215" s="3" t="s">
        <v>41315</v>
      </c>
      <c r="G4215" s="3" t="s">
        <v>128</v>
      </c>
      <c r="I4215" s="3" t="s">
        <v>64</v>
      </c>
      <c r="J4215" s="3" t="s">
        <v>64</v>
      </c>
      <c r="K4215" s="3" t="s">
        <v>65</v>
      </c>
      <c r="M4215" s="2" t="s">
        <v>41306</v>
      </c>
      <c r="N4215" s="3" t="s">
        <v>242</v>
      </c>
      <c r="P4215" s="3" t="s">
        <v>102</v>
      </c>
      <c r="R4215" s="3" t="s">
        <v>70</v>
      </c>
      <c r="S4215" s="4">
        <v>1</v>
      </c>
      <c r="T4215" s="4">
        <v>3</v>
      </c>
      <c r="U4215" s="5" t="s">
        <v>5158</v>
      </c>
      <c r="V4215" s="5" t="s">
        <v>5158</v>
      </c>
      <c r="W4215" s="5" t="s">
        <v>72</v>
      </c>
      <c r="X4215" s="5" t="s">
        <v>72</v>
      </c>
      <c r="Y4215" s="4">
        <v>730</v>
      </c>
      <c r="Z4215" s="4">
        <v>44</v>
      </c>
      <c r="AA4215" s="4">
        <v>44</v>
      </c>
      <c r="AB4215" s="4">
        <v>2</v>
      </c>
      <c r="AC4215" s="4">
        <v>2</v>
      </c>
      <c r="AD4215" s="4">
        <v>132</v>
      </c>
      <c r="AE4215" s="4">
        <v>132</v>
      </c>
      <c r="AF4215" s="4">
        <v>1</v>
      </c>
      <c r="AG4215" s="4">
        <v>1</v>
      </c>
      <c r="AH4215" s="4">
        <v>107</v>
      </c>
      <c r="AI4215" s="4">
        <v>107</v>
      </c>
      <c r="AJ4215" s="4">
        <v>20</v>
      </c>
      <c r="AK4215" s="4">
        <v>20</v>
      </c>
      <c r="AL4215" s="4">
        <v>58</v>
      </c>
      <c r="AM4215" s="4">
        <v>58</v>
      </c>
      <c r="AN4215" s="4">
        <v>0</v>
      </c>
      <c r="AO4215" s="4">
        <v>0</v>
      </c>
      <c r="AP4215" s="4">
        <v>31</v>
      </c>
      <c r="AQ4215" s="4">
        <v>31</v>
      </c>
      <c r="AR4215" s="3" t="s">
        <v>64</v>
      </c>
      <c r="AS4215" s="3" t="s">
        <v>128</v>
      </c>
      <c r="AT4215" s="3" t="s">
        <v>128</v>
      </c>
      <c r="AU4215" s="6" t="str">
        <f t="shared" si="121"/>
        <v>HathiTrust Record</v>
      </c>
      <c r="AV4215" s="6" t="str">
        <f t="shared" si="122"/>
        <v>Catalog Record</v>
      </c>
      <c r="AW4215" s="6" t="str">
        <f t="shared" si="123"/>
        <v>WorldCat Record</v>
      </c>
      <c r="AX4215" s="3" t="s">
        <v>41307</v>
      </c>
      <c r="AY4215" s="3" t="s">
        <v>41308</v>
      </c>
      <c r="AZ4215" s="3" t="s">
        <v>41309</v>
      </c>
      <c r="BA4215" s="3" t="s">
        <v>41309</v>
      </c>
      <c r="BB4215" s="3" t="s">
        <v>41316</v>
      </c>
      <c r="BC4215" s="3" t="s">
        <v>77</v>
      </c>
      <c r="BD4215" s="3" t="s">
        <v>78</v>
      </c>
      <c r="BE4215" s="3" t="s">
        <v>41311</v>
      </c>
      <c r="BF4215" s="3" t="s">
        <v>41316</v>
      </c>
      <c r="BG4215" s="3" t="s">
        <v>41317</v>
      </c>
      <c r="BH4215">
        <f t="shared" si="115"/>
        <v>0</v>
      </c>
    </row>
    <row r="4216" spans="1:60" ht="58" x14ac:dyDescent="0.35">
      <c r="A4216" s="2" t="s">
        <v>6202</v>
      </c>
      <c r="B4216" s="2" t="s">
        <v>6203</v>
      </c>
      <c r="C4216" s="2" t="s">
        <v>41302</v>
      </c>
      <c r="D4216" s="2" t="s">
        <v>41303</v>
      </c>
      <c r="E4216" s="2" t="s">
        <v>41304</v>
      </c>
      <c r="F4216" s="3" t="s">
        <v>41318</v>
      </c>
      <c r="G4216" s="3" t="s">
        <v>128</v>
      </c>
      <c r="I4216" s="3" t="s">
        <v>64</v>
      </c>
      <c r="J4216" s="3" t="s">
        <v>64</v>
      </c>
      <c r="K4216" s="3" t="s">
        <v>65</v>
      </c>
      <c r="M4216" s="2" t="s">
        <v>41306</v>
      </c>
      <c r="N4216" s="3" t="s">
        <v>242</v>
      </c>
      <c r="P4216" s="3" t="s">
        <v>102</v>
      </c>
      <c r="R4216" s="3" t="s">
        <v>70</v>
      </c>
      <c r="S4216" s="4">
        <v>1</v>
      </c>
      <c r="T4216" s="4">
        <v>3</v>
      </c>
      <c r="U4216" s="5" t="s">
        <v>34878</v>
      </c>
      <c r="V4216" s="5" t="s">
        <v>5158</v>
      </c>
      <c r="W4216" s="5" t="s">
        <v>72</v>
      </c>
      <c r="X4216" s="5" t="s">
        <v>72</v>
      </c>
      <c r="Y4216" s="4">
        <v>730</v>
      </c>
      <c r="Z4216" s="4">
        <v>44</v>
      </c>
      <c r="AA4216" s="4">
        <v>44</v>
      </c>
      <c r="AB4216" s="4">
        <v>2</v>
      </c>
      <c r="AC4216" s="4">
        <v>2</v>
      </c>
      <c r="AD4216" s="4">
        <v>132</v>
      </c>
      <c r="AE4216" s="4">
        <v>132</v>
      </c>
      <c r="AF4216" s="4">
        <v>1</v>
      </c>
      <c r="AG4216" s="4">
        <v>1</v>
      </c>
      <c r="AH4216" s="4">
        <v>107</v>
      </c>
      <c r="AI4216" s="4">
        <v>107</v>
      </c>
      <c r="AJ4216" s="4">
        <v>20</v>
      </c>
      <c r="AK4216" s="4">
        <v>20</v>
      </c>
      <c r="AL4216" s="4">
        <v>58</v>
      </c>
      <c r="AM4216" s="4">
        <v>58</v>
      </c>
      <c r="AN4216" s="4">
        <v>0</v>
      </c>
      <c r="AO4216" s="4">
        <v>0</v>
      </c>
      <c r="AP4216" s="4">
        <v>31</v>
      </c>
      <c r="AQ4216" s="4">
        <v>31</v>
      </c>
      <c r="AR4216" s="3" t="s">
        <v>64</v>
      </c>
      <c r="AS4216" s="3" t="s">
        <v>128</v>
      </c>
      <c r="AT4216" s="3" t="s">
        <v>128</v>
      </c>
      <c r="AU4216" s="6" t="str">
        <f t="shared" si="121"/>
        <v>HathiTrust Record</v>
      </c>
      <c r="AV4216" s="6" t="str">
        <f t="shared" si="122"/>
        <v>Catalog Record</v>
      </c>
      <c r="AW4216" s="6" t="str">
        <f t="shared" si="123"/>
        <v>WorldCat Record</v>
      </c>
      <c r="AX4216" s="3" t="s">
        <v>41307</v>
      </c>
      <c r="AY4216" s="3" t="s">
        <v>41308</v>
      </c>
      <c r="AZ4216" s="3" t="s">
        <v>41309</v>
      </c>
      <c r="BA4216" s="3" t="s">
        <v>41309</v>
      </c>
      <c r="BB4216" s="3" t="s">
        <v>41319</v>
      </c>
      <c r="BC4216" s="3" t="s">
        <v>77</v>
      </c>
      <c r="BD4216" s="3" t="s">
        <v>78</v>
      </c>
      <c r="BE4216" s="3" t="s">
        <v>41311</v>
      </c>
      <c r="BF4216" s="3" t="s">
        <v>41319</v>
      </c>
      <c r="BG4216" s="3" t="s">
        <v>41320</v>
      </c>
      <c r="BH4216">
        <f t="shared" si="115"/>
        <v>0</v>
      </c>
    </row>
    <row r="4217" spans="1:60" ht="58" x14ac:dyDescent="0.35">
      <c r="A4217" s="2" t="s">
        <v>6202</v>
      </c>
      <c r="B4217" s="2" t="s">
        <v>6203</v>
      </c>
      <c r="C4217" s="2" t="s">
        <v>41302</v>
      </c>
      <c r="D4217" s="2" t="s">
        <v>41303</v>
      </c>
      <c r="E4217" s="2" t="s">
        <v>41304</v>
      </c>
      <c r="F4217" s="3" t="s">
        <v>522</v>
      </c>
      <c r="G4217" s="3" t="s">
        <v>128</v>
      </c>
      <c r="I4217" s="3" t="s">
        <v>64</v>
      </c>
      <c r="J4217" s="3" t="s">
        <v>64</v>
      </c>
      <c r="K4217" s="3" t="s">
        <v>65</v>
      </c>
      <c r="M4217" s="2" t="s">
        <v>41306</v>
      </c>
      <c r="N4217" s="3" t="s">
        <v>242</v>
      </c>
      <c r="P4217" s="3" t="s">
        <v>102</v>
      </c>
      <c r="R4217" s="3" t="s">
        <v>70</v>
      </c>
      <c r="S4217" s="4">
        <v>1</v>
      </c>
      <c r="T4217" s="4">
        <v>3</v>
      </c>
      <c r="U4217" s="5" t="s">
        <v>34878</v>
      </c>
      <c r="V4217" s="5" t="s">
        <v>5158</v>
      </c>
      <c r="W4217" s="5" t="s">
        <v>72</v>
      </c>
      <c r="X4217" s="5" t="s">
        <v>72</v>
      </c>
      <c r="Y4217" s="4">
        <v>730</v>
      </c>
      <c r="Z4217" s="4">
        <v>44</v>
      </c>
      <c r="AA4217" s="4">
        <v>44</v>
      </c>
      <c r="AB4217" s="4">
        <v>2</v>
      </c>
      <c r="AC4217" s="4">
        <v>2</v>
      </c>
      <c r="AD4217" s="4">
        <v>132</v>
      </c>
      <c r="AE4217" s="4">
        <v>132</v>
      </c>
      <c r="AF4217" s="4">
        <v>1</v>
      </c>
      <c r="AG4217" s="4">
        <v>1</v>
      </c>
      <c r="AH4217" s="4">
        <v>107</v>
      </c>
      <c r="AI4217" s="4">
        <v>107</v>
      </c>
      <c r="AJ4217" s="4">
        <v>20</v>
      </c>
      <c r="AK4217" s="4">
        <v>20</v>
      </c>
      <c r="AL4217" s="4">
        <v>58</v>
      </c>
      <c r="AM4217" s="4">
        <v>58</v>
      </c>
      <c r="AN4217" s="4">
        <v>0</v>
      </c>
      <c r="AO4217" s="4">
        <v>0</v>
      </c>
      <c r="AP4217" s="4">
        <v>31</v>
      </c>
      <c r="AQ4217" s="4">
        <v>31</v>
      </c>
      <c r="AR4217" s="3" t="s">
        <v>64</v>
      </c>
      <c r="AS4217" s="3" t="s">
        <v>128</v>
      </c>
      <c r="AT4217" s="3" t="s">
        <v>128</v>
      </c>
      <c r="AU4217" s="6" t="str">
        <f t="shared" si="121"/>
        <v>HathiTrust Record</v>
      </c>
      <c r="AV4217" s="6" t="str">
        <f t="shared" si="122"/>
        <v>Catalog Record</v>
      </c>
      <c r="AW4217" s="6" t="str">
        <f t="shared" si="123"/>
        <v>WorldCat Record</v>
      </c>
      <c r="AX4217" s="3" t="s">
        <v>41307</v>
      </c>
      <c r="AY4217" s="3" t="s">
        <v>41308</v>
      </c>
      <c r="AZ4217" s="3" t="s">
        <v>41309</v>
      </c>
      <c r="BA4217" s="3" t="s">
        <v>41309</v>
      </c>
      <c r="BB4217" s="3" t="s">
        <v>41321</v>
      </c>
      <c r="BC4217" s="3" t="s">
        <v>77</v>
      </c>
      <c r="BD4217" s="3" t="s">
        <v>78</v>
      </c>
      <c r="BE4217" s="3" t="s">
        <v>41311</v>
      </c>
      <c r="BF4217" s="3" t="s">
        <v>41321</v>
      </c>
      <c r="BG4217" s="3" t="s">
        <v>41322</v>
      </c>
      <c r="BH4217">
        <f t="shared" si="115"/>
        <v>0</v>
      </c>
    </row>
    <row r="4218" spans="1:60" ht="58" x14ac:dyDescent="0.35">
      <c r="A4218" s="2" t="s">
        <v>6202</v>
      </c>
      <c r="B4218" s="2" t="s">
        <v>6203</v>
      </c>
      <c r="C4218" s="2" t="s">
        <v>41302</v>
      </c>
      <c r="D4218" s="2" t="s">
        <v>41303</v>
      </c>
      <c r="E4218" s="2" t="s">
        <v>41304</v>
      </c>
      <c r="F4218" s="3" t="s">
        <v>41323</v>
      </c>
      <c r="G4218" s="3" t="s">
        <v>128</v>
      </c>
      <c r="I4218" s="3" t="s">
        <v>64</v>
      </c>
      <c r="J4218" s="3" t="s">
        <v>64</v>
      </c>
      <c r="K4218" s="3" t="s">
        <v>65</v>
      </c>
      <c r="M4218" s="2" t="s">
        <v>41306</v>
      </c>
      <c r="N4218" s="3" t="s">
        <v>242</v>
      </c>
      <c r="P4218" s="3" t="s">
        <v>102</v>
      </c>
      <c r="R4218" s="3" t="s">
        <v>70</v>
      </c>
      <c r="S4218" s="4">
        <v>0</v>
      </c>
      <c r="T4218" s="4">
        <v>3</v>
      </c>
      <c r="V4218" s="5" t="s">
        <v>5158</v>
      </c>
      <c r="W4218" s="5" t="s">
        <v>72</v>
      </c>
      <c r="X4218" s="5" t="s">
        <v>72</v>
      </c>
      <c r="Y4218" s="4">
        <v>730</v>
      </c>
      <c r="Z4218" s="4">
        <v>44</v>
      </c>
      <c r="AA4218" s="4">
        <v>44</v>
      </c>
      <c r="AB4218" s="4">
        <v>2</v>
      </c>
      <c r="AC4218" s="4">
        <v>2</v>
      </c>
      <c r="AD4218" s="4">
        <v>132</v>
      </c>
      <c r="AE4218" s="4">
        <v>132</v>
      </c>
      <c r="AF4218" s="4">
        <v>1</v>
      </c>
      <c r="AG4218" s="4">
        <v>1</v>
      </c>
      <c r="AH4218" s="4">
        <v>107</v>
      </c>
      <c r="AI4218" s="4">
        <v>107</v>
      </c>
      <c r="AJ4218" s="4">
        <v>20</v>
      </c>
      <c r="AK4218" s="4">
        <v>20</v>
      </c>
      <c r="AL4218" s="4">
        <v>58</v>
      </c>
      <c r="AM4218" s="4">
        <v>58</v>
      </c>
      <c r="AN4218" s="4">
        <v>0</v>
      </c>
      <c r="AO4218" s="4">
        <v>0</v>
      </c>
      <c r="AP4218" s="4">
        <v>31</v>
      </c>
      <c r="AQ4218" s="4">
        <v>31</v>
      </c>
      <c r="AR4218" s="3" t="s">
        <v>64</v>
      </c>
      <c r="AS4218" s="3" t="s">
        <v>128</v>
      </c>
      <c r="AT4218" s="3" t="s">
        <v>128</v>
      </c>
      <c r="AU4218" s="6" t="str">
        <f t="shared" si="121"/>
        <v>HathiTrust Record</v>
      </c>
      <c r="AV4218" s="6" t="str">
        <f t="shared" si="122"/>
        <v>Catalog Record</v>
      </c>
      <c r="AW4218" s="6" t="str">
        <f t="shared" si="123"/>
        <v>WorldCat Record</v>
      </c>
      <c r="AX4218" s="3" t="s">
        <v>41307</v>
      </c>
      <c r="AY4218" s="3" t="s">
        <v>41308</v>
      </c>
      <c r="AZ4218" s="3" t="s">
        <v>41309</v>
      </c>
      <c r="BA4218" s="3" t="s">
        <v>41309</v>
      </c>
      <c r="BB4218" s="3" t="s">
        <v>41324</v>
      </c>
      <c r="BC4218" s="3" t="s">
        <v>77</v>
      </c>
      <c r="BD4218" s="3" t="s">
        <v>78</v>
      </c>
      <c r="BE4218" s="3" t="s">
        <v>41311</v>
      </c>
      <c r="BF4218" s="3" t="s">
        <v>41324</v>
      </c>
      <c r="BG4218" s="3" t="s">
        <v>41325</v>
      </c>
      <c r="BH4218">
        <f t="shared" si="115"/>
        <v>0</v>
      </c>
    </row>
    <row r="4219" spans="1:60" ht="58" x14ac:dyDescent="0.35">
      <c r="A4219" s="2" t="s">
        <v>6202</v>
      </c>
      <c r="B4219" s="2" t="s">
        <v>6203</v>
      </c>
      <c r="C4219" s="2" t="s">
        <v>41302</v>
      </c>
      <c r="D4219" s="2" t="s">
        <v>41303</v>
      </c>
      <c r="E4219" s="2" t="s">
        <v>41304</v>
      </c>
      <c r="F4219" s="3" t="s">
        <v>41326</v>
      </c>
      <c r="G4219" s="3" t="s">
        <v>128</v>
      </c>
      <c r="I4219" s="3" t="s">
        <v>64</v>
      </c>
      <c r="J4219" s="3" t="s">
        <v>64</v>
      </c>
      <c r="K4219" s="3" t="s">
        <v>65</v>
      </c>
      <c r="M4219" s="2" t="s">
        <v>41306</v>
      </c>
      <c r="N4219" s="3" t="s">
        <v>242</v>
      </c>
      <c r="P4219" s="3" t="s">
        <v>102</v>
      </c>
      <c r="R4219" s="3" t="s">
        <v>70</v>
      </c>
      <c r="S4219" s="4">
        <v>0</v>
      </c>
      <c r="T4219" s="4">
        <v>3</v>
      </c>
      <c r="V4219" s="5" t="s">
        <v>5158</v>
      </c>
      <c r="W4219" s="5" t="s">
        <v>72</v>
      </c>
      <c r="X4219" s="5" t="s">
        <v>72</v>
      </c>
      <c r="Y4219" s="4">
        <v>730</v>
      </c>
      <c r="Z4219" s="4">
        <v>44</v>
      </c>
      <c r="AA4219" s="4">
        <v>44</v>
      </c>
      <c r="AB4219" s="4">
        <v>2</v>
      </c>
      <c r="AC4219" s="4">
        <v>2</v>
      </c>
      <c r="AD4219" s="4">
        <v>132</v>
      </c>
      <c r="AE4219" s="4">
        <v>132</v>
      </c>
      <c r="AF4219" s="4">
        <v>1</v>
      </c>
      <c r="AG4219" s="4">
        <v>1</v>
      </c>
      <c r="AH4219" s="4">
        <v>107</v>
      </c>
      <c r="AI4219" s="4">
        <v>107</v>
      </c>
      <c r="AJ4219" s="4">
        <v>20</v>
      </c>
      <c r="AK4219" s="4">
        <v>20</v>
      </c>
      <c r="AL4219" s="4">
        <v>58</v>
      </c>
      <c r="AM4219" s="4">
        <v>58</v>
      </c>
      <c r="AN4219" s="4">
        <v>0</v>
      </c>
      <c r="AO4219" s="4">
        <v>0</v>
      </c>
      <c r="AP4219" s="4">
        <v>31</v>
      </c>
      <c r="AQ4219" s="4">
        <v>31</v>
      </c>
      <c r="AR4219" s="3" t="s">
        <v>64</v>
      </c>
      <c r="AS4219" s="3" t="s">
        <v>128</v>
      </c>
      <c r="AT4219" s="3" t="s">
        <v>128</v>
      </c>
      <c r="AU4219" s="6" t="str">
        <f t="shared" si="121"/>
        <v>HathiTrust Record</v>
      </c>
      <c r="AV4219" s="6" t="str">
        <f t="shared" si="122"/>
        <v>Catalog Record</v>
      </c>
      <c r="AW4219" s="6" t="str">
        <f t="shared" si="123"/>
        <v>WorldCat Record</v>
      </c>
      <c r="AX4219" s="3" t="s">
        <v>41307</v>
      </c>
      <c r="AY4219" s="3" t="s">
        <v>41308</v>
      </c>
      <c r="AZ4219" s="3" t="s">
        <v>41309</v>
      </c>
      <c r="BA4219" s="3" t="s">
        <v>41309</v>
      </c>
      <c r="BB4219" s="3" t="s">
        <v>41327</v>
      </c>
      <c r="BC4219" s="3" t="s">
        <v>77</v>
      </c>
      <c r="BD4219" s="3" t="s">
        <v>78</v>
      </c>
      <c r="BE4219" s="3" t="s">
        <v>41311</v>
      </c>
      <c r="BF4219" s="3" t="s">
        <v>41327</v>
      </c>
      <c r="BG4219" s="3" t="s">
        <v>41328</v>
      </c>
      <c r="BH4219">
        <f t="shared" si="115"/>
        <v>0</v>
      </c>
    </row>
    <row r="4220" spans="1:60" ht="58" x14ac:dyDescent="0.35">
      <c r="A4220" s="2" t="s">
        <v>6202</v>
      </c>
      <c r="B4220" s="2" t="s">
        <v>6203</v>
      </c>
      <c r="C4220" s="2" t="s">
        <v>41302</v>
      </c>
      <c r="D4220" s="2" t="s">
        <v>41303</v>
      </c>
      <c r="E4220" s="2" t="s">
        <v>41304</v>
      </c>
      <c r="F4220" s="3" t="s">
        <v>41329</v>
      </c>
      <c r="G4220" s="3" t="s">
        <v>128</v>
      </c>
      <c r="I4220" s="3" t="s">
        <v>64</v>
      </c>
      <c r="J4220" s="3" t="s">
        <v>64</v>
      </c>
      <c r="K4220" s="3" t="s">
        <v>65</v>
      </c>
      <c r="M4220" s="2" t="s">
        <v>41306</v>
      </c>
      <c r="N4220" s="3" t="s">
        <v>242</v>
      </c>
      <c r="P4220" s="3" t="s">
        <v>102</v>
      </c>
      <c r="R4220" s="3" t="s">
        <v>70</v>
      </c>
      <c r="S4220" s="4">
        <v>0</v>
      </c>
      <c r="T4220" s="4">
        <v>3</v>
      </c>
      <c r="V4220" s="5" t="s">
        <v>5158</v>
      </c>
      <c r="W4220" s="5" t="s">
        <v>72</v>
      </c>
      <c r="X4220" s="5" t="s">
        <v>72</v>
      </c>
      <c r="Y4220" s="4">
        <v>730</v>
      </c>
      <c r="Z4220" s="4">
        <v>44</v>
      </c>
      <c r="AA4220" s="4">
        <v>44</v>
      </c>
      <c r="AB4220" s="4">
        <v>2</v>
      </c>
      <c r="AC4220" s="4">
        <v>2</v>
      </c>
      <c r="AD4220" s="4">
        <v>132</v>
      </c>
      <c r="AE4220" s="4">
        <v>132</v>
      </c>
      <c r="AF4220" s="4">
        <v>1</v>
      </c>
      <c r="AG4220" s="4">
        <v>1</v>
      </c>
      <c r="AH4220" s="4">
        <v>107</v>
      </c>
      <c r="AI4220" s="4">
        <v>107</v>
      </c>
      <c r="AJ4220" s="4">
        <v>20</v>
      </c>
      <c r="AK4220" s="4">
        <v>20</v>
      </c>
      <c r="AL4220" s="4">
        <v>58</v>
      </c>
      <c r="AM4220" s="4">
        <v>58</v>
      </c>
      <c r="AN4220" s="4">
        <v>0</v>
      </c>
      <c r="AO4220" s="4">
        <v>0</v>
      </c>
      <c r="AP4220" s="4">
        <v>31</v>
      </c>
      <c r="AQ4220" s="4">
        <v>31</v>
      </c>
      <c r="AR4220" s="3" t="s">
        <v>64</v>
      </c>
      <c r="AS4220" s="3" t="s">
        <v>128</v>
      </c>
      <c r="AT4220" s="3" t="s">
        <v>128</v>
      </c>
      <c r="AU4220" s="6" t="str">
        <f t="shared" si="121"/>
        <v>HathiTrust Record</v>
      </c>
      <c r="AV4220" s="6" t="str">
        <f t="shared" si="122"/>
        <v>Catalog Record</v>
      </c>
      <c r="AW4220" s="6" t="str">
        <f t="shared" si="123"/>
        <v>WorldCat Record</v>
      </c>
      <c r="AX4220" s="3" t="s">
        <v>41307</v>
      </c>
      <c r="AY4220" s="3" t="s">
        <v>41308</v>
      </c>
      <c r="AZ4220" s="3" t="s">
        <v>41309</v>
      </c>
      <c r="BA4220" s="3" t="s">
        <v>41309</v>
      </c>
      <c r="BB4220" s="3" t="s">
        <v>41330</v>
      </c>
      <c r="BC4220" s="3" t="s">
        <v>77</v>
      </c>
      <c r="BD4220" s="3" t="s">
        <v>78</v>
      </c>
      <c r="BE4220" s="3" t="s">
        <v>41311</v>
      </c>
      <c r="BF4220" s="3" t="s">
        <v>41330</v>
      </c>
      <c r="BG4220" s="3" t="s">
        <v>41331</v>
      </c>
      <c r="BH4220">
        <f t="shared" si="115"/>
        <v>0</v>
      </c>
    </row>
    <row r="4221" spans="1:60" ht="58" x14ac:dyDescent="0.35">
      <c r="A4221" s="2" t="s">
        <v>6202</v>
      </c>
      <c r="B4221" s="2" t="s">
        <v>6203</v>
      </c>
      <c r="C4221" s="2" t="s">
        <v>41302</v>
      </c>
      <c r="D4221" s="2" t="s">
        <v>41303</v>
      </c>
      <c r="E4221" s="2" t="s">
        <v>41304</v>
      </c>
      <c r="F4221" s="3" t="s">
        <v>41332</v>
      </c>
      <c r="G4221" s="3" t="s">
        <v>128</v>
      </c>
      <c r="I4221" s="3" t="s">
        <v>64</v>
      </c>
      <c r="J4221" s="3" t="s">
        <v>64</v>
      </c>
      <c r="K4221" s="3" t="s">
        <v>65</v>
      </c>
      <c r="M4221" s="2" t="s">
        <v>41306</v>
      </c>
      <c r="N4221" s="3" t="s">
        <v>242</v>
      </c>
      <c r="P4221" s="3" t="s">
        <v>102</v>
      </c>
      <c r="R4221" s="3" t="s">
        <v>70</v>
      </c>
      <c r="S4221" s="4">
        <v>0</v>
      </c>
      <c r="T4221" s="4">
        <v>3</v>
      </c>
      <c r="V4221" s="5" t="s">
        <v>5158</v>
      </c>
      <c r="W4221" s="5" t="s">
        <v>72</v>
      </c>
      <c r="X4221" s="5" t="s">
        <v>72</v>
      </c>
      <c r="Y4221" s="4">
        <v>730</v>
      </c>
      <c r="Z4221" s="4">
        <v>44</v>
      </c>
      <c r="AA4221" s="4">
        <v>44</v>
      </c>
      <c r="AB4221" s="4">
        <v>2</v>
      </c>
      <c r="AC4221" s="4">
        <v>2</v>
      </c>
      <c r="AD4221" s="4">
        <v>132</v>
      </c>
      <c r="AE4221" s="4">
        <v>132</v>
      </c>
      <c r="AF4221" s="4">
        <v>1</v>
      </c>
      <c r="AG4221" s="4">
        <v>1</v>
      </c>
      <c r="AH4221" s="4">
        <v>107</v>
      </c>
      <c r="AI4221" s="4">
        <v>107</v>
      </c>
      <c r="AJ4221" s="4">
        <v>20</v>
      </c>
      <c r="AK4221" s="4">
        <v>20</v>
      </c>
      <c r="AL4221" s="4">
        <v>58</v>
      </c>
      <c r="AM4221" s="4">
        <v>58</v>
      </c>
      <c r="AN4221" s="4">
        <v>0</v>
      </c>
      <c r="AO4221" s="4">
        <v>0</v>
      </c>
      <c r="AP4221" s="4">
        <v>31</v>
      </c>
      <c r="AQ4221" s="4">
        <v>31</v>
      </c>
      <c r="AR4221" s="3" t="s">
        <v>64</v>
      </c>
      <c r="AS4221" s="3" t="s">
        <v>128</v>
      </c>
      <c r="AT4221" s="3" t="s">
        <v>128</v>
      </c>
      <c r="AU4221" s="6" t="str">
        <f t="shared" si="121"/>
        <v>HathiTrust Record</v>
      </c>
      <c r="AV4221" s="6" t="str">
        <f t="shared" si="122"/>
        <v>Catalog Record</v>
      </c>
      <c r="AW4221" s="6" t="str">
        <f t="shared" si="123"/>
        <v>WorldCat Record</v>
      </c>
      <c r="AX4221" s="3" t="s">
        <v>41307</v>
      </c>
      <c r="AY4221" s="3" t="s">
        <v>41308</v>
      </c>
      <c r="AZ4221" s="3" t="s">
        <v>41309</v>
      </c>
      <c r="BA4221" s="3" t="s">
        <v>41309</v>
      </c>
      <c r="BB4221" s="3" t="s">
        <v>41333</v>
      </c>
      <c r="BC4221" s="3" t="s">
        <v>77</v>
      </c>
      <c r="BD4221" s="3" t="s">
        <v>78</v>
      </c>
      <c r="BE4221" s="3" t="s">
        <v>41311</v>
      </c>
      <c r="BF4221" s="3" t="s">
        <v>41333</v>
      </c>
      <c r="BG4221" s="3" t="s">
        <v>41334</v>
      </c>
      <c r="BH4221">
        <f t="shared" si="115"/>
        <v>0</v>
      </c>
    </row>
    <row r="4222" spans="1:60" ht="58" x14ac:dyDescent="0.35">
      <c r="A4222" s="2" t="s">
        <v>6202</v>
      </c>
      <c r="B4222" s="2" t="s">
        <v>6203</v>
      </c>
      <c r="C4222" s="2" t="s">
        <v>41302</v>
      </c>
      <c r="D4222" s="2" t="s">
        <v>41303</v>
      </c>
      <c r="E4222" s="2" t="s">
        <v>41304</v>
      </c>
      <c r="F4222" s="3" t="s">
        <v>529</v>
      </c>
      <c r="G4222" s="3" t="s">
        <v>128</v>
      </c>
      <c r="I4222" s="3" t="s">
        <v>64</v>
      </c>
      <c r="J4222" s="3" t="s">
        <v>64</v>
      </c>
      <c r="K4222" s="3" t="s">
        <v>65</v>
      </c>
      <c r="M4222" s="2" t="s">
        <v>41306</v>
      </c>
      <c r="N4222" s="3" t="s">
        <v>242</v>
      </c>
      <c r="P4222" s="3" t="s">
        <v>102</v>
      </c>
      <c r="R4222" s="3" t="s">
        <v>70</v>
      </c>
      <c r="S4222" s="4">
        <v>0</v>
      </c>
      <c r="T4222" s="4">
        <v>3</v>
      </c>
      <c r="V4222" s="5" t="s">
        <v>5158</v>
      </c>
      <c r="W4222" s="5" t="s">
        <v>72</v>
      </c>
      <c r="X4222" s="5" t="s">
        <v>72</v>
      </c>
      <c r="Y4222" s="4">
        <v>730</v>
      </c>
      <c r="Z4222" s="4">
        <v>44</v>
      </c>
      <c r="AA4222" s="4">
        <v>44</v>
      </c>
      <c r="AB4222" s="4">
        <v>2</v>
      </c>
      <c r="AC4222" s="4">
        <v>2</v>
      </c>
      <c r="AD4222" s="4">
        <v>132</v>
      </c>
      <c r="AE4222" s="4">
        <v>132</v>
      </c>
      <c r="AF4222" s="4">
        <v>1</v>
      </c>
      <c r="AG4222" s="4">
        <v>1</v>
      </c>
      <c r="AH4222" s="4">
        <v>107</v>
      </c>
      <c r="AI4222" s="4">
        <v>107</v>
      </c>
      <c r="AJ4222" s="4">
        <v>20</v>
      </c>
      <c r="AK4222" s="4">
        <v>20</v>
      </c>
      <c r="AL4222" s="4">
        <v>58</v>
      </c>
      <c r="AM4222" s="4">
        <v>58</v>
      </c>
      <c r="AN4222" s="4">
        <v>0</v>
      </c>
      <c r="AO4222" s="4">
        <v>0</v>
      </c>
      <c r="AP4222" s="4">
        <v>31</v>
      </c>
      <c r="AQ4222" s="4">
        <v>31</v>
      </c>
      <c r="AR4222" s="3" t="s">
        <v>64</v>
      </c>
      <c r="AS4222" s="3" t="s">
        <v>128</v>
      </c>
      <c r="AT4222" s="3" t="s">
        <v>128</v>
      </c>
      <c r="AU4222" s="6" t="str">
        <f t="shared" si="121"/>
        <v>HathiTrust Record</v>
      </c>
      <c r="AV4222" s="6" t="str">
        <f t="shared" si="122"/>
        <v>Catalog Record</v>
      </c>
      <c r="AW4222" s="6" t="str">
        <f t="shared" si="123"/>
        <v>WorldCat Record</v>
      </c>
      <c r="AX4222" s="3" t="s">
        <v>41307</v>
      </c>
      <c r="AY4222" s="3" t="s">
        <v>41308</v>
      </c>
      <c r="AZ4222" s="3" t="s">
        <v>41309</v>
      </c>
      <c r="BA4222" s="3" t="s">
        <v>41309</v>
      </c>
      <c r="BB4222" s="3" t="s">
        <v>41335</v>
      </c>
      <c r="BC4222" s="3" t="s">
        <v>77</v>
      </c>
      <c r="BD4222" s="3" t="s">
        <v>78</v>
      </c>
      <c r="BE4222" s="3" t="s">
        <v>41311</v>
      </c>
      <c r="BF4222" s="3" t="s">
        <v>41335</v>
      </c>
      <c r="BG4222" s="3" t="s">
        <v>41336</v>
      </c>
      <c r="BH4222">
        <f t="shared" si="115"/>
        <v>0</v>
      </c>
    </row>
    <row r="4223" spans="1:60" ht="58" x14ac:dyDescent="0.35">
      <c r="A4223" s="2" t="s">
        <v>6202</v>
      </c>
      <c r="B4223" s="2" t="s">
        <v>6203</v>
      </c>
      <c r="C4223" s="2" t="s">
        <v>41302</v>
      </c>
      <c r="D4223" s="2" t="s">
        <v>41303</v>
      </c>
      <c r="E4223" s="2" t="s">
        <v>41304</v>
      </c>
      <c r="F4223" s="3" t="s">
        <v>41337</v>
      </c>
      <c r="G4223" s="3" t="s">
        <v>128</v>
      </c>
      <c r="I4223" s="3" t="s">
        <v>64</v>
      </c>
      <c r="J4223" s="3" t="s">
        <v>64</v>
      </c>
      <c r="K4223" s="3" t="s">
        <v>65</v>
      </c>
      <c r="M4223" s="2" t="s">
        <v>41306</v>
      </c>
      <c r="N4223" s="3" t="s">
        <v>242</v>
      </c>
      <c r="P4223" s="3" t="s">
        <v>102</v>
      </c>
      <c r="R4223" s="3" t="s">
        <v>70</v>
      </c>
      <c r="S4223" s="4">
        <v>0</v>
      </c>
      <c r="T4223" s="4">
        <v>3</v>
      </c>
      <c r="V4223" s="5" t="s">
        <v>5158</v>
      </c>
      <c r="W4223" s="5" t="s">
        <v>72</v>
      </c>
      <c r="X4223" s="5" t="s">
        <v>72</v>
      </c>
      <c r="Y4223" s="4">
        <v>730</v>
      </c>
      <c r="Z4223" s="4">
        <v>44</v>
      </c>
      <c r="AA4223" s="4">
        <v>44</v>
      </c>
      <c r="AB4223" s="4">
        <v>2</v>
      </c>
      <c r="AC4223" s="4">
        <v>2</v>
      </c>
      <c r="AD4223" s="4">
        <v>132</v>
      </c>
      <c r="AE4223" s="4">
        <v>132</v>
      </c>
      <c r="AF4223" s="4">
        <v>1</v>
      </c>
      <c r="AG4223" s="4">
        <v>1</v>
      </c>
      <c r="AH4223" s="4">
        <v>107</v>
      </c>
      <c r="AI4223" s="4">
        <v>107</v>
      </c>
      <c r="AJ4223" s="4">
        <v>20</v>
      </c>
      <c r="AK4223" s="4">
        <v>20</v>
      </c>
      <c r="AL4223" s="4">
        <v>58</v>
      </c>
      <c r="AM4223" s="4">
        <v>58</v>
      </c>
      <c r="AN4223" s="4">
        <v>0</v>
      </c>
      <c r="AO4223" s="4">
        <v>0</v>
      </c>
      <c r="AP4223" s="4">
        <v>31</v>
      </c>
      <c r="AQ4223" s="4">
        <v>31</v>
      </c>
      <c r="AR4223" s="3" t="s">
        <v>64</v>
      </c>
      <c r="AS4223" s="3" t="s">
        <v>128</v>
      </c>
      <c r="AT4223" s="3" t="s">
        <v>128</v>
      </c>
      <c r="AU4223" s="6" t="str">
        <f t="shared" si="121"/>
        <v>HathiTrust Record</v>
      </c>
      <c r="AV4223" s="6" t="str">
        <f t="shared" si="122"/>
        <v>Catalog Record</v>
      </c>
      <c r="AW4223" s="6" t="str">
        <f t="shared" si="123"/>
        <v>WorldCat Record</v>
      </c>
      <c r="AX4223" s="3" t="s">
        <v>41307</v>
      </c>
      <c r="AY4223" s="3" t="s">
        <v>41308</v>
      </c>
      <c r="AZ4223" s="3" t="s">
        <v>41309</v>
      </c>
      <c r="BA4223" s="3" t="s">
        <v>41309</v>
      </c>
      <c r="BB4223" s="3" t="s">
        <v>41338</v>
      </c>
      <c r="BC4223" s="3" t="s">
        <v>77</v>
      </c>
      <c r="BD4223" s="3" t="s">
        <v>78</v>
      </c>
      <c r="BE4223" s="3" t="s">
        <v>41311</v>
      </c>
      <c r="BF4223" s="3" t="s">
        <v>41338</v>
      </c>
      <c r="BG4223" s="3" t="s">
        <v>41339</v>
      </c>
      <c r="BH4223">
        <f t="shared" si="115"/>
        <v>0</v>
      </c>
    </row>
    <row r="4224" spans="1:60" ht="58" x14ac:dyDescent="0.35">
      <c r="A4224" s="2" t="s">
        <v>6202</v>
      </c>
      <c r="B4224" s="2" t="s">
        <v>6203</v>
      </c>
      <c r="C4224" s="2" t="s">
        <v>41302</v>
      </c>
      <c r="D4224" s="2" t="s">
        <v>41303</v>
      </c>
      <c r="E4224" s="2" t="s">
        <v>41304</v>
      </c>
      <c r="F4224" s="3" t="s">
        <v>525</v>
      </c>
      <c r="G4224" s="3" t="s">
        <v>128</v>
      </c>
      <c r="I4224" s="3" t="s">
        <v>64</v>
      </c>
      <c r="J4224" s="3" t="s">
        <v>64</v>
      </c>
      <c r="K4224" s="3" t="s">
        <v>65</v>
      </c>
      <c r="M4224" s="2" t="s">
        <v>41306</v>
      </c>
      <c r="N4224" s="3" t="s">
        <v>242</v>
      </c>
      <c r="P4224" s="3" t="s">
        <v>102</v>
      </c>
      <c r="R4224" s="3" t="s">
        <v>70</v>
      </c>
      <c r="S4224" s="4">
        <v>0</v>
      </c>
      <c r="T4224" s="4">
        <v>3</v>
      </c>
      <c r="V4224" s="5" t="s">
        <v>5158</v>
      </c>
      <c r="W4224" s="5" t="s">
        <v>72</v>
      </c>
      <c r="X4224" s="5" t="s">
        <v>72</v>
      </c>
      <c r="Y4224" s="4">
        <v>730</v>
      </c>
      <c r="Z4224" s="4">
        <v>44</v>
      </c>
      <c r="AA4224" s="4">
        <v>44</v>
      </c>
      <c r="AB4224" s="4">
        <v>2</v>
      </c>
      <c r="AC4224" s="4">
        <v>2</v>
      </c>
      <c r="AD4224" s="4">
        <v>132</v>
      </c>
      <c r="AE4224" s="4">
        <v>132</v>
      </c>
      <c r="AF4224" s="4">
        <v>1</v>
      </c>
      <c r="AG4224" s="4">
        <v>1</v>
      </c>
      <c r="AH4224" s="4">
        <v>107</v>
      </c>
      <c r="AI4224" s="4">
        <v>107</v>
      </c>
      <c r="AJ4224" s="4">
        <v>20</v>
      </c>
      <c r="AK4224" s="4">
        <v>20</v>
      </c>
      <c r="AL4224" s="4">
        <v>58</v>
      </c>
      <c r="AM4224" s="4">
        <v>58</v>
      </c>
      <c r="AN4224" s="4">
        <v>0</v>
      </c>
      <c r="AO4224" s="4">
        <v>0</v>
      </c>
      <c r="AP4224" s="4">
        <v>31</v>
      </c>
      <c r="AQ4224" s="4">
        <v>31</v>
      </c>
      <c r="AR4224" s="3" t="s">
        <v>64</v>
      </c>
      <c r="AS4224" s="3" t="s">
        <v>128</v>
      </c>
      <c r="AT4224" s="3" t="s">
        <v>128</v>
      </c>
      <c r="AU4224" s="6" t="str">
        <f t="shared" si="121"/>
        <v>HathiTrust Record</v>
      </c>
      <c r="AV4224" s="6" t="str">
        <f t="shared" si="122"/>
        <v>Catalog Record</v>
      </c>
      <c r="AW4224" s="6" t="str">
        <f t="shared" si="123"/>
        <v>WorldCat Record</v>
      </c>
      <c r="AX4224" s="3" t="s">
        <v>41307</v>
      </c>
      <c r="AY4224" s="3" t="s">
        <v>41308</v>
      </c>
      <c r="AZ4224" s="3" t="s">
        <v>41309</v>
      </c>
      <c r="BA4224" s="3" t="s">
        <v>41309</v>
      </c>
      <c r="BB4224" s="3" t="s">
        <v>41340</v>
      </c>
      <c r="BC4224" s="3" t="s">
        <v>77</v>
      </c>
      <c r="BD4224" s="3" t="s">
        <v>78</v>
      </c>
      <c r="BE4224" s="3" t="s">
        <v>41311</v>
      </c>
      <c r="BF4224" s="3" t="s">
        <v>41340</v>
      </c>
      <c r="BG4224" s="3" t="s">
        <v>41341</v>
      </c>
      <c r="BH4224">
        <f t="shared" si="115"/>
        <v>0</v>
      </c>
    </row>
    <row r="4225" spans="1:60" ht="58" x14ac:dyDescent="0.35">
      <c r="A4225" s="2" t="s">
        <v>6202</v>
      </c>
      <c r="B4225" s="2" t="s">
        <v>6203</v>
      </c>
      <c r="C4225" s="2" t="s">
        <v>41342</v>
      </c>
      <c r="D4225" s="2" t="s">
        <v>41343</v>
      </c>
      <c r="E4225" s="2" t="s">
        <v>41344</v>
      </c>
      <c r="G4225" s="3" t="s">
        <v>64</v>
      </c>
      <c r="I4225" s="3" t="s">
        <v>64</v>
      </c>
      <c r="J4225" s="3" t="s">
        <v>64</v>
      </c>
      <c r="K4225" s="3" t="s">
        <v>65</v>
      </c>
      <c r="L4225" s="2" t="s">
        <v>41345</v>
      </c>
      <c r="M4225" s="2" t="s">
        <v>41346</v>
      </c>
      <c r="N4225" s="3" t="s">
        <v>1087</v>
      </c>
      <c r="P4225" s="3" t="s">
        <v>68</v>
      </c>
      <c r="Q4225" s="2" t="s">
        <v>41347</v>
      </c>
      <c r="R4225" s="3" t="s">
        <v>70</v>
      </c>
      <c r="S4225" s="4">
        <v>2</v>
      </c>
      <c r="T4225" s="4">
        <v>2</v>
      </c>
      <c r="U4225" s="5" t="s">
        <v>41348</v>
      </c>
      <c r="V4225" s="5" t="s">
        <v>41348</v>
      </c>
      <c r="W4225" s="5" t="s">
        <v>72</v>
      </c>
      <c r="X4225" s="5" t="s">
        <v>72</v>
      </c>
      <c r="Y4225" s="4">
        <v>5</v>
      </c>
      <c r="Z4225" s="4">
        <v>5</v>
      </c>
      <c r="AA4225" s="4">
        <v>23</v>
      </c>
      <c r="AB4225" s="4">
        <v>1</v>
      </c>
      <c r="AC4225" s="4">
        <v>6</v>
      </c>
      <c r="AD4225" s="4">
        <v>3</v>
      </c>
      <c r="AE4225" s="4">
        <v>82</v>
      </c>
      <c r="AF4225" s="4">
        <v>0</v>
      </c>
      <c r="AG4225" s="4">
        <v>5</v>
      </c>
      <c r="AH4225" s="4">
        <v>2</v>
      </c>
      <c r="AI4225" s="4">
        <v>70</v>
      </c>
      <c r="AJ4225" s="4">
        <v>3</v>
      </c>
      <c r="AK4225" s="4">
        <v>19</v>
      </c>
      <c r="AL4225" s="4">
        <v>1</v>
      </c>
      <c r="AM4225" s="4">
        <v>42</v>
      </c>
      <c r="AN4225" s="4">
        <v>0</v>
      </c>
      <c r="AO4225" s="4">
        <v>3</v>
      </c>
      <c r="AP4225" s="4">
        <v>3</v>
      </c>
      <c r="AQ4225" s="4">
        <v>20</v>
      </c>
      <c r="AR4225" s="3" t="s">
        <v>64</v>
      </c>
      <c r="AS4225" s="3" t="s">
        <v>64</v>
      </c>
      <c r="AT4225" s="3" t="s">
        <v>64</v>
      </c>
      <c r="AV4225" s="6" t="str">
        <f>HYPERLINK("http://mcgill.on.worldcat.org/oclc/321028151","Catalog Record")</f>
        <v>Catalog Record</v>
      </c>
      <c r="AW4225" s="6" t="str">
        <f>HYPERLINK("http://www.worldcat.org/oclc/321028151","WorldCat Record")</f>
        <v>WorldCat Record</v>
      </c>
      <c r="AX4225" s="3" t="s">
        <v>41349</v>
      </c>
      <c r="AY4225" s="3" t="s">
        <v>41350</v>
      </c>
      <c r="AZ4225" s="3" t="s">
        <v>41351</v>
      </c>
      <c r="BA4225" s="3" t="s">
        <v>41351</v>
      </c>
      <c r="BB4225" s="3" t="s">
        <v>41352</v>
      </c>
      <c r="BC4225" s="3" t="s">
        <v>77</v>
      </c>
      <c r="BD4225" s="3" t="s">
        <v>78</v>
      </c>
      <c r="BF4225" s="3" t="s">
        <v>41352</v>
      </c>
      <c r="BG4225" s="3" t="s">
        <v>41353</v>
      </c>
      <c r="BH4225">
        <f t="shared" si="115"/>
        <v>0</v>
      </c>
    </row>
    <row r="4226" spans="1:60" ht="58" x14ac:dyDescent="0.35">
      <c r="A4226" s="2" t="s">
        <v>59</v>
      </c>
      <c r="B4226" s="2" t="s">
        <v>60</v>
      </c>
      <c r="C4226" s="2" t="s">
        <v>41354</v>
      </c>
      <c r="D4226" s="2" t="s">
        <v>41355</v>
      </c>
      <c r="E4226" s="2" t="s">
        <v>41356</v>
      </c>
      <c r="F4226" s="3" t="s">
        <v>525</v>
      </c>
      <c r="G4226" s="3" t="s">
        <v>128</v>
      </c>
      <c r="I4226" s="3" t="s">
        <v>64</v>
      </c>
      <c r="J4226" s="3" t="s">
        <v>64</v>
      </c>
      <c r="K4226" s="3" t="s">
        <v>65</v>
      </c>
      <c r="L4226" s="2" t="s">
        <v>41357</v>
      </c>
      <c r="M4226" s="2" t="s">
        <v>41358</v>
      </c>
      <c r="N4226" s="3" t="s">
        <v>190</v>
      </c>
      <c r="P4226" s="3" t="s">
        <v>68</v>
      </c>
      <c r="R4226" s="3" t="s">
        <v>70</v>
      </c>
      <c r="S4226" s="4">
        <v>0</v>
      </c>
      <c r="T4226" s="4">
        <v>0</v>
      </c>
      <c r="W4226" s="5" t="s">
        <v>72</v>
      </c>
      <c r="X4226" s="5" t="s">
        <v>72</v>
      </c>
      <c r="Y4226" s="4">
        <v>4</v>
      </c>
      <c r="Z4226" s="4">
        <v>1</v>
      </c>
      <c r="AA4226" s="4">
        <v>1</v>
      </c>
      <c r="AB4226" s="4">
        <v>1</v>
      </c>
      <c r="AC4226" s="4">
        <v>1</v>
      </c>
      <c r="AD4226" s="4">
        <v>1</v>
      </c>
      <c r="AE4226" s="4">
        <v>1</v>
      </c>
      <c r="AF4226" s="4">
        <v>0</v>
      </c>
      <c r="AG4226" s="4">
        <v>0</v>
      </c>
      <c r="AH4226" s="4">
        <v>1</v>
      </c>
      <c r="AI4226" s="4">
        <v>1</v>
      </c>
      <c r="AJ4226" s="4">
        <v>0</v>
      </c>
      <c r="AK4226" s="4">
        <v>0</v>
      </c>
      <c r="AL4226" s="4">
        <v>1</v>
      </c>
      <c r="AM4226" s="4">
        <v>1</v>
      </c>
      <c r="AN4226" s="4">
        <v>0</v>
      </c>
      <c r="AO4226" s="4">
        <v>0</v>
      </c>
      <c r="AP4226" s="4">
        <v>0</v>
      </c>
      <c r="AQ4226" s="4">
        <v>0</v>
      </c>
      <c r="AR4226" s="3" t="s">
        <v>64</v>
      </c>
      <c r="AS4226" s="3" t="s">
        <v>64</v>
      </c>
      <c r="AT4226" s="3" t="s">
        <v>64</v>
      </c>
      <c r="AV4226" s="6" t="str">
        <f>HYPERLINK("http://mcgill.on.worldcat.org/oclc/1037895514","Catalog Record")</f>
        <v>Catalog Record</v>
      </c>
      <c r="AW4226" s="6" t="str">
        <f>HYPERLINK("http://www.worldcat.org/oclc/1037895514","WorldCat Record")</f>
        <v>WorldCat Record</v>
      </c>
      <c r="AX4226" s="3" t="s">
        <v>41359</v>
      </c>
      <c r="AY4226" s="3" t="s">
        <v>41360</v>
      </c>
      <c r="AZ4226" s="3" t="s">
        <v>41361</v>
      </c>
      <c r="BA4226" s="3" t="s">
        <v>41361</v>
      </c>
      <c r="BB4226" s="3" t="s">
        <v>41362</v>
      </c>
      <c r="BC4226" s="3" t="s">
        <v>77</v>
      </c>
      <c r="BD4226" s="3" t="s">
        <v>78</v>
      </c>
      <c r="BE4226" s="3" t="s">
        <v>41363</v>
      </c>
      <c r="BF4226" s="3" t="s">
        <v>41362</v>
      </c>
      <c r="BG4226" s="3" t="s">
        <v>41364</v>
      </c>
      <c r="BH4226">
        <f t="shared" ref="BH4226:BH4289" si="124">IF(COUNTIF($BF$1:$BF$5431,BF4226)=1,0,1)</f>
        <v>0</v>
      </c>
    </row>
    <row r="4227" spans="1:60" ht="58" x14ac:dyDescent="0.35">
      <c r="A4227" s="2" t="s">
        <v>59</v>
      </c>
      <c r="B4227" s="2" t="s">
        <v>60</v>
      </c>
      <c r="C4227" s="2" t="s">
        <v>41354</v>
      </c>
      <c r="D4227" s="2" t="s">
        <v>41355</v>
      </c>
      <c r="E4227" s="2" t="s">
        <v>41356</v>
      </c>
      <c r="F4227" s="3" t="s">
        <v>529</v>
      </c>
      <c r="G4227" s="3" t="s">
        <v>128</v>
      </c>
      <c r="I4227" s="3" t="s">
        <v>64</v>
      </c>
      <c r="J4227" s="3" t="s">
        <v>64</v>
      </c>
      <c r="K4227" s="3" t="s">
        <v>65</v>
      </c>
      <c r="L4227" s="2" t="s">
        <v>41357</v>
      </c>
      <c r="M4227" s="2" t="s">
        <v>41358</v>
      </c>
      <c r="N4227" s="3" t="s">
        <v>190</v>
      </c>
      <c r="P4227" s="3" t="s">
        <v>68</v>
      </c>
      <c r="R4227" s="3" t="s">
        <v>70</v>
      </c>
      <c r="S4227" s="4">
        <v>0</v>
      </c>
      <c r="T4227" s="4">
        <v>0</v>
      </c>
      <c r="W4227" s="5" t="s">
        <v>72</v>
      </c>
      <c r="X4227" s="5" t="s">
        <v>72</v>
      </c>
      <c r="Y4227" s="4">
        <v>4</v>
      </c>
      <c r="Z4227" s="4">
        <v>1</v>
      </c>
      <c r="AA4227" s="4">
        <v>1</v>
      </c>
      <c r="AB4227" s="4">
        <v>1</v>
      </c>
      <c r="AC4227" s="4">
        <v>1</v>
      </c>
      <c r="AD4227" s="4">
        <v>1</v>
      </c>
      <c r="AE4227" s="4">
        <v>1</v>
      </c>
      <c r="AF4227" s="4">
        <v>0</v>
      </c>
      <c r="AG4227" s="4">
        <v>0</v>
      </c>
      <c r="AH4227" s="4">
        <v>1</v>
      </c>
      <c r="AI4227" s="4">
        <v>1</v>
      </c>
      <c r="AJ4227" s="4">
        <v>0</v>
      </c>
      <c r="AK4227" s="4">
        <v>0</v>
      </c>
      <c r="AL4227" s="4">
        <v>1</v>
      </c>
      <c r="AM4227" s="4">
        <v>1</v>
      </c>
      <c r="AN4227" s="4">
        <v>0</v>
      </c>
      <c r="AO4227" s="4">
        <v>0</v>
      </c>
      <c r="AP4227" s="4">
        <v>0</v>
      </c>
      <c r="AQ4227" s="4">
        <v>0</v>
      </c>
      <c r="AR4227" s="3" t="s">
        <v>64</v>
      </c>
      <c r="AS4227" s="3" t="s">
        <v>64</v>
      </c>
      <c r="AT4227" s="3" t="s">
        <v>64</v>
      </c>
      <c r="AV4227" s="6" t="str">
        <f>HYPERLINK("http://mcgill.on.worldcat.org/oclc/1037895514","Catalog Record")</f>
        <v>Catalog Record</v>
      </c>
      <c r="AW4227" s="6" t="str">
        <f>HYPERLINK("http://www.worldcat.org/oclc/1037895514","WorldCat Record")</f>
        <v>WorldCat Record</v>
      </c>
      <c r="AX4227" s="3" t="s">
        <v>41359</v>
      </c>
      <c r="AY4227" s="3" t="s">
        <v>41360</v>
      </c>
      <c r="AZ4227" s="3" t="s">
        <v>41361</v>
      </c>
      <c r="BA4227" s="3" t="s">
        <v>41361</v>
      </c>
      <c r="BB4227" s="3" t="s">
        <v>41365</v>
      </c>
      <c r="BC4227" s="3" t="s">
        <v>77</v>
      </c>
      <c r="BD4227" s="3" t="s">
        <v>78</v>
      </c>
      <c r="BE4227" s="3" t="s">
        <v>41363</v>
      </c>
      <c r="BF4227" s="3" t="s">
        <v>41365</v>
      </c>
      <c r="BG4227" s="3" t="s">
        <v>41366</v>
      </c>
      <c r="BH4227">
        <f t="shared" si="124"/>
        <v>0</v>
      </c>
    </row>
    <row r="4228" spans="1:60" ht="58" x14ac:dyDescent="0.35">
      <c r="A4228" s="2" t="s">
        <v>6202</v>
      </c>
      <c r="B4228" s="2" t="s">
        <v>6203</v>
      </c>
      <c r="C4228" s="2" t="s">
        <v>41367</v>
      </c>
      <c r="D4228" s="2" t="s">
        <v>41368</v>
      </c>
      <c r="E4228" s="2" t="s">
        <v>41369</v>
      </c>
      <c r="G4228" s="3" t="s">
        <v>64</v>
      </c>
      <c r="I4228" s="3" t="s">
        <v>64</v>
      </c>
      <c r="J4228" s="3" t="s">
        <v>64</v>
      </c>
      <c r="K4228" s="3" t="s">
        <v>65</v>
      </c>
      <c r="L4228" s="2" t="s">
        <v>41370</v>
      </c>
      <c r="M4228" s="2" t="s">
        <v>19784</v>
      </c>
      <c r="N4228" s="3" t="s">
        <v>1615</v>
      </c>
      <c r="P4228" s="3" t="s">
        <v>102</v>
      </c>
      <c r="Q4228" s="2" t="s">
        <v>41371</v>
      </c>
      <c r="R4228" s="3" t="s">
        <v>70</v>
      </c>
      <c r="S4228" s="4">
        <v>1</v>
      </c>
      <c r="T4228" s="4">
        <v>1</v>
      </c>
      <c r="U4228" s="5" t="s">
        <v>5612</v>
      </c>
      <c r="V4228" s="5" t="s">
        <v>5612</v>
      </c>
      <c r="W4228" s="5" t="s">
        <v>72</v>
      </c>
      <c r="X4228" s="5" t="s">
        <v>72</v>
      </c>
      <c r="Y4228" s="4">
        <v>271</v>
      </c>
      <c r="Z4228" s="4">
        <v>20</v>
      </c>
      <c r="AA4228" s="4">
        <v>21</v>
      </c>
      <c r="AB4228" s="4">
        <v>2</v>
      </c>
      <c r="AC4228" s="4">
        <v>3</v>
      </c>
      <c r="AD4228" s="4">
        <v>109</v>
      </c>
      <c r="AE4228" s="4">
        <v>110</v>
      </c>
      <c r="AF4228" s="4">
        <v>1</v>
      </c>
      <c r="AG4228" s="4">
        <v>2</v>
      </c>
      <c r="AH4228" s="4">
        <v>97</v>
      </c>
      <c r="AI4228" s="4">
        <v>97</v>
      </c>
      <c r="AJ4228" s="4">
        <v>14</v>
      </c>
      <c r="AK4228" s="4">
        <v>15</v>
      </c>
      <c r="AL4228" s="4">
        <v>55</v>
      </c>
      <c r="AM4228" s="4">
        <v>55</v>
      </c>
      <c r="AN4228" s="4">
        <v>0</v>
      </c>
      <c r="AO4228" s="4">
        <v>0</v>
      </c>
      <c r="AP4228" s="4">
        <v>18</v>
      </c>
      <c r="AQ4228" s="4">
        <v>18</v>
      </c>
      <c r="AR4228" s="3" t="s">
        <v>64</v>
      </c>
      <c r="AS4228" s="3" t="s">
        <v>64</v>
      </c>
      <c r="AT4228" s="3" t="s">
        <v>128</v>
      </c>
      <c r="AU4228" s="6" t="str">
        <f>HYPERLINK("http://catalog.hathitrust.org/Record/003082302","HathiTrust Record")</f>
        <v>HathiTrust Record</v>
      </c>
      <c r="AV4228" s="6" t="str">
        <f>HYPERLINK("http://mcgill.on.worldcat.org/oclc/33407904","Catalog Record")</f>
        <v>Catalog Record</v>
      </c>
      <c r="AW4228" s="6" t="str">
        <f>HYPERLINK("http://www.worldcat.org/oclc/33407904","WorldCat Record")</f>
        <v>WorldCat Record</v>
      </c>
      <c r="AX4228" s="3" t="s">
        <v>41372</v>
      </c>
      <c r="AY4228" s="3" t="s">
        <v>41373</v>
      </c>
      <c r="AZ4228" s="3" t="s">
        <v>41374</v>
      </c>
      <c r="BA4228" s="3" t="s">
        <v>41374</v>
      </c>
      <c r="BB4228" s="3" t="s">
        <v>41375</v>
      </c>
      <c r="BC4228" s="3" t="s">
        <v>77</v>
      </c>
      <c r="BD4228" s="3" t="s">
        <v>78</v>
      </c>
      <c r="BE4228" s="3" t="s">
        <v>41376</v>
      </c>
      <c r="BF4228" s="3" t="s">
        <v>41375</v>
      </c>
      <c r="BG4228" s="3" t="s">
        <v>41377</v>
      </c>
      <c r="BH4228">
        <f t="shared" si="124"/>
        <v>0</v>
      </c>
    </row>
    <row r="4229" spans="1:60" ht="58" x14ac:dyDescent="0.35">
      <c r="A4229" s="2" t="s">
        <v>6202</v>
      </c>
      <c r="B4229" s="2" t="s">
        <v>6203</v>
      </c>
      <c r="C4229" s="2" t="s">
        <v>41378</v>
      </c>
      <c r="D4229" s="2" t="s">
        <v>41379</v>
      </c>
      <c r="E4229" s="2" t="s">
        <v>41380</v>
      </c>
      <c r="G4229" s="3" t="s">
        <v>64</v>
      </c>
      <c r="I4229" s="3" t="s">
        <v>64</v>
      </c>
      <c r="J4229" s="3" t="s">
        <v>64</v>
      </c>
      <c r="K4229" s="3" t="s">
        <v>65</v>
      </c>
      <c r="L4229" s="2" t="s">
        <v>41381</v>
      </c>
      <c r="M4229" s="2" t="s">
        <v>41382</v>
      </c>
      <c r="N4229" s="3" t="s">
        <v>551</v>
      </c>
      <c r="P4229" s="3" t="s">
        <v>102</v>
      </c>
      <c r="Q4229" s="2" t="s">
        <v>41383</v>
      </c>
      <c r="R4229" s="3" t="s">
        <v>70</v>
      </c>
      <c r="S4229" s="4">
        <v>3</v>
      </c>
      <c r="T4229" s="4">
        <v>3</v>
      </c>
      <c r="U4229" s="5" t="s">
        <v>18455</v>
      </c>
      <c r="V4229" s="5" t="s">
        <v>18455</v>
      </c>
      <c r="W4229" s="5" t="s">
        <v>72</v>
      </c>
      <c r="X4229" s="5" t="s">
        <v>72</v>
      </c>
      <c r="Y4229" s="4">
        <v>118</v>
      </c>
      <c r="Z4229" s="4">
        <v>12</v>
      </c>
      <c r="AA4229" s="4">
        <v>12</v>
      </c>
      <c r="AB4229" s="4">
        <v>2</v>
      </c>
      <c r="AC4229" s="4">
        <v>2</v>
      </c>
      <c r="AD4229" s="4">
        <v>56</v>
      </c>
      <c r="AE4229" s="4">
        <v>56</v>
      </c>
      <c r="AF4229" s="4">
        <v>0</v>
      </c>
      <c r="AG4229" s="4">
        <v>0</v>
      </c>
      <c r="AH4229" s="4">
        <v>53</v>
      </c>
      <c r="AI4229" s="4">
        <v>53</v>
      </c>
      <c r="AJ4229" s="4">
        <v>8</v>
      </c>
      <c r="AK4229" s="4">
        <v>8</v>
      </c>
      <c r="AL4229" s="4">
        <v>39</v>
      </c>
      <c r="AM4229" s="4">
        <v>39</v>
      </c>
      <c r="AN4229" s="4">
        <v>0</v>
      </c>
      <c r="AO4229" s="4">
        <v>0</v>
      </c>
      <c r="AP4229" s="4">
        <v>8</v>
      </c>
      <c r="AQ4229" s="4">
        <v>8</v>
      </c>
      <c r="AR4229" s="3" t="s">
        <v>64</v>
      </c>
      <c r="AS4229" s="3" t="s">
        <v>64</v>
      </c>
      <c r="AT4229" s="3" t="s">
        <v>64</v>
      </c>
      <c r="AV4229" s="6" t="str">
        <f>HYPERLINK("http://mcgill.on.worldcat.org/oclc/262426576","Catalog Record")</f>
        <v>Catalog Record</v>
      </c>
      <c r="AW4229" s="6" t="str">
        <f>HYPERLINK("http://www.worldcat.org/oclc/262426576","WorldCat Record")</f>
        <v>WorldCat Record</v>
      </c>
      <c r="AX4229" s="3" t="s">
        <v>41384</v>
      </c>
      <c r="AY4229" s="3" t="s">
        <v>41385</v>
      </c>
      <c r="AZ4229" s="3" t="s">
        <v>41386</v>
      </c>
      <c r="BA4229" s="3" t="s">
        <v>41386</v>
      </c>
      <c r="BB4229" s="3" t="s">
        <v>41387</v>
      </c>
      <c r="BC4229" s="3" t="s">
        <v>77</v>
      </c>
      <c r="BD4229" s="3" t="s">
        <v>78</v>
      </c>
      <c r="BE4229" s="3" t="s">
        <v>41388</v>
      </c>
      <c r="BF4229" s="3" t="s">
        <v>41387</v>
      </c>
      <c r="BG4229" s="3" t="s">
        <v>41389</v>
      </c>
      <c r="BH4229">
        <f t="shared" si="124"/>
        <v>0</v>
      </c>
    </row>
    <row r="4230" spans="1:60" ht="58" x14ac:dyDescent="0.35">
      <c r="A4230" s="2" t="s">
        <v>6202</v>
      </c>
      <c r="B4230" s="2" t="s">
        <v>6203</v>
      </c>
      <c r="C4230" s="2" t="s">
        <v>41390</v>
      </c>
      <c r="D4230" s="2" t="s">
        <v>41391</v>
      </c>
      <c r="E4230" s="2" t="s">
        <v>41392</v>
      </c>
      <c r="G4230" s="3" t="s">
        <v>64</v>
      </c>
      <c r="I4230" s="3" t="s">
        <v>64</v>
      </c>
      <c r="J4230" s="3" t="s">
        <v>64</v>
      </c>
      <c r="K4230" s="3" t="s">
        <v>65</v>
      </c>
      <c r="L4230" s="2" t="s">
        <v>41393</v>
      </c>
      <c r="M4230" s="2" t="s">
        <v>41394</v>
      </c>
      <c r="N4230" s="3" t="s">
        <v>3721</v>
      </c>
      <c r="P4230" s="3" t="s">
        <v>102</v>
      </c>
      <c r="Q4230" s="2" t="s">
        <v>41395</v>
      </c>
      <c r="R4230" s="3" t="s">
        <v>70</v>
      </c>
      <c r="S4230" s="4">
        <v>1</v>
      </c>
      <c r="T4230" s="4">
        <v>1</v>
      </c>
      <c r="U4230" s="5" t="s">
        <v>28725</v>
      </c>
      <c r="V4230" s="5" t="s">
        <v>28725</v>
      </c>
      <c r="W4230" s="5" t="s">
        <v>72</v>
      </c>
      <c r="X4230" s="5" t="s">
        <v>72</v>
      </c>
      <c r="Y4230" s="4">
        <v>192</v>
      </c>
      <c r="Z4230" s="4">
        <v>15</v>
      </c>
      <c r="AA4230" s="4">
        <v>20</v>
      </c>
      <c r="AB4230" s="4">
        <v>1</v>
      </c>
      <c r="AC4230" s="4">
        <v>6</v>
      </c>
      <c r="AD4230" s="4">
        <v>93</v>
      </c>
      <c r="AE4230" s="4">
        <v>97</v>
      </c>
      <c r="AF4230" s="4">
        <v>0</v>
      </c>
      <c r="AG4230" s="4">
        <v>4</v>
      </c>
      <c r="AH4230" s="4">
        <v>86</v>
      </c>
      <c r="AI4230" s="4">
        <v>87</v>
      </c>
      <c r="AJ4230" s="4">
        <v>13</v>
      </c>
      <c r="AK4230" s="4">
        <v>16</v>
      </c>
      <c r="AL4230" s="4">
        <v>50</v>
      </c>
      <c r="AM4230" s="4">
        <v>50</v>
      </c>
      <c r="AN4230" s="4">
        <v>0</v>
      </c>
      <c r="AO4230" s="4">
        <v>0</v>
      </c>
      <c r="AP4230" s="4">
        <v>12</v>
      </c>
      <c r="AQ4230" s="4">
        <v>15</v>
      </c>
      <c r="AR4230" s="3" t="s">
        <v>64</v>
      </c>
      <c r="AS4230" s="3" t="s">
        <v>64</v>
      </c>
      <c r="AT4230" s="3" t="s">
        <v>64</v>
      </c>
      <c r="AV4230" s="6" t="str">
        <f>HYPERLINK("http://mcgill.on.worldcat.org/oclc/4832083","Catalog Record")</f>
        <v>Catalog Record</v>
      </c>
      <c r="AW4230" s="6" t="str">
        <f>HYPERLINK("http://www.worldcat.org/oclc/4832083","WorldCat Record")</f>
        <v>WorldCat Record</v>
      </c>
      <c r="AX4230" s="3" t="s">
        <v>41396</v>
      </c>
      <c r="AY4230" s="3" t="s">
        <v>41397</v>
      </c>
      <c r="AZ4230" s="3" t="s">
        <v>41398</v>
      </c>
      <c r="BA4230" s="3" t="s">
        <v>41398</v>
      </c>
      <c r="BB4230" s="3" t="s">
        <v>41399</v>
      </c>
      <c r="BC4230" s="3" t="s">
        <v>77</v>
      </c>
      <c r="BD4230" s="3" t="s">
        <v>40037</v>
      </c>
      <c r="BE4230" s="3" t="s">
        <v>41400</v>
      </c>
      <c r="BF4230" s="3" t="s">
        <v>41399</v>
      </c>
      <c r="BG4230" s="3" t="s">
        <v>41401</v>
      </c>
      <c r="BH4230">
        <f t="shared" si="124"/>
        <v>0</v>
      </c>
    </row>
    <row r="4231" spans="1:60" ht="58" x14ac:dyDescent="0.35">
      <c r="A4231" s="2" t="s">
        <v>6202</v>
      </c>
      <c r="B4231" s="2" t="s">
        <v>6203</v>
      </c>
      <c r="C4231" s="2" t="s">
        <v>41402</v>
      </c>
      <c r="D4231" s="2" t="s">
        <v>41403</v>
      </c>
      <c r="E4231" s="2" t="s">
        <v>41404</v>
      </c>
      <c r="G4231" s="3" t="s">
        <v>64</v>
      </c>
      <c r="I4231" s="3" t="s">
        <v>64</v>
      </c>
      <c r="J4231" s="3" t="s">
        <v>64</v>
      </c>
      <c r="K4231" s="3" t="s">
        <v>65</v>
      </c>
      <c r="L4231" s="2" t="s">
        <v>41405</v>
      </c>
      <c r="M4231" s="2" t="s">
        <v>41406</v>
      </c>
      <c r="N4231" s="3" t="s">
        <v>2067</v>
      </c>
      <c r="P4231" s="3" t="s">
        <v>68</v>
      </c>
      <c r="Q4231" s="2" t="s">
        <v>41407</v>
      </c>
      <c r="R4231" s="3" t="s">
        <v>70</v>
      </c>
      <c r="S4231" s="4">
        <v>1</v>
      </c>
      <c r="T4231" s="4">
        <v>1</v>
      </c>
      <c r="U4231" s="5" t="s">
        <v>11860</v>
      </c>
      <c r="V4231" s="5" t="s">
        <v>11860</v>
      </c>
      <c r="W4231" s="5" t="s">
        <v>72</v>
      </c>
      <c r="X4231" s="5" t="s">
        <v>72</v>
      </c>
      <c r="Y4231" s="4">
        <v>146</v>
      </c>
      <c r="Z4231" s="4">
        <v>23</v>
      </c>
      <c r="AA4231" s="4">
        <v>29</v>
      </c>
      <c r="AB4231" s="4">
        <v>2</v>
      </c>
      <c r="AC4231" s="4">
        <v>8</v>
      </c>
      <c r="AD4231" s="4">
        <v>87</v>
      </c>
      <c r="AE4231" s="4">
        <v>91</v>
      </c>
      <c r="AF4231" s="4">
        <v>1</v>
      </c>
      <c r="AG4231" s="4">
        <v>5</v>
      </c>
      <c r="AH4231" s="4">
        <v>76</v>
      </c>
      <c r="AI4231" s="4">
        <v>77</v>
      </c>
      <c r="AJ4231" s="4">
        <v>18</v>
      </c>
      <c r="AK4231" s="4">
        <v>22</v>
      </c>
      <c r="AL4231" s="4">
        <v>45</v>
      </c>
      <c r="AM4231" s="4">
        <v>45</v>
      </c>
      <c r="AN4231" s="4">
        <v>0</v>
      </c>
      <c r="AO4231" s="4">
        <v>0</v>
      </c>
      <c r="AP4231" s="4">
        <v>19</v>
      </c>
      <c r="AQ4231" s="4">
        <v>22</v>
      </c>
      <c r="AR4231" s="3" t="s">
        <v>64</v>
      </c>
      <c r="AS4231" s="3" t="s">
        <v>64</v>
      </c>
      <c r="AT4231" s="3" t="s">
        <v>128</v>
      </c>
      <c r="AU4231" s="6" t="str">
        <f>HYPERLINK("http://catalog.hathitrust.org/Record/001837582","HathiTrust Record")</f>
        <v>HathiTrust Record</v>
      </c>
      <c r="AV4231" s="6" t="str">
        <f>HYPERLINK("http://mcgill.on.worldcat.org/oclc/20703639","Catalog Record")</f>
        <v>Catalog Record</v>
      </c>
      <c r="AW4231" s="6" t="str">
        <f>HYPERLINK("http://www.worldcat.org/oclc/20703639","WorldCat Record")</f>
        <v>WorldCat Record</v>
      </c>
      <c r="AX4231" s="3" t="s">
        <v>41408</v>
      </c>
      <c r="AY4231" s="3" t="s">
        <v>41409</v>
      </c>
      <c r="AZ4231" s="3" t="s">
        <v>41410</v>
      </c>
      <c r="BA4231" s="3" t="s">
        <v>41410</v>
      </c>
      <c r="BB4231" s="3" t="s">
        <v>41411</v>
      </c>
      <c r="BC4231" s="3" t="s">
        <v>77</v>
      </c>
      <c r="BD4231" s="3" t="s">
        <v>78</v>
      </c>
      <c r="BF4231" s="3" t="s">
        <v>41411</v>
      </c>
      <c r="BG4231" s="3" t="s">
        <v>41412</v>
      </c>
      <c r="BH4231">
        <f t="shared" si="124"/>
        <v>0</v>
      </c>
    </row>
    <row r="4232" spans="1:60" ht="232" x14ac:dyDescent="0.35">
      <c r="A4232" s="2" t="s">
        <v>59</v>
      </c>
      <c r="B4232" s="2" t="s">
        <v>60</v>
      </c>
      <c r="C4232" s="2" t="s">
        <v>41413</v>
      </c>
      <c r="D4232" s="2" t="s">
        <v>41414</v>
      </c>
      <c r="E4232" s="2" t="s">
        <v>41415</v>
      </c>
      <c r="G4232" s="3" t="s">
        <v>64</v>
      </c>
      <c r="I4232" s="3" t="s">
        <v>64</v>
      </c>
      <c r="J4232" s="3" t="s">
        <v>64</v>
      </c>
      <c r="K4232" s="3" t="s">
        <v>65</v>
      </c>
      <c r="L4232" s="2" t="s">
        <v>41416</v>
      </c>
      <c r="M4232" s="2" t="s">
        <v>41417</v>
      </c>
      <c r="N4232" s="3" t="s">
        <v>578</v>
      </c>
      <c r="O4232" s="2" t="s">
        <v>41418</v>
      </c>
      <c r="P4232" s="3" t="s">
        <v>68</v>
      </c>
      <c r="R4232" s="3" t="s">
        <v>70</v>
      </c>
      <c r="S4232" s="4">
        <v>0</v>
      </c>
      <c r="T4232" s="4">
        <v>0</v>
      </c>
      <c r="W4232" s="5" t="s">
        <v>72</v>
      </c>
      <c r="X4232" s="5" t="s">
        <v>72</v>
      </c>
      <c r="Y4232" s="4">
        <v>12</v>
      </c>
      <c r="Z4232" s="4">
        <v>2</v>
      </c>
      <c r="AA4232" s="4">
        <v>3</v>
      </c>
      <c r="AB4232" s="4">
        <v>1</v>
      </c>
      <c r="AC4232" s="4">
        <v>2</v>
      </c>
      <c r="AD4232" s="4">
        <v>8</v>
      </c>
      <c r="AE4232" s="4">
        <v>9</v>
      </c>
      <c r="AF4232" s="4">
        <v>0</v>
      </c>
      <c r="AG4232" s="4">
        <v>1</v>
      </c>
      <c r="AH4232" s="4">
        <v>8</v>
      </c>
      <c r="AI4232" s="4">
        <v>8</v>
      </c>
      <c r="AJ4232" s="4">
        <v>1</v>
      </c>
      <c r="AK4232" s="4">
        <v>2</v>
      </c>
      <c r="AL4232" s="4">
        <v>5</v>
      </c>
      <c r="AM4232" s="4">
        <v>5</v>
      </c>
      <c r="AN4232" s="4">
        <v>0</v>
      </c>
      <c r="AO4232" s="4">
        <v>0</v>
      </c>
      <c r="AP4232" s="4">
        <v>1</v>
      </c>
      <c r="AQ4232" s="4">
        <v>1</v>
      </c>
      <c r="AR4232" s="3" t="s">
        <v>64</v>
      </c>
      <c r="AS4232" s="3" t="s">
        <v>64</v>
      </c>
      <c r="AT4232" s="3" t="s">
        <v>64</v>
      </c>
      <c r="AV4232" s="6" t="str">
        <f>HYPERLINK("http://mcgill.on.worldcat.org/oclc/981866806","Catalog Record")</f>
        <v>Catalog Record</v>
      </c>
      <c r="AW4232" s="6" t="str">
        <f>HYPERLINK("http://www.worldcat.org/oclc/981866806","WorldCat Record")</f>
        <v>WorldCat Record</v>
      </c>
      <c r="AX4232" s="3" t="s">
        <v>41419</v>
      </c>
      <c r="AY4232" s="3" t="s">
        <v>41420</v>
      </c>
      <c r="AZ4232" s="3" t="s">
        <v>41421</v>
      </c>
      <c r="BA4232" s="3" t="s">
        <v>41421</v>
      </c>
      <c r="BB4232" s="3" t="s">
        <v>41422</v>
      </c>
      <c r="BC4232" s="3" t="s">
        <v>77</v>
      </c>
      <c r="BD4232" s="3" t="s">
        <v>78</v>
      </c>
      <c r="BE4232" s="3" t="s">
        <v>41423</v>
      </c>
      <c r="BF4232" s="3" t="s">
        <v>41422</v>
      </c>
      <c r="BG4232" s="3" t="s">
        <v>41424</v>
      </c>
      <c r="BH4232">
        <f t="shared" si="124"/>
        <v>0</v>
      </c>
    </row>
    <row r="4233" spans="1:60" ht="58" x14ac:dyDescent="0.35">
      <c r="A4233" s="2" t="s">
        <v>59</v>
      </c>
      <c r="B4233" s="2" t="s">
        <v>60</v>
      </c>
      <c r="C4233" s="2" t="s">
        <v>41425</v>
      </c>
      <c r="D4233" s="2" t="s">
        <v>41426</v>
      </c>
      <c r="E4233" s="2" t="s">
        <v>41427</v>
      </c>
      <c r="F4233" s="3" t="s">
        <v>19804</v>
      </c>
      <c r="G4233" s="3" t="s">
        <v>64</v>
      </c>
      <c r="I4233" s="3" t="s">
        <v>64</v>
      </c>
      <c r="J4233" s="3" t="s">
        <v>64</v>
      </c>
      <c r="K4233" s="3" t="s">
        <v>65</v>
      </c>
      <c r="L4233" s="2" t="s">
        <v>41428</v>
      </c>
      <c r="M4233" s="2" t="s">
        <v>41429</v>
      </c>
      <c r="N4233" s="3" t="s">
        <v>511</v>
      </c>
      <c r="P4233" s="3" t="s">
        <v>68</v>
      </c>
      <c r="R4233" s="3" t="s">
        <v>70</v>
      </c>
      <c r="S4233" s="4">
        <v>0</v>
      </c>
      <c r="T4233" s="4">
        <v>0</v>
      </c>
      <c r="W4233" s="5" t="s">
        <v>72</v>
      </c>
      <c r="X4233" s="5" t="s">
        <v>72</v>
      </c>
      <c r="Y4233" s="4">
        <v>5</v>
      </c>
      <c r="Z4233" s="4">
        <v>3</v>
      </c>
      <c r="AA4233" s="4">
        <v>4</v>
      </c>
      <c r="AB4233" s="4">
        <v>1</v>
      </c>
      <c r="AC4233" s="4">
        <v>2</v>
      </c>
      <c r="AD4233" s="4">
        <v>2</v>
      </c>
      <c r="AE4233" s="4">
        <v>3</v>
      </c>
      <c r="AF4233" s="4">
        <v>0</v>
      </c>
      <c r="AG4233" s="4">
        <v>1</v>
      </c>
      <c r="AH4233" s="4">
        <v>2</v>
      </c>
      <c r="AI4233" s="4">
        <v>3</v>
      </c>
      <c r="AJ4233" s="4">
        <v>1</v>
      </c>
      <c r="AK4233" s="4">
        <v>2</v>
      </c>
      <c r="AL4233" s="4">
        <v>2</v>
      </c>
      <c r="AM4233" s="4">
        <v>2</v>
      </c>
      <c r="AN4233" s="4">
        <v>0</v>
      </c>
      <c r="AO4233" s="4">
        <v>0</v>
      </c>
      <c r="AP4233" s="4">
        <v>1</v>
      </c>
      <c r="AQ4233" s="4">
        <v>2</v>
      </c>
      <c r="AR4233" s="3" t="s">
        <v>64</v>
      </c>
      <c r="AS4233" s="3" t="s">
        <v>64</v>
      </c>
      <c r="AT4233" s="3" t="s">
        <v>64</v>
      </c>
      <c r="AV4233" s="6" t="str">
        <f>HYPERLINK("http://mcgill.on.worldcat.org/oclc/663086213","Catalog Record")</f>
        <v>Catalog Record</v>
      </c>
      <c r="AW4233" s="6" t="str">
        <f>HYPERLINK("http://www.worldcat.org/oclc/663086213","WorldCat Record")</f>
        <v>WorldCat Record</v>
      </c>
      <c r="AX4233" s="3" t="s">
        <v>41430</v>
      </c>
      <c r="AY4233" s="3" t="s">
        <v>41431</v>
      </c>
      <c r="AZ4233" s="3" t="s">
        <v>41432</v>
      </c>
      <c r="BA4233" s="3" t="s">
        <v>41432</v>
      </c>
      <c r="BB4233" s="3" t="s">
        <v>41433</v>
      </c>
      <c r="BC4233" s="3" t="s">
        <v>77</v>
      </c>
      <c r="BD4233" s="3" t="s">
        <v>78</v>
      </c>
      <c r="BE4233" s="3" t="s">
        <v>41434</v>
      </c>
      <c r="BF4233" s="3" t="s">
        <v>41433</v>
      </c>
      <c r="BG4233" s="3" t="s">
        <v>41435</v>
      </c>
      <c r="BH4233">
        <f t="shared" si="124"/>
        <v>0</v>
      </c>
    </row>
    <row r="4234" spans="1:60" ht="58" x14ac:dyDescent="0.35">
      <c r="A4234" s="2" t="s">
        <v>6202</v>
      </c>
      <c r="B4234" s="2" t="s">
        <v>6203</v>
      </c>
      <c r="C4234" s="2" t="s">
        <v>41436</v>
      </c>
      <c r="D4234" s="2" t="s">
        <v>41437</v>
      </c>
      <c r="E4234" s="2" t="s">
        <v>41438</v>
      </c>
      <c r="G4234" s="3" t="s">
        <v>64</v>
      </c>
      <c r="I4234" s="3" t="s">
        <v>64</v>
      </c>
      <c r="J4234" s="3" t="s">
        <v>64</v>
      </c>
      <c r="K4234" s="3" t="s">
        <v>65</v>
      </c>
      <c r="L4234" s="2" t="s">
        <v>41439</v>
      </c>
      <c r="M4234" s="2" t="s">
        <v>41440</v>
      </c>
      <c r="N4234" s="3" t="s">
        <v>1275</v>
      </c>
      <c r="P4234" s="3" t="s">
        <v>68</v>
      </c>
      <c r="R4234" s="3" t="s">
        <v>70</v>
      </c>
      <c r="S4234" s="4">
        <v>1</v>
      </c>
      <c r="T4234" s="4">
        <v>1</v>
      </c>
      <c r="U4234" s="5" t="s">
        <v>3842</v>
      </c>
      <c r="V4234" s="5" t="s">
        <v>3842</v>
      </c>
      <c r="W4234" s="5" t="s">
        <v>72</v>
      </c>
      <c r="X4234" s="5" t="s">
        <v>72</v>
      </c>
      <c r="Y4234" s="4">
        <v>54</v>
      </c>
      <c r="Z4234" s="4">
        <v>6</v>
      </c>
      <c r="AA4234" s="4">
        <v>8</v>
      </c>
      <c r="AB4234" s="4">
        <v>1</v>
      </c>
      <c r="AC4234" s="4">
        <v>2</v>
      </c>
      <c r="AD4234" s="4">
        <v>26</v>
      </c>
      <c r="AE4234" s="4">
        <v>27</v>
      </c>
      <c r="AF4234" s="4">
        <v>0</v>
      </c>
      <c r="AG4234" s="4">
        <v>1</v>
      </c>
      <c r="AH4234" s="4">
        <v>23</v>
      </c>
      <c r="AI4234" s="4">
        <v>23</v>
      </c>
      <c r="AJ4234" s="4">
        <v>3</v>
      </c>
      <c r="AK4234" s="4">
        <v>4</v>
      </c>
      <c r="AL4234" s="4">
        <v>19</v>
      </c>
      <c r="AM4234" s="4">
        <v>19</v>
      </c>
      <c r="AN4234" s="4">
        <v>0</v>
      </c>
      <c r="AO4234" s="4">
        <v>0</v>
      </c>
      <c r="AP4234" s="4">
        <v>2</v>
      </c>
      <c r="AQ4234" s="4">
        <v>2</v>
      </c>
      <c r="AR4234" s="3" t="s">
        <v>64</v>
      </c>
      <c r="AS4234" s="3" t="s">
        <v>64</v>
      </c>
      <c r="AT4234" s="3" t="s">
        <v>64</v>
      </c>
      <c r="AV4234" s="6" t="str">
        <f>HYPERLINK("http://mcgill.on.worldcat.org/oclc/58595460","Catalog Record")</f>
        <v>Catalog Record</v>
      </c>
      <c r="AW4234" s="6" t="str">
        <f>HYPERLINK("http://www.worldcat.org/oclc/58595460","WorldCat Record")</f>
        <v>WorldCat Record</v>
      </c>
      <c r="AX4234" s="3" t="s">
        <v>41441</v>
      </c>
      <c r="AY4234" s="3" t="s">
        <v>41442</v>
      </c>
      <c r="AZ4234" s="3" t="s">
        <v>41443</v>
      </c>
      <c r="BA4234" s="3" t="s">
        <v>41443</v>
      </c>
      <c r="BB4234" s="3" t="s">
        <v>41444</v>
      </c>
      <c r="BC4234" s="3" t="s">
        <v>77</v>
      </c>
      <c r="BD4234" s="3" t="s">
        <v>78</v>
      </c>
      <c r="BE4234" s="3" t="s">
        <v>41445</v>
      </c>
      <c r="BF4234" s="3" t="s">
        <v>41444</v>
      </c>
      <c r="BG4234" s="3" t="s">
        <v>41446</v>
      </c>
      <c r="BH4234">
        <f t="shared" si="124"/>
        <v>0</v>
      </c>
    </row>
    <row r="4235" spans="1:60" ht="58" x14ac:dyDescent="0.35">
      <c r="A4235" s="2" t="s">
        <v>59</v>
      </c>
      <c r="B4235" s="2" t="s">
        <v>60</v>
      </c>
      <c r="C4235" s="2" t="s">
        <v>41447</v>
      </c>
      <c r="D4235" s="2" t="s">
        <v>41448</v>
      </c>
      <c r="E4235" s="2" t="s">
        <v>41449</v>
      </c>
      <c r="G4235" s="3" t="s">
        <v>64</v>
      </c>
      <c r="I4235" s="3" t="s">
        <v>64</v>
      </c>
      <c r="J4235" s="3" t="s">
        <v>64</v>
      </c>
      <c r="K4235" s="3" t="s">
        <v>65</v>
      </c>
      <c r="L4235" s="2" t="s">
        <v>41450</v>
      </c>
      <c r="M4235" s="2" t="s">
        <v>41451</v>
      </c>
      <c r="N4235" s="3" t="s">
        <v>1017</v>
      </c>
      <c r="P4235" s="3" t="s">
        <v>68</v>
      </c>
      <c r="Q4235" s="2" t="s">
        <v>41452</v>
      </c>
      <c r="R4235" s="3" t="s">
        <v>70</v>
      </c>
      <c r="S4235" s="4">
        <v>1</v>
      </c>
      <c r="T4235" s="4">
        <v>1</v>
      </c>
      <c r="U4235" s="5" t="s">
        <v>40704</v>
      </c>
      <c r="V4235" s="5" t="s">
        <v>40704</v>
      </c>
      <c r="W4235" s="5" t="s">
        <v>72</v>
      </c>
      <c r="X4235" s="5" t="s">
        <v>72</v>
      </c>
      <c r="Y4235" s="4">
        <v>41</v>
      </c>
      <c r="Z4235" s="4">
        <v>3</v>
      </c>
      <c r="AA4235" s="4">
        <v>3</v>
      </c>
      <c r="AB4235" s="4">
        <v>1</v>
      </c>
      <c r="AC4235" s="4">
        <v>1</v>
      </c>
      <c r="AD4235" s="4">
        <v>28</v>
      </c>
      <c r="AE4235" s="4">
        <v>28</v>
      </c>
      <c r="AF4235" s="4">
        <v>0</v>
      </c>
      <c r="AG4235" s="4">
        <v>0</v>
      </c>
      <c r="AH4235" s="4">
        <v>26</v>
      </c>
      <c r="AI4235" s="4">
        <v>26</v>
      </c>
      <c r="AJ4235" s="4">
        <v>2</v>
      </c>
      <c r="AK4235" s="4">
        <v>2</v>
      </c>
      <c r="AL4235" s="4">
        <v>17</v>
      </c>
      <c r="AM4235" s="4">
        <v>17</v>
      </c>
      <c r="AN4235" s="4">
        <v>0</v>
      </c>
      <c r="AO4235" s="4">
        <v>0</v>
      </c>
      <c r="AP4235" s="4">
        <v>2</v>
      </c>
      <c r="AQ4235" s="4">
        <v>2</v>
      </c>
      <c r="AR4235" s="3" t="s">
        <v>64</v>
      </c>
      <c r="AS4235" s="3" t="s">
        <v>64</v>
      </c>
      <c r="AT4235" s="3" t="s">
        <v>128</v>
      </c>
      <c r="AU4235" s="6" t="str">
        <f>HYPERLINK("http://catalog.hathitrust.org/Record/001169523","HathiTrust Record")</f>
        <v>HathiTrust Record</v>
      </c>
      <c r="AV4235" s="6" t="str">
        <f>HYPERLINK("http://mcgill.on.worldcat.org/oclc/181058","Catalog Record")</f>
        <v>Catalog Record</v>
      </c>
      <c r="AW4235" s="6" t="str">
        <f>HYPERLINK("http://www.worldcat.org/oclc/181058","WorldCat Record")</f>
        <v>WorldCat Record</v>
      </c>
      <c r="AX4235" s="3" t="s">
        <v>41453</v>
      </c>
      <c r="AY4235" s="3" t="s">
        <v>41454</v>
      </c>
      <c r="AZ4235" s="3" t="s">
        <v>41455</v>
      </c>
      <c r="BA4235" s="3" t="s">
        <v>41455</v>
      </c>
      <c r="BB4235" s="3" t="s">
        <v>41456</v>
      </c>
      <c r="BC4235" s="3" t="s">
        <v>77</v>
      </c>
      <c r="BD4235" s="3" t="s">
        <v>78</v>
      </c>
      <c r="BF4235" s="3" t="s">
        <v>41456</v>
      </c>
      <c r="BG4235" s="3" t="s">
        <v>41457</v>
      </c>
      <c r="BH4235">
        <f t="shared" si="124"/>
        <v>0</v>
      </c>
    </row>
    <row r="4236" spans="1:60" ht="58" x14ac:dyDescent="0.35">
      <c r="A4236" s="2" t="s">
        <v>59</v>
      </c>
      <c r="B4236" s="2" t="s">
        <v>60</v>
      </c>
      <c r="C4236" s="2" t="s">
        <v>41458</v>
      </c>
      <c r="D4236" s="2" t="s">
        <v>41459</v>
      </c>
      <c r="E4236" s="2" t="s">
        <v>41460</v>
      </c>
      <c r="G4236" s="3" t="s">
        <v>64</v>
      </c>
      <c r="I4236" s="3" t="s">
        <v>64</v>
      </c>
      <c r="J4236" s="3" t="s">
        <v>128</v>
      </c>
      <c r="K4236" s="3" t="s">
        <v>65</v>
      </c>
      <c r="L4236" s="2" t="s">
        <v>41461</v>
      </c>
      <c r="M4236" s="2" t="s">
        <v>1225</v>
      </c>
      <c r="N4236" s="3" t="s">
        <v>326</v>
      </c>
      <c r="P4236" s="3" t="s">
        <v>102</v>
      </c>
      <c r="Q4236" s="2" t="s">
        <v>41462</v>
      </c>
      <c r="R4236" s="3" t="s">
        <v>70</v>
      </c>
      <c r="S4236" s="4">
        <v>0</v>
      </c>
      <c r="T4236" s="4">
        <v>0</v>
      </c>
      <c r="W4236" s="5" t="s">
        <v>72</v>
      </c>
      <c r="X4236" s="5" t="s">
        <v>72</v>
      </c>
      <c r="Y4236" s="4">
        <v>57</v>
      </c>
      <c r="Z4236" s="4">
        <v>7</v>
      </c>
      <c r="AA4236" s="4">
        <v>96</v>
      </c>
      <c r="AB4236" s="4">
        <v>1</v>
      </c>
      <c r="AC4236" s="4">
        <v>17</v>
      </c>
      <c r="AD4236" s="4">
        <v>31</v>
      </c>
      <c r="AE4236" s="4">
        <v>120</v>
      </c>
      <c r="AF4236" s="4">
        <v>0</v>
      </c>
      <c r="AG4236" s="4">
        <v>8</v>
      </c>
      <c r="AH4236" s="4">
        <v>29</v>
      </c>
      <c r="AI4236" s="4">
        <v>84</v>
      </c>
      <c r="AJ4236" s="4">
        <v>4</v>
      </c>
      <c r="AK4236" s="4">
        <v>21</v>
      </c>
      <c r="AL4236" s="4">
        <v>25</v>
      </c>
      <c r="AM4236" s="4">
        <v>47</v>
      </c>
      <c r="AN4236" s="4">
        <v>0</v>
      </c>
      <c r="AO4236" s="4">
        <v>0</v>
      </c>
      <c r="AP4236" s="4">
        <v>4</v>
      </c>
      <c r="AQ4236" s="4">
        <v>42</v>
      </c>
      <c r="AR4236" s="3" t="s">
        <v>64</v>
      </c>
      <c r="AS4236" s="3" t="s">
        <v>64</v>
      </c>
      <c r="AT4236" s="3" t="s">
        <v>64</v>
      </c>
      <c r="AV4236" s="6" t="str">
        <f>HYPERLINK("http://mcgill.on.worldcat.org/oclc/748330832","Catalog Record")</f>
        <v>Catalog Record</v>
      </c>
      <c r="AW4236" s="6" t="str">
        <f>HYPERLINK("http://www.worldcat.org/oclc/748330832","WorldCat Record")</f>
        <v>WorldCat Record</v>
      </c>
      <c r="AX4236" s="3" t="s">
        <v>41463</v>
      </c>
      <c r="AY4236" s="3" t="s">
        <v>41464</v>
      </c>
      <c r="AZ4236" s="3" t="s">
        <v>41465</v>
      </c>
      <c r="BA4236" s="3" t="s">
        <v>41465</v>
      </c>
      <c r="BB4236" s="3" t="s">
        <v>41466</v>
      </c>
      <c r="BC4236" s="3" t="s">
        <v>77</v>
      </c>
      <c r="BD4236" s="3" t="s">
        <v>78</v>
      </c>
      <c r="BE4236" s="3" t="s">
        <v>41467</v>
      </c>
      <c r="BF4236" s="3" t="s">
        <v>41466</v>
      </c>
      <c r="BG4236" s="3" t="s">
        <v>41468</v>
      </c>
      <c r="BH4236">
        <f t="shared" si="124"/>
        <v>0</v>
      </c>
    </row>
    <row r="4237" spans="1:60" ht="58" x14ac:dyDescent="0.35">
      <c r="A4237" s="2" t="s">
        <v>59</v>
      </c>
      <c r="B4237" s="2" t="s">
        <v>60</v>
      </c>
      <c r="C4237" s="2" t="s">
        <v>41469</v>
      </c>
      <c r="D4237" s="2" t="s">
        <v>41470</v>
      </c>
      <c r="E4237" s="2" t="s">
        <v>41471</v>
      </c>
      <c r="G4237" s="3" t="s">
        <v>64</v>
      </c>
      <c r="I4237" s="3" t="s">
        <v>64</v>
      </c>
      <c r="J4237" s="3" t="s">
        <v>64</v>
      </c>
      <c r="K4237" s="3" t="s">
        <v>65</v>
      </c>
      <c r="L4237" s="2" t="s">
        <v>41472</v>
      </c>
      <c r="M4237" s="2" t="s">
        <v>4322</v>
      </c>
      <c r="N4237" s="3" t="s">
        <v>67</v>
      </c>
      <c r="P4237" s="3" t="s">
        <v>102</v>
      </c>
      <c r="Q4237" s="2" t="s">
        <v>41473</v>
      </c>
      <c r="R4237" s="3" t="s">
        <v>70</v>
      </c>
      <c r="S4237" s="4">
        <v>0</v>
      </c>
      <c r="T4237" s="4">
        <v>0</v>
      </c>
      <c r="W4237" s="5" t="s">
        <v>72</v>
      </c>
      <c r="X4237" s="5" t="s">
        <v>72</v>
      </c>
      <c r="Y4237" s="4">
        <v>44</v>
      </c>
      <c r="Z4237" s="4">
        <v>4</v>
      </c>
      <c r="AA4237" s="4">
        <v>9</v>
      </c>
      <c r="AB4237" s="4">
        <v>1</v>
      </c>
      <c r="AC4237" s="4">
        <v>1</v>
      </c>
      <c r="AD4237" s="4">
        <v>27</v>
      </c>
      <c r="AE4237" s="4">
        <v>37</v>
      </c>
      <c r="AF4237" s="4">
        <v>0</v>
      </c>
      <c r="AG4237" s="4">
        <v>0</v>
      </c>
      <c r="AH4237" s="4">
        <v>26</v>
      </c>
      <c r="AI4237" s="4">
        <v>33</v>
      </c>
      <c r="AJ4237" s="4">
        <v>2</v>
      </c>
      <c r="AK4237" s="4">
        <v>5</v>
      </c>
      <c r="AL4237" s="4">
        <v>23</v>
      </c>
      <c r="AM4237" s="4">
        <v>27</v>
      </c>
      <c r="AN4237" s="4">
        <v>0</v>
      </c>
      <c r="AO4237" s="4">
        <v>0</v>
      </c>
      <c r="AP4237" s="4">
        <v>2</v>
      </c>
      <c r="AQ4237" s="4">
        <v>6</v>
      </c>
      <c r="AR4237" s="3" t="s">
        <v>64</v>
      </c>
      <c r="AS4237" s="3" t="s">
        <v>64</v>
      </c>
      <c r="AT4237" s="3" t="s">
        <v>64</v>
      </c>
      <c r="AV4237" s="6" t="str">
        <f>HYPERLINK("http://mcgill.on.worldcat.org/oclc/872222463","Catalog Record")</f>
        <v>Catalog Record</v>
      </c>
      <c r="AW4237" s="6" t="str">
        <f>HYPERLINK("http://www.worldcat.org/oclc/872222463","WorldCat Record")</f>
        <v>WorldCat Record</v>
      </c>
      <c r="AX4237" s="3" t="s">
        <v>41474</v>
      </c>
      <c r="AY4237" s="3" t="s">
        <v>41475</v>
      </c>
      <c r="AZ4237" s="3" t="s">
        <v>41476</v>
      </c>
      <c r="BA4237" s="3" t="s">
        <v>41476</v>
      </c>
      <c r="BB4237" s="3" t="s">
        <v>41477</v>
      </c>
      <c r="BC4237" s="3" t="s">
        <v>77</v>
      </c>
      <c r="BD4237" s="3" t="s">
        <v>78</v>
      </c>
      <c r="BE4237" s="3" t="s">
        <v>41478</v>
      </c>
      <c r="BF4237" s="3" t="s">
        <v>41477</v>
      </c>
      <c r="BG4237" s="3" t="s">
        <v>41479</v>
      </c>
      <c r="BH4237">
        <f t="shared" si="124"/>
        <v>0</v>
      </c>
    </row>
    <row r="4238" spans="1:60" ht="58" x14ac:dyDescent="0.35">
      <c r="A4238" s="2" t="s">
        <v>59</v>
      </c>
      <c r="B4238" s="2" t="s">
        <v>60</v>
      </c>
      <c r="C4238" s="2" t="s">
        <v>41480</v>
      </c>
      <c r="D4238" s="2" t="s">
        <v>41481</v>
      </c>
      <c r="E4238" s="2" t="s">
        <v>41482</v>
      </c>
      <c r="G4238" s="3" t="s">
        <v>64</v>
      </c>
      <c r="I4238" s="3" t="s">
        <v>64</v>
      </c>
      <c r="J4238" s="3" t="s">
        <v>64</v>
      </c>
      <c r="K4238" s="3" t="s">
        <v>65</v>
      </c>
      <c r="L4238" s="2" t="s">
        <v>41483</v>
      </c>
      <c r="M4238" s="2" t="s">
        <v>3919</v>
      </c>
      <c r="N4238" s="3" t="s">
        <v>578</v>
      </c>
      <c r="P4238" s="3" t="s">
        <v>102</v>
      </c>
      <c r="Q4238" s="2" t="s">
        <v>41484</v>
      </c>
      <c r="R4238" s="3" t="s">
        <v>70</v>
      </c>
      <c r="S4238" s="4">
        <v>1</v>
      </c>
      <c r="T4238" s="4">
        <v>1</v>
      </c>
      <c r="U4238" s="5" t="s">
        <v>33484</v>
      </c>
      <c r="V4238" s="5" t="s">
        <v>33484</v>
      </c>
      <c r="W4238" s="5" t="s">
        <v>72</v>
      </c>
      <c r="X4238" s="5" t="s">
        <v>72</v>
      </c>
      <c r="Y4238" s="4">
        <v>36</v>
      </c>
      <c r="Z4238" s="4">
        <v>2</v>
      </c>
      <c r="AA4238" s="4">
        <v>7</v>
      </c>
      <c r="AB4238" s="4">
        <v>1</v>
      </c>
      <c r="AC4238" s="4">
        <v>4</v>
      </c>
      <c r="AD4238" s="4">
        <v>22</v>
      </c>
      <c r="AE4238" s="4">
        <v>29</v>
      </c>
      <c r="AF4238" s="4">
        <v>0</v>
      </c>
      <c r="AG4238" s="4">
        <v>1</v>
      </c>
      <c r="AH4238" s="4">
        <v>21</v>
      </c>
      <c r="AI4238" s="4">
        <v>27</v>
      </c>
      <c r="AJ4238" s="4">
        <v>1</v>
      </c>
      <c r="AK4238" s="4">
        <v>4</v>
      </c>
      <c r="AL4238" s="4">
        <v>18</v>
      </c>
      <c r="AM4238" s="4">
        <v>22</v>
      </c>
      <c r="AN4238" s="4">
        <v>0</v>
      </c>
      <c r="AO4238" s="4">
        <v>0</v>
      </c>
      <c r="AP4238" s="4">
        <v>1</v>
      </c>
      <c r="AQ4238" s="4">
        <v>3</v>
      </c>
      <c r="AR4238" s="3" t="s">
        <v>64</v>
      </c>
      <c r="AS4238" s="3" t="s">
        <v>64</v>
      </c>
      <c r="AT4238" s="3" t="s">
        <v>64</v>
      </c>
      <c r="AV4238" s="6" t="str">
        <f>HYPERLINK("http://mcgill.on.worldcat.org/oclc/969981944","Catalog Record")</f>
        <v>Catalog Record</v>
      </c>
      <c r="AW4238" s="6" t="str">
        <f>HYPERLINK("http://www.worldcat.org/oclc/969981944","WorldCat Record")</f>
        <v>WorldCat Record</v>
      </c>
      <c r="AX4238" s="3" t="s">
        <v>41485</v>
      </c>
      <c r="AY4238" s="3" t="s">
        <v>41486</v>
      </c>
      <c r="AZ4238" s="3" t="s">
        <v>41487</v>
      </c>
      <c r="BA4238" s="3" t="s">
        <v>41487</v>
      </c>
      <c r="BB4238" s="3" t="s">
        <v>41488</v>
      </c>
      <c r="BC4238" s="3" t="s">
        <v>77</v>
      </c>
      <c r="BD4238" s="3" t="s">
        <v>78</v>
      </c>
      <c r="BE4238" s="3" t="s">
        <v>41489</v>
      </c>
      <c r="BF4238" s="3" t="s">
        <v>41488</v>
      </c>
      <c r="BG4238" s="3" t="s">
        <v>41490</v>
      </c>
      <c r="BH4238">
        <f t="shared" si="124"/>
        <v>0</v>
      </c>
    </row>
    <row r="4239" spans="1:60" ht="58" x14ac:dyDescent="0.35">
      <c r="A4239" s="2" t="s">
        <v>59</v>
      </c>
      <c r="B4239" s="2" t="s">
        <v>60</v>
      </c>
      <c r="C4239" s="2" t="s">
        <v>41491</v>
      </c>
      <c r="D4239" s="2" t="s">
        <v>41492</v>
      </c>
      <c r="E4239" s="2" t="s">
        <v>41493</v>
      </c>
      <c r="G4239" s="3" t="s">
        <v>64</v>
      </c>
      <c r="I4239" s="3" t="s">
        <v>128</v>
      </c>
      <c r="J4239" s="3" t="s">
        <v>64</v>
      </c>
      <c r="K4239" s="3" t="s">
        <v>65</v>
      </c>
      <c r="L4239" s="2" t="s">
        <v>41494</v>
      </c>
      <c r="M4239" s="2" t="s">
        <v>41495</v>
      </c>
      <c r="N4239" s="3" t="s">
        <v>326</v>
      </c>
      <c r="P4239" s="3" t="s">
        <v>68</v>
      </c>
      <c r="Q4239" s="2" t="s">
        <v>41496</v>
      </c>
      <c r="R4239" s="3" t="s">
        <v>70</v>
      </c>
      <c r="S4239" s="4">
        <v>2</v>
      </c>
      <c r="T4239" s="4">
        <v>3</v>
      </c>
      <c r="U4239" s="5" t="s">
        <v>992</v>
      </c>
      <c r="V4239" s="5" t="s">
        <v>992</v>
      </c>
      <c r="W4239" s="5" t="s">
        <v>72</v>
      </c>
      <c r="X4239" s="5" t="s">
        <v>72</v>
      </c>
      <c r="Y4239" s="4">
        <v>23</v>
      </c>
      <c r="Z4239" s="4">
        <v>4</v>
      </c>
      <c r="AA4239" s="4">
        <v>103</v>
      </c>
      <c r="AB4239" s="4">
        <v>1</v>
      </c>
      <c r="AC4239" s="4">
        <v>19</v>
      </c>
      <c r="AD4239" s="4">
        <v>12</v>
      </c>
      <c r="AE4239" s="4">
        <v>89</v>
      </c>
      <c r="AF4239" s="4">
        <v>0</v>
      </c>
      <c r="AG4239" s="4">
        <v>8</v>
      </c>
      <c r="AH4239" s="4">
        <v>10</v>
      </c>
      <c r="AI4239" s="4">
        <v>51</v>
      </c>
      <c r="AJ4239" s="4">
        <v>3</v>
      </c>
      <c r="AK4239" s="4">
        <v>21</v>
      </c>
      <c r="AL4239" s="4">
        <v>8</v>
      </c>
      <c r="AM4239" s="4">
        <v>25</v>
      </c>
      <c r="AN4239" s="4">
        <v>0</v>
      </c>
      <c r="AO4239" s="4">
        <v>0</v>
      </c>
      <c r="AP4239" s="4">
        <v>3</v>
      </c>
      <c r="AQ4239" s="4">
        <v>45</v>
      </c>
      <c r="AR4239" s="3" t="s">
        <v>128</v>
      </c>
      <c r="AS4239" s="3" t="s">
        <v>64</v>
      </c>
      <c r="AT4239" s="3" t="s">
        <v>64</v>
      </c>
      <c r="AV4239" s="6" t="str">
        <f>HYPERLINK("http://mcgill.on.worldcat.org/oclc/727466487","Catalog Record")</f>
        <v>Catalog Record</v>
      </c>
      <c r="AW4239" s="6" t="str">
        <f>HYPERLINK("http://www.worldcat.org/oclc/727466487","WorldCat Record")</f>
        <v>WorldCat Record</v>
      </c>
      <c r="AX4239" s="3" t="s">
        <v>41497</v>
      </c>
      <c r="AY4239" s="3" t="s">
        <v>41498</v>
      </c>
      <c r="AZ4239" s="3" t="s">
        <v>41499</v>
      </c>
      <c r="BA4239" s="3" t="s">
        <v>41499</v>
      </c>
      <c r="BB4239" s="3" t="s">
        <v>41500</v>
      </c>
      <c r="BC4239" s="3" t="s">
        <v>77</v>
      </c>
      <c r="BD4239" s="3" t="s">
        <v>78</v>
      </c>
      <c r="BE4239" s="3" t="s">
        <v>41501</v>
      </c>
      <c r="BF4239" s="3" t="s">
        <v>41500</v>
      </c>
      <c r="BG4239" s="3" t="s">
        <v>41502</v>
      </c>
      <c r="BH4239">
        <f t="shared" si="124"/>
        <v>0</v>
      </c>
    </row>
    <row r="4240" spans="1:60" ht="58" x14ac:dyDescent="0.35">
      <c r="A4240" s="2" t="s">
        <v>59</v>
      </c>
      <c r="B4240" s="2" t="s">
        <v>60</v>
      </c>
      <c r="C4240" s="2" t="s">
        <v>41491</v>
      </c>
      <c r="D4240" s="2" t="s">
        <v>41492</v>
      </c>
      <c r="E4240" s="2" t="s">
        <v>41493</v>
      </c>
      <c r="G4240" s="3" t="s">
        <v>64</v>
      </c>
      <c r="I4240" s="3" t="s">
        <v>128</v>
      </c>
      <c r="J4240" s="3" t="s">
        <v>64</v>
      </c>
      <c r="K4240" s="3" t="s">
        <v>65</v>
      </c>
      <c r="L4240" s="2" t="s">
        <v>41494</v>
      </c>
      <c r="M4240" s="2" t="s">
        <v>41495</v>
      </c>
      <c r="N4240" s="3" t="s">
        <v>326</v>
      </c>
      <c r="P4240" s="3" t="s">
        <v>68</v>
      </c>
      <c r="Q4240" s="2" t="s">
        <v>41496</v>
      </c>
      <c r="R4240" s="3" t="s">
        <v>70</v>
      </c>
      <c r="S4240" s="4">
        <v>1</v>
      </c>
      <c r="T4240" s="4">
        <v>3</v>
      </c>
      <c r="U4240" s="5" t="s">
        <v>41503</v>
      </c>
      <c r="V4240" s="5" t="s">
        <v>992</v>
      </c>
      <c r="W4240" s="5" t="s">
        <v>72</v>
      </c>
      <c r="X4240" s="5" t="s">
        <v>72</v>
      </c>
      <c r="Y4240" s="4">
        <v>23</v>
      </c>
      <c r="Z4240" s="4">
        <v>4</v>
      </c>
      <c r="AA4240" s="4">
        <v>103</v>
      </c>
      <c r="AB4240" s="4">
        <v>1</v>
      </c>
      <c r="AC4240" s="4">
        <v>19</v>
      </c>
      <c r="AD4240" s="4">
        <v>12</v>
      </c>
      <c r="AE4240" s="4">
        <v>89</v>
      </c>
      <c r="AF4240" s="4">
        <v>0</v>
      </c>
      <c r="AG4240" s="4">
        <v>8</v>
      </c>
      <c r="AH4240" s="4">
        <v>10</v>
      </c>
      <c r="AI4240" s="4">
        <v>51</v>
      </c>
      <c r="AJ4240" s="4">
        <v>3</v>
      </c>
      <c r="AK4240" s="4">
        <v>21</v>
      </c>
      <c r="AL4240" s="4">
        <v>8</v>
      </c>
      <c r="AM4240" s="4">
        <v>25</v>
      </c>
      <c r="AN4240" s="4">
        <v>0</v>
      </c>
      <c r="AO4240" s="4">
        <v>0</v>
      </c>
      <c r="AP4240" s="4">
        <v>3</v>
      </c>
      <c r="AQ4240" s="4">
        <v>45</v>
      </c>
      <c r="AR4240" s="3" t="s">
        <v>128</v>
      </c>
      <c r="AS4240" s="3" t="s">
        <v>64</v>
      </c>
      <c r="AT4240" s="3" t="s">
        <v>64</v>
      </c>
      <c r="AV4240" s="6" t="str">
        <f>HYPERLINK("http://mcgill.on.worldcat.org/oclc/727466487","Catalog Record")</f>
        <v>Catalog Record</v>
      </c>
      <c r="AW4240" s="6" t="str">
        <f>HYPERLINK("http://www.worldcat.org/oclc/727466487","WorldCat Record")</f>
        <v>WorldCat Record</v>
      </c>
      <c r="AX4240" s="3" t="s">
        <v>41497</v>
      </c>
      <c r="AY4240" s="3" t="s">
        <v>41498</v>
      </c>
      <c r="AZ4240" s="3" t="s">
        <v>41499</v>
      </c>
      <c r="BA4240" s="3" t="s">
        <v>41499</v>
      </c>
      <c r="BB4240" s="3" t="s">
        <v>41504</v>
      </c>
      <c r="BC4240" s="3" t="s">
        <v>77</v>
      </c>
      <c r="BD4240" s="3" t="s">
        <v>78</v>
      </c>
      <c r="BE4240" s="3" t="s">
        <v>41501</v>
      </c>
      <c r="BF4240" s="3" t="s">
        <v>41504</v>
      </c>
      <c r="BG4240" s="3" t="s">
        <v>41505</v>
      </c>
      <c r="BH4240">
        <f t="shared" si="124"/>
        <v>0</v>
      </c>
    </row>
    <row r="4241" spans="1:60" ht="58" x14ac:dyDescent="0.35">
      <c r="A4241" s="2" t="s">
        <v>6202</v>
      </c>
      <c r="B4241" s="2" t="s">
        <v>6203</v>
      </c>
      <c r="C4241" s="2" t="s">
        <v>41506</v>
      </c>
      <c r="D4241" s="2" t="s">
        <v>41507</v>
      </c>
      <c r="E4241" s="2" t="s">
        <v>41508</v>
      </c>
      <c r="G4241" s="3" t="s">
        <v>64</v>
      </c>
      <c r="I4241" s="3" t="s">
        <v>64</v>
      </c>
      <c r="J4241" s="3" t="s">
        <v>64</v>
      </c>
      <c r="K4241" s="3" t="s">
        <v>65</v>
      </c>
      <c r="L4241" s="2" t="s">
        <v>41509</v>
      </c>
      <c r="M4241" s="2" t="s">
        <v>34974</v>
      </c>
      <c r="N4241" s="3" t="s">
        <v>3330</v>
      </c>
      <c r="P4241" s="3" t="s">
        <v>68</v>
      </c>
      <c r="Q4241" s="2" t="s">
        <v>41510</v>
      </c>
      <c r="R4241" s="3" t="s">
        <v>70</v>
      </c>
      <c r="S4241" s="4">
        <v>1</v>
      </c>
      <c r="T4241" s="4">
        <v>1</v>
      </c>
      <c r="U4241" s="5" t="s">
        <v>41511</v>
      </c>
      <c r="V4241" s="5" t="s">
        <v>41511</v>
      </c>
      <c r="W4241" s="5" t="s">
        <v>72</v>
      </c>
      <c r="X4241" s="5" t="s">
        <v>72</v>
      </c>
      <c r="Y4241" s="4">
        <v>107</v>
      </c>
      <c r="Z4241" s="4">
        <v>12</v>
      </c>
      <c r="AA4241" s="4">
        <v>14</v>
      </c>
      <c r="AB4241" s="4">
        <v>2</v>
      </c>
      <c r="AC4241" s="4">
        <v>4</v>
      </c>
      <c r="AD4241" s="4">
        <v>61</v>
      </c>
      <c r="AE4241" s="4">
        <v>63</v>
      </c>
      <c r="AF4241" s="4">
        <v>0</v>
      </c>
      <c r="AG4241" s="4">
        <v>2</v>
      </c>
      <c r="AH4241" s="4">
        <v>56</v>
      </c>
      <c r="AI4241" s="4">
        <v>56</v>
      </c>
      <c r="AJ4241" s="4">
        <v>7</v>
      </c>
      <c r="AK4241" s="4">
        <v>9</v>
      </c>
      <c r="AL4241" s="4">
        <v>41</v>
      </c>
      <c r="AM4241" s="4">
        <v>41</v>
      </c>
      <c r="AN4241" s="4">
        <v>0</v>
      </c>
      <c r="AO4241" s="4">
        <v>0</v>
      </c>
      <c r="AP4241" s="4">
        <v>7</v>
      </c>
      <c r="AQ4241" s="4">
        <v>8</v>
      </c>
      <c r="AR4241" s="3" t="s">
        <v>64</v>
      </c>
      <c r="AS4241" s="3" t="s">
        <v>64</v>
      </c>
      <c r="AT4241" s="3" t="s">
        <v>128</v>
      </c>
      <c r="AU4241" s="6" t="str">
        <f>HYPERLINK("http://catalog.hathitrust.org/Record/001077889","HathiTrust Record")</f>
        <v>HathiTrust Record</v>
      </c>
      <c r="AV4241" s="6" t="str">
        <f>HYPERLINK("http://mcgill.on.worldcat.org/oclc/18730009","Catalog Record")</f>
        <v>Catalog Record</v>
      </c>
      <c r="AW4241" s="6" t="str">
        <f>HYPERLINK("http://www.worldcat.org/oclc/18730009","WorldCat Record")</f>
        <v>WorldCat Record</v>
      </c>
      <c r="AX4241" s="3" t="s">
        <v>41512</v>
      </c>
      <c r="AY4241" s="3" t="s">
        <v>41513</v>
      </c>
      <c r="AZ4241" s="3" t="s">
        <v>41514</v>
      </c>
      <c r="BA4241" s="3" t="s">
        <v>41514</v>
      </c>
      <c r="BB4241" s="3" t="s">
        <v>41515</v>
      </c>
      <c r="BC4241" s="3" t="s">
        <v>77</v>
      </c>
      <c r="BD4241" s="3" t="s">
        <v>78</v>
      </c>
      <c r="BF4241" s="3" t="s">
        <v>41515</v>
      </c>
      <c r="BG4241" s="3" t="s">
        <v>41516</v>
      </c>
      <c r="BH4241">
        <f t="shared" si="124"/>
        <v>0</v>
      </c>
    </row>
    <row r="4242" spans="1:60" ht="58" x14ac:dyDescent="0.35">
      <c r="A4242" s="2" t="s">
        <v>6202</v>
      </c>
      <c r="B4242" s="2" t="s">
        <v>6203</v>
      </c>
      <c r="C4242" s="2" t="s">
        <v>41518</v>
      </c>
      <c r="D4242" s="2" t="s">
        <v>41519</v>
      </c>
      <c r="E4242" s="2" t="s">
        <v>41520</v>
      </c>
      <c r="G4242" s="3" t="s">
        <v>64</v>
      </c>
      <c r="I4242" s="3" t="s">
        <v>64</v>
      </c>
      <c r="J4242" s="3" t="s">
        <v>64</v>
      </c>
      <c r="K4242" s="3" t="s">
        <v>65</v>
      </c>
      <c r="L4242" s="2" t="s">
        <v>41521</v>
      </c>
      <c r="M4242" s="2" t="s">
        <v>26818</v>
      </c>
      <c r="N4242" s="3" t="s">
        <v>116</v>
      </c>
      <c r="P4242" s="3" t="s">
        <v>102</v>
      </c>
      <c r="R4242" s="3" t="s">
        <v>70</v>
      </c>
      <c r="S4242" s="4">
        <v>1</v>
      </c>
      <c r="T4242" s="4">
        <v>1</v>
      </c>
      <c r="U4242" s="5" t="s">
        <v>37506</v>
      </c>
      <c r="V4242" s="5" t="s">
        <v>37506</v>
      </c>
      <c r="W4242" s="5" t="s">
        <v>72</v>
      </c>
      <c r="X4242" s="5" t="s">
        <v>72</v>
      </c>
      <c r="Y4242" s="4">
        <v>76</v>
      </c>
      <c r="Z4242" s="4">
        <v>3</v>
      </c>
      <c r="AA4242" s="4">
        <v>75</v>
      </c>
      <c r="AB4242" s="4">
        <v>1</v>
      </c>
      <c r="AC4242" s="4">
        <v>14</v>
      </c>
      <c r="AD4242" s="4">
        <v>44</v>
      </c>
      <c r="AE4242" s="4">
        <v>114</v>
      </c>
      <c r="AF4242" s="4">
        <v>0</v>
      </c>
      <c r="AG4242" s="4">
        <v>8</v>
      </c>
      <c r="AH4242" s="4">
        <v>43</v>
      </c>
      <c r="AI4242" s="4">
        <v>80</v>
      </c>
      <c r="AJ4242" s="4">
        <v>2</v>
      </c>
      <c r="AK4242" s="4">
        <v>18</v>
      </c>
      <c r="AL4242" s="4">
        <v>30</v>
      </c>
      <c r="AM4242" s="4">
        <v>44</v>
      </c>
      <c r="AN4242" s="4">
        <v>0</v>
      </c>
      <c r="AO4242" s="4">
        <v>0</v>
      </c>
      <c r="AP4242" s="4">
        <v>2</v>
      </c>
      <c r="AQ4242" s="4">
        <v>39</v>
      </c>
      <c r="AR4242" s="3" t="s">
        <v>64</v>
      </c>
      <c r="AS4242" s="3" t="s">
        <v>64</v>
      </c>
      <c r="AT4242" s="3" t="s">
        <v>64</v>
      </c>
      <c r="AV4242" s="6" t="str">
        <f>HYPERLINK("http://mcgill.on.worldcat.org/oclc/54806159","Catalog Record")</f>
        <v>Catalog Record</v>
      </c>
      <c r="AW4242" s="6" t="str">
        <f>HYPERLINK("http://www.worldcat.org/oclc/54806159","WorldCat Record")</f>
        <v>WorldCat Record</v>
      </c>
      <c r="AX4242" s="3" t="s">
        <v>41522</v>
      </c>
      <c r="AY4242" s="3" t="s">
        <v>41523</v>
      </c>
      <c r="AZ4242" s="3" t="s">
        <v>41524</v>
      </c>
      <c r="BA4242" s="3" t="s">
        <v>41524</v>
      </c>
      <c r="BB4242" s="3" t="s">
        <v>41525</v>
      </c>
      <c r="BC4242" s="3" t="s">
        <v>77</v>
      </c>
      <c r="BD4242" s="3" t="s">
        <v>78</v>
      </c>
      <c r="BE4242" s="3" t="s">
        <v>41526</v>
      </c>
      <c r="BF4242" s="3" t="s">
        <v>41525</v>
      </c>
      <c r="BG4242" s="3" t="s">
        <v>41527</v>
      </c>
      <c r="BH4242">
        <f t="shared" si="124"/>
        <v>0</v>
      </c>
    </row>
    <row r="4243" spans="1:60" ht="58" x14ac:dyDescent="0.35">
      <c r="A4243" s="2" t="s">
        <v>6202</v>
      </c>
      <c r="B4243" s="2" t="s">
        <v>6203</v>
      </c>
      <c r="C4243" s="2" t="s">
        <v>41528</v>
      </c>
      <c r="D4243" s="2" t="s">
        <v>41529</v>
      </c>
      <c r="E4243" s="2" t="s">
        <v>41530</v>
      </c>
      <c r="G4243" s="3" t="s">
        <v>64</v>
      </c>
      <c r="I4243" s="3" t="s">
        <v>64</v>
      </c>
      <c r="J4243" s="3" t="s">
        <v>64</v>
      </c>
      <c r="K4243" s="3" t="s">
        <v>65</v>
      </c>
      <c r="L4243" s="2" t="s">
        <v>41531</v>
      </c>
      <c r="M4243" s="2" t="s">
        <v>41532</v>
      </c>
      <c r="N4243" s="3" t="s">
        <v>3428</v>
      </c>
      <c r="P4243" s="3" t="s">
        <v>944</v>
      </c>
      <c r="Q4243" s="2" t="s">
        <v>41533</v>
      </c>
      <c r="R4243" s="3" t="s">
        <v>70</v>
      </c>
      <c r="S4243" s="4">
        <v>1</v>
      </c>
      <c r="T4243" s="4">
        <v>1</v>
      </c>
      <c r="U4243" s="5" t="s">
        <v>4142</v>
      </c>
      <c r="V4243" s="5" t="s">
        <v>4142</v>
      </c>
      <c r="W4243" s="5" t="s">
        <v>72</v>
      </c>
      <c r="X4243" s="5" t="s">
        <v>72</v>
      </c>
      <c r="Y4243" s="4">
        <v>83</v>
      </c>
      <c r="Z4243" s="4">
        <v>5</v>
      </c>
      <c r="AA4243" s="4">
        <v>5</v>
      </c>
      <c r="AB4243" s="4">
        <v>1</v>
      </c>
      <c r="AC4243" s="4">
        <v>1</v>
      </c>
      <c r="AD4243" s="4">
        <v>36</v>
      </c>
      <c r="AE4243" s="4">
        <v>36</v>
      </c>
      <c r="AF4243" s="4">
        <v>0</v>
      </c>
      <c r="AG4243" s="4">
        <v>0</v>
      </c>
      <c r="AH4243" s="4">
        <v>33</v>
      </c>
      <c r="AI4243" s="4">
        <v>33</v>
      </c>
      <c r="AJ4243" s="4">
        <v>3</v>
      </c>
      <c r="AK4243" s="4">
        <v>3</v>
      </c>
      <c r="AL4243" s="4">
        <v>26</v>
      </c>
      <c r="AM4243" s="4">
        <v>26</v>
      </c>
      <c r="AN4243" s="4">
        <v>0</v>
      </c>
      <c r="AO4243" s="4">
        <v>0</v>
      </c>
      <c r="AP4243" s="4">
        <v>3</v>
      </c>
      <c r="AQ4243" s="4">
        <v>3</v>
      </c>
      <c r="AR4243" s="3" t="s">
        <v>64</v>
      </c>
      <c r="AS4243" s="3" t="s">
        <v>64</v>
      </c>
      <c r="AT4243" s="3" t="s">
        <v>128</v>
      </c>
      <c r="AU4243" s="6" t="str">
        <f>HYPERLINK("http://catalog.hathitrust.org/Record/007131112","HathiTrust Record")</f>
        <v>HathiTrust Record</v>
      </c>
      <c r="AV4243" s="6" t="str">
        <f>HYPERLINK("http://mcgill.on.worldcat.org/oclc/33233889","Catalog Record")</f>
        <v>Catalog Record</v>
      </c>
      <c r="AW4243" s="6" t="str">
        <f>HYPERLINK("http://www.worldcat.org/oclc/33233889","WorldCat Record")</f>
        <v>WorldCat Record</v>
      </c>
      <c r="AX4243" s="3" t="s">
        <v>41534</v>
      </c>
      <c r="AY4243" s="3" t="s">
        <v>41535</v>
      </c>
      <c r="AZ4243" s="3" t="s">
        <v>41536</v>
      </c>
      <c r="BA4243" s="3" t="s">
        <v>41536</v>
      </c>
      <c r="BB4243" s="3" t="s">
        <v>41537</v>
      </c>
      <c r="BC4243" s="3" t="s">
        <v>77</v>
      </c>
      <c r="BD4243" s="3" t="s">
        <v>78</v>
      </c>
      <c r="BE4243" s="3" t="s">
        <v>41538</v>
      </c>
      <c r="BF4243" s="3" t="s">
        <v>41537</v>
      </c>
      <c r="BG4243" s="3" t="s">
        <v>41539</v>
      </c>
      <c r="BH4243">
        <f t="shared" si="124"/>
        <v>0</v>
      </c>
    </row>
    <row r="4244" spans="1:60" ht="58" x14ac:dyDescent="0.35">
      <c r="A4244" s="2" t="s">
        <v>59</v>
      </c>
      <c r="B4244" s="2" t="s">
        <v>60</v>
      </c>
      <c r="C4244" s="2" t="s">
        <v>41540</v>
      </c>
      <c r="D4244" s="2" t="s">
        <v>41541</v>
      </c>
      <c r="E4244" s="2" t="s">
        <v>41542</v>
      </c>
      <c r="F4244" s="3" t="s">
        <v>41543</v>
      </c>
      <c r="G4244" s="3" t="s">
        <v>128</v>
      </c>
      <c r="I4244" s="3" t="s">
        <v>64</v>
      </c>
      <c r="J4244" s="3" t="s">
        <v>64</v>
      </c>
      <c r="K4244" s="3" t="s">
        <v>65</v>
      </c>
      <c r="L4244" s="2" t="s">
        <v>41544</v>
      </c>
      <c r="M4244" s="2" t="s">
        <v>41545</v>
      </c>
      <c r="N4244" s="3" t="s">
        <v>1075</v>
      </c>
      <c r="P4244" s="3" t="s">
        <v>944</v>
      </c>
      <c r="R4244" s="3" t="s">
        <v>70</v>
      </c>
      <c r="S4244" s="4">
        <v>0</v>
      </c>
      <c r="T4244" s="4">
        <v>0</v>
      </c>
      <c r="W4244" s="5" t="s">
        <v>72</v>
      </c>
      <c r="X4244" s="5" t="s">
        <v>72</v>
      </c>
      <c r="Y4244" s="4">
        <v>37</v>
      </c>
      <c r="Z4244" s="4">
        <v>5</v>
      </c>
      <c r="AA4244" s="4">
        <v>9</v>
      </c>
      <c r="AB4244" s="4">
        <v>3</v>
      </c>
      <c r="AC4244" s="4">
        <v>5</v>
      </c>
      <c r="AD4244" s="4">
        <v>25</v>
      </c>
      <c r="AE4244" s="4">
        <v>29</v>
      </c>
      <c r="AF4244" s="4">
        <v>1</v>
      </c>
      <c r="AG4244" s="4">
        <v>1</v>
      </c>
      <c r="AH4244" s="4">
        <v>23</v>
      </c>
      <c r="AI4244" s="4">
        <v>26</v>
      </c>
      <c r="AJ4244" s="4">
        <v>2</v>
      </c>
      <c r="AK4244" s="4">
        <v>4</v>
      </c>
      <c r="AL4244" s="4">
        <v>16</v>
      </c>
      <c r="AM4244" s="4">
        <v>17</v>
      </c>
      <c r="AN4244" s="4">
        <v>0</v>
      </c>
      <c r="AO4244" s="4">
        <v>0</v>
      </c>
      <c r="AP4244" s="4">
        <v>3</v>
      </c>
      <c r="AQ4244" s="4">
        <v>5</v>
      </c>
      <c r="AR4244" s="3" t="s">
        <v>64</v>
      </c>
      <c r="AS4244" s="3" t="s">
        <v>64</v>
      </c>
      <c r="AT4244" s="3" t="s">
        <v>64</v>
      </c>
      <c r="AV4244" s="6" t="str">
        <f t="shared" ref="AV4244:AV4249" si="125">HYPERLINK("http://mcgill.on.worldcat.org/oclc/821020827","Catalog Record")</f>
        <v>Catalog Record</v>
      </c>
      <c r="AW4244" s="6" t="str">
        <f t="shared" ref="AW4244:AW4249" si="126">HYPERLINK("http://www.worldcat.org/oclc/821020827","WorldCat Record")</f>
        <v>WorldCat Record</v>
      </c>
      <c r="AX4244" s="3" t="s">
        <v>41546</v>
      </c>
      <c r="AY4244" s="3" t="s">
        <v>41547</v>
      </c>
      <c r="AZ4244" s="3" t="s">
        <v>41548</v>
      </c>
      <c r="BA4244" s="3" t="s">
        <v>41548</v>
      </c>
      <c r="BB4244" s="3" t="s">
        <v>41549</v>
      </c>
      <c r="BC4244" s="3" t="s">
        <v>77</v>
      </c>
      <c r="BD4244" s="3" t="s">
        <v>78</v>
      </c>
      <c r="BE4244" s="3" t="s">
        <v>41550</v>
      </c>
      <c r="BF4244" s="3" t="s">
        <v>41549</v>
      </c>
      <c r="BG4244" s="3" t="s">
        <v>41551</v>
      </c>
      <c r="BH4244">
        <f t="shared" si="124"/>
        <v>0</v>
      </c>
    </row>
    <row r="4245" spans="1:60" ht="58" x14ac:dyDescent="0.35">
      <c r="A4245" s="2" t="s">
        <v>59</v>
      </c>
      <c r="B4245" s="2" t="s">
        <v>60</v>
      </c>
      <c r="C4245" s="2" t="s">
        <v>41540</v>
      </c>
      <c r="D4245" s="2" t="s">
        <v>41541</v>
      </c>
      <c r="E4245" s="2" t="s">
        <v>41542</v>
      </c>
      <c r="F4245" s="3" t="s">
        <v>41552</v>
      </c>
      <c r="G4245" s="3" t="s">
        <v>128</v>
      </c>
      <c r="I4245" s="3" t="s">
        <v>64</v>
      </c>
      <c r="J4245" s="3" t="s">
        <v>64</v>
      </c>
      <c r="K4245" s="3" t="s">
        <v>65</v>
      </c>
      <c r="L4245" s="2" t="s">
        <v>41544</v>
      </c>
      <c r="M4245" s="2" t="s">
        <v>41545</v>
      </c>
      <c r="N4245" s="3" t="s">
        <v>1075</v>
      </c>
      <c r="P4245" s="3" t="s">
        <v>944</v>
      </c>
      <c r="R4245" s="3" t="s">
        <v>70</v>
      </c>
      <c r="S4245" s="4">
        <v>0</v>
      </c>
      <c r="T4245" s="4">
        <v>0</v>
      </c>
      <c r="W4245" s="5" t="s">
        <v>72</v>
      </c>
      <c r="X4245" s="5" t="s">
        <v>72</v>
      </c>
      <c r="Y4245" s="4">
        <v>37</v>
      </c>
      <c r="Z4245" s="4">
        <v>5</v>
      </c>
      <c r="AA4245" s="4">
        <v>9</v>
      </c>
      <c r="AB4245" s="4">
        <v>3</v>
      </c>
      <c r="AC4245" s="4">
        <v>5</v>
      </c>
      <c r="AD4245" s="4">
        <v>25</v>
      </c>
      <c r="AE4245" s="4">
        <v>29</v>
      </c>
      <c r="AF4245" s="4">
        <v>1</v>
      </c>
      <c r="AG4245" s="4">
        <v>1</v>
      </c>
      <c r="AH4245" s="4">
        <v>23</v>
      </c>
      <c r="AI4245" s="4">
        <v>26</v>
      </c>
      <c r="AJ4245" s="4">
        <v>2</v>
      </c>
      <c r="AK4245" s="4">
        <v>4</v>
      </c>
      <c r="AL4245" s="4">
        <v>16</v>
      </c>
      <c r="AM4245" s="4">
        <v>17</v>
      </c>
      <c r="AN4245" s="4">
        <v>0</v>
      </c>
      <c r="AO4245" s="4">
        <v>0</v>
      </c>
      <c r="AP4245" s="4">
        <v>3</v>
      </c>
      <c r="AQ4245" s="4">
        <v>5</v>
      </c>
      <c r="AR4245" s="3" t="s">
        <v>64</v>
      </c>
      <c r="AS4245" s="3" t="s">
        <v>64</v>
      </c>
      <c r="AT4245" s="3" t="s">
        <v>64</v>
      </c>
      <c r="AV4245" s="6" t="str">
        <f t="shared" si="125"/>
        <v>Catalog Record</v>
      </c>
      <c r="AW4245" s="6" t="str">
        <f t="shared" si="126"/>
        <v>WorldCat Record</v>
      </c>
      <c r="AX4245" s="3" t="s">
        <v>41546</v>
      </c>
      <c r="AY4245" s="3" t="s">
        <v>41547</v>
      </c>
      <c r="AZ4245" s="3" t="s">
        <v>41548</v>
      </c>
      <c r="BA4245" s="3" t="s">
        <v>41548</v>
      </c>
      <c r="BB4245" s="3" t="s">
        <v>41553</v>
      </c>
      <c r="BC4245" s="3" t="s">
        <v>77</v>
      </c>
      <c r="BD4245" s="3" t="s">
        <v>78</v>
      </c>
      <c r="BE4245" s="3" t="s">
        <v>41550</v>
      </c>
      <c r="BF4245" s="3" t="s">
        <v>41553</v>
      </c>
      <c r="BG4245" s="3" t="s">
        <v>41554</v>
      </c>
      <c r="BH4245">
        <f t="shared" si="124"/>
        <v>0</v>
      </c>
    </row>
    <row r="4246" spans="1:60" ht="58" x14ac:dyDescent="0.35">
      <c r="A4246" s="2" t="s">
        <v>59</v>
      </c>
      <c r="B4246" s="2" t="s">
        <v>60</v>
      </c>
      <c r="C4246" s="2" t="s">
        <v>41540</v>
      </c>
      <c r="D4246" s="2" t="s">
        <v>41541</v>
      </c>
      <c r="E4246" s="2" t="s">
        <v>41542</v>
      </c>
      <c r="F4246" s="3" t="s">
        <v>41555</v>
      </c>
      <c r="G4246" s="3" t="s">
        <v>128</v>
      </c>
      <c r="I4246" s="3" t="s">
        <v>64</v>
      </c>
      <c r="J4246" s="3" t="s">
        <v>64</v>
      </c>
      <c r="K4246" s="3" t="s">
        <v>65</v>
      </c>
      <c r="L4246" s="2" t="s">
        <v>41544</v>
      </c>
      <c r="M4246" s="2" t="s">
        <v>41545</v>
      </c>
      <c r="N4246" s="3" t="s">
        <v>1075</v>
      </c>
      <c r="P4246" s="3" t="s">
        <v>944</v>
      </c>
      <c r="R4246" s="3" t="s">
        <v>70</v>
      </c>
      <c r="S4246" s="4">
        <v>0</v>
      </c>
      <c r="T4246" s="4">
        <v>0</v>
      </c>
      <c r="W4246" s="5" t="s">
        <v>72</v>
      </c>
      <c r="X4246" s="5" t="s">
        <v>72</v>
      </c>
      <c r="Y4246" s="4">
        <v>37</v>
      </c>
      <c r="Z4246" s="4">
        <v>5</v>
      </c>
      <c r="AA4246" s="4">
        <v>9</v>
      </c>
      <c r="AB4246" s="4">
        <v>3</v>
      </c>
      <c r="AC4246" s="4">
        <v>5</v>
      </c>
      <c r="AD4246" s="4">
        <v>25</v>
      </c>
      <c r="AE4246" s="4">
        <v>29</v>
      </c>
      <c r="AF4246" s="4">
        <v>1</v>
      </c>
      <c r="AG4246" s="4">
        <v>1</v>
      </c>
      <c r="AH4246" s="4">
        <v>23</v>
      </c>
      <c r="AI4246" s="4">
        <v>26</v>
      </c>
      <c r="AJ4246" s="4">
        <v>2</v>
      </c>
      <c r="AK4246" s="4">
        <v>4</v>
      </c>
      <c r="AL4246" s="4">
        <v>16</v>
      </c>
      <c r="AM4246" s="4">
        <v>17</v>
      </c>
      <c r="AN4246" s="4">
        <v>0</v>
      </c>
      <c r="AO4246" s="4">
        <v>0</v>
      </c>
      <c r="AP4246" s="4">
        <v>3</v>
      </c>
      <c r="AQ4246" s="4">
        <v>5</v>
      </c>
      <c r="AR4246" s="3" t="s">
        <v>64</v>
      </c>
      <c r="AS4246" s="3" t="s">
        <v>64</v>
      </c>
      <c r="AT4246" s="3" t="s">
        <v>64</v>
      </c>
      <c r="AV4246" s="6" t="str">
        <f t="shared" si="125"/>
        <v>Catalog Record</v>
      </c>
      <c r="AW4246" s="6" t="str">
        <f t="shared" si="126"/>
        <v>WorldCat Record</v>
      </c>
      <c r="AX4246" s="3" t="s">
        <v>41546</v>
      </c>
      <c r="AY4246" s="3" t="s">
        <v>41547</v>
      </c>
      <c r="AZ4246" s="3" t="s">
        <v>41548</v>
      </c>
      <c r="BA4246" s="3" t="s">
        <v>41548</v>
      </c>
      <c r="BB4246" s="3" t="s">
        <v>41556</v>
      </c>
      <c r="BC4246" s="3" t="s">
        <v>77</v>
      </c>
      <c r="BD4246" s="3" t="s">
        <v>78</v>
      </c>
      <c r="BE4246" s="3" t="s">
        <v>41550</v>
      </c>
      <c r="BF4246" s="3" t="s">
        <v>41556</v>
      </c>
      <c r="BG4246" s="3" t="s">
        <v>41557</v>
      </c>
      <c r="BH4246">
        <f t="shared" si="124"/>
        <v>0</v>
      </c>
    </row>
    <row r="4247" spans="1:60" ht="58" x14ac:dyDescent="0.35">
      <c r="A4247" s="2" t="s">
        <v>59</v>
      </c>
      <c r="B4247" s="2" t="s">
        <v>60</v>
      </c>
      <c r="C4247" s="2" t="s">
        <v>41540</v>
      </c>
      <c r="D4247" s="2" t="s">
        <v>41541</v>
      </c>
      <c r="E4247" s="2" t="s">
        <v>41542</v>
      </c>
      <c r="F4247" s="3" t="s">
        <v>41558</v>
      </c>
      <c r="G4247" s="3" t="s">
        <v>128</v>
      </c>
      <c r="I4247" s="3" t="s">
        <v>64</v>
      </c>
      <c r="J4247" s="3" t="s">
        <v>64</v>
      </c>
      <c r="K4247" s="3" t="s">
        <v>65</v>
      </c>
      <c r="L4247" s="2" t="s">
        <v>41544</v>
      </c>
      <c r="M4247" s="2" t="s">
        <v>41545</v>
      </c>
      <c r="N4247" s="3" t="s">
        <v>1075</v>
      </c>
      <c r="P4247" s="3" t="s">
        <v>944</v>
      </c>
      <c r="R4247" s="3" t="s">
        <v>70</v>
      </c>
      <c r="S4247" s="4">
        <v>0</v>
      </c>
      <c r="T4247" s="4">
        <v>0</v>
      </c>
      <c r="W4247" s="5" t="s">
        <v>72</v>
      </c>
      <c r="X4247" s="5" t="s">
        <v>72</v>
      </c>
      <c r="Y4247" s="4">
        <v>37</v>
      </c>
      <c r="Z4247" s="4">
        <v>5</v>
      </c>
      <c r="AA4247" s="4">
        <v>9</v>
      </c>
      <c r="AB4247" s="4">
        <v>3</v>
      </c>
      <c r="AC4247" s="4">
        <v>5</v>
      </c>
      <c r="AD4247" s="4">
        <v>25</v>
      </c>
      <c r="AE4247" s="4">
        <v>29</v>
      </c>
      <c r="AF4247" s="4">
        <v>1</v>
      </c>
      <c r="AG4247" s="4">
        <v>1</v>
      </c>
      <c r="AH4247" s="4">
        <v>23</v>
      </c>
      <c r="AI4247" s="4">
        <v>26</v>
      </c>
      <c r="AJ4247" s="4">
        <v>2</v>
      </c>
      <c r="AK4247" s="4">
        <v>4</v>
      </c>
      <c r="AL4247" s="4">
        <v>16</v>
      </c>
      <c r="AM4247" s="4">
        <v>17</v>
      </c>
      <c r="AN4247" s="4">
        <v>0</v>
      </c>
      <c r="AO4247" s="4">
        <v>0</v>
      </c>
      <c r="AP4247" s="4">
        <v>3</v>
      </c>
      <c r="AQ4247" s="4">
        <v>5</v>
      </c>
      <c r="AR4247" s="3" t="s">
        <v>64</v>
      </c>
      <c r="AS4247" s="3" t="s">
        <v>64</v>
      </c>
      <c r="AT4247" s="3" t="s">
        <v>64</v>
      </c>
      <c r="AV4247" s="6" t="str">
        <f t="shared" si="125"/>
        <v>Catalog Record</v>
      </c>
      <c r="AW4247" s="6" t="str">
        <f t="shared" si="126"/>
        <v>WorldCat Record</v>
      </c>
      <c r="AX4247" s="3" t="s">
        <v>41546</v>
      </c>
      <c r="AY4247" s="3" t="s">
        <v>41547</v>
      </c>
      <c r="AZ4247" s="3" t="s">
        <v>41548</v>
      </c>
      <c r="BA4247" s="3" t="s">
        <v>41548</v>
      </c>
      <c r="BB4247" s="3" t="s">
        <v>41559</v>
      </c>
      <c r="BC4247" s="3" t="s">
        <v>77</v>
      </c>
      <c r="BD4247" s="3" t="s">
        <v>78</v>
      </c>
      <c r="BE4247" s="3" t="s">
        <v>41550</v>
      </c>
      <c r="BF4247" s="3" t="s">
        <v>41559</v>
      </c>
      <c r="BG4247" s="3" t="s">
        <v>41560</v>
      </c>
      <c r="BH4247">
        <f t="shared" si="124"/>
        <v>0</v>
      </c>
    </row>
    <row r="4248" spans="1:60" ht="58" x14ac:dyDescent="0.35">
      <c r="A4248" s="2" t="s">
        <v>59</v>
      </c>
      <c r="B4248" s="2" t="s">
        <v>60</v>
      </c>
      <c r="C4248" s="2" t="s">
        <v>41540</v>
      </c>
      <c r="D4248" s="2" t="s">
        <v>41541</v>
      </c>
      <c r="E4248" s="2" t="s">
        <v>41542</v>
      </c>
      <c r="F4248" s="3" t="s">
        <v>41561</v>
      </c>
      <c r="G4248" s="3" t="s">
        <v>128</v>
      </c>
      <c r="I4248" s="3" t="s">
        <v>64</v>
      </c>
      <c r="J4248" s="3" t="s">
        <v>64</v>
      </c>
      <c r="K4248" s="3" t="s">
        <v>65</v>
      </c>
      <c r="L4248" s="2" t="s">
        <v>41544</v>
      </c>
      <c r="M4248" s="2" t="s">
        <v>41545</v>
      </c>
      <c r="N4248" s="3" t="s">
        <v>1075</v>
      </c>
      <c r="P4248" s="3" t="s">
        <v>944</v>
      </c>
      <c r="R4248" s="3" t="s">
        <v>70</v>
      </c>
      <c r="S4248" s="4">
        <v>0</v>
      </c>
      <c r="T4248" s="4">
        <v>0</v>
      </c>
      <c r="W4248" s="5" t="s">
        <v>72</v>
      </c>
      <c r="X4248" s="5" t="s">
        <v>72</v>
      </c>
      <c r="Y4248" s="4">
        <v>37</v>
      </c>
      <c r="Z4248" s="4">
        <v>5</v>
      </c>
      <c r="AA4248" s="4">
        <v>9</v>
      </c>
      <c r="AB4248" s="4">
        <v>3</v>
      </c>
      <c r="AC4248" s="4">
        <v>5</v>
      </c>
      <c r="AD4248" s="4">
        <v>25</v>
      </c>
      <c r="AE4248" s="4">
        <v>29</v>
      </c>
      <c r="AF4248" s="4">
        <v>1</v>
      </c>
      <c r="AG4248" s="4">
        <v>1</v>
      </c>
      <c r="AH4248" s="4">
        <v>23</v>
      </c>
      <c r="AI4248" s="4">
        <v>26</v>
      </c>
      <c r="AJ4248" s="4">
        <v>2</v>
      </c>
      <c r="AK4248" s="4">
        <v>4</v>
      </c>
      <c r="AL4248" s="4">
        <v>16</v>
      </c>
      <c r="AM4248" s="4">
        <v>17</v>
      </c>
      <c r="AN4248" s="4">
        <v>0</v>
      </c>
      <c r="AO4248" s="4">
        <v>0</v>
      </c>
      <c r="AP4248" s="4">
        <v>3</v>
      </c>
      <c r="AQ4248" s="4">
        <v>5</v>
      </c>
      <c r="AR4248" s="3" t="s">
        <v>64</v>
      </c>
      <c r="AS4248" s="3" t="s">
        <v>64</v>
      </c>
      <c r="AT4248" s="3" t="s">
        <v>64</v>
      </c>
      <c r="AV4248" s="6" t="str">
        <f t="shared" si="125"/>
        <v>Catalog Record</v>
      </c>
      <c r="AW4248" s="6" t="str">
        <f t="shared" si="126"/>
        <v>WorldCat Record</v>
      </c>
      <c r="AX4248" s="3" t="s">
        <v>41546</v>
      </c>
      <c r="AY4248" s="3" t="s">
        <v>41547</v>
      </c>
      <c r="AZ4248" s="3" t="s">
        <v>41548</v>
      </c>
      <c r="BA4248" s="3" t="s">
        <v>41548</v>
      </c>
      <c r="BB4248" s="3" t="s">
        <v>41562</v>
      </c>
      <c r="BC4248" s="3" t="s">
        <v>77</v>
      </c>
      <c r="BD4248" s="3" t="s">
        <v>78</v>
      </c>
      <c r="BE4248" s="3" t="s">
        <v>41550</v>
      </c>
      <c r="BF4248" s="3" t="s">
        <v>41562</v>
      </c>
      <c r="BG4248" s="3" t="s">
        <v>41563</v>
      </c>
      <c r="BH4248">
        <f t="shared" si="124"/>
        <v>0</v>
      </c>
    </row>
    <row r="4249" spans="1:60" ht="58" x14ac:dyDescent="0.35">
      <c r="A4249" s="2" t="s">
        <v>59</v>
      </c>
      <c r="B4249" s="2" t="s">
        <v>60</v>
      </c>
      <c r="C4249" s="2" t="s">
        <v>41540</v>
      </c>
      <c r="D4249" s="2" t="s">
        <v>41541</v>
      </c>
      <c r="E4249" s="2" t="s">
        <v>41542</v>
      </c>
      <c r="F4249" s="3" t="s">
        <v>41564</v>
      </c>
      <c r="G4249" s="3" t="s">
        <v>128</v>
      </c>
      <c r="I4249" s="3" t="s">
        <v>64</v>
      </c>
      <c r="J4249" s="3" t="s">
        <v>64</v>
      </c>
      <c r="K4249" s="3" t="s">
        <v>65</v>
      </c>
      <c r="L4249" s="2" t="s">
        <v>41544</v>
      </c>
      <c r="M4249" s="2" t="s">
        <v>41545</v>
      </c>
      <c r="N4249" s="3" t="s">
        <v>1075</v>
      </c>
      <c r="P4249" s="3" t="s">
        <v>944</v>
      </c>
      <c r="R4249" s="3" t="s">
        <v>70</v>
      </c>
      <c r="S4249" s="4">
        <v>0</v>
      </c>
      <c r="T4249" s="4">
        <v>0</v>
      </c>
      <c r="W4249" s="5" t="s">
        <v>72</v>
      </c>
      <c r="X4249" s="5" t="s">
        <v>72</v>
      </c>
      <c r="Y4249" s="4">
        <v>37</v>
      </c>
      <c r="Z4249" s="4">
        <v>5</v>
      </c>
      <c r="AA4249" s="4">
        <v>9</v>
      </c>
      <c r="AB4249" s="4">
        <v>3</v>
      </c>
      <c r="AC4249" s="4">
        <v>5</v>
      </c>
      <c r="AD4249" s="4">
        <v>25</v>
      </c>
      <c r="AE4249" s="4">
        <v>29</v>
      </c>
      <c r="AF4249" s="4">
        <v>1</v>
      </c>
      <c r="AG4249" s="4">
        <v>1</v>
      </c>
      <c r="AH4249" s="4">
        <v>23</v>
      </c>
      <c r="AI4249" s="4">
        <v>26</v>
      </c>
      <c r="AJ4249" s="4">
        <v>2</v>
      </c>
      <c r="AK4249" s="4">
        <v>4</v>
      </c>
      <c r="AL4249" s="4">
        <v>16</v>
      </c>
      <c r="AM4249" s="4">
        <v>17</v>
      </c>
      <c r="AN4249" s="4">
        <v>0</v>
      </c>
      <c r="AO4249" s="4">
        <v>0</v>
      </c>
      <c r="AP4249" s="4">
        <v>3</v>
      </c>
      <c r="AQ4249" s="4">
        <v>5</v>
      </c>
      <c r="AR4249" s="3" t="s">
        <v>64</v>
      </c>
      <c r="AS4249" s="3" t="s">
        <v>64</v>
      </c>
      <c r="AT4249" s="3" t="s">
        <v>64</v>
      </c>
      <c r="AV4249" s="6" t="str">
        <f t="shared" si="125"/>
        <v>Catalog Record</v>
      </c>
      <c r="AW4249" s="6" t="str">
        <f t="shared" si="126"/>
        <v>WorldCat Record</v>
      </c>
      <c r="AX4249" s="3" t="s">
        <v>41546</v>
      </c>
      <c r="AY4249" s="3" t="s">
        <v>41547</v>
      </c>
      <c r="AZ4249" s="3" t="s">
        <v>41548</v>
      </c>
      <c r="BA4249" s="3" t="s">
        <v>41548</v>
      </c>
      <c r="BB4249" s="3" t="s">
        <v>41565</v>
      </c>
      <c r="BC4249" s="3" t="s">
        <v>77</v>
      </c>
      <c r="BD4249" s="3" t="s">
        <v>78</v>
      </c>
      <c r="BE4249" s="3" t="s">
        <v>41550</v>
      </c>
      <c r="BF4249" s="3" t="s">
        <v>41565</v>
      </c>
      <c r="BG4249" s="3" t="s">
        <v>41566</v>
      </c>
      <c r="BH4249">
        <f t="shared" si="124"/>
        <v>0</v>
      </c>
    </row>
    <row r="4250" spans="1:60" ht="58" x14ac:dyDescent="0.35">
      <c r="A4250" s="2" t="s">
        <v>59</v>
      </c>
      <c r="B4250" s="2" t="s">
        <v>60</v>
      </c>
      <c r="C4250" s="2" t="s">
        <v>41567</v>
      </c>
      <c r="D4250" s="2" t="s">
        <v>41568</v>
      </c>
      <c r="E4250" s="2" t="s">
        <v>41569</v>
      </c>
      <c r="G4250" s="3" t="s">
        <v>64</v>
      </c>
      <c r="I4250" s="3" t="s">
        <v>64</v>
      </c>
      <c r="J4250" s="3" t="s">
        <v>64</v>
      </c>
      <c r="K4250" s="3" t="s">
        <v>65</v>
      </c>
      <c r="L4250" s="2" t="s">
        <v>41570</v>
      </c>
      <c r="M4250" s="2" t="s">
        <v>41571</v>
      </c>
      <c r="N4250" s="3" t="s">
        <v>578</v>
      </c>
      <c r="P4250" s="3" t="s">
        <v>944</v>
      </c>
      <c r="Q4250" s="2" t="s">
        <v>41572</v>
      </c>
      <c r="R4250" s="3" t="s">
        <v>70</v>
      </c>
      <c r="S4250" s="4">
        <v>0</v>
      </c>
      <c r="T4250" s="4">
        <v>0</v>
      </c>
      <c r="W4250" s="5" t="s">
        <v>72</v>
      </c>
      <c r="X4250" s="5" t="s">
        <v>72</v>
      </c>
      <c r="Y4250" s="4">
        <v>27</v>
      </c>
      <c r="Z4250" s="4">
        <v>2</v>
      </c>
      <c r="AA4250" s="4">
        <v>2</v>
      </c>
      <c r="AB4250" s="4">
        <v>1</v>
      </c>
      <c r="AC4250" s="4">
        <v>1</v>
      </c>
      <c r="AD4250" s="4">
        <v>12</v>
      </c>
      <c r="AE4250" s="4">
        <v>12</v>
      </c>
      <c r="AF4250" s="4">
        <v>0</v>
      </c>
      <c r="AG4250" s="4">
        <v>0</v>
      </c>
      <c r="AH4250" s="4">
        <v>11</v>
      </c>
      <c r="AI4250" s="4">
        <v>11</v>
      </c>
      <c r="AJ4250" s="4">
        <v>1</v>
      </c>
      <c r="AK4250" s="4">
        <v>1</v>
      </c>
      <c r="AL4250" s="4">
        <v>8</v>
      </c>
      <c r="AM4250" s="4">
        <v>8</v>
      </c>
      <c r="AN4250" s="4">
        <v>0</v>
      </c>
      <c r="AO4250" s="4">
        <v>0</v>
      </c>
      <c r="AP4250" s="4">
        <v>1</v>
      </c>
      <c r="AQ4250" s="4">
        <v>1</v>
      </c>
      <c r="AR4250" s="3" t="s">
        <v>64</v>
      </c>
      <c r="AS4250" s="3" t="s">
        <v>64</v>
      </c>
      <c r="AT4250" s="3" t="s">
        <v>64</v>
      </c>
      <c r="AV4250" s="6" t="str">
        <f>HYPERLINK("http://mcgill.on.worldcat.org/oclc/995843466","Catalog Record")</f>
        <v>Catalog Record</v>
      </c>
      <c r="AW4250" s="6" t="str">
        <f>HYPERLINK("http://www.worldcat.org/oclc/995843466","WorldCat Record")</f>
        <v>WorldCat Record</v>
      </c>
      <c r="AX4250" s="3" t="s">
        <v>41573</v>
      </c>
      <c r="AY4250" s="3" t="s">
        <v>41574</v>
      </c>
      <c r="AZ4250" s="3" t="s">
        <v>41575</v>
      </c>
      <c r="BA4250" s="3" t="s">
        <v>41575</v>
      </c>
      <c r="BB4250" s="3" t="s">
        <v>41576</v>
      </c>
      <c r="BC4250" s="3" t="s">
        <v>77</v>
      </c>
      <c r="BD4250" s="3" t="s">
        <v>78</v>
      </c>
      <c r="BE4250" s="3" t="s">
        <v>41577</v>
      </c>
      <c r="BF4250" s="3" t="s">
        <v>41576</v>
      </c>
      <c r="BG4250" s="3" t="s">
        <v>41578</v>
      </c>
      <c r="BH4250">
        <f t="shared" si="124"/>
        <v>0</v>
      </c>
    </row>
    <row r="4251" spans="1:60" ht="58" x14ac:dyDescent="0.35">
      <c r="A4251" s="2" t="s">
        <v>59</v>
      </c>
      <c r="B4251" s="2" t="s">
        <v>60</v>
      </c>
      <c r="C4251" s="2" t="s">
        <v>41579</v>
      </c>
      <c r="D4251" s="2" t="s">
        <v>41580</v>
      </c>
      <c r="E4251" s="2" t="s">
        <v>41581</v>
      </c>
      <c r="G4251" s="3" t="s">
        <v>64</v>
      </c>
      <c r="I4251" s="3" t="s">
        <v>64</v>
      </c>
      <c r="J4251" s="3" t="s">
        <v>64</v>
      </c>
      <c r="K4251" s="3" t="s">
        <v>65</v>
      </c>
      <c r="L4251" s="2" t="s">
        <v>41582</v>
      </c>
      <c r="M4251" s="2" t="s">
        <v>41583</v>
      </c>
      <c r="N4251" s="3" t="s">
        <v>1763</v>
      </c>
      <c r="P4251" s="3" t="s">
        <v>102</v>
      </c>
      <c r="Q4251" s="2" t="s">
        <v>41584</v>
      </c>
      <c r="R4251" s="3" t="s">
        <v>70</v>
      </c>
      <c r="S4251" s="4">
        <v>1</v>
      </c>
      <c r="T4251" s="4">
        <v>1</v>
      </c>
      <c r="U4251" s="5" t="s">
        <v>41585</v>
      </c>
      <c r="V4251" s="5" t="s">
        <v>41585</v>
      </c>
      <c r="W4251" s="5" t="s">
        <v>72</v>
      </c>
      <c r="X4251" s="5" t="s">
        <v>72</v>
      </c>
      <c r="Y4251" s="4">
        <v>219</v>
      </c>
      <c r="Z4251" s="4">
        <v>17</v>
      </c>
      <c r="AA4251" s="4">
        <v>20</v>
      </c>
      <c r="AB4251" s="4">
        <v>1</v>
      </c>
      <c r="AC4251" s="4">
        <v>4</v>
      </c>
      <c r="AD4251" s="4">
        <v>98</v>
      </c>
      <c r="AE4251" s="4">
        <v>99</v>
      </c>
      <c r="AF4251" s="4">
        <v>0</v>
      </c>
      <c r="AG4251" s="4">
        <v>1</v>
      </c>
      <c r="AH4251" s="4">
        <v>90</v>
      </c>
      <c r="AI4251" s="4">
        <v>90</v>
      </c>
      <c r="AJ4251" s="4">
        <v>14</v>
      </c>
      <c r="AK4251" s="4">
        <v>15</v>
      </c>
      <c r="AL4251" s="4">
        <v>50</v>
      </c>
      <c r="AM4251" s="4">
        <v>50</v>
      </c>
      <c r="AN4251" s="4">
        <v>0</v>
      </c>
      <c r="AO4251" s="4">
        <v>0</v>
      </c>
      <c r="AP4251" s="4">
        <v>15</v>
      </c>
      <c r="AQ4251" s="4">
        <v>15</v>
      </c>
      <c r="AR4251" s="3" t="s">
        <v>64</v>
      </c>
      <c r="AS4251" s="3" t="s">
        <v>64</v>
      </c>
      <c r="AT4251" s="3" t="s">
        <v>64</v>
      </c>
      <c r="AV4251" s="6" t="str">
        <f>HYPERLINK("http://mcgill.on.worldcat.org/oclc/10502798","Catalog Record")</f>
        <v>Catalog Record</v>
      </c>
      <c r="AW4251" s="6" t="str">
        <f>HYPERLINK("http://www.worldcat.org/oclc/10502798","WorldCat Record")</f>
        <v>WorldCat Record</v>
      </c>
      <c r="AX4251" s="3" t="s">
        <v>41586</v>
      </c>
      <c r="AY4251" s="3" t="s">
        <v>41587</v>
      </c>
      <c r="AZ4251" s="3" t="s">
        <v>41588</v>
      </c>
      <c r="BA4251" s="3" t="s">
        <v>41588</v>
      </c>
      <c r="BB4251" s="3" t="s">
        <v>41589</v>
      </c>
      <c r="BC4251" s="3" t="s">
        <v>77</v>
      </c>
      <c r="BD4251" s="3" t="s">
        <v>78</v>
      </c>
      <c r="BE4251" s="3" t="s">
        <v>41590</v>
      </c>
      <c r="BF4251" s="3" t="s">
        <v>41589</v>
      </c>
      <c r="BG4251" s="3" t="s">
        <v>41591</v>
      </c>
      <c r="BH4251">
        <f t="shared" si="124"/>
        <v>0</v>
      </c>
    </row>
    <row r="4252" spans="1:60" ht="101.5" x14ac:dyDescent="0.35">
      <c r="A4252" s="2" t="s">
        <v>6202</v>
      </c>
      <c r="B4252" s="2" t="s">
        <v>6203</v>
      </c>
      <c r="C4252" s="2" t="s">
        <v>41592</v>
      </c>
      <c r="D4252" s="2" t="s">
        <v>41593</v>
      </c>
      <c r="E4252" s="2" t="s">
        <v>41594</v>
      </c>
      <c r="G4252" s="3" t="s">
        <v>64</v>
      </c>
      <c r="I4252" s="3" t="s">
        <v>64</v>
      </c>
      <c r="J4252" s="3" t="s">
        <v>64</v>
      </c>
      <c r="K4252" s="3" t="s">
        <v>65</v>
      </c>
      <c r="L4252" s="2" t="s">
        <v>41595</v>
      </c>
      <c r="M4252" s="2" t="s">
        <v>41596</v>
      </c>
      <c r="N4252" s="3" t="s">
        <v>405</v>
      </c>
      <c r="P4252" s="3" t="s">
        <v>944</v>
      </c>
      <c r="R4252" s="3" t="s">
        <v>70</v>
      </c>
      <c r="S4252" s="4">
        <v>3</v>
      </c>
      <c r="T4252" s="4">
        <v>3</v>
      </c>
      <c r="U4252" s="5" t="s">
        <v>5906</v>
      </c>
      <c r="V4252" s="5" t="s">
        <v>5906</v>
      </c>
      <c r="W4252" s="5" t="s">
        <v>72</v>
      </c>
      <c r="X4252" s="5" t="s">
        <v>72</v>
      </c>
      <c r="Y4252" s="4">
        <v>5</v>
      </c>
      <c r="Z4252" s="4">
        <v>2</v>
      </c>
      <c r="AA4252" s="4">
        <v>7</v>
      </c>
      <c r="AB4252" s="4">
        <v>1</v>
      </c>
      <c r="AC4252" s="4">
        <v>1</v>
      </c>
      <c r="AD4252" s="4">
        <v>2</v>
      </c>
      <c r="AE4252" s="4">
        <v>45</v>
      </c>
      <c r="AF4252" s="4">
        <v>0</v>
      </c>
      <c r="AG4252" s="4">
        <v>0</v>
      </c>
      <c r="AH4252" s="4">
        <v>2</v>
      </c>
      <c r="AI4252" s="4">
        <v>43</v>
      </c>
      <c r="AJ4252" s="4">
        <v>1</v>
      </c>
      <c r="AK4252" s="4">
        <v>5</v>
      </c>
      <c r="AL4252" s="4">
        <v>0</v>
      </c>
      <c r="AM4252" s="4">
        <v>26</v>
      </c>
      <c r="AN4252" s="4">
        <v>0</v>
      </c>
      <c r="AO4252" s="4">
        <v>0</v>
      </c>
      <c r="AP4252" s="4">
        <v>1</v>
      </c>
      <c r="AQ4252" s="4">
        <v>5</v>
      </c>
      <c r="AR4252" s="3" t="s">
        <v>64</v>
      </c>
      <c r="AS4252" s="3" t="s">
        <v>64</v>
      </c>
      <c r="AT4252" s="3" t="s">
        <v>128</v>
      </c>
      <c r="AU4252" s="6" t="str">
        <f>HYPERLINK("http://catalog.hathitrust.org/Record/007114297","HathiTrust Record")</f>
        <v>HathiTrust Record</v>
      </c>
      <c r="AV4252" s="6" t="str">
        <f>HYPERLINK("http://mcgill.on.worldcat.org/oclc/254040478","Catalog Record")</f>
        <v>Catalog Record</v>
      </c>
      <c r="AW4252" s="6" t="str">
        <f>HYPERLINK("http://www.worldcat.org/oclc/254040478","WorldCat Record")</f>
        <v>WorldCat Record</v>
      </c>
      <c r="AX4252" s="3" t="s">
        <v>41597</v>
      </c>
      <c r="AY4252" s="3" t="s">
        <v>41598</v>
      </c>
      <c r="AZ4252" s="3" t="s">
        <v>41599</v>
      </c>
      <c r="BA4252" s="3" t="s">
        <v>41599</v>
      </c>
      <c r="BB4252" s="3" t="s">
        <v>41600</v>
      </c>
      <c r="BC4252" s="3" t="s">
        <v>77</v>
      </c>
      <c r="BD4252" s="3" t="s">
        <v>78</v>
      </c>
      <c r="BF4252" s="3" t="s">
        <v>41600</v>
      </c>
      <c r="BG4252" s="3" t="s">
        <v>41601</v>
      </c>
      <c r="BH4252">
        <f t="shared" si="124"/>
        <v>0</v>
      </c>
    </row>
    <row r="4253" spans="1:60" ht="58" x14ac:dyDescent="0.35">
      <c r="A4253" s="2" t="s">
        <v>59</v>
      </c>
      <c r="B4253" s="2" t="s">
        <v>60</v>
      </c>
      <c r="C4253" s="2" t="s">
        <v>41602</v>
      </c>
      <c r="D4253" s="2" t="s">
        <v>41603</v>
      </c>
      <c r="E4253" s="2" t="s">
        <v>41604</v>
      </c>
      <c r="G4253" s="3" t="s">
        <v>64</v>
      </c>
      <c r="I4253" s="3" t="s">
        <v>64</v>
      </c>
      <c r="J4253" s="3" t="s">
        <v>64</v>
      </c>
      <c r="K4253" s="3" t="s">
        <v>65</v>
      </c>
      <c r="L4253" s="2" t="s">
        <v>41605</v>
      </c>
      <c r="M4253" s="2" t="s">
        <v>41606</v>
      </c>
      <c r="N4253" s="3" t="s">
        <v>6324</v>
      </c>
      <c r="P4253" s="3" t="s">
        <v>944</v>
      </c>
      <c r="R4253" s="3" t="s">
        <v>70</v>
      </c>
      <c r="S4253" s="4">
        <v>2</v>
      </c>
      <c r="T4253" s="4">
        <v>2</v>
      </c>
      <c r="U4253" s="5" t="s">
        <v>8957</v>
      </c>
      <c r="V4253" s="5" t="s">
        <v>8957</v>
      </c>
      <c r="W4253" s="5" t="s">
        <v>72</v>
      </c>
      <c r="X4253" s="5" t="s">
        <v>72</v>
      </c>
      <c r="Y4253" s="4">
        <v>1</v>
      </c>
      <c r="Z4253" s="4">
        <v>1</v>
      </c>
      <c r="AA4253" s="4">
        <v>1</v>
      </c>
      <c r="AB4253" s="4">
        <v>1</v>
      </c>
      <c r="AC4253" s="4">
        <v>1</v>
      </c>
      <c r="AD4253" s="4">
        <v>0</v>
      </c>
      <c r="AE4253" s="4">
        <v>0</v>
      </c>
      <c r="AF4253" s="4">
        <v>0</v>
      </c>
      <c r="AG4253" s="4">
        <v>0</v>
      </c>
      <c r="AH4253" s="4">
        <v>0</v>
      </c>
      <c r="AI4253" s="4">
        <v>0</v>
      </c>
      <c r="AJ4253" s="4">
        <v>0</v>
      </c>
      <c r="AK4253" s="4">
        <v>0</v>
      </c>
      <c r="AL4253" s="4">
        <v>0</v>
      </c>
      <c r="AM4253" s="4">
        <v>0</v>
      </c>
      <c r="AN4253" s="4">
        <v>0</v>
      </c>
      <c r="AO4253" s="4">
        <v>0</v>
      </c>
      <c r="AP4253" s="4">
        <v>0</v>
      </c>
      <c r="AQ4253" s="4">
        <v>0</v>
      </c>
      <c r="AR4253" s="3" t="s">
        <v>64</v>
      </c>
      <c r="AS4253" s="3" t="s">
        <v>64</v>
      </c>
      <c r="AT4253" s="3" t="s">
        <v>64</v>
      </c>
      <c r="AV4253" s="6" t="str">
        <f>HYPERLINK("http://mcgill.on.worldcat.org/oclc/427320909","Catalog Record")</f>
        <v>Catalog Record</v>
      </c>
      <c r="AW4253" s="6" t="str">
        <f>HYPERLINK("http://www.worldcat.org/oclc/427320909","WorldCat Record")</f>
        <v>WorldCat Record</v>
      </c>
      <c r="AX4253" s="3" t="s">
        <v>41607</v>
      </c>
      <c r="AY4253" s="3" t="s">
        <v>41608</v>
      </c>
      <c r="AZ4253" s="3" t="s">
        <v>41609</v>
      </c>
      <c r="BA4253" s="3" t="s">
        <v>41609</v>
      </c>
      <c r="BB4253" s="3" t="s">
        <v>41610</v>
      </c>
      <c r="BC4253" s="3" t="s">
        <v>77</v>
      </c>
      <c r="BD4253" s="3" t="s">
        <v>78</v>
      </c>
      <c r="BF4253" s="3" t="s">
        <v>41610</v>
      </c>
      <c r="BG4253" s="3" t="s">
        <v>41611</v>
      </c>
      <c r="BH4253">
        <f t="shared" si="124"/>
        <v>0</v>
      </c>
    </row>
    <row r="4254" spans="1:60" ht="101.5" x14ac:dyDescent="0.35">
      <c r="A4254" s="2" t="s">
        <v>59</v>
      </c>
      <c r="B4254" s="2" t="s">
        <v>60</v>
      </c>
      <c r="C4254" s="2" t="s">
        <v>41612</v>
      </c>
      <c r="D4254" s="2" t="s">
        <v>41613</v>
      </c>
      <c r="E4254" s="2" t="s">
        <v>41614</v>
      </c>
      <c r="F4254" s="3" t="s">
        <v>41228</v>
      </c>
      <c r="G4254" s="3" t="s">
        <v>128</v>
      </c>
      <c r="I4254" s="3" t="s">
        <v>64</v>
      </c>
      <c r="J4254" s="3" t="s">
        <v>64</v>
      </c>
      <c r="K4254" s="3" t="s">
        <v>65</v>
      </c>
      <c r="L4254" s="2" t="s">
        <v>41615</v>
      </c>
      <c r="M4254" s="2" t="s">
        <v>41616</v>
      </c>
      <c r="N4254" s="3" t="s">
        <v>1087</v>
      </c>
      <c r="P4254" s="3" t="s">
        <v>944</v>
      </c>
      <c r="Q4254" s="2" t="s">
        <v>41617</v>
      </c>
      <c r="R4254" s="3" t="s">
        <v>70</v>
      </c>
      <c r="S4254" s="4">
        <v>2</v>
      </c>
      <c r="T4254" s="4">
        <v>4</v>
      </c>
      <c r="U4254" s="5" t="s">
        <v>8957</v>
      </c>
      <c r="V4254" s="5" t="s">
        <v>8957</v>
      </c>
      <c r="W4254" s="5" t="s">
        <v>72</v>
      </c>
      <c r="X4254" s="5" t="s">
        <v>72</v>
      </c>
      <c r="Y4254" s="4">
        <v>83</v>
      </c>
      <c r="Z4254" s="4">
        <v>4</v>
      </c>
      <c r="AA4254" s="4">
        <v>6</v>
      </c>
      <c r="AB4254" s="4">
        <v>1</v>
      </c>
      <c r="AC4254" s="4">
        <v>2</v>
      </c>
      <c r="AD4254" s="4">
        <v>42</v>
      </c>
      <c r="AE4254" s="4">
        <v>44</v>
      </c>
      <c r="AF4254" s="4">
        <v>0</v>
      </c>
      <c r="AG4254" s="4">
        <v>0</v>
      </c>
      <c r="AH4254" s="4">
        <v>42</v>
      </c>
      <c r="AI4254" s="4">
        <v>43</v>
      </c>
      <c r="AJ4254" s="4">
        <v>2</v>
      </c>
      <c r="AK4254" s="4">
        <v>3</v>
      </c>
      <c r="AL4254" s="4">
        <v>28</v>
      </c>
      <c r="AM4254" s="4">
        <v>28</v>
      </c>
      <c r="AN4254" s="4">
        <v>0</v>
      </c>
      <c r="AO4254" s="4">
        <v>0</v>
      </c>
      <c r="AP4254" s="4">
        <v>2</v>
      </c>
      <c r="AQ4254" s="4">
        <v>3</v>
      </c>
      <c r="AR4254" s="3" t="s">
        <v>64</v>
      </c>
      <c r="AS4254" s="3" t="s">
        <v>64</v>
      </c>
      <c r="AT4254" s="3" t="s">
        <v>128</v>
      </c>
      <c r="AU4254" s="6" t="str">
        <f>HYPERLINK("http://catalog.hathitrust.org/Record/003114392","HathiTrust Record")</f>
        <v>HathiTrust Record</v>
      </c>
      <c r="AV4254" s="6" t="str">
        <f>HYPERLINK("http://mcgill.on.worldcat.org/oclc/26137238","Catalog Record")</f>
        <v>Catalog Record</v>
      </c>
      <c r="AW4254" s="6" t="str">
        <f>HYPERLINK("http://www.worldcat.org/oclc/26137238","WorldCat Record")</f>
        <v>WorldCat Record</v>
      </c>
      <c r="AX4254" s="3" t="s">
        <v>41618</v>
      </c>
      <c r="AY4254" s="3" t="s">
        <v>41619</v>
      </c>
      <c r="AZ4254" s="3" t="s">
        <v>41620</v>
      </c>
      <c r="BA4254" s="3" t="s">
        <v>41620</v>
      </c>
      <c r="BB4254" s="3" t="s">
        <v>41621</v>
      </c>
      <c r="BC4254" s="3" t="s">
        <v>77</v>
      </c>
      <c r="BD4254" s="3" t="s">
        <v>78</v>
      </c>
      <c r="BE4254" s="3" t="s">
        <v>41622</v>
      </c>
      <c r="BF4254" s="3" t="s">
        <v>41621</v>
      </c>
      <c r="BG4254" s="3" t="s">
        <v>41623</v>
      </c>
      <c r="BH4254">
        <f t="shared" si="124"/>
        <v>0</v>
      </c>
    </row>
    <row r="4255" spans="1:60" ht="101.5" x14ac:dyDescent="0.35">
      <c r="A4255" s="2" t="s">
        <v>59</v>
      </c>
      <c r="B4255" s="2" t="s">
        <v>60</v>
      </c>
      <c r="C4255" s="2" t="s">
        <v>41612</v>
      </c>
      <c r="D4255" s="2" t="s">
        <v>41613</v>
      </c>
      <c r="E4255" s="2" t="s">
        <v>41614</v>
      </c>
      <c r="F4255" s="3" t="s">
        <v>41264</v>
      </c>
      <c r="G4255" s="3" t="s">
        <v>128</v>
      </c>
      <c r="I4255" s="3" t="s">
        <v>64</v>
      </c>
      <c r="J4255" s="3" t="s">
        <v>64</v>
      </c>
      <c r="K4255" s="3" t="s">
        <v>65</v>
      </c>
      <c r="L4255" s="2" t="s">
        <v>41615</v>
      </c>
      <c r="M4255" s="2" t="s">
        <v>41616</v>
      </c>
      <c r="N4255" s="3" t="s">
        <v>1087</v>
      </c>
      <c r="P4255" s="3" t="s">
        <v>944</v>
      </c>
      <c r="Q4255" s="2" t="s">
        <v>41617</v>
      </c>
      <c r="R4255" s="3" t="s">
        <v>70</v>
      </c>
      <c r="S4255" s="4">
        <v>2</v>
      </c>
      <c r="T4255" s="4">
        <v>4</v>
      </c>
      <c r="U4255" s="5" t="s">
        <v>8957</v>
      </c>
      <c r="V4255" s="5" t="s">
        <v>8957</v>
      </c>
      <c r="W4255" s="5" t="s">
        <v>72</v>
      </c>
      <c r="X4255" s="5" t="s">
        <v>72</v>
      </c>
      <c r="Y4255" s="4">
        <v>83</v>
      </c>
      <c r="Z4255" s="4">
        <v>4</v>
      </c>
      <c r="AA4255" s="4">
        <v>6</v>
      </c>
      <c r="AB4255" s="4">
        <v>1</v>
      </c>
      <c r="AC4255" s="4">
        <v>2</v>
      </c>
      <c r="AD4255" s="4">
        <v>42</v>
      </c>
      <c r="AE4255" s="4">
        <v>44</v>
      </c>
      <c r="AF4255" s="4">
        <v>0</v>
      </c>
      <c r="AG4255" s="4">
        <v>0</v>
      </c>
      <c r="AH4255" s="4">
        <v>42</v>
      </c>
      <c r="AI4255" s="4">
        <v>43</v>
      </c>
      <c r="AJ4255" s="4">
        <v>2</v>
      </c>
      <c r="AK4255" s="4">
        <v>3</v>
      </c>
      <c r="AL4255" s="4">
        <v>28</v>
      </c>
      <c r="AM4255" s="4">
        <v>28</v>
      </c>
      <c r="AN4255" s="4">
        <v>0</v>
      </c>
      <c r="AO4255" s="4">
        <v>0</v>
      </c>
      <c r="AP4255" s="4">
        <v>2</v>
      </c>
      <c r="AQ4255" s="4">
        <v>3</v>
      </c>
      <c r="AR4255" s="3" t="s">
        <v>64</v>
      </c>
      <c r="AS4255" s="3" t="s">
        <v>64</v>
      </c>
      <c r="AT4255" s="3" t="s">
        <v>128</v>
      </c>
      <c r="AU4255" s="6" t="str">
        <f>HYPERLINK("http://catalog.hathitrust.org/Record/003114392","HathiTrust Record")</f>
        <v>HathiTrust Record</v>
      </c>
      <c r="AV4255" s="6" t="str">
        <f>HYPERLINK("http://mcgill.on.worldcat.org/oclc/26137238","Catalog Record")</f>
        <v>Catalog Record</v>
      </c>
      <c r="AW4255" s="6" t="str">
        <f>HYPERLINK("http://www.worldcat.org/oclc/26137238","WorldCat Record")</f>
        <v>WorldCat Record</v>
      </c>
      <c r="AX4255" s="3" t="s">
        <v>41618</v>
      </c>
      <c r="AY4255" s="3" t="s">
        <v>41619</v>
      </c>
      <c r="AZ4255" s="3" t="s">
        <v>41620</v>
      </c>
      <c r="BA4255" s="3" t="s">
        <v>41620</v>
      </c>
      <c r="BB4255" s="3" t="s">
        <v>41624</v>
      </c>
      <c r="BC4255" s="3" t="s">
        <v>77</v>
      </c>
      <c r="BD4255" s="3" t="s">
        <v>78</v>
      </c>
      <c r="BE4255" s="3" t="s">
        <v>41622</v>
      </c>
      <c r="BF4255" s="3" t="s">
        <v>41624</v>
      </c>
      <c r="BG4255" s="3" t="s">
        <v>41625</v>
      </c>
      <c r="BH4255">
        <f t="shared" si="124"/>
        <v>0</v>
      </c>
    </row>
    <row r="4256" spans="1:60" ht="58" x14ac:dyDescent="0.35">
      <c r="A4256" s="2" t="s">
        <v>59</v>
      </c>
      <c r="B4256" s="2" t="s">
        <v>60</v>
      </c>
      <c r="C4256" s="2" t="s">
        <v>41626</v>
      </c>
      <c r="D4256" s="2" t="s">
        <v>41627</v>
      </c>
      <c r="E4256" s="2" t="s">
        <v>41628</v>
      </c>
      <c r="G4256" s="3" t="s">
        <v>64</v>
      </c>
      <c r="I4256" s="3" t="s">
        <v>64</v>
      </c>
      <c r="J4256" s="3" t="s">
        <v>64</v>
      </c>
      <c r="K4256" s="3" t="s">
        <v>65</v>
      </c>
      <c r="L4256" s="2" t="s">
        <v>41629</v>
      </c>
      <c r="M4256" s="2" t="s">
        <v>41630</v>
      </c>
      <c r="N4256" s="3" t="s">
        <v>1047</v>
      </c>
      <c r="P4256" s="3" t="s">
        <v>102</v>
      </c>
      <c r="R4256" s="3" t="s">
        <v>70</v>
      </c>
      <c r="S4256" s="4">
        <v>1</v>
      </c>
      <c r="T4256" s="4">
        <v>1</v>
      </c>
      <c r="U4256" s="5" t="s">
        <v>25635</v>
      </c>
      <c r="V4256" s="5" t="s">
        <v>25635</v>
      </c>
      <c r="W4256" s="5" t="s">
        <v>72</v>
      </c>
      <c r="X4256" s="5" t="s">
        <v>72</v>
      </c>
      <c r="Y4256" s="4">
        <v>720</v>
      </c>
      <c r="Z4256" s="4">
        <v>35</v>
      </c>
      <c r="AA4256" s="4">
        <v>39</v>
      </c>
      <c r="AB4256" s="4">
        <v>2</v>
      </c>
      <c r="AC4256" s="4">
        <v>6</v>
      </c>
      <c r="AD4256" s="4">
        <v>130</v>
      </c>
      <c r="AE4256" s="4">
        <v>133</v>
      </c>
      <c r="AF4256" s="4">
        <v>1</v>
      </c>
      <c r="AG4256" s="4">
        <v>4</v>
      </c>
      <c r="AH4256" s="4">
        <v>109</v>
      </c>
      <c r="AI4256" s="4">
        <v>110</v>
      </c>
      <c r="AJ4256" s="4">
        <v>20</v>
      </c>
      <c r="AK4256" s="4">
        <v>23</v>
      </c>
      <c r="AL4256" s="4">
        <v>58</v>
      </c>
      <c r="AM4256" s="4">
        <v>58</v>
      </c>
      <c r="AN4256" s="4">
        <v>0</v>
      </c>
      <c r="AO4256" s="4">
        <v>0</v>
      </c>
      <c r="AP4256" s="4">
        <v>30</v>
      </c>
      <c r="AQ4256" s="4">
        <v>32</v>
      </c>
      <c r="AR4256" s="3" t="s">
        <v>64</v>
      </c>
      <c r="AS4256" s="3" t="s">
        <v>64</v>
      </c>
      <c r="AT4256" s="3" t="s">
        <v>128</v>
      </c>
      <c r="AU4256" s="6" t="str">
        <f>HYPERLINK("http://catalog.hathitrust.org/Record/000191666","HathiTrust Record")</f>
        <v>HathiTrust Record</v>
      </c>
      <c r="AV4256" s="6" t="str">
        <f>HYPERLINK("http://mcgill.on.worldcat.org/oclc/8842399","Catalog Record")</f>
        <v>Catalog Record</v>
      </c>
      <c r="AW4256" s="6" t="str">
        <f>HYPERLINK("http://www.worldcat.org/oclc/8842399","WorldCat Record")</f>
        <v>WorldCat Record</v>
      </c>
      <c r="AX4256" s="3" t="s">
        <v>41631</v>
      </c>
      <c r="AY4256" s="3" t="s">
        <v>41632</v>
      </c>
      <c r="AZ4256" s="3" t="s">
        <v>41633</v>
      </c>
      <c r="BA4256" s="3" t="s">
        <v>41633</v>
      </c>
      <c r="BB4256" s="3" t="s">
        <v>41634</v>
      </c>
      <c r="BC4256" s="3" t="s">
        <v>77</v>
      </c>
      <c r="BD4256" s="3" t="s">
        <v>78</v>
      </c>
      <c r="BE4256" s="3" t="s">
        <v>41635</v>
      </c>
      <c r="BF4256" s="3" t="s">
        <v>41634</v>
      </c>
      <c r="BG4256" s="3" t="s">
        <v>41636</v>
      </c>
      <c r="BH4256">
        <f t="shared" si="124"/>
        <v>0</v>
      </c>
    </row>
    <row r="4257" spans="1:60" ht="58" x14ac:dyDescent="0.35">
      <c r="A4257" s="2" t="s">
        <v>59</v>
      </c>
      <c r="B4257" s="2" t="s">
        <v>60</v>
      </c>
      <c r="C4257" s="2" t="s">
        <v>41637</v>
      </c>
      <c r="D4257" s="2" t="s">
        <v>41638</v>
      </c>
      <c r="E4257" s="2" t="s">
        <v>41639</v>
      </c>
      <c r="G4257" s="3" t="s">
        <v>64</v>
      </c>
      <c r="I4257" s="3" t="s">
        <v>64</v>
      </c>
      <c r="J4257" s="3" t="s">
        <v>64</v>
      </c>
      <c r="K4257" s="3" t="s">
        <v>65</v>
      </c>
      <c r="L4257" s="2" t="s">
        <v>41640</v>
      </c>
      <c r="M4257" s="2" t="s">
        <v>41641</v>
      </c>
      <c r="N4257" s="3" t="s">
        <v>3428</v>
      </c>
      <c r="P4257" s="3" t="s">
        <v>944</v>
      </c>
      <c r="R4257" s="3" t="s">
        <v>70</v>
      </c>
      <c r="S4257" s="4">
        <v>5</v>
      </c>
      <c r="T4257" s="4">
        <v>5</v>
      </c>
      <c r="U4257" s="5" t="s">
        <v>25635</v>
      </c>
      <c r="V4257" s="5" t="s">
        <v>25635</v>
      </c>
      <c r="W4257" s="5" t="s">
        <v>72</v>
      </c>
      <c r="X4257" s="5" t="s">
        <v>72</v>
      </c>
      <c r="Y4257" s="4">
        <v>111</v>
      </c>
      <c r="Z4257" s="4">
        <v>5</v>
      </c>
      <c r="AA4257" s="4">
        <v>5</v>
      </c>
      <c r="AB4257" s="4">
        <v>2</v>
      </c>
      <c r="AC4257" s="4">
        <v>2</v>
      </c>
      <c r="AD4257" s="4">
        <v>44</v>
      </c>
      <c r="AE4257" s="4">
        <v>44</v>
      </c>
      <c r="AF4257" s="4">
        <v>1</v>
      </c>
      <c r="AG4257" s="4">
        <v>1</v>
      </c>
      <c r="AH4257" s="4">
        <v>42</v>
      </c>
      <c r="AI4257" s="4">
        <v>42</v>
      </c>
      <c r="AJ4257" s="4">
        <v>3</v>
      </c>
      <c r="AK4257" s="4">
        <v>3</v>
      </c>
      <c r="AL4257" s="4">
        <v>33</v>
      </c>
      <c r="AM4257" s="4">
        <v>33</v>
      </c>
      <c r="AN4257" s="4">
        <v>0</v>
      </c>
      <c r="AO4257" s="4">
        <v>0</v>
      </c>
      <c r="AP4257" s="4">
        <v>3</v>
      </c>
      <c r="AQ4257" s="4">
        <v>3</v>
      </c>
      <c r="AR4257" s="3" t="s">
        <v>64</v>
      </c>
      <c r="AS4257" s="3" t="s">
        <v>64</v>
      </c>
      <c r="AT4257" s="3" t="s">
        <v>128</v>
      </c>
      <c r="AU4257" s="6" t="str">
        <f>HYPERLINK("http://catalog.hathitrust.org/Record/003017033","HathiTrust Record")</f>
        <v>HathiTrust Record</v>
      </c>
      <c r="AV4257" s="6" t="str">
        <f>HYPERLINK("http://mcgill.on.worldcat.org/oclc/33946445","Catalog Record")</f>
        <v>Catalog Record</v>
      </c>
      <c r="AW4257" s="6" t="str">
        <f>HYPERLINK("http://www.worldcat.org/oclc/33946445","WorldCat Record")</f>
        <v>WorldCat Record</v>
      </c>
      <c r="AX4257" s="3" t="s">
        <v>41642</v>
      </c>
      <c r="AY4257" s="3" t="s">
        <v>41643</v>
      </c>
      <c r="AZ4257" s="3" t="s">
        <v>41644</v>
      </c>
      <c r="BA4257" s="3" t="s">
        <v>41644</v>
      </c>
      <c r="BB4257" s="3" t="s">
        <v>41645</v>
      </c>
      <c r="BC4257" s="3" t="s">
        <v>77</v>
      </c>
      <c r="BD4257" s="3" t="s">
        <v>78</v>
      </c>
      <c r="BE4257" s="3" t="s">
        <v>41646</v>
      </c>
      <c r="BF4257" s="3" t="s">
        <v>41645</v>
      </c>
      <c r="BG4257" s="3" t="s">
        <v>41647</v>
      </c>
      <c r="BH4257">
        <f t="shared" si="124"/>
        <v>0</v>
      </c>
    </row>
    <row r="4258" spans="1:60" ht="101.5" x14ac:dyDescent="0.35">
      <c r="A4258" s="2" t="s">
        <v>6202</v>
      </c>
      <c r="B4258" s="2" t="s">
        <v>6203</v>
      </c>
      <c r="C4258" s="2" t="s">
        <v>41648</v>
      </c>
      <c r="D4258" s="2" t="s">
        <v>41649</v>
      </c>
      <c r="E4258" s="2" t="s">
        <v>41639</v>
      </c>
      <c r="F4258" s="3" t="s">
        <v>41650</v>
      </c>
      <c r="G4258" s="3" t="s">
        <v>128</v>
      </c>
      <c r="I4258" s="3" t="s">
        <v>64</v>
      </c>
      <c r="J4258" s="3" t="s">
        <v>64</v>
      </c>
      <c r="K4258" s="3" t="s">
        <v>65</v>
      </c>
      <c r="L4258" s="2" t="s">
        <v>41640</v>
      </c>
      <c r="M4258" s="2" t="s">
        <v>41651</v>
      </c>
      <c r="N4258" s="3" t="s">
        <v>979</v>
      </c>
      <c r="O4258" s="2" t="s">
        <v>41652</v>
      </c>
      <c r="P4258" s="3" t="s">
        <v>944</v>
      </c>
      <c r="R4258" s="3" t="s">
        <v>70</v>
      </c>
      <c r="S4258" s="4">
        <v>1</v>
      </c>
      <c r="T4258" s="4">
        <v>1</v>
      </c>
      <c r="U4258" s="5" t="s">
        <v>4248</v>
      </c>
      <c r="V4258" s="5" t="s">
        <v>4248</v>
      </c>
      <c r="W4258" s="5" t="s">
        <v>72</v>
      </c>
      <c r="X4258" s="5" t="s">
        <v>72</v>
      </c>
      <c r="Y4258" s="4">
        <v>49</v>
      </c>
      <c r="Z4258" s="4">
        <v>5</v>
      </c>
      <c r="AA4258" s="4">
        <v>5</v>
      </c>
      <c r="AB4258" s="4">
        <v>2</v>
      </c>
      <c r="AC4258" s="4">
        <v>2</v>
      </c>
      <c r="AD4258" s="4">
        <v>34</v>
      </c>
      <c r="AE4258" s="4">
        <v>37</v>
      </c>
      <c r="AF4258" s="4">
        <v>0</v>
      </c>
      <c r="AG4258" s="4">
        <v>0</v>
      </c>
      <c r="AH4258" s="4">
        <v>34</v>
      </c>
      <c r="AI4258" s="4">
        <v>37</v>
      </c>
      <c r="AJ4258" s="4">
        <v>2</v>
      </c>
      <c r="AK4258" s="4">
        <v>2</v>
      </c>
      <c r="AL4258" s="4">
        <v>25</v>
      </c>
      <c r="AM4258" s="4">
        <v>26</v>
      </c>
      <c r="AN4258" s="4">
        <v>0</v>
      </c>
      <c r="AO4258" s="4">
        <v>0</v>
      </c>
      <c r="AP4258" s="4">
        <v>2</v>
      </c>
      <c r="AQ4258" s="4">
        <v>2</v>
      </c>
      <c r="AR4258" s="3" t="s">
        <v>64</v>
      </c>
      <c r="AS4258" s="3" t="s">
        <v>64</v>
      </c>
      <c r="AT4258" s="3" t="s">
        <v>128</v>
      </c>
      <c r="AU4258" s="6" t="str">
        <f>HYPERLINK("http://catalog.hathitrust.org/Record/004302205","HathiTrust Record")</f>
        <v>HathiTrust Record</v>
      </c>
      <c r="AV4258" s="6" t="str">
        <f>HYPERLINK("http://mcgill.on.worldcat.org/oclc/45542978","Catalog Record")</f>
        <v>Catalog Record</v>
      </c>
      <c r="AW4258" s="6" t="str">
        <f>HYPERLINK("http://www.worldcat.org/oclc/45542978","WorldCat Record")</f>
        <v>WorldCat Record</v>
      </c>
      <c r="AX4258" s="3" t="s">
        <v>41653</v>
      </c>
      <c r="AY4258" s="3" t="s">
        <v>41654</v>
      </c>
      <c r="AZ4258" s="3" t="s">
        <v>41655</v>
      </c>
      <c r="BA4258" s="3" t="s">
        <v>41655</v>
      </c>
      <c r="BB4258" s="3" t="s">
        <v>41656</v>
      </c>
      <c r="BC4258" s="3" t="s">
        <v>77</v>
      </c>
      <c r="BD4258" s="3" t="s">
        <v>78</v>
      </c>
      <c r="BE4258" s="3" t="s">
        <v>41657</v>
      </c>
      <c r="BF4258" s="3" t="s">
        <v>41656</v>
      </c>
      <c r="BG4258" s="3" t="s">
        <v>41658</v>
      </c>
      <c r="BH4258">
        <f t="shared" si="124"/>
        <v>0</v>
      </c>
    </row>
    <row r="4259" spans="1:60" ht="101.5" x14ac:dyDescent="0.35">
      <c r="A4259" s="2" t="s">
        <v>6202</v>
      </c>
      <c r="B4259" s="2" t="s">
        <v>6203</v>
      </c>
      <c r="C4259" s="2" t="s">
        <v>41648</v>
      </c>
      <c r="D4259" s="2" t="s">
        <v>41649</v>
      </c>
      <c r="E4259" s="2" t="s">
        <v>41639</v>
      </c>
      <c r="F4259" s="3" t="s">
        <v>10030</v>
      </c>
      <c r="G4259" s="3" t="s">
        <v>128</v>
      </c>
      <c r="I4259" s="3" t="s">
        <v>64</v>
      </c>
      <c r="J4259" s="3" t="s">
        <v>64</v>
      </c>
      <c r="K4259" s="3" t="s">
        <v>65</v>
      </c>
      <c r="L4259" s="2" t="s">
        <v>41640</v>
      </c>
      <c r="M4259" s="2" t="s">
        <v>41651</v>
      </c>
      <c r="N4259" s="3" t="s">
        <v>979</v>
      </c>
      <c r="O4259" s="2" t="s">
        <v>41652</v>
      </c>
      <c r="P4259" s="3" t="s">
        <v>944</v>
      </c>
      <c r="R4259" s="3" t="s">
        <v>70</v>
      </c>
      <c r="S4259" s="4">
        <v>0</v>
      </c>
      <c r="T4259" s="4">
        <v>1</v>
      </c>
      <c r="V4259" s="5" t="s">
        <v>4248</v>
      </c>
      <c r="W4259" s="5" t="s">
        <v>72</v>
      </c>
      <c r="X4259" s="5" t="s">
        <v>72</v>
      </c>
      <c r="Y4259" s="4">
        <v>49</v>
      </c>
      <c r="Z4259" s="4">
        <v>5</v>
      </c>
      <c r="AA4259" s="4">
        <v>5</v>
      </c>
      <c r="AB4259" s="4">
        <v>2</v>
      </c>
      <c r="AC4259" s="4">
        <v>2</v>
      </c>
      <c r="AD4259" s="4">
        <v>34</v>
      </c>
      <c r="AE4259" s="4">
        <v>37</v>
      </c>
      <c r="AF4259" s="4">
        <v>0</v>
      </c>
      <c r="AG4259" s="4">
        <v>0</v>
      </c>
      <c r="AH4259" s="4">
        <v>34</v>
      </c>
      <c r="AI4259" s="4">
        <v>37</v>
      </c>
      <c r="AJ4259" s="4">
        <v>2</v>
      </c>
      <c r="AK4259" s="4">
        <v>2</v>
      </c>
      <c r="AL4259" s="4">
        <v>25</v>
      </c>
      <c r="AM4259" s="4">
        <v>26</v>
      </c>
      <c r="AN4259" s="4">
        <v>0</v>
      </c>
      <c r="AO4259" s="4">
        <v>0</v>
      </c>
      <c r="AP4259" s="4">
        <v>2</v>
      </c>
      <c r="AQ4259" s="4">
        <v>2</v>
      </c>
      <c r="AR4259" s="3" t="s">
        <v>64</v>
      </c>
      <c r="AS4259" s="3" t="s">
        <v>64</v>
      </c>
      <c r="AT4259" s="3" t="s">
        <v>128</v>
      </c>
      <c r="AU4259" s="6" t="str">
        <f>HYPERLINK("http://catalog.hathitrust.org/Record/004302205","HathiTrust Record")</f>
        <v>HathiTrust Record</v>
      </c>
      <c r="AV4259" s="6" t="str">
        <f>HYPERLINK("http://mcgill.on.worldcat.org/oclc/45542978","Catalog Record")</f>
        <v>Catalog Record</v>
      </c>
      <c r="AW4259" s="6" t="str">
        <f>HYPERLINK("http://www.worldcat.org/oclc/45542978","WorldCat Record")</f>
        <v>WorldCat Record</v>
      </c>
      <c r="AX4259" s="3" t="s">
        <v>41653</v>
      </c>
      <c r="AY4259" s="3" t="s">
        <v>41654</v>
      </c>
      <c r="AZ4259" s="3" t="s">
        <v>41655</v>
      </c>
      <c r="BA4259" s="3" t="s">
        <v>41655</v>
      </c>
      <c r="BB4259" s="3" t="s">
        <v>41659</v>
      </c>
      <c r="BC4259" s="3" t="s">
        <v>77</v>
      </c>
      <c r="BD4259" s="3" t="s">
        <v>78</v>
      </c>
      <c r="BE4259" s="3" t="s">
        <v>41657</v>
      </c>
      <c r="BF4259" s="3" t="s">
        <v>41659</v>
      </c>
      <c r="BG4259" s="3" t="s">
        <v>41660</v>
      </c>
      <c r="BH4259">
        <f t="shared" si="124"/>
        <v>0</v>
      </c>
    </row>
    <row r="4260" spans="1:60" ht="72.5" x14ac:dyDescent="0.35">
      <c r="A4260" s="2" t="s">
        <v>6202</v>
      </c>
      <c r="B4260" s="2" t="s">
        <v>6203</v>
      </c>
      <c r="C4260" s="2" t="s">
        <v>41661</v>
      </c>
      <c r="D4260" s="2" t="s">
        <v>41662</v>
      </c>
      <c r="E4260" s="2" t="s">
        <v>41663</v>
      </c>
      <c r="G4260" s="3" t="s">
        <v>64</v>
      </c>
      <c r="I4260" s="3" t="s">
        <v>64</v>
      </c>
      <c r="J4260" s="3" t="s">
        <v>64</v>
      </c>
      <c r="K4260" s="3" t="s">
        <v>65</v>
      </c>
      <c r="L4260" s="2" t="s">
        <v>41664</v>
      </c>
      <c r="M4260" s="2" t="s">
        <v>41665</v>
      </c>
      <c r="N4260" s="3" t="s">
        <v>3428</v>
      </c>
      <c r="P4260" s="3" t="s">
        <v>102</v>
      </c>
      <c r="Q4260" s="2" t="s">
        <v>41666</v>
      </c>
      <c r="R4260" s="3" t="s">
        <v>70</v>
      </c>
      <c r="S4260" s="4">
        <v>3</v>
      </c>
      <c r="T4260" s="4">
        <v>3</v>
      </c>
      <c r="U4260" s="5" t="s">
        <v>41517</v>
      </c>
      <c r="V4260" s="5" t="s">
        <v>41517</v>
      </c>
      <c r="W4260" s="5" t="s">
        <v>72</v>
      </c>
      <c r="X4260" s="5" t="s">
        <v>72</v>
      </c>
      <c r="Y4260" s="4">
        <v>202</v>
      </c>
      <c r="Z4260" s="4">
        <v>20</v>
      </c>
      <c r="AA4260" s="4">
        <v>21</v>
      </c>
      <c r="AB4260" s="4">
        <v>1</v>
      </c>
      <c r="AC4260" s="4">
        <v>2</v>
      </c>
      <c r="AD4260" s="4">
        <v>81</v>
      </c>
      <c r="AE4260" s="4">
        <v>83</v>
      </c>
      <c r="AF4260" s="4">
        <v>0</v>
      </c>
      <c r="AG4260" s="4">
        <v>1</v>
      </c>
      <c r="AH4260" s="4">
        <v>74</v>
      </c>
      <c r="AI4260" s="4">
        <v>76</v>
      </c>
      <c r="AJ4260" s="4">
        <v>12</v>
      </c>
      <c r="AK4260" s="4">
        <v>13</v>
      </c>
      <c r="AL4260" s="4">
        <v>44</v>
      </c>
      <c r="AM4260" s="4">
        <v>45</v>
      </c>
      <c r="AN4260" s="4">
        <v>0</v>
      </c>
      <c r="AO4260" s="4">
        <v>0</v>
      </c>
      <c r="AP4260" s="4">
        <v>14</v>
      </c>
      <c r="AQ4260" s="4">
        <v>15</v>
      </c>
      <c r="AR4260" s="3" t="s">
        <v>64</v>
      </c>
      <c r="AS4260" s="3" t="s">
        <v>64</v>
      </c>
      <c r="AT4260" s="3" t="s">
        <v>64</v>
      </c>
      <c r="AV4260" s="6" t="str">
        <f>HYPERLINK("http://mcgill.on.worldcat.org/oclc/33293400","Catalog Record")</f>
        <v>Catalog Record</v>
      </c>
      <c r="AW4260" s="6" t="str">
        <f>HYPERLINK("http://www.worldcat.org/oclc/33293400","WorldCat Record")</f>
        <v>WorldCat Record</v>
      </c>
      <c r="AX4260" s="3" t="s">
        <v>41667</v>
      </c>
      <c r="AY4260" s="3" t="s">
        <v>41668</v>
      </c>
      <c r="AZ4260" s="3" t="s">
        <v>41669</v>
      </c>
      <c r="BA4260" s="3" t="s">
        <v>41669</v>
      </c>
      <c r="BB4260" s="3" t="s">
        <v>41670</v>
      </c>
      <c r="BC4260" s="3" t="s">
        <v>77</v>
      </c>
      <c r="BD4260" s="3" t="s">
        <v>78</v>
      </c>
      <c r="BE4260" s="3" t="s">
        <v>41671</v>
      </c>
      <c r="BF4260" s="3" t="s">
        <v>41670</v>
      </c>
      <c r="BG4260" s="3" t="s">
        <v>41672</v>
      </c>
      <c r="BH4260">
        <f t="shared" si="124"/>
        <v>0</v>
      </c>
    </row>
    <row r="4261" spans="1:60" ht="58" x14ac:dyDescent="0.35">
      <c r="A4261" s="2" t="s">
        <v>6202</v>
      </c>
      <c r="B4261" s="2" t="s">
        <v>6203</v>
      </c>
      <c r="C4261" s="2" t="s">
        <v>41673</v>
      </c>
      <c r="D4261" s="2" t="s">
        <v>41674</v>
      </c>
      <c r="E4261" s="2" t="s">
        <v>41675</v>
      </c>
      <c r="G4261" s="3" t="s">
        <v>64</v>
      </c>
      <c r="I4261" s="3" t="s">
        <v>64</v>
      </c>
      <c r="J4261" s="3" t="s">
        <v>64</v>
      </c>
      <c r="K4261" s="3" t="s">
        <v>65</v>
      </c>
      <c r="L4261" s="2" t="s">
        <v>41676</v>
      </c>
      <c r="M4261" s="2" t="s">
        <v>41677</v>
      </c>
      <c r="N4261" s="3" t="s">
        <v>1275</v>
      </c>
      <c r="O4261" s="2" t="s">
        <v>734</v>
      </c>
      <c r="P4261" s="3" t="s">
        <v>102</v>
      </c>
      <c r="R4261" s="3" t="s">
        <v>70</v>
      </c>
      <c r="S4261" s="4">
        <v>1</v>
      </c>
      <c r="T4261" s="4">
        <v>1</v>
      </c>
      <c r="U4261" s="5" t="s">
        <v>41678</v>
      </c>
      <c r="V4261" s="5" t="s">
        <v>41678</v>
      </c>
      <c r="W4261" s="5" t="s">
        <v>72</v>
      </c>
      <c r="X4261" s="5" t="s">
        <v>72</v>
      </c>
      <c r="Y4261" s="4">
        <v>134</v>
      </c>
      <c r="Z4261" s="4">
        <v>12</v>
      </c>
      <c r="AA4261" s="4">
        <v>80</v>
      </c>
      <c r="AB4261" s="4">
        <v>1</v>
      </c>
      <c r="AC4261" s="4">
        <v>14</v>
      </c>
      <c r="AD4261" s="4">
        <v>63</v>
      </c>
      <c r="AE4261" s="4">
        <v>121</v>
      </c>
      <c r="AF4261" s="4">
        <v>0</v>
      </c>
      <c r="AG4261" s="4">
        <v>8</v>
      </c>
      <c r="AH4261" s="4">
        <v>58</v>
      </c>
      <c r="AI4261" s="4">
        <v>87</v>
      </c>
      <c r="AJ4261" s="4">
        <v>9</v>
      </c>
      <c r="AK4261" s="4">
        <v>24</v>
      </c>
      <c r="AL4261" s="4">
        <v>33</v>
      </c>
      <c r="AM4261" s="4">
        <v>44</v>
      </c>
      <c r="AN4261" s="4">
        <v>0</v>
      </c>
      <c r="AO4261" s="4">
        <v>0</v>
      </c>
      <c r="AP4261" s="4">
        <v>10</v>
      </c>
      <c r="AQ4261" s="4">
        <v>44</v>
      </c>
      <c r="AR4261" s="3" t="s">
        <v>64</v>
      </c>
      <c r="AS4261" s="3" t="s">
        <v>64</v>
      </c>
      <c r="AT4261" s="3" t="s">
        <v>64</v>
      </c>
      <c r="AV4261" s="6" t="str">
        <f>HYPERLINK("http://mcgill.on.worldcat.org/oclc/53937880","Catalog Record")</f>
        <v>Catalog Record</v>
      </c>
      <c r="AW4261" s="6" t="str">
        <f>HYPERLINK("http://www.worldcat.org/oclc/53937880","WorldCat Record")</f>
        <v>WorldCat Record</v>
      </c>
      <c r="AX4261" s="3" t="s">
        <v>41679</v>
      </c>
      <c r="AY4261" s="3" t="s">
        <v>41680</v>
      </c>
      <c r="AZ4261" s="3" t="s">
        <v>41681</v>
      </c>
      <c r="BA4261" s="3" t="s">
        <v>41681</v>
      </c>
      <c r="BB4261" s="3" t="s">
        <v>41682</v>
      </c>
      <c r="BC4261" s="3" t="s">
        <v>77</v>
      </c>
      <c r="BD4261" s="3" t="s">
        <v>78</v>
      </c>
      <c r="BE4261" s="3" t="s">
        <v>41683</v>
      </c>
      <c r="BF4261" s="3" t="s">
        <v>41682</v>
      </c>
      <c r="BG4261" s="3" t="s">
        <v>41684</v>
      </c>
      <c r="BH4261">
        <f t="shared" si="124"/>
        <v>0</v>
      </c>
    </row>
    <row r="4262" spans="1:60" ht="58" x14ac:dyDescent="0.35">
      <c r="A4262" s="2" t="s">
        <v>59</v>
      </c>
      <c r="B4262" s="2" t="s">
        <v>60</v>
      </c>
      <c r="C4262" s="2" t="s">
        <v>41685</v>
      </c>
      <c r="D4262" s="2" t="s">
        <v>41686</v>
      </c>
      <c r="E4262" s="2" t="s">
        <v>41687</v>
      </c>
      <c r="G4262" s="3" t="s">
        <v>64</v>
      </c>
      <c r="I4262" s="3" t="s">
        <v>64</v>
      </c>
      <c r="J4262" s="3" t="s">
        <v>64</v>
      </c>
      <c r="K4262" s="3" t="s">
        <v>65</v>
      </c>
      <c r="L4262" s="2" t="s">
        <v>41688</v>
      </c>
      <c r="M4262" s="2" t="s">
        <v>41689</v>
      </c>
      <c r="N4262" s="3" t="s">
        <v>421</v>
      </c>
      <c r="P4262" s="3" t="s">
        <v>102</v>
      </c>
      <c r="Q4262" s="2" t="s">
        <v>41690</v>
      </c>
      <c r="R4262" s="3" t="s">
        <v>70</v>
      </c>
      <c r="S4262" s="4">
        <v>4</v>
      </c>
      <c r="T4262" s="4">
        <v>4</v>
      </c>
      <c r="U4262" s="5" t="s">
        <v>41691</v>
      </c>
      <c r="V4262" s="5" t="s">
        <v>41691</v>
      </c>
      <c r="W4262" s="5" t="s">
        <v>72</v>
      </c>
      <c r="X4262" s="5" t="s">
        <v>72</v>
      </c>
      <c r="Y4262" s="4">
        <v>88</v>
      </c>
      <c r="Z4262" s="4">
        <v>6</v>
      </c>
      <c r="AA4262" s="4">
        <v>6</v>
      </c>
      <c r="AB4262" s="4">
        <v>2</v>
      </c>
      <c r="AC4262" s="4">
        <v>2</v>
      </c>
      <c r="AD4262" s="4">
        <v>47</v>
      </c>
      <c r="AE4262" s="4">
        <v>47</v>
      </c>
      <c r="AF4262" s="4">
        <v>0</v>
      </c>
      <c r="AG4262" s="4">
        <v>0</v>
      </c>
      <c r="AH4262" s="4">
        <v>45</v>
      </c>
      <c r="AI4262" s="4">
        <v>45</v>
      </c>
      <c r="AJ4262" s="4">
        <v>2</v>
      </c>
      <c r="AK4262" s="4">
        <v>2</v>
      </c>
      <c r="AL4262" s="4">
        <v>32</v>
      </c>
      <c r="AM4262" s="4">
        <v>32</v>
      </c>
      <c r="AN4262" s="4">
        <v>0</v>
      </c>
      <c r="AO4262" s="4">
        <v>0</v>
      </c>
      <c r="AP4262" s="4">
        <v>2</v>
      </c>
      <c r="AQ4262" s="4">
        <v>2</v>
      </c>
      <c r="AR4262" s="3" t="s">
        <v>64</v>
      </c>
      <c r="AS4262" s="3" t="s">
        <v>64</v>
      </c>
      <c r="AT4262" s="3" t="s">
        <v>64</v>
      </c>
      <c r="AV4262" s="6" t="str">
        <f>HYPERLINK("http://mcgill.on.worldcat.org/oclc/36998628","Catalog Record")</f>
        <v>Catalog Record</v>
      </c>
      <c r="AW4262" s="6" t="str">
        <f>HYPERLINK("http://www.worldcat.org/oclc/36998628","WorldCat Record")</f>
        <v>WorldCat Record</v>
      </c>
      <c r="AX4262" s="3" t="s">
        <v>41692</v>
      </c>
      <c r="AY4262" s="3" t="s">
        <v>41693</v>
      </c>
      <c r="AZ4262" s="3" t="s">
        <v>41694</v>
      </c>
      <c r="BA4262" s="3" t="s">
        <v>41694</v>
      </c>
      <c r="BB4262" s="3" t="s">
        <v>41695</v>
      </c>
      <c r="BC4262" s="3" t="s">
        <v>77</v>
      </c>
      <c r="BD4262" s="3" t="s">
        <v>78</v>
      </c>
      <c r="BE4262" s="3" t="s">
        <v>41696</v>
      </c>
      <c r="BF4262" s="3" t="s">
        <v>41695</v>
      </c>
      <c r="BG4262" s="3" t="s">
        <v>41697</v>
      </c>
      <c r="BH4262">
        <f t="shared" si="124"/>
        <v>0</v>
      </c>
    </row>
    <row r="4263" spans="1:60" ht="58" x14ac:dyDescent="0.35">
      <c r="A4263" s="2" t="s">
        <v>6202</v>
      </c>
      <c r="B4263" s="2" t="s">
        <v>6203</v>
      </c>
      <c r="C4263" s="2" t="s">
        <v>41698</v>
      </c>
      <c r="D4263" s="2" t="s">
        <v>41699</v>
      </c>
      <c r="E4263" s="2" t="s">
        <v>41700</v>
      </c>
      <c r="F4263" s="3" t="s">
        <v>41701</v>
      </c>
      <c r="G4263" s="3" t="s">
        <v>128</v>
      </c>
      <c r="I4263" s="3" t="s">
        <v>64</v>
      </c>
      <c r="J4263" s="3" t="s">
        <v>64</v>
      </c>
      <c r="K4263" s="3" t="s">
        <v>65</v>
      </c>
      <c r="L4263" s="2" t="s">
        <v>41702</v>
      </c>
      <c r="M4263" s="2" t="s">
        <v>41703</v>
      </c>
      <c r="N4263" s="3" t="s">
        <v>1017</v>
      </c>
      <c r="P4263" s="3" t="s">
        <v>102</v>
      </c>
      <c r="R4263" s="3" t="s">
        <v>70</v>
      </c>
      <c r="S4263" s="4">
        <v>0</v>
      </c>
      <c r="T4263" s="4">
        <v>1</v>
      </c>
      <c r="V4263" s="5" t="s">
        <v>4300</v>
      </c>
      <c r="W4263" s="5" t="s">
        <v>72</v>
      </c>
      <c r="X4263" s="5" t="s">
        <v>72</v>
      </c>
      <c r="Y4263" s="4">
        <v>37</v>
      </c>
      <c r="Z4263" s="4">
        <v>4</v>
      </c>
      <c r="AA4263" s="4">
        <v>13</v>
      </c>
      <c r="AB4263" s="4">
        <v>1</v>
      </c>
      <c r="AC4263" s="4">
        <v>1</v>
      </c>
      <c r="AD4263" s="4">
        <v>13</v>
      </c>
      <c r="AE4263" s="4">
        <v>80</v>
      </c>
      <c r="AF4263" s="4">
        <v>0</v>
      </c>
      <c r="AG4263" s="4">
        <v>0</v>
      </c>
      <c r="AH4263" s="4">
        <v>13</v>
      </c>
      <c r="AI4263" s="4">
        <v>73</v>
      </c>
      <c r="AJ4263" s="4">
        <v>2</v>
      </c>
      <c r="AK4263" s="4">
        <v>8</v>
      </c>
      <c r="AL4263" s="4">
        <v>6</v>
      </c>
      <c r="AM4263" s="4">
        <v>47</v>
      </c>
      <c r="AN4263" s="4">
        <v>0</v>
      </c>
      <c r="AO4263" s="4">
        <v>0</v>
      </c>
      <c r="AP4263" s="4">
        <v>2</v>
      </c>
      <c r="AQ4263" s="4">
        <v>8</v>
      </c>
      <c r="AR4263" s="3" t="s">
        <v>64</v>
      </c>
      <c r="AS4263" s="3" t="s">
        <v>64</v>
      </c>
      <c r="AT4263" s="3" t="s">
        <v>64</v>
      </c>
      <c r="AV4263" s="6" t="str">
        <f>HYPERLINK("http://mcgill.on.worldcat.org/oclc/861825","Catalog Record")</f>
        <v>Catalog Record</v>
      </c>
      <c r="AW4263" s="6" t="str">
        <f>HYPERLINK("http://www.worldcat.org/oclc/861825","WorldCat Record")</f>
        <v>WorldCat Record</v>
      </c>
      <c r="AX4263" s="3" t="s">
        <v>41704</v>
      </c>
      <c r="AY4263" s="3" t="s">
        <v>41705</v>
      </c>
      <c r="AZ4263" s="3" t="s">
        <v>41706</v>
      </c>
      <c r="BA4263" s="3" t="s">
        <v>41706</v>
      </c>
      <c r="BB4263" s="3" t="s">
        <v>41707</v>
      </c>
      <c r="BC4263" s="3" t="s">
        <v>77</v>
      </c>
      <c r="BD4263" s="3" t="s">
        <v>78</v>
      </c>
      <c r="BF4263" s="3" t="s">
        <v>41707</v>
      </c>
      <c r="BG4263" s="3" t="s">
        <v>41708</v>
      </c>
      <c r="BH4263">
        <f t="shared" si="124"/>
        <v>0</v>
      </c>
    </row>
    <row r="4264" spans="1:60" ht="58" x14ac:dyDescent="0.35">
      <c r="A4264" s="2" t="s">
        <v>6202</v>
      </c>
      <c r="B4264" s="2" t="s">
        <v>6203</v>
      </c>
      <c r="C4264" s="2" t="s">
        <v>41698</v>
      </c>
      <c r="D4264" s="2" t="s">
        <v>41699</v>
      </c>
      <c r="E4264" s="2" t="s">
        <v>41700</v>
      </c>
      <c r="F4264" s="3" t="s">
        <v>41709</v>
      </c>
      <c r="G4264" s="3" t="s">
        <v>128</v>
      </c>
      <c r="I4264" s="3" t="s">
        <v>64</v>
      </c>
      <c r="J4264" s="3" t="s">
        <v>64</v>
      </c>
      <c r="K4264" s="3" t="s">
        <v>65</v>
      </c>
      <c r="L4264" s="2" t="s">
        <v>41702</v>
      </c>
      <c r="M4264" s="2" t="s">
        <v>41703</v>
      </c>
      <c r="N4264" s="3" t="s">
        <v>1017</v>
      </c>
      <c r="P4264" s="3" t="s">
        <v>102</v>
      </c>
      <c r="R4264" s="3" t="s">
        <v>70</v>
      </c>
      <c r="S4264" s="4">
        <v>0</v>
      </c>
      <c r="T4264" s="4">
        <v>1</v>
      </c>
      <c r="V4264" s="5" t="s">
        <v>4300</v>
      </c>
      <c r="W4264" s="5" t="s">
        <v>72</v>
      </c>
      <c r="X4264" s="5" t="s">
        <v>72</v>
      </c>
      <c r="Y4264" s="4">
        <v>37</v>
      </c>
      <c r="Z4264" s="4">
        <v>4</v>
      </c>
      <c r="AA4264" s="4">
        <v>13</v>
      </c>
      <c r="AB4264" s="4">
        <v>1</v>
      </c>
      <c r="AC4264" s="4">
        <v>1</v>
      </c>
      <c r="AD4264" s="4">
        <v>13</v>
      </c>
      <c r="AE4264" s="4">
        <v>80</v>
      </c>
      <c r="AF4264" s="4">
        <v>0</v>
      </c>
      <c r="AG4264" s="4">
        <v>0</v>
      </c>
      <c r="AH4264" s="4">
        <v>13</v>
      </c>
      <c r="AI4264" s="4">
        <v>73</v>
      </c>
      <c r="AJ4264" s="4">
        <v>2</v>
      </c>
      <c r="AK4264" s="4">
        <v>8</v>
      </c>
      <c r="AL4264" s="4">
        <v>6</v>
      </c>
      <c r="AM4264" s="4">
        <v>47</v>
      </c>
      <c r="AN4264" s="4">
        <v>0</v>
      </c>
      <c r="AO4264" s="4">
        <v>0</v>
      </c>
      <c r="AP4264" s="4">
        <v>2</v>
      </c>
      <c r="AQ4264" s="4">
        <v>8</v>
      </c>
      <c r="AR4264" s="3" t="s">
        <v>64</v>
      </c>
      <c r="AS4264" s="3" t="s">
        <v>64</v>
      </c>
      <c r="AT4264" s="3" t="s">
        <v>64</v>
      </c>
      <c r="AV4264" s="6" t="str">
        <f>HYPERLINK("http://mcgill.on.worldcat.org/oclc/861825","Catalog Record")</f>
        <v>Catalog Record</v>
      </c>
      <c r="AW4264" s="6" t="str">
        <f>HYPERLINK("http://www.worldcat.org/oclc/861825","WorldCat Record")</f>
        <v>WorldCat Record</v>
      </c>
      <c r="AX4264" s="3" t="s">
        <v>41704</v>
      </c>
      <c r="AY4264" s="3" t="s">
        <v>41705</v>
      </c>
      <c r="AZ4264" s="3" t="s">
        <v>41706</v>
      </c>
      <c r="BA4264" s="3" t="s">
        <v>41706</v>
      </c>
      <c r="BB4264" s="3" t="s">
        <v>41710</v>
      </c>
      <c r="BC4264" s="3" t="s">
        <v>77</v>
      </c>
      <c r="BD4264" s="3" t="s">
        <v>78</v>
      </c>
      <c r="BF4264" s="3" t="s">
        <v>41710</v>
      </c>
      <c r="BG4264" s="3" t="s">
        <v>41711</v>
      </c>
      <c r="BH4264">
        <f t="shared" si="124"/>
        <v>0</v>
      </c>
    </row>
    <row r="4265" spans="1:60" ht="58" x14ac:dyDescent="0.35">
      <c r="A4265" s="2" t="s">
        <v>6202</v>
      </c>
      <c r="B4265" s="2" t="s">
        <v>6203</v>
      </c>
      <c r="C4265" s="2" t="s">
        <v>41698</v>
      </c>
      <c r="D4265" s="2" t="s">
        <v>41699</v>
      </c>
      <c r="E4265" s="2" t="s">
        <v>41700</v>
      </c>
      <c r="F4265" s="3" t="s">
        <v>41712</v>
      </c>
      <c r="G4265" s="3" t="s">
        <v>128</v>
      </c>
      <c r="I4265" s="3" t="s">
        <v>64</v>
      </c>
      <c r="J4265" s="3" t="s">
        <v>64</v>
      </c>
      <c r="K4265" s="3" t="s">
        <v>65</v>
      </c>
      <c r="L4265" s="2" t="s">
        <v>41702</v>
      </c>
      <c r="M4265" s="2" t="s">
        <v>41703</v>
      </c>
      <c r="N4265" s="3" t="s">
        <v>1017</v>
      </c>
      <c r="P4265" s="3" t="s">
        <v>102</v>
      </c>
      <c r="R4265" s="3" t="s">
        <v>70</v>
      </c>
      <c r="S4265" s="4">
        <v>1</v>
      </c>
      <c r="T4265" s="4">
        <v>1</v>
      </c>
      <c r="U4265" s="5" t="s">
        <v>4300</v>
      </c>
      <c r="V4265" s="5" t="s">
        <v>4300</v>
      </c>
      <c r="W4265" s="5" t="s">
        <v>72</v>
      </c>
      <c r="X4265" s="5" t="s">
        <v>72</v>
      </c>
      <c r="Y4265" s="4">
        <v>37</v>
      </c>
      <c r="Z4265" s="4">
        <v>4</v>
      </c>
      <c r="AA4265" s="4">
        <v>13</v>
      </c>
      <c r="AB4265" s="4">
        <v>1</v>
      </c>
      <c r="AC4265" s="4">
        <v>1</v>
      </c>
      <c r="AD4265" s="4">
        <v>13</v>
      </c>
      <c r="AE4265" s="4">
        <v>80</v>
      </c>
      <c r="AF4265" s="4">
        <v>0</v>
      </c>
      <c r="AG4265" s="4">
        <v>0</v>
      </c>
      <c r="AH4265" s="4">
        <v>13</v>
      </c>
      <c r="AI4265" s="4">
        <v>73</v>
      </c>
      <c r="AJ4265" s="4">
        <v>2</v>
      </c>
      <c r="AK4265" s="4">
        <v>8</v>
      </c>
      <c r="AL4265" s="4">
        <v>6</v>
      </c>
      <c r="AM4265" s="4">
        <v>47</v>
      </c>
      <c r="AN4265" s="4">
        <v>0</v>
      </c>
      <c r="AO4265" s="4">
        <v>0</v>
      </c>
      <c r="AP4265" s="4">
        <v>2</v>
      </c>
      <c r="AQ4265" s="4">
        <v>8</v>
      </c>
      <c r="AR4265" s="3" t="s">
        <v>64</v>
      </c>
      <c r="AS4265" s="3" t="s">
        <v>64</v>
      </c>
      <c r="AT4265" s="3" t="s">
        <v>64</v>
      </c>
      <c r="AV4265" s="6" t="str">
        <f>HYPERLINK("http://mcgill.on.worldcat.org/oclc/861825","Catalog Record")</f>
        <v>Catalog Record</v>
      </c>
      <c r="AW4265" s="6" t="str">
        <f>HYPERLINK("http://www.worldcat.org/oclc/861825","WorldCat Record")</f>
        <v>WorldCat Record</v>
      </c>
      <c r="AX4265" s="3" t="s">
        <v>41704</v>
      </c>
      <c r="AY4265" s="3" t="s">
        <v>41705</v>
      </c>
      <c r="AZ4265" s="3" t="s">
        <v>41706</v>
      </c>
      <c r="BA4265" s="3" t="s">
        <v>41706</v>
      </c>
      <c r="BB4265" s="3" t="s">
        <v>41713</v>
      </c>
      <c r="BC4265" s="3" t="s">
        <v>77</v>
      </c>
      <c r="BD4265" s="3" t="s">
        <v>78</v>
      </c>
      <c r="BF4265" s="3" t="s">
        <v>41713</v>
      </c>
      <c r="BG4265" s="3" t="s">
        <v>41714</v>
      </c>
      <c r="BH4265">
        <f t="shared" si="124"/>
        <v>0</v>
      </c>
    </row>
    <row r="4266" spans="1:60" ht="58" x14ac:dyDescent="0.35">
      <c r="A4266" s="2" t="s">
        <v>59</v>
      </c>
      <c r="B4266" s="2" t="s">
        <v>60</v>
      </c>
      <c r="C4266" s="2" t="s">
        <v>41715</v>
      </c>
      <c r="D4266" s="2" t="s">
        <v>41716</v>
      </c>
      <c r="E4266" s="2" t="s">
        <v>41717</v>
      </c>
      <c r="G4266" s="3" t="s">
        <v>64</v>
      </c>
      <c r="I4266" s="3" t="s">
        <v>64</v>
      </c>
      <c r="J4266" s="3" t="s">
        <v>64</v>
      </c>
      <c r="K4266" s="3" t="s">
        <v>65</v>
      </c>
      <c r="L4266" s="2" t="s">
        <v>41718</v>
      </c>
      <c r="M4266" s="2" t="s">
        <v>41719</v>
      </c>
      <c r="N4266" s="3" t="s">
        <v>326</v>
      </c>
      <c r="P4266" s="3" t="s">
        <v>102</v>
      </c>
      <c r="Q4266" s="2" t="s">
        <v>4732</v>
      </c>
      <c r="R4266" s="3" t="s">
        <v>70</v>
      </c>
      <c r="S4266" s="4">
        <v>0</v>
      </c>
      <c r="T4266" s="4">
        <v>0</v>
      </c>
      <c r="W4266" s="5" t="s">
        <v>72</v>
      </c>
      <c r="X4266" s="5" t="s">
        <v>72</v>
      </c>
      <c r="Y4266" s="4">
        <v>79</v>
      </c>
      <c r="Z4266" s="4">
        <v>19</v>
      </c>
      <c r="AA4266" s="4">
        <v>85</v>
      </c>
      <c r="AB4266" s="4">
        <v>1</v>
      </c>
      <c r="AC4266" s="4">
        <v>16</v>
      </c>
      <c r="AD4266" s="4">
        <v>41</v>
      </c>
      <c r="AE4266" s="4">
        <v>113</v>
      </c>
      <c r="AF4266" s="4">
        <v>0</v>
      </c>
      <c r="AG4266" s="4">
        <v>8</v>
      </c>
      <c r="AH4266" s="4">
        <v>32</v>
      </c>
      <c r="AI4266" s="4">
        <v>77</v>
      </c>
      <c r="AJ4266" s="4">
        <v>15</v>
      </c>
      <c r="AK4266" s="4">
        <v>26</v>
      </c>
      <c r="AL4266" s="4">
        <v>21</v>
      </c>
      <c r="AM4266" s="4">
        <v>40</v>
      </c>
      <c r="AN4266" s="4">
        <v>0</v>
      </c>
      <c r="AO4266" s="4">
        <v>0</v>
      </c>
      <c r="AP4266" s="4">
        <v>15</v>
      </c>
      <c r="AQ4266" s="4">
        <v>45</v>
      </c>
      <c r="AR4266" s="3" t="s">
        <v>128</v>
      </c>
      <c r="AS4266" s="3" t="s">
        <v>64</v>
      </c>
      <c r="AT4266" s="3" t="s">
        <v>64</v>
      </c>
      <c r="AV4266" s="6" t="str">
        <f>HYPERLINK("http://mcgill.on.worldcat.org/oclc/701243950","Catalog Record")</f>
        <v>Catalog Record</v>
      </c>
      <c r="AW4266" s="6" t="str">
        <f>HYPERLINK("http://www.worldcat.org/oclc/701243950","WorldCat Record")</f>
        <v>WorldCat Record</v>
      </c>
      <c r="AX4266" s="3" t="s">
        <v>41720</v>
      </c>
      <c r="AY4266" s="3" t="s">
        <v>41721</v>
      </c>
      <c r="AZ4266" s="3" t="s">
        <v>41722</v>
      </c>
      <c r="BA4266" s="3" t="s">
        <v>41722</v>
      </c>
      <c r="BB4266" s="3" t="s">
        <v>41723</v>
      </c>
      <c r="BC4266" s="3" t="s">
        <v>77</v>
      </c>
      <c r="BD4266" s="3" t="s">
        <v>78</v>
      </c>
      <c r="BE4266" s="3" t="s">
        <v>41724</v>
      </c>
      <c r="BF4266" s="3" t="s">
        <v>41723</v>
      </c>
      <c r="BG4266" s="3" t="s">
        <v>41725</v>
      </c>
      <c r="BH4266">
        <f t="shared" si="124"/>
        <v>0</v>
      </c>
    </row>
    <row r="4267" spans="1:60" ht="58" x14ac:dyDescent="0.35">
      <c r="A4267" s="2" t="s">
        <v>59</v>
      </c>
      <c r="B4267" s="2" t="s">
        <v>60</v>
      </c>
      <c r="C4267" s="2" t="s">
        <v>41726</v>
      </c>
      <c r="D4267" s="2" t="s">
        <v>41727</v>
      </c>
      <c r="E4267" s="2" t="s">
        <v>41728</v>
      </c>
      <c r="G4267" s="3" t="s">
        <v>64</v>
      </c>
      <c r="I4267" s="3" t="s">
        <v>64</v>
      </c>
      <c r="J4267" s="3" t="s">
        <v>64</v>
      </c>
      <c r="K4267" s="3" t="s">
        <v>65</v>
      </c>
      <c r="L4267" s="2" t="s">
        <v>41729</v>
      </c>
      <c r="M4267" s="2" t="s">
        <v>41730</v>
      </c>
      <c r="N4267" s="3" t="s">
        <v>1492</v>
      </c>
      <c r="P4267" s="3" t="s">
        <v>102</v>
      </c>
      <c r="Q4267" s="2" t="s">
        <v>4732</v>
      </c>
      <c r="R4267" s="3" t="s">
        <v>70</v>
      </c>
      <c r="S4267" s="4">
        <v>0</v>
      </c>
      <c r="T4267" s="4">
        <v>0</v>
      </c>
      <c r="W4267" s="5" t="s">
        <v>3671</v>
      </c>
      <c r="X4267" s="5" t="s">
        <v>3671</v>
      </c>
      <c r="Y4267" s="4">
        <v>30</v>
      </c>
      <c r="Z4267" s="4">
        <v>6</v>
      </c>
      <c r="AA4267" s="4">
        <v>20</v>
      </c>
      <c r="AB4267" s="4">
        <v>1</v>
      </c>
      <c r="AC4267" s="4">
        <v>8</v>
      </c>
      <c r="AD4267" s="4">
        <v>19</v>
      </c>
      <c r="AE4267" s="4">
        <v>38</v>
      </c>
      <c r="AF4267" s="4">
        <v>0</v>
      </c>
      <c r="AG4267" s="4">
        <v>2</v>
      </c>
      <c r="AH4267" s="4">
        <v>14</v>
      </c>
      <c r="AI4267" s="4">
        <v>29</v>
      </c>
      <c r="AJ4267" s="4">
        <v>5</v>
      </c>
      <c r="AK4267" s="4">
        <v>11</v>
      </c>
      <c r="AL4267" s="4">
        <v>12</v>
      </c>
      <c r="AM4267" s="4">
        <v>20</v>
      </c>
      <c r="AN4267" s="4">
        <v>0</v>
      </c>
      <c r="AO4267" s="4">
        <v>0</v>
      </c>
      <c r="AP4267" s="4">
        <v>4</v>
      </c>
      <c r="AQ4267" s="4">
        <v>12</v>
      </c>
      <c r="AR4267" s="3" t="s">
        <v>128</v>
      </c>
      <c r="AS4267" s="3" t="s">
        <v>64</v>
      </c>
      <c r="AT4267" s="3" t="s">
        <v>64</v>
      </c>
      <c r="AV4267" s="6" t="str">
        <f>HYPERLINK("http://mcgill.on.worldcat.org/oclc/1065721560","Catalog Record")</f>
        <v>Catalog Record</v>
      </c>
      <c r="AW4267" s="6" t="str">
        <f>HYPERLINK("http://www.worldcat.org/oclc/1065721560","WorldCat Record")</f>
        <v>WorldCat Record</v>
      </c>
      <c r="AX4267" s="3" t="s">
        <v>41731</v>
      </c>
      <c r="AY4267" s="3" t="s">
        <v>41732</v>
      </c>
      <c r="AZ4267" s="3" t="s">
        <v>41733</v>
      </c>
      <c r="BA4267" s="3" t="s">
        <v>41733</v>
      </c>
      <c r="BB4267" s="3" t="s">
        <v>41734</v>
      </c>
      <c r="BC4267" s="3" t="s">
        <v>77</v>
      </c>
      <c r="BD4267" s="3" t="s">
        <v>78</v>
      </c>
      <c r="BE4267" s="3" t="s">
        <v>41735</v>
      </c>
      <c r="BF4267" s="3" t="s">
        <v>41734</v>
      </c>
      <c r="BG4267" s="3" t="s">
        <v>41736</v>
      </c>
      <c r="BH4267">
        <f t="shared" si="124"/>
        <v>0</v>
      </c>
    </row>
    <row r="4268" spans="1:60" ht="58" x14ac:dyDescent="0.35">
      <c r="A4268" s="2" t="s">
        <v>59</v>
      </c>
      <c r="B4268" s="2" t="s">
        <v>60</v>
      </c>
      <c r="C4268" s="2" t="s">
        <v>41737</v>
      </c>
      <c r="D4268" s="2" t="s">
        <v>41738</v>
      </c>
      <c r="E4268" s="2" t="s">
        <v>41739</v>
      </c>
      <c r="G4268" s="3" t="s">
        <v>64</v>
      </c>
      <c r="I4268" s="3" t="s">
        <v>64</v>
      </c>
      <c r="J4268" s="3" t="s">
        <v>64</v>
      </c>
      <c r="K4268" s="3" t="s">
        <v>65</v>
      </c>
      <c r="L4268" s="2" t="s">
        <v>41740</v>
      </c>
      <c r="M4268" s="2" t="s">
        <v>41741</v>
      </c>
      <c r="N4268" s="3" t="s">
        <v>551</v>
      </c>
      <c r="P4268" s="3" t="s">
        <v>68</v>
      </c>
      <c r="Q4268" s="2" t="s">
        <v>41742</v>
      </c>
      <c r="R4268" s="3" t="s">
        <v>70</v>
      </c>
      <c r="S4268" s="4">
        <v>7</v>
      </c>
      <c r="T4268" s="4">
        <v>7</v>
      </c>
      <c r="U4268" s="5" t="s">
        <v>14080</v>
      </c>
      <c r="V4268" s="5" t="s">
        <v>14080</v>
      </c>
      <c r="W4268" s="5" t="s">
        <v>72</v>
      </c>
      <c r="X4268" s="5" t="s">
        <v>72</v>
      </c>
      <c r="Y4268" s="4">
        <v>29</v>
      </c>
      <c r="Z4268" s="4">
        <v>2</v>
      </c>
      <c r="AA4268" s="4">
        <v>4</v>
      </c>
      <c r="AB4268" s="4">
        <v>1</v>
      </c>
      <c r="AC4268" s="4">
        <v>1</v>
      </c>
      <c r="AD4268" s="4">
        <v>12</v>
      </c>
      <c r="AE4268" s="4">
        <v>13</v>
      </c>
      <c r="AF4268" s="4">
        <v>0</v>
      </c>
      <c r="AG4268" s="4">
        <v>0</v>
      </c>
      <c r="AH4268" s="4">
        <v>11</v>
      </c>
      <c r="AI4268" s="4">
        <v>12</v>
      </c>
      <c r="AJ4268" s="4">
        <v>1</v>
      </c>
      <c r="AK4268" s="4">
        <v>2</v>
      </c>
      <c r="AL4268" s="4">
        <v>11</v>
      </c>
      <c r="AM4268" s="4">
        <v>12</v>
      </c>
      <c r="AN4268" s="4">
        <v>0</v>
      </c>
      <c r="AO4268" s="4">
        <v>0</v>
      </c>
      <c r="AP4268" s="4">
        <v>1</v>
      </c>
      <c r="AQ4268" s="4">
        <v>2</v>
      </c>
      <c r="AR4268" s="3" t="s">
        <v>64</v>
      </c>
      <c r="AS4268" s="3" t="s">
        <v>64</v>
      </c>
      <c r="AT4268" s="3" t="s">
        <v>64</v>
      </c>
      <c r="AV4268" s="6" t="str">
        <f>HYPERLINK("http://mcgill.on.worldcat.org/oclc/421806605","Catalog Record")</f>
        <v>Catalog Record</v>
      </c>
      <c r="AW4268" s="6" t="str">
        <f>HYPERLINK("http://www.worldcat.org/oclc/421806605","WorldCat Record")</f>
        <v>WorldCat Record</v>
      </c>
      <c r="AX4268" s="3" t="s">
        <v>41743</v>
      </c>
      <c r="AY4268" s="3" t="s">
        <v>41744</v>
      </c>
      <c r="AZ4268" s="3" t="s">
        <v>41745</v>
      </c>
      <c r="BA4268" s="3" t="s">
        <v>41745</v>
      </c>
      <c r="BB4268" s="3" t="s">
        <v>41746</v>
      </c>
      <c r="BC4268" s="3" t="s">
        <v>77</v>
      </c>
      <c r="BD4268" s="3" t="s">
        <v>165</v>
      </c>
      <c r="BE4268" s="3" t="s">
        <v>41747</v>
      </c>
      <c r="BF4268" s="3" t="s">
        <v>41746</v>
      </c>
      <c r="BG4268" s="3" t="s">
        <v>41748</v>
      </c>
      <c r="BH4268">
        <f t="shared" si="124"/>
        <v>0</v>
      </c>
    </row>
    <row r="4269" spans="1:60" ht="58" x14ac:dyDescent="0.35">
      <c r="A4269" s="2" t="s">
        <v>59</v>
      </c>
      <c r="B4269" s="2" t="s">
        <v>60</v>
      </c>
      <c r="C4269" s="2" t="s">
        <v>41749</v>
      </c>
      <c r="D4269" s="2" t="s">
        <v>41750</v>
      </c>
      <c r="E4269" s="2" t="s">
        <v>41751</v>
      </c>
      <c r="G4269" s="3" t="s">
        <v>64</v>
      </c>
      <c r="I4269" s="3" t="s">
        <v>64</v>
      </c>
      <c r="J4269" s="3" t="s">
        <v>64</v>
      </c>
      <c r="K4269" s="3" t="s">
        <v>65</v>
      </c>
      <c r="L4269" s="2" t="s">
        <v>41752</v>
      </c>
      <c r="M4269" s="2" t="s">
        <v>41753</v>
      </c>
      <c r="N4269" s="3" t="s">
        <v>1275</v>
      </c>
      <c r="P4269" s="3" t="s">
        <v>68</v>
      </c>
      <c r="Q4269" s="2" t="s">
        <v>41754</v>
      </c>
      <c r="R4269" s="3" t="s">
        <v>70</v>
      </c>
      <c r="S4269" s="4">
        <v>1</v>
      </c>
      <c r="T4269" s="4">
        <v>1</v>
      </c>
      <c r="U4269" s="5" t="s">
        <v>18333</v>
      </c>
      <c r="V4269" s="5" t="s">
        <v>18333</v>
      </c>
      <c r="W4269" s="5" t="s">
        <v>72</v>
      </c>
      <c r="X4269" s="5" t="s">
        <v>72</v>
      </c>
      <c r="Y4269" s="4">
        <v>11</v>
      </c>
      <c r="Z4269" s="4">
        <v>1</v>
      </c>
      <c r="AA4269" s="4">
        <v>7</v>
      </c>
      <c r="AB4269" s="4">
        <v>1</v>
      </c>
      <c r="AC4269" s="4">
        <v>4</v>
      </c>
      <c r="AD4269" s="4">
        <v>4</v>
      </c>
      <c r="AE4269" s="4">
        <v>9</v>
      </c>
      <c r="AF4269" s="4">
        <v>0</v>
      </c>
      <c r="AG4269" s="4">
        <v>3</v>
      </c>
      <c r="AH4269" s="4">
        <v>3</v>
      </c>
      <c r="AI4269" s="4">
        <v>5</v>
      </c>
      <c r="AJ4269" s="4">
        <v>0</v>
      </c>
      <c r="AK4269" s="4">
        <v>4</v>
      </c>
      <c r="AL4269" s="4">
        <v>4</v>
      </c>
      <c r="AM4269" s="4">
        <v>4</v>
      </c>
      <c r="AN4269" s="4">
        <v>0</v>
      </c>
      <c r="AO4269" s="4">
        <v>0</v>
      </c>
      <c r="AP4269" s="4">
        <v>0</v>
      </c>
      <c r="AQ4269" s="4">
        <v>4</v>
      </c>
      <c r="AR4269" s="3" t="s">
        <v>64</v>
      </c>
      <c r="AS4269" s="3" t="s">
        <v>64</v>
      </c>
      <c r="AT4269" s="3" t="s">
        <v>64</v>
      </c>
      <c r="AV4269" s="6" t="str">
        <f>HYPERLINK("http://mcgill.on.worldcat.org/oclc/57765883","Catalog Record")</f>
        <v>Catalog Record</v>
      </c>
      <c r="AW4269" s="6" t="str">
        <f>HYPERLINK("http://www.worldcat.org/oclc/57765883","WorldCat Record")</f>
        <v>WorldCat Record</v>
      </c>
      <c r="AX4269" s="3" t="s">
        <v>41755</v>
      </c>
      <c r="AY4269" s="3" t="s">
        <v>41756</v>
      </c>
      <c r="AZ4269" s="3" t="s">
        <v>41757</v>
      </c>
      <c r="BA4269" s="3" t="s">
        <v>41757</v>
      </c>
      <c r="BB4269" s="3" t="s">
        <v>41758</v>
      </c>
      <c r="BC4269" s="3" t="s">
        <v>77</v>
      </c>
      <c r="BD4269" s="3" t="s">
        <v>78</v>
      </c>
      <c r="BE4269" s="3" t="s">
        <v>41759</v>
      </c>
      <c r="BF4269" s="3" t="s">
        <v>41758</v>
      </c>
      <c r="BG4269" s="3" t="s">
        <v>41760</v>
      </c>
      <c r="BH4269">
        <f t="shared" si="124"/>
        <v>0</v>
      </c>
    </row>
    <row r="4270" spans="1:60" ht="58" x14ac:dyDescent="0.35">
      <c r="A4270" s="2" t="s">
        <v>59</v>
      </c>
      <c r="B4270" s="2" t="s">
        <v>60</v>
      </c>
      <c r="C4270" s="2" t="s">
        <v>41761</v>
      </c>
      <c r="D4270" s="2" t="s">
        <v>41762</v>
      </c>
      <c r="E4270" s="2" t="s">
        <v>41763</v>
      </c>
      <c r="G4270" s="3" t="s">
        <v>64</v>
      </c>
      <c r="I4270" s="3" t="s">
        <v>64</v>
      </c>
      <c r="J4270" s="3" t="s">
        <v>64</v>
      </c>
      <c r="K4270" s="3" t="s">
        <v>65</v>
      </c>
      <c r="L4270" s="2" t="s">
        <v>41764</v>
      </c>
      <c r="M4270" s="2" t="s">
        <v>41765</v>
      </c>
      <c r="N4270" s="3" t="s">
        <v>392</v>
      </c>
      <c r="P4270" s="3" t="s">
        <v>102</v>
      </c>
      <c r="Q4270" s="2" t="s">
        <v>41766</v>
      </c>
      <c r="R4270" s="3" t="s">
        <v>70</v>
      </c>
      <c r="S4270" s="4">
        <v>1</v>
      </c>
      <c r="T4270" s="4">
        <v>1</v>
      </c>
      <c r="U4270" s="5" t="s">
        <v>20413</v>
      </c>
      <c r="V4270" s="5" t="s">
        <v>20413</v>
      </c>
      <c r="W4270" s="5" t="s">
        <v>72</v>
      </c>
      <c r="X4270" s="5" t="s">
        <v>72</v>
      </c>
      <c r="Y4270" s="4">
        <v>133</v>
      </c>
      <c r="Z4270" s="4">
        <v>8</v>
      </c>
      <c r="AA4270" s="4">
        <v>8</v>
      </c>
      <c r="AB4270" s="4">
        <v>1</v>
      </c>
      <c r="AC4270" s="4">
        <v>1</v>
      </c>
      <c r="AD4270" s="4">
        <v>55</v>
      </c>
      <c r="AE4270" s="4">
        <v>55</v>
      </c>
      <c r="AF4270" s="4">
        <v>0</v>
      </c>
      <c r="AG4270" s="4">
        <v>0</v>
      </c>
      <c r="AH4270" s="4">
        <v>52</v>
      </c>
      <c r="AI4270" s="4">
        <v>52</v>
      </c>
      <c r="AJ4270" s="4">
        <v>6</v>
      </c>
      <c r="AK4270" s="4">
        <v>6</v>
      </c>
      <c r="AL4270" s="4">
        <v>35</v>
      </c>
      <c r="AM4270" s="4">
        <v>35</v>
      </c>
      <c r="AN4270" s="4">
        <v>0</v>
      </c>
      <c r="AO4270" s="4">
        <v>0</v>
      </c>
      <c r="AP4270" s="4">
        <v>6</v>
      </c>
      <c r="AQ4270" s="4">
        <v>6</v>
      </c>
      <c r="AR4270" s="3" t="s">
        <v>64</v>
      </c>
      <c r="AS4270" s="3" t="s">
        <v>64</v>
      </c>
      <c r="AT4270" s="3" t="s">
        <v>64</v>
      </c>
      <c r="AV4270" s="6" t="str">
        <f>HYPERLINK("http://mcgill.on.worldcat.org/oclc/40534892","Catalog Record")</f>
        <v>Catalog Record</v>
      </c>
      <c r="AW4270" s="6" t="str">
        <f>HYPERLINK("http://www.worldcat.org/oclc/40534892","WorldCat Record")</f>
        <v>WorldCat Record</v>
      </c>
      <c r="AX4270" s="3" t="s">
        <v>41767</v>
      </c>
      <c r="AY4270" s="3" t="s">
        <v>41768</v>
      </c>
      <c r="AZ4270" s="3" t="s">
        <v>41769</v>
      </c>
      <c r="BA4270" s="3" t="s">
        <v>41769</v>
      </c>
      <c r="BB4270" s="3" t="s">
        <v>41770</v>
      </c>
      <c r="BC4270" s="3" t="s">
        <v>77</v>
      </c>
      <c r="BD4270" s="3" t="s">
        <v>78</v>
      </c>
      <c r="BE4270" s="3" t="s">
        <v>41771</v>
      </c>
      <c r="BF4270" s="3" t="s">
        <v>41770</v>
      </c>
      <c r="BG4270" s="3" t="s">
        <v>41772</v>
      </c>
      <c r="BH4270">
        <f t="shared" si="124"/>
        <v>0</v>
      </c>
    </row>
    <row r="4271" spans="1:60" ht="58" x14ac:dyDescent="0.35">
      <c r="A4271" s="2" t="s">
        <v>6202</v>
      </c>
      <c r="B4271" s="2" t="s">
        <v>6203</v>
      </c>
      <c r="C4271" s="2" t="s">
        <v>41773</v>
      </c>
      <c r="D4271" s="2" t="s">
        <v>41774</v>
      </c>
      <c r="E4271" s="2" t="s">
        <v>41775</v>
      </c>
      <c r="G4271" s="3" t="s">
        <v>64</v>
      </c>
      <c r="I4271" s="3" t="s">
        <v>64</v>
      </c>
      <c r="J4271" s="3" t="s">
        <v>64</v>
      </c>
      <c r="K4271" s="3" t="s">
        <v>65</v>
      </c>
      <c r="L4271" s="2" t="s">
        <v>41776</v>
      </c>
      <c r="M4271" s="2" t="s">
        <v>41777</v>
      </c>
      <c r="N4271" s="3" t="s">
        <v>3721</v>
      </c>
      <c r="P4271" s="3" t="s">
        <v>102</v>
      </c>
      <c r="Q4271" s="2" t="s">
        <v>41778</v>
      </c>
      <c r="R4271" s="3" t="s">
        <v>70</v>
      </c>
      <c r="S4271" s="4">
        <v>2</v>
      </c>
      <c r="T4271" s="4">
        <v>2</v>
      </c>
      <c r="U4271" s="5" t="s">
        <v>8944</v>
      </c>
      <c r="V4271" s="5" t="s">
        <v>8944</v>
      </c>
      <c r="W4271" s="5" t="s">
        <v>72</v>
      </c>
      <c r="X4271" s="5" t="s">
        <v>72</v>
      </c>
      <c r="Y4271" s="4">
        <v>243</v>
      </c>
      <c r="Z4271" s="4">
        <v>12</v>
      </c>
      <c r="AA4271" s="4">
        <v>13</v>
      </c>
      <c r="AB4271" s="4">
        <v>2</v>
      </c>
      <c r="AC4271" s="4">
        <v>3</v>
      </c>
      <c r="AD4271" s="4">
        <v>88</v>
      </c>
      <c r="AE4271" s="4">
        <v>89</v>
      </c>
      <c r="AF4271" s="4">
        <v>0</v>
      </c>
      <c r="AG4271" s="4">
        <v>1</v>
      </c>
      <c r="AH4271" s="4">
        <v>84</v>
      </c>
      <c r="AI4271" s="4">
        <v>84</v>
      </c>
      <c r="AJ4271" s="4">
        <v>7</v>
      </c>
      <c r="AK4271" s="4">
        <v>8</v>
      </c>
      <c r="AL4271" s="4">
        <v>52</v>
      </c>
      <c r="AM4271" s="4">
        <v>52</v>
      </c>
      <c r="AN4271" s="4">
        <v>0</v>
      </c>
      <c r="AO4271" s="4">
        <v>0</v>
      </c>
      <c r="AP4271" s="4">
        <v>7</v>
      </c>
      <c r="AQ4271" s="4">
        <v>7</v>
      </c>
      <c r="AR4271" s="3" t="s">
        <v>64</v>
      </c>
      <c r="AS4271" s="3" t="s">
        <v>64</v>
      </c>
      <c r="AT4271" s="3" t="s">
        <v>64</v>
      </c>
      <c r="AV4271" s="6" t="str">
        <f>HYPERLINK("http://mcgill.on.worldcat.org/oclc/5355831","Catalog Record")</f>
        <v>Catalog Record</v>
      </c>
      <c r="AW4271" s="6" t="str">
        <f>HYPERLINK("http://www.worldcat.org/oclc/5355831","WorldCat Record")</f>
        <v>WorldCat Record</v>
      </c>
      <c r="AX4271" s="3" t="s">
        <v>41779</v>
      </c>
      <c r="AY4271" s="3" t="s">
        <v>41780</v>
      </c>
      <c r="AZ4271" s="3" t="s">
        <v>41781</v>
      </c>
      <c r="BA4271" s="3" t="s">
        <v>41781</v>
      </c>
      <c r="BB4271" s="3" t="s">
        <v>41782</v>
      </c>
      <c r="BC4271" s="3" t="s">
        <v>77</v>
      </c>
      <c r="BD4271" s="3" t="s">
        <v>78</v>
      </c>
      <c r="BE4271" s="3" t="s">
        <v>41783</v>
      </c>
      <c r="BF4271" s="3" t="s">
        <v>41782</v>
      </c>
      <c r="BG4271" s="3" t="s">
        <v>41784</v>
      </c>
      <c r="BH4271">
        <f t="shared" si="124"/>
        <v>0</v>
      </c>
    </row>
    <row r="4272" spans="1:60" ht="58" x14ac:dyDescent="0.35">
      <c r="A4272" s="2" t="s">
        <v>6202</v>
      </c>
      <c r="B4272" s="2" t="s">
        <v>6203</v>
      </c>
      <c r="C4272" s="2" t="s">
        <v>41785</v>
      </c>
      <c r="D4272" s="2" t="s">
        <v>41786</v>
      </c>
      <c r="E4272" s="2" t="s">
        <v>41787</v>
      </c>
      <c r="G4272" s="3" t="s">
        <v>64</v>
      </c>
      <c r="I4272" s="3" t="s">
        <v>64</v>
      </c>
      <c r="J4272" s="3" t="s">
        <v>64</v>
      </c>
      <c r="K4272" s="3" t="s">
        <v>65</v>
      </c>
      <c r="L4272" s="2" t="s">
        <v>41788</v>
      </c>
      <c r="M4272" s="2" t="s">
        <v>41789</v>
      </c>
      <c r="N4272" s="3" t="s">
        <v>1763</v>
      </c>
      <c r="P4272" s="3" t="s">
        <v>68</v>
      </c>
      <c r="Q4272" s="2" t="s">
        <v>41790</v>
      </c>
      <c r="R4272" s="3" t="s">
        <v>70</v>
      </c>
      <c r="S4272" s="4">
        <v>2</v>
      </c>
      <c r="T4272" s="4">
        <v>2</v>
      </c>
      <c r="U4272" s="5" t="s">
        <v>20038</v>
      </c>
      <c r="V4272" s="5" t="s">
        <v>20038</v>
      </c>
      <c r="W4272" s="5" t="s">
        <v>72</v>
      </c>
      <c r="X4272" s="5" t="s">
        <v>72</v>
      </c>
      <c r="Y4272" s="4">
        <v>124</v>
      </c>
      <c r="Z4272" s="4">
        <v>9</v>
      </c>
      <c r="AA4272" s="4">
        <v>11</v>
      </c>
      <c r="AB4272" s="4">
        <v>1</v>
      </c>
      <c r="AC4272" s="4">
        <v>3</v>
      </c>
      <c r="AD4272" s="4">
        <v>57</v>
      </c>
      <c r="AE4272" s="4">
        <v>58</v>
      </c>
      <c r="AF4272" s="4">
        <v>0</v>
      </c>
      <c r="AG4272" s="4">
        <v>1</v>
      </c>
      <c r="AH4272" s="4">
        <v>53</v>
      </c>
      <c r="AI4272" s="4">
        <v>53</v>
      </c>
      <c r="AJ4272" s="4">
        <v>5</v>
      </c>
      <c r="AK4272" s="4">
        <v>6</v>
      </c>
      <c r="AL4272" s="4">
        <v>38</v>
      </c>
      <c r="AM4272" s="4">
        <v>38</v>
      </c>
      <c r="AN4272" s="4">
        <v>0</v>
      </c>
      <c r="AO4272" s="4">
        <v>0</v>
      </c>
      <c r="AP4272" s="4">
        <v>5</v>
      </c>
      <c r="AQ4272" s="4">
        <v>5</v>
      </c>
      <c r="AR4272" s="3" t="s">
        <v>64</v>
      </c>
      <c r="AS4272" s="3" t="s">
        <v>64</v>
      </c>
      <c r="AT4272" s="3" t="s">
        <v>128</v>
      </c>
      <c r="AU4272" s="6" t="str">
        <f>HYPERLINK("http://catalog.hathitrust.org/Record/000435335","HathiTrust Record")</f>
        <v>HathiTrust Record</v>
      </c>
      <c r="AV4272" s="6" t="str">
        <f>HYPERLINK("http://mcgill.on.worldcat.org/oclc/11311878","Catalog Record")</f>
        <v>Catalog Record</v>
      </c>
      <c r="AW4272" s="6" t="str">
        <f>HYPERLINK("http://www.worldcat.org/oclc/11311878","WorldCat Record")</f>
        <v>WorldCat Record</v>
      </c>
      <c r="AX4272" s="3" t="s">
        <v>41791</v>
      </c>
      <c r="AY4272" s="3" t="s">
        <v>41792</v>
      </c>
      <c r="AZ4272" s="3" t="s">
        <v>41793</v>
      </c>
      <c r="BA4272" s="3" t="s">
        <v>41793</v>
      </c>
      <c r="BB4272" s="3" t="s">
        <v>41794</v>
      </c>
      <c r="BC4272" s="3" t="s">
        <v>77</v>
      </c>
      <c r="BD4272" s="3" t="s">
        <v>78</v>
      </c>
      <c r="BE4272" s="3" t="s">
        <v>41795</v>
      </c>
      <c r="BF4272" s="3" t="s">
        <v>41794</v>
      </c>
      <c r="BG4272" s="3" t="s">
        <v>41796</v>
      </c>
      <c r="BH4272">
        <f t="shared" si="124"/>
        <v>0</v>
      </c>
    </row>
    <row r="4273" spans="1:60" ht="58" x14ac:dyDescent="0.35">
      <c r="A4273" s="2" t="s">
        <v>59</v>
      </c>
      <c r="B4273" s="2" t="s">
        <v>60</v>
      </c>
      <c r="C4273" s="2" t="s">
        <v>41797</v>
      </c>
      <c r="D4273" s="2" t="s">
        <v>41798</v>
      </c>
      <c r="E4273" s="2" t="s">
        <v>41799</v>
      </c>
      <c r="G4273" s="3" t="s">
        <v>64</v>
      </c>
      <c r="I4273" s="3" t="s">
        <v>64</v>
      </c>
      <c r="J4273" s="3" t="s">
        <v>64</v>
      </c>
      <c r="K4273" s="3" t="s">
        <v>65</v>
      </c>
      <c r="L4273" s="2" t="s">
        <v>41800</v>
      </c>
      <c r="M4273" s="2" t="s">
        <v>41801</v>
      </c>
      <c r="N4273" s="3" t="s">
        <v>326</v>
      </c>
      <c r="O4273" s="2" t="s">
        <v>41802</v>
      </c>
      <c r="P4273" s="3" t="s">
        <v>365</v>
      </c>
      <c r="R4273" s="3" t="s">
        <v>70</v>
      </c>
      <c r="S4273" s="4">
        <v>0</v>
      </c>
      <c r="T4273" s="4">
        <v>0</v>
      </c>
      <c r="W4273" s="5" t="s">
        <v>72</v>
      </c>
      <c r="X4273" s="5" t="s">
        <v>72</v>
      </c>
      <c r="Y4273" s="4">
        <v>10</v>
      </c>
      <c r="Z4273" s="4">
        <v>1</v>
      </c>
      <c r="AA4273" s="4">
        <v>1</v>
      </c>
      <c r="AB4273" s="4">
        <v>1</v>
      </c>
      <c r="AC4273" s="4">
        <v>1</v>
      </c>
      <c r="AD4273" s="4">
        <v>5</v>
      </c>
      <c r="AE4273" s="4">
        <v>18</v>
      </c>
      <c r="AF4273" s="4">
        <v>0</v>
      </c>
      <c r="AG4273" s="4">
        <v>0</v>
      </c>
      <c r="AH4273" s="4">
        <v>5</v>
      </c>
      <c r="AI4273" s="4">
        <v>16</v>
      </c>
      <c r="AJ4273" s="4">
        <v>0</v>
      </c>
      <c r="AK4273" s="4">
        <v>0</v>
      </c>
      <c r="AL4273" s="4">
        <v>4</v>
      </c>
      <c r="AM4273" s="4">
        <v>14</v>
      </c>
      <c r="AN4273" s="4">
        <v>0</v>
      </c>
      <c r="AO4273" s="4">
        <v>0</v>
      </c>
      <c r="AP4273" s="4">
        <v>0</v>
      </c>
      <c r="AQ4273" s="4">
        <v>0</v>
      </c>
      <c r="AR4273" s="3" t="s">
        <v>64</v>
      </c>
      <c r="AS4273" s="3" t="s">
        <v>64</v>
      </c>
      <c r="AT4273" s="3" t="s">
        <v>64</v>
      </c>
      <c r="AV4273" s="6" t="str">
        <f>HYPERLINK("http://mcgill.on.worldcat.org/oclc/785335382","Catalog Record")</f>
        <v>Catalog Record</v>
      </c>
      <c r="AW4273" s="6" t="str">
        <f>HYPERLINK("http://www.worldcat.org/oclc/785335382","WorldCat Record")</f>
        <v>WorldCat Record</v>
      </c>
      <c r="AX4273" s="3" t="s">
        <v>41803</v>
      </c>
      <c r="AY4273" s="3" t="s">
        <v>41804</v>
      </c>
      <c r="AZ4273" s="3" t="s">
        <v>41805</v>
      </c>
      <c r="BA4273" s="3" t="s">
        <v>41805</v>
      </c>
      <c r="BB4273" s="3" t="s">
        <v>41806</v>
      </c>
      <c r="BC4273" s="3" t="s">
        <v>77</v>
      </c>
      <c r="BD4273" s="3" t="s">
        <v>78</v>
      </c>
      <c r="BF4273" s="3" t="s">
        <v>41806</v>
      </c>
      <c r="BG4273" s="3" t="s">
        <v>41807</v>
      </c>
      <c r="BH4273">
        <f t="shared" si="124"/>
        <v>0</v>
      </c>
    </row>
    <row r="4274" spans="1:60" ht="58" x14ac:dyDescent="0.35">
      <c r="A4274" s="2" t="s">
        <v>59</v>
      </c>
      <c r="B4274" s="2" t="s">
        <v>60</v>
      </c>
      <c r="C4274" s="2" t="s">
        <v>41808</v>
      </c>
      <c r="D4274" s="2" t="s">
        <v>41809</v>
      </c>
      <c r="E4274" s="2" t="s">
        <v>41810</v>
      </c>
      <c r="G4274" s="3" t="s">
        <v>64</v>
      </c>
      <c r="I4274" s="3" t="s">
        <v>64</v>
      </c>
      <c r="J4274" s="3" t="s">
        <v>64</v>
      </c>
      <c r="K4274" s="3" t="s">
        <v>65</v>
      </c>
      <c r="L4274" s="2" t="s">
        <v>41811</v>
      </c>
      <c r="M4274" s="2" t="s">
        <v>41812</v>
      </c>
      <c r="N4274" s="3" t="s">
        <v>326</v>
      </c>
      <c r="P4274" s="3" t="s">
        <v>102</v>
      </c>
      <c r="R4274" s="3" t="s">
        <v>70</v>
      </c>
      <c r="S4274" s="4">
        <v>0</v>
      </c>
      <c r="T4274" s="4">
        <v>0</v>
      </c>
      <c r="W4274" s="5" t="s">
        <v>72</v>
      </c>
      <c r="X4274" s="5" t="s">
        <v>72</v>
      </c>
      <c r="Y4274" s="4">
        <v>19</v>
      </c>
      <c r="Z4274" s="4">
        <v>3</v>
      </c>
      <c r="AA4274" s="4">
        <v>3</v>
      </c>
      <c r="AB4274" s="4">
        <v>1</v>
      </c>
      <c r="AC4274" s="4">
        <v>1</v>
      </c>
      <c r="AD4274" s="4">
        <v>10</v>
      </c>
      <c r="AE4274" s="4">
        <v>10</v>
      </c>
      <c r="AF4274" s="4">
        <v>0</v>
      </c>
      <c r="AG4274" s="4">
        <v>0</v>
      </c>
      <c r="AH4274" s="4">
        <v>9</v>
      </c>
      <c r="AI4274" s="4">
        <v>9</v>
      </c>
      <c r="AJ4274" s="4">
        <v>2</v>
      </c>
      <c r="AK4274" s="4">
        <v>2</v>
      </c>
      <c r="AL4274" s="4">
        <v>6</v>
      </c>
      <c r="AM4274" s="4">
        <v>6</v>
      </c>
      <c r="AN4274" s="4">
        <v>0</v>
      </c>
      <c r="AO4274" s="4">
        <v>0</v>
      </c>
      <c r="AP4274" s="4">
        <v>2</v>
      </c>
      <c r="AQ4274" s="4">
        <v>2</v>
      </c>
      <c r="AR4274" s="3" t="s">
        <v>64</v>
      </c>
      <c r="AS4274" s="3" t="s">
        <v>64</v>
      </c>
      <c r="AT4274" s="3" t="s">
        <v>64</v>
      </c>
      <c r="AV4274" s="6" t="str">
        <f>HYPERLINK("http://mcgill.on.worldcat.org/oclc/769185618","Catalog Record")</f>
        <v>Catalog Record</v>
      </c>
      <c r="AW4274" s="6" t="str">
        <f>HYPERLINK("http://www.worldcat.org/oclc/769185618","WorldCat Record")</f>
        <v>WorldCat Record</v>
      </c>
      <c r="AX4274" s="3" t="s">
        <v>41813</v>
      </c>
      <c r="AY4274" s="3" t="s">
        <v>41814</v>
      </c>
      <c r="AZ4274" s="3" t="s">
        <v>41815</v>
      </c>
      <c r="BA4274" s="3" t="s">
        <v>41815</v>
      </c>
      <c r="BB4274" s="3" t="s">
        <v>41816</v>
      </c>
      <c r="BC4274" s="3" t="s">
        <v>77</v>
      </c>
      <c r="BD4274" s="3" t="s">
        <v>78</v>
      </c>
      <c r="BE4274" s="3" t="s">
        <v>41817</v>
      </c>
      <c r="BF4274" s="3" t="s">
        <v>41816</v>
      </c>
      <c r="BG4274" s="3" t="s">
        <v>41818</v>
      </c>
      <c r="BH4274">
        <f t="shared" si="124"/>
        <v>0</v>
      </c>
    </row>
    <row r="4275" spans="1:60" ht="58" x14ac:dyDescent="0.35">
      <c r="A4275" s="2" t="s">
        <v>6202</v>
      </c>
      <c r="B4275" s="2" t="s">
        <v>6203</v>
      </c>
      <c r="C4275" s="2" t="s">
        <v>41819</v>
      </c>
      <c r="D4275" s="2" t="s">
        <v>41820</v>
      </c>
      <c r="E4275" s="2" t="s">
        <v>41821</v>
      </c>
      <c r="F4275" s="3" t="s">
        <v>525</v>
      </c>
      <c r="G4275" s="3" t="s">
        <v>128</v>
      </c>
      <c r="I4275" s="3" t="s">
        <v>64</v>
      </c>
      <c r="J4275" s="3" t="s">
        <v>64</v>
      </c>
      <c r="K4275" s="3" t="s">
        <v>65</v>
      </c>
      <c r="M4275" s="2" t="s">
        <v>1225</v>
      </c>
      <c r="N4275" s="3" t="s">
        <v>326</v>
      </c>
      <c r="P4275" s="3" t="s">
        <v>102</v>
      </c>
      <c r="R4275" s="3" t="s">
        <v>70</v>
      </c>
      <c r="S4275" s="4">
        <v>0</v>
      </c>
      <c r="T4275" s="4">
        <v>0</v>
      </c>
      <c r="W4275" s="5" t="s">
        <v>72</v>
      </c>
      <c r="X4275" s="5" t="s">
        <v>72</v>
      </c>
      <c r="Y4275" s="4">
        <v>59</v>
      </c>
      <c r="Z4275" s="4">
        <v>6</v>
      </c>
      <c r="AA4275" s="4">
        <v>83</v>
      </c>
      <c r="AB4275" s="4">
        <v>1</v>
      </c>
      <c r="AC4275" s="4">
        <v>17</v>
      </c>
      <c r="AD4275" s="4">
        <v>24</v>
      </c>
      <c r="AE4275" s="4">
        <v>89</v>
      </c>
      <c r="AF4275" s="4">
        <v>0</v>
      </c>
      <c r="AG4275" s="4">
        <v>8</v>
      </c>
      <c r="AH4275" s="4">
        <v>23</v>
      </c>
      <c r="AI4275" s="4">
        <v>58</v>
      </c>
      <c r="AJ4275" s="4">
        <v>3</v>
      </c>
      <c r="AK4275" s="4">
        <v>17</v>
      </c>
      <c r="AL4275" s="4">
        <v>17</v>
      </c>
      <c r="AM4275" s="4">
        <v>31</v>
      </c>
      <c r="AN4275" s="4">
        <v>0</v>
      </c>
      <c r="AO4275" s="4">
        <v>0</v>
      </c>
      <c r="AP4275" s="4">
        <v>3</v>
      </c>
      <c r="AQ4275" s="4">
        <v>38</v>
      </c>
      <c r="AR4275" s="3" t="s">
        <v>64</v>
      </c>
      <c r="AS4275" s="3" t="s">
        <v>64</v>
      </c>
      <c r="AT4275" s="3" t="s">
        <v>64</v>
      </c>
      <c r="AV4275" s="6" t="str">
        <f>HYPERLINK("http://mcgill.on.worldcat.org/oclc/667990359","Catalog Record")</f>
        <v>Catalog Record</v>
      </c>
      <c r="AW4275" s="6" t="str">
        <f>HYPERLINK("http://www.worldcat.org/oclc/667990359","WorldCat Record")</f>
        <v>WorldCat Record</v>
      </c>
      <c r="AX4275" s="3" t="s">
        <v>41822</v>
      </c>
      <c r="AY4275" s="3" t="s">
        <v>41823</v>
      </c>
      <c r="AZ4275" s="3" t="s">
        <v>41824</v>
      </c>
      <c r="BA4275" s="3" t="s">
        <v>41824</v>
      </c>
      <c r="BB4275" s="3" t="s">
        <v>41825</v>
      </c>
      <c r="BC4275" s="3" t="s">
        <v>77</v>
      </c>
      <c r="BD4275" s="3" t="s">
        <v>78</v>
      </c>
      <c r="BE4275" s="3" t="s">
        <v>41826</v>
      </c>
      <c r="BF4275" s="3" t="s">
        <v>41825</v>
      </c>
      <c r="BG4275" s="3" t="s">
        <v>41827</v>
      </c>
      <c r="BH4275">
        <f t="shared" si="124"/>
        <v>0</v>
      </c>
    </row>
    <row r="4276" spans="1:60" ht="58" x14ac:dyDescent="0.35">
      <c r="A4276" s="2" t="s">
        <v>6202</v>
      </c>
      <c r="B4276" s="2" t="s">
        <v>6203</v>
      </c>
      <c r="C4276" s="2" t="s">
        <v>41819</v>
      </c>
      <c r="D4276" s="2" t="s">
        <v>41820</v>
      </c>
      <c r="E4276" s="2" t="s">
        <v>41821</v>
      </c>
      <c r="F4276" s="3" t="s">
        <v>529</v>
      </c>
      <c r="G4276" s="3" t="s">
        <v>128</v>
      </c>
      <c r="I4276" s="3" t="s">
        <v>64</v>
      </c>
      <c r="J4276" s="3" t="s">
        <v>64</v>
      </c>
      <c r="K4276" s="3" t="s">
        <v>65</v>
      </c>
      <c r="M4276" s="2" t="s">
        <v>1225</v>
      </c>
      <c r="N4276" s="3" t="s">
        <v>326</v>
      </c>
      <c r="P4276" s="3" t="s">
        <v>102</v>
      </c>
      <c r="R4276" s="3" t="s">
        <v>70</v>
      </c>
      <c r="S4276" s="4">
        <v>0</v>
      </c>
      <c r="T4276" s="4">
        <v>0</v>
      </c>
      <c r="W4276" s="5" t="s">
        <v>72</v>
      </c>
      <c r="X4276" s="5" t="s">
        <v>72</v>
      </c>
      <c r="Y4276" s="4">
        <v>59</v>
      </c>
      <c r="Z4276" s="4">
        <v>6</v>
      </c>
      <c r="AA4276" s="4">
        <v>83</v>
      </c>
      <c r="AB4276" s="4">
        <v>1</v>
      </c>
      <c r="AC4276" s="4">
        <v>17</v>
      </c>
      <c r="AD4276" s="4">
        <v>24</v>
      </c>
      <c r="AE4276" s="4">
        <v>89</v>
      </c>
      <c r="AF4276" s="4">
        <v>0</v>
      </c>
      <c r="AG4276" s="4">
        <v>8</v>
      </c>
      <c r="AH4276" s="4">
        <v>23</v>
      </c>
      <c r="AI4276" s="4">
        <v>58</v>
      </c>
      <c r="AJ4276" s="4">
        <v>3</v>
      </c>
      <c r="AK4276" s="4">
        <v>17</v>
      </c>
      <c r="AL4276" s="4">
        <v>17</v>
      </c>
      <c r="AM4276" s="4">
        <v>31</v>
      </c>
      <c r="AN4276" s="4">
        <v>0</v>
      </c>
      <c r="AO4276" s="4">
        <v>0</v>
      </c>
      <c r="AP4276" s="4">
        <v>3</v>
      </c>
      <c r="AQ4276" s="4">
        <v>38</v>
      </c>
      <c r="AR4276" s="3" t="s">
        <v>64</v>
      </c>
      <c r="AS4276" s="3" t="s">
        <v>64</v>
      </c>
      <c r="AT4276" s="3" t="s">
        <v>64</v>
      </c>
      <c r="AV4276" s="6" t="str">
        <f>HYPERLINK("http://mcgill.on.worldcat.org/oclc/667990359","Catalog Record")</f>
        <v>Catalog Record</v>
      </c>
      <c r="AW4276" s="6" t="str">
        <f>HYPERLINK("http://www.worldcat.org/oclc/667990359","WorldCat Record")</f>
        <v>WorldCat Record</v>
      </c>
      <c r="AX4276" s="3" t="s">
        <v>41822</v>
      </c>
      <c r="AY4276" s="3" t="s">
        <v>41823</v>
      </c>
      <c r="AZ4276" s="3" t="s">
        <v>41824</v>
      </c>
      <c r="BA4276" s="3" t="s">
        <v>41824</v>
      </c>
      <c r="BB4276" s="3" t="s">
        <v>41828</v>
      </c>
      <c r="BC4276" s="3" t="s">
        <v>77</v>
      </c>
      <c r="BD4276" s="3" t="s">
        <v>78</v>
      </c>
      <c r="BE4276" s="3" t="s">
        <v>41826</v>
      </c>
      <c r="BF4276" s="3" t="s">
        <v>41828</v>
      </c>
      <c r="BG4276" s="3" t="s">
        <v>41829</v>
      </c>
      <c r="BH4276">
        <f t="shared" si="124"/>
        <v>0</v>
      </c>
    </row>
    <row r="4277" spans="1:60" ht="58" x14ac:dyDescent="0.35">
      <c r="A4277" s="2" t="s">
        <v>6202</v>
      </c>
      <c r="B4277" s="2" t="s">
        <v>6203</v>
      </c>
      <c r="C4277" s="2" t="s">
        <v>41830</v>
      </c>
      <c r="D4277" s="2" t="s">
        <v>41831</v>
      </c>
      <c r="E4277" s="2" t="s">
        <v>41832</v>
      </c>
      <c r="F4277" s="3" t="s">
        <v>26383</v>
      </c>
      <c r="G4277" s="3" t="s">
        <v>128</v>
      </c>
      <c r="I4277" s="3" t="s">
        <v>64</v>
      </c>
      <c r="J4277" s="3" t="s">
        <v>64</v>
      </c>
      <c r="K4277" s="3" t="s">
        <v>65</v>
      </c>
      <c r="L4277" s="2" t="s">
        <v>41833</v>
      </c>
      <c r="M4277" s="2" t="s">
        <v>41834</v>
      </c>
      <c r="N4277" s="3" t="s">
        <v>3330</v>
      </c>
      <c r="P4277" s="3" t="s">
        <v>102</v>
      </c>
      <c r="Q4277" s="2" t="s">
        <v>41835</v>
      </c>
      <c r="R4277" s="3" t="s">
        <v>70</v>
      </c>
      <c r="S4277" s="4">
        <v>3</v>
      </c>
      <c r="T4277" s="4">
        <v>9</v>
      </c>
      <c r="U4277" s="5" t="s">
        <v>7789</v>
      </c>
      <c r="V4277" s="5" t="s">
        <v>7789</v>
      </c>
      <c r="W4277" s="5" t="s">
        <v>72</v>
      </c>
      <c r="X4277" s="5" t="s">
        <v>72</v>
      </c>
      <c r="Y4277" s="4">
        <v>165</v>
      </c>
      <c r="Z4277" s="4">
        <v>13</v>
      </c>
      <c r="AA4277" s="4">
        <v>13</v>
      </c>
      <c r="AB4277" s="4">
        <v>1</v>
      </c>
      <c r="AC4277" s="4">
        <v>1</v>
      </c>
      <c r="AD4277" s="4">
        <v>81</v>
      </c>
      <c r="AE4277" s="4">
        <v>81</v>
      </c>
      <c r="AF4277" s="4">
        <v>0</v>
      </c>
      <c r="AG4277" s="4">
        <v>0</v>
      </c>
      <c r="AH4277" s="4">
        <v>75</v>
      </c>
      <c r="AI4277" s="4">
        <v>75</v>
      </c>
      <c r="AJ4277" s="4">
        <v>9</v>
      </c>
      <c r="AK4277" s="4">
        <v>9</v>
      </c>
      <c r="AL4277" s="4">
        <v>47</v>
      </c>
      <c r="AM4277" s="4">
        <v>47</v>
      </c>
      <c r="AN4277" s="4">
        <v>0</v>
      </c>
      <c r="AO4277" s="4">
        <v>0</v>
      </c>
      <c r="AP4277" s="4">
        <v>11</v>
      </c>
      <c r="AQ4277" s="4">
        <v>11</v>
      </c>
      <c r="AR4277" s="3" t="s">
        <v>64</v>
      </c>
      <c r="AS4277" s="3" t="s">
        <v>64</v>
      </c>
      <c r="AT4277" s="3" t="s">
        <v>128</v>
      </c>
      <c r="AU4277" s="6" t="str">
        <f>HYPERLINK("http://catalog.hathitrust.org/Record/003342991","HathiTrust Record")</f>
        <v>HathiTrust Record</v>
      </c>
      <c r="AV4277" s="6" t="str">
        <f>HYPERLINK("http://mcgill.on.worldcat.org/oclc/16983666","Catalog Record")</f>
        <v>Catalog Record</v>
      </c>
      <c r="AW4277" s="6" t="str">
        <f>HYPERLINK("http://www.worldcat.org/oclc/16983666","WorldCat Record")</f>
        <v>WorldCat Record</v>
      </c>
      <c r="AX4277" s="3" t="s">
        <v>41836</v>
      </c>
      <c r="AY4277" s="3" t="s">
        <v>41837</v>
      </c>
      <c r="AZ4277" s="3" t="s">
        <v>41838</v>
      </c>
      <c r="BA4277" s="3" t="s">
        <v>41838</v>
      </c>
      <c r="BB4277" s="3" t="s">
        <v>41839</v>
      </c>
      <c r="BC4277" s="3" t="s">
        <v>77</v>
      </c>
      <c r="BD4277" s="3" t="s">
        <v>78</v>
      </c>
      <c r="BE4277" s="3" t="s">
        <v>41840</v>
      </c>
      <c r="BF4277" s="3" t="s">
        <v>41839</v>
      </c>
      <c r="BG4277" s="3" t="s">
        <v>41841</v>
      </c>
      <c r="BH4277">
        <f t="shared" si="124"/>
        <v>0</v>
      </c>
    </row>
    <row r="4278" spans="1:60" ht="58" x14ac:dyDescent="0.35">
      <c r="A4278" s="2" t="s">
        <v>6202</v>
      </c>
      <c r="B4278" s="2" t="s">
        <v>6203</v>
      </c>
      <c r="C4278" s="2" t="s">
        <v>41830</v>
      </c>
      <c r="D4278" s="2" t="s">
        <v>41831</v>
      </c>
      <c r="E4278" s="2" t="s">
        <v>41832</v>
      </c>
      <c r="F4278" s="3" t="s">
        <v>1323</v>
      </c>
      <c r="G4278" s="3" t="s">
        <v>128</v>
      </c>
      <c r="I4278" s="3" t="s">
        <v>64</v>
      </c>
      <c r="J4278" s="3" t="s">
        <v>64</v>
      </c>
      <c r="K4278" s="3" t="s">
        <v>65</v>
      </c>
      <c r="L4278" s="2" t="s">
        <v>41833</v>
      </c>
      <c r="M4278" s="2" t="s">
        <v>41834</v>
      </c>
      <c r="N4278" s="3" t="s">
        <v>3330</v>
      </c>
      <c r="P4278" s="3" t="s">
        <v>102</v>
      </c>
      <c r="Q4278" s="2" t="s">
        <v>41835</v>
      </c>
      <c r="R4278" s="3" t="s">
        <v>70</v>
      </c>
      <c r="S4278" s="4">
        <v>3</v>
      </c>
      <c r="T4278" s="4">
        <v>9</v>
      </c>
      <c r="U4278" s="5" t="s">
        <v>7789</v>
      </c>
      <c r="V4278" s="5" t="s">
        <v>7789</v>
      </c>
      <c r="W4278" s="5" t="s">
        <v>72</v>
      </c>
      <c r="X4278" s="5" t="s">
        <v>72</v>
      </c>
      <c r="Y4278" s="4">
        <v>165</v>
      </c>
      <c r="Z4278" s="4">
        <v>13</v>
      </c>
      <c r="AA4278" s="4">
        <v>13</v>
      </c>
      <c r="AB4278" s="4">
        <v>1</v>
      </c>
      <c r="AC4278" s="4">
        <v>1</v>
      </c>
      <c r="AD4278" s="4">
        <v>81</v>
      </c>
      <c r="AE4278" s="4">
        <v>81</v>
      </c>
      <c r="AF4278" s="4">
        <v>0</v>
      </c>
      <c r="AG4278" s="4">
        <v>0</v>
      </c>
      <c r="AH4278" s="4">
        <v>75</v>
      </c>
      <c r="AI4278" s="4">
        <v>75</v>
      </c>
      <c r="AJ4278" s="4">
        <v>9</v>
      </c>
      <c r="AK4278" s="4">
        <v>9</v>
      </c>
      <c r="AL4278" s="4">
        <v>47</v>
      </c>
      <c r="AM4278" s="4">
        <v>47</v>
      </c>
      <c r="AN4278" s="4">
        <v>0</v>
      </c>
      <c r="AO4278" s="4">
        <v>0</v>
      </c>
      <c r="AP4278" s="4">
        <v>11</v>
      </c>
      <c r="AQ4278" s="4">
        <v>11</v>
      </c>
      <c r="AR4278" s="3" t="s">
        <v>64</v>
      </c>
      <c r="AS4278" s="3" t="s">
        <v>64</v>
      </c>
      <c r="AT4278" s="3" t="s">
        <v>128</v>
      </c>
      <c r="AU4278" s="6" t="str">
        <f>HYPERLINK("http://catalog.hathitrust.org/Record/003342991","HathiTrust Record")</f>
        <v>HathiTrust Record</v>
      </c>
      <c r="AV4278" s="6" t="str">
        <f>HYPERLINK("http://mcgill.on.worldcat.org/oclc/16983666","Catalog Record")</f>
        <v>Catalog Record</v>
      </c>
      <c r="AW4278" s="6" t="str">
        <f>HYPERLINK("http://www.worldcat.org/oclc/16983666","WorldCat Record")</f>
        <v>WorldCat Record</v>
      </c>
      <c r="AX4278" s="3" t="s">
        <v>41836</v>
      </c>
      <c r="AY4278" s="3" t="s">
        <v>41837</v>
      </c>
      <c r="AZ4278" s="3" t="s">
        <v>41838</v>
      </c>
      <c r="BA4278" s="3" t="s">
        <v>41838</v>
      </c>
      <c r="BB4278" s="3" t="s">
        <v>41842</v>
      </c>
      <c r="BC4278" s="3" t="s">
        <v>77</v>
      </c>
      <c r="BD4278" s="3" t="s">
        <v>78</v>
      </c>
      <c r="BE4278" s="3" t="s">
        <v>41840</v>
      </c>
      <c r="BF4278" s="3" t="s">
        <v>41842</v>
      </c>
      <c r="BG4278" s="3" t="s">
        <v>41843</v>
      </c>
      <c r="BH4278">
        <f t="shared" si="124"/>
        <v>0</v>
      </c>
    </row>
    <row r="4279" spans="1:60" ht="58" x14ac:dyDescent="0.35">
      <c r="A4279" s="2" t="s">
        <v>6202</v>
      </c>
      <c r="B4279" s="2" t="s">
        <v>6203</v>
      </c>
      <c r="C4279" s="2" t="s">
        <v>41830</v>
      </c>
      <c r="D4279" s="2" t="s">
        <v>41831</v>
      </c>
      <c r="E4279" s="2" t="s">
        <v>41832</v>
      </c>
      <c r="F4279" s="3" t="s">
        <v>509</v>
      </c>
      <c r="G4279" s="3" t="s">
        <v>128</v>
      </c>
      <c r="I4279" s="3" t="s">
        <v>64</v>
      </c>
      <c r="J4279" s="3" t="s">
        <v>64</v>
      </c>
      <c r="K4279" s="3" t="s">
        <v>65</v>
      </c>
      <c r="L4279" s="2" t="s">
        <v>41833</v>
      </c>
      <c r="M4279" s="2" t="s">
        <v>41834</v>
      </c>
      <c r="N4279" s="3" t="s">
        <v>3330</v>
      </c>
      <c r="P4279" s="3" t="s">
        <v>102</v>
      </c>
      <c r="Q4279" s="2" t="s">
        <v>41835</v>
      </c>
      <c r="R4279" s="3" t="s">
        <v>70</v>
      </c>
      <c r="S4279" s="4">
        <v>3</v>
      </c>
      <c r="T4279" s="4">
        <v>9</v>
      </c>
      <c r="U4279" s="5" t="s">
        <v>7789</v>
      </c>
      <c r="V4279" s="5" t="s">
        <v>7789</v>
      </c>
      <c r="W4279" s="5" t="s">
        <v>72</v>
      </c>
      <c r="X4279" s="5" t="s">
        <v>72</v>
      </c>
      <c r="Y4279" s="4">
        <v>165</v>
      </c>
      <c r="Z4279" s="4">
        <v>13</v>
      </c>
      <c r="AA4279" s="4">
        <v>13</v>
      </c>
      <c r="AB4279" s="4">
        <v>1</v>
      </c>
      <c r="AC4279" s="4">
        <v>1</v>
      </c>
      <c r="AD4279" s="4">
        <v>81</v>
      </c>
      <c r="AE4279" s="4">
        <v>81</v>
      </c>
      <c r="AF4279" s="4">
        <v>0</v>
      </c>
      <c r="AG4279" s="4">
        <v>0</v>
      </c>
      <c r="AH4279" s="4">
        <v>75</v>
      </c>
      <c r="AI4279" s="4">
        <v>75</v>
      </c>
      <c r="AJ4279" s="4">
        <v>9</v>
      </c>
      <c r="AK4279" s="4">
        <v>9</v>
      </c>
      <c r="AL4279" s="4">
        <v>47</v>
      </c>
      <c r="AM4279" s="4">
        <v>47</v>
      </c>
      <c r="AN4279" s="4">
        <v>0</v>
      </c>
      <c r="AO4279" s="4">
        <v>0</v>
      </c>
      <c r="AP4279" s="4">
        <v>11</v>
      </c>
      <c r="AQ4279" s="4">
        <v>11</v>
      </c>
      <c r="AR4279" s="3" t="s">
        <v>64</v>
      </c>
      <c r="AS4279" s="3" t="s">
        <v>64</v>
      </c>
      <c r="AT4279" s="3" t="s">
        <v>128</v>
      </c>
      <c r="AU4279" s="6" t="str">
        <f>HYPERLINK("http://catalog.hathitrust.org/Record/003342991","HathiTrust Record")</f>
        <v>HathiTrust Record</v>
      </c>
      <c r="AV4279" s="6" t="str">
        <f>HYPERLINK("http://mcgill.on.worldcat.org/oclc/16983666","Catalog Record")</f>
        <v>Catalog Record</v>
      </c>
      <c r="AW4279" s="6" t="str">
        <f>HYPERLINK("http://www.worldcat.org/oclc/16983666","WorldCat Record")</f>
        <v>WorldCat Record</v>
      </c>
      <c r="AX4279" s="3" t="s">
        <v>41836</v>
      </c>
      <c r="AY4279" s="3" t="s">
        <v>41837</v>
      </c>
      <c r="AZ4279" s="3" t="s">
        <v>41838</v>
      </c>
      <c r="BA4279" s="3" t="s">
        <v>41838</v>
      </c>
      <c r="BB4279" s="3" t="s">
        <v>41844</v>
      </c>
      <c r="BC4279" s="3" t="s">
        <v>77</v>
      </c>
      <c r="BD4279" s="3" t="s">
        <v>78</v>
      </c>
      <c r="BE4279" s="3" t="s">
        <v>41840</v>
      </c>
      <c r="BF4279" s="3" t="s">
        <v>41844</v>
      </c>
      <c r="BG4279" s="3" t="s">
        <v>41845</v>
      </c>
      <c r="BH4279">
        <f t="shared" si="124"/>
        <v>0</v>
      </c>
    </row>
    <row r="4280" spans="1:60" ht="58" x14ac:dyDescent="0.35">
      <c r="A4280" s="2" t="s">
        <v>6202</v>
      </c>
      <c r="B4280" s="2" t="s">
        <v>6203</v>
      </c>
      <c r="C4280" s="2" t="s">
        <v>41846</v>
      </c>
      <c r="D4280" s="2" t="s">
        <v>41847</v>
      </c>
      <c r="E4280" s="2" t="s">
        <v>41848</v>
      </c>
      <c r="G4280" s="3" t="s">
        <v>64</v>
      </c>
      <c r="I4280" s="3" t="s">
        <v>64</v>
      </c>
      <c r="J4280" s="3" t="s">
        <v>64</v>
      </c>
      <c r="K4280" s="3" t="s">
        <v>65</v>
      </c>
      <c r="L4280" s="2" t="s">
        <v>41849</v>
      </c>
      <c r="M4280" s="2" t="s">
        <v>41850</v>
      </c>
      <c r="N4280" s="3" t="s">
        <v>315</v>
      </c>
      <c r="P4280" s="3" t="s">
        <v>102</v>
      </c>
      <c r="R4280" s="3" t="s">
        <v>70</v>
      </c>
      <c r="S4280" s="4">
        <v>1</v>
      </c>
      <c r="T4280" s="4">
        <v>1</v>
      </c>
      <c r="U4280" s="5" t="s">
        <v>7330</v>
      </c>
      <c r="V4280" s="5" t="s">
        <v>7330</v>
      </c>
      <c r="W4280" s="5" t="s">
        <v>72</v>
      </c>
      <c r="X4280" s="5" t="s">
        <v>72</v>
      </c>
      <c r="Y4280" s="4">
        <v>460</v>
      </c>
      <c r="Z4280" s="4">
        <v>28</v>
      </c>
      <c r="AA4280" s="4">
        <v>29</v>
      </c>
      <c r="AB4280" s="4">
        <v>1</v>
      </c>
      <c r="AC4280" s="4">
        <v>2</v>
      </c>
      <c r="AD4280" s="4">
        <v>116</v>
      </c>
      <c r="AE4280" s="4">
        <v>117</v>
      </c>
      <c r="AF4280" s="4">
        <v>0</v>
      </c>
      <c r="AG4280" s="4">
        <v>1</v>
      </c>
      <c r="AH4280" s="4">
        <v>100</v>
      </c>
      <c r="AI4280" s="4">
        <v>100</v>
      </c>
      <c r="AJ4280" s="4">
        <v>17</v>
      </c>
      <c r="AK4280" s="4">
        <v>18</v>
      </c>
      <c r="AL4280" s="4">
        <v>57</v>
      </c>
      <c r="AM4280" s="4">
        <v>57</v>
      </c>
      <c r="AN4280" s="4">
        <v>0</v>
      </c>
      <c r="AO4280" s="4">
        <v>0</v>
      </c>
      <c r="AP4280" s="4">
        <v>21</v>
      </c>
      <c r="AQ4280" s="4">
        <v>21</v>
      </c>
      <c r="AR4280" s="3" t="s">
        <v>64</v>
      </c>
      <c r="AS4280" s="3" t="s">
        <v>64</v>
      </c>
      <c r="AT4280" s="3" t="s">
        <v>128</v>
      </c>
      <c r="AU4280" s="6" t="str">
        <f>HYPERLINK("http://catalog.hathitrust.org/Record/001169986","HathiTrust Record")</f>
        <v>HathiTrust Record</v>
      </c>
      <c r="AV4280" s="6" t="str">
        <f>HYPERLINK("http://mcgill.on.worldcat.org/oclc/212","Catalog Record")</f>
        <v>Catalog Record</v>
      </c>
      <c r="AW4280" s="6" t="str">
        <f>HYPERLINK("http://www.worldcat.org/oclc/212","WorldCat Record")</f>
        <v>WorldCat Record</v>
      </c>
      <c r="AX4280" s="3" t="s">
        <v>41851</v>
      </c>
      <c r="AY4280" s="3" t="s">
        <v>41852</v>
      </c>
      <c r="AZ4280" s="3" t="s">
        <v>41853</v>
      </c>
      <c r="BA4280" s="3" t="s">
        <v>41853</v>
      </c>
      <c r="BB4280" s="3" t="s">
        <v>41854</v>
      </c>
      <c r="BC4280" s="3" t="s">
        <v>77</v>
      </c>
      <c r="BD4280" s="3" t="s">
        <v>78</v>
      </c>
      <c r="BF4280" s="3" t="s">
        <v>41854</v>
      </c>
      <c r="BG4280" s="3" t="s">
        <v>41855</v>
      </c>
      <c r="BH4280">
        <f t="shared" si="124"/>
        <v>0</v>
      </c>
    </row>
    <row r="4281" spans="1:60" ht="58" x14ac:dyDescent="0.35">
      <c r="A4281" s="2" t="s">
        <v>6202</v>
      </c>
      <c r="B4281" s="2" t="s">
        <v>6203</v>
      </c>
      <c r="C4281" s="2" t="s">
        <v>41856</v>
      </c>
      <c r="D4281" s="2" t="s">
        <v>41857</v>
      </c>
      <c r="E4281" s="2" t="s">
        <v>41858</v>
      </c>
      <c r="G4281" s="3" t="s">
        <v>64</v>
      </c>
      <c r="I4281" s="3" t="s">
        <v>64</v>
      </c>
      <c r="J4281" s="3" t="s">
        <v>64</v>
      </c>
      <c r="K4281" s="3" t="s">
        <v>65</v>
      </c>
      <c r="M4281" s="2" t="s">
        <v>41859</v>
      </c>
      <c r="N4281" s="3" t="s">
        <v>1087</v>
      </c>
      <c r="P4281" s="3" t="s">
        <v>4873</v>
      </c>
      <c r="R4281" s="3" t="s">
        <v>70</v>
      </c>
      <c r="S4281" s="4">
        <v>1</v>
      </c>
      <c r="T4281" s="4">
        <v>1</v>
      </c>
      <c r="U4281" s="5" t="s">
        <v>11203</v>
      </c>
      <c r="V4281" s="5" t="s">
        <v>11203</v>
      </c>
      <c r="W4281" s="5" t="s">
        <v>72</v>
      </c>
      <c r="X4281" s="5" t="s">
        <v>72</v>
      </c>
      <c r="Y4281" s="4">
        <v>51</v>
      </c>
      <c r="Z4281" s="4">
        <v>3</v>
      </c>
      <c r="AA4281" s="4">
        <v>3</v>
      </c>
      <c r="AB4281" s="4">
        <v>1</v>
      </c>
      <c r="AC4281" s="4">
        <v>1</v>
      </c>
      <c r="AD4281" s="4">
        <v>32</v>
      </c>
      <c r="AE4281" s="4">
        <v>32</v>
      </c>
      <c r="AF4281" s="4">
        <v>0</v>
      </c>
      <c r="AG4281" s="4">
        <v>0</v>
      </c>
      <c r="AH4281" s="4">
        <v>30</v>
      </c>
      <c r="AI4281" s="4">
        <v>30</v>
      </c>
      <c r="AJ4281" s="4">
        <v>1</v>
      </c>
      <c r="AK4281" s="4">
        <v>1</v>
      </c>
      <c r="AL4281" s="4">
        <v>27</v>
      </c>
      <c r="AM4281" s="4">
        <v>27</v>
      </c>
      <c r="AN4281" s="4">
        <v>0</v>
      </c>
      <c r="AO4281" s="4">
        <v>0</v>
      </c>
      <c r="AP4281" s="4">
        <v>1</v>
      </c>
      <c r="AQ4281" s="4">
        <v>1</v>
      </c>
      <c r="AR4281" s="3" t="s">
        <v>64</v>
      </c>
      <c r="AS4281" s="3" t="s">
        <v>64</v>
      </c>
      <c r="AT4281" s="3" t="s">
        <v>128</v>
      </c>
      <c r="AU4281" s="6" t="str">
        <f>HYPERLINK("http://catalog.hathitrust.org/Record/003133208","HathiTrust Record")</f>
        <v>HathiTrust Record</v>
      </c>
      <c r="AV4281" s="6" t="str">
        <f>HYPERLINK("http://mcgill.on.worldcat.org/oclc/25192538","Catalog Record")</f>
        <v>Catalog Record</v>
      </c>
      <c r="AW4281" s="6" t="str">
        <f>HYPERLINK("http://www.worldcat.org/oclc/25192538","WorldCat Record")</f>
        <v>WorldCat Record</v>
      </c>
      <c r="AX4281" s="3" t="s">
        <v>41860</v>
      </c>
      <c r="AY4281" s="3" t="s">
        <v>41861</v>
      </c>
      <c r="AZ4281" s="3" t="s">
        <v>41862</v>
      </c>
      <c r="BA4281" s="3" t="s">
        <v>41862</v>
      </c>
      <c r="BB4281" s="3" t="s">
        <v>41863</v>
      </c>
      <c r="BC4281" s="3" t="s">
        <v>77</v>
      </c>
      <c r="BD4281" s="3" t="s">
        <v>78</v>
      </c>
      <c r="BE4281" s="3" t="s">
        <v>41864</v>
      </c>
      <c r="BF4281" s="3" t="s">
        <v>41863</v>
      </c>
      <c r="BG4281" s="3" t="s">
        <v>41865</v>
      </c>
      <c r="BH4281">
        <f t="shared" si="124"/>
        <v>0</v>
      </c>
    </row>
    <row r="4282" spans="1:60" ht="58" x14ac:dyDescent="0.35">
      <c r="A4282" s="2" t="s">
        <v>59</v>
      </c>
      <c r="B4282" s="2" t="s">
        <v>60</v>
      </c>
      <c r="C4282" s="2" t="s">
        <v>41866</v>
      </c>
      <c r="D4282" s="2" t="s">
        <v>41867</v>
      </c>
      <c r="E4282" s="2" t="s">
        <v>41868</v>
      </c>
      <c r="G4282" s="3" t="s">
        <v>64</v>
      </c>
      <c r="I4282" s="3" t="s">
        <v>64</v>
      </c>
      <c r="J4282" s="3" t="s">
        <v>64</v>
      </c>
      <c r="K4282" s="3" t="s">
        <v>65</v>
      </c>
      <c r="L4282" s="2" t="s">
        <v>41869</v>
      </c>
      <c r="M4282" s="2" t="s">
        <v>41870</v>
      </c>
      <c r="N4282" s="3" t="s">
        <v>511</v>
      </c>
      <c r="P4282" s="3" t="s">
        <v>102</v>
      </c>
      <c r="R4282" s="3" t="s">
        <v>70</v>
      </c>
      <c r="S4282" s="4">
        <v>2</v>
      </c>
      <c r="T4282" s="4">
        <v>2</v>
      </c>
      <c r="U4282" s="5" t="s">
        <v>21031</v>
      </c>
      <c r="V4282" s="5" t="s">
        <v>21031</v>
      </c>
      <c r="W4282" s="5" t="s">
        <v>72</v>
      </c>
      <c r="X4282" s="5" t="s">
        <v>72</v>
      </c>
      <c r="Y4282" s="4">
        <v>93</v>
      </c>
      <c r="Z4282" s="4">
        <v>16</v>
      </c>
      <c r="AA4282" s="4">
        <v>116</v>
      </c>
      <c r="AB4282" s="4">
        <v>1</v>
      </c>
      <c r="AC4282" s="4">
        <v>19</v>
      </c>
      <c r="AD4282" s="4">
        <v>51</v>
      </c>
      <c r="AE4282" s="4">
        <v>124</v>
      </c>
      <c r="AF4282" s="4">
        <v>0</v>
      </c>
      <c r="AG4282" s="4">
        <v>8</v>
      </c>
      <c r="AH4282" s="4">
        <v>45</v>
      </c>
      <c r="AI4282" s="4">
        <v>82</v>
      </c>
      <c r="AJ4282" s="4">
        <v>12</v>
      </c>
      <c r="AK4282" s="4">
        <v>25</v>
      </c>
      <c r="AL4282" s="4">
        <v>28</v>
      </c>
      <c r="AM4282" s="4">
        <v>43</v>
      </c>
      <c r="AN4282" s="4">
        <v>0</v>
      </c>
      <c r="AO4282" s="4">
        <v>0</v>
      </c>
      <c r="AP4282" s="4">
        <v>11</v>
      </c>
      <c r="AQ4282" s="4">
        <v>50</v>
      </c>
      <c r="AR4282" s="3" t="s">
        <v>128</v>
      </c>
      <c r="AS4282" s="3" t="s">
        <v>64</v>
      </c>
      <c r="AT4282" s="3" t="s">
        <v>64</v>
      </c>
      <c r="AV4282" s="6" t="str">
        <f>HYPERLINK("http://mcgill.on.worldcat.org/oclc/495781769","Catalog Record")</f>
        <v>Catalog Record</v>
      </c>
      <c r="AW4282" s="6" t="str">
        <f>HYPERLINK("http://www.worldcat.org/oclc/495781769","WorldCat Record")</f>
        <v>WorldCat Record</v>
      </c>
      <c r="AX4282" s="3" t="s">
        <v>41871</v>
      </c>
      <c r="AY4282" s="3" t="s">
        <v>41872</v>
      </c>
      <c r="AZ4282" s="3" t="s">
        <v>41873</v>
      </c>
      <c r="BA4282" s="3" t="s">
        <v>41873</v>
      </c>
      <c r="BB4282" s="3" t="s">
        <v>41874</v>
      </c>
      <c r="BC4282" s="3" t="s">
        <v>77</v>
      </c>
      <c r="BD4282" s="3" t="s">
        <v>78</v>
      </c>
      <c r="BE4282" s="3" t="s">
        <v>41875</v>
      </c>
      <c r="BF4282" s="3" t="s">
        <v>41874</v>
      </c>
      <c r="BG4282" s="3" t="s">
        <v>41876</v>
      </c>
      <c r="BH4282">
        <f t="shared" si="124"/>
        <v>0</v>
      </c>
    </row>
    <row r="4283" spans="1:60" ht="58" x14ac:dyDescent="0.35">
      <c r="A4283" s="2" t="s">
        <v>59</v>
      </c>
      <c r="B4283" s="2" t="s">
        <v>60</v>
      </c>
      <c r="C4283" s="2" t="s">
        <v>41877</v>
      </c>
      <c r="D4283" s="2" t="s">
        <v>41878</v>
      </c>
      <c r="E4283" s="2" t="s">
        <v>41879</v>
      </c>
      <c r="G4283" s="3" t="s">
        <v>64</v>
      </c>
      <c r="I4283" s="3" t="s">
        <v>64</v>
      </c>
      <c r="J4283" s="3" t="s">
        <v>64</v>
      </c>
      <c r="K4283" s="3" t="s">
        <v>65</v>
      </c>
      <c r="L4283" s="2" t="s">
        <v>41880</v>
      </c>
      <c r="M4283" s="2" t="s">
        <v>41881</v>
      </c>
      <c r="N4283" s="3" t="s">
        <v>101</v>
      </c>
      <c r="P4283" s="3" t="s">
        <v>102</v>
      </c>
      <c r="R4283" s="3" t="s">
        <v>70</v>
      </c>
      <c r="S4283" s="4">
        <v>1</v>
      </c>
      <c r="T4283" s="4">
        <v>1</v>
      </c>
      <c r="U4283" s="5" t="s">
        <v>9072</v>
      </c>
      <c r="V4283" s="5" t="s">
        <v>9072</v>
      </c>
      <c r="W4283" s="5" t="s">
        <v>72</v>
      </c>
      <c r="X4283" s="5" t="s">
        <v>72</v>
      </c>
      <c r="Y4283" s="4">
        <v>176</v>
      </c>
      <c r="Z4283" s="4">
        <v>14</v>
      </c>
      <c r="AA4283" s="4">
        <v>19</v>
      </c>
      <c r="AB4283" s="4">
        <v>2</v>
      </c>
      <c r="AC4283" s="4">
        <v>4</v>
      </c>
      <c r="AD4283" s="4">
        <v>69</v>
      </c>
      <c r="AE4283" s="4">
        <v>73</v>
      </c>
      <c r="AF4283" s="4">
        <v>1</v>
      </c>
      <c r="AG4283" s="4">
        <v>1</v>
      </c>
      <c r="AH4283" s="4">
        <v>63</v>
      </c>
      <c r="AI4283" s="4">
        <v>65</v>
      </c>
      <c r="AJ4283" s="4">
        <v>9</v>
      </c>
      <c r="AK4283" s="4">
        <v>11</v>
      </c>
      <c r="AL4283" s="4">
        <v>40</v>
      </c>
      <c r="AM4283" s="4">
        <v>41</v>
      </c>
      <c r="AN4283" s="4">
        <v>0</v>
      </c>
      <c r="AO4283" s="4">
        <v>0</v>
      </c>
      <c r="AP4283" s="4">
        <v>10</v>
      </c>
      <c r="AQ4283" s="4">
        <v>13</v>
      </c>
      <c r="AR4283" s="3" t="s">
        <v>64</v>
      </c>
      <c r="AS4283" s="3" t="s">
        <v>64</v>
      </c>
      <c r="AT4283" s="3" t="s">
        <v>64</v>
      </c>
      <c r="AV4283" s="6" t="str">
        <f>HYPERLINK("http://mcgill.on.worldcat.org/oclc/49760637","Catalog Record")</f>
        <v>Catalog Record</v>
      </c>
      <c r="AW4283" s="6" t="str">
        <f>HYPERLINK("http://www.worldcat.org/oclc/49760637","WorldCat Record")</f>
        <v>WorldCat Record</v>
      </c>
      <c r="AX4283" s="3" t="s">
        <v>41882</v>
      </c>
      <c r="AY4283" s="3" t="s">
        <v>41883</v>
      </c>
      <c r="AZ4283" s="3" t="s">
        <v>41884</v>
      </c>
      <c r="BA4283" s="3" t="s">
        <v>41884</v>
      </c>
      <c r="BB4283" s="3" t="s">
        <v>41885</v>
      </c>
      <c r="BC4283" s="3" t="s">
        <v>77</v>
      </c>
      <c r="BD4283" s="3" t="s">
        <v>78</v>
      </c>
      <c r="BE4283" s="3" t="s">
        <v>41886</v>
      </c>
      <c r="BF4283" s="3" t="s">
        <v>41885</v>
      </c>
      <c r="BG4283" s="3" t="s">
        <v>41887</v>
      </c>
      <c r="BH4283">
        <f t="shared" si="124"/>
        <v>0</v>
      </c>
    </row>
    <row r="4284" spans="1:60" ht="58" x14ac:dyDescent="0.35">
      <c r="A4284" s="2" t="s">
        <v>59</v>
      </c>
      <c r="B4284" s="2" t="s">
        <v>60</v>
      </c>
      <c r="C4284" s="2" t="s">
        <v>41888</v>
      </c>
      <c r="D4284" s="2" t="s">
        <v>41889</v>
      </c>
      <c r="E4284" s="2" t="s">
        <v>41890</v>
      </c>
      <c r="G4284" s="3" t="s">
        <v>64</v>
      </c>
      <c r="I4284" s="3" t="s">
        <v>64</v>
      </c>
      <c r="J4284" s="3" t="s">
        <v>64</v>
      </c>
      <c r="K4284" s="3" t="s">
        <v>65</v>
      </c>
      <c r="L4284" s="2" t="s">
        <v>41891</v>
      </c>
      <c r="M4284" s="2" t="s">
        <v>41892</v>
      </c>
      <c r="N4284" s="3" t="s">
        <v>511</v>
      </c>
      <c r="P4284" s="3" t="s">
        <v>102</v>
      </c>
      <c r="R4284" s="3" t="s">
        <v>70</v>
      </c>
      <c r="S4284" s="4">
        <v>0</v>
      </c>
      <c r="T4284" s="4">
        <v>0</v>
      </c>
      <c r="W4284" s="5" t="s">
        <v>72</v>
      </c>
      <c r="X4284" s="5" t="s">
        <v>72</v>
      </c>
      <c r="Y4284" s="4">
        <v>42</v>
      </c>
      <c r="Z4284" s="4">
        <v>14</v>
      </c>
      <c r="AA4284" s="4">
        <v>14</v>
      </c>
      <c r="AB4284" s="4">
        <v>1</v>
      </c>
      <c r="AC4284" s="4">
        <v>1</v>
      </c>
      <c r="AD4284" s="4">
        <v>26</v>
      </c>
      <c r="AE4284" s="4">
        <v>26</v>
      </c>
      <c r="AF4284" s="4">
        <v>0</v>
      </c>
      <c r="AG4284" s="4">
        <v>0</v>
      </c>
      <c r="AH4284" s="4">
        <v>20</v>
      </c>
      <c r="AI4284" s="4">
        <v>20</v>
      </c>
      <c r="AJ4284" s="4">
        <v>8</v>
      </c>
      <c r="AK4284" s="4">
        <v>8</v>
      </c>
      <c r="AL4284" s="4">
        <v>14</v>
      </c>
      <c r="AM4284" s="4">
        <v>14</v>
      </c>
      <c r="AN4284" s="4">
        <v>0</v>
      </c>
      <c r="AO4284" s="4">
        <v>0</v>
      </c>
      <c r="AP4284" s="4">
        <v>7</v>
      </c>
      <c r="AQ4284" s="4">
        <v>7</v>
      </c>
      <c r="AR4284" s="3" t="s">
        <v>128</v>
      </c>
      <c r="AS4284" s="3" t="s">
        <v>64</v>
      </c>
      <c r="AT4284" s="3" t="s">
        <v>64</v>
      </c>
      <c r="AV4284" s="6" t="str">
        <f>HYPERLINK("http://mcgill.on.worldcat.org/oclc/665192551","Catalog Record")</f>
        <v>Catalog Record</v>
      </c>
      <c r="AW4284" s="6" t="str">
        <f>HYPERLINK("http://www.worldcat.org/oclc/665192551","WorldCat Record")</f>
        <v>WorldCat Record</v>
      </c>
      <c r="AX4284" s="3" t="s">
        <v>41893</v>
      </c>
      <c r="AY4284" s="3" t="s">
        <v>41894</v>
      </c>
      <c r="AZ4284" s="3" t="s">
        <v>41895</v>
      </c>
      <c r="BA4284" s="3" t="s">
        <v>41895</v>
      </c>
      <c r="BB4284" s="3" t="s">
        <v>41896</v>
      </c>
      <c r="BC4284" s="3" t="s">
        <v>77</v>
      </c>
      <c r="BD4284" s="3" t="s">
        <v>78</v>
      </c>
      <c r="BE4284" s="3" t="s">
        <v>41897</v>
      </c>
      <c r="BF4284" s="3" t="s">
        <v>41896</v>
      </c>
      <c r="BG4284" s="3" t="s">
        <v>41898</v>
      </c>
      <c r="BH4284">
        <f t="shared" si="124"/>
        <v>0</v>
      </c>
    </row>
    <row r="4285" spans="1:60" ht="58" x14ac:dyDescent="0.35">
      <c r="A4285" s="2" t="s">
        <v>6202</v>
      </c>
      <c r="B4285" s="2" t="s">
        <v>6203</v>
      </c>
      <c r="C4285" s="2" t="s">
        <v>41899</v>
      </c>
      <c r="D4285" s="2" t="s">
        <v>41900</v>
      </c>
      <c r="E4285" s="2" t="s">
        <v>41901</v>
      </c>
      <c r="G4285" s="3" t="s">
        <v>64</v>
      </c>
      <c r="I4285" s="3" t="s">
        <v>128</v>
      </c>
      <c r="J4285" s="3" t="s">
        <v>64</v>
      </c>
      <c r="K4285" s="3" t="s">
        <v>65</v>
      </c>
      <c r="L4285" s="2" t="s">
        <v>41902</v>
      </c>
      <c r="M4285" s="2" t="s">
        <v>41903</v>
      </c>
      <c r="N4285" s="3" t="s">
        <v>3584</v>
      </c>
      <c r="P4285" s="3" t="s">
        <v>102</v>
      </c>
      <c r="Q4285" s="2" t="s">
        <v>41904</v>
      </c>
      <c r="R4285" s="3" t="s">
        <v>70</v>
      </c>
      <c r="S4285" s="4">
        <v>1</v>
      </c>
      <c r="T4285" s="4">
        <v>1</v>
      </c>
      <c r="U4285" s="5" t="s">
        <v>10236</v>
      </c>
      <c r="V4285" s="5" t="s">
        <v>10236</v>
      </c>
      <c r="W4285" s="5" t="s">
        <v>72</v>
      </c>
      <c r="X4285" s="5" t="s">
        <v>72</v>
      </c>
      <c r="Y4285" s="4">
        <v>354</v>
      </c>
      <c r="Z4285" s="4">
        <v>31</v>
      </c>
      <c r="AA4285" s="4">
        <v>33</v>
      </c>
      <c r="AB4285" s="4">
        <v>2</v>
      </c>
      <c r="AC4285" s="4">
        <v>4</v>
      </c>
      <c r="AD4285" s="4">
        <v>112</v>
      </c>
      <c r="AE4285" s="4">
        <v>114</v>
      </c>
      <c r="AF4285" s="4">
        <v>1</v>
      </c>
      <c r="AG4285" s="4">
        <v>3</v>
      </c>
      <c r="AH4285" s="4">
        <v>96</v>
      </c>
      <c r="AI4285" s="4">
        <v>97</v>
      </c>
      <c r="AJ4285" s="4">
        <v>18</v>
      </c>
      <c r="AK4285" s="4">
        <v>20</v>
      </c>
      <c r="AL4285" s="4">
        <v>52</v>
      </c>
      <c r="AM4285" s="4">
        <v>52</v>
      </c>
      <c r="AN4285" s="4">
        <v>0</v>
      </c>
      <c r="AO4285" s="4">
        <v>0</v>
      </c>
      <c r="AP4285" s="4">
        <v>25</v>
      </c>
      <c r="AQ4285" s="4">
        <v>26</v>
      </c>
      <c r="AR4285" s="3" t="s">
        <v>64</v>
      </c>
      <c r="AS4285" s="3" t="s">
        <v>64</v>
      </c>
      <c r="AT4285" s="3" t="s">
        <v>64</v>
      </c>
      <c r="AV4285" s="6" t="str">
        <f>HYPERLINK("http://mcgill.on.worldcat.org/oclc/3105176","Catalog Record")</f>
        <v>Catalog Record</v>
      </c>
      <c r="AW4285" s="6" t="str">
        <f>HYPERLINK("http://www.worldcat.org/oclc/3105176","WorldCat Record")</f>
        <v>WorldCat Record</v>
      </c>
      <c r="AX4285" s="3" t="s">
        <v>41905</v>
      </c>
      <c r="AY4285" s="3" t="s">
        <v>41906</v>
      </c>
      <c r="AZ4285" s="3" t="s">
        <v>41907</v>
      </c>
      <c r="BA4285" s="3" t="s">
        <v>41907</v>
      </c>
      <c r="BB4285" s="3" t="s">
        <v>41908</v>
      </c>
      <c r="BC4285" s="3" t="s">
        <v>77</v>
      </c>
      <c r="BD4285" s="3" t="s">
        <v>78</v>
      </c>
      <c r="BE4285" s="3" t="s">
        <v>41909</v>
      </c>
      <c r="BF4285" s="3" t="s">
        <v>41908</v>
      </c>
      <c r="BG4285" s="3" t="s">
        <v>41910</v>
      </c>
      <c r="BH4285">
        <f t="shared" si="124"/>
        <v>0</v>
      </c>
    </row>
    <row r="4286" spans="1:60" ht="58" x14ac:dyDescent="0.35">
      <c r="A4286" s="2" t="s">
        <v>59</v>
      </c>
      <c r="B4286" s="2" t="s">
        <v>60</v>
      </c>
      <c r="C4286" s="2" t="s">
        <v>41911</v>
      </c>
      <c r="D4286" s="2" t="s">
        <v>41912</v>
      </c>
      <c r="E4286" s="2" t="s">
        <v>41913</v>
      </c>
      <c r="G4286" s="3" t="s">
        <v>64</v>
      </c>
      <c r="I4286" s="3" t="s">
        <v>64</v>
      </c>
      <c r="J4286" s="3" t="s">
        <v>64</v>
      </c>
      <c r="K4286" s="3" t="s">
        <v>65</v>
      </c>
      <c r="L4286" s="2" t="s">
        <v>41914</v>
      </c>
      <c r="M4286" s="2" t="s">
        <v>41915</v>
      </c>
      <c r="N4286" s="3" t="s">
        <v>1075</v>
      </c>
      <c r="P4286" s="3" t="s">
        <v>102</v>
      </c>
      <c r="Q4286" s="2" t="s">
        <v>41916</v>
      </c>
      <c r="R4286" s="3" t="s">
        <v>70</v>
      </c>
      <c r="S4286" s="4">
        <v>0</v>
      </c>
      <c r="T4286" s="4">
        <v>0</v>
      </c>
      <c r="U4286" s="5" t="s">
        <v>3642</v>
      </c>
      <c r="V4286" s="5" t="s">
        <v>3642</v>
      </c>
      <c r="W4286" s="5" t="s">
        <v>72</v>
      </c>
      <c r="X4286" s="5" t="s">
        <v>72</v>
      </c>
      <c r="Y4286" s="4">
        <v>72</v>
      </c>
      <c r="Z4286" s="4">
        <v>17</v>
      </c>
      <c r="AA4286" s="4">
        <v>98</v>
      </c>
      <c r="AB4286" s="4">
        <v>1</v>
      </c>
      <c r="AC4286" s="4">
        <v>16</v>
      </c>
      <c r="AD4286" s="4">
        <v>36</v>
      </c>
      <c r="AE4286" s="4">
        <v>104</v>
      </c>
      <c r="AF4286" s="4">
        <v>0</v>
      </c>
      <c r="AG4286" s="4">
        <v>8</v>
      </c>
      <c r="AH4286" s="4">
        <v>29</v>
      </c>
      <c r="AI4286" s="4">
        <v>64</v>
      </c>
      <c r="AJ4286" s="4">
        <v>10</v>
      </c>
      <c r="AK4286" s="4">
        <v>24</v>
      </c>
      <c r="AL4286" s="4">
        <v>22</v>
      </c>
      <c r="AM4286" s="4">
        <v>36</v>
      </c>
      <c r="AN4286" s="4">
        <v>0</v>
      </c>
      <c r="AO4286" s="4">
        <v>0</v>
      </c>
      <c r="AP4286" s="4">
        <v>10</v>
      </c>
      <c r="AQ4286" s="4">
        <v>48</v>
      </c>
      <c r="AR4286" s="3" t="s">
        <v>128</v>
      </c>
      <c r="AS4286" s="3" t="s">
        <v>64</v>
      </c>
      <c r="AT4286" s="3" t="s">
        <v>64</v>
      </c>
      <c r="AV4286" s="6" t="str">
        <f>HYPERLINK("http://mcgill.on.worldcat.org/oclc/824604938","Catalog Record")</f>
        <v>Catalog Record</v>
      </c>
      <c r="AW4286" s="6" t="str">
        <f>HYPERLINK("http://www.worldcat.org/oclc/824604938","WorldCat Record")</f>
        <v>WorldCat Record</v>
      </c>
      <c r="AX4286" s="3" t="s">
        <v>41917</v>
      </c>
      <c r="AY4286" s="3" t="s">
        <v>41918</v>
      </c>
      <c r="AZ4286" s="3" t="s">
        <v>41919</v>
      </c>
      <c r="BA4286" s="3" t="s">
        <v>41919</v>
      </c>
      <c r="BB4286" s="3" t="s">
        <v>41920</v>
      </c>
      <c r="BC4286" s="3" t="s">
        <v>77</v>
      </c>
      <c r="BD4286" s="3" t="s">
        <v>78</v>
      </c>
      <c r="BE4286" s="3" t="s">
        <v>41921</v>
      </c>
      <c r="BF4286" s="3" t="s">
        <v>41920</v>
      </c>
      <c r="BG4286" s="3" t="s">
        <v>41922</v>
      </c>
      <c r="BH4286">
        <f t="shared" si="124"/>
        <v>0</v>
      </c>
    </row>
    <row r="4287" spans="1:60" ht="58" x14ac:dyDescent="0.35">
      <c r="A4287" s="2" t="s">
        <v>6202</v>
      </c>
      <c r="B4287" s="2" t="s">
        <v>6203</v>
      </c>
      <c r="C4287" s="2" t="s">
        <v>41923</v>
      </c>
      <c r="D4287" s="2" t="s">
        <v>41924</v>
      </c>
      <c r="E4287" s="2" t="s">
        <v>41925</v>
      </c>
      <c r="G4287" s="3" t="s">
        <v>128</v>
      </c>
      <c r="I4287" s="3" t="s">
        <v>64</v>
      </c>
      <c r="J4287" s="3" t="s">
        <v>64</v>
      </c>
      <c r="K4287" s="3" t="s">
        <v>65</v>
      </c>
      <c r="M4287" s="2" t="s">
        <v>41926</v>
      </c>
      <c r="N4287" s="3" t="s">
        <v>511</v>
      </c>
      <c r="P4287" s="3" t="s">
        <v>102</v>
      </c>
      <c r="R4287" s="3" t="s">
        <v>70</v>
      </c>
      <c r="S4287" s="4">
        <v>0</v>
      </c>
      <c r="T4287" s="4">
        <v>0</v>
      </c>
      <c r="W4287" s="5" t="s">
        <v>72</v>
      </c>
      <c r="X4287" s="5" t="s">
        <v>72</v>
      </c>
      <c r="Y4287" s="4">
        <v>4</v>
      </c>
      <c r="Z4287" s="4">
        <v>2</v>
      </c>
      <c r="AA4287" s="4">
        <v>2</v>
      </c>
      <c r="AB4287" s="4">
        <v>1</v>
      </c>
      <c r="AC4287" s="4">
        <v>1</v>
      </c>
      <c r="AD4287" s="4">
        <v>2</v>
      </c>
      <c r="AE4287" s="4">
        <v>2</v>
      </c>
      <c r="AF4287" s="4">
        <v>0</v>
      </c>
      <c r="AG4287" s="4">
        <v>0</v>
      </c>
      <c r="AH4287" s="4">
        <v>2</v>
      </c>
      <c r="AI4287" s="4">
        <v>2</v>
      </c>
      <c r="AJ4287" s="4">
        <v>1</v>
      </c>
      <c r="AK4287" s="4">
        <v>1</v>
      </c>
      <c r="AL4287" s="4">
        <v>1</v>
      </c>
      <c r="AM4287" s="4">
        <v>1</v>
      </c>
      <c r="AN4287" s="4">
        <v>0</v>
      </c>
      <c r="AO4287" s="4">
        <v>0</v>
      </c>
      <c r="AP4287" s="4">
        <v>1</v>
      </c>
      <c r="AQ4287" s="4">
        <v>1</v>
      </c>
      <c r="AR4287" s="3" t="s">
        <v>64</v>
      </c>
      <c r="AS4287" s="3" t="s">
        <v>64</v>
      </c>
      <c r="AT4287" s="3" t="s">
        <v>64</v>
      </c>
      <c r="AV4287" s="6" t="str">
        <f>HYPERLINK("http://mcgill.on.worldcat.org/oclc/948629100","Catalog Record")</f>
        <v>Catalog Record</v>
      </c>
      <c r="AW4287" s="6" t="str">
        <f>HYPERLINK("http://www.worldcat.org/oclc/948629100","WorldCat Record")</f>
        <v>WorldCat Record</v>
      </c>
      <c r="AX4287" s="3" t="s">
        <v>41927</v>
      </c>
      <c r="AY4287" s="3" t="s">
        <v>41928</v>
      </c>
      <c r="AZ4287" s="3" t="s">
        <v>41929</v>
      </c>
      <c r="BA4287" s="3" t="s">
        <v>41929</v>
      </c>
      <c r="BB4287" s="3" t="s">
        <v>41930</v>
      </c>
      <c r="BC4287" s="3" t="s">
        <v>77</v>
      </c>
      <c r="BD4287" s="3" t="s">
        <v>78</v>
      </c>
      <c r="BE4287" s="3" t="s">
        <v>41931</v>
      </c>
      <c r="BF4287" s="3" t="s">
        <v>41930</v>
      </c>
      <c r="BG4287" s="3" t="s">
        <v>41932</v>
      </c>
      <c r="BH4287">
        <f t="shared" si="124"/>
        <v>0</v>
      </c>
    </row>
    <row r="4288" spans="1:60" ht="58" x14ac:dyDescent="0.35">
      <c r="A4288" s="2" t="s">
        <v>6202</v>
      </c>
      <c r="B4288" s="2" t="s">
        <v>6203</v>
      </c>
      <c r="C4288" s="2" t="s">
        <v>41933</v>
      </c>
      <c r="D4288" s="2" t="s">
        <v>41934</v>
      </c>
      <c r="E4288" s="2" t="s">
        <v>41935</v>
      </c>
      <c r="F4288" s="3" t="s">
        <v>41264</v>
      </c>
      <c r="G4288" s="3" t="s">
        <v>128</v>
      </c>
      <c r="I4288" s="3" t="s">
        <v>64</v>
      </c>
      <c r="J4288" s="3" t="s">
        <v>64</v>
      </c>
      <c r="K4288" s="3" t="s">
        <v>65</v>
      </c>
      <c r="L4288" s="2" t="s">
        <v>41936</v>
      </c>
      <c r="M4288" s="2" t="s">
        <v>41937</v>
      </c>
      <c r="N4288" s="3" t="s">
        <v>874</v>
      </c>
      <c r="P4288" s="3" t="s">
        <v>1479</v>
      </c>
      <c r="R4288" s="3" t="s">
        <v>70</v>
      </c>
      <c r="S4288" s="4">
        <v>0</v>
      </c>
      <c r="T4288" s="4">
        <v>1</v>
      </c>
      <c r="V4288" s="5" t="s">
        <v>19011</v>
      </c>
      <c r="W4288" s="5" t="s">
        <v>72</v>
      </c>
      <c r="X4288" s="5" t="s">
        <v>72</v>
      </c>
      <c r="Y4288" s="4">
        <v>173</v>
      </c>
      <c r="Z4288" s="4">
        <v>16</v>
      </c>
      <c r="AA4288" s="4">
        <v>16</v>
      </c>
      <c r="AB4288" s="4">
        <v>1</v>
      </c>
      <c r="AC4288" s="4">
        <v>1</v>
      </c>
      <c r="AD4288" s="4">
        <v>92</v>
      </c>
      <c r="AE4288" s="4">
        <v>92</v>
      </c>
      <c r="AF4288" s="4">
        <v>0</v>
      </c>
      <c r="AG4288" s="4">
        <v>0</v>
      </c>
      <c r="AH4288" s="4">
        <v>86</v>
      </c>
      <c r="AI4288" s="4">
        <v>86</v>
      </c>
      <c r="AJ4288" s="4">
        <v>13</v>
      </c>
      <c r="AK4288" s="4">
        <v>13</v>
      </c>
      <c r="AL4288" s="4">
        <v>51</v>
      </c>
      <c r="AM4288" s="4">
        <v>51</v>
      </c>
      <c r="AN4288" s="4">
        <v>0</v>
      </c>
      <c r="AO4288" s="4">
        <v>0</v>
      </c>
      <c r="AP4288" s="4">
        <v>13</v>
      </c>
      <c r="AQ4288" s="4">
        <v>13</v>
      </c>
      <c r="AR4288" s="3" t="s">
        <v>64</v>
      </c>
      <c r="AS4288" s="3" t="s">
        <v>64</v>
      </c>
      <c r="AT4288" s="3" t="s">
        <v>128</v>
      </c>
      <c r="AU4288" s="6" t="str">
        <f t="shared" ref="AU4288:AU4297" si="127">HYPERLINK("http://catalog.hathitrust.org/Record/000144500","HathiTrust Record")</f>
        <v>HathiTrust Record</v>
      </c>
      <c r="AV4288" s="6" t="str">
        <f t="shared" ref="AV4288:AV4297" si="128">HYPERLINK("http://mcgill.on.worldcat.org/oclc/8663696","Catalog Record")</f>
        <v>Catalog Record</v>
      </c>
      <c r="AW4288" s="6" t="str">
        <f t="shared" ref="AW4288:AW4297" si="129">HYPERLINK("http://www.worldcat.org/oclc/8663696","WorldCat Record")</f>
        <v>WorldCat Record</v>
      </c>
      <c r="AX4288" s="3" t="s">
        <v>41938</v>
      </c>
      <c r="AY4288" s="3" t="s">
        <v>41939</v>
      </c>
      <c r="AZ4288" s="3" t="s">
        <v>41940</v>
      </c>
      <c r="BA4288" s="3" t="s">
        <v>41940</v>
      </c>
      <c r="BB4288" s="3" t="s">
        <v>41941</v>
      </c>
      <c r="BC4288" s="3" t="s">
        <v>77</v>
      </c>
      <c r="BD4288" s="3" t="s">
        <v>78</v>
      </c>
      <c r="BE4288" s="3" t="s">
        <v>41942</v>
      </c>
      <c r="BF4288" s="3" t="s">
        <v>41941</v>
      </c>
      <c r="BG4288" s="3" t="s">
        <v>41943</v>
      </c>
      <c r="BH4288">
        <f t="shared" si="124"/>
        <v>0</v>
      </c>
    </row>
    <row r="4289" spans="1:60" ht="58" x14ac:dyDescent="0.35">
      <c r="A4289" s="2" t="s">
        <v>6202</v>
      </c>
      <c r="B4289" s="2" t="s">
        <v>6203</v>
      </c>
      <c r="C4289" s="2" t="s">
        <v>41933</v>
      </c>
      <c r="D4289" s="2" t="s">
        <v>41934</v>
      </c>
      <c r="E4289" s="2" t="s">
        <v>41935</v>
      </c>
      <c r="F4289" s="3" t="s">
        <v>41944</v>
      </c>
      <c r="G4289" s="3" t="s">
        <v>128</v>
      </c>
      <c r="I4289" s="3" t="s">
        <v>64</v>
      </c>
      <c r="J4289" s="3" t="s">
        <v>64</v>
      </c>
      <c r="K4289" s="3" t="s">
        <v>65</v>
      </c>
      <c r="L4289" s="2" t="s">
        <v>41936</v>
      </c>
      <c r="M4289" s="2" t="s">
        <v>41937</v>
      </c>
      <c r="N4289" s="3" t="s">
        <v>874</v>
      </c>
      <c r="P4289" s="3" t="s">
        <v>1479</v>
      </c>
      <c r="R4289" s="3" t="s">
        <v>70</v>
      </c>
      <c r="S4289" s="4">
        <v>0</v>
      </c>
      <c r="T4289" s="4">
        <v>1</v>
      </c>
      <c r="V4289" s="5" t="s">
        <v>19011</v>
      </c>
      <c r="W4289" s="5" t="s">
        <v>72</v>
      </c>
      <c r="X4289" s="5" t="s">
        <v>72</v>
      </c>
      <c r="Y4289" s="4">
        <v>173</v>
      </c>
      <c r="Z4289" s="4">
        <v>16</v>
      </c>
      <c r="AA4289" s="4">
        <v>16</v>
      </c>
      <c r="AB4289" s="4">
        <v>1</v>
      </c>
      <c r="AC4289" s="4">
        <v>1</v>
      </c>
      <c r="AD4289" s="4">
        <v>92</v>
      </c>
      <c r="AE4289" s="4">
        <v>92</v>
      </c>
      <c r="AF4289" s="4">
        <v>0</v>
      </c>
      <c r="AG4289" s="4">
        <v>0</v>
      </c>
      <c r="AH4289" s="4">
        <v>86</v>
      </c>
      <c r="AI4289" s="4">
        <v>86</v>
      </c>
      <c r="AJ4289" s="4">
        <v>13</v>
      </c>
      <c r="AK4289" s="4">
        <v>13</v>
      </c>
      <c r="AL4289" s="4">
        <v>51</v>
      </c>
      <c r="AM4289" s="4">
        <v>51</v>
      </c>
      <c r="AN4289" s="4">
        <v>0</v>
      </c>
      <c r="AO4289" s="4">
        <v>0</v>
      </c>
      <c r="AP4289" s="4">
        <v>13</v>
      </c>
      <c r="AQ4289" s="4">
        <v>13</v>
      </c>
      <c r="AR4289" s="3" t="s">
        <v>64</v>
      </c>
      <c r="AS4289" s="3" t="s">
        <v>64</v>
      </c>
      <c r="AT4289" s="3" t="s">
        <v>128</v>
      </c>
      <c r="AU4289" s="6" t="str">
        <f t="shared" si="127"/>
        <v>HathiTrust Record</v>
      </c>
      <c r="AV4289" s="6" t="str">
        <f t="shared" si="128"/>
        <v>Catalog Record</v>
      </c>
      <c r="AW4289" s="6" t="str">
        <f t="shared" si="129"/>
        <v>WorldCat Record</v>
      </c>
      <c r="AX4289" s="3" t="s">
        <v>41938</v>
      </c>
      <c r="AY4289" s="3" t="s">
        <v>41939</v>
      </c>
      <c r="AZ4289" s="3" t="s">
        <v>41940</v>
      </c>
      <c r="BA4289" s="3" t="s">
        <v>41940</v>
      </c>
      <c r="BB4289" s="3" t="s">
        <v>41945</v>
      </c>
      <c r="BC4289" s="3" t="s">
        <v>77</v>
      </c>
      <c r="BD4289" s="3" t="s">
        <v>78</v>
      </c>
      <c r="BE4289" s="3" t="s">
        <v>41942</v>
      </c>
      <c r="BF4289" s="3" t="s">
        <v>41945</v>
      </c>
      <c r="BG4289" s="3" t="s">
        <v>41946</v>
      </c>
      <c r="BH4289">
        <f t="shared" si="124"/>
        <v>0</v>
      </c>
    </row>
    <row r="4290" spans="1:60" ht="58" x14ac:dyDescent="0.35">
      <c r="A4290" s="2" t="s">
        <v>6202</v>
      </c>
      <c r="B4290" s="2" t="s">
        <v>6203</v>
      </c>
      <c r="C4290" s="2" t="s">
        <v>41933</v>
      </c>
      <c r="D4290" s="2" t="s">
        <v>41934</v>
      </c>
      <c r="E4290" s="2" t="s">
        <v>41935</v>
      </c>
      <c r="F4290" s="3" t="s">
        <v>41947</v>
      </c>
      <c r="G4290" s="3" t="s">
        <v>128</v>
      </c>
      <c r="I4290" s="3" t="s">
        <v>64</v>
      </c>
      <c r="J4290" s="3" t="s">
        <v>64</v>
      </c>
      <c r="K4290" s="3" t="s">
        <v>65</v>
      </c>
      <c r="L4290" s="2" t="s">
        <v>41936</v>
      </c>
      <c r="M4290" s="2" t="s">
        <v>41937</v>
      </c>
      <c r="N4290" s="3" t="s">
        <v>874</v>
      </c>
      <c r="P4290" s="3" t="s">
        <v>1479</v>
      </c>
      <c r="R4290" s="3" t="s">
        <v>70</v>
      </c>
      <c r="S4290" s="4">
        <v>1</v>
      </c>
      <c r="T4290" s="4">
        <v>1</v>
      </c>
      <c r="U4290" s="5" t="s">
        <v>19011</v>
      </c>
      <c r="V4290" s="5" t="s">
        <v>19011</v>
      </c>
      <c r="W4290" s="5" t="s">
        <v>72</v>
      </c>
      <c r="X4290" s="5" t="s">
        <v>72</v>
      </c>
      <c r="Y4290" s="4">
        <v>173</v>
      </c>
      <c r="Z4290" s="4">
        <v>16</v>
      </c>
      <c r="AA4290" s="4">
        <v>16</v>
      </c>
      <c r="AB4290" s="4">
        <v>1</v>
      </c>
      <c r="AC4290" s="4">
        <v>1</v>
      </c>
      <c r="AD4290" s="4">
        <v>92</v>
      </c>
      <c r="AE4290" s="4">
        <v>92</v>
      </c>
      <c r="AF4290" s="4">
        <v>0</v>
      </c>
      <c r="AG4290" s="4">
        <v>0</v>
      </c>
      <c r="AH4290" s="4">
        <v>86</v>
      </c>
      <c r="AI4290" s="4">
        <v>86</v>
      </c>
      <c r="AJ4290" s="4">
        <v>13</v>
      </c>
      <c r="AK4290" s="4">
        <v>13</v>
      </c>
      <c r="AL4290" s="4">
        <v>51</v>
      </c>
      <c r="AM4290" s="4">
        <v>51</v>
      </c>
      <c r="AN4290" s="4">
        <v>0</v>
      </c>
      <c r="AO4290" s="4">
        <v>0</v>
      </c>
      <c r="AP4290" s="4">
        <v>13</v>
      </c>
      <c r="AQ4290" s="4">
        <v>13</v>
      </c>
      <c r="AR4290" s="3" t="s">
        <v>64</v>
      </c>
      <c r="AS4290" s="3" t="s">
        <v>64</v>
      </c>
      <c r="AT4290" s="3" t="s">
        <v>128</v>
      </c>
      <c r="AU4290" s="6" t="str">
        <f t="shared" si="127"/>
        <v>HathiTrust Record</v>
      </c>
      <c r="AV4290" s="6" t="str">
        <f t="shared" si="128"/>
        <v>Catalog Record</v>
      </c>
      <c r="AW4290" s="6" t="str">
        <f t="shared" si="129"/>
        <v>WorldCat Record</v>
      </c>
      <c r="AX4290" s="3" t="s">
        <v>41938</v>
      </c>
      <c r="AY4290" s="3" t="s">
        <v>41939</v>
      </c>
      <c r="AZ4290" s="3" t="s">
        <v>41940</v>
      </c>
      <c r="BA4290" s="3" t="s">
        <v>41940</v>
      </c>
      <c r="BB4290" s="3" t="s">
        <v>41948</v>
      </c>
      <c r="BC4290" s="3" t="s">
        <v>77</v>
      </c>
      <c r="BD4290" s="3" t="s">
        <v>78</v>
      </c>
      <c r="BE4290" s="3" t="s">
        <v>41942</v>
      </c>
      <c r="BF4290" s="3" t="s">
        <v>41948</v>
      </c>
      <c r="BG4290" s="3" t="s">
        <v>41949</v>
      </c>
      <c r="BH4290">
        <f t="shared" ref="BH4290:BH4353" si="130">IF(COUNTIF($BF$1:$BF$5431,BF4290)=1,0,1)</f>
        <v>0</v>
      </c>
    </row>
    <row r="4291" spans="1:60" ht="58" x14ac:dyDescent="0.35">
      <c r="A4291" s="2" t="s">
        <v>6202</v>
      </c>
      <c r="B4291" s="2" t="s">
        <v>6203</v>
      </c>
      <c r="C4291" s="2" t="s">
        <v>41933</v>
      </c>
      <c r="D4291" s="2" t="s">
        <v>41934</v>
      </c>
      <c r="E4291" s="2" t="s">
        <v>41935</v>
      </c>
      <c r="F4291" s="3" t="s">
        <v>41254</v>
      </c>
      <c r="G4291" s="3" t="s">
        <v>128</v>
      </c>
      <c r="I4291" s="3" t="s">
        <v>64</v>
      </c>
      <c r="J4291" s="3" t="s">
        <v>64</v>
      </c>
      <c r="K4291" s="3" t="s">
        <v>65</v>
      </c>
      <c r="L4291" s="2" t="s">
        <v>41936</v>
      </c>
      <c r="M4291" s="2" t="s">
        <v>41937</v>
      </c>
      <c r="N4291" s="3" t="s">
        <v>874</v>
      </c>
      <c r="P4291" s="3" t="s">
        <v>1479</v>
      </c>
      <c r="R4291" s="3" t="s">
        <v>70</v>
      </c>
      <c r="S4291" s="4">
        <v>0</v>
      </c>
      <c r="T4291" s="4">
        <v>1</v>
      </c>
      <c r="V4291" s="5" t="s">
        <v>19011</v>
      </c>
      <c r="W4291" s="5" t="s">
        <v>72</v>
      </c>
      <c r="X4291" s="5" t="s">
        <v>72</v>
      </c>
      <c r="Y4291" s="4">
        <v>173</v>
      </c>
      <c r="Z4291" s="4">
        <v>16</v>
      </c>
      <c r="AA4291" s="4">
        <v>16</v>
      </c>
      <c r="AB4291" s="4">
        <v>1</v>
      </c>
      <c r="AC4291" s="4">
        <v>1</v>
      </c>
      <c r="AD4291" s="4">
        <v>92</v>
      </c>
      <c r="AE4291" s="4">
        <v>92</v>
      </c>
      <c r="AF4291" s="4">
        <v>0</v>
      </c>
      <c r="AG4291" s="4">
        <v>0</v>
      </c>
      <c r="AH4291" s="4">
        <v>86</v>
      </c>
      <c r="AI4291" s="4">
        <v>86</v>
      </c>
      <c r="AJ4291" s="4">
        <v>13</v>
      </c>
      <c r="AK4291" s="4">
        <v>13</v>
      </c>
      <c r="AL4291" s="4">
        <v>51</v>
      </c>
      <c r="AM4291" s="4">
        <v>51</v>
      </c>
      <c r="AN4291" s="4">
        <v>0</v>
      </c>
      <c r="AO4291" s="4">
        <v>0</v>
      </c>
      <c r="AP4291" s="4">
        <v>13</v>
      </c>
      <c r="AQ4291" s="4">
        <v>13</v>
      </c>
      <c r="AR4291" s="3" t="s">
        <v>64</v>
      </c>
      <c r="AS4291" s="3" t="s">
        <v>64</v>
      </c>
      <c r="AT4291" s="3" t="s">
        <v>128</v>
      </c>
      <c r="AU4291" s="6" t="str">
        <f t="shared" si="127"/>
        <v>HathiTrust Record</v>
      </c>
      <c r="AV4291" s="6" t="str">
        <f t="shared" si="128"/>
        <v>Catalog Record</v>
      </c>
      <c r="AW4291" s="6" t="str">
        <f t="shared" si="129"/>
        <v>WorldCat Record</v>
      </c>
      <c r="AX4291" s="3" t="s">
        <v>41938</v>
      </c>
      <c r="AY4291" s="3" t="s">
        <v>41939</v>
      </c>
      <c r="AZ4291" s="3" t="s">
        <v>41940</v>
      </c>
      <c r="BA4291" s="3" t="s">
        <v>41940</v>
      </c>
      <c r="BB4291" s="3" t="s">
        <v>41950</v>
      </c>
      <c r="BC4291" s="3" t="s">
        <v>77</v>
      </c>
      <c r="BD4291" s="3" t="s">
        <v>78</v>
      </c>
      <c r="BE4291" s="3" t="s">
        <v>41942</v>
      </c>
      <c r="BF4291" s="3" t="s">
        <v>41950</v>
      </c>
      <c r="BG4291" s="3" t="s">
        <v>41951</v>
      </c>
      <c r="BH4291">
        <f t="shared" si="130"/>
        <v>0</v>
      </c>
    </row>
    <row r="4292" spans="1:60" ht="58" x14ac:dyDescent="0.35">
      <c r="A4292" s="2" t="s">
        <v>6202</v>
      </c>
      <c r="B4292" s="2" t="s">
        <v>6203</v>
      </c>
      <c r="C4292" s="2" t="s">
        <v>41933</v>
      </c>
      <c r="D4292" s="2" t="s">
        <v>41934</v>
      </c>
      <c r="E4292" s="2" t="s">
        <v>41935</v>
      </c>
      <c r="F4292" s="3" t="s">
        <v>35337</v>
      </c>
      <c r="G4292" s="3" t="s">
        <v>128</v>
      </c>
      <c r="I4292" s="3" t="s">
        <v>64</v>
      </c>
      <c r="J4292" s="3" t="s">
        <v>64</v>
      </c>
      <c r="K4292" s="3" t="s">
        <v>65</v>
      </c>
      <c r="L4292" s="2" t="s">
        <v>41936</v>
      </c>
      <c r="M4292" s="2" t="s">
        <v>41937</v>
      </c>
      <c r="N4292" s="3" t="s">
        <v>874</v>
      </c>
      <c r="P4292" s="3" t="s">
        <v>1479</v>
      </c>
      <c r="R4292" s="3" t="s">
        <v>70</v>
      </c>
      <c r="S4292" s="4">
        <v>0</v>
      </c>
      <c r="T4292" s="4">
        <v>1</v>
      </c>
      <c r="V4292" s="5" t="s">
        <v>19011</v>
      </c>
      <c r="W4292" s="5" t="s">
        <v>72</v>
      </c>
      <c r="X4292" s="5" t="s">
        <v>72</v>
      </c>
      <c r="Y4292" s="4">
        <v>173</v>
      </c>
      <c r="Z4292" s="4">
        <v>16</v>
      </c>
      <c r="AA4292" s="4">
        <v>16</v>
      </c>
      <c r="AB4292" s="4">
        <v>1</v>
      </c>
      <c r="AC4292" s="4">
        <v>1</v>
      </c>
      <c r="AD4292" s="4">
        <v>92</v>
      </c>
      <c r="AE4292" s="4">
        <v>92</v>
      </c>
      <c r="AF4292" s="4">
        <v>0</v>
      </c>
      <c r="AG4292" s="4">
        <v>0</v>
      </c>
      <c r="AH4292" s="4">
        <v>86</v>
      </c>
      <c r="AI4292" s="4">
        <v>86</v>
      </c>
      <c r="AJ4292" s="4">
        <v>13</v>
      </c>
      <c r="AK4292" s="4">
        <v>13</v>
      </c>
      <c r="AL4292" s="4">
        <v>51</v>
      </c>
      <c r="AM4292" s="4">
        <v>51</v>
      </c>
      <c r="AN4292" s="4">
        <v>0</v>
      </c>
      <c r="AO4292" s="4">
        <v>0</v>
      </c>
      <c r="AP4292" s="4">
        <v>13</v>
      </c>
      <c r="AQ4292" s="4">
        <v>13</v>
      </c>
      <c r="AR4292" s="3" t="s">
        <v>64</v>
      </c>
      <c r="AS4292" s="3" t="s">
        <v>64</v>
      </c>
      <c r="AT4292" s="3" t="s">
        <v>128</v>
      </c>
      <c r="AU4292" s="6" t="str">
        <f t="shared" si="127"/>
        <v>HathiTrust Record</v>
      </c>
      <c r="AV4292" s="6" t="str">
        <f t="shared" si="128"/>
        <v>Catalog Record</v>
      </c>
      <c r="AW4292" s="6" t="str">
        <f t="shared" si="129"/>
        <v>WorldCat Record</v>
      </c>
      <c r="AX4292" s="3" t="s">
        <v>41938</v>
      </c>
      <c r="AY4292" s="3" t="s">
        <v>41939</v>
      </c>
      <c r="AZ4292" s="3" t="s">
        <v>41940</v>
      </c>
      <c r="BA4292" s="3" t="s">
        <v>41940</v>
      </c>
      <c r="BB4292" s="3" t="s">
        <v>41952</v>
      </c>
      <c r="BC4292" s="3" t="s">
        <v>77</v>
      </c>
      <c r="BD4292" s="3" t="s">
        <v>78</v>
      </c>
      <c r="BE4292" s="3" t="s">
        <v>41942</v>
      </c>
      <c r="BF4292" s="3" t="s">
        <v>41952</v>
      </c>
      <c r="BG4292" s="3" t="s">
        <v>41953</v>
      </c>
      <c r="BH4292">
        <f t="shared" si="130"/>
        <v>0</v>
      </c>
    </row>
    <row r="4293" spans="1:60" ht="58" x14ac:dyDescent="0.35">
      <c r="A4293" s="2" t="s">
        <v>6202</v>
      </c>
      <c r="B4293" s="2" t="s">
        <v>6203</v>
      </c>
      <c r="C4293" s="2" t="s">
        <v>41933</v>
      </c>
      <c r="D4293" s="2" t="s">
        <v>41934</v>
      </c>
      <c r="E4293" s="2" t="s">
        <v>41935</v>
      </c>
      <c r="F4293" s="3" t="s">
        <v>41954</v>
      </c>
      <c r="G4293" s="3" t="s">
        <v>128</v>
      </c>
      <c r="I4293" s="3" t="s">
        <v>64</v>
      </c>
      <c r="J4293" s="3" t="s">
        <v>64</v>
      </c>
      <c r="K4293" s="3" t="s">
        <v>65</v>
      </c>
      <c r="L4293" s="2" t="s">
        <v>41936</v>
      </c>
      <c r="M4293" s="2" t="s">
        <v>41937</v>
      </c>
      <c r="N4293" s="3" t="s">
        <v>874</v>
      </c>
      <c r="P4293" s="3" t="s">
        <v>1479</v>
      </c>
      <c r="R4293" s="3" t="s">
        <v>70</v>
      </c>
      <c r="S4293" s="4">
        <v>0</v>
      </c>
      <c r="T4293" s="4">
        <v>1</v>
      </c>
      <c r="V4293" s="5" t="s">
        <v>19011</v>
      </c>
      <c r="W4293" s="5" t="s">
        <v>72</v>
      </c>
      <c r="X4293" s="5" t="s">
        <v>72</v>
      </c>
      <c r="Y4293" s="4">
        <v>173</v>
      </c>
      <c r="Z4293" s="4">
        <v>16</v>
      </c>
      <c r="AA4293" s="4">
        <v>16</v>
      </c>
      <c r="AB4293" s="4">
        <v>1</v>
      </c>
      <c r="AC4293" s="4">
        <v>1</v>
      </c>
      <c r="AD4293" s="4">
        <v>92</v>
      </c>
      <c r="AE4293" s="4">
        <v>92</v>
      </c>
      <c r="AF4293" s="4">
        <v>0</v>
      </c>
      <c r="AG4293" s="4">
        <v>0</v>
      </c>
      <c r="AH4293" s="4">
        <v>86</v>
      </c>
      <c r="AI4293" s="4">
        <v>86</v>
      </c>
      <c r="AJ4293" s="4">
        <v>13</v>
      </c>
      <c r="AK4293" s="4">
        <v>13</v>
      </c>
      <c r="AL4293" s="4">
        <v>51</v>
      </c>
      <c r="AM4293" s="4">
        <v>51</v>
      </c>
      <c r="AN4293" s="4">
        <v>0</v>
      </c>
      <c r="AO4293" s="4">
        <v>0</v>
      </c>
      <c r="AP4293" s="4">
        <v>13</v>
      </c>
      <c r="AQ4293" s="4">
        <v>13</v>
      </c>
      <c r="AR4293" s="3" t="s">
        <v>64</v>
      </c>
      <c r="AS4293" s="3" t="s">
        <v>64</v>
      </c>
      <c r="AT4293" s="3" t="s">
        <v>128</v>
      </c>
      <c r="AU4293" s="6" t="str">
        <f t="shared" si="127"/>
        <v>HathiTrust Record</v>
      </c>
      <c r="AV4293" s="6" t="str">
        <f t="shared" si="128"/>
        <v>Catalog Record</v>
      </c>
      <c r="AW4293" s="6" t="str">
        <f t="shared" si="129"/>
        <v>WorldCat Record</v>
      </c>
      <c r="AX4293" s="3" t="s">
        <v>41938</v>
      </c>
      <c r="AY4293" s="3" t="s">
        <v>41939</v>
      </c>
      <c r="AZ4293" s="3" t="s">
        <v>41940</v>
      </c>
      <c r="BA4293" s="3" t="s">
        <v>41940</v>
      </c>
      <c r="BB4293" s="3" t="s">
        <v>41955</v>
      </c>
      <c r="BC4293" s="3" t="s">
        <v>77</v>
      </c>
      <c r="BD4293" s="3" t="s">
        <v>78</v>
      </c>
      <c r="BE4293" s="3" t="s">
        <v>41942</v>
      </c>
      <c r="BF4293" s="3" t="s">
        <v>41955</v>
      </c>
      <c r="BG4293" s="3" t="s">
        <v>41956</v>
      </c>
      <c r="BH4293">
        <f t="shared" si="130"/>
        <v>0</v>
      </c>
    </row>
    <row r="4294" spans="1:60" ht="58" x14ac:dyDescent="0.35">
      <c r="A4294" s="2" t="s">
        <v>6202</v>
      </c>
      <c r="B4294" s="2" t="s">
        <v>6203</v>
      </c>
      <c r="C4294" s="2" t="s">
        <v>41933</v>
      </c>
      <c r="D4294" s="2" t="s">
        <v>41934</v>
      </c>
      <c r="E4294" s="2" t="s">
        <v>41935</v>
      </c>
      <c r="F4294" s="3" t="s">
        <v>41245</v>
      </c>
      <c r="G4294" s="3" t="s">
        <v>128</v>
      </c>
      <c r="I4294" s="3" t="s">
        <v>64</v>
      </c>
      <c r="J4294" s="3" t="s">
        <v>64</v>
      </c>
      <c r="K4294" s="3" t="s">
        <v>65</v>
      </c>
      <c r="L4294" s="2" t="s">
        <v>41936</v>
      </c>
      <c r="M4294" s="2" t="s">
        <v>41937</v>
      </c>
      <c r="N4294" s="3" t="s">
        <v>874</v>
      </c>
      <c r="P4294" s="3" t="s">
        <v>1479</v>
      </c>
      <c r="R4294" s="3" t="s">
        <v>70</v>
      </c>
      <c r="S4294" s="4">
        <v>0</v>
      </c>
      <c r="T4294" s="4">
        <v>1</v>
      </c>
      <c r="V4294" s="5" t="s">
        <v>19011</v>
      </c>
      <c r="W4294" s="5" t="s">
        <v>72</v>
      </c>
      <c r="X4294" s="5" t="s">
        <v>72</v>
      </c>
      <c r="Y4294" s="4">
        <v>173</v>
      </c>
      <c r="Z4294" s="4">
        <v>16</v>
      </c>
      <c r="AA4294" s="4">
        <v>16</v>
      </c>
      <c r="AB4294" s="4">
        <v>1</v>
      </c>
      <c r="AC4294" s="4">
        <v>1</v>
      </c>
      <c r="AD4294" s="4">
        <v>92</v>
      </c>
      <c r="AE4294" s="4">
        <v>92</v>
      </c>
      <c r="AF4294" s="4">
        <v>0</v>
      </c>
      <c r="AG4294" s="4">
        <v>0</v>
      </c>
      <c r="AH4294" s="4">
        <v>86</v>
      </c>
      <c r="AI4294" s="4">
        <v>86</v>
      </c>
      <c r="AJ4294" s="4">
        <v>13</v>
      </c>
      <c r="AK4294" s="4">
        <v>13</v>
      </c>
      <c r="AL4294" s="4">
        <v>51</v>
      </c>
      <c r="AM4294" s="4">
        <v>51</v>
      </c>
      <c r="AN4294" s="4">
        <v>0</v>
      </c>
      <c r="AO4294" s="4">
        <v>0</v>
      </c>
      <c r="AP4294" s="4">
        <v>13</v>
      </c>
      <c r="AQ4294" s="4">
        <v>13</v>
      </c>
      <c r="AR4294" s="3" t="s">
        <v>64</v>
      </c>
      <c r="AS4294" s="3" t="s">
        <v>64</v>
      </c>
      <c r="AT4294" s="3" t="s">
        <v>128</v>
      </c>
      <c r="AU4294" s="6" t="str">
        <f t="shared" si="127"/>
        <v>HathiTrust Record</v>
      </c>
      <c r="AV4294" s="6" t="str">
        <f t="shared" si="128"/>
        <v>Catalog Record</v>
      </c>
      <c r="AW4294" s="6" t="str">
        <f t="shared" si="129"/>
        <v>WorldCat Record</v>
      </c>
      <c r="AX4294" s="3" t="s">
        <v>41938</v>
      </c>
      <c r="AY4294" s="3" t="s">
        <v>41939</v>
      </c>
      <c r="AZ4294" s="3" t="s">
        <v>41940</v>
      </c>
      <c r="BA4294" s="3" t="s">
        <v>41940</v>
      </c>
      <c r="BB4294" s="3" t="s">
        <v>41957</v>
      </c>
      <c r="BC4294" s="3" t="s">
        <v>77</v>
      </c>
      <c r="BD4294" s="3" t="s">
        <v>78</v>
      </c>
      <c r="BE4294" s="3" t="s">
        <v>41942</v>
      </c>
      <c r="BF4294" s="3" t="s">
        <v>41957</v>
      </c>
      <c r="BG4294" s="3" t="s">
        <v>41958</v>
      </c>
      <c r="BH4294">
        <f t="shared" si="130"/>
        <v>0</v>
      </c>
    </row>
    <row r="4295" spans="1:60" ht="58" x14ac:dyDescent="0.35">
      <c r="A4295" s="2" t="s">
        <v>6202</v>
      </c>
      <c r="B4295" s="2" t="s">
        <v>6203</v>
      </c>
      <c r="C4295" s="2" t="s">
        <v>41933</v>
      </c>
      <c r="D4295" s="2" t="s">
        <v>41934</v>
      </c>
      <c r="E4295" s="2" t="s">
        <v>41935</v>
      </c>
      <c r="F4295" s="3" t="s">
        <v>41259</v>
      </c>
      <c r="G4295" s="3" t="s">
        <v>128</v>
      </c>
      <c r="I4295" s="3" t="s">
        <v>64</v>
      </c>
      <c r="J4295" s="3" t="s">
        <v>64</v>
      </c>
      <c r="K4295" s="3" t="s">
        <v>65</v>
      </c>
      <c r="L4295" s="2" t="s">
        <v>41936</v>
      </c>
      <c r="M4295" s="2" t="s">
        <v>41937</v>
      </c>
      <c r="N4295" s="3" t="s">
        <v>874</v>
      </c>
      <c r="P4295" s="3" t="s">
        <v>1479</v>
      </c>
      <c r="R4295" s="3" t="s">
        <v>70</v>
      </c>
      <c r="S4295" s="4">
        <v>0</v>
      </c>
      <c r="T4295" s="4">
        <v>1</v>
      </c>
      <c r="V4295" s="5" t="s">
        <v>19011</v>
      </c>
      <c r="W4295" s="5" t="s">
        <v>72</v>
      </c>
      <c r="X4295" s="5" t="s">
        <v>72</v>
      </c>
      <c r="Y4295" s="4">
        <v>173</v>
      </c>
      <c r="Z4295" s="4">
        <v>16</v>
      </c>
      <c r="AA4295" s="4">
        <v>16</v>
      </c>
      <c r="AB4295" s="4">
        <v>1</v>
      </c>
      <c r="AC4295" s="4">
        <v>1</v>
      </c>
      <c r="AD4295" s="4">
        <v>92</v>
      </c>
      <c r="AE4295" s="4">
        <v>92</v>
      </c>
      <c r="AF4295" s="4">
        <v>0</v>
      </c>
      <c r="AG4295" s="4">
        <v>0</v>
      </c>
      <c r="AH4295" s="4">
        <v>86</v>
      </c>
      <c r="AI4295" s="4">
        <v>86</v>
      </c>
      <c r="AJ4295" s="4">
        <v>13</v>
      </c>
      <c r="AK4295" s="4">
        <v>13</v>
      </c>
      <c r="AL4295" s="4">
        <v>51</v>
      </c>
      <c r="AM4295" s="4">
        <v>51</v>
      </c>
      <c r="AN4295" s="4">
        <v>0</v>
      </c>
      <c r="AO4295" s="4">
        <v>0</v>
      </c>
      <c r="AP4295" s="4">
        <v>13</v>
      </c>
      <c r="AQ4295" s="4">
        <v>13</v>
      </c>
      <c r="AR4295" s="3" t="s">
        <v>64</v>
      </c>
      <c r="AS4295" s="3" t="s">
        <v>64</v>
      </c>
      <c r="AT4295" s="3" t="s">
        <v>128</v>
      </c>
      <c r="AU4295" s="6" t="str">
        <f t="shared" si="127"/>
        <v>HathiTrust Record</v>
      </c>
      <c r="AV4295" s="6" t="str">
        <f t="shared" si="128"/>
        <v>Catalog Record</v>
      </c>
      <c r="AW4295" s="6" t="str">
        <f t="shared" si="129"/>
        <v>WorldCat Record</v>
      </c>
      <c r="AX4295" s="3" t="s">
        <v>41938</v>
      </c>
      <c r="AY4295" s="3" t="s">
        <v>41939</v>
      </c>
      <c r="AZ4295" s="3" t="s">
        <v>41940</v>
      </c>
      <c r="BA4295" s="3" t="s">
        <v>41940</v>
      </c>
      <c r="BB4295" s="3" t="s">
        <v>41959</v>
      </c>
      <c r="BC4295" s="3" t="s">
        <v>77</v>
      </c>
      <c r="BD4295" s="3" t="s">
        <v>78</v>
      </c>
      <c r="BE4295" s="3" t="s">
        <v>41942</v>
      </c>
      <c r="BF4295" s="3" t="s">
        <v>41959</v>
      </c>
      <c r="BG4295" s="3" t="s">
        <v>41960</v>
      </c>
      <c r="BH4295">
        <f t="shared" si="130"/>
        <v>0</v>
      </c>
    </row>
    <row r="4296" spans="1:60" ht="58" x14ac:dyDescent="0.35">
      <c r="A4296" s="2" t="s">
        <v>6202</v>
      </c>
      <c r="B4296" s="2" t="s">
        <v>6203</v>
      </c>
      <c r="C4296" s="2" t="s">
        <v>41933</v>
      </c>
      <c r="D4296" s="2" t="s">
        <v>41934</v>
      </c>
      <c r="E4296" s="2" t="s">
        <v>41935</v>
      </c>
      <c r="F4296" s="3" t="s">
        <v>41961</v>
      </c>
      <c r="G4296" s="3" t="s">
        <v>128</v>
      </c>
      <c r="I4296" s="3" t="s">
        <v>64</v>
      </c>
      <c r="J4296" s="3" t="s">
        <v>64</v>
      </c>
      <c r="K4296" s="3" t="s">
        <v>65</v>
      </c>
      <c r="L4296" s="2" t="s">
        <v>41936</v>
      </c>
      <c r="M4296" s="2" t="s">
        <v>41937</v>
      </c>
      <c r="N4296" s="3" t="s">
        <v>874</v>
      </c>
      <c r="P4296" s="3" t="s">
        <v>1479</v>
      </c>
      <c r="R4296" s="3" t="s">
        <v>70</v>
      </c>
      <c r="S4296" s="4">
        <v>0</v>
      </c>
      <c r="T4296" s="4">
        <v>1</v>
      </c>
      <c r="V4296" s="5" t="s">
        <v>19011</v>
      </c>
      <c r="W4296" s="5" t="s">
        <v>72</v>
      </c>
      <c r="X4296" s="5" t="s">
        <v>72</v>
      </c>
      <c r="Y4296" s="4">
        <v>173</v>
      </c>
      <c r="Z4296" s="4">
        <v>16</v>
      </c>
      <c r="AA4296" s="4">
        <v>16</v>
      </c>
      <c r="AB4296" s="4">
        <v>1</v>
      </c>
      <c r="AC4296" s="4">
        <v>1</v>
      </c>
      <c r="AD4296" s="4">
        <v>92</v>
      </c>
      <c r="AE4296" s="4">
        <v>92</v>
      </c>
      <c r="AF4296" s="4">
        <v>0</v>
      </c>
      <c r="AG4296" s="4">
        <v>0</v>
      </c>
      <c r="AH4296" s="4">
        <v>86</v>
      </c>
      <c r="AI4296" s="4">
        <v>86</v>
      </c>
      <c r="AJ4296" s="4">
        <v>13</v>
      </c>
      <c r="AK4296" s="4">
        <v>13</v>
      </c>
      <c r="AL4296" s="4">
        <v>51</v>
      </c>
      <c r="AM4296" s="4">
        <v>51</v>
      </c>
      <c r="AN4296" s="4">
        <v>0</v>
      </c>
      <c r="AO4296" s="4">
        <v>0</v>
      </c>
      <c r="AP4296" s="4">
        <v>13</v>
      </c>
      <c r="AQ4296" s="4">
        <v>13</v>
      </c>
      <c r="AR4296" s="3" t="s">
        <v>64</v>
      </c>
      <c r="AS4296" s="3" t="s">
        <v>64</v>
      </c>
      <c r="AT4296" s="3" t="s">
        <v>128</v>
      </c>
      <c r="AU4296" s="6" t="str">
        <f t="shared" si="127"/>
        <v>HathiTrust Record</v>
      </c>
      <c r="AV4296" s="6" t="str">
        <f t="shared" si="128"/>
        <v>Catalog Record</v>
      </c>
      <c r="AW4296" s="6" t="str">
        <f t="shared" si="129"/>
        <v>WorldCat Record</v>
      </c>
      <c r="AX4296" s="3" t="s">
        <v>41938</v>
      </c>
      <c r="AY4296" s="3" t="s">
        <v>41939</v>
      </c>
      <c r="AZ4296" s="3" t="s">
        <v>41940</v>
      </c>
      <c r="BA4296" s="3" t="s">
        <v>41940</v>
      </c>
      <c r="BB4296" s="3" t="s">
        <v>41962</v>
      </c>
      <c r="BC4296" s="3" t="s">
        <v>77</v>
      </c>
      <c r="BD4296" s="3" t="s">
        <v>78</v>
      </c>
      <c r="BE4296" s="3" t="s">
        <v>41942</v>
      </c>
      <c r="BF4296" s="3" t="s">
        <v>41962</v>
      </c>
      <c r="BG4296" s="3" t="s">
        <v>41963</v>
      </c>
      <c r="BH4296">
        <f t="shared" si="130"/>
        <v>0</v>
      </c>
    </row>
    <row r="4297" spans="1:60" ht="58" x14ac:dyDescent="0.35">
      <c r="A4297" s="2" t="s">
        <v>6202</v>
      </c>
      <c r="B4297" s="2" t="s">
        <v>6203</v>
      </c>
      <c r="C4297" s="2" t="s">
        <v>41933</v>
      </c>
      <c r="D4297" s="2" t="s">
        <v>41934</v>
      </c>
      <c r="E4297" s="2" t="s">
        <v>41935</v>
      </c>
      <c r="F4297" s="3" t="s">
        <v>40421</v>
      </c>
      <c r="G4297" s="3" t="s">
        <v>128</v>
      </c>
      <c r="I4297" s="3" t="s">
        <v>64</v>
      </c>
      <c r="J4297" s="3" t="s">
        <v>64</v>
      </c>
      <c r="K4297" s="3" t="s">
        <v>65</v>
      </c>
      <c r="L4297" s="2" t="s">
        <v>41936</v>
      </c>
      <c r="M4297" s="2" t="s">
        <v>41937</v>
      </c>
      <c r="N4297" s="3" t="s">
        <v>874</v>
      </c>
      <c r="P4297" s="3" t="s">
        <v>1479</v>
      </c>
      <c r="R4297" s="3" t="s">
        <v>70</v>
      </c>
      <c r="S4297" s="4">
        <v>0</v>
      </c>
      <c r="T4297" s="4">
        <v>1</v>
      </c>
      <c r="V4297" s="5" t="s">
        <v>19011</v>
      </c>
      <c r="W4297" s="5" t="s">
        <v>72</v>
      </c>
      <c r="X4297" s="5" t="s">
        <v>72</v>
      </c>
      <c r="Y4297" s="4">
        <v>173</v>
      </c>
      <c r="Z4297" s="4">
        <v>16</v>
      </c>
      <c r="AA4297" s="4">
        <v>16</v>
      </c>
      <c r="AB4297" s="4">
        <v>1</v>
      </c>
      <c r="AC4297" s="4">
        <v>1</v>
      </c>
      <c r="AD4297" s="4">
        <v>92</v>
      </c>
      <c r="AE4297" s="4">
        <v>92</v>
      </c>
      <c r="AF4297" s="4">
        <v>0</v>
      </c>
      <c r="AG4297" s="4">
        <v>0</v>
      </c>
      <c r="AH4297" s="4">
        <v>86</v>
      </c>
      <c r="AI4297" s="4">
        <v>86</v>
      </c>
      <c r="AJ4297" s="4">
        <v>13</v>
      </c>
      <c r="AK4297" s="4">
        <v>13</v>
      </c>
      <c r="AL4297" s="4">
        <v>51</v>
      </c>
      <c r="AM4297" s="4">
        <v>51</v>
      </c>
      <c r="AN4297" s="4">
        <v>0</v>
      </c>
      <c r="AO4297" s="4">
        <v>0</v>
      </c>
      <c r="AP4297" s="4">
        <v>13</v>
      </c>
      <c r="AQ4297" s="4">
        <v>13</v>
      </c>
      <c r="AR4297" s="3" t="s">
        <v>64</v>
      </c>
      <c r="AS4297" s="3" t="s">
        <v>64</v>
      </c>
      <c r="AT4297" s="3" t="s">
        <v>128</v>
      </c>
      <c r="AU4297" s="6" t="str">
        <f t="shared" si="127"/>
        <v>HathiTrust Record</v>
      </c>
      <c r="AV4297" s="6" t="str">
        <f t="shared" si="128"/>
        <v>Catalog Record</v>
      </c>
      <c r="AW4297" s="6" t="str">
        <f t="shared" si="129"/>
        <v>WorldCat Record</v>
      </c>
      <c r="AX4297" s="3" t="s">
        <v>41938</v>
      </c>
      <c r="AY4297" s="3" t="s">
        <v>41939</v>
      </c>
      <c r="AZ4297" s="3" t="s">
        <v>41940</v>
      </c>
      <c r="BA4297" s="3" t="s">
        <v>41940</v>
      </c>
      <c r="BB4297" s="3" t="s">
        <v>41964</v>
      </c>
      <c r="BC4297" s="3" t="s">
        <v>77</v>
      </c>
      <c r="BD4297" s="3" t="s">
        <v>78</v>
      </c>
      <c r="BE4297" s="3" t="s">
        <v>41942</v>
      </c>
      <c r="BF4297" s="3" t="s">
        <v>41964</v>
      </c>
      <c r="BG4297" s="3" t="s">
        <v>41965</v>
      </c>
      <c r="BH4297">
        <f t="shared" si="130"/>
        <v>0</v>
      </c>
    </row>
    <row r="4298" spans="1:60" ht="58" x14ac:dyDescent="0.35">
      <c r="A4298" s="2" t="s">
        <v>6202</v>
      </c>
      <c r="B4298" s="2" t="s">
        <v>6203</v>
      </c>
      <c r="C4298" s="2" t="s">
        <v>41966</v>
      </c>
      <c r="D4298" s="2" t="s">
        <v>41967</v>
      </c>
      <c r="E4298" s="2" t="s">
        <v>41968</v>
      </c>
      <c r="G4298" s="3" t="s">
        <v>64</v>
      </c>
      <c r="I4298" s="3" t="s">
        <v>64</v>
      </c>
      <c r="J4298" s="3" t="s">
        <v>64</v>
      </c>
      <c r="K4298" s="3" t="s">
        <v>65</v>
      </c>
      <c r="L4298" s="2" t="s">
        <v>41936</v>
      </c>
      <c r="M4298" s="2" t="s">
        <v>41969</v>
      </c>
      <c r="N4298" s="3" t="s">
        <v>405</v>
      </c>
      <c r="P4298" s="3" t="s">
        <v>1479</v>
      </c>
      <c r="Q4298" s="2" t="s">
        <v>41970</v>
      </c>
      <c r="R4298" s="3" t="s">
        <v>70</v>
      </c>
      <c r="S4298" s="4">
        <v>1</v>
      </c>
      <c r="T4298" s="4">
        <v>1</v>
      </c>
      <c r="U4298" s="5" t="s">
        <v>2861</v>
      </c>
      <c r="V4298" s="5" t="s">
        <v>2861</v>
      </c>
      <c r="W4298" s="5" t="s">
        <v>72</v>
      </c>
      <c r="X4298" s="5" t="s">
        <v>72</v>
      </c>
      <c r="Y4298" s="4">
        <v>173</v>
      </c>
      <c r="Z4298" s="4">
        <v>13</v>
      </c>
      <c r="AA4298" s="4">
        <v>15</v>
      </c>
      <c r="AB4298" s="4">
        <v>1</v>
      </c>
      <c r="AC4298" s="4">
        <v>2</v>
      </c>
      <c r="AD4298" s="4">
        <v>83</v>
      </c>
      <c r="AE4298" s="4">
        <v>85</v>
      </c>
      <c r="AF4298" s="4">
        <v>0</v>
      </c>
      <c r="AG4298" s="4">
        <v>1</v>
      </c>
      <c r="AH4298" s="4">
        <v>75</v>
      </c>
      <c r="AI4298" s="4">
        <v>76</v>
      </c>
      <c r="AJ4298" s="4">
        <v>10</v>
      </c>
      <c r="AK4298" s="4">
        <v>12</v>
      </c>
      <c r="AL4298" s="4">
        <v>44</v>
      </c>
      <c r="AM4298" s="4">
        <v>44</v>
      </c>
      <c r="AN4298" s="4">
        <v>0</v>
      </c>
      <c r="AO4298" s="4">
        <v>0</v>
      </c>
      <c r="AP4298" s="4">
        <v>10</v>
      </c>
      <c r="AQ4298" s="4">
        <v>11</v>
      </c>
      <c r="AR4298" s="3" t="s">
        <v>64</v>
      </c>
      <c r="AS4298" s="3" t="s">
        <v>64</v>
      </c>
      <c r="AT4298" s="3" t="s">
        <v>128</v>
      </c>
      <c r="AU4298" s="6" t="str">
        <f>HYPERLINK("http://catalog.hathitrust.org/Record/000250818","HathiTrust Record")</f>
        <v>HathiTrust Record</v>
      </c>
      <c r="AV4298" s="6" t="str">
        <f>HYPERLINK("http://mcgill.on.worldcat.org/oclc/2991491","Catalog Record")</f>
        <v>Catalog Record</v>
      </c>
      <c r="AW4298" s="6" t="str">
        <f>HYPERLINK("http://www.worldcat.org/oclc/2991491","WorldCat Record")</f>
        <v>WorldCat Record</v>
      </c>
      <c r="AX4298" s="3" t="s">
        <v>41971</v>
      </c>
      <c r="AY4298" s="3" t="s">
        <v>41972</v>
      </c>
      <c r="AZ4298" s="3" t="s">
        <v>41973</v>
      </c>
      <c r="BA4298" s="3" t="s">
        <v>41973</v>
      </c>
      <c r="BB4298" s="3" t="s">
        <v>41974</v>
      </c>
      <c r="BC4298" s="3" t="s">
        <v>77</v>
      </c>
      <c r="BD4298" s="3" t="s">
        <v>78</v>
      </c>
      <c r="BE4298" s="3" t="s">
        <v>41975</v>
      </c>
      <c r="BF4298" s="3" t="s">
        <v>41974</v>
      </c>
      <c r="BG4298" s="3" t="s">
        <v>41976</v>
      </c>
      <c r="BH4298">
        <f t="shared" si="130"/>
        <v>0</v>
      </c>
    </row>
    <row r="4299" spans="1:60" ht="58" x14ac:dyDescent="0.35">
      <c r="A4299" s="2" t="s">
        <v>59</v>
      </c>
      <c r="B4299" s="2" t="s">
        <v>60</v>
      </c>
      <c r="C4299" s="2" t="s">
        <v>41977</v>
      </c>
      <c r="D4299" s="2" t="s">
        <v>41978</v>
      </c>
      <c r="E4299" s="2" t="s">
        <v>41979</v>
      </c>
      <c r="G4299" s="3" t="s">
        <v>64</v>
      </c>
      <c r="I4299" s="3" t="s">
        <v>64</v>
      </c>
      <c r="J4299" s="3" t="s">
        <v>64</v>
      </c>
      <c r="K4299" s="3" t="s">
        <v>65</v>
      </c>
      <c r="L4299" s="2" t="s">
        <v>41980</v>
      </c>
      <c r="M4299" s="2" t="s">
        <v>41981</v>
      </c>
      <c r="N4299" s="3" t="s">
        <v>1275</v>
      </c>
      <c r="P4299" s="3" t="s">
        <v>102</v>
      </c>
      <c r="Q4299" s="2" t="s">
        <v>41982</v>
      </c>
      <c r="R4299" s="3" t="s">
        <v>70</v>
      </c>
      <c r="S4299" s="4">
        <v>3</v>
      </c>
      <c r="T4299" s="4">
        <v>3</v>
      </c>
      <c r="U4299" s="5" t="s">
        <v>483</v>
      </c>
      <c r="V4299" s="5" t="s">
        <v>483</v>
      </c>
      <c r="W4299" s="5" t="s">
        <v>72</v>
      </c>
      <c r="X4299" s="5" t="s">
        <v>72</v>
      </c>
      <c r="Y4299" s="4">
        <v>99</v>
      </c>
      <c r="Z4299" s="4">
        <v>6</v>
      </c>
      <c r="AA4299" s="4">
        <v>7</v>
      </c>
      <c r="AB4299" s="4">
        <v>1</v>
      </c>
      <c r="AC4299" s="4">
        <v>2</v>
      </c>
      <c r="AD4299" s="4">
        <v>56</v>
      </c>
      <c r="AE4299" s="4">
        <v>57</v>
      </c>
      <c r="AF4299" s="4">
        <v>0</v>
      </c>
      <c r="AG4299" s="4">
        <v>1</v>
      </c>
      <c r="AH4299" s="4">
        <v>54</v>
      </c>
      <c r="AI4299" s="4">
        <v>54</v>
      </c>
      <c r="AJ4299" s="4">
        <v>4</v>
      </c>
      <c r="AK4299" s="4">
        <v>5</v>
      </c>
      <c r="AL4299" s="4">
        <v>40</v>
      </c>
      <c r="AM4299" s="4">
        <v>40</v>
      </c>
      <c r="AN4299" s="4">
        <v>0</v>
      </c>
      <c r="AO4299" s="4">
        <v>0</v>
      </c>
      <c r="AP4299" s="4">
        <v>4</v>
      </c>
      <c r="AQ4299" s="4">
        <v>4</v>
      </c>
      <c r="AR4299" s="3" t="s">
        <v>64</v>
      </c>
      <c r="AS4299" s="3" t="s">
        <v>64</v>
      </c>
      <c r="AT4299" s="3" t="s">
        <v>64</v>
      </c>
      <c r="AV4299" s="6" t="str">
        <f>HYPERLINK("http://mcgill.on.worldcat.org/oclc/54462042","Catalog Record")</f>
        <v>Catalog Record</v>
      </c>
      <c r="AW4299" s="6" t="str">
        <f>HYPERLINK("http://www.worldcat.org/oclc/54462042","WorldCat Record")</f>
        <v>WorldCat Record</v>
      </c>
      <c r="AX4299" s="3" t="s">
        <v>41983</v>
      </c>
      <c r="AY4299" s="3" t="s">
        <v>41984</v>
      </c>
      <c r="AZ4299" s="3" t="s">
        <v>41985</v>
      </c>
      <c r="BA4299" s="3" t="s">
        <v>41985</v>
      </c>
      <c r="BB4299" s="3" t="s">
        <v>41986</v>
      </c>
      <c r="BC4299" s="3" t="s">
        <v>77</v>
      </c>
      <c r="BD4299" s="3" t="s">
        <v>78</v>
      </c>
      <c r="BE4299" s="3" t="s">
        <v>41987</v>
      </c>
      <c r="BF4299" s="3" t="s">
        <v>41986</v>
      </c>
      <c r="BG4299" s="3" t="s">
        <v>41988</v>
      </c>
      <c r="BH4299">
        <f t="shared" si="130"/>
        <v>0</v>
      </c>
    </row>
    <row r="4300" spans="1:60" ht="87" x14ac:dyDescent="0.35">
      <c r="A4300" s="2" t="s">
        <v>59</v>
      </c>
      <c r="B4300" s="2" t="s">
        <v>60</v>
      </c>
      <c r="C4300" s="2" t="s">
        <v>41989</v>
      </c>
      <c r="D4300" s="2" t="s">
        <v>41990</v>
      </c>
      <c r="E4300" s="2" t="s">
        <v>41991</v>
      </c>
      <c r="G4300" s="3" t="s">
        <v>64</v>
      </c>
      <c r="I4300" s="3" t="s">
        <v>64</v>
      </c>
      <c r="J4300" s="3" t="s">
        <v>64</v>
      </c>
      <c r="K4300" s="3" t="s">
        <v>65</v>
      </c>
      <c r="M4300" s="2" t="s">
        <v>41992</v>
      </c>
      <c r="N4300" s="3" t="s">
        <v>86</v>
      </c>
      <c r="P4300" s="3" t="s">
        <v>1479</v>
      </c>
      <c r="Q4300" s="2" t="s">
        <v>41993</v>
      </c>
      <c r="R4300" s="3" t="s">
        <v>70</v>
      </c>
      <c r="S4300" s="4">
        <v>0</v>
      </c>
      <c r="T4300" s="4">
        <v>0</v>
      </c>
      <c r="W4300" s="5" t="s">
        <v>72</v>
      </c>
      <c r="X4300" s="5" t="s">
        <v>72</v>
      </c>
      <c r="Y4300" s="4">
        <v>16</v>
      </c>
      <c r="Z4300" s="4">
        <v>3</v>
      </c>
      <c r="AA4300" s="4">
        <v>69</v>
      </c>
      <c r="AB4300" s="4">
        <v>1</v>
      </c>
      <c r="AC4300" s="4">
        <v>14</v>
      </c>
      <c r="AD4300" s="4">
        <v>5</v>
      </c>
      <c r="AE4300" s="4">
        <v>78</v>
      </c>
      <c r="AF4300" s="4">
        <v>0</v>
      </c>
      <c r="AG4300" s="4">
        <v>8</v>
      </c>
      <c r="AH4300" s="4">
        <v>5</v>
      </c>
      <c r="AI4300" s="4">
        <v>49</v>
      </c>
      <c r="AJ4300" s="4">
        <v>2</v>
      </c>
      <c r="AK4300" s="4">
        <v>16</v>
      </c>
      <c r="AL4300" s="4">
        <v>2</v>
      </c>
      <c r="AM4300" s="4">
        <v>24</v>
      </c>
      <c r="AN4300" s="4">
        <v>0</v>
      </c>
      <c r="AO4300" s="4">
        <v>0</v>
      </c>
      <c r="AP4300" s="4">
        <v>2</v>
      </c>
      <c r="AQ4300" s="4">
        <v>34</v>
      </c>
      <c r="AR4300" s="3" t="s">
        <v>64</v>
      </c>
      <c r="AS4300" s="3" t="s">
        <v>64</v>
      </c>
      <c r="AT4300" s="3" t="s">
        <v>128</v>
      </c>
      <c r="AU4300" s="6" t="str">
        <f>HYPERLINK("http://catalog.hathitrust.org/Record/002960739","HathiTrust Record")</f>
        <v>HathiTrust Record</v>
      </c>
      <c r="AV4300" s="6" t="str">
        <f>HYPERLINK("http://mcgill.on.worldcat.org/oclc/780332030","Catalog Record")</f>
        <v>Catalog Record</v>
      </c>
      <c r="AW4300" s="6" t="str">
        <f>HYPERLINK("http://www.worldcat.org/oclc/780332030","WorldCat Record")</f>
        <v>WorldCat Record</v>
      </c>
      <c r="AX4300" s="3" t="s">
        <v>41994</v>
      </c>
      <c r="AY4300" s="3" t="s">
        <v>41995</v>
      </c>
      <c r="AZ4300" s="3" t="s">
        <v>41996</v>
      </c>
      <c r="BA4300" s="3" t="s">
        <v>41996</v>
      </c>
      <c r="BB4300" s="3" t="s">
        <v>41997</v>
      </c>
      <c r="BC4300" s="3" t="s">
        <v>77</v>
      </c>
      <c r="BD4300" s="3" t="s">
        <v>78</v>
      </c>
      <c r="BE4300" s="3" t="s">
        <v>41998</v>
      </c>
      <c r="BF4300" s="3" t="s">
        <v>41997</v>
      </c>
      <c r="BG4300" s="3" t="s">
        <v>41999</v>
      </c>
      <c r="BH4300">
        <f t="shared" si="130"/>
        <v>0</v>
      </c>
    </row>
    <row r="4301" spans="1:60" ht="72.5" x14ac:dyDescent="0.35">
      <c r="A4301" s="2" t="s">
        <v>59</v>
      </c>
      <c r="B4301" s="2" t="s">
        <v>60</v>
      </c>
      <c r="C4301" s="2" t="s">
        <v>42000</v>
      </c>
      <c r="D4301" s="2" t="s">
        <v>42001</v>
      </c>
      <c r="E4301" s="2" t="s">
        <v>42002</v>
      </c>
      <c r="G4301" s="3" t="s">
        <v>64</v>
      </c>
      <c r="I4301" s="3" t="s">
        <v>64</v>
      </c>
      <c r="J4301" s="3" t="s">
        <v>64</v>
      </c>
      <c r="K4301" s="3" t="s">
        <v>65</v>
      </c>
      <c r="L4301" s="2" t="s">
        <v>42003</v>
      </c>
      <c r="M4301" s="2" t="s">
        <v>42004</v>
      </c>
      <c r="N4301" s="3" t="s">
        <v>253</v>
      </c>
      <c r="P4301" s="3" t="s">
        <v>1479</v>
      </c>
      <c r="Q4301" s="2" t="s">
        <v>42005</v>
      </c>
      <c r="R4301" s="3" t="s">
        <v>70</v>
      </c>
      <c r="S4301" s="4">
        <v>0</v>
      </c>
      <c r="T4301" s="4">
        <v>0</v>
      </c>
      <c r="W4301" s="5" t="s">
        <v>72</v>
      </c>
      <c r="X4301" s="5" t="s">
        <v>72</v>
      </c>
      <c r="Y4301" s="4">
        <v>3</v>
      </c>
      <c r="Z4301" s="4">
        <v>1</v>
      </c>
      <c r="AA4301" s="4">
        <v>3</v>
      </c>
      <c r="AB4301" s="4">
        <v>1</v>
      </c>
      <c r="AC4301" s="4">
        <v>1</v>
      </c>
      <c r="AD4301" s="4">
        <v>0</v>
      </c>
      <c r="AE4301" s="4">
        <v>2</v>
      </c>
      <c r="AF4301" s="4">
        <v>0</v>
      </c>
      <c r="AG4301" s="4">
        <v>0</v>
      </c>
      <c r="AH4301" s="4">
        <v>0</v>
      </c>
      <c r="AI4301" s="4">
        <v>2</v>
      </c>
      <c r="AJ4301" s="4">
        <v>0</v>
      </c>
      <c r="AK4301" s="4">
        <v>1</v>
      </c>
      <c r="AL4301" s="4">
        <v>0</v>
      </c>
      <c r="AM4301" s="4">
        <v>1</v>
      </c>
      <c r="AN4301" s="4">
        <v>0</v>
      </c>
      <c r="AO4301" s="4">
        <v>0</v>
      </c>
      <c r="AP4301" s="4">
        <v>0</v>
      </c>
      <c r="AQ4301" s="4">
        <v>1</v>
      </c>
      <c r="AR4301" s="3" t="s">
        <v>64</v>
      </c>
      <c r="AS4301" s="3" t="s">
        <v>64</v>
      </c>
      <c r="AT4301" s="3" t="s">
        <v>64</v>
      </c>
      <c r="AV4301" s="6" t="str">
        <f>HYPERLINK("http://mcgill.on.worldcat.org/oclc/922681276","Catalog Record")</f>
        <v>Catalog Record</v>
      </c>
      <c r="AW4301" s="6" t="str">
        <f>HYPERLINK("http://www.worldcat.org/oclc/922681276","WorldCat Record")</f>
        <v>WorldCat Record</v>
      </c>
      <c r="AX4301" s="3" t="s">
        <v>42006</v>
      </c>
      <c r="AY4301" s="3" t="s">
        <v>42007</v>
      </c>
      <c r="AZ4301" s="3" t="s">
        <v>42008</v>
      </c>
      <c r="BA4301" s="3" t="s">
        <v>42008</v>
      </c>
      <c r="BB4301" s="3" t="s">
        <v>42009</v>
      </c>
      <c r="BC4301" s="3" t="s">
        <v>77</v>
      </c>
      <c r="BD4301" s="3" t="s">
        <v>78</v>
      </c>
      <c r="BE4301" s="3" t="s">
        <v>42010</v>
      </c>
      <c r="BF4301" s="3" t="s">
        <v>42009</v>
      </c>
      <c r="BG4301" s="3" t="s">
        <v>42011</v>
      </c>
      <c r="BH4301">
        <f t="shared" si="130"/>
        <v>0</v>
      </c>
    </row>
    <row r="4302" spans="1:60" ht="58" x14ac:dyDescent="0.35">
      <c r="A4302" s="2" t="s">
        <v>6202</v>
      </c>
      <c r="B4302" s="2" t="s">
        <v>6203</v>
      </c>
      <c r="C4302" s="2" t="s">
        <v>42012</v>
      </c>
      <c r="D4302" s="2" t="s">
        <v>42013</v>
      </c>
      <c r="E4302" s="2" t="s">
        <v>42014</v>
      </c>
      <c r="G4302" s="3" t="s">
        <v>64</v>
      </c>
      <c r="I4302" s="3" t="s">
        <v>64</v>
      </c>
      <c r="J4302" s="3" t="s">
        <v>64</v>
      </c>
      <c r="K4302" s="3" t="s">
        <v>65</v>
      </c>
      <c r="L4302" s="2" t="s">
        <v>42015</v>
      </c>
      <c r="M4302" s="2" t="s">
        <v>42016</v>
      </c>
      <c r="N4302" s="3" t="s">
        <v>979</v>
      </c>
      <c r="O4302" s="2" t="s">
        <v>734</v>
      </c>
      <c r="P4302" s="3" t="s">
        <v>102</v>
      </c>
      <c r="Q4302" s="2" t="s">
        <v>42017</v>
      </c>
      <c r="R4302" s="3" t="s">
        <v>70</v>
      </c>
      <c r="S4302" s="4">
        <v>1</v>
      </c>
      <c r="T4302" s="4">
        <v>1</v>
      </c>
      <c r="U4302" s="5" t="s">
        <v>10182</v>
      </c>
      <c r="V4302" s="5" t="s">
        <v>10182</v>
      </c>
      <c r="W4302" s="5" t="s">
        <v>72</v>
      </c>
      <c r="X4302" s="5" t="s">
        <v>72</v>
      </c>
      <c r="Y4302" s="4">
        <v>173</v>
      </c>
      <c r="Z4302" s="4">
        <v>10</v>
      </c>
      <c r="AA4302" s="4">
        <v>38</v>
      </c>
      <c r="AB4302" s="4">
        <v>1</v>
      </c>
      <c r="AC4302" s="4">
        <v>7</v>
      </c>
      <c r="AD4302" s="4">
        <v>69</v>
      </c>
      <c r="AE4302" s="4">
        <v>82</v>
      </c>
      <c r="AF4302" s="4">
        <v>0</v>
      </c>
      <c r="AG4302" s="4">
        <v>1</v>
      </c>
      <c r="AH4302" s="4">
        <v>63</v>
      </c>
      <c r="AI4302" s="4">
        <v>74</v>
      </c>
      <c r="AJ4302" s="4">
        <v>9</v>
      </c>
      <c r="AK4302" s="4">
        <v>10</v>
      </c>
      <c r="AL4302" s="4">
        <v>39</v>
      </c>
      <c r="AM4302" s="4">
        <v>42</v>
      </c>
      <c r="AN4302" s="4">
        <v>0</v>
      </c>
      <c r="AO4302" s="4">
        <v>0</v>
      </c>
      <c r="AP4302" s="4">
        <v>8</v>
      </c>
      <c r="AQ4302" s="4">
        <v>11</v>
      </c>
      <c r="AR4302" s="3" t="s">
        <v>64</v>
      </c>
      <c r="AS4302" s="3" t="s">
        <v>64</v>
      </c>
      <c r="AT4302" s="3" t="s">
        <v>64</v>
      </c>
      <c r="AV4302" s="6" t="str">
        <f>HYPERLINK("http://mcgill.on.worldcat.org/oclc/43418083","Catalog Record")</f>
        <v>Catalog Record</v>
      </c>
      <c r="AW4302" s="6" t="str">
        <f>HYPERLINK("http://www.worldcat.org/oclc/43418083","WorldCat Record")</f>
        <v>WorldCat Record</v>
      </c>
      <c r="AX4302" s="3" t="s">
        <v>42018</v>
      </c>
      <c r="AY4302" s="3" t="s">
        <v>42019</v>
      </c>
      <c r="AZ4302" s="3" t="s">
        <v>42020</v>
      </c>
      <c r="BA4302" s="3" t="s">
        <v>42020</v>
      </c>
      <c r="BB4302" s="3" t="s">
        <v>42021</v>
      </c>
      <c r="BC4302" s="3" t="s">
        <v>77</v>
      </c>
      <c r="BD4302" s="3" t="s">
        <v>78</v>
      </c>
      <c r="BE4302" s="3" t="s">
        <v>42022</v>
      </c>
      <c r="BF4302" s="3" t="s">
        <v>42021</v>
      </c>
      <c r="BG4302" s="3" t="s">
        <v>42023</v>
      </c>
      <c r="BH4302">
        <f t="shared" si="130"/>
        <v>0</v>
      </c>
    </row>
    <row r="4303" spans="1:60" ht="58" x14ac:dyDescent="0.35">
      <c r="A4303" s="2" t="s">
        <v>6202</v>
      </c>
      <c r="B4303" s="2" t="s">
        <v>6203</v>
      </c>
      <c r="C4303" s="2" t="s">
        <v>42024</v>
      </c>
      <c r="D4303" s="2" t="s">
        <v>42025</v>
      </c>
      <c r="E4303" s="2" t="s">
        <v>42026</v>
      </c>
      <c r="G4303" s="3" t="s">
        <v>64</v>
      </c>
      <c r="I4303" s="3" t="s">
        <v>64</v>
      </c>
      <c r="J4303" s="3" t="s">
        <v>64</v>
      </c>
      <c r="K4303" s="3" t="s">
        <v>65</v>
      </c>
      <c r="M4303" s="2" t="s">
        <v>42027</v>
      </c>
      <c r="N4303" s="3" t="s">
        <v>421</v>
      </c>
      <c r="P4303" s="3" t="s">
        <v>102</v>
      </c>
      <c r="Q4303" s="2" t="s">
        <v>42028</v>
      </c>
      <c r="R4303" s="3" t="s">
        <v>70</v>
      </c>
      <c r="S4303" s="4">
        <v>1</v>
      </c>
      <c r="T4303" s="4">
        <v>1</v>
      </c>
      <c r="U4303" s="5" t="s">
        <v>10182</v>
      </c>
      <c r="V4303" s="5" t="s">
        <v>10182</v>
      </c>
      <c r="W4303" s="5" t="s">
        <v>72</v>
      </c>
      <c r="X4303" s="5" t="s">
        <v>72</v>
      </c>
      <c r="Y4303" s="4">
        <v>172</v>
      </c>
      <c r="Z4303" s="4">
        <v>10</v>
      </c>
      <c r="AA4303" s="4">
        <v>34</v>
      </c>
      <c r="AB4303" s="4">
        <v>1</v>
      </c>
      <c r="AC4303" s="4">
        <v>6</v>
      </c>
      <c r="AD4303" s="4">
        <v>72</v>
      </c>
      <c r="AE4303" s="4">
        <v>91</v>
      </c>
      <c r="AF4303" s="4">
        <v>0</v>
      </c>
      <c r="AG4303" s="4">
        <v>1</v>
      </c>
      <c r="AH4303" s="4">
        <v>66</v>
      </c>
      <c r="AI4303" s="4">
        <v>83</v>
      </c>
      <c r="AJ4303" s="4">
        <v>7</v>
      </c>
      <c r="AK4303" s="4">
        <v>8</v>
      </c>
      <c r="AL4303" s="4">
        <v>44</v>
      </c>
      <c r="AM4303" s="4">
        <v>49</v>
      </c>
      <c r="AN4303" s="4">
        <v>0</v>
      </c>
      <c r="AO4303" s="4">
        <v>0</v>
      </c>
      <c r="AP4303" s="4">
        <v>6</v>
      </c>
      <c r="AQ4303" s="4">
        <v>9</v>
      </c>
      <c r="AR4303" s="3" t="s">
        <v>64</v>
      </c>
      <c r="AS4303" s="3" t="s">
        <v>64</v>
      </c>
      <c r="AT4303" s="3" t="s">
        <v>64</v>
      </c>
      <c r="AV4303" s="6" t="str">
        <f>HYPERLINK("http://mcgill.on.worldcat.org/oclc/37915923","Catalog Record")</f>
        <v>Catalog Record</v>
      </c>
      <c r="AW4303" s="6" t="str">
        <f>HYPERLINK("http://www.worldcat.org/oclc/37915923","WorldCat Record")</f>
        <v>WorldCat Record</v>
      </c>
      <c r="AX4303" s="3" t="s">
        <v>42029</v>
      </c>
      <c r="AY4303" s="3" t="s">
        <v>42030</v>
      </c>
      <c r="AZ4303" s="3" t="s">
        <v>42031</v>
      </c>
      <c r="BA4303" s="3" t="s">
        <v>42031</v>
      </c>
      <c r="BB4303" s="3" t="s">
        <v>42032</v>
      </c>
      <c r="BC4303" s="3" t="s">
        <v>77</v>
      </c>
      <c r="BD4303" s="3" t="s">
        <v>78</v>
      </c>
      <c r="BE4303" s="3" t="s">
        <v>42033</v>
      </c>
      <c r="BF4303" s="3" t="s">
        <v>42032</v>
      </c>
      <c r="BG4303" s="3" t="s">
        <v>42034</v>
      </c>
      <c r="BH4303">
        <f t="shared" si="130"/>
        <v>0</v>
      </c>
    </row>
    <row r="4304" spans="1:60" ht="58" x14ac:dyDescent="0.35">
      <c r="A4304" s="2" t="s">
        <v>6202</v>
      </c>
      <c r="B4304" s="2" t="s">
        <v>6203</v>
      </c>
      <c r="C4304" s="2" t="s">
        <v>42035</v>
      </c>
      <c r="D4304" s="2" t="s">
        <v>42036</v>
      </c>
      <c r="E4304" s="2" t="s">
        <v>42037</v>
      </c>
      <c r="G4304" s="3" t="s">
        <v>64</v>
      </c>
      <c r="I4304" s="3" t="s">
        <v>64</v>
      </c>
      <c r="J4304" s="3" t="s">
        <v>64</v>
      </c>
      <c r="K4304" s="3" t="s">
        <v>65</v>
      </c>
      <c r="L4304" s="2" t="s">
        <v>42038</v>
      </c>
      <c r="M4304" s="2" t="s">
        <v>42039</v>
      </c>
      <c r="N4304" s="3" t="s">
        <v>1263</v>
      </c>
      <c r="P4304" s="3" t="s">
        <v>102</v>
      </c>
      <c r="R4304" s="3" t="s">
        <v>70</v>
      </c>
      <c r="S4304" s="4">
        <v>1</v>
      </c>
      <c r="T4304" s="4">
        <v>1</v>
      </c>
      <c r="U4304" s="5" t="s">
        <v>15147</v>
      </c>
      <c r="V4304" s="5" t="s">
        <v>15147</v>
      </c>
      <c r="W4304" s="5" t="s">
        <v>72</v>
      </c>
      <c r="X4304" s="5" t="s">
        <v>72</v>
      </c>
      <c r="Y4304" s="4">
        <v>201</v>
      </c>
      <c r="Z4304" s="4">
        <v>14</v>
      </c>
      <c r="AA4304" s="4">
        <v>16</v>
      </c>
      <c r="AB4304" s="4">
        <v>1</v>
      </c>
      <c r="AC4304" s="4">
        <v>3</v>
      </c>
      <c r="AD4304" s="4">
        <v>89</v>
      </c>
      <c r="AE4304" s="4">
        <v>94</v>
      </c>
      <c r="AF4304" s="4">
        <v>0</v>
      </c>
      <c r="AG4304" s="4">
        <v>1</v>
      </c>
      <c r="AH4304" s="4">
        <v>81</v>
      </c>
      <c r="AI4304" s="4">
        <v>86</v>
      </c>
      <c r="AJ4304" s="4">
        <v>12</v>
      </c>
      <c r="AK4304" s="4">
        <v>13</v>
      </c>
      <c r="AL4304" s="4">
        <v>49</v>
      </c>
      <c r="AM4304" s="4">
        <v>50</v>
      </c>
      <c r="AN4304" s="4">
        <v>0</v>
      </c>
      <c r="AO4304" s="4">
        <v>0</v>
      </c>
      <c r="AP4304" s="4">
        <v>11</v>
      </c>
      <c r="AQ4304" s="4">
        <v>12</v>
      </c>
      <c r="AR4304" s="3" t="s">
        <v>64</v>
      </c>
      <c r="AS4304" s="3" t="s">
        <v>64</v>
      </c>
      <c r="AT4304" s="3" t="s">
        <v>128</v>
      </c>
      <c r="AU4304" s="6" t="str">
        <f>HYPERLINK("http://catalog.hathitrust.org/Record/002884269","HathiTrust Record")</f>
        <v>HathiTrust Record</v>
      </c>
      <c r="AV4304" s="6" t="str">
        <f>HYPERLINK("http://mcgill.on.worldcat.org/oclc/27035807","Catalog Record")</f>
        <v>Catalog Record</v>
      </c>
      <c r="AW4304" s="6" t="str">
        <f>HYPERLINK("http://www.worldcat.org/oclc/27035807","WorldCat Record")</f>
        <v>WorldCat Record</v>
      </c>
      <c r="AX4304" s="3" t="s">
        <v>42040</v>
      </c>
      <c r="AY4304" s="3" t="s">
        <v>42041</v>
      </c>
      <c r="AZ4304" s="3" t="s">
        <v>42042</v>
      </c>
      <c r="BA4304" s="3" t="s">
        <v>42042</v>
      </c>
      <c r="BB4304" s="3" t="s">
        <v>42043</v>
      </c>
      <c r="BC4304" s="3" t="s">
        <v>77</v>
      </c>
      <c r="BD4304" s="3" t="s">
        <v>78</v>
      </c>
      <c r="BE4304" s="3" t="s">
        <v>42044</v>
      </c>
      <c r="BF4304" s="3" t="s">
        <v>42043</v>
      </c>
      <c r="BG4304" s="3" t="s">
        <v>42045</v>
      </c>
      <c r="BH4304">
        <f t="shared" si="130"/>
        <v>0</v>
      </c>
    </row>
    <row r="4305" spans="1:60" ht="58" x14ac:dyDescent="0.35">
      <c r="A4305" s="2" t="s">
        <v>59</v>
      </c>
      <c r="B4305" s="2" t="s">
        <v>60</v>
      </c>
      <c r="C4305" s="2" t="s">
        <v>42046</v>
      </c>
      <c r="D4305" s="2" t="s">
        <v>42047</v>
      </c>
      <c r="E4305" s="2" t="s">
        <v>42048</v>
      </c>
      <c r="G4305" s="3" t="s">
        <v>64</v>
      </c>
      <c r="I4305" s="3" t="s">
        <v>64</v>
      </c>
      <c r="J4305" s="3" t="s">
        <v>64</v>
      </c>
      <c r="K4305" s="3" t="s">
        <v>65</v>
      </c>
      <c r="M4305" s="2" t="s">
        <v>20336</v>
      </c>
      <c r="N4305" s="3" t="s">
        <v>1075</v>
      </c>
      <c r="P4305" s="3" t="s">
        <v>102</v>
      </c>
      <c r="R4305" s="3" t="s">
        <v>70</v>
      </c>
      <c r="S4305" s="4">
        <v>2</v>
      </c>
      <c r="T4305" s="4">
        <v>2</v>
      </c>
      <c r="U4305" s="5" t="s">
        <v>12282</v>
      </c>
      <c r="V4305" s="5" t="s">
        <v>12282</v>
      </c>
      <c r="W4305" s="5" t="s">
        <v>72</v>
      </c>
      <c r="X4305" s="5" t="s">
        <v>72</v>
      </c>
      <c r="Y4305" s="4">
        <v>92</v>
      </c>
      <c r="Z4305" s="4">
        <v>11</v>
      </c>
      <c r="AA4305" s="4">
        <v>22</v>
      </c>
      <c r="AB4305" s="4">
        <v>1</v>
      </c>
      <c r="AC4305" s="4">
        <v>3</v>
      </c>
      <c r="AD4305" s="4">
        <v>41</v>
      </c>
      <c r="AE4305" s="4">
        <v>54</v>
      </c>
      <c r="AF4305" s="4">
        <v>0</v>
      </c>
      <c r="AG4305" s="4">
        <v>0</v>
      </c>
      <c r="AH4305" s="4">
        <v>38</v>
      </c>
      <c r="AI4305" s="4">
        <v>50</v>
      </c>
      <c r="AJ4305" s="4">
        <v>5</v>
      </c>
      <c r="AK4305" s="4">
        <v>7</v>
      </c>
      <c r="AL4305" s="4">
        <v>29</v>
      </c>
      <c r="AM4305" s="4">
        <v>34</v>
      </c>
      <c r="AN4305" s="4">
        <v>0</v>
      </c>
      <c r="AO4305" s="4">
        <v>0</v>
      </c>
      <c r="AP4305" s="4">
        <v>7</v>
      </c>
      <c r="AQ4305" s="4">
        <v>10</v>
      </c>
      <c r="AR4305" s="3" t="s">
        <v>64</v>
      </c>
      <c r="AS4305" s="3" t="s">
        <v>64</v>
      </c>
      <c r="AT4305" s="3" t="s">
        <v>64</v>
      </c>
      <c r="AV4305" s="6" t="str">
        <f>HYPERLINK("http://mcgill.on.worldcat.org/oclc/856578970","Catalog Record")</f>
        <v>Catalog Record</v>
      </c>
      <c r="AW4305" s="6" t="str">
        <f>HYPERLINK("http://www.worldcat.org/oclc/856578970","WorldCat Record")</f>
        <v>WorldCat Record</v>
      </c>
      <c r="AX4305" s="3" t="s">
        <v>42049</v>
      </c>
      <c r="AY4305" s="3" t="s">
        <v>42050</v>
      </c>
      <c r="AZ4305" s="3" t="s">
        <v>42051</v>
      </c>
      <c r="BA4305" s="3" t="s">
        <v>42051</v>
      </c>
      <c r="BB4305" s="3" t="s">
        <v>42052</v>
      </c>
      <c r="BC4305" s="3" t="s">
        <v>77</v>
      </c>
      <c r="BD4305" s="3" t="s">
        <v>78</v>
      </c>
      <c r="BE4305" s="3" t="s">
        <v>42053</v>
      </c>
      <c r="BF4305" s="3" t="s">
        <v>42052</v>
      </c>
      <c r="BG4305" s="3" t="s">
        <v>42054</v>
      </c>
      <c r="BH4305">
        <f t="shared" si="130"/>
        <v>0</v>
      </c>
    </row>
    <row r="4306" spans="1:60" ht="87" x14ac:dyDescent="0.35">
      <c r="A4306" s="2" t="s">
        <v>6202</v>
      </c>
      <c r="B4306" s="2" t="s">
        <v>6203</v>
      </c>
      <c r="C4306" s="2" t="s">
        <v>42055</v>
      </c>
      <c r="D4306" s="2" t="s">
        <v>42056</v>
      </c>
      <c r="E4306" s="2" t="s">
        <v>42057</v>
      </c>
      <c r="F4306" s="3" t="s">
        <v>1323</v>
      </c>
      <c r="G4306" s="3" t="s">
        <v>128</v>
      </c>
      <c r="I4306" s="3" t="s">
        <v>64</v>
      </c>
      <c r="J4306" s="3" t="s">
        <v>64</v>
      </c>
      <c r="K4306" s="3" t="s">
        <v>65</v>
      </c>
      <c r="L4306" s="2" t="s">
        <v>42058</v>
      </c>
      <c r="M4306" s="2" t="s">
        <v>42059</v>
      </c>
      <c r="N4306" s="3" t="s">
        <v>674</v>
      </c>
      <c r="P4306" s="3" t="s">
        <v>102</v>
      </c>
      <c r="Q4306" s="2" t="s">
        <v>42060</v>
      </c>
      <c r="R4306" s="3" t="s">
        <v>70</v>
      </c>
      <c r="S4306" s="4">
        <v>1</v>
      </c>
      <c r="T4306" s="4">
        <v>1</v>
      </c>
      <c r="U4306" s="5" t="s">
        <v>9685</v>
      </c>
      <c r="V4306" s="5" t="s">
        <v>9685</v>
      </c>
      <c r="W4306" s="5" t="s">
        <v>72</v>
      </c>
      <c r="X4306" s="5" t="s">
        <v>72</v>
      </c>
      <c r="Y4306" s="4">
        <v>148</v>
      </c>
      <c r="Z4306" s="4">
        <v>5</v>
      </c>
      <c r="AA4306" s="4">
        <v>7</v>
      </c>
      <c r="AB4306" s="4">
        <v>1</v>
      </c>
      <c r="AC4306" s="4">
        <v>1</v>
      </c>
      <c r="AD4306" s="4">
        <v>65</v>
      </c>
      <c r="AE4306" s="4">
        <v>66</v>
      </c>
      <c r="AF4306" s="4">
        <v>0</v>
      </c>
      <c r="AG4306" s="4">
        <v>0</v>
      </c>
      <c r="AH4306" s="4">
        <v>62</v>
      </c>
      <c r="AI4306" s="4">
        <v>63</v>
      </c>
      <c r="AJ4306" s="4">
        <v>4</v>
      </c>
      <c r="AK4306" s="4">
        <v>5</v>
      </c>
      <c r="AL4306" s="4">
        <v>41</v>
      </c>
      <c r="AM4306" s="4">
        <v>42</v>
      </c>
      <c r="AN4306" s="4">
        <v>0</v>
      </c>
      <c r="AO4306" s="4">
        <v>0</v>
      </c>
      <c r="AP4306" s="4">
        <v>4</v>
      </c>
      <c r="AQ4306" s="4">
        <v>5</v>
      </c>
      <c r="AR4306" s="3" t="s">
        <v>64</v>
      </c>
      <c r="AS4306" s="3" t="s">
        <v>64</v>
      </c>
      <c r="AT4306" s="3" t="s">
        <v>128</v>
      </c>
      <c r="AU4306" s="6" t="str">
        <f>HYPERLINK("http://catalog.hathitrust.org/Record/001170382","HathiTrust Record")</f>
        <v>HathiTrust Record</v>
      </c>
      <c r="AV4306" s="6" t="str">
        <f>HYPERLINK("http://mcgill.on.worldcat.org/oclc/1070104","Catalog Record")</f>
        <v>Catalog Record</v>
      </c>
      <c r="AW4306" s="6" t="str">
        <f>HYPERLINK("http://www.worldcat.org/oclc/1070104","WorldCat Record")</f>
        <v>WorldCat Record</v>
      </c>
      <c r="AX4306" s="3" t="s">
        <v>42061</v>
      </c>
      <c r="AY4306" s="3" t="s">
        <v>42062</v>
      </c>
      <c r="AZ4306" s="3" t="s">
        <v>42063</v>
      </c>
      <c r="BA4306" s="3" t="s">
        <v>42063</v>
      </c>
      <c r="BB4306" s="3" t="s">
        <v>42064</v>
      </c>
      <c r="BC4306" s="3" t="s">
        <v>77</v>
      </c>
      <c r="BD4306" s="3" t="s">
        <v>78</v>
      </c>
      <c r="BF4306" s="3" t="s">
        <v>42064</v>
      </c>
      <c r="BG4306" s="3" t="s">
        <v>42065</v>
      </c>
      <c r="BH4306">
        <f t="shared" si="130"/>
        <v>0</v>
      </c>
    </row>
    <row r="4307" spans="1:60" ht="87" x14ac:dyDescent="0.35">
      <c r="A4307" s="2" t="s">
        <v>6202</v>
      </c>
      <c r="B4307" s="2" t="s">
        <v>6203</v>
      </c>
      <c r="C4307" s="2" t="s">
        <v>42055</v>
      </c>
      <c r="D4307" s="2" t="s">
        <v>42056</v>
      </c>
      <c r="E4307" s="2" t="s">
        <v>42057</v>
      </c>
      <c r="F4307" s="3" t="s">
        <v>26383</v>
      </c>
      <c r="G4307" s="3" t="s">
        <v>128</v>
      </c>
      <c r="I4307" s="3" t="s">
        <v>64</v>
      </c>
      <c r="J4307" s="3" t="s">
        <v>64</v>
      </c>
      <c r="K4307" s="3" t="s">
        <v>65</v>
      </c>
      <c r="L4307" s="2" t="s">
        <v>42058</v>
      </c>
      <c r="M4307" s="2" t="s">
        <v>42059</v>
      </c>
      <c r="N4307" s="3" t="s">
        <v>674</v>
      </c>
      <c r="P4307" s="3" t="s">
        <v>102</v>
      </c>
      <c r="Q4307" s="2" t="s">
        <v>42060</v>
      </c>
      <c r="R4307" s="3" t="s">
        <v>70</v>
      </c>
      <c r="S4307" s="4">
        <v>0</v>
      </c>
      <c r="T4307" s="4">
        <v>1</v>
      </c>
      <c r="V4307" s="5" t="s">
        <v>9685</v>
      </c>
      <c r="W4307" s="5" t="s">
        <v>72</v>
      </c>
      <c r="X4307" s="5" t="s">
        <v>72</v>
      </c>
      <c r="Y4307" s="4">
        <v>148</v>
      </c>
      <c r="Z4307" s="4">
        <v>5</v>
      </c>
      <c r="AA4307" s="4">
        <v>7</v>
      </c>
      <c r="AB4307" s="4">
        <v>1</v>
      </c>
      <c r="AC4307" s="4">
        <v>1</v>
      </c>
      <c r="AD4307" s="4">
        <v>65</v>
      </c>
      <c r="AE4307" s="4">
        <v>66</v>
      </c>
      <c r="AF4307" s="4">
        <v>0</v>
      </c>
      <c r="AG4307" s="4">
        <v>0</v>
      </c>
      <c r="AH4307" s="4">
        <v>62</v>
      </c>
      <c r="AI4307" s="4">
        <v>63</v>
      </c>
      <c r="AJ4307" s="4">
        <v>4</v>
      </c>
      <c r="AK4307" s="4">
        <v>5</v>
      </c>
      <c r="AL4307" s="4">
        <v>41</v>
      </c>
      <c r="AM4307" s="4">
        <v>42</v>
      </c>
      <c r="AN4307" s="4">
        <v>0</v>
      </c>
      <c r="AO4307" s="4">
        <v>0</v>
      </c>
      <c r="AP4307" s="4">
        <v>4</v>
      </c>
      <c r="AQ4307" s="4">
        <v>5</v>
      </c>
      <c r="AR4307" s="3" t="s">
        <v>64</v>
      </c>
      <c r="AS4307" s="3" t="s">
        <v>64</v>
      </c>
      <c r="AT4307" s="3" t="s">
        <v>128</v>
      </c>
      <c r="AU4307" s="6" t="str">
        <f>HYPERLINK("http://catalog.hathitrust.org/Record/001170382","HathiTrust Record")</f>
        <v>HathiTrust Record</v>
      </c>
      <c r="AV4307" s="6" t="str">
        <f>HYPERLINK("http://mcgill.on.worldcat.org/oclc/1070104","Catalog Record")</f>
        <v>Catalog Record</v>
      </c>
      <c r="AW4307" s="6" t="str">
        <f>HYPERLINK("http://www.worldcat.org/oclc/1070104","WorldCat Record")</f>
        <v>WorldCat Record</v>
      </c>
      <c r="AX4307" s="3" t="s">
        <v>42061</v>
      </c>
      <c r="AY4307" s="3" t="s">
        <v>42062</v>
      </c>
      <c r="AZ4307" s="3" t="s">
        <v>42063</v>
      </c>
      <c r="BA4307" s="3" t="s">
        <v>42063</v>
      </c>
      <c r="BB4307" s="3" t="s">
        <v>42066</v>
      </c>
      <c r="BC4307" s="3" t="s">
        <v>77</v>
      </c>
      <c r="BD4307" s="3" t="s">
        <v>78</v>
      </c>
      <c r="BF4307" s="3" t="s">
        <v>42066</v>
      </c>
      <c r="BG4307" s="3" t="s">
        <v>42067</v>
      </c>
      <c r="BH4307">
        <f t="shared" si="130"/>
        <v>0</v>
      </c>
    </row>
    <row r="4308" spans="1:60" ht="58" x14ac:dyDescent="0.35">
      <c r="A4308" s="2" t="s">
        <v>6202</v>
      </c>
      <c r="B4308" s="2" t="s">
        <v>6203</v>
      </c>
      <c r="C4308" s="2" t="s">
        <v>42068</v>
      </c>
      <c r="D4308" s="2" t="s">
        <v>42069</v>
      </c>
      <c r="E4308" s="2" t="s">
        <v>42070</v>
      </c>
      <c r="G4308" s="3" t="s">
        <v>64</v>
      </c>
      <c r="I4308" s="3" t="s">
        <v>128</v>
      </c>
      <c r="J4308" s="3" t="s">
        <v>64</v>
      </c>
      <c r="K4308" s="3" t="s">
        <v>65</v>
      </c>
      <c r="L4308" s="2" t="s">
        <v>42071</v>
      </c>
      <c r="M4308" s="2" t="s">
        <v>42072</v>
      </c>
      <c r="N4308" s="3" t="s">
        <v>1017</v>
      </c>
      <c r="P4308" s="3" t="s">
        <v>102</v>
      </c>
      <c r="Q4308" s="2" t="s">
        <v>42073</v>
      </c>
      <c r="R4308" s="3" t="s">
        <v>70</v>
      </c>
      <c r="S4308" s="4">
        <v>0</v>
      </c>
      <c r="T4308" s="4">
        <v>1</v>
      </c>
      <c r="V4308" s="5" t="s">
        <v>1655</v>
      </c>
      <c r="W4308" s="5" t="s">
        <v>72</v>
      </c>
      <c r="X4308" s="5" t="s">
        <v>72</v>
      </c>
      <c r="Y4308" s="4">
        <v>2</v>
      </c>
      <c r="Z4308" s="4">
        <v>1</v>
      </c>
      <c r="AA4308" s="4">
        <v>9</v>
      </c>
      <c r="AB4308" s="4">
        <v>1</v>
      </c>
      <c r="AC4308" s="4">
        <v>1</v>
      </c>
      <c r="AD4308" s="4">
        <v>1</v>
      </c>
      <c r="AE4308" s="4">
        <v>46</v>
      </c>
      <c r="AF4308" s="4">
        <v>0</v>
      </c>
      <c r="AG4308" s="4">
        <v>0</v>
      </c>
      <c r="AH4308" s="4">
        <v>1</v>
      </c>
      <c r="AI4308" s="4">
        <v>40</v>
      </c>
      <c r="AJ4308" s="4">
        <v>0</v>
      </c>
      <c r="AK4308" s="4">
        <v>5</v>
      </c>
      <c r="AL4308" s="4">
        <v>1</v>
      </c>
      <c r="AM4308" s="4">
        <v>31</v>
      </c>
      <c r="AN4308" s="4">
        <v>0</v>
      </c>
      <c r="AO4308" s="4">
        <v>0</v>
      </c>
      <c r="AP4308" s="4">
        <v>0</v>
      </c>
      <c r="AQ4308" s="4">
        <v>6</v>
      </c>
      <c r="AR4308" s="3" t="s">
        <v>64</v>
      </c>
      <c r="AS4308" s="3" t="s">
        <v>64</v>
      </c>
      <c r="AT4308" s="3" t="s">
        <v>64</v>
      </c>
      <c r="AV4308" s="6" t="str">
        <f>HYPERLINK("http://mcgill.on.worldcat.org/oclc/427314890","Catalog Record")</f>
        <v>Catalog Record</v>
      </c>
      <c r="AW4308" s="6" t="str">
        <f>HYPERLINK("http://www.worldcat.org/oclc/427314890","WorldCat Record")</f>
        <v>WorldCat Record</v>
      </c>
      <c r="AX4308" s="3" t="s">
        <v>42074</v>
      </c>
      <c r="AY4308" s="3" t="s">
        <v>42075</v>
      </c>
      <c r="AZ4308" s="3" t="s">
        <v>42076</v>
      </c>
      <c r="BA4308" s="3" t="s">
        <v>42076</v>
      </c>
      <c r="BB4308" s="3" t="s">
        <v>42077</v>
      </c>
      <c r="BC4308" s="3" t="s">
        <v>77</v>
      </c>
      <c r="BD4308" s="3" t="s">
        <v>78</v>
      </c>
      <c r="BF4308" s="3" t="s">
        <v>42077</v>
      </c>
      <c r="BG4308" s="3" t="s">
        <v>42078</v>
      </c>
      <c r="BH4308">
        <f t="shared" si="130"/>
        <v>0</v>
      </c>
    </row>
    <row r="4309" spans="1:60" ht="58" x14ac:dyDescent="0.35">
      <c r="A4309" s="2" t="s">
        <v>6202</v>
      </c>
      <c r="B4309" s="2" t="s">
        <v>6203</v>
      </c>
      <c r="C4309" s="2" t="s">
        <v>42079</v>
      </c>
      <c r="D4309" s="2" t="s">
        <v>42080</v>
      </c>
      <c r="E4309" s="2" t="s">
        <v>42081</v>
      </c>
      <c r="G4309" s="3" t="s">
        <v>64</v>
      </c>
      <c r="I4309" s="3" t="s">
        <v>128</v>
      </c>
      <c r="J4309" s="3" t="s">
        <v>64</v>
      </c>
      <c r="K4309" s="3" t="s">
        <v>65</v>
      </c>
      <c r="L4309" s="2" t="s">
        <v>42082</v>
      </c>
      <c r="M4309" s="2" t="s">
        <v>42083</v>
      </c>
      <c r="N4309" s="3" t="s">
        <v>3721</v>
      </c>
      <c r="P4309" s="3" t="s">
        <v>102</v>
      </c>
      <c r="Q4309" s="2" t="s">
        <v>42084</v>
      </c>
      <c r="R4309" s="3" t="s">
        <v>70</v>
      </c>
      <c r="S4309" s="4">
        <v>1</v>
      </c>
      <c r="T4309" s="4">
        <v>2</v>
      </c>
      <c r="U4309" s="5" t="s">
        <v>10415</v>
      </c>
      <c r="V4309" s="5" t="s">
        <v>1655</v>
      </c>
      <c r="W4309" s="5" t="s">
        <v>72</v>
      </c>
      <c r="X4309" s="5" t="s">
        <v>72</v>
      </c>
      <c r="Y4309" s="4">
        <v>414</v>
      </c>
      <c r="Z4309" s="4">
        <v>17</v>
      </c>
      <c r="AA4309" s="4">
        <v>55</v>
      </c>
      <c r="AB4309" s="4">
        <v>2</v>
      </c>
      <c r="AC4309" s="4">
        <v>10</v>
      </c>
      <c r="AD4309" s="4">
        <v>106</v>
      </c>
      <c r="AE4309" s="4">
        <v>131</v>
      </c>
      <c r="AF4309" s="4">
        <v>0</v>
      </c>
      <c r="AG4309" s="4">
        <v>4</v>
      </c>
      <c r="AH4309" s="4">
        <v>95</v>
      </c>
      <c r="AI4309" s="4">
        <v>111</v>
      </c>
      <c r="AJ4309" s="4">
        <v>10</v>
      </c>
      <c r="AK4309" s="4">
        <v>22</v>
      </c>
      <c r="AL4309" s="4">
        <v>50</v>
      </c>
      <c r="AM4309" s="4">
        <v>57</v>
      </c>
      <c r="AN4309" s="4">
        <v>0</v>
      </c>
      <c r="AO4309" s="4">
        <v>0</v>
      </c>
      <c r="AP4309" s="4">
        <v>14</v>
      </c>
      <c r="AQ4309" s="4">
        <v>28</v>
      </c>
      <c r="AR4309" s="3" t="s">
        <v>64</v>
      </c>
      <c r="AS4309" s="3" t="s">
        <v>64</v>
      </c>
      <c r="AT4309" s="3" t="s">
        <v>128</v>
      </c>
      <c r="AU4309" s="6" t="str">
        <f>HYPERLINK("http://catalog.hathitrust.org/Record/000706160","HathiTrust Record")</f>
        <v>HathiTrust Record</v>
      </c>
      <c r="AV4309" s="6" t="str">
        <f>HYPERLINK("http://mcgill.on.worldcat.org/oclc/5382313","Catalog Record")</f>
        <v>Catalog Record</v>
      </c>
      <c r="AW4309" s="6" t="str">
        <f>HYPERLINK("http://www.worldcat.org/oclc/5382313","WorldCat Record")</f>
        <v>WorldCat Record</v>
      </c>
      <c r="AX4309" s="3" t="s">
        <v>42085</v>
      </c>
      <c r="AY4309" s="3" t="s">
        <v>42086</v>
      </c>
      <c r="AZ4309" s="3" t="s">
        <v>42087</v>
      </c>
      <c r="BA4309" s="3" t="s">
        <v>42087</v>
      </c>
      <c r="BB4309" s="3" t="s">
        <v>42088</v>
      </c>
      <c r="BC4309" s="3" t="s">
        <v>77</v>
      </c>
      <c r="BD4309" s="3" t="s">
        <v>78</v>
      </c>
      <c r="BE4309" s="3" t="s">
        <v>42089</v>
      </c>
      <c r="BF4309" s="3" t="s">
        <v>42088</v>
      </c>
      <c r="BG4309" s="3" t="s">
        <v>42090</v>
      </c>
      <c r="BH4309">
        <f t="shared" si="130"/>
        <v>0</v>
      </c>
    </row>
    <row r="4310" spans="1:60" ht="87" x14ac:dyDescent="0.35">
      <c r="A4310" s="2" t="s">
        <v>6202</v>
      </c>
      <c r="B4310" s="2" t="s">
        <v>6203</v>
      </c>
      <c r="C4310" s="2" t="s">
        <v>42091</v>
      </c>
      <c r="D4310" s="2" t="s">
        <v>42092</v>
      </c>
      <c r="E4310" s="2" t="s">
        <v>42093</v>
      </c>
      <c r="G4310" s="3" t="s">
        <v>64</v>
      </c>
      <c r="I4310" s="3" t="s">
        <v>128</v>
      </c>
      <c r="J4310" s="3" t="s">
        <v>64</v>
      </c>
      <c r="K4310" s="3" t="s">
        <v>65</v>
      </c>
      <c r="L4310" s="2" t="s">
        <v>42094</v>
      </c>
      <c r="M4310" s="2" t="s">
        <v>42095</v>
      </c>
      <c r="N4310" s="3" t="s">
        <v>1763</v>
      </c>
      <c r="P4310" s="3" t="s">
        <v>944</v>
      </c>
      <c r="Q4310" s="2" t="s">
        <v>42096</v>
      </c>
      <c r="R4310" s="3" t="s">
        <v>70</v>
      </c>
      <c r="S4310" s="4">
        <v>0</v>
      </c>
      <c r="T4310" s="4">
        <v>1</v>
      </c>
      <c r="V4310" s="5" t="s">
        <v>1655</v>
      </c>
      <c r="W4310" s="5" t="s">
        <v>72</v>
      </c>
      <c r="X4310" s="5" t="s">
        <v>72</v>
      </c>
      <c r="Y4310" s="4">
        <v>37</v>
      </c>
      <c r="Z4310" s="4">
        <v>6</v>
      </c>
      <c r="AA4310" s="4">
        <v>15</v>
      </c>
      <c r="AB4310" s="4">
        <v>1</v>
      </c>
      <c r="AC4310" s="4">
        <v>4</v>
      </c>
      <c r="AD4310" s="4">
        <v>12</v>
      </c>
      <c r="AE4310" s="4">
        <v>98</v>
      </c>
      <c r="AF4310" s="4">
        <v>0</v>
      </c>
      <c r="AG4310" s="4">
        <v>3</v>
      </c>
      <c r="AH4310" s="4">
        <v>9</v>
      </c>
      <c r="AI4310" s="4">
        <v>89</v>
      </c>
      <c r="AJ4310" s="4">
        <v>4</v>
      </c>
      <c r="AK4310" s="4">
        <v>11</v>
      </c>
      <c r="AL4310" s="4">
        <v>5</v>
      </c>
      <c r="AM4310" s="4">
        <v>50</v>
      </c>
      <c r="AN4310" s="4">
        <v>0</v>
      </c>
      <c r="AO4310" s="4">
        <v>0</v>
      </c>
      <c r="AP4310" s="4">
        <v>5</v>
      </c>
      <c r="AQ4310" s="4">
        <v>12</v>
      </c>
      <c r="AR4310" s="3" t="s">
        <v>64</v>
      </c>
      <c r="AS4310" s="3" t="s">
        <v>64</v>
      </c>
      <c r="AT4310" s="3" t="s">
        <v>128</v>
      </c>
      <c r="AU4310" s="6" t="str">
        <f>HYPERLINK("http://catalog.hathitrust.org/Record/000447045","HathiTrust Record")</f>
        <v>HathiTrust Record</v>
      </c>
      <c r="AV4310" s="6" t="str">
        <f>HYPERLINK("http://mcgill.on.worldcat.org/oclc/213789240","Catalog Record")</f>
        <v>Catalog Record</v>
      </c>
      <c r="AW4310" s="6" t="str">
        <f>HYPERLINK("http://www.worldcat.org/oclc/213789240","WorldCat Record")</f>
        <v>WorldCat Record</v>
      </c>
      <c r="AX4310" s="3" t="s">
        <v>42097</v>
      </c>
      <c r="AY4310" s="3" t="s">
        <v>42098</v>
      </c>
      <c r="AZ4310" s="3" t="s">
        <v>42099</v>
      </c>
      <c r="BA4310" s="3" t="s">
        <v>42099</v>
      </c>
      <c r="BB4310" s="3" t="s">
        <v>42100</v>
      </c>
      <c r="BC4310" s="3" t="s">
        <v>77</v>
      </c>
      <c r="BD4310" s="3" t="s">
        <v>78</v>
      </c>
      <c r="BE4310" s="3" t="s">
        <v>42101</v>
      </c>
      <c r="BF4310" s="3" t="s">
        <v>42100</v>
      </c>
      <c r="BG4310" s="3" t="s">
        <v>42102</v>
      </c>
      <c r="BH4310">
        <f t="shared" si="130"/>
        <v>0</v>
      </c>
    </row>
    <row r="4311" spans="1:60" ht="58" x14ac:dyDescent="0.35">
      <c r="A4311" s="2" t="s">
        <v>6202</v>
      </c>
      <c r="B4311" s="2" t="s">
        <v>6203</v>
      </c>
      <c r="C4311" s="2" t="s">
        <v>42103</v>
      </c>
      <c r="D4311" s="2" t="s">
        <v>42104</v>
      </c>
      <c r="E4311" s="2" t="s">
        <v>42105</v>
      </c>
      <c r="G4311" s="3" t="s">
        <v>64</v>
      </c>
      <c r="I4311" s="3" t="s">
        <v>128</v>
      </c>
      <c r="J4311" s="3" t="s">
        <v>64</v>
      </c>
      <c r="K4311" s="3" t="s">
        <v>65</v>
      </c>
      <c r="L4311" s="2" t="s">
        <v>42106</v>
      </c>
      <c r="M4311" s="2" t="s">
        <v>42107</v>
      </c>
      <c r="N4311" s="3" t="s">
        <v>1763</v>
      </c>
      <c r="P4311" s="3" t="s">
        <v>102</v>
      </c>
      <c r="Q4311" s="2" t="s">
        <v>42108</v>
      </c>
      <c r="R4311" s="3" t="s">
        <v>70</v>
      </c>
      <c r="S4311" s="4">
        <v>0</v>
      </c>
      <c r="T4311" s="4">
        <v>1</v>
      </c>
      <c r="V4311" s="5" t="s">
        <v>1655</v>
      </c>
      <c r="W4311" s="5" t="s">
        <v>72</v>
      </c>
      <c r="X4311" s="5" t="s">
        <v>72</v>
      </c>
      <c r="Y4311" s="4">
        <v>275</v>
      </c>
      <c r="Z4311" s="4">
        <v>18</v>
      </c>
      <c r="AA4311" s="4">
        <v>48</v>
      </c>
      <c r="AB4311" s="4">
        <v>2</v>
      </c>
      <c r="AC4311" s="4">
        <v>8</v>
      </c>
      <c r="AD4311" s="4">
        <v>91</v>
      </c>
      <c r="AE4311" s="4">
        <v>104</v>
      </c>
      <c r="AF4311" s="4">
        <v>1</v>
      </c>
      <c r="AG4311" s="4">
        <v>3</v>
      </c>
      <c r="AH4311" s="4">
        <v>84</v>
      </c>
      <c r="AI4311" s="4">
        <v>94</v>
      </c>
      <c r="AJ4311" s="4">
        <v>14</v>
      </c>
      <c r="AK4311" s="4">
        <v>16</v>
      </c>
      <c r="AL4311" s="4">
        <v>49</v>
      </c>
      <c r="AM4311" s="4">
        <v>51</v>
      </c>
      <c r="AN4311" s="4">
        <v>0</v>
      </c>
      <c r="AO4311" s="4">
        <v>0</v>
      </c>
      <c r="AP4311" s="4">
        <v>14</v>
      </c>
      <c r="AQ4311" s="4">
        <v>17</v>
      </c>
      <c r="AR4311" s="3" t="s">
        <v>64</v>
      </c>
      <c r="AS4311" s="3" t="s">
        <v>64</v>
      </c>
      <c r="AT4311" s="3" t="s">
        <v>128</v>
      </c>
      <c r="AU4311" s="6" t="str">
        <f>HYPERLINK("http://catalog.hathitrust.org/Record/000405947","HathiTrust Record")</f>
        <v>HathiTrust Record</v>
      </c>
      <c r="AV4311" s="6" t="str">
        <f>HYPERLINK("http://mcgill.on.worldcat.org/oclc/11412633","Catalog Record")</f>
        <v>Catalog Record</v>
      </c>
      <c r="AW4311" s="6" t="str">
        <f>HYPERLINK("http://www.worldcat.org/oclc/11412633","WorldCat Record")</f>
        <v>WorldCat Record</v>
      </c>
      <c r="AX4311" s="3" t="s">
        <v>42109</v>
      </c>
      <c r="AY4311" s="3" t="s">
        <v>42110</v>
      </c>
      <c r="AZ4311" s="3" t="s">
        <v>42111</v>
      </c>
      <c r="BA4311" s="3" t="s">
        <v>42111</v>
      </c>
      <c r="BB4311" s="3" t="s">
        <v>42112</v>
      </c>
      <c r="BC4311" s="3" t="s">
        <v>77</v>
      </c>
      <c r="BD4311" s="3" t="s">
        <v>78</v>
      </c>
      <c r="BE4311" s="3" t="s">
        <v>42113</v>
      </c>
      <c r="BF4311" s="3" t="s">
        <v>42112</v>
      </c>
      <c r="BG4311" s="3" t="s">
        <v>42114</v>
      </c>
      <c r="BH4311">
        <f t="shared" si="130"/>
        <v>0</v>
      </c>
    </row>
    <row r="4312" spans="1:60" ht="58" x14ac:dyDescent="0.35">
      <c r="A4312" s="2" t="s">
        <v>6202</v>
      </c>
      <c r="B4312" s="2" t="s">
        <v>6203</v>
      </c>
      <c r="C4312" s="2" t="s">
        <v>42115</v>
      </c>
      <c r="D4312" s="2" t="s">
        <v>42116</v>
      </c>
      <c r="E4312" s="2" t="s">
        <v>42117</v>
      </c>
      <c r="G4312" s="3" t="s">
        <v>64</v>
      </c>
      <c r="I4312" s="3" t="s">
        <v>64</v>
      </c>
      <c r="J4312" s="3" t="s">
        <v>128</v>
      </c>
      <c r="K4312" s="3" t="s">
        <v>65</v>
      </c>
      <c r="L4312" s="2" t="s">
        <v>42082</v>
      </c>
      <c r="M4312" s="2" t="s">
        <v>40647</v>
      </c>
      <c r="N4312" s="3" t="s">
        <v>1615</v>
      </c>
      <c r="O4312" s="2" t="s">
        <v>734</v>
      </c>
      <c r="P4312" s="3" t="s">
        <v>102</v>
      </c>
      <c r="Q4312" s="2" t="s">
        <v>42118</v>
      </c>
      <c r="R4312" s="3" t="s">
        <v>70</v>
      </c>
      <c r="S4312" s="4">
        <v>1</v>
      </c>
      <c r="T4312" s="4">
        <v>1</v>
      </c>
      <c r="U4312" s="5" t="s">
        <v>9476</v>
      </c>
      <c r="V4312" s="5" t="s">
        <v>9476</v>
      </c>
      <c r="W4312" s="5" t="s">
        <v>72</v>
      </c>
      <c r="X4312" s="5" t="s">
        <v>72</v>
      </c>
      <c r="Y4312" s="4">
        <v>200</v>
      </c>
      <c r="Z4312" s="4">
        <v>12</v>
      </c>
      <c r="AA4312" s="4">
        <v>50</v>
      </c>
      <c r="AB4312" s="4">
        <v>1</v>
      </c>
      <c r="AC4312" s="4">
        <v>7</v>
      </c>
      <c r="AD4312" s="4">
        <v>77</v>
      </c>
      <c r="AE4312" s="4">
        <v>113</v>
      </c>
      <c r="AF4312" s="4">
        <v>0</v>
      </c>
      <c r="AG4312" s="4">
        <v>2</v>
      </c>
      <c r="AH4312" s="4">
        <v>70</v>
      </c>
      <c r="AI4312" s="4">
        <v>101</v>
      </c>
      <c r="AJ4312" s="4">
        <v>9</v>
      </c>
      <c r="AK4312" s="4">
        <v>18</v>
      </c>
      <c r="AL4312" s="4">
        <v>42</v>
      </c>
      <c r="AM4312" s="4">
        <v>55</v>
      </c>
      <c r="AN4312" s="4">
        <v>0</v>
      </c>
      <c r="AO4312" s="4">
        <v>0</v>
      </c>
      <c r="AP4312" s="4">
        <v>8</v>
      </c>
      <c r="AQ4312" s="4">
        <v>20</v>
      </c>
      <c r="AR4312" s="3" t="s">
        <v>64</v>
      </c>
      <c r="AS4312" s="3" t="s">
        <v>64</v>
      </c>
      <c r="AT4312" s="3" t="s">
        <v>64</v>
      </c>
      <c r="AV4312" s="6" t="str">
        <f>HYPERLINK("http://mcgill.on.worldcat.org/oclc/35330145","Catalog Record")</f>
        <v>Catalog Record</v>
      </c>
      <c r="AW4312" s="6" t="str">
        <f>HYPERLINK("http://www.worldcat.org/oclc/35330145","WorldCat Record")</f>
        <v>WorldCat Record</v>
      </c>
      <c r="AX4312" s="3" t="s">
        <v>42119</v>
      </c>
      <c r="AY4312" s="3" t="s">
        <v>42120</v>
      </c>
      <c r="AZ4312" s="3" t="s">
        <v>42121</v>
      </c>
      <c r="BA4312" s="3" t="s">
        <v>42121</v>
      </c>
      <c r="BB4312" s="3" t="s">
        <v>42122</v>
      </c>
      <c r="BC4312" s="3" t="s">
        <v>77</v>
      </c>
      <c r="BD4312" s="3" t="s">
        <v>40037</v>
      </c>
      <c r="BE4312" s="3" t="s">
        <v>42123</v>
      </c>
      <c r="BF4312" s="3" t="s">
        <v>42122</v>
      </c>
      <c r="BG4312" s="3" t="s">
        <v>42124</v>
      </c>
      <c r="BH4312">
        <f t="shared" si="130"/>
        <v>0</v>
      </c>
    </row>
    <row r="4313" spans="1:60" ht="87" x14ac:dyDescent="0.35">
      <c r="A4313" s="2" t="s">
        <v>59</v>
      </c>
      <c r="B4313" s="2" t="s">
        <v>60</v>
      </c>
      <c r="C4313" s="2" t="s">
        <v>42125</v>
      </c>
      <c r="D4313" s="2" t="s">
        <v>42126</v>
      </c>
      <c r="E4313" s="2" t="s">
        <v>42127</v>
      </c>
      <c r="G4313" s="3" t="s">
        <v>64</v>
      </c>
      <c r="I4313" s="3" t="s">
        <v>64</v>
      </c>
      <c r="J4313" s="3" t="s">
        <v>64</v>
      </c>
      <c r="K4313" s="3" t="s">
        <v>65</v>
      </c>
      <c r="L4313" s="2" t="s">
        <v>18066</v>
      </c>
      <c r="M4313" s="2" t="s">
        <v>42128</v>
      </c>
      <c r="N4313" s="3" t="s">
        <v>326</v>
      </c>
      <c r="P4313" s="3" t="s">
        <v>4873</v>
      </c>
      <c r="Q4313" s="2" t="s">
        <v>42129</v>
      </c>
      <c r="R4313" s="3" t="s">
        <v>70</v>
      </c>
      <c r="S4313" s="4">
        <v>0</v>
      </c>
      <c r="T4313" s="4">
        <v>0</v>
      </c>
      <c r="W4313" s="5" t="s">
        <v>72</v>
      </c>
      <c r="X4313" s="5" t="s">
        <v>72</v>
      </c>
      <c r="Y4313" s="4">
        <v>1</v>
      </c>
      <c r="Z4313" s="4">
        <v>1</v>
      </c>
      <c r="AA4313" s="4">
        <v>1</v>
      </c>
      <c r="AB4313" s="4">
        <v>1</v>
      </c>
      <c r="AC4313" s="4">
        <v>1</v>
      </c>
      <c r="AD4313" s="4">
        <v>0</v>
      </c>
      <c r="AE4313" s="4">
        <v>0</v>
      </c>
      <c r="AF4313" s="4">
        <v>0</v>
      </c>
      <c r="AG4313" s="4">
        <v>0</v>
      </c>
      <c r="AH4313" s="4">
        <v>0</v>
      </c>
      <c r="AI4313" s="4">
        <v>0</v>
      </c>
      <c r="AJ4313" s="4">
        <v>0</v>
      </c>
      <c r="AK4313" s="4">
        <v>0</v>
      </c>
      <c r="AL4313" s="4">
        <v>0</v>
      </c>
      <c r="AM4313" s="4">
        <v>0</v>
      </c>
      <c r="AN4313" s="4">
        <v>0</v>
      </c>
      <c r="AO4313" s="4">
        <v>0</v>
      </c>
      <c r="AP4313" s="4">
        <v>0</v>
      </c>
      <c r="AQ4313" s="4">
        <v>0</v>
      </c>
      <c r="AR4313" s="3" t="s">
        <v>64</v>
      </c>
      <c r="AS4313" s="3" t="s">
        <v>64</v>
      </c>
      <c r="AT4313" s="3" t="s">
        <v>64</v>
      </c>
      <c r="AV4313" s="6" t="str">
        <f>HYPERLINK("http://mcgill.on.worldcat.org/oclc/864681874","Catalog Record")</f>
        <v>Catalog Record</v>
      </c>
      <c r="AW4313" s="6" t="str">
        <f>HYPERLINK("http://www.worldcat.org/oclc/864681874","WorldCat Record")</f>
        <v>WorldCat Record</v>
      </c>
      <c r="AX4313" s="3" t="s">
        <v>42130</v>
      </c>
      <c r="AY4313" s="3" t="s">
        <v>42131</v>
      </c>
      <c r="AZ4313" s="3" t="s">
        <v>42132</v>
      </c>
      <c r="BA4313" s="3" t="s">
        <v>42132</v>
      </c>
      <c r="BB4313" s="3" t="s">
        <v>42133</v>
      </c>
      <c r="BC4313" s="3" t="s">
        <v>77</v>
      </c>
      <c r="BD4313" s="3" t="s">
        <v>78</v>
      </c>
      <c r="BE4313" s="3" t="s">
        <v>42134</v>
      </c>
      <c r="BF4313" s="3" t="s">
        <v>42133</v>
      </c>
      <c r="BG4313" s="3" t="s">
        <v>42135</v>
      </c>
      <c r="BH4313">
        <f t="shared" si="130"/>
        <v>0</v>
      </c>
    </row>
    <row r="4314" spans="1:60" ht="116" x14ac:dyDescent="0.35">
      <c r="A4314" s="2" t="s">
        <v>59</v>
      </c>
      <c r="B4314" s="2" t="s">
        <v>1183</v>
      </c>
      <c r="C4314" s="2" t="s">
        <v>42136</v>
      </c>
      <c r="D4314" s="2" t="s">
        <v>42137</v>
      </c>
      <c r="E4314" s="2" t="s">
        <v>42138</v>
      </c>
      <c r="G4314" s="3" t="s">
        <v>64</v>
      </c>
      <c r="I4314" s="3" t="s">
        <v>64</v>
      </c>
      <c r="J4314" s="3" t="s">
        <v>64</v>
      </c>
      <c r="K4314" s="3" t="s">
        <v>65</v>
      </c>
      <c r="L4314" s="2" t="s">
        <v>42139</v>
      </c>
      <c r="M4314" s="2" t="s">
        <v>42140</v>
      </c>
      <c r="N4314" s="3" t="s">
        <v>1750</v>
      </c>
      <c r="P4314" s="3" t="s">
        <v>1190</v>
      </c>
      <c r="R4314" s="3" t="s">
        <v>70</v>
      </c>
      <c r="S4314" s="4">
        <v>3</v>
      </c>
      <c r="T4314" s="4">
        <v>3</v>
      </c>
      <c r="U4314" s="5" t="s">
        <v>5146</v>
      </c>
      <c r="V4314" s="5" t="s">
        <v>5146</v>
      </c>
      <c r="W4314" s="5" t="s">
        <v>72</v>
      </c>
      <c r="X4314" s="5" t="s">
        <v>72</v>
      </c>
      <c r="Y4314" s="4">
        <v>21</v>
      </c>
      <c r="Z4314" s="4">
        <v>5</v>
      </c>
      <c r="AA4314" s="4">
        <v>5</v>
      </c>
      <c r="AB4314" s="4">
        <v>2</v>
      </c>
      <c r="AC4314" s="4">
        <v>2</v>
      </c>
      <c r="AD4314" s="4">
        <v>11</v>
      </c>
      <c r="AE4314" s="4">
        <v>11</v>
      </c>
      <c r="AF4314" s="4">
        <v>0</v>
      </c>
      <c r="AG4314" s="4">
        <v>0</v>
      </c>
      <c r="AH4314" s="4">
        <v>10</v>
      </c>
      <c r="AI4314" s="4">
        <v>10</v>
      </c>
      <c r="AJ4314" s="4">
        <v>1</v>
      </c>
      <c r="AK4314" s="4">
        <v>1</v>
      </c>
      <c r="AL4314" s="4">
        <v>9</v>
      </c>
      <c r="AM4314" s="4">
        <v>9</v>
      </c>
      <c r="AN4314" s="4">
        <v>0</v>
      </c>
      <c r="AO4314" s="4">
        <v>0</v>
      </c>
      <c r="AP4314" s="4">
        <v>2</v>
      </c>
      <c r="AQ4314" s="4">
        <v>2</v>
      </c>
      <c r="AR4314" s="3" t="s">
        <v>64</v>
      </c>
      <c r="AS4314" s="3" t="s">
        <v>64</v>
      </c>
      <c r="AT4314" s="3" t="s">
        <v>128</v>
      </c>
      <c r="AU4314" s="6" t="str">
        <f>HYPERLINK("http://catalog.hathitrust.org/Record/001717362","HathiTrust Record")</f>
        <v>HathiTrust Record</v>
      </c>
      <c r="AV4314" s="6" t="str">
        <f>HYPERLINK("http://mcgill.on.worldcat.org/oclc/23324577","Catalog Record")</f>
        <v>Catalog Record</v>
      </c>
      <c r="AW4314" s="6" t="str">
        <f>HYPERLINK("http://www.worldcat.org/oclc/23324577","WorldCat Record")</f>
        <v>WorldCat Record</v>
      </c>
      <c r="AX4314" s="3" t="s">
        <v>42141</v>
      </c>
      <c r="AY4314" s="3" t="s">
        <v>42142</v>
      </c>
      <c r="AZ4314" s="3" t="s">
        <v>42143</v>
      </c>
      <c r="BA4314" s="3" t="s">
        <v>42143</v>
      </c>
      <c r="BB4314" s="3" t="s">
        <v>42144</v>
      </c>
      <c r="BC4314" s="3" t="s">
        <v>77</v>
      </c>
      <c r="BD4314" s="3" t="s">
        <v>78</v>
      </c>
      <c r="BF4314" s="3" t="s">
        <v>42144</v>
      </c>
      <c r="BG4314" s="3" t="s">
        <v>42145</v>
      </c>
      <c r="BH4314">
        <f t="shared" si="130"/>
        <v>0</v>
      </c>
    </row>
    <row r="4315" spans="1:60" ht="58" x14ac:dyDescent="0.35">
      <c r="A4315" s="2" t="s">
        <v>6202</v>
      </c>
      <c r="B4315" s="2" t="s">
        <v>6203</v>
      </c>
      <c r="C4315" s="2" t="s">
        <v>42146</v>
      </c>
      <c r="D4315" s="2" t="s">
        <v>42147</v>
      </c>
      <c r="E4315" s="2" t="s">
        <v>42148</v>
      </c>
      <c r="G4315" s="3" t="s">
        <v>64</v>
      </c>
      <c r="I4315" s="3" t="s">
        <v>64</v>
      </c>
      <c r="J4315" s="3" t="s">
        <v>64</v>
      </c>
      <c r="K4315" s="3" t="s">
        <v>65</v>
      </c>
      <c r="L4315" s="2" t="s">
        <v>42149</v>
      </c>
      <c r="M4315" s="2" t="s">
        <v>42150</v>
      </c>
      <c r="N4315" s="3" t="s">
        <v>159</v>
      </c>
      <c r="P4315" s="3" t="s">
        <v>102</v>
      </c>
      <c r="R4315" s="3" t="s">
        <v>70</v>
      </c>
      <c r="S4315" s="4">
        <v>1</v>
      </c>
      <c r="T4315" s="4">
        <v>1</v>
      </c>
      <c r="U4315" s="5" t="s">
        <v>42151</v>
      </c>
      <c r="V4315" s="5" t="s">
        <v>42151</v>
      </c>
      <c r="W4315" s="5" t="s">
        <v>72</v>
      </c>
      <c r="X4315" s="5" t="s">
        <v>72</v>
      </c>
      <c r="Y4315" s="4">
        <v>44</v>
      </c>
      <c r="Z4315" s="4">
        <v>4</v>
      </c>
      <c r="AA4315" s="4">
        <v>4</v>
      </c>
      <c r="AB4315" s="4">
        <v>1</v>
      </c>
      <c r="AC4315" s="4">
        <v>1</v>
      </c>
      <c r="AD4315" s="4">
        <v>28</v>
      </c>
      <c r="AE4315" s="4">
        <v>28</v>
      </c>
      <c r="AF4315" s="4">
        <v>0</v>
      </c>
      <c r="AG4315" s="4">
        <v>0</v>
      </c>
      <c r="AH4315" s="4">
        <v>25</v>
      </c>
      <c r="AI4315" s="4">
        <v>25</v>
      </c>
      <c r="AJ4315" s="4">
        <v>3</v>
      </c>
      <c r="AK4315" s="4">
        <v>3</v>
      </c>
      <c r="AL4315" s="4">
        <v>20</v>
      </c>
      <c r="AM4315" s="4">
        <v>20</v>
      </c>
      <c r="AN4315" s="4">
        <v>0</v>
      </c>
      <c r="AO4315" s="4">
        <v>0</v>
      </c>
      <c r="AP4315" s="4">
        <v>3</v>
      </c>
      <c r="AQ4315" s="4">
        <v>3</v>
      </c>
      <c r="AR4315" s="3" t="s">
        <v>64</v>
      </c>
      <c r="AS4315" s="3" t="s">
        <v>64</v>
      </c>
      <c r="AT4315" s="3" t="s">
        <v>64</v>
      </c>
      <c r="AV4315" s="6" t="str">
        <f>HYPERLINK("http://mcgill.on.worldcat.org/oclc/47739704","Catalog Record")</f>
        <v>Catalog Record</v>
      </c>
      <c r="AW4315" s="6" t="str">
        <f>HYPERLINK("http://www.worldcat.org/oclc/47739704","WorldCat Record")</f>
        <v>WorldCat Record</v>
      </c>
      <c r="AX4315" s="3" t="s">
        <v>42152</v>
      </c>
      <c r="AY4315" s="3" t="s">
        <v>42153</v>
      </c>
      <c r="AZ4315" s="3" t="s">
        <v>42154</v>
      </c>
      <c r="BA4315" s="3" t="s">
        <v>42154</v>
      </c>
      <c r="BB4315" s="3" t="s">
        <v>42155</v>
      </c>
      <c r="BC4315" s="3" t="s">
        <v>77</v>
      </c>
      <c r="BD4315" s="3" t="s">
        <v>78</v>
      </c>
      <c r="BE4315" s="3" t="s">
        <v>42156</v>
      </c>
      <c r="BF4315" s="3" t="s">
        <v>42155</v>
      </c>
      <c r="BG4315" s="3" t="s">
        <v>42157</v>
      </c>
      <c r="BH4315">
        <f t="shared" si="130"/>
        <v>0</v>
      </c>
    </row>
    <row r="4316" spans="1:60" ht="116" x14ac:dyDescent="0.35">
      <c r="A4316" s="2" t="s">
        <v>59</v>
      </c>
      <c r="B4316" s="2" t="s">
        <v>1183</v>
      </c>
      <c r="C4316" s="2" t="s">
        <v>42158</v>
      </c>
      <c r="D4316" s="2" t="s">
        <v>42159</v>
      </c>
      <c r="E4316" s="2" t="s">
        <v>42160</v>
      </c>
      <c r="F4316" s="3" t="s">
        <v>42161</v>
      </c>
      <c r="G4316" s="3" t="s">
        <v>64</v>
      </c>
      <c r="I4316" s="3" t="s">
        <v>64</v>
      </c>
      <c r="J4316" s="3" t="s">
        <v>64</v>
      </c>
      <c r="K4316" s="3" t="s">
        <v>65</v>
      </c>
      <c r="M4316" s="2" t="s">
        <v>42162</v>
      </c>
      <c r="N4316" s="3" t="s">
        <v>1250</v>
      </c>
      <c r="O4316" s="2" t="s">
        <v>1189</v>
      </c>
      <c r="P4316" s="3" t="s">
        <v>1190</v>
      </c>
      <c r="Q4316" s="2" t="s">
        <v>42163</v>
      </c>
      <c r="R4316" s="3" t="s">
        <v>70</v>
      </c>
      <c r="S4316" s="4">
        <v>13</v>
      </c>
      <c r="T4316" s="4">
        <v>13</v>
      </c>
      <c r="U4316" s="5" t="s">
        <v>42164</v>
      </c>
      <c r="V4316" s="5" t="s">
        <v>42164</v>
      </c>
      <c r="W4316" s="5" t="s">
        <v>72</v>
      </c>
      <c r="X4316" s="5" t="s">
        <v>72</v>
      </c>
      <c r="Y4316" s="4">
        <v>64</v>
      </c>
      <c r="Z4316" s="4">
        <v>7</v>
      </c>
      <c r="AA4316" s="4">
        <v>7</v>
      </c>
      <c r="AB4316" s="4">
        <v>1</v>
      </c>
      <c r="AC4316" s="4">
        <v>1</v>
      </c>
      <c r="AD4316" s="4">
        <v>41</v>
      </c>
      <c r="AE4316" s="4">
        <v>41</v>
      </c>
      <c r="AF4316" s="4">
        <v>0</v>
      </c>
      <c r="AG4316" s="4">
        <v>0</v>
      </c>
      <c r="AH4316" s="4">
        <v>41</v>
      </c>
      <c r="AI4316" s="4">
        <v>41</v>
      </c>
      <c r="AJ4316" s="4">
        <v>4</v>
      </c>
      <c r="AK4316" s="4">
        <v>4</v>
      </c>
      <c r="AL4316" s="4">
        <v>31</v>
      </c>
      <c r="AM4316" s="4">
        <v>31</v>
      </c>
      <c r="AN4316" s="4">
        <v>0</v>
      </c>
      <c r="AO4316" s="4">
        <v>0</v>
      </c>
      <c r="AP4316" s="4">
        <v>4</v>
      </c>
      <c r="AQ4316" s="4">
        <v>4</v>
      </c>
      <c r="AR4316" s="3" t="s">
        <v>64</v>
      </c>
      <c r="AS4316" s="3" t="s">
        <v>64</v>
      </c>
      <c r="AT4316" s="3" t="s">
        <v>128</v>
      </c>
      <c r="AU4316" s="6" t="str">
        <f>HYPERLINK("http://catalog.hathitrust.org/Record/003060274","HathiTrust Record")</f>
        <v>HathiTrust Record</v>
      </c>
      <c r="AV4316" s="6" t="str">
        <f>HYPERLINK("http://mcgill.on.worldcat.org/oclc/31629840","Catalog Record")</f>
        <v>Catalog Record</v>
      </c>
      <c r="AW4316" s="6" t="str">
        <f>HYPERLINK("http://www.worldcat.org/oclc/31629840","WorldCat Record")</f>
        <v>WorldCat Record</v>
      </c>
      <c r="AX4316" s="3" t="s">
        <v>42165</v>
      </c>
      <c r="AY4316" s="3" t="s">
        <v>42166</v>
      </c>
      <c r="AZ4316" s="3" t="s">
        <v>42167</v>
      </c>
      <c r="BA4316" s="3" t="s">
        <v>42167</v>
      </c>
      <c r="BB4316" s="3" t="s">
        <v>42168</v>
      </c>
      <c r="BC4316" s="3" t="s">
        <v>77</v>
      </c>
      <c r="BD4316" s="3" t="s">
        <v>165</v>
      </c>
      <c r="BE4316" s="3" t="s">
        <v>42169</v>
      </c>
      <c r="BF4316" s="3" t="s">
        <v>42168</v>
      </c>
      <c r="BG4316" s="3" t="s">
        <v>42170</v>
      </c>
      <c r="BH4316">
        <f t="shared" si="130"/>
        <v>0</v>
      </c>
    </row>
    <row r="4317" spans="1:60" ht="116" x14ac:dyDescent="0.35">
      <c r="A4317" s="2" t="s">
        <v>59</v>
      </c>
      <c r="B4317" s="2" t="s">
        <v>1183</v>
      </c>
      <c r="C4317" s="2" t="s">
        <v>42171</v>
      </c>
      <c r="D4317" s="2" t="s">
        <v>42172</v>
      </c>
      <c r="E4317" s="2" t="s">
        <v>42173</v>
      </c>
      <c r="G4317" s="3" t="s">
        <v>64</v>
      </c>
      <c r="I4317" s="3" t="s">
        <v>64</v>
      </c>
      <c r="J4317" s="3" t="s">
        <v>64</v>
      </c>
      <c r="K4317" s="3" t="s">
        <v>65</v>
      </c>
      <c r="L4317" s="2" t="s">
        <v>42174</v>
      </c>
      <c r="M4317" s="2" t="s">
        <v>42175</v>
      </c>
      <c r="N4317" s="3" t="s">
        <v>326</v>
      </c>
      <c r="O4317" s="2" t="s">
        <v>1189</v>
      </c>
      <c r="P4317" s="3" t="s">
        <v>1190</v>
      </c>
      <c r="Q4317" s="2" t="s">
        <v>42176</v>
      </c>
      <c r="R4317" s="3" t="s">
        <v>70</v>
      </c>
      <c r="S4317" s="4">
        <v>0</v>
      </c>
      <c r="T4317" s="4">
        <v>0</v>
      </c>
      <c r="W4317" s="5" t="s">
        <v>72</v>
      </c>
      <c r="X4317" s="5" t="s">
        <v>72</v>
      </c>
      <c r="Y4317" s="4">
        <v>16</v>
      </c>
      <c r="Z4317" s="4">
        <v>1</v>
      </c>
      <c r="AA4317" s="4">
        <v>3</v>
      </c>
      <c r="AB4317" s="4">
        <v>1</v>
      </c>
      <c r="AC4317" s="4">
        <v>1</v>
      </c>
      <c r="AD4317" s="4">
        <v>9</v>
      </c>
      <c r="AE4317" s="4">
        <v>10</v>
      </c>
      <c r="AF4317" s="4">
        <v>0</v>
      </c>
      <c r="AG4317" s="4">
        <v>0</v>
      </c>
      <c r="AH4317" s="4">
        <v>8</v>
      </c>
      <c r="AI4317" s="4">
        <v>9</v>
      </c>
      <c r="AJ4317" s="4">
        <v>0</v>
      </c>
      <c r="AK4317" s="4">
        <v>1</v>
      </c>
      <c r="AL4317" s="4">
        <v>8</v>
      </c>
      <c r="AM4317" s="4">
        <v>9</v>
      </c>
      <c r="AN4317" s="4">
        <v>0</v>
      </c>
      <c r="AO4317" s="4">
        <v>0</v>
      </c>
      <c r="AP4317" s="4">
        <v>0</v>
      </c>
      <c r="AQ4317" s="4">
        <v>1</v>
      </c>
      <c r="AR4317" s="3" t="s">
        <v>64</v>
      </c>
      <c r="AS4317" s="3" t="s">
        <v>64</v>
      </c>
      <c r="AT4317" s="3" t="s">
        <v>64</v>
      </c>
      <c r="AV4317" s="6" t="str">
        <f>HYPERLINK("http://mcgill.on.worldcat.org/oclc/768304390","Catalog Record")</f>
        <v>Catalog Record</v>
      </c>
      <c r="AW4317" s="6" t="str">
        <f>HYPERLINK("http://www.worldcat.org/oclc/768304390","WorldCat Record")</f>
        <v>WorldCat Record</v>
      </c>
      <c r="AX4317" s="3" t="s">
        <v>42177</v>
      </c>
      <c r="AY4317" s="3" t="s">
        <v>42178</v>
      </c>
      <c r="AZ4317" s="3" t="s">
        <v>42179</v>
      </c>
      <c r="BA4317" s="3" t="s">
        <v>42179</v>
      </c>
      <c r="BB4317" s="3" t="s">
        <v>42180</v>
      </c>
      <c r="BC4317" s="3" t="s">
        <v>77</v>
      </c>
      <c r="BD4317" s="3" t="s">
        <v>78</v>
      </c>
      <c r="BE4317" s="3" t="s">
        <v>42181</v>
      </c>
      <c r="BF4317" s="3" t="s">
        <v>42180</v>
      </c>
      <c r="BG4317" s="3" t="s">
        <v>42182</v>
      </c>
      <c r="BH4317">
        <f t="shared" si="130"/>
        <v>0</v>
      </c>
    </row>
    <row r="4318" spans="1:60" ht="116" x14ac:dyDescent="0.35">
      <c r="A4318" s="2" t="s">
        <v>59</v>
      </c>
      <c r="B4318" s="2" t="s">
        <v>1183</v>
      </c>
      <c r="C4318" s="2" t="s">
        <v>42183</v>
      </c>
      <c r="D4318" s="2" t="s">
        <v>42184</v>
      </c>
      <c r="E4318" s="2" t="s">
        <v>42185</v>
      </c>
      <c r="G4318" s="3" t="s">
        <v>64</v>
      </c>
      <c r="I4318" s="3" t="s">
        <v>64</v>
      </c>
      <c r="J4318" s="3" t="s">
        <v>64</v>
      </c>
      <c r="K4318" s="3" t="s">
        <v>65</v>
      </c>
      <c r="L4318" s="2" t="s">
        <v>42186</v>
      </c>
      <c r="M4318" s="2" t="s">
        <v>42187</v>
      </c>
      <c r="N4318" s="3" t="s">
        <v>392</v>
      </c>
      <c r="O4318" s="2" t="s">
        <v>1189</v>
      </c>
      <c r="P4318" s="3" t="s">
        <v>1190</v>
      </c>
      <c r="R4318" s="3" t="s">
        <v>70</v>
      </c>
      <c r="S4318" s="4">
        <v>1</v>
      </c>
      <c r="T4318" s="4">
        <v>1</v>
      </c>
      <c r="U4318" s="5" t="s">
        <v>35607</v>
      </c>
      <c r="V4318" s="5" t="s">
        <v>35607</v>
      </c>
      <c r="W4318" s="5" t="s">
        <v>72</v>
      </c>
      <c r="X4318" s="5" t="s">
        <v>72</v>
      </c>
      <c r="Y4318" s="4">
        <v>20</v>
      </c>
      <c r="Z4318" s="4">
        <v>1</v>
      </c>
      <c r="AA4318" s="4">
        <v>1</v>
      </c>
      <c r="AB4318" s="4">
        <v>1</v>
      </c>
      <c r="AC4318" s="4">
        <v>1</v>
      </c>
      <c r="AD4318" s="4">
        <v>10</v>
      </c>
      <c r="AE4318" s="4">
        <v>10</v>
      </c>
      <c r="AF4318" s="4">
        <v>0</v>
      </c>
      <c r="AG4318" s="4">
        <v>0</v>
      </c>
      <c r="AH4318" s="4">
        <v>9</v>
      </c>
      <c r="AI4318" s="4">
        <v>9</v>
      </c>
      <c r="AJ4318" s="4">
        <v>0</v>
      </c>
      <c r="AK4318" s="4">
        <v>0</v>
      </c>
      <c r="AL4318" s="4">
        <v>7</v>
      </c>
      <c r="AM4318" s="4">
        <v>7</v>
      </c>
      <c r="AN4318" s="4">
        <v>0</v>
      </c>
      <c r="AO4318" s="4">
        <v>0</v>
      </c>
      <c r="AP4318" s="4">
        <v>0</v>
      </c>
      <c r="AQ4318" s="4">
        <v>0</v>
      </c>
      <c r="AR4318" s="3" t="s">
        <v>64</v>
      </c>
      <c r="AS4318" s="3" t="s">
        <v>64</v>
      </c>
      <c r="AT4318" s="3" t="s">
        <v>64</v>
      </c>
      <c r="AV4318" s="6" t="str">
        <f>HYPERLINK("http://mcgill.on.worldcat.org/oclc/43898993","Catalog Record")</f>
        <v>Catalog Record</v>
      </c>
      <c r="AW4318" s="6" t="str">
        <f>HYPERLINK("http://www.worldcat.org/oclc/43898993","WorldCat Record")</f>
        <v>WorldCat Record</v>
      </c>
      <c r="AX4318" s="3" t="s">
        <v>42188</v>
      </c>
      <c r="AY4318" s="3" t="s">
        <v>42189</v>
      </c>
      <c r="AZ4318" s="3" t="s">
        <v>42190</v>
      </c>
      <c r="BA4318" s="3" t="s">
        <v>42190</v>
      </c>
      <c r="BB4318" s="3" t="s">
        <v>42191</v>
      </c>
      <c r="BC4318" s="3" t="s">
        <v>77</v>
      </c>
      <c r="BD4318" s="3" t="s">
        <v>78</v>
      </c>
      <c r="BE4318" s="3" t="s">
        <v>42192</v>
      </c>
      <c r="BF4318" s="3" t="s">
        <v>42191</v>
      </c>
      <c r="BG4318" s="3" t="s">
        <v>42193</v>
      </c>
      <c r="BH4318">
        <f t="shared" si="130"/>
        <v>0</v>
      </c>
    </row>
    <row r="4319" spans="1:60" ht="116" x14ac:dyDescent="0.35">
      <c r="A4319" s="2" t="s">
        <v>59</v>
      </c>
      <c r="B4319" s="2" t="s">
        <v>25844</v>
      </c>
      <c r="C4319" s="2" t="s">
        <v>42194</v>
      </c>
      <c r="D4319" s="2" t="s">
        <v>42195</v>
      </c>
      <c r="E4319" s="2" t="s">
        <v>42196</v>
      </c>
      <c r="F4319" s="3" t="s">
        <v>529</v>
      </c>
      <c r="G4319" s="3" t="s">
        <v>128</v>
      </c>
      <c r="I4319" s="3" t="s">
        <v>64</v>
      </c>
      <c r="J4319" s="3" t="s">
        <v>64</v>
      </c>
      <c r="K4319" s="3" t="s">
        <v>65</v>
      </c>
      <c r="M4319" s="2" t="s">
        <v>42197</v>
      </c>
      <c r="N4319" s="3" t="s">
        <v>511</v>
      </c>
      <c r="O4319" s="2" t="s">
        <v>1189</v>
      </c>
      <c r="P4319" s="3" t="s">
        <v>1190</v>
      </c>
      <c r="R4319" s="3" t="s">
        <v>70</v>
      </c>
      <c r="S4319" s="4">
        <v>0</v>
      </c>
      <c r="T4319" s="4">
        <v>0</v>
      </c>
      <c r="W4319" s="5" t="s">
        <v>72</v>
      </c>
      <c r="X4319" s="5" t="s">
        <v>72</v>
      </c>
      <c r="Y4319" s="4">
        <v>48</v>
      </c>
      <c r="Z4319" s="4">
        <v>3</v>
      </c>
      <c r="AA4319" s="4">
        <v>3</v>
      </c>
      <c r="AB4319" s="4">
        <v>1</v>
      </c>
      <c r="AC4319" s="4">
        <v>1</v>
      </c>
      <c r="AD4319" s="4">
        <v>36</v>
      </c>
      <c r="AE4319" s="4">
        <v>36</v>
      </c>
      <c r="AF4319" s="4">
        <v>0</v>
      </c>
      <c r="AG4319" s="4">
        <v>0</v>
      </c>
      <c r="AH4319" s="4">
        <v>34</v>
      </c>
      <c r="AI4319" s="4">
        <v>34</v>
      </c>
      <c r="AJ4319" s="4">
        <v>1</v>
      </c>
      <c r="AK4319" s="4">
        <v>1</v>
      </c>
      <c r="AL4319" s="4">
        <v>29</v>
      </c>
      <c r="AM4319" s="4">
        <v>29</v>
      </c>
      <c r="AN4319" s="4">
        <v>0</v>
      </c>
      <c r="AO4319" s="4">
        <v>0</v>
      </c>
      <c r="AP4319" s="4">
        <v>1</v>
      </c>
      <c r="AQ4319" s="4">
        <v>1</v>
      </c>
      <c r="AR4319" s="3" t="s">
        <v>64</v>
      </c>
      <c r="AS4319" s="3" t="s">
        <v>64</v>
      </c>
      <c r="AT4319" s="3" t="s">
        <v>64</v>
      </c>
      <c r="AV4319" s="6" t="str">
        <f t="shared" ref="AV4319:AV4325" si="131">HYPERLINK("http://mcgill.on.worldcat.org/oclc/778339101","Catalog Record")</f>
        <v>Catalog Record</v>
      </c>
      <c r="AW4319" s="6" t="str">
        <f t="shared" ref="AW4319:AW4325" si="132">HYPERLINK("http://www.worldcat.org/oclc/778339101","WorldCat Record")</f>
        <v>WorldCat Record</v>
      </c>
      <c r="AX4319" s="3" t="s">
        <v>42198</v>
      </c>
      <c r="AY4319" s="3" t="s">
        <v>42199</v>
      </c>
      <c r="AZ4319" s="3" t="s">
        <v>42200</v>
      </c>
      <c r="BA4319" s="3" t="s">
        <v>42200</v>
      </c>
      <c r="BB4319" s="3" t="s">
        <v>42201</v>
      </c>
      <c r="BC4319" s="3" t="s">
        <v>77</v>
      </c>
      <c r="BD4319" s="3" t="s">
        <v>78</v>
      </c>
      <c r="BE4319" s="3" t="s">
        <v>42202</v>
      </c>
      <c r="BF4319" s="3" t="s">
        <v>42201</v>
      </c>
      <c r="BG4319" s="3" t="s">
        <v>42203</v>
      </c>
      <c r="BH4319">
        <f t="shared" si="130"/>
        <v>0</v>
      </c>
    </row>
    <row r="4320" spans="1:60" ht="116" x14ac:dyDescent="0.35">
      <c r="A4320" s="2" t="s">
        <v>59</v>
      </c>
      <c r="B4320" s="2" t="s">
        <v>25844</v>
      </c>
      <c r="C4320" s="2" t="s">
        <v>42194</v>
      </c>
      <c r="D4320" s="2" t="s">
        <v>42195</v>
      </c>
      <c r="E4320" s="2" t="s">
        <v>42196</v>
      </c>
      <c r="F4320" s="3" t="s">
        <v>509</v>
      </c>
      <c r="G4320" s="3" t="s">
        <v>128</v>
      </c>
      <c r="I4320" s="3" t="s">
        <v>64</v>
      </c>
      <c r="J4320" s="3" t="s">
        <v>64</v>
      </c>
      <c r="K4320" s="3" t="s">
        <v>65</v>
      </c>
      <c r="M4320" s="2" t="s">
        <v>42197</v>
      </c>
      <c r="N4320" s="3" t="s">
        <v>511</v>
      </c>
      <c r="O4320" s="2" t="s">
        <v>1189</v>
      </c>
      <c r="P4320" s="3" t="s">
        <v>1190</v>
      </c>
      <c r="R4320" s="3" t="s">
        <v>70</v>
      </c>
      <c r="S4320" s="4">
        <v>0</v>
      </c>
      <c r="T4320" s="4">
        <v>0</v>
      </c>
      <c r="W4320" s="5" t="s">
        <v>72</v>
      </c>
      <c r="X4320" s="5" t="s">
        <v>72</v>
      </c>
      <c r="Y4320" s="4">
        <v>48</v>
      </c>
      <c r="Z4320" s="4">
        <v>3</v>
      </c>
      <c r="AA4320" s="4">
        <v>3</v>
      </c>
      <c r="AB4320" s="4">
        <v>1</v>
      </c>
      <c r="AC4320" s="4">
        <v>1</v>
      </c>
      <c r="AD4320" s="4">
        <v>36</v>
      </c>
      <c r="AE4320" s="4">
        <v>36</v>
      </c>
      <c r="AF4320" s="4">
        <v>0</v>
      </c>
      <c r="AG4320" s="4">
        <v>0</v>
      </c>
      <c r="AH4320" s="4">
        <v>34</v>
      </c>
      <c r="AI4320" s="4">
        <v>34</v>
      </c>
      <c r="AJ4320" s="4">
        <v>1</v>
      </c>
      <c r="AK4320" s="4">
        <v>1</v>
      </c>
      <c r="AL4320" s="4">
        <v>29</v>
      </c>
      <c r="AM4320" s="4">
        <v>29</v>
      </c>
      <c r="AN4320" s="4">
        <v>0</v>
      </c>
      <c r="AO4320" s="4">
        <v>0</v>
      </c>
      <c r="AP4320" s="4">
        <v>1</v>
      </c>
      <c r="AQ4320" s="4">
        <v>1</v>
      </c>
      <c r="AR4320" s="3" t="s">
        <v>64</v>
      </c>
      <c r="AS4320" s="3" t="s">
        <v>64</v>
      </c>
      <c r="AT4320" s="3" t="s">
        <v>64</v>
      </c>
      <c r="AV4320" s="6" t="str">
        <f t="shared" si="131"/>
        <v>Catalog Record</v>
      </c>
      <c r="AW4320" s="6" t="str">
        <f t="shared" si="132"/>
        <v>WorldCat Record</v>
      </c>
      <c r="AX4320" s="3" t="s">
        <v>42198</v>
      </c>
      <c r="AY4320" s="3" t="s">
        <v>42199</v>
      </c>
      <c r="AZ4320" s="3" t="s">
        <v>42200</v>
      </c>
      <c r="BA4320" s="3" t="s">
        <v>42200</v>
      </c>
      <c r="BB4320" s="3" t="s">
        <v>42204</v>
      </c>
      <c r="BC4320" s="3" t="s">
        <v>77</v>
      </c>
      <c r="BD4320" s="3" t="s">
        <v>78</v>
      </c>
      <c r="BE4320" s="3" t="s">
        <v>42202</v>
      </c>
      <c r="BF4320" s="3" t="s">
        <v>42204</v>
      </c>
      <c r="BG4320" s="3" t="s">
        <v>42205</v>
      </c>
      <c r="BH4320">
        <f t="shared" si="130"/>
        <v>0</v>
      </c>
    </row>
    <row r="4321" spans="1:60" ht="116" x14ac:dyDescent="0.35">
      <c r="A4321" s="2" t="s">
        <v>59</v>
      </c>
      <c r="B4321" s="2" t="s">
        <v>25844</v>
      </c>
      <c r="C4321" s="2" t="s">
        <v>42194</v>
      </c>
      <c r="D4321" s="2" t="s">
        <v>42195</v>
      </c>
      <c r="E4321" s="2" t="s">
        <v>42196</v>
      </c>
      <c r="F4321" s="3" t="s">
        <v>525</v>
      </c>
      <c r="G4321" s="3" t="s">
        <v>128</v>
      </c>
      <c r="I4321" s="3" t="s">
        <v>64</v>
      </c>
      <c r="J4321" s="3" t="s">
        <v>64</v>
      </c>
      <c r="K4321" s="3" t="s">
        <v>65</v>
      </c>
      <c r="M4321" s="2" t="s">
        <v>42197</v>
      </c>
      <c r="N4321" s="3" t="s">
        <v>511</v>
      </c>
      <c r="O4321" s="2" t="s">
        <v>1189</v>
      </c>
      <c r="P4321" s="3" t="s">
        <v>1190</v>
      </c>
      <c r="R4321" s="3" t="s">
        <v>70</v>
      </c>
      <c r="S4321" s="4">
        <v>0</v>
      </c>
      <c r="T4321" s="4">
        <v>0</v>
      </c>
      <c r="W4321" s="5" t="s">
        <v>72</v>
      </c>
      <c r="X4321" s="5" t="s">
        <v>72</v>
      </c>
      <c r="Y4321" s="4">
        <v>48</v>
      </c>
      <c r="Z4321" s="4">
        <v>3</v>
      </c>
      <c r="AA4321" s="4">
        <v>3</v>
      </c>
      <c r="AB4321" s="4">
        <v>1</v>
      </c>
      <c r="AC4321" s="4">
        <v>1</v>
      </c>
      <c r="AD4321" s="4">
        <v>36</v>
      </c>
      <c r="AE4321" s="4">
        <v>36</v>
      </c>
      <c r="AF4321" s="4">
        <v>0</v>
      </c>
      <c r="AG4321" s="4">
        <v>0</v>
      </c>
      <c r="AH4321" s="4">
        <v>34</v>
      </c>
      <c r="AI4321" s="4">
        <v>34</v>
      </c>
      <c r="AJ4321" s="4">
        <v>1</v>
      </c>
      <c r="AK4321" s="4">
        <v>1</v>
      </c>
      <c r="AL4321" s="4">
        <v>29</v>
      </c>
      <c r="AM4321" s="4">
        <v>29</v>
      </c>
      <c r="AN4321" s="4">
        <v>0</v>
      </c>
      <c r="AO4321" s="4">
        <v>0</v>
      </c>
      <c r="AP4321" s="4">
        <v>1</v>
      </c>
      <c r="AQ4321" s="4">
        <v>1</v>
      </c>
      <c r="AR4321" s="3" t="s">
        <v>64</v>
      </c>
      <c r="AS4321" s="3" t="s">
        <v>64</v>
      </c>
      <c r="AT4321" s="3" t="s">
        <v>64</v>
      </c>
      <c r="AV4321" s="6" t="str">
        <f t="shared" si="131"/>
        <v>Catalog Record</v>
      </c>
      <c r="AW4321" s="6" t="str">
        <f t="shared" si="132"/>
        <v>WorldCat Record</v>
      </c>
      <c r="AX4321" s="3" t="s">
        <v>42198</v>
      </c>
      <c r="AY4321" s="3" t="s">
        <v>42199</v>
      </c>
      <c r="AZ4321" s="3" t="s">
        <v>42200</v>
      </c>
      <c r="BA4321" s="3" t="s">
        <v>42200</v>
      </c>
      <c r="BB4321" s="3" t="s">
        <v>42206</v>
      </c>
      <c r="BC4321" s="3" t="s">
        <v>77</v>
      </c>
      <c r="BD4321" s="3" t="s">
        <v>78</v>
      </c>
      <c r="BE4321" s="3" t="s">
        <v>42202</v>
      </c>
      <c r="BF4321" s="3" t="s">
        <v>42206</v>
      </c>
      <c r="BG4321" s="3" t="s">
        <v>42207</v>
      </c>
      <c r="BH4321">
        <f t="shared" si="130"/>
        <v>0</v>
      </c>
    </row>
    <row r="4322" spans="1:60" ht="116" x14ac:dyDescent="0.35">
      <c r="A4322" s="2" t="s">
        <v>59</v>
      </c>
      <c r="B4322" s="2" t="s">
        <v>25844</v>
      </c>
      <c r="C4322" s="2" t="s">
        <v>42194</v>
      </c>
      <c r="D4322" s="2" t="s">
        <v>42195</v>
      </c>
      <c r="E4322" s="2" t="s">
        <v>42196</v>
      </c>
      <c r="F4322" s="3" t="s">
        <v>10094</v>
      </c>
      <c r="G4322" s="3" t="s">
        <v>128</v>
      </c>
      <c r="I4322" s="3" t="s">
        <v>64</v>
      </c>
      <c r="J4322" s="3" t="s">
        <v>64</v>
      </c>
      <c r="K4322" s="3" t="s">
        <v>65</v>
      </c>
      <c r="M4322" s="2" t="s">
        <v>42197</v>
      </c>
      <c r="N4322" s="3" t="s">
        <v>511</v>
      </c>
      <c r="O4322" s="2" t="s">
        <v>1189</v>
      </c>
      <c r="P4322" s="3" t="s">
        <v>1190</v>
      </c>
      <c r="R4322" s="3" t="s">
        <v>70</v>
      </c>
      <c r="S4322" s="4">
        <v>0</v>
      </c>
      <c r="T4322" s="4">
        <v>0</v>
      </c>
      <c r="W4322" s="5" t="s">
        <v>72</v>
      </c>
      <c r="X4322" s="5" t="s">
        <v>72</v>
      </c>
      <c r="Y4322" s="4">
        <v>48</v>
      </c>
      <c r="Z4322" s="4">
        <v>3</v>
      </c>
      <c r="AA4322" s="4">
        <v>3</v>
      </c>
      <c r="AB4322" s="4">
        <v>1</v>
      </c>
      <c r="AC4322" s="4">
        <v>1</v>
      </c>
      <c r="AD4322" s="4">
        <v>36</v>
      </c>
      <c r="AE4322" s="4">
        <v>36</v>
      </c>
      <c r="AF4322" s="4">
        <v>0</v>
      </c>
      <c r="AG4322" s="4">
        <v>0</v>
      </c>
      <c r="AH4322" s="4">
        <v>34</v>
      </c>
      <c r="AI4322" s="4">
        <v>34</v>
      </c>
      <c r="AJ4322" s="4">
        <v>1</v>
      </c>
      <c r="AK4322" s="4">
        <v>1</v>
      </c>
      <c r="AL4322" s="4">
        <v>29</v>
      </c>
      <c r="AM4322" s="4">
        <v>29</v>
      </c>
      <c r="AN4322" s="4">
        <v>0</v>
      </c>
      <c r="AO4322" s="4">
        <v>0</v>
      </c>
      <c r="AP4322" s="4">
        <v>1</v>
      </c>
      <c r="AQ4322" s="4">
        <v>1</v>
      </c>
      <c r="AR4322" s="3" t="s">
        <v>64</v>
      </c>
      <c r="AS4322" s="3" t="s">
        <v>64</v>
      </c>
      <c r="AT4322" s="3" t="s">
        <v>64</v>
      </c>
      <c r="AV4322" s="6" t="str">
        <f t="shared" si="131"/>
        <v>Catalog Record</v>
      </c>
      <c r="AW4322" s="6" t="str">
        <f t="shared" si="132"/>
        <v>WorldCat Record</v>
      </c>
      <c r="AX4322" s="3" t="s">
        <v>42198</v>
      </c>
      <c r="AY4322" s="3" t="s">
        <v>42199</v>
      </c>
      <c r="AZ4322" s="3" t="s">
        <v>42200</v>
      </c>
      <c r="BA4322" s="3" t="s">
        <v>42200</v>
      </c>
      <c r="BB4322" s="3" t="s">
        <v>42208</v>
      </c>
      <c r="BC4322" s="3" t="s">
        <v>77</v>
      </c>
      <c r="BD4322" s="3" t="s">
        <v>78</v>
      </c>
      <c r="BE4322" s="3" t="s">
        <v>42202</v>
      </c>
      <c r="BF4322" s="3" t="s">
        <v>42208</v>
      </c>
      <c r="BG4322" s="3" t="s">
        <v>42209</v>
      </c>
      <c r="BH4322">
        <f t="shared" si="130"/>
        <v>0</v>
      </c>
    </row>
    <row r="4323" spans="1:60" ht="116" x14ac:dyDescent="0.35">
      <c r="A4323" s="2" t="s">
        <v>59</v>
      </c>
      <c r="B4323" s="2" t="s">
        <v>25844</v>
      </c>
      <c r="C4323" s="2" t="s">
        <v>42194</v>
      </c>
      <c r="D4323" s="2" t="s">
        <v>42195</v>
      </c>
      <c r="E4323" s="2" t="s">
        <v>42196</v>
      </c>
      <c r="F4323" s="3" t="s">
        <v>522</v>
      </c>
      <c r="G4323" s="3" t="s">
        <v>128</v>
      </c>
      <c r="I4323" s="3" t="s">
        <v>64</v>
      </c>
      <c r="J4323" s="3" t="s">
        <v>64</v>
      </c>
      <c r="K4323" s="3" t="s">
        <v>65</v>
      </c>
      <c r="M4323" s="2" t="s">
        <v>42197</v>
      </c>
      <c r="N4323" s="3" t="s">
        <v>511</v>
      </c>
      <c r="O4323" s="2" t="s">
        <v>1189</v>
      </c>
      <c r="P4323" s="3" t="s">
        <v>1190</v>
      </c>
      <c r="R4323" s="3" t="s">
        <v>70</v>
      </c>
      <c r="S4323" s="4">
        <v>0</v>
      </c>
      <c r="T4323" s="4">
        <v>0</v>
      </c>
      <c r="W4323" s="5" t="s">
        <v>72</v>
      </c>
      <c r="X4323" s="5" t="s">
        <v>72</v>
      </c>
      <c r="Y4323" s="4">
        <v>48</v>
      </c>
      <c r="Z4323" s="4">
        <v>3</v>
      </c>
      <c r="AA4323" s="4">
        <v>3</v>
      </c>
      <c r="AB4323" s="4">
        <v>1</v>
      </c>
      <c r="AC4323" s="4">
        <v>1</v>
      </c>
      <c r="AD4323" s="4">
        <v>36</v>
      </c>
      <c r="AE4323" s="4">
        <v>36</v>
      </c>
      <c r="AF4323" s="4">
        <v>0</v>
      </c>
      <c r="AG4323" s="4">
        <v>0</v>
      </c>
      <c r="AH4323" s="4">
        <v>34</v>
      </c>
      <c r="AI4323" s="4">
        <v>34</v>
      </c>
      <c r="AJ4323" s="4">
        <v>1</v>
      </c>
      <c r="AK4323" s="4">
        <v>1</v>
      </c>
      <c r="AL4323" s="4">
        <v>29</v>
      </c>
      <c r="AM4323" s="4">
        <v>29</v>
      </c>
      <c r="AN4323" s="4">
        <v>0</v>
      </c>
      <c r="AO4323" s="4">
        <v>0</v>
      </c>
      <c r="AP4323" s="4">
        <v>1</v>
      </c>
      <c r="AQ4323" s="4">
        <v>1</v>
      </c>
      <c r="AR4323" s="3" t="s">
        <v>64</v>
      </c>
      <c r="AS4323" s="3" t="s">
        <v>64</v>
      </c>
      <c r="AT4323" s="3" t="s">
        <v>64</v>
      </c>
      <c r="AV4323" s="6" t="str">
        <f t="shared" si="131"/>
        <v>Catalog Record</v>
      </c>
      <c r="AW4323" s="6" t="str">
        <f t="shared" si="132"/>
        <v>WorldCat Record</v>
      </c>
      <c r="AX4323" s="3" t="s">
        <v>42198</v>
      </c>
      <c r="AY4323" s="3" t="s">
        <v>42199</v>
      </c>
      <c r="AZ4323" s="3" t="s">
        <v>42200</v>
      </c>
      <c r="BA4323" s="3" t="s">
        <v>42200</v>
      </c>
      <c r="BB4323" s="3" t="s">
        <v>42210</v>
      </c>
      <c r="BC4323" s="3" t="s">
        <v>77</v>
      </c>
      <c r="BD4323" s="3" t="s">
        <v>78</v>
      </c>
      <c r="BE4323" s="3" t="s">
        <v>42202</v>
      </c>
      <c r="BF4323" s="3" t="s">
        <v>42210</v>
      </c>
      <c r="BG4323" s="3" t="s">
        <v>42211</v>
      </c>
      <c r="BH4323">
        <f t="shared" si="130"/>
        <v>0</v>
      </c>
    </row>
    <row r="4324" spans="1:60" ht="116" x14ac:dyDescent="0.35">
      <c r="A4324" s="2" t="s">
        <v>59</v>
      </c>
      <c r="B4324" s="2" t="s">
        <v>25844</v>
      </c>
      <c r="C4324" s="2" t="s">
        <v>42194</v>
      </c>
      <c r="D4324" s="2" t="s">
        <v>42195</v>
      </c>
      <c r="E4324" s="2" t="s">
        <v>42196</v>
      </c>
      <c r="F4324" s="3" t="s">
        <v>11447</v>
      </c>
      <c r="G4324" s="3" t="s">
        <v>128</v>
      </c>
      <c r="I4324" s="3" t="s">
        <v>64</v>
      </c>
      <c r="J4324" s="3" t="s">
        <v>64</v>
      </c>
      <c r="K4324" s="3" t="s">
        <v>65</v>
      </c>
      <c r="M4324" s="2" t="s">
        <v>42197</v>
      </c>
      <c r="N4324" s="3" t="s">
        <v>511</v>
      </c>
      <c r="O4324" s="2" t="s">
        <v>1189</v>
      </c>
      <c r="P4324" s="3" t="s">
        <v>1190</v>
      </c>
      <c r="R4324" s="3" t="s">
        <v>70</v>
      </c>
      <c r="S4324" s="4">
        <v>0</v>
      </c>
      <c r="T4324" s="4">
        <v>0</v>
      </c>
      <c r="W4324" s="5" t="s">
        <v>72</v>
      </c>
      <c r="X4324" s="5" t="s">
        <v>72</v>
      </c>
      <c r="Y4324" s="4">
        <v>48</v>
      </c>
      <c r="Z4324" s="4">
        <v>3</v>
      </c>
      <c r="AA4324" s="4">
        <v>3</v>
      </c>
      <c r="AB4324" s="4">
        <v>1</v>
      </c>
      <c r="AC4324" s="4">
        <v>1</v>
      </c>
      <c r="AD4324" s="4">
        <v>36</v>
      </c>
      <c r="AE4324" s="4">
        <v>36</v>
      </c>
      <c r="AF4324" s="4">
        <v>0</v>
      </c>
      <c r="AG4324" s="4">
        <v>0</v>
      </c>
      <c r="AH4324" s="4">
        <v>34</v>
      </c>
      <c r="AI4324" s="4">
        <v>34</v>
      </c>
      <c r="AJ4324" s="4">
        <v>1</v>
      </c>
      <c r="AK4324" s="4">
        <v>1</v>
      </c>
      <c r="AL4324" s="4">
        <v>29</v>
      </c>
      <c r="AM4324" s="4">
        <v>29</v>
      </c>
      <c r="AN4324" s="4">
        <v>0</v>
      </c>
      <c r="AO4324" s="4">
        <v>0</v>
      </c>
      <c r="AP4324" s="4">
        <v>1</v>
      </c>
      <c r="AQ4324" s="4">
        <v>1</v>
      </c>
      <c r="AR4324" s="3" t="s">
        <v>64</v>
      </c>
      <c r="AS4324" s="3" t="s">
        <v>64</v>
      </c>
      <c r="AT4324" s="3" t="s">
        <v>64</v>
      </c>
      <c r="AV4324" s="6" t="str">
        <f t="shared" si="131"/>
        <v>Catalog Record</v>
      </c>
      <c r="AW4324" s="6" t="str">
        <f t="shared" si="132"/>
        <v>WorldCat Record</v>
      </c>
      <c r="AX4324" s="3" t="s">
        <v>42198</v>
      </c>
      <c r="AY4324" s="3" t="s">
        <v>42199</v>
      </c>
      <c r="AZ4324" s="3" t="s">
        <v>42200</v>
      </c>
      <c r="BA4324" s="3" t="s">
        <v>42200</v>
      </c>
      <c r="BB4324" s="3" t="s">
        <v>42212</v>
      </c>
      <c r="BC4324" s="3" t="s">
        <v>77</v>
      </c>
      <c r="BD4324" s="3" t="s">
        <v>78</v>
      </c>
      <c r="BE4324" s="3" t="s">
        <v>42202</v>
      </c>
      <c r="BF4324" s="3" t="s">
        <v>42212</v>
      </c>
      <c r="BG4324" s="3" t="s">
        <v>42213</v>
      </c>
      <c r="BH4324">
        <f t="shared" si="130"/>
        <v>0</v>
      </c>
    </row>
    <row r="4325" spans="1:60" ht="116" x14ac:dyDescent="0.35">
      <c r="A4325" s="2" t="s">
        <v>59</v>
      </c>
      <c r="B4325" s="2" t="s">
        <v>25844</v>
      </c>
      <c r="C4325" s="2" t="s">
        <v>42194</v>
      </c>
      <c r="D4325" s="2" t="s">
        <v>42195</v>
      </c>
      <c r="E4325" s="2" t="s">
        <v>42196</v>
      </c>
      <c r="F4325" s="3" t="s">
        <v>519</v>
      </c>
      <c r="G4325" s="3" t="s">
        <v>128</v>
      </c>
      <c r="I4325" s="3" t="s">
        <v>64</v>
      </c>
      <c r="J4325" s="3" t="s">
        <v>64</v>
      </c>
      <c r="K4325" s="3" t="s">
        <v>65</v>
      </c>
      <c r="M4325" s="2" t="s">
        <v>42197</v>
      </c>
      <c r="N4325" s="3" t="s">
        <v>511</v>
      </c>
      <c r="O4325" s="2" t="s">
        <v>1189</v>
      </c>
      <c r="P4325" s="3" t="s">
        <v>1190</v>
      </c>
      <c r="R4325" s="3" t="s">
        <v>70</v>
      </c>
      <c r="S4325" s="4">
        <v>0</v>
      </c>
      <c r="T4325" s="4">
        <v>0</v>
      </c>
      <c r="W4325" s="5" t="s">
        <v>72</v>
      </c>
      <c r="X4325" s="5" t="s">
        <v>72</v>
      </c>
      <c r="Y4325" s="4">
        <v>48</v>
      </c>
      <c r="Z4325" s="4">
        <v>3</v>
      </c>
      <c r="AA4325" s="4">
        <v>3</v>
      </c>
      <c r="AB4325" s="4">
        <v>1</v>
      </c>
      <c r="AC4325" s="4">
        <v>1</v>
      </c>
      <c r="AD4325" s="4">
        <v>36</v>
      </c>
      <c r="AE4325" s="4">
        <v>36</v>
      </c>
      <c r="AF4325" s="4">
        <v>0</v>
      </c>
      <c r="AG4325" s="4">
        <v>0</v>
      </c>
      <c r="AH4325" s="4">
        <v>34</v>
      </c>
      <c r="AI4325" s="4">
        <v>34</v>
      </c>
      <c r="AJ4325" s="4">
        <v>1</v>
      </c>
      <c r="AK4325" s="4">
        <v>1</v>
      </c>
      <c r="AL4325" s="4">
        <v>29</v>
      </c>
      <c r="AM4325" s="4">
        <v>29</v>
      </c>
      <c r="AN4325" s="4">
        <v>0</v>
      </c>
      <c r="AO4325" s="4">
        <v>0</v>
      </c>
      <c r="AP4325" s="4">
        <v>1</v>
      </c>
      <c r="AQ4325" s="4">
        <v>1</v>
      </c>
      <c r="AR4325" s="3" t="s">
        <v>64</v>
      </c>
      <c r="AS4325" s="3" t="s">
        <v>64</v>
      </c>
      <c r="AT4325" s="3" t="s">
        <v>64</v>
      </c>
      <c r="AV4325" s="6" t="str">
        <f t="shared" si="131"/>
        <v>Catalog Record</v>
      </c>
      <c r="AW4325" s="6" t="str">
        <f t="shared" si="132"/>
        <v>WorldCat Record</v>
      </c>
      <c r="AX4325" s="3" t="s">
        <v>42198</v>
      </c>
      <c r="AY4325" s="3" t="s">
        <v>42199</v>
      </c>
      <c r="AZ4325" s="3" t="s">
        <v>42200</v>
      </c>
      <c r="BA4325" s="3" t="s">
        <v>42200</v>
      </c>
      <c r="BB4325" s="3" t="s">
        <v>42214</v>
      </c>
      <c r="BC4325" s="3" t="s">
        <v>77</v>
      </c>
      <c r="BD4325" s="3" t="s">
        <v>78</v>
      </c>
      <c r="BE4325" s="3" t="s">
        <v>42202</v>
      </c>
      <c r="BF4325" s="3" t="s">
        <v>42214</v>
      </c>
      <c r="BG4325" s="3" t="s">
        <v>42215</v>
      </c>
      <c r="BH4325">
        <f t="shared" si="130"/>
        <v>0</v>
      </c>
    </row>
    <row r="4326" spans="1:60" ht="116" x14ac:dyDescent="0.35">
      <c r="A4326" s="2" t="s">
        <v>59</v>
      </c>
      <c r="B4326" s="2" t="s">
        <v>25844</v>
      </c>
      <c r="C4326" s="2" t="s">
        <v>42216</v>
      </c>
      <c r="D4326" s="2" t="s">
        <v>42217</v>
      </c>
      <c r="E4326" s="2" t="s">
        <v>42218</v>
      </c>
      <c r="F4326" s="3" t="s">
        <v>10094</v>
      </c>
      <c r="G4326" s="3" t="s">
        <v>128</v>
      </c>
      <c r="I4326" s="3" t="s">
        <v>64</v>
      </c>
      <c r="J4326" s="3" t="s">
        <v>64</v>
      </c>
      <c r="K4326" s="3" t="s">
        <v>65</v>
      </c>
      <c r="M4326" s="2" t="s">
        <v>42219</v>
      </c>
      <c r="N4326" s="3" t="s">
        <v>86</v>
      </c>
      <c r="O4326" s="2" t="s">
        <v>11357</v>
      </c>
      <c r="P4326" s="3" t="s">
        <v>1190</v>
      </c>
      <c r="R4326" s="3" t="s">
        <v>70</v>
      </c>
      <c r="S4326" s="4">
        <v>0</v>
      </c>
      <c r="T4326" s="4">
        <v>0</v>
      </c>
      <c r="W4326" s="5" t="s">
        <v>72</v>
      </c>
      <c r="X4326" s="5" t="s">
        <v>72</v>
      </c>
      <c r="Y4326" s="4">
        <v>45</v>
      </c>
      <c r="Z4326" s="4">
        <v>2</v>
      </c>
      <c r="AA4326" s="4">
        <v>4</v>
      </c>
      <c r="AB4326" s="4">
        <v>1</v>
      </c>
      <c r="AC4326" s="4">
        <v>1</v>
      </c>
      <c r="AD4326" s="4">
        <v>35</v>
      </c>
      <c r="AE4326" s="4">
        <v>38</v>
      </c>
      <c r="AF4326" s="4">
        <v>0</v>
      </c>
      <c r="AG4326" s="4">
        <v>0</v>
      </c>
      <c r="AH4326" s="4">
        <v>33</v>
      </c>
      <c r="AI4326" s="4">
        <v>36</v>
      </c>
      <c r="AJ4326" s="4">
        <v>1</v>
      </c>
      <c r="AK4326" s="4">
        <v>2</v>
      </c>
      <c r="AL4326" s="4">
        <v>29</v>
      </c>
      <c r="AM4326" s="4">
        <v>31</v>
      </c>
      <c r="AN4326" s="4">
        <v>0</v>
      </c>
      <c r="AO4326" s="4">
        <v>0</v>
      </c>
      <c r="AP4326" s="4">
        <v>1</v>
      </c>
      <c r="AQ4326" s="4">
        <v>2</v>
      </c>
      <c r="AR4326" s="3" t="s">
        <v>64</v>
      </c>
      <c r="AS4326" s="3" t="s">
        <v>64</v>
      </c>
      <c r="AT4326" s="3" t="s">
        <v>64</v>
      </c>
      <c r="AV4326" s="6" t="str">
        <f t="shared" ref="AV4326:AV4332" si="133">HYPERLINK("http://mcgill.on.worldcat.org/oclc/805625053","Catalog Record")</f>
        <v>Catalog Record</v>
      </c>
      <c r="AW4326" s="6" t="str">
        <f t="shared" ref="AW4326:AW4332" si="134">HYPERLINK("http://www.worldcat.org/oclc/805625053","WorldCat Record")</f>
        <v>WorldCat Record</v>
      </c>
      <c r="AX4326" s="3" t="s">
        <v>42220</v>
      </c>
      <c r="AY4326" s="3" t="s">
        <v>42221</v>
      </c>
      <c r="AZ4326" s="3" t="s">
        <v>42222</v>
      </c>
      <c r="BA4326" s="3" t="s">
        <v>42222</v>
      </c>
      <c r="BB4326" s="3" t="s">
        <v>42223</v>
      </c>
      <c r="BC4326" s="3" t="s">
        <v>77</v>
      </c>
      <c r="BD4326" s="3" t="s">
        <v>78</v>
      </c>
      <c r="BE4326" s="3" t="s">
        <v>42224</v>
      </c>
      <c r="BF4326" s="3" t="s">
        <v>42223</v>
      </c>
      <c r="BG4326" s="3" t="s">
        <v>42225</v>
      </c>
      <c r="BH4326">
        <f t="shared" si="130"/>
        <v>0</v>
      </c>
    </row>
    <row r="4327" spans="1:60" ht="116" x14ac:dyDescent="0.35">
      <c r="A4327" s="2" t="s">
        <v>59</v>
      </c>
      <c r="B4327" s="2" t="s">
        <v>25844</v>
      </c>
      <c r="C4327" s="2" t="s">
        <v>42216</v>
      </c>
      <c r="D4327" s="2" t="s">
        <v>42217</v>
      </c>
      <c r="E4327" s="2" t="s">
        <v>42218</v>
      </c>
      <c r="F4327" s="3" t="s">
        <v>525</v>
      </c>
      <c r="G4327" s="3" t="s">
        <v>128</v>
      </c>
      <c r="I4327" s="3" t="s">
        <v>64</v>
      </c>
      <c r="J4327" s="3" t="s">
        <v>64</v>
      </c>
      <c r="K4327" s="3" t="s">
        <v>65</v>
      </c>
      <c r="M4327" s="2" t="s">
        <v>42219</v>
      </c>
      <c r="N4327" s="3" t="s">
        <v>86</v>
      </c>
      <c r="O4327" s="2" t="s">
        <v>11357</v>
      </c>
      <c r="P4327" s="3" t="s">
        <v>1190</v>
      </c>
      <c r="R4327" s="3" t="s">
        <v>70</v>
      </c>
      <c r="S4327" s="4">
        <v>0</v>
      </c>
      <c r="T4327" s="4">
        <v>0</v>
      </c>
      <c r="W4327" s="5" t="s">
        <v>72</v>
      </c>
      <c r="X4327" s="5" t="s">
        <v>72</v>
      </c>
      <c r="Y4327" s="4">
        <v>45</v>
      </c>
      <c r="Z4327" s="4">
        <v>2</v>
      </c>
      <c r="AA4327" s="4">
        <v>4</v>
      </c>
      <c r="AB4327" s="4">
        <v>1</v>
      </c>
      <c r="AC4327" s="4">
        <v>1</v>
      </c>
      <c r="AD4327" s="4">
        <v>35</v>
      </c>
      <c r="AE4327" s="4">
        <v>38</v>
      </c>
      <c r="AF4327" s="4">
        <v>0</v>
      </c>
      <c r="AG4327" s="4">
        <v>0</v>
      </c>
      <c r="AH4327" s="4">
        <v>33</v>
      </c>
      <c r="AI4327" s="4">
        <v>36</v>
      </c>
      <c r="AJ4327" s="4">
        <v>1</v>
      </c>
      <c r="AK4327" s="4">
        <v>2</v>
      </c>
      <c r="AL4327" s="4">
        <v>29</v>
      </c>
      <c r="AM4327" s="4">
        <v>31</v>
      </c>
      <c r="AN4327" s="4">
        <v>0</v>
      </c>
      <c r="AO4327" s="4">
        <v>0</v>
      </c>
      <c r="AP4327" s="4">
        <v>1</v>
      </c>
      <c r="AQ4327" s="4">
        <v>2</v>
      </c>
      <c r="AR4327" s="3" t="s">
        <v>64</v>
      </c>
      <c r="AS4327" s="3" t="s">
        <v>64</v>
      </c>
      <c r="AT4327" s="3" t="s">
        <v>64</v>
      </c>
      <c r="AV4327" s="6" t="str">
        <f t="shared" si="133"/>
        <v>Catalog Record</v>
      </c>
      <c r="AW4327" s="6" t="str">
        <f t="shared" si="134"/>
        <v>WorldCat Record</v>
      </c>
      <c r="AX4327" s="3" t="s">
        <v>42220</v>
      </c>
      <c r="AY4327" s="3" t="s">
        <v>42221</v>
      </c>
      <c r="AZ4327" s="3" t="s">
        <v>42222</v>
      </c>
      <c r="BA4327" s="3" t="s">
        <v>42222</v>
      </c>
      <c r="BB4327" s="3" t="s">
        <v>42226</v>
      </c>
      <c r="BC4327" s="3" t="s">
        <v>77</v>
      </c>
      <c r="BD4327" s="3" t="s">
        <v>78</v>
      </c>
      <c r="BE4327" s="3" t="s">
        <v>42224</v>
      </c>
      <c r="BF4327" s="3" t="s">
        <v>42226</v>
      </c>
      <c r="BG4327" s="3" t="s">
        <v>42227</v>
      </c>
      <c r="BH4327">
        <f t="shared" si="130"/>
        <v>0</v>
      </c>
    </row>
    <row r="4328" spans="1:60" ht="116" x14ac:dyDescent="0.35">
      <c r="A4328" s="2" t="s">
        <v>59</v>
      </c>
      <c r="B4328" s="2" t="s">
        <v>25844</v>
      </c>
      <c r="C4328" s="2" t="s">
        <v>42216</v>
      </c>
      <c r="D4328" s="2" t="s">
        <v>42217</v>
      </c>
      <c r="E4328" s="2" t="s">
        <v>42218</v>
      </c>
      <c r="F4328" s="3" t="s">
        <v>529</v>
      </c>
      <c r="G4328" s="3" t="s">
        <v>128</v>
      </c>
      <c r="I4328" s="3" t="s">
        <v>64</v>
      </c>
      <c r="J4328" s="3" t="s">
        <v>64</v>
      </c>
      <c r="K4328" s="3" t="s">
        <v>65</v>
      </c>
      <c r="M4328" s="2" t="s">
        <v>42219</v>
      </c>
      <c r="N4328" s="3" t="s">
        <v>86</v>
      </c>
      <c r="O4328" s="2" t="s">
        <v>11357</v>
      </c>
      <c r="P4328" s="3" t="s">
        <v>1190</v>
      </c>
      <c r="R4328" s="3" t="s">
        <v>70</v>
      </c>
      <c r="S4328" s="4">
        <v>0</v>
      </c>
      <c r="T4328" s="4">
        <v>0</v>
      </c>
      <c r="W4328" s="5" t="s">
        <v>72</v>
      </c>
      <c r="X4328" s="5" t="s">
        <v>72</v>
      </c>
      <c r="Y4328" s="4">
        <v>45</v>
      </c>
      <c r="Z4328" s="4">
        <v>2</v>
      </c>
      <c r="AA4328" s="4">
        <v>4</v>
      </c>
      <c r="AB4328" s="4">
        <v>1</v>
      </c>
      <c r="AC4328" s="4">
        <v>1</v>
      </c>
      <c r="AD4328" s="4">
        <v>35</v>
      </c>
      <c r="AE4328" s="4">
        <v>38</v>
      </c>
      <c r="AF4328" s="4">
        <v>0</v>
      </c>
      <c r="AG4328" s="4">
        <v>0</v>
      </c>
      <c r="AH4328" s="4">
        <v>33</v>
      </c>
      <c r="AI4328" s="4">
        <v>36</v>
      </c>
      <c r="AJ4328" s="4">
        <v>1</v>
      </c>
      <c r="AK4328" s="4">
        <v>2</v>
      </c>
      <c r="AL4328" s="4">
        <v>29</v>
      </c>
      <c r="AM4328" s="4">
        <v>31</v>
      </c>
      <c r="AN4328" s="4">
        <v>0</v>
      </c>
      <c r="AO4328" s="4">
        <v>0</v>
      </c>
      <c r="AP4328" s="4">
        <v>1</v>
      </c>
      <c r="AQ4328" s="4">
        <v>2</v>
      </c>
      <c r="AR4328" s="3" t="s">
        <v>64</v>
      </c>
      <c r="AS4328" s="3" t="s">
        <v>64</v>
      </c>
      <c r="AT4328" s="3" t="s">
        <v>64</v>
      </c>
      <c r="AV4328" s="6" t="str">
        <f t="shared" si="133"/>
        <v>Catalog Record</v>
      </c>
      <c r="AW4328" s="6" t="str">
        <f t="shared" si="134"/>
        <v>WorldCat Record</v>
      </c>
      <c r="AX4328" s="3" t="s">
        <v>42220</v>
      </c>
      <c r="AY4328" s="3" t="s">
        <v>42221</v>
      </c>
      <c r="AZ4328" s="3" t="s">
        <v>42222</v>
      </c>
      <c r="BA4328" s="3" t="s">
        <v>42222</v>
      </c>
      <c r="BB4328" s="3" t="s">
        <v>42228</v>
      </c>
      <c r="BC4328" s="3" t="s">
        <v>77</v>
      </c>
      <c r="BD4328" s="3" t="s">
        <v>78</v>
      </c>
      <c r="BE4328" s="3" t="s">
        <v>42224</v>
      </c>
      <c r="BF4328" s="3" t="s">
        <v>42228</v>
      </c>
      <c r="BG4328" s="3" t="s">
        <v>42229</v>
      </c>
      <c r="BH4328">
        <f t="shared" si="130"/>
        <v>0</v>
      </c>
    </row>
    <row r="4329" spans="1:60" ht="116" x14ac:dyDescent="0.35">
      <c r="A4329" s="2" t="s">
        <v>59</v>
      </c>
      <c r="B4329" s="2" t="s">
        <v>25844</v>
      </c>
      <c r="C4329" s="2" t="s">
        <v>42216</v>
      </c>
      <c r="D4329" s="2" t="s">
        <v>42217</v>
      </c>
      <c r="E4329" s="2" t="s">
        <v>42218</v>
      </c>
      <c r="F4329" s="3" t="s">
        <v>519</v>
      </c>
      <c r="G4329" s="3" t="s">
        <v>128</v>
      </c>
      <c r="I4329" s="3" t="s">
        <v>64</v>
      </c>
      <c r="J4329" s="3" t="s">
        <v>64</v>
      </c>
      <c r="K4329" s="3" t="s">
        <v>65</v>
      </c>
      <c r="M4329" s="2" t="s">
        <v>42219</v>
      </c>
      <c r="N4329" s="3" t="s">
        <v>86</v>
      </c>
      <c r="O4329" s="2" t="s">
        <v>11357</v>
      </c>
      <c r="P4329" s="3" t="s">
        <v>1190</v>
      </c>
      <c r="R4329" s="3" t="s">
        <v>70</v>
      </c>
      <c r="S4329" s="4">
        <v>0</v>
      </c>
      <c r="T4329" s="4">
        <v>0</v>
      </c>
      <c r="W4329" s="5" t="s">
        <v>72</v>
      </c>
      <c r="X4329" s="5" t="s">
        <v>72</v>
      </c>
      <c r="Y4329" s="4">
        <v>45</v>
      </c>
      <c r="Z4329" s="4">
        <v>2</v>
      </c>
      <c r="AA4329" s="4">
        <v>4</v>
      </c>
      <c r="AB4329" s="4">
        <v>1</v>
      </c>
      <c r="AC4329" s="4">
        <v>1</v>
      </c>
      <c r="AD4329" s="4">
        <v>35</v>
      </c>
      <c r="AE4329" s="4">
        <v>38</v>
      </c>
      <c r="AF4329" s="4">
        <v>0</v>
      </c>
      <c r="AG4329" s="4">
        <v>0</v>
      </c>
      <c r="AH4329" s="4">
        <v>33</v>
      </c>
      <c r="AI4329" s="4">
        <v>36</v>
      </c>
      <c r="AJ4329" s="4">
        <v>1</v>
      </c>
      <c r="AK4329" s="4">
        <v>2</v>
      </c>
      <c r="AL4329" s="4">
        <v>29</v>
      </c>
      <c r="AM4329" s="4">
        <v>31</v>
      </c>
      <c r="AN4329" s="4">
        <v>0</v>
      </c>
      <c r="AO4329" s="4">
        <v>0</v>
      </c>
      <c r="AP4329" s="4">
        <v>1</v>
      </c>
      <c r="AQ4329" s="4">
        <v>2</v>
      </c>
      <c r="AR4329" s="3" t="s">
        <v>64</v>
      </c>
      <c r="AS4329" s="3" t="s">
        <v>64</v>
      </c>
      <c r="AT4329" s="3" t="s">
        <v>64</v>
      </c>
      <c r="AV4329" s="6" t="str">
        <f t="shared" si="133"/>
        <v>Catalog Record</v>
      </c>
      <c r="AW4329" s="6" t="str">
        <f t="shared" si="134"/>
        <v>WorldCat Record</v>
      </c>
      <c r="AX4329" s="3" t="s">
        <v>42220</v>
      </c>
      <c r="AY4329" s="3" t="s">
        <v>42221</v>
      </c>
      <c r="AZ4329" s="3" t="s">
        <v>42222</v>
      </c>
      <c r="BA4329" s="3" t="s">
        <v>42222</v>
      </c>
      <c r="BB4329" s="3" t="s">
        <v>42230</v>
      </c>
      <c r="BC4329" s="3" t="s">
        <v>77</v>
      </c>
      <c r="BD4329" s="3" t="s">
        <v>78</v>
      </c>
      <c r="BE4329" s="3" t="s">
        <v>42224</v>
      </c>
      <c r="BF4329" s="3" t="s">
        <v>42230</v>
      </c>
      <c r="BG4329" s="3" t="s">
        <v>42231</v>
      </c>
      <c r="BH4329">
        <f t="shared" si="130"/>
        <v>0</v>
      </c>
    </row>
    <row r="4330" spans="1:60" ht="116" x14ac:dyDescent="0.35">
      <c r="A4330" s="2" t="s">
        <v>59</v>
      </c>
      <c r="B4330" s="2" t="s">
        <v>25844</v>
      </c>
      <c r="C4330" s="2" t="s">
        <v>42216</v>
      </c>
      <c r="D4330" s="2" t="s">
        <v>42217</v>
      </c>
      <c r="E4330" s="2" t="s">
        <v>42218</v>
      </c>
      <c r="F4330" s="3" t="s">
        <v>522</v>
      </c>
      <c r="G4330" s="3" t="s">
        <v>128</v>
      </c>
      <c r="I4330" s="3" t="s">
        <v>64</v>
      </c>
      <c r="J4330" s="3" t="s">
        <v>64</v>
      </c>
      <c r="K4330" s="3" t="s">
        <v>65</v>
      </c>
      <c r="M4330" s="2" t="s">
        <v>42219</v>
      </c>
      <c r="N4330" s="3" t="s">
        <v>86</v>
      </c>
      <c r="O4330" s="2" t="s">
        <v>11357</v>
      </c>
      <c r="P4330" s="3" t="s">
        <v>1190</v>
      </c>
      <c r="R4330" s="3" t="s">
        <v>70</v>
      </c>
      <c r="S4330" s="4">
        <v>0</v>
      </c>
      <c r="T4330" s="4">
        <v>0</v>
      </c>
      <c r="W4330" s="5" t="s">
        <v>72</v>
      </c>
      <c r="X4330" s="5" t="s">
        <v>72</v>
      </c>
      <c r="Y4330" s="4">
        <v>45</v>
      </c>
      <c r="Z4330" s="4">
        <v>2</v>
      </c>
      <c r="AA4330" s="4">
        <v>4</v>
      </c>
      <c r="AB4330" s="4">
        <v>1</v>
      </c>
      <c r="AC4330" s="4">
        <v>1</v>
      </c>
      <c r="AD4330" s="4">
        <v>35</v>
      </c>
      <c r="AE4330" s="4">
        <v>38</v>
      </c>
      <c r="AF4330" s="4">
        <v>0</v>
      </c>
      <c r="AG4330" s="4">
        <v>0</v>
      </c>
      <c r="AH4330" s="4">
        <v>33</v>
      </c>
      <c r="AI4330" s="4">
        <v>36</v>
      </c>
      <c r="AJ4330" s="4">
        <v>1</v>
      </c>
      <c r="AK4330" s="4">
        <v>2</v>
      </c>
      <c r="AL4330" s="4">
        <v>29</v>
      </c>
      <c r="AM4330" s="4">
        <v>31</v>
      </c>
      <c r="AN4330" s="4">
        <v>0</v>
      </c>
      <c r="AO4330" s="4">
        <v>0</v>
      </c>
      <c r="AP4330" s="4">
        <v>1</v>
      </c>
      <c r="AQ4330" s="4">
        <v>2</v>
      </c>
      <c r="AR4330" s="3" t="s">
        <v>64</v>
      </c>
      <c r="AS4330" s="3" t="s">
        <v>64</v>
      </c>
      <c r="AT4330" s="3" t="s">
        <v>64</v>
      </c>
      <c r="AV4330" s="6" t="str">
        <f t="shared" si="133"/>
        <v>Catalog Record</v>
      </c>
      <c r="AW4330" s="6" t="str">
        <f t="shared" si="134"/>
        <v>WorldCat Record</v>
      </c>
      <c r="AX4330" s="3" t="s">
        <v>42220</v>
      </c>
      <c r="AY4330" s="3" t="s">
        <v>42221</v>
      </c>
      <c r="AZ4330" s="3" t="s">
        <v>42222</v>
      </c>
      <c r="BA4330" s="3" t="s">
        <v>42222</v>
      </c>
      <c r="BB4330" s="3" t="s">
        <v>42232</v>
      </c>
      <c r="BC4330" s="3" t="s">
        <v>77</v>
      </c>
      <c r="BD4330" s="3" t="s">
        <v>78</v>
      </c>
      <c r="BE4330" s="3" t="s">
        <v>42224</v>
      </c>
      <c r="BF4330" s="3" t="s">
        <v>42232</v>
      </c>
      <c r="BG4330" s="3" t="s">
        <v>42233</v>
      </c>
      <c r="BH4330">
        <f t="shared" si="130"/>
        <v>0</v>
      </c>
    </row>
    <row r="4331" spans="1:60" ht="116" x14ac:dyDescent="0.35">
      <c r="A4331" s="2" t="s">
        <v>59</v>
      </c>
      <c r="B4331" s="2" t="s">
        <v>25844</v>
      </c>
      <c r="C4331" s="2" t="s">
        <v>42216</v>
      </c>
      <c r="D4331" s="2" t="s">
        <v>42217</v>
      </c>
      <c r="E4331" s="2" t="s">
        <v>42218</v>
      </c>
      <c r="F4331" s="3" t="s">
        <v>509</v>
      </c>
      <c r="G4331" s="3" t="s">
        <v>128</v>
      </c>
      <c r="I4331" s="3" t="s">
        <v>64</v>
      </c>
      <c r="J4331" s="3" t="s">
        <v>64</v>
      </c>
      <c r="K4331" s="3" t="s">
        <v>65</v>
      </c>
      <c r="M4331" s="2" t="s">
        <v>42219</v>
      </c>
      <c r="N4331" s="3" t="s">
        <v>86</v>
      </c>
      <c r="O4331" s="2" t="s">
        <v>11357</v>
      </c>
      <c r="P4331" s="3" t="s">
        <v>1190</v>
      </c>
      <c r="R4331" s="3" t="s">
        <v>70</v>
      </c>
      <c r="S4331" s="4">
        <v>0</v>
      </c>
      <c r="T4331" s="4">
        <v>0</v>
      </c>
      <c r="W4331" s="5" t="s">
        <v>72</v>
      </c>
      <c r="X4331" s="5" t="s">
        <v>72</v>
      </c>
      <c r="Y4331" s="4">
        <v>45</v>
      </c>
      <c r="Z4331" s="4">
        <v>2</v>
      </c>
      <c r="AA4331" s="4">
        <v>4</v>
      </c>
      <c r="AB4331" s="4">
        <v>1</v>
      </c>
      <c r="AC4331" s="4">
        <v>1</v>
      </c>
      <c r="AD4331" s="4">
        <v>35</v>
      </c>
      <c r="AE4331" s="4">
        <v>38</v>
      </c>
      <c r="AF4331" s="4">
        <v>0</v>
      </c>
      <c r="AG4331" s="4">
        <v>0</v>
      </c>
      <c r="AH4331" s="4">
        <v>33</v>
      </c>
      <c r="AI4331" s="4">
        <v>36</v>
      </c>
      <c r="AJ4331" s="4">
        <v>1</v>
      </c>
      <c r="AK4331" s="4">
        <v>2</v>
      </c>
      <c r="AL4331" s="4">
        <v>29</v>
      </c>
      <c r="AM4331" s="4">
        <v>31</v>
      </c>
      <c r="AN4331" s="4">
        <v>0</v>
      </c>
      <c r="AO4331" s="4">
        <v>0</v>
      </c>
      <c r="AP4331" s="4">
        <v>1</v>
      </c>
      <c r="AQ4331" s="4">
        <v>2</v>
      </c>
      <c r="AR4331" s="3" t="s">
        <v>64</v>
      </c>
      <c r="AS4331" s="3" t="s">
        <v>64</v>
      </c>
      <c r="AT4331" s="3" t="s">
        <v>64</v>
      </c>
      <c r="AV4331" s="6" t="str">
        <f t="shared" si="133"/>
        <v>Catalog Record</v>
      </c>
      <c r="AW4331" s="6" t="str">
        <f t="shared" si="134"/>
        <v>WorldCat Record</v>
      </c>
      <c r="AX4331" s="3" t="s">
        <v>42220</v>
      </c>
      <c r="AY4331" s="3" t="s">
        <v>42221</v>
      </c>
      <c r="AZ4331" s="3" t="s">
        <v>42222</v>
      </c>
      <c r="BA4331" s="3" t="s">
        <v>42222</v>
      </c>
      <c r="BB4331" s="3" t="s">
        <v>42234</v>
      </c>
      <c r="BC4331" s="3" t="s">
        <v>77</v>
      </c>
      <c r="BD4331" s="3" t="s">
        <v>78</v>
      </c>
      <c r="BE4331" s="3" t="s">
        <v>42224</v>
      </c>
      <c r="BF4331" s="3" t="s">
        <v>42234</v>
      </c>
      <c r="BG4331" s="3" t="s">
        <v>42235</v>
      </c>
      <c r="BH4331">
        <f t="shared" si="130"/>
        <v>0</v>
      </c>
    </row>
    <row r="4332" spans="1:60" ht="116" x14ac:dyDescent="0.35">
      <c r="A4332" s="2" t="s">
        <v>59</v>
      </c>
      <c r="B4332" s="2" t="s">
        <v>25844</v>
      </c>
      <c r="C4332" s="2" t="s">
        <v>42216</v>
      </c>
      <c r="D4332" s="2" t="s">
        <v>42217</v>
      </c>
      <c r="E4332" s="2" t="s">
        <v>42218</v>
      </c>
      <c r="F4332" s="3" t="s">
        <v>11447</v>
      </c>
      <c r="G4332" s="3" t="s">
        <v>128</v>
      </c>
      <c r="I4332" s="3" t="s">
        <v>64</v>
      </c>
      <c r="J4332" s="3" t="s">
        <v>64</v>
      </c>
      <c r="K4332" s="3" t="s">
        <v>65</v>
      </c>
      <c r="M4332" s="2" t="s">
        <v>42219</v>
      </c>
      <c r="N4332" s="3" t="s">
        <v>86</v>
      </c>
      <c r="O4332" s="2" t="s">
        <v>11357</v>
      </c>
      <c r="P4332" s="3" t="s">
        <v>1190</v>
      </c>
      <c r="R4332" s="3" t="s">
        <v>70</v>
      </c>
      <c r="S4332" s="4">
        <v>0</v>
      </c>
      <c r="T4332" s="4">
        <v>0</v>
      </c>
      <c r="W4332" s="5" t="s">
        <v>72</v>
      </c>
      <c r="X4332" s="5" t="s">
        <v>72</v>
      </c>
      <c r="Y4332" s="4">
        <v>45</v>
      </c>
      <c r="Z4332" s="4">
        <v>2</v>
      </c>
      <c r="AA4332" s="4">
        <v>4</v>
      </c>
      <c r="AB4332" s="4">
        <v>1</v>
      </c>
      <c r="AC4332" s="4">
        <v>1</v>
      </c>
      <c r="AD4332" s="4">
        <v>35</v>
      </c>
      <c r="AE4332" s="4">
        <v>38</v>
      </c>
      <c r="AF4332" s="4">
        <v>0</v>
      </c>
      <c r="AG4332" s="4">
        <v>0</v>
      </c>
      <c r="AH4332" s="4">
        <v>33</v>
      </c>
      <c r="AI4332" s="4">
        <v>36</v>
      </c>
      <c r="AJ4332" s="4">
        <v>1</v>
      </c>
      <c r="AK4332" s="4">
        <v>2</v>
      </c>
      <c r="AL4332" s="4">
        <v>29</v>
      </c>
      <c r="AM4332" s="4">
        <v>31</v>
      </c>
      <c r="AN4332" s="4">
        <v>0</v>
      </c>
      <c r="AO4332" s="4">
        <v>0</v>
      </c>
      <c r="AP4332" s="4">
        <v>1</v>
      </c>
      <c r="AQ4332" s="4">
        <v>2</v>
      </c>
      <c r="AR4332" s="3" t="s">
        <v>64</v>
      </c>
      <c r="AS4332" s="3" t="s">
        <v>64</v>
      </c>
      <c r="AT4332" s="3" t="s">
        <v>64</v>
      </c>
      <c r="AV4332" s="6" t="str">
        <f t="shared" si="133"/>
        <v>Catalog Record</v>
      </c>
      <c r="AW4332" s="6" t="str">
        <f t="shared" si="134"/>
        <v>WorldCat Record</v>
      </c>
      <c r="AX4332" s="3" t="s">
        <v>42220</v>
      </c>
      <c r="AY4332" s="3" t="s">
        <v>42221</v>
      </c>
      <c r="AZ4332" s="3" t="s">
        <v>42222</v>
      </c>
      <c r="BA4332" s="3" t="s">
        <v>42222</v>
      </c>
      <c r="BB4332" s="3" t="s">
        <v>42236</v>
      </c>
      <c r="BC4332" s="3" t="s">
        <v>77</v>
      </c>
      <c r="BD4332" s="3" t="s">
        <v>78</v>
      </c>
      <c r="BE4332" s="3" t="s">
        <v>42224</v>
      </c>
      <c r="BF4332" s="3" t="s">
        <v>42236</v>
      </c>
      <c r="BG4332" s="3" t="s">
        <v>42237</v>
      </c>
      <c r="BH4332">
        <f t="shared" si="130"/>
        <v>0</v>
      </c>
    </row>
    <row r="4333" spans="1:60" ht="116" x14ac:dyDescent="0.35">
      <c r="A4333" s="2" t="s">
        <v>59</v>
      </c>
      <c r="B4333" s="2" t="s">
        <v>25844</v>
      </c>
      <c r="C4333" s="2" t="s">
        <v>42238</v>
      </c>
      <c r="D4333" s="2" t="s">
        <v>42239</v>
      </c>
      <c r="E4333" s="2" t="s">
        <v>42240</v>
      </c>
      <c r="F4333" s="3" t="s">
        <v>529</v>
      </c>
      <c r="G4333" s="3" t="s">
        <v>128</v>
      </c>
      <c r="I4333" s="3" t="s">
        <v>64</v>
      </c>
      <c r="J4333" s="3" t="s">
        <v>64</v>
      </c>
      <c r="K4333" s="3" t="s">
        <v>65</v>
      </c>
      <c r="M4333" s="2" t="s">
        <v>42219</v>
      </c>
      <c r="N4333" s="3" t="s">
        <v>86</v>
      </c>
      <c r="O4333" s="2" t="s">
        <v>11357</v>
      </c>
      <c r="P4333" s="3" t="s">
        <v>1190</v>
      </c>
      <c r="R4333" s="3" t="s">
        <v>70</v>
      </c>
      <c r="S4333" s="4">
        <v>0</v>
      </c>
      <c r="T4333" s="4">
        <v>0</v>
      </c>
      <c r="W4333" s="5" t="s">
        <v>72</v>
      </c>
      <c r="X4333" s="5" t="s">
        <v>72</v>
      </c>
      <c r="Y4333" s="4">
        <v>48</v>
      </c>
      <c r="Z4333" s="4">
        <v>4</v>
      </c>
      <c r="AA4333" s="4">
        <v>4</v>
      </c>
      <c r="AB4333" s="4">
        <v>1</v>
      </c>
      <c r="AC4333" s="4">
        <v>1</v>
      </c>
      <c r="AD4333" s="4">
        <v>37</v>
      </c>
      <c r="AE4333" s="4">
        <v>37</v>
      </c>
      <c r="AF4333" s="4">
        <v>0</v>
      </c>
      <c r="AG4333" s="4">
        <v>0</v>
      </c>
      <c r="AH4333" s="4">
        <v>35</v>
      </c>
      <c r="AI4333" s="4">
        <v>35</v>
      </c>
      <c r="AJ4333" s="4">
        <v>2</v>
      </c>
      <c r="AK4333" s="4">
        <v>2</v>
      </c>
      <c r="AL4333" s="4">
        <v>30</v>
      </c>
      <c r="AM4333" s="4">
        <v>30</v>
      </c>
      <c r="AN4333" s="4">
        <v>0</v>
      </c>
      <c r="AO4333" s="4">
        <v>0</v>
      </c>
      <c r="AP4333" s="4">
        <v>2</v>
      </c>
      <c r="AQ4333" s="4">
        <v>2</v>
      </c>
      <c r="AR4333" s="3" t="s">
        <v>64</v>
      </c>
      <c r="AS4333" s="3" t="s">
        <v>64</v>
      </c>
      <c r="AT4333" s="3" t="s">
        <v>64</v>
      </c>
      <c r="AV4333" s="6" t="str">
        <f>HYPERLINK("http://mcgill.on.worldcat.org/oclc/805625055","Catalog Record")</f>
        <v>Catalog Record</v>
      </c>
      <c r="AW4333" s="6" t="str">
        <f>HYPERLINK("http://www.worldcat.org/oclc/805625055","WorldCat Record")</f>
        <v>WorldCat Record</v>
      </c>
      <c r="AX4333" s="3" t="s">
        <v>42241</v>
      </c>
      <c r="AY4333" s="3" t="s">
        <v>42242</v>
      </c>
      <c r="AZ4333" s="3" t="s">
        <v>42243</v>
      </c>
      <c r="BA4333" s="3" t="s">
        <v>42243</v>
      </c>
      <c r="BB4333" s="3" t="s">
        <v>42244</v>
      </c>
      <c r="BC4333" s="3" t="s">
        <v>77</v>
      </c>
      <c r="BD4333" s="3" t="s">
        <v>78</v>
      </c>
      <c r="BE4333" s="3" t="s">
        <v>42245</v>
      </c>
      <c r="BF4333" s="3" t="s">
        <v>42244</v>
      </c>
      <c r="BG4333" s="3" t="s">
        <v>42246</v>
      </c>
      <c r="BH4333">
        <f t="shared" si="130"/>
        <v>0</v>
      </c>
    </row>
    <row r="4334" spans="1:60" ht="116" x14ac:dyDescent="0.35">
      <c r="A4334" s="2" t="s">
        <v>59</v>
      </c>
      <c r="B4334" s="2" t="s">
        <v>25844</v>
      </c>
      <c r="C4334" s="2" t="s">
        <v>42238</v>
      </c>
      <c r="D4334" s="2" t="s">
        <v>42239</v>
      </c>
      <c r="E4334" s="2" t="s">
        <v>42240</v>
      </c>
      <c r="F4334" s="3" t="s">
        <v>525</v>
      </c>
      <c r="G4334" s="3" t="s">
        <v>128</v>
      </c>
      <c r="I4334" s="3" t="s">
        <v>64</v>
      </c>
      <c r="J4334" s="3" t="s">
        <v>64</v>
      </c>
      <c r="K4334" s="3" t="s">
        <v>65</v>
      </c>
      <c r="M4334" s="2" t="s">
        <v>42219</v>
      </c>
      <c r="N4334" s="3" t="s">
        <v>86</v>
      </c>
      <c r="O4334" s="2" t="s">
        <v>11357</v>
      </c>
      <c r="P4334" s="3" t="s">
        <v>1190</v>
      </c>
      <c r="R4334" s="3" t="s">
        <v>70</v>
      </c>
      <c r="S4334" s="4">
        <v>0</v>
      </c>
      <c r="T4334" s="4">
        <v>0</v>
      </c>
      <c r="W4334" s="5" t="s">
        <v>72</v>
      </c>
      <c r="X4334" s="5" t="s">
        <v>72</v>
      </c>
      <c r="Y4334" s="4">
        <v>48</v>
      </c>
      <c r="Z4334" s="4">
        <v>4</v>
      </c>
      <c r="AA4334" s="4">
        <v>4</v>
      </c>
      <c r="AB4334" s="4">
        <v>1</v>
      </c>
      <c r="AC4334" s="4">
        <v>1</v>
      </c>
      <c r="AD4334" s="4">
        <v>37</v>
      </c>
      <c r="AE4334" s="4">
        <v>37</v>
      </c>
      <c r="AF4334" s="4">
        <v>0</v>
      </c>
      <c r="AG4334" s="4">
        <v>0</v>
      </c>
      <c r="AH4334" s="4">
        <v>35</v>
      </c>
      <c r="AI4334" s="4">
        <v>35</v>
      </c>
      <c r="AJ4334" s="4">
        <v>2</v>
      </c>
      <c r="AK4334" s="4">
        <v>2</v>
      </c>
      <c r="AL4334" s="4">
        <v>30</v>
      </c>
      <c r="AM4334" s="4">
        <v>30</v>
      </c>
      <c r="AN4334" s="4">
        <v>0</v>
      </c>
      <c r="AO4334" s="4">
        <v>0</v>
      </c>
      <c r="AP4334" s="4">
        <v>2</v>
      </c>
      <c r="AQ4334" s="4">
        <v>2</v>
      </c>
      <c r="AR4334" s="3" t="s">
        <v>64</v>
      </c>
      <c r="AS4334" s="3" t="s">
        <v>64</v>
      </c>
      <c r="AT4334" s="3" t="s">
        <v>64</v>
      </c>
      <c r="AV4334" s="6" t="str">
        <f>HYPERLINK("http://mcgill.on.worldcat.org/oclc/805625055","Catalog Record")</f>
        <v>Catalog Record</v>
      </c>
      <c r="AW4334" s="6" t="str">
        <f>HYPERLINK("http://www.worldcat.org/oclc/805625055","WorldCat Record")</f>
        <v>WorldCat Record</v>
      </c>
      <c r="AX4334" s="3" t="s">
        <v>42241</v>
      </c>
      <c r="AY4334" s="3" t="s">
        <v>42242</v>
      </c>
      <c r="AZ4334" s="3" t="s">
        <v>42243</v>
      </c>
      <c r="BA4334" s="3" t="s">
        <v>42243</v>
      </c>
      <c r="BB4334" s="3" t="s">
        <v>42247</v>
      </c>
      <c r="BC4334" s="3" t="s">
        <v>77</v>
      </c>
      <c r="BD4334" s="3" t="s">
        <v>78</v>
      </c>
      <c r="BE4334" s="3" t="s">
        <v>42245</v>
      </c>
      <c r="BF4334" s="3" t="s">
        <v>42247</v>
      </c>
      <c r="BG4334" s="3" t="s">
        <v>42248</v>
      </c>
      <c r="BH4334">
        <f t="shared" si="130"/>
        <v>0</v>
      </c>
    </row>
    <row r="4335" spans="1:60" ht="116" x14ac:dyDescent="0.35">
      <c r="A4335" s="2" t="s">
        <v>59</v>
      </c>
      <c r="B4335" s="2" t="s">
        <v>25844</v>
      </c>
      <c r="C4335" s="2" t="s">
        <v>42249</v>
      </c>
      <c r="D4335" s="2" t="s">
        <v>42250</v>
      </c>
      <c r="E4335" s="2" t="s">
        <v>42251</v>
      </c>
      <c r="F4335" s="3" t="s">
        <v>522</v>
      </c>
      <c r="G4335" s="3" t="s">
        <v>128</v>
      </c>
      <c r="I4335" s="3" t="s">
        <v>64</v>
      </c>
      <c r="J4335" s="3" t="s">
        <v>64</v>
      </c>
      <c r="K4335" s="3" t="s">
        <v>65</v>
      </c>
      <c r="M4335" s="2" t="s">
        <v>42252</v>
      </c>
      <c r="N4335" s="3" t="s">
        <v>1075</v>
      </c>
      <c r="O4335" s="2" t="s">
        <v>1189</v>
      </c>
      <c r="P4335" s="3" t="s">
        <v>1190</v>
      </c>
      <c r="R4335" s="3" t="s">
        <v>70</v>
      </c>
      <c r="S4335" s="4">
        <v>0</v>
      </c>
      <c r="T4335" s="4">
        <v>0</v>
      </c>
      <c r="W4335" s="5" t="s">
        <v>72</v>
      </c>
      <c r="X4335" s="5" t="s">
        <v>72</v>
      </c>
      <c r="Y4335" s="4">
        <v>40</v>
      </c>
      <c r="Z4335" s="4">
        <v>3</v>
      </c>
      <c r="AA4335" s="4">
        <v>3</v>
      </c>
      <c r="AB4335" s="4">
        <v>1</v>
      </c>
      <c r="AC4335" s="4">
        <v>1</v>
      </c>
      <c r="AD4335" s="4">
        <v>31</v>
      </c>
      <c r="AE4335" s="4">
        <v>31</v>
      </c>
      <c r="AF4335" s="4">
        <v>0</v>
      </c>
      <c r="AG4335" s="4">
        <v>0</v>
      </c>
      <c r="AH4335" s="4">
        <v>30</v>
      </c>
      <c r="AI4335" s="4">
        <v>30</v>
      </c>
      <c r="AJ4335" s="4">
        <v>1</v>
      </c>
      <c r="AK4335" s="4">
        <v>1</v>
      </c>
      <c r="AL4335" s="4">
        <v>27</v>
      </c>
      <c r="AM4335" s="4">
        <v>27</v>
      </c>
      <c r="AN4335" s="4">
        <v>0</v>
      </c>
      <c r="AO4335" s="4">
        <v>0</v>
      </c>
      <c r="AP4335" s="4">
        <v>1</v>
      </c>
      <c r="AQ4335" s="4">
        <v>1</v>
      </c>
      <c r="AR4335" s="3" t="s">
        <v>64</v>
      </c>
      <c r="AS4335" s="3" t="s">
        <v>64</v>
      </c>
      <c r="AT4335" s="3" t="s">
        <v>64</v>
      </c>
      <c r="AV4335" s="6" t="str">
        <f>HYPERLINK("http://mcgill.on.worldcat.org/oclc/854842439","Catalog Record")</f>
        <v>Catalog Record</v>
      </c>
      <c r="AW4335" s="6" t="str">
        <f>HYPERLINK("http://www.worldcat.org/oclc/854842439","WorldCat Record")</f>
        <v>WorldCat Record</v>
      </c>
      <c r="AX4335" s="3" t="s">
        <v>42253</v>
      </c>
      <c r="AY4335" s="3" t="s">
        <v>42254</v>
      </c>
      <c r="AZ4335" s="3" t="s">
        <v>42255</v>
      </c>
      <c r="BA4335" s="3" t="s">
        <v>42255</v>
      </c>
      <c r="BB4335" s="3" t="s">
        <v>42256</v>
      </c>
      <c r="BC4335" s="3" t="s">
        <v>77</v>
      </c>
      <c r="BD4335" s="3" t="s">
        <v>78</v>
      </c>
      <c r="BE4335" s="3" t="s">
        <v>42257</v>
      </c>
      <c r="BF4335" s="3" t="s">
        <v>42256</v>
      </c>
      <c r="BG4335" s="3" t="s">
        <v>42258</v>
      </c>
      <c r="BH4335">
        <f t="shared" si="130"/>
        <v>0</v>
      </c>
    </row>
    <row r="4336" spans="1:60" ht="116" x14ac:dyDescent="0.35">
      <c r="A4336" s="2" t="s">
        <v>59</v>
      </c>
      <c r="B4336" s="2" t="s">
        <v>25844</v>
      </c>
      <c r="C4336" s="2" t="s">
        <v>42249</v>
      </c>
      <c r="D4336" s="2" t="s">
        <v>42250</v>
      </c>
      <c r="E4336" s="2" t="s">
        <v>42251</v>
      </c>
      <c r="F4336" s="3" t="s">
        <v>525</v>
      </c>
      <c r="G4336" s="3" t="s">
        <v>128</v>
      </c>
      <c r="I4336" s="3" t="s">
        <v>64</v>
      </c>
      <c r="J4336" s="3" t="s">
        <v>64</v>
      </c>
      <c r="K4336" s="3" t="s">
        <v>65</v>
      </c>
      <c r="M4336" s="2" t="s">
        <v>42252</v>
      </c>
      <c r="N4336" s="3" t="s">
        <v>1075</v>
      </c>
      <c r="O4336" s="2" t="s">
        <v>1189</v>
      </c>
      <c r="P4336" s="3" t="s">
        <v>1190</v>
      </c>
      <c r="R4336" s="3" t="s">
        <v>70</v>
      </c>
      <c r="S4336" s="4">
        <v>0</v>
      </c>
      <c r="T4336" s="4">
        <v>0</v>
      </c>
      <c r="W4336" s="5" t="s">
        <v>72</v>
      </c>
      <c r="X4336" s="5" t="s">
        <v>72</v>
      </c>
      <c r="Y4336" s="4">
        <v>40</v>
      </c>
      <c r="Z4336" s="4">
        <v>3</v>
      </c>
      <c r="AA4336" s="4">
        <v>3</v>
      </c>
      <c r="AB4336" s="4">
        <v>1</v>
      </c>
      <c r="AC4336" s="4">
        <v>1</v>
      </c>
      <c r="AD4336" s="4">
        <v>31</v>
      </c>
      <c r="AE4336" s="4">
        <v>31</v>
      </c>
      <c r="AF4336" s="4">
        <v>0</v>
      </c>
      <c r="AG4336" s="4">
        <v>0</v>
      </c>
      <c r="AH4336" s="4">
        <v>30</v>
      </c>
      <c r="AI4336" s="4">
        <v>30</v>
      </c>
      <c r="AJ4336" s="4">
        <v>1</v>
      </c>
      <c r="AK4336" s="4">
        <v>1</v>
      </c>
      <c r="AL4336" s="4">
        <v>27</v>
      </c>
      <c r="AM4336" s="4">
        <v>27</v>
      </c>
      <c r="AN4336" s="4">
        <v>0</v>
      </c>
      <c r="AO4336" s="4">
        <v>0</v>
      </c>
      <c r="AP4336" s="4">
        <v>1</v>
      </c>
      <c r="AQ4336" s="4">
        <v>1</v>
      </c>
      <c r="AR4336" s="3" t="s">
        <v>64</v>
      </c>
      <c r="AS4336" s="3" t="s">
        <v>64</v>
      </c>
      <c r="AT4336" s="3" t="s">
        <v>64</v>
      </c>
      <c r="AV4336" s="6" t="str">
        <f>HYPERLINK("http://mcgill.on.worldcat.org/oclc/854842439","Catalog Record")</f>
        <v>Catalog Record</v>
      </c>
      <c r="AW4336" s="6" t="str">
        <f>HYPERLINK("http://www.worldcat.org/oclc/854842439","WorldCat Record")</f>
        <v>WorldCat Record</v>
      </c>
      <c r="AX4336" s="3" t="s">
        <v>42253</v>
      </c>
      <c r="AY4336" s="3" t="s">
        <v>42254</v>
      </c>
      <c r="AZ4336" s="3" t="s">
        <v>42255</v>
      </c>
      <c r="BA4336" s="3" t="s">
        <v>42255</v>
      </c>
      <c r="BB4336" s="3" t="s">
        <v>42259</v>
      </c>
      <c r="BC4336" s="3" t="s">
        <v>77</v>
      </c>
      <c r="BD4336" s="3" t="s">
        <v>78</v>
      </c>
      <c r="BE4336" s="3" t="s">
        <v>42257</v>
      </c>
      <c r="BF4336" s="3" t="s">
        <v>42259</v>
      </c>
      <c r="BG4336" s="3" t="s">
        <v>42260</v>
      </c>
      <c r="BH4336">
        <f t="shared" si="130"/>
        <v>0</v>
      </c>
    </row>
    <row r="4337" spans="1:60" ht="116" x14ac:dyDescent="0.35">
      <c r="A4337" s="2" t="s">
        <v>59</v>
      </c>
      <c r="B4337" s="2" t="s">
        <v>25844</v>
      </c>
      <c r="C4337" s="2" t="s">
        <v>42249</v>
      </c>
      <c r="D4337" s="2" t="s">
        <v>42250</v>
      </c>
      <c r="E4337" s="2" t="s">
        <v>42251</v>
      </c>
      <c r="F4337" s="3" t="s">
        <v>509</v>
      </c>
      <c r="G4337" s="3" t="s">
        <v>128</v>
      </c>
      <c r="I4337" s="3" t="s">
        <v>64</v>
      </c>
      <c r="J4337" s="3" t="s">
        <v>64</v>
      </c>
      <c r="K4337" s="3" t="s">
        <v>65</v>
      </c>
      <c r="M4337" s="2" t="s">
        <v>42252</v>
      </c>
      <c r="N4337" s="3" t="s">
        <v>1075</v>
      </c>
      <c r="O4337" s="2" t="s">
        <v>1189</v>
      </c>
      <c r="P4337" s="3" t="s">
        <v>1190</v>
      </c>
      <c r="R4337" s="3" t="s">
        <v>70</v>
      </c>
      <c r="S4337" s="4">
        <v>0</v>
      </c>
      <c r="T4337" s="4">
        <v>0</v>
      </c>
      <c r="W4337" s="5" t="s">
        <v>72</v>
      </c>
      <c r="X4337" s="5" t="s">
        <v>72</v>
      </c>
      <c r="Y4337" s="4">
        <v>40</v>
      </c>
      <c r="Z4337" s="4">
        <v>3</v>
      </c>
      <c r="AA4337" s="4">
        <v>3</v>
      </c>
      <c r="AB4337" s="4">
        <v>1</v>
      </c>
      <c r="AC4337" s="4">
        <v>1</v>
      </c>
      <c r="AD4337" s="4">
        <v>31</v>
      </c>
      <c r="AE4337" s="4">
        <v>31</v>
      </c>
      <c r="AF4337" s="4">
        <v>0</v>
      </c>
      <c r="AG4337" s="4">
        <v>0</v>
      </c>
      <c r="AH4337" s="4">
        <v>30</v>
      </c>
      <c r="AI4337" s="4">
        <v>30</v>
      </c>
      <c r="AJ4337" s="4">
        <v>1</v>
      </c>
      <c r="AK4337" s="4">
        <v>1</v>
      </c>
      <c r="AL4337" s="4">
        <v>27</v>
      </c>
      <c r="AM4337" s="4">
        <v>27</v>
      </c>
      <c r="AN4337" s="4">
        <v>0</v>
      </c>
      <c r="AO4337" s="4">
        <v>0</v>
      </c>
      <c r="AP4337" s="4">
        <v>1</v>
      </c>
      <c r="AQ4337" s="4">
        <v>1</v>
      </c>
      <c r="AR4337" s="3" t="s">
        <v>64</v>
      </c>
      <c r="AS4337" s="3" t="s">
        <v>64</v>
      </c>
      <c r="AT4337" s="3" t="s">
        <v>64</v>
      </c>
      <c r="AV4337" s="6" t="str">
        <f>HYPERLINK("http://mcgill.on.worldcat.org/oclc/854842439","Catalog Record")</f>
        <v>Catalog Record</v>
      </c>
      <c r="AW4337" s="6" t="str">
        <f>HYPERLINK("http://www.worldcat.org/oclc/854842439","WorldCat Record")</f>
        <v>WorldCat Record</v>
      </c>
      <c r="AX4337" s="3" t="s">
        <v>42253</v>
      </c>
      <c r="AY4337" s="3" t="s">
        <v>42254</v>
      </c>
      <c r="AZ4337" s="3" t="s">
        <v>42255</v>
      </c>
      <c r="BA4337" s="3" t="s">
        <v>42255</v>
      </c>
      <c r="BB4337" s="3" t="s">
        <v>42261</v>
      </c>
      <c r="BC4337" s="3" t="s">
        <v>77</v>
      </c>
      <c r="BD4337" s="3" t="s">
        <v>78</v>
      </c>
      <c r="BE4337" s="3" t="s">
        <v>42257</v>
      </c>
      <c r="BF4337" s="3" t="s">
        <v>42261</v>
      </c>
      <c r="BG4337" s="3" t="s">
        <v>42262</v>
      </c>
      <c r="BH4337">
        <f t="shared" si="130"/>
        <v>0</v>
      </c>
    </row>
    <row r="4338" spans="1:60" ht="116" x14ac:dyDescent="0.35">
      <c r="A4338" s="2" t="s">
        <v>59</v>
      </c>
      <c r="B4338" s="2" t="s">
        <v>25844</v>
      </c>
      <c r="C4338" s="2" t="s">
        <v>42249</v>
      </c>
      <c r="D4338" s="2" t="s">
        <v>42250</v>
      </c>
      <c r="E4338" s="2" t="s">
        <v>42251</v>
      </c>
      <c r="F4338" s="3" t="s">
        <v>529</v>
      </c>
      <c r="G4338" s="3" t="s">
        <v>128</v>
      </c>
      <c r="I4338" s="3" t="s">
        <v>64</v>
      </c>
      <c r="J4338" s="3" t="s">
        <v>64</v>
      </c>
      <c r="K4338" s="3" t="s">
        <v>65</v>
      </c>
      <c r="M4338" s="2" t="s">
        <v>42252</v>
      </c>
      <c r="N4338" s="3" t="s">
        <v>1075</v>
      </c>
      <c r="O4338" s="2" t="s">
        <v>1189</v>
      </c>
      <c r="P4338" s="3" t="s">
        <v>1190</v>
      </c>
      <c r="R4338" s="3" t="s">
        <v>70</v>
      </c>
      <c r="S4338" s="4">
        <v>0</v>
      </c>
      <c r="T4338" s="4">
        <v>0</v>
      </c>
      <c r="W4338" s="5" t="s">
        <v>72</v>
      </c>
      <c r="X4338" s="5" t="s">
        <v>72</v>
      </c>
      <c r="Y4338" s="4">
        <v>40</v>
      </c>
      <c r="Z4338" s="4">
        <v>3</v>
      </c>
      <c r="AA4338" s="4">
        <v>3</v>
      </c>
      <c r="AB4338" s="4">
        <v>1</v>
      </c>
      <c r="AC4338" s="4">
        <v>1</v>
      </c>
      <c r="AD4338" s="4">
        <v>31</v>
      </c>
      <c r="AE4338" s="4">
        <v>31</v>
      </c>
      <c r="AF4338" s="4">
        <v>0</v>
      </c>
      <c r="AG4338" s="4">
        <v>0</v>
      </c>
      <c r="AH4338" s="4">
        <v>30</v>
      </c>
      <c r="AI4338" s="4">
        <v>30</v>
      </c>
      <c r="AJ4338" s="4">
        <v>1</v>
      </c>
      <c r="AK4338" s="4">
        <v>1</v>
      </c>
      <c r="AL4338" s="4">
        <v>27</v>
      </c>
      <c r="AM4338" s="4">
        <v>27</v>
      </c>
      <c r="AN4338" s="4">
        <v>0</v>
      </c>
      <c r="AO4338" s="4">
        <v>0</v>
      </c>
      <c r="AP4338" s="4">
        <v>1</v>
      </c>
      <c r="AQ4338" s="4">
        <v>1</v>
      </c>
      <c r="AR4338" s="3" t="s">
        <v>64</v>
      </c>
      <c r="AS4338" s="3" t="s">
        <v>64</v>
      </c>
      <c r="AT4338" s="3" t="s">
        <v>64</v>
      </c>
      <c r="AV4338" s="6" t="str">
        <f>HYPERLINK("http://mcgill.on.worldcat.org/oclc/854842439","Catalog Record")</f>
        <v>Catalog Record</v>
      </c>
      <c r="AW4338" s="6" t="str">
        <f>HYPERLINK("http://www.worldcat.org/oclc/854842439","WorldCat Record")</f>
        <v>WorldCat Record</v>
      </c>
      <c r="AX4338" s="3" t="s">
        <v>42253</v>
      </c>
      <c r="AY4338" s="3" t="s">
        <v>42254</v>
      </c>
      <c r="AZ4338" s="3" t="s">
        <v>42255</v>
      </c>
      <c r="BA4338" s="3" t="s">
        <v>42255</v>
      </c>
      <c r="BB4338" s="3" t="s">
        <v>42263</v>
      </c>
      <c r="BC4338" s="3" t="s">
        <v>77</v>
      </c>
      <c r="BD4338" s="3" t="s">
        <v>78</v>
      </c>
      <c r="BE4338" s="3" t="s">
        <v>42257</v>
      </c>
      <c r="BF4338" s="3" t="s">
        <v>42263</v>
      </c>
      <c r="BG4338" s="3" t="s">
        <v>42264</v>
      </c>
      <c r="BH4338">
        <f t="shared" si="130"/>
        <v>0</v>
      </c>
    </row>
    <row r="4339" spans="1:60" ht="58" x14ac:dyDescent="0.35">
      <c r="A4339" s="2" t="s">
        <v>59</v>
      </c>
      <c r="B4339" s="2" t="s">
        <v>60</v>
      </c>
      <c r="C4339" s="2" t="s">
        <v>42265</v>
      </c>
      <c r="D4339" s="2" t="s">
        <v>42266</v>
      </c>
      <c r="E4339" s="2" t="s">
        <v>42267</v>
      </c>
      <c r="G4339" s="3" t="s">
        <v>64</v>
      </c>
      <c r="I4339" s="3" t="s">
        <v>64</v>
      </c>
      <c r="J4339" s="3" t="s">
        <v>64</v>
      </c>
      <c r="K4339" s="3" t="s">
        <v>65</v>
      </c>
      <c r="M4339" s="2" t="s">
        <v>42268</v>
      </c>
      <c r="N4339" s="3" t="s">
        <v>1263</v>
      </c>
      <c r="P4339" s="3" t="s">
        <v>102</v>
      </c>
      <c r="Q4339" s="2" t="s">
        <v>42269</v>
      </c>
      <c r="R4339" s="3" t="s">
        <v>70</v>
      </c>
      <c r="S4339" s="4">
        <v>4</v>
      </c>
      <c r="T4339" s="4">
        <v>4</v>
      </c>
      <c r="U4339" s="5" t="s">
        <v>7143</v>
      </c>
      <c r="V4339" s="5" t="s">
        <v>7143</v>
      </c>
      <c r="W4339" s="5" t="s">
        <v>72</v>
      </c>
      <c r="X4339" s="5" t="s">
        <v>72</v>
      </c>
      <c r="Y4339" s="4">
        <v>227</v>
      </c>
      <c r="Z4339" s="4">
        <v>10</v>
      </c>
      <c r="AA4339" s="4">
        <v>14</v>
      </c>
      <c r="AB4339" s="4">
        <v>1</v>
      </c>
      <c r="AC4339" s="4">
        <v>2</v>
      </c>
      <c r="AD4339" s="4">
        <v>84</v>
      </c>
      <c r="AE4339" s="4">
        <v>86</v>
      </c>
      <c r="AF4339" s="4">
        <v>0</v>
      </c>
      <c r="AG4339" s="4">
        <v>1</v>
      </c>
      <c r="AH4339" s="4">
        <v>78</v>
      </c>
      <c r="AI4339" s="4">
        <v>79</v>
      </c>
      <c r="AJ4339" s="4">
        <v>8</v>
      </c>
      <c r="AK4339" s="4">
        <v>10</v>
      </c>
      <c r="AL4339" s="4">
        <v>50</v>
      </c>
      <c r="AM4339" s="4">
        <v>51</v>
      </c>
      <c r="AN4339" s="4">
        <v>0</v>
      </c>
      <c r="AO4339" s="4">
        <v>0</v>
      </c>
      <c r="AP4339" s="4">
        <v>9</v>
      </c>
      <c r="AQ4339" s="4">
        <v>10</v>
      </c>
      <c r="AR4339" s="3" t="s">
        <v>64</v>
      </c>
      <c r="AS4339" s="3" t="s">
        <v>64</v>
      </c>
      <c r="AT4339" s="3" t="s">
        <v>64</v>
      </c>
      <c r="AV4339" s="6" t="str">
        <f>HYPERLINK("http://mcgill.on.worldcat.org/oclc/29356935","Catalog Record")</f>
        <v>Catalog Record</v>
      </c>
      <c r="AW4339" s="6" t="str">
        <f>HYPERLINK("http://www.worldcat.org/oclc/29356935","WorldCat Record")</f>
        <v>WorldCat Record</v>
      </c>
      <c r="AX4339" s="3" t="s">
        <v>42270</v>
      </c>
      <c r="AY4339" s="3" t="s">
        <v>42271</v>
      </c>
      <c r="AZ4339" s="3" t="s">
        <v>42272</v>
      </c>
      <c r="BA4339" s="3" t="s">
        <v>42272</v>
      </c>
      <c r="BB4339" s="3" t="s">
        <v>42273</v>
      </c>
      <c r="BC4339" s="3" t="s">
        <v>77</v>
      </c>
      <c r="BD4339" s="3" t="s">
        <v>78</v>
      </c>
      <c r="BE4339" s="3" t="s">
        <v>42274</v>
      </c>
      <c r="BF4339" s="3" t="s">
        <v>42273</v>
      </c>
      <c r="BG4339" s="3" t="s">
        <v>42275</v>
      </c>
      <c r="BH4339">
        <f t="shared" si="130"/>
        <v>0</v>
      </c>
    </row>
    <row r="4340" spans="1:60" ht="116" x14ac:dyDescent="0.35">
      <c r="A4340" s="2" t="s">
        <v>59</v>
      </c>
      <c r="B4340" s="2" t="s">
        <v>1183</v>
      </c>
      <c r="C4340" s="2" t="s">
        <v>42276</v>
      </c>
      <c r="D4340" s="2" t="s">
        <v>42277</v>
      </c>
      <c r="E4340" s="2" t="s">
        <v>42278</v>
      </c>
      <c r="G4340" s="3" t="s">
        <v>64</v>
      </c>
      <c r="I4340" s="3" t="s">
        <v>64</v>
      </c>
      <c r="J4340" s="3" t="s">
        <v>64</v>
      </c>
      <c r="K4340" s="3" t="s">
        <v>65</v>
      </c>
      <c r="L4340" s="2" t="s">
        <v>42279</v>
      </c>
      <c r="M4340" s="2" t="s">
        <v>42280</v>
      </c>
      <c r="N4340" s="3" t="s">
        <v>874</v>
      </c>
      <c r="O4340" s="2" t="s">
        <v>1189</v>
      </c>
      <c r="P4340" s="3" t="s">
        <v>1190</v>
      </c>
      <c r="Q4340" s="2" t="s">
        <v>42281</v>
      </c>
      <c r="R4340" s="3" t="s">
        <v>70</v>
      </c>
      <c r="S4340" s="4">
        <v>3</v>
      </c>
      <c r="T4340" s="4">
        <v>3</v>
      </c>
      <c r="U4340" s="5" t="s">
        <v>12152</v>
      </c>
      <c r="V4340" s="5" t="s">
        <v>12152</v>
      </c>
      <c r="W4340" s="5" t="s">
        <v>72</v>
      </c>
      <c r="X4340" s="5" t="s">
        <v>72</v>
      </c>
      <c r="Y4340" s="4">
        <v>8</v>
      </c>
      <c r="Z4340" s="4">
        <v>1</v>
      </c>
      <c r="AA4340" s="4">
        <v>1</v>
      </c>
      <c r="AB4340" s="4">
        <v>1</v>
      </c>
      <c r="AC4340" s="4">
        <v>1</v>
      </c>
      <c r="AD4340" s="4">
        <v>6</v>
      </c>
      <c r="AE4340" s="4">
        <v>19</v>
      </c>
      <c r="AF4340" s="4">
        <v>0</v>
      </c>
      <c r="AG4340" s="4">
        <v>0</v>
      </c>
      <c r="AH4340" s="4">
        <v>6</v>
      </c>
      <c r="AI4340" s="4">
        <v>17</v>
      </c>
      <c r="AJ4340" s="4">
        <v>0</v>
      </c>
      <c r="AK4340" s="4">
        <v>0</v>
      </c>
      <c r="AL4340" s="4">
        <v>6</v>
      </c>
      <c r="AM4340" s="4">
        <v>16</v>
      </c>
      <c r="AN4340" s="4">
        <v>0</v>
      </c>
      <c r="AO4340" s="4">
        <v>0</v>
      </c>
      <c r="AP4340" s="4">
        <v>0</v>
      </c>
      <c r="AQ4340" s="4">
        <v>0</v>
      </c>
      <c r="AR4340" s="3" t="s">
        <v>64</v>
      </c>
      <c r="AS4340" s="3" t="s">
        <v>64</v>
      </c>
      <c r="AT4340" s="3" t="s">
        <v>64</v>
      </c>
      <c r="AV4340" s="6" t="str">
        <f>HYPERLINK("http://mcgill.on.worldcat.org/oclc/26171234","Catalog Record")</f>
        <v>Catalog Record</v>
      </c>
      <c r="AW4340" s="6" t="str">
        <f>HYPERLINK("http://www.worldcat.org/oclc/26171234","WorldCat Record")</f>
        <v>WorldCat Record</v>
      </c>
      <c r="AX4340" s="3" t="s">
        <v>42282</v>
      </c>
      <c r="AY4340" s="3" t="s">
        <v>42283</v>
      </c>
      <c r="AZ4340" s="3" t="s">
        <v>42284</v>
      </c>
      <c r="BA4340" s="3" t="s">
        <v>42284</v>
      </c>
      <c r="BB4340" s="3" t="s">
        <v>42285</v>
      </c>
      <c r="BC4340" s="3" t="s">
        <v>77</v>
      </c>
      <c r="BD4340" s="3" t="s">
        <v>78</v>
      </c>
      <c r="BF4340" s="3" t="s">
        <v>42285</v>
      </c>
      <c r="BG4340" s="3" t="s">
        <v>42286</v>
      </c>
      <c r="BH4340">
        <f t="shared" si="130"/>
        <v>0</v>
      </c>
    </row>
    <row r="4341" spans="1:60" ht="116" x14ac:dyDescent="0.35">
      <c r="A4341" s="2" t="s">
        <v>59</v>
      </c>
      <c r="B4341" s="2" t="s">
        <v>1183</v>
      </c>
      <c r="C4341" s="2" t="s">
        <v>42287</v>
      </c>
      <c r="D4341" s="2" t="s">
        <v>42288</v>
      </c>
      <c r="E4341" s="2" t="s">
        <v>42289</v>
      </c>
      <c r="G4341" s="3" t="s">
        <v>64</v>
      </c>
      <c r="I4341" s="3" t="s">
        <v>64</v>
      </c>
      <c r="J4341" s="3" t="s">
        <v>64</v>
      </c>
      <c r="K4341" s="3" t="s">
        <v>65</v>
      </c>
      <c r="L4341" s="2" t="s">
        <v>42290</v>
      </c>
      <c r="M4341" s="2" t="s">
        <v>42291</v>
      </c>
      <c r="N4341" s="3" t="s">
        <v>326</v>
      </c>
      <c r="O4341" s="2" t="s">
        <v>11357</v>
      </c>
      <c r="P4341" s="3" t="s">
        <v>1190</v>
      </c>
      <c r="Q4341" s="2" t="s">
        <v>42292</v>
      </c>
      <c r="R4341" s="3" t="s">
        <v>70</v>
      </c>
      <c r="S4341" s="4">
        <v>1</v>
      </c>
      <c r="T4341" s="4">
        <v>1</v>
      </c>
      <c r="U4341" s="5" t="s">
        <v>42293</v>
      </c>
      <c r="V4341" s="5" t="s">
        <v>42293</v>
      </c>
      <c r="W4341" s="5" t="s">
        <v>72</v>
      </c>
      <c r="X4341" s="5" t="s">
        <v>72</v>
      </c>
      <c r="Y4341" s="4">
        <v>20</v>
      </c>
      <c r="Z4341" s="4">
        <v>1</v>
      </c>
      <c r="AA4341" s="4">
        <v>1</v>
      </c>
      <c r="AB4341" s="4">
        <v>1</v>
      </c>
      <c r="AC4341" s="4">
        <v>1</v>
      </c>
      <c r="AD4341" s="4">
        <v>9</v>
      </c>
      <c r="AE4341" s="4">
        <v>11</v>
      </c>
      <c r="AF4341" s="4">
        <v>0</v>
      </c>
      <c r="AG4341" s="4">
        <v>0</v>
      </c>
      <c r="AH4341" s="4">
        <v>8</v>
      </c>
      <c r="AI4341" s="4">
        <v>9</v>
      </c>
      <c r="AJ4341" s="4">
        <v>0</v>
      </c>
      <c r="AK4341" s="4">
        <v>0</v>
      </c>
      <c r="AL4341" s="4">
        <v>8</v>
      </c>
      <c r="AM4341" s="4">
        <v>10</v>
      </c>
      <c r="AN4341" s="4">
        <v>0</v>
      </c>
      <c r="AO4341" s="4">
        <v>0</v>
      </c>
      <c r="AP4341" s="4">
        <v>0</v>
      </c>
      <c r="AQ4341" s="4">
        <v>0</v>
      </c>
      <c r="AR4341" s="3" t="s">
        <v>64</v>
      </c>
      <c r="AS4341" s="3" t="s">
        <v>64</v>
      </c>
      <c r="AT4341" s="3" t="s">
        <v>64</v>
      </c>
      <c r="AV4341" s="6" t="str">
        <f>HYPERLINK("http://mcgill.on.worldcat.org/oclc/706651324","Catalog Record")</f>
        <v>Catalog Record</v>
      </c>
      <c r="AW4341" s="6" t="str">
        <f>HYPERLINK("http://www.worldcat.org/oclc/706651324","WorldCat Record")</f>
        <v>WorldCat Record</v>
      </c>
      <c r="AX4341" s="3" t="s">
        <v>42294</v>
      </c>
      <c r="AY4341" s="3" t="s">
        <v>42295</v>
      </c>
      <c r="AZ4341" s="3" t="s">
        <v>42296</v>
      </c>
      <c r="BA4341" s="3" t="s">
        <v>42296</v>
      </c>
      <c r="BB4341" s="3" t="s">
        <v>42297</v>
      </c>
      <c r="BC4341" s="3" t="s">
        <v>77</v>
      </c>
      <c r="BD4341" s="3" t="s">
        <v>78</v>
      </c>
      <c r="BE4341" s="3" t="s">
        <v>42298</v>
      </c>
      <c r="BF4341" s="3" t="s">
        <v>42297</v>
      </c>
      <c r="BG4341" s="3" t="s">
        <v>42299</v>
      </c>
      <c r="BH4341">
        <f t="shared" si="130"/>
        <v>0</v>
      </c>
    </row>
    <row r="4342" spans="1:60" ht="116" x14ac:dyDescent="0.35">
      <c r="A4342" s="2" t="s">
        <v>59</v>
      </c>
      <c r="B4342" s="2" t="s">
        <v>1183</v>
      </c>
      <c r="C4342" s="2" t="s">
        <v>42300</v>
      </c>
      <c r="D4342" s="2" t="s">
        <v>42301</v>
      </c>
      <c r="E4342" s="2" t="s">
        <v>42302</v>
      </c>
      <c r="F4342" s="3" t="s">
        <v>38338</v>
      </c>
      <c r="G4342" s="3" t="s">
        <v>64</v>
      </c>
      <c r="I4342" s="3" t="s">
        <v>64</v>
      </c>
      <c r="J4342" s="3" t="s">
        <v>64</v>
      </c>
      <c r="K4342" s="3" t="s">
        <v>65</v>
      </c>
      <c r="L4342" s="2" t="s">
        <v>42303</v>
      </c>
      <c r="M4342" s="2" t="s">
        <v>42304</v>
      </c>
      <c r="N4342" s="3" t="s">
        <v>291</v>
      </c>
      <c r="O4342" s="2" t="s">
        <v>35883</v>
      </c>
      <c r="P4342" s="3" t="s">
        <v>1190</v>
      </c>
      <c r="Q4342" s="2" t="s">
        <v>42305</v>
      </c>
      <c r="R4342" s="3" t="s">
        <v>70</v>
      </c>
      <c r="S4342" s="4">
        <v>1</v>
      </c>
      <c r="T4342" s="4">
        <v>1</v>
      </c>
      <c r="U4342" s="5" t="s">
        <v>1727</v>
      </c>
      <c r="V4342" s="5" t="s">
        <v>1727</v>
      </c>
      <c r="W4342" s="5" t="s">
        <v>72</v>
      </c>
      <c r="X4342" s="5" t="s">
        <v>72</v>
      </c>
      <c r="Y4342" s="4">
        <v>20</v>
      </c>
      <c r="Z4342" s="4">
        <v>3</v>
      </c>
      <c r="AA4342" s="4">
        <v>3</v>
      </c>
      <c r="AB4342" s="4">
        <v>1</v>
      </c>
      <c r="AC4342" s="4">
        <v>1</v>
      </c>
      <c r="AD4342" s="4">
        <v>11</v>
      </c>
      <c r="AE4342" s="4">
        <v>11</v>
      </c>
      <c r="AF4342" s="4">
        <v>0</v>
      </c>
      <c r="AG4342" s="4">
        <v>0</v>
      </c>
      <c r="AH4342" s="4">
        <v>10</v>
      </c>
      <c r="AI4342" s="4">
        <v>10</v>
      </c>
      <c r="AJ4342" s="4">
        <v>1</v>
      </c>
      <c r="AK4342" s="4">
        <v>1</v>
      </c>
      <c r="AL4342" s="4">
        <v>11</v>
      </c>
      <c r="AM4342" s="4">
        <v>11</v>
      </c>
      <c r="AN4342" s="4">
        <v>0</v>
      </c>
      <c r="AO4342" s="4">
        <v>0</v>
      </c>
      <c r="AP4342" s="4">
        <v>1</v>
      </c>
      <c r="AQ4342" s="4">
        <v>1</v>
      </c>
      <c r="AR4342" s="3" t="s">
        <v>64</v>
      </c>
      <c r="AS4342" s="3" t="s">
        <v>64</v>
      </c>
      <c r="AT4342" s="3" t="s">
        <v>64</v>
      </c>
      <c r="AV4342" s="6" t="str">
        <f>HYPERLINK("http://mcgill.on.worldcat.org/oclc/166413440","Catalog Record")</f>
        <v>Catalog Record</v>
      </c>
      <c r="AW4342" s="6" t="str">
        <f>HYPERLINK("http://www.worldcat.org/oclc/166413440","WorldCat Record")</f>
        <v>WorldCat Record</v>
      </c>
      <c r="AX4342" s="3" t="s">
        <v>42306</v>
      </c>
      <c r="AY4342" s="3" t="s">
        <v>42307</v>
      </c>
      <c r="AZ4342" s="3" t="s">
        <v>42308</v>
      </c>
      <c r="BA4342" s="3" t="s">
        <v>42308</v>
      </c>
      <c r="BB4342" s="3" t="s">
        <v>42309</v>
      </c>
      <c r="BC4342" s="3" t="s">
        <v>77</v>
      </c>
      <c r="BD4342" s="3" t="s">
        <v>78</v>
      </c>
      <c r="BE4342" s="3" t="s">
        <v>42310</v>
      </c>
      <c r="BF4342" s="3" t="s">
        <v>42309</v>
      </c>
      <c r="BG4342" s="3" t="s">
        <v>42311</v>
      </c>
      <c r="BH4342">
        <f t="shared" si="130"/>
        <v>0</v>
      </c>
    </row>
    <row r="4343" spans="1:60" ht="116" x14ac:dyDescent="0.35">
      <c r="A4343" s="2" t="s">
        <v>59</v>
      </c>
      <c r="B4343" s="2" t="s">
        <v>1183</v>
      </c>
      <c r="C4343" s="2" t="s">
        <v>42312</v>
      </c>
      <c r="D4343" s="2" t="s">
        <v>42313</v>
      </c>
      <c r="E4343" s="2" t="s">
        <v>42314</v>
      </c>
      <c r="F4343" s="3" t="s">
        <v>42315</v>
      </c>
      <c r="G4343" s="3" t="s">
        <v>64</v>
      </c>
      <c r="I4343" s="3" t="s">
        <v>64</v>
      </c>
      <c r="J4343" s="3" t="s">
        <v>64</v>
      </c>
      <c r="K4343" s="3" t="s">
        <v>65</v>
      </c>
      <c r="L4343" s="2" t="s">
        <v>42316</v>
      </c>
      <c r="M4343" s="2" t="s">
        <v>42317</v>
      </c>
      <c r="N4343" s="3" t="s">
        <v>144</v>
      </c>
      <c r="O4343" s="2" t="s">
        <v>35883</v>
      </c>
      <c r="P4343" s="3" t="s">
        <v>1190</v>
      </c>
      <c r="Q4343" s="2" t="s">
        <v>42318</v>
      </c>
      <c r="R4343" s="3" t="s">
        <v>70</v>
      </c>
      <c r="S4343" s="4">
        <v>1</v>
      </c>
      <c r="T4343" s="4">
        <v>1</v>
      </c>
      <c r="U4343" s="5" t="s">
        <v>1846</v>
      </c>
      <c r="V4343" s="5" t="s">
        <v>1846</v>
      </c>
      <c r="W4343" s="5" t="s">
        <v>72</v>
      </c>
      <c r="X4343" s="5" t="s">
        <v>72</v>
      </c>
      <c r="Y4343" s="4">
        <v>16</v>
      </c>
      <c r="Z4343" s="4">
        <v>3</v>
      </c>
      <c r="AA4343" s="4">
        <v>3</v>
      </c>
      <c r="AB4343" s="4">
        <v>1</v>
      </c>
      <c r="AC4343" s="4">
        <v>1</v>
      </c>
      <c r="AD4343" s="4">
        <v>10</v>
      </c>
      <c r="AE4343" s="4">
        <v>10</v>
      </c>
      <c r="AF4343" s="4">
        <v>0</v>
      </c>
      <c r="AG4343" s="4">
        <v>0</v>
      </c>
      <c r="AH4343" s="4">
        <v>9</v>
      </c>
      <c r="AI4343" s="4">
        <v>9</v>
      </c>
      <c r="AJ4343" s="4">
        <v>1</v>
      </c>
      <c r="AK4343" s="4">
        <v>1</v>
      </c>
      <c r="AL4343" s="4">
        <v>10</v>
      </c>
      <c r="AM4343" s="4">
        <v>10</v>
      </c>
      <c r="AN4343" s="4">
        <v>0</v>
      </c>
      <c r="AO4343" s="4">
        <v>0</v>
      </c>
      <c r="AP4343" s="4">
        <v>1</v>
      </c>
      <c r="AQ4343" s="4">
        <v>1</v>
      </c>
      <c r="AR4343" s="3" t="s">
        <v>64</v>
      </c>
      <c r="AS4343" s="3" t="s">
        <v>64</v>
      </c>
      <c r="AT4343" s="3" t="s">
        <v>128</v>
      </c>
      <c r="AU4343" s="6" t="str">
        <f>HYPERLINK("http://catalog.hathitrust.org/Record/006777776","HathiTrust Record")</f>
        <v>HathiTrust Record</v>
      </c>
      <c r="AV4343" s="6" t="str">
        <f>HYPERLINK("http://mcgill.on.worldcat.org/oclc/233032978","Catalog Record")</f>
        <v>Catalog Record</v>
      </c>
      <c r="AW4343" s="6" t="str">
        <f>HYPERLINK("http://www.worldcat.org/oclc/233032978","WorldCat Record")</f>
        <v>WorldCat Record</v>
      </c>
      <c r="AX4343" s="3" t="s">
        <v>42319</v>
      </c>
      <c r="AY4343" s="3" t="s">
        <v>42320</v>
      </c>
      <c r="AZ4343" s="3" t="s">
        <v>42321</v>
      </c>
      <c r="BA4343" s="3" t="s">
        <v>42321</v>
      </c>
      <c r="BB4343" s="3" t="s">
        <v>42322</v>
      </c>
      <c r="BC4343" s="3" t="s">
        <v>77</v>
      </c>
      <c r="BD4343" s="3" t="s">
        <v>78</v>
      </c>
      <c r="BE4343" s="3" t="s">
        <v>42323</v>
      </c>
      <c r="BF4343" s="3" t="s">
        <v>42322</v>
      </c>
      <c r="BG4343" s="3" t="s">
        <v>42324</v>
      </c>
      <c r="BH4343">
        <f t="shared" si="130"/>
        <v>0</v>
      </c>
    </row>
    <row r="4344" spans="1:60" ht="116" x14ac:dyDescent="0.35">
      <c r="A4344" s="2" t="s">
        <v>59</v>
      </c>
      <c r="B4344" s="2" t="s">
        <v>1183</v>
      </c>
      <c r="C4344" s="2" t="s">
        <v>42325</v>
      </c>
      <c r="D4344" s="2" t="s">
        <v>42326</v>
      </c>
      <c r="E4344" s="2" t="s">
        <v>42327</v>
      </c>
      <c r="G4344" s="3" t="s">
        <v>64</v>
      </c>
      <c r="I4344" s="3" t="s">
        <v>64</v>
      </c>
      <c r="J4344" s="3" t="s">
        <v>64</v>
      </c>
      <c r="K4344" s="3" t="s">
        <v>65</v>
      </c>
      <c r="L4344" s="2" t="s">
        <v>42328</v>
      </c>
      <c r="M4344" s="2" t="s">
        <v>42329</v>
      </c>
      <c r="N4344" s="3" t="s">
        <v>1763</v>
      </c>
      <c r="O4344" s="2" t="s">
        <v>1189</v>
      </c>
      <c r="P4344" s="3" t="s">
        <v>1190</v>
      </c>
      <c r="Q4344" s="2" t="s">
        <v>42330</v>
      </c>
      <c r="R4344" s="3" t="s">
        <v>70</v>
      </c>
      <c r="S4344" s="4">
        <v>1</v>
      </c>
      <c r="T4344" s="4">
        <v>1</v>
      </c>
      <c r="U4344" s="5" t="s">
        <v>5146</v>
      </c>
      <c r="V4344" s="5" t="s">
        <v>5146</v>
      </c>
      <c r="W4344" s="5" t="s">
        <v>72</v>
      </c>
      <c r="X4344" s="5" t="s">
        <v>72</v>
      </c>
      <c r="Y4344" s="4">
        <v>14</v>
      </c>
      <c r="Z4344" s="4">
        <v>5</v>
      </c>
      <c r="AA4344" s="4">
        <v>6</v>
      </c>
      <c r="AB4344" s="4">
        <v>2</v>
      </c>
      <c r="AC4344" s="4">
        <v>2</v>
      </c>
      <c r="AD4344" s="4">
        <v>4</v>
      </c>
      <c r="AE4344" s="4">
        <v>17</v>
      </c>
      <c r="AF4344" s="4">
        <v>0</v>
      </c>
      <c r="AG4344" s="4">
        <v>0</v>
      </c>
      <c r="AH4344" s="4">
        <v>4</v>
      </c>
      <c r="AI4344" s="4">
        <v>16</v>
      </c>
      <c r="AJ4344" s="4">
        <v>2</v>
      </c>
      <c r="AK4344" s="4">
        <v>2</v>
      </c>
      <c r="AL4344" s="4">
        <v>3</v>
      </c>
      <c r="AM4344" s="4">
        <v>13</v>
      </c>
      <c r="AN4344" s="4">
        <v>0</v>
      </c>
      <c r="AO4344" s="4">
        <v>0</v>
      </c>
      <c r="AP4344" s="4">
        <v>2</v>
      </c>
      <c r="AQ4344" s="4">
        <v>2</v>
      </c>
      <c r="AR4344" s="3" t="s">
        <v>64</v>
      </c>
      <c r="AS4344" s="3" t="s">
        <v>64</v>
      </c>
      <c r="AT4344" s="3" t="s">
        <v>128</v>
      </c>
      <c r="AU4344" s="6" t="str">
        <f>HYPERLINK("http://catalog.hathitrust.org/Record/002578961","HathiTrust Record")</f>
        <v>HathiTrust Record</v>
      </c>
      <c r="AV4344" s="6" t="str">
        <f>HYPERLINK("http://mcgill.on.worldcat.org/oclc/222440884","Catalog Record")</f>
        <v>Catalog Record</v>
      </c>
      <c r="AW4344" s="6" t="str">
        <f>HYPERLINK("http://www.worldcat.org/oclc/222440884","WorldCat Record")</f>
        <v>WorldCat Record</v>
      </c>
      <c r="AX4344" s="3" t="s">
        <v>42331</v>
      </c>
      <c r="AY4344" s="3" t="s">
        <v>42332</v>
      </c>
      <c r="AZ4344" s="3" t="s">
        <v>42333</v>
      </c>
      <c r="BA4344" s="3" t="s">
        <v>42333</v>
      </c>
      <c r="BB4344" s="3" t="s">
        <v>42334</v>
      </c>
      <c r="BC4344" s="3" t="s">
        <v>77</v>
      </c>
      <c r="BD4344" s="3" t="s">
        <v>78</v>
      </c>
      <c r="BF4344" s="3" t="s">
        <v>42334</v>
      </c>
      <c r="BG4344" s="3" t="s">
        <v>42335</v>
      </c>
      <c r="BH4344">
        <f t="shared" si="130"/>
        <v>0</v>
      </c>
    </row>
    <row r="4345" spans="1:60" ht="58" x14ac:dyDescent="0.35">
      <c r="A4345" s="2" t="s">
        <v>6202</v>
      </c>
      <c r="B4345" s="2" t="s">
        <v>6203</v>
      </c>
      <c r="C4345" s="2" t="s">
        <v>42336</v>
      </c>
      <c r="D4345" s="2" t="s">
        <v>42337</v>
      </c>
      <c r="E4345" s="2" t="s">
        <v>42338</v>
      </c>
      <c r="G4345" s="3" t="s">
        <v>64</v>
      </c>
      <c r="I4345" s="3" t="s">
        <v>64</v>
      </c>
      <c r="J4345" s="3" t="s">
        <v>128</v>
      </c>
      <c r="K4345" s="3" t="s">
        <v>65</v>
      </c>
      <c r="L4345" s="2" t="s">
        <v>42339</v>
      </c>
      <c r="M4345" s="2" t="s">
        <v>42340</v>
      </c>
      <c r="N4345" s="3" t="s">
        <v>159</v>
      </c>
      <c r="O4345" s="2" t="s">
        <v>172</v>
      </c>
      <c r="P4345" s="3" t="s">
        <v>102</v>
      </c>
      <c r="Q4345" s="2" t="s">
        <v>42341</v>
      </c>
      <c r="R4345" s="3" t="s">
        <v>70</v>
      </c>
      <c r="S4345" s="4">
        <v>1</v>
      </c>
      <c r="T4345" s="4">
        <v>1</v>
      </c>
      <c r="U4345" s="5" t="s">
        <v>28828</v>
      </c>
      <c r="V4345" s="5" t="s">
        <v>28828</v>
      </c>
      <c r="W4345" s="5" t="s">
        <v>72</v>
      </c>
      <c r="X4345" s="5" t="s">
        <v>72</v>
      </c>
      <c r="Y4345" s="4">
        <v>131</v>
      </c>
      <c r="Z4345" s="4">
        <v>11</v>
      </c>
      <c r="AA4345" s="4">
        <v>20</v>
      </c>
      <c r="AB4345" s="4">
        <v>2</v>
      </c>
      <c r="AC4345" s="4">
        <v>3</v>
      </c>
      <c r="AD4345" s="4">
        <v>53</v>
      </c>
      <c r="AE4345" s="4">
        <v>106</v>
      </c>
      <c r="AF4345" s="4">
        <v>0</v>
      </c>
      <c r="AG4345" s="4">
        <v>1</v>
      </c>
      <c r="AH4345" s="4">
        <v>48</v>
      </c>
      <c r="AI4345" s="4">
        <v>94</v>
      </c>
      <c r="AJ4345" s="4">
        <v>5</v>
      </c>
      <c r="AK4345" s="4">
        <v>11</v>
      </c>
      <c r="AL4345" s="4">
        <v>36</v>
      </c>
      <c r="AM4345" s="4">
        <v>58</v>
      </c>
      <c r="AN4345" s="4">
        <v>5</v>
      </c>
      <c r="AO4345" s="4">
        <v>5</v>
      </c>
      <c r="AP4345" s="4">
        <v>5</v>
      </c>
      <c r="AQ4345" s="4">
        <v>12</v>
      </c>
      <c r="AR4345" s="3" t="s">
        <v>64</v>
      </c>
      <c r="AS4345" s="3" t="s">
        <v>64</v>
      </c>
      <c r="AT4345" s="3" t="s">
        <v>128</v>
      </c>
      <c r="AU4345" s="6" t="str">
        <f>HYPERLINK("http://catalog.hathitrust.org/Record/102022682","HathiTrust Record")</f>
        <v>HathiTrust Record</v>
      </c>
      <c r="AV4345" s="6" t="str">
        <f>HYPERLINK("http://mcgill.on.worldcat.org/oclc/48857753","Catalog Record")</f>
        <v>Catalog Record</v>
      </c>
      <c r="AW4345" s="6" t="str">
        <f>HYPERLINK("http://www.worldcat.org/oclc/48857753","WorldCat Record")</f>
        <v>WorldCat Record</v>
      </c>
      <c r="AX4345" s="3" t="s">
        <v>42342</v>
      </c>
      <c r="AY4345" s="3" t="s">
        <v>42343</v>
      </c>
      <c r="AZ4345" s="3" t="s">
        <v>42344</v>
      </c>
      <c r="BA4345" s="3" t="s">
        <v>42344</v>
      </c>
      <c r="BB4345" s="3" t="s">
        <v>42345</v>
      </c>
      <c r="BC4345" s="3" t="s">
        <v>77</v>
      </c>
      <c r="BD4345" s="3" t="s">
        <v>40037</v>
      </c>
      <c r="BE4345" s="3" t="s">
        <v>42346</v>
      </c>
      <c r="BF4345" s="3" t="s">
        <v>42345</v>
      </c>
      <c r="BG4345" s="3" t="s">
        <v>42347</v>
      </c>
      <c r="BH4345">
        <f t="shared" si="130"/>
        <v>0</v>
      </c>
    </row>
    <row r="4346" spans="1:60" ht="58" x14ac:dyDescent="0.35">
      <c r="A4346" s="2" t="s">
        <v>59</v>
      </c>
      <c r="B4346" s="2" t="s">
        <v>7607</v>
      </c>
      <c r="C4346" s="2" t="s">
        <v>42348</v>
      </c>
      <c r="D4346" s="2" t="s">
        <v>42349</v>
      </c>
      <c r="E4346" s="2" t="s">
        <v>42350</v>
      </c>
      <c r="G4346" s="3" t="s">
        <v>64</v>
      </c>
      <c r="I4346" s="3" t="s">
        <v>128</v>
      </c>
      <c r="J4346" s="3" t="s">
        <v>64</v>
      </c>
      <c r="K4346" s="3" t="s">
        <v>65</v>
      </c>
      <c r="M4346" s="2" t="s">
        <v>42351</v>
      </c>
      <c r="N4346" s="3" t="s">
        <v>1075</v>
      </c>
      <c r="P4346" s="3" t="s">
        <v>102</v>
      </c>
      <c r="Q4346" s="2" t="s">
        <v>42352</v>
      </c>
      <c r="R4346" s="3" t="s">
        <v>70</v>
      </c>
      <c r="S4346" s="4">
        <v>0</v>
      </c>
      <c r="T4346" s="4">
        <v>0</v>
      </c>
      <c r="W4346" s="5" t="s">
        <v>72</v>
      </c>
      <c r="X4346" s="5" t="s">
        <v>72</v>
      </c>
      <c r="Y4346" s="4">
        <v>15</v>
      </c>
      <c r="Z4346" s="4">
        <v>1</v>
      </c>
      <c r="AA4346" s="4">
        <v>6</v>
      </c>
      <c r="AB4346" s="4">
        <v>1</v>
      </c>
      <c r="AC4346" s="4">
        <v>4</v>
      </c>
      <c r="AD4346" s="4">
        <v>6</v>
      </c>
      <c r="AE4346" s="4">
        <v>21</v>
      </c>
      <c r="AF4346" s="4">
        <v>0</v>
      </c>
      <c r="AG4346" s="4">
        <v>1</v>
      </c>
      <c r="AH4346" s="4">
        <v>6</v>
      </c>
      <c r="AI4346" s="4">
        <v>18</v>
      </c>
      <c r="AJ4346" s="4">
        <v>0</v>
      </c>
      <c r="AK4346" s="4">
        <v>1</v>
      </c>
      <c r="AL4346" s="4">
        <v>5</v>
      </c>
      <c r="AM4346" s="4">
        <v>12</v>
      </c>
      <c r="AN4346" s="4">
        <v>0</v>
      </c>
      <c r="AO4346" s="4">
        <v>0</v>
      </c>
      <c r="AP4346" s="4">
        <v>0</v>
      </c>
      <c r="AQ4346" s="4">
        <v>2</v>
      </c>
      <c r="AR4346" s="3" t="s">
        <v>64</v>
      </c>
      <c r="AS4346" s="3" t="s">
        <v>64</v>
      </c>
      <c r="AT4346" s="3" t="s">
        <v>64</v>
      </c>
      <c r="AV4346" s="6" t="str">
        <f>HYPERLINK("http://mcgill.on.worldcat.org/oclc/830293510","Catalog Record")</f>
        <v>Catalog Record</v>
      </c>
      <c r="AW4346" s="6" t="str">
        <f>HYPERLINK("http://www.worldcat.org/oclc/830293510","WorldCat Record")</f>
        <v>WorldCat Record</v>
      </c>
      <c r="AX4346" s="3" t="s">
        <v>42353</v>
      </c>
      <c r="AY4346" s="3" t="s">
        <v>42354</v>
      </c>
      <c r="AZ4346" s="3" t="s">
        <v>42355</v>
      </c>
      <c r="BA4346" s="3" t="s">
        <v>42355</v>
      </c>
      <c r="BB4346" s="3" t="s">
        <v>42356</v>
      </c>
      <c r="BC4346" s="3" t="s">
        <v>77</v>
      </c>
      <c r="BD4346" s="3" t="s">
        <v>78</v>
      </c>
      <c r="BE4346" s="3" t="s">
        <v>42357</v>
      </c>
      <c r="BF4346" s="3" t="s">
        <v>42356</v>
      </c>
      <c r="BG4346" s="3" t="s">
        <v>42358</v>
      </c>
      <c r="BH4346">
        <f t="shared" si="130"/>
        <v>0</v>
      </c>
    </row>
    <row r="4347" spans="1:60" ht="58" x14ac:dyDescent="0.35">
      <c r="A4347" s="2" t="s">
        <v>59</v>
      </c>
      <c r="B4347" s="2" t="s">
        <v>7607</v>
      </c>
      <c r="C4347" s="2" t="s">
        <v>42348</v>
      </c>
      <c r="D4347" s="2" t="s">
        <v>42349</v>
      </c>
      <c r="E4347" s="2" t="s">
        <v>42350</v>
      </c>
      <c r="G4347" s="3" t="s">
        <v>64</v>
      </c>
      <c r="I4347" s="3" t="s">
        <v>128</v>
      </c>
      <c r="J4347" s="3" t="s">
        <v>64</v>
      </c>
      <c r="K4347" s="3" t="s">
        <v>65</v>
      </c>
      <c r="M4347" s="2" t="s">
        <v>42351</v>
      </c>
      <c r="N4347" s="3" t="s">
        <v>1075</v>
      </c>
      <c r="P4347" s="3" t="s">
        <v>102</v>
      </c>
      <c r="Q4347" s="2" t="s">
        <v>42352</v>
      </c>
      <c r="R4347" s="3" t="s">
        <v>70</v>
      </c>
      <c r="S4347" s="4">
        <v>0</v>
      </c>
      <c r="T4347" s="4">
        <v>0</v>
      </c>
      <c r="W4347" s="5" t="s">
        <v>72</v>
      </c>
      <c r="X4347" s="5" t="s">
        <v>72</v>
      </c>
      <c r="Y4347" s="4">
        <v>15</v>
      </c>
      <c r="Z4347" s="4">
        <v>1</v>
      </c>
      <c r="AA4347" s="4">
        <v>6</v>
      </c>
      <c r="AB4347" s="4">
        <v>1</v>
      </c>
      <c r="AC4347" s="4">
        <v>4</v>
      </c>
      <c r="AD4347" s="4">
        <v>6</v>
      </c>
      <c r="AE4347" s="4">
        <v>21</v>
      </c>
      <c r="AF4347" s="4">
        <v>0</v>
      </c>
      <c r="AG4347" s="4">
        <v>1</v>
      </c>
      <c r="AH4347" s="4">
        <v>6</v>
      </c>
      <c r="AI4347" s="4">
        <v>18</v>
      </c>
      <c r="AJ4347" s="4">
        <v>0</v>
      </c>
      <c r="AK4347" s="4">
        <v>1</v>
      </c>
      <c r="AL4347" s="4">
        <v>5</v>
      </c>
      <c r="AM4347" s="4">
        <v>12</v>
      </c>
      <c r="AN4347" s="4">
        <v>0</v>
      </c>
      <c r="AO4347" s="4">
        <v>0</v>
      </c>
      <c r="AP4347" s="4">
        <v>0</v>
      </c>
      <c r="AQ4347" s="4">
        <v>2</v>
      </c>
      <c r="AR4347" s="3" t="s">
        <v>64</v>
      </c>
      <c r="AS4347" s="3" t="s">
        <v>64</v>
      </c>
      <c r="AT4347" s="3" t="s">
        <v>64</v>
      </c>
      <c r="AV4347" s="6" t="str">
        <f>HYPERLINK("http://mcgill.on.worldcat.org/oclc/830293510","Catalog Record")</f>
        <v>Catalog Record</v>
      </c>
      <c r="AW4347" s="6" t="str">
        <f>HYPERLINK("http://www.worldcat.org/oclc/830293510","WorldCat Record")</f>
        <v>WorldCat Record</v>
      </c>
      <c r="AX4347" s="3" t="s">
        <v>42353</v>
      </c>
      <c r="AY4347" s="3" t="s">
        <v>42354</v>
      </c>
      <c r="AZ4347" s="3" t="s">
        <v>42355</v>
      </c>
      <c r="BA4347" s="3" t="s">
        <v>42355</v>
      </c>
      <c r="BB4347" s="3" t="s">
        <v>42359</v>
      </c>
      <c r="BC4347" s="3" t="s">
        <v>77</v>
      </c>
      <c r="BD4347" s="3" t="s">
        <v>78</v>
      </c>
      <c r="BE4347" s="3" t="s">
        <v>42357</v>
      </c>
      <c r="BF4347" s="3" t="s">
        <v>42359</v>
      </c>
      <c r="BG4347" s="3" t="s">
        <v>42360</v>
      </c>
      <c r="BH4347">
        <f t="shared" si="130"/>
        <v>0</v>
      </c>
    </row>
    <row r="4348" spans="1:60" ht="58" x14ac:dyDescent="0.35">
      <c r="A4348" s="2" t="s">
        <v>6202</v>
      </c>
      <c r="B4348" s="2" t="s">
        <v>6203</v>
      </c>
      <c r="C4348" s="2" t="s">
        <v>42361</v>
      </c>
      <c r="D4348" s="2" t="s">
        <v>42362</v>
      </c>
      <c r="E4348" s="2" t="s">
        <v>42363</v>
      </c>
      <c r="G4348" s="3" t="s">
        <v>64</v>
      </c>
      <c r="I4348" s="3" t="s">
        <v>64</v>
      </c>
      <c r="J4348" s="3" t="s">
        <v>64</v>
      </c>
      <c r="K4348" s="3" t="s">
        <v>65</v>
      </c>
      <c r="L4348" s="2" t="s">
        <v>42364</v>
      </c>
      <c r="M4348" s="2" t="s">
        <v>42365</v>
      </c>
      <c r="N4348" s="3" t="s">
        <v>291</v>
      </c>
      <c r="P4348" s="3" t="s">
        <v>365</v>
      </c>
      <c r="Q4348" s="2" t="s">
        <v>42366</v>
      </c>
      <c r="R4348" s="3" t="s">
        <v>70</v>
      </c>
      <c r="S4348" s="4">
        <v>1</v>
      </c>
      <c r="T4348" s="4">
        <v>1</v>
      </c>
      <c r="U4348" s="5" t="s">
        <v>22671</v>
      </c>
      <c r="V4348" s="5" t="s">
        <v>22671</v>
      </c>
      <c r="W4348" s="5" t="s">
        <v>72</v>
      </c>
      <c r="X4348" s="5" t="s">
        <v>72</v>
      </c>
      <c r="Y4348" s="4">
        <v>19</v>
      </c>
      <c r="Z4348" s="4">
        <v>4</v>
      </c>
      <c r="AA4348" s="4">
        <v>4</v>
      </c>
      <c r="AB4348" s="4">
        <v>1</v>
      </c>
      <c r="AC4348" s="4">
        <v>1</v>
      </c>
      <c r="AD4348" s="4">
        <v>9</v>
      </c>
      <c r="AE4348" s="4">
        <v>9</v>
      </c>
      <c r="AF4348" s="4">
        <v>0</v>
      </c>
      <c r="AG4348" s="4">
        <v>0</v>
      </c>
      <c r="AH4348" s="4">
        <v>8</v>
      </c>
      <c r="AI4348" s="4">
        <v>8</v>
      </c>
      <c r="AJ4348" s="4">
        <v>2</v>
      </c>
      <c r="AK4348" s="4">
        <v>2</v>
      </c>
      <c r="AL4348" s="4">
        <v>7</v>
      </c>
      <c r="AM4348" s="4">
        <v>7</v>
      </c>
      <c r="AN4348" s="4">
        <v>0</v>
      </c>
      <c r="AO4348" s="4">
        <v>0</v>
      </c>
      <c r="AP4348" s="4">
        <v>2</v>
      </c>
      <c r="AQ4348" s="4">
        <v>2</v>
      </c>
      <c r="AR4348" s="3" t="s">
        <v>64</v>
      </c>
      <c r="AS4348" s="3" t="s">
        <v>64</v>
      </c>
      <c r="AT4348" s="3" t="s">
        <v>64</v>
      </c>
      <c r="AV4348" s="6" t="str">
        <f>HYPERLINK("http://mcgill.on.worldcat.org/oclc/228602173","Catalog Record")</f>
        <v>Catalog Record</v>
      </c>
      <c r="AW4348" s="6" t="str">
        <f>HYPERLINK("http://www.worldcat.org/oclc/228602173","WorldCat Record")</f>
        <v>WorldCat Record</v>
      </c>
      <c r="AX4348" s="3" t="s">
        <v>42367</v>
      </c>
      <c r="AY4348" s="3" t="s">
        <v>42368</v>
      </c>
      <c r="AZ4348" s="3" t="s">
        <v>42369</v>
      </c>
      <c r="BA4348" s="3" t="s">
        <v>42369</v>
      </c>
      <c r="BB4348" s="3" t="s">
        <v>42370</v>
      </c>
      <c r="BC4348" s="3" t="s">
        <v>77</v>
      </c>
      <c r="BD4348" s="3" t="s">
        <v>78</v>
      </c>
      <c r="BE4348" s="3" t="s">
        <v>42371</v>
      </c>
      <c r="BF4348" s="3" t="s">
        <v>42370</v>
      </c>
      <c r="BG4348" s="3" t="s">
        <v>42372</v>
      </c>
      <c r="BH4348">
        <f t="shared" si="130"/>
        <v>0</v>
      </c>
    </row>
    <row r="4349" spans="1:60" ht="116" x14ac:dyDescent="0.35">
      <c r="A4349" s="2" t="s">
        <v>59</v>
      </c>
      <c r="B4349" s="2" t="s">
        <v>1183</v>
      </c>
      <c r="C4349" s="2" t="s">
        <v>42373</v>
      </c>
      <c r="D4349" s="2" t="s">
        <v>42374</v>
      </c>
      <c r="E4349" s="2" t="s">
        <v>42375</v>
      </c>
      <c r="G4349" s="3" t="s">
        <v>64</v>
      </c>
      <c r="I4349" s="3" t="s">
        <v>64</v>
      </c>
      <c r="J4349" s="3" t="s">
        <v>64</v>
      </c>
      <c r="K4349" s="3" t="s">
        <v>65</v>
      </c>
      <c r="L4349" s="2" t="s">
        <v>42376</v>
      </c>
      <c r="M4349" s="2" t="s">
        <v>42377</v>
      </c>
      <c r="N4349" s="3" t="s">
        <v>171</v>
      </c>
      <c r="P4349" s="3" t="s">
        <v>8739</v>
      </c>
      <c r="R4349" s="3" t="s">
        <v>70</v>
      </c>
      <c r="S4349" s="4">
        <v>1</v>
      </c>
      <c r="T4349" s="4">
        <v>1</v>
      </c>
      <c r="U4349" s="5" t="s">
        <v>19011</v>
      </c>
      <c r="V4349" s="5" t="s">
        <v>19011</v>
      </c>
      <c r="W4349" s="5" t="s">
        <v>72</v>
      </c>
      <c r="X4349" s="5" t="s">
        <v>72</v>
      </c>
      <c r="Y4349" s="4">
        <v>6</v>
      </c>
      <c r="Z4349" s="4">
        <v>1</v>
      </c>
      <c r="AA4349" s="4">
        <v>1</v>
      </c>
      <c r="AB4349" s="4">
        <v>1</v>
      </c>
      <c r="AC4349" s="4">
        <v>1</v>
      </c>
      <c r="AD4349" s="4">
        <v>1</v>
      </c>
      <c r="AE4349" s="4">
        <v>10</v>
      </c>
      <c r="AF4349" s="4">
        <v>0</v>
      </c>
      <c r="AG4349" s="4">
        <v>0</v>
      </c>
      <c r="AH4349" s="4">
        <v>1</v>
      </c>
      <c r="AI4349" s="4">
        <v>10</v>
      </c>
      <c r="AJ4349" s="4">
        <v>0</v>
      </c>
      <c r="AK4349" s="4">
        <v>0</v>
      </c>
      <c r="AL4349" s="4">
        <v>1</v>
      </c>
      <c r="AM4349" s="4">
        <v>10</v>
      </c>
      <c r="AN4349" s="4">
        <v>0</v>
      </c>
      <c r="AO4349" s="4">
        <v>0</v>
      </c>
      <c r="AP4349" s="4">
        <v>0</v>
      </c>
      <c r="AQ4349" s="4">
        <v>0</v>
      </c>
      <c r="AR4349" s="3" t="s">
        <v>64</v>
      </c>
      <c r="AS4349" s="3" t="s">
        <v>64</v>
      </c>
      <c r="AT4349" s="3" t="s">
        <v>64</v>
      </c>
      <c r="AV4349" s="6" t="str">
        <f>HYPERLINK("http://mcgill.on.worldcat.org/oclc/427782612","Catalog Record")</f>
        <v>Catalog Record</v>
      </c>
      <c r="AW4349" s="6" t="str">
        <f>HYPERLINK("http://www.worldcat.org/oclc/427782612","WorldCat Record")</f>
        <v>WorldCat Record</v>
      </c>
      <c r="AX4349" s="3" t="s">
        <v>42378</v>
      </c>
      <c r="AY4349" s="3" t="s">
        <v>42379</v>
      </c>
      <c r="AZ4349" s="3" t="s">
        <v>42380</v>
      </c>
      <c r="BA4349" s="3" t="s">
        <v>42380</v>
      </c>
      <c r="BB4349" s="3" t="s">
        <v>42381</v>
      </c>
      <c r="BC4349" s="3" t="s">
        <v>77</v>
      </c>
      <c r="BD4349" s="3" t="s">
        <v>78</v>
      </c>
      <c r="BE4349" s="3" t="s">
        <v>42382</v>
      </c>
      <c r="BF4349" s="3" t="s">
        <v>42381</v>
      </c>
      <c r="BG4349" s="3" t="s">
        <v>42383</v>
      </c>
      <c r="BH4349">
        <f t="shared" si="130"/>
        <v>0</v>
      </c>
    </row>
    <row r="4350" spans="1:60" ht="116" x14ac:dyDescent="0.35">
      <c r="A4350" s="2" t="s">
        <v>59</v>
      </c>
      <c r="B4350" s="2" t="s">
        <v>1183</v>
      </c>
      <c r="C4350" s="2" t="s">
        <v>42384</v>
      </c>
      <c r="D4350" s="2" t="s">
        <v>42385</v>
      </c>
      <c r="E4350" s="2" t="s">
        <v>42386</v>
      </c>
      <c r="G4350" s="3" t="s">
        <v>64</v>
      </c>
      <c r="I4350" s="3" t="s">
        <v>64</v>
      </c>
      <c r="J4350" s="3" t="s">
        <v>64</v>
      </c>
      <c r="K4350" s="3" t="s">
        <v>65</v>
      </c>
      <c r="L4350" s="2" t="s">
        <v>42387</v>
      </c>
      <c r="M4350" s="2" t="s">
        <v>42388</v>
      </c>
      <c r="N4350" s="3" t="s">
        <v>511</v>
      </c>
      <c r="O4350" s="2" t="s">
        <v>1189</v>
      </c>
      <c r="P4350" s="3" t="s">
        <v>1190</v>
      </c>
      <c r="Q4350" s="2" t="s">
        <v>42389</v>
      </c>
      <c r="R4350" s="3" t="s">
        <v>70</v>
      </c>
      <c r="S4350" s="4">
        <v>0</v>
      </c>
      <c r="T4350" s="4">
        <v>0</v>
      </c>
      <c r="W4350" s="5" t="s">
        <v>72</v>
      </c>
      <c r="X4350" s="5" t="s">
        <v>72</v>
      </c>
      <c r="Y4350" s="4">
        <v>74</v>
      </c>
      <c r="Z4350" s="4">
        <v>1</v>
      </c>
      <c r="AA4350" s="4">
        <v>1</v>
      </c>
      <c r="AB4350" s="4">
        <v>1</v>
      </c>
      <c r="AC4350" s="4">
        <v>1</v>
      </c>
      <c r="AD4350" s="4">
        <v>13</v>
      </c>
      <c r="AE4350" s="4">
        <v>13</v>
      </c>
      <c r="AF4350" s="4">
        <v>0</v>
      </c>
      <c r="AG4350" s="4">
        <v>0</v>
      </c>
      <c r="AH4350" s="4">
        <v>13</v>
      </c>
      <c r="AI4350" s="4">
        <v>13</v>
      </c>
      <c r="AJ4350" s="4">
        <v>0</v>
      </c>
      <c r="AK4350" s="4">
        <v>0</v>
      </c>
      <c r="AL4350" s="4">
        <v>10</v>
      </c>
      <c r="AM4350" s="4">
        <v>10</v>
      </c>
      <c r="AN4350" s="4">
        <v>0</v>
      </c>
      <c r="AO4350" s="4">
        <v>0</v>
      </c>
      <c r="AP4350" s="4">
        <v>0</v>
      </c>
      <c r="AQ4350" s="4">
        <v>0</v>
      </c>
      <c r="AR4350" s="3" t="s">
        <v>64</v>
      </c>
      <c r="AS4350" s="3" t="s">
        <v>64</v>
      </c>
      <c r="AT4350" s="3" t="s">
        <v>64</v>
      </c>
      <c r="AV4350" s="6" t="str">
        <f>HYPERLINK("http://mcgill.on.worldcat.org/oclc/541757690","Catalog Record")</f>
        <v>Catalog Record</v>
      </c>
      <c r="AW4350" s="6" t="str">
        <f>HYPERLINK("http://www.worldcat.org/oclc/541757690","WorldCat Record")</f>
        <v>WorldCat Record</v>
      </c>
      <c r="AX4350" s="3" t="s">
        <v>42390</v>
      </c>
      <c r="AY4350" s="3" t="s">
        <v>42391</v>
      </c>
      <c r="AZ4350" s="3" t="s">
        <v>42392</v>
      </c>
      <c r="BA4350" s="3" t="s">
        <v>42392</v>
      </c>
      <c r="BB4350" s="3" t="s">
        <v>42393</v>
      </c>
      <c r="BC4350" s="3" t="s">
        <v>77</v>
      </c>
      <c r="BD4350" s="3" t="s">
        <v>78</v>
      </c>
      <c r="BE4350" s="3" t="s">
        <v>42394</v>
      </c>
      <c r="BF4350" s="3" t="s">
        <v>42393</v>
      </c>
      <c r="BG4350" s="3" t="s">
        <v>42395</v>
      </c>
      <c r="BH4350">
        <f t="shared" si="130"/>
        <v>0</v>
      </c>
    </row>
    <row r="4351" spans="1:60" ht="58" x14ac:dyDescent="0.35">
      <c r="A4351" s="2" t="s">
        <v>59</v>
      </c>
      <c r="B4351" s="2" t="s">
        <v>60</v>
      </c>
      <c r="C4351" s="2" t="s">
        <v>42396</v>
      </c>
      <c r="D4351" s="2" t="s">
        <v>42397</v>
      </c>
      <c r="E4351" s="2" t="s">
        <v>42398</v>
      </c>
      <c r="G4351" s="3" t="s">
        <v>64</v>
      </c>
      <c r="I4351" s="3" t="s">
        <v>64</v>
      </c>
      <c r="J4351" s="3" t="s">
        <v>64</v>
      </c>
      <c r="K4351" s="3" t="s">
        <v>65</v>
      </c>
      <c r="L4351" s="2" t="s">
        <v>42399</v>
      </c>
      <c r="M4351" s="2" t="s">
        <v>16855</v>
      </c>
      <c r="N4351" s="3" t="s">
        <v>67</v>
      </c>
      <c r="P4351" s="3" t="s">
        <v>102</v>
      </c>
      <c r="R4351" s="3" t="s">
        <v>70</v>
      </c>
      <c r="S4351" s="4">
        <v>0</v>
      </c>
      <c r="T4351" s="4">
        <v>0</v>
      </c>
      <c r="W4351" s="5" t="s">
        <v>72</v>
      </c>
      <c r="X4351" s="5" t="s">
        <v>72</v>
      </c>
      <c r="Y4351" s="4">
        <v>241</v>
      </c>
      <c r="Z4351" s="4">
        <v>13</v>
      </c>
      <c r="AA4351" s="4">
        <v>104</v>
      </c>
      <c r="AB4351" s="4">
        <v>3</v>
      </c>
      <c r="AC4351" s="4">
        <v>15</v>
      </c>
      <c r="AD4351" s="4">
        <v>66</v>
      </c>
      <c r="AE4351" s="4">
        <v>130</v>
      </c>
      <c r="AF4351" s="4">
        <v>1</v>
      </c>
      <c r="AG4351" s="4">
        <v>8</v>
      </c>
      <c r="AH4351" s="4">
        <v>63</v>
      </c>
      <c r="AI4351" s="4">
        <v>91</v>
      </c>
      <c r="AJ4351" s="4">
        <v>6</v>
      </c>
      <c r="AK4351" s="4">
        <v>21</v>
      </c>
      <c r="AL4351" s="4">
        <v>35</v>
      </c>
      <c r="AM4351" s="4">
        <v>49</v>
      </c>
      <c r="AN4351" s="4">
        <v>0</v>
      </c>
      <c r="AO4351" s="4">
        <v>0</v>
      </c>
      <c r="AP4351" s="4">
        <v>6</v>
      </c>
      <c r="AQ4351" s="4">
        <v>43</v>
      </c>
      <c r="AR4351" s="3" t="s">
        <v>64</v>
      </c>
      <c r="AS4351" s="3" t="s">
        <v>64</v>
      </c>
      <c r="AT4351" s="3" t="s">
        <v>64</v>
      </c>
      <c r="AV4351" s="6" t="str">
        <f>HYPERLINK("http://mcgill.on.worldcat.org/oclc/861744872","Catalog Record")</f>
        <v>Catalog Record</v>
      </c>
      <c r="AW4351" s="6" t="str">
        <f>HYPERLINK("http://www.worldcat.org/oclc/861744872","WorldCat Record")</f>
        <v>WorldCat Record</v>
      </c>
      <c r="AX4351" s="3" t="s">
        <v>42400</v>
      </c>
      <c r="AY4351" s="3" t="s">
        <v>42401</v>
      </c>
      <c r="AZ4351" s="3" t="s">
        <v>42402</v>
      </c>
      <c r="BA4351" s="3" t="s">
        <v>42402</v>
      </c>
      <c r="BB4351" s="3" t="s">
        <v>42403</v>
      </c>
      <c r="BC4351" s="3" t="s">
        <v>77</v>
      </c>
      <c r="BD4351" s="3" t="s">
        <v>78</v>
      </c>
      <c r="BE4351" s="3" t="s">
        <v>42404</v>
      </c>
      <c r="BF4351" s="3" t="s">
        <v>42403</v>
      </c>
      <c r="BG4351" s="3" t="s">
        <v>42405</v>
      </c>
      <c r="BH4351">
        <f t="shared" si="130"/>
        <v>0</v>
      </c>
    </row>
    <row r="4352" spans="1:60" ht="58" x14ac:dyDescent="0.35">
      <c r="A4352" s="2" t="s">
        <v>6202</v>
      </c>
      <c r="B4352" s="2" t="s">
        <v>6203</v>
      </c>
      <c r="C4352" s="2" t="s">
        <v>42406</v>
      </c>
      <c r="D4352" s="2" t="s">
        <v>42407</v>
      </c>
      <c r="E4352" s="2" t="s">
        <v>42408</v>
      </c>
      <c r="G4352" s="3" t="s">
        <v>64</v>
      </c>
      <c r="I4352" s="3" t="s">
        <v>64</v>
      </c>
      <c r="J4352" s="3" t="s">
        <v>64</v>
      </c>
      <c r="K4352" s="3" t="s">
        <v>65</v>
      </c>
      <c r="L4352" s="2" t="s">
        <v>42409</v>
      </c>
      <c r="M4352" s="2" t="s">
        <v>42410</v>
      </c>
      <c r="N4352" s="3" t="s">
        <v>3428</v>
      </c>
      <c r="P4352" s="3" t="s">
        <v>102</v>
      </c>
      <c r="Q4352" s="2" t="s">
        <v>42411</v>
      </c>
      <c r="R4352" s="3" t="s">
        <v>70</v>
      </c>
      <c r="S4352" s="4">
        <v>2</v>
      </c>
      <c r="T4352" s="4">
        <v>2</v>
      </c>
      <c r="U4352" s="5" t="s">
        <v>42412</v>
      </c>
      <c r="V4352" s="5" t="s">
        <v>42412</v>
      </c>
      <c r="W4352" s="5" t="s">
        <v>72</v>
      </c>
      <c r="X4352" s="5" t="s">
        <v>72</v>
      </c>
      <c r="Y4352" s="4">
        <v>312</v>
      </c>
      <c r="Z4352" s="4">
        <v>14</v>
      </c>
      <c r="AA4352" s="4">
        <v>18</v>
      </c>
      <c r="AB4352" s="4">
        <v>2</v>
      </c>
      <c r="AC4352" s="4">
        <v>5</v>
      </c>
      <c r="AD4352" s="4">
        <v>88</v>
      </c>
      <c r="AE4352" s="4">
        <v>102</v>
      </c>
      <c r="AF4352" s="4">
        <v>1</v>
      </c>
      <c r="AG4352" s="4">
        <v>3</v>
      </c>
      <c r="AH4352" s="4">
        <v>81</v>
      </c>
      <c r="AI4352" s="4">
        <v>93</v>
      </c>
      <c r="AJ4352" s="4">
        <v>11</v>
      </c>
      <c r="AK4352" s="4">
        <v>13</v>
      </c>
      <c r="AL4352" s="4">
        <v>48</v>
      </c>
      <c r="AM4352" s="4">
        <v>56</v>
      </c>
      <c r="AN4352" s="4">
        <v>0</v>
      </c>
      <c r="AO4352" s="4">
        <v>5</v>
      </c>
      <c r="AP4352" s="4">
        <v>11</v>
      </c>
      <c r="AQ4352" s="4">
        <v>13</v>
      </c>
      <c r="AR4352" s="3" t="s">
        <v>64</v>
      </c>
      <c r="AS4352" s="3" t="s">
        <v>64</v>
      </c>
      <c r="AT4352" s="3" t="s">
        <v>128</v>
      </c>
      <c r="AU4352" s="6" t="str">
        <f>HYPERLINK("http://catalog.hathitrust.org/Record/002979205","HathiTrust Record")</f>
        <v>HathiTrust Record</v>
      </c>
      <c r="AV4352" s="6" t="str">
        <f>HYPERLINK("http://mcgill.on.worldcat.org/oclc/31970443","Catalog Record")</f>
        <v>Catalog Record</v>
      </c>
      <c r="AW4352" s="6" t="str">
        <f>HYPERLINK("http://www.worldcat.org/oclc/31970443","WorldCat Record")</f>
        <v>WorldCat Record</v>
      </c>
      <c r="AX4352" s="3" t="s">
        <v>42413</v>
      </c>
      <c r="AY4352" s="3" t="s">
        <v>42414</v>
      </c>
      <c r="AZ4352" s="3" t="s">
        <v>42415</v>
      </c>
      <c r="BA4352" s="3" t="s">
        <v>42415</v>
      </c>
      <c r="BB4352" s="3" t="s">
        <v>42416</v>
      </c>
      <c r="BC4352" s="3" t="s">
        <v>77</v>
      </c>
      <c r="BD4352" s="3" t="s">
        <v>78</v>
      </c>
      <c r="BE4352" s="3" t="s">
        <v>42417</v>
      </c>
      <c r="BF4352" s="3" t="s">
        <v>42416</v>
      </c>
      <c r="BG4352" s="3" t="s">
        <v>42418</v>
      </c>
      <c r="BH4352">
        <f t="shared" si="130"/>
        <v>0</v>
      </c>
    </row>
    <row r="4353" spans="1:60" ht="58" x14ac:dyDescent="0.35">
      <c r="A4353" s="2" t="s">
        <v>6202</v>
      </c>
      <c r="B4353" s="2" t="s">
        <v>6203</v>
      </c>
      <c r="C4353" s="2" t="s">
        <v>42419</v>
      </c>
      <c r="D4353" s="2" t="s">
        <v>42420</v>
      </c>
      <c r="E4353" s="2" t="s">
        <v>42421</v>
      </c>
      <c r="G4353" s="3" t="s">
        <v>64</v>
      </c>
      <c r="I4353" s="3" t="s">
        <v>64</v>
      </c>
      <c r="J4353" s="3" t="s">
        <v>64</v>
      </c>
      <c r="K4353" s="3" t="s">
        <v>65</v>
      </c>
      <c r="L4353" s="2" t="s">
        <v>42422</v>
      </c>
      <c r="M4353" s="2" t="s">
        <v>42016</v>
      </c>
      <c r="N4353" s="3" t="s">
        <v>979</v>
      </c>
      <c r="P4353" s="3" t="s">
        <v>102</v>
      </c>
      <c r="Q4353" s="2" t="s">
        <v>42423</v>
      </c>
      <c r="R4353" s="3" t="s">
        <v>70</v>
      </c>
      <c r="S4353" s="4">
        <v>1</v>
      </c>
      <c r="T4353" s="4">
        <v>1</v>
      </c>
      <c r="U4353" s="5" t="s">
        <v>2399</v>
      </c>
      <c r="V4353" s="5" t="s">
        <v>2399</v>
      </c>
      <c r="W4353" s="5" t="s">
        <v>72</v>
      </c>
      <c r="X4353" s="5" t="s">
        <v>72</v>
      </c>
      <c r="Y4353" s="4">
        <v>195</v>
      </c>
      <c r="Z4353" s="4">
        <v>10</v>
      </c>
      <c r="AA4353" s="4">
        <v>11</v>
      </c>
      <c r="AB4353" s="4">
        <v>1</v>
      </c>
      <c r="AC4353" s="4">
        <v>2</v>
      </c>
      <c r="AD4353" s="4">
        <v>72</v>
      </c>
      <c r="AE4353" s="4">
        <v>73</v>
      </c>
      <c r="AF4353" s="4">
        <v>0</v>
      </c>
      <c r="AG4353" s="4">
        <v>1</v>
      </c>
      <c r="AH4353" s="4">
        <v>64</v>
      </c>
      <c r="AI4353" s="4">
        <v>65</v>
      </c>
      <c r="AJ4353" s="4">
        <v>6</v>
      </c>
      <c r="AK4353" s="4">
        <v>7</v>
      </c>
      <c r="AL4353" s="4">
        <v>46</v>
      </c>
      <c r="AM4353" s="4">
        <v>46</v>
      </c>
      <c r="AN4353" s="4">
        <v>0</v>
      </c>
      <c r="AO4353" s="4">
        <v>0</v>
      </c>
      <c r="AP4353" s="4">
        <v>6</v>
      </c>
      <c r="AQ4353" s="4">
        <v>7</v>
      </c>
      <c r="AR4353" s="3" t="s">
        <v>64</v>
      </c>
      <c r="AS4353" s="3" t="s">
        <v>64</v>
      </c>
      <c r="AT4353" s="3" t="s">
        <v>128</v>
      </c>
      <c r="AU4353" s="6" t="str">
        <f>HYPERLINK("http://catalog.hathitrust.org/Record/004124709","HathiTrust Record")</f>
        <v>HathiTrust Record</v>
      </c>
      <c r="AV4353" s="6" t="str">
        <f>HYPERLINK("http://mcgill.on.worldcat.org/oclc/44013913","Catalog Record")</f>
        <v>Catalog Record</v>
      </c>
      <c r="AW4353" s="6" t="str">
        <f>HYPERLINK("http://www.worldcat.org/oclc/44013913","WorldCat Record")</f>
        <v>WorldCat Record</v>
      </c>
      <c r="AX4353" s="3" t="s">
        <v>42424</v>
      </c>
      <c r="AY4353" s="3" t="s">
        <v>42425</v>
      </c>
      <c r="AZ4353" s="3" t="s">
        <v>42426</v>
      </c>
      <c r="BA4353" s="3" t="s">
        <v>42426</v>
      </c>
      <c r="BB4353" s="3" t="s">
        <v>42427</v>
      </c>
      <c r="BC4353" s="3" t="s">
        <v>77</v>
      </c>
      <c r="BD4353" s="3" t="s">
        <v>78</v>
      </c>
      <c r="BE4353" s="3" t="s">
        <v>42428</v>
      </c>
      <c r="BF4353" s="3" t="s">
        <v>42427</v>
      </c>
      <c r="BG4353" s="3" t="s">
        <v>42429</v>
      </c>
      <c r="BH4353">
        <f t="shared" si="130"/>
        <v>0</v>
      </c>
    </row>
    <row r="4354" spans="1:60" ht="58" x14ac:dyDescent="0.35">
      <c r="A4354" s="2" t="s">
        <v>6202</v>
      </c>
      <c r="B4354" s="2" t="s">
        <v>6203</v>
      </c>
      <c r="C4354" s="2" t="s">
        <v>42430</v>
      </c>
      <c r="D4354" s="2" t="s">
        <v>42431</v>
      </c>
      <c r="E4354" s="2" t="s">
        <v>42432</v>
      </c>
      <c r="G4354" s="3" t="s">
        <v>64</v>
      </c>
      <c r="I4354" s="3" t="s">
        <v>64</v>
      </c>
      <c r="J4354" s="3" t="s">
        <v>64</v>
      </c>
      <c r="K4354" s="3" t="s">
        <v>65</v>
      </c>
      <c r="L4354" s="2" t="s">
        <v>42433</v>
      </c>
      <c r="M4354" s="2" t="s">
        <v>42434</v>
      </c>
      <c r="N4354" s="3" t="s">
        <v>1047</v>
      </c>
      <c r="P4354" s="3" t="s">
        <v>102</v>
      </c>
      <c r="R4354" s="3" t="s">
        <v>70</v>
      </c>
      <c r="S4354" s="4">
        <v>1</v>
      </c>
      <c r="T4354" s="4">
        <v>1</v>
      </c>
      <c r="U4354" s="5" t="s">
        <v>42435</v>
      </c>
      <c r="V4354" s="5" t="s">
        <v>42435</v>
      </c>
      <c r="W4354" s="5" t="s">
        <v>72</v>
      </c>
      <c r="X4354" s="5" t="s">
        <v>72</v>
      </c>
      <c r="Y4354" s="4">
        <v>121</v>
      </c>
      <c r="Z4354" s="4">
        <v>12</v>
      </c>
      <c r="AA4354" s="4">
        <v>13</v>
      </c>
      <c r="AB4354" s="4">
        <v>1</v>
      </c>
      <c r="AC4354" s="4">
        <v>1</v>
      </c>
      <c r="AD4354" s="4">
        <v>64</v>
      </c>
      <c r="AE4354" s="4">
        <v>64</v>
      </c>
      <c r="AF4354" s="4">
        <v>0</v>
      </c>
      <c r="AG4354" s="4">
        <v>0</v>
      </c>
      <c r="AH4354" s="4">
        <v>60</v>
      </c>
      <c r="AI4354" s="4">
        <v>60</v>
      </c>
      <c r="AJ4354" s="4">
        <v>9</v>
      </c>
      <c r="AK4354" s="4">
        <v>9</v>
      </c>
      <c r="AL4354" s="4">
        <v>38</v>
      </c>
      <c r="AM4354" s="4">
        <v>38</v>
      </c>
      <c r="AN4354" s="4">
        <v>0</v>
      </c>
      <c r="AO4354" s="4">
        <v>0</v>
      </c>
      <c r="AP4354" s="4">
        <v>9</v>
      </c>
      <c r="AQ4354" s="4">
        <v>9</v>
      </c>
      <c r="AR4354" s="3" t="s">
        <v>64</v>
      </c>
      <c r="AS4354" s="3" t="s">
        <v>64</v>
      </c>
      <c r="AT4354" s="3" t="s">
        <v>128</v>
      </c>
      <c r="AU4354" s="6" t="str">
        <f>HYPERLINK("http://catalog.hathitrust.org/Record/000195374","HathiTrust Record")</f>
        <v>HathiTrust Record</v>
      </c>
      <c r="AV4354" s="6" t="str">
        <f>HYPERLINK("http://mcgill.on.worldcat.org/oclc/9356784","Catalog Record")</f>
        <v>Catalog Record</v>
      </c>
      <c r="AW4354" s="6" t="str">
        <f>HYPERLINK("http://www.worldcat.org/oclc/9356784","WorldCat Record")</f>
        <v>WorldCat Record</v>
      </c>
      <c r="AX4354" s="3" t="s">
        <v>42436</v>
      </c>
      <c r="AY4354" s="3" t="s">
        <v>42437</v>
      </c>
      <c r="AZ4354" s="3" t="s">
        <v>42438</v>
      </c>
      <c r="BA4354" s="3" t="s">
        <v>42438</v>
      </c>
      <c r="BB4354" s="3" t="s">
        <v>42439</v>
      </c>
      <c r="BC4354" s="3" t="s">
        <v>77</v>
      </c>
      <c r="BD4354" s="3" t="s">
        <v>78</v>
      </c>
      <c r="BF4354" s="3" t="s">
        <v>42439</v>
      </c>
      <c r="BG4354" s="3" t="s">
        <v>42440</v>
      </c>
      <c r="BH4354">
        <f t="shared" ref="BH4354:BH4417" si="135">IF(COUNTIF($BF$1:$BF$5431,BF4354)=1,0,1)</f>
        <v>0</v>
      </c>
    </row>
    <row r="4355" spans="1:60" ht="116" x14ac:dyDescent="0.35">
      <c r="A4355" s="2" t="s">
        <v>59</v>
      </c>
      <c r="B4355" s="2" t="s">
        <v>1183</v>
      </c>
      <c r="C4355" s="2" t="s">
        <v>42441</v>
      </c>
      <c r="D4355" s="2" t="s">
        <v>42442</v>
      </c>
      <c r="E4355" s="2" t="s">
        <v>42443</v>
      </c>
      <c r="G4355" s="3" t="s">
        <v>64</v>
      </c>
      <c r="I4355" s="3" t="s">
        <v>64</v>
      </c>
      <c r="J4355" s="3" t="s">
        <v>64</v>
      </c>
      <c r="K4355" s="3" t="s">
        <v>65</v>
      </c>
      <c r="M4355" s="2" t="s">
        <v>38716</v>
      </c>
      <c r="N4355" s="3" t="s">
        <v>511</v>
      </c>
      <c r="O4355" s="2" t="s">
        <v>1189</v>
      </c>
      <c r="P4355" s="3" t="s">
        <v>1190</v>
      </c>
      <c r="Q4355" s="2" t="s">
        <v>38717</v>
      </c>
      <c r="R4355" s="3" t="s">
        <v>70</v>
      </c>
      <c r="S4355" s="4">
        <v>0</v>
      </c>
      <c r="T4355" s="4">
        <v>0</v>
      </c>
      <c r="W4355" s="5" t="s">
        <v>72</v>
      </c>
      <c r="X4355" s="5" t="s">
        <v>72</v>
      </c>
      <c r="Y4355" s="4">
        <v>14</v>
      </c>
      <c r="Z4355" s="4">
        <v>1</v>
      </c>
      <c r="AA4355" s="4">
        <v>1</v>
      </c>
      <c r="AB4355" s="4">
        <v>1</v>
      </c>
      <c r="AC4355" s="4">
        <v>1</v>
      </c>
      <c r="AD4355" s="4">
        <v>9</v>
      </c>
      <c r="AE4355" s="4">
        <v>9</v>
      </c>
      <c r="AF4355" s="4">
        <v>0</v>
      </c>
      <c r="AG4355" s="4">
        <v>0</v>
      </c>
      <c r="AH4355" s="4">
        <v>9</v>
      </c>
      <c r="AI4355" s="4">
        <v>9</v>
      </c>
      <c r="AJ4355" s="4">
        <v>0</v>
      </c>
      <c r="AK4355" s="4">
        <v>0</v>
      </c>
      <c r="AL4355" s="4">
        <v>8</v>
      </c>
      <c r="AM4355" s="4">
        <v>8</v>
      </c>
      <c r="AN4355" s="4">
        <v>0</v>
      </c>
      <c r="AO4355" s="4">
        <v>0</v>
      </c>
      <c r="AP4355" s="4">
        <v>0</v>
      </c>
      <c r="AQ4355" s="4">
        <v>0</v>
      </c>
      <c r="AR4355" s="3" t="s">
        <v>64</v>
      </c>
      <c r="AS4355" s="3" t="s">
        <v>64</v>
      </c>
      <c r="AT4355" s="3" t="s">
        <v>64</v>
      </c>
      <c r="AV4355" s="6" t="str">
        <f>HYPERLINK("http://mcgill.on.worldcat.org/oclc/671601953","Catalog Record")</f>
        <v>Catalog Record</v>
      </c>
      <c r="AW4355" s="6" t="str">
        <f>HYPERLINK("http://www.worldcat.org/oclc/671601953","WorldCat Record")</f>
        <v>WorldCat Record</v>
      </c>
      <c r="AX4355" s="3" t="s">
        <v>42444</v>
      </c>
      <c r="AY4355" s="3" t="s">
        <v>42445</v>
      </c>
      <c r="AZ4355" s="3" t="s">
        <v>42446</v>
      </c>
      <c r="BA4355" s="3" t="s">
        <v>42446</v>
      </c>
      <c r="BB4355" s="3" t="s">
        <v>42447</v>
      </c>
      <c r="BC4355" s="3" t="s">
        <v>77</v>
      </c>
      <c r="BD4355" s="3" t="s">
        <v>78</v>
      </c>
      <c r="BE4355" s="3" t="s">
        <v>42448</v>
      </c>
      <c r="BF4355" s="3" t="s">
        <v>42447</v>
      </c>
      <c r="BG4355" s="3" t="s">
        <v>42449</v>
      </c>
      <c r="BH4355">
        <f t="shared" si="135"/>
        <v>0</v>
      </c>
    </row>
    <row r="4356" spans="1:60" ht="116" x14ac:dyDescent="0.35">
      <c r="A4356" s="2" t="s">
        <v>59</v>
      </c>
      <c r="B4356" s="2" t="s">
        <v>25844</v>
      </c>
      <c r="C4356" s="2" t="s">
        <v>42450</v>
      </c>
      <c r="D4356" s="2" t="s">
        <v>42451</v>
      </c>
      <c r="E4356" s="2" t="s">
        <v>42452</v>
      </c>
      <c r="F4356" s="3" t="s">
        <v>525</v>
      </c>
      <c r="G4356" s="3" t="s">
        <v>128</v>
      </c>
      <c r="I4356" s="3" t="s">
        <v>64</v>
      </c>
      <c r="J4356" s="3" t="s">
        <v>64</v>
      </c>
      <c r="K4356" s="3" t="s">
        <v>65</v>
      </c>
      <c r="L4356" s="2" t="s">
        <v>42453</v>
      </c>
      <c r="M4356" s="2" t="s">
        <v>42454</v>
      </c>
      <c r="N4356" s="3" t="s">
        <v>578</v>
      </c>
      <c r="O4356" s="2" t="s">
        <v>1189</v>
      </c>
      <c r="P4356" s="3" t="s">
        <v>1190</v>
      </c>
      <c r="R4356" s="3" t="s">
        <v>70</v>
      </c>
      <c r="S4356" s="4">
        <v>0</v>
      </c>
      <c r="T4356" s="4">
        <v>0</v>
      </c>
      <c r="W4356" s="5" t="s">
        <v>72</v>
      </c>
      <c r="X4356" s="5" t="s">
        <v>72</v>
      </c>
      <c r="Y4356" s="4">
        <v>3</v>
      </c>
      <c r="Z4356" s="4">
        <v>1</v>
      </c>
      <c r="AA4356" s="4">
        <v>2</v>
      </c>
      <c r="AB4356" s="4">
        <v>1</v>
      </c>
      <c r="AC4356" s="4">
        <v>1</v>
      </c>
      <c r="AD4356" s="4">
        <v>1</v>
      </c>
      <c r="AE4356" s="4">
        <v>12</v>
      </c>
      <c r="AF4356" s="4">
        <v>0</v>
      </c>
      <c r="AG4356" s="4">
        <v>0</v>
      </c>
      <c r="AH4356" s="4">
        <v>1</v>
      </c>
      <c r="AI4356" s="4">
        <v>11</v>
      </c>
      <c r="AJ4356" s="4">
        <v>0</v>
      </c>
      <c r="AK4356" s="4">
        <v>1</v>
      </c>
      <c r="AL4356" s="4">
        <v>1</v>
      </c>
      <c r="AM4356" s="4">
        <v>11</v>
      </c>
      <c r="AN4356" s="4">
        <v>0</v>
      </c>
      <c r="AO4356" s="4">
        <v>0</v>
      </c>
      <c r="AP4356" s="4">
        <v>0</v>
      </c>
      <c r="AQ4356" s="4">
        <v>1</v>
      </c>
      <c r="AR4356" s="3" t="s">
        <v>64</v>
      </c>
      <c r="AS4356" s="3" t="s">
        <v>64</v>
      </c>
      <c r="AT4356" s="3" t="s">
        <v>64</v>
      </c>
      <c r="AV4356" s="6" t="str">
        <f>HYPERLINK("http://mcgill.on.worldcat.org/oclc/1012394692","Catalog Record")</f>
        <v>Catalog Record</v>
      </c>
      <c r="AW4356" s="6" t="str">
        <f>HYPERLINK("http://www.worldcat.org/oclc/1012394692","WorldCat Record")</f>
        <v>WorldCat Record</v>
      </c>
      <c r="AX4356" s="3" t="s">
        <v>42455</v>
      </c>
      <c r="AY4356" s="3" t="s">
        <v>42456</v>
      </c>
      <c r="AZ4356" s="3" t="s">
        <v>42457</v>
      </c>
      <c r="BA4356" s="3" t="s">
        <v>42457</v>
      </c>
      <c r="BB4356" s="3" t="s">
        <v>42458</v>
      </c>
      <c r="BC4356" s="3" t="s">
        <v>77</v>
      </c>
      <c r="BD4356" s="3" t="s">
        <v>78</v>
      </c>
      <c r="BE4356" s="3" t="s">
        <v>42459</v>
      </c>
      <c r="BF4356" s="3" t="s">
        <v>42458</v>
      </c>
      <c r="BG4356" s="3" t="s">
        <v>42460</v>
      </c>
      <c r="BH4356">
        <f t="shared" si="135"/>
        <v>0</v>
      </c>
    </row>
    <row r="4357" spans="1:60" ht="116" x14ac:dyDescent="0.35">
      <c r="A4357" s="2" t="s">
        <v>59</v>
      </c>
      <c r="B4357" s="2" t="s">
        <v>25844</v>
      </c>
      <c r="C4357" s="2" t="s">
        <v>42450</v>
      </c>
      <c r="D4357" s="2" t="s">
        <v>42451</v>
      </c>
      <c r="E4357" s="2" t="s">
        <v>42452</v>
      </c>
      <c r="F4357" s="3" t="s">
        <v>529</v>
      </c>
      <c r="G4357" s="3" t="s">
        <v>128</v>
      </c>
      <c r="I4357" s="3" t="s">
        <v>64</v>
      </c>
      <c r="J4357" s="3" t="s">
        <v>64</v>
      </c>
      <c r="K4357" s="3" t="s">
        <v>65</v>
      </c>
      <c r="L4357" s="2" t="s">
        <v>42453</v>
      </c>
      <c r="M4357" s="2" t="s">
        <v>42454</v>
      </c>
      <c r="N4357" s="3" t="s">
        <v>578</v>
      </c>
      <c r="O4357" s="2" t="s">
        <v>1189</v>
      </c>
      <c r="P4357" s="3" t="s">
        <v>1190</v>
      </c>
      <c r="R4357" s="3" t="s">
        <v>70</v>
      </c>
      <c r="S4357" s="4">
        <v>0</v>
      </c>
      <c r="T4357" s="4">
        <v>0</v>
      </c>
      <c r="W4357" s="5" t="s">
        <v>72</v>
      </c>
      <c r="X4357" s="5" t="s">
        <v>72</v>
      </c>
      <c r="Y4357" s="4">
        <v>3</v>
      </c>
      <c r="Z4357" s="4">
        <v>1</v>
      </c>
      <c r="AA4357" s="4">
        <v>2</v>
      </c>
      <c r="AB4357" s="4">
        <v>1</v>
      </c>
      <c r="AC4357" s="4">
        <v>1</v>
      </c>
      <c r="AD4357" s="4">
        <v>1</v>
      </c>
      <c r="AE4357" s="4">
        <v>12</v>
      </c>
      <c r="AF4357" s="4">
        <v>0</v>
      </c>
      <c r="AG4357" s="4">
        <v>0</v>
      </c>
      <c r="AH4357" s="4">
        <v>1</v>
      </c>
      <c r="AI4357" s="4">
        <v>11</v>
      </c>
      <c r="AJ4357" s="4">
        <v>0</v>
      </c>
      <c r="AK4357" s="4">
        <v>1</v>
      </c>
      <c r="AL4357" s="4">
        <v>1</v>
      </c>
      <c r="AM4357" s="4">
        <v>11</v>
      </c>
      <c r="AN4357" s="4">
        <v>0</v>
      </c>
      <c r="AO4357" s="4">
        <v>0</v>
      </c>
      <c r="AP4357" s="4">
        <v>0</v>
      </c>
      <c r="AQ4357" s="4">
        <v>1</v>
      </c>
      <c r="AR4357" s="3" t="s">
        <v>64</v>
      </c>
      <c r="AS4357" s="3" t="s">
        <v>64</v>
      </c>
      <c r="AT4357" s="3" t="s">
        <v>64</v>
      </c>
      <c r="AV4357" s="6" t="str">
        <f>HYPERLINK("http://mcgill.on.worldcat.org/oclc/1012394692","Catalog Record")</f>
        <v>Catalog Record</v>
      </c>
      <c r="AW4357" s="6" t="str">
        <f>HYPERLINK("http://www.worldcat.org/oclc/1012394692","WorldCat Record")</f>
        <v>WorldCat Record</v>
      </c>
      <c r="AX4357" s="3" t="s">
        <v>42455</v>
      </c>
      <c r="AY4357" s="3" t="s">
        <v>42456</v>
      </c>
      <c r="AZ4357" s="3" t="s">
        <v>42457</v>
      </c>
      <c r="BA4357" s="3" t="s">
        <v>42457</v>
      </c>
      <c r="BB4357" s="3" t="s">
        <v>42461</v>
      </c>
      <c r="BC4357" s="3" t="s">
        <v>77</v>
      </c>
      <c r="BD4357" s="3" t="s">
        <v>78</v>
      </c>
      <c r="BE4357" s="3" t="s">
        <v>42459</v>
      </c>
      <c r="BF4357" s="3" t="s">
        <v>42461</v>
      </c>
      <c r="BG4357" s="3" t="s">
        <v>42462</v>
      </c>
      <c r="BH4357">
        <f t="shared" si="135"/>
        <v>0</v>
      </c>
    </row>
    <row r="4358" spans="1:60" ht="58" x14ac:dyDescent="0.35">
      <c r="A4358" s="2" t="s">
        <v>6202</v>
      </c>
      <c r="B4358" s="2" t="s">
        <v>6203</v>
      </c>
      <c r="C4358" s="2" t="s">
        <v>42463</v>
      </c>
      <c r="D4358" s="2" t="s">
        <v>42464</v>
      </c>
      <c r="E4358" s="2" t="s">
        <v>42465</v>
      </c>
      <c r="G4358" s="3" t="s">
        <v>64</v>
      </c>
      <c r="I4358" s="3" t="s">
        <v>64</v>
      </c>
      <c r="J4358" s="3" t="s">
        <v>64</v>
      </c>
      <c r="K4358" s="3" t="s">
        <v>65</v>
      </c>
      <c r="L4358" s="2" t="s">
        <v>42466</v>
      </c>
      <c r="M4358" s="2" t="s">
        <v>42467</v>
      </c>
      <c r="N4358" s="3" t="s">
        <v>392</v>
      </c>
      <c r="P4358" s="3" t="s">
        <v>102</v>
      </c>
      <c r="Q4358" s="2" t="s">
        <v>42468</v>
      </c>
      <c r="R4358" s="3" t="s">
        <v>70</v>
      </c>
      <c r="S4358" s="4">
        <v>1</v>
      </c>
      <c r="T4358" s="4">
        <v>1</v>
      </c>
      <c r="U4358" s="5" t="s">
        <v>41115</v>
      </c>
      <c r="V4358" s="5" t="s">
        <v>41115</v>
      </c>
      <c r="W4358" s="5" t="s">
        <v>72</v>
      </c>
      <c r="X4358" s="5" t="s">
        <v>72</v>
      </c>
      <c r="Y4358" s="4">
        <v>216</v>
      </c>
      <c r="Z4358" s="4">
        <v>13</v>
      </c>
      <c r="AA4358" s="4">
        <v>39</v>
      </c>
      <c r="AB4358" s="4">
        <v>2</v>
      </c>
      <c r="AC4358" s="4">
        <v>7</v>
      </c>
      <c r="AD4358" s="4">
        <v>81</v>
      </c>
      <c r="AE4358" s="4">
        <v>84</v>
      </c>
      <c r="AF4358" s="4">
        <v>1</v>
      </c>
      <c r="AG4358" s="4">
        <v>1</v>
      </c>
      <c r="AH4358" s="4">
        <v>75</v>
      </c>
      <c r="AI4358" s="4">
        <v>76</v>
      </c>
      <c r="AJ4358" s="4">
        <v>11</v>
      </c>
      <c r="AK4358" s="4">
        <v>11</v>
      </c>
      <c r="AL4358" s="4">
        <v>49</v>
      </c>
      <c r="AM4358" s="4">
        <v>49</v>
      </c>
      <c r="AN4358" s="4">
        <v>0</v>
      </c>
      <c r="AO4358" s="4">
        <v>0</v>
      </c>
      <c r="AP4358" s="4">
        <v>11</v>
      </c>
      <c r="AQ4358" s="4">
        <v>13</v>
      </c>
      <c r="AR4358" s="3" t="s">
        <v>64</v>
      </c>
      <c r="AS4358" s="3" t="s">
        <v>64</v>
      </c>
      <c r="AT4358" s="3" t="s">
        <v>64</v>
      </c>
      <c r="AV4358" s="6" t="str">
        <f>HYPERLINK("http://mcgill.on.worldcat.org/oclc/39897369","Catalog Record")</f>
        <v>Catalog Record</v>
      </c>
      <c r="AW4358" s="6" t="str">
        <f>HYPERLINK("http://www.worldcat.org/oclc/39897369","WorldCat Record")</f>
        <v>WorldCat Record</v>
      </c>
      <c r="AX4358" s="3" t="s">
        <v>42469</v>
      </c>
      <c r="AY4358" s="3" t="s">
        <v>42470</v>
      </c>
      <c r="AZ4358" s="3" t="s">
        <v>42471</v>
      </c>
      <c r="BA4358" s="3" t="s">
        <v>42471</v>
      </c>
      <c r="BB4358" s="3" t="s">
        <v>42472</v>
      </c>
      <c r="BC4358" s="3" t="s">
        <v>77</v>
      </c>
      <c r="BD4358" s="3" t="s">
        <v>78</v>
      </c>
      <c r="BE4358" s="3" t="s">
        <v>42473</v>
      </c>
      <c r="BF4358" s="3" t="s">
        <v>42472</v>
      </c>
      <c r="BG4358" s="3" t="s">
        <v>42474</v>
      </c>
      <c r="BH4358">
        <f t="shared" si="135"/>
        <v>0</v>
      </c>
    </row>
    <row r="4359" spans="1:60" ht="58" x14ac:dyDescent="0.35">
      <c r="A4359" s="2" t="s">
        <v>59</v>
      </c>
      <c r="B4359" s="2" t="s">
        <v>60</v>
      </c>
      <c r="C4359" s="2" t="s">
        <v>42475</v>
      </c>
      <c r="D4359" s="2" t="s">
        <v>42476</v>
      </c>
      <c r="E4359" s="2" t="s">
        <v>42477</v>
      </c>
      <c r="G4359" s="3" t="s">
        <v>64</v>
      </c>
      <c r="I4359" s="3" t="s">
        <v>64</v>
      </c>
      <c r="J4359" s="3" t="s">
        <v>64</v>
      </c>
      <c r="K4359" s="3" t="s">
        <v>65</v>
      </c>
      <c r="L4359" s="2" t="s">
        <v>42478</v>
      </c>
      <c r="M4359" s="2" t="s">
        <v>42479</v>
      </c>
      <c r="N4359" s="3" t="s">
        <v>537</v>
      </c>
      <c r="P4359" s="3" t="s">
        <v>102</v>
      </c>
      <c r="R4359" s="3" t="s">
        <v>70</v>
      </c>
      <c r="S4359" s="4">
        <v>1</v>
      </c>
      <c r="T4359" s="4">
        <v>1</v>
      </c>
      <c r="U4359" s="5" t="s">
        <v>1857</v>
      </c>
      <c r="V4359" s="5" t="s">
        <v>1857</v>
      </c>
      <c r="W4359" s="5" t="s">
        <v>72</v>
      </c>
      <c r="X4359" s="5" t="s">
        <v>72</v>
      </c>
      <c r="Y4359" s="4">
        <v>102</v>
      </c>
      <c r="Z4359" s="4">
        <v>5</v>
      </c>
      <c r="AA4359" s="4">
        <v>79</v>
      </c>
      <c r="AB4359" s="4">
        <v>1</v>
      </c>
      <c r="AC4359" s="4">
        <v>15</v>
      </c>
      <c r="AD4359" s="4">
        <v>43</v>
      </c>
      <c r="AE4359" s="4">
        <v>116</v>
      </c>
      <c r="AF4359" s="4">
        <v>0</v>
      </c>
      <c r="AG4359" s="4">
        <v>8</v>
      </c>
      <c r="AH4359" s="4">
        <v>41</v>
      </c>
      <c r="AI4359" s="4">
        <v>83</v>
      </c>
      <c r="AJ4359" s="4">
        <v>2</v>
      </c>
      <c r="AK4359" s="4">
        <v>21</v>
      </c>
      <c r="AL4359" s="4">
        <v>33</v>
      </c>
      <c r="AM4359" s="4">
        <v>47</v>
      </c>
      <c r="AN4359" s="4">
        <v>0</v>
      </c>
      <c r="AO4359" s="4">
        <v>0</v>
      </c>
      <c r="AP4359" s="4">
        <v>2</v>
      </c>
      <c r="AQ4359" s="4">
        <v>40</v>
      </c>
      <c r="AR4359" s="3" t="s">
        <v>64</v>
      </c>
      <c r="AS4359" s="3" t="s">
        <v>64</v>
      </c>
      <c r="AT4359" s="3" t="s">
        <v>64</v>
      </c>
      <c r="AV4359" s="6" t="str">
        <f>HYPERLINK("http://mcgill.on.worldcat.org/oclc/922835657","Catalog Record")</f>
        <v>Catalog Record</v>
      </c>
      <c r="AW4359" s="6" t="str">
        <f>HYPERLINK("http://www.worldcat.org/oclc/922835657","WorldCat Record")</f>
        <v>WorldCat Record</v>
      </c>
      <c r="AX4359" s="3" t="s">
        <v>42480</v>
      </c>
      <c r="AY4359" s="3" t="s">
        <v>42481</v>
      </c>
      <c r="AZ4359" s="3" t="s">
        <v>42482</v>
      </c>
      <c r="BA4359" s="3" t="s">
        <v>42482</v>
      </c>
      <c r="BB4359" s="3" t="s">
        <v>42483</v>
      </c>
      <c r="BC4359" s="3" t="s">
        <v>77</v>
      </c>
      <c r="BD4359" s="3" t="s">
        <v>78</v>
      </c>
      <c r="BE4359" s="3" t="s">
        <v>42484</v>
      </c>
      <c r="BF4359" s="3" t="s">
        <v>42483</v>
      </c>
      <c r="BG4359" s="3" t="s">
        <v>42485</v>
      </c>
      <c r="BH4359">
        <f t="shared" si="135"/>
        <v>0</v>
      </c>
    </row>
    <row r="4360" spans="1:60" ht="116" x14ac:dyDescent="0.35">
      <c r="A4360" s="2" t="s">
        <v>59</v>
      </c>
      <c r="B4360" s="2" t="s">
        <v>1183</v>
      </c>
      <c r="C4360" s="2" t="s">
        <v>42486</v>
      </c>
      <c r="D4360" s="2" t="s">
        <v>42487</v>
      </c>
      <c r="E4360" s="2" t="s">
        <v>42488</v>
      </c>
      <c r="G4360" s="3" t="s">
        <v>64</v>
      </c>
      <c r="I4360" s="3" t="s">
        <v>64</v>
      </c>
      <c r="J4360" s="3" t="s">
        <v>64</v>
      </c>
      <c r="K4360" s="3" t="s">
        <v>65</v>
      </c>
      <c r="L4360" s="2" t="s">
        <v>42489</v>
      </c>
      <c r="M4360" s="2" t="s">
        <v>42490</v>
      </c>
      <c r="N4360" s="3" t="s">
        <v>86</v>
      </c>
      <c r="O4360" s="2" t="s">
        <v>1189</v>
      </c>
      <c r="P4360" s="3" t="s">
        <v>1190</v>
      </c>
      <c r="R4360" s="3" t="s">
        <v>70</v>
      </c>
      <c r="S4360" s="4">
        <v>1</v>
      </c>
      <c r="T4360" s="4">
        <v>1</v>
      </c>
      <c r="U4360" s="5" t="s">
        <v>1603</v>
      </c>
      <c r="V4360" s="5" t="s">
        <v>1603</v>
      </c>
      <c r="W4360" s="5" t="s">
        <v>72</v>
      </c>
      <c r="X4360" s="5" t="s">
        <v>72</v>
      </c>
      <c r="Y4360" s="4">
        <v>36</v>
      </c>
      <c r="Z4360" s="4">
        <v>1</v>
      </c>
      <c r="AA4360" s="4">
        <v>1</v>
      </c>
      <c r="AB4360" s="4">
        <v>1</v>
      </c>
      <c r="AC4360" s="4">
        <v>1</v>
      </c>
      <c r="AD4360" s="4">
        <v>23</v>
      </c>
      <c r="AE4360" s="4">
        <v>23</v>
      </c>
      <c r="AF4360" s="4">
        <v>0</v>
      </c>
      <c r="AG4360" s="4">
        <v>0</v>
      </c>
      <c r="AH4360" s="4">
        <v>21</v>
      </c>
      <c r="AI4360" s="4">
        <v>21</v>
      </c>
      <c r="AJ4360" s="4">
        <v>0</v>
      </c>
      <c r="AK4360" s="4">
        <v>0</v>
      </c>
      <c r="AL4360" s="4">
        <v>19</v>
      </c>
      <c r="AM4360" s="4">
        <v>19</v>
      </c>
      <c r="AN4360" s="4">
        <v>0</v>
      </c>
      <c r="AO4360" s="4">
        <v>0</v>
      </c>
      <c r="AP4360" s="4">
        <v>0</v>
      </c>
      <c r="AQ4360" s="4">
        <v>0</v>
      </c>
      <c r="AR4360" s="3" t="s">
        <v>64</v>
      </c>
      <c r="AS4360" s="3" t="s">
        <v>64</v>
      </c>
      <c r="AT4360" s="3" t="s">
        <v>64</v>
      </c>
      <c r="AV4360" s="6" t="str">
        <f>HYPERLINK("http://mcgill.on.worldcat.org/oclc/830498530","Catalog Record")</f>
        <v>Catalog Record</v>
      </c>
      <c r="AW4360" s="6" t="str">
        <f>HYPERLINK("http://www.worldcat.org/oclc/830498530","WorldCat Record")</f>
        <v>WorldCat Record</v>
      </c>
      <c r="AX4360" s="3" t="s">
        <v>42491</v>
      </c>
      <c r="AY4360" s="3" t="s">
        <v>42492</v>
      </c>
      <c r="AZ4360" s="3" t="s">
        <v>42493</v>
      </c>
      <c r="BA4360" s="3" t="s">
        <v>42493</v>
      </c>
      <c r="BB4360" s="3" t="s">
        <v>42494</v>
      </c>
      <c r="BC4360" s="3" t="s">
        <v>77</v>
      </c>
      <c r="BD4360" s="3" t="s">
        <v>78</v>
      </c>
      <c r="BE4360" s="3" t="s">
        <v>42495</v>
      </c>
      <c r="BF4360" s="3" t="s">
        <v>42494</v>
      </c>
      <c r="BG4360" s="3" t="s">
        <v>42496</v>
      </c>
      <c r="BH4360">
        <f t="shared" si="135"/>
        <v>0</v>
      </c>
    </row>
    <row r="4361" spans="1:60" ht="116" x14ac:dyDescent="0.35">
      <c r="A4361" s="2" t="s">
        <v>59</v>
      </c>
      <c r="B4361" s="2" t="s">
        <v>1183</v>
      </c>
      <c r="C4361" s="2" t="s">
        <v>42497</v>
      </c>
      <c r="D4361" s="2" t="s">
        <v>42498</v>
      </c>
      <c r="E4361" s="2" t="s">
        <v>42499</v>
      </c>
      <c r="G4361" s="3" t="s">
        <v>64</v>
      </c>
      <c r="I4361" s="3" t="s">
        <v>64</v>
      </c>
      <c r="J4361" s="3" t="s">
        <v>64</v>
      </c>
      <c r="K4361" s="3" t="s">
        <v>65</v>
      </c>
      <c r="L4361" s="2" t="s">
        <v>42500</v>
      </c>
      <c r="M4361" s="2" t="s">
        <v>42501</v>
      </c>
      <c r="N4361" s="3" t="s">
        <v>326</v>
      </c>
      <c r="O4361" s="2" t="s">
        <v>1189</v>
      </c>
      <c r="P4361" s="3" t="s">
        <v>1190</v>
      </c>
      <c r="R4361" s="3" t="s">
        <v>70</v>
      </c>
      <c r="S4361" s="4">
        <v>0</v>
      </c>
      <c r="T4361" s="4">
        <v>0</v>
      </c>
      <c r="W4361" s="5" t="s">
        <v>72</v>
      </c>
      <c r="X4361" s="5" t="s">
        <v>72</v>
      </c>
      <c r="Y4361" s="4">
        <v>31</v>
      </c>
      <c r="Z4361" s="4">
        <v>1</v>
      </c>
      <c r="AA4361" s="4">
        <v>1</v>
      </c>
      <c r="AB4361" s="4">
        <v>1</v>
      </c>
      <c r="AC4361" s="4">
        <v>1</v>
      </c>
      <c r="AD4361" s="4">
        <v>19</v>
      </c>
      <c r="AE4361" s="4">
        <v>19</v>
      </c>
      <c r="AF4361" s="4">
        <v>0</v>
      </c>
      <c r="AG4361" s="4">
        <v>0</v>
      </c>
      <c r="AH4361" s="4">
        <v>18</v>
      </c>
      <c r="AI4361" s="4">
        <v>18</v>
      </c>
      <c r="AJ4361" s="4">
        <v>0</v>
      </c>
      <c r="AK4361" s="4">
        <v>0</v>
      </c>
      <c r="AL4361" s="4">
        <v>16</v>
      </c>
      <c r="AM4361" s="4">
        <v>16</v>
      </c>
      <c r="AN4361" s="4">
        <v>0</v>
      </c>
      <c r="AO4361" s="4">
        <v>0</v>
      </c>
      <c r="AP4361" s="4">
        <v>0</v>
      </c>
      <c r="AQ4361" s="4">
        <v>0</v>
      </c>
      <c r="AR4361" s="3" t="s">
        <v>64</v>
      </c>
      <c r="AS4361" s="3" t="s">
        <v>64</v>
      </c>
      <c r="AT4361" s="3" t="s">
        <v>64</v>
      </c>
      <c r="AV4361" s="6" t="str">
        <f>HYPERLINK("http://mcgill.on.worldcat.org/oclc/726583759","Catalog Record")</f>
        <v>Catalog Record</v>
      </c>
      <c r="AW4361" s="6" t="str">
        <f>HYPERLINK("http://www.worldcat.org/oclc/726583759","WorldCat Record")</f>
        <v>WorldCat Record</v>
      </c>
      <c r="AX4361" s="3" t="s">
        <v>42502</v>
      </c>
      <c r="AY4361" s="3" t="s">
        <v>42503</v>
      </c>
      <c r="AZ4361" s="3" t="s">
        <v>42504</v>
      </c>
      <c r="BA4361" s="3" t="s">
        <v>42504</v>
      </c>
      <c r="BB4361" s="3" t="s">
        <v>42505</v>
      </c>
      <c r="BC4361" s="3" t="s">
        <v>77</v>
      </c>
      <c r="BD4361" s="3" t="s">
        <v>78</v>
      </c>
      <c r="BE4361" s="3" t="s">
        <v>42506</v>
      </c>
      <c r="BF4361" s="3" t="s">
        <v>42505</v>
      </c>
      <c r="BG4361" s="3" t="s">
        <v>42507</v>
      </c>
      <c r="BH4361">
        <f t="shared" si="135"/>
        <v>0</v>
      </c>
    </row>
    <row r="4362" spans="1:60" ht="87" x14ac:dyDescent="0.35">
      <c r="A4362" s="2" t="s">
        <v>6202</v>
      </c>
      <c r="B4362" s="2" t="s">
        <v>6203</v>
      </c>
      <c r="C4362" s="2" t="s">
        <v>42508</v>
      </c>
      <c r="D4362" s="2" t="s">
        <v>42509</v>
      </c>
      <c r="E4362" s="2" t="s">
        <v>42510</v>
      </c>
      <c r="F4362" s="3" t="s">
        <v>525</v>
      </c>
      <c r="G4362" s="3" t="s">
        <v>128</v>
      </c>
      <c r="I4362" s="3" t="s">
        <v>64</v>
      </c>
      <c r="J4362" s="3" t="s">
        <v>64</v>
      </c>
      <c r="K4362" s="3" t="s">
        <v>65</v>
      </c>
      <c r="M4362" s="2" t="s">
        <v>42511</v>
      </c>
      <c r="N4362" s="3" t="s">
        <v>378</v>
      </c>
      <c r="P4362" s="3" t="s">
        <v>102</v>
      </c>
      <c r="R4362" s="3" t="s">
        <v>70</v>
      </c>
      <c r="S4362" s="4">
        <v>2</v>
      </c>
      <c r="T4362" s="4">
        <v>3</v>
      </c>
      <c r="U4362" s="5" t="s">
        <v>39227</v>
      </c>
      <c r="V4362" s="5" t="s">
        <v>39227</v>
      </c>
      <c r="W4362" s="5" t="s">
        <v>72</v>
      </c>
      <c r="X4362" s="5" t="s">
        <v>72</v>
      </c>
      <c r="Y4362" s="4">
        <v>667</v>
      </c>
      <c r="Z4362" s="4">
        <v>20</v>
      </c>
      <c r="AA4362" s="4">
        <v>35</v>
      </c>
      <c r="AB4362" s="4">
        <v>2</v>
      </c>
      <c r="AC4362" s="4">
        <v>5</v>
      </c>
      <c r="AD4362" s="4">
        <v>106</v>
      </c>
      <c r="AE4362" s="4">
        <v>120</v>
      </c>
      <c r="AF4362" s="4">
        <v>1</v>
      </c>
      <c r="AG4362" s="4">
        <v>3</v>
      </c>
      <c r="AH4362" s="4">
        <v>97</v>
      </c>
      <c r="AI4362" s="4">
        <v>107</v>
      </c>
      <c r="AJ4362" s="4">
        <v>10</v>
      </c>
      <c r="AK4362" s="4">
        <v>18</v>
      </c>
      <c r="AL4362" s="4">
        <v>54</v>
      </c>
      <c r="AM4362" s="4">
        <v>56</v>
      </c>
      <c r="AN4362" s="4">
        <v>0</v>
      </c>
      <c r="AO4362" s="4">
        <v>0</v>
      </c>
      <c r="AP4362" s="4">
        <v>13</v>
      </c>
      <c r="AQ4362" s="4">
        <v>19</v>
      </c>
      <c r="AR4362" s="3" t="s">
        <v>64</v>
      </c>
      <c r="AS4362" s="3" t="s">
        <v>64</v>
      </c>
      <c r="AT4362" s="3" t="s">
        <v>128</v>
      </c>
      <c r="AU4362" s="6" t="str">
        <f>HYPERLINK("http://catalog.hathitrust.org/Record/000661801","HathiTrust Record")</f>
        <v>HathiTrust Record</v>
      </c>
      <c r="AV4362" s="6" t="str">
        <f>HYPERLINK("http://mcgill.on.worldcat.org/oclc/11841260","Catalog Record")</f>
        <v>Catalog Record</v>
      </c>
      <c r="AW4362" s="6" t="str">
        <f>HYPERLINK("http://www.worldcat.org/oclc/11841260","WorldCat Record")</f>
        <v>WorldCat Record</v>
      </c>
      <c r="AX4362" s="3" t="s">
        <v>42512</v>
      </c>
      <c r="AY4362" s="3" t="s">
        <v>42513</v>
      </c>
      <c r="AZ4362" s="3" t="s">
        <v>42514</v>
      </c>
      <c r="BA4362" s="3" t="s">
        <v>42514</v>
      </c>
      <c r="BB4362" s="3" t="s">
        <v>42515</v>
      </c>
      <c r="BC4362" s="3" t="s">
        <v>77</v>
      </c>
      <c r="BD4362" s="3" t="s">
        <v>78</v>
      </c>
      <c r="BE4362" s="3" t="s">
        <v>42516</v>
      </c>
      <c r="BF4362" s="3" t="s">
        <v>42515</v>
      </c>
      <c r="BG4362" s="3" t="s">
        <v>42517</v>
      </c>
      <c r="BH4362">
        <f t="shared" si="135"/>
        <v>0</v>
      </c>
    </row>
    <row r="4363" spans="1:60" ht="87" x14ac:dyDescent="0.35">
      <c r="A4363" s="2" t="s">
        <v>6202</v>
      </c>
      <c r="B4363" s="2" t="s">
        <v>6203</v>
      </c>
      <c r="C4363" s="2" t="s">
        <v>42508</v>
      </c>
      <c r="D4363" s="2" t="s">
        <v>42509</v>
      </c>
      <c r="E4363" s="2" t="s">
        <v>42510</v>
      </c>
      <c r="F4363" s="3" t="s">
        <v>529</v>
      </c>
      <c r="G4363" s="3" t="s">
        <v>128</v>
      </c>
      <c r="I4363" s="3" t="s">
        <v>64</v>
      </c>
      <c r="J4363" s="3" t="s">
        <v>64</v>
      </c>
      <c r="K4363" s="3" t="s">
        <v>65</v>
      </c>
      <c r="M4363" s="2" t="s">
        <v>42511</v>
      </c>
      <c r="N4363" s="3" t="s">
        <v>378</v>
      </c>
      <c r="P4363" s="3" t="s">
        <v>102</v>
      </c>
      <c r="R4363" s="3" t="s">
        <v>70</v>
      </c>
      <c r="S4363" s="4">
        <v>1</v>
      </c>
      <c r="T4363" s="4">
        <v>3</v>
      </c>
      <c r="U4363" s="5" t="s">
        <v>39227</v>
      </c>
      <c r="V4363" s="5" t="s">
        <v>39227</v>
      </c>
      <c r="W4363" s="5" t="s">
        <v>72</v>
      </c>
      <c r="X4363" s="5" t="s">
        <v>72</v>
      </c>
      <c r="Y4363" s="4">
        <v>667</v>
      </c>
      <c r="Z4363" s="4">
        <v>20</v>
      </c>
      <c r="AA4363" s="4">
        <v>35</v>
      </c>
      <c r="AB4363" s="4">
        <v>2</v>
      </c>
      <c r="AC4363" s="4">
        <v>5</v>
      </c>
      <c r="AD4363" s="4">
        <v>106</v>
      </c>
      <c r="AE4363" s="4">
        <v>120</v>
      </c>
      <c r="AF4363" s="4">
        <v>1</v>
      </c>
      <c r="AG4363" s="4">
        <v>3</v>
      </c>
      <c r="AH4363" s="4">
        <v>97</v>
      </c>
      <c r="AI4363" s="4">
        <v>107</v>
      </c>
      <c r="AJ4363" s="4">
        <v>10</v>
      </c>
      <c r="AK4363" s="4">
        <v>18</v>
      </c>
      <c r="AL4363" s="4">
        <v>54</v>
      </c>
      <c r="AM4363" s="4">
        <v>56</v>
      </c>
      <c r="AN4363" s="4">
        <v>0</v>
      </c>
      <c r="AO4363" s="4">
        <v>0</v>
      </c>
      <c r="AP4363" s="4">
        <v>13</v>
      </c>
      <c r="AQ4363" s="4">
        <v>19</v>
      </c>
      <c r="AR4363" s="3" t="s">
        <v>64</v>
      </c>
      <c r="AS4363" s="3" t="s">
        <v>64</v>
      </c>
      <c r="AT4363" s="3" t="s">
        <v>128</v>
      </c>
      <c r="AU4363" s="6" t="str">
        <f>HYPERLINK("http://catalog.hathitrust.org/Record/000661801","HathiTrust Record")</f>
        <v>HathiTrust Record</v>
      </c>
      <c r="AV4363" s="6" t="str">
        <f>HYPERLINK("http://mcgill.on.worldcat.org/oclc/11841260","Catalog Record")</f>
        <v>Catalog Record</v>
      </c>
      <c r="AW4363" s="6" t="str">
        <f>HYPERLINK("http://www.worldcat.org/oclc/11841260","WorldCat Record")</f>
        <v>WorldCat Record</v>
      </c>
      <c r="AX4363" s="3" t="s">
        <v>42512</v>
      </c>
      <c r="AY4363" s="3" t="s">
        <v>42513</v>
      </c>
      <c r="AZ4363" s="3" t="s">
        <v>42514</v>
      </c>
      <c r="BA4363" s="3" t="s">
        <v>42514</v>
      </c>
      <c r="BB4363" s="3" t="s">
        <v>42518</v>
      </c>
      <c r="BC4363" s="3" t="s">
        <v>77</v>
      </c>
      <c r="BD4363" s="3" t="s">
        <v>78</v>
      </c>
      <c r="BE4363" s="3" t="s">
        <v>42516</v>
      </c>
      <c r="BF4363" s="3" t="s">
        <v>42518</v>
      </c>
      <c r="BG4363" s="3" t="s">
        <v>42519</v>
      </c>
      <c r="BH4363">
        <f t="shared" si="135"/>
        <v>0</v>
      </c>
    </row>
    <row r="4364" spans="1:60" ht="116" x14ac:dyDescent="0.35">
      <c r="A4364" s="2" t="s">
        <v>59</v>
      </c>
      <c r="B4364" s="2" t="s">
        <v>25844</v>
      </c>
      <c r="C4364" s="2" t="s">
        <v>42520</v>
      </c>
      <c r="D4364" s="2" t="s">
        <v>42521</v>
      </c>
      <c r="E4364" s="2" t="s">
        <v>42522</v>
      </c>
      <c r="F4364" s="3" t="s">
        <v>525</v>
      </c>
      <c r="G4364" s="3" t="s">
        <v>128</v>
      </c>
      <c r="I4364" s="3" t="s">
        <v>64</v>
      </c>
      <c r="J4364" s="3" t="s">
        <v>64</v>
      </c>
      <c r="K4364" s="3" t="s">
        <v>65</v>
      </c>
      <c r="M4364" s="2" t="s">
        <v>42523</v>
      </c>
      <c r="N4364" s="3" t="s">
        <v>67</v>
      </c>
      <c r="O4364" s="2" t="s">
        <v>1189</v>
      </c>
      <c r="P4364" s="3" t="s">
        <v>1190</v>
      </c>
      <c r="R4364" s="3" t="s">
        <v>70</v>
      </c>
      <c r="S4364" s="4">
        <v>0</v>
      </c>
      <c r="T4364" s="4">
        <v>0</v>
      </c>
      <c r="W4364" s="5" t="s">
        <v>72</v>
      </c>
      <c r="X4364" s="5" t="s">
        <v>72</v>
      </c>
      <c r="Y4364" s="4">
        <v>33</v>
      </c>
      <c r="Z4364" s="4">
        <v>3</v>
      </c>
      <c r="AA4364" s="4">
        <v>3</v>
      </c>
      <c r="AB4364" s="4">
        <v>1</v>
      </c>
      <c r="AC4364" s="4">
        <v>1</v>
      </c>
      <c r="AD4364" s="4">
        <v>28</v>
      </c>
      <c r="AE4364" s="4">
        <v>28</v>
      </c>
      <c r="AF4364" s="4">
        <v>0</v>
      </c>
      <c r="AG4364" s="4">
        <v>0</v>
      </c>
      <c r="AH4364" s="4">
        <v>27</v>
      </c>
      <c r="AI4364" s="4">
        <v>27</v>
      </c>
      <c r="AJ4364" s="4">
        <v>1</v>
      </c>
      <c r="AK4364" s="4">
        <v>1</v>
      </c>
      <c r="AL4364" s="4">
        <v>25</v>
      </c>
      <c r="AM4364" s="4">
        <v>25</v>
      </c>
      <c r="AN4364" s="4">
        <v>0</v>
      </c>
      <c r="AO4364" s="4">
        <v>0</v>
      </c>
      <c r="AP4364" s="4">
        <v>1</v>
      </c>
      <c r="AQ4364" s="4">
        <v>1</v>
      </c>
      <c r="AR4364" s="3" t="s">
        <v>64</v>
      </c>
      <c r="AS4364" s="3" t="s">
        <v>64</v>
      </c>
      <c r="AT4364" s="3" t="s">
        <v>64</v>
      </c>
      <c r="AV4364" s="6" t="str">
        <f>HYPERLINK("http://mcgill.on.worldcat.org/oclc/898325169","Catalog Record")</f>
        <v>Catalog Record</v>
      </c>
      <c r="AW4364" s="6" t="str">
        <f>HYPERLINK("http://www.worldcat.org/oclc/898325169","WorldCat Record")</f>
        <v>WorldCat Record</v>
      </c>
      <c r="AX4364" s="3" t="s">
        <v>42524</v>
      </c>
      <c r="AY4364" s="3" t="s">
        <v>42525</v>
      </c>
      <c r="AZ4364" s="3" t="s">
        <v>42526</v>
      </c>
      <c r="BA4364" s="3" t="s">
        <v>42526</v>
      </c>
      <c r="BB4364" s="3" t="s">
        <v>42527</v>
      </c>
      <c r="BC4364" s="3" t="s">
        <v>77</v>
      </c>
      <c r="BD4364" s="3" t="s">
        <v>78</v>
      </c>
      <c r="BE4364" s="3" t="s">
        <v>42528</v>
      </c>
      <c r="BF4364" s="3" t="s">
        <v>42527</v>
      </c>
      <c r="BG4364" s="3" t="s">
        <v>42529</v>
      </c>
      <c r="BH4364">
        <f t="shared" si="135"/>
        <v>0</v>
      </c>
    </row>
    <row r="4365" spans="1:60" ht="116" x14ac:dyDescent="0.35">
      <c r="A4365" s="2" t="s">
        <v>59</v>
      </c>
      <c r="B4365" s="2" t="s">
        <v>25844</v>
      </c>
      <c r="C4365" s="2" t="s">
        <v>42520</v>
      </c>
      <c r="D4365" s="2" t="s">
        <v>42521</v>
      </c>
      <c r="E4365" s="2" t="s">
        <v>42522</v>
      </c>
      <c r="F4365" s="3" t="s">
        <v>529</v>
      </c>
      <c r="G4365" s="3" t="s">
        <v>128</v>
      </c>
      <c r="I4365" s="3" t="s">
        <v>64</v>
      </c>
      <c r="J4365" s="3" t="s">
        <v>64</v>
      </c>
      <c r="K4365" s="3" t="s">
        <v>65</v>
      </c>
      <c r="M4365" s="2" t="s">
        <v>42523</v>
      </c>
      <c r="N4365" s="3" t="s">
        <v>67</v>
      </c>
      <c r="O4365" s="2" t="s">
        <v>1189</v>
      </c>
      <c r="P4365" s="3" t="s">
        <v>1190</v>
      </c>
      <c r="R4365" s="3" t="s">
        <v>70</v>
      </c>
      <c r="S4365" s="4">
        <v>0</v>
      </c>
      <c r="T4365" s="4">
        <v>0</v>
      </c>
      <c r="W4365" s="5" t="s">
        <v>72</v>
      </c>
      <c r="X4365" s="5" t="s">
        <v>72</v>
      </c>
      <c r="Y4365" s="4">
        <v>33</v>
      </c>
      <c r="Z4365" s="4">
        <v>3</v>
      </c>
      <c r="AA4365" s="4">
        <v>3</v>
      </c>
      <c r="AB4365" s="4">
        <v>1</v>
      </c>
      <c r="AC4365" s="4">
        <v>1</v>
      </c>
      <c r="AD4365" s="4">
        <v>28</v>
      </c>
      <c r="AE4365" s="4">
        <v>28</v>
      </c>
      <c r="AF4365" s="4">
        <v>0</v>
      </c>
      <c r="AG4365" s="4">
        <v>0</v>
      </c>
      <c r="AH4365" s="4">
        <v>27</v>
      </c>
      <c r="AI4365" s="4">
        <v>27</v>
      </c>
      <c r="AJ4365" s="4">
        <v>1</v>
      </c>
      <c r="AK4365" s="4">
        <v>1</v>
      </c>
      <c r="AL4365" s="4">
        <v>25</v>
      </c>
      <c r="AM4365" s="4">
        <v>25</v>
      </c>
      <c r="AN4365" s="4">
        <v>0</v>
      </c>
      <c r="AO4365" s="4">
        <v>0</v>
      </c>
      <c r="AP4365" s="4">
        <v>1</v>
      </c>
      <c r="AQ4365" s="4">
        <v>1</v>
      </c>
      <c r="AR4365" s="3" t="s">
        <v>64</v>
      </c>
      <c r="AS4365" s="3" t="s">
        <v>64</v>
      </c>
      <c r="AT4365" s="3" t="s">
        <v>64</v>
      </c>
      <c r="AV4365" s="6" t="str">
        <f>HYPERLINK("http://mcgill.on.worldcat.org/oclc/898325169","Catalog Record")</f>
        <v>Catalog Record</v>
      </c>
      <c r="AW4365" s="6" t="str">
        <f>HYPERLINK("http://www.worldcat.org/oclc/898325169","WorldCat Record")</f>
        <v>WorldCat Record</v>
      </c>
      <c r="AX4365" s="3" t="s">
        <v>42524</v>
      </c>
      <c r="AY4365" s="3" t="s">
        <v>42525</v>
      </c>
      <c r="AZ4365" s="3" t="s">
        <v>42526</v>
      </c>
      <c r="BA4365" s="3" t="s">
        <v>42526</v>
      </c>
      <c r="BB4365" s="3" t="s">
        <v>42530</v>
      </c>
      <c r="BC4365" s="3" t="s">
        <v>77</v>
      </c>
      <c r="BD4365" s="3" t="s">
        <v>78</v>
      </c>
      <c r="BE4365" s="3" t="s">
        <v>42528</v>
      </c>
      <c r="BF4365" s="3" t="s">
        <v>42530</v>
      </c>
      <c r="BG4365" s="3" t="s">
        <v>42531</v>
      </c>
      <c r="BH4365">
        <f t="shared" si="135"/>
        <v>0</v>
      </c>
    </row>
    <row r="4366" spans="1:60" ht="116" x14ac:dyDescent="0.35">
      <c r="A4366" s="2" t="s">
        <v>59</v>
      </c>
      <c r="B4366" s="2" t="s">
        <v>25844</v>
      </c>
      <c r="C4366" s="2" t="s">
        <v>42520</v>
      </c>
      <c r="D4366" s="2" t="s">
        <v>42521</v>
      </c>
      <c r="E4366" s="2" t="s">
        <v>42522</v>
      </c>
      <c r="F4366" s="3" t="s">
        <v>509</v>
      </c>
      <c r="G4366" s="3" t="s">
        <v>128</v>
      </c>
      <c r="I4366" s="3" t="s">
        <v>64</v>
      </c>
      <c r="J4366" s="3" t="s">
        <v>64</v>
      </c>
      <c r="K4366" s="3" t="s">
        <v>65</v>
      </c>
      <c r="M4366" s="2" t="s">
        <v>42523</v>
      </c>
      <c r="N4366" s="3" t="s">
        <v>67</v>
      </c>
      <c r="O4366" s="2" t="s">
        <v>1189</v>
      </c>
      <c r="P4366" s="3" t="s">
        <v>1190</v>
      </c>
      <c r="R4366" s="3" t="s">
        <v>70</v>
      </c>
      <c r="S4366" s="4">
        <v>0</v>
      </c>
      <c r="T4366" s="4">
        <v>0</v>
      </c>
      <c r="W4366" s="5" t="s">
        <v>72</v>
      </c>
      <c r="X4366" s="5" t="s">
        <v>72</v>
      </c>
      <c r="Y4366" s="4">
        <v>33</v>
      </c>
      <c r="Z4366" s="4">
        <v>3</v>
      </c>
      <c r="AA4366" s="4">
        <v>3</v>
      </c>
      <c r="AB4366" s="4">
        <v>1</v>
      </c>
      <c r="AC4366" s="4">
        <v>1</v>
      </c>
      <c r="AD4366" s="4">
        <v>28</v>
      </c>
      <c r="AE4366" s="4">
        <v>28</v>
      </c>
      <c r="AF4366" s="4">
        <v>0</v>
      </c>
      <c r="AG4366" s="4">
        <v>0</v>
      </c>
      <c r="AH4366" s="4">
        <v>27</v>
      </c>
      <c r="AI4366" s="4">
        <v>27</v>
      </c>
      <c r="AJ4366" s="4">
        <v>1</v>
      </c>
      <c r="AK4366" s="4">
        <v>1</v>
      </c>
      <c r="AL4366" s="4">
        <v>25</v>
      </c>
      <c r="AM4366" s="4">
        <v>25</v>
      </c>
      <c r="AN4366" s="4">
        <v>0</v>
      </c>
      <c r="AO4366" s="4">
        <v>0</v>
      </c>
      <c r="AP4366" s="4">
        <v>1</v>
      </c>
      <c r="AQ4366" s="4">
        <v>1</v>
      </c>
      <c r="AR4366" s="3" t="s">
        <v>64</v>
      </c>
      <c r="AS4366" s="3" t="s">
        <v>64</v>
      </c>
      <c r="AT4366" s="3" t="s">
        <v>64</v>
      </c>
      <c r="AV4366" s="6" t="str">
        <f>HYPERLINK("http://mcgill.on.worldcat.org/oclc/898325169","Catalog Record")</f>
        <v>Catalog Record</v>
      </c>
      <c r="AW4366" s="6" t="str">
        <f>HYPERLINK("http://www.worldcat.org/oclc/898325169","WorldCat Record")</f>
        <v>WorldCat Record</v>
      </c>
      <c r="AX4366" s="3" t="s">
        <v>42524</v>
      </c>
      <c r="AY4366" s="3" t="s">
        <v>42525</v>
      </c>
      <c r="AZ4366" s="3" t="s">
        <v>42526</v>
      </c>
      <c r="BA4366" s="3" t="s">
        <v>42526</v>
      </c>
      <c r="BB4366" s="3" t="s">
        <v>42532</v>
      </c>
      <c r="BC4366" s="3" t="s">
        <v>77</v>
      </c>
      <c r="BD4366" s="3" t="s">
        <v>78</v>
      </c>
      <c r="BE4366" s="3" t="s">
        <v>42528</v>
      </c>
      <c r="BF4366" s="3" t="s">
        <v>42532</v>
      </c>
      <c r="BG4366" s="3" t="s">
        <v>42533</v>
      </c>
      <c r="BH4366">
        <f t="shared" si="135"/>
        <v>0</v>
      </c>
    </row>
    <row r="4367" spans="1:60" ht="116" x14ac:dyDescent="0.35">
      <c r="A4367" s="2" t="s">
        <v>59</v>
      </c>
      <c r="B4367" s="2" t="s">
        <v>1183</v>
      </c>
      <c r="C4367" s="2" t="s">
        <v>42534</v>
      </c>
      <c r="D4367" s="2" t="s">
        <v>42535</v>
      </c>
      <c r="E4367" s="2" t="s">
        <v>42536</v>
      </c>
      <c r="G4367" s="3" t="s">
        <v>64</v>
      </c>
      <c r="I4367" s="3" t="s">
        <v>64</v>
      </c>
      <c r="J4367" s="3" t="s">
        <v>64</v>
      </c>
      <c r="K4367" s="3" t="s">
        <v>65</v>
      </c>
      <c r="L4367" s="2" t="s">
        <v>42537</v>
      </c>
      <c r="M4367" s="2" t="s">
        <v>42538</v>
      </c>
      <c r="N4367" s="3" t="s">
        <v>1047</v>
      </c>
      <c r="O4367" s="2" t="s">
        <v>1189</v>
      </c>
      <c r="P4367" s="3" t="s">
        <v>1190</v>
      </c>
      <c r="Q4367" s="2" t="s">
        <v>42539</v>
      </c>
      <c r="R4367" s="3" t="s">
        <v>70</v>
      </c>
      <c r="S4367" s="4">
        <v>1</v>
      </c>
      <c r="T4367" s="4">
        <v>1</v>
      </c>
      <c r="U4367" s="5" t="s">
        <v>26548</v>
      </c>
      <c r="V4367" s="5" t="s">
        <v>26548</v>
      </c>
      <c r="W4367" s="5" t="s">
        <v>72</v>
      </c>
      <c r="X4367" s="5" t="s">
        <v>72</v>
      </c>
      <c r="Y4367" s="4">
        <v>40</v>
      </c>
      <c r="Z4367" s="4">
        <v>5</v>
      </c>
      <c r="AA4367" s="4">
        <v>5</v>
      </c>
      <c r="AB4367" s="4">
        <v>1</v>
      </c>
      <c r="AC4367" s="4">
        <v>1</v>
      </c>
      <c r="AD4367" s="4">
        <v>26</v>
      </c>
      <c r="AE4367" s="4">
        <v>26</v>
      </c>
      <c r="AF4367" s="4">
        <v>0</v>
      </c>
      <c r="AG4367" s="4">
        <v>0</v>
      </c>
      <c r="AH4367" s="4">
        <v>24</v>
      </c>
      <c r="AI4367" s="4">
        <v>24</v>
      </c>
      <c r="AJ4367" s="4">
        <v>1</v>
      </c>
      <c r="AK4367" s="4">
        <v>1</v>
      </c>
      <c r="AL4367" s="4">
        <v>21</v>
      </c>
      <c r="AM4367" s="4">
        <v>21</v>
      </c>
      <c r="AN4367" s="4">
        <v>0</v>
      </c>
      <c r="AO4367" s="4">
        <v>0</v>
      </c>
      <c r="AP4367" s="4">
        <v>1</v>
      </c>
      <c r="AQ4367" s="4">
        <v>1</v>
      </c>
      <c r="AR4367" s="3" t="s">
        <v>64</v>
      </c>
      <c r="AS4367" s="3" t="s">
        <v>64</v>
      </c>
      <c r="AT4367" s="3" t="s">
        <v>128</v>
      </c>
      <c r="AU4367" s="6" t="str">
        <f>HYPERLINK("http://catalog.hathitrust.org/Record/000788224","HathiTrust Record")</f>
        <v>HathiTrust Record</v>
      </c>
      <c r="AV4367" s="6" t="str">
        <f>HYPERLINK("http://mcgill.on.worldcat.org/oclc/21510943","Catalog Record")</f>
        <v>Catalog Record</v>
      </c>
      <c r="AW4367" s="6" t="str">
        <f>HYPERLINK("http://www.worldcat.org/oclc/21510943","WorldCat Record")</f>
        <v>WorldCat Record</v>
      </c>
      <c r="AX4367" s="3" t="s">
        <v>42540</v>
      </c>
      <c r="AY4367" s="3" t="s">
        <v>42541</v>
      </c>
      <c r="AZ4367" s="3" t="s">
        <v>42542</v>
      </c>
      <c r="BA4367" s="3" t="s">
        <v>42542</v>
      </c>
      <c r="BB4367" s="3" t="s">
        <v>42543</v>
      </c>
      <c r="BC4367" s="3" t="s">
        <v>77</v>
      </c>
      <c r="BD4367" s="3" t="s">
        <v>78</v>
      </c>
      <c r="BF4367" s="3" t="s">
        <v>42543</v>
      </c>
      <c r="BG4367" s="3" t="s">
        <v>42544</v>
      </c>
      <c r="BH4367">
        <f t="shared" si="135"/>
        <v>0</v>
      </c>
    </row>
    <row r="4368" spans="1:60" ht="116" x14ac:dyDescent="0.35">
      <c r="A4368" s="2" t="s">
        <v>59</v>
      </c>
      <c r="B4368" s="2" t="s">
        <v>1183</v>
      </c>
      <c r="C4368" s="2" t="s">
        <v>42545</v>
      </c>
      <c r="D4368" s="2" t="s">
        <v>42546</v>
      </c>
      <c r="E4368" s="2" t="s">
        <v>42547</v>
      </c>
      <c r="G4368" s="3" t="s">
        <v>64</v>
      </c>
      <c r="I4368" s="3" t="s">
        <v>64</v>
      </c>
      <c r="J4368" s="3" t="s">
        <v>64</v>
      </c>
      <c r="K4368" s="3" t="s">
        <v>65</v>
      </c>
      <c r="L4368" s="2" t="s">
        <v>42548</v>
      </c>
      <c r="M4368" s="2" t="s">
        <v>42549</v>
      </c>
      <c r="N4368" s="3" t="s">
        <v>378</v>
      </c>
      <c r="O4368" s="2" t="s">
        <v>1189</v>
      </c>
      <c r="P4368" s="3" t="s">
        <v>1190</v>
      </c>
      <c r="Q4368" s="2" t="s">
        <v>42550</v>
      </c>
      <c r="R4368" s="3" t="s">
        <v>70</v>
      </c>
      <c r="S4368" s="4">
        <v>2</v>
      </c>
      <c r="T4368" s="4">
        <v>2</v>
      </c>
      <c r="U4368" s="5" t="s">
        <v>19668</v>
      </c>
      <c r="V4368" s="5" t="s">
        <v>19668</v>
      </c>
      <c r="W4368" s="5" t="s">
        <v>72</v>
      </c>
      <c r="X4368" s="5" t="s">
        <v>72</v>
      </c>
      <c r="Y4368" s="4">
        <v>8</v>
      </c>
      <c r="Z4368" s="4">
        <v>1</v>
      </c>
      <c r="AA4368" s="4">
        <v>1</v>
      </c>
      <c r="AB4368" s="4">
        <v>1</v>
      </c>
      <c r="AC4368" s="4">
        <v>1</v>
      </c>
      <c r="AD4368" s="4">
        <v>2</v>
      </c>
      <c r="AE4368" s="4">
        <v>2</v>
      </c>
      <c r="AF4368" s="4">
        <v>0</v>
      </c>
      <c r="AG4368" s="4">
        <v>0</v>
      </c>
      <c r="AH4368" s="4">
        <v>2</v>
      </c>
      <c r="AI4368" s="4">
        <v>2</v>
      </c>
      <c r="AJ4368" s="4">
        <v>0</v>
      </c>
      <c r="AK4368" s="4">
        <v>0</v>
      </c>
      <c r="AL4368" s="4">
        <v>1</v>
      </c>
      <c r="AM4368" s="4">
        <v>1</v>
      </c>
      <c r="AN4368" s="4">
        <v>0</v>
      </c>
      <c r="AO4368" s="4">
        <v>0</v>
      </c>
      <c r="AP4368" s="4">
        <v>0</v>
      </c>
      <c r="AQ4368" s="4">
        <v>0</v>
      </c>
      <c r="AR4368" s="3" t="s">
        <v>64</v>
      </c>
      <c r="AS4368" s="3" t="s">
        <v>64</v>
      </c>
      <c r="AT4368" s="3" t="s">
        <v>128</v>
      </c>
      <c r="AU4368" s="6" t="str">
        <f>HYPERLINK("http://catalog.hathitrust.org/Record/007817078","HathiTrust Record")</f>
        <v>HathiTrust Record</v>
      </c>
      <c r="AV4368" s="6" t="str">
        <f>HYPERLINK("http://mcgill.on.worldcat.org/oclc/25708900","Catalog Record")</f>
        <v>Catalog Record</v>
      </c>
      <c r="AW4368" s="6" t="str">
        <f>HYPERLINK("http://www.worldcat.org/oclc/25708900","WorldCat Record")</f>
        <v>WorldCat Record</v>
      </c>
      <c r="AX4368" s="3" t="s">
        <v>42551</v>
      </c>
      <c r="AY4368" s="3" t="s">
        <v>42552</v>
      </c>
      <c r="AZ4368" s="3" t="s">
        <v>42553</v>
      </c>
      <c r="BA4368" s="3" t="s">
        <v>42553</v>
      </c>
      <c r="BB4368" s="3" t="s">
        <v>42554</v>
      </c>
      <c r="BC4368" s="3" t="s">
        <v>77</v>
      </c>
      <c r="BD4368" s="3" t="s">
        <v>78</v>
      </c>
      <c r="BF4368" s="3" t="s">
        <v>42554</v>
      </c>
      <c r="BG4368" s="3" t="s">
        <v>42555</v>
      </c>
      <c r="BH4368">
        <f t="shared" si="135"/>
        <v>0</v>
      </c>
    </row>
    <row r="4369" spans="1:60" ht="116" x14ac:dyDescent="0.35">
      <c r="A4369" s="2" t="s">
        <v>59</v>
      </c>
      <c r="B4369" s="2" t="s">
        <v>1183</v>
      </c>
      <c r="C4369" s="2" t="s">
        <v>42556</v>
      </c>
      <c r="D4369" s="2" t="s">
        <v>42557</v>
      </c>
      <c r="E4369" s="2" t="s">
        <v>42558</v>
      </c>
      <c r="G4369" s="3" t="s">
        <v>64</v>
      </c>
      <c r="I4369" s="3" t="s">
        <v>64</v>
      </c>
      <c r="J4369" s="3" t="s">
        <v>64</v>
      </c>
      <c r="K4369" s="3" t="s">
        <v>65</v>
      </c>
      <c r="L4369" s="2" t="s">
        <v>42559</v>
      </c>
      <c r="M4369" s="2" t="s">
        <v>42560</v>
      </c>
      <c r="N4369" s="3" t="s">
        <v>578</v>
      </c>
      <c r="O4369" s="2" t="s">
        <v>11357</v>
      </c>
      <c r="P4369" s="3" t="s">
        <v>1190</v>
      </c>
      <c r="Q4369" s="2" t="s">
        <v>42561</v>
      </c>
      <c r="R4369" s="3" t="s">
        <v>70</v>
      </c>
      <c r="S4369" s="4">
        <v>0</v>
      </c>
      <c r="T4369" s="4">
        <v>0</v>
      </c>
      <c r="W4369" s="5" t="s">
        <v>72</v>
      </c>
      <c r="X4369" s="5" t="s">
        <v>72</v>
      </c>
      <c r="Y4369" s="4">
        <v>29</v>
      </c>
      <c r="Z4369" s="4">
        <v>3</v>
      </c>
      <c r="AA4369" s="4">
        <v>3</v>
      </c>
      <c r="AB4369" s="4">
        <v>1</v>
      </c>
      <c r="AC4369" s="4">
        <v>1</v>
      </c>
      <c r="AD4369" s="4">
        <v>21</v>
      </c>
      <c r="AE4369" s="4">
        <v>21</v>
      </c>
      <c r="AF4369" s="4">
        <v>0</v>
      </c>
      <c r="AG4369" s="4">
        <v>0</v>
      </c>
      <c r="AH4369" s="4">
        <v>20</v>
      </c>
      <c r="AI4369" s="4">
        <v>20</v>
      </c>
      <c r="AJ4369" s="4">
        <v>2</v>
      </c>
      <c r="AK4369" s="4">
        <v>2</v>
      </c>
      <c r="AL4369" s="4">
        <v>18</v>
      </c>
      <c r="AM4369" s="4">
        <v>18</v>
      </c>
      <c r="AN4369" s="4">
        <v>0</v>
      </c>
      <c r="AO4369" s="4">
        <v>0</v>
      </c>
      <c r="AP4369" s="4">
        <v>2</v>
      </c>
      <c r="AQ4369" s="4">
        <v>2</v>
      </c>
      <c r="AR4369" s="3" t="s">
        <v>64</v>
      </c>
      <c r="AS4369" s="3" t="s">
        <v>64</v>
      </c>
      <c r="AT4369" s="3" t="s">
        <v>64</v>
      </c>
      <c r="AV4369" s="6" t="str">
        <f>HYPERLINK("http://mcgill.on.worldcat.org/oclc/999647817","Catalog Record")</f>
        <v>Catalog Record</v>
      </c>
      <c r="AW4369" s="6" t="str">
        <f>HYPERLINK("http://www.worldcat.org/oclc/999647817","WorldCat Record")</f>
        <v>WorldCat Record</v>
      </c>
      <c r="AX4369" s="3" t="s">
        <v>42562</v>
      </c>
      <c r="AY4369" s="3" t="s">
        <v>42563</v>
      </c>
      <c r="AZ4369" s="3" t="s">
        <v>42564</v>
      </c>
      <c r="BA4369" s="3" t="s">
        <v>42564</v>
      </c>
      <c r="BB4369" s="3" t="s">
        <v>42565</v>
      </c>
      <c r="BC4369" s="3" t="s">
        <v>77</v>
      </c>
      <c r="BD4369" s="3" t="s">
        <v>78</v>
      </c>
      <c r="BE4369" s="3" t="s">
        <v>42566</v>
      </c>
      <c r="BF4369" s="3" t="s">
        <v>42565</v>
      </c>
      <c r="BG4369" s="3" t="s">
        <v>42567</v>
      </c>
      <c r="BH4369">
        <f t="shared" si="135"/>
        <v>0</v>
      </c>
    </row>
    <row r="4370" spans="1:60" ht="174" x14ac:dyDescent="0.35">
      <c r="A4370" s="2" t="s">
        <v>59</v>
      </c>
      <c r="B4370" s="2" t="s">
        <v>1183</v>
      </c>
      <c r="C4370" s="2" t="s">
        <v>42568</v>
      </c>
      <c r="D4370" s="2" t="s">
        <v>42569</v>
      </c>
      <c r="E4370" s="2" t="s">
        <v>42570</v>
      </c>
      <c r="G4370" s="3" t="s">
        <v>64</v>
      </c>
      <c r="I4370" s="3" t="s">
        <v>64</v>
      </c>
      <c r="J4370" s="3" t="s">
        <v>64</v>
      </c>
      <c r="K4370" s="3" t="s">
        <v>65</v>
      </c>
      <c r="M4370" s="2" t="s">
        <v>42560</v>
      </c>
      <c r="N4370" s="3" t="s">
        <v>578</v>
      </c>
      <c r="O4370" s="2" t="s">
        <v>11357</v>
      </c>
      <c r="P4370" s="3" t="s">
        <v>1190</v>
      </c>
      <c r="Q4370" s="2" t="s">
        <v>42561</v>
      </c>
      <c r="R4370" s="3" t="s">
        <v>70</v>
      </c>
      <c r="S4370" s="4">
        <v>0</v>
      </c>
      <c r="T4370" s="4">
        <v>0</v>
      </c>
      <c r="W4370" s="5" t="s">
        <v>72</v>
      </c>
      <c r="X4370" s="5" t="s">
        <v>72</v>
      </c>
      <c r="Y4370" s="4">
        <v>28</v>
      </c>
      <c r="Z4370" s="4">
        <v>3</v>
      </c>
      <c r="AA4370" s="4">
        <v>3</v>
      </c>
      <c r="AB4370" s="4">
        <v>1</v>
      </c>
      <c r="AC4370" s="4">
        <v>1</v>
      </c>
      <c r="AD4370" s="4">
        <v>23</v>
      </c>
      <c r="AE4370" s="4">
        <v>23</v>
      </c>
      <c r="AF4370" s="4">
        <v>0</v>
      </c>
      <c r="AG4370" s="4">
        <v>0</v>
      </c>
      <c r="AH4370" s="4">
        <v>22</v>
      </c>
      <c r="AI4370" s="4">
        <v>22</v>
      </c>
      <c r="AJ4370" s="4">
        <v>2</v>
      </c>
      <c r="AK4370" s="4">
        <v>2</v>
      </c>
      <c r="AL4370" s="4">
        <v>20</v>
      </c>
      <c r="AM4370" s="4">
        <v>20</v>
      </c>
      <c r="AN4370" s="4">
        <v>0</v>
      </c>
      <c r="AO4370" s="4">
        <v>0</v>
      </c>
      <c r="AP4370" s="4">
        <v>2</v>
      </c>
      <c r="AQ4370" s="4">
        <v>2</v>
      </c>
      <c r="AR4370" s="3" t="s">
        <v>64</v>
      </c>
      <c r="AS4370" s="3" t="s">
        <v>64</v>
      </c>
      <c r="AT4370" s="3" t="s">
        <v>64</v>
      </c>
      <c r="AV4370" s="6" t="str">
        <f>HYPERLINK("http://mcgill.on.worldcat.org/oclc/988754502","Catalog Record")</f>
        <v>Catalog Record</v>
      </c>
      <c r="AW4370" s="6" t="str">
        <f>HYPERLINK("http://www.worldcat.org/oclc/988754502","WorldCat Record")</f>
        <v>WorldCat Record</v>
      </c>
      <c r="AX4370" s="3" t="s">
        <v>42571</v>
      </c>
      <c r="AY4370" s="3" t="s">
        <v>42572</v>
      </c>
      <c r="AZ4370" s="3" t="s">
        <v>42573</v>
      </c>
      <c r="BA4370" s="3" t="s">
        <v>42573</v>
      </c>
      <c r="BB4370" s="3" t="s">
        <v>42574</v>
      </c>
      <c r="BC4370" s="3" t="s">
        <v>77</v>
      </c>
      <c r="BD4370" s="3" t="s">
        <v>78</v>
      </c>
      <c r="BE4370" s="3" t="s">
        <v>42575</v>
      </c>
      <c r="BF4370" s="3" t="s">
        <v>42574</v>
      </c>
      <c r="BG4370" s="3" t="s">
        <v>42576</v>
      </c>
      <c r="BH4370">
        <f t="shared" si="135"/>
        <v>0</v>
      </c>
    </row>
    <row r="4371" spans="1:60" ht="116" x14ac:dyDescent="0.35">
      <c r="A4371" s="2" t="s">
        <v>59</v>
      </c>
      <c r="B4371" s="2" t="s">
        <v>25844</v>
      </c>
      <c r="C4371" s="2" t="s">
        <v>42577</v>
      </c>
      <c r="D4371" s="2" t="s">
        <v>42578</v>
      </c>
      <c r="E4371" s="2" t="s">
        <v>42579</v>
      </c>
      <c r="F4371" s="3" t="s">
        <v>10094</v>
      </c>
      <c r="G4371" s="3" t="s">
        <v>128</v>
      </c>
      <c r="I4371" s="3" t="s">
        <v>64</v>
      </c>
      <c r="J4371" s="3" t="s">
        <v>64</v>
      </c>
      <c r="K4371" s="3" t="s">
        <v>65</v>
      </c>
      <c r="M4371" s="2" t="s">
        <v>42580</v>
      </c>
      <c r="N4371" s="3" t="s">
        <v>511</v>
      </c>
      <c r="O4371" s="2" t="s">
        <v>35883</v>
      </c>
      <c r="P4371" s="3" t="s">
        <v>1190</v>
      </c>
      <c r="R4371" s="3" t="s">
        <v>70</v>
      </c>
      <c r="S4371" s="4">
        <v>0</v>
      </c>
      <c r="T4371" s="4">
        <v>0</v>
      </c>
      <c r="W4371" s="5" t="s">
        <v>72</v>
      </c>
      <c r="X4371" s="5" t="s">
        <v>72</v>
      </c>
      <c r="Y4371" s="4">
        <v>39</v>
      </c>
      <c r="Z4371" s="4">
        <v>4</v>
      </c>
      <c r="AA4371" s="4">
        <v>4</v>
      </c>
      <c r="AB4371" s="4">
        <v>1</v>
      </c>
      <c r="AC4371" s="4">
        <v>1</v>
      </c>
      <c r="AD4371" s="4">
        <v>30</v>
      </c>
      <c r="AE4371" s="4">
        <v>30</v>
      </c>
      <c r="AF4371" s="4">
        <v>0</v>
      </c>
      <c r="AG4371" s="4">
        <v>0</v>
      </c>
      <c r="AH4371" s="4">
        <v>30</v>
      </c>
      <c r="AI4371" s="4">
        <v>30</v>
      </c>
      <c r="AJ4371" s="4">
        <v>2</v>
      </c>
      <c r="AK4371" s="4">
        <v>2</v>
      </c>
      <c r="AL4371" s="4">
        <v>27</v>
      </c>
      <c r="AM4371" s="4">
        <v>27</v>
      </c>
      <c r="AN4371" s="4">
        <v>0</v>
      </c>
      <c r="AO4371" s="4">
        <v>0</v>
      </c>
      <c r="AP4371" s="4">
        <v>2</v>
      </c>
      <c r="AQ4371" s="4">
        <v>2</v>
      </c>
      <c r="AR4371" s="3" t="s">
        <v>64</v>
      </c>
      <c r="AS4371" s="3" t="s">
        <v>64</v>
      </c>
      <c r="AT4371" s="3" t="s">
        <v>128</v>
      </c>
      <c r="AU4371" s="6" t="str">
        <f t="shared" ref="AU4371:AU4378" si="136">HYPERLINK("http://catalog.hathitrust.org/Record/102583067","HathiTrust Record")</f>
        <v>HathiTrust Record</v>
      </c>
      <c r="AV4371" s="6" t="str">
        <f t="shared" ref="AV4371:AV4378" si="137">HYPERLINK("http://mcgill.on.worldcat.org/oclc/727274038","Catalog Record")</f>
        <v>Catalog Record</v>
      </c>
      <c r="AW4371" s="6" t="str">
        <f t="shared" ref="AW4371:AW4378" si="138">HYPERLINK("http://www.worldcat.org/oclc/727274038","WorldCat Record")</f>
        <v>WorldCat Record</v>
      </c>
      <c r="AX4371" s="3" t="s">
        <v>42581</v>
      </c>
      <c r="AY4371" s="3" t="s">
        <v>42582</v>
      </c>
      <c r="AZ4371" s="3" t="s">
        <v>42583</v>
      </c>
      <c r="BA4371" s="3" t="s">
        <v>42583</v>
      </c>
      <c r="BB4371" s="3" t="s">
        <v>42584</v>
      </c>
      <c r="BC4371" s="3" t="s">
        <v>77</v>
      </c>
      <c r="BD4371" s="3" t="s">
        <v>78</v>
      </c>
      <c r="BE4371" s="3" t="s">
        <v>42585</v>
      </c>
      <c r="BF4371" s="3" t="s">
        <v>42584</v>
      </c>
      <c r="BG4371" s="3" t="s">
        <v>42586</v>
      </c>
      <c r="BH4371">
        <f t="shared" si="135"/>
        <v>0</v>
      </c>
    </row>
    <row r="4372" spans="1:60" ht="116" x14ac:dyDescent="0.35">
      <c r="A4372" s="2" t="s">
        <v>59</v>
      </c>
      <c r="B4372" s="2" t="s">
        <v>25844</v>
      </c>
      <c r="C4372" s="2" t="s">
        <v>42577</v>
      </c>
      <c r="D4372" s="2" t="s">
        <v>42578</v>
      </c>
      <c r="E4372" s="2" t="s">
        <v>42579</v>
      </c>
      <c r="F4372" s="3" t="s">
        <v>11444</v>
      </c>
      <c r="G4372" s="3" t="s">
        <v>128</v>
      </c>
      <c r="I4372" s="3" t="s">
        <v>64</v>
      </c>
      <c r="J4372" s="3" t="s">
        <v>64</v>
      </c>
      <c r="K4372" s="3" t="s">
        <v>65</v>
      </c>
      <c r="M4372" s="2" t="s">
        <v>42580</v>
      </c>
      <c r="N4372" s="3" t="s">
        <v>511</v>
      </c>
      <c r="O4372" s="2" t="s">
        <v>35883</v>
      </c>
      <c r="P4372" s="3" t="s">
        <v>1190</v>
      </c>
      <c r="R4372" s="3" t="s">
        <v>70</v>
      </c>
      <c r="S4372" s="4">
        <v>0</v>
      </c>
      <c r="T4372" s="4">
        <v>0</v>
      </c>
      <c r="W4372" s="5" t="s">
        <v>72</v>
      </c>
      <c r="X4372" s="5" t="s">
        <v>72</v>
      </c>
      <c r="Y4372" s="4">
        <v>39</v>
      </c>
      <c r="Z4372" s="4">
        <v>4</v>
      </c>
      <c r="AA4372" s="4">
        <v>4</v>
      </c>
      <c r="AB4372" s="4">
        <v>1</v>
      </c>
      <c r="AC4372" s="4">
        <v>1</v>
      </c>
      <c r="AD4372" s="4">
        <v>30</v>
      </c>
      <c r="AE4372" s="4">
        <v>30</v>
      </c>
      <c r="AF4372" s="4">
        <v>0</v>
      </c>
      <c r="AG4372" s="4">
        <v>0</v>
      </c>
      <c r="AH4372" s="4">
        <v>30</v>
      </c>
      <c r="AI4372" s="4">
        <v>30</v>
      </c>
      <c r="AJ4372" s="4">
        <v>2</v>
      </c>
      <c r="AK4372" s="4">
        <v>2</v>
      </c>
      <c r="AL4372" s="4">
        <v>27</v>
      </c>
      <c r="AM4372" s="4">
        <v>27</v>
      </c>
      <c r="AN4372" s="4">
        <v>0</v>
      </c>
      <c r="AO4372" s="4">
        <v>0</v>
      </c>
      <c r="AP4372" s="4">
        <v>2</v>
      </c>
      <c r="AQ4372" s="4">
        <v>2</v>
      </c>
      <c r="AR4372" s="3" t="s">
        <v>64</v>
      </c>
      <c r="AS4372" s="3" t="s">
        <v>64</v>
      </c>
      <c r="AT4372" s="3" t="s">
        <v>128</v>
      </c>
      <c r="AU4372" s="6" t="str">
        <f t="shared" si="136"/>
        <v>HathiTrust Record</v>
      </c>
      <c r="AV4372" s="6" t="str">
        <f t="shared" si="137"/>
        <v>Catalog Record</v>
      </c>
      <c r="AW4372" s="6" t="str">
        <f t="shared" si="138"/>
        <v>WorldCat Record</v>
      </c>
      <c r="AX4372" s="3" t="s">
        <v>42581</v>
      </c>
      <c r="AY4372" s="3" t="s">
        <v>42582</v>
      </c>
      <c r="AZ4372" s="3" t="s">
        <v>42583</v>
      </c>
      <c r="BA4372" s="3" t="s">
        <v>42583</v>
      </c>
      <c r="BB4372" s="3" t="s">
        <v>42587</v>
      </c>
      <c r="BC4372" s="3" t="s">
        <v>77</v>
      </c>
      <c r="BD4372" s="3" t="s">
        <v>78</v>
      </c>
      <c r="BE4372" s="3" t="s">
        <v>42585</v>
      </c>
      <c r="BF4372" s="3" t="s">
        <v>42587</v>
      </c>
      <c r="BG4372" s="3" t="s">
        <v>42588</v>
      </c>
      <c r="BH4372">
        <f t="shared" si="135"/>
        <v>0</v>
      </c>
    </row>
    <row r="4373" spans="1:60" ht="116" x14ac:dyDescent="0.35">
      <c r="A4373" s="2" t="s">
        <v>59</v>
      </c>
      <c r="B4373" s="2" t="s">
        <v>25844</v>
      </c>
      <c r="C4373" s="2" t="s">
        <v>42577</v>
      </c>
      <c r="D4373" s="2" t="s">
        <v>42578</v>
      </c>
      <c r="E4373" s="2" t="s">
        <v>42579</v>
      </c>
      <c r="F4373" s="3" t="s">
        <v>522</v>
      </c>
      <c r="G4373" s="3" t="s">
        <v>128</v>
      </c>
      <c r="I4373" s="3" t="s">
        <v>64</v>
      </c>
      <c r="J4373" s="3" t="s">
        <v>64</v>
      </c>
      <c r="K4373" s="3" t="s">
        <v>65</v>
      </c>
      <c r="M4373" s="2" t="s">
        <v>42580</v>
      </c>
      <c r="N4373" s="3" t="s">
        <v>511</v>
      </c>
      <c r="O4373" s="2" t="s">
        <v>35883</v>
      </c>
      <c r="P4373" s="3" t="s">
        <v>1190</v>
      </c>
      <c r="R4373" s="3" t="s">
        <v>70</v>
      </c>
      <c r="S4373" s="4">
        <v>0</v>
      </c>
      <c r="T4373" s="4">
        <v>0</v>
      </c>
      <c r="W4373" s="5" t="s">
        <v>72</v>
      </c>
      <c r="X4373" s="5" t="s">
        <v>72</v>
      </c>
      <c r="Y4373" s="4">
        <v>39</v>
      </c>
      <c r="Z4373" s="4">
        <v>4</v>
      </c>
      <c r="AA4373" s="4">
        <v>4</v>
      </c>
      <c r="AB4373" s="4">
        <v>1</v>
      </c>
      <c r="AC4373" s="4">
        <v>1</v>
      </c>
      <c r="AD4373" s="4">
        <v>30</v>
      </c>
      <c r="AE4373" s="4">
        <v>30</v>
      </c>
      <c r="AF4373" s="4">
        <v>0</v>
      </c>
      <c r="AG4373" s="4">
        <v>0</v>
      </c>
      <c r="AH4373" s="4">
        <v>30</v>
      </c>
      <c r="AI4373" s="4">
        <v>30</v>
      </c>
      <c r="AJ4373" s="4">
        <v>2</v>
      </c>
      <c r="AK4373" s="4">
        <v>2</v>
      </c>
      <c r="AL4373" s="4">
        <v>27</v>
      </c>
      <c r="AM4373" s="4">
        <v>27</v>
      </c>
      <c r="AN4373" s="4">
        <v>0</v>
      </c>
      <c r="AO4373" s="4">
        <v>0</v>
      </c>
      <c r="AP4373" s="4">
        <v>2</v>
      </c>
      <c r="AQ4373" s="4">
        <v>2</v>
      </c>
      <c r="AR4373" s="3" t="s">
        <v>64</v>
      </c>
      <c r="AS4373" s="3" t="s">
        <v>64</v>
      </c>
      <c r="AT4373" s="3" t="s">
        <v>128</v>
      </c>
      <c r="AU4373" s="6" t="str">
        <f t="shared" si="136"/>
        <v>HathiTrust Record</v>
      </c>
      <c r="AV4373" s="6" t="str">
        <f t="shared" si="137"/>
        <v>Catalog Record</v>
      </c>
      <c r="AW4373" s="6" t="str">
        <f t="shared" si="138"/>
        <v>WorldCat Record</v>
      </c>
      <c r="AX4373" s="3" t="s">
        <v>42581</v>
      </c>
      <c r="AY4373" s="3" t="s">
        <v>42582</v>
      </c>
      <c r="AZ4373" s="3" t="s">
        <v>42583</v>
      </c>
      <c r="BA4373" s="3" t="s">
        <v>42583</v>
      </c>
      <c r="BB4373" s="3" t="s">
        <v>42589</v>
      </c>
      <c r="BC4373" s="3" t="s">
        <v>77</v>
      </c>
      <c r="BD4373" s="3" t="s">
        <v>78</v>
      </c>
      <c r="BE4373" s="3" t="s">
        <v>42585</v>
      </c>
      <c r="BF4373" s="3" t="s">
        <v>42589</v>
      </c>
      <c r="BG4373" s="3" t="s">
        <v>42590</v>
      </c>
      <c r="BH4373">
        <f t="shared" si="135"/>
        <v>0</v>
      </c>
    </row>
    <row r="4374" spans="1:60" ht="116" x14ac:dyDescent="0.35">
      <c r="A4374" s="2" t="s">
        <v>59</v>
      </c>
      <c r="B4374" s="2" t="s">
        <v>25844</v>
      </c>
      <c r="C4374" s="2" t="s">
        <v>42577</v>
      </c>
      <c r="D4374" s="2" t="s">
        <v>42578</v>
      </c>
      <c r="E4374" s="2" t="s">
        <v>42579</v>
      </c>
      <c r="F4374" s="3" t="s">
        <v>519</v>
      </c>
      <c r="G4374" s="3" t="s">
        <v>128</v>
      </c>
      <c r="I4374" s="3" t="s">
        <v>64</v>
      </c>
      <c r="J4374" s="3" t="s">
        <v>64</v>
      </c>
      <c r="K4374" s="3" t="s">
        <v>65</v>
      </c>
      <c r="M4374" s="2" t="s">
        <v>42580</v>
      </c>
      <c r="N4374" s="3" t="s">
        <v>511</v>
      </c>
      <c r="O4374" s="2" t="s">
        <v>35883</v>
      </c>
      <c r="P4374" s="3" t="s">
        <v>1190</v>
      </c>
      <c r="R4374" s="3" t="s">
        <v>70</v>
      </c>
      <c r="S4374" s="4">
        <v>0</v>
      </c>
      <c r="T4374" s="4">
        <v>0</v>
      </c>
      <c r="W4374" s="5" t="s">
        <v>72</v>
      </c>
      <c r="X4374" s="5" t="s">
        <v>72</v>
      </c>
      <c r="Y4374" s="4">
        <v>39</v>
      </c>
      <c r="Z4374" s="4">
        <v>4</v>
      </c>
      <c r="AA4374" s="4">
        <v>4</v>
      </c>
      <c r="AB4374" s="4">
        <v>1</v>
      </c>
      <c r="AC4374" s="4">
        <v>1</v>
      </c>
      <c r="AD4374" s="4">
        <v>30</v>
      </c>
      <c r="AE4374" s="4">
        <v>30</v>
      </c>
      <c r="AF4374" s="4">
        <v>0</v>
      </c>
      <c r="AG4374" s="4">
        <v>0</v>
      </c>
      <c r="AH4374" s="4">
        <v>30</v>
      </c>
      <c r="AI4374" s="4">
        <v>30</v>
      </c>
      <c r="AJ4374" s="4">
        <v>2</v>
      </c>
      <c r="AK4374" s="4">
        <v>2</v>
      </c>
      <c r="AL4374" s="4">
        <v>27</v>
      </c>
      <c r="AM4374" s="4">
        <v>27</v>
      </c>
      <c r="AN4374" s="4">
        <v>0</v>
      </c>
      <c r="AO4374" s="4">
        <v>0</v>
      </c>
      <c r="AP4374" s="4">
        <v>2</v>
      </c>
      <c r="AQ4374" s="4">
        <v>2</v>
      </c>
      <c r="AR4374" s="3" t="s">
        <v>64</v>
      </c>
      <c r="AS4374" s="3" t="s">
        <v>64</v>
      </c>
      <c r="AT4374" s="3" t="s">
        <v>128</v>
      </c>
      <c r="AU4374" s="6" t="str">
        <f t="shared" si="136"/>
        <v>HathiTrust Record</v>
      </c>
      <c r="AV4374" s="6" t="str">
        <f t="shared" si="137"/>
        <v>Catalog Record</v>
      </c>
      <c r="AW4374" s="6" t="str">
        <f t="shared" si="138"/>
        <v>WorldCat Record</v>
      </c>
      <c r="AX4374" s="3" t="s">
        <v>42581</v>
      </c>
      <c r="AY4374" s="3" t="s">
        <v>42582</v>
      </c>
      <c r="AZ4374" s="3" t="s">
        <v>42583</v>
      </c>
      <c r="BA4374" s="3" t="s">
        <v>42583</v>
      </c>
      <c r="BB4374" s="3" t="s">
        <v>42591</v>
      </c>
      <c r="BC4374" s="3" t="s">
        <v>77</v>
      </c>
      <c r="BD4374" s="3" t="s">
        <v>78</v>
      </c>
      <c r="BE4374" s="3" t="s">
        <v>42585</v>
      </c>
      <c r="BF4374" s="3" t="s">
        <v>42591</v>
      </c>
      <c r="BG4374" s="3" t="s">
        <v>42592</v>
      </c>
      <c r="BH4374">
        <f t="shared" si="135"/>
        <v>0</v>
      </c>
    </row>
    <row r="4375" spans="1:60" ht="116" x14ac:dyDescent="0.35">
      <c r="A4375" s="2" t="s">
        <v>59</v>
      </c>
      <c r="B4375" s="2" t="s">
        <v>25844</v>
      </c>
      <c r="C4375" s="2" t="s">
        <v>42577</v>
      </c>
      <c r="D4375" s="2" t="s">
        <v>42578</v>
      </c>
      <c r="E4375" s="2" t="s">
        <v>42579</v>
      </c>
      <c r="F4375" s="3" t="s">
        <v>529</v>
      </c>
      <c r="G4375" s="3" t="s">
        <v>128</v>
      </c>
      <c r="I4375" s="3" t="s">
        <v>64</v>
      </c>
      <c r="J4375" s="3" t="s">
        <v>64</v>
      </c>
      <c r="K4375" s="3" t="s">
        <v>65</v>
      </c>
      <c r="M4375" s="2" t="s">
        <v>42580</v>
      </c>
      <c r="N4375" s="3" t="s">
        <v>511</v>
      </c>
      <c r="O4375" s="2" t="s">
        <v>35883</v>
      </c>
      <c r="P4375" s="3" t="s">
        <v>1190</v>
      </c>
      <c r="R4375" s="3" t="s">
        <v>70</v>
      </c>
      <c r="S4375" s="4">
        <v>0</v>
      </c>
      <c r="T4375" s="4">
        <v>0</v>
      </c>
      <c r="W4375" s="5" t="s">
        <v>72</v>
      </c>
      <c r="X4375" s="5" t="s">
        <v>72</v>
      </c>
      <c r="Y4375" s="4">
        <v>39</v>
      </c>
      <c r="Z4375" s="4">
        <v>4</v>
      </c>
      <c r="AA4375" s="4">
        <v>4</v>
      </c>
      <c r="AB4375" s="4">
        <v>1</v>
      </c>
      <c r="AC4375" s="4">
        <v>1</v>
      </c>
      <c r="AD4375" s="4">
        <v>30</v>
      </c>
      <c r="AE4375" s="4">
        <v>30</v>
      </c>
      <c r="AF4375" s="4">
        <v>0</v>
      </c>
      <c r="AG4375" s="4">
        <v>0</v>
      </c>
      <c r="AH4375" s="4">
        <v>30</v>
      </c>
      <c r="AI4375" s="4">
        <v>30</v>
      </c>
      <c r="AJ4375" s="4">
        <v>2</v>
      </c>
      <c r="AK4375" s="4">
        <v>2</v>
      </c>
      <c r="AL4375" s="4">
        <v>27</v>
      </c>
      <c r="AM4375" s="4">
        <v>27</v>
      </c>
      <c r="AN4375" s="4">
        <v>0</v>
      </c>
      <c r="AO4375" s="4">
        <v>0</v>
      </c>
      <c r="AP4375" s="4">
        <v>2</v>
      </c>
      <c r="AQ4375" s="4">
        <v>2</v>
      </c>
      <c r="AR4375" s="3" t="s">
        <v>64</v>
      </c>
      <c r="AS4375" s="3" t="s">
        <v>64</v>
      </c>
      <c r="AT4375" s="3" t="s">
        <v>128</v>
      </c>
      <c r="AU4375" s="6" t="str">
        <f t="shared" si="136"/>
        <v>HathiTrust Record</v>
      </c>
      <c r="AV4375" s="6" t="str">
        <f t="shared" si="137"/>
        <v>Catalog Record</v>
      </c>
      <c r="AW4375" s="6" t="str">
        <f t="shared" si="138"/>
        <v>WorldCat Record</v>
      </c>
      <c r="AX4375" s="3" t="s">
        <v>42581</v>
      </c>
      <c r="AY4375" s="3" t="s">
        <v>42582</v>
      </c>
      <c r="AZ4375" s="3" t="s">
        <v>42583</v>
      </c>
      <c r="BA4375" s="3" t="s">
        <v>42583</v>
      </c>
      <c r="BB4375" s="3" t="s">
        <v>42593</v>
      </c>
      <c r="BC4375" s="3" t="s">
        <v>77</v>
      </c>
      <c r="BD4375" s="3" t="s">
        <v>78</v>
      </c>
      <c r="BE4375" s="3" t="s">
        <v>42585</v>
      </c>
      <c r="BF4375" s="3" t="s">
        <v>42593</v>
      </c>
      <c r="BG4375" s="3" t="s">
        <v>42594</v>
      </c>
      <c r="BH4375">
        <f t="shared" si="135"/>
        <v>0</v>
      </c>
    </row>
    <row r="4376" spans="1:60" ht="116" x14ac:dyDescent="0.35">
      <c r="A4376" s="2" t="s">
        <v>59</v>
      </c>
      <c r="B4376" s="2" t="s">
        <v>25844</v>
      </c>
      <c r="C4376" s="2" t="s">
        <v>42577</v>
      </c>
      <c r="D4376" s="2" t="s">
        <v>42578</v>
      </c>
      <c r="E4376" s="2" t="s">
        <v>42579</v>
      </c>
      <c r="F4376" s="3" t="s">
        <v>509</v>
      </c>
      <c r="G4376" s="3" t="s">
        <v>128</v>
      </c>
      <c r="I4376" s="3" t="s">
        <v>64</v>
      </c>
      <c r="J4376" s="3" t="s">
        <v>64</v>
      </c>
      <c r="K4376" s="3" t="s">
        <v>65</v>
      </c>
      <c r="M4376" s="2" t="s">
        <v>42580</v>
      </c>
      <c r="N4376" s="3" t="s">
        <v>511</v>
      </c>
      <c r="O4376" s="2" t="s">
        <v>35883</v>
      </c>
      <c r="P4376" s="3" t="s">
        <v>1190</v>
      </c>
      <c r="R4376" s="3" t="s">
        <v>70</v>
      </c>
      <c r="S4376" s="4">
        <v>0</v>
      </c>
      <c r="T4376" s="4">
        <v>0</v>
      </c>
      <c r="W4376" s="5" t="s">
        <v>72</v>
      </c>
      <c r="X4376" s="5" t="s">
        <v>72</v>
      </c>
      <c r="Y4376" s="4">
        <v>39</v>
      </c>
      <c r="Z4376" s="4">
        <v>4</v>
      </c>
      <c r="AA4376" s="4">
        <v>4</v>
      </c>
      <c r="AB4376" s="4">
        <v>1</v>
      </c>
      <c r="AC4376" s="4">
        <v>1</v>
      </c>
      <c r="AD4376" s="4">
        <v>30</v>
      </c>
      <c r="AE4376" s="4">
        <v>30</v>
      </c>
      <c r="AF4376" s="4">
        <v>0</v>
      </c>
      <c r="AG4376" s="4">
        <v>0</v>
      </c>
      <c r="AH4376" s="4">
        <v>30</v>
      </c>
      <c r="AI4376" s="4">
        <v>30</v>
      </c>
      <c r="AJ4376" s="4">
        <v>2</v>
      </c>
      <c r="AK4376" s="4">
        <v>2</v>
      </c>
      <c r="AL4376" s="4">
        <v>27</v>
      </c>
      <c r="AM4376" s="4">
        <v>27</v>
      </c>
      <c r="AN4376" s="4">
        <v>0</v>
      </c>
      <c r="AO4376" s="4">
        <v>0</v>
      </c>
      <c r="AP4376" s="4">
        <v>2</v>
      </c>
      <c r="AQ4376" s="4">
        <v>2</v>
      </c>
      <c r="AR4376" s="3" t="s">
        <v>64</v>
      </c>
      <c r="AS4376" s="3" t="s">
        <v>64</v>
      </c>
      <c r="AT4376" s="3" t="s">
        <v>128</v>
      </c>
      <c r="AU4376" s="6" t="str">
        <f t="shared" si="136"/>
        <v>HathiTrust Record</v>
      </c>
      <c r="AV4376" s="6" t="str">
        <f t="shared" si="137"/>
        <v>Catalog Record</v>
      </c>
      <c r="AW4376" s="6" t="str">
        <f t="shared" si="138"/>
        <v>WorldCat Record</v>
      </c>
      <c r="AX4376" s="3" t="s">
        <v>42581</v>
      </c>
      <c r="AY4376" s="3" t="s">
        <v>42582</v>
      </c>
      <c r="AZ4376" s="3" t="s">
        <v>42583</v>
      </c>
      <c r="BA4376" s="3" t="s">
        <v>42583</v>
      </c>
      <c r="BB4376" s="3" t="s">
        <v>42595</v>
      </c>
      <c r="BC4376" s="3" t="s">
        <v>77</v>
      </c>
      <c r="BD4376" s="3" t="s">
        <v>78</v>
      </c>
      <c r="BE4376" s="3" t="s">
        <v>42585</v>
      </c>
      <c r="BF4376" s="3" t="s">
        <v>42595</v>
      </c>
      <c r="BG4376" s="3" t="s">
        <v>42596</v>
      </c>
      <c r="BH4376">
        <f t="shared" si="135"/>
        <v>0</v>
      </c>
    </row>
    <row r="4377" spans="1:60" ht="116" x14ac:dyDescent="0.35">
      <c r="A4377" s="2" t="s">
        <v>59</v>
      </c>
      <c r="B4377" s="2" t="s">
        <v>25844</v>
      </c>
      <c r="C4377" s="2" t="s">
        <v>42577</v>
      </c>
      <c r="D4377" s="2" t="s">
        <v>42578</v>
      </c>
      <c r="E4377" s="2" t="s">
        <v>42579</v>
      </c>
      <c r="F4377" s="3" t="s">
        <v>525</v>
      </c>
      <c r="G4377" s="3" t="s">
        <v>128</v>
      </c>
      <c r="I4377" s="3" t="s">
        <v>64</v>
      </c>
      <c r="J4377" s="3" t="s">
        <v>64</v>
      </c>
      <c r="K4377" s="3" t="s">
        <v>65</v>
      </c>
      <c r="M4377" s="2" t="s">
        <v>42580</v>
      </c>
      <c r="N4377" s="3" t="s">
        <v>511</v>
      </c>
      <c r="O4377" s="2" t="s">
        <v>35883</v>
      </c>
      <c r="P4377" s="3" t="s">
        <v>1190</v>
      </c>
      <c r="R4377" s="3" t="s">
        <v>70</v>
      </c>
      <c r="S4377" s="4">
        <v>0</v>
      </c>
      <c r="T4377" s="4">
        <v>0</v>
      </c>
      <c r="W4377" s="5" t="s">
        <v>72</v>
      </c>
      <c r="X4377" s="5" t="s">
        <v>72</v>
      </c>
      <c r="Y4377" s="4">
        <v>39</v>
      </c>
      <c r="Z4377" s="4">
        <v>4</v>
      </c>
      <c r="AA4377" s="4">
        <v>4</v>
      </c>
      <c r="AB4377" s="4">
        <v>1</v>
      </c>
      <c r="AC4377" s="4">
        <v>1</v>
      </c>
      <c r="AD4377" s="4">
        <v>30</v>
      </c>
      <c r="AE4377" s="4">
        <v>30</v>
      </c>
      <c r="AF4377" s="4">
        <v>0</v>
      </c>
      <c r="AG4377" s="4">
        <v>0</v>
      </c>
      <c r="AH4377" s="4">
        <v>30</v>
      </c>
      <c r="AI4377" s="4">
        <v>30</v>
      </c>
      <c r="AJ4377" s="4">
        <v>2</v>
      </c>
      <c r="AK4377" s="4">
        <v>2</v>
      </c>
      <c r="AL4377" s="4">
        <v>27</v>
      </c>
      <c r="AM4377" s="4">
        <v>27</v>
      </c>
      <c r="AN4377" s="4">
        <v>0</v>
      </c>
      <c r="AO4377" s="4">
        <v>0</v>
      </c>
      <c r="AP4377" s="4">
        <v>2</v>
      </c>
      <c r="AQ4377" s="4">
        <v>2</v>
      </c>
      <c r="AR4377" s="3" t="s">
        <v>64</v>
      </c>
      <c r="AS4377" s="3" t="s">
        <v>64</v>
      </c>
      <c r="AT4377" s="3" t="s">
        <v>128</v>
      </c>
      <c r="AU4377" s="6" t="str">
        <f t="shared" si="136"/>
        <v>HathiTrust Record</v>
      </c>
      <c r="AV4377" s="6" t="str">
        <f t="shared" si="137"/>
        <v>Catalog Record</v>
      </c>
      <c r="AW4377" s="6" t="str">
        <f t="shared" si="138"/>
        <v>WorldCat Record</v>
      </c>
      <c r="AX4377" s="3" t="s">
        <v>42581</v>
      </c>
      <c r="AY4377" s="3" t="s">
        <v>42582</v>
      </c>
      <c r="AZ4377" s="3" t="s">
        <v>42583</v>
      </c>
      <c r="BA4377" s="3" t="s">
        <v>42583</v>
      </c>
      <c r="BB4377" s="3" t="s">
        <v>42597</v>
      </c>
      <c r="BC4377" s="3" t="s">
        <v>77</v>
      </c>
      <c r="BD4377" s="3" t="s">
        <v>78</v>
      </c>
      <c r="BE4377" s="3" t="s">
        <v>42585</v>
      </c>
      <c r="BF4377" s="3" t="s">
        <v>42597</v>
      </c>
      <c r="BG4377" s="3" t="s">
        <v>42598</v>
      </c>
      <c r="BH4377">
        <f t="shared" si="135"/>
        <v>0</v>
      </c>
    </row>
    <row r="4378" spans="1:60" ht="116" x14ac:dyDescent="0.35">
      <c r="A4378" s="2" t="s">
        <v>59</v>
      </c>
      <c r="B4378" s="2" t="s">
        <v>25844</v>
      </c>
      <c r="C4378" s="2" t="s">
        <v>42577</v>
      </c>
      <c r="D4378" s="2" t="s">
        <v>42578</v>
      </c>
      <c r="E4378" s="2" t="s">
        <v>42579</v>
      </c>
      <c r="F4378" s="3" t="s">
        <v>11447</v>
      </c>
      <c r="G4378" s="3" t="s">
        <v>128</v>
      </c>
      <c r="I4378" s="3" t="s">
        <v>64</v>
      </c>
      <c r="J4378" s="3" t="s">
        <v>64</v>
      </c>
      <c r="K4378" s="3" t="s">
        <v>65</v>
      </c>
      <c r="M4378" s="2" t="s">
        <v>42580</v>
      </c>
      <c r="N4378" s="3" t="s">
        <v>511</v>
      </c>
      <c r="O4378" s="2" t="s">
        <v>35883</v>
      </c>
      <c r="P4378" s="3" t="s">
        <v>1190</v>
      </c>
      <c r="R4378" s="3" t="s">
        <v>70</v>
      </c>
      <c r="S4378" s="4">
        <v>0</v>
      </c>
      <c r="T4378" s="4">
        <v>0</v>
      </c>
      <c r="W4378" s="5" t="s">
        <v>72</v>
      </c>
      <c r="X4378" s="5" t="s">
        <v>72</v>
      </c>
      <c r="Y4378" s="4">
        <v>39</v>
      </c>
      <c r="Z4378" s="4">
        <v>4</v>
      </c>
      <c r="AA4378" s="4">
        <v>4</v>
      </c>
      <c r="AB4378" s="4">
        <v>1</v>
      </c>
      <c r="AC4378" s="4">
        <v>1</v>
      </c>
      <c r="AD4378" s="4">
        <v>30</v>
      </c>
      <c r="AE4378" s="4">
        <v>30</v>
      </c>
      <c r="AF4378" s="4">
        <v>0</v>
      </c>
      <c r="AG4378" s="4">
        <v>0</v>
      </c>
      <c r="AH4378" s="4">
        <v>30</v>
      </c>
      <c r="AI4378" s="4">
        <v>30</v>
      </c>
      <c r="AJ4378" s="4">
        <v>2</v>
      </c>
      <c r="AK4378" s="4">
        <v>2</v>
      </c>
      <c r="AL4378" s="4">
        <v>27</v>
      </c>
      <c r="AM4378" s="4">
        <v>27</v>
      </c>
      <c r="AN4378" s="4">
        <v>0</v>
      </c>
      <c r="AO4378" s="4">
        <v>0</v>
      </c>
      <c r="AP4378" s="4">
        <v>2</v>
      </c>
      <c r="AQ4378" s="4">
        <v>2</v>
      </c>
      <c r="AR4378" s="3" t="s">
        <v>64</v>
      </c>
      <c r="AS4378" s="3" t="s">
        <v>64</v>
      </c>
      <c r="AT4378" s="3" t="s">
        <v>128</v>
      </c>
      <c r="AU4378" s="6" t="str">
        <f t="shared" si="136"/>
        <v>HathiTrust Record</v>
      </c>
      <c r="AV4378" s="6" t="str">
        <f t="shared" si="137"/>
        <v>Catalog Record</v>
      </c>
      <c r="AW4378" s="6" t="str">
        <f t="shared" si="138"/>
        <v>WorldCat Record</v>
      </c>
      <c r="AX4378" s="3" t="s">
        <v>42581</v>
      </c>
      <c r="AY4378" s="3" t="s">
        <v>42582</v>
      </c>
      <c r="AZ4378" s="3" t="s">
        <v>42583</v>
      </c>
      <c r="BA4378" s="3" t="s">
        <v>42583</v>
      </c>
      <c r="BB4378" s="3" t="s">
        <v>42599</v>
      </c>
      <c r="BC4378" s="3" t="s">
        <v>77</v>
      </c>
      <c r="BD4378" s="3" t="s">
        <v>78</v>
      </c>
      <c r="BE4378" s="3" t="s">
        <v>42585</v>
      </c>
      <c r="BF4378" s="3" t="s">
        <v>42599</v>
      </c>
      <c r="BG4378" s="3" t="s">
        <v>42600</v>
      </c>
      <c r="BH4378">
        <f t="shared" si="135"/>
        <v>0</v>
      </c>
    </row>
    <row r="4379" spans="1:60" ht="58" x14ac:dyDescent="0.35">
      <c r="A4379" s="2" t="s">
        <v>6202</v>
      </c>
      <c r="B4379" s="2" t="s">
        <v>6203</v>
      </c>
      <c r="C4379" s="2" t="s">
        <v>42601</v>
      </c>
      <c r="D4379" s="2" t="s">
        <v>42602</v>
      </c>
      <c r="E4379" s="2" t="s">
        <v>42603</v>
      </c>
      <c r="G4379" s="3" t="s">
        <v>128</v>
      </c>
      <c r="I4379" s="3" t="s">
        <v>64</v>
      </c>
      <c r="J4379" s="3" t="s">
        <v>64</v>
      </c>
      <c r="K4379" s="3" t="s">
        <v>65</v>
      </c>
      <c r="L4379" s="2" t="s">
        <v>5199</v>
      </c>
      <c r="M4379" s="2" t="s">
        <v>42604</v>
      </c>
      <c r="N4379" s="3" t="s">
        <v>3047</v>
      </c>
      <c r="P4379" s="3" t="s">
        <v>102</v>
      </c>
      <c r="R4379" s="3" t="s">
        <v>70</v>
      </c>
      <c r="S4379" s="4">
        <v>3</v>
      </c>
      <c r="T4379" s="4">
        <v>3</v>
      </c>
      <c r="U4379" s="5" t="s">
        <v>42605</v>
      </c>
      <c r="V4379" s="5" t="s">
        <v>42605</v>
      </c>
      <c r="W4379" s="5" t="s">
        <v>72</v>
      </c>
      <c r="X4379" s="5" t="s">
        <v>72</v>
      </c>
      <c r="Y4379" s="4">
        <v>71</v>
      </c>
      <c r="Z4379" s="4">
        <v>8</v>
      </c>
      <c r="AA4379" s="4">
        <v>8</v>
      </c>
      <c r="AB4379" s="4">
        <v>1</v>
      </c>
      <c r="AC4379" s="4">
        <v>1</v>
      </c>
      <c r="AD4379" s="4">
        <v>41</v>
      </c>
      <c r="AE4379" s="4">
        <v>42</v>
      </c>
      <c r="AF4379" s="4">
        <v>0</v>
      </c>
      <c r="AG4379" s="4">
        <v>0</v>
      </c>
      <c r="AH4379" s="4">
        <v>39</v>
      </c>
      <c r="AI4379" s="4">
        <v>40</v>
      </c>
      <c r="AJ4379" s="4">
        <v>5</v>
      </c>
      <c r="AK4379" s="4">
        <v>5</v>
      </c>
      <c r="AL4379" s="4">
        <v>28</v>
      </c>
      <c r="AM4379" s="4">
        <v>28</v>
      </c>
      <c r="AN4379" s="4">
        <v>0</v>
      </c>
      <c r="AO4379" s="4">
        <v>0</v>
      </c>
      <c r="AP4379" s="4">
        <v>5</v>
      </c>
      <c r="AQ4379" s="4">
        <v>5</v>
      </c>
      <c r="AR4379" s="3" t="s">
        <v>64</v>
      </c>
      <c r="AS4379" s="3" t="s">
        <v>64</v>
      </c>
      <c r="AT4379" s="3" t="s">
        <v>128</v>
      </c>
      <c r="AU4379" s="6" t="str">
        <f>HYPERLINK("http://catalog.hathitrust.org/Record/000930559","HathiTrust Record")</f>
        <v>HathiTrust Record</v>
      </c>
      <c r="AV4379" s="6" t="str">
        <f>HYPERLINK("http://mcgill.on.worldcat.org/oclc/17568680","Catalog Record")</f>
        <v>Catalog Record</v>
      </c>
      <c r="AW4379" s="6" t="str">
        <f>HYPERLINK("http://www.worldcat.org/oclc/17568680","WorldCat Record")</f>
        <v>WorldCat Record</v>
      </c>
      <c r="AX4379" s="3" t="s">
        <v>42606</v>
      </c>
      <c r="AY4379" s="3" t="s">
        <v>42607</v>
      </c>
      <c r="AZ4379" s="3" t="s">
        <v>42608</v>
      </c>
      <c r="BA4379" s="3" t="s">
        <v>42608</v>
      </c>
      <c r="BB4379" s="3" t="s">
        <v>42609</v>
      </c>
      <c r="BC4379" s="3" t="s">
        <v>77</v>
      </c>
      <c r="BD4379" s="3" t="s">
        <v>78</v>
      </c>
      <c r="BE4379" s="3" t="s">
        <v>42610</v>
      </c>
      <c r="BF4379" s="3" t="s">
        <v>42609</v>
      </c>
      <c r="BG4379" s="3" t="s">
        <v>42611</v>
      </c>
      <c r="BH4379">
        <f t="shared" si="135"/>
        <v>0</v>
      </c>
    </row>
    <row r="4380" spans="1:60" ht="58" x14ac:dyDescent="0.35">
      <c r="A4380" s="2" t="s">
        <v>6202</v>
      </c>
      <c r="B4380" s="2" t="s">
        <v>6203</v>
      </c>
      <c r="C4380" s="2" t="s">
        <v>42612</v>
      </c>
      <c r="D4380" s="2" t="s">
        <v>42613</v>
      </c>
      <c r="E4380" s="2" t="s">
        <v>42614</v>
      </c>
      <c r="G4380" s="3" t="s">
        <v>64</v>
      </c>
      <c r="I4380" s="3" t="s">
        <v>128</v>
      </c>
      <c r="J4380" s="3" t="s">
        <v>64</v>
      </c>
      <c r="K4380" s="3" t="s">
        <v>65</v>
      </c>
      <c r="L4380" s="2" t="s">
        <v>42615</v>
      </c>
      <c r="M4380" s="2" t="s">
        <v>42616</v>
      </c>
      <c r="N4380" s="3" t="s">
        <v>405</v>
      </c>
      <c r="P4380" s="3" t="s">
        <v>102</v>
      </c>
      <c r="Q4380" s="2" t="s">
        <v>42617</v>
      </c>
      <c r="R4380" s="3" t="s">
        <v>70</v>
      </c>
      <c r="S4380" s="4">
        <v>0</v>
      </c>
      <c r="T4380" s="4">
        <v>1</v>
      </c>
      <c r="V4380" s="5" t="s">
        <v>1655</v>
      </c>
      <c r="W4380" s="5" t="s">
        <v>72</v>
      </c>
      <c r="X4380" s="5" t="s">
        <v>72</v>
      </c>
      <c r="Y4380" s="4">
        <v>87</v>
      </c>
      <c r="Z4380" s="4">
        <v>9</v>
      </c>
      <c r="AA4380" s="4">
        <v>10</v>
      </c>
      <c r="AB4380" s="4">
        <v>1</v>
      </c>
      <c r="AC4380" s="4">
        <v>2</v>
      </c>
      <c r="AD4380" s="4">
        <v>45</v>
      </c>
      <c r="AE4380" s="4">
        <v>46</v>
      </c>
      <c r="AF4380" s="4">
        <v>0</v>
      </c>
      <c r="AG4380" s="4">
        <v>1</v>
      </c>
      <c r="AH4380" s="4">
        <v>40</v>
      </c>
      <c r="AI4380" s="4">
        <v>40</v>
      </c>
      <c r="AJ4380" s="4">
        <v>7</v>
      </c>
      <c r="AK4380" s="4">
        <v>8</v>
      </c>
      <c r="AL4380" s="4">
        <v>28</v>
      </c>
      <c r="AM4380" s="4">
        <v>28</v>
      </c>
      <c r="AN4380" s="4">
        <v>0</v>
      </c>
      <c r="AO4380" s="4">
        <v>0</v>
      </c>
      <c r="AP4380" s="4">
        <v>6</v>
      </c>
      <c r="AQ4380" s="4">
        <v>6</v>
      </c>
      <c r="AR4380" s="3" t="s">
        <v>64</v>
      </c>
      <c r="AS4380" s="3" t="s">
        <v>64</v>
      </c>
      <c r="AT4380" s="3" t="s">
        <v>128</v>
      </c>
      <c r="AU4380" s="6" t="str">
        <f>HYPERLINK("http://catalog.hathitrust.org/Record/000089110","HathiTrust Record")</f>
        <v>HathiTrust Record</v>
      </c>
      <c r="AV4380" s="6" t="str">
        <f>HYPERLINK("http://mcgill.on.worldcat.org/oclc/3537881","Catalog Record")</f>
        <v>Catalog Record</v>
      </c>
      <c r="AW4380" s="6" t="str">
        <f>HYPERLINK("http://www.worldcat.org/oclc/3537881","WorldCat Record")</f>
        <v>WorldCat Record</v>
      </c>
      <c r="AX4380" s="3" t="s">
        <v>42618</v>
      </c>
      <c r="AY4380" s="3" t="s">
        <v>42619</v>
      </c>
      <c r="AZ4380" s="3" t="s">
        <v>42620</v>
      </c>
      <c r="BA4380" s="3" t="s">
        <v>42620</v>
      </c>
      <c r="BB4380" s="3" t="s">
        <v>42621</v>
      </c>
      <c r="BC4380" s="3" t="s">
        <v>77</v>
      </c>
      <c r="BD4380" s="3" t="s">
        <v>78</v>
      </c>
      <c r="BF4380" s="3" t="s">
        <v>42621</v>
      </c>
      <c r="BG4380" s="3" t="s">
        <v>42622</v>
      </c>
      <c r="BH4380">
        <f t="shared" si="135"/>
        <v>0</v>
      </c>
    </row>
    <row r="4381" spans="1:60" ht="58" x14ac:dyDescent="0.35">
      <c r="A4381" s="2" t="s">
        <v>6202</v>
      </c>
      <c r="B4381" s="2" t="s">
        <v>6203</v>
      </c>
      <c r="C4381" s="2" t="s">
        <v>42623</v>
      </c>
      <c r="D4381" s="2" t="s">
        <v>42624</v>
      </c>
      <c r="E4381" s="2" t="s">
        <v>42625</v>
      </c>
      <c r="G4381" s="3" t="s">
        <v>64</v>
      </c>
      <c r="I4381" s="3" t="s">
        <v>64</v>
      </c>
      <c r="J4381" s="3" t="s">
        <v>64</v>
      </c>
      <c r="K4381" s="3" t="s">
        <v>65</v>
      </c>
      <c r="L4381" s="2" t="s">
        <v>42626</v>
      </c>
      <c r="M4381" s="2" t="s">
        <v>42627</v>
      </c>
      <c r="N4381" s="3" t="s">
        <v>7285</v>
      </c>
      <c r="P4381" s="3" t="s">
        <v>102</v>
      </c>
      <c r="R4381" s="3" t="s">
        <v>70</v>
      </c>
      <c r="S4381" s="4">
        <v>1</v>
      </c>
      <c r="T4381" s="4">
        <v>1</v>
      </c>
      <c r="U4381" s="5" t="s">
        <v>19060</v>
      </c>
      <c r="V4381" s="5" t="s">
        <v>19060</v>
      </c>
      <c r="W4381" s="5" t="s">
        <v>72</v>
      </c>
      <c r="X4381" s="5" t="s">
        <v>72</v>
      </c>
      <c r="Y4381" s="4">
        <v>50</v>
      </c>
      <c r="Z4381" s="4">
        <v>7</v>
      </c>
      <c r="AA4381" s="4">
        <v>8</v>
      </c>
      <c r="AB4381" s="4">
        <v>1</v>
      </c>
      <c r="AC4381" s="4">
        <v>1</v>
      </c>
      <c r="AD4381" s="4">
        <v>34</v>
      </c>
      <c r="AE4381" s="4">
        <v>36</v>
      </c>
      <c r="AF4381" s="4">
        <v>0</v>
      </c>
      <c r="AG4381" s="4">
        <v>0</v>
      </c>
      <c r="AH4381" s="4">
        <v>32</v>
      </c>
      <c r="AI4381" s="4">
        <v>33</v>
      </c>
      <c r="AJ4381" s="4">
        <v>4</v>
      </c>
      <c r="AK4381" s="4">
        <v>5</v>
      </c>
      <c r="AL4381" s="4">
        <v>24</v>
      </c>
      <c r="AM4381" s="4">
        <v>25</v>
      </c>
      <c r="AN4381" s="4">
        <v>0</v>
      </c>
      <c r="AO4381" s="4">
        <v>0</v>
      </c>
      <c r="AP4381" s="4">
        <v>3</v>
      </c>
      <c r="AQ4381" s="4">
        <v>4</v>
      </c>
      <c r="AR4381" s="3" t="s">
        <v>64</v>
      </c>
      <c r="AS4381" s="3" t="s">
        <v>64</v>
      </c>
      <c r="AT4381" s="3" t="s">
        <v>128</v>
      </c>
      <c r="AU4381" s="6" t="str">
        <f>HYPERLINK("http://catalog.hathitrust.org/Record/001170506","HathiTrust Record")</f>
        <v>HathiTrust Record</v>
      </c>
      <c r="AV4381" s="6" t="str">
        <f>HYPERLINK("http://mcgill.on.worldcat.org/oclc/658813","Catalog Record")</f>
        <v>Catalog Record</v>
      </c>
      <c r="AW4381" s="6" t="str">
        <f>HYPERLINK("http://www.worldcat.org/oclc/658813","WorldCat Record")</f>
        <v>WorldCat Record</v>
      </c>
      <c r="AX4381" s="3" t="s">
        <v>42628</v>
      </c>
      <c r="AY4381" s="3" t="s">
        <v>42629</v>
      </c>
      <c r="AZ4381" s="3" t="s">
        <v>42630</v>
      </c>
      <c r="BA4381" s="3" t="s">
        <v>42630</v>
      </c>
      <c r="BB4381" s="3" t="s">
        <v>42631</v>
      </c>
      <c r="BC4381" s="3" t="s">
        <v>77</v>
      </c>
      <c r="BD4381" s="3" t="s">
        <v>78</v>
      </c>
      <c r="BF4381" s="3" t="s">
        <v>42631</v>
      </c>
      <c r="BG4381" s="3" t="s">
        <v>42632</v>
      </c>
      <c r="BH4381">
        <f t="shared" si="135"/>
        <v>0</v>
      </c>
    </row>
    <row r="4382" spans="1:60" ht="58" x14ac:dyDescent="0.35">
      <c r="A4382" s="2" t="s">
        <v>6202</v>
      </c>
      <c r="B4382" s="2" t="s">
        <v>6203</v>
      </c>
      <c r="C4382" s="2" t="s">
        <v>42633</v>
      </c>
      <c r="D4382" s="2" t="s">
        <v>42634</v>
      </c>
      <c r="E4382" s="2" t="s">
        <v>42635</v>
      </c>
      <c r="G4382" s="3" t="s">
        <v>64</v>
      </c>
      <c r="I4382" s="3" t="s">
        <v>64</v>
      </c>
      <c r="J4382" s="3" t="s">
        <v>64</v>
      </c>
      <c r="K4382" s="3" t="s">
        <v>65</v>
      </c>
      <c r="L4382" s="2" t="s">
        <v>42636</v>
      </c>
      <c r="M4382" s="2" t="s">
        <v>42637</v>
      </c>
      <c r="N4382" s="3" t="s">
        <v>898</v>
      </c>
      <c r="P4382" s="3" t="s">
        <v>102</v>
      </c>
      <c r="R4382" s="3" t="s">
        <v>70</v>
      </c>
      <c r="S4382" s="4">
        <v>1</v>
      </c>
      <c r="T4382" s="4">
        <v>1</v>
      </c>
      <c r="U4382" s="5" t="s">
        <v>25160</v>
      </c>
      <c r="V4382" s="5" t="s">
        <v>25160</v>
      </c>
      <c r="W4382" s="5" t="s">
        <v>72</v>
      </c>
      <c r="X4382" s="5" t="s">
        <v>72</v>
      </c>
      <c r="Y4382" s="4">
        <v>49</v>
      </c>
      <c r="Z4382" s="4">
        <v>6</v>
      </c>
      <c r="AA4382" s="4">
        <v>6</v>
      </c>
      <c r="AB4382" s="4">
        <v>1</v>
      </c>
      <c r="AC4382" s="4">
        <v>1</v>
      </c>
      <c r="AD4382" s="4">
        <v>34</v>
      </c>
      <c r="AE4382" s="4">
        <v>34</v>
      </c>
      <c r="AF4382" s="4">
        <v>0</v>
      </c>
      <c r="AG4382" s="4">
        <v>0</v>
      </c>
      <c r="AH4382" s="4">
        <v>33</v>
      </c>
      <c r="AI4382" s="4">
        <v>33</v>
      </c>
      <c r="AJ4382" s="4">
        <v>4</v>
      </c>
      <c r="AK4382" s="4">
        <v>4</v>
      </c>
      <c r="AL4382" s="4">
        <v>24</v>
      </c>
      <c r="AM4382" s="4">
        <v>24</v>
      </c>
      <c r="AN4382" s="4">
        <v>0</v>
      </c>
      <c r="AO4382" s="4">
        <v>0</v>
      </c>
      <c r="AP4382" s="4">
        <v>4</v>
      </c>
      <c r="AQ4382" s="4">
        <v>4</v>
      </c>
      <c r="AR4382" s="3" t="s">
        <v>64</v>
      </c>
      <c r="AS4382" s="3" t="s">
        <v>64</v>
      </c>
      <c r="AT4382" s="3" t="s">
        <v>128</v>
      </c>
      <c r="AU4382" s="6" t="str">
        <f>HYPERLINK("http://catalog.hathitrust.org/Record/000181238","HathiTrust Record")</f>
        <v>HathiTrust Record</v>
      </c>
      <c r="AV4382" s="6" t="str">
        <f>HYPERLINK("http://mcgill.on.worldcat.org/oclc/7740124","Catalog Record")</f>
        <v>Catalog Record</v>
      </c>
      <c r="AW4382" s="6" t="str">
        <f>HYPERLINK("http://www.worldcat.org/oclc/7740124","WorldCat Record")</f>
        <v>WorldCat Record</v>
      </c>
      <c r="AX4382" s="3" t="s">
        <v>42638</v>
      </c>
      <c r="AY4382" s="3" t="s">
        <v>42639</v>
      </c>
      <c r="AZ4382" s="3" t="s">
        <v>42640</v>
      </c>
      <c r="BA4382" s="3" t="s">
        <v>42640</v>
      </c>
      <c r="BB4382" s="3" t="s">
        <v>42641</v>
      </c>
      <c r="BC4382" s="3" t="s">
        <v>77</v>
      </c>
      <c r="BD4382" s="3" t="s">
        <v>78</v>
      </c>
      <c r="BF4382" s="3" t="s">
        <v>42641</v>
      </c>
      <c r="BG4382" s="3" t="s">
        <v>42642</v>
      </c>
      <c r="BH4382">
        <f t="shared" si="135"/>
        <v>0</v>
      </c>
    </row>
    <row r="4383" spans="1:60" ht="58" x14ac:dyDescent="0.35">
      <c r="A4383" s="2" t="s">
        <v>59</v>
      </c>
      <c r="B4383" s="2" t="s">
        <v>60</v>
      </c>
      <c r="C4383" s="2" t="s">
        <v>42643</v>
      </c>
      <c r="D4383" s="2" t="s">
        <v>42644</v>
      </c>
      <c r="E4383" s="2" t="s">
        <v>42645</v>
      </c>
      <c r="G4383" s="3" t="s">
        <v>64</v>
      </c>
      <c r="I4383" s="3" t="s">
        <v>64</v>
      </c>
      <c r="J4383" s="3" t="s">
        <v>64</v>
      </c>
      <c r="K4383" s="3" t="s">
        <v>65</v>
      </c>
      <c r="L4383" s="2" t="s">
        <v>42646</v>
      </c>
      <c r="M4383" s="2" t="s">
        <v>42647</v>
      </c>
      <c r="N4383" s="3" t="s">
        <v>1263</v>
      </c>
      <c r="P4383" s="3" t="s">
        <v>102</v>
      </c>
      <c r="R4383" s="3" t="s">
        <v>70</v>
      </c>
      <c r="S4383" s="4">
        <v>2</v>
      </c>
      <c r="T4383" s="4">
        <v>2</v>
      </c>
      <c r="U4383" s="5" t="s">
        <v>21425</v>
      </c>
      <c r="V4383" s="5" t="s">
        <v>21425</v>
      </c>
      <c r="W4383" s="5" t="s">
        <v>72</v>
      </c>
      <c r="X4383" s="5" t="s">
        <v>72</v>
      </c>
      <c r="Y4383" s="4">
        <v>57</v>
      </c>
      <c r="Z4383" s="4">
        <v>9</v>
      </c>
      <c r="AA4383" s="4">
        <v>9</v>
      </c>
      <c r="AB4383" s="4">
        <v>2</v>
      </c>
      <c r="AC4383" s="4">
        <v>2</v>
      </c>
      <c r="AD4383" s="4">
        <v>33</v>
      </c>
      <c r="AE4383" s="4">
        <v>33</v>
      </c>
      <c r="AF4383" s="4">
        <v>1</v>
      </c>
      <c r="AG4383" s="4">
        <v>1</v>
      </c>
      <c r="AH4383" s="4">
        <v>28</v>
      </c>
      <c r="AI4383" s="4">
        <v>28</v>
      </c>
      <c r="AJ4383" s="4">
        <v>7</v>
      </c>
      <c r="AK4383" s="4">
        <v>7</v>
      </c>
      <c r="AL4383" s="4">
        <v>22</v>
      </c>
      <c r="AM4383" s="4">
        <v>22</v>
      </c>
      <c r="AN4383" s="4">
        <v>0</v>
      </c>
      <c r="AO4383" s="4">
        <v>0</v>
      </c>
      <c r="AP4383" s="4">
        <v>7</v>
      </c>
      <c r="AQ4383" s="4">
        <v>7</v>
      </c>
      <c r="AR4383" s="3" t="s">
        <v>64</v>
      </c>
      <c r="AS4383" s="3" t="s">
        <v>64</v>
      </c>
      <c r="AT4383" s="3" t="s">
        <v>128</v>
      </c>
      <c r="AU4383" s="6" t="str">
        <f>HYPERLINK("http://catalog.hathitrust.org/Record/002793054","HathiTrust Record")</f>
        <v>HathiTrust Record</v>
      </c>
      <c r="AV4383" s="6" t="str">
        <f>HYPERLINK("http://mcgill.on.worldcat.org/oclc/29599359","Catalog Record")</f>
        <v>Catalog Record</v>
      </c>
      <c r="AW4383" s="6" t="str">
        <f>HYPERLINK("http://www.worldcat.org/oclc/29599359","WorldCat Record")</f>
        <v>WorldCat Record</v>
      </c>
      <c r="AX4383" s="3" t="s">
        <v>42648</v>
      </c>
      <c r="AY4383" s="3" t="s">
        <v>42649</v>
      </c>
      <c r="AZ4383" s="3" t="s">
        <v>42650</v>
      </c>
      <c r="BA4383" s="3" t="s">
        <v>42650</v>
      </c>
      <c r="BB4383" s="3" t="s">
        <v>42651</v>
      </c>
      <c r="BC4383" s="3" t="s">
        <v>77</v>
      </c>
      <c r="BD4383" s="3" t="s">
        <v>78</v>
      </c>
      <c r="BE4383" s="3" t="s">
        <v>42652</v>
      </c>
      <c r="BF4383" s="3" t="s">
        <v>42651</v>
      </c>
      <c r="BG4383" s="3" t="s">
        <v>42653</v>
      </c>
      <c r="BH4383">
        <f t="shared" si="135"/>
        <v>0</v>
      </c>
    </row>
    <row r="4384" spans="1:60" ht="58" x14ac:dyDescent="0.35">
      <c r="A4384" s="2" t="s">
        <v>6202</v>
      </c>
      <c r="B4384" s="2" t="s">
        <v>6203</v>
      </c>
      <c r="C4384" s="2" t="s">
        <v>42654</v>
      </c>
      <c r="D4384" s="2" t="s">
        <v>42655</v>
      </c>
      <c r="E4384" s="2" t="s">
        <v>42656</v>
      </c>
      <c r="G4384" s="3" t="s">
        <v>64</v>
      </c>
      <c r="I4384" s="3" t="s">
        <v>64</v>
      </c>
      <c r="J4384" s="3" t="s">
        <v>64</v>
      </c>
      <c r="K4384" s="3" t="s">
        <v>65</v>
      </c>
      <c r="L4384" s="2" t="s">
        <v>40195</v>
      </c>
      <c r="M4384" s="2" t="s">
        <v>42657</v>
      </c>
      <c r="N4384" s="3" t="s">
        <v>511</v>
      </c>
      <c r="P4384" s="3" t="s">
        <v>102</v>
      </c>
      <c r="R4384" s="3" t="s">
        <v>70</v>
      </c>
      <c r="S4384" s="4">
        <v>0</v>
      </c>
      <c r="T4384" s="4">
        <v>0</v>
      </c>
      <c r="W4384" s="5" t="s">
        <v>72</v>
      </c>
      <c r="X4384" s="5" t="s">
        <v>72</v>
      </c>
      <c r="Y4384" s="4">
        <v>84</v>
      </c>
      <c r="Z4384" s="4">
        <v>12</v>
      </c>
      <c r="AA4384" s="4">
        <v>26</v>
      </c>
      <c r="AB4384" s="4">
        <v>1</v>
      </c>
      <c r="AC4384" s="4">
        <v>3</v>
      </c>
      <c r="AD4384" s="4">
        <v>40</v>
      </c>
      <c r="AE4384" s="4">
        <v>65</v>
      </c>
      <c r="AF4384" s="4">
        <v>0</v>
      </c>
      <c r="AG4384" s="4">
        <v>0</v>
      </c>
      <c r="AH4384" s="4">
        <v>35</v>
      </c>
      <c r="AI4384" s="4">
        <v>54</v>
      </c>
      <c r="AJ4384" s="4">
        <v>7</v>
      </c>
      <c r="AK4384" s="4">
        <v>9</v>
      </c>
      <c r="AL4384" s="4">
        <v>23</v>
      </c>
      <c r="AM4384" s="4">
        <v>30</v>
      </c>
      <c r="AN4384" s="4">
        <v>0</v>
      </c>
      <c r="AO4384" s="4">
        <v>0</v>
      </c>
      <c r="AP4384" s="4">
        <v>10</v>
      </c>
      <c r="AQ4384" s="4">
        <v>17</v>
      </c>
      <c r="AR4384" s="3" t="s">
        <v>64</v>
      </c>
      <c r="AS4384" s="3" t="s">
        <v>64</v>
      </c>
      <c r="AT4384" s="3" t="s">
        <v>64</v>
      </c>
      <c r="AV4384" s="6" t="str">
        <f>HYPERLINK("http://mcgill.on.worldcat.org/oclc/495436811","Catalog Record")</f>
        <v>Catalog Record</v>
      </c>
      <c r="AW4384" s="6" t="str">
        <f>HYPERLINK("http://www.worldcat.org/oclc/495436811","WorldCat Record")</f>
        <v>WorldCat Record</v>
      </c>
      <c r="AX4384" s="3" t="s">
        <v>42658</v>
      </c>
      <c r="AY4384" s="3" t="s">
        <v>42659</v>
      </c>
      <c r="AZ4384" s="3" t="s">
        <v>42660</v>
      </c>
      <c r="BA4384" s="3" t="s">
        <v>42660</v>
      </c>
      <c r="BB4384" s="3" t="s">
        <v>42661</v>
      </c>
      <c r="BC4384" s="3" t="s">
        <v>77</v>
      </c>
      <c r="BD4384" s="3" t="s">
        <v>78</v>
      </c>
      <c r="BE4384" s="3" t="s">
        <v>42662</v>
      </c>
      <c r="BF4384" s="3" t="s">
        <v>42661</v>
      </c>
      <c r="BG4384" s="3" t="s">
        <v>42663</v>
      </c>
      <c r="BH4384">
        <f t="shared" si="135"/>
        <v>0</v>
      </c>
    </row>
    <row r="4385" spans="1:60" ht="58" x14ac:dyDescent="0.35">
      <c r="A4385" s="2" t="s">
        <v>6202</v>
      </c>
      <c r="B4385" s="2" t="s">
        <v>6203</v>
      </c>
      <c r="C4385" s="2" t="s">
        <v>42664</v>
      </c>
      <c r="D4385" s="2" t="s">
        <v>42665</v>
      </c>
      <c r="E4385" s="2" t="s">
        <v>42666</v>
      </c>
      <c r="G4385" s="3" t="s">
        <v>64</v>
      </c>
      <c r="I4385" s="3" t="s">
        <v>64</v>
      </c>
      <c r="J4385" s="3" t="s">
        <v>64</v>
      </c>
      <c r="K4385" s="3" t="s">
        <v>65</v>
      </c>
      <c r="L4385" s="2" t="s">
        <v>42667</v>
      </c>
      <c r="M4385" s="2" t="s">
        <v>42668</v>
      </c>
      <c r="N4385" s="3" t="s">
        <v>421</v>
      </c>
      <c r="P4385" s="3" t="s">
        <v>102</v>
      </c>
      <c r="Q4385" s="2" t="s">
        <v>42669</v>
      </c>
      <c r="R4385" s="3" t="s">
        <v>70</v>
      </c>
      <c r="S4385" s="4">
        <v>1</v>
      </c>
      <c r="T4385" s="4">
        <v>1</v>
      </c>
      <c r="U4385" s="5" t="s">
        <v>2353</v>
      </c>
      <c r="V4385" s="5" t="s">
        <v>2353</v>
      </c>
      <c r="W4385" s="5" t="s">
        <v>72</v>
      </c>
      <c r="X4385" s="5" t="s">
        <v>72</v>
      </c>
      <c r="Y4385" s="4">
        <v>267</v>
      </c>
      <c r="Z4385" s="4">
        <v>16</v>
      </c>
      <c r="AA4385" s="4">
        <v>40</v>
      </c>
      <c r="AB4385" s="4">
        <v>1</v>
      </c>
      <c r="AC4385" s="4">
        <v>6</v>
      </c>
      <c r="AD4385" s="4">
        <v>78</v>
      </c>
      <c r="AE4385" s="4">
        <v>97</v>
      </c>
      <c r="AF4385" s="4">
        <v>0</v>
      </c>
      <c r="AG4385" s="4">
        <v>1</v>
      </c>
      <c r="AH4385" s="4">
        <v>70</v>
      </c>
      <c r="AI4385" s="4">
        <v>87</v>
      </c>
      <c r="AJ4385" s="4">
        <v>10</v>
      </c>
      <c r="AK4385" s="4">
        <v>11</v>
      </c>
      <c r="AL4385" s="4">
        <v>44</v>
      </c>
      <c r="AM4385" s="4">
        <v>49</v>
      </c>
      <c r="AN4385" s="4">
        <v>0</v>
      </c>
      <c r="AO4385" s="4">
        <v>0</v>
      </c>
      <c r="AP4385" s="4">
        <v>10</v>
      </c>
      <c r="AQ4385" s="4">
        <v>13</v>
      </c>
      <c r="AR4385" s="3" t="s">
        <v>64</v>
      </c>
      <c r="AS4385" s="3" t="s">
        <v>64</v>
      </c>
      <c r="AT4385" s="3" t="s">
        <v>128</v>
      </c>
      <c r="AU4385" s="6" t="str">
        <f>HYPERLINK("http://catalog.hathitrust.org/Record/003973129","HathiTrust Record")</f>
        <v>HathiTrust Record</v>
      </c>
      <c r="AV4385" s="6" t="str">
        <f>HYPERLINK("http://mcgill.on.worldcat.org/oclc/38368028","Catalog Record")</f>
        <v>Catalog Record</v>
      </c>
      <c r="AW4385" s="6" t="str">
        <f>HYPERLINK("http://www.worldcat.org/oclc/38368028","WorldCat Record")</f>
        <v>WorldCat Record</v>
      </c>
      <c r="AX4385" s="3" t="s">
        <v>42670</v>
      </c>
      <c r="AY4385" s="3" t="s">
        <v>42671</v>
      </c>
      <c r="AZ4385" s="3" t="s">
        <v>42672</v>
      </c>
      <c r="BA4385" s="3" t="s">
        <v>42672</v>
      </c>
      <c r="BB4385" s="3" t="s">
        <v>42673</v>
      </c>
      <c r="BC4385" s="3" t="s">
        <v>77</v>
      </c>
      <c r="BD4385" s="3" t="s">
        <v>78</v>
      </c>
      <c r="BE4385" s="3" t="s">
        <v>42674</v>
      </c>
      <c r="BF4385" s="3" t="s">
        <v>42673</v>
      </c>
      <c r="BG4385" s="3" t="s">
        <v>42675</v>
      </c>
      <c r="BH4385">
        <f t="shared" si="135"/>
        <v>0</v>
      </c>
    </row>
    <row r="4386" spans="1:60" ht="58" x14ac:dyDescent="0.35">
      <c r="A4386" s="2" t="s">
        <v>6202</v>
      </c>
      <c r="B4386" s="2" t="s">
        <v>6203</v>
      </c>
      <c r="C4386" s="2" t="s">
        <v>42676</v>
      </c>
      <c r="D4386" s="2" t="s">
        <v>42677</v>
      </c>
      <c r="E4386" s="2" t="s">
        <v>42678</v>
      </c>
      <c r="G4386" s="3" t="s">
        <v>64</v>
      </c>
      <c r="I4386" s="3" t="s">
        <v>64</v>
      </c>
      <c r="J4386" s="3" t="s">
        <v>64</v>
      </c>
      <c r="K4386" s="3" t="s">
        <v>65</v>
      </c>
      <c r="L4386" s="2" t="s">
        <v>42679</v>
      </c>
      <c r="M4386" s="2" t="s">
        <v>42680</v>
      </c>
      <c r="N4386" s="3" t="s">
        <v>1031</v>
      </c>
      <c r="P4386" s="3" t="s">
        <v>102</v>
      </c>
      <c r="Q4386" s="2" t="s">
        <v>42681</v>
      </c>
      <c r="R4386" s="3" t="s">
        <v>70</v>
      </c>
      <c r="S4386" s="4">
        <v>2</v>
      </c>
      <c r="T4386" s="4">
        <v>2</v>
      </c>
      <c r="U4386" s="5" t="s">
        <v>30896</v>
      </c>
      <c r="V4386" s="5" t="s">
        <v>30896</v>
      </c>
      <c r="W4386" s="5" t="s">
        <v>72</v>
      </c>
      <c r="X4386" s="5" t="s">
        <v>72</v>
      </c>
      <c r="Y4386" s="4">
        <v>381</v>
      </c>
      <c r="Z4386" s="4">
        <v>20</v>
      </c>
      <c r="AA4386" s="4">
        <v>45</v>
      </c>
      <c r="AB4386" s="4">
        <v>1</v>
      </c>
      <c r="AC4386" s="4">
        <v>7</v>
      </c>
      <c r="AD4386" s="4">
        <v>97</v>
      </c>
      <c r="AE4386" s="4">
        <v>107</v>
      </c>
      <c r="AF4386" s="4">
        <v>0</v>
      </c>
      <c r="AG4386" s="4">
        <v>2</v>
      </c>
      <c r="AH4386" s="4">
        <v>86</v>
      </c>
      <c r="AI4386" s="4">
        <v>93</v>
      </c>
      <c r="AJ4386" s="4">
        <v>14</v>
      </c>
      <c r="AK4386" s="4">
        <v>16</v>
      </c>
      <c r="AL4386" s="4">
        <v>51</v>
      </c>
      <c r="AM4386" s="4">
        <v>54</v>
      </c>
      <c r="AN4386" s="4">
        <v>0</v>
      </c>
      <c r="AO4386" s="4">
        <v>0</v>
      </c>
      <c r="AP4386" s="4">
        <v>16</v>
      </c>
      <c r="AQ4386" s="4">
        <v>20</v>
      </c>
      <c r="AR4386" s="3" t="s">
        <v>64</v>
      </c>
      <c r="AS4386" s="3" t="s">
        <v>64</v>
      </c>
      <c r="AT4386" s="3" t="s">
        <v>64</v>
      </c>
      <c r="AV4386" s="6" t="str">
        <f>HYPERLINK("http://mcgill.on.worldcat.org/oclc/27380478","Catalog Record")</f>
        <v>Catalog Record</v>
      </c>
      <c r="AW4386" s="6" t="str">
        <f>HYPERLINK("http://www.worldcat.org/oclc/27380478","WorldCat Record")</f>
        <v>WorldCat Record</v>
      </c>
      <c r="AX4386" s="3" t="s">
        <v>42682</v>
      </c>
      <c r="AY4386" s="3" t="s">
        <v>42683</v>
      </c>
      <c r="AZ4386" s="3" t="s">
        <v>42684</v>
      </c>
      <c r="BA4386" s="3" t="s">
        <v>42684</v>
      </c>
      <c r="BB4386" s="3" t="s">
        <v>42685</v>
      </c>
      <c r="BC4386" s="3" t="s">
        <v>77</v>
      </c>
      <c r="BD4386" s="3" t="s">
        <v>78</v>
      </c>
      <c r="BE4386" s="3" t="s">
        <v>42686</v>
      </c>
      <c r="BF4386" s="3" t="s">
        <v>42685</v>
      </c>
      <c r="BG4386" s="3" t="s">
        <v>42687</v>
      </c>
      <c r="BH4386">
        <f t="shared" si="135"/>
        <v>0</v>
      </c>
    </row>
    <row r="4387" spans="1:60" ht="72.5" x14ac:dyDescent="0.35">
      <c r="A4387" s="2" t="s">
        <v>6202</v>
      </c>
      <c r="B4387" s="2" t="s">
        <v>6203</v>
      </c>
      <c r="C4387" s="2" t="s">
        <v>42688</v>
      </c>
      <c r="D4387" s="2" t="s">
        <v>42689</v>
      </c>
      <c r="E4387" s="2" t="s">
        <v>42690</v>
      </c>
      <c r="G4387" s="3" t="s">
        <v>64</v>
      </c>
      <c r="I4387" s="3" t="s">
        <v>64</v>
      </c>
      <c r="J4387" s="3" t="s">
        <v>64</v>
      </c>
      <c r="K4387" s="3" t="s">
        <v>65</v>
      </c>
      <c r="L4387" s="2" t="s">
        <v>42691</v>
      </c>
      <c r="M4387" s="2" t="s">
        <v>42692</v>
      </c>
      <c r="N4387" s="3" t="s">
        <v>1087</v>
      </c>
      <c r="P4387" s="3" t="s">
        <v>102</v>
      </c>
      <c r="R4387" s="3" t="s">
        <v>70</v>
      </c>
      <c r="S4387" s="4">
        <v>1</v>
      </c>
      <c r="T4387" s="4">
        <v>1</v>
      </c>
      <c r="U4387" s="5" t="s">
        <v>21250</v>
      </c>
      <c r="V4387" s="5" t="s">
        <v>21250</v>
      </c>
      <c r="W4387" s="5" t="s">
        <v>72</v>
      </c>
      <c r="X4387" s="5" t="s">
        <v>72</v>
      </c>
      <c r="Y4387" s="4">
        <v>133</v>
      </c>
      <c r="Z4387" s="4">
        <v>8</v>
      </c>
      <c r="AA4387" s="4">
        <v>8</v>
      </c>
      <c r="AB4387" s="4">
        <v>1</v>
      </c>
      <c r="AC4387" s="4">
        <v>1</v>
      </c>
      <c r="AD4387" s="4">
        <v>44</v>
      </c>
      <c r="AE4387" s="4">
        <v>44</v>
      </c>
      <c r="AF4387" s="4">
        <v>0</v>
      </c>
      <c r="AG4387" s="4">
        <v>0</v>
      </c>
      <c r="AH4387" s="4">
        <v>41</v>
      </c>
      <c r="AI4387" s="4">
        <v>41</v>
      </c>
      <c r="AJ4387" s="4">
        <v>6</v>
      </c>
      <c r="AK4387" s="4">
        <v>6</v>
      </c>
      <c r="AL4387" s="4">
        <v>30</v>
      </c>
      <c r="AM4387" s="4">
        <v>30</v>
      </c>
      <c r="AN4387" s="4">
        <v>0</v>
      </c>
      <c r="AO4387" s="4">
        <v>0</v>
      </c>
      <c r="AP4387" s="4">
        <v>6</v>
      </c>
      <c r="AQ4387" s="4">
        <v>6</v>
      </c>
      <c r="AR4387" s="3" t="s">
        <v>64</v>
      </c>
      <c r="AS4387" s="3" t="s">
        <v>64</v>
      </c>
      <c r="AT4387" s="3" t="s">
        <v>64</v>
      </c>
      <c r="AV4387" s="6" t="str">
        <f>HYPERLINK("http://mcgill.on.worldcat.org/oclc/30670312","Catalog Record")</f>
        <v>Catalog Record</v>
      </c>
      <c r="AW4387" s="6" t="str">
        <f>HYPERLINK("http://www.worldcat.org/oclc/30670312","WorldCat Record")</f>
        <v>WorldCat Record</v>
      </c>
      <c r="AX4387" s="3" t="s">
        <v>42693</v>
      </c>
      <c r="AY4387" s="3" t="s">
        <v>42694</v>
      </c>
      <c r="AZ4387" s="3" t="s">
        <v>42695</v>
      </c>
      <c r="BA4387" s="3" t="s">
        <v>42695</v>
      </c>
      <c r="BB4387" s="3" t="s">
        <v>42696</v>
      </c>
      <c r="BC4387" s="3" t="s">
        <v>77</v>
      </c>
      <c r="BD4387" s="3" t="s">
        <v>78</v>
      </c>
      <c r="BE4387" s="3" t="s">
        <v>42697</v>
      </c>
      <c r="BF4387" s="3" t="s">
        <v>42696</v>
      </c>
      <c r="BG4387" s="3" t="s">
        <v>42698</v>
      </c>
      <c r="BH4387">
        <f t="shared" si="135"/>
        <v>0</v>
      </c>
    </row>
    <row r="4388" spans="1:60" ht="58" x14ac:dyDescent="0.35">
      <c r="A4388" s="2" t="s">
        <v>59</v>
      </c>
      <c r="B4388" s="2" t="s">
        <v>60</v>
      </c>
      <c r="C4388" s="2" t="s">
        <v>42699</v>
      </c>
      <c r="D4388" s="2" t="s">
        <v>42700</v>
      </c>
      <c r="E4388" s="2" t="s">
        <v>42701</v>
      </c>
      <c r="F4388" s="3" t="s">
        <v>525</v>
      </c>
      <c r="G4388" s="3" t="s">
        <v>128</v>
      </c>
      <c r="I4388" s="3" t="s">
        <v>64</v>
      </c>
      <c r="J4388" s="3" t="s">
        <v>64</v>
      </c>
      <c r="K4388" s="3" t="s">
        <v>65</v>
      </c>
      <c r="M4388" s="2" t="s">
        <v>42702</v>
      </c>
      <c r="N4388" s="3" t="s">
        <v>1492</v>
      </c>
      <c r="P4388" s="3" t="s">
        <v>102</v>
      </c>
      <c r="R4388" s="3" t="s">
        <v>70</v>
      </c>
      <c r="S4388" s="4">
        <v>0</v>
      </c>
      <c r="T4388" s="4">
        <v>0</v>
      </c>
      <c r="W4388" s="5" t="s">
        <v>42703</v>
      </c>
      <c r="X4388" s="5" t="s">
        <v>42703</v>
      </c>
      <c r="Y4388" s="4">
        <v>14</v>
      </c>
      <c r="Z4388" s="4">
        <v>1</v>
      </c>
      <c r="AA4388" s="4">
        <v>1</v>
      </c>
      <c r="AB4388" s="4">
        <v>1</v>
      </c>
      <c r="AC4388" s="4">
        <v>1</v>
      </c>
      <c r="AD4388" s="4">
        <v>3</v>
      </c>
      <c r="AE4388" s="4">
        <v>3</v>
      </c>
      <c r="AF4388" s="4">
        <v>0</v>
      </c>
      <c r="AG4388" s="4">
        <v>0</v>
      </c>
      <c r="AH4388" s="4">
        <v>3</v>
      </c>
      <c r="AI4388" s="4">
        <v>3</v>
      </c>
      <c r="AJ4388" s="4">
        <v>0</v>
      </c>
      <c r="AK4388" s="4">
        <v>0</v>
      </c>
      <c r="AL4388" s="4">
        <v>2</v>
      </c>
      <c r="AM4388" s="4">
        <v>2</v>
      </c>
      <c r="AN4388" s="4">
        <v>0</v>
      </c>
      <c r="AO4388" s="4">
        <v>0</v>
      </c>
      <c r="AP4388" s="4">
        <v>0</v>
      </c>
      <c r="AQ4388" s="4">
        <v>0</v>
      </c>
      <c r="AR4388" s="3" t="s">
        <v>64</v>
      </c>
      <c r="AS4388" s="3" t="s">
        <v>64</v>
      </c>
      <c r="AT4388" s="3" t="s">
        <v>64</v>
      </c>
      <c r="AV4388" s="6" t="str">
        <f>HYPERLINK("http://mcgill.on.worldcat.org/oclc/1102616513","Catalog Record")</f>
        <v>Catalog Record</v>
      </c>
      <c r="AW4388" s="6" t="str">
        <f>HYPERLINK("http://www.worldcat.org/oclc/1102616513","WorldCat Record")</f>
        <v>WorldCat Record</v>
      </c>
      <c r="AX4388" s="3" t="s">
        <v>42704</v>
      </c>
      <c r="AY4388" s="3" t="s">
        <v>42705</v>
      </c>
      <c r="AZ4388" s="3" t="s">
        <v>42706</v>
      </c>
      <c r="BA4388" s="3" t="s">
        <v>42706</v>
      </c>
      <c r="BB4388" s="3" t="s">
        <v>42707</v>
      </c>
      <c r="BC4388" s="3" t="s">
        <v>77</v>
      </c>
      <c r="BD4388" s="3" t="s">
        <v>78</v>
      </c>
      <c r="BE4388" s="3" t="s">
        <v>42708</v>
      </c>
      <c r="BF4388" s="3" t="s">
        <v>42707</v>
      </c>
      <c r="BG4388" s="3" t="s">
        <v>42709</v>
      </c>
      <c r="BH4388">
        <f t="shared" si="135"/>
        <v>0</v>
      </c>
    </row>
    <row r="4389" spans="1:60" ht="58" x14ac:dyDescent="0.35">
      <c r="A4389" s="2" t="s">
        <v>59</v>
      </c>
      <c r="B4389" s="2" t="s">
        <v>60</v>
      </c>
      <c r="C4389" s="2" t="s">
        <v>42699</v>
      </c>
      <c r="D4389" s="2" t="s">
        <v>42700</v>
      </c>
      <c r="E4389" s="2" t="s">
        <v>42701</v>
      </c>
      <c r="F4389" s="3" t="s">
        <v>529</v>
      </c>
      <c r="G4389" s="3" t="s">
        <v>128</v>
      </c>
      <c r="I4389" s="3" t="s">
        <v>64</v>
      </c>
      <c r="J4389" s="3" t="s">
        <v>64</v>
      </c>
      <c r="K4389" s="3" t="s">
        <v>65</v>
      </c>
      <c r="M4389" s="2" t="s">
        <v>42702</v>
      </c>
      <c r="N4389" s="3" t="s">
        <v>1492</v>
      </c>
      <c r="P4389" s="3" t="s">
        <v>102</v>
      </c>
      <c r="R4389" s="3" t="s">
        <v>70</v>
      </c>
      <c r="S4389" s="4">
        <v>0</v>
      </c>
      <c r="T4389" s="4">
        <v>0</v>
      </c>
      <c r="W4389" s="5" t="s">
        <v>42703</v>
      </c>
      <c r="X4389" s="5" t="s">
        <v>42703</v>
      </c>
      <c r="Y4389" s="4">
        <v>14</v>
      </c>
      <c r="Z4389" s="4">
        <v>1</v>
      </c>
      <c r="AA4389" s="4">
        <v>1</v>
      </c>
      <c r="AB4389" s="4">
        <v>1</v>
      </c>
      <c r="AC4389" s="4">
        <v>1</v>
      </c>
      <c r="AD4389" s="4">
        <v>3</v>
      </c>
      <c r="AE4389" s="4">
        <v>3</v>
      </c>
      <c r="AF4389" s="4">
        <v>0</v>
      </c>
      <c r="AG4389" s="4">
        <v>0</v>
      </c>
      <c r="AH4389" s="4">
        <v>3</v>
      </c>
      <c r="AI4389" s="4">
        <v>3</v>
      </c>
      <c r="AJ4389" s="4">
        <v>0</v>
      </c>
      <c r="AK4389" s="4">
        <v>0</v>
      </c>
      <c r="AL4389" s="4">
        <v>2</v>
      </c>
      <c r="AM4389" s="4">
        <v>2</v>
      </c>
      <c r="AN4389" s="4">
        <v>0</v>
      </c>
      <c r="AO4389" s="4">
        <v>0</v>
      </c>
      <c r="AP4389" s="4">
        <v>0</v>
      </c>
      <c r="AQ4389" s="4">
        <v>0</v>
      </c>
      <c r="AR4389" s="3" t="s">
        <v>64</v>
      </c>
      <c r="AS4389" s="3" t="s">
        <v>64</v>
      </c>
      <c r="AT4389" s="3" t="s">
        <v>64</v>
      </c>
      <c r="AV4389" s="6" t="str">
        <f>HYPERLINK("http://mcgill.on.worldcat.org/oclc/1102616513","Catalog Record")</f>
        <v>Catalog Record</v>
      </c>
      <c r="AW4389" s="6" t="str">
        <f>HYPERLINK("http://www.worldcat.org/oclc/1102616513","WorldCat Record")</f>
        <v>WorldCat Record</v>
      </c>
      <c r="AX4389" s="3" t="s">
        <v>42704</v>
      </c>
      <c r="AY4389" s="3" t="s">
        <v>42705</v>
      </c>
      <c r="AZ4389" s="3" t="s">
        <v>42706</v>
      </c>
      <c r="BA4389" s="3" t="s">
        <v>42706</v>
      </c>
      <c r="BB4389" s="3" t="s">
        <v>42710</v>
      </c>
      <c r="BC4389" s="3" t="s">
        <v>77</v>
      </c>
      <c r="BD4389" s="3" t="s">
        <v>78</v>
      </c>
      <c r="BE4389" s="3" t="s">
        <v>42708</v>
      </c>
      <c r="BF4389" s="3" t="s">
        <v>42710</v>
      </c>
      <c r="BG4389" s="3" t="s">
        <v>42711</v>
      </c>
      <c r="BH4389">
        <f t="shared" si="135"/>
        <v>0</v>
      </c>
    </row>
    <row r="4390" spans="1:60" ht="58" x14ac:dyDescent="0.35">
      <c r="A4390" s="2" t="s">
        <v>59</v>
      </c>
      <c r="B4390" s="2" t="s">
        <v>60</v>
      </c>
      <c r="C4390" s="2" t="s">
        <v>42712</v>
      </c>
      <c r="D4390" s="2" t="s">
        <v>42713</v>
      </c>
      <c r="E4390" s="2" t="s">
        <v>42714</v>
      </c>
      <c r="G4390" s="3" t="s">
        <v>64</v>
      </c>
      <c r="I4390" s="3" t="s">
        <v>64</v>
      </c>
      <c r="J4390" s="3" t="s">
        <v>128</v>
      </c>
      <c r="K4390" s="3" t="s">
        <v>65</v>
      </c>
      <c r="M4390" s="2" t="s">
        <v>42715</v>
      </c>
      <c r="N4390" s="3" t="s">
        <v>1938</v>
      </c>
      <c r="P4390" s="3" t="s">
        <v>102</v>
      </c>
      <c r="R4390" s="3" t="s">
        <v>70</v>
      </c>
      <c r="S4390" s="4">
        <v>2</v>
      </c>
      <c r="T4390" s="4">
        <v>2</v>
      </c>
      <c r="U4390" s="5" t="s">
        <v>3560</v>
      </c>
      <c r="V4390" s="5" t="s">
        <v>3560</v>
      </c>
      <c r="W4390" s="5" t="s">
        <v>72</v>
      </c>
      <c r="X4390" s="5" t="s">
        <v>72</v>
      </c>
      <c r="Y4390" s="4">
        <v>166</v>
      </c>
      <c r="Z4390" s="4">
        <v>10</v>
      </c>
      <c r="AA4390" s="4">
        <v>14</v>
      </c>
      <c r="AB4390" s="4">
        <v>1</v>
      </c>
      <c r="AC4390" s="4">
        <v>2</v>
      </c>
      <c r="AD4390" s="4">
        <v>59</v>
      </c>
      <c r="AE4390" s="4">
        <v>70</v>
      </c>
      <c r="AF4390" s="4">
        <v>0</v>
      </c>
      <c r="AG4390" s="4">
        <v>1</v>
      </c>
      <c r="AH4390" s="4">
        <v>54</v>
      </c>
      <c r="AI4390" s="4">
        <v>63</v>
      </c>
      <c r="AJ4390" s="4">
        <v>6</v>
      </c>
      <c r="AK4390" s="4">
        <v>9</v>
      </c>
      <c r="AL4390" s="4">
        <v>37</v>
      </c>
      <c r="AM4390" s="4">
        <v>43</v>
      </c>
      <c r="AN4390" s="4">
        <v>0</v>
      </c>
      <c r="AO4390" s="4">
        <v>5</v>
      </c>
      <c r="AP4390" s="4">
        <v>6</v>
      </c>
      <c r="AQ4390" s="4">
        <v>7</v>
      </c>
      <c r="AR4390" s="3" t="s">
        <v>64</v>
      </c>
      <c r="AS4390" s="3" t="s">
        <v>64</v>
      </c>
      <c r="AT4390" s="3" t="s">
        <v>64</v>
      </c>
      <c r="AV4390" s="6" t="str">
        <f>HYPERLINK("http://mcgill.on.worldcat.org/oclc/23162703","Catalog Record")</f>
        <v>Catalog Record</v>
      </c>
      <c r="AW4390" s="6" t="str">
        <f>HYPERLINK("http://www.worldcat.org/oclc/23162703","WorldCat Record")</f>
        <v>WorldCat Record</v>
      </c>
      <c r="AX4390" s="3" t="s">
        <v>42716</v>
      </c>
      <c r="AY4390" s="3" t="s">
        <v>42717</v>
      </c>
      <c r="AZ4390" s="3" t="s">
        <v>42718</v>
      </c>
      <c r="BA4390" s="3" t="s">
        <v>42718</v>
      </c>
      <c r="BB4390" s="3" t="s">
        <v>42719</v>
      </c>
      <c r="BC4390" s="3" t="s">
        <v>77</v>
      </c>
      <c r="BD4390" s="3" t="s">
        <v>78</v>
      </c>
      <c r="BE4390" s="3" t="s">
        <v>42720</v>
      </c>
      <c r="BF4390" s="3" t="s">
        <v>42719</v>
      </c>
      <c r="BG4390" s="3" t="s">
        <v>42721</v>
      </c>
      <c r="BH4390">
        <f t="shared" si="135"/>
        <v>0</v>
      </c>
    </row>
    <row r="4391" spans="1:60" ht="116" x14ac:dyDescent="0.35">
      <c r="A4391" s="2" t="s">
        <v>59</v>
      </c>
      <c r="B4391" s="2" t="s">
        <v>1183</v>
      </c>
      <c r="C4391" s="2" t="s">
        <v>42722</v>
      </c>
      <c r="D4391" s="2" t="s">
        <v>42723</v>
      </c>
      <c r="E4391" s="2" t="s">
        <v>42724</v>
      </c>
      <c r="G4391" s="3" t="s">
        <v>64</v>
      </c>
      <c r="I4391" s="3" t="s">
        <v>64</v>
      </c>
      <c r="J4391" s="3" t="s">
        <v>64</v>
      </c>
      <c r="K4391" s="3" t="s">
        <v>65</v>
      </c>
      <c r="L4391" s="2" t="s">
        <v>42725</v>
      </c>
      <c r="M4391" s="2" t="s">
        <v>42726</v>
      </c>
      <c r="N4391" s="3" t="s">
        <v>3584</v>
      </c>
      <c r="P4391" s="3" t="s">
        <v>8739</v>
      </c>
      <c r="R4391" s="3" t="s">
        <v>70</v>
      </c>
      <c r="S4391" s="4">
        <v>1</v>
      </c>
      <c r="T4391" s="4">
        <v>1</v>
      </c>
      <c r="U4391" s="5" t="s">
        <v>42727</v>
      </c>
      <c r="V4391" s="5" t="s">
        <v>42727</v>
      </c>
      <c r="W4391" s="5" t="s">
        <v>72</v>
      </c>
      <c r="X4391" s="5" t="s">
        <v>72</v>
      </c>
      <c r="Y4391" s="4">
        <v>31</v>
      </c>
      <c r="Z4391" s="4">
        <v>2</v>
      </c>
      <c r="AA4391" s="4">
        <v>2</v>
      </c>
      <c r="AB4391" s="4">
        <v>1</v>
      </c>
      <c r="AC4391" s="4">
        <v>1</v>
      </c>
      <c r="AD4391" s="4">
        <v>19</v>
      </c>
      <c r="AE4391" s="4">
        <v>19</v>
      </c>
      <c r="AF4391" s="4">
        <v>0</v>
      </c>
      <c r="AG4391" s="4">
        <v>0</v>
      </c>
      <c r="AH4391" s="4">
        <v>19</v>
      </c>
      <c r="AI4391" s="4">
        <v>19</v>
      </c>
      <c r="AJ4391" s="4">
        <v>1</v>
      </c>
      <c r="AK4391" s="4">
        <v>1</v>
      </c>
      <c r="AL4391" s="4">
        <v>16</v>
      </c>
      <c r="AM4391" s="4">
        <v>16</v>
      </c>
      <c r="AN4391" s="4">
        <v>0</v>
      </c>
      <c r="AO4391" s="4">
        <v>0</v>
      </c>
      <c r="AP4391" s="4">
        <v>1</v>
      </c>
      <c r="AQ4391" s="4">
        <v>1</v>
      </c>
      <c r="AR4391" s="3" t="s">
        <v>64</v>
      </c>
      <c r="AS4391" s="3" t="s">
        <v>64</v>
      </c>
      <c r="AT4391" s="3" t="s">
        <v>128</v>
      </c>
      <c r="AU4391" s="6" t="str">
        <f>HYPERLINK("http://catalog.hathitrust.org/Record/001717493","HathiTrust Record")</f>
        <v>HathiTrust Record</v>
      </c>
      <c r="AV4391" s="6" t="str">
        <f>HYPERLINK("http://mcgill.on.worldcat.org/oclc/4432202","Catalog Record")</f>
        <v>Catalog Record</v>
      </c>
      <c r="AW4391" s="6" t="str">
        <f>HYPERLINK("http://www.worldcat.org/oclc/4432202","WorldCat Record")</f>
        <v>WorldCat Record</v>
      </c>
      <c r="AX4391" s="3" t="s">
        <v>42728</v>
      </c>
      <c r="AY4391" s="3" t="s">
        <v>42729</v>
      </c>
      <c r="AZ4391" s="3" t="s">
        <v>42730</v>
      </c>
      <c r="BA4391" s="3" t="s">
        <v>42730</v>
      </c>
      <c r="BB4391" s="3" t="s">
        <v>42731</v>
      </c>
      <c r="BC4391" s="3" t="s">
        <v>77</v>
      </c>
      <c r="BD4391" s="3" t="s">
        <v>78</v>
      </c>
      <c r="BF4391" s="3" t="s">
        <v>42731</v>
      </c>
      <c r="BG4391" s="3" t="s">
        <v>42732</v>
      </c>
      <c r="BH4391">
        <f t="shared" si="135"/>
        <v>0</v>
      </c>
    </row>
    <row r="4392" spans="1:60" ht="58" x14ac:dyDescent="0.35">
      <c r="A4392" s="2" t="s">
        <v>6202</v>
      </c>
      <c r="B4392" s="2" t="s">
        <v>6203</v>
      </c>
      <c r="C4392" s="2" t="s">
        <v>42733</v>
      </c>
      <c r="D4392" s="2" t="s">
        <v>42734</v>
      </c>
      <c r="E4392" s="2" t="s">
        <v>42735</v>
      </c>
      <c r="G4392" s="3" t="s">
        <v>64</v>
      </c>
      <c r="I4392" s="3" t="s">
        <v>64</v>
      </c>
      <c r="J4392" s="3" t="s">
        <v>128</v>
      </c>
      <c r="K4392" s="3" t="s">
        <v>65</v>
      </c>
      <c r="L4392" s="2" t="s">
        <v>42736</v>
      </c>
      <c r="M4392" s="2" t="s">
        <v>42737</v>
      </c>
      <c r="N4392" s="3" t="s">
        <v>511</v>
      </c>
      <c r="O4392" s="2" t="s">
        <v>42738</v>
      </c>
      <c r="P4392" s="3" t="s">
        <v>102</v>
      </c>
      <c r="Q4392" s="2" t="s">
        <v>39699</v>
      </c>
      <c r="R4392" s="3" t="s">
        <v>70</v>
      </c>
      <c r="S4392" s="4">
        <v>0</v>
      </c>
      <c r="T4392" s="4">
        <v>0</v>
      </c>
      <c r="W4392" s="5" t="s">
        <v>72</v>
      </c>
      <c r="X4392" s="5" t="s">
        <v>72</v>
      </c>
      <c r="Y4392" s="4">
        <v>101</v>
      </c>
      <c r="Z4392" s="4">
        <v>10</v>
      </c>
      <c r="AA4392" s="4">
        <v>26</v>
      </c>
      <c r="AB4392" s="4">
        <v>1</v>
      </c>
      <c r="AC4392" s="4">
        <v>4</v>
      </c>
      <c r="AD4392" s="4">
        <v>45</v>
      </c>
      <c r="AE4392" s="4">
        <v>115</v>
      </c>
      <c r="AF4392" s="4">
        <v>0</v>
      </c>
      <c r="AG4392" s="4">
        <v>1</v>
      </c>
      <c r="AH4392" s="4">
        <v>41</v>
      </c>
      <c r="AI4392" s="4">
        <v>103</v>
      </c>
      <c r="AJ4392" s="4">
        <v>7</v>
      </c>
      <c r="AK4392" s="4">
        <v>17</v>
      </c>
      <c r="AL4392" s="4">
        <v>28</v>
      </c>
      <c r="AM4392" s="4">
        <v>55</v>
      </c>
      <c r="AN4392" s="4">
        <v>0</v>
      </c>
      <c r="AO4392" s="4">
        <v>0</v>
      </c>
      <c r="AP4392" s="4">
        <v>8</v>
      </c>
      <c r="AQ4392" s="4">
        <v>20</v>
      </c>
      <c r="AR4392" s="3" t="s">
        <v>64</v>
      </c>
      <c r="AS4392" s="3" t="s">
        <v>64</v>
      </c>
      <c r="AT4392" s="3" t="s">
        <v>64</v>
      </c>
      <c r="AV4392" s="6" t="str">
        <f>HYPERLINK("http://mcgill.on.worldcat.org/oclc/259266359","Catalog Record")</f>
        <v>Catalog Record</v>
      </c>
      <c r="AW4392" s="6" t="str">
        <f>HYPERLINK("http://www.worldcat.org/oclc/259266359","WorldCat Record")</f>
        <v>WorldCat Record</v>
      </c>
      <c r="AX4392" s="3" t="s">
        <v>42739</v>
      </c>
      <c r="AY4392" s="3" t="s">
        <v>42740</v>
      </c>
      <c r="AZ4392" s="3" t="s">
        <v>42741</v>
      </c>
      <c r="BA4392" s="3" t="s">
        <v>42741</v>
      </c>
      <c r="BB4392" s="3" t="s">
        <v>42742</v>
      </c>
      <c r="BC4392" s="3" t="s">
        <v>77</v>
      </c>
      <c r="BD4392" s="3" t="s">
        <v>78</v>
      </c>
      <c r="BE4392" s="3" t="s">
        <v>42743</v>
      </c>
      <c r="BF4392" s="3" t="s">
        <v>42742</v>
      </c>
      <c r="BG4392" s="3" t="s">
        <v>42744</v>
      </c>
      <c r="BH4392">
        <f t="shared" si="135"/>
        <v>0</v>
      </c>
    </row>
    <row r="4393" spans="1:60" ht="116" x14ac:dyDescent="0.35">
      <c r="A4393" s="2" t="s">
        <v>59</v>
      </c>
      <c r="B4393" s="2" t="s">
        <v>1183</v>
      </c>
      <c r="C4393" s="2" t="s">
        <v>42745</v>
      </c>
      <c r="D4393" s="2" t="s">
        <v>42746</v>
      </c>
      <c r="E4393" s="2" t="s">
        <v>42747</v>
      </c>
      <c r="G4393" s="3" t="s">
        <v>64</v>
      </c>
      <c r="I4393" s="3" t="s">
        <v>64</v>
      </c>
      <c r="J4393" s="3" t="s">
        <v>64</v>
      </c>
      <c r="K4393" s="3" t="s">
        <v>65</v>
      </c>
      <c r="M4393" s="2" t="s">
        <v>42175</v>
      </c>
      <c r="N4393" s="3" t="s">
        <v>326</v>
      </c>
      <c r="O4393" s="2" t="s">
        <v>1189</v>
      </c>
      <c r="P4393" s="3" t="s">
        <v>1190</v>
      </c>
      <c r="Q4393" s="2" t="s">
        <v>42748</v>
      </c>
      <c r="R4393" s="3" t="s">
        <v>70</v>
      </c>
      <c r="S4393" s="4">
        <v>0</v>
      </c>
      <c r="T4393" s="4">
        <v>0</v>
      </c>
      <c r="W4393" s="5" t="s">
        <v>72</v>
      </c>
      <c r="X4393" s="5" t="s">
        <v>72</v>
      </c>
      <c r="Y4393" s="4">
        <v>32</v>
      </c>
      <c r="Z4393" s="4">
        <v>4</v>
      </c>
      <c r="AA4393" s="4">
        <v>4</v>
      </c>
      <c r="AB4393" s="4">
        <v>1</v>
      </c>
      <c r="AC4393" s="4">
        <v>1</v>
      </c>
      <c r="AD4393" s="4">
        <v>20</v>
      </c>
      <c r="AE4393" s="4">
        <v>20</v>
      </c>
      <c r="AF4393" s="4">
        <v>0</v>
      </c>
      <c r="AG4393" s="4">
        <v>0</v>
      </c>
      <c r="AH4393" s="4">
        <v>18</v>
      </c>
      <c r="AI4393" s="4">
        <v>18</v>
      </c>
      <c r="AJ4393" s="4">
        <v>2</v>
      </c>
      <c r="AK4393" s="4">
        <v>2</v>
      </c>
      <c r="AL4393" s="4">
        <v>18</v>
      </c>
      <c r="AM4393" s="4">
        <v>18</v>
      </c>
      <c r="AN4393" s="4">
        <v>0</v>
      </c>
      <c r="AO4393" s="4">
        <v>0</v>
      </c>
      <c r="AP4393" s="4">
        <v>2</v>
      </c>
      <c r="AQ4393" s="4">
        <v>2</v>
      </c>
      <c r="AR4393" s="3" t="s">
        <v>64</v>
      </c>
      <c r="AS4393" s="3" t="s">
        <v>64</v>
      </c>
      <c r="AT4393" s="3" t="s">
        <v>64</v>
      </c>
      <c r="AV4393" s="6" t="str">
        <f>HYPERLINK("http://mcgill.on.worldcat.org/oclc/760054799","Catalog Record")</f>
        <v>Catalog Record</v>
      </c>
      <c r="AW4393" s="6" t="str">
        <f>HYPERLINK("http://www.worldcat.org/oclc/760054799","WorldCat Record")</f>
        <v>WorldCat Record</v>
      </c>
      <c r="AX4393" s="3" t="s">
        <v>42749</v>
      </c>
      <c r="AY4393" s="3" t="s">
        <v>42750</v>
      </c>
      <c r="AZ4393" s="3" t="s">
        <v>42751</v>
      </c>
      <c r="BA4393" s="3" t="s">
        <v>42751</v>
      </c>
      <c r="BB4393" s="3" t="s">
        <v>42752</v>
      </c>
      <c r="BC4393" s="3" t="s">
        <v>77</v>
      </c>
      <c r="BD4393" s="3" t="s">
        <v>78</v>
      </c>
      <c r="BE4393" s="3" t="s">
        <v>42753</v>
      </c>
      <c r="BF4393" s="3" t="s">
        <v>42752</v>
      </c>
      <c r="BG4393" s="3" t="s">
        <v>42754</v>
      </c>
      <c r="BH4393">
        <f t="shared" si="135"/>
        <v>0</v>
      </c>
    </row>
    <row r="4394" spans="1:60" ht="58" x14ac:dyDescent="0.35">
      <c r="A4394" s="2" t="s">
        <v>6202</v>
      </c>
      <c r="B4394" s="2" t="s">
        <v>6203</v>
      </c>
      <c r="C4394" s="2" t="s">
        <v>42755</v>
      </c>
      <c r="D4394" s="2" t="s">
        <v>42756</v>
      </c>
      <c r="E4394" s="2" t="s">
        <v>42757</v>
      </c>
      <c r="G4394" s="3" t="s">
        <v>64</v>
      </c>
      <c r="I4394" s="3" t="s">
        <v>128</v>
      </c>
      <c r="J4394" s="3" t="s">
        <v>64</v>
      </c>
      <c r="K4394" s="3" t="s">
        <v>65</v>
      </c>
      <c r="M4394" s="2" t="s">
        <v>42758</v>
      </c>
      <c r="N4394" s="3" t="s">
        <v>1004</v>
      </c>
      <c r="P4394" s="3" t="s">
        <v>102</v>
      </c>
      <c r="R4394" s="3" t="s">
        <v>70</v>
      </c>
      <c r="S4394" s="4">
        <v>1</v>
      </c>
      <c r="T4394" s="4">
        <v>1</v>
      </c>
      <c r="U4394" s="5" t="s">
        <v>24265</v>
      </c>
      <c r="V4394" s="5" t="s">
        <v>24265</v>
      </c>
      <c r="W4394" s="5" t="s">
        <v>72</v>
      </c>
      <c r="X4394" s="5" t="s">
        <v>72</v>
      </c>
      <c r="Y4394" s="4">
        <v>284</v>
      </c>
      <c r="Z4394" s="4">
        <v>18</v>
      </c>
      <c r="AA4394" s="4">
        <v>21</v>
      </c>
      <c r="AB4394" s="4">
        <v>1</v>
      </c>
      <c r="AC4394" s="4">
        <v>4</v>
      </c>
      <c r="AD4394" s="4">
        <v>98</v>
      </c>
      <c r="AE4394" s="4">
        <v>101</v>
      </c>
      <c r="AF4394" s="4">
        <v>0</v>
      </c>
      <c r="AG4394" s="4">
        <v>3</v>
      </c>
      <c r="AH4394" s="4">
        <v>88</v>
      </c>
      <c r="AI4394" s="4">
        <v>89</v>
      </c>
      <c r="AJ4394" s="4">
        <v>14</v>
      </c>
      <c r="AK4394" s="4">
        <v>17</v>
      </c>
      <c r="AL4394" s="4">
        <v>52</v>
      </c>
      <c r="AM4394" s="4">
        <v>52</v>
      </c>
      <c r="AN4394" s="4">
        <v>0</v>
      </c>
      <c r="AO4394" s="4">
        <v>0</v>
      </c>
      <c r="AP4394" s="4">
        <v>14</v>
      </c>
      <c r="AQ4394" s="4">
        <v>16</v>
      </c>
      <c r="AR4394" s="3" t="s">
        <v>64</v>
      </c>
      <c r="AS4394" s="3" t="s">
        <v>64</v>
      </c>
      <c r="AT4394" s="3" t="s">
        <v>64</v>
      </c>
      <c r="AV4394" s="6" t="str">
        <f>HYPERLINK("http://mcgill.on.worldcat.org/oclc/9083705","Catalog Record")</f>
        <v>Catalog Record</v>
      </c>
      <c r="AW4394" s="6" t="str">
        <f>HYPERLINK("http://www.worldcat.org/oclc/9083705","WorldCat Record")</f>
        <v>WorldCat Record</v>
      </c>
      <c r="AX4394" s="3" t="s">
        <v>42759</v>
      </c>
      <c r="AY4394" s="3" t="s">
        <v>42760</v>
      </c>
      <c r="AZ4394" s="3" t="s">
        <v>42761</v>
      </c>
      <c r="BA4394" s="3" t="s">
        <v>42761</v>
      </c>
      <c r="BB4394" s="3" t="s">
        <v>42762</v>
      </c>
      <c r="BC4394" s="3" t="s">
        <v>77</v>
      </c>
      <c r="BD4394" s="3" t="s">
        <v>78</v>
      </c>
      <c r="BE4394" s="3" t="s">
        <v>42763</v>
      </c>
      <c r="BF4394" s="3" t="s">
        <v>42762</v>
      </c>
      <c r="BG4394" s="3" t="s">
        <v>42764</v>
      </c>
      <c r="BH4394">
        <f t="shared" si="135"/>
        <v>0</v>
      </c>
    </row>
    <row r="4395" spans="1:60" ht="72.5" x14ac:dyDescent="0.35">
      <c r="A4395" s="2" t="s">
        <v>6202</v>
      </c>
      <c r="B4395" s="2" t="s">
        <v>6203</v>
      </c>
      <c r="C4395" s="2" t="s">
        <v>42765</v>
      </c>
      <c r="D4395" s="2" t="s">
        <v>42766</v>
      </c>
      <c r="E4395" s="2" t="s">
        <v>42767</v>
      </c>
      <c r="G4395" s="3" t="s">
        <v>64</v>
      </c>
      <c r="I4395" s="3" t="s">
        <v>128</v>
      </c>
      <c r="J4395" s="3" t="s">
        <v>64</v>
      </c>
      <c r="K4395" s="3" t="s">
        <v>65</v>
      </c>
      <c r="L4395" s="2" t="s">
        <v>42768</v>
      </c>
      <c r="M4395" s="2" t="s">
        <v>42769</v>
      </c>
      <c r="N4395" s="3" t="s">
        <v>7285</v>
      </c>
      <c r="P4395" s="3" t="s">
        <v>102</v>
      </c>
      <c r="Q4395" s="2" t="s">
        <v>42770</v>
      </c>
      <c r="R4395" s="3" t="s">
        <v>70</v>
      </c>
      <c r="S4395" s="4">
        <v>0</v>
      </c>
      <c r="T4395" s="4">
        <v>1</v>
      </c>
      <c r="V4395" s="5" t="s">
        <v>1655</v>
      </c>
      <c r="W4395" s="5" t="s">
        <v>72</v>
      </c>
      <c r="X4395" s="5" t="s">
        <v>72</v>
      </c>
      <c r="Y4395" s="4">
        <v>323</v>
      </c>
      <c r="Z4395" s="4">
        <v>17</v>
      </c>
      <c r="AA4395" s="4">
        <v>18</v>
      </c>
      <c r="AB4395" s="4">
        <v>1</v>
      </c>
      <c r="AC4395" s="4">
        <v>2</v>
      </c>
      <c r="AD4395" s="4">
        <v>103</v>
      </c>
      <c r="AE4395" s="4">
        <v>106</v>
      </c>
      <c r="AF4395" s="4">
        <v>0</v>
      </c>
      <c r="AG4395" s="4">
        <v>1</v>
      </c>
      <c r="AH4395" s="4">
        <v>94</v>
      </c>
      <c r="AI4395" s="4">
        <v>96</v>
      </c>
      <c r="AJ4395" s="4">
        <v>13</v>
      </c>
      <c r="AK4395" s="4">
        <v>14</v>
      </c>
      <c r="AL4395" s="4">
        <v>54</v>
      </c>
      <c r="AM4395" s="4">
        <v>55</v>
      </c>
      <c r="AN4395" s="4">
        <v>0</v>
      </c>
      <c r="AO4395" s="4">
        <v>0</v>
      </c>
      <c r="AP4395" s="4">
        <v>15</v>
      </c>
      <c r="AQ4395" s="4">
        <v>15</v>
      </c>
      <c r="AR4395" s="3" t="s">
        <v>64</v>
      </c>
      <c r="AS4395" s="3" t="s">
        <v>64</v>
      </c>
      <c r="AT4395" s="3" t="s">
        <v>64</v>
      </c>
      <c r="AV4395" s="6" t="str">
        <f>HYPERLINK("http://mcgill.on.worldcat.org/oclc/124658","Catalog Record")</f>
        <v>Catalog Record</v>
      </c>
      <c r="AW4395" s="6" t="str">
        <f>HYPERLINK("http://www.worldcat.org/oclc/124658","WorldCat Record")</f>
        <v>WorldCat Record</v>
      </c>
      <c r="AX4395" s="3" t="s">
        <v>42771</v>
      </c>
      <c r="AY4395" s="3" t="s">
        <v>42772</v>
      </c>
      <c r="AZ4395" s="3" t="s">
        <v>42773</v>
      </c>
      <c r="BA4395" s="3" t="s">
        <v>42773</v>
      </c>
      <c r="BB4395" s="3" t="s">
        <v>42774</v>
      </c>
      <c r="BC4395" s="3" t="s">
        <v>77</v>
      </c>
      <c r="BD4395" s="3" t="s">
        <v>78</v>
      </c>
      <c r="BE4395" s="3" t="s">
        <v>42775</v>
      </c>
      <c r="BF4395" s="3" t="s">
        <v>42774</v>
      </c>
      <c r="BG4395" s="3" t="s">
        <v>42776</v>
      </c>
      <c r="BH4395">
        <f t="shared" si="135"/>
        <v>0</v>
      </c>
    </row>
    <row r="4396" spans="1:60" ht="58" x14ac:dyDescent="0.35">
      <c r="A4396" s="2" t="s">
        <v>59</v>
      </c>
      <c r="B4396" s="2" t="s">
        <v>60</v>
      </c>
      <c r="C4396" s="2" t="s">
        <v>42777</v>
      </c>
      <c r="D4396" s="2" t="s">
        <v>42778</v>
      </c>
      <c r="E4396" s="2" t="s">
        <v>42779</v>
      </c>
      <c r="G4396" s="3" t="s">
        <v>64</v>
      </c>
      <c r="I4396" s="3" t="s">
        <v>64</v>
      </c>
      <c r="J4396" s="3" t="s">
        <v>64</v>
      </c>
      <c r="K4396" s="3" t="s">
        <v>65</v>
      </c>
      <c r="L4396" s="2" t="s">
        <v>42780</v>
      </c>
      <c r="M4396" s="2" t="s">
        <v>42781</v>
      </c>
      <c r="N4396" s="3" t="s">
        <v>291</v>
      </c>
      <c r="P4396" s="3" t="s">
        <v>102</v>
      </c>
      <c r="R4396" s="3" t="s">
        <v>70</v>
      </c>
      <c r="S4396" s="4">
        <v>2</v>
      </c>
      <c r="T4396" s="4">
        <v>2</v>
      </c>
      <c r="U4396" s="5" t="s">
        <v>42782</v>
      </c>
      <c r="V4396" s="5" t="s">
        <v>42782</v>
      </c>
      <c r="W4396" s="5" t="s">
        <v>72</v>
      </c>
      <c r="X4396" s="5" t="s">
        <v>72</v>
      </c>
      <c r="Y4396" s="4">
        <v>1</v>
      </c>
      <c r="Z4396" s="4">
        <v>1</v>
      </c>
      <c r="AA4396" s="4">
        <v>1</v>
      </c>
      <c r="AB4396" s="4">
        <v>1</v>
      </c>
      <c r="AC4396" s="4">
        <v>1</v>
      </c>
      <c r="AD4396" s="4">
        <v>0</v>
      </c>
      <c r="AE4396" s="4">
        <v>0</v>
      </c>
      <c r="AF4396" s="4">
        <v>0</v>
      </c>
      <c r="AG4396" s="4">
        <v>0</v>
      </c>
      <c r="AH4396" s="4">
        <v>0</v>
      </c>
      <c r="AI4396" s="4">
        <v>0</v>
      </c>
      <c r="AJ4396" s="4">
        <v>0</v>
      </c>
      <c r="AK4396" s="4">
        <v>0</v>
      </c>
      <c r="AL4396" s="4">
        <v>0</v>
      </c>
      <c r="AM4396" s="4">
        <v>0</v>
      </c>
      <c r="AN4396" s="4">
        <v>0</v>
      </c>
      <c r="AO4396" s="4">
        <v>0</v>
      </c>
      <c r="AP4396" s="4">
        <v>0</v>
      </c>
      <c r="AQ4396" s="4">
        <v>0</v>
      </c>
      <c r="AR4396" s="3" t="s">
        <v>128</v>
      </c>
      <c r="AS4396" s="3" t="s">
        <v>64</v>
      </c>
      <c r="AT4396" s="3" t="s">
        <v>64</v>
      </c>
      <c r="AV4396" s="6" t="str">
        <f>HYPERLINK("http://mcgill.on.worldcat.org/oclc/741323497","Catalog Record")</f>
        <v>Catalog Record</v>
      </c>
      <c r="AW4396" s="6" t="str">
        <f>HYPERLINK("http://www.worldcat.org/oclc/741323497","WorldCat Record")</f>
        <v>WorldCat Record</v>
      </c>
      <c r="AX4396" s="3" t="s">
        <v>42783</v>
      </c>
      <c r="AY4396" s="3" t="s">
        <v>42784</v>
      </c>
      <c r="AZ4396" s="3" t="s">
        <v>42785</v>
      </c>
      <c r="BA4396" s="3" t="s">
        <v>42785</v>
      </c>
      <c r="BB4396" s="3" t="s">
        <v>42786</v>
      </c>
      <c r="BC4396" s="3" t="s">
        <v>77</v>
      </c>
      <c r="BD4396" s="3" t="s">
        <v>78</v>
      </c>
      <c r="BE4396" s="3" t="s">
        <v>42787</v>
      </c>
      <c r="BF4396" s="3" t="s">
        <v>42786</v>
      </c>
      <c r="BG4396" s="3" t="s">
        <v>42788</v>
      </c>
      <c r="BH4396">
        <f t="shared" si="135"/>
        <v>0</v>
      </c>
    </row>
    <row r="4397" spans="1:60" ht="58" x14ac:dyDescent="0.35">
      <c r="A4397" s="2" t="s">
        <v>59</v>
      </c>
      <c r="B4397" s="2" t="s">
        <v>60</v>
      </c>
      <c r="C4397" s="2" t="s">
        <v>42789</v>
      </c>
      <c r="D4397" s="2" t="s">
        <v>42790</v>
      </c>
      <c r="E4397" s="2" t="s">
        <v>42791</v>
      </c>
      <c r="G4397" s="3" t="s">
        <v>64</v>
      </c>
      <c r="I4397" s="3" t="s">
        <v>64</v>
      </c>
      <c r="J4397" s="3" t="s">
        <v>64</v>
      </c>
      <c r="K4397" s="3" t="s">
        <v>65</v>
      </c>
      <c r="L4397" s="2" t="s">
        <v>42792</v>
      </c>
      <c r="M4397" s="2" t="s">
        <v>42793</v>
      </c>
      <c r="N4397" s="3" t="s">
        <v>253</v>
      </c>
      <c r="P4397" s="3" t="s">
        <v>102</v>
      </c>
      <c r="R4397" s="3" t="s">
        <v>70</v>
      </c>
      <c r="S4397" s="4">
        <v>0</v>
      </c>
      <c r="T4397" s="4">
        <v>0</v>
      </c>
      <c r="W4397" s="5" t="s">
        <v>72</v>
      </c>
      <c r="X4397" s="5" t="s">
        <v>72</v>
      </c>
      <c r="Y4397" s="4">
        <v>23</v>
      </c>
      <c r="Z4397" s="4">
        <v>3</v>
      </c>
      <c r="AA4397" s="4">
        <v>3</v>
      </c>
      <c r="AB4397" s="4">
        <v>1</v>
      </c>
      <c r="AC4397" s="4">
        <v>1</v>
      </c>
      <c r="AD4397" s="4">
        <v>15</v>
      </c>
      <c r="AE4397" s="4">
        <v>16</v>
      </c>
      <c r="AF4397" s="4">
        <v>0</v>
      </c>
      <c r="AG4397" s="4">
        <v>0</v>
      </c>
      <c r="AH4397" s="4">
        <v>15</v>
      </c>
      <c r="AI4397" s="4">
        <v>16</v>
      </c>
      <c r="AJ4397" s="4">
        <v>1</v>
      </c>
      <c r="AK4397" s="4">
        <v>1</v>
      </c>
      <c r="AL4397" s="4">
        <v>13</v>
      </c>
      <c r="AM4397" s="4">
        <v>14</v>
      </c>
      <c r="AN4397" s="4">
        <v>0</v>
      </c>
      <c r="AO4397" s="4">
        <v>0</v>
      </c>
      <c r="AP4397" s="4">
        <v>1</v>
      </c>
      <c r="AQ4397" s="4">
        <v>1</v>
      </c>
      <c r="AR4397" s="3" t="s">
        <v>64</v>
      </c>
      <c r="AS4397" s="3" t="s">
        <v>64</v>
      </c>
      <c r="AT4397" s="3" t="s">
        <v>64</v>
      </c>
      <c r="AV4397" s="6" t="str">
        <f>HYPERLINK("http://mcgill.on.worldcat.org/oclc/908024689","Catalog Record")</f>
        <v>Catalog Record</v>
      </c>
      <c r="AW4397" s="6" t="str">
        <f>HYPERLINK("http://www.worldcat.org/oclc/908024689","WorldCat Record")</f>
        <v>WorldCat Record</v>
      </c>
      <c r="AX4397" s="3" t="s">
        <v>42794</v>
      </c>
      <c r="AY4397" s="3" t="s">
        <v>42795</v>
      </c>
      <c r="AZ4397" s="3" t="s">
        <v>42796</v>
      </c>
      <c r="BA4397" s="3" t="s">
        <v>42796</v>
      </c>
      <c r="BB4397" s="3" t="s">
        <v>42797</v>
      </c>
      <c r="BC4397" s="3" t="s">
        <v>77</v>
      </c>
      <c r="BD4397" s="3" t="s">
        <v>78</v>
      </c>
      <c r="BE4397" s="3" t="s">
        <v>42798</v>
      </c>
      <c r="BF4397" s="3" t="s">
        <v>42797</v>
      </c>
      <c r="BG4397" s="3" t="s">
        <v>42799</v>
      </c>
      <c r="BH4397">
        <f t="shared" si="135"/>
        <v>0</v>
      </c>
    </row>
    <row r="4398" spans="1:60" ht="58" x14ac:dyDescent="0.35">
      <c r="A4398" s="2" t="s">
        <v>6202</v>
      </c>
      <c r="B4398" s="2" t="s">
        <v>6203</v>
      </c>
      <c r="C4398" s="2" t="s">
        <v>42800</v>
      </c>
      <c r="D4398" s="2" t="s">
        <v>42801</v>
      </c>
      <c r="E4398" s="2" t="s">
        <v>42802</v>
      </c>
      <c r="G4398" s="3" t="s">
        <v>64</v>
      </c>
      <c r="I4398" s="3" t="s">
        <v>64</v>
      </c>
      <c r="J4398" s="3" t="s">
        <v>64</v>
      </c>
      <c r="K4398" s="3" t="s">
        <v>65</v>
      </c>
      <c r="L4398" s="2" t="s">
        <v>42803</v>
      </c>
      <c r="M4398" s="2" t="s">
        <v>42804</v>
      </c>
      <c r="N4398" s="3" t="s">
        <v>979</v>
      </c>
      <c r="P4398" s="3" t="s">
        <v>102</v>
      </c>
      <c r="R4398" s="3" t="s">
        <v>70</v>
      </c>
      <c r="S4398" s="4">
        <v>2</v>
      </c>
      <c r="T4398" s="4">
        <v>2</v>
      </c>
      <c r="U4398" s="5" t="s">
        <v>8245</v>
      </c>
      <c r="V4398" s="5" t="s">
        <v>8245</v>
      </c>
      <c r="W4398" s="5" t="s">
        <v>72</v>
      </c>
      <c r="X4398" s="5" t="s">
        <v>72</v>
      </c>
      <c r="Y4398" s="4">
        <v>7</v>
      </c>
      <c r="Z4398" s="4">
        <v>2</v>
      </c>
      <c r="AA4398" s="4">
        <v>3</v>
      </c>
      <c r="AB4398" s="4">
        <v>1</v>
      </c>
      <c r="AC4398" s="4">
        <v>2</v>
      </c>
      <c r="AD4398" s="4">
        <v>2</v>
      </c>
      <c r="AE4398" s="4">
        <v>5</v>
      </c>
      <c r="AF4398" s="4">
        <v>0</v>
      </c>
      <c r="AG4398" s="4">
        <v>0</v>
      </c>
      <c r="AH4398" s="4">
        <v>1</v>
      </c>
      <c r="AI4398" s="4">
        <v>3</v>
      </c>
      <c r="AJ4398" s="4">
        <v>1</v>
      </c>
      <c r="AK4398" s="4">
        <v>1</v>
      </c>
      <c r="AL4398" s="4">
        <v>1</v>
      </c>
      <c r="AM4398" s="4">
        <v>3</v>
      </c>
      <c r="AN4398" s="4">
        <v>0</v>
      </c>
      <c r="AO4398" s="4">
        <v>0</v>
      </c>
      <c r="AP4398" s="4">
        <v>0</v>
      </c>
      <c r="AQ4398" s="4">
        <v>0</v>
      </c>
      <c r="AR4398" s="3" t="s">
        <v>128</v>
      </c>
      <c r="AS4398" s="3" t="s">
        <v>64</v>
      </c>
      <c r="AT4398" s="3" t="s">
        <v>64</v>
      </c>
      <c r="AV4398" s="6" t="str">
        <f>HYPERLINK("http://mcgill.on.worldcat.org/oclc/44112477","Catalog Record")</f>
        <v>Catalog Record</v>
      </c>
      <c r="AW4398" s="6" t="str">
        <f>HYPERLINK("http://www.worldcat.org/oclc/44112477","WorldCat Record")</f>
        <v>WorldCat Record</v>
      </c>
      <c r="AX4398" s="3" t="s">
        <v>42805</v>
      </c>
      <c r="AY4398" s="3" t="s">
        <v>42806</v>
      </c>
      <c r="AZ4398" s="3" t="s">
        <v>42807</v>
      </c>
      <c r="BA4398" s="3" t="s">
        <v>42807</v>
      </c>
      <c r="BB4398" s="3" t="s">
        <v>42808</v>
      </c>
      <c r="BC4398" s="3" t="s">
        <v>77</v>
      </c>
      <c r="BD4398" s="3" t="s">
        <v>78</v>
      </c>
      <c r="BE4398" s="3" t="s">
        <v>42809</v>
      </c>
      <c r="BF4398" s="3" t="s">
        <v>42808</v>
      </c>
      <c r="BG4398" s="3" t="s">
        <v>42810</v>
      </c>
      <c r="BH4398">
        <f t="shared" si="135"/>
        <v>0</v>
      </c>
    </row>
    <row r="4399" spans="1:60" ht="58" x14ac:dyDescent="0.35">
      <c r="A4399" s="2" t="s">
        <v>59</v>
      </c>
      <c r="B4399" s="2" t="s">
        <v>60</v>
      </c>
      <c r="C4399" s="2" t="s">
        <v>42811</v>
      </c>
      <c r="D4399" s="2" t="s">
        <v>42812</v>
      </c>
      <c r="E4399" s="2" t="s">
        <v>42813</v>
      </c>
      <c r="G4399" s="3" t="s">
        <v>64</v>
      </c>
      <c r="I4399" s="3" t="s">
        <v>64</v>
      </c>
      <c r="J4399" s="3" t="s">
        <v>128</v>
      </c>
      <c r="K4399" s="3" t="s">
        <v>65</v>
      </c>
      <c r="L4399" s="2" t="s">
        <v>42814</v>
      </c>
      <c r="M4399" s="2" t="s">
        <v>42815</v>
      </c>
      <c r="N4399" s="3" t="s">
        <v>1763</v>
      </c>
      <c r="P4399" s="3" t="s">
        <v>102</v>
      </c>
      <c r="Q4399" s="2" t="s">
        <v>42816</v>
      </c>
      <c r="R4399" s="3" t="s">
        <v>70</v>
      </c>
      <c r="S4399" s="4">
        <v>1</v>
      </c>
      <c r="T4399" s="4">
        <v>1</v>
      </c>
      <c r="U4399" s="5" t="s">
        <v>5872</v>
      </c>
      <c r="V4399" s="5" t="s">
        <v>5872</v>
      </c>
      <c r="W4399" s="5" t="s">
        <v>72</v>
      </c>
      <c r="X4399" s="5" t="s">
        <v>72</v>
      </c>
      <c r="Y4399" s="4">
        <v>327</v>
      </c>
      <c r="Z4399" s="4">
        <v>22</v>
      </c>
      <c r="AA4399" s="4">
        <v>37</v>
      </c>
      <c r="AB4399" s="4">
        <v>1</v>
      </c>
      <c r="AC4399" s="4">
        <v>1</v>
      </c>
      <c r="AD4399" s="4">
        <v>85</v>
      </c>
      <c r="AE4399" s="4">
        <v>105</v>
      </c>
      <c r="AF4399" s="4">
        <v>0</v>
      </c>
      <c r="AG4399" s="4">
        <v>0</v>
      </c>
      <c r="AH4399" s="4">
        <v>74</v>
      </c>
      <c r="AI4399" s="4">
        <v>91</v>
      </c>
      <c r="AJ4399" s="4">
        <v>9</v>
      </c>
      <c r="AK4399" s="4">
        <v>13</v>
      </c>
      <c r="AL4399" s="4">
        <v>45</v>
      </c>
      <c r="AM4399" s="4">
        <v>53</v>
      </c>
      <c r="AN4399" s="4">
        <v>0</v>
      </c>
      <c r="AO4399" s="4">
        <v>0</v>
      </c>
      <c r="AP4399" s="4">
        <v>11</v>
      </c>
      <c r="AQ4399" s="4">
        <v>18</v>
      </c>
      <c r="AR4399" s="3" t="s">
        <v>64</v>
      </c>
      <c r="AS4399" s="3" t="s">
        <v>64</v>
      </c>
      <c r="AT4399" s="3" t="s">
        <v>64</v>
      </c>
      <c r="AV4399" s="6" t="str">
        <f>HYPERLINK("http://mcgill.on.worldcat.org/oclc/10483955","Catalog Record")</f>
        <v>Catalog Record</v>
      </c>
      <c r="AW4399" s="6" t="str">
        <f>HYPERLINK("http://www.worldcat.org/oclc/10483955","WorldCat Record")</f>
        <v>WorldCat Record</v>
      </c>
      <c r="AX4399" s="3" t="s">
        <v>42817</v>
      </c>
      <c r="AY4399" s="3" t="s">
        <v>42818</v>
      </c>
      <c r="AZ4399" s="3" t="s">
        <v>42819</v>
      </c>
      <c r="BA4399" s="3" t="s">
        <v>42819</v>
      </c>
      <c r="BB4399" s="3" t="s">
        <v>42820</v>
      </c>
      <c r="BC4399" s="3" t="s">
        <v>77</v>
      </c>
      <c r="BD4399" s="3" t="s">
        <v>78</v>
      </c>
      <c r="BE4399" s="3" t="s">
        <v>42821</v>
      </c>
      <c r="BF4399" s="3" t="s">
        <v>42820</v>
      </c>
      <c r="BG4399" s="3" t="s">
        <v>42822</v>
      </c>
      <c r="BH4399">
        <f t="shared" si="135"/>
        <v>0</v>
      </c>
    </row>
    <row r="4400" spans="1:60" ht="58" x14ac:dyDescent="0.35">
      <c r="A4400" s="2" t="s">
        <v>6202</v>
      </c>
      <c r="B4400" s="2" t="s">
        <v>6203</v>
      </c>
      <c r="C4400" s="2" t="s">
        <v>42823</v>
      </c>
      <c r="D4400" s="2" t="s">
        <v>42824</v>
      </c>
      <c r="E4400" s="2" t="s">
        <v>42825</v>
      </c>
      <c r="G4400" s="3" t="s">
        <v>64</v>
      </c>
      <c r="I4400" s="3" t="s">
        <v>64</v>
      </c>
      <c r="J4400" s="3" t="s">
        <v>64</v>
      </c>
      <c r="K4400" s="3" t="s">
        <v>65</v>
      </c>
      <c r="L4400" s="2" t="s">
        <v>42826</v>
      </c>
      <c r="M4400" s="2" t="s">
        <v>42827</v>
      </c>
      <c r="N4400" s="3" t="s">
        <v>3428</v>
      </c>
      <c r="P4400" s="3" t="s">
        <v>102</v>
      </c>
      <c r="R4400" s="3" t="s">
        <v>70</v>
      </c>
      <c r="S4400" s="4">
        <v>1</v>
      </c>
      <c r="T4400" s="4">
        <v>1</v>
      </c>
      <c r="U4400" s="5" t="s">
        <v>37605</v>
      </c>
      <c r="V4400" s="5" t="s">
        <v>37605</v>
      </c>
      <c r="W4400" s="5" t="s">
        <v>72</v>
      </c>
      <c r="X4400" s="5" t="s">
        <v>72</v>
      </c>
      <c r="Y4400" s="4">
        <v>26</v>
      </c>
      <c r="Z4400" s="4">
        <v>1</v>
      </c>
      <c r="AA4400" s="4">
        <v>1</v>
      </c>
      <c r="AB4400" s="4">
        <v>1</v>
      </c>
      <c r="AC4400" s="4">
        <v>1</v>
      </c>
      <c r="AD4400" s="4">
        <v>6</v>
      </c>
      <c r="AE4400" s="4">
        <v>6</v>
      </c>
      <c r="AF4400" s="4">
        <v>0</v>
      </c>
      <c r="AG4400" s="4">
        <v>0</v>
      </c>
      <c r="AH4400" s="4">
        <v>5</v>
      </c>
      <c r="AI4400" s="4">
        <v>5</v>
      </c>
      <c r="AJ4400" s="4">
        <v>0</v>
      </c>
      <c r="AK4400" s="4">
        <v>0</v>
      </c>
      <c r="AL4400" s="4">
        <v>4</v>
      </c>
      <c r="AM4400" s="4">
        <v>4</v>
      </c>
      <c r="AN4400" s="4">
        <v>0</v>
      </c>
      <c r="AO4400" s="4">
        <v>0</v>
      </c>
      <c r="AP4400" s="4">
        <v>0</v>
      </c>
      <c r="AQ4400" s="4">
        <v>0</v>
      </c>
      <c r="AR4400" s="3" t="s">
        <v>64</v>
      </c>
      <c r="AS4400" s="3" t="s">
        <v>64</v>
      </c>
      <c r="AT4400" s="3" t="s">
        <v>64</v>
      </c>
      <c r="AV4400" s="6" t="str">
        <f>HYPERLINK("http://mcgill.on.worldcat.org/oclc/34017866","Catalog Record")</f>
        <v>Catalog Record</v>
      </c>
      <c r="AW4400" s="6" t="str">
        <f>HYPERLINK("http://www.worldcat.org/oclc/34017866","WorldCat Record")</f>
        <v>WorldCat Record</v>
      </c>
      <c r="AX4400" s="3" t="s">
        <v>42828</v>
      </c>
      <c r="AY4400" s="3" t="s">
        <v>42829</v>
      </c>
      <c r="AZ4400" s="3" t="s">
        <v>42830</v>
      </c>
      <c r="BA4400" s="3" t="s">
        <v>42830</v>
      </c>
      <c r="BB4400" s="3" t="s">
        <v>42831</v>
      </c>
      <c r="BC4400" s="3" t="s">
        <v>77</v>
      </c>
      <c r="BD4400" s="3" t="s">
        <v>78</v>
      </c>
      <c r="BF4400" s="3" t="s">
        <v>42831</v>
      </c>
      <c r="BG4400" s="3" t="s">
        <v>42832</v>
      </c>
      <c r="BH4400">
        <f t="shared" si="135"/>
        <v>0</v>
      </c>
    </row>
    <row r="4401" spans="1:60" ht="58" x14ac:dyDescent="0.35">
      <c r="A4401" s="2" t="s">
        <v>6202</v>
      </c>
      <c r="B4401" s="2" t="s">
        <v>6203</v>
      </c>
      <c r="C4401" s="2" t="s">
        <v>42833</v>
      </c>
      <c r="D4401" s="2" t="s">
        <v>42834</v>
      </c>
      <c r="E4401" s="2" t="s">
        <v>42835</v>
      </c>
      <c r="G4401" s="3" t="s">
        <v>64</v>
      </c>
      <c r="I4401" s="3" t="s">
        <v>128</v>
      </c>
      <c r="J4401" s="3" t="s">
        <v>64</v>
      </c>
      <c r="K4401" s="3" t="s">
        <v>65</v>
      </c>
      <c r="L4401" s="2" t="s">
        <v>42836</v>
      </c>
      <c r="M4401" s="2" t="s">
        <v>42837</v>
      </c>
      <c r="N4401" s="3" t="s">
        <v>5986</v>
      </c>
      <c r="P4401" s="3" t="s">
        <v>102</v>
      </c>
      <c r="R4401" s="3" t="s">
        <v>70</v>
      </c>
      <c r="S4401" s="4">
        <v>0</v>
      </c>
      <c r="T4401" s="4">
        <v>1</v>
      </c>
      <c r="V4401" s="5" t="s">
        <v>1655</v>
      </c>
      <c r="W4401" s="5" t="s">
        <v>72</v>
      </c>
      <c r="X4401" s="5" t="s">
        <v>72</v>
      </c>
      <c r="Y4401" s="4">
        <v>223</v>
      </c>
      <c r="Z4401" s="4">
        <v>22</v>
      </c>
      <c r="AA4401" s="4">
        <v>29</v>
      </c>
      <c r="AB4401" s="4">
        <v>2</v>
      </c>
      <c r="AC4401" s="4">
        <v>8</v>
      </c>
      <c r="AD4401" s="4">
        <v>97</v>
      </c>
      <c r="AE4401" s="4">
        <v>102</v>
      </c>
      <c r="AF4401" s="4">
        <v>1</v>
      </c>
      <c r="AG4401" s="4">
        <v>5</v>
      </c>
      <c r="AH4401" s="4">
        <v>86</v>
      </c>
      <c r="AI4401" s="4">
        <v>87</v>
      </c>
      <c r="AJ4401" s="4">
        <v>17</v>
      </c>
      <c r="AK4401" s="4">
        <v>21</v>
      </c>
      <c r="AL4401" s="4">
        <v>51</v>
      </c>
      <c r="AM4401" s="4">
        <v>51</v>
      </c>
      <c r="AN4401" s="4">
        <v>0</v>
      </c>
      <c r="AO4401" s="4">
        <v>0</v>
      </c>
      <c r="AP4401" s="4">
        <v>16</v>
      </c>
      <c r="AQ4401" s="4">
        <v>20</v>
      </c>
      <c r="AR4401" s="3" t="s">
        <v>64</v>
      </c>
      <c r="AS4401" s="3" t="s">
        <v>64</v>
      </c>
      <c r="AT4401" s="3" t="s">
        <v>128</v>
      </c>
      <c r="AU4401" s="6" t="str">
        <f>HYPERLINK("http://catalog.hathitrust.org/Record/001177343","HathiTrust Record")</f>
        <v>HathiTrust Record</v>
      </c>
      <c r="AV4401" s="6" t="str">
        <f>HYPERLINK("http://mcgill.on.worldcat.org/oclc/429567","Catalog Record")</f>
        <v>Catalog Record</v>
      </c>
      <c r="AW4401" s="6" t="str">
        <f>HYPERLINK("http://www.worldcat.org/oclc/429567","WorldCat Record")</f>
        <v>WorldCat Record</v>
      </c>
      <c r="AX4401" s="3" t="s">
        <v>42838</v>
      </c>
      <c r="AY4401" s="3" t="s">
        <v>42839</v>
      </c>
      <c r="AZ4401" s="3" t="s">
        <v>42840</v>
      </c>
      <c r="BA4401" s="3" t="s">
        <v>42840</v>
      </c>
      <c r="BB4401" s="3" t="s">
        <v>42841</v>
      </c>
      <c r="BC4401" s="3" t="s">
        <v>77</v>
      </c>
      <c r="BD4401" s="3" t="s">
        <v>78</v>
      </c>
      <c r="BF4401" s="3" t="s">
        <v>42841</v>
      </c>
      <c r="BG4401" s="3" t="s">
        <v>42842</v>
      </c>
      <c r="BH4401">
        <f t="shared" si="135"/>
        <v>0</v>
      </c>
    </row>
    <row r="4402" spans="1:60" ht="87" x14ac:dyDescent="0.35">
      <c r="A4402" s="2" t="s">
        <v>6202</v>
      </c>
      <c r="B4402" s="2" t="s">
        <v>6203</v>
      </c>
      <c r="C4402" s="2" t="s">
        <v>42843</v>
      </c>
      <c r="D4402" s="2" t="s">
        <v>42844</v>
      </c>
      <c r="E4402" s="2" t="s">
        <v>42845</v>
      </c>
      <c r="G4402" s="3" t="s">
        <v>64</v>
      </c>
      <c r="I4402" s="3" t="s">
        <v>128</v>
      </c>
      <c r="J4402" s="3" t="s">
        <v>64</v>
      </c>
      <c r="K4402" s="3" t="s">
        <v>65</v>
      </c>
      <c r="L4402" s="2" t="s">
        <v>42846</v>
      </c>
      <c r="M4402" s="2" t="s">
        <v>42847</v>
      </c>
      <c r="N4402" s="3" t="s">
        <v>456</v>
      </c>
      <c r="P4402" s="3" t="s">
        <v>68</v>
      </c>
      <c r="R4402" s="3" t="s">
        <v>70</v>
      </c>
      <c r="S4402" s="4">
        <v>1</v>
      </c>
      <c r="T4402" s="4">
        <v>1</v>
      </c>
      <c r="U4402" s="5" t="s">
        <v>40704</v>
      </c>
      <c r="V4402" s="5" t="s">
        <v>40704</v>
      </c>
      <c r="W4402" s="5" t="s">
        <v>72</v>
      </c>
      <c r="X4402" s="5" t="s">
        <v>72</v>
      </c>
      <c r="Y4402" s="4">
        <v>8</v>
      </c>
      <c r="Z4402" s="4">
        <v>2</v>
      </c>
      <c r="AA4402" s="4">
        <v>3</v>
      </c>
      <c r="AB4402" s="4">
        <v>1</v>
      </c>
      <c r="AC4402" s="4">
        <v>1</v>
      </c>
      <c r="AD4402" s="4">
        <v>3</v>
      </c>
      <c r="AE4402" s="4">
        <v>8</v>
      </c>
      <c r="AF4402" s="4">
        <v>0</v>
      </c>
      <c r="AG4402" s="4">
        <v>0</v>
      </c>
      <c r="AH4402" s="4">
        <v>2</v>
      </c>
      <c r="AI4402" s="4">
        <v>7</v>
      </c>
      <c r="AJ4402" s="4">
        <v>1</v>
      </c>
      <c r="AK4402" s="4">
        <v>2</v>
      </c>
      <c r="AL4402" s="4">
        <v>2</v>
      </c>
      <c r="AM4402" s="4">
        <v>4</v>
      </c>
      <c r="AN4402" s="4">
        <v>0</v>
      </c>
      <c r="AO4402" s="4">
        <v>0</v>
      </c>
      <c r="AP4402" s="4">
        <v>1</v>
      </c>
      <c r="AQ4402" s="4">
        <v>2</v>
      </c>
      <c r="AR4402" s="3" t="s">
        <v>64</v>
      </c>
      <c r="AS4402" s="3" t="s">
        <v>64</v>
      </c>
      <c r="AT4402" s="3" t="s">
        <v>64</v>
      </c>
      <c r="AV4402" s="6" t="str">
        <f>HYPERLINK("http://mcgill.on.worldcat.org/oclc/427917544","Catalog Record")</f>
        <v>Catalog Record</v>
      </c>
      <c r="AW4402" s="6" t="str">
        <f>HYPERLINK("http://www.worldcat.org/oclc/427917544","WorldCat Record")</f>
        <v>WorldCat Record</v>
      </c>
      <c r="AX4402" s="3" t="s">
        <v>42848</v>
      </c>
      <c r="AY4402" s="3" t="s">
        <v>42849</v>
      </c>
      <c r="AZ4402" s="3" t="s">
        <v>42850</v>
      </c>
      <c r="BA4402" s="3" t="s">
        <v>42850</v>
      </c>
      <c r="BB4402" s="3" t="s">
        <v>42851</v>
      </c>
      <c r="BC4402" s="3" t="s">
        <v>77</v>
      </c>
      <c r="BD4402" s="3" t="s">
        <v>78</v>
      </c>
      <c r="BF4402" s="3" t="s">
        <v>42851</v>
      </c>
      <c r="BG4402" s="3" t="s">
        <v>42852</v>
      </c>
      <c r="BH4402">
        <f t="shared" si="135"/>
        <v>0</v>
      </c>
    </row>
    <row r="4403" spans="1:60" ht="58" x14ac:dyDescent="0.35">
      <c r="A4403" s="2" t="s">
        <v>6202</v>
      </c>
      <c r="B4403" s="2" t="s">
        <v>6203</v>
      </c>
      <c r="C4403" s="2" t="s">
        <v>42853</v>
      </c>
      <c r="D4403" s="2" t="s">
        <v>42854</v>
      </c>
      <c r="E4403" s="2" t="s">
        <v>42855</v>
      </c>
      <c r="G4403" s="3" t="s">
        <v>64</v>
      </c>
      <c r="I4403" s="3" t="s">
        <v>128</v>
      </c>
      <c r="J4403" s="3" t="s">
        <v>64</v>
      </c>
      <c r="K4403" s="3" t="s">
        <v>65</v>
      </c>
      <c r="L4403" s="2" t="s">
        <v>42856</v>
      </c>
      <c r="M4403" s="2" t="s">
        <v>42857</v>
      </c>
      <c r="N4403" s="3" t="s">
        <v>922</v>
      </c>
      <c r="P4403" s="3" t="s">
        <v>102</v>
      </c>
      <c r="Q4403" s="2" t="s">
        <v>42858</v>
      </c>
      <c r="R4403" s="3" t="s">
        <v>70</v>
      </c>
      <c r="S4403" s="4">
        <v>0</v>
      </c>
      <c r="T4403" s="4">
        <v>1</v>
      </c>
      <c r="V4403" s="5" t="s">
        <v>1655</v>
      </c>
      <c r="W4403" s="5" t="s">
        <v>72</v>
      </c>
      <c r="X4403" s="5" t="s">
        <v>72</v>
      </c>
      <c r="Y4403" s="4">
        <v>307</v>
      </c>
      <c r="Z4403" s="4">
        <v>22</v>
      </c>
      <c r="AA4403" s="4">
        <v>23</v>
      </c>
      <c r="AB4403" s="4">
        <v>1</v>
      </c>
      <c r="AC4403" s="4">
        <v>2</v>
      </c>
      <c r="AD4403" s="4">
        <v>109</v>
      </c>
      <c r="AE4403" s="4">
        <v>110</v>
      </c>
      <c r="AF4403" s="4">
        <v>0</v>
      </c>
      <c r="AG4403" s="4">
        <v>1</v>
      </c>
      <c r="AH4403" s="4">
        <v>96</v>
      </c>
      <c r="AI4403" s="4">
        <v>96</v>
      </c>
      <c r="AJ4403" s="4">
        <v>16</v>
      </c>
      <c r="AK4403" s="4">
        <v>17</v>
      </c>
      <c r="AL4403" s="4">
        <v>54</v>
      </c>
      <c r="AM4403" s="4">
        <v>54</v>
      </c>
      <c r="AN4403" s="4">
        <v>0</v>
      </c>
      <c r="AO4403" s="4">
        <v>0</v>
      </c>
      <c r="AP4403" s="4">
        <v>18</v>
      </c>
      <c r="AQ4403" s="4">
        <v>19</v>
      </c>
      <c r="AR4403" s="3" t="s">
        <v>64</v>
      </c>
      <c r="AS4403" s="3" t="s">
        <v>64</v>
      </c>
      <c r="AT4403" s="3" t="s">
        <v>64</v>
      </c>
      <c r="AV4403" s="6" t="str">
        <f>HYPERLINK("http://mcgill.on.worldcat.org/oclc/448129","Catalog Record")</f>
        <v>Catalog Record</v>
      </c>
      <c r="AW4403" s="6" t="str">
        <f>HYPERLINK("http://www.worldcat.org/oclc/448129","WorldCat Record")</f>
        <v>WorldCat Record</v>
      </c>
      <c r="AX4403" s="3" t="s">
        <v>42859</v>
      </c>
      <c r="AY4403" s="3" t="s">
        <v>42860</v>
      </c>
      <c r="AZ4403" s="3" t="s">
        <v>42861</v>
      </c>
      <c r="BA4403" s="3" t="s">
        <v>42861</v>
      </c>
      <c r="BB4403" s="3" t="s">
        <v>42862</v>
      </c>
      <c r="BC4403" s="3" t="s">
        <v>77</v>
      </c>
      <c r="BD4403" s="3" t="s">
        <v>78</v>
      </c>
      <c r="BE4403" s="3" t="s">
        <v>42863</v>
      </c>
      <c r="BF4403" s="3" t="s">
        <v>42862</v>
      </c>
      <c r="BG4403" s="3" t="s">
        <v>42864</v>
      </c>
      <c r="BH4403">
        <f t="shared" si="135"/>
        <v>0</v>
      </c>
    </row>
    <row r="4404" spans="1:60" ht="58" x14ac:dyDescent="0.35">
      <c r="A4404" s="2" t="s">
        <v>6202</v>
      </c>
      <c r="B4404" s="2" t="s">
        <v>6203</v>
      </c>
      <c r="C4404" s="2" t="s">
        <v>42865</v>
      </c>
      <c r="D4404" s="2" t="s">
        <v>42866</v>
      </c>
      <c r="E4404" s="2" t="s">
        <v>42867</v>
      </c>
      <c r="G4404" s="3" t="s">
        <v>64</v>
      </c>
      <c r="I4404" s="3" t="s">
        <v>128</v>
      </c>
      <c r="J4404" s="3" t="s">
        <v>64</v>
      </c>
      <c r="K4404" s="3" t="s">
        <v>65</v>
      </c>
      <c r="L4404" s="2" t="s">
        <v>42868</v>
      </c>
      <c r="M4404" s="2" t="s">
        <v>42869</v>
      </c>
      <c r="N4404" s="3" t="s">
        <v>7285</v>
      </c>
      <c r="P4404" s="3" t="s">
        <v>102</v>
      </c>
      <c r="R4404" s="3" t="s">
        <v>70</v>
      </c>
      <c r="S4404" s="4">
        <v>0</v>
      </c>
      <c r="T4404" s="4">
        <v>1</v>
      </c>
      <c r="V4404" s="5" t="s">
        <v>1655</v>
      </c>
      <c r="W4404" s="5" t="s">
        <v>72</v>
      </c>
      <c r="X4404" s="5" t="s">
        <v>72</v>
      </c>
      <c r="Y4404" s="4">
        <v>329</v>
      </c>
      <c r="Z4404" s="4">
        <v>23</v>
      </c>
      <c r="AA4404" s="4">
        <v>28</v>
      </c>
      <c r="AB4404" s="4">
        <v>1</v>
      </c>
      <c r="AC4404" s="4">
        <v>5</v>
      </c>
      <c r="AD4404" s="4">
        <v>105</v>
      </c>
      <c r="AE4404" s="4">
        <v>107</v>
      </c>
      <c r="AF4404" s="4">
        <v>0</v>
      </c>
      <c r="AG4404" s="4">
        <v>1</v>
      </c>
      <c r="AH4404" s="4">
        <v>92</v>
      </c>
      <c r="AI4404" s="4">
        <v>93</v>
      </c>
      <c r="AJ4404" s="4">
        <v>16</v>
      </c>
      <c r="AK4404" s="4">
        <v>18</v>
      </c>
      <c r="AL4404" s="4">
        <v>51</v>
      </c>
      <c r="AM4404" s="4">
        <v>51</v>
      </c>
      <c r="AN4404" s="4">
        <v>0</v>
      </c>
      <c r="AO4404" s="4">
        <v>0</v>
      </c>
      <c r="AP4404" s="4">
        <v>19</v>
      </c>
      <c r="AQ4404" s="4">
        <v>20</v>
      </c>
      <c r="AR4404" s="3" t="s">
        <v>64</v>
      </c>
      <c r="AS4404" s="3" t="s">
        <v>64</v>
      </c>
      <c r="AT4404" s="3" t="s">
        <v>128</v>
      </c>
      <c r="AU4404" s="6" t="str">
        <f>HYPERLINK("http://catalog.hathitrust.org/Record/001177385","HathiTrust Record")</f>
        <v>HathiTrust Record</v>
      </c>
      <c r="AV4404" s="6" t="str">
        <f>HYPERLINK("http://mcgill.on.worldcat.org/oclc/254551","Catalog Record")</f>
        <v>Catalog Record</v>
      </c>
      <c r="AW4404" s="6" t="str">
        <f>HYPERLINK("http://www.worldcat.org/oclc/254551","WorldCat Record")</f>
        <v>WorldCat Record</v>
      </c>
      <c r="AX4404" s="3" t="s">
        <v>42870</v>
      </c>
      <c r="AY4404" s="3" t="s">
        <v>42871</v>
      </c>
      <c r="AZ4404" s="3" t="s">
        <v>42872</v>
      </c>
      <c r="BA4404" s="3" t="s">
        <v>42872</v>
      </c>
      <c r="BB4404" s="3" t="s">
        <v>42873</v>
      </c>
      <c r="BC4404" s="3" t="s">
        <v>77</v>
      </c>
      <c r="BD4404" s="3" t="s">
        <v>78</v>
      </c>
      <c r="BE4404" s="3" t="s">
        <v>42874</v>
      </c>
      <c r="BF4404" s="3" t="s">
        <v>42873</v>
      </c>
      <c r="BG4404" s="3" t="s">
        <v>42875</v>
      </c>
      <c r="BH4404">
        <f t="shared" si="135"/>
        <v>0</v>
      </c>
    </row>
    <row r="4405" spans="1:60" ht="58" x14ac:dyDescent="0.35">
      <c r="A4405" s="2" t="s">
        <v>59</v>
      </c>
      <c r="B4405" s="2" t="s">
        <v>60</v>
      </c>
      <c r="C4405" s="2" t="s">
        <v>42876</v>
      </c>
      <c r="D4405" s="2" t="s">
        <v>42877</v>
      </c>
      <c r="E4405" s="2" t="s">
        <v>42878</v>
      </c>
      <c r="G4405" s="3" t="s">
        <v>64</v>
      </c>
      <c r="I4405" s="3" t="s">
        <v>64</v>
      </c>
      <c r="J4405" s="3" t="s">
        <v>64</v>
      </c>
      <c r="K4405" s="3" t="s">
        <v>65</v>
      </c>
      <c r="L4405" s="2" t="s">
        <v>42879</v>
      </c>
      <c r="M4405" s="2" t="s">
        <v>42880</v>
      </c>
      <c r="N4405" s="3" t="s">
        <v>326</v>
      </c>
      <c r="P4405" s="3" t="s">
        <v>68</v>
      </c>
      <c r="R4405" s="3" t="s">
        <v>70</v>
      </c>
      <c r="S4405" s="4">
        <v>0</v>
      </c>
      <c r="T4405" s="4">
        <v>0</v>
      </c>
      <c r="W4405" s="5" t="s">
        <v>72</v>
      </c>
      <c r="X4405" s="5" t="s">
        <v>72</v>
      </c>
      <c r="Y4405" s="4">
        <v>48</v>
      </c>
      <c r="Z4405" s="4">
        <v>4</v>
      </c>
      <c r="AA4405" s="4">
        <v>7</v>
      </c>
      <c r="AB4405" s="4">
        <v>1</v>
      </c>
      <c r="AC4405" s="4">
        <v>3</v>
      </c>
      <c r="AD4405" s="4">
        <v>23</v>
      </c>
      <c r="AE4405" s="4">
        <v>25</v>
      </c>
      <c r="AF4405" s="4">
        <v>0</v>
      </c>
      <c r="AG4405" s="4">
        <v>1</v>
      </c>
      <c r="AH4405" s="4">
        <v>22</v>
      </c>
      <c r="AI4405" s="4">
        <v>23</v>
      </c>
      <c r="AJ4405" s="4">
        <v>2</v>
      </c>
      <c r="AK4405" s="4">
        <v>4</v>
      </c>
      <c r="AL4405" s="4">
        <v>19</v>
      </c>
      <c r="AM4405" s="4">
        <v>19</v>
      </c>
      <c r="AN4405" s="4">
        <v>0</v>
      </c>
      <c r="AO4405" s="4">
        <v>0</v>
      </c>
      <c r="AP4405" s="4">
        <v>2</v>
      </c>
      <c r="AQ4405" s="4">
        <v>4</v>
      </c>
      <c r="AR4405" s="3" t="s">
        <v>64</v>
      </c>
      <c r="AS4405" s="3" t="s">
        <v>64</v>
      </c>
      <c r="AT4405" s="3" t="s">
        <v>64</v>
      </c>
      <c r="AV4405" s="6" t="str">
        <f>HYPERLINK("http://mcgill.on.worldcat.org/oclc/697594371","Catalog Record")</f>
        <v>Catalog Record</v>
      </c>
      <c r="AW4405" s="6" t="str">
        <f>HYPERLINK("http://www.worldcat.org/oclc/697594371","WorldCat Record")</f>
        <v>WorldCat Record</v>
      </c>
      <c r="AX4405" s="3" t="s">
        <v>42881</v>
      </c>
      <c r="AY4405" s="3" t="s">
        <v>42882</v>
      </c>
      <c r="AZ4405" s="3" t="s">
        <v>42883</v>
      </c>
      <c r="BA4405" s="3" t="s">
        <v>42883</v>
      </c>
      <c r="BB4405" s="3" t="s">
        <v>42884</v>
      </c>
      <c r="BC4405" s="3" t="s">
        <v>77</v>
      </c>
      <c r="BD4405" s="3" t="s">
        <v>78</v>
      </c>
      <c r="BE4405" s="3" t="s">
        <v>42885</v>
      </c>
      <c r="BF4405" s="3" t="s">
        <v>42884</v>
      </c>
      <c r="BG4405" s="3" t="s">
        <v>42886</v>
      </c>
      <c r="BH4405">
        <f t="shared" si="135"/>
        <v>0</v>
      </c>
    </row>
    <row r="4406" spans="1:60" ht="58" x14ac:dyDescent="0.35">
      <c r="A4406" s="2" t="s">
        <v>6202</v>
      </c>
      <c r="B4406" s="2" t="s">
        <v>6203</v>
      </c>
      <c r="C4406" s="2" t="s">
        <v>42887</v>
      </c>
      <c r="D4406" s="2" t="s">
        <v>42888</v>
      </c>
      <c r="E4406" s="2" t="s">
        <v>42889</v>
      </c>
      <c r="G4406" s="3" t="s">
        <v>64</v>
      </c>
      <c r="I4406" s="3" t="s">
        <v>64</v>
      </c>
      <c r="J4406" s="3" t="s">
        <v>64</v>
      </c>
      <c r="K4406" s="3" t="s">
        <v>65</v>
      </c>
      <c r="L4406" s="2" t="s">
        <v>42890</v>
      </c>
      <c r="M4406" s="2" t="s">
        <v>42891</v>
      </c>
      <c r="N4406" s="3" t="s">
        <v>1263</v>
      </c>
      <c r="P4406" s="3" t="s">
        <v>102</v>
      </c>
      <c r="Q4406" s="2" t="s">
        <v>42892</v>
      </c>
      <c r="R4406" s="3" t="s">
        <v>70</v>
      </c>
      <c r="S4406" s="4">
        <v>1</v>
      </c>
      <c r="T4406" s="4">
        <v>1</v>
      </c>
      <c r="U4406" s="5" t="s">
        <v>26042</v>
      </c>
      <c r="V4406" s="5" t="s">
        <v>26042</v>
      </c>
      <c r="W4406" s="5" t="s">
        <v>72</v>
      </c>
      <c r="X4406" s="5" t="s">
        <v>72</v>
      </c>
      <c r="Y4406" s="4">
        <v>226</v>
      </c>
      <c r="Z4406" s="4">
        <v>13</v>
      </c>
      <c r="AA4406" s="4">
        <v>38</v>
      </c>
      <c r="AB4406" s="4">
        <v>1</v>
      </c>
      <c r="AC4406" s="4">
        <v>6</v>
      </c>
      <c r="AD4406" s="4">
        <v>87</v>
      </c>
      <c r="AE4406" s="4">
        <v>97</v>
      </c>
      <c r="AF4406" s="4">
        <v>0</v>
      </c>
      <c r="AG4406" s="4">
        <v>1</v>
      </c>
      <c r="AH4406" s="4">
        <v>80</v>
      </c>
      <c r="AI4406" s="4">
        <v>88</v>
      </c>
      <c r="AJ4406" s="4">
        <v>10</v>
      </c>
      <c r="AK4406" s="4">
        <v>11</v>
      </c>
      <c r="AL4406" s="4">
        <v>50</v>
      </c>
      <c r="AM4406" s="4">
        <v>52</v>
      </c>
      <c r="AN4406" s="4">
        <v>0</v>
      </c>
      <c r="AO4406" s="4">
        <v>0</v>
      </c>
      <c r="AP4406" s="4">
        <v>9</v>
      </c>
      <c r="AQ4406" s="4">
        <v>13</v>
      </c>
      <c r="AR4406" s="3" t="s">
        <v>64</v>
      </c>
      <c r="AS4406" s="3" t="s">
        <v>64</v>
      </c>
      <c r="AT4406" s="3" t="s">
        <v>64</v>
      </c>
      <c r="AV4406" s="6" t="str">
        <f>HYPERLINK("http://mcgill.on.worldcat.org/oclc/28911387","Catalog Record")</f>
        <v>Catalog Record</v>
      </c>
      <c r="AW4406" s="6" t="str">
        <f>HYPERLINK("http://www.worldcat.org/oclc/28911387","WorldCat Record")</f>
        <v>WorldCat Record</v>
      </c>
      <c r="AX4406" s="3" t="s">
        <v>42893</v>
      </c>
      <c r="AY4406" s="3" t="s">
        <v>42894</v>
      </c>
      <c r="AZ4406" s="3" t="s">
        <v>42895</v>
      </c>
      <c r="BA4406" s="3" t="s">
        <v>42895</v>
      </c>
      <c r="BB4406" s="3" t="s">
        <v>42896</v>
      </c>
      <c r="BC4406" s="3" t="s">
        <v>77</v>
      </c>
      <c r="BD4406" s="3" t="s">
        <v>78</v>
      </c>
      <c r="BE4406" s="3" t="s">
        <v>42897</v>
      </c>
      <c r="BF4406" s="3" t="s">
        <v>42896</v>
      </c>
      <c r="BG4406" s="3" t="s">
        <v>42898</v>
      </c>
      <c r="BH4406">
        <f t="shared" si="135"/>
        <v>0</v>
      </c>
    </row>
    <row r="4407" spans="1:60" ht="58" x14ac:dyDescent="0.35">
      <c r="A4407" s="2" t="s">
        <v>6202</v>
      </c>
      <c r="B4407" s="2" t="s">
        <v>6203</v>
      </c>
      <c r="C4407" s="2" t="s">
        <v>42899</v>
      </c>
      <c r="D4407" s="2" t="s">
        <v>42900</v>
      </c>
      <c r="E4407" s="2" t="s">
        <v>42901</v>
      </c>
      <c r="G4407" s="3" t="s">
        <v>64</v>
      </c>
      <c r="I4407" s="3" t="s">
        <v>64</v>
      </c>
      <c r="J4407" s="3" t="s">
        <v>64</v>
      </c>
      <c r="K4407" s="3" t="s">
        <v>65</v>
      </c>
      <c r="L4407" s="2" t="s">
        <v>42902</v>
      </c>
      <c r="M4407" s="2" t="s">
        <v>42903</v>
      </c>
      <c r="N4407" s="3" t="s">
        <v>3330</v>
      </c>
      <c r="P4407" s="3" t="s">
        <v>102</v>
      </c>
      <c r="Q4407" s="2" t="s">
        <v>42904</v>
      </c>
      <c r="R4407" s="3" t="s">
        <v>70</v>
      </c>
      <c r="S4407" s="4">
        <v>1</v>
      </c>
      <c r="T4407" s="4">
        <v>1</v>
      </c>
      <c r="U4407" s="5" t="s">
        <v>28433</v>
      </c>
      <c r="V4407" s="5" t="s">
        <v>28433</v>
      </c>
      <c r="W4407" s="5" t="s">
        <v>72</v>
      </c>
      <c r="X4407" s="5" t="s">
        <v>72</v>
      </c>
      <c r="Y4407" s="4">
        <v>274</v>
      </c>
      <c r="Z4407" s="4">
        <v>21</v>
      </c>
      <c r="AA4407" s="4">
        <v>46</v>
      </c>
      <c r="AB4407" s="4">
        <v>2</v>
      </c>
      <c r="AC4407" s="4">
        <v>8</v>
      </c>
      <c r="AD4407" s="4">
        <v>91</v>
      </c>
      <c r="AE4407" s="4">
        <v>105</v>
      </c>
      <c r="AF4407" s="4">
        <v>0</v>
      </c>
      <c r="AG4407" s="4">
        <v>2</v>
      </c>
      <c r="AH4407" s="4">
        <v>82</v>
      </c>
      <c r="AI4407" s="4">
        <v>93</v>
      </c>
      <c r="AJ4407" s="4">
        <v>16</v>
      </c>
      <c r="AK4407" s="4">
        <v>18</v>
      </c>
      <c r="AL4407" s="4">
        <v>50</v>
      </c>
      <c r="AM4407" s="4">
        <v>53</v>
      </c>
      <c r="AN4407" s="4">
        <v>0</v>
      </c>
      <c r="AO4407" s="4">
        <v>0</v>
      </c>
      <c r="AP4407" s="4">
        <v>16</v>
      </c>
      <c r="AQ4407" s="4">
        <v>19</v>
      </c>
      <c r="AR4407" s="3" t="s">
        <v>64</v>
      </c>
      <c r="AS4407" s="3" t="s">
        <v>64</v>
      </c>
      <c r="AT4407" s="3" t="s">
        <v>128</v>
      </c>
      <c r="AU4407" s="6" t="str">
        <f>HYPERLINK("http://catalog.hathitrust.org/Record/008363583","HathiTrust Record")</f>
        <v>HathiTrust Record</v>
      </c>
      <c r="AV4407" s="6" t="str">
        <f>HYPERLINK("http://mcgill.on.worldcat.org/oclc/20588500","Catalog Record")</f>
        <v>Catalog Record</v>
      </c>
      <c r="AW4407" s="6" t="str">
        <f>HYPERLINK("http://www.worldcat.org/oclc/20588500","WorldCat Record")</f>
        <v>WorldCat Record</v>
      </c>
      <c r="AX4407" s="3" t="s">
        <v>42905</v>
      </c>
      <c r="AY4407" s="3" t="s">
        <v>42906</v>
      </c>
      <c r="AZ4407" s="3" t="s">
        <v>42907</v>
      </c>
      <c r="BA4407" s="3" t="s">
        <v>42907</v>
      </c>
      <c r="BB4407" s="3" t="s">
        <v>42908</v>
      </c>
      <c r="BC4407" s="3" t="s">
        <v>77</v>
      </c>
      <c r="BD4407" s="3" t="s">
        <v>78</v>
      </c>
      <c r="BE4407" s="3" t="s">
        <v>42909</v>
      </c>
      <c r="BF4407" s="3" t="s">
        <v>42908</v>
      </c>
      <c r="BG4407" s="3" t="s">
        <v>42910</v>
      </c>
      <c r="BH4407">
        <f t="shared" si="135"/>
        <v>0</v>
      </c>
    </row>
    <row r="4408" spans="1:60" ht="58" x14ac:dyDescent="0.35">
      <c r="A4408" s="2" t="s">
        <v>59</v>
      </c>
      <c r="B4408" s="2" t="s">
        <v>60</v>
      </c>
      <c r="C4408" s="2" t="s">
        <v>42911</v>
      </c>
      <c r="D4408" s="2" t="s">
        <v>42912</v>
      </c>
      <c r="E4408" s="2" t="s">
        <v>42913</v>
      </c>
      <c r="G4408" s="3" t="s">
        <v>64</v>
      </c>
      <c r="I4408" s="3" t="s">
        <v>128</v>
      </c>
      <c r="J4408" s="3" t="s">
        <v>64</v>
      </c>
      <c r="K4408" s="3" t="s">
        <v>65</v>
      </c>
      <c r="L4408" s="2" t="s">
        <v>42914</v>
      </c>
      <c r="M4408" s="2" t="s">
        <v>42915</v>
      </c>
      <c r="N4408" s="3" t="s">
        <v>315</v>
      </c>
      <c r="P4408" s="3" t="s">
        <v>102</v>
      </c>
      <c r="Q4408" s="2" t="s">
        <v>42916</v>
      </c>
      <c r="R4408" s="3" t="s">
        <v>70</v>
      </c>
      <c r="S4408" s="4">
        <v>0</v>
      </c>
      <c r="T4408" s="4">
        <v>1</v>
      </c>
      <c r="V4408" s="5" t="s">
        <v>42917</v>
      </c>
      <c r="W4408" s="5" t="s">
        <v>72</v>
      </c>
      <c r="X4408" s="5" t="s">
        <v>72</v>
      </c>
      <c r="Y4408" s="4">
        <v>455</v>
      </c>
      <c r="Z4408" s="4">
        <v>37</v>
      </c>
      <c r="AA4408" s="4">
        <v>41</v>
      </c>
      <c r="AB4408" s="4">
        <v>2</v>
      </c>
      <c r="AC4408" s="4">
        <v>4</v>
      </c>
      <c r="AD4408" s="4">
        <v>121</v>
      </c>
      <c r="AE4408" s="4">
        <v>124</v>
      </c>
      <c r="AF4408" s="4">
        <v>0</v>
      </c>
      <c r="AG4408" s="4">
        <v>1</v>
      </c>
      <c r="AH4408" s="4">
        <v>101</v>
      </c>
      <c r="AI4408" s="4">
        <v>103</v>
      </c>
      <c r="AJ4408" s="4">
        <v>18</v>
      </c>
      <c r="AK4408" s="4">
        <v>21</v>
      </c>
      <c r="AL4408" s="4">
        <v>55</v>
      </c>
      <c r="AM4408" s="4">
        <v>55</v>
      </c>
      <c r="AN4408" s="4">
        <v>0</v>
      </c>
      <c r="AO4408" s="4">
        <v>0</v>
      </c>
      <c r="AP4408" s="4">
        <v>27</v>
      </c>
      <c r="AQ4408" s="4">
        <v>30</v>
      </c>
      <c r="AR4408" s="3" t="s">
        <v>64</v>
      </c>
      <c r="AS4408" s="3" t="s">
        <v>64</v>
      </c>
      <c r="AT4408" s="3" t="s">
        <v>128</v>
      </c>
      <c r="AU4408" s="6" t="str">
        <f>HYPERLINK("http://catalog.hathitrust.org/Record/001674061","HathiTrust Record")</f>
        <v>HathiTrust Record</v>
      </c>
      <c r="AV4408" s="6" t="str">
        <f>HYPERLINK("http://mcgill.on.worldcat.org/oclc/48976","Catalog Record")</f>
        <v>Catalog Record</v>
      </c>
      <c r="AW4408" s="6" t="str">
        <f>HYPERLINK("http://www.worldcat.org/oclc/48976","WorldCat Record")</f>
        <v>WorldCat Record</v>
      </c>
      <c r="AX4408" s="3" t="s">
        <v>42918</v>
      </c>
      <c r="AY4408" s="3" t="s">
        <v>42919</v>
      </c>
      <c r="AZ4408" s="3" t="s">
        <v>42920</v>
      </c>
      <c r="BA4408" s="3" t="s">
        <v>42920</v>
      </c>
      <c r="BB4408" s="3" t="s">
        <v>42921</v>
      </c>
      <c r="BC4408" s="3" t="s">
        <v>77</v>
      </c>
      <c r="BD4408" s="3" t="s">
        <v>78</v>
      </c>
      <c r="BE4408" s="3" t="s">
        <v>42922</v>
      </c>
      <c r="BF4408" s="3" t="s">
        <v>42921</v>
      </c>
      <c r="BG4408" s="3" t="s">
        <v>42923</v>
      </c>
      <c r="BH4408">
        <f t="shared" si="135"/>
        <v>0</v>
      </c>
    </row>
    <row r="4409" spans="1:60" ht="72.5" x14ac:dyDescent="0.35">
      <c r="A4409" s="2" t="s">
        <v>6202</v>
      </c>
      <c r="B4409" s="2" t="s">
        <v>6203</v>
      </c>
      <c r="C4409" s="2" t="s">
        <v>42924</v>
      </c>
      <c r="D4409" s="2" t="s">
        <v>42925</v>
      </c>
      <c r="E4409" s="2" t="s">
        <v>42926</v>
      </c>
      <c r="G4409" s="3" t="s">
        <v>64</v>
      </c>
      <c r="I4409" s="3" t="s">
        <v>64</v>
      </c>
      <c r="J4409" s="3" t="s">
        <v>64</v>
      </c>
      <c r="K4409" s="3" t="s">
        <v>65</v>
      </c>
      <c r="M4409" s="2" t="s">
        <v>42927</v>
      </c>
      <c r="N4409" s="3" t="s">
        <v>1250</v>
      </c>
      <c r="P4409" s="3" t="s">
        <v>102</v>
      </c>
      <c r="Q4409" s="2" t="s">
        <v>42928</v>
      </c>
      <c r="R4409" s="3" t="s">
        <v>70</v>
      </c>
      <c r="S4409" s="4">
        <v>1</v>
      </c>
      <c r="T4409" s="4">
        <v>1</v>
      </c>
      <c r="U4409" s="5" t="s">
        <v>9368</v>
      </c>
      <c r="V4409" s="5" t="s">
        <v>9368</v>
      </c>
      <c r="W4409" s="5" t="s">
        <v>72</v>
      </c>
      <c r="X4409" s="5" t="s">
        <v>72</v>
      </c>
      <c r="Y4409" s="4">
        <v>156</v>
      </c>
      <c r="Z4409" s="4">
        <v>10</v>
      </c>
      <c r="AA4409" s="4">
        <v>10</v>
      </c>
      <c r="AB4409" s="4">
        <v>1</v>
      </c>
      <c r="AC4409" s="4">
        <v>1</v>
      </c>
      <c r="AD4409" s="4">
        <v>66</v>
      </c>
      <c r="AE4409" s="4">
        <v>66</v>
      </c>
      <c r="AF4409" s="4">
        <v>0</v>
      </c>
      <c r="AG4409" s="4">
        <v>0</v>
      </c>
      <c r="AH4409" s="4">
        <v>63</v>
      </c>
      <c r="AI4409" s="4">
        <v>63</v>
      </c>
      <c r="AJ4409" s="4">
        <v>8</v>
      </c>
      <c r="AK4409" s="4">
        <v>8</v>
      </c>
      <c r="AL4409" s="4">
        <v>41</v>
      </c>
      <c r="AM4409" s="4">
        <v>41</v>
      </c>
      <c r="AN4409" s="4">
        <v>0</v>
      </c>
      <c r="AO4409" s="4">
        <v>0</v>
      </c>
      <c r="AP4409" s="4">
        <v>7</v>
      </c>
      <c r="AQ4409" s="4">
        <v>7</v>
      </c>
      <c r="AR4409" s="3" t="s">
        <v>64</v>
      </c>
      <c r="AS4409" s="3" t="s">
        <v>64</v>
      </c>
      <c r="AT4409" s="3" t="s">
        <v>128</v>
      </c>
      <c r="AU4409" s="6" t="str">
        <f>HYPERLINK("http://catalog.hathitrust.org/Record/002978815","HathiTrust Record")</f>
        <v>HathiTrust Record</v>
      </c>
      <c r="AV4409" s="6" t="str">
        <f>HYPERLINK("http://mcgill.on.worldcat.org/oclc/31014902","Catalog Record")</f>
        <v>Catalog Record</v>
      </c>
      <c r="AW4409" s="6" t="str">
        <f>HYPERLINK("http://www.worldcat.org/oclc/31014902","WorldCat Record")</f>
        <v>WorldCat Record</v>
      </c>
      <c r="AX4409" s="3" t="s">
        <v>42929</v>
      </c>
      <c r="AY4409" s="3" t="s">
        <v>42930</v>
      </c>
      <c r="AZ4409" s="3" t="s">
        <v>42931</v>
      </c>
      <c r="BA4409" s="3" t="s">
        <v>42931</v>
      </c>
      <c r="BB4409" s="3" t="s">
        <v>42932</v>
      </c>
      <c r="BC4409" s="3" t="s">
        <v>77</v>
      </c>
      <c r="BD4409" s="3" t="s">
        <v>78</v>
      </c>
      <c r="BE4409" s="3" t="s">
        <v>42933</v>
      </c>
      <c r="BF4409" s="3" t="s">
        <v>42932</v>
      </c>
      <c r="BG4409" s="3" t="s">
        <v>42934</v>
      </c>
      <c r="BH4409">
        <f t="shared" si="135"/>
        <v>0</v>
      </c>
    </row>
    <row r="4410" spans="1:60" ht="58" x14ac:dyDescent="0.35">
      <c r="A4410" s="2" t="s">
        <v>6202</v>
      </c>
      <c r="B4410" s="2" t="s">
        <v>6203</v>
      </c>
      <c r="C4410" s="2" t="s">
        <v>42935</v>
      </c>
      <c r="D4410" s="2" t="s">
        <v>42936</v>
      </c>
      <c r="E4410" s="2" t="s">
        <v>42937</v>
      </c>
      <c r="F4410" s="3" t="s">
        <v>489</v>
      </c>
      <c r="G4410" s="3" t="s">
        <v>128</v>
      </c>
      <c r="I4410" s="3" t="s">
        <v>128</v>
      </c>
      <c r="J4410" s="3" t="s">
        <v>64</v>
      </c>
      <c r="K4410" s="3" t="s">
        <v>65</v>
      </c>
      <c r="L4410" s="2" t="s">
        <v>42938</v>
      </c>
      <c r="M4410" s="2" t="s">
        <v>42939</v>
      </c>
      <c r="N4410" s="3" t="s">
        <v>304</v>
      </c>
      <c r="P4410" s="3" t="s">
        <v>102</v>
      </c>
      <c r="Q4410" s="2" t="s">
        <v>42940</v>
      </c>
      <c r="R4410" s="3" t="s">
        <v>70</v>
      </c>
      <c r="S4410" s="4">
        <v>0</v>
      </c>
      <c r="T4410" s="4">
        <v>3</v>
      </c>
      <c r="V4410" s="5" t="s">
        <v>1655</v>
      </c>
      <c r="W4410" s="5" t="s">
        <v>72</v>
      </c>
      <c r="X4410" s="5" t="s">
        <v>72</v>
      </c>
      <c r="Y4410" s="4">
        <v>276</v>
      </c>
      <c r="Z4410" s="4">
        <v>19</v>
      </c>
      <c r="AA4410" s="4">
        <v>19</v>
      </c>
      <c r="AB4410" s="4">
        <v>2</v>
      </c>
      <c r="AC4410" s="4">
        <v>2</v>
      </c>
      <c r="AD4410" s="4">
        <v>93</v>
      </c>
      <c r="AE4410" s="4">
        <v>93</v>
      </c>
      <c r="AF4410" s="4">
        <v>0</v>
      </c>
      <c r="AG4410" s="4">
        <v>0</v>
      </c>
      <c r="AH4410" s="4">
        <v>82</v>
      </c>
      <c r="AI4410" s="4">
        <v>82</v>
      </c>
      <c r="AJ4410" s="4">
        <v>13</v>
      </c>
      <c r="AK4410" s="4">
        <v>13</v>
      </c>
      <c r="AL4410" s="4">
        <v>44</v>
      </c>
      <c r="AM4410" s="4">
        <v>44</v>
      </c>
      <c r="AN4410" s="4">
        <v>0</v>
      </c>
      <c r="AO4410" s="4">
        <v>0</v>
      </c>
      <c r="AP4410" s="4">
        <v>15</v>
      </c>
      <c r="AQ4410" s="4">
        <v>15</v>
      </c>
      <c r="AR4410" s="3" t="s">
        <v>64</v>
      </c>
      <c r="AS4410" s="3" t="s">
        <v>64</v>
      </c>
      <c r="AT4410" s="3" t="s">
        <v>128</v>
      </c>
      <c r="AU4410" s="6" t="str">
        <f>HYPERLINK("http://catalog.hathitrust.org/Record/007127626","HathiTrust Record")</f>
        <v>HathiTrust Record</v>
      </c>
      <c r="AV4410" s="6" t="str">
        <f>HYPERLINK("http://mcgill.on.worldcat.org/oclc/412100","Catalog Record")</f>
        <v>Catalog Record</v>
      </c>
      <c r="AW4410" s="6" t="str">
        <f>HYPERLINK("http://www.worldcat.org/oclc/412100","WorldCat Record")</f>
        <v>WorldCat Record</v>
      </c>
      <c r="AX4410" s="3" t="s">
        <v>42941</v>
      </c>
      <c r="AY4410" s="3" t="s">
        <v>42942</v>
      </c>
      <c r="AZ4410" s="3" t="s">
        <v>42943</v>
      </c>
      <c r="BA4410" s="3" t="s">
        <v>42943</v>
      </c>
      <c r="BB4410" s="3" t="s">
        <v>42944</v>
      </c>
      <c r="BC4410" s="3" t="s">
        <v>77</v>
      </c>
      <c r="BD4410" s="3" t="s">
        <v>78</v>
      </c>
      <c r="BF4410" s="3" t="s">
        <v>42944</v>
      </c>
      <c r="BG4410" s="3" t="s">
        <v>42945</v>
      </c>
      <c r="BH4410">
        <f t="shared" si="135"/>
        <v>0</v>
      </c>
    </row>
    <row r="4411" spans="1:60" ht="58" x14ac:dyDescent="0.35">
      <c r="A4411" s="2" t="s">
        <v>6202</v>
      </c>
      <c r="B4411" s="2" t="s">
        <v>6203</v>
      </c>
      <c r="C4411" s="2" t="s">
        <v>42935</v>
      </c>
      <c r="D4411" s="2" t="s">
        <v>42936</v>
      </c>
      <c r="E4411" s="2" t="s">
        <v>42937</v>
      </c>
      <c r="F4411" s="3" t="s">
        <v>2044</v>
      </c>
      <c r="G4411" s="3" t="s">
        <v>128</v>
      </c>
      <c r="I4411" s="3" t="s">
        <v>128</v>
      </c>
      <c r="J4411" s="3" t="s">
        <v>64</v>
      </c>
      <c r="K4411" s="3" t="s">
        <v>65</v>
      </c>
      <c r="L4411" s="2" t="s">
        <v>42938</v>
      </c>
      <c r="M4411" s="2" t="s">
        <v>42939</v>
      </c>
      <c r="N4411" s="3" t="s">
        <v>304</v>
      </c>
      <c r="P4411" s="3" t="s">
        <v>102</v>
      </c>
      <c r="Q4411" s="2" t="s">
        <v>42940</v>
      </c>
      <c r="R4411" s="3" t="s">
        <v>70</v>
      </c>
      <c r="S4411" s="4">
        <v>0</v>
      </c>
      <c r="T4411" s="4">
        <v>3</v>
      </c>
      <c r="V4411" s="5" t="s">
        <v>1655</v>
      </c>
      <c r="W4411" s="5" t="s">
        <v>72</v>
      </c>
      <c r="X4411" s="5" t="s">
        <v>72</v>
      </c>
      <c r="Y4411" s="4">
        <v>276</v>
      </c>
      <c r="Z4411" s="4">
        <v>19</v>
      </c>
      <c r="AA4411" s="4">
        <v>19</v>
      </c>
      <c r="AB4411" s="4">
        <v>2</v>
      </c>
      <c r="AC4411" s="4">
        <v>2</v>
      </c>
      <c r="AD4411" s="4">
        <v>93</v>
      </c>
      <c r="AE4411" s="4">
        <v>93</v>
      </c>
      <c r="AF4411" s="4">
        <v>0</v>
      </c>
      <c r="AG4411" s="4">
        <v>0</v>
      </c>
      <c r="AH4411" s="4">
        <v>82</v>
      </c>
      <c r="AI4411" s="4">
        <v>82</v>
      </c>
      <c r="AJ4411" s="4">
        <v>13</v>
      </c>
      <c r="AK4411" s="4">
        <v>13</v>
      </c>
      <c r="AL4411" s="4">
        <v>44</v>
      </c>
      <c r="AM4411" s="4">
        <v>44</v>
      </c>
      <c r="AN4411" s="4">
        <v>0</v>
      </c>
      <c r="AO4411" s="4">
        <v>0</v>
      </c>
      <c r="AP4411" s="4">
        <v>15</v>
      </c>
      <c r="AQ4411" s="4">
        <v>15</v>
      </c>
      <c r="AR4411" s="3" t="s">
        <v>64</v>
      </c>
      <c r="AS4411" s="3" t="s">
        <v>64</v>
      </c>
      <c r="AT4411" s="3" t="s">
        <v>128</v>
      </c>
      <c r="AU4411" s="6" t="str">
        <f>HYPERLINK("http://catalog.hathitrust.org/Record/007127626","HathiTrust Record")</f>
        <v>HathiTrust Record</v>
      </c>
      <c r="AV4411" s="6" t="str">
        <f>HYPERLINK("http://mcgill.on.worldcat.org/oclc/412100","Catalog Record")</f>
        <v>Catalog Record</v>
      </c>
      <c r="AW4411" s="6" t="str">
        <f>HYPERLINK("http://www.worldcat.org/oclc/412100","WorldCat Record")</f>
        <v>WorldCat Record</v>
      </c>
      <c r="AX4411" s="3" t="s">
        <v>42941</v>
      </c>
      <c r="AY4411" s="3" t="s">
        <v>42942</v>
      </c>
      <c r="AZ4411" s="3" t="s">
        <v>42943</v>
      </c>
      <c r="BA4411" s="3" t="s">
        <v>42943</v>
      </c>
      <c r="BB4411" s="3" t="s">
        <v>42946</v>
      </c>
      <c r="BC4411" s="3" t="s">
        <v>77</v>
      </c>
      <c r="BD4411" s="3" t="s">
        <v>78</v>
      </c>
      <c r="BF4411" s="3" t="s">
        <v>42946</v>
      </c>
      <c r="BG4411" s="3" t="s">
        <v>42947</v>
      </c>
      <c r="BH4411">
        <f t="shared" si="135"/>
        <v>0</v>
      </c>
    </row>
    <row r="4412" spans="1:60" ht="58" x14ac:dyDescent="0.35">
      <c r="A4412" s="2" t="s">
        <v>59</v>
      </c>
      <c r="B4412" s="2" t="s">
        <v>60</v>
      </c>
      <c r="C4412" s="2" t="s">
        <v>42948</v>
      </c>
      <c r="D4412" s="2" t="s">
        <v>42949</v>
      </c>
      <c r="E4412" s="2" t="s">
        <v>42950</v>
      </c>
      <c r="G4412" s="3" t="s">
        <v>64</v>
      </c>
      <c r="I4412" s="3" t="s">
        <v>64</v>
      </c>
      <c r="J4412" s="3" t="s">
        <v>64</v>
      </c>
      <c r="K4412" s="3" t="s">
        <v>65</v>
      </c>
      <c r="L4412" s="2" t="s">
        <v>42951</v>
      </c>
      <c r="M4412" s="2" t="s">
        <v>42952</v>
      </c>
      <c r="N4412" s="3" t="s">
        <v>3047</v>
      </c>
      <c r="P4412" s="3" t="s">
        <v>102</v>
      </c>
      <c r="R4412" s="3" t="s">
        <v>70</v>
      </c>
      <c r="S4412" s="4">
        <v>11</v>
      </c>
      <c r="T4412" s="4">
        <v>11</v>
      </c>
      <c r="U4412" s="5" t="s">
        <v>37133</v>
      </c>
      <c r="V4412" s="5" t="s">
        <v>37133</v>
      </c>
      <c r="W4412" s="5" t="s">
        <v>72</v>
      </c>
      <c r="X4412" s="5" t="s">
        <v>72</v>
      </c>
      <c r="Y4412" s="4">
        <v>161</v>
      </c>
      <c r="Z4412" s="4">
        <v>12</v>
      </c>
      <c r="AA4412" s="4">
        <v>13</v>
      </c>
      <c r="AB4412" s="4">
        <v>1</v>
      </c>
      <c r="AC4412" s="4">
        <v>1</v>
      </c>
      <c r="AD4412" s="4">
        <v>45</v>
      </c>
      <c r="AE4412" s="4">
        <v>46</v>
      </c>
      <c r="AF4412" s="4">
        <v>0</v>
      </c>
      <c r="AG4412" s="4">
        <v>0</v>
      </c>
      <c r="AH4412" s="4">
        <v>40</v>
      </c>
      <c r="AI4412" s="4">
        <v>41</v>
      </c>
      <c r="AJ4412" s="4">
        <v>8</v>
      </c>
      <c r="AK4412" s="4">
        <v>9</v>
      </c>
      <c r="AL4412" s="4">
        <v>27</v>
      </c>
      <c r="AM4412" s="4">
        <v>27</v>
      </c>
      <c r="AN4412" s="4">
        <v>0</v>
      </c>
      <c r="AO4412" s="4">
        <v>0</v>
      </c>
      <c r="AP4412" s="4">
        <v>8</v>
      </c>
      <c r="AQ4412" s="4">
        <v>9</v>
      </c>
      <c r="AR4412" s="3" t="s">
        <v>64</v>
      </c>
      <c r="AS4412" s="3" t="s">
        <v>64</v>
      </c>
      <c r="AT4412" s="3" t="s">
        <v>64</v>
      </c>
      <c r="AV4412" s="6" t="str">
        <f>HYPERLINK("http://mcgill.on.worldcat.org/oclc/17939958","Catalog Record")</f>
        <v>Catalog Record</v>
      </c>
      <c r="AW4412" s="6" t="str">
        <f>HYPERLINK("http://www.worldcat.org/oclc/17939958","WorldCat Record")</f>
        <v>WorldCat Record</v>
      </c>
      <c r="AX4412" s="3" t="s">
        <v>42953</v>
      </c>
      <c r="AY4412" s="3" t="s">
        <v>42954</v>
      </c>
      <c r="AZ4412" s="3" t="s">
        <v>42955</v>
      </c>
      <c r="BA4412" s="3" t="s">
        <v>42955</v>
      </c>
      <c r="BB4412" s="3" t="s">
        <v>42956</v>
      </c>
      <c r="BC4412" s="3" t="s">
        <v>77</v>
      </c>
      <c r="BD4412" s="3" t="s">
        <v>165</v>
      </c>
      <c r="BE4412" s="3" t="s">
        <v>42957</v>
      </c>
      <c r="BF4412" s="3" t="s">
        <v>42956</v>
      </c>
      <c r="BG4412" s="3" t="s">
        <v>42958</v>
      </c>
      <c r="BH4412">
        <f t="shared" si="135"/>
        <v>0</v>
      </c>
    </row>
    <row r="4413" spans="1:60" ht="58" x14ac:dyDescent="0.35">
      <c r="A4413" s="2" t="s">
        <v>6202</v>
      </c>
      <c r="B4413" s="2" t="s">
        <v>6203</v>
      </c>
      <c r="C4413" s="2" t="s">
        <v>42959</v>
      </c>
      <c r="D4413" s="2" t="s">
        <v>42960</v>
      </c>
      <c r="E4413" s="2" t="s">
        <v>42961</v>
      </c>
      <c r="G4413" s="3" t="s">
        <v>64</v>
      </c>
      <c r="I4413" s="3" t="s">
        <v>64</v>
      </c>
      <c r="J4413" s="3" t="s">
        <v>64</v>
      </c>
      <c r="K4413" s="3" t="s">
        <v>65</v>
      </c>
      <c r="M4413" s="2" t="s">
        <v>42962</v>
      </c>
      <c r="N4413" s="3" t="s">
        <v>1763</v>
      </c>
      <c r="P4413" s="3" t="s">
        <v>102</v>
      </c>
      <c r="Q4413" s="2" t="s">
        <v>42963</v>
      </c>
      <c r="R4413" s="3" t="s">
        <v>70</v>
      </c>
      <c r="S4413" s="4">
        <v>2</v>
      </c>
      <c r="T4413" s="4">
        <v>2</v>
      </c>
      <c r="U4413" s="5" t="s">
        <v>8533</v>
      </c>
      <c r="V4413" s="5" t="s">
        <v>8533</v>
      </c>
      <c r="W4413" s="5" t="s">
        <v>72</v>
      </c>
      <c r="X4413" s="5" t="s">
        <v>72</v>
      </c>
      <c r="Y4413" s="4">
        <v>382</v>
      </c>
      <c r="Z4413" s="4">
        <v>25</v>
      </c>
      <c r="AA4413" s="4">
        <v>25</v>
      </c>
      <c r="AB4413" s="4">
        <v>2</v>
      </c>
      <c r="AC4413" s="4">
        <v>2</v>
      </c>
      <c r="AD4413" s="4">
        <v>110</v>
      </c>
      <c r="AE4413" s="4">
        <v>110</v>
      </c>
      <c r="AF4413" s="4">
        <v>1</v>
      </c>
      <c r="AG4413" s="4">
        <v>1</v>
      </c>
      <c r="AH4413" s="4">
        <v>98</v>
      </c>
      <c r="AI4413" s="4">
        <v>98</v>
      </c>
      <c r="AJ4413" s="4">
        <v>19</v>
      </c>
      <c r="AK4413" s="4">
        <v>19</v>
      </c>
      <c r="AL4413" s="4">
        <v>52</v>
      </c>
      <c r="AM4413" s="4">
        <v>52</v>
      </c>
      <c r="AN4413" s="4">
        <v>0</v>
      </c>
      <c r="AO4413" s="4">
        <v>0</v>
      </c>
      <c r="AP4413" s="4">
        <v>20</v>
      </c>
      <c r="AQ4413" s="4">
        <v>20</v>
      </c>
      <c r="AR4413" s="3" t="s">
        <v>64</v>
      </c>
      <c r="AS4413" s="3" t="s">
        <v>64</v>
      </c>
      <c r="AT4413" s="3" t="s">
        <v>128</v>
      </c>
      <c r="AU4413" s="6" t="str">
        <f>HYPERLINK("http://catalog.hathitrust.org/Record/000415701","HathiTrust Record")</f>
        <v>HathiTrust Record</v>
      </c>
      <c r="AV4413" s="6" t="str">
        <f>HYPERLINK("http://mcgill.on.worldcat.org/oclc/10532913","Catalog Record")</f>
        <v>Catalog Record</v>
      </c>
      <c r="AW4413" s="6" t="str">
        <f>HYPERLINK("http://www.worldcat.org/oclc/10532913","WorldCat Record")</f>
        <v>WorldCat Record</v>
      </c>
      <c r="AX4413" s="3" t="s">
        <v>42964</v>
      </c>
      <c r="AY4413" s="3" t="s">
        <v>42965</v>
      </c>
      <c r="AZ4413" s="3" t="s">
        <v>42966</v>
      </c>
      <c r="BA4413" s="3" t="s">
        <v>42966</v>
      </c>
      <c r="BB4413" s="3" t="s">
        <v>42967</v>
      </c>
      <c r="BC4413" s="3" t="s">
        <v>77</v>
      </c>
      <c r="BD4413" s="3" t="s">
        <v>78</v>
      </c>
      <c r="BE4413" s="3" t="s">
        <v>42968</v>
      </c>
      <c r="BF4413" s="3" t="s">
        <v>42967</v>
      </c>
      <c r="BG4413" s="3" t="s">
        <v>42969</v>
      </c>
      <c r="BH4413">
        <f t="shared" si="135"/>
        <v>0</v>
      </c>
    </row>
    <row r="4414" spans="1:60" ht="58" x14ac:dyDescent="0.35">
      <c r="A4414" s="2" t="s">
        <v>59</v>
      </c>
      <c r="B4414" s="2" t="s">
        <v>60</v>
      </c>
      <c r="C4414" s="2" t="s">
        <v>42970</v>
      </c>
      <c r="D4414" s="2" t="s">
        <v>42971</v>
      </c>
      <c r="E4414" s="2" t="s">
        <v>42972</v>
      </c>
      <c r="G4414" s="3" t="s">
        <v>64</v>
      </c>
      <c r="I4414" s="3" t="s">
        <v>128</v>
      </c>
      <c r="J4414" s="3" t="s">
        <v>64</v>
      </c>
      <c r="K4414" s="3" t="s">
        <v>65</v>
      </c>
      <c r="L4414" s="2" t="s">
        <v>42973</v>
      </c>
      <c r="M4414" s="2" t="s">
        <v>42974</v>
      </c>
      <c r="N4414" s="3" t="s">
        <v>35668</v>
      </c>
      <c r="P4414" s="3" t="s">
        <v>102</v>
      </c>
      <c r="R4414" s="3" t="s">
        <v>70</v>
      </c>
      <c r="S4414" s="4">
        <v>3</v>
      </c>
      <c r="T4414" s="4">
        <v>3</v>
      </c>
      <c r="U4414" s="5" t="s">
        <v>42975</v>
      </c>
      <c r="V4414" s="5" t="s">
        <v>42975</v>
      </c>
      <c r="W4414" s="5" t="s">
        <v>72</v>
      </c>
      <c r="X4414" s="5" t="s">
        <v>72</v>
      </c>
      <c r="Y4414" s="4">
        <v>156</v>
      </c>
      <c r="Z4414" s="4">
        <v>11</v>
      </c>
      <c r="AA4414" s="4">
        <v>11</v>
      </c>
      <c r="AB4414" s="4">
        <v>1</v>
      </c>
      <c r="AC4414" s="4">
        <v>1</v>
      </c>
      <c r="AD4414" s="4">
        <v>47</v>
      </c>
      <c r="AE4414" s="4">
        <v>47</v>
      </c>
      <c r="AF4414" s="4">
        <v>0</v>
      </c>
      <c r="AG4414" s="4">
        <v>0</v>
      </c>
      <c r="AH4414" s="4">
        <v>40</v>
      </c>
      <c r="AI4414" s="4">
        <v>40</v>
      </c>
      <c r="AJ4414" s="4">
        <v>6</v>
      </c>
      <c r="AK4414" s="4">
        <v>6</v>
      </c>
      <c r="AL4414" s="4">
        <v>29</v>
      </c>
      <c r="AM4414" s="4">
        <v>29</v>
      </c>
      <c r="AN4414" s="4">
        <v>0</v>
      </c>
      <c r="AO4414" s="4">
        <v>0</v>
      </c>
      <c r="AP4414" s="4">
        <v>6</v>
      </c>
      <c r="AQ4414" s="4">
        <v>6</v>
      </c>
      <c r="AR4414" s="3" t="s">
        <v>64</v>
      </c>
      <c r="AS4414" s="3" t="s">
        <v>64</v>
      </c>
      <c r="AT4414" s="3" t="s">
        <v>128</v>
      </c>
      <c r="AU4414" s="6" t="str">
        <f>HYPERLINK("http://catalog.hathitrust.org/Record/001476112","HathiTrust Record")</f>
        <v>HathiTrust Record</v>
      </c>
      <c r="AV4414" s="6" t="str">
        <f>HYPERLINK("http://mcgill.on.worldcat.org/oclc/2276245","Catalog Record")</f>
        <v>Catalog Record</v>
      </c>
      <c r="AW4414" s="6" t="str">
        <f>HYPERLINK("http://www.worldcat.org/oclc/2276245","WorldCat Record")</f>
        <v>WorldCat Record</v>
      </c>
      <c r="AX4414" s="3" t="s">
        <v>42976</v>
      </c>
      <c r="AY4414" s="3" t="s">
        <v>42977</v>
      </c>
      <c r="AZ4414" s="3" t="s">
        <v>42978</v>
      </c>
      <c r="BA4414" s="3" t="s">
        <v>42978</v>
      </c>
      <c r="BB4414" s="3" t="s">
        <v>42979</v>
      </c>
      <c r="BC4414" s="3" t="s">
        <v>77</v>
      </c>
      <c r="BD4414" s="3" t="s">
        <v>78</v>
      </c>
      <c r="BF4414" s="3" t="s">
        <v>42979</v>
      </c>
      <c r="BG4414" s="3" t="s">
        <v>42980</v>
      </c>
      <c r="BH4414">
        <f t="shared" si="135"/>
        <v>0</v>
      </c>
    </row>
    <row r="4415" spans="1:60" ht="58" x14ac:dyDescent="0.35">
      <c r="A4415" s="2" t="s">
        <v>6202</v>
      </c>
      <c r="B4415" s="2" t="s">
        <v>6203</v>
      </c>
      <c r="C4415" s="2" t="s">
        <v>42981</v>
      </c>
      <c r="D4415" s="2" t="s">
        <v>42982</v>
      </c>
      <c r="E4415" s="2" t="s">
        <v>42983</v>
      </c>
      <c r="G4415" s="3" t="s">
        <v>64</v>
      </c>
      <c r="I4415" s="3" t="s">
        <v>128</v>
      </c>
      <c r="J4415" s="3" t="s">
        <v>64</v>
      </c>
      <c r="K4415" s="3" t="s">
        <v>65</v>
      </c>
      <c r="L4415" s="2" t="s">
        <v>42984</v>
      </c>
      <c r="M4415" s="2" t="s">
        <v>42985</v>
      </c>
      <c r="N4415" s="3" t="s">
        <v>6324</v>
      </c>
      <c r="P4415" s="3" t="s">
        <v>102</v>
      </c>
      <c r="R4415" s="3" t="s">
        <v>70</v>
      </c>
      <c r="S4415" s="4">
        <v>1</v>
      </c>
      <c r="T4415" s="4">
        <v>1</v>
      </c>
      <c r="U4415" s="5" t="s">
        <v>724</v>
      </c>
      <c r="V4415" s="5" t="s">
        <v>724</v>
      </c>
      <c r="W4415" s="5" t="s">
        <v>72</v>
      </c>
      <c r="X4415" s="5" t="s">
        <v>72</v>
      </c>
      <c r="Y4415" s="4">
        <v>352</v>
      </c>
      <c r="Z4415" s="4">
        <v>56</v>
      </c>
      <c r="AA4415" s="4">
        <v>62</v>
      </c>
      <c r="AB4415" s="4">
        <v>4</v>
      </c>
      <c r="AC4415" s="4">
        <v>8</v>
      </c>
      <c r="AD4415" s="4">
        <v>122</v>
      </c>
      <c r="AE4415" s="4">
        <v>125</v>
      </c>
      <c r="AF4415" s="4">
        <v>2</v>
      </c>
      <c r="AG4415" s="4">
        <v>4</v>
      </c>
      <c r="AH4415" s="4">
        <v>97</v>
      </c>
      <c r="AI4415" s="4">
        <v>98</v>
      </c>
      <c r="AJ4415" s="4">
        <v>22</v>
      </c>
      <c r="AK4415" s="4">
        <v>24</v>
      </c>
      <c r="AL4415" s="4">
        <v>53</v>
      </c>
      <c r="AM4415" s="4">
        <v>53</v>
      </c>
      <c r="AN4415" s="4">
        <v>0</v>
      </c>
      <c r="AO4415" s="4">
        <v>0</v>
      </c>
      <c r="AP4415" s="4">
        <v>32</v>
      </c>
      <c r="AQ4415" s="4">
        <v>35</v>
      </c>
      <c r="AR4415" s="3" t="s">
        <v>64</v>
      </c>
      <c r="AS4415" s="3" t="s">
        <v>64</v>
      </c>
      <c r="AT4415" s="3" t="s">
        <v>128</v>
      </c>
      <c r="AU4415" s="6" t="str">
        <f>HYPERLINK("http://catalog.hathitrust.org/Record/001171233","HathiTrust Record")</f>
        <v>HathiTrust Record</v>
      </c>
      <c r="AV4415" s="6" t="str">
        <f>HYPERLINK("http://mcgill.on.worldcat.org/oclc/580164","Catalog Record")</f>
        <v>Catalog Record</v>
      </c>
      <c r="AW4415" s="6" t="str">
        <f>HYPERLINK("http://www.worldcat.org/oclc/580164","WorldCat Record")</f>
        <v>WorldCat Record</v>
      </c>
      <c r="AX4415" s="3" t="s">
        <v>42986</v>
      </c>
      <c r="AY4415" s="3" t="s">
        <v>42987</v>
      </c>
      <c r="AZ4415" s="3" t="s">
        <v>42988</v>
      </c>
      <c r="BA4415" s="3" t="s">
        <v>42988</v>
      </c>
      <c r="BB4415" s="3" t="s">
        <v>42989</v>
      </c>
      <c r="BC4415" s="3" t="s">
        <v>77</v>
      </c>
      <c r="BD4415" s="3" t="s">
        <v>78</v>
      </c>
      <c r="BF4415" s="3" t="s">
        <v>42989</v>
      </c>
      <c r="BG4415" s="3" t="s">
        <v>42990</v>
      </c>
      <c r="BH4415">
        <f t="shared" si="135"/>
        <v>0</v>
      </c>
    </row>
    <row r="4416" spans="1:60" ht="72.5" x14ac:dyDescent="0.35">
      <c r="A4416" s="2" t="s">
        <v>6202</v>
      </c>
      <c r="B4416" s="2" t="s">
        <v>6203</v>
      </c>
      <c r="C4416" s="2" t="s">
        <v>42991</v>
      </c>
      <c r="D4416" s="2" t="s">
        <v>42992</v>
      </c>
      <c r="E4416" s="2" t="s">
        <v>42993</v>
      </c>
      <c r="F4416" s="3" t="s">
        <v>529</v>
      </c>
      <c r="G4416" s="3" t="s">
        <v>128</v>
      </c>
      <c r="I4416" s="3" t="s">
        <v>64</v>
      </c>
      <c r="J4416" s="3" t="s">
        <v>64</v>
      </c>
      <c r="K4416" s="3" t="s">
        <v>65</v>
      </c>
      <c r="M4416" s="2" t="s">
        <v>42994</v>
      </c>
      <c r="N4416" s="3" t="s">
        <v>434</v>
      </c>
      <c r="P4416" s="3" t="s">
        <v>102</v>
      </c>
      <c r="Q4416" s="2" t="s">
        <v>42995</v>
      </c>
      <c r="R4416" s="3" t="s">
        <v>70</v>
      </c>
      <c r="S4416" s="4">
        <v>2</v>
      </c>
      <c r="T4416" s="4">
        <v>11</v>
      </c>
      <c r="U4416" s="5" t="s">
        <v>42996</v>
      </c>
      <c r="V4416" s="5" t="s">
        <v>42996</v>
      </c>
      <c r="W4416" s="5" t="s">
        <v>72</v>
      </c>
      <c r="X4416" s="5" t="s">
        <v>72</v>
      </c>
      <c r="Y4416" s="4">
        <v>13</v>
      </c>
      <c r="Z4416" s="4">
        <v>1</v>
      </c>
      <c r="AA4416" s="4">
        <v>1</v>
      </c>
      <c r="AB4416" s="4">
        <v>1</v>
      </c>
      <c r="AC4416" s="4">
        <v>1</v>
      </c>
      <c r="AD4416" s="4">
        <v>0</v>
      </c>
      <c r="AE4416" s="4">
        <v>0</v>
      </c>
      <c r="AF4416" s="4">
        <v>0</v>
      </c>
      <c r="AG4416" s="4">
        <v>0</v>
      </c>
      <c r="AH4416" s="4">
        <v>0</v>
      </c>
      <c r="AI4416" s="4">
        <v>0</v>
      </c>
      <c r="AJ4416" s="4">
        <v>0</v>
      </c>
      <c r="AK4416" s="4">
        <v>0</v>
      </c>
      <c r="AL4416" s="4">
        <v>0</v>
      </c>
      <c r="AM4416" s="4">
        <v>0</v>
      </c>
      <c r="AN4416" s="4">
        <v>0</v>
      </c>
      <c r="AO4416" s="4">
        <v>0</v>
      </c>
      <c r="AP4416" s="4">
        <v>0</v>
      </c>
      <c r="AQ4416" s="4">
        <v>0</v>
      </c>
      <c r="AR4416" s="3" t="s">
        <v>64</v>
      </c>
      <c r="AS4416" s="3" t="s">
        <v>64</v>
      </c>
      <c r="AT4416" s="3" t="s">
        <v>64</v>
      </c>
      <c r="AV4416" s="6" t="str">
        <f>HYPERLINK("http://mcgill.on.worldcat.org/oclc/57598717","Catalog Record")</f>
        <v>Catalog Record</v>
      </c>
      <c r="AW4416" s="6" t="str">
        <f>HYPERLINK("http://www.worldcat.org/oclc/57598717","WorldCat Record")</f>
        <v>WorldCat Record</v>
      </c>
      <c r="AX4416" s="3" t="s">
        <v>42997</v>
      </c>
      <c r="AY4416" s="3" t="s">
        <v>42998</v>
      </c>
      <c r="AZ4416" s="3" t="s">
        <v>42999</v>
      </c>
      <c r="BA4416" s="3" t="s">
        <v>42999</v>
      </c>
      <c r="BB4416" s="3" t="s">
        <v>43000</v>
      </c>
      <c r="BC4416" s="3" t="s">
        <v>77</v>
      </c>
      <c r="BD4416" s="3" t="s">
        <v>78</v>
      </c>
      <c r="BE4416" s="3" t="s">
        <v>43001</v>
      </c>
      <c r="BF4416" s="3" t="s">
        <v>43000</v>
      </c>
      <c r="BG4416" s="3" t="s">
        <v>43002</v>
      </c>
      <c r="BH4416">
        <f t="shared" si="135"/>
        <v>0</v>
      </c>
    </row>
    <row r="4417" spans="1:60" ht="72.5" x14ac:dyDescent="0.35">
      <c r="A4417" s="2" t="s">
        <v>6202</v>
      </c>
      <c r="B4417" s="2" t="s">
        <v>6203</v>
      </c>
      <c r="C4417" s="2" t="s">
        <v>42991</v>
      </c>
      <c r="D4417" s="2" t="s">
        <v>42992</v>
      </c>
      <c r="E4417" s="2" t="s">
        <v>42993</v>
      </c>
      <c r="F4417" s="3" t="s">
        <v>522</v>
      </c>
      <c r="G4417" s="3" t="s">
        <v>128</v>
      </c>
      <c r="I4417" s="3" t="s">
        <v>64</v>
      </c>
      <c r="J4417" s="3" t="s">
        <v>64</v>
      </c>
      <c r="K4417" s="3" t="s">
        <v>65</v>
      </c>
      <c r="M4417" s="2" t="s">
        <v>42994</v>
      </c>
      <c r="N4417" s="3" t="s">
        <v>434</v>
      </c>
      <c r="P4417" s="3" t="s">
        <v>102</v>
      </c>
      <c r="Q4417" s="2" t="s">
        <v>42995</v>
      </c>
      <c r="R4417" s="3" t="s">
        <v>70</v>
      </c>
      <c r="S4417" s="4">
        <v>2</v>
      </c>
      <c r="T4417" s="4">
        <v>11</v>
      </c>
      <c r="U4417" s="5" t="s">
        <v>33657</v>
      </c>
      <c r="V4417" s="5" t="s">
        <v>42996</v>
      </c>
      <c r="W4417" s="5" t="s">
        <v>72</v>
      </c>
      <c r="X4417" s="5" t="s">
        <v>72</v>
      </c>
      <c r="Y4417" s="4">
        <v>13</v>
      </c>
      <c r="Z4417" s="4">
        <v>1</v>
      </c>
      <c r="AA4417" s="4">
        <v>1</v>
      </c>
      <c r="AB4417" s="4">
        <v>1</v>
      </c>
      <c r="AC4417" s="4">
        <v>1</v>
      </c>
      <c r="AD4417" s="4">
        <v>0</v>
      </c>
      <c r="AE4417" s="4">
        <v>0</v>
      </c>
      <c r="AF4417" s="4">
        <v>0</v>
      </c>
      <c r="AG4417" s="4">
        <v>0</v>
      </c>
      <c r="AH4417" s="4">
        <v>0</v>
      </c>
      <c r="AI4417" s="4">
        <v>0</v>
      </c>
      <c r="AJ4417" s="4">
        <v>0</v>
      </c>
      <c r="AK4417" s="4">
        <v>0</v>
      </c>
      <c r="AL4417" s="4">
        <v>0</v>
      </c>
      <c r="AM4417" s="4">
        <v>0</v>
      </c>
      <c r="AN4417" s="4">
        <v>0</v>
      </c>
      <c r="AO4417" s="4">
        <v>0</v>
      </c>
      <c r="AP4417" s="4">
        <v>0</v>
      </c>
      <c r="AQ4417" s="4">
        <v>0</v>
      </c>
      <c r="AR4417" s="3" t="s">
        <v>64</v>
      </c>
      <c r="AS4417" s="3" t="s">
        <v>64</v>
      </c>
      <c r="AT4417" s="3" t="s">
        <v>64</v>
      </c>
      <c r="AV4417" s="6" t="str">
        <f>HYPERLINK("http://mcgill.on.worldcat.org/oclc/57598717","Catalog Record")</f>
        <v>Catalog Record</v>
      </c>
      <c r="AW4417" s="6" t="str">
        <f>HYPERLINK("http://www.worldcat.org/oclc/57598717","WorldCat Record")</f>
        <v>WorldCat Record</v>
      </c>
      <c r="AX4417" s="3" t="s">
        <v>42997</v>
      </c>
      <c r="AY4417" s="3" t="s">
        <v>42998</v>
      </c>
      <c r="AZ4417" s="3" t="s">
        <v>42999</v>
      </c>
      <c r="BA4417" s="3" t="s">
        <v>42999</v>
      </c>
      <c r="BB4417" s="3" t="s">
        <v>43003</v>
      </c>
      <c r="BC4417" s="3" t="s">
        <v>77</v>
      </c>
      <c r="BD4417" s="3" t="s">
        <v>78</v>
      </c>
      <c r="BE4417" s="3" t="s">
        <v>43001</v>
      </c>
      <c r="BF4417" s="3" t="s">
        <v>43003</v>
      </c>
      <c r="BG4417" s="3" t="s">
        <v>43004</v>
      </c>
      <c r="BH4417">
        <f t="shared" si="135"/>
        <v>0</v>
      </c>
    </row>
    <row r="4418" spans="1:60" ht="72.5" x14ac:dyDescent="0.35">
      <c r="A4418" s="2" t="s">
        <v>6202</v>
      </c>
      <c r="B4418" s="2" t="s">
        <v>6203</v>
      </c>
      <c r="C4418" s="2" t="s">
        <v>42991</v>
      </c>
      <c r="D4418" s="2" t="s">
        <v>42992</v>
      </c>
      <c r="E4418" s="2" t="s">
        <v>42993</v>
      </c>
      <c r="F4418" s="3" t="s">
        <v>525</v>
      </c>
      <c r="G4418" s="3" t="s">
        <v>128</v>
      </c>
      <c r="I4418" s="3" t="s">
        <v>64</v>
      </c>
      <c r="J4418" s="3" t="s">
        <v>64</v>
      </c>
      <c r="K4418" s="3" t="s">
        <v>65</v>
      </c>
      <c r="M4418" s="2" t="s">
        <v>42994</v>
      </c>
      <c r="N4418" s="3" t="s">
        <v>434</v>
      </c>
      <c r="P4418" s="3" t="s">
        <v>102</v>
      </c>
      <c r="Q4418" s="2" t="s">
        <v>42995</v>
      </c>
      <c r="R4418" s="3" t="s">
        <v>70</v>
      </c>
      <c r="S4418" s="4">
        <v>3</v>
      </c>
      <c r="T4418" s="4">
        <v>11</v>
      </c>
      <c r="U4418" s="5" t="s">
        <v>33657</v>
      </c>
      <c r="V4418" s="5" t="s">
        <v>42996</v>
      </c>
      <c r="W4418" s="5" t="s">
        <v>72</v>
      </c>
      <c r="X4418" s="5" t="s">
        <v>72</v>
      </c>
      <c r="Y4418" s="4">
        <v>13</v>
      </c>
      <c r="Z4418" s="4">
        <v>1</v>
      </c>
      <c r="AA4418" s="4">
        <v>1</v>
      </c>
      <c r="AB4418" s="4">
        <v>1</v>
      </c>
      <c r="AC4418" s="4">
        <v>1</v>
      </c>
      <c r="AD4418" s="4">
        <v>0</v>
      </c>
      <c r="AE4418" s="4">
        <v>0</v>
      </c>
      <c r="AF4418" s="4">
        <v>0</v>
      </c>
      <c r="AG4418" s="4">
        <v>0</v>
      </c>
      <c r="AH4418" s="4">
        <v>0</v>
      </c>
      <c r="AI4418" s="4">
        <v>0</v>
      </c>
      <c r="AJ4418" s="4">
        <v>0</v>
      </c>
      <c r="AK4418" s="4">
        <v>0</v>
      </c>
      <c r="AL4418" s="4">
        <v>0</v>
      </c>
      <c r="AM4418" s="4">
        <v>0</v>
      </c>
      <c r="AN4418" s="4">
        <v>0</v>
      </c>
      <c r="AO4418" s="4">
        <v>0</v>
      </c>
      <c r="AP4418" s="4">
        <v>0</v>
      </c>
      <c r="AQ4418" s="4">
        <v>0</v>
      </c>
      <c r="AR4418" s="3" t="s">
        <v>64</v>
      </c>
      <c r="AS4418" s="3" t="s">
        <v>64</v>
      </c>
      <c r="AT4418" s="3" t="s">
        <v>64</v>
      </c>
      <c r="AV4418" s="6" t="str">
        <f>HYPERLINK("http://mcgill.on.worldcat.org/oclc/57598717","Catalog Record")</f>
        <v>Catalog Record</v>
      </c>
      <c r="AW4418" s="6" t="str">
        <f>HYPERLINK("http://www.worldcat.org/oclc/57598717","WorldCat Record")</f>
        <v>WorldCat Record</v>
      </c>
      <c r="AX4418" s="3" t="s">
        <v>42997</v>
      </c>
      <c r="AY4418" s="3" t="s">
        <v>42998</v>
      </c>
      <c r="AZ4418" s="3" t="s">
        <v>42999</v>
      </c>
      <c r="BA4418" s="3" t="s">
        <v>42999</v>
      </c>
      <c r="BB4418" s="3" t="s">
        <v>43005</v>
      </c>
      <c r="BC4418" s="3" t="s">
        <v>77</v>
      </c>
      <c r="BD4418" s="3" t="s">
        <v>78</v>
      </c>
      <c r="BE4418" s="3" t="s">
        <v>43001</v>
      </c>
      <c r="BF4418" s="3" t="s">
        <v>43005</v>
      </c>
      <c r="BG4418" s="3" t="s">
        <v>43006</v>
      </c>
      <c r="BH4418">
        <f t="shared" ref="BH4418:BH4481" si="139">IF(COUNTIF($BF$1:$BF$5431,BF4418)=1,0,1)</f>
        <v>0</v>
      </c>
    </row>
    <row r="4419" spans="1:60" ht="72.5" x14ac:dyDescent="0.35">
      <c r="A4419" s="2" t="s">
        <v>6202</v>
      </c>
      <c r="B4419" s="2" t="s">
        <v>6203</v>
      </c>
      <c r="C4419" s="2" t="s">
        <v>42991</v>
      </c>
      <c r="D4419" s="2" t="s">
        <v>42992</v>
      </c>
      <c r="E4419" s="2" t="s">
        <v>42993</v>
      </c>
      <c r="F4419" s="3" t="s">
        <v>509</v>
      </c>
      <c r="G4419" s="3" t="s">
        <v>128</v>
      </c>
      <c r="I4419" s="3" t="s">
        <v>64</v>
      </c>
      <c r="J4419" s="3" t="s">
        <v>64</v>
      </c>
      <c r="K4419" s="3" t="s">
        <v>65</v>
      </c>
      <c r="M4419" s="2" t="s">
        <v>42994</v>
      </c>
      <c r="N4419" s="3" t="s">
        <v>434</v>
      </c>
      <c r="P4419" s="3" t="s">
        <v>102</v>
      </c>
      <c r="Q4419" s="2" t="s">
        <v>42995</v>
      </c>
      <c r="R4419" s="3" t="s">
        <v>70</v>
      </c>
      <c r="S4419" s="4">
        <v>4</v>
      </c>
      <c r="T4419" s="4">
        <v>11</v>
      </c>
      <c r="U4419" s="5" t="s">
        <v>33657</v>
      </c>
      <c r="V4419" s="5" t="s">
        <v>42996</v>
      </c>
      <c r="W4419" s="5" t="s">
        <v>72</v>
      </c>
      <c r="X4419" s="5" t="s">
        <v>72</v>
      </c>
      <c r="Y4419" s="4">
        <v>13</v>
      </c>
      <c r="Z4419" s="4">
        <v>1</v>
      </c>
      <c r="AA4419" s="4">
        <v>1</v>
      </c>
      <c r="AB4419" s="4">
        <v>1</v>
      </c>
      <c r="AC4419" s="4">
        <v>1</v>
      </c>
      <c r="AD4419" s="4">
        <v>0</v>
      </c>
      <c r="AE4419" s="4">
        <v>0</v>
      </c>
      <c r="AF4419" s="4">
        <v>0</v>
      </c>
      <c r="AG4419" s="4">
        <v>0</v>
      </c>
      <c r="AH4419" s="4">
        <v>0</v>
      </c>
      <c r="AI4419" s="4">
        <v>0</v>
      </c>
      <c r="AJ4419" s="4">
        <v>0</v>
      </c>
      <c r="AK4419" s="4">
        <v>0</v>
      </c>
      <c r="AL4419" s="4">
        <v>0</v>
      </c>
      <c r="AM4419" s="4">
        <v>0</v>
      </c>
      <c r="AN4419" s="4">
        <v>0</v>
      </c>
      <c r="AO4419" s="4">
        <v>0</v>
      </c>
      <c r="AP4419" s="4">
        <v>0</v>
      </c>
      <c r="AQ4419" s="4">
        <v>0</v>
      </c>
      <c r="AR4419" s="3" t="s">
        <v>64</v>
      </c>
      <c r="AS4419" s="3" t="s">
        <v>64</v>
      </c>
      <c r="AT4419" s="3" t="s">
        <v>64</v>
      </c>
      <c r="AV4419" s="6" t="str">
        <f>HYPERLINK("http://mcgill.on.worldcat.org/oclc/57598717","Catalog Record")</f>
        <v>Catalog Record</v>
      </c>
      <c r="AW4419" s="6" t="str">
        <f>HYPERLINK("http://www.worldcat.org/oclc/57598717","WorldCat Record")</f>
        <v>WorldCat Record</v>
      </c>
      <c r="AX4419" s="3" t="s">
        <v>42997</v>
      </c>
      <c r="AY4419" s="3" t="s">
        <v>42998</v>
      </c>
      <c r="AZ4419" s="3" t="s">
        <v>42999</v>
      </c>
      <c r="BA4419" s="3" t="s">
        <v>42999</v>
      </c>
      <c r="BB4419" s="3" t="s">
        <v>43007</v>
      </c>
      <c r="BC4419" s="3" t="s">
        <v>77</v>
      </c>
      <c r="BD4419" s="3" t="s">
        <v>78</v>
      </c>
      <c r="BE4419" s="3" t="s">
        <v>43001</v>
      </c>
      <c r="BF4419" s="3" t="s">
        <v>43007</v>
      </c>
      <c r="BG4419" s="3" t="s">
        <v>43008</v>
      </c>
      <c r="BH4419">
        <f t="shared" si="139"/>
        <v>0</v>
      </c>
    </row>
    <row r="4420" spans="1:60" ht="58" x14ac:dyDescent="0.35">
      <c r="A4420" s="2" t="s">
        <v>59</v>
      </c>
      <c r="B4420" s="2" t="s">
        <v>60</v>
      </c>
      <c r="C4420" s="2" t="s">
        <v>43009</v>
      </c>
      <c r="D4420" s="2" t="s">
        <v>43010</v>
      </c>
      <c r="E4420" s="2" t="s">
        <v>43011</v>
      </c>
      <c r="G4420" s="3" t="s">
        <v>64</v>
      </c>
      <c r="I4420" s="3" t="s">
        <v>64</v>
      </c>
      <c r="J4420" s="3" t="s">
        <v>64</v>
      </c>
      <c r="K4420" s="3" t="s">
        <v>65</v>
      </c>
      <c r="L4420" s="2" t="s">
        <v>42984</v>
      </c>
      <c r="M4420" s="2" t="s">
        <v>43012</v>
      </c>
      <c r="N4420" s="3" t="s">
        <v>3072</v>
      </c>
      <c r="P4420" s="3" t="s">
        <v>102</v>
      </c>
      <c r="R4420" s="3" t="s">
        <v>70</v>
      </c>
      <c r="S4420" s="4">
        <v>1</v>
      </c>
      <c r="T4420" s="4">
        <v>1</v>
      </c>
      <c r="U4420" s="5" t="s">
        <v>29098</v>
      </c>
      <c r="V4420" s="5" t="s">
        <v>29098</v>
      </c>
      <c r="W4420" s="5" t="s">
        <v>72</v>
      </c>
      <c r="X4420" s="5" t="s">
        <v>72</v>
      </c>
      <c r="Y4420" s="4">
        <v>368</v>
      </c>
      <c r="Z4420" s="4">
        <v>21</v>
      </c>
      <c r="AA4420" s="4">
        <v>21</v>
      </c>
      <c r="AB4420" s="4">
        <v>2</v>
      </c>
      <c r="AC4420" s="4">
        <v>2</v>
      </c>
      <c r="AD4420" s="4">
        <v>66</v>
      </c>
      <c r="AE4420" s="4">
        <v>66</v>
      </c>
      <c r="AF4420" s="4">
        <v>1</v>
      </c>
      <c r="AG4420" s="4">
        <v>1</v>
      </c>
      <c r="AH4420" s="4">
        <v>53</v>
      </c>
      <c r="AI4420" s="4">
        <v>53</v>
      </c>
      <c r="AJ4420" s="4">
        <v>17</v>
      </c>
      <c r="AK4420" s="4">
        <v>17</v>
      </c>
      <c r="AL4420" s="4">
        <v>29</v>
      </c>
      <c r="AM4420" s="4">
        <v>29</v>
      </c>
      <c r="AN4420" s="4">
        <v>0</v>
      </c>
      <c r="AO4420" s="4">
        <v>0</v>
      </c>
      <c r="AP4420" s="4">
        <v>18</v>
      </c>
      <c r="AQ4420" s="4">
        <v>18</v>
      </c>
      <c r="AR4420" s="3" t="s">
        <v>64</v>
      </c>
      <c r="AS4420" s="3" t="s">
        <v>64</v>
      </c>
      <c r="AT4420" s="3" t="s">
        <v>128</v>
      </c>
      <c r="AU4420" s="6" t="str">
        <f>HYPERLINK("http://catalog.hathitrust.org/Record/001171238","HathiTrust Record")</f>
        <v>HathiTrust Record</v>
      </c>
      <c r="AV4420" s="6" t="str">
        <f>HYPERLINK("http://mcgill.on.worldcat.org/oclc/577295","Catalog Record")</f>
        <v>Catalog Record</v>
      </c>
      <c r="AW4420" s="6" t="str">
        <f>HYPERLINK("http://www.worldcat.org/oclc/577295","WorldCat Record")</f>
        <v>WorldCat Record</v>
      </c>
      <c r="AX4420" s="3" t="s">
        <v>43013</v>
      </c>
      <c r="AY4420" s="3" t="s">
        <v>43014</v>
      </c>
      <c r="AZ4420" s="3" t="s">
        <v>43015</v>
      </c>
      <c r="BA4420" s="3" t="s">
        <v>43015</v>
      </c>
      <c r="BB4420" s="3" t="s">
        <v>43016</v>
      </c>
      <c r="BC4420" s="3" t="s">
        <v>77</v>
      </c>
      <c r="BD4420" s="3" t="s">
        <v>78</v>
      </c>
      <c r="BF4420" s="3" t="s">
        <v>43016</v>
      </c>
      <c r="BG4420" s="3" t="s">
        <v>43017</v>
      </c>
      <c r="BH4420">
        <f t="shared" si="139"/>
        <v>0</v>
      </c>
    </row>
    <row r="4421" spans="1:60" ht="58" x14ac:dyDescent="0.35">
      <c r="A4421" s="2" t="s">
        <v>6202</v>
      </c>
      <c r="B4421" s="2" t="s">
        <v>6203</v>
      </c>
      <c r="C4421" s="2" t="s">
        <v>43018</v>
      </c>
      <c r="D4421" s="2" t="s">
        <v>43019</v>
      </c>
      <c r="E4421" s="2" t="s">
        <v>43020</v>
      </c>
      <c r="G4421" s="3" t="s">
        <v>64</v>
      </c>
      <c r="I4421" s="3" t="s">
        <v>64</v>
      </c>
      <c r="J4421" s="3" t="s">
        <v>64</v>
      </c>
      <c r="K4421" s="3" t="s">
        <v>65</v>
      </c>
      <c r="L4421" s="2" t="s">
        <v>42984</v>
      </c>
      <c r="M4421" s="2" t="s">
        <v>43021</v>
      </c>
      <c r="N4421" s="3" t="s">
        <v>498</v>
      </c>
      <c r="P4421" s="3" t="s">
        <v>102</v>
      </c>
      <c r="R4421" s="3" t="s">
        <v>70</v>
      </c>
      <c r="S4421" s="4">
        <v>1</v>
      </c>
      <c r="T4421" s="4">
        <v>1</v>
      </c>
      <c r="U4421" s="5" t="s">
        <v>1481</v>
      </c>
      <c r="V4421" s="5" t="s">
        <v>1481</v>
      </c>
      <c r="W4421" s="5" t="s">
        <v>72</v>
      </c>
      <c r="X4421" s="5" t="s">
        <v>72</v>
      </c>
      <c r="Y4421" s="4">
        <v>635</v>
      </c>
      <c r="Z4421" s="4">
        <v>28</v>
      </c>
      <c r="AA4421" s="4">
        <v>28</v>
      </c>
      <c r="AB4421" s="4">
        <v>2</v>
      </c>
      <c r="AC4421" s="4">
        <v>2</v>
      </c>
      <c r="AD4421" s="4">
        <v>127</v>
      </c>
      <c r="AE4421" s="4">
        <v>127</v>
      </c>
      <c r="AF4421" s="4">
        <v>1</v>
      </c>
      <c r="AG4421" s="4">
        <v>1</v>
      </c>
      <c r="AH4421" s="4">
        <v>108</v>
      </c>
      <c r="AI4421" s="4">
        <v>108</v>
      </c>
      <c r="AJ4421" s="4">
        <v>19</v>
      </c>
      <c r="AK4421" s="4">
        <v>19</v>
      </c>
      <c r="AL4421" s="4">
        <v>58</v>
      </c>
      <c r="AM4421" s="4">
        <v>58</v>
      </c>
      <c r="AN4421" s="4">
        <v>0</v>
      </c>
      <c r="AO4421" s="4">
        <v>0</v>
      </c>
      <c r="AP4421" s="4">
        <v>24</v>
      </c>
      <c r="AQ4421" s="4">
        <v>24</v>
      </c>
      <c r="AR4421" s="3" t="s">
        <v>64</v>
      </c>
      <c r="AS4421" s="3" t="s">
        <v>64</v>
      </c>
      <c r="AT4421" s="3" t="s">
        <v>64</v>
      </c>
      <c r="AV4421" s="6" t="str">
        <f>HYPERLINK("http://mcgill.on.worldcat.org/oclc/987972","Catalog Record")</f>
        <v>Catalog Record</v>
      </c>
      <c r="AW4421" s="6" t="str">
        <f>HYPERLINK("http://www.worldcat.org/oclc/987972","WorldCat Record")</f>
        <v>WorldCat Record</v>
      </c>
      <c r="AX4421" s="3" t="s">
        <v>43022</v>
      </c>
      <c r="AY4421" s="3" t="s">
        <v>43023</v>
      </c>
      <c r="AZ4421" s="3" t="s">
        <v>43024</v>
      </c>
      <c r="BA4421" s="3" t="s">
        <v>43024</v>
      </c>
      <c r="BB4421" s="3" t="s">
        <v>43025</v>
      </c>
      <c r="BC4421" s="3" t="s">
        <v>77</v>
      </c>
      <c r="BD4421" s="3" t="s">
        <v>78</v>
      </c>
      <c r="BE4421" s="3" t="s">
        <v>43026</v>
      </c>
      <c r="BF4421" s="3" t="s">
        <v>43025</v>
      </c>
      <c r="BG4421" s="3" t="s">
        <v>43027</v>
      </c>
      <c r="BH4421">
        <f t="shared" si="139"/>
        <v>0</v>
      </c>
    </row>
    <row r="4422" spans="1:60" ht="58" x14ac:dyDescent="0.35">
      <c r="A4422" s="2" t="s">
        <v>1040</v>
      </c>
      <c r="B4422" s="2" t="s">
        <v>60</v>
      </c>
      <c r="C4422" s="2" t="s">
        <v>43028</v>
      </c>
      <c r="D4422" s="2" t="s">
        <v>43029</v>
      </c>
      <c r="E4422" s="2" t="s">
        <v>43030</v>
      </c>
      <c r="G4422" s="3" t="s">
        <v>128</v>
      </c>
      <c r="I4422" s="3" t="s">
        <v>64</v>
      </c>
      <c r="J4422" s="3" t="s">
        <v>64</v>
      </c>
      <c r="K4422" s="3" t="s">
        <v>65</v>
      </c>
      <c r="L4422" s="2" t="s">
        <v>43031</v>
      </c>
      <c r="M4422" s="2" t="s">
        <v>43032</v>
      </c>
      <c r="N4422" s="3" t="s">
        <v>3047</v>
      </c>
      <c r="P4422" s="3" t="s">
        <v>102</v>
      </c>
      <c r="Q4422" s="2" t="s">
        <v>43033</v>
      </c>
      <c r="R4422" s="3" t="s">
        <v>70</v>
      </c>
      <c r="S4422" s="4">
        <v>19</v>
      </c>
      <c r="T4422" s="4">
        <v>19</v>
      </c>
      <c r="U4422" s="5" t="s">
        <v>19257</v>
      </c>
      <c r="V4422" s="5" t="s">
        <v>19257</v>
      </c>
      <c r="W4422" s="5" t="s">
        <v>72</v>
      </c>
      <c r="X4422" s="5" t="s">
        <v>72</v>
      </c>
      <c r="Y4422" s="4">
        <v>24</v>
      </c>
      <c r="Z4422" s="4">
        <v>20</v>
      </c>
      <c r="AA4422" s="4">
        <v>22</v>
      </c>
      <c r="AB4422" s="4">
        <v>3</v>
      </c>
      <c r="AC4422" s="4">
        <v>3</v>
      </c>
      <c r="AD4422" s="4">
        <v>18</v>
      </c>
      <c r="AE4422" s="4">
        <v>20</v>
      </c>
      <c r="AF4422" s="4">
        <v>0</v>
      </c>
      <c r="AG4422" s="4">
        <v>0</v>
      </c>
      <c r="AH4422" s="4">
        <v>8</v>
      </c>
      <c r="AI4422" s="4">
        <v>9</v>
      </c>
      <c r="AJ4422" s="4">
        <v>11</v>
      </c>
      <c r="AK4422" s="4">
        <v>13</v>
      </c>
      <c r="AL4422" s="4">
        <v>5</v>
      </c>
      <c r="AM4422" s="4">
        <v>5</v>
      </c>
      <c r="AN4422" s="4">
        <v>0</v>
      </c>
      <c r="AO4422" s="4">
        <v>0</v>
      </c>
      <c r="AP4422" s="4">
        <v>11</v>
      </c>
      <c r="AQ4422" s="4">
        <v>13</v>
      </c>
      <c r="AR4422" s="3" t="s">
        <v>128</v>
      </c>
      <c r="AS4422" s="3" t="s">
        <v>64</v>
      </c>
      <c r="AT4422" s="3" t="s">
        <v>64</v>
      </c>
      <c r="AV4422" s="6" t="str">
        <f>HYPERLINK("http://mcgill.on.worldcat.org/oclc/35469341","Catalog Record")</f>
        <v>Catalog Record</v>
      </c>
      <c r="AW4422" s="6" t="str">
        <f>HYPERLINK("http://www.worldcat.org/oclc/35469341","WorldCat Record")</f>
        <v>WorldCat Record</v>
      </c>
      <c r="AX4422" s="3" t="s">
        <v>43034</v>
      </c>
      <c r="AY4422" s="3" t="s">
        <v>43035</v>
      </c>
      <c r="AZ4422" s="3" t="s">
        <v>43036</v>
      </c>
      <c r="BA4422" s="3" t="s">
        <v>43036</v>
      </c>
      <c r="BB4422" s="3" t="s">
        <v>43037</v>
      </c>
      <c r="BC4422" s="3" t="s">
        <v>77</v>
      </c>
      <c r="BD4422" s="3" t="s">
        <v>78</v>
      </c>
      <c r="BF4422" s="3" t="s">
        <v>43037</v>
      </c>
      <c r="BG4422" s="3" t="s">
        <v>43038</v>
      </c>
      <c r="BH4422">
        <f t="shared" si="139"/>
        <v>0</v>
      </c>
    </row>
    <row r="4423" spans="1:60" ht="58" x14ac:dyDescent="0.35">
      <c r="A4423" s="2" t="s">
        <v>6202</v>
      </c>
      <c r="B4423" s="2" t="s">
        <v>6203</v>
      </c>
      <c r="C4423" s="2" t="s">
        <v>43039</v>
      </c>
      <c r="D4423" s="2" t="s">
        <v>43040</v>
      </c>
      <c r="E4423" s="2" t="s">
        <v>43041</v>
      </c>
      <c r="G4423" s="3" t="s">
        <v>64</v>
      </c>
      <c r="I4423" s="3" t="s">
        <v>64</v>
      </c>
      <c r="J4423" s="3" t="s">
        <v>64</v>
      </c>
      <c r="K4423" s="3" t="s">
        <v>65</v>
      </c>
      <c r="L4423" s="2" t="s">
        <v>43042</v>
      </c>
      <c r="M4423" s="2" t="s">
        <v>43043</v>
      </c>
      <c r="N4423" s="3" t="s">
        <v>3330</v>
      </c>
      <c r="P4423" s="3" t="s">
        <v>102</v>
      </c>
      <c r="R4423" s="3" t="s">
        <v>70</v>
      </c>
      <c r="S4423" s="4">
        <v>3</v>
      </c>
      <c r="T4423" s="4">
        <v>3</v>
      </c>
      <c r="U4423" s="5" t="s">
        <v>17738</v>
      </c>
      <c r="V4423" s="5" t="s">
        <v>17738</v>
      </c>
      <c r="W4423" s="5" t="s">
        <v>72</v>
      </c>
      <c r="X4423" s="5" t="s">
        <v>72</v>
      </c>
      <c r="Y4423" s="4">
        <v>510</v>
      </c>
      <c r="Z4423" s="4">
        <v>30</v>
      </c>
      <c r="AA4423" s="4">
        <v>34</v>
      </c>
      <c r="AB4423" s="4">
        <v>2</v>
      </c>
      <c r="AC4423" s="4">
        <v>5</v>
      </c>
      <c r="AD4423" s="4">
        <v>109</v>
      </c>
      <c r="AE4423" s="4">
        <v>115</v>
      </c>
      <c r="AF4423" s="4">
        <v>1</v>
      </c>
      <c r="AG4423" s="4">
        <v>4</v>
      </c>
      <c r="AH4423" s="4">
        <v>94</v>
      </c>
      <c r="AI4423" s="4">
        <v>97</v>
      </c>
      <c r="AJ4423" s="4">
        <v>18</v>
      </c>
      <c r="AK4423" s="4">
        <v>21</v>
      </c>
      <c r="AL4423" s="4">
        <v>53</v>
      </c>
      <c r="AM4423" s="4">
        <v>54</v>
      </c>
      <c r="AN4423" s="4">
        <v>0</v>
      </c>
      <c r="AO4423" s="4">
        <v>0</v>
      </c>
      <c r="AP4423" s="4">
        <v>23</v>
      </c>
      <c r="AQ4423" s="4">
        <v>26</v>
      </c>
      <c r="AR4423" s="3" t="s">
        <v>64</v>
      </c>
      <c r="AS4423" s="3" t="s">
        <v>64</v>
      </c>
      <c r="AT4423" s="3" t="s">
        <v>128</v>
      </c>
      <c r="AU4423" s="6" t="str">
        <f>HYPERLINK("http://catalog.hathitrust.org/Record/001073338","HathiTrust Record")</f>
        <v>HathiTrust Record</v>
      </c>
      <c r="AV4423" s="6" t="str">
        <f>HYPERLINK("http://mcgill.on.worldcat.org/oclc/18071875","Catalog Record")</f>
        <v>Catalog Record</v>
      </c>
      <c r="AW4423" s="6" t="str">
        <f>HYPERLINK("http://www.worldcat.org/oclc/18071875","WorldCat Record")</f>
        <v>WorldCat Record</v>
      </c>
      <c r="AX4423" s="3" t="s">
        <v>43044</v>
      </c>
      <c r="AY4423" s="3" t="s">
        <v>43045</v>
      </c>
      <c r="AZ4423" s="3" t="s">
        <v>43046</v>
      </c>
      <c r="BA4423" s="3" t="s">
        <v>43046</v>
      </c>
      <c r="BB4423" s="3" t="s">
        <v>43047</v>
      </c>
      <c r="BC4423" s="3" t="s">
        <v>77</v>
      </c>
      <c r="BD4423" s="3" t="s">
        <v>78</v>
      </c>
      <c r="BE4423" s="3" t="s">
        <v>43048</v>
      </c>
      <c r="BF4423" s="3" t="s">
        <v>43047</v>
      </c>
      <c r="BG4423" s="3" t="s">
        <v>43049</v>
      </c>
      <c r="BH4423">
        <f t="shared" si="139"/>
        <v>0</v>
      </c>
    </row>
    <row r="4424" spans="1:60" ht="58" x14ac:dyDescent="0.35">
      <c r="A4424" s="2" t="s">
        <v>1040</v>
      </c>
      <c r="B4424" s="2" t="s">
        <v>60</v>
      </c>
      <c r="C4424" s="2" t="s">
        <v>43050</v>
      </c>
      <c r="D4424" s="2" t="s">
        <v>43051</v>
      </c>
      <c r="E4424" s="2" t="s">
        <v>43052</v>
      </c>
      <c r="G4424" s="3" t="s">
        <v>64</v>
      </c>
      <c r="I4424" s="3" t="s">
        <v>64</v>
      </c>
      <c r="J4424" s="3" t="s">
        <v>64</v>
      </c>
      <c r="K4424" s="3" t="s">
        <v>65</v>
      </c>
      <c r="L4424" s="2" t="s">
        <v>43053</v>
      </c>
      <c r="M4424" s="2" t="s">
        <v>43054</v>
      </c>
      <c r="N4424" s="3" t="s">
        <v>511</v>
      </c>
      <c r="P4424" s="3" t="s">
        <v>102</v>
      </c>
      <c r="R4424" s="3" t="s">
        <v>70</v>
      </c>
      <c r="S4424" s="4">
        <v>1</v>
      </c>
      <c r="T4424" s="4">
        <v>1</v>
      </c>
      <c r="W4424" s="5" t="s">
        <v>72</v>
      </c>
      <c r="X4424" s="5" t="s">
        <v>72</v>
      </c>
      <c r="Y4424" s="4">
        <v>21</v>
      </c>
      <c r="Z4424" s="4">
        <v>4</v>
      </c>
      <c r="AA4424" s="4">
        <v>4</v>
      </c>
      <c r="AB4424" s="4">
        <v>1</v>
      </c>
      <c r="AC4424" s="4">
        <v>1</v>
      </c>
      <c r="AD4424" s="4">
        <v>10</v>
      </c>
      <c r="AE4424" s="4">
        <v>10</v>
      </c>
      <c r="AF4424" s="4">
        <v>0</v>
      </c>
      <c r="AG4424" s="4">
        <v>0</v>
      </c>
      <c r="AH4424" s="4">
        <v>9</v>
      </c>
      <c r="AI4424" s="4">
        <v>9</v>
      </c>
      <c r="AJ4424" s="4">
        <v>2</v>
      </c>
      <c r="AK4424" s="4">
        <v>2</v>
      </c>
      <c r="AL4424" s="4">
        <v>6</v>
      </c>
      <c r="AM4424" s="4">
        <v>6</v>
      </c>
      <c r="AN4424" s="4">
        <v>0</v>
      </c>
      <c r="AO4424" s="4">
        <v>0</v>
      </c>
      <c r="AP4424" s="4">
        <v>2</v>
      </c>
      <c r="AQ4424" s="4">
        <v>2</v>
      </c>
      <c r="AR4424" s="3" t="s">
        <v>64</v>
      </c>
      <c r="AS4424" s="3" t="s">
        <v>64</v>
      </c>
      <c r="AT4424" s="3" t="s">
        <v>64</v>
      </c>
      <c r="AV4424" s="6" t="str">
        <f>HYPERLINK("http://mcgill.on.worldcat.org/oclc/611878336","Catalog Record")</f>
        <v>Catalog Record</v>
      </c>
      <c r="AW4424" s="6" t="str">
        <f>HYPERLINK("http://www.worldcat.org/oclc/611878336","WorldCat Record")</f>
        <v>WorldCat Record</v>
      </c>
      <c r="AX4424" s="3" t="s">
        <v>43055</v>
      </c>
      <c r="AY4424" s="3" t="s">
        <v>43056</v>
      </c>
      <c r="AZ4424" s="3" t="s">
        <v>43057</v>
      </c>
      <c r="BA4424" s="3" t="s">
        <v>43057</v>
      </c>
      <c r="BB4424" s="3" t="s">
        <v>43058</v>
      </c>
      <c r="BC4424" s="3" t="s">
        <v>77</v>
      </c>
      <c r="BD4424" s="3" t="s">
        <v>165</v>
      </c>
      <c r="BE4424" s="3" t="s">
        <v>43059</v>
      </c>
      <c r="BF4424" s="3" t="s">
        <v>43058</v>
      </c>
      <c r="BG4424" s="3" t="s">
        <v>43060</v>
      </c>
      <c r="BH4424">
        <f t="shared" si="139"/>
        <v>0</v>
      </c>
    </row>
    <row r="4425" spans="1:60" ht="87" x14ac:dyDescent="0.35">
      <c r="A4425" s="2" t="s">
        <v>1932</v>
      </c>
      <c r="B4425" s="2" t="s">
        <v>1933</v>
      </c>
      <c r="C4425" s="2" t="s">
        <v>43061</v>
      </c>
      <c r="D4425" s="2" t="s">
        <v>43062</v>
      </c>
      <c r="E4425" s="2" t="s">
        <v>43063</v>
      </c>
      <c r="G4425" s="3" t="s">
        <v>64</v>
      </c>
      <c r="I4425" s="3" t="s">
        <v>64</v>
      </c>
      <c r="J4425" s="3" t="s">
        <v>64</v>
      </c>
      <c r="K4425" s="3" t="s">
        <v>65</v>
      </c>
      <c r="M4425" s="2" t="s">
        <v>43064</v>
      </c>
      <c r="N4425" s="3" t="s">
        <v>481</v>
      </c>
      <c r="P4425" s="3" t="s">
        <v>102</v>
      </c>
      <c r="R4425" s="3" t="s">
        <v>70</v>
      </c>
      <c r="S4425" s="4">
        <v>1</v>
      </c>
      <c r="T4425" s="4">
        <v>1</v>
      </c>
      <c r="U4425" s="5" t="s">
        <v>6806</v>
      </c>
      <c r="V4425" s="5" t="s">
        <v>6806</v>
      </c>
      <c r="W4425" s="5" t="s">
        <v>72</v>
      </c>
      <c r="X4425" s="5" t="s">
        <v>72</v>
      </c>
      <c r="Y4425" s="4">
        <v>220</v>
      </c>
      <c r="Z4425" s="4">
        <v>19</v>
      </c>
      <c r="AA4425" s="4">
        <v>19</v>
      </c>
      <c r="AB4425" s="4">
        <v>1</v>
      </c>
      <c r="AC4425" s="4">
        <v>1</v>
      </c>
      <c r="AD4425" s="4">
        <v>92</v>
      </c>
      <c r="AE4425" s="4">
        <v>92</v>
      </c>
      <c r="AF4425" s="4">
        <v>0</v>
      </c>
      <c r="AG4425" s="4">
        <v>0</v>
      </c>
      <c r="AH4425" s="4">
        <v>82</v>
      </c>
      <c r="AI4425" s="4">
        <v>82</v>
      </c>
      <c r="AJ4425" s="4">
        <v>13</v>
      </c>
      <c r="AK4425" s="4">
        <v>13</v>
      </c>
      <c r="AL4425" s="4">
        <v>47</v>
      </c>
      <c r="AM4425" s="4">
        <v>47</v>
      </c>
      <c r="AN4425" s="4">
        <v>0</v>
      </c>
      <c r="AO4425" s="4">
        <v>0</v>
      </c>
      <c r="AP4425" s="4">
        <v>16</v>
      </c>
      <c r="AQ4425" s="4">
        <v>16</v>
      </c>
      <c r="AR4425" s="3" t="s">
        <v>64</v>
      </c>
      <c r="AS4425" s="3" t="s">
        <v>64</v>
      </c>
      <c r="AT4425" s="3" t="s">
        <v>128</v>
      </c>
      <c r="AU4425" s="6" t="str">
        <f>HYPERLINK("http://catalog.hathitrust.org/Record/001177558","HathiTrust Record")</f>
        <v>HathiTrust Record</v>
      </c>
      <c r="AV4425" s="6" t="str">
        <f>HYPERLINK("http://mcgill.on.worldcat.org/oclc/9881","Catalog Record")</f>
        <v>Catalog Record</v>
      </c>
      <c r="AW4425" s="6" t="str">
        <f>HYPERLINK("http://www.worldcat.org/oclc/9881","WorldCat Record")</f>
        <v>WorldCat Record</v>
      </c>
      <c r="AX4425" s="3" t="s">
        <v>43065</v>
      </c>
      <c r="AY4425" s="3" t="s">
        <v>43066</v>
      </c>
      <c r="AZ4425" s="3" t="s">
        <v>43067</v>
      </c>
      <c r="BA4425" s="3" t="s">
        <v>43067</v>
      </c>
      <c r="BB4425" s="3" t="s">
        <v>43068</v>
      </c>
      <c r="BC4425" s="3" t="s">
        <v>77</v>
      </c>
      <c r="BD4425" s="3" t="s">
        <v>78</v>
      </c>
      <c r="BF4425" s="3" t="s">
        <v>43068</v>
      </c>
      <c r="BG4425" s="3" t="s">
        <v>43069</v>
      </c>
      <c r="BH4425">
        <f t="shared" si="139"/>
        <v>0</v>
      </c>
    </row>
    <row r="4426" spans="1:60" ht="58" x14ac:dyDescent="0.35">
      <c r="A4426" s="2" t="s">
        <v>59</v>
      </c>
      <c r="B4426" s="2" t="s">
        <v>60</v>
      </c>
      <c r="C4426" s="2" t="s">
        <v>43070</v>
      </c>
      <c r="D4426" s="2" t="s">
        <v>43071</v>
      </c>
      <c r="E4426" s="2" t="s">
        <v>43072</v>
      </c>
      <c r="G4426" s="3" t="s">
        <v>64</v>
      </c>
      <c r="I4426" s="3" t="s">
        <v>128</v>
      </c>
      <c r="J4426" s="3" t="s">
        <v>64</v>
      </c>
      <c r="K4426" s="3" t="s">
        <v>65</v>
      </c>
      <c r="L4426" s="2" t="s">
        <v>43073</v>
      </c>
      <c r="M4426" s="2" t="s">
        <v>43074</v>
      </c>
      <c r="N4426" s="3" t="s">
        <v>3761</v>
      </c>
      <c r="P4426" s="3" t="s">
        <v>102</v>
      </c>
      <c r="R4426" s="3" t="s">
        <v>70</v>
      </c>
      <c r="S4426" s="4">
        <v>0</v>
      </c>
      <c r="T4426" s="4">
        <v>1</v>
      </c>
      <c r="V4426" s="5" t="s">
        <v>1655</v>
      </c>
      <c r="W4426" s="5" t="s">
        <v>72</v>
      </c>
      <c r="X4426" s="5" t="s">
        <v>72</v>
      </c>
      <c r="Y4426" s="4">
        <v>549</v>
      </c>
      <c r="Z4426" s="4">
        <v>21</v>
      </c>
      <c r="AA4426" s="4">
        <v>28</v>
      </c>
      <c r="AB4426" s="4">
        <v>1</v>
      </c>
      <c r="AC4426" s="4">
        <v>3</v>
      </c>
      <c r="AD4426" s="4">
        <v>102</v>
      </c>
      <c r="AE4426" s="4">
        <v>115</v>
      </c>
      <c r="AF4426" s="4">
        <v>0</v>
      </c>
      <c r="AG4426" s="4">
        <v>2</v>
      </c>
      <c r="AH4426" s="4">
        <v>94</v>
      </c>
      <c r="AI4426" s="4">
        <v>102</v>
      </c>
      <c r="AJ4426" s="4">
        <v>7</v>
      </c>
      <c r="AK4426" s="4">
        <v>14</v>
      </c>
      <c r="AL4426" s="4">
        <v>52</v>
      </c>
      <c r="AM4426" s="4">
        <v>57</v>
      </c>
      <c r="AN4426" s="4">
        <v>0</v>
      </c>
      <c r="AO4426" s="4">
        <v>0</v>
      </c>
      <c r="AP4426" s="4">
        <v>11</v>
      </c>
      <c r="AQ4426" s="4">
        <v>16</v>
      </c>
      <c r="AR4426" s="3" t="s">
        <v>64</v>
      </c>
      <c r="AS4426" s="3" t="s">
        <v>128</v>
      </c>
      <c r="AT4426" s="3" t="s">
        <v>128</v>
      </c>
      <c r="AU4426" s="6" t="str">
        <f>HYPERLINK("http://catalog.hathitrust.org/Record/000225952","HathiTrust Record")</f>
        <v>HathiTrust Record</v>
      </c>
      <c r="AV4426" s="6" t="str">
        <f>HYPERLINK("http://mcgill.on.worldcat.org/oclc/581659","Catalog Record")</f>
        <v>Catalog Record</v>
      </c>
      <c r="AW4426" s="6" t="str">
        <f>HYPERLINK("http://www.worldcat.org/oclc/581659","WorldCat Record")</f>
        <v>WorldCat Record</v>
      </c>
      <c r="AX4426" s="3" t="s">
        <v>43075</v>
      </c>
      <c r="AY4426" s="3" t="s">
        <v>43076</v>
      </c>
      <c r="AZ4426" s="3" t="s">
        <v>43077</v>
      </c>
      <c r="BA4426" s="3" t="s">
        <v>43077</v>
      </c>
      <c r="BB4426" s="3" t="s">
        <v>43078</v>
      </c>
      <c r="BC4426" s="3" t="s">
        <v>77</v>
      </c>
      <c r="BD4426" s="3" t="s">
        <v>78</v>
      </c>
      <c r="BF4426" s="3" t="s">
        <v>43078</v>
      </c>
      <c r="BG4426" s="3" t="s">
        <v>43079</v>
      </c>
      <c r="BH4426">
        <f t="shared" si="139"/>
        <v>0</v>
      </c>
    </row>
    <row r="4427" spans="1:60" ht="58" x14ac:dyDescent="0.35">
      <c r="A4427" s="2" t="s">
        <v>59</v>
      </c>
      <c r="B4427" s="2" t="s">
        <v>60</v>
      </c>
      <c r="C4427" s="2" t="s">
        <v>43080</v>
      </c>
      <c r="D4427" s="2" t="s">
        <v>43081</v>
      </c>
      <c r="E4427" s="2" t="s">
        <v>43082</v>
      </c>
      <c r="G4427" s="3" t="s">
        <v>64</v>
      </c>
      <c r="I4427" s="3" t="s">
        <v>64</v>
      </c>
      <c r="J4427" s="3" t="s">
        <v>64</v>
      </c>
      <c r="K4427" s="3" t="s">
        <v>65</v>
      </c>
      <c r="L4427" s="2" t="s">
        <v>43083</v>
      </c>
      <c r="M4427" s="2" t="s">
        <v>43084</v>
      </c>
      <c r="N4427" s="3" t="s">
        <v>86</v>
      </c>
      <c r="P4427" s="3" t="s">
        <v>102</v>
      </c>
      <c r="Q4427" s="2" t="s">
        <v>43085</v>
      </c>
      <c r="R4427" s="3" t="s">
        <v>70</v>
      </c>
      <c r="S4427" s="4">
        <v>2</v>
      </c>
      <c r="T4427" s="4">
        <v>2</v>
      </c>
      <c r="W4427" s="5" t="s">
        <v>72</v>
      </c>
      <c r="X4427" s="5" t="s">
        <v>72</v>
      </c>
      <c r="Y4427" s="4">
        <v>93</v>
      </c>
      <c r="Z4427" s="4">
        <v>9</v>
      </c>
      <c r="AA4427" s="4">
        <v>9</v>
      </c>
      <c r="AB4427" s="4">
        <v>1</v>
      </c>
      <c r="AC4427" s="4">
        <v>1</v>
      </c>
      <c r="AD4427" s="4">
        <v>40</v>
      </c>
      <c r="AE4427" s="4">
        <v>40</v>
      </c>
      <c r="AF4427" s="4">
        <v>0</v>
      </c>
      <c r="AG4427" s="4">
        <v>0</v>
      </c>
      <c r="AH4427" s="4">
        <v>37</v>
      </c>
      <c r="AI4427" s="4">
        <v>37</v>
      </c>
      <c r="AJ4427" s="4">
        <v>6</v>
      </c>
      <c r="AK4427" s="4">
        <v>6</v>
      </c>
      <c r="AL4427" s="4">
        <v>26</v>
      </c>
      <c r="AM4427" s="4">
        <v>26</v>
      </c>
      <c r="AN4427" s="4">
        <v>0</v>
      </c>
      <c r="AO4427" s="4">
        <v>0</v>
      </c>
      <c r="AP4427" s="4">
        <v>6</v>
      </c>
      <c r="AQ4427" s="4">
        <v>6</v>
      </c>
      <c r="AR4427" s="3" t="s">
        <v>64</v>
      </c>
      <c r="AS4427" s="3" t="s">
        <v>64</v>
      </c>
      <c r="AT4427" s="3" t="s">
        <v>64</v>
      </c>
      <c r="AV4427" s="6" t="str">
        <f>HYPERLINK("http://mcgill.on.worldcat.org/oclc/794817094","Catalog Record")</f>
        <v>Catalog Record</v>
      </c>
      <c r="AW4427" s="6" t="str">
        <f>HYPERLINK("http://www.worldcat.org/oclc/794817094","WorldCat Record")</f>
        <v>WorldCat Record</v>
      </c>
      <c r="AX4427" s="3" t="s">
        <v>43086</v>
      </c>
      <c r="AY4427" s="3" t="s">
        <v>43087</v>
      </c>
      <c r="AZ4427" s="3" t="s">
        <v>43088</v>
      </c>
      <c r="BA4427" s="3" t="s">
        <v>43088</v>
      </c>
      <c r="BB4427" s="3" t="s">
        <v>43089</v>
      </c>
      <c r="BC4427" s="3" t="s">
        <v>77</v>
      </c>
      <c r="BD4427" s="3" t="s">
        <v>165</v>
      </c>
      <c r="BE4427" s="3" t="s">
        <v>43090</v>
      </c>
      <c r="BF4427" s="3" t="s">
        <v>43089</v>
      </c>
      <c r="BG4427" s="3" t="s">
        <v>43091</v>
      </c>
      <c r="BH4427">
        <f t="shared" si="139"/>
        <v>0</v>
      </c>
    </row>
    <row r="4428" spans="1:60" ht="58" x14ac:dyDescent="0.35">
      <c r="A4428" s="2" t="s">
        <v>59</v>
      </c>
      <c r="B4428" s="2" t="s">
        <v>60</v>
      </c>
      <c r="C4428" s="2" t="s">
        <v>43092</v>
      </c>
      <c r="D4428" s="2" t="s">
        <v>43093</v>
      </c>
      <c r="E4428" s="2" t="s">
        <v>43094</v>
      </c>
      <c r="G4428" s="3" t="s">
        <v>64</v>
      </c>
      <c r="I4428" s="3" t="s">
        <v>64</v>
      </c>
      <c r="J4428" s="3" t="s">
        <v>64</v>
      </c>
      <c r="K4428" s="3" t="s">
        <v>65</v>
      </c>
      <c r="M4428" s="2" t="s">
        <v>9533</v>
      </c>
      <c r="N4428" s="3" t="s">
        <v>67</v>
      </c>
      <c r="P4428" s="3" t="s">
        <v>68</v>
      </c>
      <c r="Q4428" s="2" t="s">
        <v>43095</v>
      </c>
      <c r="R4428" s="3" t="s">
        <v>70</v>
      </c>
      <c r="S4428" s="4">
        <v>0</v>
      </c>
      <c r="T4428" s="4">
        <v>0</v>
      </c>
      <c r="W4428" s="5" t="s">
        <v>72</v>
      </c>
      <c r="X4428" s="5" t="s">
        <v>72</v>
      </c>
      <c r="Y4428" s="4">
        <v>11</v>
      </c>
      <c r="Z4428" s="4">
        <v>2</v>
      </c>
      <c r="AA4428" s="4">
        <v>13</v>
      </c>
      <c r="AB4428" s="4">
        <v>1</v>
      </c>
      <c r="AC4428" s="4">
        <v>4</v>
      </c>
      <c r="AD4428" s="4">
        <v>7</v>
      </c>
      <c r="AE4428" s="4">
        <v>43</v>
      </c>
      <c r="AF4428" s="4">
        <v>0</v>
      </c>
      <c r="AG4428" s="4">
        <v>3</v>
      </c>
      <c r="AH4428" s="4">
        <v>6</v>
      </c>
      <c r="AI4428" s="4">
        <v>38</v>
      </c>
      <c r="AJ4428" s="4">
        <v>1</v>
      </c>
      <c r="AK4428" s="4">
        <v>10</v>
      </c>
      <c r="AL4428" s="4">
        <v>5</v>
      </c>
      <c r="AM4428" s="4">
        <v>27</v>
      </c>
      <c r="AN4428" s="4">
        <v>0</v>
      </c>
      <c r="AO4428" s="4">
        <v>0</v>
      </c>
      <c r="AP4428" s="4">
        <v>1</v>
      </c>
      <c r="AQ4428" s="4">
        <v>9</v>
      </c>
      <c r="AR4428" s="3" t="s">
        <v>64</v>
      </c>
      <c r="AS4428" s="3" t="s">
        <v>64</v>
      </c>
      <c r="AT4428" s="3" t="s">
        <v>64</v>
      </c>
      <c r="AV4428" s="6" t="str">
        <f>HYPERLINK("http://mcgill.on.worldcat.org/oclc/874814910","Catalog Record")</f>
        <v>Catalog Record</v>
      </c>
      <c r="AW4428" s="6" t="str">
        <f>HYPERLINK("http://www.worldcat.org/oclc/874814910","WorldCat Record")</f>
        <v>WorldCat Record</v>
      </c>
      <c r="AX4428" s="3" t="s">
        <v>43096</v>
      </c>
      <c r="AY4428" s="3" t="s">
        <v>43097</v>
      </c>
      <c r="AZ4428" s="3" t="s">
        <v>43098</v>
      </c>
      <c r="BA4428" s="3" t="s">
        <v>43098</v>
      </c>
      <c r="BB4428" s="3" t="s">
        <v>43099</v>
      </c>
      <c r="BC4428" s="3" t="s">
        <v>77</v>
      </c>
      <c r="BD4428" s="3" t="s">
        <v>78</v>
      </c>
      <c r="BE4428" s="3" t="s">
        <v>43100</v>
      </c>
      <c r="BF4428" s="3" t="s">
        <v>43099</v>
      </c>
      <c r="BG4428" s="3" t="s">
        <v>43101</v>
      </c>
      <c r="BH4428">
        <f t="shared" si="139"/>
        <v>0</v>
      </c>
    </row>
    <row r="4429" spans="1:60" ht="58" x14ac:dyDescent="0.35">
      <c r="A4429" s="2" t="s">
        <v>59</v>
      </c>
      <c r="B4429" s="2" t="s">
        <v>7607</v>
      </c>
      <c r="C4429" s="2" t="s">
        <v>43102</v>
      </c>
      <c r="D4429" s="2" t="s">
        <v>43103</v>
      </c>
      <c r="E4429" s="2" t="s">
        <v>43104</v>
      </c>
      <c r="G4429" s="3" t="s">
        <v>64</v>
      </c>
      <c r="I4429" s="3" t="s">
        <v>64</v>
      </c>
      <c r="J4429" s="3" t="s">
        <v>64</v>
      </c>
      <c r="K4429" s="3" t="s">
        <v>65</v>
      </c>
      <c r="L4429" s="2" t="s">
        <v>43105</v>
      </c>
      <c r="M4429" s="2" t="s">
        <v>40196</v>
      </c>
      <c r="N4429" s="3" t="s">
        <v>511</v>
      </c>
      <c r="P4429" s="3" t="s">
        <v>102</v>
      </c>
      <c r="R4429" s="3" t="s">
        <v>70</v>
      </c>
      <c r="S4429" s="4">
        <v>0</v>
      </c>
      <c r="T4429" s="4">
        <v>0</v>
      </c>
      <c r="W4429" s="5" t="s">
        <v>72</v>
      </c>
      <c r="X4429" s="5" t="s">
        <v>72</v>
      </c>
      <c r="Y4429" s="4">
        <v>108</v>
      </c>
      <c r="Z4429" s="4">
        <v>6</v>
      </c>
      <c r="AA4429" s="4">
        <v>10</v>
      </c>
      <c r="AB4429" s="4">
        <v>1</v>
      </c>
      <c r="AC4429" s="4">
        <v>3</v>
      </c>
      <c r="AD4429" s="4">
        <v>34</v>
      </c>
      <c r="AE4429" s="4">
        <v>45</v>
      </c>
      <c r="AF4429" s="4">
        <v>0</v>
      </c>
      <c r="AG4429" s="4">
        <v>0</v>
      </c>
      <c r="AH4429" s="4">
        <v>34</v>
      </c>
      <c r="AI4429" s="4">
        <v>44</v>
      </c>
      <c r="AJ4429" s="4">
        <v>3</v>
      </c>
      <c r="AK4429" s="4">
        <v>4</v>
      </c>
      <c r="AL4429" s="4">
        <v>23</v>
      </c>
      <c r="AM4429" s="4">
        <v>28</v>
      </c>
      <c r="AN4429" s="4">
        <v>0</v>
      </c>
      <c r="AO4429" s="4">
        <v>0</v>
      </c>
      <c r="AP4429" s="4">
        <v>3</v>
      </c>
      <c r="AQ4429" s="4">
        <v>4</v>
      </c>
      <c r="AR4429" s="3" t="s">
        <v>64</v>
      </c>
      <c r="AS4429" s="3" t="s">
        <v>64</v>
      </c>
      <c r="AT4429" s="3" t="s">
        <v>64</v>
      </c>
      <c r="AV4429" s="6" t="str">
        <f>HYPERLINK("http://mcgill.on.worldcat.org/oclc/429227101","Catalog Record")</f>
        <v>Catalog Record</v>
      </c>
      <c r="AW4429" s="6" t="str">
        <f>HYPERLINK("http://www.worldcat.org/oclc/429227101","WorldCat Record")</f>
        <v>WorldCat Record</v>
      </c>
      <c r="AX4429" s="3" t="s">
        <v>43106</v>
      </c>
      <c r="AY4429" s="3" t="s">
        <v>43107</v>
      </c>
      <c r="AZ4429" s="3" t="s">
        <v>43108</v>
      </c>
      <c r="BA4429" s="3" t="s">
        <v>43108</v>
      </c>
      <c r="BB4429" s="3" t="s">
        <v>43109</v>
      </c>
      <c r="BC4429" s="3" t="s">
        <v>77</v>
      </c>
      <c r="BD4429" s="3" t="s">
        <v>78</v>
      </c>
      <c r="BE4429" s="3" t="s">
        <v>43110</v>
      </c>
      <c r="BF4429" s="3" t="s">
        <v>43109</v>
      </c>
      <c r="BG4429" s="3" t="s">
        <v>43111</v>
      </c>
      <c r="BH4429">
        <f t="shared" si="139"/>
        <v>0</v>
      </c>
    </row>
    <row r="4430" spans="1:60" ht="58" x14ac:dyDescent="0.35">
      <c r="A4430" s="2" t="s">
        <v>6202</v>
      </c>
      <c r="B4430" s="2" t="s">
        <v>6203</v>
      </c>
      <c r="C4430" s="2" t="s">
        <v>43112</v>
      </c>
      <c r="D4430" s="2" t="s">
        <v>43113</v>
      </c>
      <c r="E4430" s="2" t="s">
        <v>43114</v>
      </c>
      <c r="G4430" s="3" t="s">
        <v>64</v>
      </c>
      <c r="I4430" s="3" t="s">
        <v>64</v>
      </c>
      <c r="J4430" s="3" t="s">
        <v>64</v>
      </c>
      <c r="K4430" s="3" t="s">
        <v>65</v>
      </c>
      <c r="L4430" s="2" t="s">
        <v>43115</v>
      </c>
      <c r="M4430" s="2" t="s">
        <v>43116</v>
      </c>
      <c r="N4430" s="3" t="s">
        <v>3047</v>
      </c>
      <c r="P4430" s="3" t="s">
        <v>102</v>
      </c>
      <c r="Q4430" s="2" t="s">
        <v>43117</v>
      </c>
      <c r="R4430" s="3" t="s">
        <v>70</v>
      </c>
      <c r="S4430" s="4">
        <v>3</v>
      </c>
      <c r="T4430" s="4">
        <v>3</v>
      </c>
      <c r="U4430" s="5" t="s">
        <v>23060</v>
      </c>
      <c r="V4430" s="5" t="s">
        <v>23060</v>
      </c>
      <c r="W4430" s="5" t="s">
        <v>72</v>
      </c>
      <c r="X4430" s="5" t="s">
        <v>72</v>
      </c>
      <c r="Y4430" s="4">
        <v>153</v>
      </c>
      <c r="Z4430" s="4">
        <v>11</v>
      </c>
      <c r="AA4430" s="4">
        <v>11</v>
      </c>
      <c r="AB4430" s="4">
        <v>1</v>
      </c>
      <c r="AC4430" s="4">
        <v>1</v>
      </c>
      <c r="AD4430" s="4">
        <v>51</v>
      </c>
      <c r="AE4430" s="4">
        <v>51</v>
      </c>
      <c r="AF4430" s="4">
        <v>0</v>
      </c>
      <c r="AG4430" s="4">
        <v>0</v>
      </c>
      <c r="AH4430" s="4">
        <v>46</v>
      </c>
      <c r="AI4430" s="4">
        <v>46</v>
      </c>
      <c r="AJ4430" s="4">
        <v>8</v>
      </c>
      <c r="AK4430" s="4">
        <v>8</v>
      </c>
      <c r="AL4430" s="4">
        <v>31</v>
      </c>
      <c r="AM4430" s="4">
        <v>31</v>
      </c>
      <c r="AN4430" s="4">
        <v>1</v>
      </c>
      <c r="AO4430" s="4">
        <v>1</v>
      </c>
      <c r="AP4430" s="4">
        <v>8</v>
      </c>
      <c r="AQ4430" s="4">
        <v>8</v>
      </c>
      <c r="AR4430" s="3" t="s">
        <v>64</v>
      </c>
      <c r="AS4430" s="3" t="s">
        <v>64</v>
      </c>
      <c r="AT4430" s="3" t="s">
        <v>128</v>
      </c>
      <c r="AU4430" s="6" t="str">
        <f>HYPERLINK("http://catalog.hathitrust.org/Record/006807955","HathiTrust Record")</f>
        <v>HathiTrust Record</v>
      </c>
      <c r="AV4430" s="6" t="str">
        <f>HYPERLINK("http://mcgill.on.worldcat.org/oclc/19270580","Catalog Record")</f>
        <v>Catalog Record</v>
      </c>
      <c r="AW4430" s="6" t="str">
        <f>HYPERLINK("http://www.worldcat.org/oclc/19270580","WorldCat Record")</f>
        <v>WorldCat Record</v>
      </c>
      <c r="AX4430" s="3" t="s">
        <v>43118</v>
      </c>
      <c r="AY4430" s="3" t="s">
        <v>43119</v>
      </c>
      <c r="AZ4430" s="3" t="s">
        <v>43120</v>
      </c>
      <c r="BA4430" s="3" t="s">
        <v>43120</v>
      </c>
      <c r="BB4430" s="3" t="s">
        <v>43121</v>
      </c>
      <c r="BC4430" s="3" t="s">
        <v>77</v>
      </c>
      <c r="BD4430" s="3" t="s">
        <v>165</v>
      </c>
      <c r="BE4430" s="3" t="s">
        <v>43122</v>
      </c>
      <c r="BF4430" s="3" t="s">
        <v>43121</v>
      </c>
      <c r="BG4430" s="3" t="s">
        <v>43123</v>
      </c>
      <c r="BH4430">
        <f t="shared" si="139"/>
        <v>0</v>
      </c>
    </row>
    <row r="4431" spans="1:60" ht="58" x14ac:dyDescent="0.35">
      <c r="A4431" s="2" t="s">
        <v>6202</v>
      </c>
      <c r="B4431" s="2" t="s">
        <v>6203</v>
      </c>
      <c r="C4431" s="2" t="s">
        <v>43124</v>
      </c>
      <c r="D4431" s="2" t="s">
        <v>43125</v>
      </c>
      <c r="E4431" s="2" t="s">
        <v>43126</v>
      </c>
      <c r="G4431" s="3" t="s">
        <v>64</v>
      </c>
      <c r="I4431" s="3" t="s">
        <v>128</v>
      </c>
      <c r="J4431" s="3" t="s">
        <v>128</v>
      </c>
      <c r="K4431" s="3" t="s">
        <v>65</v>
      </c>
      <c r="L4431" s="2" t="s">
        <v>43127</v>
      </c>
      <c r="M4431" s="2" t="s">
        <v>43128</v>
      </c>
      <c r="N4431" s="3" t="s">
        <v>144</v>
      </c>
      <c r="P4431" s="3" t="s">
        <v>102</v>
      </c>
      <c r="Q4431" s="2" t="s">
        <v>565</v>
      </c>
      <c r="R4431" s="3" t="s">
        <v>70</v>
      </c>
      <c r="S4431" s="4">
        <v>4</v>
      </c>
      <c r="T4431" s="4">
        <v>6</v>
      </c>
      <c r="U4431" s="5" t="s">
        <v>2069</v>
      </c>
      <c r="V4431" s="5" t="s">
        <v>28884</v>
      </c>
      <c r="W4431" s="5" t="s">
        <v>72</v>
      </c>
      <c r="X4431" s="5" t="s">
        <v>72</v>
      </c>
      <c r="Y4431" s="4">
        <v>103</v>
      </c>
      <c r="Z4431" s="4">
        <v>52</v>
      </c>
      <c r="AA4431" s="4">
        <v>127</v>
      </c>
      <c r="AB4431" s="4">
        <v>3</v>
      </c>
      <c r="AC4431" s="4">
        <v>21</v>
      </c>
      <c r="AD4431" s="4">
        <v>48</v>
      </c>
      <c r="AE4431" s="4">
        <v>118</v>
      </c>
      <c r="AF4431" s="4">
        <v>1</v>
      </c>
      <c r="AG4431" s="4">
        <v>8</v>
      </c>
      <c r="AH4431" s="4">
        <v>32</v>
      </c>
      <c r="AI4431" s="4">
        <v>75</v>
      </c>
      <c r="AJ4431" s="4">
        <v>18</v>
      </c>
      <c r="AK4431" s="4">
        <v>27</v>
      </c>
      <c r="AL4431" s="4">
        <v>15</v>
      </c>
      <c r="AM4431" s="4">
        <v>36</v>
      </c>
      <c r="AN4431" s="4">
        <v>0</v>
      </c>
      <c r="AO4431" s="4">
        <v>0</v>
      </c>
      <c r="AP4431" s="4">
        <v>27</v>
      </c>
      <c r="AQ4431" s="4">
        <v>53</v>
      </c>
      <c r="AR4431" s="3" t="s">
        <v>128</v>
      </c>
      <c r="AS4431" s="3" t="s">
        <v>64</v>
      </c>
      <c r="AT4431" s="3" t="s">
        <v>64</v>
      </c>
      <c r="AV4431" s="6" t="str">
        <f>HYPERLINK("http://mcgill.on.worldcat.org/oclc/68401984","Catalog Record")</f>
        <v>Catalog Record</v>
      </c>
      <c r="AW4431" s="6" t="str">
        <f>HYPERLINK("http://www.worldcat.org/oclc/68401984","WorldCat Record")</f>
        <v>WorldCat Record</v>
      </c>
      <c r="AX4431" s="3" t="s">
        <v>43129</v>
      </c>
      <c r="AY4431" s="3" t="s">
        <v>43130</v>
      </c>
      <c r="AZ4431" s="3" t="s">
        <v>43131</v>
      </c>
      <c r="BA4431" s="3" t="s">
        <v>43131</v>
      </c>
      <c r="BB4431" s="3" t="s">
        <v>43132</v>
      </c>
      <c r="BC4431" s="3" t="s">
        <v>77</v>
      </c>
      <c r="BD4431" s="3" t="s">
        <v>78</v>
      </c>
      <c r="BE4431" s="3" t="s">
        <v>43133</v>
      </c>
      <c r="BF4431" s="3" t="s">
        <v>43132</v>
      </c>
      <c r="BG4431" s="3" t="s">
        <v>43134</v>
      </c>
      <c r="BH4431">
        <f t="shared" si="139"/>
        <v>0</v>
      </c>
    </row>
    <row r="4432" spans="1:60" ht="58" x14ac:dyDescent="0.35">
      <c r="A4432" s="2" t="s">
        <v>59</v>
      </c>
      <c r="B4432" s="2" t="s">
        <v>60</v>
      </c>
      <c r="C4432" s="2" t="s">
        <v>43135</v>
      </c>
      <c r="D4432" s="2" t="s">
        <v>43136</v>
      </c>
      <c r="E4432" s="2" t="s">
        <v>43137</v>
      </c>
      <c r="G4432" s="3" t="s">
        <v>64</v>
      </c>
      <c r="I4432" s="3" t="s">
        <v>64</v>
      </c>
      <c r="J4432" s="3" t="s">
        <v>64</v>
      </c>
      <c r="K4432" s="3" t="s">
        <v>65</v>
      </c>
      <c r="L4432" s="2" t="s">
        <v>43138</v>
      </c>
      <c r="M4432" s="2" t="s">
        <v>43139</v>
      </c>
      <c r="N4432" s="3" t="s">
        <v>511</v>
      </c>
      <c r="O4432" s="2" t="s">
        <v>117</v>
      </c>
      <c r="P4432" s="3" t="s">
        <v>102</v>
      </c>
      <c r="R4432" s="3" t="s">
        <v>70</v>
      </c>
      <c r="S4432" s="4">
        <v>3</v>
      </c>
      <c r="T4432" s="4">
        <v>3</v>
      </c>
      <c r="U4432" s="5" t="s">
        <v>13251</v>
      </c>
      <c r="V4432" s="5" t="s">
        <v>13251</v>
      </c>
      <c r="W4432" s="5" t="s">
        <v>72</v>
      </c>
      <c r="X4432" s="5" t="s">
        <v>72</v>
      </c>
      <c r="Y4432" s="4">
        <v>129</v>
      </c>
      <c r="Z4432" s="4">
        <v>14</v>
      </c>
      <c r="AA4432" s="4">
        <v>14</v>
      </c>
      <c r="AB4432" s="4">
        <v>1</v>
      </c>
      <c r="AC4432" s="4">
        <v>1</v>
      </c>
      <c r="AD4432" s="4">
        <v>52</v>
      </c>
      <c r="AE4432" s="4">
        <v>52</v>
      </c>
      <c r="AF4432" s="4">
        <v>0</v>
      </c>
      <c r="AG4432" s="4">
        <v>0</v>
      </c>
      <c r="AH4432" s="4">
        <v>48</v>
      </c>
      <c r="AI4432" s="4">
        <v>48</v>
      </c>
      <c r="AJ4432" s="4">
        <v>9</v>
      </c>
      <c r="AK4432" s="4">
        <v>9</v>
      </c>
      <c r="AL4432" s="4">
        <v>33</v>
      </c>
      <c r="AM4432" s="4">
        <v>33</v>
      </c>
      <c r="AN4432" s="4">
        <v>0</v>
      </c>
      <c r="AO4432" s="4">
        <v>0</v>
      </c>
      <c r="AP4432" s="4">
        <v>9</v>
      </c>
      <c r="AQ4432" s="4">
        <v>9</v>
      </c>
      <c r="AR4432" s="3" t="s">
        <v>64</v>
      </c>
      <c r="AS4432" s="3" t="s">
        <v>64</v>
      </c>
      <c r="AT4432" s="3" t="s">
        <v>64</v>
      </c>
      <c r="AV4432" s="6" t="str">
        <f>HYPERLINK("http://mcgill.on.worldcat.org/oclc/550550891","Catalog Record")</f>
        <v>Catalog Record</v>
      </c>
      <c r="AW4432" s="6" t="str">
        <f>HYPERLINK("http://www.worldcat.org/oclc/550550891","WorldCat Record")</f>
        <v>WorldCat Record</v>
      </c>
      <c r="AX4432" s="3" t="s">
        <v>43140</v>
      </c>
      <c r="AY4432" s="3" t="s">
        <v>43141</v>
      </c>
      <c r="AZ4432" s="3" t="s">
        <v>43142</v>
      </c>
      <c r="BA4432" s="3" t="s">
        <v>43142</v>
      </c>
      <c r="BB4432" s="3" t="s">
        <v>43143</v>
      </c>
      <c r="BC4432" s="3" t="s">
        <v>77</v>
      </c>
      <c r="BD4432" s="3" t="s">
        <v>78</v>
      </c>
      <c r="BE4432" s="3" t="s">
        <v>43144</v>
      </c>
      <c r="BF4432" s="3" t="s">
        <v>43143</v>
      </c>
      <c r="BG4432" s="3" t="s">
        <v>43145</v>
      </c>
      <c r="BH4432">
        <f t="shared" si="139"/>
        <v>0</v>
      </c>
    </row>
    <row r="4433" spans="1:60" ht="87" x14ac:dyDescent="0.35">
      <c r="A4433" s="2" t="s">
        <v>59</v>
      </c>
      <c r="B4433" s="2" t="s">
        <v>60</v>
      </c>
      <c r="C4433" s="2" t="s">
        <v>43146</v>
      </c>
      <c r="D4433" s="2" t="s">
        <v>43147</v>
      </c>
      <c r="E4433" s="2" t="s">
        <v>43148</v>
      </c>
      <c r="G4433" s="3" t="s">
        <v>64</v>
      </c>
      <c r="I4433" s="3" t="s">
        <v>64</v>
      </c>
      <c r="J4433" s="3" t="s">
        <v>64</v>
      </c>
      <c r="K4433" s="3" t="s">
        <v>65</v>
      </c>
      <c r="L4433" s="2" t="s">
        <v>43149</v>
      </c>
      <c r="M4433" s="2" t="s">
        <v>43150</v>
      </c>
      <c r="N4433" s="3" t="s">
        <v>326</v>
      </c>
      <c r="P4433" s="3" t="s">
        <v>365</v>
      </c>
      <c r="Q4433" s="2" t="s">
        <v>43151</v>
      </c>
      <c r="R4433" s="3" t="s">
        <v>70</v>
      </c>
      <c r="S4433" s="4">
        <v>0</v>
      </c>
      <c r="T4433" s="4">
        <v>0</v>
      </c>
      <c r="W4433" s="5" t="s">
        <v>72</v>
      </c>
      <c r="X4433" s="5" t="s">
        <v>72</v>
      </c>
      <c r="Y4433" s="4">
        <v>10</v>
      </c>
      <c r="Z4433" s="4">
        <v>1</v>
      </c>
      <c r="AA4433" s="4">
        <v>1</v>
      </c>
      <c r="AB4433" s="4">
        <v>1</v>
      </c>
      <c r="AC4433" s="4">
        <v>1</v>
      </c>
      <c r="AD4433" s="4">
        <v>7</v>
      </c>
      <c r="AE4433" s="4">
        <v>7</v>
      </c>
      <c r="AF4433" s="4">
        <v>0</v>
      </c>
      <c r="AG4433" s="4">
        <v>0</v>
      </c>
      <c r="AH4433" s="4">
        <v>6</v>
      </c>
      <c r="AI4433" s="4">
        <v>6</v>
      </c>
      <c r="AJ4433" s="4">
        <v>0</v>
      </c>
      <c r="AK4433" s="4">
        <v>0</v>
      </c>
      <c r="AL4433" s="4">
        <v>5</v>
      </c>
      <c r="AM4433" s="4">
        <v>5</v>
      </c>
      <c r="AN4433" s="4">
        <v>0</v>
      </c>
      <c r="AO4433" s="4">
        <v>0</v>
      </c>
      <c r="AP4433" s="4">
        <v>0</v>
      </c>
      <c r="AQ4433" s="4">
        <v>0</v>
      </c>
      <c r="AR4433" s="3" t="s">
        <v>64</v>
      </c>
      <c r="AS4433" s="3" t="s">
        <v>64</v>
      </c>
      <c r="AT4433" s="3" t="s">
        <v>64</v>
      </c>
      <c r="AV4433" s="6" t="str">
        <f>HYPERLINK("http://mcgill.on.worldcat.org/oclc/740626669","Catalog Record")</f>
        <v>Catalog Record</v>
      </c>
      <c r="AW4433" s="6" t="str">
        <f>HYPERLINK("http://www.worldcat.org/oclc/740626669","WorldCat Record")</f>
        <v>WorldCat Record</v>
      </c>
      <c r="AX4433" s="3" t="s">
        <v>43152</v>
      </c>
      <c r="AY4433" s="3" t="s">
        <v>43153</v>
      </c>
      <c r="AZ4433" s="3" t="s">
        <v>43154</v>
      </c>
      <c r="BA4433" s="3" t="s">
        <v>43154</v>
      </c>
      <c r="BB4433" s="3" t="s">
        <v>43155</v>
      </c>
      <c r="BC4433" s="3" t="s">
        <v>77</v>
      </c>
      <c r="BD4433" s="3" t="s">
        <v>78</v>
      </c>
      <c r="BE4433" s="3" t="s">
        <v>43156</v>
      </c>
      <c r="BF4433" s="3" t="s">
        <v>43155</v>
      </c>
      <c r="BG4433" s="3" t="s">
        <v>43157</v>
      </c>
      <c r="BH4433">
        <f t="shared" si="139"/>
        <v>0</v>
      </c>
    </row>
    <row r="4434" spans="1:60" ht="58" x14ac:dyDescent="0.35">
      <c r="A4434" s="2" t="s">
        <v>6202</v>
      </c>
      <c r="B4434" s="2" t="s">
        <v>6203</v>
      </c>
      <c r="C4434" s="2" t="s">
        <v>43158</v>
      </c>
      <c r="D4434" s="2" t="s">
        <v>43159</v>
      </c>
      <c r="E4434" s="2" t="s">
        <v>43160</v>
      </c>
      <c r="G4434" s="3" t="s">
        <v>64</v>
      </c>
      <c r="I4434" s="3" t="s">
        <v>64</v>
      </c>
      <c r="J4434" s="3" t="s">
        <v>64</v>
      </c>
      <c r="K4434" s="3" t="s">
        <v>65</v>
      </c>
      <c r="L4434" s="2" t="s">
        <v>43161</v>
      </c>
      <c r="M4434" s="2" t="s">
        <v>43162</v>
      </c>
      <c r="N4434" s="3" t="s">
        <v>1087</v>
      </c>
      <c r="P4434" s="3" t="s">
        <v>102</v>
      </c>
      <c r="R4434" s="3" t="s">
        <v>70</v>
      </c>
      <c r="S4434" s="4">
        <v>2</v>
      </c>
      <c r="T4434" s="4">
        <v>2</v>
      </c>
      <c r="U4434" s="5" t="s">
        <v>34451</v>
      </c>
      <c r="V4434" s="5" t="s">
        <v>34451</v>
      </c>
      <c r="W4434" s="5" t="s">
        <v>72</v>
      </c>
      <c r="X4434" s="5" t="s">
        <v>72</v>
      </c>
      <c r="Y4434" s="4">
        <v>221</v>
      </c>
      <c r="Z4434" s="4">
        <v>19</v>
      </c>
      <c r="AA4434" s="4">
        <v>21</v>
      </c>
      <c r="AB4434" s="4">
        <v>2</v>
      </c>
      <c r="AC4434" s="4">
        <v>4</v>
      </c>
      <c r="AD4434" s="4">
        <v>85</v>
      </c>
      <c r="AE4434" s="4">
        <v>87</v>
      </c>
      <c r="AF4434" s="4">
        <v>1</v>
      </c>
      <c r="AG4434" s="4">
        <v>3</v>
      </c>
      <c r="AH4434" s="4">
        <v>78</v>
      </c>
      <c r="AI4434" s="4">
        <v>78</v>
      </c>
      <c r="AJ4434" s="4">
        <v>13</v>
      </c>
      <c r="AK4434" s="4">
        <v>15</v>
      </c>
      <c r="AL4434" s="4">
        <v>45</v>
      </c>
      <c r="AM4434" s="4">
        <v>45</v>
      </c>
      <c r="AN4434" s="4">
        <v>0</v>
      </c>
      <c r="AO4434" s="4">
        <v>0</v>
      </c>
      <c r="AP4434" s="4">
        <v>14</v>
      </c>
      <c r="AQ4434" s="4">
        <v>15</v>
      </c>
      <c r="AR4434" s="3" t="s">
        <v>64</v>
      </c>
      <c r="AS4434" s="3" t="s">
        <v>64</v>
      </c>
      <c r="AT4434" s="3" t="s">
        <v>128</v>
      </c>
      <c r="AU4434" s="6" t="str">
        <f>HYPERLINK("http://catalog.hathitrust.org/Record/002505544","HathiTrust Record")</f>
        <v>HathiTrust Record</v>
      </c>
      <c r="AV4434" s="6" t="str">
        <f>HYPERLINK("http://mcgill.on.worldcat.org/oclc/23692766","Catalog Record")</f>
        <v>Catalog Record</v>
      </c>
      <c r="AW4434" s="6" t="str">
        <f>HYPERLINK("http://www.worldcat.org/oclc/23692766","WorldCat Record")</f>
        <v>WorldCat Record</v>
      </c>
      <c r="AX4434" s="3" t="s">
        <v>43163</v>
      </c>
      <c r="AY4434" s="3" t="s">
        <v>43164</v>
      </c>
      <c r="AZ4434" s="3" t="s">
        <v>43165</v>
      </c>
      <c r="BA4434" s="3" t="s">
        <v>43165</v>
      </c>
      <c r="BB4434" s="3" t="s">
        <v>43166</v>
      </c>
      <c r="BC4434" s="3" t="s">
        <v>77</v>
      </c>
      <c r="BD4434" s="3" t="s">
        <v>40037</v>
      </c>
      <c r="BE4434" s="3" t="s">
        <v>43167</v>
      </c>
      <c r="BF4434" s="3" t="s">
        <v>43166</v>
      </c>
      <c r="BG4434" s="3" t="s">
        <v>43168</v>
      </c>
      <c r="BH4434">
        <f t="shared" si="139"/>
        <v>0</v>
      </c>
    </row>
    <row r="4435" spans="1:60" ht="58" x14ac:dyDescent="0.35">
      <c r="A4435" s="2" t="s">
        <v>6202</v>
      </c>
      <c r="B4435" s="2" t="s">
        <v>6203</v>
      </c>
      <c r="C4435" s="2" t="s">
        <v>43169</v>
      </c>
      <c r="D4435" s="2" t="s">
        <v>43170</v>
      </c>
      <c r="E4435" s="2" t="s">
        <v>43171</v>
      </c>
      <c r="G4435" s="3" t="s">
        <v>64</v>
      </c>
      <c r="I4435" s="3" t="s">
        <v>64</v>
      </c>
      <c r="J4435" s="3" t="s">
        <v>64</v>
      </c>
      <c r="K4435" s="3" t="s">
        <v>65</v>
      </c>
      <c r="M4435" s="2" t="s">
        <v>12257</v>
      </c>
      <c r="N4435" s="3" t="s">
        <v>1061</v>
      </c>
      <c r="P4435" s="3" t="s">
        <v>102</v>
      </c>
      <c r="Q4435" s="2" t="s">
        <v>43172</v>
      </c>
      <c r="R4435" s="3" t="s">
        <v>70</v>
      </c>
      <c r="S4435" s="4">
        <v>1</v>
      </c>
      <c r="T4435" s="4">
        <v>1</v>
      </c>
      <c r="U4435" s="5" t="s">
        <v>43173</v>
      </c>
      <c r="V4435" s="5" t="s">
        <v>43173</v>
      </c>
      <c r="W4435" s="5" t="s">
        <v>72</v>
      </c>
      <c r="X4435" s="5" t="s">
        <v>72</v>
      </c>
      <c r="Y4435" s="4">
        <v>309</v>
      </c>
      <c r="Z4435" s="4">
        <v>16</v>
      </c>
      <c r="AA4435" s="4">
        <v>18</v>
      </c>
      <c r="AB4435" s="4">
        <v>2</v>
      </c>
      <c r="AC4435" s="4">
        <v>4</v>
      </c>
      <c r="AD4435" s="4">
        <v>103</v>
      </c>
      <c r="AE4435" s="4">
        <v>105</v>
      </c>
      <c r="AF4435" s="4">
        <v>1</v>
      </c>
      <c r="AG4435" s="4">
        <v>3</v>
      </c>
      <c r="AH4435" s="4">
        <v>95</v>
      </c>
      <c r="AI4435" s="4">
        <v>96</v>
      </c>
      <c r="AJ4435" s="4">
        <v>14</v>
      </c>
      <c r="AK4435" s="4">
        <v>16</v>
      </c>
      <c r="AL4435" s="4">
        <v>52</v>
      </c>
      <c r="AM4435" s="4">
        <v>52</v>
      </c>
      <c r="AN4435" s="4">
        <v>0</v>
      </c>
      <c r="AO4435" s="4">
        <v>0</v>
      </c>
      <c r="AP4435" s="4">
        <v>13</v>
      </c>
      <c r="AQ4435" s="4">
        <v>15</v>
      </c>
      <c r="AR4435" s="3" t="s">
        <v>64</v>
      </c>
      <c r="AS4435" s="3" t="s">
        <v>64</v>
      </c>
      <c r="AT4435" s="3" t="s">
        <v>128</v>
      </c>
      <c r="AU4435" s="6" t="str">
        <f>HYPERLINK("http://catalog.hathitrust.org/Record/000654373","HathiTrust Record")</f>
        <v>HathiTrust Record</v>
      </c>
      <c r="AV4435" s="6" t="str">
        <f>HYPERLINK("http://mcgill.on.worldcat.org/oclc/10727179","Catalog Record")</f>
        <v>Catalog Record</v>
      </c>
      <c r="AW4435" s="6" t="str">
        <f>HYPERLINK("http://www.worldcat.org/oclc/10727179","WorldCat Record")</f>
        <v>WorldCat Record</v>
      </c>
      <c r="AX4435" s="3" t="s">
        <v>43174</v>
      </c>
      <c r="AY4435" s="3" t="s">
        <v>43175</v>
      </c>
      <c r="AZ4435" s="3" t="s">
        <v>43176</v>
      </c>
      <c r="BA4435" s="3" t="s">
        <v>43176</v>
      </c>
      <c r="BB4435" s="3" t="s">
        <v>43177</v>
      </c>
      <c r="BC4435" s="3" t="s">
        <v>77</v>
      </c>
      <c r="BD4435" s="3" t="s">
        <v>78</v>
      </c>
      <c r="BE4435" s="3" t="s">
        <v>43178</v>
      </c>
      <c r="BF4435" s="3" t="s">
        <v>43177</v>
      </c>
      <c r="BG4435" s="3" t="s">
        <v>43179</v>
      </c>
      <c r="BH4435">
        <f t="shared" si="139"/>
        <v>0</v>
      </c>
    </row>
    <row r="4436" spans="1:60" ht="58" x14ac:dyDescent="0.35">
      <c r="A4436" s="2" t="s">
        <v>6202</v>
      </c>
      <c r="B4436" s="2" t="s">
        <v>6203</v>
      </c>
      <c r="C4436" s="2" t="s">
        <v>43180</v>
      </c>
      <c r="D4436" s="2" t="s">
        <v>43181</v>
      </c>
      <c r="E4436" s="2" t="s">
        <v>43182</v>
      </c>
      <c r="G4436" s="3" t="s">
        <v>64</v>
      </c>
      <c r="I4436" s="3" t="s">
        <v>64</v>
      </c>
      <c r="J4436" s="3" t="s">
        <v>64</v>
      </c>
      <c r="K4436" s="3" t="s">
        <v>65</v>
      </c>
      <c r="L4436" s="2" t="s">
        <v>43183</v>
      </c>
      <c r="M4436" s="2" t="s">
        <v>43184</v>
      </c>
      <c r="N4436" s="3" t="s">
        <v>3047</v>
      </c>
      <c r="P4436" s="3" t="s">
        <v>102</v>
      </c>
      <c r="Q4436" s="2" t="s">
        <v>43185</v>
      </c>
      <c r="R4436" s="3" t="s">
        <v>70</v>
      </c>
      <c r="S4436" s="4">
        <v>4</v>
      </c>
      <c r="T4436" s="4">
        <v>4</v>
      </c>
      <c r="U4436" s="5" t="s">
        <v>9193</v>
      </c>
      <c r="V4436" s="5" t="s">
        <v>9193</v>
      </c>
      <c r="W4436" s="5" t="s">
        <v>72</v>
      </c>
      <c r="X4436" s="5" t="s">
        <v>72</v>
      </c>
      <c r="Y4436" s="4">
        <v>502</v>
      </c>
      <c r="Z4436" s="4">
        <v>24</v>
      </c>
      <c r="AA4436" s="4">
        <v>26</v>
      </c>
      <c r="AB4436" s="4">
        <v>1</v>
      </c>
      <c r="AC4436" s="4">
        <v>3</v>
      </c>
      <c r="AD4436" s="4">
        <v>110</v>
      </c>
      <c r="AE4436" s="4">
        <v>112</v>
      </c>
      <c r="AF4436" s="4">
        <v>0</v>
      </c>
      <c r="AG4436" s="4">
        <v>2</v>
      </c>
      <c r="AH4436" s="4">
        <v>100</v>
      </c>
      <c r="AI4436" s="4">
        <v>101</v>
      </c>
      <c r="AJ4436" s="4">
        <v>17</v>
      </c>
      <c r="AK4436" s="4">
        <v>19</v>
      </c>
      <c r="AL4436" s="4">
        <v>56</v>
      </c>
      <c r="AM4436" s="4">
        <v>56</v>
      </c>
      <c r="AN4436" s="4">
        <v>0</v>
      </c>
      <c r="AO4436" s="4">
        <v>0</v>
      </c>
      <c r="AP4436" s="4">
        <v>17</v>
      </c>
      <c r="AQ4436" s="4">
        <v>18</v>
      </c>
      <c r="AR4436" s="3" t="s">
        <v>64</v>
      </c>
      <c r="AS4436" s="3" t="s">
        <v>64</v>
      </c>
      <c r="AT4436" s="3" t="s">
        <v>64</v>
      </c>
      <c r="AV4436" s="6" t="str">
        <f>HYPERLINK("http://mcgill.on.worldcat.org/oclc/15196881","Catalog Record")</f>
        <v>Catalog Record</v>
      </c>
      <c r="AW4436" s="6" t="str">
        <f>HYPERLINK("http://www.worldcat.org/oclc/15196881","WorldCat Record")</f>
        <v>WorldCat Record</v>
      </c>
      <c r="AX4436" s="3" t="s">
        <v>43186</v>
      </c>
      <c r="AY4436" s="3" t="s">
        <v>43187</v>
      </c>
      <c r="AZ4436" s="3" t="s">
        <v>43188</v>
      </c>
      <c r="BA4436" s="3" t="s">
        <v>43188</v>
      </c>
      <c r="BB4436" s="3" t="s">
        <v>43189</v>
      </c>
      <c r="BC4436" s="3" t="s">
        <v>77</v>
      </c>
      <c r="BD4436" s="3" t="s">
        <v>40037</v>
      </c>
      <c r="BE4436" s="3" t="s">
        <v>43190</v>
      </c>
      <c r="BF4436" s="3" t="s">
        <v>43189</v>
      </c>
      <c r="BG4436" s="3" t="s">
        <v>43191</v>
      </c>
      <c r="BH4436">
        <f t="shared" si="139"/>
        <v>0</v>
      </c>
    </row>
    <row r="4437" spans="1:60" ht="58" x14ac:dyDescent="0.35">
      <c r="A4437" s="2" t="s">
        <v>6202</v>
      </c>
      <c r="B4437" s="2" t="s">
        <v>6203</v>
      </c>
      <c r="C4437" s="2" t="s">
        <v>43192</v>
      </c>
      <c r="D4437" s="2" t="s">
        <v>43193</v>
      </c>
      <c r="E4437" s="2" t="s">
        <v>43194</v>
      </c>
      <c r="G4437" s="3" t="s">
        <v>64</v>
      </c>
      <c r="I4437" s="3" t="s">
        <v>64</v>
      </c>
      <c r="J4437" s="3" t="s">
        <v>128</v>
      </c>
      <c r="K4437" s="3" t="s">
        <v>65</v>
      </c>
      <c r="L4437" s="2" t="s">
        <v>43195</v>
      </c>
      <c r="M4437" s="2" t="s">
        <v>43196</v>
      </c>
      <c r="N4437" s="3" t="s">
        <v>874</v>
      </c>
      <c r="P4437" s="3" t="s">
        <v>102</v>
      </c>
      <c r="Q4437" s="2" t="s">
        <v>43197</v>
      </c>
      <c r="R4437" s="3" t="s">
        <v>70</v>
      </c>
      <c r="S4437" s="4">
        <v>4</v>
      </c>
      <c r="T4437" s="4">
        <v>4</v>
      </c>
      <c r="U4437" s="5" t="s">
        <v>9193</v>
      </c>
      <c r="V4437" s="5" t="s">
        <v>9193</v>
      </c>
      <c r="W4437" s="5" t="s">
        <v>72</v>
      </c>
      <c r="X4437" s="5" t="s">
        <v>72</v>
      </c>
      <c r="Y4437" s="4">
        <v>264</v>
      </c>
      <c r="Z4437" s="4">
        <v>21</v>
      </c>
      <c r="AA4437" s="4">
        <v>37</v>
      </c>
      <c r="AB4437" s="4">
        <v>2</v>
      </c>
      <c r="AC4437" s="4">
        <v>5</v>
      </c>
      <c r="AD4437" s="4">
        <v>87</v>
      </c>
      <c r="AE4437" s="4">
        <v>121</v>
      </c>
      <c r="AF4437" s="4">
        <v>0</v>
      </c>
      <c r="AG4437" s="4">
        <v>3</v>
      </c>
      <c r="AH4437" s="4">
        <v>76</v>
      </c>
      <c r="AI4437" s="4">
        <v>101</v>
      </c>
      <c r="AJ4437" s="4">
        <v>17</v>
      </c>
      <c r="AK4437" s="4">
        <v>26</v>
      </c>
      <c r="AL4437" s="4">
        <v>41</v>
      </c>
      <c r="AM4437" s="4">
        <v>56</v>
      </c>
      <c r="AN4437" s="4">
        <v>0</v>
      </c>
      <c r="AO4437" s="4">
        <v>0</v>
      </c>
      <c r="AP4437" s="4">
        <v>18</v>
      </c>
      <c r="AQ4437" s="4">
        <v>28</v>
      </c>
      <c r="AR4437" s="3" t="s">
        <v>64</v>
      </c>
      <c r="AS4437" s="3" t="s">
        <v>64</v>
      </c>
      <c r="AT4437" s="3" t="s">
        <v>128</v>
      </c>
      <c r="AU4437" s="6" t="str">
        <f>HYPERLINK("http://catalog.hathitrust.org/Record/000097973","HathiTrust Record")</f>
        <v>HathiTrust Record</v>
      </c>
      <c r="AV4437" s="6" t="str">
        <f>HYPERLINK("http://mcgill.on.worldcat.org/oclc/7008652","Catalog Record")</f>
        <v>Catalog Record</v>
      </c>
      <c r="AW4437" s="6" t="str">
        <f>HYPERLINK("http://www.worldcat.org/oclc/7008652","WorldCat Record")</f>
        <v>WorldCat Record</v>
      </c>
      <c r="AX4437" s="3" t="s">
        <v>43198</v>
      </c>
      <c r="AY4437" s="3" t="s">
        <v>43199</v>
      </c>
      <c r="AZ4437" s="3" t="s">
        <v>43200</v>
      </c>
      <c r="BA4437" s="3" t="s">
        <v>43200</v>
      </c>
      <c r="BB4437" s="3" t="s">
        <v>43201</v>
      </c>
      <c r="BC4437" s="3" t="s">
        <v>77</v>
      </c>
      <c r="BD4437" s="3" t="s">
        <v>40037</v>
      </c>
      <c r="BE4437" s="3" t="s">
        <v>43202</v>
      </c>
      <c r="BF4437" s="3" t="s">
        <v>43201</v>
      </c>
      <c r="BG4437" s="3" t="s">
        <v>43203</v>
      </c>
      <c r="BH4437">
        <f t="shared" si="139"/>
        <v>0</v>
      </c>
    </row>
    <row r="4438" spans="1:60" ht="58" x14ac:dyDescent="0.35">
      <c r="A4438" s="2" t="s">
        <v>6202</v>
      </c>
      <c r="B4438" s="2" t="s">
        <v>6203</v>
      </c>
      <c r="C4438" s="2" t="s">
        <v>43204</v>
      </c>
      <c r="D4438" s="2" t="s">
        <v>43205</v>
      </c>
      <c r="E4438" s="2" t="s">
        <v>43206</v>
      </c>
      <c r="G4438" s="3" t="s">
        <v>64</v>
      </c>
      <c r="I4438" s="3" t="s">
        <v>64</v>
      </c>
      <c r="J4438" s="3" t="s">
        <v>128</v>
      </c>
      <c r="K4438" s="3" t="s">
        <v>65</v>
      </c>
      <c r="L4438" s="2" t="s">
        <v>43195</v>
      </c>
      <c r="M4438" s="2" t="s">
        <v>43207</v>
      </c>
      <c r="N4438" s="3" t="s">
        <v>1263</v>
      </c>
      <c r="P4438" s="3" t="s">
        <v>102</v>
      </c>
      <c r="Q4438" s="2" t="s">
        <v>43208</v>
      </c>
      <c r="R4438" s="3" t="s">
        <v>70</v>
      </c>
      <c r="S4438" s="4">
        <v>2</v>
      </c>
      <c r="T4438" s="4">
        <v>2</v>
      </c>
      <c r="U4438" s="5" t="s">
        <v>9193</v>
      </c>
      <c r="V4438" s="5" t="s">
        <v>9193</v>
      </c>
      <c r="W4438" s="5" t="s">
        <v>72</v>
      </c>
      <c r="X4438" s="5" t="s">
        <v>72</v>
      </c>
      <c r="Y4438" s="4">
        <v>206</v>
      </c>
      <c r="Z4438" s="4">
        <v>19</v>
      </c>
      <c r="AA4438" s="4">
        <v>37</v>
      </c>
      <c r="AB4438" s="4">
        <v>1</v>
      </c>
      <c r="AC4438" s="4">
        <v>5</v>
      </c>
      <c r="AD4438" s="4">
        <v>87</v>
      </c>
      <c r="AE4438" s="4">
        <v>121</v>
      </c>
      <c r="AF4438" s="4">
        <v>0</v>
      </c>
      <c r="AG4438" s="4">
        <v>3</v>
      </c>
      <c r="AH4438" s="4">
        <v>78</v>
      </c>
      <c r="AI4438" s="4">
        <v>101</v>
      </c>
      <c r="AJ4438" s="4">
        <v>14</v>
      </c>
      <c r="AK4438" s="4">
        <v>26</v>
      </c>
      <c r="AL4438" s="4">
        <v>44</v>
      </c>
      <c r="AM4438" s="4">
        <v>56</v>
      </c>
      <c r="AN4438" s="4">
        <v>0</v>
      </c>
      <c r="AO4438" s="4">
        <v>0</v>
      </c>
      <c r="AP4438" s="4">
        <v>13</v>
      </c>
      <c r="AQ4438" s="4">
        <v>28</v>
      </c>
      <c r="AR4438" s="3" t="s">
        <v>64</v>
      </c>
      <c r="AS4438" s="3" t="s">
        <v>64</v>
      </c>
      <c r="AT4438" s="3" t="s">
        <v>64</v>
      </c>
      <c r="AV4438" s="6" t="str">
        <f>HYPERLINK("http://mcgill.on.worldcat.org/oclc/26096504","Catalog Record")</f>
        <v>Catalog Record</v>
      </c>
      <c r="AW4438" s="6" t="str">
        <f>HYPERLINK("http://www.worldcat.org/oclc/26096504","WorldCat Record")</f>
        <v>WorldCat Record</v>
      </c>
      <c r="AX4438" s="3" t="s">
        <v>43198</v>
      </c>
      <c r="AY4438" s="3" t="s">
        <v>43209</v>
      </c>
      <c r="AZ4438" s="3" t="s">
        <v>43210</v>
      </c>
      <c r="BA4438" s="3" t="s">
        <v>43210</v>
      </c>
      <c r="BB4438" s="3" t="s">
        <v>43211</v>
      </c>
      <c r="BC4438" s="3" t="s">
        <v>77</v>
      </c>
      <c r="BD4438" s="3" t="s">
        <v>40037</v>
      </c>
      <c r="BE4438" s="3" t="s">
        <v>43212</v>
      </c>
      <c r="BF4438" s="3" t="s">
        <v>43211</v>
      </c>
      <c r="BG4438" s="3" t="s">
        <v>43213</v>
      </c>
      <c r="BH4438">
        <f t="shared" si="139"/>
        <v>0</v>
      </c>
    </row>
    <row r="4439" spans="1:60" ht="58" x14ac:dyDescent="0.35">
      <c r="A4439" s="2" t="s">
        <v>59</v>
      </c>
      <c r="B4439" s="2" t="s">
        <v>60</v>
      </c>
      <c r="C4439" s="2" t="s">
        <v>43214</v>
      </c>
      <c r="D4439" s="2" t="s">
        <v>43215</v>
      </c>
      <c r="E4439" s="2" t="s">
        <v>43216</v>
      </c>
      <c r="G4439" s="3" t="s">
        <v>64</v>
      </c>
      <c r="I4439" s="3" t="s">
        <v>64</v>
      </c>
      <c r="J4439" s="3" t="s">
        <v>64</v>
      </c>
      <c r="K4439" s="3" t="s">
        <v>65</v>
      </c>
      <c r="L4439" s="2" t="s">
        <v>43217</v>
      </c>
      <c r="M4439" s="2" t="s">
        <v>43218</v>
      </c>
      <c r="N4439" s="3" t="s">
        <v>3047</v>
      </c>
      <c r="P4439" s="3" t="s">
        <v>102</v>
      </c>
      <c r="Q4439" s="2" t="s">
        <v>43219</v>
      </c>
      <c r="R4439" s="3" t="s">
        <v>70</v>
      </c>
      <c r="S4439" s="4">
        <v>1</v>
      </c>
      <c r="T4439" s="4">
        <v>1</v>
      </c>
      <c r="U4439" s="5" t="s">
        <v>13344</v>
      </c>
      <c r="V4439" s="5" t="s">
        <v>13344</v>
      </c>
      <c r="W4439" s="5" t="s">
        <v>72</v>
      </c>
      <c r="X4439" s="5" t="s">
        <v>72</v>
      </c>
      <c r="Y4439" s="4">
        <v>685</v>
      </c>
      <c r="Z4439" s="4">
        <v>34</v>
      </c>
      <c r="AA4439" s="4">
        <v>37</v>
      </c>
      <c r="AB4439" s="4">
        <v>3</v>
      </c>
      <c r="AC4439" s="4">
        <v>6</v>
      </c>
      <c r="AD4439" s="4">
        <v>122</v>
      </c>
      <c r="AE4439" s="4">
        <v>125</v>
      </c>
      <c r="AF4439" s="4">
        <v>2</v>
      </c>
      <c r="AG4439" s="4">
        <v>5</v>
      </c>
      <c r="AH4439" s="4">
        <v>103</v>
      </c>
      <c r="AI4439" s="4">
        <v>104</v>
      </c>
      <c r="AJ4439" s="4">
        <v>19</v>
      </c>
      <c r="AK4439" s="4">
        <v>22</v>
      </c>
      <c r="AL4439" s="4">
        <v>54</v>
      </c>
      <c r="AM4439" s="4">
        <v>54</v>
      </c>
      <c r="AN4439" s="4">
        <v>0</v>
      </c>
      <c r="AO4439" s="4">
        <v>0</v>
      </c>
      <c r="AP4439" s="4">
        <v>27</v>
      </c>
      <c r="AQ4439" s="4">
        <v>29</v>
      </c>
      <c r="AR4439" s="3" t="s">
        <v>64</v>
      </c>
      <c r="AS4439" s="3" t="s">
        <v>64</v>
      </c>
      <c r="AT4439" s="3" t="s">
        <v>128</v>
      </c>
      <c r="AU4439" s="6" t="str">
        <f>HYPERLINK("http://catalog.hathitrust.org/Record/000829641","HathiTrust Record")</f>
        <v>HathiTrust Record</v>
      </c>
      <c r="AV4439" s="6" t="str">
        <f>HYPERLINK("http://mcgill.on.worldcat.org/oclc/14376890","Catalog Record")</f>
        <v>Catalog Record</v>
      </c>
      <c r="AW4439" s="6" t="str">
        <f>HYPERLINK("http://www.worldcat.org/oclc/14376890","WorldCat Record")</f>
        <v>WorldCat Record</v>
      </c>
      <c r="AX4439" s="3" t="s">
        <v>43220</v>
      </c>
      <c r="AY4439" s="3" t="s">
        <v>43221</v>
      </c>
      <c r="AZ4439" s="3" t="s">
        <v>43222</v>
      </c>
      <c r="BA4439" s="3" t="s">
        <v>43222</v>
      </c>
      <c r="BB4439" s="3" t="s">
        <v>43223</v>
      </c>
      <c r="BC4439" s="3" t="s">
        <v>77</v>
      </c>
      <c r="BD4439" s="3" t="s">
        <v>78</v>
      </c>
      <c r="BE4439" s="3" t="s">
        <v>43224</v>
      </c>
      <c r="BF4439" s="3" t="s">
        <v>43223</v>
      </c>
      <c r="BG4439" s="3" t="s">
        <v>43225</v>
      </c>
      <c r="BH4439">
        <f t="shared" si="139"/>
        <v>0</v>
      </c>
    </row>
    <row r="4440" spans="1:60" ht="101.5" x14ac:dyDescent="0.35">
      <c r="A4440" s="2" t="s">
        <v>59</v>
      </c>
      <c r="B4440" s="2" t="s">
        <v>1025</v>
      </c>
      <c r="C4440" s="2" t="s">
        <v>43226</v>
      </c>
      <c r="D4440" s="2" t="s">
        <v>43227</v>
      </c>
      <c r="E4440" s="2" t="s">
        <v>43228</v>
      </c>
      <c r="G4440" s="3" t="s">
        <v>64</v>
      </c>
      <c r="I4440" s="3" t="s">
        <v>64</v>
      </c>
      <c r="J4440" s="3" t="s">
        <v>64</v>
      </c>
      <c r="K4440" s="3" t="s">
        <v>65</v>
      </c>
      <c r="L4440" s="2" t="s">
        <v>43229</v>
      </c>
      <c r="M4440" s="2" t="s">
        <v>43230</v>
      </c>
      <c r="N4440" s="3" t="s">
        <v>116</v>
      </c>
      <c r="P4440" s="3" t="s">
        <v>102</v>
      </c>
      <c r="R4440" s="3" t="s">
        <v>70</v>
      </c>
      <c r="S4440" s="4">
        <v>1</v>
      </c>
      <c r="T4440" s="4">
        <v>1</v>
      </c>
      <c r="U4440" s="5" t="s">
        <v>33800</v>
      </c>
      <c r="V4440" s="5" t="s">
        <v>33800</v>
      </c>
      <c r="W4440" s="5" t="s">
        <v>72</v>
      </c>
      <c r="X4440" s="5" t="s">
        <v>72</v>
      </c>
      <c r="Y4440" s="4">
        <v>1</v>
      </c>
      <c r="Z4440" s="4">
        <v>1</v>
      </c>
      <c r="AA4440" s="4">
        <v>3</v>
      </c>
      <c r="AB4440" s="4">
        <v>1</v>
      </c>
      <c r="AC4440" s="4">
        <v>3</v>
      </c>
      <c r="AD4440" s="4">
        <v>0</v>
      </c>
      <c r="AE4440" s="4">
        <v>1</v>
      </c>
      <c r="AF4440" s="4">
        <v>0</v>
      </c>
      <c r="AG4440" s="4">
        <v>1</v>
      </c>
      <c r="AH4440" s="4">
        <v>0</v>
      </c>
      <c r="AI4440" s="4">
        <v>0</v>
      </c>
      <c r="AJ4440" s="4">
        <v>0</v>
      </c>
      <c r="AK4440" s="4">
        <v>1</v>
      </c>
      <c r="AL4440" s="4">
        <v>0</v>
      </c>
      <c r="AM4440" s="4">
        <v>0</v>
      </c>
      <c r="AN4440" s="4">
        <v>0</v>
      </c>
      <c r="AO4440" s="4">
        <v>0</v>
      </c>
      <c r="AP4440" s="4">
        <v>0</v>
      </c>
      <c r="AQ4440" s="4">
        <v>0</v>
      </c>
      <c r="AR4440" s="3" t="s">
        <v>128</v>
      </c>
      <c r="AS4440" s="3" t="s">
        <v>64</v>
      </c>
      <c r="AT4440" s="3" t="s">
        <v>64</v>
      </c>
      <c r="AV4440" s="6" t="str">
        <f>HYPERLINK("http://mcgill.on.worldcat.org/oclc/427646122","Catalog Record")</f>
        <v>Catalog Record</v>
      </c>
      <c r="AW4440" s="6" t="str">
        <f>HYPERLINK("http://www.worldcat.org/oclc/427646122","WorldCat Record")</f>
        <v>WorldCat Record</v>
      </c>
      <c r="AX4440" s="3" t="s">
        <v>43231</v>
      </c>
      <c r="AY4440" s="3" t="s">
        <v>43232</v>
      </c>
      <c r="AZ4440" s="3" t="s">
        <v>43233</v>
      </c>
      <c r="BA4440" s="3" t="s">
        <v>43233</v>
      </c>
      <c r="BB4440" s="3" t="s">
        <v>43234</v>
      </c>
      <c r="BC4440" s="3" t="s">
        <v>77</v>
      </c>
      <c r="BD4440" s="3" t="s">
        <v>7558</v>
      </c>
      <c r="BF4440" s="3" t="s">
        <v>43234</v>
      </c>
      <c r="BG4440" s="3" t="s">
        <v>43235</v>
      </c>
      <c r="BH4440">
        <f t="shared" si="139"/>
        <v>0</v>
      </c>
    </row>
    <row r="4441" spans="1:60" ht="58" x14ac:dyDescent="0.35">
      <c r="A4441" s="2" t="s">
        <v>6202</v>
      </c>
      <c r="B4441" s="2" t="s">
        <v>6203</v>
      </c>
      <c r="C4441" s="2" t="s">
        <v>43236</v>
      </c>
      <c r="D4441" s="2" t="s">
        <v>43237</v>
      </c>
      <c r="E4441" s="2" t="s">
        <v>43238</v>
      </c>
      <c r="G4441" s="3" t="s">
        <v>64</v>
      </c>
      <c r="I4441" s="3" t="s">
        <v>64</v>
      </c>
      <c r="J4441" s="3" t="s">
        <v>64</v>
      </c>
      <c r="K4441" s="3" t="s">
        <v>65</v>
      </c>
      <c r="L4441" s="2" t="s">
        <v>43239</v>
      </c>
      <c r="M4441" s="2" t="s">
        <v>43240</v>
      </c>
      <c r="N4441" s="3" t="s">
        <v>1087</v>
      </c>
      <c r="P4441" s="3" t="s">
        <v>102</v>
      </c>
      <c r="R4441" s="3" t="s">
        <v>70</v>
      </c>
      <c r="S4441" s="4">
        <v>1</v>
      </c>
      <c r="T4441" s="4">
        <v>1</v>
      </c>
      <c r="U4441" s="5" t="s">
        <v>43241</v>
      </c>
      <c r="V4441" s="5" t="s">
        <v>43241</v>
      </c>
      <c r="W4441" s="5" t="s">
        <v>72</v>
      </c>
      <c r="X4441" s="5" t="s">
        <v>72</v>
      </c>
      <c r="Y4441" s="4">
        <v>167</v>
      </c>
      <c r="Z4441" s="4">
        <v>11</v>
      </c>
      <c r="AA4441" s="4">
        <v>12</v>
      </c>
      <c r="AB4441" s="4">
        <v>1</v>
      </c>
      <c r="AC4441" s="4">
        <v>2</v>
      </c>
      <c r="AD4441" s="4">
        <v>70</v>
      </c>
      <c r="AE4441" s="4">
        <v>71</v>
      </c>
      <c r="AF4441" s="4">
        <v>0</v>
      </c>
      <c r="AG4441" s="4">
        <v>1</v>
      </c>
      <c r="AH4441" s="4">
        <v>65</v>
      </c>
      <c r="AI4441" s="4">
        <v>65</v>
      </c>
      <c r="AJ4441" s="4">
        <v>8</v>
      </c>
      <c r="AK4441" s="4">
        <v>9</v>
      </c>
      <c r="AL4441" s="4">
        <v>41</v>
      </c>
      <c r="AM4441" s="4">
        <v>41</v>
      </c>
      <c r="AN4441" s="4">
        <v>0</v>
      </c>
      <c r="AO4441" s="4">
        <v>0</v>
      </c>
      <c r="AP4441" s="4">
        <v>8</v>
      </c>
      <c r="AQ4441" s="4">
        <v>9</v>
      </c>
      <c r="AR4441" s="3" t="s">
        <v>64</v>
      </c>
      <c r="AS4441" s="3" t="s">
        <v>64</v>
      </c>
      <c r="AT4441" s="3" t="s">
        <v>64</v>
      </c>
      <c r="AV4441" s="6" t="str">
        <f>HYPERLINK("http://mcgill.on.worldcat.org/oclc/22593347","Catalog Record")</f>
        <v>Catalog Record</v>
      </c>
      <c r="AW4441" s="6" t="str">
        <f>HYPERLINK("http://www.worldcat.org/oclc/22593347","WorldCat Record")</f>
        <v>WorldCat Record</v>
      </c>
      <c r="AX4441" s="3" t="s">
        <v>43242</v>
      </c>
      <c r="AY4441" s="3" t="s">
        <v>43243</v>
      </c>
      <c r="AZ4441" s="3" t="s">
        <v>43244</v>
      </c>
      <c r="BA4441" s="3" t="s">
        <v>43244</v>
      </c>
      <c r="BB4441" s="3" t="s">
        <v>43245</v>
      </c>
      <c r="BC4441" s="3" t="s">
        <v>77</v>
      </c>
      <c r="BD4441" s="3" t="s">
        <v>78</v>
      </c>
      <c r="BE4441" s="3" t="s">
        <v>43246</v>
      </c>
      <c r="BF4441" s="3" t="s">
        <v>43245</v>
      </c>
      <c r="BG4441" s="3" t="s">
        <v>43247</v>
      </c>
      <c r="BH4441">
        <f t="shared" si="139"/>
        <v>0</v>
      </c>
    </row>
    <row r="4442" spans="1:60" ht="58" x14ac:dyDescent="0.35">
      <c r="A4442" s="2" t="s">
        <v>59</v>
      </c>
      <c r="B4442" s="2" t="s">
        <v>60</v>
      </c>
      <c r="C4442" s="2" t="s">
        <v>43248</v>
      </c>
      <c r="D4442" s="2" t="s">
        <v>43249</v>
      </c>
      <c r="E4442" s="2" t="s">
        <v>43250</v>
      </c>
      <c r="G4442" s="3" t="s">
        <v>64</v>
      </c>
      <c r="I4442" s="3" t="s">
        <v>64</v>
      </c>
      <c r="J4442" s="3" t="s">
        <v>64</v>
      </c>
      <c r="K4442" s="3" t="s">
        <v>65</v>
      </c>
      <c r="L4442" s="2" t="s">
        <v>43251</v>
      </c>
      <c r="M4442" s="2" t="s">
        <v>2000</v>
      </c>
      <c r="N4442" s="3" t="s">
        <v>1250</v>
      </c>
      <c r="P4442" s="3" t="s">
        <v>102</v>
      </c>
      <c r="Q4442" s="2" t="s">
        <v>43252</v>
      </c>
      <c r="R4442" s="3" t="s">
        <v>70</v>
      </c>
      <c r="S4442" s="4">
        <v>6</v>
      </c>
      <c r="T4442" s="4">
        <v>6</v>
      </c>
      <c r="U4442" s="5" t="s">
        <v>36652</v>
      </c>
      <c r="V4442" s="5" t="s">
        <v>36652</v>
      </c>
      <c r="W4442" s="5" t="s">
        <v>72</v>
      </c>
      <c r="X4442" s="5" t="s">
        <v>72</v>
      </c>
      <c r="Y4442" s="4">
        <v>483</v>
      </c>
      <c r="Z4442" s="4">
        <v>24</v>
      </c>
      <c r="AA4442" s="4">
        <v>31</v>
      </c>
      <c r="AB4442" s="4">
        <v>1</v>
      </c>
      <c r="AC4442" s="4">
        <v>6</v>
      </c>
      <c r="AD4442" s="4">
        <v>90</v>
      </c>
      <c r="AE4442" s="4">
        <v>92</v>
      </c>
      <c r="AF4442" s="4">
        <v>0</v>
      </c>
      <c r="AG4442" s="4">
        <v>1</v>
      </c>
      <c r="AH4442" s="4">
        <v>77</v>
      </c>
      <c r="AI4442" s="4">
        <v>78</v>
      </c>
      <c r="AJ4442" s="4">
        <v>10</v>
      </c>
      <c r="AK4442" s="4">
        <v>11</v>
      </c>
      <c r="AL4442" s="4">
        <v>43</v>
      </c>
      <c r="AM4442" s="4">
        <v>43</v>
      </c>
      <c r="AN4442" s="4">
        <v>0</v>
      </c>
      <c r="AO4442" s="4">
        <v>0</v>
      </c>
      <c r="AP4442" s="4">
        <v>17</v>
      </c>
      <c r="AQ4442" s="4">
        <v>18</v>
      </c>
      <c r="AR4442" s="3" t="s">
        <v>64</v>
      </c>
      <c r="AS4442" s="3" t="s">
        <v>64</v>
      </c>
      <c r="AT4442" s="3" t="s">
        <v>64</v>
      </c>
      <c r="AV4442" s="6" t="str">
        <f>HYPERLINK("http://mcgill.on.worldcat.org/oclc/29220554","Catalog Record")</f>
        <v>Catalog Record</v>
      </c>
      <c r="AW4442" s="6" t="str">
        <f>HYPERLINK("http://www.worldcat.org/oclc/29220554","WorldCat Record")</f>
        <v>WorldCat Record</v>
      </c>
      <c r="AX4442" s="3" t="s">
        <v>43253</v>
      </c>
      <c r="AY4442" s="3" t="s">
        <v>43254</v>
      </c>
      <c r="AZ4442" s="3" t="s">
        <v>43255</v>
      </c>
      <c r="BA4442" s="3" t="s">
        <v>43255</v>
      </c>
      <c r="BB4442" s="3" t="s">
        <v>43256</v>
      </c>
      <c r="BC4442" s="3" t="s">
        <v>77</v>
      </c>
      <c r="BD4442" s="3" t="s">
        <v>78</v>
      </c>
      <c r="BE4442" s="3" t="s">
        <v>43257</v>
      </c>
      <c r="BF4442" s="3" t="s">
        <v>43256</v>
      </c>
      <c r="BG4442" s="3" t="s">
        <v>43258</v>
      </c>
      <c r="BH4442">
        <f t="shared" si="139"/>
        <v>0</v>
      </c>
    </row>
    <row r="4443" spans="1:60" ht="72.5" x14ac:dyDescent="0.35">
      <c r="A4443" s="2" t="s">
        <v>1932</v>
      </c>
      <c r="B4443" s="2" t="s">
        <v>1933</v>
      </c>
      <c r="C4443" s="2" t="s">
        <v>43259</v>
      </c>
      <c r="D4443" s="2" t="s">
        <v>43260</v>
      </c>
      <c r="E4443" s="2" t="s">
        <v>43261</v>
      </c>
      <c r="G4443" s="3" t="s">
        <v>64</v>
      </c>
      <c r="I4443" s="3" t="s">
        <v>64</v>
      </c>
      <c r="J4443" s="3" t="s">
        <v>64</v>
      </c>
      <c r="K4443" s="3" t="s">
        <v>65</v>
      </c>
      <c r="L4443" s="2" t="s">
        <v>43262</v>
      </c>
      <c r="M4443" s="2" t="s">
        <v>43263</v>
      </c>
      <c r="N4443" s="3" t="s">
        <v>1750</v>
      </c>
      <c r="P4443" s="3" t="s">
        <v>102</v>
      </c>
      <c r="R4443" s="3" t="s">
        <v>70</v>
      </c>
      <c r="S4443" s="4">
        <v>6</v>
      </c>
      <c r="T4443" s="4">
        <v>6</v>
      </c>
      <c r="U4443" s="5" t="s">
        <v>35255</v>
      </c>
      <c r="V4443" s="5" t="s">
        <v>35255</v>
      </c>
      <c r="W4443" s="5" t="s">
        <v>72</v>
      </c>
      <c r="X4443" s="5" t="s">
        <v>72</v>
      </c>
      <c r="Y4443" s="4">
        <v>63</v>
      </c>
      <c r="Z4443" s="4">
        <v>2</v>
      </c>
      <c r="AA4443" s="4">
        <v>2</v>
      </c>
      <c r="AB4443" s="4">
        <v>1</v>
      </c>
      <c r="AC4443" s="4">
        <v>1</v>
      </c>
      <c r="AD4443" s="4">
        <v>34</v>
      </c>
      <c r="AE4443" s="4">
        <v>35</v>
      </c>
      <c r="AF4443" s="4">
        <v>0</v>
      </c>
      <c r="AG4443" s="4">
        <v>0</v>
      </c>
      <c r="AH4443" s="4">
        <v>31</v>
      </c>
      <c r="AI4443" s="4">
        <v>32</v>
      </c>
      <c r="AJ4443" s="4">
        <v>1</v>
      </c>
      <c r="AK4443" s="4">
        <v>1</v>
      </c>
      <c r="AL4443" s="4">
        <v>17</v>
      </c>
      <c r="AM4443" s="4">
        <v>17</v>
      </c>
      <c r="AN4443" s="4">
        <v>0</v>
      </c>
      <c r="AO4443" s="4">
        <v>0</v>
      </c>
      <c r="AP4443" s="4">
        <v>1</v>
      </c>
      <c r="AQ4443" s="4">
        <v>1</v>
      </c>
      <c r="AR4443" s="3" t="s">
        <v>64</v>
      </c>
      <c r="AS4443" s="3" t="s">
        <v>128</v>
      </c>
      <c r="AT4443" s="3" t="s">
        <v>64</v>
      </c>
      <c r="AU4443" s="6" t="str">
        <f>HYPERLINK("http://catalog.hathitrust.org/Record/102325214","HathiTrust Record")</f>
        <v>HathiTrust Record</v>
      </c>
      <c r="AV4443" s="6" t="str">
        <f>HYPERLINK("http://mcgill.on.worldcat.org/oclc/3073305","Catalog Record")</f>
        <v>Catalog Record</v>
      </c>
      <c r="AW4443" s="6" t="str">
        <f>HYPERLINK("http://www.worldcat.org/oclc/3073305","WorldCat Record")</f>
        <v>WorldCat Record</v>
      </c>
      <c r="AX4443" s="3" t="s">
        <v>43264</v>
      </c>
      <c r="AY4443" s="3" t="s">
        <v>43265</v>
      </c>
      <c r="AZ4443" s="3" t="s">
        <v>43266</v>
      </c>
      <c r="BA4443" s="3" t="s">
        <v>43266</v>
      </c>
      <c r="BB4443" s="3" t="s">
        <v>43267</v>
      </c>
      <c r="BC4443" s="3" t="s">
        <v>77</v>
      </c>
      <c r="BD4443" s="3" t="s">
        <v>78</v>
      </c>
      <c r="BF4443" s="3" t="s">
        <v>43267</v>
      </c>
      <c r="BG4443" s="3" t="s">
        <v>43268</v>
      </c>
      <c r="BH4443">
        <f t="shared" si="139"/>
        <v>0</v>
      </c>
    </row>
    <row r="4444" spans="1:60" ht="130.5" x14ac:dyDescent="0.35">
      <c r="A4444" s="2" t="s">
        <v>6202</v>
      </c>
      <c r="B4444" s="2" t="s">
        <v>6203</v>
      </c>
      <c r="C4444" s="2" t="s">
        <v>43269</v>
      </c>
      <c r="D4444" s="2" t="s">
        <v>43270</v>
      </c>
      <c r="E4444" s="2" t="s">
        <v>43271</v>
      </c>
      <c r="G4444" s="3" t="s">
        <v>64</v>
      </c>
      <c r="I4444" s="3" t="s">
        <v>64</v>
      </c>
      <c r="J4444" s="3" t="s">
        <v>64</v>
      </c>
      <c r="K4444" s="3" t="s">
        <v>65</v>
      </c>
      <c r="M4444" s="2" t="s">
        <v>43272</v>
      </c>
      <c r="N4444" s="3" t="s">
        <v>1087</v>
      </c>
      <c r="P4444" s="3" t="s">
        <v>102</v>
      </c>
      <c r="R4444" s="3" t="s">
        <v>70</v>
      </c>
      <c r="S4444" s="4">
        <v>8</v>
      </c>
      <c r="T4444" s="4">
        <v>8</v>
      </c>
      <c r="U4444" s="5" t="s">
        <v>204</v>
      </c>
      <c r="V4444" s="5" t="s">
        <v>204</v>
      </c>
      <c r="W4444" s="5" t="s">
        <v>72</v>
      </c>
      <c r="X4444" s="5" t="s">
        <v>72</v>
      </c>
      <c r="Y4444" s="4">
        <v>412</v>
      </c>
      <c r="Z4444" s="4">
        <v>30</v>
      </c>
      <c r="AA4444" s="4">
        <v>34</v>
      </c>
      <c r="AB4444" s="4">
        <v>2</v>
      </c>
      <c r="AC4444" s="4">
        <v>5</v>
      </c>
      <c r="AD4444" s="4">
        <v>95</v>
      </c>
      <c r="AE4444" s="4">
        <v>99</v>
      </c>
      <c r="AF4444" s="4">
        <v>1</v>
      </c>
      <c r="AG4444" s="4">
        <v>3</v>
      </c>
      <c r="AH4444" s="4">
        <v>80</v>
      </c>
      <c r="AI4444" s="4">
        <v>81</v>
      </c>
      <c r="AJ4444" s="4">
        <v>15</v>
      </c>
      <c r="AK4444" s="4">
        <v>17</v>
      </c>
      <c r="AL4444" s="4">
        <v>50</v>
      </c>
      <c r="AM4444" s="4">
        <v>50</v>
      </c>
      <c r="AN4444" s="4">
        <v>0</v>
      </c>
      <c r="AO4444" s="4">
        <v>0</v>
      </c>
      <c r="AP4444" s="4">
        <v>20</v>
      </c>
      <c r="AQ4444" s="4">
        <v>22</v>
      </c>
      <c r="AR4444" s="3" t="s">
        <v>64</v>
      </c>
      <c r="AS4444" s="3" t="s">
        <v>64</v>
      </c>
      <c r="AT4444" s="3" t="s">
        <v>64</v>
      </c>
      <c r="AV4444" s="6" t="str">
        <f>HYPERLINK("http://mcgill.on.worldcat.org/oclc/20261667","Catalog Record")</f>
        <v>Catalog Record</v>
      </c>
      <c r="AW4444" s="6" t="str">
        <f>HYPERLINK("http://www.worldcat.org/oclc/20261667","WorldCat Record")</f>
        <v>WorldCat Record</v>
      </c>
      <c r="AX4444" s="3" t="s">
        <v>43273</v>
      </c>
      <c r="AY4444" s="3" t="s">
        <v>43274</v>
      </c>
      <c r="AZ4444" s="3" t="s">
        <v>43275</v>
      </c>
      <c r="BA4444" s="3" t="s">
        <v>43275</v>
      </c>
      <c r="BB4444" s="3" t="s">
        <v>43276</v>
      </c>
      <c r="BC4444" s="3" t="s">
        <v>77</v>
      </c>
      <c r="BD4444" s="3" t="s">
        <v>165</v>
      </c>
      <c r="BE4444" s="3" t="s">
        <v>43277</v>
      </c>
      <c r="BF4444" s="3" t="s">
        <v>43276</v>
      </c>
      <c r="BG4444" s="3" t="s">
        <v>43278</v>
      </c>
      <c r="BH4444">
        <f t="shared" si="139"/>
        <v>0</v>
      </c>
    </row>
    <row r="4445" spans="1:60" ht="58" x14ac:dyDescent="0.35">
      <c r="A4445" s="2" t="s">
        <v>59</v>
      </c>
      <c r="B4445" s="2" t="s">
        <v>60</v>
      </c>
      <c r="C4445" s="2" t="s">
        <v>43279</v>
      </c>
      <c r="D4445" s="2" t="s">
        <v>43280</v>
      </c>
      <c r="E4445" s="2" t="s">
        <v>43281</v>
      </c>
      <c r="G4445" s="3" t="s">
        <v>64</v>
      </c>
      <c r="I4445" s="3" t="s">
        <v>64</v>
      </c>
      <c r="J4445" s="3" t="s">
        <v>64</v>
      </c>
      <c r="K4445" s="3" t="s">
        <v>65</v>
      </c>
      <c r="L4445" s="2" t="s">
        <v>43282</v>
      </c>
      <c r="M4445" s="2" t="s">
        <v>23416</v>
      </c>
      <c r="N4445" s="3" t="s">
        <v>1031</v>
      </c>
      <c r="P4445" s="3" t="s">
        <v>102</v>
      </c>
      <c r="Q4445" s="2" t="s">
        <v>43283</v>
      </c>
      <c r="R4445" s="3" t="s">
        <v>70</v>
      </c>
      <c r="S4445" s="4">
        <v>3</v>
      </c>
      <c r="T4445" s="4">
        <v>3</v>
      </c>
      <c r="U4445" s="5" t="s">
        <v>29795</v>
      </c>
      <c r="V4445" s="5" t="s">
        <v>29795</v>
      </c>
      <c r="W4445" s="5" t="s">
        <v>72</v>
      </c>
      <c r="X4445" s="5" t="s">
        <v>72</v>
      </c>
      <c r="Y4445" s="4">
        <v>330</v>
      </c>
      <c r="Z4445" s="4">
        <v>15</v>
      </c>
      <c r="AA4445" s="4">
        <v>18</v>
      </c>
      <c r="AB4445" s="4">
        <v>3</v>
      </c>
      <c r="AC4445" s="4">
        <v>3</v>
      </c>
      <c r="AD4445" s="4">
        <v>93</v>
      </c>
      <c r="AE4445" s="4">
        <v>99</v>
      </c>
      <c r="AF4445" s="4">
        <v>0</v>
      </c>
      <c r="AG4445" s="4">
        <v>0</v>
      </c>
      <c r="AH4445" s="4">
        <v>88</v>
      </c>
      <c r="AI4445" s="4">
        <v>92</v>
      </c>
      <c r="AJ4445" s="4">
        <v>7</v>
      </c>
      <c r="AK4445" s="4">
        <v>9</v>
      </c>
      <c r="AL4445" s="4">
        <v>50</v>
      </c>
      <c r="AM4445" s="4">
        <v>52</v>
      </c>
      <c r="AN4445" s="4">
        <v>0</v>
      </c>
      <c r="AO4445" s="4">
        <v>0</v>
      </c>
      <c r="AP4445" s="4">
        <v>7</v>
      </c>
      <c r="AQ4445" s="4">
        <v>10</v>
      </c>
      <c r="AR4445" s="3" t="s">
        <v>64</v>
      </c>
      <c r="AS4445" s="3" t="s">
        <v>64</v>
      </c>
      <c r="AT4445" s="3" t="s">
        <v>128</v>
      </c>
      <c r="AU4445" s="6" t="str">
        <f>HYPERLINK("http://catalog.hathitrust.org/Record/002566428","HathiTrust Record")</f>
        <v>HathiTrust Record</v>
      </c>
      <c r="AV4445" s="6" t="str">
        <f>HYPERLINK("http://mcgill.on.worldcat.org/oclc/24173206","Catalog Record")</f>
        <v>Catalog Record</v>
      </c>
      <c r="AW4445" s="6" t="str">
        <f>HYPERLINK("http://www.worldcat.org/oclc/24173206","WorldCat Record")</f>
        <v>WorldCat Record</v>
      </c>
      <c r="AX4445" s="3" t="s">
        <v>43284</v>
      </c>
      <c r="AY4445" s="3" t="s">
        <v>43285</v>
      </c>
      <c r="AZ4445" s="3" t="s">
        <v>43286</v>
      </c>
      <c r="BA4445" s="3" t="s">
        <v>43286</v>
      </c>
      <c r="BB4445" s="3" t="s">
        <v>43287</v>
      </c>
      <c r="BC4445" s="3" t="s">
        <v>77</v>
      </c>
      <c r="BD4445" s="3" t="s">
        <v>78</v>
      </c>
      <c r="BE4445" s="3" t="s">
        <v>43288</v>
      </c>
      <c r="BF4445" s="3" t="s">
        <v>43287</v>
      </c>
      <c r="BG4445" s="3" t="s">
        <v>43289</v>
      </c>
      <c r="BH4445">
        <f t="shared" si="139"/>
        <v>0</v>
      </c>
    </row>
    <row r="4446" spans="1:60" ht="58" x14ac:dyDescent="0.35">
      <c r="A4446" s="2" t="s">
        <v>59</v>
      </c>
      <c r="B4446" s="2" t="s">
        <v>60</v>
      </c>
      <c r="C4446" s="2" t="s">
        <v>43290</v>
      </c>
      <c r="D4446" s="2" t="s">
        <v>43291</v>
      </c>
      <c r="E4446" s="2" t="s">
        <v>43292</v>
      </c>
      <c r="G4446" s="3" t="s">
        <v>64</v>
      </c>
      <c r="I4446" s="3" t="s">
        <v>64</v>
      </c>
      <c r="J4446" s="3" t="s">
        <v>64</v>
      </c>
      <c r="K4446" s="3" t="s">
        <v>65</v>
      </c>
      <c r="L4446" s="2" t="s">
        <v>43293</v>
      </c>
      <c r="M4446" s="2" t="s">
        <v>43294</v>
      </c>
      <c r="N4446" s="3" t="s">
        <v>144</v>
      </c>
      <c r="P4446" s="3" t="s">
        <v>102</v>
      </c>
      <c r="Q4446" s="2" t="s">
        <v>24529</v>
      </c>
      <c r="R4446" s="3" t="s">
        <v>70</v>
      </c>
      <c r="S4446" s="4">
        <v>2</v>
      </c>
      <c r="T4446" s="4">
        <v>2</v>
      </c>
      <c r="U4446" s="5" t="s">
        <v>43295</v>
      </c>
      <c r="V4446" s="5" t="s">
        <v>43295</v>
      </c>
      <c r="W4446" s="5" t="s">
        <v>72</v>
      </c>
      <c r="X4446" s="5" t="s">
        <v>72</v>
      </c>
      <c r="Y4446" s="4">
        <v>325</v>
      </c>
      <c r="Z4446" s="4">
        <v>23</v>
      </c>
      <c r="AA4446" s="4">
        <v>23</v>
      </c>
      <c r="AB4446" s="4">
        <v>2</v>
      </c>
      <c r="AC4446" s="4">
        <v>2</v>
      </c>
      <c r="AD4446" s="4">
        <v>46</v>
      </c>
      <c r="AE4446" s="4">
        <v>46</v>
      </c>
      <c r="AF4446" s="4">
        <v>0</v>
      </c>
      <c r="AG4446" s="4">
        <v>0</v>
      </c>
      <c r="AH4446" s="4">
        <v>44</v>
      </c>
      <c r="AI4446" s="4">
        <v>44</v>
      </c>
      <c r="AJ4446" s="4">
        <v>4</v>
      </c>
      <c r="AK4446" s="4">
        <v>4</v>
      </c>
      <c r="AL4446" s="4">
        <v>27</v>
      </c>
      <c r="AM4446" s="4">
        <v>27</v>
      </c>
      <c r="AN4446" s="4">
        <v>0</v>
      </c>
      <c r="AO4446" s="4">
        <v>0</v>
      </c>
      <c r="AP4446" s="4">
        <v>5</v>
      </c>
      <c r="AQ4446" s="4">
        <v>5</v>
      </c>
      <c r="AR4446" s="3" t="s">
        <v>64</v>
      </c>
      <c r="AS4446" s="3" t="s">
        <v>64</v>
      </c>
      <c r="AT4446" s="3" t="s">
        <v>64</v>
      </c>
      <c r="AV4446" s="6" t="str">
        <f>HYPERLINK("http://mcgill.on.worldcat.org/oclc/156975192","Catalog Record")</f>
        <v>Catalog Record</v>
      </c>
      <c r="AW4446" s="6" t="str">
        <f>HYPERLINK("http://www.worldcat.org/oclc/156975192","WorldCat Record")</f>
        <v>WorldCat Record</v>
      </c>
      <c r="AX4446" s="3" t="s">
        <v>43296</v>
      </c>
      <c r="AY4446" s="3" t="s">
        <v>43297</v>
      </c>
      <c r="AZ4446" s="3" t="s">
        <v>43298</v>
      </c>
      <c r="BA4446" s="3" t="s">
        <v>43298</v>
      </c>
      <c r="BB4446" s="3" t="s">
        <v>43299</v>
      </c>
      <c r="BC4446" s="3" t="s">
        <v>77</v>
      </c>
      <c r="BD4446" s="3" t="s">
        <v>78</v>
      </c>
      <c r="BE4446" s="3" t="s">
        <v>43300</v>
      </c>
      <c r="BF4446" s="3" t="s">
        <v>43299</v>
      </c>
      <c r="BG4446" s="3" t="s">
        <v>43301</v>
      </c>
      <c r="BH4446">
        <f t="shared" si="139"/>
        <v>0</v>
      </c>
    </row>
    <row r="4447" spans="1:60" ht="58" x14ac:dyDescent="0.35">
      <c r="A4447" s="2" t="s">
        <v>6202</v>
      </c>
      <c r="B4447" s="2" t="s">
        <v>6203</v>
      </c>
      <c r="C4447" s="2" t="s">
        <v>43302</v>
      </c>
      <c r="D4447" s="2" t="s">
        <v>43303</v>
      </c>
      <c r="E4447" s="2" t="s">
        <v>43304</v>
      </c>
      <c r="F4447" s="3" t="s">
        <v>525</v>
      </c>
      <c r="G4447" s="3" t="s">
        <v>128</v>
      </c>
      <c r="I4447" s="3" t="s">
        <v>64</v>
      </c>
      <c r="J4447" s="3" t="s">
        <v>64</v>
      </c>
      <c r="K4447" s="3" t="s">
        <v>65</v>
      </c>
      <c r="M4447" s="2" t="s">
        <v>43305</v>
      </c>
      <c r="N4447" s="3" t="s">
        <v>421</v>
      </c>
      <c r="P4447" s="3" t="s">
        <v>102</v>
      </c>
      <c r="R4447" s="3" t="s">
        <v>70</v>
      </c>
      <c r="S4447" s="4">
        <v>1</v>
      </c>
      <c r="T4447" s="4">
        <v>1</v>
      </c>
      <c r="U4447" s="5" t="s">
        <v>9512</v>
      </c>
      <c r="V4447" s="5" t="s">
        <v>9512</v>
      </c>
      <c r="W4447" s="5" t="s">
        <v>72</v>
      </c>
      <c r="X4447" s="5" t="s">
        <v>72</v>
      </c>
      <c r="Y4447" s="4">
        <v>415</v>
      </c>
      <c r="Z4447" s="4">
        <v>8</v>
      </c>
      <c r="AA4447" s="4">
        <v>8</v>
      </c>
      <c r="AB4447" s="4">
        <v>1</v>
      </c>
      <c r="AC4447" s="4">
        <v>1</v>
      </c>
      <c r="AD4447" s="4">
        <v>24</v>
      </c>
      <c r="AE4447" s="4">
        <v>24</v>
      </c>
      <c r="AF4447" s="4">
        <v>0</v>
      </c>
      <c r="AG4447" s="4">
        <v>0</v>
      </c>
      <c r="AH4447" s="4">
        <v>22</v>
      </c>
      <c r="AI4447" s="4">
        <v>22</v>
      </c>
      <c r="AJ4447" s="4">
        <v>2</v>
      </c>
      <c r="AK4447" s="4">
        <v>2</v>
      </c>
      <c r="AL4447" s="4">
        <v>9</v>
      </c>
      <c r="AM4447" s="4">
        <v>9</v>
      </c>
      <c r="AN4447" s="4">
        <v>0</v>
      </c>
      <c r="AO4447" s="4">
        <v>0</v>
      </c>
      <c r="AP4447" s="4">
        <v>3</v>
      </c>
      <c r="AQ4447" s="4">
        <v>3</v>
      </c>
      <c r="AR4447" s="3" t="s">
        <v>64</v>
      </c>
      <c r="AS4447" s="3" t="s">
        <v>64</v>
      </c>
      <c r="AT4447" s="3" t="s">
        <v>64</v>
      </c>
      <c r="AV4447" s="6" t="str">
        <f>HYPERLINK("http://mcgill.on.worldcat.org/oclc/36662944","Catalog Record")</f>
        <v>Catalog Record</v>
      </c>
      <c r="AW4447" s="6" t="str">
        <f>HYPERLINK("http://www.worldcat.org/oclc/36662944","WorldCat Record")</f>
        <v>WorldCat Record</v>
      </c>
      <c r="AX4447" s="3" t="s">
        <v>43306</v>
      </c>
      <c r="AY4447" s="3" t="s">
        <v>43307</v>
      </c>
      <c r="AZ4447" s="3" t="s">
        <v>43308</v>
      </c>
      <c r="BA4447" s="3" t="s">
        <v>43308</v>
      </c>
      <c r="BB4447" s="3" t="s">
        <v>43309</v>
      </c>
      <c r="BC4447" s="3" t="s">
        <v>77</v>
      </c>
      <c r="BD4447" s="3" t="s">
        <v>78</v>
      </c>
      <c r="BE4447" s="3" t="s">
        <v>43310</v>
      </c>
      <c r="BF4447" s="3" t="s">
        <v>43309</v>
      </c>
      <c r="BG4447" s="3" t="s">
        <v>43311</v>
      </c>
      <c r="BH4447">
        <f t="shared" si="139"/>
        <v>0</v>
      </c>
    </row>
    <row r="4448" spans="1:60" ht="58" x14ac:dyDescent="0.35">
      <c r="A4448" s="2" t="s">
        <v>6202</v>
      </c>
      <c r="B4448" s="2" t="s">
        <v>6203</v>
      </c>
      <c r="C4448" s="2" t="s">
        <v>43302</v>
      </c>
      <c r="D4448" s="2" t="s">
        <v>43303</v>
      </c>
      <c r="E4448" s="2" t="s">
        <v>43304</v>
      </c>
      <c r="F4448" s="3" t="s">
        <v>529</v>
      </c>
      <c r="G4448" s="3" t="s">
        <v>128</v>
      </c>
      <c r="I4448" s="3" t="s">
        <v>64</v>
      </c>
      <c r="J4448" s="3" t="s">
        <v>64</v>
      </c>
      <c r="K4448" s="3" t="s">
        <v>65</v>
      </c>
      <c r="M4448" s="2" t="s">
        <v>43305</v>
      </c>
      <c r="N4448" s="3" t="s">
        <v>421</v>
      </c>
      <c r="P4448" s="3" t="s">
        <v>102</v>
      </c>
      <c r="R4448" s="3" t="s">
        <v>70</v>
      </c>
      <c r="S4448" s="4">
        <v>0</v>
      </c>
      <c r="T4448" s="4">
        <v>1</v>
      </c>
      <c r="V4448" s="5" t="s">
        <v>9512</v>
      </c>
      <c r="W4448" s="5" t="s">
        <v>72</v>
      </c>
      <c r="X4448" s="5" t="s">
        <v>72</v>
      </c>
      <c r="Y4448" s="4">
        <v>415</v>
      </c>
      <c r="Z4448" s="4">
        <v>8</v>
      </c>
      <c r="AA4448" s="4">
        <v>8</v>
      </c>
      <c r="AB4448" s="4">
        <v>1</v>
      </c>
      <c r="AC4448" s="4">
        <v>1</v>
      </c>
      <c r="AD4448" s="4">
        <v>24</v>
      </c>
      <c r="AE4448" s="4">
        <v>24</v>
      </c>
      <c r="AF4448" s="4">
        <v>0</v>
      </c>
      <c r="AG4448" s="4">
        <v>0</v>
      </c>
      <c r="AH4448" s="4">
        <v>22</v>
      </c>
      <c r="AI4448" s="4">
        <v>22</v>
      </c>
      <c r="AJ4448" s="4">
        <v>2</v>
      </c>
      <c r="AK4448" s="4">
        <v>2</v>
      </c>
      <c r="AL4448" s="4">
        <v>9</v>
      </c>
      <c r="AM4448" s="4">
        <v>9</v>
      </c>
      <c r="AN4448" s="4">
        <v>0</v>
      </c>
      <c r="AO4448" s="4">
        <v>0</v>
      </c>
      <c r="AP4448" s="4">
        <v>3</v>
      </c>
      <c r="AQ4448" s="4">
        <v>3</v>
      </c>
      <c r="AR4448" s="3" t="s">
        <v>64</v>
      </c>
      <c r="AS4448" s="3" t="s">
        <v>64</v>
      </c>
      <c r="AT4448" s="3" t="s">
        <v>64</v>
      </c>
      <c r="AV4448" s="6" t="str">
        <f>HYPERLINK("http://mcgill.on.worldcat.org/oclc/36662944","Catalog Record")</f>
        <v>Catalog Record</v>
      </c>
      <c r="AW4448" s="6" t="str">
        <f>HYPERLINK("http://www.worldcat.org/oclc/36662944","WorldCat Record")</f>
        <v>WorldCat Record</v>
      </c>
      <c r="AX4448" s="3" t="s">
        <v>43306</v>
      </c>
      <c r="AY4448" s="3" t="s">
        <v>43307</v>
      </c>
      <c r="AZ4448" s="3" t="s">
        <v>43308</v>
      </c>
      <c r="BA4448" s="3" t="s">
        <v>43308</v>
      </c>
      <c r="BB4448" s="3" t="s">
        <v>43312</v>
      </c>
      <c r="BC4448" s="3" t="s">
        <v>77</v>
      </c>
      <c r="BD4448" s="3" t="s">
        <v>78</v>
      </c>
      <c r="BE4448" s="3" t="s">
        <v>43310</v>
      </c>
      <c r="BF4448" s="3" t="s">
        <v>43312</v>
      </c>
      <c r="BG4448" s="3" t="s">
        <v>43313</v>
      </c>
      <c r="BH4448">
        <f t="shared" si="139"/>
        <v>0</v>
      </c>
    </row>
    <row r="4449" spans="1:60" ht="58" x14ac:dyDescent="0.35">
      <c r="A4449" s="2" t="s">
        <v>6202</v>
      </c>
      <c r="B4449" s="2" t="s">
        <v>6203</v>
      </c>
      <c r="C4449" s="2" t="s">
        <v>43302</v>
      </c>
      <c r="D4449" s="2" t="s">
        <v>43303</v>
      </c>
      <c r="E4449" s="2" t="s">
        <v>43304</v>
      </c>
      <c r="F4449" s="3" t="s">
        <v>509</v>
      </c>
      <c r="G4449" s="3" t="s">
        <v>128</v>
      </c>
      <c r="I4449" s="3" t="s">
        <v>64</v>
      </c>
      <c r="J4449" s="3" t="s">
        <v>64</v>
      </c>
      <c r="K4449" s="3" t="s">
        <v>65</v>
      </c>
      <c r="M4449" s="2" t="s">
        <v>43305</v>
      </c>
      <c r="N4449" s="3" t="s">
        <v>421</v>
      </c>
      <c r="P4449" s="3" t="s">
        <v>102</v>
      </c>
      <c r="R4449" s="3" t="s">
        <v>70</v>
      </c>
      <c r="S4449" s="4">
        <v>0</v>
      </c>
      <c r="T4449" s="4">
        <v>1</v>
      </c>
      <c r="V4449" s="5" t="s">
        <v>9512</v>
      </c>
      <c r="W4449" s="5" t="s">
        <v>72</v>
      </c>
      <c r="X4449" s="5" t="s">
        <v>72</v>
      </c>
      <c r="Y4449" s="4">
        <v>415</v>
      </c>
      <c r="Z4449" s="4">
        <v>8</v>
      </c>
      <c r="AA4449" s="4">
        <v>8</v>
      </c>
      <c r="AB4449" s="4">
        <v>1</v>
      </c>
      <c r="AC4449" s="4">
        <v>1</v>
      </c>
      <c r="AD4449" s="4">
        <v>24</v>
      </c>
      <c r="AE4449" s="4">
        <v>24</v>
      </c>
      <c r="AF4449" s="4">
        <v>0</v>
      </c>
      <c r="AG4449" s="4">
        <v>0</v>
      </c>
      <c r="AH4449" s="4">
        <v>22</v>
      </c>
      <c r="AI4449" s="4">
        <v>22</v>
      </c>
      <c r="AJ4449" s="4">
        <v>2</v>
      </c>
      <c r="AK4449" s="4">
        <v>2</v>
      </c>
      <c r="AL4449" s="4">
        <v>9</v>
      </c>
      <c r="AM4449" s="4">
        <v>9</v>
      </c>
      <c r="AN4449" s="4">
        <v>0</v>
      </c>
      <c r="AO4449" s="4">
        <v>0</v>
      </c>
      <c r="AP4449" s="4">
        <v>3</v>
      </c>
      <c r="AQ4449" s="4">
        <v>3</v>
      </c>
      <c r="AR4449" s="3" t="s">
        <v>64</v>
      </c>
      <c r="AS4449" s="3" t="s">
        <v>64</v>
      </c>
      <c r="AT4449" s="3" t="s">
        <v>64</v>
      </c>
      <c r="AV4449" s="6" t="str">
        <f>HYPERLINK("http://mcgill.on.worldcat.org/oclc/36662944","Catalog Record")</f>
        <v>Catalog Record</v>
      </c>
      <c r="AW4449" s="6" t="str">
        <f>HYPERLINK("http://www.worldcat.org/oclc/36662944","WorldCat Record")</f>
        <v>WorldCat Record</v>
      </c>
      <c r="AX4449" s="3" t="s">
        <v>43306</v>
      </c>
      <c r="AY4449" s="3" t="s">
        <v>43307</v>
      </c>
      <c r="AZ4449" s="3" t="s">
        <v>43308</v>
      </c>
      <c r="BA4449" s="3" t="s">
        <v>43308</v>
      </c>
      <c r="BB4449" s="3" t="s">
        <v>43314</v>
      </c>
      <c r="BC4449" s="3" t="s">
        <v>77</v>
      </c>
      <c r="BD4449" s="3" t="s">
        <v>78</v>
      </c>
      <c r="BE4449" s="3" t="s">
        <v>43310</v>
      </c>
      <c r="BF4449" s="3" t="s">
        <v>43314</v>
      </c>
      <c r="BG4449" s="3" t="s">
        <v>43315</v>
      </c>
      <c r="BH4449">
        <f t="shared" si="139"/>
        <v>0</v>
      </c>
    </row>
    <row r="4450" spans="1:60" ht="58" x14ac:dyDescent="0.35">
      <c r="A4450" s="2" t="s">
        <v>59</v>
      </c>
      <c r="B4450" s="2" t="s">
        <v>60</v>
      </c>
      <c r="C4450" s="2" t="s">
        <v>43316</v>
      </c>
      <c r="D4450" s="2" t="s">
        <v>43317</v>
      </c>
      <c r="E4450" s="2" t="s">
        <v>43318</v>
      </c>
      <c r="G4450" s="3" t="s">
        <v>64</v>
      </c>
      <c r="I4450" s="3" t="s">
        <v>64</v>
      </c>
      <c r="J4450" s="3" t="s">
        <v>128</v>
      </c>
      <c r="K4450" s="3" t="s">
        <v>65</v>
      </c>
      <c r="M4450" s="2" t="s">
        <v>43319</v>
      </c>
      <c r="N4450" s="3" t="s">
        <v>3428</v>
      </c>
      <c r="P4450" s="3" t="s">
        <v>102</v>
      </c>
      <c r="R4450" s="3" t="s">
        <v>70</v>
      </c>
      <c r="S4450" s="4">
        <v>4</v>
      </c>
      <c r="T4450" s="4">
        <v>4</v>
      </c>
      <c r="U4450" s="5" t="s">
        <v>43320</v>
      </c>
      <c r="V4450" s="5" t="s">
        <v>43320</v>
      </c>
      <c r="W4450" s="5" t="s">
        <v>72</v>
      </c>
      <c r="X4450" s="5" t="s">
        <v>72</v>
      </c>
      <c r="Y4450" s="4">
        <v>614</v>
      </c>
      <c r="Z4450" s="4">
        <v>25</v>
      </c>
      <c r="AA4450" s="4">
        <v>81</v>
      </c>
      <c r="AB4450" s="4">
        <v>2</v>
      </c>
      <c r="AC4450" s="4">
        <v>10</v>
      </c>
      <c r="AD4450" s="4">
        <v>93</v>
      </c>
      <c r="AE4450" s="4">
        <v>148</v>
      </c>
      <c r="AF4450" s="4">
        <v>1</v>
      </c>
      <c r="AG4450" s="4">
        <v>6</v>
      </c>
      <c r="AH4450" s="4">
        <v>82</v>
      </c>
      <c r="AI4450" s="4">
        <v>112</v>
      </c>
      <c r="AJ4450" s="4">
        <v>13</v>
      </c>
      <c r="AK4450" s="4">
        <v>27</v>
      </c>
      <c r="AL4450" s="4">
        <v>44</v>
      </c>
      <c r="AM4450" s="4">
        <v>59</v>
      </c>
      <c r="AN4450" s="4">
        <v>0</v>
      </c>
      <c r="AO4450" s="4">
        <v>0</v>
      </c>
      <c r="AP4450" s="4">
        <v>15</v>
      </c>
      <c r="AQ4450" s="4">
        <v>42</v>
      </c>
      <c r="AR4450" s="3" t="s">
        <v>64</v>
      </c>
      <c r="AS4450" s="3" t="s">
        <v>64</v>
      </c>
      <c r="AT4450" s="3" t="s">
        <v>128</v>
      </c>
      <c r="AU4450" s="6" t="str">
        <f>HYPERLINK("http://catalog.hathitrust.org/Record/002977289","HathiTrust Record")</f>
        <v>HathiTrust Record</v>
      </c>
      <c r="AV4450" s="6" t="str">
        <f>HYPERLINK("http://mcgill.on.worldcat.org/oclc/31433865","Catalog Record")</f>
        <v>Catalog Record</v>
      </c>
      <c r="AW4450" s="6" t="str">
        <f>HYPERLINK("http://www.worldcat.org/oclc/31433865","WorldCat Record")</f>
        <v>WorldCat Record</v>
      </c>
      <c r="AX4450" s="3" t="s">
        <v>43321</v>
      </c>
      <c r="AY4450" s="3" t="s">
        <v>43322</v>
      </c>
      <c r="AZ4450" s="3" t="s">
        <v>43323</v>
      </c>
      <c r="BA4450" s="3" t="s">
        <v>43323</v>
      </c>
      <c r="BB4450" s="3" t="s">
        <v>43324</v>
      </c>
      <c r="BC4450" s="3" t="s">
        <v>77</v>
      </c>
      <c r="BD4450" s="3" t="s">
        <v>78</v>
      </c>
      <c r="BE4450" s="3" t="s">
        <v>43325</v>
      </c>
      <c r="BF4450" s="3" t="s">
        <v>43324</v>
      </c>
      <c r="BG4450" s="3" t="s">
        <v>43326</v>
      </c>
      <c r="BH4450">
        <f t="shared" si="139"/>
        <v>0</v>
      </c>
    </row>
    <row r="4451" spans="1:60" ht="72.5" x14ac:dyDescent="0.35">
      <c r="A4451" s="2" t="s">
        <v>6202</v>
      </c>
      <c r="B4451" s="2" t="s">
        <v>6203</v>
      </c>
      <c r="C4451" s="2" t="s">
        <v>43327</v>
      </c>
      <c r="D4451" s="2" t="s">
        <v>43328</v>
      </c>
      <c r="E4451" s="2" t="s">
        <v>43329</v>
      </c>
      <c r="G4451" s="3" t="s">
        <v>64</v>
      </c>
      <c r="I4451" s="3" t="s">
        <v>64</v>
      </c>
      <c r="J4451" s="3" t="s">
        <v>64</v>
      </c>
      <c r="K4451" s="3" t="s">
        <v>65</v>
      </c>
      <c r="L4451" s="2" t="s">
        <v>43330</v>
      </c>
      <c r="M4451" s="2" t="s">
        <v>43331</v>
      </c>
      <c r="N4451" s="3" t="s">
        <v>153</v>
      </c>
      <c r="P4451" s="3" t="s">
        <v>102</v>
      </c>
      <c r="Q4451" s="2" t="s">
        <v>43332</v>
      </c>
      <c r="R4451" s="3" t="s">
        <v>70</v>
      </c>
      <c r="S4451" s="4">
        <v>1</v>
      </c>
      <c r="T4451" s="4">
        <v>1</v>
      </c>
      <c r="U4451" s="5" t="s">
        <v>40101</v>
      </c>
      <c r="V4451" s="5" t="s">
        <v>40101</v>
      </c>
      <c r="W4451" s="5" t="s">
        <v>72</v>
      </c>
      <c r="X4451" s="5" t="s">
        <v>72</v>
      </c>
      <c r="Y4451" s="4">
        <v>30</v>
      </c>
      <c r="Z4451" s="4">
        <v>11</v>
      </c>
      <c r="AA4451" s="4">
        <v>17</v>
      </c>
      <c r="AB4451" s="4">
        <v>1</v>
      </c>
      <c r="AC4451" s="4">
        <v>1</v>
      </c>
      <c r="AD4451" s="4">
        <v>20</v>
      </c>
      <c r="AE4451" s="4">
        <v>26</v>
      </c>
      <c r="AF4451" s="4">
        <v>0</v>
      </c>
      <c r="AG4451" s="4">
        <v>0</v>
      </c>
      <c r="AH4451" s="4">
        <v>15</v>
      </c>
      <c r="AI4451" s="4">
        <v>19</v>
      </c>
      <c r="AJ4451" s="4">
        <v>7</v>
      </c>
      <c r="AK4451" s="4">
        <v>12</v>
      </c>
      <c r="AL4451" s="4">
        <v>7</v>
      </c>
      <c r="AM4451" s="4">
        <v>9</v>
      </c>
      <c r="AN4451" s="4">
        <v>0</v>
      </c>
      <c r="AO4451" s="4">
        <v>0</v>
      </c>
      <c r="AP4451" s="4">
        <v>9</v>
      </c>
      <c r="AQ4451" s="4">
        <v>13</v>
      </c>
      <c r="AR4451" s="3" t="s">
        <v>128</v>
      </c>
      <c r="AS4451" s="3" t="s">
        <v>64</v>
      </c>
      <c r="AT4451" s="3" t="s">
        <v>64</v>
      </c>
      <c r="AV4451" s="6" t="str">
        <f>HYPERLINK("http://mcgill.on.worldcat.org/oclc/39516059","Catalog Record")</f>
        <v>Catalog Record</v>
      </c>
      <c r="AW4451" s="6" t="str">
        <f>HYPERLINK("http://www.worldcat.org/oclc/39516059","WorldCat Record")</f>
        <v>WorldCat Record</v>
      </c>
      <c r="AX4451" s="3" t="s">
        <v>43333</v>
      </c>
      <c r="AY4451" s="3" t="s">
        <v>43334</v>
      </c>
      <c r="AZ4451" s="3" t="s">
        <v>43335</v>
      </c>
      <c r="BA4451" s="3" t="s">
        <v>43335</v>
      </c>
      <c r="BB4451" s="3" t="s">
        <v>43336</v>
      </c>
      <c r="BC4451" s="3" t="s">
        <v>77</v>
      </c>
      <c r="BD4451" s="3" t="s">
        <v>78</v>
      </c>
      <c r="BE4451" s="3" t="s">
        <v>43337</v>
      </c>
      <c r="BF4451" s="3" t="s">
        <v>43336</v>
      </c>
      <c r="BG4451" s="3" t="s">
        <v>43338</v>
      </c>
      <c r="BH4451">
        <f t="shared" si="139"/>
        <v>0</v>
      </c>
    </row>
    <row r="4452" spans="1:60" ht="87" x14ac:dyDescent="0.35">
      <c r="A4452" s="2" t="s">
        <v>6202</v>
      </c>
      <c r="B4452" s="2" t="s">
        <v>6203</v>
      </c>
      <c r="C4452" s="2" t="s">
        <v>43339</v>
      </c>
      <c r="D4452" s="2" t="s">
        <v>43340</v>
      </c>
      <c r="E4452" s="2" t="s">
        <v>43341</v>
      </c>
      <c r="G4452" s="3" t="s">
        <v>64</v>
      </c>
      <c r="I4452" s="3" t="s">
        <v>64</v>
      </c>
      <c r="J4452" s="3" t="s">
        <v>64</v>
      </c>
      <c r="K4452" s="3" t="s">
        <v>65</v>
      </c>
      <c r="L4452" s="2" t="s">
        <v>43342</v>
      </c>
      <c r="M4452" s="2" t="s">
        <v>43343</v>
      </c>
      <c r="N4452" s="3" t="s">
        <v>1938</v>
      </c>
      <c r="P4452" s="3" t="s">
        <v>102</v>
      </c>
      <c r="R4452" s="3" t="s">
        <v>70</v>
      </c>
      <c r="S4452" s="4">
        <v>6</v>
      </c>
      <c r="T4452" s="4">
        <v>6</v>
      </c>
      <c r="U4452" s="5" t="s">
        <v>33130</v>
      </c>
      <c r="V4452" s="5" t="s">
        <v>33130</v>
      </c>
      <c r="W4452" s="5" t="s">
        <v>72</v>
      </c>
      <c r="X4452" s="5" t="s">
        <v>72</v>
      </c>
      <c r="Y4452" s="4">
        <v>484</v>
      </c>
      <c r="Z4452" s="4">
        <v>24</v>
      </c>
      <c r="AA4452" s="4">
        <v>27</v>
      </c>
      <c r="AB4452" s="4">
        <v>2</v>
      </c>
      <c r="AC4452" s="4">
        <v>4</v>
      </c>
      <c r="AD4452" s="4">
        <v>117</v>
      </c>
      <c r="AE4452" s="4">
        <v>119</v>
      </c>
      <c r="AF4452" s="4">
        <v>1</v>
      </c>
      <c r="AG4452" s="4">
        <v>3</v>
      </c>
      <c r="AH4452" s="4">
        <v>102</v>
      </c>
      <c r="AI4452" s="4">
        <v>103</v>
      </c>
      <c r="AJ4452" s="4">
        <v>15</v>
      </c>
      <c r="AK4452" s="4">
        <v>17</v>
      </c>
      <c r="AL4452" s="4">
        <v>58</v>
      </c>
      <c r="AM4452" s="4">
        <v>58</v>
      </c>
      <c r="AN4452" s="4">
        <v>0</v>
      </c>
      <c r="AO4452" s="4">
        <v>0</v>
      </c>
      <c r="AP4452" s="4">
        <v>19</v>
      </c>
      <c r="AQ4452" s="4">
        <v>21</v>
      </c>
      <c r="AR4452" s="3" t="s">
        <v>64</v>
      </c>
      <c r="AS4452" s="3" t="s">
        <v>64</v>
      </c>
      <c r="AT4452" s="3" t="s">
        <v>64</v>
      </c>
      <c r="AV4452" s="6" t="str">
        <f>HYPERLINK("http://mcgill.on.worldcat.org/oclc/21764095","Catalog Record")</f>
        <v>Catalog Record</v>
      </c>
      <c r="AW4452" s="6" t="str">
        <f>HYPERLINK("http://www.worldcat.org/oclc/21764095","WorldCat Record")</f>
        <v>WorldCat Record</v>
      </c>
      <c r="AX4452" s="3" t="s">
        <v>43344</v>
      </c>
      <c r="AY4452" s="3" t="s">
        <v>43345</v>
      </c>
      <c r="AZ4452" s="3" t="s">
        <v>43346</v>
      </c>
      <c r="BA4452" s="3" t="s">
        <v>43346</v>
      </c>
      <c r="BB4452" s="3" t="s">
        <v>43347</v>
      </c>
      <c r="BC4452" s="3" t="s">
        <v>77</v>
      </c>
      <c r="BD4452" s="3" t="s">
        <v>78</v>
      </c>
      <c r="BE4452" s="3" t="s">
        <v>43348</v>
      </c>
      <c r="BF4452" s="3" t="s">
        <v>43347</v>
      </c>
      <c r="BG4452" s="3" t="s">
        <v>43349</v>
      </c>
      <c r="BH4452">
        <f t="shared" si="139"/>
        <v>0</v>
      </c>
    </row>
    <row r="4453" spans="1:60" ht="72.5" x14ac:dyDescent="0.35">
      <c r="A4453" s="2" t="s">
        <v>59</v>
      </c>
      <c r="B4453" s="2" t="s">
        <v>1025</v>
      </c>
      <c r="C4453" s="2" t="s">
        <v>43350</v>
      </c>
      <c r="D4453" s="2" t="s">
        <v>43351</v>
      </c>
      <c r="E4453" s="2" t="s">
        <v>43352</v>
      </c>
      <c r="G4453" s="3" t="s">
        <v>64</v>
      </c>
      <c r="I4453" s="3" t="s">
        <v>64</v>
      </c>
      <c r="J4453" s="3" t="s">
        <v>64</v>
      </c>
      <c r="K4453" s="3" t="s">
        <v>65</v>
      </c>
      <c r="M4453" s="2" t="s">
        <v>43353</v>
      </c>
      <c r="N4453" s="3" t="s">
        <v>898</v>
      </c>
      <c r="O4453" s="2" t="s">
        <v>2149</v>
      </c>
      <c r="P4453" s="3" t="s">
        <v>102</v>
      </c>
      <c r="Q4453" s="2" t="s">
        <v>43354</v>
      </c>
      <c r="R4453" s="3" t="s">
        <v>70</v>
      </c>
      <c r="S4453" s="4">
        <v>2</v>
      </c>
      <c r="T4453" s="4">
        <v>2</v>
      </c>
      <c r="U4453" s="5" t="s">
        <v>3493</v>
      </c>
      <c r="V4453" s="5" t="s">
        <v>3493</v>
      </c>
      <c r="W4453" s="5" t="s">
        <v>72</v>
      </c>
      <c r="X4453" s="5" t="s">
        <v>72</v>
      </c>
      <c r="Y4453" s="4">
        <v>315</v>
      </c>
      <c r="Z4453" s="4">
        <v>18</v>
      </c>
      <c r="AA4453" s="4">
        <v>27</v>
      </c>
      <c r="AB4453" s="4">
        <v>2</v>
      </c>
      <c r="AC4453" s="4">
        <v>4</v>
      </c>
      <c r="AD4453" s="4">
        <v>79</v>
      </c>
      <c r="AE4453" s="4">
        <v>103</v>
      </c>
      <c r="AF4453" s="4">
        <v>1</v>
      </c>
      <c r="AG4453" s="4">
        <v>3</v>
      </c>
      <c r="AH4453" s="4">
        <v>70</v>
      </c>
      <c r="AI4453" s="4">
        <v>90</v>
      </c>
      <c r="AJ4453" s="4">
        <v>12</v>
      </c>
      <c r="AK4453" s="4">
        <v>17</v>
      </c>
      <c r="AL4453" s="4">
        <v>45</v>
      </c>
      <c r="AM4453" s="4">
        <v>53</v>
      </c>
      <c r="AN4453" s="4">
        <v>0</v>
      </c>
      <c r="AO4453" s="4">
        <v>0</v>
      </c>
      <c r="AP4453" s="4">
        <v>14</v>
      </c>
      <c r="AQ4453" s="4">
        <v>21</v>
      </c>
      <c r="AR4453" s="3" t="s">
        <v>64</v>
      </c>
      <c r="AS4453" s="3" t="s">
        <v>64</v>
      </c>
      <c r="AT4453" s="3" t="s">
        <v>128</v>
      </c>
      <c r="AU4453" s="6" t="str">
        <f>HYPERLINK("http://catalog.hathitrust.org/Record/000695909","HathiTrust Record")</f>
        <v>HathiTrust Record</v>
      </c>
      <c r="AV4453" s="6" t="str">
        <f>HYPERLINK("http://mcgill.on.worldcat.org/oclc/6700162","Catalog Record")</f>
        <v>Catalog Record</v>
      </c>
      <c r="AW4453" s="6" t="str">
        <f>HYPERLINK("http://www.worldcat.org/oclc/6700162","WorldCat Record")</f>
        <v>WorldCat Record</v>
      </c>
      <c r="AX4453" s="3" t="s">
        <v>43355</v>
      </c>
      <c r="AY4453" s="3" t="s">
        <v>43356</v>
      </c>
      <c r="AZ4453" s="3" t="s">
        <v>43357</v>
      </c>
      <c r="BA4453" s="3" t="s">
        <v>43357</v>
      </c>
      <c r="BB4453" s="3" t="s">
        <v>43358</v>
      </c>
      <c r="BC4453" s="3" t="s">
        <v>77</v>
      </c>
      <c r="BD4453" s="3" t="s">
        <v>78</v>
      </c>
      <c r="BE4453" s="3" t="s">
        <v>43359</v>
      </c>
      <c r="BF4453" s="3" t="s">
        <v>43358</v>
      </c>
      <c r="BG4453" s="3" t="s">
        <v>43360</v>
      </c>
      <c r="BH4453">
        <f t="shared" si="139"/>
        <v>0</v>
      </c>
    </row>
    <row r="4454" spans="1:60" ht="101.5" x14ac:dyDescent="0.35">
      <c r="A4454" s="2" t="s">
        <v>59</v>
      </c>
      <c r="B4454" s="2" t="s">
        <v>7447</v>
      </c>
      <c r="C4454" s="2" t="s">
        <v>43361</v>
      </c>
      <c r="D4454" s="2" t="s">
        <v>43362</v>
      </c>
      <c r="E4454" s="2" t="s">
        <v>43363</v>
      </c>
      <c r="G4454" s="3" t="s">
        <v>64</v>
      </c>
      <c r="I4454" s="3" t="s">
        <v>128</v>
      </c>
      <c r="J4454" s="3" t="s">
        <v>64</v>
      </c>
      <c r="K4454" s="3" t="s">
        <v>65</v>
      </c>
      <c r="L4454" s="2" t="s">
        <v>43364</v>
      </c>
      <c r="M4454" s="2" t="s">
        <v>43365</v>
      </c>
      <c r="N4454" s="3" t="s">
        <v>421</v>
      </c>
      <c r="P4454" s="3" t="s">
        <v>102</v>
      </c>
      <c r="Q4454" s="2" t="s">
        <v>43366</v>
      </c>
      <c r="R4454" s="3" t="s">
        <v>70</v>
      </c>
      <c r="S4454" s="4">
        <v>1</v>
      </c>
      <c r="T4454" s="4">
        <v>3</v>
      </c>
      <c r="U4454" s="5" t="s">
        <v>43367</v>
      </c>
      <c r="V4454" s="5" t="s">
        <v>37133</v>
      </c>
      <c r="W4454" s="5" t="s">
        <v>72</v>
      </c>
      <c r="X4454" s="5" t="s">
        <v>72</v>
      </c>
      <c r="Y4454" s="4">
        <v>146</v>
      </c>
      <c r="Z4454" s="4">
        <v>14</v>
      </c>
      <c r="AA4454" s="4">
        <v>18</v>
      </c>
      <c r="AB4454" s="4">
        <v>3</v>
      </c>
      <c r="AC4454" s="4">
        <v>7</v>
      </c>
      <c r="AD4454" s="4">
        <v>72</v>
      </c>
      <c r="AE4454" s="4">
        <v>75</v>
      </c>
      <c r="AF4454" s="4">
        <v>1</v>
      </c>
      <c r="AG4454" s="4">
        <v>4</v>
      </c>
      <c r="AH4454" s="4">
        <v>66</v>
      </c>
      <c r="AI4454" s="4">
        <v>67</v>
      </c>
      <c r="AJ4454" s="4">
        <v>9</v>
      </c>
      <c r="AK4454" s="4">
        <v>12</v>
      </c>
      <c r="AL4454" s="4">
        <v>41</v>
      </c>
      <c r="AM4454" s="4">
        <v>41</v>
      </c>
      <c r="AN4454" s="4">
        <v>0</v>
      </c>
      <c r="AO4454" s="4">
        <v>0</v>
      </c>
      <c r="AP4454" s="4">
        <v>8</v>
      </c>
      <c r="AQ4454" s="4">
        <v>10</v>
      </c>
      <c r="AR4454" s="3" t="s">
        <v>128</v>
      </c>
      <c r="AS4454" s="3" t="s">
        <v>64</v>
      </c>
      <c r="AT4454" s="3" t="s">
        <v>128</v>
      </c>
      <c r="AU4454" s="6" t="str">
        <f>HYPERLINK("http://catalog.hathitrust.org/Record/003185009","HathiTrust Record")</f>
        <v>HathiTrust Record</v>
      </c>
      <c r="AV4454" s="6" t="str">
        <f>HYPERLINK("http://mcgill.on.worldcat.org/oclc/36973706","Catalog Record")</f>
        <v>Catalog Record</v>
      </c>
      <c r="AW4454" s="6" t="str">
        <f>HYPERLINK("http://www.worldcat.org/oclc/36973706","WorldCat Record")</f>
        <v>WorldCat Record</v>
      </c>
      <c r="AX4454" s="3" t="s">
        <v>43368</v>
      </c>
      <c r="AY4454" s="3" t="s">
        <v>43369</v>
      </c>
      <c r="AZ4454" s="3" t="s">
        <v>43370</v>
      </c>
      <c r="BA4454" s="3" t="s">
        <v>43370</v>
      </c>
      <c r="BB4454" s="3" t="s">
        <v>43371</v>
      </c>
      <c r="BC4454" s="3" t="s">
        <v>77</v>
      </c>
      <c r="BD4454" s="3" t="s">
        <v>78</v>
      </c>
      <c r="BE4454" s="3" t="s">
        <v>43372</v>
      </c>
      <c r="BF4454" s="3" t="s">
        <v>43371</v>
      </c>
      <c r="BG4454" s="3" t="s">
        <v>43373</v>
      </c>
      <c r="BH4454">
        <f t="shared" si="139"/>
        <v>0</v>
      </c>
    </row>
    <row r="4455" spans="1:60" ht="72.5" x14ac:dyDescent="0.35">
      <c r="A4455" s="2" t="s">
        <v>59</v>
      </c>
      <c r="B4455" s="2" t="s">
        <v>1025</v>
      </c>
      <c r="C4455" s="2" t="s">
        <v>43374</v>
      </c>
      <c r="D4455" s="2" t="s">
        <v>43375</v>
      </c>
      <c r="E4455" s="2" t="s">
        <v>43376</v>
      </c>
      <c r="G4455" s="3" t="s">
        <v>64</v>
      </c>
      <c r="I4455" s="3" t="s">
        <v>128</v>
      </c>
      <c r="J4455" s="3" t="s">
        <v>64</v>
      </c>
      <c r="K4455" s="3" t="s">
        <v>65</v>
      </c>
      <c r="L4455" s="2" t="s">
        <v>43377</v>
      </c>
      <c r="M4455" s="2" t="s">
        <v>43378</v>
      </c>
      <c r="N4455" s="3" t="s">
        <v>7191</v>
      </c>
      <c r="O4455" s="2" t="s">
        <v>43379</v>
      </c>
      <c r="P4455" s="3" t="s">
        <v>102</v>
      </c>
      <c r="Q4455" s="2" t="s">
        <v>43380</v>
      </c>
      <c r="R4455" s="3" t="s">
        <v>70</v>
      </c>
      <c r="S4455" s="4">
        <v>2</v>
      </c>
      <c r="T4455" s="4">
        <v>2</v>
      </c>
      <c r="U4455" s="5" t="s">
        <v>43381</v>
      </c>
      <c r="V4455" s="5" t="s">
        <v>43381</v>
      </c>
      <c r="W4455" s="5" t="s">
        <v>72</v>
      </c>
      <c r="X4455" s="5" t="s">
        <v>72</v>
      </c>
      <c r="Y4455" s="4">
        <v>34</v>
      </c>
      <c r="Z4455" s="4">
        <v>7</v>
      </c>
      <c r="AA4455" s="4">
        <v>13</v>
      </c>
      <c r="AB4455" s="4">
        <v>2</v>
      </c>
      <c r="AC4455" s="4">
        <v>4</v>
      </c>
      <c r="AD4455" s="4">
        <v>21</v>
      </c>
      <c r="AE4455" s="4">
        <v>24</v>
      </c>
      <c r="AF4455" s="4">
        <v>0</v>
      </c>
      <c r="AG4455" s="4">
        <v>1</v>
      </c>
      <c r="AH4455" s="4">
        <v>20</v>
      </c>
      <c r="AI4455" s="4">
        <v>22</v>
      </c>
      <c r="AJ4455" s="4">
        <v>3</v>
      </c>
      <c r="AK4455" s="4">
        <v>6</v>
      </c>
      <c r="AL4455" s="4">
        <v>14</v>
      </c>
      <c r="AM4455" s="4">
        <v>15</v>
      </c>
      <c r="AN4455" s="4">
        <v>0</v>
      </c>
      <c r="AO4455" s="4">
        <v>0</v>
      </c>
      <c r="AP4455" s="4">
        <v>2</v>
      </c>
      <c r="AQ4455" s="4">
        <v>4</v>
      </c>
      <c r="AR4455" s="3" t="s">
        <v>128</v>
      </c>
      <c r="AS4455" s="3" t="s">
        <v>64</v>
      </c>
      <c r="AT4455" s="3" t="s">
        <v>64</v>
      </c>
      <c r="AU4455" s="6" t="str">
        <f>HYPERLINK("http://catalog.hathitrust.org/Record/001172133","HathiTrust Record")</f>
        <v>HathiTrust Record</v>
      </c>
      <c r="AV4455" s="6" t="str">
        <f>HYPERLINK("http://mcgill.on.worldcat.org/oclc/3677860","Catalog Record")</f>
        <v>Catalog Record</v>
      </c>
      <c r="AW4455" s="6" t="str">
        <f>HYPERLINK("http://www.worldcat.org/oclc/3677860","WorldCat Record")</f>
        <v>WorldCat Record</v>
      </c>
      <c r="AX4455" s="3" t="s">
        <v>43382</v>
      </c>
      <c r="AY4455" s="3" t="s">
        <v>43383</v>
      </c>
      <c r="AZ4455" s="3" t="s">
        <v>43384</v>
      </c>
      <c r="BA4455" s="3" t="s">
        <v>43384</v>
      </c>
      <c r="BB4455" s="3" t="s">
        <v>43385</v>
      </c>
      <c r="BC4455" s="3" t="s">
        <v>77</v>
      </c>
      <c r="BD4455" s="3" t="s">
        <v>78</v>
      </c>
      <c r="BF4455" s="3" t="s">
        <v>43385</v>
      </c>
      <c r="BG4455" s="3" t="s">
        <v>43386</v>
      </c>
      <c r="BH4455">
        <f t="shared" si="139"/>
        <v>0</v>
      </c>
    </row>
    <row r="4456" spans="1:60" ht="101.5" x14ac:dyDescent="0.35">
      <c r="A4456" s="2" t="s">
        <v>59</v>
      </c>
      <c r="B4456" s="2" t="s">
        <v>7447</v>
      </c>
      <c r="C4456" s="2" t="s">
        <v>43374</v>
      </c>
      <c r="D4456" s="2" t="s">
        <v>43375</v>
      </c>
      <c r="E4456" s="2" t="s">
        <v>43376</v>
      </c>
      <c r="G4456" s="3" t="s">
        <v>64</v>
      </c>
      <c r="I4456" s="3" t="s">
        <v>128</v>
      </c>
      <c r="J4456" s="3" t="s">
        <v>64</v>
      </c>
      <c r="K4456" s="3" t="s">
        <v>65</v>
      </c>
      <c r="L4456" s="2" t="s">
        <v>43377</v>
      </c>
      <c r="M4456" s="2" t="s">
        <v>43378</v>
      </c>
      <c r="N4456" s="3" t="s">
        <v>7191</v>
      </c>
      <c r="O4456" s="2" t="s">
        <v>43379</v>
      </c>
      <c r="P4456" s="3" t="s">
        <v>102</v>
      </c>
      <c r="Q4456" s="2" t="s">
        <v>43380</v>
      </c>
      <c r="R4456" s="3" t="s">
        <v>70</v>
      </c>
      <c r="S4456" s="4">
        <v>0</v>
      </c>
      <c r="T4456" s="4">
        <v>2</v>
      </c>
      <c r="V4456" s="5" t="s">
        <v>43381</v>
      </c>
      <c r="W4456" s="5" t="s">
        <v>72</v>
      </c>
      <c r="X4456" s="5" t="s">
        <v>72</v>
      </c>
      <c r="Y4456" s="4">
        <v>34</v>
      </c>
      <c r="Z4456" s="4">
        <v>7</v>
      </c>
      <c r="AA4456" s="4">
        <v>13</v>
      </c>
      <c r="AB4456" s="4">
        <v>2</v>
      </c>
      <c r="AC4456" s="4">
        <v>4</v>
      </c>
      <c r="AD4456" s="4">
        <v>21</v>
      </c>
      <c r="AE4456" s="4">
        <v>24</v>
      </c>
      <c r="AF4456" s="4">
        <v>0</v>
      </c>
      <c r="AG4456" s="4">
        <v>1</v>
      </c>
      <c r="AH4456" s="4">
        <v>20</v>
      </c>
      <c r="AI4456" s="4">
        <v>22</v>
      </c>
      <c r="AJ4456" s="4">
        <v>3</v>
      </c>
      <c r="AK4456" s="4">
        <v>6</v>
      </c>
      <c r="AL4456" s="4">
        <v>14</v>
      </c>
      <c r="AM4456" s="4">
        <v>15</v>
      </c>
      <c r="AN4456" s="4">
        <v>0</v>
      </c>
      <c r="AO4456" s="4">
        <v>0</v>
      </c>
      <c r="AP4456" s="4">
        <v>2</v>
      </c>
      <c r="AQ4456" s="4">
        <v>4</v>
      </c>
      <c r="AR4456" s="3" t="s">
        <v>128</v>
      </c>
      <c r="AS4456" s="3" t="s">
        <v>64</v>
      </c>
      <c r="AT4456" s="3" t="s">
        <v>64</v>
      </c>
      <c r="AU4456" s="6" t="str">
        <f>HYPERLINK("http://catalog.hathitrust.org/Record/001172133","HathiTrust Record")</f>
        <v>HathiTrust Record</v>
      </c>
      <c r="AV4456" s="6" t="str">
        <f>HYPERLINK("http://mcgill.on.worldcat.org/oclc/3677860","Catalog Record")</f>
        <v>Catalog Record</v>
      </c>
      <c r="AW4456" s="6" t="str">
        <f>HYPERLINK("http://www.worldcat.org/oclc/3677860","WorldCat Record")</f>
        <v>WorldCat Record</v>
      </c>
      <c r="AX4456" s="3" t="s">
        <v>43382</v>
      </c>
      <c r="AY4456" s="3" t="s">
        <v>43383</v>
      </c>
      <c r="AZ4456" s="3" t="s">
        <v>43384</v>
      </c>
      <c r="BA4456" s="3" t="s">
        <v>43384</v>
      </c>
      <c r="BB4456" s="3" t="s">
        <v>43387</v>
      </c>
      <c r="BC4456" s="3" t="s">
        <v>77</v>
      </c>
      <c r="BD4456" s="3" t="s">
        <v>78</v>
      </c>
      <c r="BF4456" s="3" t="s">
        <v>43387</v>
      </c>
      <c r="BG4456" s="3" t="s">
        <v>43388</v>
      </c>
      <c r="BH4456">
        <f t="shared" si="139"/>
        <v>0</v>
      </c>
    </row>
    <row r="4457" spans="1:60" ht="101.5" x14ac:dyDescent="0.35">
      <c r="A4457" s="2" t="s">
        <v>59</v>
      </c>
      <c r="B4457" s="2" t="s">
        <v>7447</v>
      </c>
      <c r="C4457" s="2" t="s">
        <v>43389</v>
      </c>
      <c r="D4457" s="2" t="s">
        <v>43390</v>
      </c>
      <c r="E4457" s="2" t="s">
        <v>43391</v>
      </c>
      <c r="G4457" s="3" t="s">
        <v>64</v>
      </c>
      <c r="I4457" s="3" t="s">
        <v>128</v>
      </c>
      <c r="J4457" s="3" t="s">
        <v>64</v>
      </c>
      <c r="K4457" s="3" t="s">
        <v>65</v>
      </c>
      <c r="M4457" s="2" t="s">
        <v>43392</v>
      </c>
      <c r="N4457" s="3" t="s">
        <v>3428</v>
      </c>
      <c r="P4457" s="3" t="s">
        <v>102</v>
      </c>
      <c r="Q4457" s="2" t="s">
        <v>43393</v>
      </c>
      <c r="R4457" s="3" t="s">
        <v>70</v>
      </c>
      <c r="S4457" s="4">
        <v>2</v>
      </c>
      <c r="T4457" s="4">
        <v>2</v>
      </c>
      <c r="U4457" s="5" t="s">
        <v>8245</v>
      </c>
      <c r="V4457" s="5" t="s">
        <v>8245</v>
      </c>
      <c r="W4457" s="5" t="s">
        <v>72</v>
      </c>
      <c r="X4457" s="5" t="s">
        <v>72</v>
      </c>
      <c r="Y4457" s="4">
        <v>113</v>
      </c>
      <c r="Z4457" s="4">
        <v>15</v>
      </c>
      <c r="AA4457" s="4">
        <v>18</v>
      </c>
      <c r="AB4457" s="4">
        <v>2</v>
      </c>
      <c r="AC4457" s="4">
        <v>5</v>
      </c>
      <c r="AD4457" s="4">
        <v>70</v>
      </c>
      <c r="AE4457" s="4">
        <v>72</v>
      </c>
      <c r="AF4457" s="4">
        <v>0</v>
      </c>
      <c r="AG4457" s="4">
        <v>2</v>
      </c>
      <c r="AH4457" s="4">
        <v>62</v>
      </c>
      <c r="AI4457" s="4">
        <v>63</v>
      </c>
      <c r="AJ4457" s="4">
        <v>9</v>
      </c>
      <c r="AK4457" s="4">
        <v>11</v>
      </c>
      <c r="AL4457" s="4">
        <v>39</v>
      </c>
      <c r="AM4457" s="4">
        <v>39</v>
      </c>
      <c r="AN4457" s="4">
        <v>0</v>
      </c>
      <c r="AO4457" s="4">
        <v>0</v>
      </c>
      <c r="AP4457" s="4">
        <v>10</v>
      </c>
      <c r="AQ4457" s="4">
        <v>11</v>
      </c>
      <c r="AR4457" s="3" t="s">
        <v>128</v>
      </c>
      <c r="AS4457" s="3" t="s">
        <v>64</v>
      </c>
      <c r="AT4457" s="3" t="s">
        <v>64</v>
      </c>
      <c r="AV4457" s="6" t="str">
        <f>HYPERLINK("http://mcgill.on.worldcat.org/oclc/34869972","Catalog Record")</f>
        <v>Catalog Record</v>
      </c>
      <c r="AW4457" s="6" t="str">
        <f>HYPERLINK("http://www.worldcat.org/oclc/34869972","WorldCat Record")</f>
        <v>WorldCat Record</v>
      </c>
      <c r="AX4457" s="3" t="s">
        <v>43394</v>
      </c>
      <c r="AY4457" s="3" t="s">
        <v>43395</v>
      </c>
      <c r="AZ4457" s="3" t="s">
        <v>43396</v>
      </c>
      <c r="BA4457" s="3" t="s">
        <v>43396</v>
      </c>
      <c r="BB4457" s="3" t="s">
        <v>43397</v>
      </c>
      <c r="BC4457" s="3" t="s">
        <v>77</v>
      </c>
      <c r="BD4457" s="3" t="s">
        <v>78</v>
      </c>
      <c r="BE4457" s="3" t="s">
        <v>43398</v>
      </c>
      <c r="BF4457" s="3" t="s">
        <v>43397</v>
      </c>
      <c r="BG4457" s="3" t="s">
        <v>43399</v>
      </c>
      <c r="BH4457">
        <f t="shared" si="139"/>
        <v>0</v>
      </c>
    </row>
    <row r="4458" spans="1:60" ht="58" x14ac:dyDescent="0.35">
      <c r="A4458" s="2" t="s">
        <v>6202</v>
      </c>
      <c r="B4458" s="2" t="s">
        <v>6203</v>
      </c>
      <c r="C4458" s="2" t="s">
        <v>43400</v>
      </c>
      <c r="D4458" s="2" t="s">
        <v>43401</v>
      </c>
      <c r="E4458" s="2" t="s">
        <v>43402</v>
      </c>
      <c r="G4458" s="3" t="s">
        <v>64</v>
      </c>
      <c r="I4458" s="3" t="s">
        <v>64</v>
      </c>
      <c r="J4458" s="3" t="s">
        <v>64</v>
      </c>
      <c r="K4458" s="3" t="s">
        <v>65</v>
      </c>
      <c r="L4458" s="2" t="s">
        <v>43403</v>
      </c>
      <c r="M4458" s="2" t="s">
        <v>43404</v>
      </c>
      <c r="N4458" s="3" t="s">
        <v>874</v>
      </c>
      <c r="P4458" s="3" t="s">
        <v>102</v>
      </c>
      <c r="Q4458" s="2" t="s">
        <v>43405</v>
      </c>
      <c r="R4458" s="3" t="s">
        <v>70</v>
      </c>
      <c r="S4458" s="4">
        <v>1</v>
      </c>
      <c r="T4458" s="4">
        <v>1</v>
      </c>
      <c r="U4458" s="5" t="s">
        <v>38565</v>
      </c>
      <c r="V4458" s="5" t="s">
        <v>38565</v>
      </c>
      <c r="W4458" s="5" t="s">
        <v>72</v>
      </c>
      <c r="X4458" s="5" t="s">
        <v>72</v>
      </c>
      <c r="Y4458" s="4">
        <v>391</v>
      </c>
      <c r="Z4458" s="4">
        <v>23</v>
      </c>
      <c r="AA4458" s="4">
        <v>27</v>
      </c>
      <c r="AB4458" s="4">
        <v>2</v>
      </c>
      <c r="AC4458" s="4">
        <v>5</v>
      </c>
      <c r="AD4458" s="4">
        <v>108</v>
      </c>
      <c r="AE4458" s="4">
        <v>113</v>
      </c>
      <c r="AF4458" s="4">
        <v>0</v>
      </c>
      <c r="AG4458" s="4">
        <v>3</v>
      </c>
      <c r="AH4458" s="4">
        <v>95</v>
      </c>
      <c r="AI4458" s="4">
        <v>98</v>
      </c>
      <c r="AJ4458" s="4">
        <v>15</v>
      </c>
      <c r="AK4458" s="4">
        <v>19</v>
      </c>
      <c r="AL4458" s="4">
        <v>52</v>
      </c>
      <c r="AM4458" s="4">
        <v>52</v>
      </c>
      <c r="AN4458" s="4">
        <v>0</v>
      </c>
      <c r="AO4458" s="4">
        <v>0</v>
      </c>
      <c r="AP4458" s="4">
        <v>18</v>
      </c>
      <c r="AQ4458" s="4">
        <v>21</v>
      </c>
      <c r="AR4458" s="3" t="s">
        <v>64</v>
      </c>
      <c r="AS4458" s="3" t="s">
        <v>64</v>
      </c>
      <c r="AT4458" s="3" t="s">
        <v>128</v>
      </c>
      <c r="AU4458" s="6" t="str">
        <f>HYPERLINK("http://catalog.hathitrust.org/Record/000099576","HathiTrust Record")</f>
        <v>HathiTrust Record</v>
      </c>
      <c r="AV4458" s="6" t="str">
        <f>HYPERLINK("http://mcgill.on.worldcat.org/oclc/6625856","Catalog Record")</f>
        <v>Catalog Record</v>
      </c>
      <c r="AW4458" s="6" t="str">
        <f>HYPERLINK("http://www.worldcat.org/oclc/6625856","WorldCat Record")</f>
        <v>WorldCat Record</v>
      </c>
      <c r="AX4458" s="3" t="s">
        <v>43406</v>
      </c>
      <c r="AY4458" s="3" t="s">
        <v>43407</v>
      </c>
      <c r="AZ4458" s="3" t="s">
        <v>43408</v>
      </c>
      <c r="BA4458" s="3" t="s">
        <v>43408</v>
      </c>
      <c r="BB4458" s="3" t="s">
        <v>43409</v>
      </c>
      <c r="BC4458" s="3" t="s">
        <v>77</v>
      </c>
      <c r="BD4458" s="3" t="s">
        <v>40037</v>
      </c>
      <c r="BE4458" s="3" t="s">
        <v>43410</v>
      </c>
      <c r="BF4458" s="3" t="s">
        <v>43409</v>
      </c>
      <c r="BG4458" s="3" t="s">
        <v>43411</v>
      </c>
      <c r="BH4458">
        <f t="shared" si="139"/>
        <v>0</v>
      </c>
    </row>
    <row r="4459" spans="1:60" ht="116" x14ac:dyDescent="0.35">
      <c r="A4459" s="2" t="s">
        <v>59</v>
      </c>
      <c r="B4459" s="2" t="s">
        <v>1183</v>
      </c>
      <c r="C4459" s="2" t="s">
        <v>43412</v>
      </c>
      <c r="D4459" s="2" t="s">
        <v>43413</v>
      </c>
      <c r="E4459" s="2" t="s">
        <v>43414</v>
      </c>
      <c r="G4459" s="3" t="s">
        <v>64</v>
      </c>
      <c r="I4459" s="3" t="s">
        <v>64</v>
      </c>
      <c r="J4459" s="3" t="s">
        <v>64</v>
      </c>
      <c r="K4459" s="3" t="s">
        <v>65</v>
      </c>
      <c r="L4459" s="2" t="s">
        <v>43415</v>
      </c>
      <c r="M4459" s="2" t="s">
        <v>43416</v>
      </c>
      <c r="N4459" s="3" t="s">
        <v>979</v>
      </c>
      <c r="O4459" s="2" t="s">
        <v>1189</v>
      </c>
      <c r="P4459" s="3" t="s">
        <v>1190</v>
      </c>
      <c r="R4459" s="3" t="s">
        <v>70</v>
      </c>
      <c r="S4459" s="4">
        <v>1</v>
      </c>
      <c r="T4459" s="4">
        <v>1</v>
      </c>
      <c r="U4459" s="5" t="s">
        <v>43417</v>
      </c>
      <c r="V4459" s="5" t="s">
        <v>43417</v>
      </c>
      <c r="W4459" s="5" t="s">
        <v>72</v>
      </c>
      <c r="X4459" s="5" t="s">
        <v>72</v>
      </c>
      <c r="Y4459" s="4">
        <v>48</v>
      </c>
      <c r="Z4459" s="4">
        <v>4</v>
      </c>
      <c r="AA4459" s="4">
        <v>4</v>
      </c>
      <c r="AB4459" s="4">
        <v>1</v>
      </c>
      <c r="AC4459" s="4">
        <v>1</v>
      </c>
      <c r="AD4459" s="4">
        <v>24</v>
      </c>
      <c r="AE4459" s="4">
        <v>24</v>
      </c>
      <c r="AF4459" s="4">
        <v>0</v>
      </c>
      <c r="AG4459" s="4">
        <v>0</v>
      </c>
      <c r="AH4459" s="4">
        <v>22</v>
      </c>
      <c r="AI4459" s="4">
        <v>22</v>
      </c>
      <c r="AJ4459" s="4">
        <v>1</v>
      </c>
      <c r="AK4459" s="4">
        <v>1</v>
      </c>
      <c r="AL4459" s="4">
        <v>21</v>
      </c>
      <c r="AM4459" s="4">
        <v>21</v>
      </c>
      <c r="AN4459" s="4">
        <v>0</v>
      </c>
      <c r="AO4459" s="4">
        <v>0</v>
      </c>
      <c r="AP4459" s="4">
        <v>1</v>
      </c>
      <c r="AQ4459" s="4">
        <v>1</v>
      </c>
      <c r="AR4459" s="3" t="s">
        <v>64</v>
      </c>
      <c r="AS4459" s="3" t="s">
        <v>64</v>
      </c>
      <c r="AT4459" s="3" t="s">
        <v>128</v>
      </c>
      <c r="AU4459" s="6" t="str">
        <f>HYPERLINK("http://catalog.hathitrust.org/Record/008020010","HathiTrust Record")</f>
        <v>HathiTrust Record</v>
      </c>
      <c r="AV4459" s="6" t="str">
        <f>HYPERLINK("http://mcgill.on.worldcat.org/oclc/46729090","Catalog Record")</f>
        <v>Catalog Record</v>
      </c>
      <c r="AW4459" s="6" t="str">
        <f>HYPERLINK("http://www.worldcat.org/oclc/46729090","WorldCat Record")</f>
        <v>WorldCat Record</v>
      </c>
      <c r="AX4459" s="3" t="s">
        <v>43418</v>
      </c>
      <c r="AY4459" s="3" t="s">
        <v>43419</v>
      </c>
      <c r="AZ4459" s="3" t="s">
        <v>43420</v>
      </c>
      <c r="BA4459" s="3" t="s">
        <v>43420</v>
      </c>
      <c r="BB4459" s="3" t="s">
        <v>43421</v>
      </c>
      <c r="BC4459" s="3" t="s">
        <v>77</v>
      </c>
      <c r="BD4459" s="3" t="s">
        <v>78</v>
      </c>
      <c r="BE4459" s="3" t="s">
        <v>43422</v>
      </c>
      <c r="BF4459" s="3" t="s">
        <v>43421</v>
      </c>
      <c r="BG4459" s="3" t="s">
        <v>43423</v>
      </c>
      <c r="BH4459">
        <f t="shared" si="139"/>
        <v>0</v>
      </c>
    </row>
    <row r="4460" spans="1:60" ht="58" x14ac:dyDescent="0.35">
      <c r="A4460" s="2" t="s">
        <v>6202</v>
      </c>
      <c r="B4460" s="2" t="s">
        <v>6203</v>
      </c>
      <c r="C4460" s="2" t="s">
        <v>43424</v>
      </c>
      <c r="D4460" s="2" t="s">
        <v>43425</v>
      </c>
      <c r="E4460" s="2" t="s">
        <v>43426</v>
      </c>
      <c r="G4460" s="3" t="s">
        <v>64</v>
      </c>
      <c r="I4460" s="3" t="s">
        <v>64</v>
      </c>
      <c r="J4460" s="3" t="s">
        <v>64</v>
      </c>
      <c r="K4460" s="3" t="s">
        <v>65</v>
      </c>
      <c r="M4460" s="2" t="s">
        <v>43427</v>
      </c>
      <c r="N4460" s="3" t="s">
        <v>1250</v>
      </c>
      <c r="P4460" s="3" t="s">
        <v>102</v>
      </c>
      <c r="Q4460" s="2" t="s">
        <v>43428</v>
      </c>
      <c r="R4460" s="3" t="s">
        <v>70</v>
      </c>
      <c r="S4460" s="4">
        <v>1</v>
      </c>
      <c r="T4460" s="4">
        <v>1</v>
      </c>
      <c r="U4460" s="5" t="s">
        <v>9368</v>
      </c>
      <c r="V4460" s="5" t="s">
        <v>9368</v>
      </c>
      <c r="W4460" s="5" t="s">
        <v>72</v>
      </c>
      <c r="X4460" s="5" t="s">
        <v>72</v>
      </c>
      <c r="Y4460" s="4">
        <v>214</v>
      </c>
      <c r="Z4460" s="4">
        <v>8</v>
      </c>
      <c r="AA4460" s="4">
        <v>10</v>
      </c>
      <c r="AB4460" s="4">
        <v>1</v>
      </c>
      <c r="AC4460" s="4">
        <v>3</v>
      </c>
      <c r="AD4460" s="4">
        <v>78</v>
      </c>
      <c r="AE4460" s="4">
        <v>80</v>
      </c>
      <c r="AF4460" s="4">
        <v>0</v>
      </c>
      <c r="AG4460" s="4">
        <v>2</v>
      </c>
      <c r="AH4460" s="4">
        <v>74</v>
      </c>
      <c r="AI4460" s="4">
        <v>75</v>
      </c>
      <c r="AJ4460" s="4">
        <v>6</v>
      </c>
      <c r="AK4460" s="4">
        <v>8</v>
      </c>
      <c r="AL4460" s="4">
        <v>44</v>
      </c>
      <c r="AM4460" s="4">
        <v>44</v>
      </c>
      <c r="AN4460" s="4">
        <v>0</v>
      </c>
      <c r="AO4460" s="4">
        <v>0</v>
      </c>
      <c r="AP4460" s="4">
        <v>5</v>
      </c>
      <c r="AQ4460" s="4">
        <v>6</v>
      </c>
      <c r="AR4460" s="3" t="s">
        <v>64</v>
      </c>
      <c r="AS4460" s="3" t="s">
        <v>64</v>
      </c>
      <c r="AT4460" s="3" t="s">
        <v>64</v>
      </c>
      <c r="AV4460" s="6" t="str">
        <f>HYPERLINK("http://mcgill.on.worldcat.org/oclc/30110090","Catalog Record")</f>
        <v>Catalog Record</v>
      </c>
      <c r="AW4460" s="6" t="str">
        <f>HYPERLINK("http://www.worldcat.org/oclc/30110090","WorldCat Record")</f>
        <v>WorldCat Record</v>
      </c>
      <c r="AX4460" s="3" t="s">
        <v>43429</v>
      </c>
      <c r="AY4460" s="3" t="s">
        <v>43430</v>
      </c>
      <c r="AZ4460" s="3" t="s">
        <v>43431</v>
      </c>
      <c r="BA4460" s="3" t="s">
        <v>43431</v>
      </c>
      <c r="BB4460" s="3" t="s">
        <v>43432</v>
      </c>
      <c r="BC4460" s="3" t="s">
        <v>77</v>
      </c>
      <c r="BD4460" s="3" t="s">
        <v>78</v>
      </c>
      <c r="BE4460" s="3" t="s">
        <v>43433</v>
      </c>
      <c r="BF4460" s="3" t="s">
        <v>43432</v>
      </c>
      <c r="BG4460" s="3" t="s">
        <v>43434</v>
      </c>
      <c r="BH4460">
        <f t="shared" si="139"/>
        <v>0</v>
      </c>
    </row>
    <row r="4461" spans="1:60" ht="101.5" x14ac:dyDescent="0.35">
      <c r="A4461" s="2" t="s">
        <v>59</v>
      </c>
      <c r="B4461" s="2" t="s">
        <v>7447</v>
      </c>
      <c r="C4461" s="2" t="s">
        <v>43435</v>
      </c>
      <c r="D4461" s="2" t="s">
        <v>43436</v>
      </c>
      <c r="E4461" s="2" t="s">
        <v>43437</v>
      </c>
      <c r="G4461" s="3" t="s">
        <v>64</v>
      </c>
      <c r="I4461" s="3" t="s">
        <v>64</v>
      </c>
      <c r="J4461" s="3" t="s">
        <v>64</v>
      </c>
      <c r="K4461" s="3" t="s">
        <v>65</v>
      </c>
      <c r="L4461" s="2" t="s">
        <v>43438</v>
      </c>
      <c r="M4461" s="2" t="s">
        <v>43439</v>
      </c>
      <c r="N4461" s="3" t="s">
        <v>1004</v>
      </c>
      <c r="P4461" s="3" t="s">
        <v>102</v>
      </c>
      <c r="Q4461" s="2" t="s">
        <v>43440</v>
      </c>
      <c r="R4461" s="3" t="s">
        <v>70</v>
      </c>
      <c r="S4461" s="4">
        <v>2</v>
      </c>
      <c r="T4461" s="4">
        <v>2</v>
      </c>
      <c r="U4461" s="5" t="s">
        <v>14320</v>
      </c>
      <c r="V4461" s="5" t="s">
        <v>14320</v>
      </c>
      <c r="W4461" s="5" t="s">
        <v>72</v>
      </c>
      <c r="X4461" s="5" t="s">
        <v>72</v>
      </c>
      <c r="Y4461" s="4">
        <v>322</v>
      </c>
      <c r="Z4461" s="4">
        <v>19</v>
      </c>
      <c r="AA4461" s="4">
        <v>22</v>
      </c>
      <c r="AB4461" s="4">
        <v>1</v>
      </c>
      <c r="AC4461" s="4">
        <v>4</v>
      </c>
      <c r="AD4461" s="4">
        <v>107</v>
      </c>
      <c r="AE4461" s="4">
        <v>110</v>
      </c>
      <c r="AF4461" s="4">
        <v>0</v>
      </c>
      <c r="AG4461" s="4">
        <v>3</v>
      </c>
      <c r="AH4461" s="4">
        <v>98</v>
      </c>
      <c r="AI4461" s="4">
        <v>99</v>
      </c>
      <c r="AJ4461" s="4">
        <v>14</v>
      </c>
      <c r="AK4461" s="4">
        <v>17</v>
      </c>
      <c r="AL4461" s="4">
        <v>54</v>
      </c>
      <c r="AM4461" s="4">
        <v>54</v>
      </c>
      <c r="AN4461" s="4">
        <v>0</v>
      </c>
      <c r="AO4461" s="4">
        <v>0</v>
      </c>
      <c r="AP4461" s="4">
        <v>15</v>
      </c>
      <c r="AQ4461" s="4">
        <v>17</v>
      </c>
      <c r="AR4461" s="3" t="s">
        <v>64</v>
      </c>
      <c r="AS4461" s="3" t="s">
        <v>64</v>
      </c>
      <c r="AT4461" s="3" t="s">
        <v>128</v>
      </c>
      <c r="AU4461" s="6" t="str">
        <f>HYPERLINK("http://catalog.hathitrust.org/Record/000274775","HathiTrust Record")</f>
        <v>HathiTrust Record</v>
      </c>
      <c r="AV4461" s="6" t="str">
        <f>HYPERLINK("http://mcgill.on.worldcat.org/oclc/8785087","Catalog Record")</f>
        <v>Catalog Record</v>
      </c>
      <c r="AW4461" s="6" t="str">
        <f>HYPERLINK("http://www.worldcat.org/oclc/8785087","WorldCat Record")</f>
        <v>WorldCat Record</v>
      </c>
      <c r="AX4461" s="3" t="s">
        <v>43441</v>
      </c>
      <c r="AY4461" s="3" t="s">
        <v>43442</v>
      </c>
      <c r="AZ4461" s="3" t="s">
        <v>43443</v>
      </c>
      <c r="BA4461" s="3" t="s">
        <v>43443</v>
      </c>
      <c r="BB4461" s="3" t="s">
        <v>43444</v>
      </c>
      <c r="BC4461" s="3" t="s">
        <v>77</v>
      </c>
      <c r="BD4461" s="3" t="s">
        <v>78</v>
      </c>
      <c r="BE4461" s="3" t="s">
        <v>43445</v>
      </c>
      <c r="BF4461" s="3" t="s">
        <v>43444</v>
      </c>
      <c r="BG4461" s="3" t="s">
        <v>43446</v>
      </c>
      <c r="BH4461">
        <f t="shared" si="139"/>
        <v>0</v>
      </c>
    </row>
    <row r="4462" spans="1:60" ht="72.5" x14ac:dyDescent="0.35">
      <c r="A4462" s="2" t="s">
        <v>59</v>
      </c>
      <c r="B4462" s="2" t="s">
        <v>1025</v>
      </c>
      <c r="C4462" s="2" t="s">
        <v>43447</v>
      </c>
      <c r="D4462" s="2" t="s">
        <v>43448</v>
      </c>
      <c r="E4462" s="2" t="s">
        <v>43449</v>
      </c>
      <c r="G4462" s="3" t="s">
        <v>64</v>
      </c>
      <c r="I4462" s="3" t="s">
        <v>64</v>
      </c>
      <c r="J4462" s="3" t="s">
        <v>64</v>
      </c>
      <c r="K4462" s="3" t="s">
        <v>65</v>
      </c>
      <c r="L4462" s="2" t="s">
        <v>43450</v>
      </c>
      <c r="M4462" s="2" t="s">
        <v>43451</v>
      </c>
      <c r="N4462" s="3" t="s">
        <v>1938</v>
      </c>
      <c r="P4462" s="3" t="s">
        <v>102</v>
      </c>
      <c r="Q4462" s="2" t="s">
        <v>43452</v>
      </c>
      <c r="R4462" s="3" t="s">
        <v>70</v>
      </c>
      <c r="S4462" s="4">
        <v>2</v>
      </c>
      <c r="T4462" s="4">
        <v>2</v>
      </c>
      <c r="U4462" s="5" t="s">
        <v>43453</v>
      </c>
      <c r="V4462" s="5" t="s">
        <v>43453</v>
      </c>
      <c r="W4462" s="5" t="s">
        <v>72</v>
      </c>
      <c r="X4462" s="5" t="s">
        <v>72</v>
      </c>
      <c r="Y4462" s="4">
        <v>288</v>
      </c>
      <c r="Z4462" s="4">
        <v>19</v>
      </c>
      <c r="AA4462" s="4">
        <v>19</v>
      </c>
      <c r="AB4462" s="4">
        <v>3</v>
      </c>
      <c r="AC4462" s="4">
        <v>3</v>
      </c>
      <c r="AD4462" s="4">
        <v>99</v>
      </c>
      <c r="AE4462" s="4">
        <v>99</v>
      </c>
      <c r="AF4462" s="4">
        <v>1</v>
      </c>
      <c r="AG4462" s="4">
        <v>1</v>
      </c>
      <c r="AH4462" s="4">
        <v>90</v>
      </c>
      <c r="AI4462" s="4">
        <v>90</v>
      </c>
      <c r="AJ4462" s="4">
        <v>13</v>
      </c>
      <c r="AK4462" s="4">
        <v>13</v>
      </c>
      <c r="AL4462" s="4">
        <v>51</v>
      </c>
      <c r="AM4462" s="4">
        <v>51</v>
      </c>
      <c r="AN4462" s="4">
        <v>0</v>
      </c>
      <c r="AO4462" s="4">
        <v>0</v>
      </c>
      <c r="AP4462" s="4">
        <v>14</v>
      </c>
      <c r="AQ4462" s="4">
        <v>14</v>
      </c>
      <c r="AR4462" s="3" t="s">
        <v>64</v>
      </c>
      <c r="AS4462" s="3" t="s">
        <v>64</v>
      </c>
      <c r="AT4462" s="3" t="s">
        <v>128</v>
      </c>
      <c r="AU4462" s="6" t="str">
        <f>HYPERLINK("http://catalog.hathitrust.org/Record/001841769","HathiTrust Record")</f>
        <v>HathiTrust Record</v>
      </c>
      <c r="AV4462" s="6" t="str">
        <f>HYPERLINK("http://mcgill.on.worldcat.org/oclc/20634828","Catalog Record")</f>
        <v>Catalog Record</v>
      </c>
      <c r="AW4462" s="6" t="str">
        <f>HYPERLINK("http://www.worldcat.org/oclc/20634828","WorldCat Record")</f>
        <v>WorldCat Record</v>
      </c>
      <c r="AX4462" s="3" t="s">
        <v>43454</v>
      </c>
      <c r="AY4462" s="3" t="s">
        <v>43455</v>
      </c>
      <c r="AZ4462" s="3" t="s">
        <v>43456</v>
      </c>
      <c r="BA4462" s="3" t="s">
        <v>43456</v>
      </c>
      <c r="BB4462" s="3" t="s">
        <v>43457</v>
      </c>
      <c r="BC4462" s="3" t="s">
        <v>77</v>
      </c>
      <c r="BD4462" s="3" t="s">
        <v>78</v>
      </c>
      <c r="BE4462" s="3" t="s">
        <v>43458</v>
      </c>
      <c r="BF4462" s="3" t="s">
        <v>43457</v>
      </c>
      <c r="BG4462" s="3" t="s">
        <v>43459</v>
      </c>
      <c r="BH4462">
        <f t="shared" si="139"/>
        <v>0</v>
      </c>
    </row>
    <row r="4463" spans="1:60" ht="58" x14ac:dyDescent="0.35">
      <c r="A4463" s="2" t="s">
        <v>59</v>
      </c>
      <c r="B4463" s="2" t="s">
        <v>6744</v>
      </c>
      <c r="C4463" s="2" t="s">
        <v>43460</v>
      </c>
      <c r="D4463" s="2" t="s">
        <v>43461</v>
      </c>
      <c r="E4463" s="2" t="s">
        <v>43462</v>
      </c>
      <c r="G4463" s="3" t="s">
        <v>64</v>
      </c>
      <c r="I4463" s="3" t="s">
        <v>64</v>
      </c>
      <c r="J4463" s="3" t="s">
        <v>64</v>
      </c>
      <c r="K4463" s="3" t="s">
        <v>65</v>
      </c>
      <c r="L4463" s="2" t="s">
        <v>43463</v>
      </c>
      <c r="M4463" s="2" t="s">
        <v>43464</v>
      </c>
      <c r="N4463" s="3" t="s">
        <v>1061</v>
      </c>
      <c r="P4463" s="3" t="s">
        <v>102</v>
      </c>
      <c r="Q4463" s="2" t="s">
        <v>43465</v>
      </c>
      <c r="R4463" s="3" t="s">
        <v>70</v>
      </c>
      <c r="S4463" s="4">
        <v>1</v>
      </c>
      <c r="T4463" s="4">
        <v>1</v>
      </c>
      <c r="U4463" s="5" t="s">
        <v>13933</v>
      </c>
      <c r="V4463" s="5" t="s">
        <v>13933</v>
      </c>
      <c r="W4463" s="5" t="s">
        <v>72</v>
      </c>
      <c r="X4463" s="5" t="s">
        <v>72</v>
      </c>
      <c r="Y4463" s="4">
        <v>122</v>
      </c>
      <c r="Z4463" s="4">
        <v>9</v>
      </c>
      <c r="AA4463" s="4">
        <v>9</v>
      </c>
      <c r="AB4463" s="4">
        <v>1</v>
      </c>
      <c r="AC4463" s="4">
        <v>1</v>
      </c>
      <c r="AD4463" s="4">
        <v>42</v>
      </c>
      <c r="AE4463" s="4">
        <v>42</v>
      </c>
      <c r="AF4463" s="4">
        <v>0</v>
      </c>
      <c r="AG4463" s="4">
        <v>0</v>
      </c>
      <c r="AH4463" s="4">
        <v>37</v>
      </c>
      <c r="AI4463" s="4">
        <v>37</v>
      </c>
      <c r="AJ4463" s="4">
        <v>8</v>
      </c>
      <c r="AK4463" s="4">
        <v>8</v>
      </c>
      <c r="AL4463" s="4">
        <v>19</v>
      </c>
      <c r="AM4463" s="4">
        <v>19</v>
      </c>
      <c r="AN4463" s="4">
        <v>0</v>
      </c>
      <c r="AO4463" s="4">
        <v>0</v>
      </c>
      <c r="AP4463" s="4">
        <v>8</v>
      </c>
      <c r="AQ4463" s="4">
        <v>8</v>
      </c>
      <c r="AR4463" s="3" t="s">
        <v>64</v>
      </c>
      <c r="AS4463" s="3" t="s">
        <v>64</v>
      </c>
      <c r="AT4463" s="3" t="s">
        <v>64</v>
      </c>
      <c r="AV4463" s="6" t="str">
        <f>HYPERLINK("http://mcgill.on.worldcat.org/oclc/13063011","Catalog Record")</f>
        <v>Catalog Record</v>
      </c>
      <c r="AW4463" s="6" t="str">
        <f>HYPERLINK("http://www.worldcat.org/oclc/13063011","WorldCat Record")</f>
        <v>WorldCat Record</v>
      </c>
      <c r="AX4463" s="3" t="s">
        <v>43466</v>
      </c>
      <c r="AY4463" s="3" t="s">
        <v>43467</v>
      </c>
      <c r="AZ4463" s="3" t="s">
        <v>43468</v>
      </c>
      <c r="BA4463" s="3" t="s">
        <v>43468</v>
      </c>
      <c r="BB4463" s="3" t="s">
        <v>43469</v>
      </c>
      <c r="BC4463" s="3" t="s">
        <v>77</v>
      </c>
      <c r="BD4463" s="3" t="s">
        <v>78</v>
      </c>
      <c r="BE4463" s="3" t="s">
        <v>43470</v>
      </c>
      <c r="BF4463" s="3" t="s">
        <v>43469</v>
      </c>
      <c r="BG4463" s="3" t="s">
        <v>43471</v>
      </c>
      <c r="BH4463">
        <f t="shared" si="139"/>
        <v>0</v>
      </c>
    </row>
    <row r="4464" spans="1:60" ht="58" x14ac:dyDescent="0.35">
      <c r="A4464" s="2" t="s">
        <v>1932</v>
      </c>
      <c r="B4464" s="2" t="s">
        <v>1933</v>
      </c>
      <c r="C4464" s="2" t="s">
        <v>43472</v>
      </c>
      <c r="D4464" s="2" t="s">
        <v>43473</v>
      </c>
      <c r="E4464" s="2" t="s">
        <v>43474</v>
      </c>
      <c r="G4464" s="3" t="s">
        <v>128</v>
      </c>
      <c r="I4464" s="3" t="s">
        <v>64</v>
      </c>
      <c r="J4464" s="3" t="s">
        <v>64</v>
      </c>
      <c r="K4464" s="3" t="s">
        <v>65</v>
      </c>
      <c r="L4464" s="2" t="s">
        <v>43475</v>
      </c>
      <c r="M4464" s="2" t="s">
        <v>43476</v>
      </c>
      <c r="N4464" s="3" t="s">
        <v>405</v>
      </c>
      <c r="P4464" s="3" t="s">
        <v>68</v>
      </c>
      <c r="Q4464" s="2" t="s">
        <v>43477</v>
      </c>
      <c r="R4464" s="3" t="s">
        <v>70</v>
      </c>
      <c r="S4464" s="4">
        <v>3</v>
      </c>
      <c r="T4464" s="4">
        <v>3</v>
      </c>
      <c r="U4464" s="5" t="s">
        <v>29244</v>
      </c>
      <c r="V4464" s="5" t="s">
        <v>29244</v>
      </c>
      <c r="W4464" s="5" t="s">
        <v>72</v>
      </c>
      <c r="X4464" s="5" t="s">
        <v>72</v>
      </c>
      <c r="Y4464" s="4">
        <v>15</v>
      </c>
      <c r="Z4464" s="4">
        <v>8</v>
      </c>
      <c r="AA4464" s="4">
        <v>11</v>
      </c>
      <c r="AB4464" s="4">
        <v>1</v>
      </c>
      <c r="AC4464" s="4">
        <v>4</v>
      </c>
      <c r="AD4464" s="4">
        <v>10</v>
      </c>
      <c r="AE4464" s="4">
        <v>12</v>
      </c>
      <c r="AF4464" s="4">
        <v>0</v>
      </c>
      <c r="AG4464" s="4">
        <v>2</v>
      </c>
      <c r="AH4464" s="4">
        <v>6</v>
      </c>
      <c r="AI4464" s="4">
        <v>6</v>
      </c>
      <c r="AJ4464" s="4">
        <v>6</v>
      </c>
      <c r="AK4464" s="4">
        <v>8</v>
      </c>
      <c r="AL4464" s="4">
        <v>2</v>
      </c>
      <c r="AM4464" s="4">
        <v>2</v>
      </c>
      <c r="AN4464" s="4">
        <v>0</v>
      </c>
      <c r="AO4464" s="4">
        <v>0</v>
      </c>
      <c r="AP4464" s="4">
        <v>5</v>
      </c>
      <c r="AQ4464" s="4">
        <v>7</v>
      </c>
      <c r="AR4464" s="3" t="s">
        <v>128</v>
      </c>
      <c r="AS4464" s="3" t="s">
        <v>64</v>
      </c>
      <c r="AT4464" s="3" t="s">
        <v>64</v>
      </c>
      <c r="AV4464" s="6" t="str">
        <f>HYPERLINK("http://mcgill.on.worldcat.org/oclc/5618466","Catalog Record")</f>
        <v>Catalog Record</v>
      </c>
      <c r="AW4464" s="6" t="str">
        <f>HYPERLINK("http://www.worldcat.org/oclc/5618466","WorldCat Record")</f>
        <v>WorldCat Record</v>
      </c>
      <c r="AX4464" s="3" t="s">
        <v>43478</v>
      </c>
      <c r="AY4464" s="3" t="s">
        <v>43479</v>
      </c>
      <c r="AZ4464" s="3" t="s">
        <v>43480</v>
      </c>
      <c r="BA4464" s="3" t="s">
        <v>43480</v>
      </c>
      <c r="BB4464" s="3" t="s">
        <v>43481</v>
      </c>
      <c r="BC4464" s="3" t="s">
        <v>77</v>
      </c>
      <c r="BD4464" s="3" t="s">
        <v>78</v>
      </c>
      <c r="BF4464" s="3" t="s">
        <v>43481</v>
      </c>
      <c r="BG4464" s="3" t="s">
        <v>43482</v>
      </c>
      <c r="BH4464">
        <f t="shared" si="139"/>
        <v>0</v>
      </c>
    </row>
    <row r="4465" spans="1:60" ht="58" x14ac:dyDescent="0.35">
      <c r="A4465" s="2" t="s">
        <v>6202</v>
      </c>
      <c r="B4465" s="2" t="s">
        <v>6203</v>
      </c>
      <c r="C4465" s="2" t="s">
        <v>43483</v>
      </c>
      <c r="D4465" s="2" t="s">
        <v>43484</v>
      </c>
      <c r="E4465" s="2" t="s">
        <v>43485</v>
      </c>
      <c r="G4465" s="3" t="s">
        <v>64</v>
      </c>
      <c r="I4465" s="3" t="s">
        <v>64</v>
      </c>
      <c r="J4465" s="3" t="s">
        <v>64</v>
      </c>
      <c r="K4465" s="3" t="s">
        <v>65</v>
      </c>
      <c r="L4465" s="2" t="s">
        <v>43486</v>
      </c>
      <c r="M4465" s="2" t="s">
        <v>43487</v>
      </c>
      <c r="N4465" s="3" t="s">
        <v>3330</v>
      </c>
      <c r="P4465" s="3" t="s">
        <v>102</v>
      </c>
      <c r="R4465" s="3" t="s">
        <v>70</v>
      </c>
      <c r="S4465" s="4">
        <v>2</v>
      </c>
      <c r="T4465" s="4">
        <v>2</v>
      </c>
      <c r="U4465" s="5" t="s">
        <v>43488</v>
      </c>
      <c r="V4465" s="5" t="s">
        <v>43488</v>
      </c>
      <c r="W4465" s="5" t="s">
        <v>72</v>
      </c>
      <c r="X4465" s="5" t="s">
        <v>72</v>
      </c>
      <c r="Y4465" s="4">
        <v>103</v>
      </c>
      <c r="Z4465" s="4">
        <v>8</v>
      </c>
      <c r="AA4465" s="4">
        <v>8</v>
      </c>
      <c r="AB4465" s="4">
        <v>1</v>
      </c>
      <c r="AC4465" s="4">
        <v>1</v>
      </c>
      <c r="AD4465" s="4">
        <v>50</v>
      </c>
      <c r="AE4465" s="4">
        <v>50</v>
      </c>
      <c r="AF4465" s="4">
        <v>0</v>
      </c>
      <c r="AG4465" s="4">
        <v>0</v>
      </c>
      <c r="AH4465" s="4">
        <v>48</v>
      </c>
      <c r="AI4465" s="4">
        <v>48</v>
      </c>
      <c r="AJ4465" s="4">
        <v>4</v>
      </c>
      <c r="AK4465" s="4">
        <v>4</v>
      </c>
      <c r="AL4465" s="4">
        <v>31</v>
      </c>
      <c r="AM4465" s="4">
        <v>31</v>
      </c>
      <c r="AN4465" s="4">
        <v>0</v>
      </c>
      <c r="AO4465" s="4">
        <v>0</v>
      </c>
      <c r="AP4465" s="4">
        <v>5</v>
      </c>
      <c r="AQ4465" s="4">
        <v>5</v>
      </c>
      <c r="AR4465" s="3" t="s">
        <v>64</v>
      </c>
      <c r="AS4465" s="3" t="s">
        <v>64</v>
      </c>
      <c r="AT4465" s="3" t="s">
        <v>128</v>
      </c>
      <c r="AU4465" s="6" t="str">
        <f>HYPERLINK("http://catalog.hathitrust.org/Record/001073471","HathiTrust Record")</f>
        <v>HathiTrust Record</v>
      </c>
      <c r="AV4465" s="6" t="str">
        <f>HYPERLINK("http://mcgill.on.worldcat.org/oclc/60007509","Catalog Record")</f>
        <v>Catalog Record</v>
      </c>
      <c r="AW4465" s="6" t="str">
        <f>HYPERLINK("http://www.worldcat.org/oclc/60007509","WorldCat Record")</f>
        <v>WorldCat Record</v>
      </c>
      <c r="AX4465" s="3" t="s">
        <v>43489</v>
      </c>
      <c r="AY4465" s="3" t="s">
        <v>43490</v>
      </c>
      <c r="AZ4465" s="3" t="s">
        <v>43491</v>
      </c>
      <c r="BA4465" s="3" t="s">
        <v>43491</v>
      </c>
      <c r="BB4465" s="3" t="s">
        <v>43492</v>
      </c>
      <c r="BC4465" s="3" t="s">
        <v>77</v>
      </c>
      <c r="BD4465" s="3" t="s">
        <v>78</v>
      </c>
      <c r="BE4465" s="3" t="s">
        <v>43493</v>
      </c>
      <c r="BF4465" s="3" t="s">
        <v>43492</v>
      </c>
      <c r="BG4465" s="3" t="s">
        <v>43494</v>
      </c>
      <c r="BH4465">
        <f t="shared" si="139"/>
        <v>0</v>
      </c>
    </row>
    <row r="4466" spans="1:60" ht="58" x14ac:dyDescent="0.35">
      <c r="A4466" s="2" t="s">
        <v>6202</v>
      </c>
      <c r="B4466" s="2" t="s">
        <v>6203</v>
      </c>
      <c r="C4466" s="2" t="s">
        <v>43495</v>
      </c>
      <c r="D4466" s="2" t="s">
        <v>43496</v>
      </c>
      <c r="E4466" s="2" t="s">
        <v>43497</v>
      </c>
      <c r="G4466" s="3" t="s">
        <v>64</v>
      </c>
      <c r="I4466" s="3" t="s">
        <v>64</v>
      </c>
      <c r="J4466" s="3" t="s">
        <v>64</v>
      </c>
      <c r="K4466" s="3" t="s">
        <v>65</v>
      </c>
      <c r="L4466" s="2" t="s">
        <v>43498</v>
      </c>
      <c r="M4466" s="2" t="s">
        <v>43499</v>
      </c>
      <c r="N4466" s="3" t="s">
        <v>1017</v>
      </c>
      <c r="P4466" s="3" t="s">
        <v>102</v>
      </c>
      <c r="R4466" s="3" t="s">
        <v>70</v>
      </c>
      <c r="S4466" s="4">
        <v>1</v>
      </c>
      <c r="T4466" s="4">
        <v>1</v>
      </c>
      <c r="U4466" s="5" t="s">
        <v>35255</v>
      </c>
      <c r="V4466" s="5" t="s">
        <v>35255</v>
      </c>
      <c r="W4466" s="5" t="s">
        <v>72</v>
      </c>
      <c r="X4466" s="5" t="s">
        <v>72</v>
      </c>
      <c r="Y4466" s="4">
        <v>232</v>
      </c>
      <c r="Z4466" s="4">
        <v>17</v>
      </c>
      <c r="AA4466" s="4">
        <v>17</v>
      </c>
      <c r="AB4466" s="4">
        <v>1</v>
      </c>
      <c r="AC4466" s="4">
        <v>1</v>
      </c>
      <c r="AD4466" s="4">
        <v>68</v>
      </c>
      <c r="AE4466" s="4">
        <v>68</v>
      </c>
      <c r="AF4466" s="4">
        <v>0</v>
      </c>
      <c r="AG4466" s="4">
        <v>0</v>
      </c>
      <c r="AH4466" s="4">
        <v>60</v>
      </c>
      <c r="AI4466" s="4">
        <v>60</v>
      </c>
      <c r="AJ4466" s="4">
        <v>9</v>
      </c>
      <c r="AK4466" s="4">
        <v>9</v>
      </c>
      <c r="AL4466" s="4">
        <v>37</v>
      </c>
      <c r="AM4466" s="4">
        <v>37</v>
      </c>
      <c r="AN4466" s="4">
        <v>0</v>
      </c>
      <c r="AO4466" s="4">
        <v>0</v>
      </c>
      <c r="AP4466" s="4">
        <v>11</v>
      </c>
      <c r="AQ4466" s="4">
        <v>11</v>
      </c>
      <c r="AR4466" s="3" t="s">
        <v>64</v>
      </c>
      <c r="AS4466" s="3" t="s">
        <v>64</v>
      </c>
      <c r="AT4466" s="3" t="s">
        <v>128</v>
      </c>
      <c r="AU4466" s="6" t="str">
        <f>HYPERLINK("http://catalog.hathitrust.org/Record/001172354","HathiTrust Record")</f>
        <v>HathiTrust Record</v>
      </c>
      <c r="AV4466" s="6" t="str">
        <f>HYPERLINK("http://mcgill.on.worldcat.org/oclc/90647","Catalog Record")</f>
        <v>Catalog Record</v>
      </c>
      <c r="AW4466" s="6" t="str">
        <f>HYPERLINK("http://www.worldcat.org/oclc/90647","WorldCat Record")</f>
        <v>WorldCat Record</v>
      </c>
      <c r="AX4466" s="3" t="s">
        <v>43500</v>
      </c>
      <c r="AY4466" s="3" t="s">
        <v>43501</v>
      </c>
      <c r="AZ4466" s="3" t="s">
        <v>43502</v>
      </c>
      <c r="BA4466" s="3" t="s">
        <v>43502</v>
      </c>
      <c r="BB4466" s="3" t="s">
        <v>43503</v>
      </c>
      <c r="BC4466" s="3" t="s">
        <v>77</v>
      </c>
      <c r="BD4466" s="3" t="s">
        <v>78</v>
      </c>
      <c r="BF4466" s="3" t="s">
        <v>43503</v>
      </c>
      <c r="BG4466" s="3" t="s">
        <v>43504</v>
      </c>
      <c r="BH4466">
        <f t="shared" si="139"/>
        <v>0</v>
      </c>
    </row>
    <row r="4467" spans="1:60" ht="58" x14ac:dyDescent="0.35">
      <c r="A4467" s="2" t="s">
        <v>6202</v>
      </c>
      <c r="B4467" s="2" t="s">
        <v>6203</v>
      </c>
      <c r="C4467" s="2" t="s">
        <v>43505</v>
      </c>
      <c r="D4467" s="2" t="s">
        <v>43506</v>
      </c>
      <c r="E4467" s="2" t="s">
        <v>43507</v>
      </c>
      <c r="G4467" s="3" t="s">
        <v>64</v>
      </c>
      <c r="I4467" s="3" t="s">
        <v>64</v>
      </c>
      <c r="J4467" s="3" t="s">
        <v>64</v>
      </c>
      <c r="K4467" s="3" t="s">
        <v>65</v>
      </c>
      <c r="L4467" s="2" t="s">
        <v>43508</v>
      </c>
      <c r="M4467" s="2" t="s">
        <v>43509</v>
      </c>
      <c r="N4467" s="3" t="s">
        <v>1087</v>
      </c>
      <c r="P4467" s="3" t="s">
        <v>102</v>
      </c>
      <c r="R4467" s="3" t="s">
        <v>70</v>
      </c>
      <c r="S4467" s="4">
        <v>3</v>
      </c>
      <c r="T4467" s="4">
        <v>3</v>
      </c>
      <c r="U4467" s="5" t="s">
        <v>16374</v>
      </c>
      <c r="V4467" s="5" t="s">
        <v>16374</v>
      </c>
      <c r="W4467" s="5" t="s">
        <v>72</v>
      </c>
      <c r="X4467" s="5" t="s">
        <v>72</v>
      </c>
      <c r="Y4467" s="4">
        <v>53</v>
      </c>
      <c r="Z4467" s="4">
        <v>3</v>
      </c>
      <c r="AA4467" s="4">
        <v>31</v>
      </c>
      <c r="AB4467" s="4">
        <v>1</v>
      </c>
      <c r="AC4467" s="4">
        <v>3</v>
      </c>
      <c r="AD4467" s="4">
        <v>5</v>
      </c>
      <c r="AE4467" s="4">
        <v>115</v>
      </c>
      <c r="AF4467" s="4">
        <v>0</v>
      </c>
      <c r="AG4467" s="4">
        <v>2</v>
      </c>
      <c r="AH4467" s="4">
        <v>4</v>
      </c>
      <c r="AI4467" s="4">
        <v>99</v>
      </c>
      <c r="AJ4467" s="4">
        <v>0</v>
      </c>
      <c r="AK4467" s="4">
        <v>14</v>
      </c>
      <c r="AL4467" s="4">
        <v>2</v>
      </c>
      <c r="AM4467" s="4">
        <v>56</v>
      </c>
      <c r="AN4467" s="4">
        <v>0</v>
      </c>
      <c r="AO4467" s="4">
        <v>5</v>
      </c>
      <c r="AP4467" s="4">
        <v>1</v>
      </c>
      <c r="AQ4467" s="4">
        <v>23</v>
      </c>
      <c r="AR4467" s="3" t="s">
        <v>64</v>
      </c>
      <c r="AS4467" s="3" t="s">
        <v>64</v>
      </c>
      <c r="AT4467" s="3" t="s">
        <v>128</v>
      </c>
      <c r="AU4467" s="6" t="str">
        <f>HYPERLINK("http://catalog.hathitrust.org/Record/008316006","HathiTrust Record")</f>
        <v>HathiTrust Record</v>
      </c>
      <c r="AV4467" s="6" t="str">
        <f>HYPERLINK("http://mcgill.on.worldcat.org/oclc/22347376","Catalog Record")</f>
        <v>Catalog Record</v>
      </c>
      <c r="AW4467" s="6" t="str">
        <f>HYPERLINK("http://www.worldcat.org/oclc/22347376","WorldCat Record")</f>
        <v>WorldCat Record</v>
      </c>
      <c r="AX4467" s="3" t="s">
        <v>43510</v>
      </c>
      <c r="AY4467" s="3" t="s">
        <v>43511</v>
      </c>
      <c r="AZ4467" s="3" t="s">
        <v>43512</v>
      </c>
      <c r="BA4467" s="3" t="s">
        <v>43512</v>
      </c>
      <c r="BB4467" s="3" t="s">
        <v>43513</v>
      </c>
      <c r="BC4467" s="3" t="s">
        <v>77</v>
      </c>
      <c r="BD4467" s="3" t="s">
        <v>40037</v>
      </c>
      <c r="BE4467" s="3" t="s">
        <v>43514</v>
      </c>
      <c r="BF4467" s="3" t="s">
        <v>43513</v>
      </c>
      <c r="BG4467" s="3" t="s">
        <v>43515</v>
      </c>
      <c r="BH4467">
        <f t="shared" si="139"/>
        <v>0</v>
      </c>
    </row>
    <row r="4468" spans="1:60" ht="58" x14ac:dyDescent="0.35">
      <c r="A4468" s="2" t="s">
        <v>6202</v>
      </c>
      <c r="B4468" s="2" t="s">
        <v>6203</v>
      </c>
      <c r="C4468" s="2" t="s">
        <v>43516</v>
      </c>
      <c r="D4468" s="2" t="s">
        <v>43517</v>
      </c>
      <c r="E4468" s="2" t="s">
        <v>43518</v>
      </c>
      <c r="G4468" s="3" t="s">
        <v>64</v>
      </c>
      <c r="I4468" s="3" t="s">
        <v>64</v>
      </c>
      <c r="J4468" s="3" t="s">
        <v>64</v>
      </c>
      <c r="K4468" s="3" t="s">
        <v>65</v>
      </c>
      <c r="L4468" s="2" t="s">
        <v>43519</v>
      </c>
      <c r="M4468" s="2" t="s">
        <v>43520</v>
      </c>
      <c r="N4468" s="3" t="s">
        <v>392</v>
      </c>
      <c r="O4468" s="2" t="s">
        <v>172</v>
      </c>
      <c r="P4468" s="3" t="s">
        <v>102</v>
      </c>
      <c r="R4468" s="3" t="s">
        <v>70</v>
      </c>
      <c r="S4468" s="4">
        <v>1</v>
      </c>
      <c r="T4468" s="4">
        <v>1</v>
      </c>
      <c r="U4468" s="5" t="s">
        <v>25467</v>
      </c>
      <c r="V4468" s="5" t="s">
        <v>25467</v>
      </c>
      <c r="W4468" s="5" t="s">
        <v>72</v>
      </c>
      <c r="X4468" s="5" t="s">
        <v>72</v>
      </c>
      <c r="Y4468" s="4">
        <v>209</v>
      </c>
      <c r="Z4468" s="4">
        <v>8</v>
      </c>
      <c r="AA4468" s="4">
        <v>13</v>
      </c>
      <c r="AB4468" s="4">
        <v>1</v>
      </c>
      <c r="AC4468" s="4">
        <v>2</v>
      </c>
      <c r="AD4468" s="4">
        <v>79</v>
      </c>
      <c r="AE4468" s="4">
        <v>100</v>
      </c>
      <c r="AF4468" s="4">
        <v>0</v>
      </c>
      <c r="AG4468" s="4">
        <v>0</v>
      </c>
      <c r="AH4468" s="4">
        <v>75</v>
      </c>
      <c r="AI4468" s="4">
        <v>94</v>
      </c>
      <c r="AJ4468" s="4">
        <v>5</v>
      </c>
      <c r="AK4468" s="4">
        <v>8</v>
      </c>
      <c r="AL4468" s="4">
        <v>44</v>
      </c>
      <c r="AM4468" s="4">
        <v>55</v>
      </c>
      <c r="AN4468" s="4">
        <v>0</v>
      </c>
      <c r="AO4468" s="4">
        <v>0</v>
      </c>
      <c r="AP4468" s="4">
        <v>5</v>
      </c>
      <c r="AQ4468" s="4">
        <v>7</v>
      </c>
      <c r="AR4468" s="3" t="s">
        <v>64</v>
      </c>
      <c r="AS4468" s="3" t="s">
        <v>64</v>
      </c>
      <c r="AT4468" s="3" t="s">
        <v>64</v>
      </c>
      <c r="AV4468" s="6" t="str">
        <f>HYPERLINK("http://mcgill.on.worldcat.org/oclc/39380740","Catalog Record")</f>
        <v>Catalog Record</v>
      </c>
      <c r="AW4468" s="6" t="str">
        <f>HYPERLINK("http://www.worldcat.org/oclc/39380740","WorldCat Record")</f>
        <v>WorldCat Record</v>
      </c>
      <c r="AX4468" s="3" t="s">
        <v>43521</v>
      </c>
      <c r="AY4468" s="3" t="s">
        <v>43522</v>
      </c>
      <c r="AZ4468" s="3" t="s">
        <v>43523</v>
      </c>
      <c r="BA4468" s="3" t="s">
        <v>43523</v>
      </c>
      <c r="BB4468" s="3" t="s">
        <v>43524</v>
      </c>
      <c r="BC4468" s="3" t="s">
        <v>77</v>
      </c>
      <c r="BD4468" s="3" t="s">
        <v>78</v>
      </c>
      <c r="BE4468" s="3" t="s">
        <v>43525</v>
      </c>
      <c r="BF4468" s="3" t="s">
        <v>43524</v>
      </c>
      <c r="BG4468" s="3" t="s">
        <v>43526</v>
      </c>
      <c r="BH4468">
        <f t="shared" si="139"/>
        <v>0</v>
      </c>
    </row>
    <row r="4469" spans="1:60" ht="58" x14ac:dyDescent="0.35">
      <c r="A4469" s="2" t="s">
        <v>59</v>
      </c>
      <c r="B4469" s="2" t="s">
        <v>60</v>
      </c>
      <c r="C4469" s="2" t="s">
        <v>43527</v>
      </c>
      <c r="D4469" s="2" t="s">
        <v>43528</v>
      </c>
      <c r="E4469" s="2" t="s">
        <v>43529</v>
      </c>
      <c r="G4469" s="3" t="s">
        <v>64</v>
      </c>
      <c r="I4469" s="3" t="s">
        <v>64</v>
      </c>
      <c r="J4469" s="3" t="s">
        <v>64</v>
      </c>
      <c r="K4469" s="3" t="s">
        <v>65</v>
      </c>
      <c r="L4469" s="2" t="s">
        <v>43530</v>
      </c>
      <c r="M4469" s="2" t="s">
        <v>33323</v>
      </c>
      <c r="N4469" s="3" t="s">
        <v>144</v>
      </c>
      <c r="P4469" s="3" t="s">
        <v>102</v>
      </c>
      <c r="Q4469" s="2" t="s">
        <v>43531</v>
      </c>
      <c r="R4469" s="3" t="s">
        <v>70</v>
      </c>
      <c r="S4469" s="4">
        <v>3</v>
      </c>
      <c r="T4469" s="4">
        <v>3</v>
      </c>
      <c r="U4469" s="5" t="s">
        <v>43532</v>
      </c>
      <c r="V4469" s="5" t="s">
        <v>43532</v>
      </c>
      <c r="W4469" s="5" t="s">
        <v>72</v>
      </c>
      <c r="X4469" s="5" t="s">
        <v>72</v>
      </c>
      <c r="Y4469" s="4">
        <v>138</v>
      </c>
      <c r="Z4469" s="4">
        <v>8</v>
      </c>
      <c r="AA4469" s="4">
        <v>51</v>
      </c>
      <c r="AB4469" s="4">
        <v>1</v>
      </c>
      <c r="AC4469" s="4">
        <v>7</v>
      </c>
      <c r="AD4469" s="4">
        <v>51</v>
      </c>
      <c r="AE4469" s="4">
        <v>87</v>
      </c>
      <c r="AF4469" s="4">
        <v>0</v>
      </c>
      <c r="AG4469" s="4">
        <v>1</v>
      </c>
      <c r="AH4469" s="4">
        <v>48</v>
      </c>
      <c r="AI4469" s="4">
        <v>72</v>
      </c>
      <c r="AJ4469" s="4">
        <v>5</v>
      </c>
      <c r="AK4469" s="4">
        <v>11</v>
      </c>
      <c r="AL4469" s="4">
        <v>37</v>
      </c>
      <c r="AM4469" s="4">
        <v>47</v>
      </c>
      <c r="AN4469" s="4">
        <v>0</v>
      </c>
      <c r="AO4469" s="4">
        <v>0</v>
      </c>
      <c r="AP4469" s="4">
        <v>5</v>
      </c>
      <c r="AQ4469" s="4">
        <v>19</v>
      </c>
      <c r="AR4469" s="3" t="s">
        <v>64</v>
      </c>
      <c r="AS4469" s="3" t="s">
        <v>64</v>
      </c>
      <c r="AT4469" s="3" t="s">
        <v>64</v>
      </c>
      <c r="AV4469" s="6" t="str">
        <f>HYPERLINK("http://mcgill.on.worldcat.org/oclc/181069713","Catalog Record")</f>
        <v>Catalog Record</v>
      </c>
      <c r="AW4469" s="6" t="str">
        <f>HYPERLINK("http://www.worldcat.org/oclc/181069713","WorldCat Record")</f>
        <v>WorldCat Record</v>
      </c>
      <c r="AX4469" s="3" t="s">
        <v>43533</v>
      </c>
      <c r="AY4469" s="3" t="s">
        <v>43534</v>
      </c>
      <c r="AZ4469" s="3" t="s">
        <v>43535</v>
      </c>
      <c r="BA4469" s="3" t="s">
        <v>43535</v>
      </c>
      <c r="BB4469" s="3" t="s">
        <v>43536</v>
      </c>
      <c r="BC4469" s="3" t="s">
        <v>77</v>
      </c>
      <c r="BD4469" s="3" t="s">
        <v>78</v>
      </c>
      <c r="BE4469" s="3" t="s">
        <v>43537</v>
      </c>
      <c r="BF4469" s="3" t="s">
        <v>43536</v>
      </c>
      <c r="BG4469" s="3" t="s">
        <v>43538</v>
      </c>
      <c r="BH4469">
        <f t="shared" si="139"/>
        <v>0</v>
      </c>
    </row>
    <row r="4470" spans="1:60" ht="58" x14ac:dyDescent="0.35">
      <c r="A4470" s="2" t="s">
        <v>59</v>
      </c>
      <c r="B4470" s="2" t="s">
        <v>60</v>
      </c>
      <c r="C4470" s="2" t="s">
        <v>43539</v>
      </c>
      <c r="D4470" s="2" t="s">
        <v>43540</v>
      </c>
      <c r="E4470" s="2" t="s">
        <v>43541</v>
      </c>
      <c r="G4470" s="3" t="s">
        <v>64</v>
      </c>
      <c r="I4470" s="3" t="s">
        <v>64</v>
      </c>
      <c r="J4470" s="3" t="s">
        <v>64</v>
      </c>
      <c r="K4470" s="3" t="s">
        <v>65</v>
      </c>
      <c r="L4470" s="2" t="s">
        <v>43542</v>
      </c>
      <c r="M4470" s="2" t="s">
        <v>43543</v>
      </c>
      <c r="N4470" s="3" t="s">
        <v>1750</v>
      </c>
      <c r="P4470" s="3" t="s">
        <v>102</v>
      </c>
      <c r="R4470" s="3" t="s">
        <v>70</v>
      </c>
      <c r="S4470" s="4">
        <v>1</v>
      </c>
      <c r="T4470" s="4">
        <v>1</v>
      </c>
      <c r="U4470" s="5" t="s">
        <v>7407</v>
      </c>
      <c r="V4470" s="5" t="s">
        <v>7407</v>
      </c>
      <c r="W4470" s="5" t="s">
        <v>72</v>
      </c>
      <c r="X4470" s="5" t="s">
        <v>72</v>
      </c>
      <c r="Y4470" s="4">
        <v>2</v>
      </c>
      <c r="Z4470" s="4">
        <v>1</v>
      </c>
      <c r="AA4470" s="4">
        <v>1</v>
      </c>
      <c r="AB4470" s="4">
        <v>1</v>
      </c>
      <c r="AC4470" s="4">
        <v>1</v>
      </c>
      <c r="AD4470" s="4">
        <v>1</v>
      </c>
      <c r="AE4470" s="4">
        <v>1</v>
      </c>
      <c r="AF4470" s="4">
        <v>0</v>
      </c>
      <c r="AG4470" s="4">
        <v>0</v>
      </c>
      <c r="AH4470" s="4">
        <v>1</v>
      </c>
      <c r="AI4470" s="4">
        <v>1</v>
      </c>
      <c r="AJ4470" s="4">
        <v>0</v>
      </c>
      <c r="AK4470" s="4">
        <v>0</v>
      </c>
      <c r="AL4470" s="4">
        <v>1</v>
      </c>
      <c r="AM4470" s="4">
        <v>1</v>
      </c>
      <c r="AN4470" s="4">
        <v>0</v>
      </c>
      <c r="AO4470" s="4">
        <v>0</v>
      </c>
      <c r="AP4470" s="4">
        <v>0</v>
      </c>
      <c r="AQ4470" s="4">
        <v>0</v>
      </c>
      <c r="AR4470" s="3" t="s">
        <v>128</v>
      </c>
      <c r="AS4470" s="3" t="s">
        <v>64</v>
      </c>
      <c r="AT4470" s="3" t="s">
        <v>64</v>
      </c>
      <c r="AV4470" s="6" t="str">
        <f>HYPERLINK("http://mcgill.on.worldcat.org/oclc/61610538","Catalog Record")</f>
        <v>Catalog Record</v>
      </c>
      <c r="AW4470" s="6" t="str">
        <f>HYPERLINK("http://www.worldcat.org/oclc/61610538","WorldCat Record")</f>
        <v>WorldCat Record</v>
      </c>
      <c r="AX4470" s="3" t="s">
        <v>43544</v>
      </c>
      <c r="AY4470" s="3" t="s">
        <v>43545</v>
      </c>
      <c r="AZ4470" s="3" t="s">
        <v>43546</v>
      </c>
      <c r="BA4470" s="3" t="s">
        <v>43546</v>
      </c>
      <c r="BB4470" s="3" t="s">
        <v>43547</v>
      </c>
      <c r="BC4470" s="3" t="s">
        <v>77</v>
      </c>
      <c r="BD4470" s="3" t="s">
        <v>78</v>
      </c>
      <c r="BF4470" s="3" t="s">
        <v>43547</v>
      </c>
      <c r="BG4470" s="3" t="s">
        <v>43548</v>
      </c>
      <c r="BH4470">
        <f t="shared" si="139"/>
        <v>0</v>
      </c>
    </row>
    <row r="4471" spans="1:60" ht="58" x14ac:dyDescent="0.35">
      <c r="A4471" s="2" t="s">
        <v>1040</v>
      </c>
      <c r="B4471" s="2" t="s">
        <v>60</v>
      </c>
      <c r="C4471" s="2" t="s">
        <v>43549</v>
      </c>
      <c r="D4471" s="2" t="s">
        <v>43550</v>
      </c>
      <c r="E4471" s="2" t="s">
        <v>43551</v>
      </c>
      <c r="G4471" s="3" t="s">
        <v>64</v>
      </c>
      <c r="I4471" s="3" t="s">
        <v>64</v>
      </c>
      <c r="J4471" s="3" t="s">
        <v>64</v>
      </c>
      <c r="K4471" s="3" t="s">
        <v>65</v>
      </c>
      <c r="L4471" s="2" t="s">
        <v>43552</v>
      </c>
      <c r="M4471" s="2" t="s">
        <v>43553</v>
      </c>
      <c r="N4471" s="3" t="s">
        <v>6948</v>
      </c>
      <c r="P4471" s="3" t="s">
        <v>102</v>
      </c>
      <c r="R4471" s="3" t="s">
        <v>70</v>
      </c>
      <c r="S4471" s="4">
        <v>1</v>
      </c>
      <c r="T4471" s="4">
        <v>1</v>
      </c>
      <c r="U4471" s="5" t="s">
        <v>30773</v>
      </c>
      <c r="V4471" s="5" t="s">
        <v>30773</v>
      </c>
      <c r="W4471" s="5" t="s">
        <v>72</v>
      </c>
      <c r="X4471" s="5" t="s">
        <v>72</v>
      </c>
      <c r="Y4471" s="4">
        <v>1</v>
      </c>
      <c r="Z4471" s="4">
        <v>1</v>
      </c>
      <c r="AA4471" s="4">
        <v>1</v>
      </c>
      <c r="AB4471" s="4">
        <v>1</v>
      </c>
      <c r="AC4471" s="4">
        <v>1</v>
      </c>
      <c r="AD4471" s="4">
        <v>0</v>
      </c>
      <c r="AE4471" s="4">
        <v>0</v>
      </c>
      <c r="AF4471" s="4">
        <v>0</v>
      </c>
      <c r="AG4471" s="4">
        <v>0</v>
      </c>
      <c r="AH4471" s="4">
        <v>0</v>
      </c>
      <c r="AI4471" s="4">
        <v>0</v>
      </c>
      <c r="AJ4471" s="4">
        <v>0</v>
      </c>
      <c r="AK4471" s="4">
        <v>0</v>
      </c>
      <c r="AL4471" s="4">
        <v>0</v>
      </c>
      <c r="AM4471" s="4">
        <v>0</v>
      </c>
      <c r="AN4471" s="4">
        <v>0</v>
      </c>
      <c r="AO4471" s="4">
        <v>0</v>
      </c>
      <c r="AP4471" s="4">
        <v>0</v>
      </c>
      <c r="AQ4471" s="4">
        <v>0</v>
      </c>
      <c r="AR4471" s="3" t="s">
        <v>128</v>
      </c>
      <c r="AS4471" s="3" t="s">
        <v>64</v>
      </c>
      <c r="AT4471" s="3" t="s">
        <v>64</v>
      </c>
      <c r="AV4471" s="6" t="str">
        <f>HYPERLINK("http://mcgill.on.worldcat.org/oclc/427925735","Catalog Record")</f>
        <v>Catalog Record</v>
      </c>
      <c r="AW4471" s="6" t="str">
        <f>HYPERLINK("http://www.worldcat.org/oclc/427925735","WorldCat Record")</f>
        <v>WorldCat Record</v>
      </c>
      <c r="AX4471" s="3" t="s">
        <v>43554</v>
      </c>
      <c r="AY4471" s="3" t="s">
        <v>43555</v>
      </c>
      <c r="AZ4471" s="3" t="s">
        <v>43556</v>
      </c>
      <c r="BA4471" s="3" t="s">
        <v>43556</v>
      </c>
      <c r="BB4471" s="3" t="s">
        <v>43557</v>
      </c>
      <c r="BC4471" s="3" t="s">
        <v>77</v>
      </c>
      <c r="BD4471" s="3" t="s">
        <v>78</v>
      </c>
      <c r="BF4471" s="3" t="s">
        <v>43557</v>
      </c>
      <c r="BG4471" s="3" t="s">
        <v>43558</v>
      </c>
      <c r="BH4471">
        <f t="shared" si="139"/>
        <v>0</v>
      </c>
    </row>
    <row r="4472" spans="1:60" ht="58" x14ac:dyDescent="0.35">
      <c r="A4472" s="2" t="s">
        <v>59</v>
      </c>
      <c r="B4472" s="2" t="s">
        <v>60</v>
      </c>
      <c r="C4472" s="2" t="s">
        <v>43559</v>
      </c>
      <c r="D4472" s="2" t="s">
        <v>43560</v>
      </c>
      <c r="E4472" s="2" t="s">
        <v>43561</v>
      </c>
      <c r="G4472" s="3" t="s">
        <v>64</v>
      </c>
      <c r="I4472" s="3" t="s">
        <v>64</v>
      </c>
      <c r="J4472" s="3" t="s">
        <v>64</v>
      </c>
      <c r="K4472" s="3" t="s">
        <v>65</v>
      </c>
      <c r="L4472" s="2" t="s">
        <v>43562</v>
      </c>
      <c r="M4472" s="2" t="s">
        <v>43563</v>
      </c>
      <c r="N4472" s="3" t="s">
        <v>190</v>
      </c>
      <c r="P4472" s="3" t="s">
        <v>102</v>
      </c>
      <c r="R4472" s="3" t="s">
        <v>70</v>
      </c>
      <c r="S4472" s="4">
        <v>0</v>
      </c>
      <c r="T4472" s="4">
        <v>0</v>
      </c>
      <c r="W4472" s="5" t="s">
        <v>72</v>
      </c>
      <c r="X4472" s="5" t="s">
        <v>72</v>
      </c>
      <c r="Y4472" s="4">
        <v>80</v>
      </c>
      <c r="Z4472" s="4">
        <v>8</v>
      </c>
      <c r="AA4472" s="4">
        <v>18</v>
      </c>
      <c r="AB4472" s="4">
        <v>1</v>
      </c>
      <c r="AC4472" s="4">
        <v>7</v>
      </c>
      <c r="AD4472" s="4">
        <v>33</v>
      </c>
      <c r="AE4472" s="4">
        <v>44</v>
      </c>
      <c r="AF4472" s="4">
        <v>0</v>
      </c>
      <c r="AG4472" s="4">
        <v>3</v>
      </c>
      <c r="AH4472" s="4">
        <v>31</v>
      </c>
      <c r="AI4472" s="4">
        <v>36</v>
      </c>
      <c r="AJ4472" s="4">
        <v>7</v>
      </c>
      <c r="AK4472" s="4">
        <v>12</v>
      </c>
      <c r="AL4472" s="4">
        <v>19</v>
      </c>
      <c r="AM4472" s="4">
        <v>23</v>
      </c>
      <c r="AN4472" s="4">
        <v>0</v>
      </c>
      <c r="AO4472" s="4">
        <v>0</v>
      </c>
      <c r="AP4472" s="4">
        <v>7</v>
      </c>
      <c r="AQ4472" s="4">
        <v>11</v>
      </c>
      <c r="AR4472" s="3" t="s">
        <v>64</v>
      </c>
      <c r="AS4472" s="3" t="s">
        <v>64</v>
      </c>
      <c r="AT4472" s="3" t="s">
        <v>64</v>
      </c>
      <c r="AV4472" s="6" t="str">
        <f>HYPERLINK("http://mcgill.on.worldcat.org/oclc/1023608883","Catalog Record")</f>
        <v>Catalog Record</v>
      </c>
      <c r="AW4472" s="6" t="str">
        <f>HYPERLINK("http://www.worldcat.org/oclc/1023608883","WorldCat Record")</f>
        <v>WorldCat Record</v>
      </c>
      <c r="AX4472" s="3" t="s">
        <v>43564</v>
      </c>
      <c r="AY4472" s="3" t="s">
        <v>43565</v>
      </c>
      <c r="AZ4472" s="3" t="s">
        <v>43566</v>
      </c>
      <c r="BA4472" s="3" t="s">
        <v>43566</v>
      </c>
      <c r="BB4472" s="3" t="s">
        <v>43567</v>
      </c>
      <c r="BC4472" s="3" t="s">
        <v>77</v>
      </c>
      <c r="BD4472" s="3" t="s">
        <v>78</v>
      </c>
      <c r="BE4472" s="3" t="s">
        <v>43568</v>
      </c>
      <c r="BF4472" s="3" t="s">
        <v>43567</v>
      </c>
      <c r="BG4472" s="3" t="s">
        <v>43569</v>
      </c>
      <c r="BH4472">
        <f t="shared" si="139"/>
        <v>0</v>
      </c>
    </row>
    <row r="4473" spans="1:60" ht="58" x14ac:dyDescent="0.35">
      <c r="A4473" s="2" t="s">
        <v>6202</v>
      </c>
      <c r="B4473" s="2" t="s">
        <v>6203</v>
      </c>
      <c r="C4473" s="2" t="s">
        <v>43570</v>
      </c>
      <c r="D4473" s="2" t="s">
        <v>43571</v>
      </c>
      <c r="E4473" s="2" t="s">
        <v>43572</v>
      </c>
      <c r="G4473" s="3" t="s">
        <v>64</v>
      </c>
      <c r="I4473" s="3" t="s">
        <v>64</v>
      </c>
      <c r="J4473" s="3" t="s">
        <v>64</v>
      </c>
      <c r="K4473" s="3" t="s">
        <v>65</v>
      </c>
      <c r="L4473" s="2" t="s">
        <v>43573</v>
      </c>
      <c r="M4473" s="2" t="s">
        <v>43574</v>
      </c>
      <c r="N4473" s="3" t="s">
        <v>1250</v>
      </c>
      <c r="P4473" s="3" t="s">
        <v>102</v>
      </c>
      <c r="Q4473" s="2" t="s">
        <v>43575</v>
      </c>
      <c r="R4473" s="3" t="s">
        <v>70</v>
      </c>
      <c r="S4473" s="4">
        <v>1</v>
      </c>
      <c r="T4473" s="4">
        <v>1</v>
      </c>
      <c r="U4473" s="5" t="s">
        <v>43576</v>
      </c>
      <c r="V4473" s="5" t="s">
        <v>43576</v>
      </c>
      <c r="W4473" s="5" t="s">
        <v>72</v>
      </c>
      <c r="X4473" s="5" t="s">
        <v>72</v>
      </c>
      <c r="Y4473" s="4">
        <v>43</v>
      </c>
      <c r="Z4473" s="4">
        <v>17</v>
      </c>
      <c r="AA4473" s="4">
        <v>19</v>
      </c>
      <c r="AB4473" s="4">
        <v>2</v>
      </c>
      <c r="AC4473" s="4">
        <v>3</v>
      </c>
      <c r="AD4473" s="4">
        <v>20</v>
      </c>
      <c r="AE4473" s="4">
        <v>22</v>
      </c>
      <c r="AF4473" s="4">
        <v>0</v>
      </c>
      <c r="AG4473" s="4">
        <v>1</v>
      </c>
      <c r="AH4473" s="4">
        <v>16</v>
      </c>
      <c r="AI4473" s="4">
        <v>17</v>
      </c>
      <c r="AJ4473" s="4">
        <v>8</v>
      </c>
      <c r="AK4473" s="4">
        <v>9</v>
      </c>
      <c r="AL4473" s="4">
        <v>11</v>
      </c>
      <c r="AM4473" s="4">
        <v>11</v>
      </c>
      <c r="AN4473" s="4">
        <v>0</v>
      </c>
      <c r="AO4473" s="4">
        <v>0</v>
      </c>
      <c r="AP4473" s="4">
        <v>9</v>
      </c>
      <c r="AQ4473" s="4">
        <v>11</v>
      </c>
      <c r="AR4473" s="3" t="s">
        <v>128</v>
      </c>
      <c r="AS4473" s="3" t="s">
        <v>64</v>
      </c>
      <c r="AT4473" s="3" t="s">
        <v>64</v>
      </c>
      <c r="AV4473" s="6" t="str">
        <f>HYPERLINK("http://mcgill.on.worldcat.org/oclc/31514810","Catalog Record")</f>
        <v>Catalog Record</v>
      </c>
      <c r="AW4473" s="6" t="str">
        <f>HYPERLINK("http://www.worldcat.org/oclc/31514810","WorldCat Record")</f>
        <v>WorldCat Record</v>
      </c>
      <c r="AX4473" s="3" t="s">
        <v>43577</v>
      </c>
      <c r="AY4473" s="3" t="s">
        <v>43578</v>
      </c>
      <c r="AZ4473" s="3" t="s">
        <v>43579</v>
      </c>
      <c r="BA4473" s="3" t="s">
        <v>43579</v>
      </c>
      <c r="BB4473" s="3" t="s">
        <v>43580</v>
      </c>
      <c r="BC4473" s="3" t="s">
        <v>77</v>
      </c>
      <c r="BD4473" s="3" t="s">
        <v>78</v>
      </c>
      <c r="BE4473" s="3" t="s">
        <v>43581</v>
      </c>
      <c r="BF4473" s="3" t="s">
        <v>43580</v>
      </c>
      <c r="BG4473" s="3" t="s">
        <v>43582</v>
      </c>
      <c r="BH4473">
        <f t="shared" si="139"/>
        <v>0</v>
      </c>
    </row>
    <row r="4474" spans="1:60" ht="72.5" x14ac:dyDescent="0.35">
      <c r="A4474" s="2" t="s">
        <v>6202</v>
      </c>
      <c r="B4474" s="2" t="s">
        <v>6203</v>
      </c>
      <c r="C4474" s="2" t="s">
        <v>43583</v>
      </c>
      <c r="D4474" s="2" t="s">
        <v>43584</v>
      </c>
      <c r="E4474" s="2" t="s">
        <v>43585</v>
      </c>
      <c r="F4474" s="3" t="s">
        <v>43586</v>
      </c>
      <c r="G4474" s="3" t="s">
        <v>64</v>
      </c>
      <c r="I4474" s="3" t="s">
        <v>64</v>
      </c>
      <c r="J4474" s="3" t="s">
        <v>64</v>
      </c>
      <c r="K4474" s="3" t="s">
        <v>65</v>
      </c>
      <c r="L4474" s="2" t="s">
        <v>43587</v>
      </c>
      <c r="M4474" s="2" t="s">
        <v>43588</v>
      </c>
      <c r="N4474" s="3" t="s">
        <v>1750</v>
      </c>
      <c r="P4474" s="3" t="s">
        <v>68</v>
      </c>
      <c r="Q4474" s="2" t="s">
        <v>43589</v>
      </c>
      <c r="R4474" s="3" t="s">
        <v>70</v>
      </c>
      <c r="S4474" s="4">
        <v>2</v>
      </c>
      <c r="T4474" s="4">
        <v>2</v>
      </c>
      <c r="U4474" s="5" t="s">
        <v>5872</v>
      </c>
      <c r="V4474" s="5" t="s">
        <v>5872</v>
      </c>
      <c r="W4474" s="5" t="s">
        <v>72</v>
      </c>
      <c r="X4474" s="5" t="s">
        <v>72</v>
      </c>
      <c r="Y4474" s="4">
        <v>157</v>
      </c>
      <c r="Z4474" s="4">
        <v>8</v>
      </c>
      <c r="AA4474" s="4">
        <v>10</v>
      </c>
      <c r="AB4474" s="4">
        <v>1</v>
      </c>
      <c r="AC4474" s="4">
        <v>3</v>
      </c>
      <c r="AD4474" s="4">
        <v>59</v>
      </c>
      <c r="AE4474" s="4">
        <v>61</v>
      </c>
      <c r="AF4474" s="4">
        <v>0</v>
      </c>
      <c r="AG4474" s="4">
        <v>2</v>
      </c>
      <c r="AH4474" s="4">
        <v>58</v>
      </c>
      <c r="AI4474" s="4">
        <v>59</v>
      </c>
      <c r="AJ4474" s="4">
        <v>5</v>
      </c>
      <c r="AK4474" s="4">
        <v>7</v>
      </c>
      <c r="AL4474" s="4">
        <v>40</v>
      </c>
      <c r="AM4474" s="4">
        <v>40</v>
      </c>
      <c r="AN4474" s="4">
        <v>5</v>
      </c>
      <c r="AO4474" s="4">
        <v>5</v>
      </c>
      <c r="AP4474" s="4">
        <v>5</v>
      </c>
      <c r="AQ4474" s="4">
        <v>6</v>
      </c>
      <c r="AR4474" s="3" t="s">
        <v>64</v>
      </c>
      <c r="AS4474" s="3" t="s">
        <v>64</v>
      </c>
      <c r="AT4474" s="3" t="s">
        <v>128</v>
      </c>
      <c r="AU4474" s="6" t="str">
        <f>HYPERLINK("http://catalog.hathitrust.org/Record/101998823","HathiTrust Record")</f>
        <v>HathiTrust Record</v>
      </c>
      <c r="AV4474" s="6" t="str">
        <f>HYPERLINK("http://mcgill.on.worldcat.org/oclc/3156850","Catalog Record")</f>
        <v>Catalog Record</v>
      </c>
      <c r="AW4474" s="6" t="str">
        <f>HYPERLINK("http://www.worldcat.org/oclc/3156850","WorldCat Record")</f>
        <v>WorldCat Record</v>
      </c>
      <c r="AX4474" s="3" t="s">
        <v>43590</v>
      </c>
      <c r="AY4474" s="3" t="s">
        <v>43591</v>
      </c>
      <c r="AZ4474" s="3" t="s">
        <v>43592</v>
      </c>
      <c r="BA4474" s="3" t="s">
        <v>43592</v>
      </c>
      <c r="BB4474" s="3" t="s">
        <v>43593</v>
      </c>
      <c r="BC4474" s="3" t="s">
        <v>77</v>
      </c>
      <c r="BD4474" s="3" t="s">
        <v>78</v>
      </c>
      <c r="BF4474" s="3" t="s">
        <v>43593</v>
      </c>
      <c r="BG4474" s="3" t="s">
        <v>43594</v>
      </c>
      <c r="BH4474">
        <f t="shared" si="139"/>
        <v>0</v>
      </c>
    </row>
    <row r="4475" spans="1:60" ht="72.5" x14ac:dyDescent="0.35">
      <c r="A4475" s="2" t="s">
        <v>6202</v>
      </c>
      <c r="B4475" s="2" t="s">
        <v>6203</v>
      </c>
      <c r="C4475" s="2" t="s">
        <v>43595</v>
      </c>
      <c r="D4475" s="2" t="s">
        <v>43596</v>
      </c>
      <c r="E4475" s="2" t="s">
        <v>43597</v>
      </c>
      <c r="F4475" s="3" t="s">
        <v>43598</v>
      </c>
      <c r="G4475" s="3" t="s">
        <v>64</v>
      </c>
      <c r="I4475" s="3" t="s">
        <v>64</v>
      </c>
      <c r="J4475" s="3" t="s">
        <v>64</v>
      </c>
      <c r="K4475" s="3" t="s">
        <v>65</v>
      </c>
      <c r="L4475" s="2" t="s">
        <v>43599</v>
      </c>
      <c r="M4475" s="2" t="s">
        <v>43600</v>
      </c>
      <c r="N4475" s="3" t="s">
        <v>405</v>
      </c>
      <c r="P4475" s="3" t="s">
        <v>102</v>
      </c>
      <c r="Q4475" s="2" t="s">
        <v>43601</v>
      </c>
      <c r="R4475" s="3" t="s">
        <v>70</v>
      </c>
      <c r="S4475" s="4">
        <v>7</v>
      </c>
      <c r="T4475" s="4">
        <v>7</v>
      </c>
      <c r="U4475" s="5" t="s">
        <v>35087</v>
      </c>
      <c r="V4475" s="5" t="s">
        <v>35087</v>
      </c>
      <c r="W4475" s="5" t="s">
        <v>72</v>
      </c>
      <c r="X4475" s="5" t="s">
        <v>72</v>
      </c>
      <c r="Y4475" s="4">
        <v>177</v>
      </c>
      <c r="Z4475" s="4">
        <v>10</v>
      </c>
      <c r="AA4475" s="4">
        <v>12</v>
      </c>
      <c r="AB4475" s="4">
        <v>1</v>
      </c>
      <c r="AC4475" s="4">
        <v>2</v>
      </c>
      <c r="AD4475" s="4">
        <v>63</v>
      </c>
      <c r="AE4475" s="4">
        <v>65</v>
      </c>
      <c r="AF4475" s="4">
        <v>0</v>
      </c>
      <c r="AG4475" s="4">
        <v>1</v>
      </c>
      <c r="AH4475" s="4">
        <v>60</v>
      </c>
      <c r="AI4475" s="4">
        <v>61</v>
      </c>
      <c r="AJ4475" s="4">
        <v>6</v>
      </c>
      <c r="AK4475" s="4">
        <v>7</v>
      </c>
      <c r="AL4475" s="4">
        <v>42</v>
      </c>
      <c r="AM4475" s="4">
        <v>42</v>
      </c>
      <c r="AN4475" s="4">
        <v>5</v>
      </c>
      <c r="AO4475" s="4">
        <v>5</v>
      </c>
      <c r="AP4475" s="4">
        <v>7</v>
      </c>
      <c r="AQ4475" s="4">
        <v>9</v>
      </c>
      <c r="AR4475" s="3" t="s">
        <v>64</v>
      </c>
      <c r="AS4475" s="3" t="s">
        <v>64</v>
      </c>
      <c r="AT4475" s="3" t="s">
        <v>128</v>
      </c>
      <c r="AU4475" s="6" t="str">
        <f>HYPERLINK("http://catalog.hathitrust.org/Record/101998738","HathiTrust Record")</f>
        <v>HathiTrust Record</v>
      </c>
      <c r="AV4475" s="6" t="str">
        <f>HYPERLINK("http://mcgill.on.worldcat.org/oclc/4641316","Catalog Record")</f>
        <v>Catalog Record</v>
      </c>
      <c r="AW4475" s="6" t="str">
        <f>HYPERLINK("http://www.worldcat.org/oclc/4641316","WorldCat Record")</f>
        <v>WorldCat Record</v>
      </c>
      <c r="AX4475" s="3" t="s">
        <v>43602</v>
      </c>
      <c r="AY4475" s="3" t="s">
        <v>43603</v>
      </c>
      <c r="AZ4475" s="3" t="s">
        <v>43604</v>
      </c>
      <c r="BA4475" s="3" t="s">
        <v>43604</v>
      </c>
      <c r="BB4475" s="3" t="s">
        <v>43605</v>
      </c>
      <c r="BC4475" s="3" t="s">
        <v>77</v>
      </c>
      <c r="BD4475" s="3" t="s">
        <v>78</v>
      </c>
      <c r="BF4475" s="3" t="s">
        <v>43605</v>
      </c>
      <c r="BG4475" s="3" t="s">
        <v>43606</v>
      </c>
      <c r="BH4475">
        <f t="shared" si="139"/>
        <v>0</v>
      </c>
    </row>
    <row r="4476" spans="1:60" ht="72.5" x14ac:dyDescent="0.35">
      <c r="A4476" s="2" t="s">
        <v>6202</v>
      </c>
      <c r="B4476" s="2" t="s">
        <v>6203</v>
      </c>
      <c r="C4476" s="2" t="s">
        <v>43607</v>
      </c>
      <c r="D4476" s="2" t="s">
        <v>43608</v>
      </c>
      <c r="E4476" s="2" t="s">
        <v>43609</v>
      </c>
      <c r="F4476" s="3" t="s">
        <v>43610</v>
      </c>
      <c r="G4476" s="3" t="s">
        <v>64</v>
      </c>
      <c r="I4476" s="3" t="s">
        <v>64</v>
      </c>
      <c r="J4476" s="3" t="s">
        <v>64</v>
      </c>
      <c r="K4476" s="3" t="s">
        <v>65</v>
      </c>
      <c r="L4476" s="2" t="s">
        <v>43611</v>
      </c>
      <c r="M4476" s="2" t="s">
        <v>43612</v>
      </c>
      <c r="N4476" s="3" t="s">
        <v>405</v>
      </c>
      <c r="P4476" s="3" t="s">
        <v>68</v>
      </c>
      <c r="Q4476" s="2" t="s">
        <v>43613</v>
      </c>
      <c r="R4476" s="3" t="s">
        <v>70</v>
      </c>
      <c r="S4476" s="4">
        <v>2</v>
      </c>
      <c r="T4476" s="4">
        <v>2</v>
      </c>
      <c r="U4476" s="5" t="s">
        <v>43614</v>
      </c>
      <c r="V4476" s="5" t="s">
        <v>43614</v>
      </c>
      <c r="W4476" s="5" t="s">
        <v>72</v>
      </c>
      <c r="X4476" s="5" t="s">
        <v>72</v>
      </c>
      <c r="Y4476" s="4">
        <v>139</v>
      </c>
      <c r="Z4476" s="4">
        <v>9</v>
      </c>
      <c r="AA4476" s="4">
        <v>12</v>
      </c>
      <c r="AB4476" s="4">
        <v>1</v>
      </c>
      <c r="AC4476" s="4">
        <v>3</v>
      </c>
      <c r="AD4476" s="4">
        <v>54</v>
      </c>
      <c r="AE4476" s="4">
        <v>60</v>
      </c>
      <c r="AF4476" s="4">
        <v>0</v>
      </c>
      <c r="AG4476" s="4">
        <v>2</v>
      </c>
      <c r="AH4476" s="4">
        <v>53</v>
      </c>
      <c r="AI4476" s="4">
        <v>57</v>
      </c>
      <c r="AJ4476" s="4">
        <v>6</v>
      </c>
      <c r="AK4476" s="4">
        <v>8</v>
      </c>
      <c r="AL4476" s="4">
        <v>39</v>
      </c>
      <c r="AM4476" s="4">
        <v>40</v>
      </c>
      <c r="AN4476" s="4">
        <v>0</v>
      </c>
      <c r="AO4476" s="4">
        <v>0</v>
      </c>
      <c r="AP4476" s="4">
        <v>6</v>
      </c>
      <c r="AQ4476" s="4">
        <v>8</v>
      </c>
      <c r="AR4476" s="3" t="s">
        <v>64</v>
      </c>
      <c r="AS4476" s="3" t="s">
        <v>64</v>
      </c>
      <c r="AT4476" s="3" t="s">
        <v>128</v>
      </c>
      <c r="AU4476" s="6" t="str">
        <f>HYPERLINK("http://catalog.hathitrust.org/Record/006746082","HathiTrust Record")</f>
        <v>HathiTrust Record</v>
      </c>
      <c r="AV4476" s="6" t="str">
        <f>HYPERLINK("http://mcgill.on.worldcat.org/oclc/3144137","Catalog Record")</f>
        <v>Catalog Record</v>
      </c>
      <c r="AW4476" s="6" t="str">
        <f>HYPERLINK("http://www.worldcat.org/oclc/3144137","WorldCat Record")</f>
        <v>WorldCat Record</v>
      </c>
      <c r="AX4476" s="3" t="s">
        <v>43615</v>
      </c>
      <c r="AY4476" s="3" t="s">
        <v>43616</v>
      </c>
      <c r="AZ4476" s="3" t="s">
        <v>43617</v>
      </c>
      <c r="BA4476" s="3" t="s">
        <v>43617</v>
      </c>
      <c r="BB4476" s="3" t="s">
        <v>43618</v>
      </c>
      <c r="BC4476" s="3" t="s">
        <v>77</v>
      </c>
      <c r="BD4476" s="3" t="s">
        <v>78</v>
      </c>
      <c r="BF4476" s="3" t="s">
        <v>43618</v>
      </c>
      <c r="BG4476" s="3" t="s">
        <v>43619</v>
      </c>
      <c r="BH4476">
        <f t="shared" si="139"/>
        <v>0</v>
      </c>
    </row>
    <row r="4477" spans="1:60" ht="72.5" x14ac:dyDescent="0.35">
      <c r="A4477" s="2" t="s">
        <v>6202</v>
      </c>
      <c r="B4477" s="2" t="s">
        <v>6203</v>
      </c>
      <c r="C4477" s="2" t="s">
        <v>43620</v>
      </c>
      <c r="D4477" s="2" t="s">
        <v>43621</v>
      </c>
      <c r="E4477" s="2" t="s">
        <v>43622</v>
      </c>
      <c r="F4477" s="3" t="s">
        <v>43623</v>
      </c>
      <c r="G4477" s="3" t="s">
        <v>64</v>
      </c>
      <c r="I4477" s="3" t="s">
        <v>64</v>
      </c>
      <c r="J4477" s="3" t="s">
        <v>64</v>
      </c>
      <c r="K4477" s="3" t="s">
        <v>65</v>
      </c>
      <c r="L4477" s="2" t="s">
        <v>43624</v>
      </c>
      <c r="M4477" s="2" t="s">
        <v>43625</v>
      </c>
      <c r="N4477" s="3" t="s">
        <v>768</v>
      </c>
      <c r="P4477" s="3" t="s">
        <v>68</v>
      </c>
      <c r="Q4477" s="2" t="s">
        <v>43626</v>
      </c>
      <c r="R4477" s="3" t="s">
        <v>70</v>
      </c>
      <c r="S4477" s="4">
        <v>2</v>
      </c>
      <c r="T4477" s="4">
        <v>2</v>
      </c>
      <c r="U4477" s="5" t="s">
        <v>43627</v>
      </c>
      <c r="V4477" s="5" t="s">
        <v>43627</v>
      </c>
      <c r="W4477" s="5" t="s">
        <v>72</v>
      </c>
      <c r="X4477" s="5" t="s">
        <v>72</v>
      </c>
      <c r="Y4477" s="4">
        <v>160</v>
      </c>
      <c r="Z4477" s="4">
        <v>8</v>
      </c>
      <c r="AA4477" s="4">
        <v>8</v>
      </c>
      <c r="AB4477" s="4">
        <v>1</v>
      </c>
      <c r="AC4477" s="4">
        <v>1</v>
      </c>
      <c r="AD4477" s="4">
        <v>53</v>
      </c>
      <c r="AE4477" s="4">
        <v>53</v>
      </c>
      <c r="AF4477" s="4">
        <v>0</v>
      </c>
      <c r="AG4477" s="4">
        <v>0</v>
      </c>
      <c r="AH4477" s="4">
        <v>52</v>
      </c>
      <c r="AI4477" s="4">
        <v>52</v>
      </c>
      <c r="AJ4477" s="4">
        <v>4</v>
      </c>
      <c r="AK4477" s="4">
        <v>4</v>
      </c>
      <c r="AL4477" s="4">
        <v>40</v>
      </c>
      <c r="AM4477" s="4">
        <v>40</v>
      </c>
      <c r="AN4477" s="4">
        <v>0</v>
      </c>
      <c r="AO4477" s="4">
        <v>0</v>
      </c>
      <c r="AP4477" s="4">
        <v>4</v>
      </c>
      <c r="AQ4477" s="4">
        <v>4</v>
      </c>
      <c r="AR4477" s="3" t="s">
        <v>64</v>
      </c>
      <c r="AS4477" s="3" t="s">
        <v>64</v>
      </c>
      <c r="AT4477" s="3" t="s">
        <v>64</v>
      </c>
      <c r="AV4477" s="6" t="str">
        <f>HYPERLINK("http://mcgill.on.worldcat.org/oclc/4900447","Catalog Record")</f>
        <v>Catalog Record</v>
      </c>
      <c r="AW4477" s="6" t="str">
        <f>HYPERLINK("http://www.worldcat.org/oclc/4900447","WorldCat Record")</f>
        <v>WorldCat Record</v>
      </c>
      <c r="AX4477" s="3" t="s">
        <v>43628</v>
      </c>
      <c r="AY4477" s="3" t="s">
        <v>43629</v>
      </c>
      <c r="AZ4477" s="3" t="s">
        <v>43630</v>
      </c>
      <c r="BA4477" s="3" t="s">
        <v>43630</v>
      </c>
      <c r="BB4477" s="3" t="s">
        <v>43631</v>
      </c>
      <c r="BC4477" s="3" t="s">
        <v>77</v>
      </c>
      <c r="BD4477" s="3" t="s">
        <v>78</v>
      </c>
      <c r="BE4477" s="3" t="s">
        <v>43632</v>
      </c>
      <c r="BF4477" s="3" t="s">
        <v>43631</v>
      </c>
      <c r="BG4477" s="3" t="s">
        <v>43633</v>
      </c>
      <c r="BH4477">
        <f t="shared" si="139"/>
        <v>0</v>
      </c>
    </row>
    <row r="4478" spans="1:60" ht="72.5" x14ac:dyDescent="0.35">
      <c r="A4478" s="2" t="s">
        <v>6202</v>
      </c>
      <c r="B4478" s="2" t="s">
        <v>6203</v>
      </c>
      <c r="C4478" s="2" t="s">
        <v>43634</v>
      </c>
      <c r="D4478" s="2" t="s">
        <v>43635</v>
      </c>
      <c r="E4478" s="2" t="s">
        <v>43636</v>
      </c>
      <c r="F4478" s="3" t="s">
        <v>43637</v>
      </c>
      <c r="G4478" s="3" t="s">
        <v>64</v>
      </c>
      <c r="I4478" s="3" t="s">
        <v>64</v>
      </c>
      <c r="J4478" s="3" t="s">
        <v>64</v>
      </c>
      <c r="K4478" s="3" t="s">
        <v>65</v>
      </c>
      <c r="L4478" s="2" t="s">
        <v>43638</v>
      </c>
      <c r="M4478" s="2" t="s">
        <v>43639</v>
      </c>
      <c r="N4478" s="3" t="s">
        <v>922</v>
      </c>
      <c r="P4478" s="3" t="s">
        <v>68</v>
      </c>
      <c r="Q4478" s="2" t="s">
        <v>43640</v>
      </c>
      <c r="R4478" s="3" t="s">
        <v>70</v>
      </c>
      <c r="S4478" s="4">
        <v>2</v>
      </c>
      <c r="T4478" s="4">
        <v>2</v>
      </c>
      <c r="U4478" s="5" t="s">
        <v>7782</v>
      </c>
      <c r="V4478" s="5" t="s">
        <v>7782</v>
      </c>
      <c r="W4478" s="5" t="s">
        <v>72</v>
      </c>
      <c r="X4478" s="5" t="s">
        <v>72</v>
      </c>
      <c r="Y4478" s="4">
        <v>150</v>
      </c>
      <c r="Z4478" s="4">
        <v>8</v>
      </c>
      <c r="AA4478" s="4">
        <v>10</v>
      </c>
      <c r="AB4478" s="4">
        <v>1</v>
      </c>
      <c r="AC4478" s="4">
        <v>3</v>
      </c>
      <c r="AD4478" s="4">
        <v>56</v>
      </c>
      <c r="AE4478" s="4">
        <v>58</v>
      </c>
      <c r="AF4478" s="4">
        <v>0</v>
      </c>
      <c r="AG4478" s="4">
        <v>2</v>
      </c>
      <c r="AH4478" s="4">
        <v>55</v>
      </c>
      <c r="AI4478" s="4">
        <v>56</v>
      </c>
      <c r="AJ4478" s="4">
        <v>5</v>
      </c>
      <c r="AK4478" s="4">
        <v>7</v>
      </c>
      <c r="AL4478" s="4">
        <v>41</v>
      </c>
      <c r="AM4478" s="4">
        <v>41</v>
      </c>
      <c r="AN4478" s="4">
        <v>5</v>
      </c>
      <c r="AO4478" s="4">
        <v>5</v>
      </c>
      <c r="AP4478" s="4">
        <v>5</v>
      </c>
      <c r="AQ4478" s="4">
        <v>6</v>
      </c>
      <c r="AR4478" s="3" t="s">
        <v>64</v>
      </c>
      <c r="AS4478" s="3" t="s">
        <v>64</v>
      </c>
      <c r="AT4478" s="3" t="s">
        <v>128</v>
      </c>
      <c r="AU4478" s="6" t="str">
        <f>HYPERLINK("http://catalog.hathitrust.org/Record/101998736","HathiTrust Record")</f>
        <v>HathiTrust Record</v>
      </c>
      <c r="AV4478" s="6" t="str">
        <f>HYPERLINK("http://mcgill.on.worldcat.org/oclc/3144117","Catalog Record")</f>
        <v>Catalog Record</v>
      </c>
      <c r="AW4478" s="6" t="str">
        <f>HYPERLINK("http://www.worldcat.org/oclc/3144117","WorldCat Record")</f>
        <v>WorldCat Record</v>
      </c>
      <c r="AX4478" s="3" t="s">
        <v>43641</v>
      </c>
      <c r="AY4478" s="3" t="s">
        <v>43642</v>
      </c>
      <c r="AZ4478" s="3" t="s">
        <v>43643</v>
      </c>
      <c r="BA4478" s="3" t="s">
        <v>43643</v>
      </c>
      <c r="BB4478" s="3" t="s">
        <v>43644</v>
      </c>
      <c r="BC4478" s="3" t="s">
        <v>77</v>
      </c>
      <c r="BD4478" s="3" t="s">
        <v>78</v>
      </c>
      <c r="BF4478" s="3" t="s">
        <v>43644</v>
      </c>
      <c r="BG4478" s="3" t="s">
        <v>43645</v>
      </c>
      <c r="BH4478">
        <f t="shared" si="139"/>
        <v>0</v>
      </c>
    </row>
    <row r="4479" spans="1:60" ht="72.5" x14ac:dyDescent="0.35">
      <c r="A4479" s="2" t="s">
        <v>6202</v>
      </c>
      <c r="B4479" s="2" t="s">
        <v>6203</v>
      </c>
      <c r="C4479" s="2" t="s">
        <v>43646</v>
      </c>
      <c r="D4479" s="2" t="s">
        <v>43647</v>
      </c>
      <c r="E4479" s="2" t="s">
        <v>43648</v>
      </c>
      <c r="F4479" s="3" t="s">
        <v>43649</v>
      </c>
      <c r="G4479" s="3" t="s">
        <v>64</v>
      </c>
      <c r="I4479" s="3" t="s">
        <v>64</v>
      </c>
      <c r="J4479" s="3" t="s">
        <v>64</v>
      </c>
      <c r="K4479" s="3" t="s">
        <v>65</v>
      </c>
      <c r="L4479" s="2" t="s">
        <v>2303</v>
      </c>
      <c r="M4479" s="2" t="s">
        <v>43650</v>
      </c>
      <c r="N4479" s="3" t="s">
        <v>3721</v>
      </c>
      <c r="P4479" s="3" t="s">
        <v>68</v>
      </c>
      <c r="Q4479" s="2" t="s">
        <v>43651</v>
      </c>
      <c r="R4479" s="3" t="s">
        <v>70</v>
      </c>
      <c r="S4479" s="4">
        <v>3</v>
      </c>
      <c r="T4479" s="4">
        <v>3</v>
      </c>
      <c r="U4479" s="5" t="s">
        <v>23007</v>
      </c>
      <c r="V4479" s="5" t="s">
        <v>23007</v>
      </c>
      <c r="W4479" s="5" t="s">
        <v>72</v>
      </c>
      <c r="X4479" s="5" t="s">
        <v>72</v>
      </c>
      <c r="Y4479" s="4">
        <v>169</v>
      </c>
      <c r="Z4479" s="4">
        <v>8</v>
      </c>
      <c r="AA4479" s="4">
        <v>10</v>
      </c>
      <c r="AB4479" s="4">
        <v>1</v>
      </c>
      <c r="AC4479" s="4">
        <v>3</v>
      </c>
      <c r="AD4479" s="4">
        <v>56</v>
      </c>
      <c r="AE4479" s="4">
        <v>58</v>
      </c>
      <c r="AF4479" s="4">
        <v>0</v>
      </c>
      <c r="AG4479" s="4">
        <v>2</v>
      </c>
      <c r="AH4479" s="4">
        <v>55</v>
      </c>
      <c r="AI4479" s="4">
        <v>56</v>
      </c>
      <c r="AJ4479" s="4">
        <v>5</v>
      </c>
      <c r="AK4479" s="4">
        <v>7</v>
      </c>
      <c r="AL4479" s="4">
        <v>39</v>
      </c>
      <c r="AM4479" s="4">
        <v>39</v>
      </c>
      <c r="AN4479" s="4">
        <v>0</v>
      </c>
      <c r="AO4479" s="4">
        <v>0</v>
      </c>
      <c r="AP4479" s="4">
        <v>5</v>
      </c>
      <c r="AQ4479" s="4">
        <v>6</v>
      </c>
      <c r="AR4479" s="3" t="s">
        <v>64</v>
      </c>
      <c r="AS4479" s="3" t="s">
        <v>64</v>
      </c>
      <c r="AT4479" s="3" t="s">
        <v>128</v>
      </c>
      <c r="AU4479" s="6" t="str">
        <f>HYPERLINK("http://catalog.hathitrust.org/Record/005837005","HathiTrust Record")</f>
        <v>HathiTrust Record</v>
      </c>
      <c r="AV4479" s="6" t="str">
        <f>HYPERLINK("http://mcgill.on.worldcat.org/oclc/6481070","Catalog Record")</f>
        <v>Catalog Record</v>
      </c>
      <c r="AW4479" s="6" t="str">
        <f>HYPERLINK("http://www.worldcat.org/oclc/6481070","WorldCat Record")</f>
        <v>WorldCat Record</v>
      </c>
      <c r="AX4479" s="3" t="s">
        <v>43652</v>
      </c>
      <c r="AY4479" s="3" t="s">
        <v>43653</v>
      </c>
      <c r="AZ4479" s="3" t="s">
        <v>43654</v>
      </c>
      <c r="BA4479" s="3" t="s">
        <v>43654</v>
      </c>
      <c r="BB4479" s="3" t="s">
        <v>43655</v>
      </c>
      <c r="BC4479" s="3" t="s">
        <v>77</v>
      </c>
      <c r="BD4479" s="3" t="s">
        <v>78</v>
      </c>
      <c r="BF4479" s="3" t="s">
        <v>43655</v>
      </c>
      <c r="BG4479" s="3" t="s">
        <v>43656</v>
      </c>
      <c r="BH4479">
        <f t="shared" si="139"/>
        <v>0</v>
      </c>
    </row>
    <row r="4480" spans="1:60" ht="72.5" x14ac:dyDescent="0.35">
      <c r="A4480" s="2" t="s">
        <v>6202</v>
      </c>
      <c r="B4480" s="2" t="s">
        <v>6203</v>
      </c>
      <c r="C4480" s="2" t="s">
        <v>43657</v>
      </c>
      <c r="D4480" s="2" t="s">
        <v>43658</v>
      </c>
      <c r="E4480" s="2" t="s">
        <v>43659</v>
      </c>
      <c r="F4480" s="3" t="s">
        <v>43660</v>
      </c>
      <c r="G4480" s="3" t="s">
        <v>64</v>
      </c>
      <c r="I4480" s="3" t="s">
        <v>64</v>
      </c>
      <c r="J4480" s="3" t="s">
        <v>64</v>
      </c>
      <c r="K4480" s="3" t="s">
        <v>65</v>
      </c>
      <c r="L4480" s="2" t="s">
        <v>43661</v>
      </c>
      <c r="M4480" s="2" t="s">
        <v>43662</v>
      </c>
      <c r="N4480" s="3" t="s">
        <v>3721</v>
      </c>
      <c r="P4480" s="3" t="s">
        <v>68</v>
      </c>
      <c r="Q4480" s="2" t="s">
        <v>43663</v>
      </c>
      <c r="R4480" s="3" t="s">
        <v>70</v>
      </c>
      <c r="S4480" s="4">
        <v>1</v>
      </c>
      <c r="T4480" s="4">
        <v>1</v>
      </c>
      <c r="U4480" s="5" t="s">
        <v>6383</v>
      </c>
      <c r="V4480" s="5" t="s">
        <v>6383</v>
      </c>
      <c r="W4480" s="5" t="s">
        <v>72</v>
      </c>
      <c r="X4480" s="5" t="s">
        <v>72</v>
      </c>
      <c r="Y4480" s="4">
        <v>146</v>
      </c>
      <c r="Z4480" s="4">
        <v>9</v>
      </c>
      <c r="AA4480" s="4">
        <v>10</v>
      </c>
      <c r="AB4480" s="4">
        <v>1</v>
      </c>
      <c r="AC4480" s="4">
        <v>2</v>
      </c>
      <c r="AD4480" s="4">
        <v>56</v>
      </c>
      <c r="AE4480" s="4">
        <v>57</v>
      </c>
      <c r="AF4480" s="4">
        <v>0</v>
      </c>
      <c r="AG4480" s="4">
        <v>1</v>
      </c>
      <c r="AH4480" s="4">
        <v>55</v>
      </c>
      <c r="AI4480" s="4">
        <v>56</v>
      </c>
      <c r="AJ4480" s="4">
        <v>6</v>
      </c>
      <c r="AK4480" s="4">
        <v>7</v>
      </c>
      <c r="AL4480" s="4">
        <v>39</v>
      </c>
      <c r="AM4480" s="4">
        <v>39</v>
      </c>
      <c r="AN4480" s="4">
        <v>5</v>
      </c>
      <c r="AO4480" s="4">
        <v>5</v>
      </c>
      <c r="AP4480" s="4">
        <v>6</v>
      </c>
      <c r="AQ4480" s="4">
        <v>7</v>
      </c>
      <c r="AR4480" s="3" t="s">
        <v>64</v>
      </c>
      <c r="AS4480" s="3" t="s">
        <v>64</v>
      </c>
      <c r="AT4480" s="3" t="s">
        <v>128</v>
      </c>
      <c r="AU4480" s="6" t="str">
        <f>HYPERLINK("http://catalog.hathitrust.org/Record/101941673","HathiTrust Record")</f>
        <v>HathiTrust Record</v>
      </c>
      <c r="AV4480" s="6" t="str">
        <f>HYPERLINK("http://mcgill.on.worldcat.org/oclc/6482588","Catalog Record")</f>
        <v>Catalog Record</v>
      </c>
      <c r="AW4480" s="6" t="str">
        <f>HYPERLINK("http://www.worldcat.org/oclc/6482588","WorldCat Record")</f>
        <v>WorldCat Record</v>
      </c>
      <c r="AX4480" s="3" t="s">
        <v>43664</v>
      </c>
      <c r="AY4480" s="3" t="s">
        <v>43665</v>
      </c>
      <c r="AZ4480" s="3" t="s">
        <v>43666</v>
      </c>
      <c r="BA4480" s="3" t="s">
        <v>43666</v>
      </c>
      <c r="BB4480" s="3" t="s">
        <v>43667</v>
      </c>
      <c r="BC4480" s="3" t="s">
        <v>77</v>
      </c>
      <c r="BD4480" s="3" t="s">
        <v>78</v>
      </c>
      <c r="BF4480" s="3" t="s">
        <v>43667</v>
      </c>
      <c r="BG4480" s="3" t="s">
        <v>43668</v>
      </c>
      <c r="BH4480">
        <f t="shared" si="139"/>
        <v>0</v>
      </c>
    </row>
    <row r="4481" spans="1:60" ht="72.5" x14ac:dyDescent="0.35">
      <c r="A4481" s="2" t="s">
        <v>6202</v>
      </c>
      <c r="B4481" s="2" t="s">
        <v>6203</v>
      </c>
      <c r="C4481" s="2" t="s">
        <v>43669</v>
      </c>
      <c r="D4481" s="2" t="s">
        <v>43670</v>
      </c>
      <c r="E4481" s="2" t="s">
        <v>43671</v>
      </c>
      <c r="F4481" s="3" t="s">
        <v>43672</v>
      </c>
      <c r="G4481" s="3" t="s">
        <v>64</v>
      </c>
      <c r="I4481" s="3" t="s">
        <v>64</v>
      </c>
      <c r="J4481" s="3" t="s">
        <v>64</v>
      </c>
      <c r="K4481" s="3" t="s">
        <v>65</v>
      </c>
      <c r="L4481" s="2" t="s">
        <v>43673</v>
      </c>
      <c r="M4481" s="2" t="s">
        <v>43674</v>
      </c>
      <c r="N4481" s="3" t="s">
        <v>874</v>
      </c>
      <c r="P4481" s="3" t="s">
        <v>68</v>
      </c>
      <c r="Q4481" s="2" t="s">
        <v>43675</v>
      </c>
      <c r="R4481" s="3" t="s">
        <v>70</v>
      </c>
      <c r="S4481" s="4">
        <v>1</v>
      </c>
      <c r="T4481" s="4">
        <v>1</v>
      </c>
      <c r="U4481" s="5" t="s">
        <v>43676</v>
      </c>
      <c r="V4481" s="5" t="s">
        <v>43676</v>
      </c>
      <c r="W4481" s="5" t="s">
        <v>72</v>
      </c>
      <c r="X4481" s="5" t="s">
        <v>72</v>
      </c>
      <c r="Y4481" s="4">
        <v>138</v>
      </c>
      <c r="Z4481" s="4">
        <v>8</v>
      </c>
      <c r="AA4481" s="4">
        <v>10</v>
      </c>
      <c r="AB4481" s="4">
        <v>1</v>
      </c>
      <c r="AC4481" s="4">
        <v>3</v>
      </c>
      <c r="AD4481" s="4">
        <v>54</v>
      </c>
      <c r="AE4481" s="4">
        <v>60</v>
      </c>
      <c r="AF4481" s="4">
        <v>0</v>
      </c>
      <c r="AG4481" s="4">
        <v>2</v>
      </c>
      <c r="AH4481" s="4">
        <v>53</v>
      </c>
      <c r="AI4481" s="4">
        <v>58</v>
      </c>
      <c r="AJ4481" s="4">
        <v>5</v>
      </c>
      <c r="AK4481" s="4">
        <v>7</v>
      </c>
      <c r="AL4481" s="4">
        <v>40</v>
      </c>
      <c r="AM4481" s="4">
        <v>41</v>
      </c>
      <c r="AN4481" s="4">
        <v>5</v>
      </c>
      <c r="AO4481" s="4">
        <v>5</v>
      </c>
      <c r="AP4481" s="4">
        <v>5</v>
      </c>
      <c r="AQ4481" s="4">
        <v>6</v>
      </c>
      <c r="AR4481" s="3" t="s">
        <v>64</v>
      </c>
      <c r="AS4481" s="3" t="s">
        <v>64</v>
      </c>
      <c r="AT4481" s="3" t="s">
        <v>128</v>
      </c>
      <c r="AU4481" s="6" t="str">
        <f>HYPERLINK("http://catalog.hathitrust.org/Record/101916873","HathiTrust Record")</f>
        <v>HathiTrust Record</v>
      </c>
      <c r="AV4481" s="6" t="str">
        <f>HYPERLINK("http://mcgill.on.worldcat.org/oclc/7698930","Catalog Record")</f>
        <v>Catalog Record</v>
      </c>
      <c r="AW4481" s="6" t="str">
        <f>HYPERLINK("http://www.worldcat.org/oclc/7698930","WorldCat Record")</f>
        <v>WorldCat Record</v>
      </c>
      <c r="AX4481" s="3" t="s">
        <v>43677</v>
      </c>
      <c r="AY4481" s="3" t="s">
        <v>43678</v>
      </c>
      <c r="AZ4481" s="3" t="s">
        <v>43679</v>
      </c>
      <c r="BA4481" s="3" t="s">
        <v>43679</v>
      </c>
      <c r="BB4481" s="3" t="s">
        <v>43680</v>
      </c>
      <c r="BC4481" s="3" t="s">
        <v>77</v>
      </c>
      <c r="BD4481" s="3" t="s">
        <v>40037</v>
      </c>
      <c r="BF4481" s="3" t="s">
        <v>43680</v>
      </c>
      <c r="BG4481" s="3" t="s">
        <v>43681</v>
      </c>
      <c r="BH4481">
        <f t="shared" si="139"/>
        <v>0</v>
      </c>
    </row>
    <row r="4482" spans="1:60" ht="72.5" x14ac:dyDescent="0.35">
      <c r="A4482" s="2" t="s">
        <v>6202</v>
      </c>
      <c r="B4482" s="2" t="s">
        <v>6203</v>
      </c>
      <c r="C4482" s="2" t="s">
        <v>43682</v>
      </c>
      <c r="D4482" s="2" t="s">
        <v>43683</v>
      </c>
      <c r="E4482" s="2" t="s">
        <v>43684</v>
      </c>
      <c r="F4482" s="3" t="s">
        <v>43685</v>
      </c>
      <c r="G4482" s="3" t="s">
        <v>64</v>
      </c>
      <c r="I4482" s="3" t="s">
        <v>64</v>
      </c>
      <c r="J4482" s="3" t="s">
        <v>64</v>
      </c>
      <c r="K4482" s="3" t="s">
        <v>65</v>
      </c>
      <c r="L4482" s="2" t="s">
        <v>43686</v>
      </c>
      <c r="M4482" s="2" t="s">
        <v>43687</v>
      </c>
      <c r="N4482" s="3" t="s">
        <v>1047</v>
      </c>
      <c r="P4482" s="3" t="s">
        <v>68</v>
      </c>
      <c r="Q4482" s="2" t="s">
        <v>43688</v>
      </c>
      <c r="R4482" s="3" t="s">
        <v>70</v>
      </c>
      <c r="S4482" s="4">
        <v>6</v>
      </c>
      <c r="T4482" s="4">
        <v>6</v>
      </c>
      <c r="U4482" s="5" t="s">
        <v>43689</v>
      </c>
      <c r="V4482" s="5" t="s">
        <v>43689</v>
      </c>
      <c r="W4482" s="5" t="s">
        <v>72</v>
      </c>
      <c r="X4482" s="5" t="s">
        <v>72</v>
      </c>
      <c r="Y4482" s="4">
        <v>166</v>
      </c>
      <c r="Z4482" s="4">
        <v>8</v>
      </c>
      <c r="AA4482" s="4">
        <v>10</v>
      </c>
      <c r="AB4482" s="4">
        <v>1</v>
      </c>
      <c r="AC4482" s="4">
        <v>3</v>
      </c>
      <c r="AD4482" s="4">
        <v>53</v>
      </c>
      <c r="AE4482" s="4">
        <v>55</v>
      </c>
      <c r="AF4482" s="4">
        <v>0</v>
      </c>
      <c r="AG4482" s="4">
        <v>2</v>
      </c>
      <c r="AH4482" s="4">
        <v>51</v>
      </c>
      <c r="AI4482" s="4">
        <v>52</v>
      </c>
      <c r="AJ4482" s="4">
        <v>5</v>
      </c>
      <c r="AK4482" s="4">
        <v>7</v>
      </c>
      <c r="AL4482" s="4">
        <v>38</v>
      </c>
      <c r="AM4482" s="4">
        <v>38</v>
      </c>
      <c r="AN4482" s="4">
        <v>0</v>
      </c>
      <c r="AO4482" s="4">
        <v>0</v>
      </c>
      <c r="AP4482" s="4">
        <v>5</v>
      </c>
      <c r="AQ4482" s="4">
        <v>6</v>
      </c>
      <c r="AR4482" s="3" t="s">
        <v>64</v>
      </c>
      <c r="AS4482" s="3" t="s">
        <v>64</v>
      </c>
      <c r="AT4482" s="3" t="s">
        <v>128</v>
      </c>
      <c r="AU4482" s="6" t="str">
        <f>HYPERLINK("http://catalog.hathitrust.org/Record/006176178","HathiTrust Record")</f>
        <v>HathiTrust Record</v>
      </c>
      <c r="AV4482" s="6" t="str">
        <f>HYPERLINK("http://mcgill.on.worldcat.org/oclc/9001676","Catalog Record")</f>
        <v>Catalog Record</v>
      </c>
      <c r="AW4482" s="6" t="str">
        <f>HYPERLINK("http://www.worldcat.org/oclc/9001676","WorldCat Record")</f>
        <v>WorldCat Record</v>
      </c>
      <c r="AX4482" s="3" t="s">
        <v>43690</v>
      </c>
      <c r="AY4482" s="3" t="s">
        <v>43691</v>
      </c>
      <c r="AZ4482" s="3" t="s">
        <v>43692</v>
      </c>
      <c r="BA4482" s="3" t="s">
        <v>43692</v>
      </c>
      <c r="BB4482" s="3" t="s">
        <v>43693</v>
      </c>
      <c r="BC4482" s="3" t="s">
        <v>77</v>
      </c>
      <c r="BD4482" s="3" t="s">
        <v>78</v>
      </c>
      <c r="BE4482" s="3" t="s">
        <v>43694</v>
      </c>
      <c r="BF4482" s="3" t="s">
        <v>43693</v>
      </c>
      <c r="BG4482" s="3" t="s">
        <v>43695</v>
      </c>
      <c r="BH4482">
        <f t="shared" ref="BH4482:BH4545" si="140">IF(COUNTIF($BF$1:$BF$5431,BF4482)=1,0,1)</f>
        <v>0</v>
      </c>
    </row>
    <row r="4483" spans="1:60" ht="87" x14ac:dyDescent="0.35">
      <c r="A4483" s="2" t="s">
        <v>6202</v>
      </c>
      <c r="B4483" s="2" t="s">
        <v>6203</v>
      </c>
      <c r="C4483" s="2" t="s">
        <v>43696</v>
      </c>
      <c r="D4483" s="2" t="s">
        <v>43697</v>
      </c>
      <c r="E4483" s="2" t="s">
        <v>43698</v>
      </c>
      <c r="F4483" s="3" t="s">
        <v>43699</v>
      </c>
      <c r="G4483" s="3" t="s">
        <v>64</v>
      </c>
      <c r="I4483" s="3" t="s">
        <v>64</v>
      </c>
      <c r="J4483" s="3" t="s">
        <v>64</v>
      </c>
      <c r="K4483" s="3" t="s">
        <v>65</v>
      </c>
      <c r="M4483" s="2" t="s">
        <v>43700</v>
      </c>
      <c r="N4483" s="3" t="s">
        <v>1061</v>
      </c>
      <c r="P4483" s="3" t="s">
        <v>68</v>
      </c>
      <c r="Q4483" s="2" t="s">
        <v>43701</v>
      </c>
      <c r="R4483" s="3" t="s">
        <v>70</v>
      </c>
      <c r="S4483" s="4">
        <v>4</v>
      </c>
      <c r="T4483" s="4">
        <v>4</v>
      </c>
      <c r="U4483" s="5" t="s">
        <v>43702</v>
      </c>
      <c r="V4483" s="5" t="s">
        <v>43702</v>
      </c>
      <c r="W4483" s="5" t="s">
        <v>72</v>
      </c>
      <c r="X4483" s="5" t="s">
        <v>72</v>
      </c>
      <c r="Y4483" s="4">
        <v>158</v>
      </c>
      <c r="Z4483" s="4">
        <v>8</v>
      </c>
      <c r="AA4483" s="4">
        <v>10</v>
      </c>
      <c r="AB4483" s="4">
        <v>1</v>
      </c>
      <c r="AC4483" s="4">
        <v>3</v>
      </c>
      <c r="AD4483" s="4">
        <v>57</v>
      </c>
      <c r="AE4483" s="4">
        <v>59</v>
      </c>
      <c r="AF4483" s="4">
        <v>0</v>
      </c>
      <c r="AG4483" s="4">
        <v>2</v>
      </c>
      <c r="AH4483" s="4">
        <v>56</v>
      </c>
      <c r="AI4483" s="4">
        <v>57</v>
      </c>
      <c r="AJ4483" s="4">
        <v>5</v>
      </c>
      <c r="AK4483" s="4">
        <v>7</v>
      </c>
      <c r="AL4483" s="4">
        <v>37</v>
      </c>
      <c r="AM4483" s="4">
        <v>37</v>
      </c>
      <c r="AN4483" s="4">
        <v>5</v>
      </c>
      <c r="AO4483" s="4">
        <v>5</v>
      </c>
      <c r="AP4483" s="4">
        <v>5</v>
      </c>
      <c r="AQ4483" s="4">
        <v>6</v>
      </c>
      <c r="AR4483" s="3" t="s">
        <v>64</v>
      </c>
      <c r="AS4483" s="3" t="s">
        <v>64</v>
      </c>
      <c r="AT4483" s="3" t="s">
        <v>128</v>
      </c>
      <c r="AU4483" s="6" t="str">
        <f>HYPERLINK("http://catalog.hathitrust.org/Record/010602793","HathiTrust Record")</f>
        <v>HathiTrust Record</v>
      </c>
      <c r="AV4483" s="6" t="str">
        <f>HYPERLINK("http://mcgill.on.worldcat.org/oclc/13767121","Catalog Record")</f>
        <v>Catalog Record</v>
      </c>
      <c r="AW4483" s="6" t="str">
        <f>HYPERLINK("http://www.worldcat.org/oclc/13767121","WorldCat Record")</f>
        <v>WorldCat Record</v>
      </c>
      <c r="AX4483" s="3" t="s">
        <v>43703</v>
      </c>
      <c r="AY4483" s="3" t="s">
        <v>43704</v>
      </c>
      <c r="AZ4483" s="3" t="s">
        <v>43705</v>
      </c>
      <c r="BA4483" s="3" t="s">
        <v>43705</v>
      </c>
      <c r="BB4483" s="3" t="s">
        <v>43706</v>
      </c>
      <c r="BC4483" s="3" t="s">
        <v>77</v>
      </c>
      <c r="BD4483" s="3" t="s">
        <v>78</v>
      </c>
      <c r="BE4483" s="3" t="s">
        <v>43707</v>
      </c>
      <c r="BF4483" s="3" t="s">
        <v>43706</v>
      </c>
      <c r="BG4483" s="3" t="s">
        <v>43708</v>
      </c>
      <c r="BH4483">
        <f t="shared" si="140"/>
        <v>0</v>
      </c>
    </row>
    <row r="4484" spans="1:60" ht="72.5" x14ac:dyDescent="0.35">
      <c r="A4484" s="2" t="s">
        <v>6202</v>
      </c>
      <c r="B4484" s="2" t="s">
        <v>6203</v>
      </c>
      <c r="C4484" s="2" t="s">
        <v>43709</v>
      </c>
      <c r="D4484" s="2" t="s">
        <v>43710</v>
      </c>
      <c r="E4484" s="2" t="s">
        <v>43711</v>
      </c>
      <c r="F4484" s="3" t="s">
        <v>43712</v>
      </c>
      <c r="G4484" s="3" t="s">
        <v>64</v>
      </c>
      <c r="I4484" s="3" t="s">
        <v>64</v>
      </c>
      <c r="J4484" s="3" t="s">
        <v>64</v>
      </c>
      <c r="K4484" s="3" t="s">
        <v>65</v>
      </c>
      <c r="M4484" s="2" t="s">
        <v>43713</v>
      </c>
      <c r="N4484" s="3" t="s">
        <v>3330</v>
      </c>
      <c r="P4484" s="3" t="s">
        <v>68</v>
      </c>
      <c r="Q4484" s="2" t="s">
        <v>43714</v>
      </c>
      <c r="R4484" s="3" t="s">
        <v>70</v>
      </c>
      <c r="S4484" s="4">
        <v>2</v>
      </c>
      <c r="T4484" s="4">
        <v>2</v>
      </c>
      <c r="U4484" s="5" t="s">
        <v>19222</v>
      </c>
      <c r="V4484" s="5" t="s">
        <v>19222</v>
      </c>
      <c r="W4484" s="5" t="s">
        <v>72</v>
      </c>
      <c r="X4484" s="5" t="s">
        <v>72</v>
      </c>
      <c r="Y4484" s="4">
        <v>163</v>
      </c>
      <c r="Z4484" s="4">
        <v>12</v>
      </c>
      <c r="AA4484" s="4">
        <v>15</v>
      </c>
      <c r="AB4484" s="4">
        <v>2</v>
      </c>
      <c r="AC4484" s="4">
        <v>4</v>
      </c>
      <c r="AD4484" s="4">
        <v>59</v>
      </c>
      <c r="AE4484" s="4">
        <v>62</v>
      </c>
      <c r="AF4484" s="4">
        <v>0</v>
      </c>
      <c r="AG4484" s="4">
        <v>2</v>
      </c>
      <c r="AH4484" s="4">
        <v>55</v>
      </c>
      <c r="AI4484" s="4">
        <v>57</v>
      </c>
      <c r="AJ4484" s="4">
        <v>7</v>
      </c>
      <c r="AK4484" s="4">
        <v>10</v>
      </c>
      <c r="AL4484" s="4">
        <v>38</v>
      </c>
      <c r="AM4484" s="4">
        <v>38</v>
      </c>
      <c r="AN4484" s="4">
        <v>5</v>
      </c>
      <c r="AO4484" s="4">
        <v>5</v>
      </c>
      <c r="AP4484" s="4">
        <v>8</v>
      </c>
      <c r="AQ4484" s="4">
        <v>10</v>
      </c>
      <c r="AR4484" s="3" t="s">
        <v>64</v>
      </c>
      <c r="AS4484" s="3" t="s">
        <v>64</v>
      </c>
      <c r="AT4484" s="3" t="s">
        <v>128</v>
      </c>
      <c r="AU4484" s="6" t="str">
        <f>HYPERLINK("http://catalog.hathitrust.org/Record/010602794","HathiTrust Record")</f>
        <v>HathiTrust Record</v>
      </c>
      <c r="AV4484" s="6" t="str">
        <f>HYPERLINK("http://mcgill.on.worldcat.org/oclc/28220912","Catalog Record")</f>
        <v>Catalog Record</v>
      </c>
      <c r="AW4484" s="6" t="str">
        <f>HYPERLINK("http://www.worldcat.org/oclc/28220912","WorldCat Record")</f>
        <v>WorldCat Record</v>
      </c>
      <c r="AX4484" s="3" t="s">
        <v>43715</v>
      </c>
      <c r="AY4484" s="3" t="s">
        <v>43716</v>
      </c>
      <c r="AZ4484" s="3" t="s">
        <v>43717</v>
      </c>
      <c r="BA4484" s="3" t="s">
        <v>43717</v>
      </c>
      <c r="BB4484" s="3" t="s">
        <v>43718</v>
      </c>
      <c r="BC4484" s="3" t="s">
        <v>77</v>
      </c>
      <c r="BD4484" s="3" t="s">
        <v>78</v>
      </c>
      <c r="BE4484" s="3" t="s">
        <v>43719</v>
      </c>
      <c r="BF4484" s="3" t="s">
        <v>43718</v>
      </c>
      <c r="BG4484" s="3" t="s">
        <v>43720</v>
      </c>
      <c r="BH4484">
        <f t="shared" si="140"/>
        <v>0</v>
      </c>
    </row>
    <row r="4485" spans="1:60" ht="72.5" x14ac:dyDescent="0.35">
      <c r="A4485" s="2" t="s">
        <v>6202</v>
      </c>
      <c r="B4485" s="2" t="s">
        <v>6203</v>
      </c>
      <c r="C4485" s="2" t="s">
        <v>43721</v>
      </c>
      <c r="D4485" s="2" t="s">
        <v>43722</v>
      </c>
      <c r="E4485" s="2" t="s">
        <v>43723</v>
      </c>
      <c r="F4485" s="3" t="s">
        <v>43724</v>
      </c>
      <c r="G4485" s="3" t="s">
        <v>64</v>
      </c>
      <c r="I4485" s="3" t="s">
        <v>64</v>
      </c>
      <c r="J4485" s="3" t="s">
        <v>64</v>
      </c>
      <c r="K4485" s="3" t="s">
        <v>65</v>
      </c>
      <c r="L4485" s="2" t="s">
        <v>43725</v>
      </c>
      <c r="M4485" s="2" t="s">
        <v>43713</v>
      </c>
      <c r="N4485" s="3" t="s">
        <v>3330</v>
      </c>
      <c r="P4485" s="3" t="s">
        <v>68</v>
      </c>
      <c r="Q4485" s="2" t="s">
        <v>43726</v>
      </c>
      <c r="R4485" s="3" t="s">
        <v>70</v>
      </c>
      <c r="S4485" s="4">
        <v>7</v>
      </c>
      <c r="T4485" s="4">
        <v>7</v>
      </c>
      <c r="U4485" s="5" t="s">
        <v>6408</v>
      </c>
      <c r="V4485" s="5" t="s">
        <v>6408</v>
      </c>
      <c r="W4485" s="5" t="s">
        <v>72</v>
      </c>
      <c r="X4485" s="5" t="s">
        <v>72</v>
      </c>
      <c r="Y4485" s="4">
        <v>194</v>
      </c>
      <c r="Z4485" s="4">
        <v>7</v>
      </c>
      <c r="AA4485" s="4">
        <v>10</v>
      </c>
      <c r="AB4485" s="4">
        <v>1</v>
      </c>
      <c r="AC4485" s="4">
        <v>3</v>
      </c>
      <c r="AD4485" s="4">
        <v>59</v>
      </c>
      <c r="AE4485" s="4">
        <v>62</v>
      </c>
      <c r="AF4485" s="4">
        <v>0</v>
      </c>
      <c r="AG4485" s="4">
        <v>2</v>
      </c>
      <c r="AH4485" s="4">
        <v>56</v>
      </c>
      <c r="AI4485" s="4">
        <v>58</v>
      </c>
      <c r="AJ4485" s="4">
        <v>5</v>
      </c>
      <c r="AK4485" s="4">
        <v>8</v>
      </c>
      <c r="AL4485" s="4">
        <v>44</v>
      </c>
      <c r="AM4485" s="4">
        <v>44</v>
      </c>
      <c r="AN4485" s="4">
        <v>5</v>
      </c>
      <c r="AO4485" s="4">
        <v>5</v>
      </c>
      <c r="AP4485" s="4">
        <v>5</v>
      </c>
      <c r="AQ4485" s="4">
        <v>7</v>
      </c>
      <c r="AR4485" s="3" t="s">
        <v>64</v>
      </c>
      <c r="AS4485" s="3" t="s">
        <v>64</v>
      </c>
      <c r="AT4485" s="3" t="s">
        <v>128</v>
      </c>
      <c r="AU4485" s="6" t="str">
        <f>HYPERLINK("http://catalog.hathitrust.org/Record/002204390","HathiTrust Record")</f>
        <v>HathiTrust Record</v>
      </c>
      <c r="AV4485" s="6" t="str">
        <f>HYPERLINK("http://mcgill.on.worldcat.org/oclc/19071798","Catalog Record")</f>
        <v>Catalog Record</v>
      </c>
      <c r="AW4485" s="6" t="str">
        <f>HYPERLINK("http://www.worldcat.org/oclc/19071798","WorldCat Record")</f>
        <v>WorldCat Record</v>
      </c>
      <c r="AX4485" s="3" t="s">
        <v>43727</v>
      </c>
      <c r="AY4485" s="3" t="s">
        <v>43728</v>
      </c>
      <c r="AZ4485" s="3" t="s">
        <v>43729</v>
      </c>
      <c r="BA4485" s="3" t="s">
        <v>43729</v>
      </c>
      <c r="BB4485" s="3" t="s">
        <v>43730</v>
      </c>
      <c r="BC4485" s="3" t="s">
        <v>77</v>
      </c>
      <c r="BD4485" s="3" t="s">
        <v>78</v>
      </c>
      <c r="BE4485" s="3" t="s">
        <v>43719</v>
      </c>
      <c r="BF4485" s="3" t="s">
        <v>43730</v>
      </c>
      <c r="BG4485" s="3" t="s">
        <v>43731</v>
      </c>
      <c r="BH4485">
        <f t="shared" si="140"/>
        <v>0</v>
      </c>
    </row>
    <row r="4486" spans="1:60" ht="72.5" x14ac:dyDescent="0.35">
      <c r="A4486" s="2" t="s">
        <v>6202</v>
      </c>
      <c r="B4486" s="2" t="s">
        <v>6203</v>
      </c>
      <c r="C4486" s="2" t="s">
        <v>43732</v>
      </c>
      <c r="D4486" s="2" t="s">
        <v>43733</v>
      </c>
      <c r="E4486" s="2" t="s">
        <v>43734</v>
      </c>
      <c r="F4486" s="3" t="s">
        <v>43735</v>
      </c>
      <c r="G4486" s="3" t="s">
        <v>64</v>
      </c>
      <c r="I4486" s="3" t="s">
        <v>64</v>
      </c>
      <c r="J4486" s="3" t="s">
        <v>64</v>
      </c>
      <c r="K4486" s="3" t="s">
        <v>65</v>
      </c>
      <c r="L4486" s="2" t="s">
        <v>43736</v>
      </c>
      <c r="M4486" s="2" t="s">
        <v>43737</v>
      </c>
      <c r="N4486" s="3" t="s">
        <v>537</v>
      </c>
      <c r="P4486" s="3" t="s">
        <v>68</v>
      </c>
      <c r="Q4486" s="2" t="s">
        <v>43738</v>
      </c>
      <c r="R4486" s="3" t="s">
        <v>70</v>
      </c>
      <c r="S4486" s="4">
        <v>1</v>
      </c>
      <c r="T4486" s="4">
        <v>1</v>
      </c>
      <c r="U4486" s="5" t="s">
        <v>29293</v>
      </c>
      <c r="V4486" s="5" t="s">
        <v>29293</v>
      </c>
      <c r="W4486" s="5" t="s">
        <v>72</v>
      </c>
      <c r="X4486" s="5" t="s">
        <v>72</v>
      </c>
      <c r="Y4486" s="4">
        <v>75</v>
      </c>
      <c r="Z4486" s="4">
        <v>5</v>
      </c>
      <c r="AA4486" s="4">
        <v>8</v>
      </c>
      <c r="AB4486" s="4">
        <v>1</v>
      </c>
      <c r="AC4486" s="4">
        <v>3</v>
      </c>
      <c r="AD4486" s="4">
        <v>31</v>
      </c>
      <c r="AE4486" s="4">
        <v>33</v>
      </c>
      <c r="AF4486" s="4">
        <v>0</v>
      </c>
      <c r="AG4486" s="4">
        <v>1</v>
      </c>
      <c r="AH4486" s="4">
        <v>29</v>
      </c>
      <c r="AI4486" s="4">
        <v>30</v>
      </c>
      <c r="AJ4486" s="4">
        <v>3</v>
      </c>
      <c r="AK4486" s="4">
        <v>5</v>
      </c>
      <c r="AL4486" s="4">
        <v>23</v>
      </c>
      <c r="AM4486" s="4">
        <v>23</v>
      </c>
      <c r="AN4486" s="4">
        <v>0</v>
      </c>
      <c r="AO4486" s="4">
        <v>0</v>
      </c>
      <c r="AP4486" s="4">
        <v>3</v>
      </c>
      <c r="AQ4486" s="4">
        <v>4</v>
      </c>
      <c r="AR4486" s="3" t="s">
        <v>64</v>
      </c>
      <c r="AS4486" s="3" t="s">
        <v>64</v>
      </c>
      <c r="AT4486" s="3" t="s">
        <v>64</v>
      </c>
      <c r="AV4486" s="6" t="str">
        <f>HYPERLINK("http://mcgill.on.worldcat.org/oclc/946716565","Catalog Record")</f>
        <v>Catalog Record</v>
      </c>
      <c r="AW4486" s="6" t="str">
        <f>HYPERLINK("http://www.worldcat.org/oclc/946716565","WorldCat Record")</f>
        <v>WorldCat Record</v>
      </c>
      <c r="AX4486" s="3" t="s">
        <v>43739</v>
      </c>
      <c r="AY4486" s="3" t="s">
        <v>43740</v>
      </c>
      <c r="AZ4486" s="3" t="s">
        <v>43741</v>
      </c>
      <c r="BA4486" s="3" t="s">
        <v>43741</v>
      </c>
      <c r="BB4486" s="3" t="s">
        <v>43742</v>
      </c>
      <c r="BC4486" s="3" t="s">
        <v>77</v>
      </c>
      <c r="BD4486" s="3" t="s">
        <v>78</v>
      </c>
      <c r="BE4486" s="3" t="s">
        <v>43743</v>
      </c>
      <c r="BF4486" s="3" t="s">
        <v>43742</v>
      </c>
      <c r="BG4486" s="3" t="s">
        <v>43744</v>
      </c>
      <c r="BH4486">
        <f t="shared" si="140"/>
        <v>0</v>
      </c>
    </row>
    <row r="4487" spans="1:60" ht="72.5" x14ac:dyDescent="0.35">
      <c r="A4487" s="2" t="s">
        <v>6202</v>
      </c>
      <c r="B4487" s="2" t="s">
        <v>6203</v>
      </c>
      <c r="C4487" s="2" t="s">
        <v>43745</v>
      </c>
      <c r="D4487" s="2" t="s">
        <v>43746</v>
      </c>
      <c r="E4487" s="2" t="s">
        <v>43747</v>
      </c>
      <c r="F4487" s="3" t="s">
        <v>43748</v>
      </c>
      <c r="G4487" s="3" t="s">
        <v>64</v>
      </c>
      <c r="I4487" s="3" t="s">
        <v>64</v>
      </c>
      <c r="J4487" s="3" t="s">
        <v>64</v>
      </c>
      <c r="K4487" s="3" t="s">
        <v>65</v>
      </c>
      <c r="L4487" s="2" t="s">
        <v>43749</v>
      </c>
      <c r="M4487" s="2" t="s">
        <v>43750</v>
      </c>
      <c r="N4487" s="3" t="s">
        <v>421</v>
      </c>
      <c r="P4487" s="3" t="s">
        <v>68</v>
      </c>
      <c r="Q4487" s="2" t="s">
        <v>43751</v>
      </c>
      <c r="R4487" s="3" t="s">
        <v>70</v>
      </c>
      <c r="S4487" s="4">
        <v>2</v>
      </c>
      <c r="T4487" s="4">
        <v>2</v>
      </c>
      <c r="U4487" s="5" t="s">
        <v>1441</v>
      </c>
      <c r="V4487" s="5" t="s">
        <v>1441</v>
      </c>
      <c r="W4487" s="5" t="s">
        <v>72</v>
      </c>
      <c r="X4487" s="5" t="s">
        <v>72</v>
      </c>
      <c r="Y4487" s="4">
        <v>151</v>
      </c>
      <c r="Z4487" s="4">
        <v>7</v>
      </c>
      <c r="AA4487" s="4">
        <v>7</v>
      </c>
      <c r="AB4487" s="4">
        <v>1</v>
      </c>
      <c r="AC4487" s="4">
        <v>1</v>
      </c>
      <c r="AD4487" s="4">
        <v>48</v>
      </c>
      <c r="AE4487" s="4">
        <v>48</v>
      </c>
      <c r="AF4487" s="4">
        <v>0</v>
      </c>
      <c r="AG4487" s="4">
        <v>0</v>
      </c>
      <c r="AH4487" s="4">
        <v>47</v>
      </c>
      <c r="AI4487" s="4">
        <v>47</v>
      </c>
      <c r="AJ4487" s="4">
        <v>3</v>
      </c>
      <c r="AK4487" s="4">
        <v>3</v>
      </c>
      <c r="AL4487" s="4">
        <v>34</v>
      </c>
      <c r="AM4487" s="4">
        <v>34</v>
      </c>
      <c r="AN4487" s="4">
        <v>5</v>
      </c>
      <c r="AO4487" s="4">
        <v>5</v>
      </c>
      <c r="AP4487" s="4">
        <v>3</v>
      </c>
      <c r="AQ4487" s="4">
        <v>3</v>
      </c>
      <c r="AR4487" s="3" t="s">
        <v>64</v>
      </c>
      <c r="AS4487" s="3" t="s">
        <v>64</v>
      </c>
      <c r="AT4487" s="3" t="s">
        <v>128</v>
      </c>
      <c r="AU4487" s="6" t="str">
        <f>HYPERLINK("http://catalog.hathitrust.org/Record/101987978","HathiTrust Record")</f>
        <v>HathiTrust Record</v>
      </c>
      <c r="AV4487" s="6" t="str">
        <f>HYPERLINK("http://mcgill.on.worldcat.org/oclc/38004411","Catalog Record")</f>
        <v>Catalog Record</v>
      </c>
      <c r="AW4487" s="6" t="str">
        <f>HYPERLINK("http://www.worldcat.org/oclc/38004411","WorldCat Record")</f>
        <v>WorldCat Record</v>
      </c>
      <c r="AX4487" s="3" t="s">
        <v>43752</v>
      </c>
      <c r="AY4487" s="3" t="s">
        <v>43753</v>
      </c>
      <c r="AZ4487" s="3" t="s">
        <v>43754</v>
      </c>
      <c r="BA4487" s="3" t="s">
        <v>43754</v>
      </c>
      <c r="BB4487" s="3" t="s">
        <v>43755</v>
      </c>
      <c r="BC4487" s="3" t="s">
        <v>77</v>
      </c>
      <c r="BD4487" s="3" t="s">
        <v>40037</v>
      </c>
      <c r="BE4487" s="3" t="s">
        <v>43756</v>
      </c>
      <c r="BF4487" s="3" t="s">
        <v>43755</v>
      </c>
      <c r="BG4487" s="3" t="s">
        <v>43757</v>
      </c>
      <c r="BH4487">
        <f t="shared" si="140"/>
        <v>0</v>
      </c>
    </row>
    <row r="4488" spans="1:60" ht="72.5" x14ac:dyDescent="0.35">
      <c r="A4488" s="2" t="s">
        <v>6202</v>
      </c>
      <c r="B4488" s="2" t="s">
        <v>6203</v>
      </c>
      <c r="C4488" s="2" t="s">
        <v>43758</v>
      </c>
      <c r="D4488" s="2" t="s">
        <v>43759</v>
      </c>
      <c r="E4488" s="2" t="s">
        <v>43760</v>
      </c>
      <c r="F4488" s="3" t="s">
        <v>43761</v>
      </c>
      <c r="G4488" s="3" t="s">
        <v>64</v>
      </c>
      <c r="I4488" s="3" t="s">
        <v>64</v>
      </c>
      <c r="J4488" s="3" t="s">
        <v>64</v>
      </c>
      <c r="K4488" s="3" t="s">
        <v>65</v>
      </c>
      <c r="L4488" s="2" t="s">
        <v>43762</v>
      </c>
      <c r="M4488" s="2" t="s">
        <v>43763</v>
      </c>
      <c r="N4488" s="3" t="s">
        <v>67</v>
      </c>
      <c r="P4488" s="3" t="s">
        <v>68</v>
      </c>
      <c r="Q4488" s="2" t="s">
        <v>43764</v>
      </c>
      <c r="R4488" s="3" t="s">
        <v>70</v>
      </c>
      <c r="S4488" s="4">
        <v>1</v>
      </c>
      <c r="T4488" s="4">
        <v>1</v>
      </c>
      <c r="U4488" s="5" t="s">
        <v>33141</v>
      </c>
      <c r="V4488" s="5" t="s">
        <v>33141</v>
      </c>
      <c r="W4488" s="5" t="s">
        <v>72</v>
      </c>
      <c r="X4488" s="5" t="s">
        <v>72</v>
      </c>
      <c r="Y4488" s="4">
        <v>107</v>
      </c>
      <c r="Z4488" s="4">
        <v>6</v>
      </c>
      <c r="AA4488" s="4">
        <v>9</v>
      </c>
      <c r="AB4488" s="4">
        <v>1</v>
      </c>
      <c r="AC4488" s="4">
        <v>4</v>
      </c>
      <c r="AD4488" s="4">
        <v>31</v>
      </c>
      <c r="AE4488" s="4">
        <v>33</v>
      </c>
      <c r="AF4488" s="4">
        <v>0</v>
      </c>
      <c r="AG4488" s="4">
        <v>2</v>
      </c>
      <c r="AH4488" s="4">
        <v>30</v>
      </c>
      <c r="AI4488" s="4">
        <v>31</v>
      </c>
      <c r="AJ4488" s="4">
        <v>4</v>
      </c>
      <c r="AK4488" s="4">
        <v>6</v>
      </c>
      <c r="AL4488" s="4">
        <v>23</v>
      </c>
      <c r="AM4488" s="4">
        <v>23</v>
      </c>
      <c r="AN4488" s="4">
        <v>0</v>
      </c>
      <c r="AO4488" s="4">
        <v>0</v>
      </c>
      <c r="AP4488" s="4">
        <v>4</v>
      </c>
      <c r="AQ4488" s="4">
        <v>5</v>
      </c>
      <c r="AR4488" s="3" t="s">
        <v>64</v>
      </c>
      <c r="AS4488" s="3" t="s">
        <v>64</v>
      </c>
      <c r="AT4488" s="3" t="s">
        <v>64</v>
      </c>
      <c r="AV4488" s="6" t="str">
        <f>HYPERLINK("http://mcgill.on.worldcat.org/oclc/869725302","Catalog Record")</f>
        <v>Catalog Record</v>
      </c>
      <c r="AW4488" s="6" t="str">
        <f>HYPERLINK("http://www.worldcat.org/oclc/869725302","WorldCat Record")</f>
        <v>WorldCat Record</v>
      </c>
      <c r="AX4488" s="3" t="s">
        <v>43765</v>
      </c>
      <c r="AY4488" s="3" t="s">
        <v>43766</v>
      </c>
      <c r="AZ4488" s="3" t="s">
        <v>43767</v>
      </c>
      <c r="BA4488" s="3" t="s">
        <v>43767</v>
      </c>
      <c r="BB4488" s="3" t="s">
        <v>43768</v>
      </c>
      <c r="BC4488" s="3" t="s">
        <v>77</v>
      </c>
      <c r="BD4488" s="3" t="s">
        <v>78</v>
      </c>
      <c r="BE4488" s="3" t="s">
        <v>43769</v>
      </c>
      <c r="BF4488" s="3" t="s">
        <v>43768</v>
      </c>
      <c r="BG4488" s="3" t="s">
        <v>43770</v>
      </c>
      <c r="BH4488">
        <f t="shared" si="140"/>
        <v>0</v>
      </c>
    </row>
    <row r="4489" spans="1:60" ht="58" x14ac:dyDescent="0.35">
      <c r="A4489" s="2" t="s">
        <v>59</v>
      </c>
      <c r="B4489" s="2" t="s">
        <v>60</v>
      </c>
      <c r="C4489" s="2" t="s">
        <v>43771</v>
      </c>
      <c r="D4489" s="2" t="s">
        <v>43772</v>
      </c>
      <c r="E4489" s="2" t="s">
        <v>43773</v>
      </c>
      <c r="G4489" s="3" t="s">
        <v>64</v>
      </c>
      <c r="I4489" s="3" t="s">
        <v>64</v>
      </c>
      <c r="J4489" s="3" t="s">
        <v>64</v>
      </c>
      <c r="K4489" s="3" t="s">
        <v>65</v>
      </c>
      <c r="L4489" s="2" t="s">
        <v>43774</v>
      </c>
      <c r="M4489" s="2" t="s">
        <v>31715</v>
      </c>
      <c r="N4489" s="3" t="s">
        <v>86</v>
      </c>
      <c r="P4489" s="3" t="s">
        <v>102</v>
      </c>
      <c r="R4489" s="3" t="s">
        <v>70</v>
      </c>
      <c r="S4489" s="4">
        <v>0</v>
      </c>
      <c r="T4489" s="4">
        <v>0</v>
      </c>
      <c r="W4489" s="5" t="s">
        <v>72</v>
      </c>
      <c r="X4489" s="5" t="s">
        <v>72</v>
      </c>
      <c r="Y4489" s="4">
        <v>103</v>
      </c>
      <c r="Z4489" s="4">
        <v>6</v>
      </c>
      <c r="AA4489" s="4">
        <v>6</v>
      </c>
      <c r="AB4489" s="4">
        <v>1</v>
      </c>
      <c r="AC4489" s="4">
        <v>1</v>
      </c>
      <c r="AD4489" s="4">
        <v>29</v>
      </c>
      <c r="AE4489" s="4">
        <v>29</v>
      </c>
      <c r="AF4489" s="4">
        <v>0</v>
      </c>
      <c r="AG4489" s="4">
        <v>0</v>
      </c>
      <c r="AH4489" s="4">
        <v>27</v>
      </c>
      <c r="AI4489" s="4">
        <v>27</v>
      </c>
      <c r="AJ4489" s="4">
        <v>4</v>
      </c>
      <c r="AK4489" s="4">
        <v>4</v>
      </c>
      <c r="AL4489" s="4">
        <v>18</v>
      </c>
      <c r="AM4489" s="4">
        <v>18</v>
      </c>
      <c r="AN4489" s="4">
        <v>0</v>
      </c>
      <c r="AO4489" s="4">
        <v>0</v>
      </c>
      <c r="AP4489" s="4">
        <v>4</v>
      </c>
      <c r="AQ4489" s="4">
        <v>4</v>
      </c>
      <c r="AR4489" s="3" t="s">
        <v>64</v>
      </c>
      <c r="AS4489" s="3" t="s">
        <v>64</v>
      </c>
      <c r="AT4489" s="3" t="s">
        <v>64</v>
      </c>
      <c r="AV4489" s="6" t="str">
        <f>HYPERLINK("http://mcgill.on.worldcat.org/oclc/777602354","Catalog Record")</f>
        <v>Catalog Record</v>
      </c>
      <c r="AW4489" s="6" t="str">
        <f>HYPERLINK("http://www.worldcat.org/oclc/777602354","WorldCat Record")</f>
        <v>WorldCat Record</v>
      </c>
      <c r="AX4489" s="3" t="s">
        <v>43775</v>
      </c>
      <c r="AY4489" s="3" t="s">
        <v>43776</v>
      </c>
      <c r="AZ4489" s="3" t="s">
        <v>43777</v>
      </c>
      <c r="BA4489" s="3" t="s">
        <v>43777</v>
      </c>
      <c r="BB4489" s="3" t="s">
        <v>43778</v>
      </c>
      <c r="BC4489" s="3" t="s">
        <v>77</v>
      </c>
      <c r="BD4489" s="3" t="s">
        <v>78</v>
      </c>
      <c r="BE4489" s="3" t="s">
        <v>43779</v>
      </c>
      <c r="BF4489" s="3" t="s">
        <v>43778</v>
      </c>
      <c r="BG4489" s="3" t="s">
        <v>43780</v>
      </c>
      <c r="BH4489">
        <f t="shared" si="140"/>
        <v>0</v>
      </c>
    </row>
    <row r="4490" spans="1:60" ht="58" x14ac:dyDescent="0.35">
      <c r="A4490" s="2" t="s">
        <v>6202</v>
      </c>
      <c r="B4490" s="2" t="s">
        <v>6203</v>
      </c>
      <c r="C4490" s="2" t="s">
        <v>43781</v>
      </c>
      <c r="D4490" s="2" t="s">
        <v>43782</v>
      </c>
      <c r="E4490" s="2" t="s">
        <v>43783</v>
      </c>
      <c r="G4490" s="3" t="s">
        <v>64</v>
      </c>
      <c r="I4490" s="3" t="s">
        <v>64</v>
      </c>
      <c r="J4490" s="3" t="s">
        <v>64</v>
      </c>
      <c r="K4490" s="3" t="s">
        <v>65</v>
      </c>
      <c r="L4490" s="2" t="s">
        <v>41125</v>
      </c>
      <c r="M4490" s="2" t="s">
        <v>43784</v>
      </c>
      <c r="N4490" s="3" t="s">
        <v>3584</v>
      </c>
      <c r="P4490" s="3" t="s">
        <v>102</v>
      </c>
      <c r="R4490" s="3" t="s">
        <v>70</v>
      </c>
      <c r="S4490" s="4">
        <v>3</v>
      </c>
      <c r="T4490" s="4">
        <v>3</v>
      </c>
      <c r="U4490" s="5" t="s">
        <v>2187</v>
      </c>
      <c r="V4490" s="5" t="s">
        <v>2187</v>
      </c>
      <c r="W4490" s="5" t="s">
        <v>72</v>
      </c>
      <c r="X4490" s="5" t="s">
        <v>72</v>
      </c>
      <c r="Y4490" s="4">
        <v>228</v>
      </c>
      <c r="Z4490" s="4">
        <v>16</v>
      </c>
      <c r="AA4490" s="4">
        <v>18</v>
      </c>
      <c r="AB4490" s="4">
        <v>1</v>
      </c>
      <c r="AC4490" s="4">
        <v>3</v>
      </c>
      <c r="AD4490" s="4">
        <v>77</v>
      </c>
      <c r="AE4490" s="4">
        <v>79</v>
      </c>
      <c r="AF4490" s="4">
        <v>0</v>
      </c>
      <c r="AG4490" s="4">
        <v>2</v>
      </c>
      <c r="AH4490" s="4">
        <v>71</v>
      </c>
      <c r="AI4490" s="4">
        <v>72</v>
      </c>
      <c r="AJ4490" s="4">
        <v>11</v>
      </c>
      <c r="AK4490" s="4">
        <v>13</v>
      </c>
      <c r="AL4490" s="4">
        <v>38</v>
      </c>
      <c r="AM4490" s="4">
        <v>38</v>
      </c>
      <c r="AN4490" s="4">
        <v>0</v>
      </c>
      <c r="AO4490" s="4">
        <v>0</v>
      </c>
      <c r="AP4490" s="4">
        <v>11</v>
      </c>
      <c r="AQ4490" s="4">
        <v>12</v>
      </c>
      <c r="AR4490" s="3" t="s">
        <v>64</v>
      </c>
      <c r="AS4490" s="3" t="s">
        <v>64</v>
      </c>
      <c r="AT4490" s="3" t="s">
        <v>64</v>
      </c>
      <c r="AV4490" s="6" t="str">
        <f>HYPERLINK("http://mcgill.on.worldcat.org/oclc/2508277","Catalog Record")</f>
        <v>Catalog Record</v>
      </c>
      <c r="AW4490" s="6" t="str">
        <f>HYPERLINK("http://www.worldcat.org/oclc/2508277","WorldCat Record")</f>
        <v>WorldCat Record</v>
      </c>
      <c r="AX4490" s="3" t="s">
        <v>43785</v>
      </c>
      <c r="AY4490" s="3" t="s">
        <v>43786</v>
      </c>
      <c r="AZ4490" s="3" t="s">
        <v>43787</v>
      </c>
      <c r="BA4490" s="3" t="s">
        <v>43787</v>
      </c>
      <c r="BB4490" s="3" t="s">
        <v>43788</v>
      </c>
      <c r="BC4490" s="3" t="s">
        <v>77</v>
      </c>
      <c r="BD4490" s="3" t="s">
        <v>78</v>
      </c>
      <c r="BE4490" s="3" t="s">
        <v>43789</v>
      </c>
      <c r="BF4490" s="3" t="s">
        <v>43788</v>
      </c>
      <c r="BG4490" s="3" t="s">
        <v>43790</v>
      </c>
      <c r="BH4490">
        <f t="shared" si="140"/>
        <v>0</v>
      </c>
    </row>
    <row r="4491" spans="1:60" ht="58" x14ac:dyDescent="0.35">
      <c r="A4491" s="2" t="s">
        <v>59</v>
      </c>
      <c r="B4491" s="2" t="s">
        <v>60</v>
      </c>
      <c r="C4491" s="2" t="s">
        <v>43791</v>
      </c>
      <c r="D4491" s="2" t="s">
        <v>43792</v>
      </c>
      <c r="E4491" s="2" t="s">
        <v>43793</v>
      </c>
      <c r="G4491" s="3" t="s">
        <v>64</v>
      </c>
      <c r="I4491" s="3" t="s">
        <v>64</v>
      </c>
      <c r="J4491" s="3" t="s">
        <v>64</v>
      </c>
      <c r="K4491" s="3" t="s">
        <v>65</v>
      </c>
      <c r="L4491" s="2" t="s">
        <v>43794</v>
      </c>
      <c r="M4491" s="2" t="s">
        <v>43795</v>
      </c>
      <c r="N4491" s="3" t="s">
        <v>1075</v>
      </c>
      <c r="P4491" s="3" t="s">
        <v>102</v>
      </c>
      <c r="R4491" s="3" t="s">
        <v>70</v>
      </c>
      <c r="S4491" s="4">
        <v>0</v>
      </c>
      <c r="T4491" s="4">
        <v>0</v>
      </c>
      <c r="W4491" s="5" t="s">
        <v>72</v>
      </c>
      <c r="X4491" s="5" t="s">
        <v>72</v>
      </c>
      <c r="Y4491" s="4">
        <v>67</v>
      </c>
      <c r="Z4491" s="4">
        <v>24</v>
      </c>
      <c r="AA4491" s="4">
        <v>86</v>
      </c>
      <c r="AB4491" s="4">
        <v>1</v>
      </c>
      <c r="AC4491" s="4">
        <v>14</v>
      </c>
      <c r="AD4491" s="4">
        <v>34</v>
      </c>
      <c r="AE4491" s="4">
        <v>113</v>
      </c>
      <c r="AF4491" s="4">
        <v>0</v>
      </c>
      <c r="AG4491" s="4">
        <v>8</v>
      </c>
      <c r="AH4491" s="4">
        <v>24</v>
      </c>
      <c r="AI4491" s="4">
        <v>75</v>
      </c>
      <c r="AJ4491" s="4">
        <v>11</v>
      </c>
      <c r="AK4491" s="4">
        <v>26</v>
      </c>
      <c r="AL4491" s="4">
        <v>14</v>
      </c>
      <c r="AM4491" s="4">
        <v>38</v>
      </c>
      <c r="AN4491" s="4">
        <v>0</v>
      </c>
      <c r="AO4491" s="4">
        <v>0</v>
      </c>
      <c r="AP4491" s="4">
        <v>14</v>
      </c>
      <c r="AQ4491" s="4">
        <v>44</v>
      </c>
      <c r="AR4491" s="3" t="s">
        <v>64</v>
      </c>
      <c r="AS4491" s="3" t="s">
        <v>64</v>
      </c>
      <c r="AT4491" s="3" t="s">
        <v>64</v>
      </c>
      <c r="AV4491" s="6" t="str">
        <f>HYPERLINK("http://mcgill.on.worldcat.org/oclc/818953856","Catalog Record")</f>
        <v>Catalog Record</v>
      </c>
      <c r="AW4491" s="6" t="str">
        <f>HYPERLINK("http://www.worldcat.org/oclc/818953856","WorldCat Record")</f>
        <v>WorldCat Record</v>
      </c>
      <c r="AX4491" s="3" t="s">
        <v>43796</v>
      </c>
      <c r="AY4491" s="3" t="s">
        <v>43797</v>
      </c>
      <c r="AZ4491" s="3" t="s">
        <v>43798</v>
      </c>
      <c r="BA4491" s="3" t="s">
        <v>43798</v>
      </c>
      <c r="BB4491" s="3" t="s">
        <v>43799</v>
      </c>
      <c r="BC4491" s="3" t="s">
        <v>77</v>
      </c>
      <c r="BD4491" s="3" t="s">
        <v>78</v>
      </c>
      <c r="BE4491" s="3" t="s">
        <v>43800</v>
      </c>
      <c r="BF4491" s="3" t="s">
        <v>43799</v>
      </c>
      <c r="BG4491" s="3" t="s">
        <v>43801</v>
      </c>
      <c r="BH4491">
        <f t="shared" si="140"/>
        <v>0</v>
      </c>
    </row>
    <row r="4492" spans="1:60" ht="58" x14ac:dyDescent="0.35">
      <c r="A4492" s="2" t="s">
        <v>59</v>
      </c>
      <c r="B4492" s="2" t="s">
        <v>60</v>
      </c>
      <c r="C4492" s="2" t="s">
        <v>43802</v>
      </c>
      <c r="D4492" s="2" t="s">
        <v>43803</v>
      </c>
      <c r="E4492" s="2" t="s">
        <v>43804</v>
      </c>
      <c r="G4492" s="3" t="s">
        <v>64</v>
      </c>
      <c r="I4492" s="3" t="s">
        <v>64</v>
      </c>
      <c r="J4492" s="3" t="s">
        <v>128</v>
      </c>
      <c r="K4492" s="3" t="s">
        <v>65</v>
      </c>
      <c r="L4492" s="2" t="s">
        <v>43805</v>
      </c>
      <c r="M4492" s="2" t="s">
        <v>20192</v>
      </c>
      <c r="N4492" s="3" t="s">
        <v>1250</v>
      </c>
      <c r="O4492" s="2" t="s">
        <v>7660</v>
      </c>
      <c r="P4492" s="3" t="s">
        <v>102</v>
      </c>
      <c r="Q4492" s="2" t="s">
        <v>20193</v>
      </c>
      <c r="R4492" s="3" t="s">
        <v>70</v>
      </c>
      <c r="S4492" s="4">
        <v>11</v>
      </c>
      <c r="T4492" s="4">
        <v>11</v>
      </c>
      <c r="U4492" s="5" t="s">
        <v>16597</v>
      </c>
      <c r="V4492" s="5" t="s">
        <v>16597</v>
      </c>
      <c r="W4492" s="5" t="s">
        <v>72</v>
      </c>
      <c r="X4492" s="5" t="s">
        <v>72</v>
      </c>
      <c r="Y4492" s="4">
        <v>491</v>
      </c>
      <c r="Z4492" s="4">
        <v>26</v>
      </c>
      <c r="AA4492" s="4">
        <v>100</v>
      </c>
      <c r="AB4492" s="4">
        <v>2</v>
      </c>
      <c r="AC4492" s="4">
        <v>13</v>
      </c>
      <c r="AD4492" s="4">
        <v>106</v>
      </c>
      <c r="AE4492" s="4">
        <v>148</v>
      </c>
      <c r="AF4492" s="4">
        <v>1</v>
      </c>
      <c r="AG4492" s="4">
        <v>5</v>
      </c>
      <c r="AH4492" s="4">
        <v>96</v>
      </c>
      <c r="AI4492" s="4">
        <v>115</v>
      </c>
      <c r="AJ4492" s="4">
        <v>15</v>
      </c>
      <c r="AK4492" s="4">
        <v>26</v>
      </c>
      <c r="AL4492" s="4">
        <v>51</v>
      </c>
      <c r="AM4492" s="4">
        <v>62</v>
      </c>
      <c r="AN4492" s="4">
        <v>0</v>
      </c>
      <c r="AO4492" s="4">
        <v>0</v>
      </c>
      <c r="AP4492" s="4">
        <v>17</v>
      </c>
      <c r="AQ4492" s="4">
        <v>41</v>
      </c>
      <c r="AR4492" s="3" t="s">
        <v>64</v>
      </c>
      <c r="AS4492" s="3" t="s">
        <v>64</v>
      </c>
      <c r="AT4492" s="3" t="s">
        <v>128</v>
      </c>
      <c r="AU4492" s="6" t="str">
        <f>HYPERLINK("http://catalog.hathitrust.org/Record/002902566","HathiTrust Record")</f>
        <v>HathiTrust Record</v>
      </c>
      <c r="AV4492" s="6" t="str">
        <f>HYPERLINK("http://mcgill.on.worldcat.org/oclc/31211501","Catalog Record")</f>
        <v>Catalog Record</v>
      </c>
      <c r="AW4492" s="6" t="str">
        <f>HYPERLINK("http://www.worldcat.org/oclc/31211501","WorldCat Record")</f>
        <v>WorldCat Record</v>
      </c>
      <c r="AX4492" s="3" t="s">
        <v>43806</v>
      </c>
      <c r="AY4492" s="3" t="s">
        <v>43807</v>
      </c>
      <c r="AZ4492" s="3" t="s">
        <v>43808</v>
      </c>
      <c r="BA4492" s="3" t="s">
        <v>43808</v>
      </c>
      <c r="BB4492" s="3" t="s">
        <v>43809</v>
      </c>
      <c r="BC4492" s="3" t="s">
        <v>77</v>
      </c>
      <c r="BD4492" s="3" t="s">
        <v>78</v>
      </c>
      <c r="BE4492" s="3" t="s">
        <v>43810</v>
      </c>
      <c r="BF4492" s="3" t="s">
        <v>43809</v>
      </c>
      <c r="BG4492" s="3" t="s">
        <v>43811</v>
      </c>
      <c r="BH4492">
        <f t="shared" si="140"/>
        <v>0</v>
      </c>
    </row>
    <row r="4493" spans="1:60" ht="58" x14ac:dyDescent="0.35">
      <c r="A4493" s="2" t="s">
        <v>6202</v>
      </c>
      <c r="B4493" s="2" t="s">
        <v>6203</v>
      </c>
      <c r="C4493" s="2" t="s">
        <v>43812</v>
      </c>
      <c r="D4493" s="2" t="s">
        <v>43813</v>
      </c>
      <c r="E4493" s="2" t="s">
        <v>43804</v>
      </c>
      <c r="G4493" s="3" t="s">
        <v>64</v>
      </c>
      <c r="I4493" s="3" t="s">
        <v>64</v>
      </c>
      <c r="J4493" s="3" t="s">
        <v>128</v>
      </c>
      <c r="K4493" s="3" t="s">
        <v>65</v>
      </c>
      <c r="L4493" s="2" t="s">
        <v>43805</v>
      </c>
      <c r="M4493" s="2" t="s">
        <v>25545</v>
      </c>
      <c r="N4493" s="3" t="s">
        <v>979</v>
      </c>
      <c r="O4493" s="2" t="s">
        <v>3455</v>
      </c>
      <c r="P4493" s="3" t="s">
        <v>102</v>
      </c>
      <c r="Q4493" s="2" t="s">
        <v>15094</v>
      </c>
      <c r="R4493" s="3" t="s">
        <v>70</v>
      </c>
      <c r="S4493" s="4">
        <v>1</v>
      </c>
      <c r="T4493" s="4">
        <v>1</v>
      </c>
      <c r="U4493" s="5" t="s">
        <v>13889</v>
      </c>
      <c r="V4493" s="5" t="s">
        <v>13889</v>
      </c>
      <c r="W4493" s="5" t="s">
        <v>72</v>
      </c>
      <c r="X4493" s="5" t="s">
        <v>72</v>
      </c>
      <c r="Y4493" s="4">
        <v>593</v>
      </c>
      <c r="Z4493" s="4">
        <v>23</v>
      </c>
      <c r="AA4493" s="4">
        <v>100</v>
      </c>
      <c r="AB4493" s="4">
        <v>3</v>
      </c>
      <c r="AC4493" s="4">
        <v>13</v>
      </c>
      <c r="AD4493" s="4">
        <v>107</v>
      </c>
      <c r="AE4493" s="4">
        <v>148</v>
      </c>
      <c r="AF4493" s="4">
        <v>2</v>
      </c>
      <c r="AG4493" s="4">
        <v>5</v>
      </c>
      <c r="AH4493" s="4">
        <v>97</v>
      </c>
      <c r="AI4493" s="4">
        <v>115</v>
      </c>
      <c r="AJ4493" s="4">
        <v>13</v>
      </c>
      <c r="AK4493" s="4">
        <v>26</v>
      </c>
      <c r="AL4493" s="4">
        <v>52</v>
      </c>
      <c r="AM4493" s="4">
        <v>62</v>
      </c>
      <c r="AN4493" s="4">
        <v>0</v>
      </c>
      <c r="AO4493" s="4">
        <v>0</v>
      </c>
      <c r="AP4493" s="4">
        <v>16</v>
      </c>
      <c r="AQ4493" s="4">
        <v>41</v>
      </c>
      <c r="AR4493" s="3" t="s">
        <v>64</v>
      </c>
      <c r="AS4493" s="3" t="s">
        <v>64</v>
      </c>
      <c r="AT4493" s="3" t="s">
        <v>128</v>
      </c>
      <c r="AU4493" s="6" t="str">
        <f>HYPERLINK("http://catalog.hathitrust.org/Record/004578727","HathiTrust Record")</f>
        <v>HathiTrust Record</v>
      </c>
      <c r="AV4493" s="6" t="str">
        <f>HYPERLINK("http://mcgill.on.worldcat.org/oclc/43050302","Catalog Record")</f>
        <v>Catalog Record</v>
      </c>
      <c r="AW4493" s="6" t="str">
        <f>HYPERLINK("http://www.worldcat.org/oclc/43050302","WorldCat Record")</f>
        <v>WorldCat Record</v>
      </c>
      <c r="AX4493" s="3" t="s">
        <v>43806</v>
      </c>
      <c r="AY4493" s="3" t="s">
        <v>43814</v>
      </c>
      <c r="AZ4493" s="3" t="s">
        <v>43815</v>
      </c>
      <c r="BA4493" s="3" t="s">
        <v>43815</v>
      </c>
      <c r="BB4493" s="3" t="s">
        <v>43816</v>
      </c>
      <c r="BC4493" s="3" t="s">
        <v>77</v>
      </c>
      <c r="BD4493" s="3" t="s">
        <v>78</v>
      </c>
      <c r="BE4493" s="3" t="s">
        <v>43817</v>
      </c>
      <c r="BF4493" s="3" t="s">
        <v>43816</v>
      </c>
      <c r="BG4493" s="3" t="s">
        <v>43818</v>
      </c>
      <c r="BH4493">
        <f t="shared" si="140"/>
        <v>0</v>
      </c>
    </row>
    <row r="4494" spans="1:60" ht="246.5" x14ac:dyDescent="0.35">
      <c r="A4494" s="2" t="s">
        <v>59</v>
      </c>
      <c r="B4494" s="2" t="s">
        <v>60</v>
      </c>
      <c r="C4494" s="2" t="s">
        <v>43819</v>
      </c>
      <c r="D4494" s="2" t="s">
        <v>43820</v>
      </c>
      <c r="E4494" s="2" t="s">
        <v>43821</v>
      </c>
      <c r="G4494" s="3" t="s">
        <v>64</v>
      </c>
      <c r="I4494" s="3" t="s">
        <v>64</v>
      </c>
      <c r="J4494" s="3" t="s">
        <v>64</v>
      </c>
      <c r="K4494" s="3" t="s">
        <v>65</v>
      </c>
      <c r="L4494" s="2" t="s">
        <v>43822</v>
      </c>
      <c r="M4494" s="2" t="s">
        <v>14097</v>
      </c>
      <c r="N4494" s="3" t="s">
        <v>1075</v>
      </c>
      <c r="O4494" s="2" t="s">
        <v>43823</v>
      </c>
      <c r="P4494" s="3" t="s">
        <v>102</v>
      </c>
      <c r="Q4494" s="2" t="s">
        <v>43824</v>
      </c>
      <c r="R4494" s="3" t="s">
        <v>70</v>
      </c>
      <c r="S4494" s="4">
        <v>1</v>
      </c>
      <c r="T4494" s="4">
        <v>1</v>
      </c>
      <c r="U4494" s="5" t="s">
        <v>16597</v>
      </c>
      <c r="V4494" s="5" t="s">
        <v>16597</v>
      </c>
      <c r="W4494" s="5" t="s">
        <v>72</v>
      </c>
      <c r="X4494" s="5" t="s">
        <v>72</v>
      </c>
      <c r="Y4494" s="4">
        <v>179</v>
      </c>
      <c r="Z4494" s="4">
        <v>11</v>
      </c>
      <c r="AA4494" s="4">
        <v>14</v>
      </c>
      <c r="AB4494" s="4">
        <v>1</v>
      </c>
      <c r="AC4494" s="4">
        <v>3</v>
      </c>
      <c r="AD4494" s="4">
        <v>45</v>
      </c>
      <c r="AE4494" s="4">
        <v>50</v>
      </c>
      <c r="AF4494" s="4">
        <v>0</v>
      </c>
      <c r="AG4494" s="4">
        <v>0</v>
      </c>
      <c r="AH4494" s="4">
        <v>44</v>
      </c>
      <c r="AI4494" s="4">
        <v>48</v>
      </c>
      <c r="AJ4494" s="4">
        <v>7</v>
      </c>
      <c r="AK4494" s="4">
        <v>8</v>
      </c>
      <c r="AL4494" s="4">
        <v>25</v>
      </c>
      <c r="AM4494" s="4">
        <v>28</v>
      </c>
      <c r="AN4494" s="4">
        <v>0</v>
      </c>
      <c r="AO4494" s="4">
        <v>0</v>
      </c>
      <c r="AP4494" s="4">
        <v>8</v>
      </c>
      <c r="AQ4494" s="4">
        <v>9</v>
      </c>
      <c r="AR4494" s="3" t="s">
        <v>64</v>
      </c>
      <c r="AS4494" s="3" t="s">
        <v>64</v>
      </c>
      <c r="AT4494" s="3" t="s">
        <v>64</v>
      </c>
      <c r="AV4494" s="6" t="str">
        <f>HYPERLINK("http://mcgill.on.worldcat.org/oclc/768800310","Catalog Record")</f>
        <v>Catalog Record</v>
      </c>
      <c r="AW4494" s="6" t="str">
        <f>HYPERLINK("http://www.worldcat.org/oclc/768800310","WorldCat Record")</f>
        <v>WorldCat Record</v>
      </c>
      <c r="AX4494" s="3" t="s">
        <v>43825</v>
      </c>
      <c r="AY4494" s="3" t="s">
        <v>43826</v>
      </c>
      <c r="AZ4494" s="3" t="s">
        <v>43827</v>
      </c>
      <c r="BA4494" s="3" t="s">
        <v>43827</v>
      </c>
      <c r="BB4494" s="3" t="s">
        <v>43828</v>
      </c>
      <c r="BC4494" s="3" t="s">
        <v>77</v>
      </c>
      <c r="BD4494" s="3" t="s">
        <v>78</v>
      </c>
      <c r="BE4494" s="3" t="s">
        <v>43829</v>
      </c>
      <c r="BF4494" s="3" t="s">
        <v>43828</v>
      </c>
      <c r="BG4494" s="3" t="s">
        <v>43830</v>
      </c>
      <c r="BH4494">
        <f t="shared" si="140"/>
        <v>0</v>
      </c>
    </row>
    <row r="4495" spans="1:60" ht="72.5" x14ac:dyDescent="0.35">
      <c r="A4495" s="2" t="s">
        <v>6202</v>
      </c>
      <c r="B4495" s="2" t="s">
        <v>6203</v>
      </c>
      <c r="C4495" s="2" t="s">
        <v>43831</v>
      </c>
      <c r="D4495" s="2" t="s">
        <v>43832</v>
      </c>
      <c r="E4495" s="2" t="s">
        <v>43833</v>
      </c>
      <c r="F4495" s="3" t="s">
        <v>40829</v>
      </c>
      <c r="G4495" s="3" t="s">
        <v>64</v>
      </c>
      <c r="I4495" s="3" t="s">
        <v>64</v>
      </c>
      <c r="J4495" s="3" t="s">
        <v>64</v>
      </c>
      <c r="K4495" s="3" t="s">
        <v>65</v>
      </c>
      <c r="L4495" s="2" t="s">
        <v>43834</v>
      </c>
      <c r="M4495" s="2" t="s">
        <v>43835</v>
      </c>
      <c r="N4495" s="3" t="s">
        <v>3047</v>
      </c>
      <c r="P4495" s="3" t="s">
        <v>102</v>
      </c>
      <c r="Q4495" s="2" t="s">
        <v>43836</v>
      </c>
      <c r="R4495" s="3" t="s">
        <v>70</v>
      </c>
      <c r="S4495" s="4">
        <v>1</v>
      </c>
      <c r="T4495" s="4">
        <v>1</v>
      </c>
      <c r="U4495" s="5" t="s">
        <v>15147</v>
      </c>
      <c r="V4495" s="5" t="s">
        <v>15147</v>
      </c>
      <c r="W4495" s="5" t="s">
        <v>72</v>
      </c>
      <c r="X4495" s="5" t="s">
        <v>72</v>
      </c>
      <c r="Y4495" s="4">
        <v>211</v>
      </c>
      <c r="Z4495" s="4">
        <v>15</v>
      </c>
      <c r="AA4495" s="4">
        <v>15</v>
      </c>
      <c r="AB4495" s="4">
        <v>3</v>
      </c>
      <c r="AC4495" s="4">
        <v>3</v>
      </c>
      <c r="AD4495" s="4">
        <v>70</v>
      </c>
      <c r="AE4495" s="4">
        <v>70</v>
      </c>
      <c r="AF4495" s="4">
        <v>1</v>
      </c>
      <c r="AG4495" s="4">
        <v>1</v>
      </c>
      <c r="AH4495" s="4">
        <v>64</v>
      </c>
      <c r="AI4495" s="4">
        <v>64</v>
      </c>
      <c r="AJ4495" s="4">
        <v>12</v>
      </c>
      <c r="AK4495" s="4">
        <v>12</v>
      </c>
      <c r="AL4495" s="4">
        <v>38</v>
      </c>
      <c r="AM4495" s="4">
        <v>38</v>
      </c>
      <c r="AN4495" s="4">
        <v>0</v>
      </c>
      <c r="AO4495" s="4">
        <v>0</v>
      </c>
      <c r="AP4495" s="4">
        <v>11</v>
      </c>
      <c r="AQ4495" s="4">
        <v>11</v>
      </c>
      <c r="AR4495" s="3" t="s">
        <v>64</v>
      </c>
      <c r="AS4495" s="3" t="s">
        <v>64</v>
      </c>
      <c r="AT4495" s="3" t="s">
        <v>128</v>
      </c>
      <c r="AU4495" s="6" t="str">
        <f>HYPERLINK("http://catalog.hathitrust.org/Record/002464763","HathiTrust Record")</f>
        <v>HathiTrust Record</v>
      </c>
      <c r="AV4495" s="6" t="str">
        <f>HYPERLINK("http://mcgill.on.worldcat.org/oclc/16754747","Catalog Record")</f>
        <v>Catalog Record</v>
      </c>
      <c r="AW4495" s="6" t="str">
        <f>HYPERLINK("http://www.worldcat.org/oclc/16754747","WorldCat Record")</f>
        <v>WorldCat Record</v>
      </c>
      <c r="AX4495" s="3" t="s">
        <v>43837</v>
      </c>
      <c r="AY4495" s="3" t="s">
        <v>43838</v>
      </c>
      <c r="AZ4495" s="3" t="s">
        <v>43839</v>
      </c>
      <c r="BA4495" s="3" t="s">
        <v>43839</v>
      </c>
      <c r="BB4495" s="3" t="s">
        <v>43840</v>
      </c>
      <c r="BC4495" s="3" t="s">
        <v>77</v>
      </c>
      <c r="BD4495" s="3" t="s">
        <v>78</v>
      </c>
      <c r="BE4495" s="3" t="s">
        <v>43841</v>
      </c>
      <c r="BF4495" s="3" t="s">
        <v>43840</v>
      </c>
      <c r="BG4495" s="3" t="s">
        <v>43842</v>
      </c>
      <c r="BH4495">
        <f t="shared" si="140"/>
        <v>0</v>
      </c>
    </row>
    <row r="4496" spans="1:60" ht="72.5" x14ac:dyDescent="0.35">
      <c r="A4496" s="2" t="s">
        <v>6202</v>
      </c>
      <c r="B4496" s="2" t="s">
        <v>6203</v>
      </c>
      <c r="C4496" s="2" t="s">
        <v>43843</v>
      </c>
      <c r="D4496" s="2" t="s">
        <v>43844</v>
      </c>
      <c r="E4496" s="2" t="s">
        <v>43845</v>
      </c>
      <c r="F4496" s="3" t="s">
        <v>43846</v>
      </c>
      <c r="G4496" s="3" t="s">
        <v>128</v>
      </c>
      <c r="I4496" s="3" t="s">
        <v>64</v>
      </c>
      <c r="J4496" s="3" t="s">
        <v>64</v>
      </c>
      <c r="K4496" s="3" t="s">
        <v>65</v>
      </c>
      <c r="L4496" s="2" t="s">
        <v>43834</v>
      </c>
      <c r="M4496" s="2" t="s">
        <v>43847</v>
      </c>
      <c r="N4496" s="3" t="s">
        <v>979</v>
      </c>
      <c r="P4496" s="3" t="s">
        <v>102</v>
      </c>
      <c r="Q4496" s="2" t="s">
        <v>43848</v>
      </c>
      <c r="R4496" s="3" t="s">
        <v>70</v>
      </c>
      <c r="S4496" s="4">
        <v>1</v>
      </c>
      <c r="T4496" s="4">
        <v>1</v>
      </c>
      <c r="U4496" s="5" t="s">
        <v>15147</v>
      </c>
      <c r="V4496" s="5" t="s">
        <v>15147</v>
      </c>
      <c r="W4496" s="5" t="s">
        <v>72</v>
      </c>
      <c r="X4496" s="5" t="s">
        <v>72</v>
      </c>
      <c r="Y4496" s="4">
        <v>119</v>
      </c>
      <c r="Z4496" s="4">
        <v>4</v>
      </c>
      <c r="AA4496" s="4">
        <v>4</v>
      </c>
      <c r="AB4496" s="4">
        <v>1</v>
      </c>
      <c r="AC4496" s="4">
        <v>1</v>
      </c>
      <c r="AD4496" s="4">
        <v>50</v>
      </c>
      <c r="AE4496" s="4">
        <v>50</v>
      </c>
      <c r="AF4496" s="4">
        <v>0</v>
      </c>
      <c r="AG4496" s="4">
        <v>0</v>
      </c>
      <c r="AH4496" s="4">
        <v>48</v>
      </c>
      <c r="AI4496" s="4">
        <v>48</v>
      </c>
      <c r="AJ4496" s="4">
        <v>3</v>
      </c>
      <c r="AK4496" s="4">
        <v>3</v>
      </c>
      <c r="AL4496" s="4">
        <v>32</v>
      </c>
      <c r="AM4496" s="4">
        <v>32</v>
      </c>
      <c r="AN4496" s="4">
        <v>0</v>
      </c>
      <c r="AO4496" s="4">
        <v>0</v>
      </c>
      <c r="AP4496" s="4">
        <v>3</v>
      </c>
      <c r="AQ4496" s="4">
        <v>3</v>
      </c>
      <c r="AR4496" s="3" t="s">
        <v>64</v>
      </c>
      <c r="AS4496" s="3" t="s">
        <v>64</v>
      </c>
      <c r="AT4496" s="3" t="s">
        <v>64</v>
      </c>
      <c r="AV4496" s="6" t="str">
        <f>HYPERLINK("http://mcgill.on.worldcat.org/oclc/41039748","Catalog Record")</f>
        <v>Catalog Record</v>
      </c>
      <c r="AW4496" s="6" t="str">
        <f>HYPERLINK("http://www.worldcat.org/oclc/41039748","WorldCat Record")</f>
        <v>WorldCat Record</v>
      </c>
      <c r="AX4496" s="3" t="s">
        <v>43849</v>
      </c>
      <c r="AY4496" s="3" t="s">
        <v>43850</v>
      </c>
      <c r="AZ4496" s="3" t="s">
        <v>43851</v>
      </c>
      <c r="BA4496" s="3" t="s">
        <v>43851</v>
      </c>
      <c r="BB4496" s="3" t="s">
        <v>43852</v>
      </c>
      <c r="BC4496" s="3" t="s">
        <v>77</v>
      </c>
      <c r="BD4496" s="3" t="s">
        <v>78</v>
      </c>
      <c r="BE4496" s="3" t="s">
        <v>43853</v>
      </c>
      <c r="BF4496" s="3" t="s">
        <v>43852</v>
      </c>
      <c r="BG4496" s="3" t="s">
        <v>43854</v>
      </c>
      <c r="BH4496">
        <f t="shared" si="140"/>
        <v>0</v>
      </c>
    </row>
    <row r="4497" spans="1:60" ht="58" x14ac:dyDescent="0.35">
      <c r="A4497" s="2" t="s">
        <v>59</v>
      </c>
      <c r="B4497" s="2" t="s">
        <v>60</v>
      </c>
      <c r="C4497" s="2" t="s">
        <v>43855</v>
      </c>
      <c r="D4497" s="2" t="s">
        <v>43856</v>
      </c>
      <c r="E4497" s="2" t="s">
        <v>43857</v>
      </c>
      <c r="G4497" s="3" t="s">
        <v>64</v>
      </c>
      <c r="I4497" s="3" t="s">
        <v>64</v>
      </c>
      <c r="J4497" s="3" t="s">
        <v>64</v>
      </c>
      <c r="K4497" s="3" t="s">
        <v>65</v>
      </c>
      <c r="L4497" s="2" t="s">
        <v>43858</v>
      </c>
      <c r="M4497" s="2" t="s">
        <v>43859</v>
      </c>
      <c r="N4497" s="3" t="s">
        <v>116</v>
      </c>
      <c r="P4497" s="3" t="s">
        <v>102</v>
      </c>
      <c r="Q4497" s="2" t="s">
        <v>43860</v>
      </c>
      <c r="R4497" s="3" t="s">
        <v>70</v>
      </c>
      <c r="S4497" s="4">
        <v>2</v>
      </c>
      <c r="T4497" s="4">
        <v>2</v>
      </c>
      <c r="U4497" s="5" t="s">
        <v>24265</v>
      </c>
      <c r="V4497" s="5" t="s">
        <v>24265</v>
      </c>
      <c r="W4497" s="5" t="s">
        <v>72</v>
      </c>
      <c r="X4497" s="5" t="s">
        <v>72</v>
      </c>
      <c r="Y4497" s="4">
        <v>212</v>
      </c>
      <c r="Z4497" s="4">
        <v>15</v>
      </c>
      <c r="AA4497" s="4">
        <v>17</v>
      </c>
      <c r="AB4497" s="4">
        <v>2</v>
      </c>
      <c r="AC4497" s="4">
        <v>4</v>
      </c>
      <c r="AD4497" s="4">
        <v>64</v>
      </c>
      <c r="AE4497" s="4">
        <v>66</v>
      </c>
      <c r="AF4497" s="4">
        <v>0</v>
      </c>
      <c r="AG4497" s="4">
        <v>2</v>
      </c>
      <c r="AH4497" s="4">
        <v>57</v>
      </c>
      <c r="AI4497" s="4">
        <v>58</v>
      </c>
      <c r="AJ4497" s="4">
        <v>5</v>
      </c>
      <c r="AK4497" s="4">
        <v>7</v>
      </c>
      <c r="AL4497" s="4">
        <v>46</v>
      </c>
      <c r="AM4497" s="4">
        <v>46</v>
      </c>
      <c r="AN4497" s="4">
        <v>0</v>
      </c>
      <c r="AO4497" s="4">
        <v>0</v>
      </c>
      <c r="AP4497" s="4">
        <v>7</v>
      </c>
      <c r="AQ4497" s="4">
        <v>8</v>
      </c>
      <c r="AR4497" s="3" t="s">
        <v>64</v>
      </c>
      <c r="AS4497" s="3" t="s">
        <v>64</v>
      </c>
      <c r="AT4497" s="3" t="s">
        <v>128</v>
      </c>
      <c r="AU4497" s="6" t="str">
        <f>HYPERLINK("http://catalog.hathitrust.org/Record/003578432","HathiTrust Record")</f>
        <v>HathiTrust Record</v>
      </c>
      <c r="AV4497" s="6" t="str">
        <f>HYPERLINK("http://mcgill.on.worldcat.org/oclc/48271397","Catalog Record")</f>
        <v>Catalog Record</v>
      </c>
      <c r="AW4497" s="6" t="str">
        <f>HYPERLINK("http://www.worldcat.org/oclc/48271397","WorldCat Record")</f>
        <v>WorldCat Record</v>
      </c>
      <c r="AX4497" s="3" t="s">
        <v>43861</v>
      </c>
      <c r="AY4497" s="3" t="s">
        <v>43862</v>
      </c>
      <c r="AZ4497" s="3" t="s">
        <v>43863</v>
      </c>
      <c r="BA4497" s="3" t="s">
        <v>43863</v>
      </c>
      <c r="BB4497" s="3" t="s">
        <v>43864</v>
      </c>
      <c r="BC4497" s="3" t="s">
        <v>77</v>
      </c>
      <c r="BD4497" s="3" t="s">
        <v>78</v>
      </c>
      <c r="BE4497" s="3" t="s">
        <v>43865</v>
      </c>
      <c r="BF4497" s="3" t="s">
        <v>43864</v>
      </c>
      <c r="BG4497" s="3" t="s">
        <v>43866</v>
      </c>
      <c r="BH4497">
        <f t="shared" si="140"/>
        <v>0</v>
      </c>
    </row>
    <row r="4498" spans="1:60" ht="72.5" x14ac:dyDescent="0.35">
      <c r="A4498" s="2" t="s">
        <v>6202</v>
      </c>
      <c r="B4498" s="2" t="s">
        <v>6203</v>
      </c>
      <c r="C4498" s="2" t="s">
        <v>43867</v>
      </c>
      <c r="D4498" s="2" t="s">
        <v>43868</v>
      </c>
      <c r="E4498" s="2" t="s">
        <v>43869</v>
      </c>
      <c r="G4498" s="3" t="s">
        <v>64</v>
      </c>
      <c r="I4498" s="3" t="s">
        <v>128</v>
      </c>
      <c r="J4498" s="3" t="s">
        <v>64</v>
      </c>
      <c r="K4498" s="3" t="s">
        <v>65</v>
      </c>
      <c r="L4498" s="2" t="s">
        <v>43870</v>
      </c>
      <c r="M4498" s="2" t="s">
        <v>43871</v>
      </c>
      <c r="N4498" s="3" t="s">
        <v>4972</v>
      </c>
      <c r="O4498" s="2" t="s">
        <v>2149</v>
      </c>
      <c r="P4498" s="3" t="s">
        <v>102</v>
      </c>
      <c r="R4498" s="3" t="s">
        <v>70</v>
      </c>
      <c r="S4498" s="4">
        <v>0</v>
      </c>
      <c r="T4498" s="4">
        <v>1</v>
      </c>
      <c r="V4498" s="5" t="s">
        <v>30773</v>
      </c>
      <c r="W4498" s="5" t="s">
        <v>72</v>
      </c>
      <c r="X4498" s="5" t="s">
        <v>72</v>
      </c>
      <c r="Y4498" s="4">
        <v>74</v>
      </c>
      <c r="Z4498" s="4">
        <v>25</v>
      </c>
      <c r="AA4498" s="4">
        <v>36</v>
      </c>
      <c r="AB4498" s="4">
        <v>4</v>
      </c>
      <c r="AC4498" s="4">
        <v>9</v>
      </c>
      <c r="AD4498" s="4">
        <v>43</v>
      </c>
      <c r="AE4498" s="4">
        <v>52</v>
      </c>
      <c r="AF4498" s="4">
        <v>2</v>
      </c>
      <c r="AG4498" s="4">
        <v>5</v>
      </c>
      <c r="AH4498" s="4">
        <v>32</v>
      </c>
      <c r="AI4498" s="4">
        <v>35</v>
      </c>
      <c r="AJ4498" s="4">
        <v>15</v>
      </c>
      <c r="AK4498" s="4">
        <v>21</v>
      </c>
      <c r="AL4498" s="4">
        <v>20</v>
      </c>
      <c r="AM4498" s="4">
        <v>21</v>
      </c>
      <c r="AN4498" s="4">
        <v>0</v>
      </c>
      <c r="AO4498" s="4">
        <v>0</v>
      </c>
      <c r="AP4498" s="4">
        <v>19</v>
      </c>
      <c r="AQ4498" s="4">
        <v>25</v>
      </c>
      <c r="AR4498" s="3" t="s">
        <v>128</v>
      </c>
      <c r="AS4498" s="3" t="s">
        <v>64</v>
      </c>
      <c r="AT4498" s="3" t="s">
        <v>128</v>
      </c>
      <c r="AU4498" s="6" t="str">
        <f>HYPERLINK("http://catalog.hathitrust.org/Record/006643732","HathiTrust Record")</f>
        <v>HathiTrust Record</v>
      </c>
      <c r="AV4498" s="6" t="str">
        <f>HYPERLINK("http://mcgill.on.worldcat.org/oclc/2150107","Catalog Record")</f>
        <v>Catalog Record</v>
      </c>
      <c r="AW4498" s="6" t="str">
        <f>HYPERLINK("http://www.worldcat.org/oclc/2150107","WorldCat Record")</f>
        <v>WorldCat Record</v>
      </c>
      <c r="AX4498" s="3" t="s">
        <v>43872</v>
      </c>
      <c r="AY4498" s="3" t="s">
        <v>43873</v>
      </c>
      <c r="AZ4498" s="3" t="s">
        <v>43874</v>
      </c>
      <c r="BA4498" s="3" t="s">
        <v>43874</v>
      </c>
      <c r="BB4498" s="3" t="s">
        <v>43875</v>
      </c>
      <c r="BC4498" s="3" t="s">
        <v>77</v>
      </c>
      <c r="BD4498" s="3" t="s">
        <v>78</v>
      </c>
      <c r="BF4498" s="3" t="s">
        <v>43875</v>
      </c>
      <c r="BG4498" s="3" t="s">
        <v>43876</v>
      </c>
      <c r="BH4498">
        <f t="shared" si="140"/>
        <v>0</v>
      </c>
    </row>
    <row r="4499" spans="1:60" ht="58" x14ac:dyDescent="0.35">
      <c r="A4499" s="2" t="s">
        <v>6202</v>
      </c>
      <c r="B4499" s="2" t="s">
        <v>6203</v>
      </c>
      <c r="C4499" s="2" t="s">
        <v>43877</v>
      </c>
      <c r="D4499" s="2" t="s">
        <v>43878</v>
      </c>
      <c r="E4499" s="2" t="s">
        <v>43879</v>
      </c>
      <c r="G4499" s="3" t="s">
        <v>64</v>
      </c>
      <c r="I4499" s="3" t="s">
        <v>128</v>
      </c>
      <c r="J4499" s="3" t="s">
        <v>64</v>
      </c>
      <c r="K4499" s="3" t="s">
        <v>65</v>
      </c>
      <c r="L4499" s="2" t="s">
        <v>43880</v>
      </c>
      <c r="M4499" s="2" t="s">
        <v>43881</v>
      </c>
      <c r="N4499" s="3" t="s">
        <v>3047</v>
      </c>
      <c r="O4499" s="2" t="s">
        <v>43882</v>
      </c>
      <c r="P4499" s="3" t="s">
        <v>102</v>
      </c>
      <c r="Q4499" s="2" t="s">
        <v>43883</v>
      </c>
      <c r="R4499" s="3" t="s">
        <v>70</v>
      </c>
      <c r="S4499" s="4">
        <v>2</v>
      </c>
      <c r="T4499" s="4">
        <v>2</v>
      </c>
      <c r="U4499" s="5" t="s">
        <v>24265</v>
      </c>
      <c r="V4499" s="5" t="s">
        <v>24265</v>
      </c>
      <c r="W4499" s="5" t="s">
        <v>72</v>
      </c>
      <c r="X4499" s="5" t="s">
        <v>72</v>
      </c>
      <c r="Y4499" s="4">
        <v>5</v>
      </c>
      <c r="Z4499" s="4">
        <v>4</v>
      </c>
      <c r="AA4499" s="4">
        <v>67</v>
      </c>
      <c r="AB4499" s="4">
        <v>2</v>
      </c>
      <c r="AC4499" s="4">
        <v>6</v>
      </c>
      <c r="AD4499" s="4">
        <v>2</v>
      </c>
      <c r="AE4499" s="4">
        <v>66</v>
      </c>
      <c r="AF4499" s="4">
        <v>0</v>
      </c>
      <c r="AG4499" s="4">
        <v>2</v>
      </c>
      <c r="AH4499" s="4">
        <v>2</v>
      </c>
      <c r="AI4499" s="4">
        <v>42</v>
      </c>
      <c r="AJ4499" s="4">
        <v>2</v>
      </c>
      <c r="AK4499" s="4">
        <v>22</v>
      </c>
      <c r="AL4499" s="4">
        <v>0</v>
      </c>
      <c r="AM4499" s="4">
        <v>22</v>
      </c>
      <c r="AN4499" s="4">
        <v>0</v>
      </c>
      <c r="AO4499" s="4">
        <v>0</v>
      </c>
      <c r="AP4499" s="4">
        <v>2</v>
      </c>
      <c r="AQ4499" s="4">
        <v>33</v>
      </c>
      <c r="AR4499" s="3" t="s">
        <v>128</v>
      </c>
      <c r="AS4499" s="3" t="s">
        <v>64</v>
      </c>
      <c r="AT4499" s="3" t="s">
        <v>128</v>
      </c>
      <c r="AU4499" s="6" t="str">
        <f>HYPERLINK("http://catalog.hathitrust.org/Record/000910093","HathiTrust Record")</f>
        <v>HathiTrust Record</v>
      </c>
      <c r="AV4499" s="6" t="str">
        <f>HYPERLINK("http://mcgill.on.worldcat.org/oclc/427268228","Catalog Record")</f>
        <v>Catalog Record</v>
      </c>
      <c r="AW4499" s="6" t="str">
        <f>HYPERLINK("http://www.worldcat.org/oclc/427268228","WorldCat Record")</f>
        <v>WorldCat Record</v>
      </c>
      <c r="AX4499" s="3" t="s">
        <v>43884</v>
      </c>
      <c r="AY4499" s="3" t="s">
        <v>43885</v>
      </c>
      <c r="AZ4499" s="3" t="s">
        <v>43886</v>
      </c>
      <c r="BA4499" s="3" t="s">
        <v>43886</v>
      </c>
      <c r="BB4499" s="3" t="s">
        <v>43887</v>
      </c>
      <c r="BC4499" s="3" t="s">
        <v>77</v>
      </c>
      <c r="BD4499" s="3" t="s">
        <v>78</v>
      </c>
      <c r="BE4499" s="3" t="s">
        <v>43888</v>
      </c>
      <c r="BF4499" s="3" t="s">
        <v>43887</v>
      </c>
      <c r="BG4499" s="3" t="s">
        <v>43889</v>
      </c>
      <c r="BH4499">
        <f t="shared" si="140"/>
        <v>0</v>
      </c>
    </row>
    <row r="4500" spans="1:60" ht="58" x14ac:dyDescent="0.35">
      <c r="A4500" s="2" t="s">
        <v>6202</v>
      </c>
      <c r="B4500" s="2" t="s">
        <v>6203</v>
      </c>
      <c r="C4500" s="2" t="s">
        <v>43890</v>
      </c>
      <c r="D4500" s="2" t="s">
        <v>43891</v>
      </c>
      <c r="E4500" s="2" t="s">
        <v>43892</v>
      </c>
      <c r="G4500" s="3" t="s">
        <v>64</v>
      </c>
      <c r="I4500" s="3" t="s">
        <v>64</v>
      </c>
      <c r="J4500" s="3" t="s">
        <v>64</v>
      </c>
      <c r="K4500" s="3" t="s">
        <v>65</v>
      </c>
      <c r="L4500" s="2" t="s">
        <v>43893</v>
      </c>
      <c r="M4500" s="2" t="s">
        <v>43894</v>
      </c>
      <c r="N4500" s="3" t="s">
        <v>1031</v>
      </c>
      <c r="P4500" s="3" t="s">
        <v>102</v>
      </c>
      <c r="R4500" s="3" t="s">
        <v>70</v>
      </c>
      <c r="S4500" s="4">
        <v>1</v>
      </c>
      <c r="T4500" s="4">
        <v>1</v>
      </c>
      <c r="U4500" s="5" t="s">
        <v>24265</v>
      </c>
      <c r="V4500" s="5" t="s">
        <v>24265</v>
      </c>
      <c r="W4500" s="5" t="s">
        <v>72</v>
      </c>
      <c r="X4500" s="5" t="s">
        <v>72</v>
      </c>
      <c r="Y4500" s="4">
        <v>1</v>
      </c>
      <c r="Z4500" s="4">
        <v>1</v>
      </c>
      <c r="AA4500" s="4">
        <v>1</v>
      </c>
      <c r="AB4500" s="4">
        <v>1</v>
      </c>
      <c r="AC4500" s="4">
        <v>1</v>
      </c>
      <c r="AD4500" s="4">
        <v>0</v>
      </c>
      <c r="AE4500" s="4">
        <v>0</v>
      </c>
      <c r="AF4500" s="4">
        <v>0</v>
      </c>
      <c r="AG4500" s="4">
        <v>0</v>
      </c>
      <c r="AH4500" s="4">
        <v>0</v>
      </c>
      <c r="AI4500" s="4">
        <v>0</v>
      </c>
      <c r="AJ4500" s="4">
        <v>0</v>
      </c>
      <c r="AK4500" s="4">
        <v>0</v>
      </c>
      <c r="AL4500" s="4">
        <v>0</v>
      </c>
      <c r="AM4500" s="4">
        <v>0</v>
      </c>
      <c r="AN4500" s="4">
        <v>0</v>
      </c>
      <c r="AO4500" s="4">
        <v>0</v>
      </c>
      <c r="AP4500" s="4">
        <v>0</v>
      </c>
      <c r="AQ4500" s="4">
        <v>0</v>
      </c>
      <c r="AR4500" s="3" t="s">
        <v>128</v>
      </c>
      <c r="AS4500" s="3" t="s">
        <v>64</v>
      </c>
      <c r="AT4500" s="3" t="s">
        <v>64</v>
      </c>
      <c r="AV4500" s="6" t="str">
        <f>HYPERLINK("http://mcgill.on.worldcat.org/oclc/61562391","Catalog Record")</f>
        <v>Catalog Record</v>
      </c>
      <c r="AW4500" s="6" t="str">
        <f>HYPERLINK("http://www.worldcat.org/oclc/61562391","WorldCat Record")</f>
        <v>WorldCat Record</v>
      </c>
      <c r="AX4500" s="3" t="s">
        <v>43895</v>
      </c>
      <c r="AY4500" s="3" t="s">
        <v>43896</v>
      </c>
      <c r="AZ4500" s="3" t="s">
        <v>43897</v>
      </c>
      <c r="BA4500" s="3" t="s">
        <v>43897</v>
      </c>
      <c r="BB4500" s="3" t="s">
        <v>43898</v>
      </c>
      <c r="BC4500" s="3" t="s">
        <v>77</v>
      </c>
      <c r="BD4500" s="3" t="s">
        <v>78</v>
      </c>
      <c r="BF4500" s="3" t="s">
        <v>43898</v>
      </c>
      <c r="BG4500" s="3" t="s">
        <v>43899</v>
      </c>
      <c r="BH4500">
        <f t="shared" si="140"/>
        <v>0</v>
      </c>
    </row>
    <row r="4501" spans="1:60" ht="58" x14ac:dyDescent="0.35">
      <c r="A4501" s="2" t="s">
        <v>6202</v>
      </c>
      <c r="B4501" s="2" t="s">
        <v>6203</v>
      </c>
      <c r="C4501" s="2" t="s">
        <v>43900</v>
      </c>
      <c r="D4501" s="2" t="s">
        <v>43901</v>
      </c>
      <c r="E4501" s="2" t="s">
        <v>43902</v>
      </c>
      <c r="G4501" s="3" t="s">
        <v>64</v>
      </c>
      <c r="I4501" s="3" t="s">
        <v>128</v>
      </c>
      <c r="J4501" s="3" t="s">
        <v>64</v>
      </c>
      <c r="K4501" s="3" t="s">
        <v>65</v>
      </c>
      <c r="L4501" s="2" t="s">
        <v>43903</v>
      </c>
      <c r="M4501" s="2" t="s">
        <v>43904</v>
      </c>
      <c r="N4501" s="3" t="s">
        <v>1087</v>
      </c>
      <c r="P4501" s="3" t="s">
        <v>102</v>
      </c>
      <c r="R4501" s="3" t="s">
        <v>70</v>
      </c>
      <c r="S4501" s="4">
        <v>1</v>
      </c>
      <c r="T4501" s="4">
        <v>1</v>
      </c>
      <c r="U4501" s="5" t="s">
        <v>24265</v>
      </c>
      <c r="V4501" s="5" t="s">
        <v>24265</v>
      </c>
      <c r="W4501" s="5" t="s">
        <v>72</v>
      </c>
      <c r="X4501" s="5" t="s">
        <v>72</v>
      </c>
      <c r="Y4501" s="4">
        <v>48</v>
      </c>
      <c r="Z4501" s="4">
        <v>21</v>
      </c>
      <c r="AA4501" s="4">
        <v>25</v>
      </c>
      <c r="AB4501" s="4">
        <v>3</v>
      </c>
      <c r="AC4501" s="4">
        <v>6</v>
      </c>
      <c r="AD4501" s="4">
        <v>30</v>
      </c>
      <c r="AE4501" s="4">
        <v>38</v>
      </c>
      <c r="AF4501" s="4">
        <v>0</v>
      </c>
      <c r="AG4501" s="4">
        <v>3</v>
      </c>
      <c r="AH4501" s="4">
        <v>20</v>
      </c>
      <c r="AI4501" s="4">
        <v>24</v>
      </c>
      <c r="AJ4501" s="4">
        <v>15</v>
      </c>
      <c r="AK4501" s="4">
        <v>19</v>
      </c>
      <c r="AL4501" s="4">
        <v>13</v>
      </c>
      <c r="AM4501" s="4">
        <v>17</v>
      </c>
      <c r="AN4501" s="4">
        <v>0</v>
      </c>
      <c r="AO4501" s="4">
        <v>0</v>
      </c>
      <c r="AP4501" s="4">
        <v>15</v>
      </c>
      <c r="AQ4501" s="4">
        <v>18</v>
      </c>
      <c r="AR4501" s="3" t="s">
        <v>128</v>
      </c>
      <c r="AS4501" s="3" t="s">
        <v>64</v>
      </c>
      <c r="AT4501" s="3" t="s">
        <v>64</v>
      </c>
      <c r="AV4501" s="6" t="str">
        <f>HYPERLINK("http://mcgill.on.worldcat.org/oclc/29430588","Catalog Record")</f>
        <v>Catalog Record</v>
      </c>
      <c r="AW4501" s="6" t="str">
        <f>HYPERLINK("http://www.worldcat.org/oclc/29430588","WorldCat Record")</f>
        <v>WorldCat Record</v>
      </c>
      <c r="AX4501" s="3" t="s">
        <v>43905</v>
      </c>
      <c r="AY4501" s="3" t="s">
        <v>43906</v>
      </c>
      <c r="AZ4501" s="3" t="s">
        <v>43907</v>
      </c>
      <c r="BA4501" s="3" t="s">
        <v>43907</v>
      </c>
      <c r="BB4501" s="3" t="s">
        <v>43908</v>
      </c>
      <c r="BC4501" s="3" t="s">
        <v>77</v>
      </c>
      <c r="BD4501" s="3" t="s">
        <v>78</v>
      </c>
      <c r="BE4501" s="3" t="s">
        <v>43909</v>
      </c>
      <c r="BF4501" s="3" t="s">
        <v>43908</v>
      </c>
      <c r="BG4501" s="3" t="s">
        <v>43910</v>
      </c>
      <c r="BH4501">
        <f t="shared" si="140"/>
        <v>0</v>
      </c>
    </row>
    <row r="4502" spans="1:60" ht="58" x14ac:dyDescent="0.35">
      <c r="A4502" s="2" t="s">
        <v>6202</v>
      </c>
      <c r="B4502" s="2" t="s">
        <v>6203</v>
      </c>
      <c r="C4502" s="2" t="s">
        <v>43911</v>
      </c>
      <c r="D4502" s="2" t="s">
        <v>43912</v>
      </c>
      <c r="E4502" s="2" t="s">
        <v>43913</v>
      </c>
      <c r="G4502" s="3" t="s">
        <v>64</v>
      </c>
      <c r="I4502" s="3" t="s">
        <v>64</v>
      </c>
      <c r="J4502" s="3" t="s">
        <v>64</v>
      </c>
      <c r="K4502" s="3" t="s">
        <v>65</v>
      </c>
      <c r="L4502" s="2" t="s">
        <v>43914</v>
      </c>
      <c r="M4502" s="2" t="s">
        <v>43915</v>
      </c>
      <c r="N4502" s="3" t="s">
        <v>3330</v>
      </c>
      <c r="P4502" s="3" t="s">
        <v>102</v>
      </c>
      <c r="Q4502" s="2" t="s">
        <v>43916</v>
      </c>
      <c r="R4502" s="3" t="s">
        <v>70</v>
      </c>
      <c r="S4502" s="4">
        <v>2</v>
      </c>
      <c r="T4502" s="4">
        <v>2</v>
      </c>
      <c r="U4502" s="5" t="s">
        <v>8245</v>
      </c>
      <c r="V4502" s="5" t="s">
        <v>8245</v>
      </c>
      <c r="W4502" s="5" t="s">
        <v>72</v>
      </c>
      <c r="X4502" s="5" t="s">
        <v>72</v>
      </c>
      <c r="Y4502" s="4">
        <v>77</v>
      </c>
      <c r="Z4502" s="4">
        <v>4</v>
      </c>
      <c r="AA4502" s="4">
        <v>4</v>
      </c>
      <c r="AB4502" s="4">
        <v>1</v>
      </c>
      <c r="AC4502" s="4">
        <v>1</v>
      </c>
      <c r="AD4502" s="4">
        <v>40</v>
      </c>
      <c r="AE4502" s="4">
        <v>41</v>
      </c>
      <c r="AF4502" s="4">
        <v>0</v>
      </c>
      <c r="AG4502" s="4">
        <v>0</v>
      </c>
      <c r="AH4502" s="4">
        <v>37</v>
      </c>
      <c r="AI4502" s="4">
        <v>38</v>
      </c>
      <c r="AJ4502" s="4">
        <v>2</v>
      </c>
      <c r="AK4502" s="4">
        <v>2</v>
      </c>
      <c r="AL4502" s="4">
        <v>29</v>
      </c>
      <c r="AM4502" s="4">
        <v>29</v>
      </c>
      <c r="AN4502" s="4">
        <v>0</v>
      </c>
      <c r="AO4502" s="4">
        <v>0</v>
      </c>
      <c r="AP4502" s="4">
        <v>1</v>
      </c>
      <c r="AQ4502" s="4">
        <v>1</v>
      </c>
      <c r="AR4502" s="3" t="s">
        <v>64</v>
      </c>
      <c r="AS4502" s="3" t="s">
        <v>64</v>
      </c>
      <c r="AT4502" s="3" t="s">
        <v>128</v>
      </c>
      <c r="AU4502" s="6" t="str">
        <f>HYPERLINK("http://catalog.hathitrust.org/Record/002212990","HathiTrust Record")</f>
        <v>HathiTrust Record</v>
      </c>
      <c r="AV4502" s="6" t="str">
        <f>HYPERLINK("http://mcgill.on.worldcat.org/oclc/18410941","Catalog Record")</f>
        <v>Catalog Record</v>
      </c>
      <c r="AW4502" s="6" t="str">
        <f>HYPERLINK("http://www.worldcat.org/oclc/18410941","WorldCat Record")</f>
        <v>WorldCat Record</v>
      </c>
      <c r="AX4502" s="3" t="s">
        <v>43917</v>
      </c>
      <c r="AY4502" s="3" t="s">
        <v>43918</v>
      </c>
      <c r="AZ4502" s="3" t="s">
        <v>43919</v>
      </c>
      <c r="BA4502" s="3" t="s">
        <v>43919</v>
      </c>
      <c r="BB4502" s="3" t="s">
        <v>43920</v>
      </c>
      <c r="BC4502" s="3" t="s">
        <v>77</v>
      </c>
      <c r="BD4502" s="3" t="s">
        <v>78</v>
      </c>
      <c r="BE4502" s="3" t="s">
        <v>43921</v>
      </c>
      <c r="BF4502" s="3" t="s">
        <v>43920</v>
      </c>
      <c r="BG4502" s="3" t="s">
        <v>43922</v>
      </c>
      <c r="BH4502">
        <f t="shared" si="140"/>
        <v>0</v>
      </c>
    </row>
    <row r="4503" spans="1:60" ht="58" x14ac:dyDescent="0.35">
      <c r="A4503" s="2" t="s">
        <v>59</v>
      </c>
      <c r="B4503" s="2" t="s">
        <v>60</v>
      </c>
      <c r="C4503" s="2" t="s">
        <v>43923</v>
      </c>
      <c r="D4503" s="2" t="s">
        <v>43924</v>
      </c>
      <c r="E4503" s="2" t="s">
        <v>43925</v>
      </c>
      <c r="G4503" s="3" t="s">
        <v>64</v>
      </c>
      <c r="I4503" s="3" t="s">
        <v>64</v>
      </c>
      <c r="J4503" s="3" t="s">
        <v>64</v>
      </c>
      <c r="K4503" s="3" t="s">
        <v>65</v>
      </c>
      <c r="L4503" s="2" t="s">
        <v>43926</v>
      </c>
      <c r="M4503" s="2" t="s">
        <v>43927</v>
      </c>
      <c r="N4503" s="3" t="s">
        <v>1075</v>
      </c>
      <c r="P4503" s="3" t="s">
        <v>102</v>
      </c>
      <c r="R4503" s="3" t="s">
        <v>70</v>
      </c>
      <c r="S4503" s="4">
        <v>0</v>
      </c>
      <c r="T4503" s="4">
        <v>0</v>
      </c>
      <c r="W4503" s="5" t="s">
        <v>17763</v>
      </c>
      <c r="X4503" s="5" t="s">
        <v>17763</v>
      </c>
      <c r="Y4503" s="4">
        <v>66</v>
      </c>
      <c r="Z4503" s="4">
        <v>5</v>
      </c>
      <c r="AA4503" s="4">
        <v>5</v>
      </c>
      <c r="AB4503" s="4">
        <v>1</v>
      </c>
      <c r="AC4503" s="4">
        <v>1</v>
      </c>
      <c r="AD4503" s="4">
        <v>38</v>
      </c>
      <c r="AE4503" s="4">
        <v>38</v>
      </c>
      <c r="AF4503" s="4">
        <v>0</v>
      </c>
      <c r="AG4503" s="4">
        <v>0</v>
      </c>
      <c r="AH4503" s="4">
        <v>36</v>
      </c>
      <c r="AI4503" s="4">
        <v>36</v>
      </c>
      <c r="AJ4503" s="4">
        <v>3</v>
      </c>
      <c r="AK4503" s="4">
        <v>3</v>
      </c>
      <c r="AL4503" s="4">
        <v>29</v>
      </c>
      <c r="AM4503" s="4">
        <v>29</v>
      </c>
      <c r="AN4503" s="4">
        <v>0</v>
      </c>
      <c r="AO4503" s="4">
        <v>0</v>
      </c>
      <c r="AP4503" s="4">
        <v>3</v>
      </c>
      <c r="AQ4503" s="4">
        <v>3</v>
      </c>
      <c r="AR4503" s="3" t="s">
        <v>64</v>
      </c>
      <c r="AS4503" s="3" t="s">
        <v>64</v>
      </c>
      <c r="AT4503" s="3" t="s">
        <v>64</v>
      </c>
      <c r="AV4503" s="6" t="str">
        <f>HYPERLINK("http://mcgill.on.worldcat.org/oclc/828245962","Catalog Record")</f>
        <v>Catalog Record</v>
      </c>
      <c r="AW4503" s="6" t="str">
        <f>HYPERLINK("http://www.worldcat.org/oclc/828245962","WorldCat Record")</f>
        <v>WorldCat Record</v>
      </c>
      <c r="AX4503" s="3" t="s">
        <v>43928</v>
      </c>
      <c r="AY4503" s="3" t="s">
        <v>43929</v>
      </c>
      <c r="AZ4503" s="3" t="s">
        <v>43930</v>
      </c>
      <c r="BA4503" s="3" t="s">
        <v>43930</v>
      </c>
      <c r="BB4503" s="3" t="s">
        <v>43931</v>
      </c>
      <c r="BC4503" s="3" t="s">
        <v>77</v>
      </c>
      <c r="BD4503" s="3" t="s">
        <v>78</v>
      </c>
      <c r="BE4503" s="3" t="s">
        <v>43932</v>
      </c>
      <c r="BF4503" s="3" t="s">
        <v>43931</v>
      </c>
      <c r="BG4503" s="3" t="s">
        <v>43933</v>
      </c>
      <c r="BH4503">
        <f t="shared" si="140"/>
        <v>0</v>
      </c>
    </row>
    <row r="4504" spans="1:60" ht="58" x14ac:dyDescent="0.35">
      <c r="A4504" s="2" t="s">
        <v>6202</v>
      </c>
      <c r="B4504" s="2" t="s">
        <v>6203</v>
      </c>
      <c r="C4504" s="2" t="s">
        <v>43934</v>
      </c>
      <c r="D4504" s="2" t="s">
        <v>43935</v>
      </c>
      <c r="E4504" s="2" t="s">
        <v>43936</v>
      </c>
      <c r="G4504" s="3" t="s">
        <v>64</v>
      </c>
      <c r="I4504" s="3" t="s">
        <v>64</v>
      </c>
      <c r="J4504" s="3" t="s">
        <v>64</v>
      </c>
      <c r="K4504" s="3" t="s">
        <v>65</v>
      </c>
      <c r="M4504" s="2" t="s">
        <v>3294</v>
      </c>
      <c r="N4504" s="3" t="s">
        <v>511</v>
      </c>
      <c r="P4504" s="3" t="s">
        <v>102</v>
      </c>
      <c r="Q4504" s="2" t="s">
        <v>43937</v>
      </c>
      <c r="R4504" s="3" t="s">
        <v>70</v>
      </c>
      <c r="S4504" s="4">
        <v>2</v>
      </c>
      <c r="T4504" s="4">
        <v>2</v>
      </c>
      <c r="U4504" s="5" t="s">
        <v>15052</v>
      </c>
      <c r="V4504" s="5" t="s">
        <v>15052</v>
      </c>
      <c r="W4504" s="5" t="s">
        <v>72</v>
      </c>
      <c r="X4504" s="5" t="s">
        <v>72</v>
      </c>
      <c r="Y4504" s="4">
        <v>103</v>
      </c>
      <c r="Z4504" s="4">
        <v>7</v>
      </c>
      <c r="AA4504" s="4">
        <v>7</v>
      </c>
      <c r="AB4504" s="4">
        <v>1</v>
      </c>
      <c r="AC4504" s="4">
        <v>1</v>
      </c>
      <c r="AD4504" s="4">
        <v>50</v>
      </c>
      <c r="AE4504" s="4">
        <v>50</v>
      </c>
      <c r="AF4504" s="4">
        <v>0</v>
      </c>
      <c r="AG4504" s="4">
        <v>0</v>
      </c>
      <c r="AH4504" s="4">
        <v>47</v>
      </c>
      <c r="AI4504" s="4">
        <v>47</v>
      </c>
      <c r="AJ4504" s="4">
        <v>5</v>
      </c>
      <c r="AK4504" s="4">
        <v>5</v>
      </c>
      <c r="AL4504" s="4">
        <v>36</v>
      </c>
      <c r="AM4504" s="4">
        <v>36</v>
      </c>
      <c r="AN4504" s="4">
        <v>0</v>
      </c>
      <c r="AO4504" s="4">
        <v>0</v>
      </c>
      <c r="AP4504" s="4">
        <v>5</v>
      </c>
      <c r="AQ4504" s="4">
        <v>5</v>
      </c>
      <c r="AR4504" s="3" t="s">
        <v>64</v>
      </c>
      <c r="AS4504" s="3" t="s">
        <v>64</v>
      </c>
      <c r="AT4504" s="3" t="s">
        <v>64</v>
      </c>
      <c r="AV4504" s="6" t="str">
        <f>HYPERLINK("http://mcgill.on.worldcat.org/oclc/489518937","Catalog Record")</f>
        <v>Catalog Record</v>
      </c>
      <c r="AW4504" s="6" t="str">
        <f>HYPERLINK("http://www.worldcat.org/oclc/489518937","WorldCat Record")</f>
        <v>WorldCat Record</v>
      </c>
      <c r="AX4504" s="3" t="s">
        <v>43938</v>
      </c>
      <c r="AY4504" s="3" t="s">
        <v>43939</v>
      </c>
      <c r="AZ4504" s="3" t="s">
        <v>43940</v>
      </c>
      <c r="BA4504" s="3" t="s">
        <v>43940</v>
      </c>
      <c r="BB4504" s="3" t="s">
        <v>43941</v>
      </c>
      <c r="BC4504" s="3" t="s">
        <v>77</v>
      </c>
      <c r="BD4504" s="3" t="s">
        <v>78</v>
      </c>
      <c r="BE4504" s="3" t="s">
        <v>43942</v>
      </c>
      <c r="BF4504" s="3" t="s">
        <v>43941</v>
      </c>
      <c r="BG4504" s="3" t="s">
        <v>43943</v>
      </c>
      <c r="BH4504">
        <f t="shared" si="140"/>
        <v>0</v>
      </c>
    </row>
    <row r="4505" spans="1:60" ht="58" x14ac:dyDescent="0.35">
      <c r="A4505" s="2" t="s">
        <v>6202</v>
      </c>
      <c r="B4505" s="2" t="s">
        <v>6203</v>
      </c>
      <c r="C4505" s="2" t="s">
        <v>43944</v>
      </c>
      <c r="D4505" s="2" t="s">
        <v>43945</v>
      </c>
      <c r="E4505" s="2" t="s">
        <v>43946</v>
      </c>
      <c r="G4505" s="3" t="s">
        <v>64</v>
      </c>
      <c r="I4505" s="3" t="s">
        <v>64</v>
      </c>
      <c r="J4505" s="3" t="s">
        <v>64</v>
      </c>
      <c r="K4505" s="3" t="s">
        <v>65</v>
      </c>
      <c r="L4505" s="2" t="s">
        <v>43947</v>
      </c>
      <c r="M4505" s="2" t="s">
        <v>43948</v>
      </c>
      <c r="N4505" s="3" t="s">
        <v>1763</v>
      </c>
      <c r="P4505" s="3" t="s">
        <v>102</v>
      </c>
      <c r="Q4505" s="2" t="s">
        <v>43949</v>
      </c>
      <c r="R4505" s="3" t="s">
        <v>70</v>
      </c>
      <c r="S4505" s="4">
        <v>4</v>
      </c>
      <c r="T4505" s="4">
        <v>4</v>
      </c>
      <c r="U4505" s="5" t="s">
        <v>43950</v>
      </c>
      <c r="V4505" s="5" t="s">
        <v>43950</v>
      </c>
      <c r="W4505" s="5" t="s">
        <v>72</v>
      </c>
      <c r="X4505" s="5" t="s">
        <v>72</v>
      </c>
      <c r="Y4505" s="4">
        <v>374</v>
      </c>
      <c r="Z4505" s="4">
        <v>26</v>
      </c>
      <c r="AA4505" s="4">
        <v>28</v>
      </c>
      <c r="AB4505" s="4">
        <v>2</v>
      </c>
      <c r="AC4505" s="4">
        <v>4</v>
      </c>
      <c r="AD4505" s="4">
        <v>113</v>
      </c>
      <c r="AE4505" s="4">
        <v>116</v>
      </c>
      <c r="AF4505" s="4">
        <v>1</v>
      </c>
      <c r="AG4505" s="4">
        <v>3</v>
      </c>
      <c r="AH4505" s="4">
        <v>101</v>
      </c>
      <c r="AI4505" s="4">
        <v>102</v>
      </c>
      <c r="AJ4505" s="4">
        <v>17</v>
      </c>
      <c r="AK4505" s="4">
        <v>19</v>
      </c>
      <c r="AL4505" s="4">
        <v>53</v>
      </c>
      <c r="AM4505" s="4">
        <v>53</v>
      </c>
      <c r="AN4505" s="4">
        <v>0</v>
      </c>
      <c r="AO4505" s="4">
        <v>0</v>
      </c>
      <c r="AP4505" s="4">
        <v>20</v>
      </c>
      <c r="AQ4505" s="4">
        <v>21</v>
      </c>
      <c r="AR4505" s="3" t="s">
        <v>64</v>
      </c>
      <c r="AS4505" s="3" t="s">
        <v>64</v>
      </c>
      <c r="AT4505" s="3" t="s">
        <v>64</v>
      </c>
      <c r="AV4505" s="6" t="str">
        <f>HYPERLINK("http://mcgill.on.worldcat.org/oclc/10483861","Catalog Record")</f>
        <v>Catalog Record</v>
      </c>
      <c r="AW4505" s="6" t="str">
        <f>HYPERLINK("http://www.worldcat.org/oclc/10483861","WorldCat Record")</f>
        <v>WorldCat Record</v>
      </c>
      <c r="AX4505" s="3" t="s">
        <v>43951</v>
      </c>
      <c r="AY4505" s="3" t="s">
        <v>43952</v>
      </c>
      <c r="AZ4505" s="3" t="s">
        <v>43953</v>
      </c>
      <c r="BA4505" s="3" t="s">
        <v>43953</v>
      </c>
      <c r="BB4505" s="3" t="s">
        <v>43954</v>
      </c>
      <c r="BC4505" s="3" t="s">
        <v>77</v>
      </c>
      <c r="BD4505" s="3" t="s">
        <v>78</v>
      </c>
      <c r="BE4505" s="3" t="s">
        <v>43955</v>
      </c>
      <c r="BF4505" s="3" t="s">
        <v>43954</v>
      </c>
      <c r="BG4505" s="3" t="s">
        <v>43956</v>
      </c>
      <c r="BH4505">
        <f t="shared" si="140"/>
        <v>0</v>
      </c>
    </row>
    <row r="4506" spans="1:60" ht="58" x14ac:dyDescent="0.35">
      <c r="A4506" s="2" t="s">
        <v>6202</v>
      </c>
      <c r="B4506" s="2" t="s">
        <v>6203</v>
      </c>
      <c r="C4506" s="2" t="s">
        <v>43957</v>
      </c>
      <c r="D4506" s="2" t="s">
        <v>43958</v>
      </c>
      <c r="E4506" s="2" t="s">
        <v>43959</v>
      </c>
      <c r="F4506" s="3" t="s">
        <v>525</v>
      </c>
      <c r="G4506" s="3" t="s">
        <v>128</v>
      </c>
      <c r="I4506" s="3" t="s">
        <v>64</v>
      </c>
      <c r="J4506" s="3" t="s">
        <v>64</v>
      </c>
      <c r="K4506" s="3" t="s">
        <v>65</v>
      </c>
      <c r="L4506" s="2" t="s">
        <v>43960</v>
      </c>
      <c r="M4506" s="2" t="s">
        <v>43961</v>
      </c>
      <c r="N4506" s="3" t="s">
        <v>1763</v>
      </c>
      <c r="P4506" s="3" t="s">
        <v>102</v>
      </c>
      <c r="Q4506" s="2" t="s">
        <v>43962</v>
      </c>
      <c r="R4506" s="3" t="s">
        <v>70</v>
      </c>
      <c r="S4506" s="4">
        <v>1</v>
      </c>
      <c r="T4506" s="4">
        <v>2</v>
      </c>
      <c r="U4506" s="5" t="s">
        <v>43963</v>
      </c>
      <c r="V4506" s="5" t="s">
        <v>43963</v>
      </c>
      <c r="W4506" s="5" t="s">
        <v>72</v>
      </c>
      <c r="X4506" s="5" t="s">
        <v>72</v>
      </c>
      <c r="Y4506" s="4">
        <v>342</v>
      </c>
      <c r="Z4506" s="4">
        <v>7</v>
      </c>
      <c r="AA4506" s="4">
        <v>15</v>
      </c>
      <c r="AB4506" s="4">
        <v>1</v>
      </c>
      <c r="AC4506" s="4">
        <v>1</v>
      </c>
      <c r="AD4506" s="4">
        <v>73</v>
      </c>
      <c r="AE4506" s="4">
        <v>83</v>
      </c>
      <c r="AF4506" s="4">
        <v>0</v>
      </c>
      <c r="AG4506" s="4">
        <v>0</v>
      </c>
      <c r="AH4506" s="4">
        <v>70</v>
      </c>
      <c r="AI4506" s="4">
        <v>78</v>
      </c>
      <c r="AJ4506" s="4">
        <v>3</v>
      </c>
      <c r="AK4506" s="4">
        <v>9</v>
      </c>
      <c r="AL4506" s="4">
        <v>45</v>
      </c>
      <c r="AM4506" s="4">
        <v>48</v>
      </c>
      <c r="AN4506" s="4">
        <v>0</v>
      </c>
      <c r="AO4506" s="4">
        <v>0</v>
      </c>
      <c r="AP4506" s="4">
        <v>2</v>
      </c>
      <c r="AQ4506" s="4">
        <v>8</v>
      </c>
      <c r="AR4506" s="3" t="s">
        <v>64</v>
      </c>
      <c r="AS4506" s="3" t="s">
        <v>64</v>
      </c>
      <c r="AT4506" s="3" t="s">
        <v>128</v>
      </c>
      <c r="AU4506" s="6" t="str">
        <f>HYPERLINK("http://catalog.hathitrust.org/Record/000243430","HathiTrust Record")</f>
        <v>HathiTrust Record</v>
      </c>
      <c r="AV4506" s="6" t="str">
        <f>HYPERLINK("http://mcgill.on.worldcat.org/oclc/9969295","Catalog Record")</f>
        <v>Catalog Record</v>
      </c>
      <c r="AW4506" s="6" t="str">
        <f>HYPERLINK("http://www.worldcat.org/oclc/9969295","WorldCat Record")</f>
        <v>WorldCat Record</v>
      </c>
      <c r="AX4506" s="3" t="s">
        <v>43964</v>
      </c>
      <c r="AY4506" s="3" t="s">
        <v>43965</v>
      </c>
      <c r="AZ4506" s="3" t="s">
        <v>43966</v>
      </c>
      <c r="BA4506" s="3" t="s">
        <v>43966</v>
      </c>
      <c r="BB4506" s="3" t="s">
        <v>43967</v>
      </c>
      <c r="BC4506" s="3" t="s">
        <v>77</v>
      </c>
      <c r="BD4506" s="3" t="s">
        <v>78</v>
      </c>
      <c r="BE4506" s="3" t="s">
        <v>43968</v>
      </c>
      <c r="BF4506" s="3" t="s">
        <v>43967</v>
      </c>
      <c r="BG4506" s="3" t="s">
        <v>43969</v>
      </c>
      <c r="BH4506">
        <f t="shared" si="140"/>
        <v>0</v>
      </c>
    </row>
    <row r="4507" spans="1:60" ht="58" x14ac:dyDescent="0.35">
      <c r="A4507" s="2" t="s">
        <v>6202</v>
      </c>
      <c r="B4507" s="2" t="s">
        <v>6203</v>
      </c>
      <c r="C4507" s="2" t="s">
        <v>43957</v>
      </c>
      <c r="D4507" s="2" t="s">
        <v>43958</v>
      </c>
      <c r="E4507" s="2" t="s">
        <v>43959</v>
      </c>
      <c r="F4507" s="3" t="s">
        <v>26383</v>
      </c>
      <c r="G4507" s="3" t="s">
        <v>128</v>
      </c>
      <c r="I4507" s="3" t="s">
        <v>64</v>
      </c>
      <c r="J4507" s="3" t="s">
        <v>64</v>
      </c>
      <c r="K4507" s="3" t="s">
        <v>65</v>
      </c>
      <c r="L4507" s="2" t="s">
        <v>43960</v>
      </c>
      <c r="M4507" s="2" t="s">
        <v>43961</v>
      </c>
      <c r="N4507" s="3" t="s">
        <v>1763</v>
      </c>
      <c r="P4507" s="3" t="s">
        <v>102</v>
      </c>
      <c r="Q4507" s="2" t="s">
        <v>43962</v>
      </c>
      <c r="R4507" s="3" t="s">
        <v>70</v>
      </c>
      <c r="S4507" s="4">
        <v>1</v>
      </c>
      <c r="T4507" s="4">
        <v>2</v>
      </c>
      <c r="U4507" s="5" t="s">
        <v>43963</v>
      </c>
      <c r="V4507" s="5" t="s">
        <v>43963</v>
      </c>
      <c r="W4507" s="5" t="s">
        <v>72</v>
      </c>
      <c r="X4507" s="5" t="s">
        <v>72</v>
      </c>
      <c r="Y4507" s="4">
        <v>342</v>
      </c>
      <c r="Z4507" s="4">
        <v>7</v>
      </c>
      <c r="AA4507" s="4">
        <v>15</v>
      </c>
      <c r="AB4507" s="4">
        <v>1</v>
      </c>
      <c r="AC4507" s="4">
        <v>1</v>
      </c>
      <c r="AD4507" s="4">
        <v>73</v>
      </c>
      <c r="AE4507" s="4">
        <v>83</v>
      </c>
      <c r="AF4507" s="4">
        <v>0</v>
      </c>
      <c r="AG4507" s="4">
        <v>0</v>
      </c>
      <c r="AH4507" s="4">
        <v>70</v>
      </c>
      <c r="AI4507" s="4">
        <v>78</v>
      </c>
      <c r="AJ4507" s="4">
        <v>3</v>
      </c>
      <c r="AK4507" s="4">
        <v>9</v>
      </c>
      <c r="AL4507" s="4">
        <v>45</v>
      </c>
      <c r="AM4507" s="4">
        <v>48</v>
      </c>
      <c r="AN4507" s="4">
        <v>0</v>
      </c>
      <c r="AO4507" s="4">
        <v>0</v>
      </c>
      <c r="AP4507" s="4">
        <v>2</v>
      </c>
      <c r="AQ4507" s="4">
        <v>8</v>
      </c>
      <c r="AR4507" s="3" t="s">
        <v>64</v>
      </c>
      <c r="AS4507" s="3" t="s">
        <v>64</v>
      </c>
      <c r="AT4507" s="3" t="s">
        <v>128</v>
      </c>
      <c r="AU4507" s="6" t="str">
        <f>HYPERLINK("http://catalog.hathitrust.org/Record/000243430","HathiTrust Record")</f>
        <v>HathiTrust Record</v>
      </c>
      <c r="AV4507" s="6" t="str">
        <f>HYPERLINK("http://mcgill.on.worldcat.org/oclc/9969295","Catalog Record")</f>
        <v>Catalog Record</v>
      </c>
      <c r="AW4507" s="6" t="str">
        <f>HYPERLINK("http://www.worldcat.org/oclc/9969295","WorldCat Record")</f>
        <v>WorldCat Record</v>
      </c>
      <c r="AX4507" s="3" t="s">
        <v>43964</v>
      </c>
      <c r="AY4507" s="3" t="s">
        <v>43965</v>
      </c>
      <c r="AZ4507" s="3" t="s">
        <v>43966</v>
      </c>
      <c r="BA4507" s="3" t="s">
        <v>43966</v>
      </c>
      <c r="BB4507" s="3" t="s">
        <v>43970</v>
      </c>
      <c r="BC4507" s="3" t="s">
        <v>77</v>
      </c>
      <c r="BD4507" s="3" t="s">
        <v>78</v>
      </c>
      <c r="BE4507" s="3" t="s">
        <v>43968</v>
      </c>
      <c r="BF4507" s="3" t="s">
        <v>43970</v>
      </c>
      <c r="BG4507" s="3" t="s">
        <v>43971</v>
      </c>
      <c r="BH4507">
        <f t="shared" si="140"/>
        <v>0</v>
      </c>
    </row>
    <row r="4508" spans="1:60" ht="58" x14ac:dyDescent="0.35">
      <c r="A4508" s="2" t="s">
        <v>6202</v>
      </c>
      <c r="B4508" s="2" t="s">
        <v>6203</v>
      </c>
      <c r="C4508" s="2" t="s">
        <v>43972</v>
      </c>
      <c r="D4508" s="2" t="s">
        <v>43973</v>
      </c>
      <c r="E4508" s="2" t="s">
        <v>43974</v>
      </c>
      <c r="G4508" s="3" t="s">
        <v>64</v>
      </c>
      <c r="I4508" s="3" t="s">
        <v>64</v>
      </c>
      <c r="J4508" s="3" t="s">
        <v>64</v>
      </c>
      <c r="K4508" s="3" t="s">
        <v>65</v>
      </c>
      <c r="L4508" s="2" t="s">
        <v>43975</v>
      </c>
      <c r="M4508" s="2" t="s">
        <v>43218</v>
      </c>
      <c r="N4508" s="3" t="s">
        <v>3047</v>
      </c>
      <c r="P4508" s="3" t="s">
        <v>102</v>
      </c>
      <c r="Q4508" s="2" t="s">
        <v>43976</v>
      </c>
      <c r="R4508" s="3" t="s">
        <v>70</v>
      </c>
      <c r="S4508" s="4">
        <v>2</v>
      </c>
      <c r="T4508" s="4">
        <v>2</v>
      </c>
      <c r="U4508" s="5" t="s">
        <v>8944</v>
      </c>
      <c r="V4508" s="5" t="s">
        <v>8944</v>
      </c>
      <c r="W4508" s="5" t="s">
        <v>72</v>
      </c>
      <c r="X4508" s="5" t="s">
        <v>72</v>
      </c>
      <c r="Y4508" s="4">
        <v>273</v>
      </c>
      <c r="Z4508" s="4">
        <v>24</v>
      </c>
      <c r="AA4508" s="4">
        <v>26</v>
      </c>
      <c r="AB4508" s="4">
        <v>2</v>
      </c>
      <c r="AC4508" s="4">
        <v>4</v>
      </c>
      <c r="AD4508" s="4">
        <v>92</v>
      </c>
      <c r="AE4508" s="4">
        <v>94</v>
      </c>
      <c r="AF4508" s="4">
        <v>0</v>
      </c>
      <c r="AG4508" s="4">
        <v>2</v>
      </c>
      <c r="AH4508" s="4">
        <v>81</v>
      </c>
      <c r="AI4508" s="4">
        <v>82</v>
      </c>
      <c r="AJ4508" s="4">
        <v>13</v>
      </c>
      <c r="AK4508" s="4">
        <v>15</v>
      </c>
      <c r="AL4508" s="4">
        <v>49</v>
      </c>
      <c r="AM4508" s="4">
        <v>49</v>
      </c>
      <c r="AN4508" s="4">
        <v>0</v>
      </c>
      <c r="AO4508" s="4">
        <v>0</v>
      </c>
      <c r="AP4508" s="4">
        <v>16</v>
      </c>
      <c r="AQ4508" s="4">
        <v>18</v>
      </c>
      <c r="AR4508" s="3" t="s">
        <v>64</v>
      </c>
      <c r="AS4508" s="3" t="s">
        <v>64</v>
      </c>
      <c r="AT4508" s="3" t="s">
        <v>64</v>
      </c>
      <c r="AV4508" s="6" t="str">
        <f>HYPERLINK("http://mcgill.on.worldcat.org/oclc/14967544","Catalog Record")</f>
        <v>Catalog Record</v>
      </c>
      <c r="AW4508" s="6" t="str">
        <f>HYPERLINK("http://www.worldcat.org/oclc/14967544","WorldCat Record")</f>
        <v>WorldCat Record</v>
      </c>
      <c r="AX4508" s="3" t="s">
        <v>43977</v>
      </c>
      <c r="AY4508" s="3" t="s">
        <v>43978</v>
      </c>
      <c r="AZ4508" s="3" t="s">
        <v>43979</v>
      </c>
      <c r="BA4508" s="3" t="s">
        <v>43979</v>
      </c>
      <c r="BB4508" s="3" t="s">
        <v>43980</v>
      </c>
      <c r="BC4508" s="3" t="s">
        <v>77</v>
      </c>
      <c r="BD4508" s="3" t="s">
        <v>78</v>
      </c>
      <c r="BE4508" s="3" t="s">
        <v>43981</v>
      </c>
      <c r="BF4508" s="3" t="s">
        <v>43980</v>
      </c>
      <c r="BG4508" s="3" t="s">
        <v>43982</v>
      </c>
      <c r="BH4508">
        <f t="shared" si="140"/>
        <v>0</v>
      </c>
    </row>
    <row r="4509" spans="1:60" ht="87" x14ac:dyDescent="0.35">
      <c r="A4509" s="2" t="s">
        <v>6202</v>
      </c>
      <c r="B4509" s="2" t="s">
        <v>6203</v>
      </c>
      <c r="C4509" s="2" t="s">
        <v>43983</v>
      </c>
      <c r="D4509" s="2" t="s">
        <v>43984</v>
      </c>
      <c r="E4509" s="2" t="s">
        <v>43985</v>
      </c>
      <c r="G4509" s="3" t="s">
        <v>64</v>
      </c>
      <c r="I4509" s="3" t="s">
        <v>64</v>
      </c>
      <c r="J4509" s="3" t="s">
        <v>64</v>
      </c>
      <c r="K4509" s="3" t="s">
        <v>65</v>
      </c>
      <c r="L4509" s="2" t="s">
        <v>43986</v>
      </c>
      <c r="M4509" s="2" t="s">
        <v>43987</v>
      </c>
      <c r="N4509" s="3" t="s">
        <v>116</v>
      </c>
      <c r="P4509" s="3" t="s">
        <v>102</v>
      </c>
      <c r="Q4509" s="2" t="s">
        <v>43988</v>
      </c>
      <c r="R4509" s="3" t="s">
        <v>70</v>
      </c>
      <c r="S4509" s="4">
        <v>4</v>
      </c>
      <c r="T4509" s="4">
        <v>4</v>
      </c>
      <c r="U4509" s="5" t="s">
        <v>9084</v>
      </c>
      <c r="V4509" s="5" t="s">
        <v>9084</v>
      </c>
      <c r="W4509" s="5" t="s">
        <v>72</v>
      </c>
      <c r="X4509" s="5" t="s">
        <v>72</v>
      </c>
      <c r="Y4509" s="4">
        <v>152</v>
      </c>
      <c r="Z4509" s="4">
        <v>9</v>
      </c>
      <c r="AA4509" s="4">
        <v>9</v>
      </c>
      <c r="AB4509" s="4">
        <v>2</v>
      </c>
      <c r="AC4509" s="4">
        <v>2</v>
      </c>
      <c r="AD4509" s="4">
        <v>68</v>
      </c>
      <c r="AE4509" s="4">
        <v>68</v>
      </c>
      <c r="AF4509" s="4">
        <v>0</v>
      </c>
      <c r="AG4509" s="4">
        <v>0</v>
      </c>
      <c r="AH4509" s="4">
        <v>65</v>
      </c>
      <c r="AI4509" s="4">
        <v>65</v>
      </c>
      <c r="AJ4509" s="4">
        <v>5</v>
      </c>
      <c r="AK4509" s="4">
        <v>5</v>
      </c>
      <c r="AL4509" s="4">
        <v>42</v>
      </c>
      <c r="AM4509" s="4">
        <v>42</v>
      </c>
      <c r="AN4509" s="4">
        <v>0</v>
      </c>
      <c r="AO4509" s="4">
        <v>0</v>
      </c>
      <c r="AP4509" s="4">
        <v>6</v>
      </c>
      <c r="AQ4509" s="4">
        <v>6</v>
      </c>
      <c r="AR4509" s="3" t="s">
        <v>64</v>
      </c>
      <c r="AS4509" s="3" t="s">
        <v>64</v>
      </c>
      <c r="AT4509" s="3" t="s">
        <v>64</v>
      </c>
      <c r="AV4509" s="6" t="str">
        <f>HYPERLINK("http://mcgill.on.worldcat.org/oclc/49394388","Catalog Record")</f>
        <v>Catalog Record</v>
      </c>
      <c r="AW4509" s="6" t="str">
        <f>HYPERLINK("http://www.worldcat.org/oclc/49394388","WorldCat Record")</f>
        <v>WorldCat Record</v>
      </c>
      <c r="AX4509" s="3" t="s">
        <v>43989</v>
      </c>
      <c r="AY4509" s="3" t="s">
        <v>43990</v>
      </c>
      <c r="AZ4509" s="3" t="s">
        <v>43991</v>
      </c>
      <c r="BA4509" s="3" t="s">
        <v>43991</v>
      </c>
      <c r="BB4509" s="3" t="s">
        <v>43992</v>
      </c>
      <c r="BC4509" s="3" t="s">
        <v>77</v>
      </c>
      <c r="BD4509" s="3" t="s">
        <v>78</v>
      </c>
      <c r="BE4509" s="3" t="s">
        <v>43993</v>
      </c>
      <c r="BF4509" s="3" t="s">
        <v>43992</v>
      </c>
      <c r="BG4509" s="3" t="s">
        <v>43994</v>
      </c>
      <c r="BH4509">
        <f t="shared" si="140"/>
        <v>0</v>
      </c>
    </row>
    <row r="4510" spans="1:60" ht="58" x14ac:dyDescent="0.35">
      <c r="A4510" s="2" t="s">
        <v>6202</v>
      </c>
      <c r="B4510" s="2" t="s">
        <v>6203</v>
      </c>
      <c r="C4510" s="2" t="s">
        <v>43995</v>
      </c>
      <c r="D4510" s="2" t="s">
        <v>43996</v>
      </c>
      <c r="E4510" s="2" t="s">
        <v>43997</v>
      </c>
      <c r="G4510" s="3" t="s">
        <v>64</v>
      </c>
      <c r="I4510" s="3" t="s">
        <v>64</v>
      </c>
      <c r="J4510" s="3" t="s">
        <v>64</v>
      </c>
      <c r="K4510" s="3" t="s">
        <v>65</v>
      </c>
      <c r="L4510" s="2" t="s">
        <v>43986</v>
      </c>
      <c r="M4510" s="2" t="s">
        <v>43998</v>
      </c>
      <c r="N4510" s="3" t="s">
        <v>144</v>
      </c>
      <c r="O4510" s="2" t="s">
        <v>2149</v>
      </c>
      <c r="P4510" s="3" t="s">
        <v>102</v>
      </c>
      <c r="Q4510" s="2" t="s">
        <v>43999</v>
      </c>
      <c r="R4510" s="3" t="s">
        <v>70</v>
      </c>
      <c r="S4510" s="4">
        <v>4</v>
      </c>
      <c r="T4510" s="4">
        <v>4</v>
      </c>
      <c r="U4510" s="5" t="s">
        <v>9084</v>
      </c>
      <c r="V4510" s="5" t="s">
        <v>9084</v>
      </c>
      <c r="W4510" s="5" t="s">
        <v>72</v>
      </c>
      <c r="X4510" s="5" t="s">
        <v>72</v>
      </c>
      <c r="Y4510" s="4">
        <v>127</v>
      </c>
      <c r="Z4510" s="4">
        <v>8</v>
      </c>
      <c r="AA4510" s="4">
        <v>8</v>
      </c>
      <c r="AB4510" s="4">
        <v>2</v>
      </c>
      <c r="AC4510" s="4">
        <v>2</v>
      </c>
      <c r="AD4510" s="4">
        <v>58</v>
      </c>
      <c r="AE4510" s="4">
        <v>58</v>
      </c>
      <c r="AF4510" s="4">
        <v>1</v>
      </c>
      <c r="AG4510" s="4">
        <v>1</v>
      </c>
      <c r="AH4510" s="4">
        <v>52</v>
      </c>
      <c r="AI4510" s="4">
        <v>52</v>
      </c>
      <c r="AJ4510" s="4">
        <v>5</v>
      </c>
      <c r="AK4510" s="4">
        <v>5</v>
      </c>
      <c r="AL4510" s="4">
        <v>36</v>
      </c>
      <c r="AM4510" s="4">
        <v>36</v>
      </c>
      <c r="AN4510" s="4">
        <v>0</v>
      </c>
      <c r="AO4510" s="4">
        <v>0</v>
      </c>
      <c r="AP4510" s="4">
        <v>6</v>
      </c>
      <c r="AQ4510" s="4">
        <v>6</v>
      </c>
      <c r="AR4510" s="3" t="s">
        <v>64</v>
      </c>
      <c r="AS4510" s="3" t="s">
        <v>64</v>
      </c>
      <c r="AT4510" s="3" t="s">
        <v>128</v>
      </c>
      <c r="AU4510" s="6" t="str">
        <f>HYPERLINK("http://catalog.hathitrust.org/Record/005990442","HathiTrust Record")</f>
        <v>HathiTrust Record</v>
      </c>
      <c r="AV4510" s="6" t="str">
        <f>HYPERLINK("http://mcgill.on.worldcat.org/oclc/226360347","Catalog Record")</f>
        <v>Catalog Record</v>
      </c>
      <c r="AW4510" s="6" t="str">
        <f>HYPERLINK("http://www.worldcat.org/oclc/226360347","WorldCat Record")</f>
        <v>WorldCat Record</v>
      </c>
      <c r="AX4510" s="3" t="s">
        <v>44000</v>
      </c>
      <c r="AY4510" s="3" t="s">
        <v>44001</v>
      </c>
      <c r="AZ4510" s="3" t="s">
        <v>44002</v>
      </c>
      <c r="BA4510" s="3" t="s">
        <v>44002</v>
      </c>
      <c r="BB4510" s="3" t="s">
        <v>44003</v>
      </c>
      <c r="BC4510" s="3" t="s">
        <v>77</v>
      </c>
      <c r="BD4510" s="3" t="s">
        <v>78</v>
      </c>
      <c r="BE4510" s="3" t="s">
        <v>44004</v>
      </c>
      <c r="BF4510" s="3" t="s">
        <v>44003</v>
      </c>
      <c r="BG4510" s="3" t="s">
        <v>44005</v>
      </c>
      <c r="BH4510">
        <f t="shared" si="140"/>
        <v>0</v>
      </c>
    </row>
    <row r="4511" spans="1:60" ht="58" x14ac:dyDescent="0.35">
      <c r="A4511" s="2" t="s">
        <v>6202</v>
      </c>
      <c r="B4511" s="2" t="s">
        <v>6203</v>
      </c>
      <c r="C4511" s="2" t="s">
        <v>44006</v>
      </c>
      <c r="D4511" s="2" t="s">
        <v>44007</v>
      </c>
      <c r="E4511" s="2" t="s">
        <v>44008</v>
      </c>
      <c r="G4511" s="3" t="s">
        <v>64</v>
      </c>
      <c r="I4511" s="3" t="s">
        <v>64</v>
      </c>
      <c r="J4511" s="3" t="s">
        <v>64</v>
      </c>
      <c r="K4511" s="3" t="s">
        <v>65</v>
      </c>
      <c r="L4511" s="2" t="s">
        <v>44009</v>
      </c>
      <c r="M4511" s="2" t="s">
        <v>44010</v>
      </c>
      <c r="N4511" s="3" t="s">
        <v>378</v>
      </c>
      <c r="P4511" s="3" t="s">
        <v>102</v>
      </c>
      <c r="R4511" s="3" t="s">
        <v>70</v>
      </c>
      <c r="S4511" s="4">
        <v>1</v>
      </c>
      <c r="T4511" s="4">
        <v>1</v>
      </c>
      <c r="U4511" s="5" t="s">
        <v>19896</v>
      </c>
      <c r="V4511" s="5" t="s">
        <v>19896</v>
      </c>
      <c r="W4511" s="5" t="s">
        <v>72</v>
      </c>
      <c r="X4511" s="5" t="s">
        <v>72</v>
      </c>
      <c r="Y4511" s="4">
        <v>528</v>
      </c>
      <c r="Z4511" s="4">
        <v>30</v>
      </c>
      <c r="AA4511" s="4">
        <v>31</v>
      </c>
      <c r="AB4511" s="4">
        <v>2</v>
      </c>
      <c r="AC4511" s="4">
        <v>3</v>
      </c>
      <c r="AD4511" s="4">
        <v>121</v>
      </c>
      <c r="AE4511" s="4">
        <v>122</v>
      </c>
      <c r="AF4511" s="4">
        <v>1</v>
      </c>
      <c r="AG4511" s="4">
        <v>2</v>
      </c>
      <c r="AH4511" s="4">
        <v>107</v>
      </c>
      <c r="AI4511" s="4">
        <v>107</v>
      </c>
      <c r="AJ4511" s="4">
        <v>18</v>
      </c>
      <c r="AK4511" s="4">
        <v>19</v>
      </c>
      <c r="AL4511" s="4">
        <v>57</v>
      </c>
      <c r="AM4511" s="4">
        <v>57</v>
      </c>
      <c r="AN4511" s="4">
        <v>0</v>
      </c>
      <c r="AO4511" s="4">
        <v>0</v>
      </c>
      <c r="AP4511" s="4">
        <v>23</v>
      </c>
      <c r="AQ4511" s="4">
        <v>24</v>
      </c>
      <c r="AR4511" s="3" t="s">
        <v>64</v>
      </c>
      <c r="AS4511" s="3" t="s">
        <v>64</v>
      </c>
      <c r="AT4511" s="3" t="s">
        <v>64</v>
      </c>
      <c r="AV4511" s="6" t="str">
        <f>HYPERLINK("http://mcgill.on.worldcat.org/oclc/13525813","Catalog Record")</f>
        <v>Catalog Record</v>
      </c>
      <c r="AW4511" s="6" t="str">
        <f>HYPERLINK("http://www.worldcat.org/oclc/13525813","WorldCat Record")</f>
        <v>WorldCat Record</v>
      </c>
      <c r="AX4511" s="3" t="s">
        <v>44011</v>
      </c>
      <c r="AY4511" s="3" t="s">
        <v>44012</v>
      </c>
      <c r="AZ4511" s="3" t="s">
        <v>44013</v>
      </c>
      <c r="BA4511" s="3" t="s">
        <v>44013</v>
      </c>
      <c r="BB4511" s="3" t="s">
        <v>44014</v>
      </c>
      <c r="BC4511" s="3" t="s">
        <v>77</v>
      </c>
      <c r="BD4511" s="3" t="s">
        <v>78</v>
      </c>
      <c r="BE4511" s="3" t="s">
        <v>44015</v>
      </c>
      <c r="BF4511" s="3" t="s">
        <v>44014</v>
      </c>
      <c r="BG4511" s="3" t="s">
        <v>44016</v>
      </c>
      <c r="BH4511">
        <f t="shared" si="140"/>
        <v>0</v>
      </c>
    </row>
    <row r="4512" spans="1:60" ht="58" x14ac:dyDescent="0.35">
      <c r="A4512" s="2" t="s">
        <v>6202</v>
      </c>
      <c r="B4512" s="2" t="s">
        <v>6203</v>
      </c>
      <c r="C4512" s="2" t="s">
        <v>44017</v>
      </c>
      <c r="D4512" s="2" t="s">
        <v>44018</v>
      </c>
      <c r="E4512" s="2" t="s">
        <v>44019</v>
      </c>
      <c r="G4512" s="3" t="s">
        <v>64</v>
      </c>
      <c r="I4512" s="3" t="s">
        <v>64</v>
      </c>
      <c r="J4512" s="3" t="s">
        <v>64</v>
      </c>
      <c r="K4512" s="3" t="s">
        <v>65</v>
      </c>
      <c r="L4512" s="2" t="s">
        <v>44020</v>
      </c>
      <c r="M4512" s="2" t="s">
        <v>15478</v>
      </c>
      <c r="N4512" s="3" t="s">
        <v>1061</v>
      </c>
      <c r="P4512" s="3" t="s">
        <v>102</v>
      </c>
      <c r="R4512" s="3" t="s">
        <v>70</v>
      </c>
      <c r="S4512" s="4">
        <v>10</v>
      </c>
      <c r="T4512" s="4">
        <v>10</v>
      </c>
      <c r="U4512" s="5" t="s">
        <v>20413</v>
      </c>
      <c r="V4512" s="5" t="s">
        <v>20413</v>
      </c>
      <c r="W4512" s="5" t="s">
        <v>72</v>
      </c>
      <c r="X4512" s="5" t="s">
        <v>72</v>
      </c>
      <c r="Y4512" s="4">
        <v>484</v>
      </c>
      <c r="Z4512" s="4">
        <v>29</v>
      </c>
      <c r="AA4512" s="4">
        <v>30</v>
      </c>
      <c r="AB4512" s="4">
        <v>2</v>
      </c>
      <c r="AC4512" s="4">
        <v>3</v>
      </c>
      <c r="AD4512" s="4">
        <v>118</v>
      </c>
      <c r="AE4512" s="4">
        <v>119</v>
      </c>
      <c r="AF4512" s="4">
        <v>1</v>
      </c>
      <c r="AG4512" s="4">
        <v>2</v>
      </c>
      <c r="AH4512" s="4">
        <v>100</v>
      </c>
      <c r="AI4512" s="4">
        <v>100</v>
      </c>
      <c r="AJ4512" s="4">
        <v>20</v>
      </c>
      <c r="AK4512" s="4">
        <v>21</v>
      </c>
      <c r="AL4512" s="4">
        <v>53</v>
      </c>
      <c r="AM4512" s="4">
        <v>53</v>
      </c>
      <c r="AN4512" s="4">
        <v>0</v>
      </c>
      <c r="AO4512" s="4">
        <v>0</v>
      </c>
      <c r="AP4512" s="4">
        <v>24</v>
      </c>
      <c r="AQ4512" s="4">
        <v>24</v>
      </c>
      <c r="AR4512" s="3" t="s">
        <v>64</v>
      </c>
      <c r="AS4512" s="3" t="s">
        <v>64</v>
      </c>
      <c r="AT4512" s="3" t="s">
        <v>64</v>
      </c>
      <c r="AV4512" s="6" t="str">
        <f>HYPERLINK("http://mcgill.on.worldcat.org/oclc/11398801","Catalog Record")</f>
        <v>Catalog Record</v>
      </c>
      <c r="AW4512" s="6" t="str">
        <f>HYPERLINK("http://www.worldcat.org/oclc/11398801","WorldCat Record")</f>
        <v>WorldCat Record</v>
      </c>
      <c r="AX4512" s="3" t="s">
        <v>44021</v>
      </c>
      <c r="AY4512" s="3" t="s">
        <v>44022</v>
      </c>
      <c r="AZ4512" s="3" t="s">
        <v>44023</v>
      </c>
      <c r="BA4512" s="3" t="s">
        <v>44023</v>
      </c>
      <c r="BB4512" s="3" t="s">
        <v>44024</v>
      </c>
      <c r="BC4512" s="3" t="s">
        <v>77</v>
      </c>
      <c r="BD4512" s="3" t="s">
        <v>78</v>
      </c>
      <c r="BE4512" s="3" t="s">
        <v>44025</v>
      </c>
      <c r="BF4512" s="3" t="s">
        <v>44024</v>
      </c>
      <c r="BG4512" s="3" t="s">
        <v>44026</v>
      </c>
      <c r="BH4512">
        <f t="shared" si="140"/>
        <v>0</v>
      </c>
    </row>
    <row r="4513" spans="1:60" ht="101.5" x14ac:dyDescent="0.35">
      <c r="A4513" s="2" t="s">
        <v>59</v>
      </c>
      <c r="B4513" s="2" t="s">
        <v>60</v>
      </c>
      <c r="C4513" s="2" t="s">
        <v>44027</v>
      </c>
      <c r="D4513" s="2" t="s">
        <v>44028</v>
      </c>
      <c r="E4513" s="2" t="s">
        <v>44029</v>
      </c>
      <c r="G4513" s="3" t="s">
        <v>64</v>
      </c>
      <c r="I4513" s="3" t="s">
        <v>64</v>
      </c>
      <c r="J4513" s="3" t="s">
        <v>64</v>
      </c>
      <c r="K4513" s="3" t="s">
        <v>65</v>
      </c>
      <c r="M4513" s="2" t="s">
        <v>44030</v>
      </c>
      <c r="N4513" s="3" t="s">
        <v>326</v>
      </c>
      <c r="P4513" s="3" t="s">
        <v>44031</v>
      </c>
      <c r="R4513" s="3" t="s">
        <v>70</v>
      </c>
      <c r="S4513" s="4">
        <v>0</v>
      </c>
      <c r="T4513" s="4">
        <v>0</v>
      </c>
      <c r="W4513" s="5" t="s">
        <v>72</v>
      </c>
      <c r="X4513" s="5" t="s">
        <v>72</v>
      </c>
      <c r="Y4513" s="4">
        <v>23</v>
      </c>
      <c r="Z4513" s="4">
        <v>1</v>
      </c>
      <c r="AA4513" s="4">
        <v>1</v>
      </c>
      <c r="AB4513" s="4">
        <v>1</v>
      </c>
      <c r="AC4513" s="4">
        <v>1</v>
      </c>
      <c r="AD4513" s="4">
        <v>11</v>
      </c>
      <c r="AE4513" s="4">
        <v>11</v>
      </c>
      <c r="AF4513" s="4">
        <v>0</v>
      </c>
      <c r="AG4513" s="4">
        <v>0</v>
      </c>
      <c r="AH4513" s="4">
        <v>10</v>
      </c>
      <c r="AI4513" s="4">
        <v>10</v>
      </c>
      <c r="AJ4513" s="4">
        <v>0</v>
      </c>
      <c r="AK4513" s="4">
        <v>0</v>
      </c>
      <c r="AL4513" s="4">
        <v>9</v>
      </c>
      <c r="AM4513" s="4">
        <v>9</v>
      </c>
      <c r="AN4513" s="4">
        <v>0</v>
      </c>
      <c r="AO4513" s="4">
        <v>0</v>
      </c>
      <c r="AP4513" s="4">
        <v>0</v>
      </c>
      <c r="AQ4513" s="4">
        <v>0</v>
      </c>
      <c r="AR4513" s="3" t="s">
        <v>64</v>
      </c>
      <c r="AS4513" s="3" t="s">
        <v>64</v>
      </c>
      <c r="AT4513" s="3" t="s">
        <v>64</v>
      </c>
      <c r="AV4513" s="6" t="str">
        <f>HYPERLINK("http://mcgill.on.worldcat.org/oclc/768093182","Catalog Record")</f>
        <v>Catalog Record</v>
      </c>
      <c r="AW4513" s="6" t="str">
        <f>HYPERLINK("http://www.worldcat.org/oclc/768093182","WorldCat Record")</f>
        <v>WorldCat Record</v>
      </c>
      <c r="AX4513" s="3" t="s">
        <v>44032</v>
      </c>
      <c r="AY4513" s="3" t="s">
        <v>44033</v>
      </c>
      <c r="AZ4513" s="3" t="s">
        <v>44034</v>
      </c>
      <c r="BA4513" s="3" t="s">
        <v>44034</v>
      </c>
      <c r="BB4513" s="3" t="s">
        <v>44035</v>
      </c>
      <c r="BC4513" s="3" t="s">
        <v>77</v>
      </c>
      <c r="BD4513" s="3" t="s">
        <v>78</v>
      </c>
      <c r="BE4513" s="3" t="s">
        <v>44036</v>
      </c>
      <c r="BF4513" s="3" t="s">
        <v>44035</v>
      </c>
      <c r="BG4513" s="3" t="s">
        <v>44037</v>
      </c>
      <c r="BH4513">
        <f t="shared" si="140"/>
        <v>0</v>
      </c>
    </row>
    <row r="4514" spans="1:60" ht="72.5" x14ac:dyDescent="0.35">
      <c r="A4514" s="2" t="s">
        <v>6202</v>
      </c>
      <c r="B4514" s="2" t="s">
        <v>6203</v>
      </c>
      <c r="C4514" s="2" t="s">
        <v>44038</v>
      </c>
      <c r="D4514" s="2" t="s">
        <v>44039</v>
      </c>
      <c r="E4514" s="2" t="s">
        <v>44040</v>
      </c>
      <c r="G4514" s="3" t="s">
        <v>64</v>
      </c>
      <c r="I4514" s="3" t="s">
        <v>64</v>
      </c>
      <c r="J4514" s="3" t="s">
        <v>64</v>
      </c>
      <c r="K4514" s="3" t="s">
        <v>65</v>
      </c>
      <c r="M4514" s="2" t="s">
        <v>44041</v>
      </c>
      <c r="N4514" s="3" t="s">
        <v>511</v>
      </c>
      <c r="P4514" s="3" t="s">
        <v>102</v>
      </c>
      <c r="R4514" s="3" t="s">
        <v>70</v>
      </c>
      <c r="S4514" s="4">
        <v>0</v>
      </c>
      <c r="T4514" s="4">
        <v>0</v>
      </c>
      <c r="W4514" s="5" t="s">
        <v>72</v>
      </c>
      <c r="X4514" s="5" t="s">
        <v>72</v>
      </c>
      <c r="Y4514" s="4">
        <v>111</v>
      </c>
      <c r="Z4514" s="4">
        <v>11</v>
      </c>
      <c r="AA4514" s="4">
        <v>12</v>
      </c>
      <c r="AB4514" s="4">
        <v>2</v>
      </c>
      <c r="AC4514" s="4">
        <v>2</v>
      </c>
      <c r="AD4514" s="4">
        <v>47</v>
      </c>
      <c r="AE4514" s="4">
        <v>51</v>
      </c>
      <c r="AF4514" s="4">
        <v>1</v>
      </c>
      <c r="AG4514" s="4">
        <v>1</v>
      </c>
      <c r="AH4514" s="4">
        <v>44</v>
      </c>
      <c r="AI4514" s="4">
        <v>47</v>
      </c>
      <c r="AJ4514" s="4">
        <v>8</v>
      </c>
      <c r="AK4514" s="4">
        <v>9</v>
      </c>
      <c r="AL4514" s="4">
        <v>33</v>
      </c>
      <c r="AM4514" s="4">
        <v>34</v>
      </c>
      <c r="AN4514" s="4">
        <v>0</v>
      </c>
      <c r="AO4514" s="4">
        <v>0</v>
      </c>
      <c r="AP4514" s="4">
        <v>8</v>
      </c>
      <c r="AQ4514" s="4">
        <v>9</v>
      </c>
      <c r="AR4514" s="3" t="s">
        <v>64</v>
      </c>
      <c r="AS4514" s="3" t="s">
        <v>64</v>
      </c>
      <c r="AT4514" s="3" t="s">
        <v>64</v>
      </c>
      <c r="AV4514" s="6" t="str">
        <f>HYPERLINK("http://mcgill.on.worldcat.org/oclc/569508588","Catalog Record")</f>
        <v>Catalog Record</v>
      </c>
      <c r="AW4514" s="6" t="str">
        <f>HYPERLINK("http://www.worldcat.org/oclc/569508588","WorldCat Record")</f>
        <v>WorldCat Record</v>
      </c>
      <c r="AX4514" s="3" t="s">
        <v>44042</v>
      </c>
      <c r="AY4514" s="3" t="s">
        <v>44043</v>
      </c>
      <c r="AZ4514" s="3" t="s">
        <v>44044</v>
      </c>
      <c r="BA4514" s="3" t="s">
        <v>44044</v>
      </c>
      <c r="BB4514" s="3" t="s">
        <v>44045</v>
      </c>
      <c r="BC4514" s="3" t="s">
        <v>77</v>
      </c>
      <c r="BD4514" s="3" t="s">
        <v>78</v>
      </c>
      <c r="BE4514" s="3" t="s">
        <v>44046</v>
      </c>
      <c r="BF4514" s="3" t="s">
        <v>44045</v>
      </c>
      <c r="BG4514" s="3" t="s">
        <v>44047</v>
      </c>
      <c r="BH4514">
        <f t="shared" si="140"/>
        <v>0</v>
      </c>
    </row>
    <row r="4515" spans="1:60" ht="58" x14ac:dyDescent="0.35">
      <c r="A4515" s="2" t="s">
        <v>6202</v>
      </c>
      <c r="B4515" s="2" t="s">
        <v>6203</v>
      </c>
      <c r="C4515" s="2" t="s">
        <v>44048</v>
      </c>
      <c r="D4515" s="2" t="s">
        <v>44049</v>
      </c>
      <c r="E4515" s="2" t="s">
        <v>44050</v>
      </c>
      <c r="G4515" s="3" t="s">
        <v>64</v>
      </c>
      <c r="I4515" s="3" t="s">
        <v>64</v>
      </c>
      <c r="J4515" s="3" t="s">
        <v>64</v>
      </c>
      <c r="K4515" s="3" t="s">
        <v>65</v>
      </c>
      <c r="L4515" s="2" t="s">
        <v>44051</v>
      </c>
      <c r="M4515" s="2" t="s">
        <v>17380</v>
      </c>
      <c r="N4515" s="3" t="s">
        <v>159</v>
      </c>
      <c r="P4515" s="3" t="s">
        <v>102</v>
      </c>
      <c r="R4515" s="3" t="s">
        <v>70</v>
      </c>
      <c r="S4515" s="4">
        <v>9</v>
      </c>
      <c r="T4515" s="4">
        <v>9</v>
      </c>
      <c r="U4515" s="5" t="s">
        <v>32530</v>
      </c>
      <c r="V4515" s="5" t="s">
        <v>32530</v>
      </c>
      <c r="W4515" s="5" t="s">
        <v>72</v>
      </c>
      <c r="X4515" s="5" t="s">
        <v>72</v>
      </c>
      <c r="Y4515" s="4">
        <v>428</v>
      </c>
      <c r="Z4515" s="4">
        <v>17</v>
      </c>
      <c r="AA4515" s="4">
        <v>108</v>
      </c>
      <c r="AB4515" s="4">
        <v>3</v>
      </c>
      <c r="AC4515" s="4">
        <v>18</v>
      </c>
      <c r="AD4515" s="4">
        <v>100</v>
      </c>
      <c r="AE4515" s="4">
        <v>144</v>
      </c>
      <c r="AF4515" s="4">
        <v>1</v>
      </c>
      <c r="AG4515" s="4">
        <v>8</v>
      </c>
      <c r="AH4515" s="4">
        <v>94</v>
      </c>
      <c r="AI4515" s="4">
        <v>109</v>
      </c>
      <c r="AJ4515" s="4">
        <v>11</v>
      </c>
      <c r="AK4515" s="4">
        <v>23</v>
      </c>
      <c r="AL4515" s="4">
        <v>54</v>
      </c>
      <c r="AM4515" s="4">
        <v>56</v>
      </c>
      <c r="AN4515" s="4">
        <v>0</v>
      </c>
      <c r="AO4515" s="4">
        <v>0</v>
      </c>
      <c r="AP4515" s="4">
        <v>12</v>
      </c>
      <c r="AQ4515" s="4">
        <v>45</v>
      </c>
      <c r="AR4515" s="3" t="s">
        <v>64</v>
      </c>
      <c r="AS4515" s="3" t="s">
        <v>64</v>
      </c>
      <c r="AT4515" s="3" t="s">
        <v>64</v>
      </c>
      <c r="AV4515" s="6" t="str">
        <f>HYPERLINK("http://mcgill.on.worldcat.org/oclc/45583516","Catalog Record")</f>
        <v>Catalog Record</v>
      </c>
      <c r="AW4515" s="6" t="str">
        <f>HYPERLINK("http://www.worldcat.org/oclc/45583516","WorldCat Record")</f>
        <v>WorldCat Record</v>
      </c>
      <c r="AX4515" s="3" t="s">
        <v>44052</v>
      </c>
      <c r="AY4515" s="3" t="s">
        <v>44053</v>
      </c>
      <c r="AZ4515" s="3" t="s">
        <v>44054</v>
      </c>
      <c r="BA4515" s="3" t="s">
        <v>44054</v>
      </c>
      <c r="BB4515" s="3" t="s">
        <v>44055</v>
      </c>
      <c r="BC4515" s="3" t="s">
        <v>77</v>
      </c>
      <c r="BD4515" s="3" t="s">
        <v>78</v>
      </c>
      <c r="BE4515" s="3" t="s">
        <v>44056</v>
      </c>
      <c r="BF4515" s="3" t="s">
        <v>44055</v>
      </c>
      <c r="BG4515" s="3" t="s">
        <v>44057</v>
      </c>
      <c r="BH4515">
        <f t="shared" si="140"/>
        <v>0</v>
      </c>
    </row>
    <row r="4516" spans="1:60" ht="58" x14ac:dyDescent="0.35">
      <c r="A4516" s="2" t="s">
        <v>6202</v>
      </c>
      <c r="B4516" s="2" t="s">
        <v>6203</v>
      </c>
      <c r="C4516" s="2" t="s">
        <v>44058</v>
      </c>
      <c r="D4516" s="2" t="s">
        <v>44059</v>
      </c>
      <c r="E4516" s="2" t="s">
        <v>44060</v>
      </c>
      <c r="G4516" s="3" t="s">
        <v>64</v>
      </c>
      <c r="I4516" s="3" t="s">
        <v>128</v>
      </c>
      <c r="J4516" s="3" t="s">
        <v>64</v>
      </c>
      <c r="K4516" s="3" t="s">
        <v>65</v>
      </c>
      <c r="L4516" s="2" t="s">
        <v>44061</v>
      </c>
      <c r="M4516" s="2" t="s">
        <v>44062</v>
      </c>
      <c r="N4516" s="3" t="s">
        <v>3721</v>
      </c>
      <c r="P4516" s="3" t="s">
        <v>102</v>
      </c>
      <c r="R4516" s="3" t="s">
        <v>70</v>
      </c>
      <c r="S4516" s="4">
        <v>2</v>
      </c>
      <c r="T4516" s="4">
        <v>2</v>
      </c>
      <c r="U4516" s="5" t="s">
        <v>44063</v>
      </c>
      <c r="V4516" s="5" t="s">
        <v>44063</v>
      </c>
      <c r="W4516" s="5" t="s">
        <v>72</v>
      </c>
      <c r="X4516" s="5" t="s">
        <v>72</v>
      </c>
      <c r="Y4516" s="4">
        <v>309</v>
      </c>
      <c r="Z4516" s="4">
        <v>14</v>
      </c>
      <c r="AA4516" s="4">
        <v>21</v>
      </c>
      <c r="AB4516" s="4">
        <v>1</v>
      </c>
      <c r="AC4516" s="4">
        <v>2</v>
      </c>
      <c r="AD4516" s="4">
        <v>99</v>
      </c>
      <c r="AE4516" s="4">
        <v>109</v>
      </c>
      <c r="AF4516" s="4">
        <v>0</v>
      </c>
      <c r="AG4516" s="4">
        <v>1</v>
      </c>
      <c r="AH4516" s="4">
        <v>92</v>
      </c>
      <c r="AI4516" s="4">
        <v>100</v>
      </c>
      <c r="AJ4516" s="4">
        <v>9</v>
      </c>
      <c r="AK4516" s="4">
        <v>16</v>
      </c>
      <c r="AL4516" s="4">
        <v>50</v>
      </c>
      <c r="AM4516" s="4">
        <v>52</v>
      </c>
      <c r="AN4516" s="4">
        <v>0</v>
      </c>
      <c r="AO4516" s="4">
        <v>0</v>
      </c>
      <c r="AP4516" s="4">
        <v>10</v>
      </c>
      <c r="AQ4516" s="4">
        <v>17</v>
      </c>
      <c r="AR4516" s="3" t="s">
        <v>64</v>
      </c>
      <c r="AS4516" s="3" t="s">
        <v>64</v>
      </c>
      <c r="AT4516" s="3" t="s">
        <v>128</v>
      </c>
      <c r="AU4516" s="6" t="str">
        <f>HYPERLINK("http://catalog.hathitrust.org/Record/000030840","HathiTrust Record")</f>
        <v>HathiTrust Record</v>
      </c>
      <c r="AV4516" s="6" t="str">
        <f>HYPERLINK("http://mcgill.on.worldcat.org/oclc/6143901","Catalog Record")</f>
        <v>Catalog Record</v>
      </c>
      <c r="AW4516" s="6" t="str">
        <f>HYPERLINK("http://www.worldcat.org/oclc/6143901","WorldCat Record")</f>
        <v>WorldCat Record</v>
      </c>
      <c r="AX4516" s="3" t="s">
        <v>44064</v>
      </c>
      <c r="AY4516" s="3" t="s">
        <v>44065</v>
      </c>
      <c r="AZ4516" s="3" t="s">
        <v>44066</v>
      </c>
      <c r="BA4516" s="3" t="s">
        <v>44066</v>
      </c>
      <c r="BB4516" s="3" t="s">
        <v>44067</v>
      </c>
      <c r="BC4516" s="3" t="s">
        <v>77</v>
      </c>
      <c r="BD4516" s="3" t="s">
        <v>78</v>
      </c>
      <c r="BE4516" s="3" t="s">
        <v>44068</v>
      </c>
      <c r="BF4516" s="3" t="s">
        <v>44067</v>
      </c>
      <c r="BG4516" s="3" t="s">
        <v>44069</v>
      </c>
      <c r="BH4516">
        <f t="shared" si="140"/>
        <v>0</v>
      </c>
    </row>
    <row r="4517" spans="1:60" ht="58" x14ac:dyDescent="0.35">
      <c r="A4517" s="2" t="s">
        <v>6202</v>
      </c>
      <c r="B4517" s="2" t="s">
        <v>6203</v>
      </c>
      <c r="C4517" s="2" t="s">
        <v>44070</v>
      </c>
      <c r="D4517" s="2" t="s">
        <v>44071</v>
      </c>
      <c r="E4517" s="2" t="s">
        <v>44072</v>
      </c>
      <c r="G4517" s="3" t="s">
        <v>64</v>
      </c>
      <c r="I4517" s="3" t="s">
        <v>64</v>
      </c>
      <c r="J4517" s="3" t="s">
        <v>64</v>
      </c>
      <c r="K4517" s="3" t="s">
        <v>65</v>
      </c>
      <c r="L4517" s="2" t="s">
        <v>44073</v>
      </c>
      <c r="M4517" s="2" t="s">
        <v>44074</v>
      </c>
      <c r="N4517" s="3" t="s">
        <v>1004</v>
      </c>
      <c r="P4517" s="3" t="s">
        <v>102</v>
      </c>
      <c r="R4517" s="3" t="s">
        <v>70</v>
      </c>
      <c r="S4517" s="4">
        <v>2</v>
      </c>
      <c r="T4517" s="4">
        <v>2</v>
      </c>
      <c r="U4517" s="5" t="s">
        <v>14409</v>
      </c>
      <c r="V4517" s="5" t="s">
        <v>14409</v>
      </c>
      <c r="W4517" s="5" t="s">
        <v>72</v>
      </c>
      <c r="X4517" s="5" t="s">
        <v>72</v>
      </c>
      <c r="Y4517" s="4">
        <v>45</v>
      </c>
      <c r="Z4517" s="4">
        <v>7</v>
      </c>
      <c r="AA4517" s="4">
        <v>7</v>
      </c>
      <c r="AB4517" s="4">
        <v>1</v>
      </c>
      <c r="AC4517" s="4">
        <v>1</v>
      </c>
      <c r="AD4517" s="4">
        <v>36</v>
      </c>
      <c r="AE4517" s="4">
        <v>36</v>
      </c>
      <c r="AF4517" s="4">
        <v>0</v>
      </c>
      <c r="AG4517" s="4">
        <v>0</v>
      </c>
      <c r="AH4517" s="4">
        <v>33</v>
      </c>
      <c r="AI4517" s="4">
        <v>33</v>
      </c>
      <c r="AJ4517" s="4">
        <v>5</v>
      </c>
      <c r="AK4517" s="4">
        <v>5</v>
      </c>
      <c r="AL4517" s="4">
        <v>25</v>
      </c>
      <c r="AM4517" s="4">
        <v>25</v>
      </c>
      <c r="AN4517" s="4">
        <v>0</v>
      </c>
      <c r="AO4517" s="4">
        <v>0</v>
      </c>
      <c r="AP4517" s="4">
        <v>4</v>
      </c>
      <c r="AQ4517" s="4">
        <v>4</v>
      </c>
      <c r="AR4517" s="3" t="s">
        <v>64</v>
      </c>
      <c r="AS4517" s="3" t="s">
        <v>64</v>
      </c>
      <c r="AT4517" s="3" t="s">
        <v>128</v>
      </c>
      <c r="AU4517" s="6" t="str">
        <f>HYPERLINK("http://catalog.hathitrust.org/Record/000202577","HathiTrust Record")</f>
        <v>HathiTrust Record</v>
      </c>
      <c r="AV4517" s="6" t="str">
        <f>HYPERLINK("http://mcgill.on.worldcat.org/oclc/10162269","Catalog Record")</f>
        <v>Catalog Record</v>
      </c>
      <c r="AW4517" s="6" t="str">
        <f>HYPERLINK("http://www.worldcat.org/oclc/10162269","WorldCat Record")</f>
        <v>WorldCat Record</v>
      </c>
      <c r="AX4517" s="3" t="s">
        <v>44075</v>
      </c>
      <c r="AY4517" s="3" t="s">
        <v>44076</v>
      </c>
      <c r="AZ4517" s="3" t="s">
        <v>44077</v>
      </c>
      <c r="BA4517" s="3" t="s">
        <v>44077</v>
      </c>
      <c r="BB4517" s="3" t="s">
        <v>44078</v>
      </c>
      <c r="BC4517" s="3" t="s">
        <v>77</v>
      </c>
      <c r="BD4517" s="3" t="s">
        <v>78</v>
      </c>
      <c r="BF4517" s="3" t="s">
        <v>44078</v>
      </c>
      <c r="BG4517" s="3" t="s">
        <v>44079</v>
      </c>
      <c r="BH4517">
        <f t="shared" si="140"/>
        <v>0</v>
      </c>
    </row>
    <row r="4518" spans="1:60" ht="72.5" x14ac:dyDescent="0.35">
      <c r="A4518" s="2" t="s">
        <v>6202</v>
      </c>
      <c r="B4518" s="2" t="s">
        <v>6203</v>
      </c>
      <c r="C4518" s="2" t="s">
        <v>44080</v>
      </c>
      <c r="D4518" s="2" t="s">
        <v>44081</v>
      </c>
      <c r="E4518" s="2" t="s">
        <v>44082</v>
      </c>
      <c r="G4518" s="3" t="s">
        <v>64</v>
      </c>
      <c r="I4518" s="3" t="s">
        <v>128</v>
      </c>
      <c r="J4518" s="3" t="s">
        <v>64</v>
      </c>
      <c r="K4518" s="3" t="s">
        <v>65</v>
      </c>
      <c r="L4518" s="2" t="s">
        <v>44083</v>
      </c>
      <c r="M4518" s="2" t="s">
        <v>23018</v>
      </c>
      <c r="N4518" s="3" t="s">
        <v>378</v>
      </c>
      <c r="P4518" s="3" t="s">
        <v>102</v>
      </c>
      <c r="Q4518" s="2" t="s">
        <v>44084</v>
      </c>
      <c r="R4518" s="3" t="s">
        <v>70</v>
      </c>
      <c r="S4518" s="4">
        <v>1</v>
      </c>
      <c r="T4518" s="4">
        <v>22</v>
      </c>
      <c r="U4518" s="5" t="s">
        <v>43614</v>
      </c>
      <c r="V4518" s="5" t="s">
        <v>43614</v>
      </c>
      <c r="W4518" s="5" t="s">
        <v>72</v>
      </c>
      <c r="X4518" s="5" t="s">
        <v>72</v>
      </c>
      <c r="Y4518" s="4">
        <v>419</v>
      </c>
      <c r="Z4518" s="4">
        <v>25</v>
      </c>
      <c r="AA4518" s="4">
        <v>26</v>
      </c>
      <c r="AB4518" s="4">
        <v>3</v>
      </c>
      <c r="AC4518" s="4">
        <v>4</v>
      </c>
      <c r="AD4518" s="4">
        <v>114</v>
      </c>
      <c r="AE4518" s="4">
        <v>115</v>
      </c>
      <c r="AF4518" s="4">
        <v>1</v>
      </c>
      <c r="AG4518" s="4">
        <v>2</v>
      </c>
      <c r="AH4518" s="4">
        <v>102</v>
      </c>
      <c r="AI4518" s="4">
        <v>102</v>
      </c>
      <c r="AJ4518" s="4">
        <v>15</v>
      </c>
      <c r="AK4518" s="4">
        <v>16</v>
      </c>
      <c r="AL4518" s="4">
        <v>54</v>
      </c>
      <c r="AM4518" s="4">
        <v>54</v>
      </c>
      <c r="AN4518" s="4">
        <v>0</v>
      </c>
      <c r="AO4518" s="4">
        <v>0</v>
      </c>
      <c r="AP4518" s="4">
        <v>18</v>
      </c>
      <c r="AQ4518" s="4">
        <v>18</v>
      </c>
      <c r="AR4518" s="3" t="s">
        <v>64</v>
      </c>
      <c r="AS4518" s="3" t="s">
        <v>64</v>
      </c>
      <c r="AT4518" s="3" t="s">
        <v>64</v>
      </c>
      <c r="AV4518" s="6" t="str">
        <f>HYPERLINK("http://mcgill.on.worldcat.org/oclc/13560919","Catalog Record")</f>
        <v>Catalog Record</v>
      </c>
      <c r="AW4518" s="6" t="str">
        <f>HYPERLINK("http://www.worldcat.org/oclc/13560919","WorldCat Record")</f>
        <v>WorldCat Record</v>
      </c>
      <c r="AX4518" s="3" t="s">
        <v>44085</v>
      </c>
      <c r="AY4518" s="3" t="s">
        <v>44086</v>
      </c>
      <c r="AZ4518" s="3" t="s">
        <v>44087</v>
      </c>
      <c r="BA4518" s="3" t="s">
        <v>44087</v>
      </c>
      <c r="BB4518" s="3" t="s">
        <v>44088</v>
      </c>
      <c r="BC4518" s="3" t="s">
        <v>77</v>
      </c>
      <c r="BD4518" s="3" t="s">
        <v>78</v>
      </c>
      <c r="BE4518" s="3" t="s">
        <v>44089</v>
      </c>
      <c r="BF4518" s="3" t="s">
        <v>44088</v>
      </c>
      <c r="BG4518" s="3" t="s">
        <v>44090</v>
      </c>
      <c r="BH4518">
        <f t="shared" si="140"/>
        <v>0</v>
      </c>
    </row>
    <row r="4519" spans="1:60" ht="58" x14ac:dyDescent="0.35">
      <c r="A4519" s="2" t="s">
        <v>6202</v>
      </c>
      <c r="B4519" s="2" t="s">
        <v>6203</v>
      </c>
      <c r="C4519" s="2" t="s">
        <v>44091</v>
      </c>
      <c r="D4519" s="2" t="s">
        <v>44092</v>
      </c>
      <c r="E4519" s="2" t="s">
        <v>44093</v>
      </c>
      <c r="G4519" s="3" t="s">
        <v>64</v>
      </c>
      <c r="I4519" s="3" t="s">
        <v>64</v>
      </c>
      <c r="J4519" s="3" t="s">
        <v>64</v>
      </c>
      <c r="K4519" s="3" t="s">
        <v>65</v>
      </c>
      <c r="L4519" s="2" t="s">
        <v>44094</v>
      </c>
      <c r="M4519" s="2" t="s">
        <v>44095</v>
      </c>
      <c r="N4519" s="3" t="s">
        <v>1004</v>
      </c>
      <c r="P4519" s="3" t="s">
        <v>102</v>
      </c>
      <c r="Q4519" s="2" t="s">
        <v>44096</v>
      </c>
      <c r="R4519" s="3" t="s">
        <v>70</v>
      </c>
      <c r="S4519" s="4">
        <v>1</v>
      </c>
      <c r="T4519" s="4">
        <v>1</v>
      </c>
      <c r="U4519" s="5" t="s">
        <v>17577</v>
      </c>
      <c r="V4519" s="5" t="s">
        <v>17577</v>
      </c>
      <c r="W4519" s="5" t="s">
        <v>72</v>
      </c>
      <c r="X4519" s="5" t="s">
        <v>72</v>
      </c>
      <c r="Y4519" s="4">
        <v>333</v>
      </c>
      <c r="Z4519" s="4">
        <v>20</v>
      </c>
      <c r="AA4519" s="4">
        <v>26</v>
      </c>
      <c r="AB4519" s="4">
        <v>1</v>
      </c>
      <c r="AC4519" s="4">
        <v>5</v>
      </c>
      <c r="AD4519" s="4">
        <v>99</v>
      </c>
      <c r="AE4519" s="4">
        <v>105</v>
      </c>
      <c r="AF4519" s="4">
        <v>0</v>
      </c>
      <c r="AG4519" s="4">
        <v>3</v>
      </c>
      <c r="AH4519" s="4">
        <v>90</v>
      </c>
      <c r="AI4519" s="4">
        <v>93</v>
      </c>
      <c r="AJ4519" s="4">
        <v>13</v>
      </c>
      <c r="AK4519" s="4">
        <v>18</v>
      </c>
      <c r="AL4519" s="4">
        <v>54</v>
      </c>
      <c r="AM4519" s="4">
        <v>55</v>
      </c>
      <c r="AN4519" s="4">
        <v>0</v>
      </c>
      <c r="AO4519" s="4">
        <v>0</v>
      </c>
      <c r="AP4519" s="4">
        <v>15</v>
      </c>
      <c r="AQ4519" s="4">
        <v>19</v>
      </c>
      <c r="AR4519" s="3" t="s">
        <v>64</v>
      </c>
      <c r="AS4519" s="3" t="s">
        <v>64</v>
      </c>
      <c r="AT4519" s="3" t="s">
        <v>64</v>
      </c>
      <c r="AV4519" s="6" t="str">
        <f>HYPERLINK("http://mcgill.on.worldcat.org/oclc/7284121","Catalog Record")</f>
        <v>Catalog Record</v>
      </c>
      <c r="AW4519" s="6" t="str">
        <f>HYPERLINK("http://www.worldcat.org/oclc/7284121","WorldCat Record")</f>
        <v>WorldCat Record</v>
      </c>
      <c r="AX4519" s="3" t="s">
        <v>44097</v>
      </c>
      <c r="AY4519" s="3" t="s">
        <v>44098</v>
      </c>
      <c r="AZ4519" s="3" t="s">
        <v>44099</v>
      </c>
      <c r="BA4519" s="3" t="s">
        <v>44099</v>
      </c>
      <c r="BB4519" s="3" t="s">
        <v>44100</v>
      </c>
      <c r="BC4519" s="3" t="s">
        <v>77</v>
      </c>
      <c r="BD4519" s="3" t="s">
        <v>78</v>
      </c>
      <c r="BE4519" s="3" t="s">
        <v>44101</v>
      </c>
      <c r="BF4519" s="3" t="s">
        <v>44100</v>
      </c>
      <c r="BG4519" s="3" t="s">
        <v>44102</v>
      </c>
      <c r="BH4519">
        <f t="shared" si="140"/>
        <v>0</v>
      </c>
    </row>
    <row r="4520" spans="1:60" ht="58" x14ac:dyDescent="0.35">
      <c r="A4520" s="2" t="s">
        <v>6202</v>
      </c>
      <c r="B4520" s="2" t="s">
        <v>6203</v>
      </c>
      <c r="C4520" s="2" t="s">
        <v>44103</v>
      </c>
      <c r="D4520" s="2" t="s">
        <v>44104</v>
      </c>
      <c r="E4520" s="2" t="s">
        <v>44105</v>
      </c>
      <c r="G4520" s="3" t="s">
        <v>64</v>
      </c>
      <c r="I4520" s="3" t="s">
        <v>64</v>
      </c>
      <c r="J4520" s="3" t="s">
        <v>64</v>
      </c>
      <c r="K4520" s="3" t="s">
        <v>65</v>
      </c>
      <c r="L4520" s="2" t="s">
        <v>44106</v>
      </c>
      <c r="M4520" s="2" t="s">
        <v>44107</v>
      </c>
      <c r="N4520" s="3" t="s">
        <v>1087</v>
      </c>
      <c r="O4520" s="2" t="s">
        <v>734</v>
      </c>
      <c r="P4520" s="3" t="s">
        <v>102</v>
      </c>
      <c r="Q4520" s="2" t="s">
        <v>44108</v>
      </c>
      <c r="R4520" s="3" t="s">
        <v>70</v>
      </c>
      <c r="S4520" s="4">
        <v>3</v>
      </c>
      <c r="T4520" s="4">
        <v>3</v>
      </c>
      <c r="U4520" s="5" t="s">
        <v>40369</v>
      </c>
      <c r="V4520" s="5" t="s">
        <v>40369</v>
      </c>
      <c r="W4520" s="5" t="s">
        <v>72</v>
      </c>
      <c r="X4520" s="5" t="s">
        <v>72</v>
      </c>
      <c r="Y4520" s="4">
        <v>247</v>
      </c>
      <c r="Z4520" s="4">
        <v>21</v>
      </c>
      <c r="AA4520" s="4">
        <v>40</v>
      </c>
      <c r="AB4520" s="4">
        <v>2</v>
      </c>
      <c r="AC4520" s="4">
        <v>6</v>
      </c>
      <c r="AD4520" s="4">
        <v>97</v>
      </c>
      <c r="AE4520" s="4">
        <v>128</v>
      </c>
      <c r="AF4520" s="4">
        <v>1</v>
      </c>
      <c r="AG4520" s="4">
        <v>4</v>
      </c>
      <c r="AH4520" s="4">
        <v>86</v>
      </c>
      <c r="AI4520" s="4">
        <v>106</v>
      </c>
      <c r="AJ4520" s="4">
        <v>16</v>
      </c>
      <c r="AK4520" s="4">
        <v>22</v>
      </c>
      <c r="AL4520" s="4">
        <v>50</v>
      </c>
      <c r="AM4520" s="4">
        <v>57</v>
      </c>
      <c r="AN4520" s="4">
        <v>0</v>
      </c>
      <c r="AO4520" s="4">
        <v>0</v>
      </c>
      <c r="AP4520" s="4">
        <v>18</v>
      </c>
      <c r="AQ4520" s="4">
        <v>30</v>
      </c>
      <c r="AR4520" s="3" t="s">
        <v>64</v>
      </c>
      <c r="AS4520" s="3" t="s">
        <v>64</v>
      </c>
      <c r="AT4520" s="3" t="s">
        <v>128</v>
      </c>
      <c r="AU4520" s="6" t="str">
        <f>HYPERLINK("http://catalog.hathitrust.org/Record/002446347","HathiTrust Record")</f>
        <v>HathiTrust Record</v>
      </c>
      <c r="AV4520" s="6" t="str">
        <f>HYPERLINK("http://mcgill.on.worldcat.org/oclc/21521135","Catalog Record")</f>
        <v>Catalog Record</v>
      </c>
      <c r="AW4520" s="6" t="str">
        <f>HYPERLINK("http://www.worldcat.org/oclc/21521135","WorldCat Record")</f>
        <v>WorldCat Record</v>
      </c>
      <c r="AX4520" s="3" t="s">
        <v>44109</v>
      </c>
      <c r="AY4520" s="3" t="s">
        <v>44110</v>
      </c>
      <c r="AZ4520" s="3" t="s">
        <v>44111</v>
      </c>
      <c r="BA4520" s="3" t="s">
        <v>44111</v>
      </c>
      <c r="BB4520" s="3" t="s">
        <v>44112</v>
      </c>
      <c r="BC4520" s="3" t="s">
        <v>77</v>
      </c>
      <c r="BD4520" s="3" t="s">
        <v>78</v>
      </c>
      <c r="BE4520" s="3" t="s">
        <v>44113</v>
      </c>
      <c r="BF4520" s="3" t="s">
        <v>44112</v>
      </c>
      <c r="BG4520" s="3" t="s">
        <v>44114</v>
      </c>
      <c r="BH4520">
        <f t="shared" si="140"/>
        <v>0</v>
      </c>
    </row>
    <row r="4521" spans="1:60" ht="58" x14ac:dyDescent="0.35">
      <c r="A4521" s="2" t="s">
        <v>59</v>
      </c>
      <c r="B4521" s="2" t="s">
        <v>60</v>
      </c>
      <c r="C4521" s="2" t="s">
        <v>44115</v>
      </c>
      <c r="D4521" s="2" t="s">
        <v>44116</v>
      </c>
      <c r="E4521" s="2" t="s">
        <v>44117</v>
      </c>
      <c r="G4521" s="3" t="s">
        <v>64</v>
      </c>
      <c r="I4521" s="3" t="s">
        <v>64</v>
      </c>
      <c r="J4521" s="3" t="s">
        <v>64</v>
      </c>
      <c r="K4521" s="3" t="s">
        <v>65</v>
      </c>
      <c r="L4521" s="2" t="s">
        <v>44118</v>
      </c>
      <c r="M4521" s="2" t="s">
        <v>30352</v>
      </c>
      <c r="N4521" s="3" t="s">
        <v>1075</v>
      </c>
      <c r="O4521" s="2" t="s">
        <v>15120</v>
      </c>
      <c r="P4521" s="3" t="s">
        <v>102</v>
      </c>
      <c r="R4521" s="3" t="s">
        <v>70</v>
      </c>
      <c r="S4521" s="4">
        <v>2</v>
      </c>
      <c r="T4521" s="4">
        <v>2</v>
      </c>
      <c r="U4521" s="5" t="s">
        <v>5335</v>
      </c>
      <c r="V4521" s="5" t="s">
        <v>5335</v>
      </c>
      <c r="W4521" s="5" t="s">
        <v>72</v>
      </c>
      <c r="X4521" s="5" t="s">
        <v>72</v>
      </c>
      <c r="Y4521" s="4">
        <v>76</v>
      </c>
      <c r="Z4521" s="4">
        <v>8</v>
      </c>
      <c r="AA4521" s="4">
        <v>72</v>
      </c>
      <c r="AB4521" s="4">
        <v>1</v>
      </c>
      <c r="AC4521" s="4">
        <v>14</v>
      </c>
      <c r="AD4521" s="4">
        <v>34</v>
      </c>
      <c r="AE4521" s="4">
        <v>110</v>
      </c>
      <c r="AF4521" s="4">
        <v>0</v>
      </c>
      <c r="AG4521" s="4">
        <v>8</v>
      </c>
      <c r="AH4521" s="4">
        <v>34</v>
      </c>
      <c r="AI4521" s="4">
        <v>80</v>
      </c>
      <c r="AJ4521" s="4">
        <v>5</v>
      </c>
      <c r="AK4521" s="4">
        <v>21</v>
      </c>
      <c r="AL4521" s="4">
        <v>21</v>
      </c>
      <c r="AM4521" s="4">
        <v>43</v>
      </c>
      <c r="AN4521" s="4">
        <v>0</v>
      </c>
      <c r="AO4521" s="4">
        <v>0</v>
      </c>
      <c r="AP4521" s="4">
        <v>5</v>
      </c>
      <c r="AQ4521" s="4">
        <v>37</v>
      </c>
      <c r="AR4521" s="3" t="s">
        <v>64</v>
      </c>
      <c r="AS4521" s="3" t="s">
        <v>64</v>
      </c>
      <c r="AT4521" s="3" t="s">
        <v>64</v>
      </c>
      <c r="AV4521" s="6" t="str">
        <f>HYPERLINK("http://mcgill.on.worldcat.org/oclc/818465854","Catalog Record")</f>
        <v>Catalog Record</v>
      </c>
      <c r="AW4521" s="6" t="str">
        <f>HYPERLINK("http://www.worldcat.org/oclc/818465854","WorldCat Record")</f>
        <v>WorldCat Record</v>
      </c>
      <c r="AX4521" s="3" t="s">
        <v>44119</v>
      </c>
      <c r="AY4521" s="3" t="s">
        <v>44120</v>
      </c>
      <c r="AZ4521" s="3" t="s">
        <v>44121</v>
      </c>
      <c r="BA4521" s="3" t="s">
        <v>44121</v>
      </c>
      <c r="BB4521" s="3" t="s">
        <v>44122</v>
      </c>
      <c r="BC4521" s="3" t="s">
        <v>77</v>
      </c>
      <c r="BD4521" s="3" t="s">
        <v>78</v>
      </c>
      <c r="BE4521" s="3" t="s">
        <v>44123</v>
      </c>
      <c r="BF4521" s="3" t="s">
        <v>44122</v>
      </c>
      <c r="BG4521" s="3" t="s">
        <v>44124</v>
      </c>
      <c r="BH4521">
        <f t="shared" si="140"/>
        <v>0</v>
      </c>
    </row>
    <row r="4522" spans="1:60" ht="116" x14ac:dyDescent="0.35">
      <c r="A4522" s="2" t="s">
        <v>6202</v>
      </c>
      <c r="B4522" s="2" t="s">
        <v>6203</v>
      </c>
      <c r="C4522" s="2" t="s">
        <v>44125</v>
      </c>
      <c r="D4522" s="2" t="s">
        <v>44126</v>
      </c>
      <c r="E4522" s="2" t="s">
        <v>44127</v>
      </c>
      <c r="G4522" s="3" t="s">
        <v>64</v>
      </c>
      <c r="I4522" s="3" t="s">
        <v>64</v>
      </c>
      <c r="J4522" s="3" t="s">
        <v>64</v>
      </c>
      <c r="K4522" s="3" t="s">
        <v>65</v>
      </c>
      <c r="L4522" s="2" t="s">
        <v>44128</v>
      </c>
      <c r="M4522" s="2" t="s">
        <v>44129</v>
      </c>
      <c r="N4522" s="3" t="s">
        <v>405</v>
      </c>
      <c r="P4522" s="3" t="s">
        <v>102</v>
      </c>
      <c r="R4522" s="3" t="s">
        <v>70</v>
      </c>
      <c r="S4522" s="4">
        <v>1</v>
      </c>
      <c r="T4522" s="4">
        <v>1</v>
      </c>
      <c r="U4522" s="5" t="s">
        <v>44130</v>
      </c>
      <c r="V4522" s="5" t="s">
        <v>44130</v>
      </c>
      <c r="W4522" s="5" t="s">
        <v>72</v>
      </c>
      <c r="X4522" s="5" t="s">
        <v>72</v>
      </c>
      <c r="Y4522" s="4">
        <v>544</v>
      </c>
      <c r="Z4522" s="4">
        <v>15</v>
      </c>
      <c r="AA4522" s="4">
        <v>19</v>
      </c>
      <c r="AB4522" s="4">
        <v>2</v>
      </c>
      <c r="AC4522" s="4">
        <v>5</v>
      </c>
      <c r="AD4522" s="4">
        <v>94</v>
      </c>
      <c r="AE4522" s="4">
        <v>107</v>
      </c>
      <c r="AF4522" s="4">
        <v>1</v>
      </c>
      <c r="AG4522" s="4">
        <v>4</v>
      </c>
      <c r="AH4522" s="4">
        <v>81</v>
      </c>
      <c r="AI4522" s="4">
        <v>92</v>
      </c>
      <c r="AJ4522" s="4">
        <v>11</v>
      </c>
      <c r="AK4522" s="4">
        <v>15</v>
      </c>
      <c r="AL4522" s="4">
        <v>50</v>
      </c>
      <c r="AM4522" s="4">
        <v>53</v>
      </c>
      <c r="AN4522" s="4">
        <v>0</v>
      </c>
      <c r="AO4522" s="4">
        <v>0</v>
      </c>
      <c r="AP4522" s="4">
        <v>11</v>
      </c>
      <c r="AQ4522" s="4">
        <v>15</v>
      </c>
      <c r="AR4522" s="3" t="s">
        <v>64</v>
      </c>
      <c r="AS4522" s="3" t="s">
        <v>128</v>
      </c>
      <c r="AT4522" s="3" t="s">
        <v>64</v>
      </c>
      <c r="AU4522" s="6" t="str">
        <f>HYPERLINK("http://catalog.hathitrust.org/Record/000734312","HathiTrust Record")</f>
        <v>HathiTrust Record</v>
      </c>
      <c r="AV4522" s="6" t="str">
        <f>HYPERLINK("http://mcgill.on.worldcat.org/oclc/2493116","Catalog Record")</f>
        <v>Catalog Record</v>
      </c>
      <c r="AW4522" s="6" t="str">
        <f>HYPERLINK("http://www.worldcat.org/oclc/2493116","WorldCat Record")</f>
        <v>WorldCat Record</v>
      </c>
      <c r="AX4522" s="3" t="s">
        <v>44131</v>
      </c>
      <c r="AY4522" s="3" t="s">
        <v>44132</v>
      </c>
      <c r="AZ4522" s="3" t="s">
        <v>44133</v>
      </c>
      <c r="BA4522" s="3" t="s">
        <v>44133</v>
      </c>
      <c r="BB4522" s="3" t="s">
        <v>44134</v>
      </c>
      <c r="BC4522" s="3" t="s">
        <v>77</v>
      </c>
      <c r="BD4522" s="3" t="s">
        <v>78</v>
      </c>
      <c r="BE4522" s="3" t="s">
        <v>44135</v>
      </c>
      <c r="BF4522" s="3" t="s">
        <v>44134</v>
      </c>
      <c r="BG4522" s="3" t="s">
        <v>44136</v>
      </c>
      <c r="BH4522">
        <f t="shared" si="140"/>
        <v>0</v>
      </c>
    </row>
    <row r="4523" spans="1:60" ht="58" x14ac:dyDescent="0.35">
      <c r="A4523" s="2" t="s">
        <v>6202</v>
      </c>
      <c r="B4523" s="2" t="s">
        <v>6203</v>
      </c>
      <c r="C4523" s="2" t="s">
        <v>44137</v>
      </c>
      <c r="D4523" s="2" t="s">
        <v>44138</v>
      </c>
      <c r="E4523" s="2" t="s">
        <v>44139</v>
      </c>
      <c r="G4523" s="3" t="s">
        <v>64</v>
      </c>
      <c r="I4523" s="3" t="s">
        <v>64</v>
      </c>
      <c r="J4523" s="3" t="s">
        <v>64</v>
      </c>
      <c r="K4523" s="3" t="s">
        <v>65</v>
      </c>
      <c r="L4523" s="2" t="s">
        <v>44140</v>
      </c>
      <c r="M4523" s="2" t="s">
        <v>44141</v>
      </c>
      <c r="N4523" s="3" t="s">
        <v>116</v>
      </c>
      <c r="P4523" s="3" t="s">
        <v>102</v>
      </c>
      <c r="Q4523" s="2" t="s">
        <v>44142</v>
      </c>
      <c r="R4523" s="3" t="s">
        <v>70</v>
      </c>
      <c r="S4523" s="4">
        <v>1</v>
      </c>
      <c r="T4523" s="4">
        <v>1</v>
      </c>
      <c r="U4523" s="5" t="s">
        <v>28053</v>
      </c>
      <c r="V4523" s="5" t="s">
        <v>28053</v>
      </c>
      <c r="W4523" s="5" t="s">
        <v>72</v>
      </c>
      <c r="X4523" s="5" t="s">
        <v>72</v>
      </c>
      <c r="Y4523" s="4">
        <v>183</v>
      </c>
      <c r="Z4523" s="4">
        <v>12</v>
      </c>
      <c r="AA4523" s="4">
        <v>12</v>
      </c>
      <c r="AB4523" s="4">
        <v>2</v>
      </c>
      <c r="AC4523" s="4">
        <v>2</v>
      </c>
      <c r="AD4523" s="4">
        <v>83</v>
      </c>
      <c r="AE4523" s="4">
        <v>83</v>
      </c>
      <c r="AF4523" s="4">
        <v>0</v>
      </c>
      <c r="AG4523" s="4">
        <v>0</v>
      </c>
      <c r="AH4523" s="4">
        <v>77</v>
      </c>
      <c r="AI4523" s="4">
        <v>77</v>
      </c>
      <c r="AJ4523" s="4">
        <v>8</v>
      </c>
      <c r="AK4523" s="4">
        <v>8</v>
      </c>
      <c r="AL4523" s="4">
        <v>46</v>
      </c>
      <c r="AM4523" s="4">
        <v>46</v>
      </c>
      <c r="AN4523" s="4">
        <v>0</v>
      </c>
      <c r="AO4523" s="4">
        <v>0</v>
      </c>
      <c r="AP4523" s="4">
        <v>9</v>
      </c>
      <c r="AQ4523" s="4">
        <v>9</v>
      </c>
      <c r="AR4523" s="3" t="s">
        <v>64</v>
      </c>
      <c r="AS4523" s="3" t="s">
        <v>64</v>
      </c>
      <c r="AT4523" s="3" t="s">
        <v>64</v>
      </c>
      <c r="AV4523" s="6" t="str">
        <f>HYPERLINK("http://mcgill.on.worldcat.org/oclc/45499850","Catalog Record")</f>
        <v>Catalog Record</v>
      </c>
      <c r="AW4523" s="6" t="str">
        <f>HYPERLINK("http://www.worldcat.org/oclc/45499850","WorldCat Record")</f>
        <v>WorldCat Record</v>
      </c>
      <c r="AX4523" s="3" t="s">
        <v>44143</v>
      </c>
      <c r="AY4523" s="3" t="s">
        <v>44144</v>
      </c>
      <c r="AZ4523" s="3" t="s">
        <v>44145</v>
      </c>
      <c r="BA4523" s="3" t="s">
        <v>44145</v>
      </c>
      <c r="BB4523" s="3" t="s">
        <v>44146</v>
      </c>
      <c r="BC4523" s="3" t="s">
        <v>77</v>
      </c>
      <c r="BD4523" s="3" t="s">
        <v>78</v>
      </c>
      <c r="BE4523" s="3" t="s">
        <v>44147</v>
      </c>
      <c r="BF4523" s="3" t="s">
        <v>44146</v>
      </c>
      <c r="BG4523" s="3" t="s">
        <v>44148</v>
      </c>
      <c r="BH4523">
        <f t="shared" si="140"/>
        <v>0</v>
      </c>
    </row>
    <row r="4524" spans="1:60" ht="58" x14ac:dyDescent="0.35">
      <c r="A4524" s="2" t="s">
        <v>6202</v>
      </c>
      <c r="B4524" s="2" t="s">
        <v>6203</v>
      </c>
      <c r="C4524" s="2" t="s">
        <v>44149</v>
      </c>
      <c r="D4524" s="2" t="s">
        <v>44150</v>
      </c>
      <c r="E4524" s="2" t="s">
        <v>44151</v>
      </c>
      <c r="G4524" s="3" t="s">
        <v>64</v>
      </c>
      <c r="I4524" s="3" t="s">
        <v>64</v>
      </c>
      <c r="J4524" s="3" t="s">
        <v>64</v>
      </c>
      <c r="K4524" s="3" t="s">
        <v>65</v>
      </c>
      <c r="L4524" s="2" t="s">
        <v>44152</v>
      </c>
      <c r="M4524" s="2" t="s">
        <v>44153</v>
      </c>
      <c r="N4524" s="3" t="s">
        <v>511</v>
      </c>
      <c r="P4524" s="3" t="s">
        <v>102</v>
      </c>
      <c r="R4524" s="3" t="s">
        <v>70</v>
      </c>
      <c r="S4524" s="4">
        <v>1</v>
      </c>
      <c r="T4524" s="4">
        <v>1</v>
      </c>
      <c r="U4524" s="5" t="s">
        <v>7576</v>
      </c>
      <c r="V4524" s="5" t="s">
        <v>7576</v>
      </c>
      <c r="W4524" s="5" t="s">
        <v>72</v>
      </c>
      <c r="X4524" s="5" t="s">
        <v>72</v>
      </c>
      <c r="Y4524" s="4">
        <v>81</v>
      </c>
      <c r="Z4524" s="4">
        <v>7</v>
      </c>
      <c r="AA4524" s="4">
        <v>86</v>
      </c>
      <c r="AB4524" s="4">
        <v>1</v>
      </c>
      <c r="AC4524" s="4">
        <v>14</v>
      </c>
      <c r="AD4524" s="4">
        <v>36</v>
      </c>
      <c r="AE4524" s="4">
        <v>96</v>
      </c>
      <c r="AF4524" s="4">
        <v>0</v>
      </c>
      <c r="AG4524" s="4">
        <v>8</v>
      </c>
      <c r="AH4524" s="4">
        <v>32</v>
      </c>
      <c r="AI4524" s="4">
        <v>63</v>
      </c>
      <c r="AJ4524" s="4">
        <v>4</v>
      </c>
      <c r="AK4524" s="4">
        <v>18</v>
      </c>
      <c r="AL4524" s="4">
        <v>22</v>
      </c>
      <c r="AM4524" s="4">
        <v>35</v>
      </c>
      <c r="AN4524" s="4">
        <v>0</v>
      </c>
      <c r="AO4524" s="4">
        <v>0</v>
      </c>
      <c r="AP4524" s="4">
        <v>5</v>
      </c>
      <c r="AQ4524" s="4">
        <v>39</v>
      </c>
      <c r="AR4524" s="3" t="s">
        <v>64</v>
      </c>
      <c r="AS4524" s="3" t="s">
        <v>64</v>
      </c>
      <c r="AT4524" s="3" t="s">
        <v>64</v>
      </c>
      <c r="AV4524" s="6" t="str">
        <f>HYPERLINK("http://mcgill.on.worldcat.org/oclc/496959919","Catalog Record")</f>
        <v>Catalog Record</v>
      </c>
      <c r="AW4524" s="6" t="str">
        <f>HYPERLINK("http://www.worldcat.org/oclc/496959919","WorldCat Record")</f>
        <v>WorldCat Record</v>
      </c>
      <c r="AX4524" s="3" t="s">
        <v>44154</v>
      </c>
      <c r="AY4524" s="3" t="s">
        <v>44155</v>
      </c>
      <c r="AZ4524" s="3" t="s">
        <v>44156</v>
      </c>
      <c r="BA4524" s="3" t="s">
        <v>44156</v>
      </c>
      <c r="BB4524" s="3" t="s">
        <v>44157</v>
      </c>
      <c r="BC4524" s="3" t="s">
        <v>77</v>
      </c>
      <c r="BD4524" s="3" t="s">
        <v>78</v>
      </c>
      <c r="BE4524" s="3" t="s">
        <v>44158</v>
      </c>
      <c r="BF4524" s="3" t="s">
        <v>44157</v>
      </c>
      <c r="BG4524" s="3" t="s">
        <v>44159</v>
      </c>
      <c r="BH4524">
        <f t="shared" si="140"/>
        <v>0</v>
      </c>
    </row>
    <row r="4525" spans="1:60" ht="58" x14ac:dyDescent="0.35">
      <c r="A4525" s="2" t="s">
        <v>59</v>
      </c>
      <c r="B4525" s="2" t="s">
        <v>60</v>
      </c>
      <c r="C4525" s="2" t="s">
        <v>44160</v>
      </c>
      <c r="D4525" s="2" t="s">
        <v>44161</v>
      </c>
      <c r="E4525" s="2" t="s">
        <v>44162</v>
      </c>
      <c r="G4525" s="3" t="s">
        <v>64</v>
      </c>
      <c r="I4525" s="3" t="s">
        <v>64</v>
      </c>
      <c r="J4525" s="3" t="s">
        <v>64</v>
      </c>
      <c r="K4525" s="3" t="s">
        <v>65</v>
      </c>
      <c r="L4525" s="2" t="s">
        <v>44163</v>
      </c>
      <c r="M4525" s="2" t="s">
        <v>44164</v>
      </c>
      <c r="N4525" s="3" t="s">
        <v>253</v>
      </c>
      <c r="O4525" s="2" t="s">
        <v>1478</v>
      </c>
      <c r="P4525" s="3" t="s">
        <v>1479</v>
      </c>
      <c r="Q4525" s="2" t="s">
        <v>44165</v>
      </c>
      <c r="R4525" s="3" t="s">
        <v>70</v>
      </c>
      <c r="S4525" s="4">
        <v>0</v>
      </c>
      <c r="T4525" s="4">
        <v>0</v>
      </c>
      <c r="W4525" s="5" t="s">
        <v>72</v>
      </c>
      <c r="X4525" s="5" t="s">
        <v>72</v>
      </c>
      <c r="Y4525" s="4">
        <v>7</v>
      </c>
      <c r="Z4525" s="4">
        <v>1</v>
      </c>
      <c r="AA4525" s="4">
        <v>1</v>
      </c>
      <c r="AB4525" s="4">
        <v>1</v>
      </c>
      <c r="AC4525" s="4">
        <v>1</v>
      </c>
      <c r="AD4525" s="4">
        <v>2</v>
      </c>
      <c r="AE4525" s="4">
        <v>7</v>
      </c>
      <c r="AF4525" s="4">
        <v>0</v>
      </c>
      <c r="AG4525" s="4">
        <v>0</v>
      </c>
      <c r="AH4525" s="4">
        <v>2</v>
      </c>
      <c r="AI4525" s="4">
        <v>6</v>
      </c>
      <c r="AJ4525" s="4">
        <v>0</v>
      </c>
      <c r="AK4525" s="4">
        <v>0</v>
      </c>
      <c r="AL4525" s="4">
        <v>2</v>
      </c>
      <c r="AM4525" s="4">
        <v>6</v>
      </c>
      <c r="AN4525" s="4">
        <v>0</v>
      </c>
      <c r="AO4525" s="4">
        <v>0</v>
      </c>
      <c r="AP4525" s="4">
        <v>0</v>
      </c>
      <c r="AQ4525" s="4">
        <v>0</v>
      </c>
      <c r="AR4525" s="3" t="s">
        <v>64</v>
      </c>
      <c r="AS4525" s="3" t="s">
        <v>64</v>
      </c>
      <c r="AT4525" s="3" t="s">
        <v>64</v>
      </c>
      <c r="AV4525" s="6" t="str">
        <f>HYPERLINK("http://mcgill.on.worldcat.org/oclc/945659495","Catalog Record")</f>
        <v>Catalog Record</v>
      </c>
      <c r="AW4525" s="6" t="str">
        <f>HYPERLINK("http://www.worldcat.org/oclc/945659495","WorldCat Record")</f>
        <v>WorldCat Record</v>
      </c>
      <c r="AX4525" s="3" t="s">
        <v>44166</v>
      </c>
      <c r="AY4525" s="3" t="s">
        <v>44167</v>
      </c>
      <c r="AZ4525" s="3" t="s">
        <v>44168</v>
      </c>
      <c r="BA4525" s="3" t="s">
        <v>44168</v>
      </c>
      <c r="BB4525" s="3" t="s">
        <v>44169</v>
      </c>
      <c r="BC4525" s="3" t="s">
        <v>77</v>
      </c>
      <c r="BD4525" s="3" t="s">
        <v>78</v>
      </c>
      <c r="BE4525" s="3" t="s">
        <v>44170</v>
      </c>
      <c r="BF4525" s="3" t="s">
        <v>44169</v>
      </c>
      <c r="BG4525" s="3" t="s">
        <v>44171</v>
      </c>
      <c r="BH4525">
        <f t="shared" si="140"/>
        <v>0</v>
      </c>
    </row>
    <row r="4526" spans="1:60" ht="58" x14ac:dyDescent="0.35">
      <c r="A4526" s="2" t="s">
        <v>59</v>
      </c>
      <c r="B4526" s="2" t="s">
        <v>7607</v>
      </c>
      <c r="C4526" s="2" t="s">
        <v>44172</v>
      </c>
      <c r="D4526" s="2" t="s">
        <v>44173</v>
      </c>
      <c r="E4526" s="2" t="s">
        <v>44174</v>
      </c>
      <c r="G4526" s="3" t="s">
        <v>64</v>
      </c>
      <c r="I4526" s="3" t="s">
        <v>128</v>
      </c>
      <c r="J4526" s="3" t="s">
        <v>64</v>
      </c>
      <c r="K4526" s="3" t="s">
        <v>65</v>
      </c>
      <c r="L4526" s="2" t="s">
        <v>44175</v>
      </c>
      <c r="M4526" s="2" t="s">
        <v>44176</v>
      </c>
      <c r="N4526" s="3" t="s">
        <v>922</v>
      </c>
      <c r="O4526" s="2" t="s">
        <v>172</v>
      </c>
      <c r="P4526" s="3" t="s">
        <v>102</v>
      </c>
      <c r="R4526" s="3" t="s">
        <v>70</v>
      </c>
      <c r="S4526" s="4">
        <v>0</v>
      </c>
      <c r="T4526" s="4">
        <v>5</v>
      </c>
      <c r="V4526" s="5" t="s">
        <v>41678</v>
      </c>
      <c r="W4526" s="5" t="s">
        <v>72</v>
      </c>
      <c r="X4526" s="5" t="s">
        <v>3035</v>
      </c>
      <c r="Y4526" s="4">
        <v>245</v>
      </c>
      <c r="Z4526" s="4">
        <v>15</v>
      </c>
      <c r="AA4526" s="4">
        <v>19</v>
      </c>
      <c r="AB4526" s="4">
        <v>1</v>
      </c>
      <c r="AC4526" s="4">
        <v>1</v>
      </c>
      <c r="AD4526" s="4">
        <v>79</v>
      </c>
      <c r="AE4526" s="4">
        <v>83</v>
      </c>
      <c r="AF4526" s="4">
        <v>0</v>
      </c>
      <c r="AG4526" s="4">
        <v>0</v>
      </c>
      <c r="AH4526" s="4">
        <v>71</v>
      </c>
      <c r="AI4526" s="4">
        <v>74</v>
      </c>
      <c r="AJ4526" s="4">
        <v>12</v>
      </c>
      <c r="AK4526" s="4">
        <v>15</v>
      </c>
      <c r="AL4526" s="4">
        <v>38</v>
      </c>
      <c r="AM4526" s="4">
        <v>40</v>
      </c>
      <c r="AN4526" s="4">
        <v>0</v>
      </c>
      <c r="AO4526" s="4">
        <v>0</v>
      </c>
      <c r="AP4526" s="4">
        <v>13</v>
      </c>
      <c r="AQ4526" s="4">
        <v>16</v>
      </c>
      <c r="AR4526" s="3" t="s">
        <v>64</v>
      </c>
      <c r="AS4526" s="3" t="s">
        <v>64</v>
      </c>
      <c r="AT4526" s="3" t="s">
        <v>128</v>
      </c>
      <c r="AU4526" s="6" t="str">
        <f>HYPERLINK("http://catalog.hathitrust.org/Record/006808030","HathiTrust Record")</f>
        <v>HathiTrust Record</v>
      </c>
      <c r="AV4526" s="6" t="str">
        <f>HYPERLINK("http://mcgill.on.worldcat.org/oclc/548981","Catalog Record")</f>
        <v>Catalog Record</v>
      </c>
      <c r="AW4526" s="6" t="str">
        <f>HYPERLINK("http://www.worldcat.org/oclc/548981","WorldCat Record")</f>
        <v>WorldCat Record</v>
      </c>
      <c r="AX4526" s="3" t="s">
        <v>44177</v>
      </c>
      <c r="AY4526" s="3" t="s">
        <v>44178</v>
      </c>
      <c r="AZ4526" s="3" t="s">
        <v>44179</v>
      </c>
      <c r="BA4526" s="3" t="s">
        <v>44179</v>
      </c>
      <c r="BB4526" s="3" t="s">
        <v>44180</v>
      </c>
      <c r="BC4526" s="3" t="s">
        <v>77</v>
      </c>
      <c r="BD4526" s="3" t="s">
        <v>78</v>
      </c>
      <c r="BE4526" s="3" t="s">
        <v>44181</v>
      </c>
      <c r="BF4526" s="3" t="s">
        <v>44180</v>
      </c>
      <c r="BG4526" s="3" t="s">
        <v>44182</v>
      </c>
      <c r="BH4526">
        <f t="shared" si="140"/>
        <v>0</v>
      </c>
    </row>
    <row r="4527" spans="1:60" ht="58" x14ac:dyDescent="0.35">
      <c r="A4527" s="2" t="s">
        <v>6202</v>
      </c>
      <c r="B4527" s="2" t="s">
        <v>6203</v>
      </c>
      <c r="C4527" s="2" t="s">
        <v>44172</v>
      </c>
      <c r="D4527" s="2" t="s">
        <v>44173</v>
      </c>
      <c r="E4527" s="2" t="s">
        <v>44174</v>
      </c>
      <c r="G4527" s="3" t="s">
        <v>64</v>
      </c>
      <c r="I4527" s="3" t="s">
        <v>128</v>
      </c>
      <c r="J4527" s="3" t="s">
        <v>64</v>
      </c>
      <c r="K4527" s="3" t="s">
        <v>65</v>
      </c>
      <c r="L4527" s="2" t="s">
        <v>44175</v>
      </c>
      <c r="M4527" s="2" t="s">
        <v>44176</v>
      </c>
      <c r="N4527" s="3" t="s">
        <v>922</v>
      </c>
      <c r="O4527" s="2" t="s">
        <v>172</v>
      </c>
      <c r="P4527" s="3" t="s">
        <v>102</v>
      </c>
      <c r="R4527" s="3" t="s">
        <v>70</v>
      </c>
      <c r="S4527" s="4">
        <v>4</v>
      </c>
      <c r="T4527" s="4">
        <v>5</v>
      </c>
      <c r="U4527" s="5" t="s">
        <v>44183</v>
      </c>
      <c r="V4527" s="5" t="s">
        <v>41678</v>
      </c>
      <c r="W4527" s="5" t="s">
        <v>72</v>
      </c>
      <c r="X4527" s="5" t="s">
        <v>3035</v>
      </c>
      <c r="Y4527" s="4">
        <v>245</v>
      </c>
      <c r="Z4527" s="4">
        <v>15</v>
      </c>
      <c r="AA4527" s="4">
        <v>19</v>
      </c>
      <c r="AB4527" s="4">
        <v>1</v>
      </c>
      <c r="AC4527" s="4">
        <v>1</v>
      </c>
      <c r="AD4527" s="4">
        <v>79</v>
      </c>
      <c r="AE4527" s="4">
        <v>83</v>
      </c>
      <c r="AF4527" s="4">
        <v>0</v>
      </c>
      <c r="AG4527" s="4">
        <v>0</v>
      </c>
      <c r="AH4527" s="4">
        <v>71</v>
      </c>
      <c r="AI4527" s="4">
        <v>74</v>
      </c>
      <c r="AJ4527" s="4">
        <v>12</v>
      </c>
      <c r="AK4527" s="4">
        <v>15</v>
      </c>
      <c r="AL4527" s="4">
        <v>38</v>
      </c>
      <c r="AM4527" s="4">
        <v>40</v>
      </c>
      <c r="AN4527" s="4">
        <v>0</v>
      </c>
      <c r="AO4527" s="4">
        <v>0</v>
      </c>
      <c r="AP4527" s="4">
        <v>13</v>
      </c>
      <c r="AQ4527" s="4">
        <v>16</v>
      </c>
      <c r="AR4527" s="3" t="s">
        <v>64</v>
      </c>
      <c r="AS4527" s="3" t="s">
        <v>64</v>
      </c>
      <c r="AT4527" s="3" t="s">
        <v>128</v>
      </c>
      <c r="AU4527" s="6" t="str">
        <f>HYPERLINK("http://catalog.hathitrust.org/Record/006808030","HathiTrust Record")</f>
        <v>HathiTrust Record</v>
      </c>
      <c r="AV4527" s="6" t="str">
        <f>HYPERLINK("http://mcgill.on.worldcat.org/oclc/548981","Catalog Record")</f>
        <v>Catalog Record</v>
      </c>
      <c r="AW4527" s="6" t="str">
        <f>HYPERLINK("http://www.worldcat.org/oclc/548981","WorldCat Record")</f>
        <v>WorldCat Record</v>
      </c>
      <c r="AX4527" s="3" t="s">
        <v>44177</v>
      </c>
      <c r="AY4527" s="3" t="s">
        <v>44178</v>
      </c>
      <c r="AZ4527" s="3" t="s">
        <v>44179</v>
      </c>
      <c r="BA4527" s="3" t="s">
        <v>44179</v>
      </c>
      <c r="BB4527" s="3" t="s">
        <v>44184</v>
      </c>
      <c r="BC4527" s="3" t="s">
        <v>77</v>
      </c>
      <c r="BD4527" s="3" t="s">
        <v>78</v>
      </c>
      <c r="BE4527" s="3" t="s">
        <v>44181</v>
      </c>
      <c r="BF4527" s="3" t="s">
        <v>44184</v>
      </c>
      <c r="BG4527" s="3" t="s">
        <v>44185</v>
      </c>
      <c r="BH4527">
        <f t="shared" si="140"/>
        <v>0</v>
      </c>
    </row>
    <row r="4528" spans="1:60" ht="58" x14ac:dyDescent="0.35">
      <c r="A4528" s="2" t="s">
        <v>59</v>
      </c>
      <c r="B4528" s="2" t="s">
        <v>60</v>
      </c>
      <c r="C4528" s="2" t="s">
        <v>44186</v>
      </c>
      <c r="D4528" s="2" t="s">
        <v>44187</v>
      </c>
      <c r="E4528" s="2" t="s">
        <v>44188</v>
      </c>
      <c r="G4528" s="3" t="s">
        <v>64</v>
      </c>
      <c r="I4528" s="3" t="s">
        <v>64</v>
      </c>
      <c r="J4528" s="3" t="s">
        <v>64</v>
      </c>
      <c r="K4528" s="3" t="s">
        <v>65</v>
      </c>
      <c r="L4528" s="2" t="s">
        <v>44189</v>
      </c>
      <c r="M4528" s="2" t="s">
        <v>44190</v>
      </c>
      <c r="N4528" s="3" t="s">
        <v>3330</v>
      </c>
      <c r="P4528" s="3" t="s">
        <v>68</v>
      </c>
      <c r="R4528" s="3" t="s">
        <v>70</v>
      </c>
      <c r="S4528" s="4">
        <v>1</v>
      </c>
      <c r="T4528" s="4">
        <v>1</v>
      </c>
      <c r="U4528" s="5" t="s">
        <v>40716</v>
      </c>
      <c r="V4528" s="5" t="s">
        <v>40716</v>
      </c>
      <c r="W4528" s="5" t="s">
        <v>72</v>
      </c>
      <c r="X4528" s="5" t="s">
        <v>72</v>
      </c>
      <c r="Y4528" s="4">
        <v>1</v>
      </c>
      <c r="Z4528" s="4">
        <v>1</v>
      </c>
      <c r="AA4528" s="4">
        <v>3</v>
      </c>
      <c r="AB4528" s="4">
        <v>1</v>
      </c>
      <c r="AC4528" s="4">
        <v>3</v>
      </c>
      <c r="AD4528" s="4">
        <v>0</v>
      </c>
      <c r="AE4528" s="4">
        <v>2</v>
      </c>
      <c r="AF4528" s="4">
        <v>0</v>
      </c>
      <c r="AG4528" s="4">
        <v>2</v>
      </c>
      <c r="AH4528" s="4">
        <v>0</v>
      </c>
      <c r="AI4528" s="4">
        <v>1</v>
      </c>
      <c r="AJ4528" s="4">
        <v>0</v>
      </c>
      <c r="AK4528" s="4">
        <v>2</v>
      </c>
      <c r="AL4528" s="4">
        <v>0</v>
      </c>
      <c r="AM4528" s="4">
        <v>0</v>
      </c>
      <c r="AN4528" s="4">
        <v>0</v>
      </c>
      <c r="AO4528" s="4">
        <v>0</v>
      </c>
      <c r="AP4528" s="4">
        <v>0</v>
      </c>
      <c r="AQ4528" s="4">
        <v>1</v>
      </c>
      <c r="AR4528" s="3" t="s">
        <v>128</v>
      </c>
      <c r="AS4528" s="3" t="s">
        <v>64</v>
      </c>
      <c r="AT4528" s="3" t="s">
        <v>64</v>
      </c>
      <c r="AV4528" s="6" t="str">
        <f>HYPERLINK("http://mcgill.on.worldcat.org/oclc/793399153","Catalog Record")</f>
        <v>Catalog Record</v>
      </c>
      <c r="AW4528" s="6" t="str">
        <f>HYPERLINK("http://www.worldcat.org/oclc/793399153","WorldCat Record")</f>
        <v>WorldCat Record</v>
      </c>
      <c r="AX4528" s="3" t="s">
        <v>44191</v>
      </c>
      <c r="AY4528" s="3" t="s">
        <v>44192</v>
      </c>
      <c r="AZ4528" s="3" t="s">
        <v>44193</v>
      </c>
      <c r="BA4528" s="3" t="s">
        <v>44193</v>
      </c>
      <c r="BB4528" s="3" t="s">
        <v>44194</v>
      </c>
      <c r="BC4528" s="3" t="s">
        <v>77</v>
      </c>
      <c r="BD4528" s="3" t="s">
        <v>78</v>
      </c>
      <c r="BF4528" s="3" t="s">
        <v>44194</v>
      </c>
      <c r="BG4528" s="3" t="s">
        <v>44195</v>
      </c>
      <c r="BH4528">
        <f t="shared" si="140"/>
        <v>0</v>
      </c>
    </row>
    <row r="4529" spans="1:60" ht="58" x14ac:dyDescent="0.35">
      <c r="A4529" s="2" t="s">
        <v>59</v>
      </c>
      <c r="B4529" s="2" t="s">
        <v>60</v>
      </c>
      <c r="C4529" s="2" t="s">
        <v>44196</v>
      </c>
      <c r="D4529" s="2" t="s">
        <v>44197</v>
      </c>
      <c r="E4529" s="2" t="s">
        <v>44198</v>
      </c>
      <c r="G4529" s="3" t="s">
        <v>64</v>
      </c>
      <c r="I4529" s="3" t="s">
        <v>64</v>
      </c>
      <c r="J4529" s="3" t="s">
        <v>64</v>
      </c>
      <c r="K4529" s="3" t="s">
        <v>65</v>
      </c>
      <c r="L4529" s="2" t="s">
        <v>44199</v>
      </c>
      <c r="M4529" s="2" t="s">
        <v>44200</v>
      </c>
      <c r="N4529" s="3" t="s">
        <v>34450</v>
      </c>
      <c r="P4529" s="3" t="s">
        <v>102</v>
      </c>
      <c r="Q4529" s="2" t="s">
        <v>44201</v>
      </c>
      <c r="R4529" s="3" t="s">
        <v>70</v>
      </c>
      <c r="S4529" s="4">
        <v>14</v>
      </c>
      <c r="T4529" s="4">
        <v>14</v>
      </c>
      <c r="U4529" s="5" t="s">
        <v>44202</v>
      </c>
      <c r="V4529" s="5" t="s">
        <v>44202</v>
      </c>
      <c r="W4529" s="5" t="s">
        <v>72</v>
      </c>
      <c r="X4529" s="5" t="s">
        <v>72</v>
      </c>
      <c r="Y4529" s="4">
        <v>129</v>
      </c>
      <c r="Z4529" s="4">
        <v>6</v>
      </c>
      <c r="AA4529" s="4">
        <v>24</v>
      </c>
      <c r="AB4529" s="4">
        <v>1</v>
      </c>
      <c r="AC4529" s="4">
        <v>2</v>
      </c>
      <c r="AD4529" s="4">
        <v>51</v>
      </c>
      <c r="AE4529" s="4">
        <v>87</v>
      </c>
      <c r="AF4529" s="4">
        <v>0</v>
      </c>
      <c r="AG4529" s="4">
        <v>1</v>
      </c>
      <c r="AH4529" s="4">
        <v>48</v>
      </c>
      <c r="AI4529" s="4">
        <v>76</v>
      </c>
      <c r="AJ4529" s="4">
        <v>3</v>
      </c>
      <c r="AK4529" s="4">
        <v>16</v>
      </c>
      <c r="AL4529" s="4">
        <v>32</v>
      </c>
      <c r="AM4529" s="4">
        <v>46</v>
      </c>
      <c r="AN4529" s="4">
        <v>0</v>
      </c>
      <c r="AO4529" s="4">
        <v>0</v>
      </c>
      <c r="AP4529" s="4">
        <v>4</v>
      </c>
      <c r="AQ4529" s="4">
        <v>18</v>
      </c>
      <c r="AR4529" s="3" t="s">
        <v>64</v>
      </c>
      <c r="AS4529" s="3" t="s">
        <v>64</v>
      </c>
      <c r="AT4529" s="3" t="s">
        <v>64</v>
      </c>
      <c r="AV4529" s="6" t="str">
        <f>HYPERLINK("http://mcgill.on.worldcat.org/oclc/2226890","Catalog Record")</f>
        <v>Catalog Record</v>
      </c>
      <c r="AW4529" s="6" t="str">
        <f>HYPERLINK("http://www.worldcat.org/oclc/2226890","WorldCat Record")</f>
        <v>WorldCat Record</v>
      </c>
      <c r="AX4529" s="3" t="s">
        <v>44203</v>
      </c>
      <c r="AY4529" s="3" t="s">
        <v>44204</v>
      </c>
      <c r="AZ4529" s="3" t="s">
        <v>44205</v>
      </c>
      <c r="BA4529" s="3" t="s">
        <v>44205</v>
      </c>
      <c r="BB4529" s="3" t="s">
        <v>44206</v>
      </c>
      <c r="BC4529" s="3" t="s">
        <v>2891</v>
      </c>
      <c r="BD4529" s="3" t="s">
        <v>78</v>
      </c>
      <c r="BF4529" s="3" t="s">
        <v>44206</v>
      </c>
      <c r="BG4529" s="3" t="s">
        <v>44207</v>
      </c>
      <c r="BH4529">
        <f t="shared" si="140"/>
        <v>0</v>
      </c>
    </row>
    <row r="4530" spans="1:60" ht="58" x14ac:dyDescent="0.35">
      <c r="A4530" s="2" t="s">
        <v>59</v>
      </c>
      <c r="B4530" s="2" t="s">
        <v>60</v>
      </c>
      <c r="C4530" s="2" t="s">
        <v>44208</v>
      </c>
      <c r="D4530" s="2" t="s">
        <v>44209</v>
      </c>
      <c r="E4530" s="2" t="s">
        <v>44210</v>
      </c>
      <c r="F4530" s="3" t="s">
        <v>529</v>
      </c>
      <c r="G4530" s="3" t="s">
        <v>128</v>
      </c>
      <c r="I4530" s="3" t="s">
        <v>64</v>
      </c>
      <c r="J4530" s="3" t="s">
        <v>64</v>
      </c>
      <c r="K4530" s="3" t="s">
        <v>65</v>
      </c>
      <c r="L4530" s="2" t="s">
        <v>44211</v>
      </c>
      <c r="M4530" s="2" t="s">
        <v>44212</v>
      </c>
      <c r="N4530" s="3" t="s">
        <v>190</v>
      </c>
      <c r="P4530" s="3" t="s">
        <v>44213</v>
      </c>
      <c r="Q4530" s="2" t="s">
        <v>44214</v>
      </c>
      <c r="R4530" s="3" t="s">
        <v>70</v>
      </c>
      <c r="S4530" s="4">
        <v>0</v>
      </c>
      <c r="T4530" s="4">
        <v>0</v>
      </c>
      <c r="W4530" s="5" t="s">
        <v>72</v>
      </c>
      <c r="X4530" s="5" t="s">
        <v>72</v>
      </c>
      <c r="Y4530" s="4">
        <v>21</v>
      </c>
      <c r="Z4530" s="4">
        <v>1</v>
      </c>
      <c r="AA4530" s="4">
        <v>2</v>
      </c>
      <c r="AB4530" s="4">
        <v>1</v>
      </c>
      <c r="AC4530" s="4">
        <v>2</v>
      </c>
      <c r="AD4530" s="4">
        <v>5</v>
      </c>
      <c r="AE4530" s="4">
        <v>6</v>
      </c>
      <c r="AF4530" s="4">
        <v>0</v>
      </c>
      <c r="AG4530" s="4">
        <v>1</v>
      </c>
      <c r="AH4530" s="4">
        <v>5</v>
      </c>
      <c r="AI4530" s="4">
        <v>6</v>
      </c>
      <c r="AJ4530" s="4">
        <v>0</v>
      </c>
      <c r="AK4530" s="4">
        <v>1</v>
      </c>
      <c r="AL4530" s="4">
        <v>4</v>
      </c>
      <c r="AM4530" s="4">
        <v>4</v>
      </c>
      <c r="AN4530" s="4">
        <v>0</v>
      </c>
      <c r="AO4530" s="4">
        <v>0</v>
      </c>
      <c r="AP4530" s="4">
        <v>0</v>
      </c>
      <c r="AQ4530" s="4">
        <v>1</v>
      </c>
      <c r="AR4530" s="3" t="s">
        <v>64</v>
      </c>
      <c r="AS4530" s="3" t="s">
        <v>64</v>
      </c>
      <c r="AT4530" s="3" t="s">
        <v>64</v>
      </c>
      <c r="AV4530" s="6" t="str">
        <f>HYPERLINK("http://mcgill.on.worldcat.org/oclc/1030912120","Catalog Record")</f>
        <v>Catalog Record</v>
      </c>
      <c r="AW4530" s="6" t="str">
        <f>HYPERLINK("http://www.worldcat.org/oclc/1005725618","WorldCat Record")</f>
        <v>WorldCat Record</v>
      </c>
      <c r="AX4530" s="3" t="s">
        <v>44215</v>
      </c>
      <c r="AY4530" s="3" t="s">
        <v>44216</v>
      </c>
      <c r="AZ4530" s="3" t="s">
        <v>44217</v>
      </c>
      <c r="BA4530" s="3" t="s">
        <v>44217</v>
      </c>
      <c r="BB4530" s="3" t="s">
        <v>44218</v>
      </c>
      <c r="BC4530" s="3" t="s">
        <v>77</v>
      </c>
      <c r="BD4530" s="3" t="s">
        <v>78</v>
      </c>
      <c r="BE4530" s="3" t="s">
        <v>44219</v>
      </c>
      <c r="BF4530" s="3" t="s">
        <v>44218</v>
      </c>
      <c r="BG4530" s="3" t="s">
        <v>44220</v>
      </c>
      <c r="BH4530">
        <f t="shared" si="140"/>
        <v>0</v>
      </c>
    </row>
    <row r="4531" spans="1:60" ht="58" x14ac:dyDescent="0.35">
      <c r="A4531" s="2" t="s">
        <v>59</v>
      </c>
      <c r="B4531" s="2" t="s">
        <v>60</v>
      </c>
      <c r="C4531" s="2" t="s">
        <v>44208</v>
      </c>
      <c r="D4531" s="2" t="s">
        <v>44209</v>
      </c>
      <c r="E4531" s="2" t="s">
        <v>44210</v>
      </c>
      <c r="F4531" s="3" t="s">
        <v>525</v>
      </c>
      <c r="G4531" s="3" t="s">
        <v>128</v>
      </c>
      <c r="I4531" s="3" t="s">
        <v>64</v>
      </c>
      <c r="J4531" s="3" t="s">
        <v>64</v>
      </c>
      <c r="K4531" s="3" t="s">
        <v>65</v>
      </c>
      <c r="L4531" s="2" t="s">
        <v>44211</v>
      </c>
      <c r="M4531" s="2" t="s">
        <v>44212</v>
      </c>
      <c r="N4531" s="3" t="s">
        <v>190</v>
      </c>
      <c r="P4531" s="3" t="s">
        <v>44213</v>
      </c>
      <c r="Q4531" s="2" t="s">
        <v>44214</v>
      </c>
      <c r="R4531" s="3" t="s">
        <v>70</v>
      </c>
      <c r="S4531" s="4">
        <v>0</v>
      </c>
      <c r="T4531" s="4">
        <v>0</v>
      </c>
      <c r="W4531" s="5" t="s">
        <v>72</v>
      </c>
      <c r="X4531" s="5" t="s">
        <v>72</v>
      </c>
      <c r="Y4531" s="4">
        <v>21</v>
      </c>
      <c r="Z4531" s="4">
        <v>1</v>
      </c>
      <c r="AA4531" s="4">
        <v>2</v>
      </c>
      <c r="AB4531" s="4">
        <v>1</v>
      </c>
      <c r="AC4531" s="4">
        <v>2</v>
      </c>
      <c r="AD4531" s="4">
        <v>5</v>
      </c>
      <c r="AE4531" s="4">
        <v>6</v>
      </c>
      <c r="AF4531" s="4">
        <v>0</v>
      </c>
      <c r="AG4531" s="4">
        <v>1</v>
      </c>
      <c r="AH4531" s="4">
        <v>5</v>
      </c>
      <c r="AI4531" s="4">
        <v>6</v>
      </c>
      <c r="AJ4531" s="4">
        <v>0</v>
      </c>
      <c r="AK4531" s="4">
        <v>1</v>
      </c>
      <c r="AL4531" s="4">
        <v>4</v>
      </c>
      <c r="AM4531" s="4">
        <v>4</v>
      </c>
      <c r="AN4531" s="4">
        <v>0</v>
      </c>
      <c r="AO4531" s="4">
        <v>0</v>
      </c>
      <c r="AP4531" s="4">
        <v>0</v>
      </c>
      <c r="AQ4531" s="4">
        <v>1</v>
      </c>
      <c r="AR4531" s="3" t="s">
        <v>64</v>
      </c>
      <c r="AS4531" s="3" t="s">
        <v>64</v>
      </c>
      <c r="AT4531" s="3" t="s">
        <v>64</v>
      </c>
      <c r="AV4531" s="6" t="str">
        <f>HYPERLINK("http://mcgill.on.worldcat.org/oclc/1030912120","Catalog Record")</f>
        <v>Catalog Record</v>
      </c>
      <c r="AW4531" s="6" t="str">
        <f>HYPERLINK("http://www.worldcat.org/oclc/1005725618","WorldCat Record")</f>
        <v>WorldCat Record</v>
      </c>
      <c r="AX4531" s="3" t="s">
        <v>44215</v>
      </c>
      <c r="AY4531" s="3" t="s">
        <v>44216</v>
      </c>
      <c r="AZ4531" s="3" t="s">
        <v>44217</v>
      </c>
      <c r="BA4531" s="3" t="s">
        <v>44217</v>
      </c>
      <c r="BB4531" s="3" t="s">
        <v>44221</v>
      </c>
      <c r="BC4531" s="3" t="s">
        <v>77</v>
      </c>
      <c r="BD4531" s="3" t="s">
        <v>78</v>
      </c>
      <c r="BE4531" s="3" t="s">
        <v>44219</v>
      </c>
      <c r="BF4531" s="3" t="s">
        <v>44221</v>
      </c>
      <c r="BG4531" s="3" t="s">
        <v>44222</v>
      </c>
      <c r="BH4531">
        <f t="shared" si="140"/>
        <v>0</v>
      </c>
    </row>
    <row r="4532" spans="1:60" ht="58" x14ac:dyDescent="0.35">
      <c r="A4532" s="2" t="s">
        <v>59</v>
      </c>
      <c r="B4532" s="2" t="s">
        <v>60</v>
      </c>
      <c r="C4532" s="2" t="s">
        <v>44223</v>
      </c>
      <c r="D4532" s="2" t="s">
        <v>44224</v>
      </c>
      <c r="E4532" s="2" t="s">
        <v>44225</v>
      </c>
      <c r="G4532" s="3" t="s">
        <v>64</v>
      </c>
      <c r="I4532" s="3" t="s">
        <v>64</v>
      </c>
      <c r="J4532" s="3" t="s">
        <v>64</v>
      </c>
      <c r="K4532" s="3" t="s">
        <v>65</v>
      </c>
      <c r="L4532" s="2" t="s">
        <v>44226</v>
      </c>
      <c r="M4532" s="2" t="s">
        <v>44227</v>
      </c>
      <c r="N4532" s="3" t="s">
        <v>392</v>
      </c>
      <c r="P4532" s="3" t="s">
        <v>102</v>
      </c>
      <c r="Q4532" s="2" t="s">
        <v>44228</v>
      </c>
      <c r="R4532" s="3" t="s">
        <v>70</v>
      </c>
      <c r="S4532" s="4">
        <v>2</v>
      </c>
      <c r="T4532" s="4">
        <v>2</v>
      </c>
      <c r="U4532" s="5" t="s">
        <v>1102</v>
      </c>
      <c r="V4532" s="5" t="s">
        <v>1102</v>
      </c>
      <c r="W4532" s="5" t="s">
        <v>72</v>
      </c>
      <c r="X4532" s="5" t="s">
        <v>72</v>
      </c>
      <c r="Y4532" s="4">
        <v>239</v>
      </c>
      <c r="Z4532" s="4">
        <v>15</v>
      </c>
      <c r="AA4532" s="4">
        <v>16</v>
      </c>
      <c r="AB4532" s="4">
        <v>1</v>
      </c>
      <c r="AC4532" s="4">
        <v>2</v>
      </c>
      <c r="AD4532" s="4">
        <v>85</v>
      </c>
      <c r="AE4532" s="4">
        <v>86</v>
      </c>
      <c r="AF4532" s="4">
        <v>0</v>
      </c>
      <c r="AG4532" s="4">
        <v>1</v>
      </c>
      <c r="AH4532" s="4">
        <v>78</v>
      </c>
      <c r="AI4532" s="4">
        <v>78</v>
      </c>
      <c r="AJ4532" s="4">
        <v>9</v>
      </c>
      <c r="AK4532" s="4">
        <v>10</v>
      </c>
      <c r="AL4532" s="4">
        <v>47</v>
      </c>
      <c r="AM4532" s="4">
        <v>47</v>
      </c>
      <c r="AN4532" s="4">
        <v>0</v>
      </c>
      <c r="AO4532" s="4">
        <v>0</v>
      </c>
      <c r="AP4532" s="4">
        <v>10</v>
      </c>
      <c r="AQ4532" s="4">
        <v>10</v>
      </c>
      <c r="AR4532" s="3" t="s">
        <v>64</v>
      </c>
      <c r="AS4532" s="3" t="s">
        <v>64</v>
      </c>
      <c r="AT4532" s="3" t="s">
        <v>128</v>
      </c>
      <c r="AU4532" s="6" t="str">
        <f>HYPERLINK("http://catalog.hathitrust.org/Record/004073095","HathiTrust Record")</f>
        <v>HathiTrust Record</v>
      </c>
      <c r="AV4532" s="6" t="str">
        <f>HYPERLINK("http://mcgill.on.worldcat.org/oclc/43378005","Catalog Record")</f>
        <v>Catalog Record</v>
      </c>
      <c r="AW4532" s="6" t="str">
        <f>HYPERLINK("http://www.worldcat.org/oclc/43378005","WorldCat Record")</f>
        <v>WorldCat Record</v>
      </c>
      <c r="AX4532" s="3" t="s">
        <v>44229</v>
      </c>
      <c r="AY4532" s="3" t="s">
        <v>44230</v>
      </c>
      <c r="AZ4532" s="3" t="s">
        <v>44231</v>
      </c>
      <c r="BA4532" s="3" t="s">
        <v>44231</v>
      </c>
      <c r="BB4532" s="3" t="s">
        <v>44232</v>
      </c>
      <c r="BC4532" s="3" t="s">
        <v>77</v>
      </c>
      <c r="BD4532" s="3" t="s">
        <v>78</v>
      </c>
      <c r="BE4532" s="3" t="s">
        <v>44233</v>
      </c>
      <c r="BF4532" s="3" t="s">
        <v>44232</v>
      </c>
      <c r="BG4532" s="3" t="s">
        <v>44234</v>
      </c>
      <c r="BH4532">
        <f t="shared" si="140"/>
        <v>0</v>
      </c>
    </row>
    <row r="4533" spans="1:60" ht="58" x14ac:dyDescent="0.35">
      <c r="A4533" s="2" t="s">
        <v>59</v>
      </c>
      <c r="B4533" s="2" t="s">
        <v>60</v>
      </c>
      <c r="C4533" s="2" t="s">
        <v>44235</v>
      </c>
      <c r="D4533" s="2" t="s">
        <v>44236</v>
      </c>
      <c r="E4533" s="2" t="s">
        <v>44237</v>
      </c>
      <c r="G4533" s="3" t="s">
        <v>64</v>
      </c>
      <c r="I4533" s="3" t="s">
        <v>64</v>
      </c>
      <c r="J4533" s="3" t="s">
        <v>64</v>
      </c>
      <c r="K4533" s="3" t="s">
        <v>65</v>
      </c>
      <c r="L4533" s="2" t="s">
        <v>44238</v>
      </c>
      <c r="M4533" s="2" t="s">
        <v>44239</v>
      </c>
      <c r="N4533" s="3" t="s">
        <v>1750</v>
      </c>
      <c r="P4533" s="3" t="s">
        <v>102</v>
      </c>
      <c r="R4533" s="3" t="s">
        <v>70</v>
      </c>
      <c r="S4533" s="4">
        <v>8</v>
      </c>
      <c r="T4533" s="4">
        <v>8</v>
      </c>
      <c r="U4533" s="5" t="s">
        <v>980</v>
      </c>
      <c r="V4533" s="5" t="s">
        <v>980</v>
      </c>
      <c r="W4533" s="5" t="s">
        <v>72</v>
      </c>
      <c r="X4533" s="5" t="s">
        <v>72</v>
      </c>
      <c r="Y4533" s="4">
        <v>546</v>
      </c>
      <c r="Z4533" s="4">
        <v>32</v>
      </c>
      <c r="AA4533" s="4">
        <v>35</v>
      </c>
      <c r="AB4533" s="4">
        <v>2</v>
      </c>
      <c r="AC4533" s="4">
        <v>5</v>
      </c>
      <c r="AD4533" s="4">
        <v>113</v>
      </c>
      <c r="AE4533" s="4">
        <v>115</v>
      </c>
      <c r="AF4533" s="4">
        <v>1</v>
      </c>
      <c r="AG4533" s="4">
        <v>3</v>
      </c>
      <c r="AH4533" s="4">
        <v>95</v>
      </c>
      <c r="AI4533" s="4">
        <v>96</v>
      </c>
      <c r="AJ4533" s="4">
        <v>18</v>
      </c>
      <c r="AK4533" s="4">
        <v>20</v>
      </c>
      <c r="AL4533" s="4">
        <v>50</v>
      </c>
      <c r="AM4533" s="4">
        <v>50</v>
      </c>
      <c r="AN4533" s="4">
        <v>0</v>
      </c>
      <c r="AO4533" s="4">
        <v>0</v>
      </c>
      <c r="AP4533" s="4">
        <v>23</v>
      </c>
      <c r="AQ4533" s="4">
        <v>24</v>
      </c>
      <c r="AR4533" s="3" t="s">
        <v>64</v>
      </c>
      <c r="AS4533" s="3" t="s">
        <v>64</v>
      </c>
      <c r="AT4533" s="3" t="s">
        <v>128</v>
      </c>
      <c r="AU4533" s="6" t="str">
        <f>HYPERLINK("http://catalog.hathitrust.org/Record/000022487","HathiTrust Record")</f>
        <v>HathiTrust Record</v>
      </c>
      <c r="AV4533" s="6" t="str">
        <f>HYPERLINK("http://mcgill.on.worldcat.org/oclc/1230520","Catalog Record")</f>
        <v>Catalog Record</v>
      </c>
      <c r="AW4533" s="6" t="str">
        <f>HYPERLINK("http://www.worldcat.org/oclc/1230520","WorldCat Record")</f>
        <v>WorldCat Record</v>
      </c>
      <c r="AX4533" s="3" t="s">
        <v>44240</v>
      </c>
      <c r="AY4533" s="3" t="s">
        <v>44241</v>
      </c>
      <c r="AZ4533" s="3" t="s">
        <v>44242</v>
      </c>
      <c r="BA4533" s="3" t="s">
        <v>44242</v>
      </c>
      <c r="BB4533" s="3" t="s">
        <v>44243</v>
      </c>
      <c r="BC4533" s="3" t="s">
        <v>77</v>
      </c>
      <c r="BD4533" s="3" t="s">
        <v>78</v>
      </c>
      <c r="BE4533" s="3" t="s">
        <v>44244</v>
      </c>
      <c r="BF4533" s="3" t="s">
        <v>44243</v>
      </c>
      <c r="BG4533" s="3" t="s">
        <v>44245</v>
      </c>
      <c r="BH4533">
        <f t="shared" si="140"/>
        <v>0</v>
      </c>
    </row>
    <row r="4534" spans="1:60" ht="58" x14ac:dyDescent="0.35">
      <c r="A4534" s="2" t="s">
        <v>59</v>
      </c>
      <c r="B4534" s="2" t="s">
        <v>60</v>
      </c>
      <c r="C4534" s="2" t="s">
        <v>44246</v>
      </c>
      <c r="D4534" s="2" t="s">
        <v>44247</v>
      </c>
      <c r="E4534" s="2" t="s">
        <v>44248</v>
      </c>
      <c r="G4534" s="3" t="s">
        <v>64</v>
      </c>
      <c r="I4534" s="3" t="s">
        <v>64</v>
      </c>
      <c r="J4534" s="3" t="s">
        <v>64</v>
      </c>
      <c r="K4534" s="3" t="s">
        <v>65</v>
      </c>
      <c r="L4534" s="2" t="s">
        <v>44249</v>
      </c>
      <c r="M4534" s="2" t="s">
        <v>44250</v>
      </c>
      <c r="N4534" s="3" t="s">
        <v>67</v>
      </c>
      <c r="P4534" s="3" t="s">
        <v>102</v>
      </c>
      <c r="Q4534" s="2" t="s">
        <v>44251</v>
      </c>
      <c r="R4534" s="3" t="s">
        <v>70</v>
      </c>
      <c r="S4534" s="4">
        <v>0</v>
      </c>
      <c r="T4534" s="4">
        <v>0</v>
      </c>
      <c r="W4534" s="5" t="s">
        <v>72</v>
      </c>
      <c r="X4534" s="5" t="s">
        <v>72</v>
      </c>
      <c r="Y4534" s="4">
        <v>99</v>
      </c>
      <c r="Z4534" s="4">
        <v>10</v>
      </c>
      <c r="AA4534" s="4">
        <v>96</v>
      </c>
      <c r="AB4534" s="4">
        <v>1</v>
      </c>
      <c r="AC4534" s="4">
        <v>17</v>
      </c>
      <c r="AD4534" s="4">
        <v>40</v>
      </c>
      <c r="AE4534" s="4">
        <v>116</v>
      </c>
      <c r="AF4534" s="4">
        <v>0</v>
      </c>
      <c r="AG4534" s="4">
        <v>8</v>
      </c>
      <c r="AH4534" s="4">
        <v>35</v>
      </c>
      <c r="AI4534" s="4">
        <v>75</v>
      </c>
      <c r="AJ4534" s="4">
        <v>6</v>
      </c>
      <c r="AK4534" s="4">
        <v>24</v>
      </c>
      <c r="AL4534" s="4">
        <v>22</v>
      </c>
      <c r="AM4534" s="4">
        <v>38</v>
      </c>
      <c r="AN4534" s="4">
        <v>0</v>
      </c>
      <c r="AO4534" s="4">
        <v>0</v>
      </c>
      <c r="AP4534" s="4">
        <v>6</v>
      </c>
      <c r="AQ4534" s="4">
        <v>49</v>
      </c>
      <c r="AR4534" s="3" t="s">
        <v>128</v>
      </c>
      <c r="AS4534" s="3" t="s">
        <v>64</v>
      </c>
      <c r="AT4534" s="3" t="s">
        <v>64</v>
      </c>
      <c r="AV4534" s="6" t="str">
        <f>HYPERLINK("http://mcgill.on.worldcat.org/oclc/868383353","Catalog Record")</f>
        <v>Catalog Record</v>
      </c>
      <c r="AW4534" s="6" t="str">
        <f>HYPERLINK("http://www.worldcat.org/oclc/868383353","WorldCat Record")</f>
        <v>WorldCat Record</v>
      </c>
      <c r="AX4534" s="3" t="s">
        <v>44252</v>
      </c>
      <c r="AY4534" s="3" t="s">
        <v>44253</v>
      </c>
      <c r="AZ4534" s="3" t="s">
        <v>44254</v>
      </c>
      <c r="BA4534" s="3" t="s">
        <v>44254</v>
      </c>
      <c r="BB4534" s="3" t="s">
        <v>44255</v>
      </c>
      <c r="BC4534" s="3" t="s">
        <v>77</v>
      </c>
      <c r="BD4534" s="3" t="s">
        <v>78</v>
      </c>
      <c r="BE4534" s="3" t="s">
        <v>44256</v>
      </c>
      <c r="BF4534" s="3" t="s">
        <v>44255</v>
      </c>
      <c r="BG4534" s="3" t="s">
        <v>44257</v>
      </c>
      <c r="BH4534">
        <f t="shared" si="140"/>
        <v>0</v>
      </c>
    </row>
    <row r="4535" spans="1:60" ht="58" x14ac:dyDescent="0.35">
      <c r="A4535" s="2" t="s">
        <v>6202</v>
      </c>
      <c r="B4535" s="2" t="s">
        <v>6203</v>
      </c>
      <c r="C4535" s="2" t="s">
        <v>44258</v>
      </c>
      <c r="D4535" s="2" t="s">
        <v>44259</v>
      </c>
      <c r="E4535" s="2" t="s">
        <v>44260</v>
      </c>
      <c r="G4535" s="3" t="s">
        <v>64</v>
      </c>
      <c r="I4535" s="3" t="s">
        <v>64</v>
      </c>
      <c r="J4535" s="3" t="s">
        <v>64</v>
      </c>
      <c r="K4535" s="3" t="s">
        <v>65</v>
      </c>
      <c r="L4535" s="2" t="s">
        <v>33412</v>
      </c>
      <c r="M4535" s="2" t="s">
        <v>44261</v>
      </c>
      <c r="N4535" s="3" t="s">
        <v>5262</v>
      </c>
      <c r="P4535" s="3" t="s">
        <v>102</v>
      </c>
      <c r="R4535" s="3" t="s">
        <v>70</v>
      </c>
      <c r="S4535" s="4">
        <v>1</v>
      </c>
      <c r="T4535" s="4">
        <v>1</v>
      </c>
      <c r="U4535" s="5" t="s">
        <v>39070</v>
      </c>
      <c r="V4535" s="5" t="s">
        <v>39070</v>
      </c>
      <c r="W4535" s="5" t="s">
        <v>72</v>
      </c>
      <c r="X4535" s="5" t="s">
        <v>72</v>
      </c>
      <c r="Y4535" s="4">
        <v>383</v>
      </c>
      <c r="Z4535" s="4">
        <v>30</v>
      </c>
      <c r="AA4535" s="4">
        <v>31</v>
      </c>
      <c r="AB4535" s="4">
        <v>1</v>
      </c>
      <c r="AC4535" s="4">
        <v>2</v>
      </c>
      <c r="AD4535" s="4">
        <v>112</v>
      </c>
      <c r="AE4535" s="4">
        <v>113</v>
      </c>
      <c r="AF4535" s="4">
        <v>0</v>
      </c>
      <c r="AG4535" s="4">
        <v>1</v>
      </c>
      <c r="AH4535" s="4">
        <v>97</v>
      </c>
      <c r="AI4535" s="4">
        <v>98</v>
      </c>
      <c r="AJ4535" s="4">
        <v>19</v>
      </c>
      <c r="AK4535" s="4">
        <v>20</v>
      </c>
      <c r="AL4535" s="4">
        <v>53</v>
      </c>
      <c r="AM4535" s="4">
        <v>53</v>
      </c>
      <c r="AN4535" s="4">
        <v>0</v>
      </c>
      <c r="AO4535" s="4">
        <v>0</v>
      </c>
      <c r="AP4535" s="4">
        <v>23</v>
      </c>
      <c r="AQ4535" s="4">
        <v>24</v>
      </c>
      <c r="AR4535" s="3" t="s">
        <v>64</v>
      </c>
      <c r="AS4535" s="3" t="s">
        <v>64</v>
      </c>
      <c r="AT4535" s="3" t="s">
        <v>128</v>
      </c>
      <c r="AU4535" s="6" t="str">
        <f>HYPERLINK("http://catalog.hathitrust.org/Record/001765428","HathiTrust Record")</f>
        <v>HathiTrust Record</v>
      </c>
      <c r="AV4535" s="6" t="str">
        <f>HYPERLINK("http://mcgill.on.worldcat.org/oclc/580094","Catalog Record")</f>
        <v>Catalog Record</v>
      </c>
      <c r="AW4535" s="6" t="str">
        <f>HYPERLINK("http://www.worldcat.org/oclc/580094","WorldCat Record")</f>
        <v>WorldCat Record</v>
      </c>
      <c r="AX4535" s="3" t="s">
        <v>44262</v>
      </c>
      <c r="AY4535" s="3" t="s">
        <v>44263</v>
      </c>
      <c r="AZ4535" s="3" t="s">
        <v>44264</v>
      </c>
      <c r="BA4535" s="3" t="s">
        <v>44264</v>
      </c>
      <c r="BB4535" s="3" t="s">
        <v>44265</v>
      </c>
      <c r="BC4535" s="3" t="s">
        <v>77</v>
      </c>
      <c r="BD4535" s="3" t="s">
        <v>78</v>
      </c>
      <c r="BF4535" s="3" t="s">
        <v>44265</v>
      </c>
      <c r="BG4535" s="3" t="s">
        <v>44266</v>
      </c>
      <c r="BH4535">
        <f t="shared" si="140"/>
        <v>0</v>
      </c>
    </row>
    <row r="4536" spans="1:60" ht="58" x14ac:dyDescent="0.35">
      <c r="A4536" s="2" t="s">
        <v>59</v>
      </c>
      <c r="B4536" s="2" t="s">
        <v>60</v>
      </c>
      <c r="C4536" s="2" t="s">
        <v>44267</v>
      </c>
      <c r="D4536" s="2" t="s">
        <v>44268</v>
      </c>
      <c r="E4536" s="2" t="s">
        <v>44269</v>
      </c>
      <c r="G4536" s="3" t="s">
        <v>64</v>
      </c>
      <c r="I4536" s="3" t="s">
        <v>64</v>
      </c>
      <c r="J4536" s="3" t="s">
        <v>64</v>
      </c>
      <c r="K4536" s="3" t="s">
        <v>65</v>
      </c>
      <c r="L4536" s="2" t="s">
        <v>44270</v>
      </c>
      <c r="M4536" s="2" t="s">
        <v>44271</v>
      </c>
      <c r="N4536" s="3" t="s">
        <v>5262</v>
      </c>
      <c r="P4536" s="3" t="s">
        <v>102</v>
      </c>
      <c r="R4536" s="3" t="s">
        <v>70</v>
      </c>
      <c r="S4536" s="4">
        <v>4</v>
      </c>
      <c r="T4536" s="4">
        <v>4</v>
      </c>
      <c r="U4536" s="5" t="s">
        <v>133</v>
      </c>
      <c r="V4536" s="5" t="s">
        <v>133</v>
      </c>
      <c r="W4536" s="5" t="s">
        <v>72</v>
      </c>
      <c r="X4536" s="5" t="s">
        <v>72</v>
      </c>
      <c r="Y4536" s="4">
        <v>123</v>
      </c>
      <c r="Z4536" s="4">
        <v>8</v>
      </c>
      <c r="AA4536" s="4">
        <v>8</v>
      </c>
      <c r="AB4536" s="4">
        <v>1</v>
      </c>
      <c r="AC4536" s="4">
        <v>1</v>
      </c>
      <c r="AD4536" s="4">
        <v>56</v>
      </c>
      <c r="AE4536" s="4">
        <v>56</v>
      </c>
      <c r="AF4536" s="4">
        <v>0</v>
      </c>
      <c r="AG4536" s="4">
        <v>0</v>
      </c>
      <c r="AH4536" s="4">
        <v>53</v>
      </c>
      <c r="AI4536" s="4">
        <v>53</v>
      </c>
      <c r="AJ4536" s="4">
        <v>5</v>
      </c>
      <c r="AK4536" s="4">
        <v>5</v>
      </c>
      <c r="AL4536" s="4">
        <v>35</v>
      </c>
      <c r="AM4536" s="4">
        <v>35</v>
      </c>
      <c r="AN4536" s="4">
        <v>0</v>
      </c>
      <c r="AO4536" s="4">
        <v>0</v>
      </c>
      <c r="AP4536" s="4">
        <v>5</v>
      </c>
      <c r="AQ4536" s="4">
        <v>5</v>
      </c>
      <c r="AR4536" s="3" t="s">
        <v>64</v>
      </c>
      <c r="AS4536" s="3" t="s">
        <v>64</v>
      </c>
      <c r="AT4536" s="3" t="s">
        <v>128</v>
      </c>
      <c r="AU4536" s="6" t="str">
        <f>HYPERLINK("http://catalog.hathitrust.org/Record/001173287","HathiTrust Record")</f>
        <v>HathiTrust Record</v>
      </c>
      <c r="AV4536" s="6" t="str">
        <f>HYPERLINK("http://mcgill.on.worldcat.org/oclc/1954555","Catalog Record")</f>
        <v>Catalog Record</v>
      </c>
      <c r="AW4536" s="6" t="str">
        <f>HYPERLINK("http://www.worldcat.org/oclc/1954555","WorldCat Record")</f>
        <v>WorldCat Record</v>
      </c>
      <c r="AX4536" s="3" t="s">
        <v>44272</v>
      </c>
      <c r="AY4536" s="3" t="s">
        <v>44273</v>
      </c>
      <c r="AZ4536" s="3" t="s">
        <v>44274</v>
      </c>
      <c r="BA4536" s="3" t="s">
        <v>44274</v>
      </c>
      <c r="BB4536" s="3" t="s">
        <v>44275</v>
      </c>
      <c r="BC4536" s="3" t="s">
        <v>77</v>
      </c>
      <c r="BD4536" s="3" t="s">
        <v>78</v>
      </c>
      <c r="BF4536" s="3" t="s">
        <v>44275</v>
      </c>
      <c r="BG4536" s="3" t="s">
        <v>44276</v>
      </c>
      <c r="BH4536">
        <f t="shared" si="140"/>
        <v>0</v>
      </c>
    </row>
    <row r="4537" spans="1:60" ht="116" x14ac:dyDescent="0.35">
      <c r="A4537" s="2" t="s">
        <v>59</v>
      </c>
      <c r="B4537" s="2" t="s">
        <v>25844</v>
      </c>
      <c r="C4537" s="2" t="s">
        <v>44277</v>
      </c>
      <c r="D4537" s="2" t="s">
        <v>44278</v>
      </c>
      <c r="E4537" s="2" t="s">
        <v>44279</v>
      </c>
      <c r="G4537" s="3" t="s">
        <v>64</v>
      </c>
      <c r="I4537" s="3" t="s">
        <v>64</v>
      </c>
      <c r="J4537" s="3" t="s">
        <v>64</v>
      </c>
      <c r="K4537" s="3" t="s">
        <v>65</v>
      </c>
      <c r="L4537" s="2" t="s">
        <v>44280</v>
      </c>
      <c r="M4537" s="2" t="s">
        <v>44281</v>
      </c>
      <c r="N4537" s="3" t="s">
        <v>511</v>
      </c>
      <c r="O4537" s="2" t="s">
        <v>1189</v>
      </c>
      <c r="P4537" s="3" t="s">
        <v>1190</v>
      </c>
      <c r="R4537" s="3" t="s">
        <v>70</v>
      </c>
      <c r="S4537" s="4">
        <v>0</v>
      </c>
      <c r="T4537" s="4">
        <v>0</v>
      </c>
      <c r="W4537" s="5" t="s">
        <v>72</v>
      </c>
      <c r="X4537" s="5" t="s">
        <v>72</v>
      </c>
      <c r="Y4537" s="4">
        <v>37</v>
      </c>
      <c r="Z4537" s="4">
        <v>2</v>
      </c>
      <c r="AA4537" s="4">
        <v>2</v>
      </c>
      <c r="AB4537" s="4">
        <v>1</v>
      </c>
      <c r="AC4537" s="4">
        <v>1</v>
      </c>
      <c r="AD4537" s="4">
        <v>27</v>
      </c>
      <c r="AE4537" s="4">
        <v>27</v>
      </c>
      <c r="AF4537" s="4">
        <v>0</v>
      </c>
      <c r="AG4537" s="4">
        <v>0</v>
      </c>
      <c r="AH4537" s="4">
        <v>26</v>
      </c>
      <c r="AI4537" s="4">
        <v>26</v>
      </c>
      <c r="AJ4537" s="4">
        <v>1</v>
      </c>
      <c r="AK4537" s="4">
        <v>1</v>
      </c>
      <c r="AL4537" s="4">
        <v>23</v>
      </c>
      <c r="AM4537" s="4">
        <v>23</v>
      </c>
      <c r="AN4537" s="4">
        <v>0</v>
      </c>
      <c r="AO4537" s="4">
        <v>0</v>
      </c>
      <c r="AP4537" s="4">
        <v>1</v>
      </c>
      <c r="AQ4537" s="4">
        <v>1</v>
      </c>
      <c r="AR4537" s="3" t="s">
        <v>64</v>
      </c>
      <c r="AS4537" s="3" t="s">
        <v>64</v>
      </c>
      <c r="AT4537" s="3" t="s">
        <v>64</v>
      </c>
      <c r="AV4537" s="6" t="str">
        <f>HYPERLINK("http://mcgill.on.worldcat.org/oclc/698070056","Catalog Record")</f>
        <v>Catalog Record</v>
      </c>
      <c r="AW4537" s="6" t="str">
        <f>HYPERLINK("http://www.worldcat.org/oclc/698070056","WorldCat Record")</f>
        <v>WorldCat Record</v>
      </c>
      <c r="AX4537" s="3" t="s">
        <v>44282</v>
      </c>
      <c r="AY4537" s="3" t="s">
        <v>44283</v>
      </c>
      <c r="AZ4537" s="3" t="s">
        <v>44284</v>
      </c>
      <c r="BA4537" s="3" t="s">
        <v>44284</v>
      </c>
      <c r="BB4537" s="3" t="s">
        <v>44285</v>
      </c>
      <c r="BC4537" s="3" t="s">
        <v>77</v>
      </c>
      <c r="BD4537" s="3" t="s">
        <v>78</v>
      </c>
      <c r="BE4537" s="3" t="s">
        <v>44286</v>
      </c>
      <c r="BF4537" s="3" t="s">
        <v>44285</v>
      </c>
      <c r="BG4537" s="3" t="s">
        <v>44287</v>
      </c>
      <c r="BH4537">
        <f t="shared" si="140"/>
        <v>0</v>
      </c>
    </row>
    <row r="4538" spans="1:60" ht="116" x14ac:dyDescent="0.35">
      <c r="A4538" s="2" t="s">
        <v>59</v>
      </c>
      <c r="B4538" s="2" t="s">
        <v>1183</v>
      </c>
      <c r="C4538" s="2" t="s">
        <v>44288</v>
      </c>
      <c r="D4538" s="2" t="s">
        <v>44289</v>
      </c>
      <c r="E4538" s="2" t="s">
        <v>44290</v>
      </c>
      <c r="G4538" s="3" t="s">
        <v>64</v>
      </c>
      <c r="I4538" s="3" t="s">
        <v>64</v>
      </c>
      <c r="J4538" s="3" t="s">
        <v>64</v>
      </c>
      <c r="K4538" s="3" t="s">
        <v>65</v>
      </c>
      <c r="L4538" s="2" t="s">
        <v>44291</v>
      </c>
      <c r="M4538" s="2" t="s">
        <v>44292</v>
      </c>
      <c r="N4538" s="3" t="s">
        <v>1075</v>
      </c>
      <c r="O4538" s="2" t="s">
        <v>1189</v>
      </c>
      <c r="P4538" s="3" t="s">
        <v>1190</v>
      </c>
      <c r="Q4538" s="2" t="s">
        <v>44293</v>
      </c>
      <c r="R4538" s="3" t="s">
        <v>70</v>
      </c>
      <c r="S4538" s="4">
        <v>0</v>
      </c>
      <c r="T4538" s="4">
        <v>0</v>
      </c>
      <c r="W4538" s="5" t="s">
        <v>72</v>
      </c>
      <c r="X4538" s="5" t="s">
        <v>72</v>
      </c>
      <c r="Y4538" s="4">
        <v>28</v>
      </c>
      <c r="Z4538" s="4">
        <v>3</v>
      </c>
      <c r="AA4538" s="4">
        <v>3</v>
      </c>
      <c r="AB4538" s="4">
        <v>1</v>
      </c>
      <c r="AC4538" s="4">
        <v>1</v>
      </c>
      <c r="AD4538" s="4">
        <v>16</v>
      </c>
      <c r="AE4538" s="4">
        <v>16</v>
      </c>
      <c r="AF4538" s="4">
        <v>0</v>
      </c>
      <c r="AG4538" s="4">
        <v>0</v>
      </c>
      <c r="AH4538" s="4">
        <v>15</v>
      </c>
      <c r="AI4538" s="4">
        <v>15</v>
      </c>
      <c r="AJ4538" s="4">
        <v>1</v>
      </c>
      <c r="AK4538" s="4">
        <v>1</v>
      </c>
      <c r="AL4538" s="4">
        <v>14</v>
      </c>
      <c r="AM4538" s="4">
        <v>14</v>
      </c>
      <c r="AN4538" s="4">
        <v>0</v>
      </c>
      <c r="AO4538" s="4">
        <v>0</v>
      </c>
      <c r="AP4538" s="4">
        <v>1</v>
      </c>
      <c r="AQ4538" s="4">
        <v>1</v>
      </c>
      <c r="AR4538" s="3" t="s">
        <v>64</v>
      </c>
      <c r="AS4538" s="3" t="s">
        <v>64</v>
      </c>
      <c r="AT4538" s="3" t="s">
        <v>64</v>
      </c>
      <c r="AV4538" s="6" t="str">
        <f>HYPERLINK("http://mcgill.on.worldcat.org/oclc/852923944","Catalog Record")</f>
        <v>Catalog Record</v>
      </c>
      <c r="AW4538" s="6" t="str">
        <f>HYPERLINK("http://www.worldcat.org/oclc/852923944","WorldCat Record")</f>
        <v>WorldCat Record</v>
      </c>
      <c r="AX4538" s="3" t="s">
        <v>44294</v>
      </c>
      <c r="AY4538" s="3" t="s">
        <v>44295</v>
      </c>
      <c r="AZ4538" s="3" t="s">
        <v>44296</v>
      </c>
      <c r="BA4538" s="3" t="s">
        <v>44296</v>
      </c>
      <c r="BB4538" s="3" t="s">
        <v>44297</v>
      </c>
      <c r="BC4538" s="3" t="s">
        <v>77</v>
      </c>
      <c r="BD4538" s="3" t="s">
        <v>78</v>
      </c>
      <c r="BE4538" s="3" t="s">
        <v>44298</v>
      </c>
      <c r="BF4538" s="3" t="s">
        <v>44297</v>
      </c>
      <c r="BG4538" s="3" t="s">
        <v>44299</v>
      </c>
      <c r="BH4538">
        <f t="shared" si="140"/>
        <v>0</v>
      </c>
    </row>
    <row r="4539" spans="1:60" ht="116" x14ac:dyDescent="0.35">
      <c r="A4539" s="2" t="s">
        <v>59</v>
      </c>
      <c r="B4539" s="2" t="s">
        <v>25844</v>
      </c>
      <c r="C4539" s="2" t="s">
        <v>44300</v>
      </c>
      <c r="D4539" s="2" t="s">
        <v>44301</v>
      </c>
      <c r="E4539" s="2" t="s">
        <v>44302</v>
      </c>
      <c r="G4539" s="3" t="s">
        <v>64</v>
      </c>
      <c r="I4539" s="3" t="s">
        <v>64</v>
      </c>
      <c r="J4539" s="3" t="s">
        <v>64</v>
      </c>
      <c r="K4539" s="3" t="s">
        <v>65</v>
      </c>
      <c r="L4539" s="2" t="s">
        <v>44303</v>
      </c>
      <c r="M4539" s="2" t="s">
        <v>44304</v>
      </c>
      <c r="N4539" s="3" t="s">
        <v>511</v>
      </c>
      <c r="P4539" s="3" t="s">
        <v>1190</v>
      </c>
      <c r="R4539" s="3" t="s">
        <v>70</v>
      </c>
      <c r="S4539" s="4">
        <v>0</v>
      </c>
      <c r="T4539" s="4">
        <v>0</v>
      </c>
      <c r="W4539" s="5" t="s">
        <v>72</v>
      </c>
      <c r="X4539" s="5" t="s">
        <v>72</v>
      </c>
      <c r="Y4539" s="4">
        <v>15</v>
      </c>
      <c r="Z4539" s="4">
        <v>1</v>
      </c>
      <c r="AA4539" s="4">
        <v>7</v>
      </c>
      <c r="AB4539" s="4">
        <v>1</v>
      </c>
      <c r="AC4539" s="4">
        <v>1</v>
      </c>
      <c r="AD4539" s="4">
        <v>10</v>
      </c>
      <c r="AE4539" s="4">
        <v>50</v>
      </c>
      <c r="AF4539" s="4">
        <v>0</v>
      </c>
      <c r="AG4539" s="4">
        <v>0</v>
      </c>
      <c r="AH4539" s="4">
        <v>9</v>
      </c>
      <c r="AI4539" s="4">
        <v>47</v>
      </c>
      <c r="AJ4539" s="4">
        <v>0</v>
      </c>
      <c r="AK4539" s="4">
        <v>4</v>
      </c>
      <c r="AL4539" s="4">
        <v>8</v>
      </c>
      <c r="AM4539" s="4">
        <v>37</v>
      </c>
      <c r="AN4539" s="4">
        <v>0</v>
      </c>
      <c r="AO4539" s="4">
        <v>0</v>
      </c>
      <c r="AP4539" s="4">
        <v>0</v>
      </c>
      <c r="AQ4539" s="4">
        <v>4</v>
      </c>
      <c r="AR4539" s="3" t="s">
        <v>64</v>
      </c>
      <c r="AS4539" s="3" t="s">
        <v>64</v>
      </c>
      <c r="AT4539" s="3" t="s">
        <v>64</v>
      </c>
      <c r="AV4539" s="6" t="str">
        <f>HYPERLINK("http://mcgill.on.worldcat.org/oclc/705386931","Catalog Record")</f>
        <v>Catalog Record</v>
      </c>
      <c r="AW4539" s="6" t="str">
        <f>HYPERLINK("http://www.worldcat.org/oclc/705386931","WorldCat Record")</f>
        <v>WorldCat Record</v>
      </c>
      <c r="AX4539" s="3" t="s">
        <v>44305</v>
      </c>
      <c r="AY4539" s="3" t="s">
        <v>44306</v>
      </c>
      <c r="AZ4539" s="3" t="s">
        <v>44307</v>
      </c>
      <c r="BA4539" s="3" t="s">
        <v>44307</v>
      </c>
      <c r="BB4539" s="3" t="s">
        <v>44308</v>
      </c>
      <c r="BC4539" s="3" t="s">
        <v>77</v>
      </c>
      <c r="BD4539" s="3" t="s">
        <v>78</v>
      </c>
      <c r="BE4539" s="3" t="s">
        <v>44309</v>
      </c>
      <c r="BF4539" s="3" t="s">
        <v>44308</v>
      </c>
      <c r="BG4539" s="3" t="s">
        <v>44310</v>
      </c>
      <c r="BH4539">
        <f t="shared" si="140"/>
        <v>0</v>
      </c>
    </row>
    <row r="4540" spans="1:60" ht="116" x14ac:dyDescent="0.35">
      <c r="A4540" s="2" t="s">
        <v>59</v>
      </c>
      <c r="B4540" s="2" t="s">
        <v>1183</v>
      </c>
      <c r="C4540" s="2" t="s">
        <v>44311</v>
      </c>
      <c r="D4540" s="2" t="s">
        <v>44312</v>
      </c>
      <c r="E4540" s="2" t="s">
        <v>44313</v>
      </c>
      <c r="G4540" s="3" t="s">
        <v>64</v>
      </c>
      <c r="I4540" s="3" t="s">
        <v>64</v>
      </c>
      <c r="J4540" s="3" t="s">
        <v>64</v>
      </c>
      <c r="K4540" s="3" t="s">
        <v>65</v>
      </c>
      <c r="L4540" s="2" t="s">
        <v>44314</v>
      </c>
      <c r="M4540" s="2" t="s">
        <v>44315</v>
      </c>
      <c r="N4540" s="3" t="s">
        <v>86</v>
      </c>
      <c r="O4540" s="2" t="s">
        <v>1189</v>
      </c>
      <c r="P4540" s="3" t="s">
        <v>1190</v>
      </c>
      <c r="Q4540" s="2" t="s">
        <v>44316</v>
      </c>
      <c r="R4540" s="3" t="s">
        <v>70</v>
      </c>
      <c r="S4540" s="4">
        <v>0</v>
      </c>
      <c r="T4540" s="4">
        <v>0</v>
      </c>
      <c r="W4540" s="5" t="s">
        <v>72</v>
      </c>
      <c r="X4540" s="5" t="s">
        <v>72</v>
      </c>
      <c r="Y4540" s="4">
        <v>25</v>
      </c>
      <c r="Z4540" s="4">
        <v>3</v>
      </c>
      <c r="AA4540" s="4">
        <v>3</v>
      </c>
      <c r="AB4540" s="4">
        <v>1</v>
      </c>
      <c r="AC4540" s="4">
        <v>1</v>
      </c>
      <c r="AD4540" s="4">
        <v>14</v>
      </c>
      <c r="AE4540" s="4">
        <v>14</v>
      </c>
      <c r="AF4540" s="4">
        <v>0</v>
      </c>
      <c r="AG4540" s="4">
        <v>0</v>
      </c>
      <c r="AH4540" s="4">
        <v>13</v>
      </c>
      <c r="AI4540" s="4">
        <v>13</v>
      </c>
      <c r="AJ4540" s="4">
        <v>1</v>
      </c>
      <c r="AK4540" s="4">
        <v>1</v>
      </c>
      <c r="AL4540" s="4">
        <v>13</v>
      </c>
      <c r="AM4540" s="4">
        <v>13</v>
      </c>
      <c r="AN4540" s="4">
        <v>0</v>
      </c>
      <c r="AO4540" s="4">
        <v>0</v>
      </c>
      <c r="AP4540" s="4">
        <v>1</v>
      </c>
      <c r="AQ4540" s="4">
        <v>1</v>
      </c>
      <c r="AR4540" s="3" t="s">
        <v>64</v>
      </c>
      <c r="AS4540" s="3" t="s">
        <v>64</v>
      </c>
      <c r="AT4540" s="3" t="s">
        <v>64</v>
      </c>
      <c r="AV4540" s="6" t="str">
        <f>HYPERLINK("http://mcgill.on.worldcat.org/oclc/795697603","Catalog Record")</f>
        <v>Catalog Record</v>
      </c>
      <c r="AW4540" s="6" t="str">
        <f>HYPERLINK("http://www.worldcat.org/oclc/795697603","WorldCat Record")</f>
        <v>WorldCat Record</v>
      </c>
      <c r="AX4540" s="3" t="s">
        <v>44317</v>
      </c>
      <c r="AY4540" s="3" t="s">
        <v>44318</v>
      </c>
      <c r="AZ4540" s="3" t="s">
        <v>44319</v>
      </c>
      <c r="BA4540" s="3" t="s">
        <v>44319</v>
      </c>
      <c r="BB4540" s="3" t="s">
        <v>44320</v>
      </c>
      <c r="BC4540" s="3" t="s">
        <v>77</v>
      </c>
      <c r="BD4540" s="3" t="s">
        <v>78</v>
      </c>
      <c r="BE4540" s="3" t="s">
        <v>44321</v>
      </c>
      <c r="BF4540" s="3" t="s">
        <v>44320</v>
      </c>
      <c r="BG4540" s="3" t="s">
        <v>44322</v>
      </c>
      <c r="BH4540">
        <f t="shared" si="140"/>
        <v>0</v>
      </c>
    </row>
    <row r="4541" spans="1:60" ht="116" x14ac:dyDescent="0.35">
      <c r="A4541" s="2" t="s">
        <v>59</v>
      </c>
      <c r="B4541" s="2" t="s">
        <v>1183</v>
      </c>
      <c r="C4541" s="2" t="s">
        <v>44323</v>
      </c>
      <c r="D4541" s="2" t="s">
        <v>44324</v>
      </c>
      <c r="E4541" s="2" t="s">
        <v>44325</v>
      </c>
      <c r="G4541" s="3" t="s">
        <v>64</v>
      </c>
      <c r="I4541" s="3" t="s">
        <v>64</v>
      </c>
      <c r="J4541" s="3" t="s">
        <v>64</v>
      </c>
      <c r="K4541" s="3" t="s">
        <v>65</v>
      </c>
      <c r="L4541" s="2" t="s">
        <v>44326</v>
      </c>
      <c r="M4541" s="2" t="s">
        <v>44327</v>
      </c>
      <c r="N4541" s="3" t="s">
        <v>326</v>
      </c>
      <c r="O4541" s="2" t="s">
        <v>1189</v>
      </c>
      <c r="P4541" s="3" t="s">
        <v>1190</v>
      </c>
      <c r="R4541" s="3" t="s">
        <v>70</v>
      </c>
      <c r="S4541" s="4">
        <v>0</v>
      </c>
      <c r="T4541" s="4">
        <v>0</v>
      </c>
      <c r="W4541" s="5" t="s">
        <v>72</v>
      </c>
      <c r="X4541" s="5" t="s">
        <v>72</v>
      </c>
      <c r="Y4541" s="4">
        <v>28</v>
      </c>
      <c r="Z4541" s="4">
        <v>1</v>
      </c>
      <c r="AA4541" s="4">
        <v>1</v>
      </c>
      <c r="AB4541" s="4">
        <v>1</v>
      </c>
      <c r="AC4541" s="4">
        <v>1</v>
      </c>
      <c r="AD4541" s="4">
        <v>17</v>
      </c>
      <c r="AE4541" s="4">
        <v>17</v>
      </c>
      <c r="AF4541" s="4">
        <v>0</v>
      </c>
      <c r="AG4541" s="4">
        <v>0</v>
      </c>
      <c r="AH4541" s="4">
        <v>16</v>
      </c>
      <c r="AI4541" s="4">
        <v>16</v>
      </c>
      <c r="AJ4541" s="4">
        <v>0</v>
      </c>
      <c r="AK4541" s="4">
        <v>0</v>
      </c>
      <c r="AL4541" s="4">
        <v>13</v>
      </c>
      <c r="AM4541" s="4">
        <v>13</v>
      </c>
      <c r="AN4541" s="4">
        <v>0</v>
      </c>
      <c r="AO4541" s="4">
        <v>0</v>
      </c>
      <c r="AP4541" s="4">
        <v>0</v>
      </c>
      <c r="AQ4541" s="4">
        <v>0</v>
      </c>
      <c r="AR4541" s="3" t="s">
        <v>64</v>
      </c>
      <c r="AS4541" s="3" t="s">
        <v>64</v>
      </c>
      <c r="AT4541" s="3" t="s">
        <v>64</v>
      </c>
      <c r="AV4541" s="6" t="str">
        <f>HYPERLINK("http://mcgill.on.worldcat.org/oclc/758939181","Catalog Record")</f>
        <v>Catalog Record</v>
      </c>
      <c r="AW4541" s="6" t="str">
        <f>HYPERLINK("http://www.worldcat.org/oclc/758939181","WorldCat Record")</f>
        <v>WorldCat Record</v>
      </c>
      <c r="AX4541" s="3" t="s">
        <v>44328</v>
      </c>
      <c r="AY4541" s="3" t="s">
        <v>44329</v>
      </c>
      <c r="AZ4541" s="3" t="s">
        <v>44330</v>
      </c>
      <c r="BA4541" s="3" t="s">
        <v>44330</v>
      </c>
      <c r="BB4541" s="3" t="s">
        <v>44331</v>
      </c>
      <c r="BC4541" s="3" t="s">
        <v>77</v>
      </c>
      <c r="BD4541" s="3" t="s">
        <v>78</v>
      </c>
      <c r="BE4541" s="3" t="s">
        <v>44332</v>
      </c>
      <c r="BF4541" s="3" t="s">
        <v>44331</v>
      </c>
      <c r="BG4541" s="3" t="s">
        <v>44333</v>
      </c>
      <c r="BH4541">
        <f t="shared" si="140"/>
        <v>0</v>
      </c>
    </row>
    <row r="4542" spans="1:60" ht="116" x14ac:dyDescent="0.35">
      <c r="A4542" s="2" t="s">
        <v>59</v>
      </c>
      <c r="B4542" s="2" t="s">
        <v>1183</v>
      </c>
      <c r="C4542" s="2" t="s">
        <v>44334</v>
      </c>
      <c r="D4542" s="2" t="s">
        <v>44335</v>
      </c>
      <c r="E4542" s="2" t="s">
        <v>44336</v>
      </c>
      <c r="G4542" s="3" t="s">
        <v>64</v>
      </c>
      <c r="I4542" s="3" t="s">
        <v>64</v>
      </c>
      <c r="J4542" s="3" t="s">
        <v>64</v>
      </c>
      <c r="K4542" s="3" t="s">
        <v>65</v>
      </c>
      <c r="M4542" s="2" t="s">
        <v>44337</v>
      </c>
      <c r="N4542" s="3" t="s">
        <v>253</v>
      </c>
      <c r="O4542" s="2" t="s">
        <v>1189</v>
      </c>
      <c r="P4542" s="3" t="s">
        <v>1190</v>
      </c>
      <c r="R4542" s="3" t="s">
        <v>70</v>
      </c>
      <c r="S4542" s="4">
        <v>0</v>
      </c>
      <c r="T4542" s="4">
        <v>0</v>
      </c>
      <c r="W4542" s="5" t="s">
        <v>72</v>
      </c>
      <c r="X4542" s="5" t="s">
        <v>72</v>
      </c>
      <c r="Y4542" s="4">
        <v>34</v>
      </c>
      <c r="Z4542" s="4">
        <v>2</v>
      </c>
      <c r="AA4542" s="4">
        <v>2</v>
      </c>
      <c r="AB4542" s="4">
        <v>1</v>
      </c>
      <c r="AC4542" s="4">
        <v>1</v>
      </c>
      <c r="AD4542" s="4">
        <v>26</v>
      </c>
      <c r="AE4542" s="4">
        <v>26</v>
      </c>
      <c r="AF4542" s="4">
        <v>0</v>
      </c>
      <c r="AG4542" s="4">
        <v>0</v>
      </c>
      <c r="AH4542" s="4">
        <v>24</v>
      </c>
      <c r="AI4542" s="4">
        <v>24</v>
      </c>
      <c r="AJ4542" s="4">
        <v>1</v>
      </c>
      <c r="AK4542" s="4">
        <v>1</v>
      </c>
      <c r="AL4542" s="4">
        <v>23</v>
      </c>
      <c r="AM4542" s="4">
        <v>23</v>
      </c>
      <c r="AN4542" s="4">
        <v>0</v>
      </c>
      <c r="AO4542" s="4">
        <v>0</v>
      </c>
      <c r="AP4542" s="4">
        <v>1</v>
      </c>
      <c r="AQ4542" s="4">
        <v>1</v>
      </c>
      <c r="AR4542" s="3" t="s">
        <v>64</v>
      </c>
      <c r="AS4542" s="3" t="s">
        <v>64</v>
      </c>
      <c r="AT4542" s="3" t="s">
        <v>64</v>
      </c>
      <c r="AV4542" s="6" t="str">
        <f>HYPERLINK("http://mcgill.on.worldcat.org/oclc/910925802","Catalog Record")</f>
        <v>Catalog Record</v>
      </c>
      <c r="AW4542" s="6" t="str">
        <f>HYPERLINK("http://www.worldcat.org/oclc/910925802","WorldCat Record")</f>
        <v>WorldCat Record</v>
      </c>
      <c r="AX4542" s="3" t="s">
        <v>44338</v>
      </c>
      <c r="AY4542" s="3" t="s">
        <v>44339</v>
      </c>
      <c r="AZ4542" s="3" t="s">
        <v>44340</v>
      </c>
      <c r="BA4542" s="3" t="s">
        <v>44340</v>
      </c>
      <c r="BB4542" s="3" t="s">
        <v>44341</v>
      </c>
      <c r="BC4542" s="3" t="s">
        <v>77</v>
      </c>
      <c r="BD4542" s="3" t="s">
        <v>78</v>
      </c>
      <c r="BE4542" s="3" t="s">
        <v>44342</v>
      </c>
      <c r="BF4542" s="3" t="s">
        <v>44341</v>
      </c>
      <c r="BG4542" s="3" t="s">
        <v>44343</v>
      </c>
      <c r="BH4542">
        <f t="shared" si="140"/>
        <v>0</v>
      </c>
    </row>
    <row r="4543" spans="1:60" ht="116" x14ac:dyDescent="0.35">
      <c r="A4543" s="2" t="s">
        <v>59</v>
      </c>
      <c r="B4543" s="2" t="s">
        <v>25844</v>
      </c>
      <c r="C4543" s="2" t="s">
        <v>44344</v>
      </c>
      <c r="D4543" s="2" t="s">
        <v>44345</v>
      </c>
      <c r="E4543" s="2" t="s">
        <v>44346</v>
      </c>
      <c r="G4543" s="3" t="s">
        <v>64</v>
      </c>
      <c r="I4543" s="3" t="s">
        <v>64</v>
      </c>
      <c r="J4543" s="3" t="s">
        <v>64</v>
      </c>
      <c r="K4543" s="3" t="s">
        <v>65</v>
      </c>
      <c r="M4543" s="2" t="s">
        <v>44347</v>
      </c>
      <c r="N4543" s="3" t="s">
        <v>86</v>
      </c>
      <c r="O4543" s="2" t="s">
        <v>1189</v>
      </c>
      <c r="P4543" s="3" t="s">
        <v>1190</v>
      </c>
      <c r="R4543" s="3" t="s">
        <v>70</v>
      </c>
      <c r="S4543" s="4">
        <v>0</v>
      </c>
      <c r="T4543" s="4">
        <v>0</v>
      </c>
      <c r="W4543" s="5" t="s">
        <v>72</v>
      </c>
      <c r="X4543" s="5" t="s">
        <v>72</v>
      </c>
      <c r="Y4543" s="4">
        <v>39</v>
      </c>
      <c r="Z4543" s="4">
        <v>4</v>
      </c>
      <c r="AA4543" s="4">
        <v>4</v>
      </c>
      <c r="AB4543" s="4">
        <v>1</v>
      </c>
      <c r="AC4543" s="4">
        <v>1</v>
      </c>
      <c r="AD4543" s="4">
        <v>27</v>
      </c>
      <c r="AE4543" s="4">
        <v>27</v>
      </c>
      <c r="AF4543" s="4">
        <v>0</v>
      </c>
      <c r="AG4543" s="4">
        <v>0</v>
      </c>
      <c r="AH4543" s="4">
        <v>25</v>
      </c>
      <c r="AI4543" s="4">
        <v>25</v>
      </c>
      <c r="AJ4543" s="4">
        <v>2</v>
      </c>
      <c r="AK4543" s="4">
        <v>2</v>
      </c>
      <c r="AL4543" s="4">
        <v>22</v>
      </c>
      <c r="AM4543" s="4">
        <v>22</v>
      </c>
      <c r="AN4543" s="4">
        <v>0</v>
      </c>
      <c r="AO4543" s="4">
        <v>0</v>
      </c>
      <c r="AP4543" s="4">
        <v>2</v>
      </c>
      <c r="AQ4543" s="4">
        <v>2</v>
      </c>
      <c r="AR4543" s="3" t="s">
        <v>64</v>
      </c>
      <c r="AS4543" s="3" t="s">
        <v>64</v>
      </c>
      <c r="AT4543" s="3" t="s">
        <v>64</v>
      </c>
      <c r="AV4543" s="6" t="str">
        <f>HYPERLINK("http://mcgill.on.worldcat.org/oclc/828663499","Catalog Record")</f>
        <v>Catalog Record</v>
      </c>
      <c r="AW4543" s="6" t="str">
        <f>HYPERLINK("http://www.worldcat.org/oclc/828663499","WorldCat Record")</f>
        <v>WorldCat Record</v>
      </c>
      <c r="AX4543" s="3" t="s">
        <v>44348</v>
      </c>
      <c r="AY4543" s="3" t="s">
        <v>44349</v>
      </c>
      <c r="AZ4543" s="3" t="s">
        <v>44350</v>
      </c>
      <c r="BA4543" s="3" t="s">
        <v>44350</v>
      </c>
      <c r="BB4543" s="3" t="s">
        <v>44351</v>
      </c>
      <c r="BC4543" s="3" t="s">
        <v>77</v>
      </c>
      <c r="BD4543" s="3" t="s">
        <v>78</v>
      </c>
      <c r="BE4543" s="3" t="s">
        <v>44352</v>
      </c>
      <c r="BF4543" s="3" t="s">
        <v>44351</v>
      </c>
      <c r="BG4543" s="3" t="s">
        <v>44353</v>
      </c>
      <c r="BH4543">
        <f t="shared" si="140"/>
        <v>0</v>
      </c>
    </row>
    <row r="4544" spans="1:60" ht="116" x14ac:dyDescent="0.35">
      <c r="A4544" s="2" t="s">
        <v>59</v>
      </c>
      <c r="B4544" s="2" t="s">
        <v>1183</v>
      </c>
      <c r="C4544" s="2" t="s">
        <v>44354</v>
      </c>
      <c r="D4544" s="2" t="s">
        <v>44355</v>
      </c>
      <c r="E4544" s="2" t="s">
        <v>44356</v>
      </c>
      <c r="G4544" s="3" t="s">
        <v>64</v>
      </c>
      <c r="I4544" s="3" t="s">
        <v>64</v>
      </c>
      <c r="J4544" s="3" t="s">
        <v>64</v>
      </c>
      <c r="K4544" s="3" t="s">
        <v>65</v>
      </c>
      <c r="L4544" s="2" t="s">
        <v>44357</v>
      </c>
      <c r="M4544" s="2" t="s">
        <v>44358</v>
      </c>
      <c r="N4544" s="3" t="s">
        <v>1263</v>
      </c>
      <c r="O4544" s="2" t="s">
        <v>1189</v>
      </c>
      <c r="P4544" s="3" t="s">
        <v>1190</v>
      </c>
      <c r="R4544" s="3" t="s">
        <v>70</v>
      </c>
      <c r="S4544" s="4">
        <v>4</v>
      </c>
      <c r="T4544" s="4">
        <v>4</v>
      </c>
      <c r="U4544" s="5" t="s">
        <v>44359</v>
      </c>
      <c r="V4544" s="5" t="s">
        <v>44359</v>
      </c>
      <c r="W4544" s="5" t="s">
        <v>72</v>
      </c>
      <c r="X4544" s="5" t="s">
        <v>72</v>
      </c>
      <c r="Y4544" s="4">
        <v>30</v>
      </c>
      <c r="Z4544" s="4">
        <v>4</v>
      </c>
      <c r="AA4544" s="4">
        <v>4</v>
      </c>
      <c r="AB4544" s="4">
        <v>1</v>
      </c>
      <c r="AC4544" s="4">
        <v>1</v>
      </c>
      <c r="AD4544" s="4">
        <v>20</v>
      </c>
      <c r="AE4544" s="4">
        <v>22</v>
      </c>
      <c r="AF4544" s="4">
        <v>0</v>
      </c>
      <c r="AG4544" s="4">
        <v>0</v>
      </c>
      <c r="AH4544" s="4">
        <v>18</v>
      </c>
      <c r="AI4544" s="4">
        <v>20</v>
      </c>
      <c r="AJ4544" s="4">
        <v>1</v>
      </c>
      <c r="AK4544" s="4">
        <v>1</v>
      </c>
      <c r="AL4544" s="4">
        <v>15</v>
      </c>
      <c r="AM4544" s="4">
        <v>16</v>
      </c>
      <c r="AN4544" s="4">
        <v>0</v>
      </c>
      <c r="AO4544" s="4">
        <v>0</v>
      </c>
      <c r="AP4544" s="4">
        <v>1</v>
      </c>
      <c r="AQ4544" s="4">
        <v>1</v>
      </c>
      <c r="AR4544" s="3" t="s">
        <v>64</v>
      </c>
      <c r="AS4544" s="3" t="s">
        <v>64</v>
      </c>
      <c r="AT4544" s="3" t="s">
        <v>64</v>
      </c>
      <c r="AV4544" s="6" t="str">
        <f>HYPERLINK("http://mcgill.on.worldcat.org/oclc/31675481","Catalog Record")</f>
        <v>Catalog Record</v>
      </c>
      <c r="AW4544" s="6" t="str">
        <f>HYPERLINK("http://www.worldcat.org/oclc/31675481","WorldCat Record")</f>
        <v>WorldCat Record</v>
      </c>
      <c r="AX4544" s="3" t="s">
        <v>44360</v>
      </c>
      <c r="AY4544" s="3" t="s">
        <v>44361</v>
      </c>
      <c r="AZ4544" s="3" t="s">
        <v>44362</v>
      </c>
      <c r="BA4544" s="3" t="s">
        <v>44362</v>
      </c>
      <c r="BB4544" s="3" t="s">
        <v>44363</v>
      </c>
      <c r="BC4544" s="3" t="s">
        <v>77</v>
      </c>
      <c r="BD4544" s="3" t="s">
        <v>78</v>
      </c>
      <c r="BE4544" s="3" t="s">
        <v>44364</v>
      </c>
      <c r="BF4544" s="3" t="s">
        <v>44363</v>
      </c>
      <c r="BG4544" s="3" t="s">
        <v>44365</v>
      </c>
      <c r="BH4544">
        <f t="shared" si="140"/>
        <v>0</v>
      </c>
    </row>
    <row r="4545" spans="1:60" ht="58" x14ac:dyDescent="0.35">
      <c r="A4545" s="2" t="s">
        <v>59</v>
      </c>
      <c r="B4545" s="2" t="s">
        <v>60</v>
      </c>
      <c r="C4545" s="2" t="s">
        <v>44366</v>
      </c>
      <c r="D4545" s="2" t="s">
        <v>44367</v>
      </c>
      <c r="E4545" s="2" t="s">
        <v>44368</v>
      </c>
      <c r="G4545" s="3" t="s">
        <v>64</v>
      </c>
      <c r="I4545" s="3" t="s">
        <v>64</v>
      </c>
      <c r="J4545" s="3" t="s">
        <v>64</v>
      </c>
      <c r="K4545" s="3" t="s">
        <v>65</v>
      </c>
      <c r="L4545" s="2" t="s">
        <v>44369</v>
      </c>
      <c r="M4545" s="2" t="s">
        <v>44370</v>
      </c>
      <c r="N4545" s="3" t="s">
        <v>67</v>
      </c>
      <c r="P4545" s="3" t="s">
        <v>102</v>
      </c>
      <c r="Q4545" s="2" t="s">
        <v>44371</v>
      </c>
      <c r="R4545" s="3" t="s">
        <v>70</v>
      </c>
      <c r="S4545" s="4">
        <v>0</v>
      </c>
      <c r="T4545" s="4">
        <v>0</v>
      </c>
      <c r="W4545" s="5" t="s">
        <v>72</v>
      </c>
      <c r="X4545" s="5" t="s">
        <v>72</v>
      </c>
      <c r="Y4545" s="4">
        <v>65</v>
      </c>
      <c r="Z4545" s="4">
        <v>6</v>
      </c>
      <c r="AA4545" s="4">
        <v>11</v>
      </c>
      <c r="AB4545" s="4">
        <v>1</v>
      </c>
      <c r="AC4545" s="4">
        <v>4</v>
      </c>
      <c r="AD4545" s="4">
        <v>37</v>
      </c>
      <c r="AE4545" s="4">
        <v>52</v>
      </c>
      <c r="AF4545" s="4">
        <v>0</v>
      </c>
      <c r="AG4545" s="4">
        <v>1</v>
      </c>
      <c r="AH4545" s="4">
        <v>36</v>
      </c>
      <c r="AI4545" s="4">
        <v>48</v>
      </c>
      <c r="AJ4545" s="4">
        <v>3</v>
      </c>
      <c r="AK4545" s="4">
        <v>5</v>
      </c>
      <c r="AL4545" s="4">
        <v>26</v>
      </c>
      <c r="AM4545" s="4">
        <v>33</v>
      </c>
      <c r="AN4545" s="4">
        <v>0</v>
      </c>
      <c r="AO4545" s="4">
        <v>0</v>
      </c>
      <c r="AP4545" s="4">
        <v>3</v>
      </c>
      <c r="AQ4545" s="4">
        <v>4</v>
      </c>
      <c r="AR4545" s="3" t="s">
        <v>64</v>
      </c>
      <c r="AS4545" s="3" t="s">
        <v>64</v>
      </c>
      <c r="AT4545" s="3" t="s">
        <v>64</v>
      </c>
      <c r="AV4545" s="6" t="str">
        <f>HYPERLINK("http://mcgill.on.worldcat.org/oclc/859585358","Catalog Record")</f>
        <v>Catalog Record</v>
      </c>
      <c r="AW4545" s="6" t="str">
        <f>HYPERLINK("http://www.worldcat.org/oclc/859585358","WorldCat Record")</f>
        <v>WorldCat Record</v>
      </c>
      <c r="AX4545" s="3" t="s">
        <v>44372</v>
      </c>
      <c r="AY4545" s="3" t="s">
        <v>44373</v>
      </c>
      <c r="AZ4545" s="3" t="s">
        <v>44374</v>
      </c>
      <c r="BA4545" s="3" t="s">
        <v>44374</v>
      </c>
      <c r="BB4545" s="3" t="s">
        <v>44375</v>
      </c>
      <c r="BC4545" s="3" t="s">
        <v>77</v>
      </c>
      <c r="BD4545" s="3" t="s">
        <v>78</v>
      </c>
      <c r="BE4545" s="3" t="s">
        <v>44376</v>
      </c>
      <c r="BF4545" s="3" t="s">
        <v>44375</v>
      </c>
      <c r="BG4545" s="3" t="s">
        <v>44377</v>
      </c>
      <c r="BH4545">
        <f t="shared" si="140"/>
        <v>0</v>
      </c>
    </row>
    <row r="4546" spans="1:60" ht="58" x14ac:dyDescent="0.35">
      <c r="A4546" s="2" t="s">
        <v>59</v>
      </c>
      <c r="B4546" s="2" t="s">
        <v>60</v>
      </c>
      <c r="C4546" s="2" t="s">
        <v>44378</v>
      </c>
      <c r="D4546" s="2" t="s">
        <v>44379</v>
      </c>
      <c r="E4546" s="2" t="s">
        <v>44380</v>
      </c>
      <c r="G4546" s="3" t="s">
        <v>64</v>
      </c>
      <c r="I4546" s="3" t="s">
        <v>64</v>
      </c>
      <c r="J4546" s="3" t="s">
        <v>64</v>
      </c>
      <c r="K4546" s="3" t="s">
        <v>65</v>
      </c>
      <c r="L4546" s="2" t="s">
        <v>44381</v>
      </c>
      <c r="M4546" s="2" t="s">
        <v>44382</v>
      </c>
      <c r="N4546" s="3" t="s">
        <v>578</v>
      </c>
      <c r="P4546" s="3" t="s">
        <v>102</v>
      </c>
      <c r="Q4546" s="2" t="s">
        <v>44383</v>
      </c>
      <c r="R4546" s="3" t="s">
        <v>70</v>
      </c>
      <c r="S4546" s="4">
        <v>0</v>
      </c>
      <c r="T4546" s="4">
        <v>0</v>
      </c>
      <c r="W4546" s="5" t="s">
        <v>72</v>
      </c>
      <c r="X4546" s="5" t="s">
        <v>72</v>
      </c>
      <c r="Y4546" s="4">
        <v>57</v>
      </c>
      <c r="Z4546" s="4">
        <v>2</v>
      </c>
      <c r="AA4546" s="4">
        <v>3</v>
      </c>
      <c r="AB4546" s="4">
        <v>1</v>
      </c>
      <c r="AC4546" s="4">
        <v>1</v>
      </c>
      <c r="AD4546" s="4">
        <v>35</v>
      </c>
      <c r="AE4546" s="4">
        <v>36</v>
      </c>
      <c r="AF4546" s="4">
        <v>0</v>
      </c>
      <c r="AG4546" s="4">
        <v>0</v>
      </c>
      <c r="AH4546" s="4">
        <v>34</v>
      </c>
      <c r="AI4546" s="4">
        <v>34</v>
      </c>
      <c r="AJ4546" s="4">
        <v>1</v>
      </c>
      <c r="AK4546" s="4">
        <v>2</v>
      </c>
      <c r="AL4546" s="4">
        <v>29</v>
      </c>
      <c r="AM4546" s="4">
        <v>29</v>
      </c>
      <c r="AN4546" s="4">
        <v>0</v>
      </c>
      <c r="AO4546" s="4">
        <v>0</v>
      </c>
      <c r="AP4546" s="4">
        <v>1</v>
      </c>
      <c r="AQ4546" s="4">
        <v>2</v>
      </c>
      <c r="AR4546" s="3" t="s">
        <v>64</v>
      </c>
      <c r="AS4546" s="3" t="s">
        <v>64</v>
      </c>
      <c r="AT4546" s="3" t="s">
        <v>64</v>
      </c>
      <c r="AV4546" s="6" t="str">
        <f>HYPERLINK("http://mcgill.on.worldcat.org/oclc/975367590","Catalog Record")</f>
        <v>Catalog Record</v>
      </c>
      <c r="AW4546" s="6" t="str">
        <f>HYPERLINK("http://www.worldcat.org/oclc/975367590","WorldCat Record")</f>
        <v>WorldCat Record</v>
      </c>
      <c r="AX4546" s="3" t="s">
        <v>44384</v>
      </c>
      <c r="AY4546" s="3" t="s">
        <v>44385</v>
      </c>
      <c r="AZ4546" s="3" t="s">
        <v>44386</v>
      </c>
      <c r="BA4546" s="3" t="s">
        <v>44386</v>
      </c>
      <c r="BB4546" s="3" t="s">
        <v>44387</v>
      </c>
      <c r="BC4546" s="3" t="s">
        <v>77</v>
      </c>
      <c r="BD4546" s="3" t="s">
        <v>78</v>
      </c>
      <c r="BE4546" s="3" t="s">
        <v>44388</v>
      </c>
      <c r="BF4546" s="3" t="s">
        <v>44387</v>
      </c>
      <c r="BG4546" s="3" t="s">
        <v>44389</v>
      </c>
      <c r="BH4546">
        <f t="shared" ref="BH4546:BH4609" si="141">IF(COUNTIF($BF$1:$BF$5431,BF4546)=1,0,1)</f>
        <v>0</v>
      </c>
    </row>
    <row r="4547" spans="1:60" ht="58" x14ac:dyDescent="0.35">
      <c r="A4547" s="2" t="s">
        <v>59</v>
      </c>
      <c r="B4547" s="2" t="s">
        <v>60</v>
      </c>
      <c r="C4547" s="2" t="s">
        <v>44390</v>
      </c>
      <c r="D4547" s="2" t="s">
        <v>44391</v>
      </c>
      <c r="E4547" s="2" t="s">
        <v>44392</v>
      </c>
      <c r="G4547" s="3" t="s">
        <v>64</v>
      </c>
      <c r="I4547" s="3" t="s">
        <v>64</v>
      </c>
      <c r="J4547" s="3" t="s">
        <v>64</v>
      </c>
      <c r="K4547" s="3" t="s">
        <v>65</v>
      </c>
      <c r="L4547" s="2" t="s">
        <v>44393</v>
      </c>
      <c r="N4547" s="3" t="s">
        <v>315</v>
      </c>
      <c r="P4547" s="3" t="s">
        <v>1479</v>
      </c>
      <c r="R4547" s="3" t="s">
        <v>70</v>
      </c>
      <c r="S4547" s="4">
        <v>1</v>
      </c>
      <c r="T4547" s="4">
        <v>1</v>
      </c>
      <c r="U4547" s="5" t="s">
        <v>8944</v>
      </c>
      <c r="V4547" s="5" t="s">
        <v>8944</v>
      </c>
      <c r="W4547" s="5" t="s">
        <v>72</v>
      </c>
      <c r="X4547" s="5" t="s">
        <v>72</v>
      </c>
      <c r="Y4547" s="4">
        <v>49</v>
      </c>
      <c r="Z4547" s="4">
        <v>6</v>
      </c>
      <c r="AA4547" s="4">
        <v>7</v>
      </c>
      <c r="AB4547" s="4">
        <v>1</v>
      </c>
      <c r="AC4547" s="4">
        <v>1</v>
      </c>
      <c r="AD4547" s="4">
        <v>23</v>
      </c>
      <c r="AE4547" s="4">
        <v>24</v>
      </c>
      <c r="AF4547" s="4">
        <v>0</v>
      </c>
      <c r="AG4547" s="4">
        <v>0</v>
      </c>
      <c r="AH4547" s="4">
        <v>23</v>
      </c>
      <c r="AI4547" s="4">
        <v>24</v>
      </c>
      <c r="AJ4547" s="4">
        <v>3</v>
      </c>
      <c r="AK4547" s="4">
        <v>4</v>
      </c>
      <c r="AL4547" s="4">
        <v>19</v>
      </c>
      <c r="AM4547" s="4">
        <v>19</v>
      </c>
      <c r="AN4547" s="4">
        <v>0</v>
      </c>
      <c r="AO4547" s="4">
        <v>0</v>
      </c>
      <c r="AP4547" s="4">
        <v>3</v>
      </c>
      <c r="AQ4547" s="4">
        <v>4</v>
      </c>
      <c r="AR4547" s="3" t="s">
        <v>64</v>
      </c>
      <c r="AS4547" s="3" t="s">
        <v>64</v>
      </c>
      <c r="AT4547" s="3" t="s">
        <v>128</v>
      </c>
      <c r="AU4547" s="6" t="str">
        <f>HYPERLINK("http://catalog.hathitrust.org/Record/001177910","HathiTrust Record")</f>
        <v>HathiTrust Record</v>
      </c>
      <c r="AV4547" s="6" t="str">
        <f>HYPERLINK("http://mcgill.on.worldcat.org/oclc/982965","Catalog Record")</f>
        <v>Catalog Record</v>
      </c>
      <c r="AW4547" s="6" t="str">
        <f>HYPERLINK("http://www.worldcat.org/oclc/982965","WorldCat Record")</f>
        <v>WorldCat Record</v>
      </c>
      <c r="AX4547" s="3" t="s">
        <v>44394</v>
      </c>
      <c r="AY4547" s="3" t="s">
        <v>44395</v>
      </c>
      <c r="AZ4547" s="3" t="s">
        <v>44396</v>
      </c>
      <c r="BA4547" s="3" t="s">
        <v>44396</v>
      </c>
      <c r="BB4547" s="3" t="s">
        <v>44397</v>
      </c>
      <c r="BC4547" s="3" t="s">
        <v>77</v>
      </c>
      <c r="BD4547" s="3" t="s">
        <v>78</v>
      </c>
      <c r="BF4547" s="3" t="s">
        <v>44397</v>
      </c>
      <c r="BG4547" s="3" t="s">
        <v>44398</v>
      </c>
      <c r="BH4547">
        <f t="shared" si="141"/>
        <v>0</v>
      </c>
    </row>
    <row r="4548" spans="1:60" ht="58" x14ac:dyDescent="0.35">
      <c r="A4548" s="2" t="s">
        <v>59</v>
      </c>
      <c r="B4548" s="2" t="s">
        <v>60</v>
      </c>
      <c r="C4548" s="2" t="s">
        <v>44399</v>
      </c>
      <c r="D4548" s="2" t="s">
        <v>44400</v>
      </c>
      <c r="E4548" s="2" t="s">
        <v>44401</v>
      </c>
      <c r="G4548" s="3" t="s">
        <v>64</v>
      </c>
      <c r="I4548" s="3" t="s">
        <v>64</v>
      </c>
      <c r="J4548" s="3" t="s">
        <v>64</v>
      </c>
      <c r="K4548" s="3" t="s">
        <v>65</v>
      </c>
      <c r="M4548" s="2" t="s">
        <v>44402</v>
      </c>
      <c r="N4548" s="3" t="s">
        <v>326</v>
      </c>
      <c r="P4548" s="3" t="s">
        <v>102</v>
      </c>
      <c r="Q4548" s="2" t="s">
        <v>44403</v>
      </c>
      <c r="R4548" s="3" t="s">
        <v>70</v>
      </c>
      <c r="S4548" s="4">
        <v>1</v>
      </c>
      <c r="T4548" s="4">
        <v>1</v>
      </c>
      <c r="U4548" s="5" t="s">
        <v>44404</v>
      </c>
      <c r="V4548" s="5" t="s">
        <v>44404</v>
      </c>
      <c r="W4548" s="5" t="s">
        <v>72</v>
      </c>
      <c r="X4548" s="5" t="s">
        <v>72</v>
      </c>
      <c r="Y4548" s="4">
        <v>44</v>
      </c>
      <c r="Z4548" s="4">
        <v>6</v>
      </c>
      <c r="AA4548" s="4">
        <v>7</v>
      </c>
      <c r="AB4548" s="4">
        <v>1</v>
      </c>
      <c r="AC4548" s="4">
        <v>2</v>
      </c>
      <c r="AD4548" s="4">
        <v>19</v>
      </c>
      <c r="AE4548" s="4">
        <v>20</v>
      </c>
      <c r="AF4548" s="4">
        <v>0</v>
      </c>
      <c r="AG4548" s="4">
        <v>1</v>
      </c>
      <c r="AH4548" s="4">
        <v>17</v>
      </c>
      <c r="AI4548" s="4">
        <v>18</v>
      </c>
      <c r="AJ4548" s="4">
        <v>4</v>
      </c>
      <c r="AK4548" s="4">
        <v>5</v>
      </c>
      <c r="AL4548" s="4">
        <v>11</v>
      </c>
      <c r="AM4548" s="4">
        <v>11</v>
      </c>
      <c r="AN4548" s="4">
        <v>0</v>
      </c>
      <c r="AO4548" s="4">
        <v>0</v>
      </c>
      <c r="AP4548" s="4">
        <v>4</v>
      </c>
      <c r="AQ4548" s="4">
        <v>5</v>
      </c>
      <c r="AR4548" s="3" t="s">
        <v>64</v>
      </c>
      <c r="AS4548" s="3" t="s">
        <v>64</v>
      </c>
      <c r="AT4548" s="3" t="s">
        <v>64</v>
      </c>
      <c r="AV4548" s="6" t="str">
        <f>HYPERLINK("http://mcgill.on.worldcat.org/oclc/746618659","Catalog Record")</f>
        <v>Catalog Record</v>
      </c>
      <c r="AW4548" s="6" t="str">
        <f>HYPERLINK("http://www.worldcat.org/oclc/746618659","WorldCat Record")</f>
        <v>WorldCat Record</v>
      </c>
      <c r="AX4548" s="3" t="s">
        <v>44405</v>
      </c>
      <c r="AY4548" s="3" t="s">
        <v>44406</v>
      </c>
      <c r="AZ4548" s="3" t="s">
        <v>44407</v>
      </c>
      <c r="BA4548" s="3" t="s">
        <v>44407</v>
      </c>
      <c r="BB4548" s="3" t="s">
        <v>44408</v>
      </c>
      <c r="BC4548" s="3" t="s">
        <v>77</v>
      </c>
      <c r="BD4548" s="3" t="s">
        <v>78</v>
      </c>
      <c r="BE4548" s="3" t="s">
        <v>44409</v>
      </c>
      <c r="BF4548" s="3" t="s">
        <v>44408</v>
      </c>
      <c r="BG4548" s="3" t="s">
        <v>44410</v>
      </c>
      <c r="BH4548">
        <f t="shared" si="141"/>
        <v>0</v>
      </c>
    </row>
    <row r="4549" spans="1:60" ht="58" x14ac:dyDescent="0.35">
      <c r="A4549" s="2" t="s">
        <v>59</v>
      </c>
      <c r="B4549" s="2" t="s">
        <v>60</v>
      </c>
      <c r="C4549" s="2" t="s">
        <v>44411</v>
      </c>
      <c r="D4549" s="2" t="s">
        <v>44412</v>
      </c>
      <c r="E4549" s="2" t="s">
        <v>44413</v>
      </c>
      <c r="G4549" s="3" t="s">
        <v>64</v>
      </c>
      <c r="I4549" s="3" t="s">
        <v>64</v>
      </c>
      <c r="J4549" s="3" t="s">
        <v>64</v>
      </c>
      <c r="K4549" s="3" t="s">
        <v>65</v>
      </c>
      <c r="L4549" s="2" t="s">
        <v>44414</v>
      </c>
      <c r="M4549" s="2" t="s">
        <v>44415</v>
      </c>
      <c r="N4549" s="3" t="s">
        <v>326</v>
      </c>
      <c r="P4549" s="3" t="s">
        <v>102</v>
      </c>
      <c r="Q4549" s="2" t="s">
        <v>44416</v>
      </c>
      <c r="R4549" s="3" t="s">
        <v>70</v>
      </c>
      <c r="S4549" s="4">
        <v>0</v>
      </c>
      <c r="T4549" s="4">
        <v>0</v>
      </c>
      <c r="W4549" s="5" t="s">
        <v>72</v>
      </c>
      <c r="X4549" s="5" t="s">
        <v>72</v>
      </c>
      <c r="Y4549" s="4">
        <v>86</v>
      </c>
      <c r="Z4549" s="4">
        <v>4</v>
      </c>
      <c r="AA4549" s="4">
        <v>4</v>
      </c>
      <c r="AB4549" s="4">
        <v>1</v>
      </c>
      <c r="AC4549" s="4">
        <v>1</v>
      </c>
      <c r="AD4549" s="4">
        <v>50</v>
      </c>
      <c r="AE4549" s="4">
        <v>50</v>
      </c>
      <c r="AF4549" s="4">
        <v>0</v>
      </c>
      <c r="AG4549" s="4">
        <v>0</v>
      </c>
      <c r="AH4549" s="4">
        <v>49</v>
      </c>
      <c r="AI4549" s="4">
        <v>49</v>
      </c>
      <c r="AJ4549" s="4">
        <v>2</v>
      </c>
      <c r="AK4549" s="4">
        <v>2</v>
      </c>
      <c r="AL4549" s="4">
        <v>32</v>
      </c>
      <c r="AM4549" s="4">
        <v>32</v>
      </c>
      <c r="AN4549" s="4">
        <v>0</v>
      </c>
      <c r="AO4549" s="4">
        <v>0</v>
      </c>
      <c r="AP4549" s="4">
        <v>2</v>
      </c>
      <c r="AQ4549" s="4">
        <v>2</v>
      </c>
      <c r="AR4549" s="3" t="s">
        <v>64</v>
      </c>
      <c r="AS4549" s="3" t="s">
        <v>64</v>
      </c>
      <c r="AT4549" s="3" t="s">
        <v>64</v>
      </c>
      <c r="AV4549" s="6" t="str">
        <f>HYPERLINK("http://mcgill.on.worldcat.org/oclc/746618651","Catalog Record")</f>
        <v>Catalog Record</v>
      </c>
      <c r="AW4549" s="6" t="str">
        <f>HYPERLINK("http://www.worldcat.org/oclc/746618651","WorldCat Record")</f>
        <v>WorldCat Record</v>
      </c>
      <c r="AX4549" s="3" t="s">
        <v>44417</v>
      </c>
      <c r="AY4549" s="3" t="s">
        <v>44418</v>
      </c>
      <c r="AZ4549" s="3" t="s">
        <v>44419</v>
      </c>
      <c r="BA4549" s="3" t="s">
        <v>44419</v>
      </c>
      <c r="BB4549" s="3" t="s">
        <v>44420</v>
      </c>
      <c r="BC4549" s="3" t="s">
        <v>77</v>
      </c>
      <c r="BD4549" s="3" t="s">
        <v>78</v>
      </c>
      <c r="BE4549" s="3" t="s">
        <v>44421</v>
      </c>
      <c r="BF4549" s="3" t="s">
        <v>44420</v>
      </c>
      <c r="BG4549" s="3" t="s">
        <v>44422</v>
      </c>
      <c r="BH4549">
        <f t="shared" si="141"/>
        <v>0</v>
      </c>
    </row>
    <row r="4550" spans="1:60" ht="58" x14ac:dyDescent="0.35">
      <c r="A4550" s="2" t="s">
        <v>59</v>
      </c>
      <c r="B4550" s="2" t="s">
        <v>60</v>
      </c>
      <c r="C4550" s="2" t="s">
        <v>44423</v>
      </c>
      <c r="D4550" s="2" t="s">
        <v>44424</v>
      </c>
      <c r="E4550" s="2" t="s">
        <v>44425</v>
      </c>
      <c r="G4550" s="3" t="s">
        <v>64</v>
      </c>
      <c r="I4550" s="3" t="s">
        <v>128</v>
      </c>
      <c r="J4550" s="3" t="s">
        <v>64</v>
      </c>
      <c r="K4550" s="3" t="s">
        <v>65</v>
      </c>
      <c r="L4550" s="2" t="s">
        <v>44426</v>
      </c>
      <c r="M4550" s="2" t="s">
        <v>44427</v>
      </c>
      <c r="N4550" s="3" t="s">
        <v>2067</v>
      </c>
      <c r="P4550" s="3" t="s">
        <v>102</v>
      </c>
      <c r="R4550" s="3" t="s">
        <v>70</v>
      </c>
      <c r="S4550" s="4">
        <v>2</v>
      </c>
      <c r="T4550" s="4">
        <v>2</v>
      </c>
      <c r="U4550" s="5" t="s">
        <v>17014</v>
      </c>
      <c r="V4550" s="5" t="s">
        <v>17014</v>
      </c>
      <c r="W4550" s="5" t="s">
        <v>72</v>
      </c>
      <c r="X4550" s="5" t="s">
        <v>72</v>
      </c>
      <c r="Y4550" s="4">
        <v>2</v>
      </c>
      <c r="Z4550" s="4">
        <v>1</v>
      </c>
      <c r="AA4550" s="4">
        <v>1</v>
      </c>
      <c r="AB4550" s="4">
        <v>1</v>
      </c>
      <c r="AC4550" s="4">
        <v>1</v>
      </c>
      <c r="AD4550" s="4">
        <v>0</v>
      </c>
      <c r="AE4550" s="4">
        <v>0</v>
      </c>
      <c r="AF4550" s="4">
        <v>0</v>
      </c>
      <c r="AG4550" s="4">
        <v>0</v>
      </c>
      <c r="AH4550" s="4">
        <v>0</v>
      </c>
      <c r="AI4550" s="4">
        <v>0</v>
      </c>
      <c r="AJ4550" s="4">
        <v>0</v>
      </c>
      <c r="AK4550" s="4">
        <v>0</v>
      </c>
      <c r="AL4550" s="4">
        <v>0</v>
      </c>
      <c r="AM4550" s="4">
        <v>0</v>
      </c>
      <c r="AN4550" s="4">
        <v>0</v>
      </c>
      <c r="AO4550" s="4">
        <v>0</v>
      </c>
      <c r="AP4550" s="4">
        <v>0</v>
      </c>
      <c r="AQ4550" s="4">
        <v>0</v>
      </c>
      <c r="AR4550" s="3" t="s">
        <v>64</v>
      </c>
      <c r="AS4550" s="3" t="s">
        <v>64</v>
      </c>
      <c r="AT4550" s="3" t="s">
        <v>64</v>
      </c>
      <c r="AV4550" s="6" t="str">
        <f>HYPERLINK("http://mcgill.on.worldcat.org/oclc/61593257","Catalog Record")</f>
        <v>Catalog Record</v>
      </c>
      <c r="AW4550" s="6" t="str">
        <f>HYPERLINK("http://www.worldcat.org/oclc/61593257","WorldCat Record")</f>
        <v>WorldCat Record</v>
      </c>
      <c r="AX4550" s="3" t="s">
        <v>44428</v>
      </c>
      <c r="AY4550" s="3" t="s">
        <v>44429</v>
      </c>
      <c r="AZ4550" s="3" t="s">
        <v>44430</v>
      </c>
      <c r="BA4550" s="3" t="s">
        <v>44430</v>
      </c>
      <c r="BB4550" s="3" t="s">
        <v>44431</v>
      </c>
      <c r="BC4550" s="3" t="s">
        <v>77</v>
      </c>
      <c r="BD4550" s="3" t="s">
        <v>78</v>
      </c>
      <c r="BF4550" s="3" t="s">
        <v>44431</v>
      </c>
      <c r="BG4550" s="3" t="s">
        <v>44432</v>
      </c>
      <c r="BH4550">
        <f t="shared" si="141"/>
        <v>0</v>
      </c>
    </row>
    <row r="4551" spans="1:60" ht="58" x14ac:dyDescent="0.35">
      <c r="A4551" s="2" t="s">
        <v>59</v>
      </c>
      <c r="B4551" s="2" t="s">
        <v>60</v>
      </c>
      <c r="C4551" s="2" t="s">
        <v>44433</v>
      </c>
      <c r="D4551" s="2" t="s">
        <v>44434</v>
      </c>
      <c r="E4551" s="2" t="s">
        <v>44435</v>
      </c>
      <c r="G4551" s="3" t="s">
        <v>64</v>
      </c>
      <c r="I4551" s="3" t="s">
        <v>64</v>
      </c>
      <c r="J4551" s="3" t="s">
        <v>64</v>
      </c>
      <c r="K4551" s="3" t="s">
        <v>65</v>
      </c>
      <c r="L4551" s="2" t="s">
        <v>44436</v>
      </c>
      <c r="M4551" s="2" t="s">
        <v>44437</v>
      </c>
      <c r="N4551" s="3" t="s">
        <v>511</v>
      </c>
      <c r="P4551" s="3" t="s">
        <v>44438</v>
      </c>
      <c r="Q4551" s="2" t="s">
        <v>44439</v>
      </c>
      <c r="R4551" s="3" t="s">
        <v>70</v>
      </c>
      <c r="S4551" s="4">
        <v>0</v>
      </c>
      <c r="T4551" s="4">
        <v>0</v>
      </c>
      <c r="W4551" s="5" t="s">
        <v>72</v>
      </c>
      <c r="X4551" s="5" t="s">
        <v>72</v>
      </c>
      <c r="Y4551" s="4">
        <v>36</v>
      </c>
      <c r="Z4551" s="4">
        <v>3</v>
      </c>
      <c r="AA4551" s="4">
        <v>73</v>
      </c>
      <c r="AB4551" s="4">
        <v>1</v>
      </c>
      <c r="AC4551" s="4">
        <v>14</v>
      </c>
      <c r="AD4551" s="4">
        <v>25</v>
      </c>
      <c r="AE4551" s="4">
        <v>87</v>
      </c>
      <c r="AF4551" s="4">
        <v>0</v>
      </c>
      <c r="AG4551" s="4">
        <v>8</v>
      </c>
      <c r="AH4551" s="4">
        <v>23</v>
      </c>
      <c r="AI4551" s="4">
        <v>57</v>
      </c>
      <c r="AJ4551" s="4">
        <v>1</v>
      </c>
      <c r="AK4551" s="4">
        <v>16</v>
      </c>
      <c r="AL4551" s="4">
        <v>20</v>
      </c>
      <c r="AM4551" s="4">
        <v>33</v>
      </c>
      <c r="AN4551" s="4">
        <v>0</v>
      </c>
      <c r="AO4551" s="4">
        <v>0</v>
      </c>
      <c r="AP4551" s="4">
        <v>1</v>
      </c>
      <c r="AQ4551" s="4">
        <v>35</v>
      </c>
      <c r="AR4551" s="3" t="s">
        <v>64</v>
      </c>
      <c r="AS4551" s="3" t="s">
        <v>64</v>
      </c>
      <c r="AT4551" s="3" t="s">
        <v>64</v>
      </c>
      <c r="AV4551" s="6" t="str">
        <f>HYPERLINK("http://mcgill.on.worldcat.org/oclc/609627451","Catalog Record")</f>
        <v>Catalog Record</v>
      </c>
      <c r="AW4551" s="6" t="str">
        <f>HYPERLINK("http://www.worldcat.org/oclc/609627451","WorldCat Record")</f>
        <v>WorldCat Record</v>
      </c>
      <c r="AX4551" s="3" t="s">
        <v>44440</v>
      </c>
      <c r="AY4551" s="3" t="s">
        <v>44441</v>
      </c>
      <c r="AZ4551" s="3" t="s">
        <v>44442</v>
      </c>
      <c r="BA4551" s="3" t="s">
        <v>44442</v>
      </c>
      <c r="BB4551" s="3" t="s">
        <v>44443</v>
      </c>
      <c r="BC4551" s="3" t="s">
        <v>77</v>
      </c>
      <c r="BD4551" s="3" t="s">
        <v>78</v>
      </c>
      <c r="BE4551" s="3" t="s">
        <v>44444</v>
      </c>
      <c r="BF4551" s="3" t="s">
        <v>44443</v>
      </c>
      <c r="BG4551" s="3" t="s">
        <v>44445</v>
      </c>
      <c r="BH4551">
        <f t="shared" si="141"/>
        <v>0</v>
      </c>
    </row>
    <row r="4552" spans="1:60" ht="87" x14ac:dyDescent="0.35">
      <c r="A4552" s="2" t="s">
        <v>6202</v>
      </c>
      <c r="B4552" s="2" t="s">
        <v>44446</v>
      </c>
      <c r="C4552" s="2" t="s">
        <v>44447</v>
      </c>
      <c r="D4552" s="2" t="s">
        <v>44448</v>
      </c>
      <c r="E4552" s="2" t="s">
        <v>44449</v>
      </c>
      <c r="G4552" s="3" t="s">
        <v>64</v>
      </c>
      <c r="I4552" s="3" t="s">
        <v>64</v>
      </c>
      <c r="J4552" s="3" t="s">
        <v>64</v>
      </c>
      <c r="K4552" s="3" t="s">
        <v>65</v>
      </c>
      <c r="M4552" s="2" t="s">
        <v>44450</v>
      </c>
      <c r="N4552" s="3" t="s">
        <v>511</v>
      </c>
      <c r="O4552" s="2" t="s">
        <v>44451</v>
      </c>
      <c r="P4552" s="3" t="s">
        <v>44452</v>
      </c>
      <c r="R4552" s="3" t="s">
        <v>70</v>
      </c>
      <c r="S4552" s="4">
        <v>0</v>
      </c>
      <c r="T4552" s="4">
        <v>0</v>
      </c>
      <c r="W4552" s="5" t="s">
        <v>72</v>
      </c>
      <c r="X4552" s="5" t="s">
        <v>72</v>
      </c>
      <c r="Y4552" s="4">
        <v>13</v>
      </c>
      <c r="Z4552" s="4">
        <v>1</v>
      </c>
      <c r="AA4552" s="4">
        <v>1</v>
      </c>
      <c r="AB4552" s="4">
        <v>1</v>
      </c>
      <c r="AC4552" s="4">
        <v>1</v>
      </c>
      <c r="AD4552" s="4">
        <v>10</v>
      </c>
      <c r="AE4552" s="4">
        <v>10</v>
      </c>
      <c r="AF4552" s="4">
        <v>0</v>
      </c>
      <c r="AG4552" s="4">
        <v>0</v>
      </c>
      <c r="AH4552" s="4">
        <v>10</v>
      </c>
      <c r="AI4552" s="4">
        <v>10</v>
      </c>
      <c r="AJ4552" s="4">
        <v>0</v>
      </c>
      <c r="AK4552" s="4">
        <v>0</v>
      </c>
      <c r="AL4552" s="4">
        <v>5</v>
      </c>
      <c r="AM4552" s="4">
        <v>5</v>
      </c>
      <c r="AN4552" s="4">
        <v>0</v>
      </c>
      <c r="AO4552" s="4">
        <v>0</v>
      </c>
      <c r="AP4552" s="4">
        <v>0</v>
      </c>
      <c r="AQ4552" s="4">
        <v>0</v>
      </c>
      <c r="AR4552" s="3" t="s">
        <v>64</v>
      </c>
      <c r="AS4552" s="3" t="s">
        <v>64</v>
      </c>
      <c r="AT4552" s="3" t="s">
        <v>128</v>
      </c>
      <c r="AU4552" s="6" t="str">
        <f>HYPERLINK("http://catalog.hathitrust.org/Record/010822298","HathiTrust Record")</f>
        <v>HathiTrust Record</v>
      </c>
      <c r="AV4552" s="6" t="str">
        <f>HYPERLINK("http://mcgill.on.worldcat.org/oclc/729721414","Catalog Record")</f>
        <v>Catalog Record</v>
      </c>
      <c r="AW4552" s="6" t="str">
        <f>HYPERLINK("http://www.worldcat.org/oclc/729721414","WorldCat Record")</f>
        <v>WorldCat Record</v>
      </c>
      <c r="AX4552" s="3" t="s">
        <v>44453</v>
      </c>
      <c r="AY4552" s="3" t="s">
        <v>44454</v>
      </c>
      <c r="AZ4552" s="3" t="s">
        <v>44455</v>
      </c>
      <c r="BA4552" s="3" t="s">
        <v>44455</v>
      </c>
      <c r="BB4552" s="3" t="s">
        <v>44456</v>
      </c>
      <c r="BC4552" s="3" t="s">
        <v>77</v>
      </c>
      <c r="BD4552" s="3" t="s">
        <v>78</v>
      </c>
      <c r="BE4552" s="3" t="s">
        <v>44457</v>
      </c>
      <c r="BF4552" s="3" t="s">
        <v>44456</v>
      </c>
      <c r="BG4552" s="3" t="s">
        <v>44458</v>
      </c>
      <c r="BH4552">
        <f t="shared" si="141"/>
        <v>0</v>
      </c>
    </row>
    <row r="4553" spans="1:60" ht="58" x14ac:dyDescent="0.35">
      <c r="A4553" s="2" t="s">
        <v>59</v>
      </c>
      <c r="B4553" s="2" t="s">
        <v>60</v>
      </c>
      <c r="C4553" s="2" t="s">
        <v>44459</v>
      </c>
      <c r="D4553" s="2" t="s">
        <v>44460</v>
      </c>
      <c r="E4553" s="2" t="s">
        <v>44461</v>
      </c>
      <c r="G4553" s="3" t="s">
        <v>64</v>
      </c>
      <c r="I4553" s="3" t="s">
        <v>128</v>
      </c>
      <c r="J4553" s="3" t="s">
        <v>64</v>
      </c>
      <c r="K4553" s="3" t="s">
        <v>65</v>
      </c>
      <c r="L4553" s="2" t="s">
        <v>44462</v>
      </c>
      <c r="M4553" s="2" t="s">
        <v>44463</v>
      </c>
      <c r="N4553" s="3" t="s">
        <v>3444</v>
      </c>
      <c r="P4553" s="3" t="s">
        <v>102</v>
      </c>
      <c r="Q4553" s="2" t="s">
        <v>44464</v>
      </c>
      <c r="R4553" s="3" t="s">
        <v>70</v>
      </c>
      <c r="S4553" s="4">
        <v>7</v>
      </c>
      <c r="T4553" s="4">
        <v>7</v>
      </c>
      <c r="U4553" s="5" t="s">
        <v>3273</v>
      </c>
      <c r="V4553" s="5" t="s">
        <v>3273</v>
      </c>
      <c r="W4553" s="5" t="s">
        <v>72</v>
      </c>
      <c r="X4553" s="5" t="s">
        <v>72</v>
      </c>
      <c r="Y4553" s="4">
        <v>112</v>
      </c>
      <c r="Z4553" s="4">
        <v>4</v>
      </c>
      <c r="AA4553" s="4">
        <v>4</v>
      </c>
      <c r="AB4553" s="4">
        <v>1</v>
      </c>
      <c r="AC4553" s="4">
        <v>1</v>
      </c>
      <c r="AD4553" s="4">
        <v>45</v>
      </c>
      <c r="AE4553" s="4">
        <v>45</v>
      </c>
      <c r="AF4553" s="4">
        <v>0</v>
      </c>
      <c r="AG4553" s="4">
        <v>0</v>
      </c>
      <c r="AH4553" s="4">
        <v>44</v>
      </c>
      <c r="AI4553" s="4">
        <v>44</v>
      </c>
      <c r="AJ4553" s="4">
        <v>1</v>
      </c>
      <c r="AK4553" s="4">
        <v>1</v>
      </c>
      <c r="AL4553" s="4">
        <v>33</v>
      </c>
      <c r="AM4553" s="4">
        <v>33</v>
      </c>
      <c r="AN4553" s="4">
        <v>0</v>
      </c>
      <c r="AO4553" s="4">
        <v>0</v>
      </c>
      <c r="AP4553" s="4">
        <v>1</v>
      </c>
      <c r="AQ4553" s="4">
        <v>1</v>
      </c>
      <c r="AR4553" s="3" t="s">
        <v>64</v>
      </c>
      <c r="AS4553" s="3" t="s">
        <v>64</v>
      </c>
      <c r="AT4553" s="3" t="s">
        <v>64</v>
      </c>
      <c r="AU4553" s="6" t="str">
        <f>HYPERLINK("http://catalog.hathitrust.org/Record/001173076","HathiTrust Record")</f>
        <v>HathiTrust Record</v>
      </c>
      <c r="AV4553" s="6" t="str">
        <f>HYPERLINK("http://mcgill.on.worldcat.org/oclc/3502353","Catalog Record")</f>
        <v>Catalog Record</v>
      </c>
      <c r="AW4553" s="6" t="str">
        <f>HYPERLINK("http://www.worldcat.org/oclc/3502353","WorldCat Record")</f>
        <v>WorldCat Record</v>
      </c>
      <c r="AX4553" s="3" t="s">
        <v>44465</v>
      </c>
      <c r="AY4553" s="3" t="s">
        <v>44466</v>
      </c>
      <c r="AZ4553" s="3" t="s">
        <v>44467</v>
      </c>
      <c r="BA4553" s="3" t="s">
        <v>44467</v>
      </c>
      <c r="BB4553" s="3" t="s">
        <v>44468</v>
      </c>
      <c r="BC4553" s="3" t="s">
        <v>77</v>
      </c>
      <c r="BD4553" s="3" t="s">
        <v>78</v>
      </c>
      <c r="BF4553" s="3" t="s">
        <v>44468</v>
      </c>
      <c r="BG4553" s="3" t="s">
        <v>44469</v>
      </c>
      <c r="BH4553">
        <f t="shared" si="141"/>
        <v>0</v>
      </c>
    </row>
    <row r="4554" spans="1:60" ht="58" x14ac:dyDescent="0.35">
      <c r="A4554" s="2" t="s">
        <v>59</v>
      </c>
      <c r="B4554" s="2" t="s">
        <v>60</v>
      </c>
      <c r="C4554" s="2" t="s">
        <v>44470</v>
      </c>
      <c r="D4554" s="2" t="s">
        <v>44471</v>
      </c>
      <c r="E4554" s="2" t="s">
        <v>44472</v>
      </c>
      <c r="G4554" s="3" t="s">
        <v>64</v>
      </c>
      <c r="I4554" s="3" t="s">
        <v>128</v>
      </c>
      <c r="J4554" s="3" t="s">
        <v>64</v>
      </c>
      <c r="K4554" s="3" t="s">
        <v>65</v>
      </c>
      <c r="L4554" s="2" t="s">
        <v>44473</v>
      </c>
      <c r="M4554" s="2" t="s">
        <v>44474</v>
      </c>
      <c r="N4554" s="3" t="s">
        <v>434</v>
      </c>
      <c r="P4554" s="3" t="s">
        <v>102</v>
      </c>
      <c r="Q4554" s="2" t="s">
        <v>44475</v>
      </c>
      <c r="R4554" s="3" t="s">
        <v>70</v>
      </c>
      <c r="S4554" s="4">
        <v>6</v>
      </c>
      <c r="T4554" s="4">
        <v>11</v>
      </c>
      <c r="U4554" s="5" t="s">
        <v>44476</v>
      </c>
      <c r="V4554" s="5" t="s">
        <v>15095</v>
      </c>
      <c r="W4554" s="5" t="s">
        <v>72</v>
      </c>
      <c r="X4554" s="5" t="s">
        <v>72</v>
      </c>
      <c r="Y4554" s="4">
        <v>61</v>
      </c>
      <c r="Z4554" s="4">
        <v>6</v>
      </c>
      <c r="AA4554" s="4">
        <v>11</v>
      </c>
      <c r="AB4554" s="4">
        <v>1</v>
      </c>
      <c r="AC4554" s="4">
        <v>3</v>
      </c>
      <c r="AD4554" s="4">
        <v>34</v>
      </c>
      <c r="AE4554" s="4">
        <v>38</v>
      </c>
      <c r="AF4554" s="4">
        <v>0</v>
      </c>
      <c r="AG4554" s="4">
        <v>1</v>
      </c>
      <c r="AH4554" s="4">
        <v>32</v>
      </c>
      <c r="AI4554" s="4">
        <v>34</v>
      </c>
      <c r="AJ4554" s="4">
        <v>5</v>
      </c>
      <c r="AK4554" s="4">
        <v>8</v>
      </c>
      <c r="AL4554" s="4">
        <v>23</v>
      </c>
      <c r="AM4554" s="4">
        <v>24</v>
      </c>
      <c r="AN4554" s="4">
        <v>0</v>
      </c>
      <c r="AO4554" s="4">
        <v>0</v>
      </c>
      <c r="AP4554" s="4">
        <v>5</v>
      </c>
      <c r="AQ4554" s="4">
        <v>6</v>
      </c>
      <c r="AR4554" s="3" t="s">
        <v>128</v>
      </c>
      <c r="AS4554" s="3" t="s">
        <v>64</v>
      </c>
      <c r="AT4554" s="3" t="s">
        <v>64</v>
      </c>
      <c r="AV4554" s="6" t="str">
        <f>HYPERLINK("http://mcgill.on.worldcat.org/oclc/61217750","Catalog Record")</f>
        <v>Catalog Record</v>
      </c>
      <c r="AW4554" s="6" t="str">
        <f>HYPERLINK("http://www.worldcat.org/oclc/61217750","WorldCat Record")</f>
        <v>WorldCat Record</v>
      </c>
      <c r="AX4554" s="3" t="s">
        <v>44477</v>
      </c>
      <c r="AY4554" s="3" t="s">
        <v>44478</v>
      </c>
      <c r="AZ4554" s="3" t="s">
        <v>44479</v>
      </c>
      <c r="BA4554" s="3" t="s">
        <v>44479</v>
      </c>
      <c r="BB4554" s="3" t="s">
        <v>44480</v>
      </c>
      <c r="BC4554" s="3" t="s">
        <v>77</v>
      </c>
      <c r="BD4554" s="3" t="s">
        <v>78</v>
      </c>
      <c r="BE4554" s="3" t="s">
        <v>44481</v>
      </c>
      <c r="BF4554" s="3" t="s">
        <v>44480</v>
      </c>
      <c r="BG4554" s="3" t="s">
        <v>44482</v>
      </c>
      <c r="BH4554">
        <f t="shared" si="141"/>
        <v>0</v>
      </c>
    </row>
    <row r="4555" spans="1:60" ht="101.5" x14ac:dyDescent="0.35">
      <c r="A4555" s="2" t="s">
        <v>6202</v>
      </c>
      <c r="B4555" s="2" t="s">
        <v>6203</v>
      </c>
      <c r="C4555" s="2" t="s">
        <v>44483</v>
      </c>
      <c r="D4555" s="2" t="s">
        <v>44484</v>
      </c>
      <c r="E4555" s="2" t="s">
        <v>44485</v>
      </c>
      <c r="G4555" s="3" t="s">
        <v>64</v>
      </c>
      <c r="I4555" s="3" t="s">
        <v>64</v>
      </c>
      <c r="J4555" s="3" t="s">
        <v>64</v>
      </c>
      <c r="K4555" s="3" t="s">
        <v>65</v>
      </c>
      <c r="L4555" s="2" t="s">
        <v>44486</v>
      </c>
      <c r="M4555" s="2" t="s">
        <v>44487</v>
      </c>
      <c r="N4555" s="3" t="s">
        <v>326</v>
      </c>
      <c r="P4555" s="3" t="s">
        <v>44438</v>
      </c>
      <c r="Q4555" s="2" t="s">
        <v>44488</v>
      </c>
      <c r="R4555" s="3" t="s">
        <v>70</v>
      </c>
      <c r="S4555" s="4">
        <v>0</v>
      </c>
      <c r="T4555" s="4">
        <v>0</v>
      </c>
      <c r="W4555" s="5" t="s">
        <v>72</v>
      </c>
      <c r="X4555" s="5" t="s">
        <v>72</v>
      </c>
      <c r="Y4555" s="4">
        <v>7</v>
      </c>
      <c r="Z4555" s="4">
        <v>1</v>
      </c>
      <c r="AA4555" s="4">
        <v>3</v>
      </c>
      <c r="AB4555" s="4">
        <v>1</v>
      </c>
      <c r="AC4555" s="4">
        <v>1</v>
      </c>
      <c r="AD4555" s="4">
        <v>3</v>
      </c>
      <c r="AE4555" s="4">
        <v>16</v>
      </c>
      <c r="AF4555" s="4">
        <v>0</v>
      </c>
      <c r="AG4555" s="4">
        <v>0</v>
      </c>
      <c r="AH4555" s="4">
        <v>3</v>
      </c>
      <c r="AI4555" s="4">
        <v>15</v>
      </c>
      <c r="AJ4555" s="4">
        <v>0</v>
      </c>
      <c r="AK4555" s="4">
        <v>1</v>
      </c>
      <c r="AL4555" s="4">
        <v>2</v>
      </c>
      <c r="AM4555" s="4">
        <v>12</v>
      </c>
      <c r="AN4555" s="4">
        <v>0</v>
      </c>
      <c r="AO4555" s="4">
        <v>0</v>
      </c>
      <c r="AP4555" s="4">
        <v>0</v>
      </c>
      <c r="AQ4555" s="4">
        <v>1</v>
      </c>
      <c r="AR4555" s="3" t="s">
        <v>64</v>
      </c>
      <c r="AS4555" s="3" t="s">
        <v>64</v>
      </c>
      <c r="AT4555" s="3" t="s">
        <v>64</v>
      </c>
      <c r="AV4555" s="6" t="str">
        <f>HYPERLINK("http://mcgill.on.worldcat.org/oclc/800849651","Catalog Record")</f>
        <v>Catalog Record</v>
      </c>
      <c r="AW4555" s="6" t="str">
        <f>HYPERLINK("http://www.worldcat.org/oclc/800849651","WorldCat Record")</f>
        <v>WorldCat Record</v>
      </c>
      <c r="AX4555" s="3" t="s">
        <v>44489</v>
      </c>
      <c r="AY4555" s="3" t="s">
        <v>44490</v>
      </c>
      <c r="AZ4555" s="3" t="s">
        <v>44491</v>
      </c>
      <c r="BA4555" s="3" t="s">
        <v>44491</v>
      </c>
      <c r="BB4555" s="3" t="s">
        <v>44492</v>
      </c>
      <c r="BC4555" s="3" t="s">
        <v>77</v>
      </c>
      <c r="BD4555" s="3" t="s">
        <v>78</v>
      </c>
      <c r="BE4555" s="3" t="s">
        <v>44493</v>
      </c>
      <c r="BF4555" s="3" t="s">
        <v>44492</v>
      </c>
      <c r="BG4555" s="3" t="s">
        <v>44494</v>
      </c>
      <c r="BH4555">
        <f t="shared" si="141"/>
        <v>0</v>
      </c>
    </row>
    <row r="4556" spans="1:60" ht="58" x14ac:dyDescent="0.35">
      <c r="A4556" s="2" t="s">
        <v>59</v>
      </c>
      <c r="B4556" s="2" t="s">
        <v>60</v>
      </c>
      <c r="C4556" s="2" t="s">
        <v>44495</v>
      </c>
      <c r="D4556" s="2" t="s">
        <v>44496</v>
      </c>
      <c r="E4556" s="2" t="s">
        <v>44497</v>
      </c>
      <c r="F4556" s="3" t="s">
        <v>39969</v>
      </c>
      <c r="G4556" s="3" t="s">
        <v>128</v>
      </c>
      <c r="I4556" s="3" t="s">
        <v>64</v>
      </c>
      <c r="J4556" s="3" t="s">
        <v>64</v>
      </c>
      <c r="K4556" s="3" t="s">
        <v>65</v>
      </c>
      <c r="L4556" s="2" t="s">
        <v>44498</v>
      </c>
      <c r="M4556" s="2" t="s">
        <v>44499</v>
      </c>
      <c r="N4556" s="3" t="s">
        <v>315</v>
      </c>
      <c r="O4556" s="2" t="s">
        <v>734</v>
      </c>
      <c r="P4556" s="3" t="s">
        <v>102</v>
      </c>
      <c r="Q4556" s="2" t="s">
        <v>44500</v>
      </c>
      <c r="R4556" s="3" t="s">
        <v>70</v>
      </c>
      <c r="S4556" s="4">
        <v>1</v>
      </c>
      <c r="T4556" s="4">
        <v>8</v>
      </c>
      <c r="U4556" s="5" t="s">
        <v>8822</v>
      </c>
      <c r="V4556" s="5" t="s">
        <v>8822</v>
      </c>
      <c r="W4556" s="5" t="s">
        <v>72</v>
      </c>
      <c r="X4556" s="5" t="s">
        <v>72</v>
      </c>
      <c r="Y4556" s="4">
        <v>28</v>
      </c>
      <c r="Z4556" s="4">
        <v>4</v>
      </c>
      <c r="AA4556" s="4">
        <v>6</v>
      </c>
      <c r="AB4556" s="4">
        <v>1</v>
      </c>
      <c r="AC4556" s="4">
        <v>1</v>
      </c>
      <c r="AD4556" s="4">
        <v>15</v>
      </c>
      <c r="AE4556" s="4">
        <v>19</v>
      </c>
      <c r="AF4556" s="4">
        <v>0</v>
      </c>
      <c r="AG4556" s="4">
        <v>0</v>
      </c>
      <c r="AH4556" s="4">
        <v>14</v>
      </c>
      <c r="AI4556" s="4">
        <v>16</v>
      </c>
      <c r="AJ4556" s="4">
        <v>3</v>
      </c>
      <c r="AK4556" s="4">
        <v>5</v>
      </c>
      <c r="AL4556" s="4">
        <v>10</v>
      </c>
      <c r="AM4556" s="4">
        <v>12</v>
      </c>
      <c r="AN4556" s="4">
        <v>0</v>
      </c>
      <c r="AO4556" s="4">
        <v>0</v>
      </c>
      <c r="AP4556" s="4">
        <v>3</v>
      </c>
      <c r="AQ4556" s="4">
        <v>4</v>
      </c>
      <c r="AR4556" s="3" t="s">
        <v>64</v>
      </c>
      <c r="AS4556" s="3" t="s">
        <v>64</v>
      </c>
      <c r="AT4556" s="3" t="s">
        <v>128</v>
      </c>
      <c r="AU4556" s="6" t="str">
        <f t="shared" ref="AU4556:AU4563" si="142">HYPERLINK("http://catalog.hathitrust.org/Record/000232506","HathiTrust Record")</f>
        <v>HathiTrust Record</v>
      </c>
      <c r="AV4556" s="6" t="str">
        <f t="shared" ref="AV4556:AV4563" si="143">HYPERLINK("http://mcgill.on.worldcat.org/oclc/3351883","Catalog Record")</f>
        <v>Catalog Record</v>
      </c>
      <c r="AW4556" s="6" t="str">
        <f t="shared" ref="AW4556:AW4563" si="144">HYPERLINK("http://www.worldcat.org/oclc/3351883","WorldCat Record")</f>
        <v>WorldCat Record</v>
      </c>
      <c r="AX4556" s="3" t="s">
        <v>44501</v>
      </c>
      <c r="AY4556" s="3" t="s">
        <v>44502</v>
      </c>
      <c r="AZ4556" s="3" t="s">
        <v>44503</v>
      </c>
      <c r="BA4556" s="3" t="s">
        <v>44503</v>
      </c>
      <c r="BB4556" s="3" t="s">
        <v>44504</v>
      </c>
      <c r="BC4556" s="3" t="s">
        <v>77</v>
      </c>
      <c r="BD4556" s="3" t="s">
        <v>78</v>
      </c>
      <c r="BF4556" s="3" t="s">
        <v>44504</v>
      </c>
      <c r="BG4556" s="3" t="s">
        <v>44505</v>
      </c>
      <c r="BH4556">
        <f t="shared" si="141"/>
        <v>0</v>
      </c>
    </row>
    <row r="4557" spans="1:60" ht="58" x14ac:dyDescent="0.35">
      <c r="A4557" s="2" t="s">
        <v>59</v>
      </c>
      <c r="B4557" s="2" t="s">
        <v>60</v>
      </c>
      <c r="C4557" s="2" t="s">
        <v>44495</v>
      </c>
      <c r="D4557" s="2" t="s">
        <v>44496</v>
      </c>
      <c r="E4557" s="2" t="s">
        <v>44497</v>
      </c>
      <c r="F4557" s="3" t="s">
        <v>2047</v>
      </c>
      <c r="G4557" s="3" t="s">
        <v>128</v>
      </c>
      <c r="I4557" s="3" t="s">
        <v>64</v>
      </c>
      <c r="J4557" s="3" t="s">
        <v>64</v>
      </c>
      <c r="K4557" s="3" t="s">
        <v>65</v>
      </c>
      <c r="L4557" s="2" t="s">
        <v>44498</v>
      </c>
      <c r="M4557" s="2" t="s">
        <v>44499</v>
      </c>
      <c r="N4557" s="3" t="s">
        <v>315</v>
      </c>
      <c r="O4557" s="2" t="s">
        <v>734</v>
      </c>
      <c r="P4557" s="3" t="s">
        <v>102</v>
      </c>
      <c r="Q4557" s="2" t="s">
        <v>44500</v>
      </c>
      <c r="R4557" s="3" t="s">
        <v>70</v>
      </c>
      <c r="S4557" s="4">
        <v>1</v>
      </c>
      <c r="T4557" s="4">
        <v>8</v>
      </c>
      <c r="U4557" s="5" t="s">
        <v>8822</v>
      </c>
      <c r="V4557" s="5" t="s">
        <v>8822</v>
      </c>
      <c r="W4557" s="5" t="s">
        <v>72</v>
      </c>
      <c r="X4557" s="5" t="s">
        <v>72</v>
      </c>
      <c r="Y4557" s="4">
        <v>28</v>
      </c>
      <c r="Z4557" s="4">
        <v>4</v>
      </c>
      <c r="AA4557" s="4">
        <v>6</v>
      </c>
      <c r="AB4557" s="4">
        <v>1</v>
      </c>
      <c r="AC4557" s="4">
        <v>1</v>
      </c>
      <c r="AD4557" s="4">
        <v>15</v>
      </c>
      <c r="AE4557" s="4">
        <v>19</v>
      </c>
      <c r="AF4557" s="4">
        <v>0</v>
      </c>
      <c r="AG4557" s="4">
        <v>0</v>
      </c>
      <c r="AH4557" s="4">
        <v>14</v>
      </c>
      <c r="AI4557" s="4">
        <v>16</v>
      </c>
      <c r="AJ4557" s="4">
        <v>3</v>
      </c>
      <c r="AK4557" s="4">
        <v>5</v>
      </c>
      <c r="AL4557" s="4">
        <v>10</v>
      </c>
      <c r="AM4557" s="4">
        <v>12</v>
      </c>
      <c r="AN4557" s="4">
        <v>0</v>
      </c>
      <c r="AO4557" s="4">
        <v>0</v>
      </c>
      <c r="AP4557" s="4">
        <v>3</v>
      </c>
      <c r="AQ4557" s="4">
        <v>4</v>
      </c>
      <c r="AR4557" s="3" t="s">
        <v>64</v>
      </c>
      <c r="AS4557" s="3" t="s">
        <v>64</v>
      </c>
      <c r="AT4557" s="3" t="s">
        <v>128</v>
      </c>
      <c r="AU4557" s="6" t="str">
        <f t="shared" si="142"/>
        <v>HathiTrust Record</v>
      </c>
      <c r="AV4557" s="6" t="str">
        <f t="shared" si="143"/>
        <v>Catalog Record</v>
      </c>
      <c r="AW4557" s="6" t="str">
        <f t="shared" si="144"/>
        <v>WorldCat Record</v>
      </c>
      <c r="AX4557" s="3" t="s">
        <v>44501</v>
      </c>
      <c r="AY4557" s="3" t="s">
        <v>44502</v>
      </c>
      <c r="AZ4557" s="3" t="s">
        <v>44503</v>
      </c>
      <c r="BA4557" s="3" t="s">
        <v>44503</v>
      </c>
      <c r="BB4557" s="3" t="s">
        <v>44506</v>
      </c>
      <c r="BC4557" s="3" t="s">
        <v>77</v>
      </c>
      <c r="BD4557" s="3" t="s">
        <v>78</v>
      </c>
      <c r="BF4557" s="3" t="s">
        <v>44506</v>
      </c>
      <c r="BG4557" s="3" t="s">
        <v>44507</v>
      </c>
      <c r="BH4557">
        <f t="shared" si="141"/>
        <v>0</v>
      </c>
    </row>
    <row r="4558" spans="1:60" ht="58" x14ac:dyDescent="0.35">
      <c r="A4558" s="2" t="s">
        <v>59</v>
      </c>
      <c r="B4558" s="2" t="s">
        <v>60</v>
      </c>
      <c r="C4558" s="2" t="s">
        <v>44495</v>
      </c>
      <c r="D4558" s="2" t="s">
        <v>44496</v>
      </c>
      <c r="E4558" s="2" t="s">
        <v>44497</v>
      </c>
      <c r="F4558" s="3" t="s">
        <v>39957</v>
      </c>
      <c r="G4558" s="3" t="s">
        <v>128</v>
      </c>
      <c r="I4558" s="3" t="s">
        <v>64</v>
      </c>
      <c r="J4558" s="3" t="s">
        <v>64</v>
      </c>
      <c r="K4558" s="3" t="s">
        <v>65</v>
      </c>
      <c r="L4558" s="2" t="s">
        <v>44498</v>
      </c>
      <c r="M4558" s="2" t="s">
        <v>44499</v>
      </c>
      <c r="N4558" s="3" t="s">
        <v>315</v>
      </c>
      <c r="O4558" s="2" t="s">
        <v>734</v>
      </c>
      <c r="P4558" s="3" t="s">
        <v>102</v>
      </c>
      <c r="Q4558" s="2" t="s">
        <v>44500</v>
      </c>
      <c r="R4558" s="3" t="s">
        <v>70</v>
      </c>
      <c r="S4558" s="4">
        <v>1</v>
      </c>
      <c r="T4558" s="4">
        <v>8</v>
      </c>
      <c r="U4558" s="5" t="s">
        <v>8822</v>
      </c>
      <c r="V4558" s="5" t="s">
        <v>8822</v>
      </c>
      <c r="W4558" s="5" t="s">
        <v>72</v>
      </c>
      <c r="X4558" s="5" t="s">
        <v>72</v>
      </c>
      <c r="Y4558" s="4">
        <v>28</v>
      </c>
      <c r="Z4558" s="4">
        <v>4</v>
      </c>
      <c r="AA4558" s="4">
        <v>6</v>
      </c>
      <c r="AB4558" s="4">
        <v>1</v>
      </c>
      <c r="AC4558" s="4">
        <v>1</v>
      </c>
      <c r="AD4558" s="4">
        <v>15</v>
      </c>
      <c r="AE4558" s="4">
        <v>19</v>
      </c>
      <c r="AF4558" s="4">
        <v>0</v>
      </c>
      <c r="AG4558" s="4">
        <v>0</v>
      </c>
      <c r="AH4558" s="4">
        <v>14</v>
      </c>
      <c r="AI4558" s="4">
        <v>16</v>
      </c>
      <c r="AJ4558" s="4">
        <v>3</v>
      </c>
      <c r="AK4558" s="4">
        <v>5</v>
      </c>
      <c r="AL4558" s="4">
        <v>10</v>
      </c>
      <c r="AM4558" s="4">
        <v>12</v>
      </c>
      <c r="AN4558" s="4">
        <v>0</v>
      </c>
      <c r="AO4558" s="4">
        <v>0</v>
      </c>
      <c r="AP4558" s="4">
        <v>3</v>
      </c>
      <c r="AQ4558" s="4">
        <v>4</v>
      </c>
      <c r="AR4558" s="3" t="s">
        <v>64</v>
      </c>
      <c r="AS4558" s="3" t="s">
        <v>64</v>
      </c>
      <c r="AT4558" s="3" t="s">
        <v>128</v>
      </c>
      <c r="AU4558" s="6" t="str">
        <f t="shared" si="142"/>
        <v>HathiTrust Record</v>
      </c>
      <c r="AV4558" s="6" t="str">
        <f t="shared" si="143"/>
        <v>Catalog Record</v>
      </c>
      <c r="AW4558" s="6" t="str">
        <f t="shared" si="144"/>
        <v>WorldCat Record</v>
      </c>
      <c r="AX4558" s="3" t="s">
        <v>44501</v>
      </c>
      <c r="AY4558" s="3" t="s">
        <v>44502</v>
      </c>
      <c r="AZ4558" s="3" t="s">
        <v>44503</v>
      </c>
      <c r="BA4558" s="3" t="s">
        <v>44503</v>
      </c>
      <c r="BB4558" s="3" t="s">
        <v>44508</v>
      </c>
      <c r="BC4558" s="3" t="s">
        <v>77</v>
      </c>
      <c r="BD4558" s="3" t="s">
        <v>78</v>
      </c>
      <c r="BF4558" s="3" t="s">
        <v>44508</v>
      </c>
      <c r="BG4558" s="3" t="s">
        <v>44509</v>
      </c>
      <c r="BH4558">
        <f t="shared" si="141"/>
        <v>0</v>
      </c>
    </row>
    <row r="4559" spans="1:60" ht="58" x14ac:dyDescent="0.35">
      <c r="A4559" s="2" t="s">
        <v>59</v>
      </c>
      <c r="B4559" s="2" t="s">
        <v>60</v>
      </c>
      <c r="C4559" s="2" t="s">
        <v>44495</v>
      </c>
      <c r="D4559" s="2" t="s">
        <v>44496</v>
      </c>
      <c r="E4559" s="2" t="s">
        <v>44497</v>
      </c>
      <c r="F4559" s="3" t="s">
        <v>39972</v>
      </c>
      <c r="G4559" s="3" t="s">
        <v>128</v>
      </c>
      <c r="I4559" s="3" t="s">
        <v>64</v>
      </c>
      <c r="J4559" s="3" t="s">
        <v>64</v>
      </c>
      <c r="K4559" s="3" t="s">
        <v>65</v>
      </c>
      <c r="L4559" s="2" t="s">
        <v>44498</v>
      </c>
      <c r="M4559" s="2" t="s">
        <v>44499</v>
      </c>
      <c r="N4559" s="3" t="s">
        <v>315</v>
      </c>
      <c r="O4559" s="2" t="s">
        <v>734</v>
      </c>
      <c r="P4559" s="3" t="s">
        <v>102</v>
      </c>
      <c r="Q4559" s="2" t="s">
        <v>44500</v>
      </c>
      <c r="R4559" s="3" t="s">
        <v>70</v>
      </c>
      <c r="S4559" s="4">
        <v>1</v>
      </c>
      <c r="T4559" s="4">
        <v>8</v>
      </c>
      <c r="U4559" s="5" t="s">
        <v>8822</v>
      </c>
      <c r="V4559" s="5" t="s">
        <v>8822</v>
      </c>
      <c r="W4559" s="5" t="s">
        <v>72</v>
      </c>
      <c r="X4559" s="5" t="s">
        <v>72</v>
      </c>
      <c r="Y4559" s="4">
        <v>28</v>
      </c>
      <c r="Z4559" s="4">
        <v>4</v>
      </c>
      <c r="AA4559" s="4">
        <v>6</v>
      </c>
      <c r="AB4559" s="4">
        <v>1</v>
      </c>
      <c r="AC4559" s="4">
        <v>1</v>
      </c>
      <c r="AD4559" s="4">
        <v>15</v>
      </c>
      <c r="AE4559" s="4">
        <v>19</v>
      </c>
      <c r="AF4559" s="4">
        <v>0</v>
      </c>
      <c r="AG4559" s="4">
        <v>0</v>
      </c>
      <c r="AH4559" s="4">
        <v>14</v>
      </c>
      <c r="AI4559" s="4">
        <v>16</v>
      </c>
      <c r="AJ4559" s="4">
        <v>3</v>
      </c>
      <c r="AK4559" s="4">
        <v>5</v>
      </c>
      <c r="AL4559" s="4">
        <v>10</v>
      </c>
      <c r="AM4559" s="4">
        <v>12</v>
      </c>
      <c r="AN4559" s="4">
        <v>0</v>
      </c>
      <c r="AO4559" s="4">
        <v>0</v>
      </c>
      <c r="AP4559" s="4">
        <v>3</v>
      </c>
      <c r="AQ4559" s="4">
        <v>4</v>
      </c>
      <c r="AR4559" s="3" t="s">
        <v>64</v>
      </c>
      <c r="AS4559" s="3" t="s">
        <v>64</v>
      </c>
      <c r="AT4559" s="3" t="s">
        <v>128</v>
      </c>
      <c r="AU4559" s="6" t="str">
        <f t="shared" si="142"/>
        <v>HathiTrust Record</v>
      </c>
      <c r="AV4559" s="6" t="str">
        <f t="shared" si="143"/>
        <v>Catalog Record</v>
      </c>
      <c r="AW4559" s="6" t="str">
        <f t="shared" si="144"/>
        <v>WorldCat Record</v>
      </c>
      <c r="AX4559" s="3" t="s">
        <v>44501</v>
      </c>
      <c r="AY4559" s="3" t="s">
        <v>44502</v>
      </c>
      <c r="AZ4559" s="3" t="s">
        <v>44503</v>
      </c>
      <c r="BA4559" s="3" t="s">
        <v>44503</v>
      </c>
      <c r="BB4559" s="3" t="s">
        <v>44510</v>
      </c>
      <c r="BC4559" s="3" t="s">
        <v>77</v>
      </c>
      <c r="BD4559" s="3" t="s">
        <v>78</v>
      </c>
      <c r="BF4559" s="3" t="s">
        <v>44510</v>
      </c>
      <c r="BG4559" s="3" t="s">
        <v>44511</v>
      </c>
      <c r="BH4559">
        <f t="shared" si="141"/>
        <v>0</v>
      </c>
    </row>
    <row r="4560" spans="1:60" ht="58" x14ac:dyDescent="0.35">
      <c r="A4560" s="2" t="s">
        <v>59</v>
      </c>
      <c r="B4560" s="2" t="s">
        <v>60</v>
      </c>
      <c r="C4560" s="2" t="s">
        <v>44495</v>
      </c>
      <c r="D4560" s="2" t="s">
        <v>44496</v>
      </c>
      <c r="E4560" s="2" t="s">
        <v>44497</v>
      </c>
      <c r="F4560" s="3" t="s">
        <v>489</v>
      </c>
      <c r="G4560" s="3" t="s">
        <v>128</v>
      </c>
      <c r="I4560" s="3" t="s">
        <v>64</v>
      </c>
      <c r="J4560" s="3" t="s">
        <v>64</v>
      </c>
      <c r="K4560" s="3" t="s">
        <v>65</v>
      </c>
      <c r="L4560" s="2" t="s">
        <v>44498</v>
      </c>
      <c r="M4560" s="2" t="s">
        <v>44499</v>
      </c>
      <c r="N4560" s="3" t="s">
        <v>315</v>
      </c>
      <c r="O4560" s="2" t="s">
        <v>734</v>
      </c>
      <c r="P4560" s="3" t="s">
        <v>102</v>
      </c>
      <c r="Q4560" s="2" t="s">
        <v>44500</v>
      </c>
      <c r="R4560" s="3" t="s">
        <v>70</v>
      </c>
      <c r="S4560" s="4">
        <v>1</v>
      </c>
      <c r="T4560" s="4">
        <v>8</v>
      </c>
      <c r="U4560" s="5" t="s">
        <v>8822</v>
      </c>
      <c r="V4560" s="5" t="s">
        <v>8822</v>
      </c>
      <c r="W4560" s="5" t="s">
        <v>72</v>
      </c>
      <c r="X4560" s="5" t="s">
        <v>72</v>
      </c>
      <c r="Y4560" s="4">
        <v>28</v>
      </c>
      <c r="Z4560" s="4">
        <v>4</v>
      </c>
      <c r="AA4560" s="4">
        <v>6</v>
      </c>
      <c r="AB4560" s="4">
        <v>1</v>
      </c>
      <c r="AC4560" s="4">
        <v>1</v>
      </c>
      <c r="AD4560" s="4">
        <v>15</v>
      </c>
      <c r="AE4560" s="4">
        <v>19</v>
      </c>
      <c r="AF4560" s="4">
        <v>0</v>
      </c>
      <c r="AG4560" s="4">
        <v>0</v>
      </c>
      <c r="AH4560" s="4">
        <v>14</v>
      </c>
      <c r="AI4560" s="4">
        <v>16</v>
      </c>
      <c r="AJ4560" s="4">
        <v>3</v>
      </c>
      <c r="AK4560" s="4">
        <v>5</v>
      </c>
      <c r="AL4560" s="4">
        <v>10</v>
      </c>
      <c r="AM4560" s="4">
        <v>12</v>
      </c>
      <c r="AN4560" s="4">
        <v>0</v>
      </c>
      <c r="AO4560" s="4">
        <v>0</v>
      </c>
      <c r="AP4560" s="4">
        <v>3</v>
      </c>
      <c r="AQ4560" s="4">
        <v>4</v>
      </c>
      <c r="AR4560" s="3" t="s">
        <v>64</v>
      </c>
      <c r="AS4560" s="3" t="s">
        <v>64</v>
      </c>
      <c r="AT4560" s="3" t="s">
        <v>128</v>
      </c>
      <c r="AU4560" s="6" t="str">
        <f t="shared" si="142"/>
        <v>HathiTrust Record</v>
      </c>
      <c r="AV4560" s="6" t="str">
        <f t="shared" si="143"/>
        <v>Catalog Record</v>
      </c>
      <c r="AW4560" s="6" t="str">
        <f t="shared" si="144"/>
        <v>WorldCat Record</v>
      </c>
      <c r="AX4560" s="3" t="s">
        <v>44501</v>
      </c>
      <c r="AY4560" s="3" t="s">
        <v>44502</v>
      </c>
      <c r="AZ4560" s="3" t="s">
        <v>44503</v>
      </c>
      <c r="BA4560" s="3" t="s">
        <v>44503</v>
      </c>
      <c r="BB4560" s="3" t="s">
        <v>44512</v>
      </c>
      <c r="BC4560" s="3" t="s">
        <v>77</v>
      </c>
      <c r="BD4560" s="3" t="s">
        <v>78</v>
      </c>
      <c r="BF4560" s="3" t="s">
        <v>44512</v>
      </c>
      <c r="BG4560" s="3" t="s">
        <v>44513</v>
      </c>
      <c r="BH4560">
        <f t="shared" si="141"/>
        <v>0</v>
      </c>
    </row>
    <row r="4561" spans="1:60" ht="58" x14ac:dyDescent="0.35">
      <c r="A4561" s="2" t="s">
        <v>59</v>
      </c>
      <c r="B4561" s="2" t="s">
        <v>60</v>
      </c>
      <c r="C4561" s="2" t="s">
        <v>44495</v>
      </c>
      <c r="D4561" s="2" t="s">
        <v>44496</v>
      </c>
      <c r="E4561" s="2" t="s">
        <v>44497</v>
      </c>
      <c r="F4561" s="3" t="s">
        <v>478</v>
      </c>
      <c r="G4561" s="3" t="s">
        <v>128</v>
      </c>
      <c r="I4561" s="3" t="s">
        <v>64</v>
      </c>
      <c r="J4561" s="3" t="s">
        <v>64</v>
      </c>
      <c r="K4561" s="3" t="s">
        <v>65</v>
      </c>
      <c r="L4561" s="2" t="s">
        <v>44498</v>
      </c>
      <c r="M4561" s="2" t="s">
        <v>44499</v>
      </c>
      <c r="N4561" s="3" t="s">
        <v>315</v>
      </c>
      <c r="O4561" s="2" t="s">
        <v>734</v>
      </c>
      <c r="P4561" s="3" t="s">
        <v>102</v>
      </c>
      <c r="Q4561" s="2" t="s">
        <v>44500</v>
      </c>
      <c r="R4561" s="3" t="s">
        <v>70</v>
      </c>
      <c r="S4561" s="4">
        <v>1</v>
      </c>
      <c r="T4561" s="4">
        <v>8</v>
      </c>
      <c r="U4561" s="5" t="s">
        <v>8822</v>
      </c>
      <c r="V4561" s="5" t="s">
        <v>8822</v>
      </c>
      <c r="W4561" s="5" t="s">
        <v>72</v>
      </c>
      <c r="X4561" s="5" t="s">
        <v>72</v>
      </c>
      <c r="Y4561" s="4">
        <v>28</v>
      </c>
      <c r="Z4561" s="4">
        <v>4</v>
      </c>
      <c r="AA4561" s="4">
        <v>6</v>
      </c>
      <c r="AB4561" s="4">
        <v>1</v>
      </c>
      <c r="AC4561" s="4">
        <v>1</v>
      </c>
      <c r="AD4561" s="4">
        <v>15</v>
      </c>
      <c r="AE4561" s="4">
        <v>19</v>
      </c>
      <c r="AF4561" s="4">
        <v>0</v>
      </c>
      <c r="AG4561" s="4">
        <v>0</v>
      </c>
      <c r="AH4561" s="4">
        <v>14</v>
      </c>
      <c r="AI4561" s="4">
        <v>16</v>
      </c>
      <c r="AJ4561" s="4">
        <v>3</v>
      </c>
      <c r="AK4561" s="4">
        <v>5</v>
      </c>
      <c r="AL4561" s="4">
        <v>10</v>
      </c>
      <c r="AM4561" s="4">
        <v>12</v>
      </c>
      <c r="AN4561" s="4">
        <v>0</v>
      </c>
      <c r="AO4561" s="4">
        <v>0</v>
      </c>
      <c r="AP4561" s="4">
        <v>3</v>
      </c>
      <c r="AQ4561" s="4">
        <v>4</v>
      </c>
      <c r="AR4561" s="3" t="s">
        <v>64</v>
      </c>
      <c r="AS4561" s="3" t="s">
        <v>64</v>
      </c>
      <c r="AT4561" s="3" t="s">
        <v>128</v>
      </c>
      <c r="AU4561" s="6" t="str">
        <f t="shared" si="142"/>
        <v>HathiTrust Record</v>
      </c>
      <c r="AV4561" s="6" t="str">
        <f t="shared" si="143"/>
        <v>Catalog Record</v>
      </c>
      <c r="AW4561" s="6" t="str">
        <f t="shared" si="144"/>
        <v>WorldCat Record</v>
      </c>
      <c r="AX4561" s="3" t="s">
        <v>44501</v>
      </c>
      <c r="AY4561" s="3" t="s">
        <v>44502</v>
      </c>
      <c r="AZ4561" s="3" t="s">
        <v>44503</v>
      </c>
      <c r="BA4561" s="3" t="s">
        <v>44503</v>
      </c>
      <c r="BB4561" s="3" t="s">
        <v>44514</v>
      </c>
      <c r="BC4561" s="3" t="s">
        <v>77</v>
      </c>
      <c r="BD4561" s="3" t="s">
        <v>78</v>
      </c>
      <c r="BF4561" s="3" t="s">
        <v>44514</v>
      </c>
      <c r="BG4561" s="3" t="s">
        <v>44515</v>
      </c>
      <c r="BH4561">
        <f t="shared" si="141"/>
        <v>0</v>
      </c>
    </row>
    <row r="4562" spans="1:60" ht="58" x14ac:dyDescent="0.35">
      <c r="A4562" s="2" t="s">
        <v>59</v>
      </c>
      <c r="B4562" s="2" t="s">
        <v>60</v>
      </c>
      <c r="C4562" s="2" t="s">
        <v>44495</v>
      </c>
      <c r="D4562" s="2" t="s">
        <v>44496</v>
      </c>
      <c r="E4562" s="2" t="s">
        <v>44497</v>
      </c>
      <c r="F4562" s="3" t="s">
        <v>519</v>
      </c>
      <c r="G4562" s="3" t="s">
        <v>128</v>
      </c>
      <c r="I4562" s="3" t="s">
        <v>64</v>
      </c>
      <c r="J4562" s="3" t="s">
        <v>64</v>
      </c>
      <c r="K4562" s="3" t="s">
        <v>65</v>
      </c>
      <c r="L4562" s="2" t="s">
        <v>44498</v>
      </c>
      <c r="M4562" s="2" t="s">
        <v>44499</v>
      </c>
      <c r="N4562" s="3" t="s">
        <v>315</v>
      </c>
      <c r="O4562" s="2" t="s">
        <v>734</v>
      </c>
      <c r="P4562" s="3" t="s">
        <v>102</v>
      </c>
      <c r="Q4562" s="2" t="s">
        <v>44500</v>
      </c>
      <c r="R4562" s="3" t="s">
        <v>70</v>
      </c>
      <c r="S4562" s="4">
        <v>1</v>
      </c>
      <c r="T4562" s="4">
        <v>8</v>
      </c>
      <c r="U4562" s="5" t="s">
        <v>8822</v>
      </c>
      <c r="V4562" s="5" t="s">
        <v>8822</v>
      </c>
      <c r="W4562" s="5" t="s">
        <v>72</v>
      </c>
      <c r="X4562" s="5" t="s">
        <v>72</v>
      </c>
      <c r="Y4562" s="4">
        <v>28</v>
      </c>
      <c r="Z4562" s="4">
        <v>4</v>
      </c>
      <c r="AA4562" s="4">
        <v>6</v>
      </c>
      <c r="AB4562" s="4">
        <v>1</v>
      </c>
      <c r="AC4562" s="4">
        <v>1</v>
      </c>
      <c r="AD4562" s="4">
        <v>15</v>
      </c>
      <c r="AE4562" s="4">
        <v>19</v>
      </c>
      <c r="AF4562" s="4">
        <v>0</v>
      </c>
      <c r="AG4562" s="4">
        <v>0</v>
      </c>
      <c r="AH4562" s="4">
        <v>14</v>
      </c>
      <c r="AI4562" s="4">
        <v>16</v>
      </c>
      <c r="AJ4562" s="4">
        <v>3</v>
      </c>
      <c r="AK4562" s="4">
        <v>5</v>
      </c>
      <c r="AL4562" s="4">
        <v>10</v>
      </c>
      <c r="AM4562" s="4">
        <v>12</v>
      </c>
      <c r="AN4562" s="4">
        <v>0</v>
      </c>
      <c r="AO4562" s="4">
        <v>0</v>
      </c>
      <c r="AP4562" s="4">
        <v>3</v>
      </c>
      <c r="AQ4562" s="4">
        <v>4</v>
      </c>
      <c r="AR4562" s="3" t="s">
        <v>64</v>
      </c>
      <c r="AS4562" s="3" t="s">
        <v>64</v>
      </c>
      <c r="AT4562" s="3" t="s">
        <v>128</v>
      </c>
      <c r="AU4562" s="6" t="str">
        <f t="shared" si="142"/>
        <v>HathiTrust Record</v>
      </c>
      <c r="AV4562" s="6" t="str">
        <f t="shared" si="143"/>
        <v>Catalog Record</v>
      </c>
      <c r="AW4562" s="6" t="str">
        <f t="shared" si="144"/>
        <v>WorldCat Record</v>
      </c>
      <c r="AX4562" s="3" t="s">
        <v>44501</v>
      </c>
      <c r="AY4562" s="3" t="s">
        <v>44502</v>
      </c>
      <c r="AZ4562" s="3" t="s">
        <v>44503</v>
      </c>
      <c r="BA4562" s="3" t="s">
        <v>44503</v>
      </c>
      <c r="BB4562" s="3" t="s">
        <v>44516</v>
      </c>
      <c r="BC4562" s="3" t="s">
        <v>77</v>
      </c>
      <c r="BD4562" s="3" t="s">
        <v>78</v>
      </c>
      <c r="BF4562" s="3" t="s">
        <v>44516</v>
      </c>
      <c r="BG4562" s="3" t="s">
        <v>44517</v>
      </c>
      <c r="BH4562">
        <f t="shared" si="141"/>
        <v>0</v>
      </c>
    </row>
    <row r="4563" spans="1:60" ht="58" x14ac:dyDescent="0.35">
      <c r="A4563" s="2" t="s">
        <v>59</v>
      </c>
      <c r="B4563" s="2" t="s">
        <v>60</v>
      </c>
      <c r="C4563" s="2" t="s">
        <v>44495</v>
      </c>
      <c r="D4563" s="2" t="s">
        <v>44496</v>
      </c>
      <c r="E4563" s="2" t="s">
        <v>44497</v>
      </c>
      <c r="F4563" s="3" t="s">
        <v>2044</v>
      </c>
      <c r="G4563" s="3" t="s">
        <v>128</v>
      </c>
      <c r="I4563" s="3" t="s">
        <v>64</v>
      </c>
      <c r="J4563" s="3" t="s">
        <v>64</v>
      </c>
      <c r="K4563" s="3" t="s">
        <v>65</v>
      </c>
      <c r="L4563" s="2" t="s">
        <v>44498</v>
      </c>
      <c r="M4563" s="2" t="s">
        <v>44499</v>
      </c>
      <c r="N4563" s="3" t="s">
        <v>315</v>
      </c>
      <c r="O4563" s="2" t="s">
        <v>734</v>
      </c>
      <c r="P4563" s="3" t="s">
        <v>102</v>
      </c>
      <c r="Q4563" s="2" t="s">
        <v>44500</v>
      </c>
      <c r="R4563" s="3" t="s">
        <v>70</v>
      </c>
      <c r="S4563" s="4">
        <v>1</v>
      </c>
      <c r="T4563" s="4">
        <v>8</v>
      </c>
      <c r="U4563" s="5" t="s">
        <v>8822</v>
      </c>
      <c r="V4563" s="5" t="s">
        <v>8822</v>
      </c>
      <c r="W4563" s="5" t="s">
        <v>72</v>
      </c>
      <c r="X4563" s="5" t="s">
        <v>72</v>
      </c>
      <c r="Y4563" s="4">
        <v>28</v>
      </c>
      <c r="Z4563" s="4">
        <v>4</v>
      </c>
      <c r="AA4563" s="4">
        <v>6</v>
      </c>
      <c r="AB4563" s="4">
        <v>1</v>
      </c>
      <c r="AC4563" s="4">
        <v>1</v>
      </c>
      <c r="AD4563" s="4">
        <v>15</v>
      </c>
      <c r="AE4563" s="4">
        <v>19</v>
      </c>
      <c r="AF4563" s="4">
        <v>0</v>
      </c>
      <c r="AG4563" s="4">
        <v>0</v>
      </c>
      <c r="AH4563" s="4">
        <v>14</v>
      </c>
      <c r="AI4563" s="4">
        <v>16</v>
      </c>
      <c r="AJ4563" s="4">
        <v>3</v>
      </c>
      <c r="AK4563" s="4">
        <v>5</v>
      </c>
      <c r="AL4563" s="4">
        <v>10</v>
      </c>
      <c r="AM4563" s="4">
        <v>12</v>
      </c>
      <c r="AN4563" s="4">
        <v>0</v>
      </c>
      <c r="AO4563" s="4">
        <v>0</v>
      </c>
      <c r="AP4563" s="4">
        <v>3</v>
      </c>
      <c r="AQ4563" s="4">
        <v>4</v>
      </c>
      <c r="AR4563" s="3" t="s">
        <v>64</v>
      </c>
      <c r="AS4563" s="3" t="s">
        <v>64</v>
      </c>
      <c r="AT4563" s="3" t="s">
        <v>128</v>
      </c>
      <c r="AU4563" s="6" t="str">
        <f t="shared" si="142"/>
        <v>HathiTrust Record</v>
      </c>
      <c r="AV4563" s="6" t="str">
        <f t="shared" si="143"/>
        <v>Catalog Record</v>
      </c>
      <c r="AW4563" s="6" t="str">
        <f t="shared" si="144"/>
        <v>WorldCat Record</v>
      </c>
      <c r="AX4563" s="3" t="s">
        <v>44501</v>
      </c>
      <c r="AY4563" s="3" t="s">
        <v>44502</v>
      </c>
      <c r="AZ4563" s="3" t="s">
        <v>44503</v>
      </c>
      <c r="BA4563" s="3" t="s">
        <v>44503</v>
      </c>
      <c r="BB4563" s="3" t="s">
        <v>44518</v>
      </c>
      <c r="BC4563" s="3" t="s">
        <v>77</v>
      </c>
      <c r="BD4563" s="3" t="s">
        <v>78</v>
      </c>
      <c r="BF4563" s="3" t="s">
        <v>44518</v>
      </c>
      <c r="BG4563" s="3" t="s">
        <v>44519</v>
      </c>
      <c r="BH4563">
        <f t="shared" si="141"/>
        <v>0</v>
      </c>
    </row>
    <row r="4564" spans="1:60" ht="58" x14ac:dyDescent="0.35">
      <c r="A4564" s="2" t="s">
        <v>59</v>
      </c>
      <c r="B4564" s="2" t="s">
        <v>60</v>
      </c>
      <c r="C4564" s="2" t="s">
        <v>44520</v>
      </c>
      <c r="D4564" s="2" t="s">
        <v>44521</v>
      </c>
      <c r="E4564" s="2" t="s">
        <v>44522</v>
      </c>
      <c r="G4564" s="3" t="s">
        <v>64</v>
      </c>
      <c r="I4564" s="3" t="s">
        <v>64</v>
      </c>
      <c r="J4564" s="3" t="s">
        <v>64</v>
      </c>
      <c r="K4564" s="3" t="s">
        <v>65</v>
      </c>
      <c r="M4564" s="2" t="s">
        <v>44523</v>
      </c>
      <c r="N4564" s="3" t="s">
        <v>1763</v>
      </c>
      <c r="P4564" s="3" t="s">
        <v>102</v>
      </c>
      <c r="R4564" s="3" t="s">
        <v>70</v>
      </c>
      <c r="S4564" s="4">
        <v>1</v>
      </c>
      <c r="T4564" s="4">
        <v>1</v>
      </c>
      <c r="U4564" s="5" t="s">
        <v>8822</v>
      </c>
      <c r="V4564" s="5" t="s">
        <v>8822</v>
      </c>
      <c r="W4564" s="5" t="s">
        <v>72</v>
      </c>
      <c r="X4564" s="5" t="s">
        <v>72</v>
      </c>
      <c r="Y4564" s="4">
        <v>32</v>
      </c>
      <c r="Z4564" s="4">
        <v>3</v>
      </c>
      <c r="AA4564" s="4">
        <v>3</v>
      </c>
      <c r="AB4564" s="4">
        <v>1</v>
      </c>
      <c r="AC4564" s="4">
        <v>1</v>
      </c>
      <c r="AD4564" s="4">
        <v>22</v>
      </c>
      <c r="AE4564" s="4">
        <v>23</v>
      </c>
      <c r="AF4564" s="4">
        <v>0</v>
      </c>
      <c r="AG4564" s="4">
        <v>0</v>
      </c>
      <c r="AH4564" s="4">
        <v>21</v>
      </c>
      <c r="AI4564" s="4">
        <v>22</v>
      </c>
      <c r="AJ4564" s="4">
        <v>1</v>
      </c>
      <c r="AK4564" s="4">
        <v>1</v>
      </c>
      <c r="AL4564" s="4">
        <v>18</v>
      </c>
      <c r="AM4564" s="4">
        <v>19</v>
      </c>
      <c r="AN4564" s="4">
        <v>0</v>
      </c>
      <c r="AO4564" s="4">
        <v>0</v>
      </c>
      <c r="AP4564" s="4">
        <v>1</v>
      </c>
      <c r="AQ4564" s="4">
        <v>1</v>
      </c>
      <c r="AR4564" s="3" t="s">
        <v>64</v>
      </c>
      <c r="AS4564" s="3" t="s">
        <v>64</v>
      </c>
      <c r="AT4564" s="3" t="s">
        <v>128</v>
      </c>
      <c r="AU4564" s="6" t="str">
        <f>HYPERLINK("http://catalog.hathitrust.org/Record/000393997","HathiTrust Record")</f>
        <v>HathiTrust Record</v>
      </c>
      <c r="AV4564" s="6" t="str">
        <f>HYPERLINK("http://mcgill.on.worldcat.org/oclc/13217145","Catalog Record")</f>
        <v>Catalog Record</v>
      </c>
      <c r="AW4564" s="6" t="str">
        <f>HYPERLINK("http://www.worldcat.org/oclc/13217145","WorldCat Record")</f>
        <v>WorldCat Record</v>
      </c>
      <c r="AX4564" s="3" t="s">
        <v>44524</v>
      </c>
      <c r="AY4564" s="3" t="s">
        <v>44525</v>
      </c>
      <c r="AZ4564" s="3" t="s">
        <v>44526</v>
      </c>
      <c r="BA4564" s="3" t="s">
        <v>44526</v>
      </c>
      <c r="BB4564" s="3" t="s">
        <v>44527</v>
      </c>
      <c r="BC4564" s="3" t="s">
        <v>77</v>
      </c>
      <c r="BD4564" s="3" t="s">
        <v>78</v>
      </c>
      <c r="BF4564" s="3" t="s">
        <v>44527</v>
      </c>
      <c r="BG4564" s="3" t="s">
        <v>44528</v>
      </c>
      <c r="BH4564">
        <f t="shared" si="141"/>
        <v>0</v>
      </c>
    </row>
    <row r="4565" spans="1:60" ht="58" x14ac:dyDescent="0.35">
      <c r="A4565" s="2" t="s">
        <v>59</v>
      </c>
      <c r="B4565" s="2" t="s">
        <v>60</v>
      </c>
      <c r="C4565" s="2" t="s">
        <v>44529</v>
      </c>
      <c r="D4565" s="2" t="s">
        <v>44530</v>
      </c>
      <c r="E4565" s="2" t="s">
        <v>44531</v>
      </c>
      <c r="G4565" s="3" t="s">
        <v>64</v>
      </c>
      <c r="I4565" s="3" t="s">
        <v>64</v>
      </c>
      <c r="J4565" s="3" t="s">
        <v>64</v>
      </c>
      <c r="K4565" s="3" t="s">
        <v>65</v>
      </c>
      <c r="L4565" s="2" t="s">
        <v>44532</v>
      </c>
      <c r="M4565" s="2" t="s">
        <v>44533</v>
      </c>
      <c r="N4565" s="3" t="s">
        <v>3584</v>
      </c>
      <c r="O4565" s="2" t="s">
        <v>2149</v>
      </c>
      <c r="P4565" s="3" t="s">
        <v>102</v>
      </c>
      <c r="R4565" s="3" t="s">
        <v>70</v>
      </c>
      <c r="S4565" s="4">
        <v>1</v>
      </c>
      <c r="T4565" s="4">
        <v>1</v>
      </c>
      <c r="U4565" s="5" t="s">
        <v>3129</v>
      </c>
      <c r="V4565" s="5" t="s">
        <v>3129</v>
      </c>
      <c r="W4565" s="5" t="s">
        <v>72</v>
      </c>
      <c r="X4565" s="5" t="s">
        <v>72</v>
      </c>
      <c r="Y4565" s="4">
        <v>70</v>
      </c>
      <c r="Z4565" s="4">
        <v>8</v>
      </c>
      <c r="AA4565" s="4">
        <v>8</v>
      </c>
      <c r="AB4565" s="4">
        <v>1</v>
      </c>
      <c r="AC4565" s="4">
        <v>1</v>
      </c>
      <c r="AD4565" s="4">
        <v>41</v>
      </c>
      <c r="AE4565" s="4">
        <v>41</v>
      </c>
      <c r="AF4565" s="4">
        <v>0</v>
      </c>
      <c r="AG4565" s="4">
        <v>0</v>
      </c>
      <c r="AH4565" s="4">
        <v>37</v>
      </c>
      <c r="AI4565" s="4">
        <v>37</v>
      </c>
      <c r="AJ4565" s="4">
        <v>6</v>
      </c>
      <c r="AK4565" s="4">
        <v>6</v>
      </c>
      <c r="AL4565" s="4">
        <v>26</v>
      </c>
      <c r="AM4565" s="4">
        <v>26</v>
      </c>
      <c r="AN4565" s="4">
        <v>0</v>
      </c>
      <c r="AO4565" s="4">
        <v>0</v>
      </c>
      <c r="AP4565" s="4">
        <v>5</v>
      </c>
      <c r="AQ4565" s="4">
        <v>5</v>
      </c>
      <c r="AR4565" s="3" t="s">
        <v>64</v>
      </c>
      <c r="AS4565" s="3" t="s">
        <v>64</v>
      </c>
      <c r="AT4565" s="3" t="s">
        <v>64</v>
      </c>
      <c r="AV4565" s="6" t="str">
        <f>HYPERLINK("http://mcgill.on.worldcat.org/oclc/4026778","Catalog Record")</f>
        <v>Catalog Record</v>
      </c>
      <c r="AW4565" s="6" t="str">
        <f>HYPERLINK("http://www.worldcat.org/oclc/4026778","WorldCat Record")</f>
        <v>WorldCat Record</v>
      </c>
      <c r="AX4565" s="3" t="s">
        <v>44534</v>
      </c>
      <c r="AY4565" s="3" t="s">
        <v>44535</v>
      </c>
      <c r="AZ4565" s="3" t="s">
        <v>44536</v>
      </c>
      <c r="BA4565" s="3" t="s">
        <v>44536</v>
      </c>
      <c r="BB4565" s="3" t="s">
        <v>44537</v>
      </c>
      <c r="BC4565" s="3" t="s">
        <v>77</v>
      </c>
      <c r="BD4565" s="3" t="s">
        <v>78</v>
      </c>
      <c r="BF4565" s="3" t="s">
        <v>44537</v>
      </c>
      <c r="BG4565" s="3" t="s">
        <v>44538</v>
      </c>
      <c r="BH4565">
        <f t="shared" si="141"/>
        <v>0</v>
      </c>
    </row>
    <row r="4566" spans="1:60" ht="87" x14ac:dyDescent="0.35">
      <c r="A4566" s="2" t="s">
        <v>6202</v>
      </c>
      <c r="B4566" s="2" t="s">
        <v>44446</v>
      </c>
      <c r="C4566" s="2" t="s">
        <v>44539</v>
      </c>
      <c r="D4566" s="2" t="s">
        <v>44540</v>
      </c>
      <c r="E4566" s="2" t="s">
        <v>44541</v>
      </c>
      <c r="G4566" s="3" t="s">
        <v>64</v>
      </c>
      <c r="I4566" s="3" t="s">
        <v>64</v>
      </c>
      <c r="J4566" s="3" t="s">
        <v>64</v>
      </c>
      <c r="K4566" s="3" t="s">
        <v>65</v>
      </c>
      <c r="M4566" s="2" t="s">
        <v>44542</v>
      </c>
      <c r="N4566" s="3" t="s">
        <v>326</v>
      </c>
      <c r="O4566" s="2" t="s">
        <v>44451</v>
      </c>
      <c r="P4566" s="3" t="s">
        <v>44452</v>
      </c>
      <c r="R4566" s="3" t="s">
        <v>70</v>
      </c>
      <c r="S4566" s="4">
        <v>0</v>
      </c>
      <c r="T4566" s="4">
        <v>0</v>
      </c>
      <c r="W4566" s="5" t="s">
        <v>72</v>
      </c>
      <c r="X4566" s="5" t="s">
        <v>72</v>
      </c>
      <c r="Y4566" s="4">
        <v>7</v>
      </c>
      <c r="Z4566" s="4">
        <v>1</v>
      </c>
      <c r="AA4566" s="4">
        <v>1</v>
      </c>
      <c r="AB4566" s="4">
        <v>1</v>
      </c>
      <c r="AC4566" s="4">
        <v>1</v>
      </c>
      <c r="AD4566" s="4">
        <v>4</v>
      </c>
      <c r="AE4566" s="4">
        <v>4</v>
      </c>
      <c r="AF4566" s="4">
        <v>0</v>
      </c>
      <c r="AG4566" s="4">
        <v>0</v>
      </c>
      <c r="AH4566" s="4">
        <v>4</v>
      </c>
      <c r="AI4566" s="4">
        <v>4</v>
      </c>
      <c r="AJ4566" s="4">
        <v>0</v>
      </c>
      <c r="AK4566" s="4">
        <v>0</v>
      </c>
      <c r="AL4566" s="4">
        <v>2</v>
      </c>
      <c r="AM4566" s="4">
        <v>2</v>
      </c>
      <c r="AN4566" s="4">
        <v>0</v>
      </c>
      <c r="AO4566" s="4">
        <v>0</v>
      </c>
      <c r="AP4566" s="4">
        <v>0</v>
      </c>
      <c r="AQ4566" s="4">
        <v>0</v>
      </c>
      <c r="AR4566" s="3" t="s">
        <v>64</v>
      </c>
      <c r="AS4566" s="3" t="s">
        <v>64</v>
      </c>
      <c r="AT4566" s="3" t="s">
        <v>64</v>
      </c>
      <c r="AV4566" s="6" t="str">
        <f>HYPERLINK("http://mcgill.on.worldcat.org/oclc/794175052","Catalog Record")</f>
        <v>Catalog Record</v>
      </c>
      <c r="AW4566" s="6" t="str">
        <f>HYPERLINK("http://www.worldcat.org/oclc/794175052","WorldCat Record")</f>
        <v>WorldCat Record</v>
      </c>
      <c r="AX4566" s="3" t="s">
        <v>44543</v>
      </c>
      <c r="AY4566" s="3" t="s">
        <v>44544</v>
      </c>
      <c r="AZ4566" s="3" t="s">
        <v>44545</v>
      </c>
      <c r="BA4566" s="3" t="s">
        <v>44545</v>
      </c>
      <c r="BB4566" s="3" t="s">
        <v>44546</v>
      </c>
      <c r="BC4566" s="3" t="s">
        <v>77</v>
      </c>
      <c r="BD4566" s="3" t="s">
        <v>78</v>
      </c>
      <c r="BE4566" s="3" t="s">
        <v>44547</v>
      </c>
      <c r="BF4566" s="3" t="s">
        <v>44546</v>
      </c>
      <c r="BG4566" s="3" t="s">
        <v>44548</v>
      </c>
      <c r="BH4566">
        <f t="shared" si="141"/>
        <v>0</v>
      </c>
    </row>
    <row r="4567" spans="1:60" ht="58" x14ac:dyDescent="0.35">
      <c r="A4567" s="2" t="s">
        <v>59</v>
      </c>
      <c r="B4567" s="2" t="s">
        <v>60</v>
      </c>
      <c r="C4567" s="2" t="s">
        <v>44549</v>
      </c>
      <c r="D4567" s="2" t="s">
        <v>44550</v>
      </c>
      <c r="E4567" s="2" t="s">
        <v>44551</v>
      </c>
      <c r="G4567" s="3" t="s">
        <v>64</v>
      </c>
      <c r="I4567" s="3" t="s">
        <v>64</v>
      </c>
      <c r="J4567" s="3" t="s">
        <v>64</v>
      </c>
      <c r="K4567" s="3" t="s">
        <v>65</v>
      </c>
      <c r="L4567" s="2" t="s">
        <v>44552</v>
      </c>
      <c r="M4567" s="2" t="s">
        <v>44553</v>
      </c>
      <c r="N4567" s="3" t="s">
        <v>405</v>
      </c>
      <c r="P4567" s="3" t="s">
        <v>102</v>
      </c>
      <c r="Q4567" s="2" t="s">
        <v>44554</v>
      </c>
      <c r="R4567" s="3" t="s">
        <v>70</v>
      </c>
      <c r="S4567" s="4">
        <v>14</v>
      </c>
      <c r="T4567" s="4">
        <v>14</v>
      </c>
      <c r="U4567" s="5" t="s">
        <v>4792</v>
      </c>
      <c r="V4567" s="5" t="s">
        <v>4792</v>
      </c>
      <c r="W4567" s="5" t="s">
        <v>72</v>
      </c>
      <c r="X4567" s="5" t="s">
        <v>72</v>
      </c>
      <c r="Y4567" s="4">
        <v>104</v>
      </c>
      <c r="Z4567" s="4">
        <v>9</v>
      </c>
      <c r="AA4567" s="4">
        <v>9</v>
      </c>
      <c r="AB4567" s="4">
        <v>1</v>
      </c>
      <c r="AC4567" s="4">
        <v>1</v>
      </c>
      <c r="AD4567" s="4">
        <v>42</v>
      </c>
      <c r="AE4567" s="4">
        <v>42</v>
      </c>
      <c r="AF4567" s="4">
        <v>0</v>
      </c>
      <c r="AG4567" s="4">
        <v>0</v>
      </c>
      <c r="AH4567" s="4">
        <v>38</v>
      </c>
      <c r="AI4567" s="4">
        <v>38</v>
      </c>
      <c r="AJ4567" s="4">
        <v>3</v>
      </c>
      <c r="AK4567" s="4">
        <v>3</v>
      </c>
      <c r="AL4567" s="4">
        <v>28</v>
      </c>
      <c r="AM4567" s="4">
        <v>28</v>
      </c>
      <c r="AN4567" s="4">
        <v>0</v>
      </c>
      <c r="AO4567" s="4">
        <v>0</v>
      </c>
      <c r="AP4567" s="4">
        <v>6</v>
      </c>
      <c r="AQ4567" s="4">
        <v>6</v>
      </c>
      <c r="AR4567" s="3" t="s">
        <v>64</v>
      </c>
      <c r="AS4567" s="3" t="s">
        <v>64</v>
      </c>
      <c r="AT4567" s="3" t="s">
        <v>128</v>
      </c>
      <c r="AU4567" s="6" t="str">
        <f>HYPERLINK("http://catalog.hathitrust.org/Record/000745052","HathiTrust Record")</f>
        <v>HathiTrust Record</v>
      </c>
      <c r="AV4567" s="6" t="str">
        <f>HYPERLINK("http://mcgill.on.worldcat.org/oclc/2458502","Catalog Record")</f>
        <v>Catalog Record</v>
      </c>
      <c r="AW4567" s="6" t="str">
        <f>HYPERLINK("http://www.worldcat.org/oclc/2458502","WorldCat Record")</f>
        <v>WorldCat Record</v>
      </c>
      <c r="AX4567" s="3" t="s">
        <v>44555</v>
      </c>
      <c r="AY4567" s="3" t="s">
        <v>44556</v>
      </c>
      <c r="AZ4567" s="3" t="s">
        <v>44557</v>
      </c>
      <c r="BA4567" s="3" t="s">
        <v>44557</v>
      </c>
      <c r="BB4567" s="3" t="s">
        <v>44558</v>
      </c>
      <c r="BC4567" s="3" t="s">
        <v>77</v>
      </c>
      <c r="BD4567" s="3" t="s">
        <v>78</v>
      </c>
      <c r="BE4567" s="3" t="s">
        <v>44559</v>
      </c>
      <c r="BF4567" s="3" t="s">
        <v>44558</v>
      </c>
      <c r="BG4567" s="3" t="s">
        <v>44560</v>
      </c>
      <c r="BH4567">
        <f t="shared" si="141"/>
        <v>0</v>
      </c>
    </row>
    <row r="4568" spans="1:60" ht="87" x14ac:dyDescent="0.35">
      <c r="A4568" s="2" t="s">
        <v>59</v>
      </c>
      <c r="B4568" s="2" t="s">
        <v>60</v>
      </c>
      <c r="C4568" s="2" t="s">
        <v>44561</v>
      </c>
      <c r="D4568" s="2" t="s">
        <v>44562</v>
      </c>
      <c r="E4568" s="2" t="s">
        <v>44563</v>
      </c>
      <c r="F4568" s="3" t="s">
        <v>44564</v>
      </c>
      <c r="G4568" s="3" t="s">
        <v>128</v>
      </c>
      <c r="I4568" s="3" t="s">
        <v>64</v>
      </c>
      <c r="J4568" s="3" t="s">
        <v>64</v>
      </c>
      <c r="K4568" s="3" t="s">
        <v>65</v>
      </c>
      <c r="M4568" s="2" t="s">
        <v>44565</v>
      </c>
      <c r="N4568" s="3" t="s">
        <v>2067</v>
      </c>
      <c r="P4568" s="3" t="s">
        <v>365</v>
      </c>
      <c r="R4568" s="3" t="s">
        <v>70</v>
      </c>
      <c r="S4568" s="4">
        <v>0</v>
      </c>
      <c r="T4568" s="4">
        <v>10</v>
      </c>
      <c r="V4568" s="5" t="s">
        <v>7052</v>
      </c>
      <c r="W4568" s="5" t="s">
        <v>72</v>
      </c>
      <c r="X4568" s="5" t="s">
        <v>72</v>
      </c>
      <c r="Y4568" s="4">
        <v>96</v>
      </c>
      <c r="Z4568" s="4">
        <v>8</v>
      </c>
      <c r="AA4568" s="4">
        <v>9</v>
      </c>
      <c r="AB4568" s="4">
        <v>1</v>
      </c>
      <c r="AC4568" s="4">
        <v>2</v>
      </c>
      <c r="AD4568" s="4">
        <v>42</v>
      </c>
      <c r="AE4568" s="4">
        <v>43</v>
      </c>
      <c r="AF4568" s="4">
        <v>0</v>
      </c>
      <c r="AG4568" s="4">
        <v>1</v>
      </c>
      <c r="AH4568" s="4">
        <v>40</v>
      </c>
      <c r="AI4568" s="4">
        <v>41</v>
      </c>
      <c r="AJ4568" s="4">
        <v>5</v>
      </c>
      <c r="AK4568" s="4">
        <v>6</v>
      </c>
      <c r="AL4568" s="4">
        <v>30</v>
      </c>
      <c r="AM4568" s="4">
        <v>30</v>
      </c>
      <c r="AN4568" s="4">
        <v>0</v>
      </c>
      <c r="AO4568" s="4">
        <v>0</v>
      </c>
      <c r="AP4568" s="4">
        <v>5</v>
      </c>
      <c r="AQ4568" s="4">
        <v>6</v>
      </c>
      <c r="AR4568" s="3" t="s">
        <v>64</v>
      </c>
      <c r="AS4568" s="3" t="s">
        <v>64</v>
      </c>
      <c r="AT4568" s="3" t="s">
        <v>128</v>
      </c>
      <c r="AU4568" s="6" t="str">
        <f t="shared" ref="AU4568:AU4573" si="145">HYPERLINK("http://catalog.hathitrust.org/Record/001291114","HathiTrust Record")</f>
        <v>HathiTrust Record</v>
      </c>
      <c r="AV4568" s="6" t="str">
        <f t="shared" ref="AV4568:AV4573" si="146">HYPERLINK("http://mcgill.on.worldcat.org/oclc/21594622","Catalog Record")</f>
        <v>Catalog Record</v>
      </c>
      <c r="AW4568" s="6" t="str">
        <f t="shared" ref="AW4568:AW4573" si="147">HYPERLINK("http://www.worldcat.org/oclc/21594622","WorldCat Record")</f>
        <v>WorldCat Record</v>
      </c>
      <c r="AX4568" s="3" t="s">
        <v>44566</v>
      </c>
      <c r="AY4568" s="3" t="s">
        <v>44567</v>
      </c>
      <c r="AZ4568" s="3" t="s">
        <v>44568</v>
      </c>
      <c r="BA4568" s="3" t="s">
        <v>44568</v>
      </c>
      <c r="BB4568" s="3" t="s">
        <v>44569</v>
      </c>
      <c r="BC4568" s="3" t="s">
        <v>77</v>
      </c>
      <c r="BD4568" s="3" t="s">
        <v>78</v>
      </c>
      <c r="BE4568" s="3" t="s">
        <v>44570</v>
      </c>
      <c r="BF4568" s="3" t="s">
        <v>44569</v>
      </c>
      <c r="BG4568" s="3" t="s">
        <v>44571</v>
      </c>
      <c r="BH4568">
        <f t="shared" si="141"/>
        <v>0</v>
      </c>
    </row>
    <row r="4569" spans="1:60" ht="87" x14ac:dyDescent="0.35">
      <c r="A4569" s="2" t="s">
        <v>59</v>
      </c>
      <c r="B4569" s="2" t="s">
        <v>60</v>
      </c>
      <c r="C4569" s="2" t="s">
        <v>44561</v>
      </c>
      <c r="D4569" s="2" t="s">
        <v>44562</v>
      </c>
      <c r="E4569" s="2" t="s">
        <v>44563</v>
      </c>
      <c r="F4569" s="3" t="s">
        <v>44572</v>
      </c>
      <c r="G4569" s="3" t="s">
        <v>128</v>
      </c>
      <c r="I4569" s="3" t="s">
        <v>64</v>
      </c>
      <c r="J4569" s="3" t="s">
        <v>64</v>
      </c>
      <c r="K4569" s="3" t="s">
        <v>65</v>
      </c>
      <c r="M4569" s="2" t="s">
        <v>44565</v>
      </c>
      <c r="N4569" s="3" t="s">
        <v>2067</v>
      </c>
      <c r="P4569" s="3" t="s">
        <v>365</v>
      </c>
      <c r="R4569" s="3" t="s">
        <v>70</v>
      </c>
      <c r="S4569" s="4">
        <v>0</v>
      </c>
      <c r="T4569" s="4">
        <v>10</v>
      </c>
      <c r="V4569" s="5" t="s">
        <v>7052</v>
      </c>
      <c r="W4569" s="5" t="s">
        <v>72</v>
      </c>
      <c r="X4569" s="5" t="s">
        <v>72</v>
      </c>
      <c r="Y4569" s="4">
        <v>96</v>
      </c>
      <c r="Z4569" s="4">
        <v>8</v>
      </c>
      <c r="AA4569" s="4">
        <v>9</v>
      </c>
      <c r="AB4569" s="4">
        <v>1</v>
      </c>
      <c r="AC4569" s="4">
        <v>2</v>
      </c>
      <c r="AD4569" s="4">
        <v>42</v>
      </c>
      <c r="AE4569" s="4">
        <v>43</v>
      </c>
      <c r="AF4569" s="4">
        <v>0</v>
      </c>
      <c r="AG4569" s="4">
        <v>1</v>
      </c>
      <c r="AH4569" s="4">
        <v>40</v>
      </c>
      <c r="AI4569" s="4">
        <v>41</v>
      </c>
      <c r="AJ4569" s="4">
        <v>5</v>
      </c>
      <c r="AK4569" s="4">
        <v>6</v>
      </c>
      <c r="AL4569" s="4">
        <v>30</v>
      </c>
      <c r="AM4569" s="4">
        <v>30</v>
      </c>
      <c r="AN4569" s="4">
        <v>0</v>
      </c>
      <c r="AO4569" s="4">
        <v>0</v>
      </c>
      <c r="AP4569" s="4">
        <v>5</v>
      </c>
      <c r="AQ4569" s="4">
        <v>6</v>
      </c>
      <c r="AR4569" s="3" t="s">
        <v>64</v>
      </c>
      <c r="AS4569" s="3" t="s">
        <v>64</v>
      </c>
      <c r="AT4569" s="3" t="s">
        <v>128</v>
      </c>
      <c r="AU4569" s="6" t="str">
        <f t="shared" si="145"/>
        <v>HathiTrust Record</v>
      </c>
      <c r="AV4569" s="6" t="str">
        <f t="shared" si="146"/>
        <v>Catalog Record</v>
      </c>
      <c r="AW4569" s="6" t="str">
        <f t="shared" si="147"/>
        <v>WorldCat Record</v>
      </c>
      <c r="AX4569" s="3" t="s">
        <v>44566</v>
      </c>
      <c r="AY4569" s="3" t="s">
        <v>44567</v>
      </c>
      <c r="AZ4569" s="3" t="s">
        <v>44568</v>
      </c>
      <c r="BA4569" s="3" t="s">
        <v>44568</v>
      </c>
      <c r="BB4569" s="3" t="s">
        <v>44573</v>
      </c>
      <c r="BC4569" s="3" t="s">
        <v>77</v>
      </c>
      <c r="BD4569" s="3" t="s">
        <v>78</v>
      </c>
      <c r="BE4569" s="3" t="s">
        <v>44570</v>
      </c>
      <c r="BF4569" s="3" t="s">
        <v>44573</v>
      </c>
      <c r="BG4569" s="3" t="s">
        <v>44574</v>
      </c>
      <c r="BH4569">
        <f t="shared" si="141"/>
        <v>0</v>
      </c>
    </row>
    <row r="4570" spans="1:60" ht="87" x14ac:dyDescent="0.35">
      <c r="A4570" s="2" t="s">
        <v>59</v>
      </c>
      <c r="B4570" s="2" t="s">
        <v>60</v>
      </c>
      <c r="C4570" s="2" t="s">
        <v>44561</v>
      </c>
      <c r="D4570" s="2" t="s">
        <v>44562</v>
      </c>
      <c r="E4570" s="2" t="s">
        <v>44563</v>
      </c>
      <c r="F4570" s="3" t="s">
        <v>44575</v>
      </c>
      <c r="G4570" s="3" t="s">
        <v>128</v>
      </c>
      <c r="I4570" s="3" t="s">
        <v>64</v>
      </c>
      <c r="J4570" s="3" t="s">
        <v>64</v>
      </c>
      <c r="K4570" s="3" t="s">
        <v>65</v>
      </c>
      <c r="M4570" s="2" t="s">
        <v>44565</v>
      </c>
      <c r="N4570" s="3" t="s">
        <v>2067</v>
      </c>
      <c r="P4570" s="3" t="s">
        <v>365</v>
      </c>
      <c r="R4570" s="3" t="s">
        <v>70</v>
      </c>
      <c r="S4570" s="4">
        <v>8</v>
      </c>
      <c r="T4570" s="4">
        <v>10</v>
      </c>
      <c r="U4570" s="5" t="s">
        <v>7052</v>
      </c>
      <c r="V4570" s="5" t="s">
        <v>7052</v>
      </c>
      <c r="W4570" s="5" t="s">
        <v>72</v>
      </c>
      <c r="X4570" s="5" t="s">
        <v>72</v>
      </c>
      <c r="Y4570" s="4">
        <v>96</v>
      </c>
      <c r="Z4570" s="4">
        <v>8</v>
      </c>
      <c r="AA4570" s="4">
        <v>9</v>
      </c>
      <c r="AB4570" s="4">
        <v>1</v>
      </c>
      <c r="AC4570" s="4">
        <v>2</v>
      </c>
      <c r="AD4570" s="4">
        <v>42</v>
      </c>
      <c r="AE4570" s="4">
        <v>43</v>
      </c>
      <c r="AF4570" s="4">
        <v>0</v>
      </c>
      <c r="AG4570" s="4">
        <v>1</v>
      </c>
      <c r="AH4570" s="4">
        <v>40</v>
      </c>
      <c r="AI4570" s="4">
        <v>41</v>
      </c>
      <c r="AJ4570" s="4">
        <v>5</v>
      </c>
      <c r="AK4570" s="4">
        <v>6</v>
      </c>
      <c r="AL4570" s="4">
        <v>30</v>
      </c>
      <c r="AM4570" s="4">
        <v>30</v>
      </c>
      <c r="AN4570" s="4">
        <v>0</v>
      </c>
      <c r="AO4570" s="4">
        <v>0</v>
      </c>
      <c r="AP4570" s="4">
        <v>5</v>
      </c>
      <c r="AQ4570" s="4">
        <v>6</v>
      </c>
      <c r="AR4570" s="3" t="s">
        <v>64</v>
      </c>
      <c r="AS4570" s="3" t="s">
        <v>64</v>
      </c>
      <c r="AT4570" s="3" t="s">
        <v>128</v>
      </c>
      <c r="AU4570" s="6" t="str">
        <f t="shared" si="145"/>
        <v>HathiTrust Record</v>
      </c>
      <c r="AV4570" s="6" t="str">
        <f t="shared" si="146"/>
        <v>Catalog Record</v>
      </c>
      <c r="AW4570" s="6" t="str">
        <f t="shared" si="147"/>
        <v>WorldCat Record</v>
      </c>
      <c r="AX4570" s="3" t="s">
        <v>44566</v>
      </c>
      <c r="AY4570" s="3" t="s">
        <v>44567</v>
      </c>
      <c r="AZ4570" s="3" t="s">
        <v>44568</v>
      </c>
      <c r="BA4570" s="3" t="s">
        <v>44568</v>
      </c>
      <c r="BB4570" s="3" t="s">
        <v>44576</v>
      </c>
      <c r="BC4570" s="3" t="s">
        <v>77</v>
      </c>
      <c r="BD4570" s="3" t="s">
        <v>78</v>
      </c>
      <c r="BE4570" s="3" t="s">
        <v>44570</v>
      </c>
      <c r="BF4570" s="3" t="s">
        <v>44576</v>
      </c>
      <c r="BG4570" s="3" t="s">
        <v>44577</v>
      </c>
      <c r="BH4570">
        <f t="shared" si="141"/>
        <v>0</v>
      </c>
    </row>
    <row r="4571" spans="1:60" ht="87" x14ac:dyDescent="0.35">
      <c r="A4571" s="2" t="s">
        <v>59</v>
      </c>
      <c r="B4571" s="2" t="s">
        <v>60</v>
      </c>
      <c r="C4571" s="2" t="s">
        <v>44561</v>
      </c>
      <c r="D4571" s="2" t="s">
        <v>44562</v>
      </c>
      <c r="E4571" s="2" t="s">
        <v>44563</v>
      </c>
      <c r="F4571" s="3" t="s">
        <v>44578</v>
      </c>
      <c r="G4571" s="3" t="s">
        <v>128</v>
      </c>
      <c r="I4571" s="3" t="s">
        <v>64</v>
      </c>
      <c r="J4571" s="3" t="s">
        <v>64</v>
      </c>
      <c r="K4571" s="3" t="s">
        <v>65</v>
      </c>
      <c r="M4571" s="2" t="s">
        <v>44565</v>
      </c>
      <c r="N4571" s="3" t="s">
        <v>2067</v>
      </c>
      <c r="P4571" s="3" t="s">
        <v>365</v>
      </c>
      <c r="R4571" s="3" t="s">
        <v>70</v>
      </c>
      <c r="S4571" s="4">
        <v>0</v>
      </c>
      <c r="T4571" s="4">
        <v>10</v>
      </c>
      <c r="V4571" s="5" t="s">
        <v>7052</v>
      </c>
      <c r="W4571" s="5" t="s">
        <v>72</v>
      </c>
      <c r="X4571" s="5" t="s">
        <v>72</v>
      </c>
      <c r="Y4571" s="4">
        <v>96</v>
      </c>
      <c r="Z4571" s="4">
        <v>8</v>
      </c>
      <c r="AA4571" s="4">
        <v>9</v>
      </c>
      <c r="AB4571" s="4">
        <v>1</v>
      </c>
      <c r="AC4571" s="4">
        <v>2</v>
      </c>
      <c r="AD4571" s="4">
        <v>42</v>
      </c>
      <c r="AE4571" s="4">
        <v>43</v>
      </c>
      <c r="AF4571" s="4">
        <v>0</v>
      </c>
      <c r="AG4571" s="4">
        <v>1</v>
      </c>
      <c r="AH4571" s="4">
        <v>40</v>
      </c>
      <c r="AI4571" s="4">
        <v>41</v>
      </c>
      <c r="AJ4571" s="4">
        <v>5</v>
      </c>
      <c r="AK4571" s="4">
        <v>6</v>
      </c>
      <c r="AL4571" s="4">
        <v>30</v>
      </c>
      <c r="AM4571" s="4">
        <v>30</v>
      </c>
      <c r="AN4571" s="4">
        <v>0</v>
      </c>
      <c r="AO4571" s="4">
        <v>0</v>
      </c>
      <c r="AP4571" s="4">
        <v>5</v>
      </c>
      <c r="AQ4571" s="4">
        <v>6</v>
      </c>
      <c r="AR4571" s="3" t="s">
        <v>64</v>
      </c>
      <c r="AS4571" s="3" t="s">
        <v>64</v>
      </c>
      <c r="AT4571" s="3" t="s">
        <v>128</v>
      </c>
      <c r="AU4571" s="6" t="str">
        <f t="shared" si="145"/>
        <v>HathiTrust Record</v>
      </c>
      <c r="AV4571" s="6" t="str">
        <f t="shared" si="146"/>
        <v>Catalog Record</v>
      </c>
      <c r="AW4571" s="6" t="str">
        <f t="shared" si="147"/>
        <v>WorldCat Record</v>
      </c>
      <c r="AX4571" s="3" t="s">
        <v>44566</v>
      </c>
      <c r="AY4571" s="3" t="s">
        <v>44567</v>
      </c>
      <c r="AZ4571" s="3" t="s">
        <v>44568</v>
      </c>
      <c r="BA4571" s="3" t="s">
        <v>44568</v>
      </c>
      <c r="BB4571" s="3" t="s">
        <v>44579</v>
      </c>
      <c r="BC4571" s="3" t="s">
        <v>77</v>
      </c>
      <c r="BD4571" s="3" t="s">
        <v>78</v>
      </c>
      <c r="BE4571" s="3" t="s">
        <v>44570</v>
      </c>
      <c r="BF4571" s="3" t="s">
        <v>44579</v>
      </c>
      <c r="BG4571" s="3" t="s">
        <v>44580</v>
      </c>
      <c r="BH4571">
        <f t="shared" si="141"/>
        <v>0</v>
      </c>
    </row>
    <row r="4572" spans="1:60" ht="87" x14ac:dyDescent="0.35">
      <c r="A4572" s="2" t="s">
        <v>59</v>
      </c>
      <c r="B4572" s="2" t="s">
        <v>60</v>
      </c>
      <c r="C4572" s="2" t="s">
        <v>44561</v>
      </c>
      <c r="D4572" s="2" t="s">
        <v>44562</v>
      </c>
      <c r="E4572" s="2" t="s">
        <v>44563</v>
      </c>
      <c r="F4572" s="3" t="s">
        <v>44581</v>
      </c>
      <c r="G4572" s="3" t="s">
        <v>128</v>
      </c>
      <c r="I4572" s="3" t="s">
        <v>64</v>
      </c>
      <c r="J4572" s="3" t="s">
        <v>64</v>
      </c>
      <c r="K4572" s="3" t="s">
        <v>65</v>
      </c>
      <c r="M4572" s="2" t="s">
        <v>44565</v>
      </c>
      <c r="N4572" s="3" t="s">
        <v>2067</v>
      </c>
      <c r="P4572" s="3" t="s">
        <v>365</v>
      </c>
      <c r="R4572" s="3" t="s">
        <v>70</v>
      </c>
      <c r="S4572" s="4">
        <v>2</v>
      </c>
      <c r="T4572" s="4">
        <v>10</v>
      </c>
      <c r="U4572" s="5" t="s">
        <v>44582</v>
      </c>
      <c r="V4572" s="5" t="s">
        <v>7052</v>
      </c>
      <c r="W4572" s="5" t="s">
        <v>72</v>
      </c>
      <c r="X4572" s="5" t="s">
        <v>72</v>
      </c>
      <c r="Y4572" s="4">
        <v>96</v>
      </c>
      <c r="Z4572" s="4">
        <v>8</v>
      </c>
      <c r="AA4572" s="4">
        <v>9</v>
      </c>
      <c r="AB4572" s="4">
        <v>1</v>
      </c>
      <c r="AC4572" s="4">
        <v>2</v>
      </c>
      <c r="AD4572" s="4">
        <v>42</v>
      </c>
      <c r="AE4572" s="4">
        <v>43</v>
      </c>
      <c r="AF4572" s="4">
        <v>0</v>
      </c>
      <c r="AG4572" s="4">
        <v>1</v>
      </c>
      <c r="AH4572" s="4">
        <v>40</v>
      </c>
      <c r="AI4572" s="4">
        <v>41</v>
      </c>
      <c r="AJ4572" s="4">
        <v>5</v>
      </c>
      <c r="AK4572" s="4">
        <v>6</v>
      </c>
      <c r="AL4572" s="4">
        <v>30</v>
      </c>
      <c r="AM4572" s="4">
        <v>30</v>
      </c>
      <c r="AN4572" s="4">
        <v>0</v>
      </c>
      <c r="AO4572" s="4">
        <v>0</v>
      </c>
      <c r="AP4572" s="4">
        <v>5</v>
      </c>
      <c r="AQ4572" s="4">
        <v>6</v>
      </c>
      <c r="AR4572" s="3" t="s">
        <v>64</v>
      </c>
      <c r="AS4572" s="3" t="s">
        <v>64</v>
      </c>
      <c r="AT4572" s="3" t="s">
        <v>128</v>
      </c>
      <c r="AU4572" s="6" t="str">
        <f t="shared" si="145"/>
        <v>HathiTrust Record</v>
      </c>
      <c r="AV4572" s="6" t="str">
        <f t="shared" si="146"/>
        <v>Catalog Record</v>
      </c>
      <c r="AW4572" s="6" t="str">
        <f t="shared" si="147"/>
        <v>WorldCat Record</v>
      </c>
      <c r="AX4572" s="3" t="s">
        <v>44566</v>
      </c>
      <c r="AY4572" s="3" t="s">
        <v>44567</v>
      </c>
      <c r="AZ4572" s="3" t="s">
        <v>44568</v>
      </c>
      <c r="BA4572" s="3" t="s">
        <v>44568</v>
      </c>
      <c r="BB4572" s="3" t="s">
        <v>44583</v>
      </c>
      <c r="BC4572" s="3" t="s">
        <v>77</v>
      </c>
      <c r="BD4572" s="3" t="s">
        <v>78</v>
      </c>
      <c r="BE4572" s="3" t="s">
        <v>44570</v>
      </c>
      <c r="BF4572" s="3" t="s">
        <v>44583</v>
      </c>
      <c r="BG4572" s="3" t="s">
        <v>44584</v>
      </c>
      <c r="BH4572">
        <f t="shared" si="141"/>
        <v>0</v>
      </c>
    </row>
    <row r="4573" spans="1:60" ht="87" x14ac:dyDescent="0.35">
      <c r="A4573" s="2" t="s">
        <v>59</v>
      </c>
      <c r="B4573" s="2" t="s">
        <v>60</v>
      </c>
      <c r="C4573" s="2" t="s">
        <v>44561</v>
      </c>
      <c r="D4573" s="2" t="s">
        <v>44562</v>
      </c>
      <c r="E4573" s="2" t="s">
        <v>44563</v>
      </c>
      <c r="F4573" s="3" t="s">
        <v>44585</v>
      </c>
      <c r="G4573" s="3" t="s">
        <v>128</v>
      </c>
      <c r="I4573" s="3" t="s">
        <v>64</v>
      </c>
      <c r="J4573" s="3" t="s">
        <v>64</v>
      </c>
      <c r="K4573" s="3" t="s">
        <v>65</v>
      </c>
      <c r="M4573" s="2" t="s">
        <v>44565</v>
      </c>
      <c r="N4573" s="3" t="s">
        <v>2067</v>
      </c>
      <c r="P4573" s="3" t="s">
        <v>365</v>
      </c>
      <c r="R4573" s="3" t="s">
        <v>70</v>
      </c>
      <c r="S4573" s="4">
        <v>0</v>
      </c>
      <c r="T4573" s="4">
        <v>10</v>
      </c>
      <c r="V4573" s="5" t="s">
        <v>7052</v>
      </c>
      <c r="W4573" s="5" t="s">
        <v>72</v>
      </c>
      <c r="X4573" s="5" t="s">
        <v>72</v>
      </c>
      <c r="Y4573" s="4">
        <v>96</v>
      </c>
      <c r="Z4573" s="4">
        <v>8</v>
      </c>
      <c r="AA4573" s="4">
        <v>9</v>
      </c>
      <c r="AB4573" s="4">
        <v>1</v>
      </c>
      <c r="AC4573" s="4">
        <v>2</v>
      </c>
      <c r="AD4573" s="4">
        <v>42</v>
      </c>
      <c r="AE4573" s="4">
        <v>43</v>
      </c>
      <c r="AF4573" s="4">
        <v>0</v>
      </c>
      <c r="AG4573" s="4">
        <v>1</v>
      </c>
      <c r="AH4573" s="4">
        <v>40</v>
      </c>
      <c r="AI4573" s="4">
        <v>41</v>
      </c>
      <c r="AJ4573" s="4">
        <v>5</v>
      </c>
      <c r="AK4573" s="4">
        <v>6</v>
      </c>
      <c r="AL4573" s="4">
        <v>30</v>
      </c>
      <c r="AM4573" s="4">
        <v>30</v>
      </c>
      <c r="AN4573" s="4">
        <v>0</v>
      </c>
      <c r="AO4573" s="4">
        <v>0</v>
      </c>
      <c r="AP4573" s="4">
        <v>5</v>
      </c>
      <c r="AQ4573" s="4">
        <v>6</v>
      </c>
      <c r="AR4573" s="3" t="s">
        <v>64</v>
      </c>
      <c r="AS4573" s="3" t="s">
        <v>64</v>
      </c>
      <c r="AT4573" s="3" t="s">
        <v>128</v>
      </c>
      <c r="AU4573" s="6" t="str">
        <f t="shared" si="145"/>
        <v>HathiTrust Record</v>
      </c>
      <c r="AV4573" s="6" t="str">
        <f t="shared" si="146"/>
        <v>Catalog Record</v>
      </c>
      <c r="AW4573" s="6" t="str">
        <f t="shared" si="147"/>
        <v>WorldCat Record</v>
      </c>
      <c r="AX4573" s="3" t="s">
        <v>44566</v>
      </c>
      <c r="AY4573" s="3" t="s">
        <v>44567</v>
      </c>
      <c r="AZ4573" s="3" t="s">
        <v>44568</v>
      </c>
      <c r="BA4573" s="3" t="s">
        <v>44568</v>
      </c>
      <c r="BB4573" s="3" t="s">
        <v>44586</v>
      </c>
      <c r="BC4573" s="3" t="s">
        <v>77</v>
      </c>
      <c r="BD4573" s="3" t="s">
        <v>78</v>
      </c>
      <c r="BE4573" s="3" t="s">
        <v>44570</v>
      </c>
      <c r="BF4573" s="3" t="s">
        <v>44586</v>
      </c>
      <c r="BG4573" s="3" t="s">
        <v>44587</v>
      </c>
      <c r="BH4573">
        <f t="shared" si="141"/>
        <v>0</v>
      </c>
    </row>
    <row r="4574" spans="1:60" ht="72.5" x14ac:dyDescent="0.35">
      <c r="A4574" s="2" t="s">
        <v>59</v>
      </c>
      <c r="B4574" s="2" t="s">
        <v>60</v>
      </c>
      <c r="C4574" s="2" t="s">
        <v>44588</v>
      </c>
      <c r="D4574" s="2" t="s">
        <v>44589</v>
      </c>
      <c r="E4574" s="2" t="s">
        <v>44590</v>
      </c>
      <c r="F4574" s="3" t="s">
        <v>489</v>
      </c>
      <c r="G4574" s="3" t="s">
        <v>128</v>
      </c>
      <c r="I4574" s="3" t="s">
        <v>64</v>
      </c>
      <c r="J4574" s="3" t="s">
        <v>64</v>
      </c>
      <c r="K4574" s="3" t="s">
        <v>65</v>
      </c>
      <c r="L4574" s="2" t="s">
        <v>44591</v>
      </c>
      <c r="M4574" s="2" t="s">
        <v>44592</v>
      </c>
      <c r="N4574" s="3" t="s">
        <v>1017</v>
      </c>
      <c r="P4574" s="3" t="s">
        <v>102</v>
      </c>
      <c r="R4574" s="3" t="s">
        <v>70</v>
      </c>
      <c r="S4574" s="4">
        <v>1</v>
      </c>
      <c r="T4574" s="4">
        <v>2</v>
      </c>
      <c r="U4574" s="5" t="s">
        <v>1603</v>
      </c>
      <c r="V4574" s="5" t="s">
        <v>1603</v>
      </c>
      <c r="W4574" s="5" t="s">
        <v>72</v>
      </c>
      <c r="X4574" s="5" t="s">
        <v>72</v>
      </c>
      <c r="Y4574" s="4">
        <v>43</v>
      </c>
      <c r="Z4574" s="4">
        <v>7</v>
      </c>
      <c r="AA4574" s="4">
        <v>7</v>
      </c>
      <c r="AB4574" s="4">
        <v>1</v>
      </c>
      <c r="AC4574" s="4">
        <v>1</v>
      </c>
      <c r="AD4574" s="4">
        <v>33</v>
      </c>
      <c r="AE4574" s="4">
        <v>33</v>
      </c>
      <c r="AF4574" s="4">
        <v>0</v>
      </c>
      <c r="AG4574" s="4">
        <v>0</v>
      </c>
      <c r="AH4574" s="4">
        <v>30</v>
      </c>
      <c r="AI4574" s="4">
        <v>30</v>
      </c>
      <c r="AJ4574" s="4">
        <v>5</v>
      </c>
      <c r="AK4574" s="4">
        <v>5</v>
      </c>
      <c r="AL4574" s="4">
        <v>24</v>
      </c>
      <c r="AM4574" s="4">
        <v>24</v>
      </c>
      <c r="AN4574" s="4">
        <v>0</v>
      </c>
      <c r="AO4574" s="4">
        <v>0</v>
      </c>
      <c r="AP4574" s="4">
        <v>4</v>
      </c>
      <c r="AQ4574" s="4">
        <v>4</v>
      </c>
      <c r="AR4574" s="3" t="s">
        <v>64</v>
      </c>
      <c r="AS4574" s="3" t="s">
        <v>64</v>
      </c>
      <c r="AT4574" s="3" t="s">
        <v>128</v>
      </c>
      <c r="AU4574" s="6" t="str">
        <f>HYPERLINK("http://catalog.hathitrust.org/Record/000767875","HathiTrust Record")</f>
        <v>HathiTrust Record</v>
      </c>
      <c r="AV4574" s="6" t="str">
        <f>HYPERLINK("http://mcgill.on.worldcat.org/oclc/5126748","Catalog Record")</f>
        <v>Catalog Record</v>
      </c>
      <c r="AW4574" s="6" t="str">
        <f>HYPERLINK("http://www.worldcat.org/oclc/5126748","WorldCat Record")</f>
        <v>WorldCat Record</v>
      </c>
      <c r="AX4574" s="3" t="s">
        <v>44593</v>
      </c>
      <c r="AY4574" s="3" t="s">
        <v>44594</v>
      </c>
      <c r="AZ4574" s="3" t="s">
        <v>44595</v>
      </c>
      <c r="BA4574" s="3" t="s">
        <v>44595</v>
      </c>
      <c r="BB4574" s="3" t="s">
        <v>44596</v>
      </c>
      <c r="BC4574" s="3" t="s">
        <v>77</v>
      </c>
      <c r="BD4574" s="3" t="s">
        <v>78</v>
      </c>
      <c r="BF4574" s="3" t="s">
        <v>44596</v>
      </c>
      <c r="BG4574" s="3" t="s">
        <v>44597</v>
      </c>
      <c r="BH4574">
        <f t="shared" si="141"/>
        <v>0</v>
      </c>
    </row>
    <row r="4575" spans="1:60" ht="72.5" x14ac:dyDescent="0.35">
      <c r="A4575" s="2" t="s">
        <v>59</v>
      </c>
      <c r="B4575" s="2" t="s">
        <v>60</v>
      </c>
      <c r="C4575" s="2" t="s">
        <v>44588</v>
      </c>
      <c r="D4575" s="2" t="s">
        <v>44589</v>
      </c>
      <c r="E4575" s="2" t="s">
        <v>44590</v>
      </c>
      <c r="F4575" s="3" t="s">
        <v>478</v>
      </c>
      <c r="G4575" s="3" t="s">
        <v>128</v>
      </c>
      <c r="I4575" s="3" t="s">
        <v>64</v>
      </c>
      <c r="J4575" s="3" t="s">
        <v>64</v>
      </c>
      <c r="K4575" s="3" t="s">
        <v>65</v>
      </c>
      <c r="L4575" s="2" t="s">
        <v>44591</v>
      </c>
      <c r="M4575" s="2" t="s">
        <v>44592</v>
      </c>
      <c r="N4575" s="3" t="s">
        <v>1017</v>
      </c>
      <c r="P4575" s="3" t="s">
        <v>102</v>
      </c>
      <c r="R4575" s="3" t="s">
        <v>70</v>
      </c>
      <c r="S4575" s="4">
        <v>1</v>
      </c>
      <c r="T4575" s="4">
        <v>2</v>
      </c>
      <c r="U4575" s="5" t="s">
        <v>1603</v>
      </c>
      <c r="V4575" s="5" t="s">
        <v>1603</v>
      </c>
      <c r="W4575" s="5" t="s">
        <v>72</v>
      </c>
      <c r="X4575" s="5" t="s">
        <v>72</v>
      </c>
      <c r="Y4575" s="4">
        <v>43</v>
      </c>
      <c r="Z4575" s="4">
        <v>7</v>
      </c>
      <c r="AA4575" s="4">
        <v>7</v>
      </c>
      <c r="AB4575" s="4">
        <v>1</v>
      </c>
      <c r="AC4575" s="4">
        <v>1</v>
      </c>
      <c r="AD4575" s="4">
        <v>33</v>
      </c>
      <c r="AE4575" s="4">
        <v>33</v>
      </c>
      <c r="AF4575" s="4">
        <v>0</v>
      </c>
      <c r="AG4575" s="4">
        <v>0</v>
      </c>
      <c r="AH4575" s="4">
        <v>30</v>
      </c>
      <c r="AI4575" s="4">
        <v>30</v>
      </c>
      <c r="AJ4575" s="4">
        <v>5</v>
      </c>
      <c r="AK4575" s="4">
        <v>5</v>
      </c>
      <c r="AL4575" s="4">
        <v>24</v>
      </c>
      <c r="AM4575" s="4">
        <v>24</v>
      </c>
      <c r="AN4575" s="4">
        <v>0</v>
      </c>
      <c r="AO4575" s="4">
        <v>0</v>
      </c>
      <c r="AP4575" s="4">
        <v>4</v>
      </c>
      <c r="AQ4575" s="4">
        <v>4</v>
      </c>
      <c r="AR4575" s="3" t="s">
        <v>64</v>
      </c>
      <c r="AS4575" s="3" t="s">
        <v>64</v>
      </c>
      <c r="AT4575" s="3" t="s">
        <v>128</v>
      </c>
      <c r="AU4575" s="6" t="str">
        <f>HYPERLINK("http://catalog.hathitrust.org/Record/000767875","HathiTrust Record")</f>
        <v>HathiTrust Record</v>
      </c>
      <c r="AV4575" s="6" t="str">
        <f>HYPERLINK("http://mcgill.on.worldcat.org/oclc/5126748","Catalog Record")</f>
        <v>Catalog Record</v>
      </c>
      <c r="AW4575" s="6" t="str">
        <f>HYPERLINK("http://www.worldcat.org/oclc/5126748","WorldCat Record")</f>
        <v>WorldCat Record</v>
      </c>
      <c r="AX4575" s="3" t="s">
        <v>44593</v>
      </c>
      <c r="AY4575" s="3" t="s">
        <v>44594</v>
      </c>
      <c r="AZ4575" s="3" t="s">
        <v>44595</v>
      </c>
      <c r="BA4575" s="3" t="s">
        <v>44595</v>
      </c>
      <c r="BB4575" s="3" t="s">
        <v>44598</v>
      </c>
      <c r="BC4575" s="3" t="s">
        <v>77</v>
      </c>
      <c r="BD4575" s="3" t="s">
        <v>78</v>
      </c>
      <c r="BF4575" s="3" t="s">
        <v>44598</v>
      </c>
      <c r="BG4575" s="3" t="s">
        <v>44599</v>
      </c>
      <c r="BH4575">
        <f t="shared" si="141"/>
        <v>0</v>
      </c>
    </row>
    <row r="4576" spans="1:60" ht="58" x14ac:dyDescent="0.35">
      <c r="A4576" s="2" t="s">
        <v>6202</v>
      </c>
      <c r="B4576" s="2" t="s">
        <v>6203</v>
      </c>
      <c r="C4576" s="2" t="s">
        <v>44600</v>
      </c>
      <c r="D4576" s="2" t="s">
        <v>44601</v>
      </c>
      <c r="E4576" s="2" t="s">
        <v>44602</v>
      </c>
      <c r="F4576" s="3" t="s">
        <v>529</v>
      </c>
      <c r="G4576" s="3" t="s">
        <v>128</v>
      </c>
      <c r="I4576" s="3" t="s">
        <v>64</v>
      </c>
      <c r="J4576" s="3" t="s">
        <v>64</v>
      </c>
      <c r="K4576" s="3" t="s">
        <v>65</v>
      </c>
      <c r="L4576" s="2" t="s">
        <v>44603</v>
      </c>
      <c r="M4576" s="2" t="s">
        <v>44604</v>
      </c>
      <c r="N4576" s="3" t="s">
        <v>1087</v>
      </c>
      <c r="P4576" s="3" t="s">
        <v>102</v>
      </c>
      <c r="R4576" s="3" t="s">
        <v>70</v>
      </c>
      <c r="S4576" s="4">
        <v>5</v>
      </c>
      <c r="T4576" s="4">
        <v>9</v>
      </c>
      <c r="U4576" s="5" t="s">
        <v>1505</v>
      </c>
      <c r="V4576" s="5" t="s">
        <v>1505</v>
      </c>
      <c r="W4576" s="5" t="s">
        <v>72</v>
      </c>
      <c r="X4576" s="5" t="s">
        <v>72</v>
      </c>
      <c r="Y4576" s="4">
        <v>252</v>
      </c>
      <c r="Z4576" s="4">
        <v>26</v>
      </c>
      <c r="AA4576" s="4">
        <v>28</v>
      </c>
      <c r="AB4576" s="4">
        <v>2</v>
      </c>
      <c r="AC4576" s="4">
        <v>4</v>
      </c>
      <c r="AD4576" s="4">
        <v>101</v>
      </c>
      <c r="AE4576" s="4">
        <v>103</v>
      </c>
      <c r="AF4576" s="4">
        <v>0</v>
      </c>
      <c r="AG4576" s="4">
        <v>2</v>
      </c>
      <c r="AH4576" s="4">
        <v>90</v>
      </c>
      <c r="AI4576" s="4">
        <v>91</v>
      </c>
      <c r="AJ4576" s="4">
        <v>17</v>
      </c>
      <c r="AK4576" s="4">
        <v>19</v>
      </c>
      <c r="AL4576" s="4">
        <v>51</v>
      </c>
      <c r="AM4576" s="4">
        <v>51</v>
      </c>
      <c r="AN4576" s="4">
        <v>0</v>
      </c>
      <c r="AO4576" s="4">
        <v>0</v>
      </c>
      <c r="AP4576" s="4">
        <v>20</v>
      </c>
      <c r="AQ4576" s="4">
        <v>22</v>
      </c>
      <c r="AR4576" s="3" t="s">
        <v>64</v>
      </c>
      <c r="AS4576" s="3" t="s">
        <v>64</v>
      </c>
      <c r="AT4576" s="3" t="s">
        <v>128</v>
      </c>
      <c r="AU4576" s="6" t="str">
        <f>HYPERLINK("http://catalog.hathitrust.org/Record/002473607","HathiTrust Record")</f>
        <v>HathiTrust Record</v>
      </c>
      <c r="AV4576" s="6" t="str">
        <f>HYPERLINK("http://mcgill.on.worldcat.org/oclc/22005098","Catalog Record")</f>
        <v>Catalog Record</v>
      </c>
      <c r="AW4576" s="6" t="str">
        <f>HYPERLINK("http://www.worldcat.org/oclc/22005098","WorldCat Record")</f>
        <v>WorldCat Record</v>
      </c>
      <c r="AX4576" s="3" t="s">
        <v>44605</v>
      </c>
      <c r="AY4576" s="3" t="s">
        <v>44606</v>
      </c>
      <c r="AZ4576" s="3" t="s">
        <v>44607</v>
      </c>
      <c r="BA4576" s="3" t="s">
        <v>44607</v>
      </c>
      <c r="BB4576" s="3" t="s">
        <v>44608</v>
      </c>
      <c r="BC4576" s="3" t="s">
        <v>77</v>
      </c>
      <c r="BD4576" s="3" t="s">
        <v>78</v>
      </c>
      <c r="BE4576" s="3" t="s">
        <v>44609</v>
      </c>
      <c r="BF4576" s="3" t="s">
        <v>44608</v>
      </c>
      <c r="BG4576" s="3" t="s">
        <v>44610</v>
      </c>
      <c r="BH4576">
        <f t="shared" si="141"/>
        <v>0</v>
      </c>
    </row>
    <row r="4577" spans="1:60" ht="58" x14ac:dyDescent="0.35">
      <c r="A4577" s="2" t="s">
        <v>6202</v>
      </c>
      <c r="B4577" s="2" t="s">
        <v>6203</v>
      </c>
      <c r="C4577" s="2" t="s">
        <v>44600</v>
      </c>
      <c r="D4577" s="2" t="s">
        <v>44601</v>
      </c>
      <c r="E4577" s="2" t="s">
        <v>44602</v>
      </c>
      <c r="F4577" s="3" t="s">
        <v>525</v>
      </c>
      <c r="G4577" s="3" t="s">
        <v>128</v>
      </c>
      <c r="I4577" s="3" t="s">
        <v>64</v>
      </c>
      <c r="J4577" s="3" t="s">
        <v>64</v>
      </c>
      <c r="K4577" s="3" t="s">
        <v>65</v>
      </c>
      <c r="L4577" s="2" t="s">
        <v>44603</v>
      </c>
      <c r="M4577" s="2" t="s">
        <v>44604</v>
      </c>
      <c r="N4577" s="3" t="s">
        <v>1087</v>
      </c>
      <c r="P4577" s="3" t="s">
        <v>102</v>
      </c>
      <c r="R4577" s="3" t="s">
        <v>70</v>
      </c>
      <c r="S4577" s="4">
        <v>4</v>
      </c>
      <c r="T4577" s="4">
        <v>9</v>
      </c>
      <c r="U4577" s="5" t="s">
        <v>1505</v>
      </c>
      <c r="V4577" s="5" t="s">
        <v>1505</v>
      </c>
      <c r="W4577" s="5" t="s">
        <v>72</v>
      </c>
      <c r="X4577" s="5" t="s">
        <v>72</v>
      </c>
      <c r="Y4577" s="4">
        <v>252</v>
      </c>
      <c r="Z4577" s="4">
        <v>26</v>
      </c>
      <c r="AA4577" s="4">
        <v>28</v>
      </c>
      <c r="AB4577" s="4">
        <v>2</v>
      </c>
      <c r="AC4577" s="4">
        <v>4</v>
      </c>
      <c r="AD4577" s="4">
        <v>101</v>
      </c>
      <c r="AE4577" s="4">
        <v>103</v>
      </c>
      <c r="AF4577" s="4">
        <v>0</v>
      </c>
      <c r="AG4577" s="4">
        <v>2</v>
      </c>
      <c r="AH4577" s="4">
        <v>90</v>
      </c>
      <c r="AI4577" s="4">
        <v>91</v>
      </c>
      <c r="AJ4577" s="4">
        <v>17</v>
      </c>
      <c r="AK4577" s="4">
        <v>19</v>
      </c>
      <c r="AL4577" s="4">
        <v>51</v>
      </c>
      <c r="AM4577" s="4">
        <v>51</v>
      </c>
      <c r="AN4577" s="4">
        <v>0</v>
      </c>
      <c r="AO4577" s="4">
        <v>0</v>
      </c>
      <c r="AP4577" s="4">
        <v>20</v>
      </c>
      <c r="AQ4577" s="4">
        <v>22</v>
      </c>
      <c r="AR4577" s="3" t="s">
        <v>64</v>
      </c>
      <c r="AS4577" s="3" t="s">
        <v>64</v>
      </c>
      <c r="AT4577" s="3" t="s">
        <v>128</v>
      </c>
      <c r="AU4577" s="6" t="str">
        <f>HYPERLINK("http://catalog.hathitrust.org/Record/002473607","HathiTrust Record")</f>
        <v>HathiTrust Record</v>
      </c>
      <c r="AV4577" s="6" t="str">
        <f>HYPERLINK("http://mcgill.on.worldcat.org/oclc/22005098","Catalog Record")</f>
        <v>Catalog Record</v>
      </c>
      <c r="AW4577" s="6" t="str">
        <f>HYPERLINK("http://www.worldcat.org/oclc/22005098","WorldCat Record")</f>
        <v>WorldCat Record</v>
      </c>
      <c r="AX4577" s="3" t="s">
        <v>44605</v>
      </c>
      <c r="AY4577" s="3" t="s">
        <v>44606</v>
      </c>
      <c r="AZ4577" s="3" t="s">
        <v>44607</v>
      </c>
      <c r="BA4577" s="3" t="s">
        <v>44607</v>
      </c>
      <c r="BB4577" s="3" t="s">
        <v>44611</v>
      </c>
      <c r="BC4577" s="3" t="s">
        <v>77</v>
      </c>
      <c r="BD4577" s="3" t="s">
        <v>78</v>
      </c>
      <c r="BE4577" s="3" t="s">
        <v>44609</v>
      </c>
      <c r="BF4577" s="3" t="s">
        <v>44611</v>
      </c>
      <c r="BG4577" s="3" t="s">
        <v>44612</v>
      </c>
      <c r="BH4577">
        <f t="shared" si="141"/>
        <v>0</v>
      </c>
    </row>
    <row r="4578" spans="1:60" ht="72.5" x14ac:dyDescent="0.35">
      <c r="A4578" s="2" t="s">
        <v>59</v>
      </c>
      <c r="B4578" s="2" t="s">
        <v>60</v>
      </c>
      <c r="C4578" s="2" t="s">
        <v>44613</v>
      </c>
      <c r="D4578" s="2" t="s">
        <v>44614</v>
      </c>
      <c r="E4578" s="2" t="s">
        <v>44615</v>
      </c>
      <c r="G4578" s="3" t="s">
        <v>64</v>
      </c>
      <c r="I4578" s="3" t="s">
        <v>64</v>
      </c>
      <c r="J4578" s="3" t="s">
        <v>64</v>
      </c>
      <c r="K4578" s="3" t="s">
        <v>65</v>
      </c>
      <c r="M4578" s="2" t="s">
        <v>44616</v>
      </c>
      <c r="N4578" s="3" t="s">
        <v>578</v>
      </c>
      <c r="P4578" s="3" t="s">
        <v>102</v>
      </c>
      <c r="Q4578" s="2" t="s">
        <v>44617</v>
      </c>
      <c r="R4578" s="3" t="s">
        <v>70</v>
      </c>
      <c r="S4578" s="4">
        <v>0</v>
      </c>
      <c r="T4578" s="4">
        <v>0</v>
      </c>
      <c r="W4578" s="5" t="s">
        <v>72</v>
      </c>
      <c r="X4578" s="5" t="s">
        <v>72</v>
      </c>
      <c r="Y4578" s="4">
        <v>7</v>
      </c>
      <c r="Z4578" s="4">
        <v>1</v>
      </c>
      <c r="AA4578" s="4">
        <v>1</v>
      </c>
      <c r="AB4578" s="4">
        <v>1</v>
      </c>
      <c r="AC4578" s="4">
        <v>1</v>
      </c>
      <c r="AD4578" s="4">
        <v>0</v>
      </c>
      <c r="AE4578" s="4">
        <v>0</v>
      </c>
      <c r="AF4578" s="4">
        <v>0</v>
      </c>
      <c r="AG4578" s="4">
        <v>0</v>
      </c>
      <c r="AH4578" s="4">
        <v>0</v>
      </c>
      <c r="AI4578" s="4">
        <v>0</v>
      </c>
      <c r="AJ4578" s="4">
        <v>0</v>
      </c>
      <c r="AK4578" s="4">
        <v>0</v>
      </c>
      <c r="AL4578" s="4">
        <v>0</v>
      </c>
      <c r="AM4578" s="4">
        <v>0</v>
      </c>
      <c r="AN4578" s="4">
        <v>0</v>
      </c>
      <c r="AO4578" s="4">
        <v>0</v>
      </c>
      <c r="AP4578" s="4">
        <v>0</v>
      </c>
      <c r="AQ4578" s="4">
        <v>0</v>
      </c>
      <c r="AR4578" s="3" t="s">
        <v>64</v>
      </c>
      <c r="AS4578" s="3" t="s">
        <v>64</v>
      </c>
      <c r="AT4578" s="3" t="s">
        <v>64</v>
      </c>
      <c r="AV4578" s="6" t="str">
        <f>HYPERLINK("http://mcgill.on.worldcat.org/oclc/953746842","Catalog Record")</f>
        <v>Catalog Record</v>
      </c>
      <c r="AW4578" s="6" t="str">
        <f>HYPERLINK("http://www.worldcat.org/oclc/953746842","WorldCat Record")</f>
        <v>WorldCat Record</v>
      </c>
      <c r="AX4578" s="3" t="s">
        <v>44618</v>
      </c>
      <c r="AY4578" s="3" t="s">
        <v>44619</v>
      </c>
      <c r="AZ4578" s="3" t="s">
        <v>44620</v>
      </c>
      <c r="BA4578" s="3" t="s">
        <v>44620</v>
      </c>
      <c r="BB4578" s="3" t="s">
        <v>44621</v>
      </c>
      <c r="BC4578" s="3" t="s">
        <v>77</v>
      </c>
      <c r="BD4578" s="3" t="s">
        <v>78</v>
      </c>
      <c r="BE4578" s="3" t="s">
        <v>44622</v>
      </c>
      <c r="BF4578" s="3" t="s">
        <v>44621</v>
      </c>
      <c r="BG4578" s="3" t="s">
        <v>44623</v>
      </c>
      <c r="BH4578">
        <f t="shared" si="141"/>
        <v>0</v>
      </c>
    </row>
    <row r="4579" spans="1:60" ht="58" x14ac:dyDescent="0.35">
      <c r="A4579" s="2" t="s">
        <v>59</v>
      </c>
      <c r="B4579" s="2" t="s">
        <v>60</v>
      </c>
      <c r="C4579" s="2" t="s">
        <v>44624</v>
      </c>
      <c r="D4579" s="2" t="s">
        <v>44625</v>
      </c>
      <c r="E4579" s="2" t="s">
        <v>44626</v>
      </c>
      <c r="G4579" s="3" t="s">
        <v>64</v>
      </c>
      <c r="I4579" s="3" t="s">
        <v>64</v>
      </c>
      <c r="J4579" s="3" t="s">
        <v>64</v>
      </c>
      <c r="K4579" s="3" t="s">
        <v>65</v>
      </c>
      <c r="M4579" s="2" t="s">
        <v>44627</v>
      </c>
      <c r="N4579" s="3" t="s">
        <v>1763</v>
      </c>
      <c r="P4579" s="3" t="s">
        <v>365</v>
      </c>
      <c r="R4579" s="3" t="s">
        <v>70</v>
      </c>
      <c r="S4579" s="4">
        <v>1</v>
      </c>
      <c r="T4579" s="4">
        <v>1</v>
      </c>
      <c r="U4579" s="5" t="s">
        <v>2317</v>
      </c>
      <c r="V4579" s="5" t="s">
        <v>2317</v>
      </c>
      <c r="W4579" s="5" t="s">
        <v>72</v>
      </c>
      <c r="X4579" s="5" t="s">
        <v>72</v>
      </c>
      <c r="Y4579" s="4">
        <v>20</v>
      </c>
      <c r="Z4579" s="4">
        <v>1</v>
      </c>
      <c r="AA4579" s="4">
        <v>1</v>
      </c>
      <c r="AB4579" s="4">
        <v>1</v>
      </c>
      <c r="AC4579" s="4">
        <v>1</v>
      </c>
      <c r="AD4579" s="4">
        <v>11</v>
      </c>
      <c r="AE4579" s="4">
        <v>11</v>
      </c>
      <c r="AF4579" s="4">
        <v>0</v>
      </c>
      <c r="AG4579" s="4">
        <v>0</v>
      </c>
      <c r="AH4579" s="4">
        <v>11</v>
      </c>
      <c r="AI4579" s="4">
        <v>11</v>
      </c>
      <c r="AJ4579" s="4">
        <v>0</v>
      </c>
      <c r="AK4579" s="4">
        <v>0</v>
      </c>
      <c r="AL4579" s="4">
        <v>8</v>
      </c>
      <c r="AM4579" s="4">
        <v>8</v>
      </c>
      <c r="AN4579" s="4">
        <v>0</v>
      </c>
      <c r="AO4579" s="4">
        <v>0</v>
      </c>
      <c r="AP4579" s="4">
        <v>0</v>
      </c>
      <c r="AQ4579" s="4">
        <v>0</v>
      </c>
      <c r="AR4579" s="3" t="s">
        <v>64</v>
      </c>
      <c r="AS4579" s="3" t="s">
        <v>64</v>
      </c>
      <c r="AT4579" s="3" t="s">
        <v>64</v>
      </c>
      <c r="AV4579" s="6" t="str">
        <f>HYPERLINK("http://mcgill.on.worldcat.org/oclc/15079714","Catalog Record")</f>
        <v>Catalog Record</v>
      </c>
      <c r="AW4579" s="6" t="str">
        <f>HYPERLINK("http://www.worldcat.org/oclc/15079714","WorldCat Record")</f>
        <v>WorldCat Record</v>
      </c>
      <c r="AX4579" s="3" t="s">
        <v>44628</v>
      </c>
      <c r="AY4579" s="3" t="s">
        <v>44629</v>
      </c>
      <c r="AZ4579" s="3" t="s">
        <v>44630</v>
      </c>
      <c r="BA4579" s="3" t="s">
        <v>44630</v>
      </c>
      <c r="BB4579" s="3" t="s">
        <v>44631</v>
      </c>
      <c r="BC4579" s="3" t="s">
        <v>77</v>
      </c>
      <c r="BD4579" s="3" t="s">
        <v>78</v>
      </c>
      <c r="BE4579" s="3" t="s">
        <v>44632</v>
      </c>
      <c r="BF4579" s="3" t="s">
        <v>44631</v>
      </c>
      <c r="BG4579" s="3" t="s">
        <v>44633</v>
      </c>
      <c r="BH4579">
        <f t="shared" si="141"/>
        <v>0</v>
      </c>
    </row>
    <row r="4580" spans="1:60" ht="72.5" x14ac:dyDescent="0.35">
      <c r="A4580" s="2" t="s">
        <v>59</v>
      </c>
      <c r="B4580" s="2" t="s">
        <v>60</v>
      </c>
      <c r="C4580" s="2" t="s">
        <v>44634</v>
      </c>
      <c r="D4580" s="2" t="s">
        <v>44635</v>
      </c>
      <c r="E4580" s="2" t="s">
        <v>44636</v>
      </c>
      <c r="G4580" s="3" t="s">
        <v>64</v>
      </c>
      <c r="I4580" s="3" t="s">
        <v>64</v>
      </c>
      <c r="J4580" s="3" t="s">
        <v>64</v>
      </c>
      <c r="K4580" s="3" t="s">
        <v>65</v>
      </c>
      <c r="L4580" s="2" t="s">
        <v>44637</v>
      </c>
      <c r="M4580" s="2" t="s">
        <v>44638</v>
      </c>
      <c r="N4580" s="3" t="s">
        <v>768</v>
      </c>
      <c r="P4580" s="3" t="s">
        <v>102</v>
      </c>
      <c r="R4580" s="3" t="s">
        <v>70</v>
      </c>
      <c r="S4580" s="4">
        <v>1</v>
      </c>
      <c r="T4580" s="4">
        <v>1</v>
      </c>
      <c r="U4580" s="5" t="s">
        <v>44639</v>
      </c>
      <c r="V4580" s="5" t="s">
        <v>44639</v>
      </c>
      <c r="W4580" s="5" t="s">
        <v>72</v>
      </c>
      <c r="X4580" s="5" t="s">
        <v>72</v>
      </c>
      <c r="Y4580" s="4">
        <v>118</v>
      </c>
      <c r="Z4580" s="4">
        <v>11</v>
      </c>
      <c r="AA4580" s="4">
        <v>13</v>
      </c>
      <c r="AB4580" s="4">
        <v>2</v>
      </c>
      <c r="AC4580" s="4">
        <v>2</v>
      </c>
      <c r="AD4580" s="4">
        <v>43</v>
      </c>
      <c r="AE4580" s="4">
        <v>45</v>
      </c>
      <c r="AF4580" s="4">
        <v>1</v>
      </c>
      <c r="AG4580" s="4">
        <v>1</v>
      </c>
      <c r="AH4580" s="4">
        <v>36</v>
      </c>
      <c r="AI4580" s="4">
        <v>37</v>
      </c>
      <c r="AJ4580" s="4">
        <v>7</v>
      </c>
      <c r="AK4580" s="4">
        <v>9</v>
      </c>
      <c r="AL4580" s="4">
        <v>26</v>
      </c>
      <c r="AM4580" s="4">
        <v>26</v>
      </c>
      <c r="AN4580" s="4">
        <v>0</v>
      </c>
      <c r="AO4580" s="4">
        <v>0</v>
      </c>
      <c r="AP4580" s="4">
        <v>9</v>
      </c>
      <c r="AQ4580" s="4">
        <v>10</v>
      </c>
      <c r="AR4580" s="3" t="s">
        <v>64</v>
      </c>
      <c r="AS4580" s="3" t="s">
        <v>64</v>
      </c>
      <c r="AT4580" s="3" t="s">
        <v>64</v>
      </c>
      <c r="AV4580" s="6" t="str">
        <f>HYPERLINK("http://mcgill.on.worldcat.org/oclc/5706537","Catalog Record")</f>
        <v>Catalog Record</v>
      </c>
      <c r="AW4580" s="6" t="str">
        <f>HYPERLINK("http://www.worldcat.org/oclc/5706537","WorldCat Record")</f>
        <v>WorldCat Record</v>
      </c>
      <c r="AX4580" s="3" t="s">
        <v>44640</v>
      </c>
      <c r="AY4580" s="3" t="s">
        <v>44641</v>
      </c>
      <c r="AZ4580" s="3" t="s">
        <v>44642</v>
      </c>
      <c r="BA4580" s="3" t="s">
        <v>44642</v>
      </c>
      <c r="BB4580" s="3" t="s">
        <v>44643</v>
      </c>
      <c r="BC4580" s="3" t="s">
        <v>77</v>
      </c>
      <c r="BD4580" s="3" t="s">
        <v>78</v>
      </c>
      <c r="BE4580" s="3" t="s">
        <v>44644</v>
      </c>
      <c r="BF4580" s="3" t="s">
        <v>44643</v>
      </c>
      <c r="BG4580" s="3" t="s">
        <v>44645</v>
      </c>
      <c r="BH4580">
        <f t="shared" si="141"/>
        <v>0</v>
      </c>
    </row>
    <row r="4581" spans="1:60" ht="72.5" x14ac:dyDescent="0.35">
      <c r="A4581" s="2" t="s">
        <v>59</v>
      </c>
      <c r="B4581" s="2" t="s">
        <v>1025</v>
      </c>
      <c r="C4581" s="2" t="s">
        <v>44646</v>
      </c>
      <c r="D4581" s="2" t="s">
        <v>44647</v>
      </c>
      <c r="E4581" s="2" t="s">
        <v>44648</v>
      </c>
      <c r="G4581" s="3" t="s">
        <v>64</v>
      </c>
      <c r="I4581" s="3" t="s">
        <v>64</v>
      </c>
      <c r="J4581" s="3" t="s">
        <v>64</v>
      </c>
      <c r="K4581" s="3" t="s">
        <v>65</v>
      </c>
      <c r="L4581" s="2" t="s">
        <v>44649</v>
      </c>
      <c r="M4581" s="2" t="s">
        <v>44650</v>
      </c>
      <c r="N4581" s="3" t="s">
        <v>1938</v>
      </c>
      <c r="O4581" s="2" t="s">
        <v>44651</v>
      </c>
      <c r="P4581" s="3" t="s">
        <v>102</v>
      </c>
      <c r="R4581" s="3" t="s">
        <v>70</v>
      </c>
      <c r="S4581" s="4">
        <v>5</v>
      </c>
      <c r="T4581" s="4">
        <v>5</v>
      </c>
      <c r="U4581" s="5" t="s">
        <v>44652</v>
      </c>
      <c r="V4581" s="5" t="s">
        <v>44652</v>
      </c>
      <c r="W4581" s="5" t="s">
        <v>72</v>
      </c>
      <c r="X4581" s="5" t="s">
        <v>72</v>
      </c>
      <c r="Y4581" s="4">
        <v>264</v>
      </c>
      <c r="Z4581" s="4">
        <v>18</v>
      </c>
      <c r="AA4581" s="4">
        <v>29</v>
      </c>
      <c r="AB4581" s="4">
        <v>3</v>
      </c>
      <c r="AC4581" s="4">
        <v>5</v>
      </c>
      <c r="AD4581" s="4">
        <v>82</v>
      </c>
      <c r="AE4581" s="4">
        <v>110</v>
      </c>
      <c r="AF4581" s="4">
        <v>0</v>
      </c>
      <c r="AG4581" s="4">
        <v>2</v>
      </c>
      <c r="AH4581" s="4">
        <v>75</v>
      </c>
      <c r="AI4581" s="4">
        <v>99</v>
      </c>
      <c r="AJ4581" s="4">
        <v>10</v>
      </c>
      <c r="AK4581" s="4">
        <v>17</v>
      </c>
      <c r="AL4581" s="4">
        <v>43</v>
      </c>
      <c r="AM4581" s="4">
        <v>57</v>
      </c>
      <c r="AN4581" s="4">
        <v>0</v>
      </c>
      <c r="AO4581" s="4">
        <v>0</v>
      </c>
      <c r="AP4581" s="4">
        <v>10</v>
      </c>
      <c r="AQ4581" s="4">
        <v>16</v>
      </c>
      <c r="AR4581" s="3" t="s">
        <v>64</v>
      </c>
      <c r="AS4581" s="3" t="s">
        <v>64</v>
      </c>
      <c r="AT4581" s="3" t="s">
        <v>128</v>
      </c>
      <c r="AU4581" s="6" t="str">
        <f>HYPERLINK("http://catalog.hathitrust.org/Record/002446328","HathiTrust Record")</f>
        <v>HathiTrust Record</v>
      </c>
      <c r="AV4581" s="6" t="str">
        <f>HYPERLINK("http://mcgill.on.worldcat.org/oclc/21444340","Catalog Record")</f>
        <v>Catalog Record</v>
      </c>
      <c r="AW4581" s="6" t="str">
        <f>HYPERLINK("http://www.worldcat.org/oclc/21444340","WorldCat Record")</f>
        <v>WorldCat Record</v>
      </c>
      <c r="AX4581" s="3" t="s">
        <v>44653</v>
      </c>
      <c r="AY4581" s="3" t="s">
        <v>44654</v>
      </c>
      <c r="AZ4581" s="3" t="s">
        <v>44655</v>
      </c>
      <c r="BA4581" s="3" t="s">
        <v>44655</v>
      </c>
      <c r="BB4581" s="3" t="s">
        <v>44656</v>
      </c>
      <c r="BC4581" s="3" t="s">
        <v>77</v>
      </c>
      <c r="BD4581" s="3" t="s">
        <v>78</v>
      </c>
      <c r="BE4581" s="3" t="s">
        <v>44657</v>
      </c>
      <c r="BF4581" s="3" t="s">
        <v>44656</v>
      </c>
      <c r="BG4581" s="3" t="s">
        <v>44658</v>
      </c>
      <c r="BH4581">
        <f t="shared" si="141"/>
        <v>0</v>
      </c>
    </row>
    <row r="4582" spans="1:60" ht="58" x14ac:dyDescent="0.35">
      <c r="A4582" s="2" t="s">
        <v>59</v>
      </c>
      <c r="B4582" s="2" t="s">
        <v>60</v>
      </c>
      <c r="C4582" s="2" t="s">
        <v>44659</v>
      </c>
      <c r="D4582" s="2" t="s">
        <v>44660</v>
      </c>
      <c r="E4582" s="2" t="s">
        <v>44661</v>
      </c>
      <c r="G4582" s="3" t="s">
        <v>64</v>
      </c>
      <c r="I4582" s="3" t="s">
        <v>64</v>
      </c>
      <c r="J4582" s="3" t="s">
        <v>64</v>
      </c>
      <c r="K4582" s="3" t="s">
        <v>65</v>
      </c>
      <c r="L4582" s="2" t="s">
        <v>44662</v>
      </c>
      <c r="M4582" s="2" t="s">
        <v>44663</v>
      </c>
      <c r="N4582" s="3" t="s">
        <v>364</v>
      </c>
      <c r="P4582" s="3" t="s">
        <v>68</v>
      </c>
      <c r="R4582" s="3" t="s">
        <v>70</v>
      </c>
      <c r="S4582" s="4">
        <v>5</v>
      </c>
      <c r="T4582" s="4">
        <v>5</v>
      </c>
      <c r="U4582" s="5" t="s">
        <v>26030</v>
      </c>
      <c r="V4582" s="5" t="s">
        <v>26030</v>
      </c>
      <c r="W4582" s="5" t="s">
        <v>72</v>
      </c>
      <c r="X4582" s="5" t="s">
        <v>72</v>
      </c>
      <c r="Y4582" s="4">
        <v>66</v>
      </c>
      <c r="Z4582" s="4">
        <v>8</v>
      </c>
      <c r="AA4582" s="4">
        <v>17</v>
      </c>
      <c r="AB4582" s="4">
        <v>1</v>
      </c>
      <c r="AC4582" s="4">
        <v>3</v>
      </c>
      <c r="AD4582" s="4">
        <v>27</v>
      </c>
      <c r="AE4582" s="4">
        <v>69</v>
      </c>
      <c r="AF4582" s="4">
        <v>0</v>
      </c>
      <c r="AG4582" s="4">
        <v>2</v>
      </c>
      <c r="AH4582" s="4">
        <v>23</v>
      </c>
      <c r="AI4582" s="4">
        <v>60</v>
      </c>
      <c r="AJ4582" s="4">
        <v>6</v>
      </c>
      <c r="AK4582" s="4">
        <v>13</v>
      </c>
      <c r="AL4582" s="4">
        <v>12</v>
      </c>
      <c r="AM4582" s="4">
        <v>39</v>
      </c>
      <c r="AN4582" s="4">
        <v>0</v>
      </c>
      <c r="AO4582" s="4">
        <v>0</v>
      </c>
      <c r="AP4582" s="4">
        <v>7</v>
      </c>
      <c r="AQ4582" s="4">
        <v>14</v>
      </c>
      <c r="AR4582" s="3" t="s">
        <v>64</v>
      </c>
      <c r="AS4582" s="3" t="s">
        <v>64</v>
      </c>
      <c r="AT4582" s="3" t="s">
        <v>128</v>
      </c>
      <c r="AU4582" s="6" t="str">
        <f>HYPERLINK("http://catalog.hathitrust.org/Record/007111312","HathiTrust Record")</f>
        <v>HathiTrust Record</v>
      </c>
      <c r="AV4582" s="6" t="str">
        <f>HYPERLINK("http://mcgill.on.worldcat.org/oclc/997835","Catalog Record")</f>
        <v>Catalog Record</v>
      </c>
      <c r="AW4582" s="6" t="str">
        <f>HYPERLINK("http://www.worldcat.org/oclc/997835","WorldCat Record")</f>
        <v>WorldCat Record</v>
      </c>
      <c r="AX4582" s="3" t="s">
        <v>44664</v>
      </c>
      <c r="AY4582" s="3" t="s">
        <v>44665</v>
      </c>
      <c r="AZ4582" s="3" t="s">
        <v>44666</v>
      </c>
      <c r="BA4582" s="3" t="s">
        <v>44666</v>
      </c>
      <c r="BB4582" s="3" t="s">
        <v>44667</v>
      </c>
      <c r="BC4582" s="3" t="s">
        <v>77</v>
      </c>
      <c r="BD4582" s="3" t="s">
        <v>78</v>
      </c>
      <c r="BF4582" s="3" t="s">
        <v>44667</v>
      </c>
      <c r="BG4582" s="3" t="s">
        <v>44668</v>
      </c>
      <c r="BH4582">
        <f t="shared" si="141"/>
        <v>0</v>
      </c>
    </row>
    <row r="4583" spans="1:60" ht="58" x14ac:dyDescent="0.35">
      <c r="A4583" s="2" t="s">
        <v>59</v>
      </c>
      <c r="B4583" s="2" t="s">
        <v>60</v>
      </c>
      <c r="C4583" s="2" t="s">
        <v>44669</v>
      </c>
      <c r="D4583" s="2" t="s">
        <v>44670</v>
      </c>
      <c r="E4583" s="2" t="s">
        <v>44671</v>
      </c>
      <c r="G4583" s="3" t="s">
        <v>64</v>
      </c>
      <c r="I4583" s="3" t="s">
        <v>64</v>
      </c>
      <c r="J4583" s="3" t="s">
        <v>64</v>
      </c>
      <c r="K4583" s="3" t="s">
        <v>65</v>
      </c>
      <c r="L4583" s="2" t="s">
        <v>44672</v>
      </c>
      <c r="M4583" s="2" t="s">
        <v>44673</v>
      </c>
      <c r="N4583" s="3" t="s">
        <v>5262</v>
      </c>
      <c r="P4583" s="3" t="s">
        <v>102</v>
      </c>
      <c r="Q4583" s="2" t="s">
        <v>44674</v>
      </c>
      <c r="R4583" s="3" t="s">
        <v>70</v>
      </c>
      <c r="S4583" s="4">
        <v>4</v>
      </c>
      <c r="T4583" s="4">
        <v>4</v>
      </c>
      <c r="U4583" s="5" t="s">
        <v>2763</v>
      </c>
      <c r="V4583" s="5" t="s">
        <v>2763</v>
      </c>
      <c r="W4583" s="5" t="s">
        <v>72</v>
      </c>
      <c r="X4583" s="5" t="s">
        <v>72</v>
      </c>
      <c r="Y4583" s="4">
        <v>8</v>
      </c>
      <c r="Z4583" s="4">
        <v>5</v>
      </c>
      <c r="AA4583" s="4">
        <v>14</v>
      </c>
      <c r="AB4583" s="4">
        <v>1</v>
      </c>
      <c r="AC4583" s="4">
        <v>1</v>
      </c>
      <c r="AD4583" s="4">
        <v>6</v>
      </c>
      <c r="AE4583" s="4">
        <v>64</v>
      </c>
      <c r="AF4583" s="4">
        <v>0</v>
      </c>
      <c r="AG4583" s="4">
        <v>0</v>
      </c>
      <c r="AH4583" s="4">
        <v>5</v>
      </c>
      <c r="AI4583" s="4">
        <v>58</v>
      </c>
      <c r="AJ4583" s="4">
        <v>4</v>
      </c>
      <c r="AK4583" s="4">
        <v>11</v>
      </c>
      <c r="AL4583" s="4">
        <v>2</v>
      </c>
      <c r="AM4583" s="4">
        <v>42</v>
      </c>
      <c r="AN4583" s="4">
        <v>0</v>
      </c>
      <c r="AO4583" s="4">
        <v>0</v>
      </c>
      <c r="AP4583" s="4">
        <v>4</v>
      </c>
      <c r="AQ4583" s="4">
        <v>11</v>
      </c>
      <c r="AR4583" s="3" t="s">
        <v>64</v>
      </c>
      <c r="AS4583" s="3" t="s">
        <v>64</v>
      </c>
      <c r="AT4583" s="3" t="s">
        <v>64</v>
      </c>
      <c r="AV4583" s="6" t="str">
        <f>HYPERLINK("http://mcgill.on.worldcat.org/oclc/427318002","Catalog Record")</f>
        <v>Catalog Record</v>
      </c>
      <c r="AW4583" s="6" t="str">
        <f>HYPERLINK("http://www.worldcat.org/oclc/427318002","WorldCat Record")</f>
        <v>WorldCat Record</v>
      </c>
      <c r="AX4583" s="3" t="s">
        <v>44675</v>
      </c>
      <c r="AY4583" s="3" t="s">
        <v>44676</v>
      </c>
      <c r="AZ4583" s="3" t="s">
        <v>44677</v>
      </c>
      <c r="BA4583" s="3" t="s">
        <v>44677</v>
      </c>
      <c r="BB4583" s="3" t="s">
        <v>44678</v>
      </c>
      <c r="BC4583" s="3" t="s">
        <v>77</v>
      </c>
      <c r="BD4583" s="3" t="s">
        <v>78</v>
      </c>
      <c r="BF4583" s="3" t="s">
        <v>44678</v>
      </c>
      <c r="BG4583" s="3" t="s">
        <v>44679</v>
      </c>
      <c r="BH4583">
        <f t="shared" si="141"/>
        <v>0</v>
      </c>
    </row>
    <row r="4584" spans="1:60" ht="58" x14ac:dyDescent="0.35">
      <c r="A4584" s="2" t="s">
        <v>59</v>
      </c>
      <c r="B4584" s="2" t="s">
        <v>60</v>
      </c>
      <c r="C4584" s="2" t="s">
        <v>44680</v>
      </c>
      <c r="D4584" s="2" t="s">
        <v>44681</v>
      </c>
      <c r="E4584" s="2" t="s">
        <v>44682</v>
      </c>
      <c r="G4584" s="3" t="s">
        <v>64</v>
      </c>
      <c r="I4584" s="3" t="s">
        <v>64</v>
      </c>
      <c r="J4584" s="3" t="s">
        <v>64</v>
      </c>
      <c r="K4584" s="3" t="s">
        <v>65</v>
      </c>
      <c r="M4584" s="2" t="s">
        <v>44683</v>
      </c>
      <c r="N4584" s="3" t="s">
        <v>326</v>
      </c>
      <c r="P4584" s="3" t="s">
        <v>365</v>
      </c>
      <c r="Q4584" s="2" t="s">
        <v>44684</v>
      </c>
      <c r="R4584" s="3" t="s">
        <v>70</v>
      </c>
      <c r="S4584" s="4">
        <v>0</v>
      </c>
      <c r="T4584" s="4">
        <v>0</v>
      </c>
      <c r="W4584" s="5" t="s">
        <v>72</v>
      </c>
      <c r="X4584" s="5" t="s">
        <v>72</v>
      </c>
      <c r="Y4584" s="4">
        <v>11</v>
      </c>
      <c r="Z4584" s="4">
        <v>1</v>
      </c>
      <c r="AA4584" s="4">
        <v>1</v>
      </c>
      <c r="AB4584" s="4">
        <v>1</v>
      </c>
      <c r="AC4584" s="4">
        <v>1</v>
      </c>
      <c r="AD4584" s="4">
        <v>5</v>
      </c>
      <c r="AE4584" s="4">
        <v>5</v>
      </c>
      <c r="AF4584" s="4">
        <v>0</v>
      </c>
      <c r="AG4584" s="4">
        <v>0</v>
      </c>
      <c r="AH4584" s="4">
        <v>4</v>
      </c>
      <c r="AI4584" s="4">
        <v>4</v>
      </c>
      <c r="AJ4584" s="4">
        <v>0</v>
      </c>
      <c r="AK4584" s="4">
        <v>0</v>
      </c>
      <c r="AL4584" s="4">
        <v>2</v>
      </c>
      <c r="AM4584" s="4">
        <v>2</v>
      </c>
      <c r="AN4584" s="4">
        <v>0</v>
      </c>
      <c r="AO4584" s="4">
        <v>0</v>
      </c>
      <c r="AP4584" s="4">
        <v>0</v>
      </c>
      <c r="AQ4584" s="4">
        <v>0</v>
      </c>
      <c r="AR4584" s="3" t="s">
        <v>64</v>
      </c>
      <c r="AS4584" s="3" t="s">
        <v>64</v>
      </c>
      <c r="AT4584" s="3" t="s">
        <v>64</v>
      </c>
      <c r="AV4584" s="6" t="str">
        <f>HYPERLINK("http://mcgill.on.worldcat.org/oclc/792795884","Catalog Record")</f>
        <v>Catalog Record</v>
      </c>
      <c r="AW4584" s="6" t="str">
        <f>HYPERLINK("http://www.worldcat.org/oclc/792795884","WorldCat Record")</f>
        <v>WorldCat Record</v>
      </c>
      <c r="AX4584" s="3" t="s">
        <v>44685</v>
      </c>
      <c r="AY4584" s="3" t="s">
        <v>44686</v>
      </c>
      <c r="AZ4584" s="3" t="s">
        <v>44687</v>
      </c>
      <c r="BA4584" s="3" t="s">
        <v>44687</v>
      </c>
      <c r="BB4584" s="3" t="s">
        <v>44688</v>
      </c>
      <c r="BC4584" s="3" t="s">
        <v>77</v>
      </c>
      <c r="BD4584" s="3" t="s">
        <v>78</v>
      </c>
      <c r="BE4584" s="3" t="s">
        <v>44689</v>
      </c>
      <c r="BF4584" s="3" t="s">
        <v>44688</v>
      </c>
      <c r="BG4584" s="3" t="s">
        <v>44690</v>
      </c>
      <c r="BH4584">
        <f t="shared" si="141"/>
        <v>0</v>
      </c>
    </row>
    <row r="4585" spans="1:60" ht="58" x14ac:dyDescent="0.35">
      <c r="A4585" s="2" t="s">
        <v>59</v>
      </c>
      <c r="B4585" s="2" t="s">
        <v>60</v>
      </c>
      <c r="C4585" s="2" t="s">
        <v>44691</v>
      </c>
      <c r="D4585" s="2" t="s">
        <v>44692</v>
      </c>
      <c r="E4585" s="2" t="s">
        <v>44693</v>
      </c>
      <c r="G4585" s="3" t="s">
        <v>64</v>
      </c>
      <c r="I4585" s="3" t="s">
        <v>64</v>
      </c>
      <c r="J4585" s="3" t="s">
        <v>64</v>
      </c>
      <c r="K4585" s="3" t="s">
        <v>65</v>
      </c>
      <c r="L4585" s="2" t="s">
        <v>44694</v>
      </c>
      <c r="M4585" s="2" t="s">
        <v>44695</v>
      </c>
      <c r="N4585" s="3" t="s">
        <v>1017</v>
      </c>
      <c r="P4585" s="3" t="s">
        <v>68</v>
      </c>
      <c r="Q4585" s="2" t="s">
        <v>44696</v>
      </c>
      <c r="R4585" s="3" t="s">
        <v>70</v>
      </c>
      <c r="S4585" s="4">
        <v>3</v>
      </c>
      <c r="T4585" s="4">
        <v>3</v>
      </c>
      <c r="U4585" s="5" t="s">
        <v>19981</v>
      </c>
      <c r="V4585" s="5" t="s">
        <v>19981</v>
      </c>
      <c r="W4585" s="5" t="s">
        <v>72</v>
      </c>
      <c r="X4585" s="5" t="s">
        <v>72</v>
      </c>
      <c r="Y4585" s="4">
        <v>132</v>
      </c>
      <c r="Z4585" s="4">
        <v>15</v>
      </c>
      <c r="AA4585" s="4">
        <v>18</v>
      </c>
      <c r="AB4585" s="4">
        <v>1</v>
      </c>
      <c r="AC4585" s="4">
        <v>4</v>
      </c>
      <c r="AD4585" s="4">
        <v>62</v>
      </c>
      <c r="AE4585" s="4">
        <v>65</v>
      </c>
      <c r="AF4585" s="4">
        <v>0</v>
      </c>
      <c r="AG4585" s="4">
        <v>3</v>
      </c>
      <c r="AH4585" s="4">
        <v>54</v>
      </c>
      <c r="AI4585" s="4">
        <v>55</v>
      </c>
      <c r="AJ4585" s="4">
        <v>11</v>
      </c>
      <c r="AK4585" s="4">
        <v>14</v>
      </c>
      <c r="AL4585" s="4">
        <v>38</v>
      </c>
      <c r="AM4585" s="4">
        <v>38</v>
      </c>
      <c r="AN4585" s="4">
        <v>0</v>
      </c>
      <c r="AO4585" s="4">
        <v>0</v>
      </c>
      <c r="AP4585" s="4">
        <v>11</v>
      </c>
      <c r="AQ4585" s="4">
        <v>13</v>
      </c>
      <c r="AR4585" s="3" t="s">
        <v>64</v>
      </c>
      <c r="AS4585" s="3" t="s">
        <v>64</v>
      </c>
      <c r="AT4585" s="3" t="s">
        <v>128</v>
      </c>
      <c r="AU4585" s="6" t="str">
        <f>HYPERLINK("http://catalog.hathitrust.org/Record/001173160","HathiTrust Record")</f>
        <v>HathiTrust Record</v>
      </c>
      <c r="AV4585" s="6" t="str">
        <f>HYPERLINK("http://mcgill.on.worldcat.org/oclc/527659","Catalog Record")</f>
        <v>Catalog Record</v>
      </c>
      <c r="AW4585" s="6" t="str">
        <f>HYPERLINK("http://www.worldcat.org/oclc/527659","WorldCat Record")</f>
        <v>WorldCat Record</v>
      </c>
      <c r="AX4585" s="3" t="s">
        <v>44697</v>
      </c>
      <c r="AY4585" s="3" t="s">
        <v>44698</v>
      </c>
      <c r="AZ4585" s="3" t="s">
        <v>44699</v>
      </c>
      <c r="BA4585" s="3" t="s">
        <v>44699</v>
      </c>
      <c r="BB4585" s="3" t="s">
        <v>44700</v>
      </c>
      <c r="BC4585" s="3" t="s">
        <v>77</v>
      </c>
      <c r="BD4585" s="3" t="s">
        <v>78</v>
      </c>
      <c r="BF4585" s="3" t="s">
        <v>44700</v>
      </c>
      <c r="BG4585" s="3" t="s">
        <v>44701</v>
      </c>
      <c r="BH4585">
        <f t="shared" si="141"/>
        <v>0</v>
      </c>
    </row>
    <row r="4586" spans="1:60" ht="58" x14ac:dyDescent="0.35">
      <c r="A4586" s="2" t="s">
        <v>59</v>
      </c>
      <c r="B4586" s="2" t="s">
        <v>60</v>
      </c>
      <c r="C4586" s="2" t="s">
        <v>44702</v>
      </c>
      <c r="D4586" s="2" t="s">
        <v>44703</v>
      </c>
      <c r="E4586" s="2" t="s">
        <v>44704</v>
      </c>
      <c r="G4586" s="3" t="s">
        <v>64</v>
      </c>
      <c r="I4586" s="3" t="s">
        <v>64</v>
      </c>
      <c r="J4586" s="3" t="s">
        <v>64</v>
      </c>
      <c r="K4586" s="3" t="s">
        <v>65</v>
      </c>
      <c r="L4586" s="2" t="s">
        <v>44705</v>
      </c>
      <c r="M4586" s="2" t="s">
        <v>44706</v>
      </c>
      <c r="N4586" s="3" t="s">
        <v>1087</v>
      </c>
      <c r="P4586" s="3" t="s">
        <v>68</v>
      </c>
      <c r="R4586" s="3" t="s">
        <v>70</v>
      </c>
      <c r="S4586" s="4">
        <v>1</v>
      </c>
      <c r="T4586" s="4">
        <v>1</v>
      </c>
      <c r="U4586" s="5" t="s">
        <v>4036</v>
      </c>
      <c r="V4586" s="5" t="s">
        <v>4036</v>
      </c>
      <c r="W4586" s="5" t="s">
        <v>72</v>
      </c>
      <c r="X4586" s="5" t="s">
        <v>72</v>
      </c>
      <c r="Y4586" s="4">
        <v>2</v>
      </c>
      <c r="Z4586" s="4">
        <v>1</v>
      </c>
      <c r="AA4586" s="4">
        <v>10</v>
      </c>
      <c r="AB4586" s="4">
        <v>1</v>
      </c>
      <c r="AC4586" s="4">
        <v>6</v>
      </c>
      <c r="AD4586" s="4">
        <v>1</v>
      </c>
      <c r="AE4586" s="4">
        <v>6</v>
      </c>
      <c r="AF4586" s="4">
        <v>0</v>
      </c>
      <c r="AG4586" s="4">
        <v>2</v>
      </c>
      <c r="AH4586" s="4">
        <v>1</v>
      </c>
      <c r="AI4586" s="4">
        <v>2</v>
      </c>
      <c r="AJ4586" s="4">
        <v>0</v>
      </c>
      <c r="AK4586" s="4">
        <v>4</v>
      </c>
      <c r="AL4586" s="4">
        <v>0</v>
      </c>
      <c r="AM4586" s="4">
        <v>0</v>
      </c>
      <c r="AN4586" s="4">
        <v>0</v>
      </c>
      <c r="AO4586" s="4">
        <v>0</v>
      </c>
      <c r="AP4586" s="4">
        <v>0</v>
      </c>
      <c r="AQ4586" s="4">
        <v>4</v>
      </c>
      <c r="AR4586" s="3" t="s">
        <v>128</v>
      </c>
      <c r="AS4586" s="3" t="s">
        <v>64</v>
      </c>
      <c r="AT4586" s="3" t="s">
        <v>128</v>
      </c>
      <c r="AU4586" s="6" t="str">
        <f>HYPERLINK("http://catalog.hathitrust.org/Record/002559624","HathiTrust Record")</f>
        <v>HathiTrust Record</v>
      </c>
      <c r="AV4586" s="6" t="str">
        <f>HYPERLINK("http://mcgill.on.worldcat.org/oclc/427983775","Catalog Record")</f>
        <v>Catalog Record</v>
      </c>
      <c r="AW4586" s="6" t="str">
        <f>HYPERLINK("http://www.worldcat.org/oclc/427983775","WorldCat Record")</f>
        <v>WorldCat Record</v>
      </c>
      <c r="AX4586" s="3" t="s">
        <v>44707</v>
      </c>
      <c r="AY4586" s="3" t="s">
        <v>44708</v>
      </c>
      <c r="AZ4586" s="3" t="s">
        <v>44709</v>
      </c>
      <c r="BA4586" s="3" t="s">
        <v>44709</v>
      </c>
      <c r="BB4586" s="3" t="s">
        <v>44710</v>
      </c>
      <c r="BC4586" s="3" t="s">
        <v>77</v>
      </c>
      <c r="BD4586" s="3" t="s">
        <v>78</v>
      </c>
      <c r="BE4586" s="3" t="s">
        <v>44711</v>
      </c>
      <c r="BF4586" s="3" t="s">
        <v>44710</v>
      </c>
      <c r="BG4586" s="3" t="s">
        <v>44712</v>
      </c>
      <c r="BH4586">
        <f t="shared" si="141"/>
        <v>0</v>
      </c>
    </row>
    <row r="4587" spans="1:60" ht="58" x14ac:dyDescent="0.35">
      <c r="A4587" s="2" t="s">
        <v>6202</v>
      </c>
      <c r="B4587" s="2" t="s">
        <v>6203</v>
      </c>
      <c r="C4587" s="2" t="s">
        <v>44713</v>
      </c>
      <c r="D4587" s="2" t="s">
        <v>44714</v>
      </c>
      <c r="E4587" s="2" t="s">
        <v>44715</v>
      </c>
      <c r="F4587" s="3" t="s">
        <v>39952</v>
      </c>
      <c r="G4587" s="3" t="s">
        <v>128</v>
      </c>
      <c r="I4587" s="3" t="s">
        <v>64</v>
      </c>
      <c r="J4587" s="3" t="s">
        <v>64</v>
      </c>
      <c r="K4587" s="3" t="s">
        <v>65</v>
      </c>
      <c r="L4587" s="2" t="s">
        <v>33412</v>
      </c>
      <c r="M4587" s="2" t="s">
        <v>44716</v>
      </c>
      <c r="N4587" s="3" t="s">
        <v>481</v>
      </c>
      <c r="P4587" s="3" t="s">
        <v>102</v>
      </c>
      <c r="R4587" s="3" t="s">
        <v>70</v>
      </c>
      <c r="S4587" s="4">
        <v>0</v>
      </c>
      <c r="T4587" s="4">
        <v>16</v>
      </c>
      <c r="V4587" s="5" t="s">
        <v>27331</v>
      </c>
      <c r="W4587" s="5" t="s">
        <v>72</v>
      </c>
      <c r="X4587" s="5" t="s">
        <v>72</v>
      </c>
      <c r="Y4587" s="4">
        <v>417</v>
      </c>
      <c r="Z4587" s="4">
        <v>30</v>
      </c>
      <c r="AA4587" s="4">
        <v>30</v>
      </c>
      <c r="AB4587" s="4">
        <v>1</v>
      </c>
      <c r="AC4587" s="4">
        <v>1</v>
      </c>
      <c r="AD4587" s="4">
        <v>123</v>
      </c>
      <c r="AE4587" s="4">
        <v>123</v>
      </c>
      <c r="AF4587" s="4">
        <v>0</v>
      </c>
      <c r="AG4587" s="4">
        <v>0</v>
      </c>
      <c r="AH4587" s="4">
        <v>103</v>
      </c>
      <c r="AI4587" s="4">
        <v>103</v>
      </c>
      <c r="AJ4587" s="4">
        <v>18</v>
      </c>
      <c r="AK4587" s="4">
        <v>18</v>
      </c>
      <c r="AL4587" s="4">
        <v>58</v>
      </c>
      <c r="AM4587" s="4">
        <v>58</v>
      </c>
      <c r="AN4587" s="4">
        <v>0</v>
      </c>
      <c r="AO4587" s="4">
        <v>0</v>
      </c>
      <c r="AP4587" s="4">
        <v>25</v>
      </c>
      <c r="AQ4587" s="4">
        <v>25</v>
      </c>
      <c r="AR4587" s="3" t="s">
        <v>64</v>
      </c>
      <c r="AS4587" s="3" t="s">
        <v>64</v>
      </c>
      <c r="AT4587" s="3" t="s">
        <v>128</v>
      </c>
      <c r="AU4587" s="6" t="str">
        <f>HYPERLINK("http://catalog.hathitrust.org/Record/000226041","HathiTrust Record")</f>
        <v>HathiTrust Record</v>
      </c>
      <c r="AV4587" s="6" t="str">
        <f>HYPERLINK("http://mcgill.on.worldcat.org/oclc/25433","Catalog Record")</f>
        <v>Catalog Record</v>
      </c>
      <c r="AW4587" s="6" t="str">
        <f>HYPERLINK("http://www.worldcat.org/oclc/25433","WorldCat Record")</f>
        <v>WorldCat Record</v>
      </c>
      <c r="AX4587" s="3" t="s">
        <v>44717</v>
      </c>
      <c r="AY4587" s="3" t="s">
        <v>44718</v>
      </c>
      <c r="AZ4587" s="3" t="s">
        <v>44719</v>
      </c>
      <c r="BA4587" s="3" t="s">
        <v>44719</v>
      </c>
      <c r="BB4587" s="3" t="s">
        <v>44720</v>
      </c>
      <c r="BC4587" s="3" t="s">
        <v>77</v>
      </c>
      <c r="BD4587" s="3" t="s">
        <v>78</v>
      </c>
      <c r="BE4587" s="3" t="s">
        <v>44721</v>
      </c>
      <c r="BF4587" s="3" t="s">
        <v>44720</v>
      </c>
      <c r="BG4587" s="3" t="s">
        <v>44722</v>
      </c>
      <c r="BH4587">
        <f t="shared" si="141"/>
        <v>0</v>
      </c>
    </row>
    <row r="4588" spans="1:60" ht="58" x14ac:dyDescent="0.35">
      <c r="A4588" s="2" t="s">
        <v>6202</v>
      </c>
      <c r="B4588" s="2" t="s">
        <v>6203</v>
      </c>
      <c r="C4588" s="2" t="s">
        <v>44713</v>
      </c>
      <c r="D4588" s="2" t="s">
        <v>44714</v>
      </c>
      <c r="E4588" s="2" t="s">
        <v>44715</v>
      </c>
      <c r="F4588" s="3" t="s">
        <v>478</v>
      </c>
      <c r="G4588" s="3" t="s">
        <v>128</v>
      </c>
      <c r="I4588" s="3" t="s">
        <v>64</v>
      </c>
      <c r="J4588" s="3" t="s">
        <v>64</v>
      </c>
      <c r="K4588" s="3" t="s">
        <v>65</v>
      </c>
      <c r="L4588" s="2" t="s">
        <v>33412</v>
      </c>
      <c r="M4588" s="2" t="s">
        <v>44716</v>
      </c>
      <c r="N4588" s="3" t="s">
        <v>481</v>
      </c>
      <c r="P4588" s="3" t="s">
        <v>102</v>
      </c>
      <c r="R4588" s="3" t="s">
        <v>70</v>
      </c>
      <c r="S4588" s="4">
        <v>7</v>
      </c>
      <c r="T4588" s="4">
        <v>16</v>
      </c>
      <c r="U4588" s="5" t="s">
        <v>27331</v>
      </c>
      <c r="V4588" s="5" t="s">
        <v>27331</v>
      </c>
      <c r="W4588" s="5" t="s">
        <v>72</v>
      </c>
      <c r="X4588" s="5" t="s">
        <v>72</v>
      </c>
      <c r="Y4588" s="4">
        <v>417</v>
      </c>
      <c r="Z4588" s="4">
        <v>30</v>
      </c>
      <c r="AA4588" s="4">
        <v>30</v>
      </c>
      <c r="AB4588" s="4">
        <v>1</v>
      </c>
      <c r="AC4588" s="4">
        <v>1</v>
      </c>
      <c r="AD4588" s="4">
        <v>123</v>
      </c>
      <c r="AE4588" s="4">
        <v>123</v>
      </c>
      <c r="AF4588" s="4">
        <v>0</v>
      </c>
      <c r="AG4588" s="4">
        <v>0</v>
      </c>
      <c r="AH4588" s="4">
        <v>103</v>
      </c>
      <c r="AI4588" s="4">
        <v>103</v>
      </c>
      <c r="AJ4588" s="4">
        <v>18</v>
      </c>
      <c r="AK4588" s="4">
        <v>18</v>
      </c>
      <c r="AL4588" s="4">
        <v>58</v>
      </c>
      <c r="AM4588" s="4">
        <v>58</v>
      </c>
      <c r="AN4588" s="4">
        <v>0</v>
      </c>
      <c r="AO4588" s="4">
        <v>0</v>
      </c>
      <c r="AP4588" s="4">
        <v>25</v>
      </c>
      <c r="AQ4588" s="4">
        <v>25</v>
      </c>
      <c r="AR4588" s="3" t="s">
        <v>64</v>
      </c>
      <c r="AS4588" s="3" t="s">
        <v>64</v>
      </c>
      <c r="AT4588" s="3" t="s">
        <v>128</v>
      </c>
      <c r="AU4588" s="6" t="str">
        <f>HYPERLINK("http://catalog.hathitrust.org/Record/000226041","HathiTrust Record")</f>
        <v>HathiTrust Record</v>
      </c>
      <c r="AV4588" s="6" t="str">
        <f>HYPERLINK("http://mcgill.on.worldcat.org/oclc/25433","Catalog Record")</f>
        <v>Catalog Record</v>
      </c>
      <c r="AW4588" s="6" t="str">
        <f>HYPERLINK("http://www.worldcat.org/oclc/25433","WorldCat Record")</f>
        <v>WorldCat Record</v>
      </c>
      <c r="AX4588" s="3" t="s">
        <v>44717</v>
      </c>
      <c r="AY4588" s="3" t="s">
        <v>44718</v>
      </c>
      <c r="AZ4588" s="3" t="s">
        <v>44719</v>
      </c>
      <c r="BA4588" s="3" t="s">
        <v>44719</v>
      </c>
      <c r="BB4588" s="3" t="s">
        <v>44723</v>
      </c>
      <c r="BC4588" s="3" t="s">
        <v>77</v>
      </c>
      <c r="BD4588" s="3" t="s">
        <v>165</v>
      </c>
      <c r="BE4588" s="3" t="s">
        <v>44721</v>
      </c>
      <c r="BF4588" s="3" t="s">
        <v>44723</v>
      </c>
      <c r="BG4588" s="3" t="s">
        <v>44724</v>
      </c>
      <c r="BH4588">
        <f t="shared" si="141"/>
        <v>0</v>
      </c>
    </row>
    <row r="4589" spans="1:60" ht="58" x14ac:dyDescent="0.35">
      <c r="A4589" s="2" t="s">
        <v>6202</v>
      </c>
      <c r="B4589" s="2" t="s">
        <v>6203</v>
      </c>
      <c r="C4589" s="2" t="s">
        <v>44713</v>
      </c>
      <c r="D4589" s="2" t="s">
        <v>44714</v>
      </c>
      <c r="E4589" s="2" t="s">
        <v>44715</v>
      </c>
      <c r="F4589" s="3" t="s">
        <v>2047</v>
      </c>
      <c r="G4589" s="3" t="s">
        <v>128</v>
      </c>
      <c r="I4589" s="3" t="s">
        <v>64</v>
      </c>
      <c r="J4589" s="3" t="s">
        <v>64</v>
      </c>
      <c r="K4589" s="3" t="s">
        <v>65</v>
      </c>
      <c r="L4589" s="2" t="s">
        <v>33412</v>
      </c>
      <c r="M4589" s="2" t="s">
        <v>44716</v>
      </c>
      <c r="N4589" s="3" t="s">
        <v>481</v>
      </c>
      <c r="P4589" s="3" t="s">
        <v>102</v>
      </c>
      <c r="R4589" s="3" t="s">
        <v>70</v>
      </c>
      <c r="S4589" s="4">
        <v>5</v>
      </c>
      <c r="T4589" s="4">
        <v>16</v>
      </c>
      <c r="U4589" s="5" t="s">
        <v>15687</v>
      </c>
      <c r="V4589" s="5" t="s">
        <v>27331</v>
      </c>
      <c r="W4589" s="5" t="s">
        <v>72</v>
      </c>
      <c r="X4589" s="5" t="s">
        <v>72</v>
      </c>
      <c r="Y4589" s="4">
        <v>417</v>
      </c>
      <c r="Z4589" s="4">
        <v>30</v>
      </c>
      <c r="AA4589" s="4">
        <v>30</v>
      </c>
      <c r="AB4589" s="4">
        <v>1</v>
      </c>
      <c r="AC4589" s="4">
        <v>1</v>
      </c>
      <c r="AD4589" s="4">
        <v>123</v>
      </c>
      <c r="AE4589" s="4">
        <v>123</v>
      </c>
      <c r="AF4589" s="4">
        <v>0</v>
      </c>
      <c r="AG4589" s="4">
        <v>0</v>
      </c>
      <c r="AH4589" s="4">
        <v>103</v>
      </c>
      <c r="AI4589" s="4">
        <v>103</v>
      </c>
      <c r="AJ4589" s="4">
        <v>18</v>
      </c>
      <c r="AK4589" s="4">
        <v>18</v>
      </c>
      <c r="AL4589" s="4">
        <v>58</v>
      </c>
      <c r="AM4589" s="4">
        <v>58</v>
      </c>
      <c r="AN4589" s="4">
        <v>0</v>
      </c>
      <c r="AO4589" s="4">
        <v>0</v>
      </c>
      <c r="AP4589" s="4">
        <v>25</v>
      </c>
      <c r="AQ4589" s="4">
        <v>25</v>
      </c>
      <c r="AR4589" s="3" t="s">
        <v>64</v>
      </c>
      <c r="AS4589" s="3" t="s">
        <v>64</v>
      </c>
      <c r="AT4589" s="3" t="s">
        <v>128</v>
      </c>
      <c r="AU4589" s="6" t="str">
        <f>HYPERLINK("http://catalog.hathitrust.org/Record/000226041","HathiTrust Record")</f>
        <v>HathiTrust Record</v>
      </c>
      <c r="AV4589" s="6" t="str">
        <f>HYPERLINK("http://mcgill.on.worldcat.org/oclc/25433","Catalog Record")</f>
        <v>Catalog Record</v>
      </c>
      <c r="AW4589" s="6" t="str">
        <f>HYPERLINK("http://www.worldcat.org/oclc/25433","WorldCat Record")</f>
        <v>WorldCat Record</v>
      </c>
      <c r="AX4589" s="3" t="s">
        <v>44717</v>
      </c>
      <c r="AY4589" s="3" t="s">
        <v>44718</v>
      </c>
      <c r="AZ4589" s="3" t="s">
        <v>44719</v>
      </c>
      <c r="BA4589" s="3" t="s">
        <v>44719</v>
      </c>
      <c r="BB4589" s="3" t="s">
        <v>44725</v>
      </c>
      <c r="BC4589" s="3" t="s">
        <v>77</v>
      </c>
      <c r="BD4589" s="3" t="s">
        <v>165</v>
      </c>
      <c r="BE4589" s="3" t="s">
        <v>44721</v>
      </c>
      <c r="BF4589" s="3" t="s">
        <v>44725</v>
      </c>
      <c r="BG4589" s="3" t="s">
        <v>44726</v>
      </c>
      <c r="BH4589">
        <f t="shared" si="141"/>
        <v>0</v>
      </c>
    </row>
    <row r="4590" spans="1:60" ht="58" x14ac:dyDescent="0.35">
      <c r="A4590" s="2" t="s">
        <v>6202</v>
      </c>
      <c r="B4590" s="2" t="s">
        <v>6203</v>
      </c>
      <c r="C4590" s="2" t="s">
        <v>44713</v>
      </c>
      <c r="D4590" s="2" t="s">
        <v>44714</v>
      </c>
      <c r="E4590" s="2" t="s">
        <v>44715</v>
      </c>
      <c r="F4590" s="3" t="s">
        <v>2044</v>
      </c>
      <c r="G4590" s="3" t="s">
        <v>128</v>
      </c>
      <c r="I4590" s="3" t="s">
        <v>64</v>
      </c>
      <c r="J4590" s="3" t="s">
        <v>64</v>
      </c>
      <c r="K4590" s="3" t="s">
        <v>65</v>
      </c>
      <c r="L4590" s="2" t="s">
        <v>33412</v>
      </c>
      <c r="M4590" s="2" t="s">
        <v>44716</v>
      </c>
      <c r="N4590" s="3" t="s">
        <v>481</v>
      </c>
      <c r="P4590" s="3" t="s">
        <v>102</v>
      </c>
      <c r="R4590" s="3" t="s">
        <v>70</v>
      </c>
      <c r="S4590" s="4">
        <v>2</v>
      </c>
      <c r="T4590" s="4">
        <v>16</v>
      </c>
      <c r="U4590" s="5" t="s">
        <v>44727</v>
      </c>
      <c r="V4590" s="5" t="s">
        <v>27331</v>
      </c>
      <c r="W4590" s="5" t="s">
        <v>72</v>
      </c>
      <c r="X4590" s="5" t="s">
        <v>72</v>
      </c>
      <c r="Y4590" s="4">
        <v>417</v>
      </c>
      <c r="Z4590" s="4">
        <v>30</v>
      </c>
      <c r="AA4590" s="4">
        <v>30</v>
      </c>
      <c r="AB4590" s="4">
        <v>1</v>
      </c>
      <c r="AC4590" s="4">
        <v>1</v>
      </c>
      <c r="AD4590" s="4">
        <v>123</v>
      </c>
      <c r="AE4590" s="4">
        <v>123</v>
      </c>
      <c r="AF4590" s="4">
        <v>0</v>
      </c>
      <c r="AG4590" s="4">
        <v>0</v>
      </c>
      <c r="AH4590" s="4">
        <v>103</v>
      </c>
      <c r="AI4590" s="4">
        <v>103</v>
      </c>
      <c r="AJ4590" s="4">
        <v>18</v>
      </c>
      <c r="AK4590" s="4">
        <v>18</v>
      </c>
      <c r="AL4590" s="4">
        <v>58</v>
      </c>
      <c r="AM4590" s="4">
        <v>58</v>
      </c>
      <c r="AN4590" s="4">
        <v>0</v>
      </c>
      <c r="AO4590" s="4">
        <v>0</v>
      </c>
      <c r="AP4590" s="4">
        <v>25</v>
      </c>
      <c r="AQ4590" s="4">
        <v>25</v>
      </c>
      <c r="AR4590" s="3" t="s">
        <v>64</v>
      </c>
      <c r="AS4590" s="3" t="s">
        <v>64</v>
      </c>
      <c r="AT4590" s="3" t="s">
        <v>128</v>
      </c>
      <c r="AU4590" s="6" t="str">
        <f>HYPERLINK("http://catalog.hathitrust.org/Record/000226041","HathiTrust Record")</f>
        <v>HathiTrust Record</v>
      </c>
      <c r="AV4590" s="6" t="str">
        <f>HYPERLINK("http://mcgill.on.worldcat.org/oclc/25433","Catalog Record")</f>
        <v>Catalog Record</v>
      </c>
      <c r="AW4590" s="6" t="str">
        <f>HYPERLINK("http://www.worldcat.org/oclc/25433","WorldCat Record")</f>
        <v>WorldCat Record</v>
      </c>
      <c r="AX4590" s="3" t="s">
        <v>44717</v>
      </c>
      <c r="AY4590" s="3" t="s">
        <v>44718</v>
      </c>
      <c r="AZ4590" s="3" t="s">
        <v>44719</v>
      </c>
      <c r="BA4590" s="3" t="s">
        <v>44719</v>
      </c>
      <c r="BB4590" s="3" t="s">
        <v>44728</v>
      </c>
      <c r="BC4590" s="3" t="s">
        <v>77</v>
      </c>
      <c r="BD4590" s="3" t="s">
        <v>78</v>
      </c>
      <c r="BE4590" s="3" t="s">
        <v>44721</v>
      </c>
      <c r="BF4590" s="3" t="s">
        <v>44728</v>
      </c>
      <c r="BG4590" s="3" t="s">
        <v>44729</v>
      </c>
      <c r="BH4590">
        <f t="shared" si="141"/>
        <v>0</v>
      </c>
    </row>
    <row r="4591" spans="1:60" ht="58" x14ac:dyDescent="0.35">
      <c r="A4591" s="2" t="s">
        <v>6202</v>
      </c>
      <c r="B4591" s="2" t="s">
        <v>6203</v>
      </c>
      <c r="C4591" s="2" t="s">
        <v>44713</v>
      </c>
      <c r="D4591" s="2" t="s">
        <v>44714</v>
      </c>
      <c r="E4591" s="2" t="s">
        <v>44715</v>
      </c>
      <c r="F4591" s="3" t="s">
        <v>489</v>
      </c>
      <c r="G4591" s="3" t="s">
        <v>128</v>
      </c>
      <c r="I4591" s="3" t="s">
        <v>64</v>
      </c>
      <c r="J4591" s="3" t="s">
        <v>64</v>
      </c>
      <c r="K4591" s="3" t="s">
        <v>65</v>
      </c>
      <c r="L4591" s="2" t="s">
        <v>33412</v>
      </c>
      <c r="M4591" s="2" t="s">
        <v>44716</v>
      </c>
      <c r="N4591" s="3" t="s">
        <v>481</v>
      </c>
      <c r="P4591" s="3" t="s">
        <v>102</v>
      </c>
      <c r="R4591" s="3" t="s">
        <v>70</v>
      </c>
      <c r="S4591" s="4">
        <v>2</v>
      </c>
      <c r="T4591" s="4">
        <v>16</v>
      </c>
      <c r="U4591" s="5" t="s">
        <v>3983</v>
      </c>
      <c r="V4591" s="5" t="s">
        <v>27331</v>
      </c>
      <c r="W4591" s="5" t="s">
        <v>72</v>
      </c>
      <c r="X4591" s="5" t="s">
        <v>72</v>
      </c>
      <c r="Y4591" s="4">
        <v>417</v>
      </c>
      <c r="Z4591" s="4">
        <v>30</v>
      </c>
      <c r="AA4591" s="4">
        <v>30</v>
      </c>
      <c r="AB4591" s="4">
        <v>1</v>
      </c>
      <c r="AC4591" s="4">
        <v>1</v>
      </c>
      <c r="AD4591" s="4">
        <v>123</v>
      </c>
      <c r="AE4591" s="4">
        <v>123</v>
      </c>
      <c r="AF4591" s="4">
        <v>0</v>
      </c>
      <c r="AG4591" s="4">
        <v>0</v>
      </c>
      <c r="AH4591" s="4">
        <v>103</v>
      </c>
      <c r="AI4591" s="4">
        <v>103</v>
      </c>
      <c r="AJ4591" s="4">
        <v>18</v>
      </c>
      <c r="AK4591" s="4">
        <v>18</v>
      </c>
      <c r="AL4591" s="4">
        <v>58</v>
      </c>
      <c r="AM4591" s="4">
        <v>58</v>
      </c>
      <c r="AN4591" s="4">
        <v>0</v>
      </c>
      <c r="AO4591" s="4">
        <v>0</v>
      </c>
      <c r="AP4591" s="4">
        <v>25</v>
      </c>
      <c r="AQ4591" s="4">
        <v>25</v>
      </c>
      <c r="AR4591" s="3" t="s">
        <v>64</v>
      </c>
      <c r="AS4591" s="3" t="s">
        <v>64</v>
      </c>
      <c r="AT4591" s="3" t="s">
        <v>128</v>
      </c>
      <c r="AU4591" s="6" t="str">
        <f>HYPERLINK("http://catalog.hathitrust.org/Record/000226041","HathiTrust Record")</f>
        <v>HathiTrust Record</v>
      </c>
      <c r="AV4591" s="6" t="str">
        <f>HYPERLINK("http://mcgill.on.worldcat.org/oclc/25433","Catalog Record")</f>
        <v>Catalog Record</v>
      </c>
      <c r="AW4591" s="6" t="str">
        <f>HYPERLINK("http://www.worldcat.org/oclc/25433","WorldCat Record")</f>
        <v>WorldCat Record</v>
      </c>
      <c r="AX4591" s="3" t="s">
        <v>44717</v>
      </c>
      <c r="AY4591" s="3" t="s">
        <v>44718</v>
      </c>
      <c r="AZ4591" s="3" t="s">
        <v>44719</v>
      </c>
      <c r="BA4591" s="3" t="s">
        <v>44719</v>
      </c>
      <c r="BB4591" s="3" t="s">
        <v>44730</v>
      </c>
      <c r="BC4591" s="3" t="s">
        <v>77</v>
      </c>
      <c r="BD4591" s="3" t="s">
        <v>78</v>
      </c>
      <c r="BE4591" s="3" t="s">
        <v>44721</v>
      </c>
      <c r="BF4591" s="3" t="s">
        <v>44730</v>
      </c>
      <c r="BG4591" s="3" t="s">
        <v>44731</v>
      </c>
      <c r="BH4591">
        <f t="shared" si="141"/>
        <v>0</v>
      </c>
    </row>
    <row r="4592" spans="1:60" ht="58" x14ac:dyDescent="0.35">
      <c r="A4592" s="2" t="s">
        <v>59</v>
      </c>
      <c r="B4592" s="2" t="s">
        <v>60</v>
      </c>
      <c r="C4592" s="2" t="s">
        <v>44732</v>
      </c>
      <c r="D4592" s="2" t="s">
        <v>44733</v>
      </c>
      <c r="E4592" s="2" t="s">
        <v>44734</v>
      </c>
      <c r="F4592" s="3" t="s">
        <v>529</v>
      </c>
      <c r="G4592" s="3" t="s">
        <v>128</v>
      </c>
      <c r="I4592" s="3" t="s">
        <v>64</v>
      </c>
      <c r="J4592" s="3" t="s">
        <v>64</v>
      </c>
      <c r="K4592" s="3" t="s">
        <v>65</v>
      </c>
      <c r="L4592" s="2" t="s">
        <v>44735</v>
      </c>
      <c r="M4592" s="2" t="s">
        <v>44736</v>
      </c>
      <c r="N4592" s="3" t="s">
        <v>1075</v>
      </c>
      <c r="P4592" s="3" t="s">
        <v>102</v>
      </c>
      <c r="Q4592" s="2" t="s">
        <v>44737</v>
      </c>
      <c r="R4592" s="3" t="s">
        <v>70</v>
      </c>
      <c r="S4592" s="4">
        <v>2</v>
      </c>
      <c r="T4592" s="4">
        <v>4</v>
      </c>
      <c r="U4592" s="5" t="s">
        <v>44738</v>
      </c>
      <c r="V4592" s="5" t="s">
        <v>44738</v>
      </c>
      <c r="W4592" s="5" t="s">
        <v>72</v>
      </c>
      <c r="X4592" s="5" t="s">
        <v>72</v>
      </c>
      <c r="Y4592" s="4">
        <v>85</v>
      </c>
      <c r="Z4592" s="4">
        <v>9</v>
      </c>
      <c r="AA4592" s="4">
        <v>9</v>
      </c>
      <c r="AB4592" s="4">
        <v>1</v>
      </c>
      <c r="AC4592" s="4">
        <v>1</v>
      </c>
      <c r="AD4592" s="4">
        <v>33</v>
      </c>
      <c r="AE4592" s="4">
        <v>33</v>
      </c>
      <c r="AF4592" s="4">
        <v>0</v>
      </c>
      <c r="AG4592" s="4">
        <v>0</v>
      </c>
      <c r="AH4592" s="4">
        <v>31</v>
      </c>
      <c r="AI4592" s="4">
        <v>31</v>
      </c>
      <c r="AJ4592" s="4">
        <v>5</v>
      </c>
      <c r="AK4592" s="4">
        <v>5</v>
      </c>
      <c r="AL4592" s="4">
        <v>24</v>
      </c>
      <c r="AM4592" s="4">
        <v>24</v>
      </c>
      <c r="AN4592" s="4">
        <v>0</v>
      </c>
      <c r="AO4592" s="4">
        <v>0</v>
      </c>
      <c r="AP4592" s="4">
        <v>5</v>
      </c>
      <c r="AQ4592" s="4">
        <v>5</v>
      </c>
      <c r="AR4592" s="3" t="s">
        <v>64</v>
      </c>
      <c r="AS4592" s="3" t="s">
        <v>64</v>
      </c>
      <c r="AT4592" s="3" t="s">
        <v>64</v>
      </c>
      <c r="AV4592" s="6" t="str">
        <f>HYPERLINK("http://mcgill.on.worldcat.org/oclc/858824811","Catalog Record")</f>
        <v>Catalog Record</v>
      </c>
      <c r="AW4592" s="6" t="str">
        <f>HYPERLINK("http://www.worldcat.org/oclc/858824811","WorldCat Record")</f>
        <v>WorldCat Record</v>
      </c>
      <c r="AX4592" s="3" t="s">
        <v>44739</v>
      </c>
      <c r="AY4592" s="3" t="s">
        <v>44740</v>
      </c>
      <c r="AZ4592" s="3" t="s">
        <v>44741</v>
      </c>
      <c r="BA4592" s="3" t="s">
        <v>44741</v>
      </c>
      <c r="BB4592" s="3" t="s">
        <v>44742</v>
      </c>
      <c r="BC4592" s="3" t="s">
        <v>77</v>
      </c>
      <c r="BD4592" s="3" t="s">
        <v>78</v>
      </c>
      <c r="BE4592" s="3" t="s">
        <v>44743</v>
      </c>
      <c r="BF4592" s="3" t="s">
        <v>44742</v>
      </c>
      <c r="BG4592" s="3" t="s">
        <v>44744</v>
      </c>
      <c r="BH4592">
        <f t="shared" si="141"/>
        <v>0</v>
      </c>
    </row>
    <row r="4593" spans="1:60" ht="58" x14ac:dyDescent="0.35">
      <c r="A4593" s="2" t="s">
        <v>59</v>
      </c>
      <c r="B4593" s="2" t="s">
        <v>60</v>
      </c>
      <c r="C4593" s="2" t="s">
        <v>44732</v>
      </c>
      <c r="D4593" s="2" t="s">
        <v>44733</v>
      </c>
      <c r="E4593" s="2" t="s">
        <v>44734</v>
      </c>
      <c r="F4593" s="3" t="s">
        <v>525</v>
      </c>
      <c r="G4593" s="3" t="s">
        <v>128</v>
      </c>
      <c r="I4593" s="3" t="s">
        <v>64</v>
      </c>
      <c r="J4593" s="3" t="s">
        <v>64</v>
      </c>
      <c r="K4593" s="3" t="s">
        <v>65</v>
      </c>
      <c r="L4593" s="2" t="s">
        <v>44735</v>
      </c>
      <c r="M4593" s="2" t="s">
        <v>44736</v>
      </c>
      <c r="N4593" s="3" t="s">
        <v>1075</v>
      </c>
      <c r="P4593" s="3" t="s">
        <v>102</v>
      </c>
      <c r="Q4593" s="2" t="s">
        <v>44737</v>
      </c>
      <c r="R4593" s="3" t="s">
        <v>70</v>
      </c>
      <c r="S4593" s="4">
        <v>2</v>
      </c>
      <c r="T4593" s="4">
        <v>4</v>
      </c>
      <c r="U4593" s="5" t="s">
        <v>44738</v>
      </c>
      <c r="V4593" s="5" t="s">
        <v>44738</v>
      </c>
      <c r="W4593" s="5" t="s">
        <v>72</v>
      </c>
      <c r="X4593" s="5" t="s">
        <v>72</v>
      </c>
      <c r="Y4593" s="4">
        <v>85</v>
      </c>
      <c r="Z4593" s="4">
        <v>9</v>
      </c>
      <c r="AA4593" s="4">
        <v>9</v>
      </c>
      <c r="AB4593" s="4">
        <v>1</v>
      </c>
      <c r="AC4593" s="4">
        <v>1</v>
      </c>
      <c r="AD4593" s="4">
        <v>33</v>
      </c>
      <c r="AE4593" s="4">
        <v>33</v>
      </c>
      <c r="AF4593" s="4">
        <v>0</v>
      </c>
      <c r="AG4593" s="4">
        <v>0</v>
      </c>
      <c r="AH4593" s="4">
        <v>31</v>
      </c>
      <c r="AI4593" s="4">
        <v>31</v>
      </c>
      <c r="AJ4593" s="4">
        <v>5</v>
      </c>
      <c r="AK4593" s="4">
        <v>5</v>
      </c>
      <c r="AL4593" s="4">
        <v>24</v>
      </c>
      <c r="AM4593" s="4">
        <v>24</v>
      </c>
      <c r="AN4593" s="4">
        <v>0</v>
      </c>
      <c r="AO4593" s="4">
        <v>0</v>
      </c>
      <c r="AP4593" s="4">
        <v>5</v>
      </c>
      <c r="AQ4593" s="4">
        <v>5</v>
      </c>
      <c r="AR4593" s="3" t="s">
        <v>64</v>
      </c>
      <c r="AS4593" s="3" t="s">
        <v>64</v>
      </c>
      <c r="AT4593" s="3" t="s">
        <v>64</v>
      </c>
      <c r="AV4593" s="6" t="str">
        <f>HYPERLINK("http://mcgill.on.worldcat.org/oclc/858824811","Catalog Record")</f>
        <v>Catalog Record</v>
      </c>
      <c r="AW4593" s="6" t="str">
        <f>HYPERLINK("http://www.worldcat.org/oclc/858824811","WorldCat Record")</f>
        <v>WorldCat Record</v>
      </c>
      <c r="AX4593" s="3" t="s">
        <v>44739</v>
      </c>
      <c r="AY4593" s="3" t="s">
        <v>44740</v>
      </c>
      <c r="AZ4593" s="3" t="s">
        <v>44741</v>
      </c>
      <c r="BA4593" s="3" t="s">
        <v>44741</v>
      </c>
      <c r="BB4593" s="3" t="s">
        <v>44745</v>
      </c>
      <c r="BC4593" s="3" t="s">
        <v>77</v>
      </c>
      <c r="BD4593" s="3" t="s">
        <v>78</v>
      </c>
      <c r="BE4593" s="3" t="s">
        <v>44743</v>
      </c>
      <c r="BF4593" s="3" t="s">
        <v>44745</v>
      </c>
      <c r="BG4593" s="3" t="s">
        <v>44746</v>
      </c>
      <c r="BH4593">
        <f t="shared" si="141"/>
        <v>0</v>
      </c>
    </row>
    <row r="4594" spans="1:60" ht="58" x14ac:dyDescent="0.35">
      <c r="A4594" s="2" t="s">
        <v>59</v>
      </c>
      <c r="B4594" s="2" t="s">
        <v>60</v>
      </c>
      <c r="C4594" s="2" t="s">
        <v>44747</v>
      </c>
      <c r="D4594" s="2" t="s">
        <v>44748</v>
      </c>
      <c r="E4594" s="2" t="s">
        <v>44749</v>
      </c>
      <c r="G4594" s="3" t="s">
        <v>64</v>
      </c>
      <c r="I4594" s="3" t="s">
        <v>64</v>
      </c>
      <c r="J4594" s="3" t="s">
        <v>64</v>
      </c>
      <c r="K4594" s="3" t="s">
        <v>65</v>
      </c>
      <c r="L4594" s="2" t="s">
        <v>44750</v>
      </c>
      <c r="M4594" s="2" t="s">
        <v>44751</v>
      </c>
      <c r="N4594" s="3" t="s">
        <v>537</v>
      </c>
      <c r="P4594" s="3" t="s">
        <v>102</v>
      </c>
      <c r="Q4594" s="2" t="s">
        <v>44752</v>
      </c>
      <c r="R4594" s="3" t="s">
        <v>70</v>
      </c>
      <c r="S4594" s="4">
        <v>0</v>
      </c>
      <c r="T4594" s="4">
        <v>0</v>
      </c>
      <c r="W4594" s="5" t="s">
        <v>72</v>
      </c>
      <c r="X4594" s="5" t="s">
        <v>72</v>
      </c>
      <c r="Y4594" s="4">
        <v>54</v>
      </c>
      <c r="Z4594" s="4">
        <v>3</v>
      </c>
      <c r="AA4594" s="4">
        <v>9</v>
      </c>
      <c r="AB4594" s="4">
        <v>1</v>
      </c>
      <c r="AC4594" s="4">
        <v>5</v>
      </c>
      <c r="AD4594" s="4">
        <v>37</v>
      </c>
      <c r="AE4594" s="4">
        <v>52</v>
      </c>
      <c r="AF4594" s="4">
        <v>0</v>
      </c>
      <c r="AG4594" s="4">
        <v>1</v>
      </c>
      <c r="AH4594" s="4">
        <v>36</v>
      </c>
      <c r="AI4594" s="4">
        <v>48</v>
      </c>
      <c r="AJ4594" s="4">
        <v>2</v>
      </c>
      <c r="AK4594" s="4">
        <v>3</v>
      </c>
      <c r="AL4594" s="4">
        <v>26</v>
      </c>
      <c r="AM4594" s="4">
        <v>32</v>
      </c>
      <c r="AN4594" s="4">
        <v>0</v>
      </c>
      <c r="AO4594" s="4">
        <v>0</v>
      </c>
      <c r="AP4594" s="4">
        <v>2</v>
      </c>
      <c r="AQ4594" s="4">
        <v>4</v>
      </c>
      <c r="AR4594" s="3" t="s">
        <v>64</v>
      </c>
      <c r="AS4594" s="3" t="s">
        <v>64</v>
      </c>
      <c r="AT4594" s="3" t="s">
        <v>64</v>
      </c>
      <c r="AV4594" s="6" t="str">
        <f>HYPERLINK("http://mcgill.on.worldcat.org/oclc/936526249","Catalog Record")</f>
        <v>Catalog Record</v>
      </c>
      <c r="AW4594" s="6" t="str">
        <f>HYPERLINK("http://www.worldcat.org/oclc/936526249","WorldCat Record")</f>
        <v>WorldCat Record</v>
      </c>
      <c r="AX4594" s="3" t="s">
        <v>44753</v>
      </c>
      <c r="AY4594" s="3" t="s">
        <v>44754</v>
      </c>
      <c r="AZ4594" s="3" t="s">
        <v>44755</v>
      </c>
      <c r="BA4594" s="3" t="s">
        <v>44755</v>
      </c>
      <c r="BB4594" s="3" t="s">
        <v>44756</v>
      </c>
      <c r="BC4594" s="3" t="s">
        <v>77</v>
      </c>
      <c r="BD4594" s="3" t="s">
        <v>78</v>
      </c>
      <c r="BE4594" s="3" t="s">
        <v>44757</v>
      </c>
      <c r="BF4594" s="3" t="s">
        <v>44756</v>
      </c>
      <c r="BG4594" s="3" t="s">
        <v>44758</v>
      </c>
      <c r="BH4594">
        <f t="shared" si="141"/>
        <v>0</v>
      </c>
    </row>
    <row r="4595" spans="1:60" ht="58" x14ac:dyDescent="0.35">
      <c r="A4595" s="2" t="s">
        <v>6202</v>
      </c>
      <c r="B4595" s="2" t="s">
        <v>6203</v>
      </c>
      <c r="C4595" s="2" t="s">
        <v>44759</v>
      </c>
      <c r="D4595" s="2" t="s">
        <v>44760</v>
      </c>
      <c r="E4595" s="2" t="s">
        <v>44761</v>
      </c>
      <c r="F4595" s="3" t="s">
        <v>525</v>
      </c>
      <c r="G4595" s="3" t="s">
        <v>128</v>
      </c>
      <c r="I4595" s="3" t="s">
        <v>64</v>
      </c>
      <c r="J4595" s="3" t="s">
        <v>64</v>
      </c>
      <c r="K4595" s="3" t="s">
        <v>65</v>
      </c>
      <c r="L4595" s="2" t="s">
        <v>44762</v>
      </c>
      <c r="M4595" s="2" t="s">
        <v>100</v>
      </c>
      <c r="N4595" s="3" t="s">
        <v>101</v>
      </c>
      <c r="P4595" s="3" t="s">
        <v>102</v>
      </c>
      <c r="R4595" s="3" t="s">
        <v>70</v>
      </c>
      <c r="S4595" s="4">
        <v>3</v>
      </c>
      <c r="T4595" s="4">
        <v>7</v>
      </c>
      <c r="U4595" s="5" t="s">
        <v>31159</v>
      </c>
      <c r="V4595" s="5" t="s">
        <v>31159</v>
      </c>
      <c r="W4595" s="5" t="s">
        <v>72</v>
      </c>
      <c r="X4595" s="5" t="s">
        <v>72</v>
      </c>
      <c r="Y4595" s="4">
        <v>125</v>
      </c>
      <c r="Z4595" s="4">
        <v>12</v>
      </c>
      <c r="AA4595" s="4">
        <v>12</v>
      </c>
      <c r="AB4595" s="4">
        <v>1</v>
      </c>
      <c r="AC4595" s="4">
        <v>1</v>
      </c>
      <c r="AD4595" s="4">
        <v>52</v>
      </c>
      <c r="AE4595" s="4">
        <v>52</v>
      </c>
      <c r="AF4595" s="4">
        <v>0</v>
      </c>
      <c r="AG4595" s="4">
        <v>0</v>
      </c>
      <c r="AH4595" s="4">
        <v>44</v>
      </c>
      <c r="AI4595" s="4">
        <v>44</v>
      </c>
      <c r="AJ4595" s="4">
        <v>8</v>
      </c>
      <c r="AK4595" s="4">
        <v>8</v>
      </c>
      <c r="AL4595" s="4">
        <v>34</v>
      </c>
      <c r="AM4595" s="4">
        <v>34</v>
      </c>
      <c r="AN4595" s="4">
        <v>0</v>
      </c>
      <c r="AO4595" s="4">
        <v>0</v>
      </c>
      <c r="AP4595" s="4">
        <v>9</v>
      </c>
      <c r="AQ4595" s="4">
        <v>9</v>
      </c>
      <c r="AR4595" s="3" t="s">
        <v>64</v>
      </c>
      <c r="AS4595" s="3" t="s">
        <v>64</v>
      </c>
      <c r="AT4595" s="3" t="s">
        <v>128</v>
      </c>
      <c r="AU4595" s="6" t="str">
        <f>HYPERLINK("http://catalog.hathitrust.org/Record/004376132","HathiTrust Record")</f>
        <v>HathiTrust Record</v>
      </c>
      <c r="AV4595" s="6" t="str">
        <f>HYPERLINK("http://mcgill.on.worldcat.org/oclc/54043374","Catalog Record")</f>
        <v>Catalog Record</v>
      </c>
      <c r="AW4595" s="6" t="str">
        <f>HYPERLINK("http://www.worldcat.org/oclc/54043374","WorldCat Record")</f>
        <v>WorldCat Record</v>
      </c>
      <c r="AX4595" s="3" t="s">
        <v>44763</v>
      </c>
      <c r="AY4595" s="3" t="s">
        <v>44764</v>
      </c>
      <c r="AZ4595" s="3" t="s">
        <v>44765</v>
      </c>
      <c r="BA4595" s="3" t="s">
        <v>44765</v>
      </c>
      <c r="BB4595" s="3" t="s">
        <v>44766</v>
      </c>
      <c r="BC4595" s="3" t="s">
        <v>77</v>
      </c>
      <c r="BD4595" s="3" t="s">
        <v>78</v>
      </c>
      <c r="BE4595" s="3" t="s">
        <v>44767</v>
      </c>
      <c r="BF4595" s="3" t="s">
        <v>44766</v>
      </c>
      <c r="BG4595" s="3" t="s">
        <v>44768</v>
      </c>
      <c r="BH4595">
        <f t="shared" si="141"/>
        <v>0</v>
      </c>
    </row>
    <row r="4596" spans="1:60" ht="58" x14ac:dyDescent="0.35">
      <c r="A4596" s="2" t="s">
        <v>6202</v>
      </c>
      <c r="B4596" s="2" t="s">
        <v>6203</v>
      </c>
      <c r="C4596" s="2" t="s">
        <v>44759</v>
      </c>
      <c r="D4596" s="2" t="s">
        <v>44760</v>
      </c>
      <c r="E4596" s="2" t="s">
        <v>44761</v>
      </c>
      <c r="F4596" s="3" t="s">
        <v>529</v>
      </c>
      <c r="G4596" s="3" t="s">
        <v>128</v>
      </c>
      <c r="I4596" s="3" t="s">
        <v>64</v>
      </c>
      <c r="J4596" s="3" t="s">
        <v>64</v>
      </c>
      <c r="K4596" s="3" t="s">
        <v>65</v>
      </c>
      <c r="L4596" s="2" t="s">
        <v>44762</v>
      </c>
      <c r="M4596" s="2" t="s">
        <v>100</v>
      </c>
      <c r="N4596" s="3" t="s">
        <v>101</v>
      </c>
      <c r="P4596" s="3" t="s">
        <v>102</v>
      </c>
      <c r="R4596" s="3" t="s">
        <v>70</v>
      </c>
      <c r="S4596" s="4">
        <v>4</v>
      </c>
      <c r="T4596" s="4">
        <v>7</v>
      </c>
      <c r="U4596" s="5" t="s">
        <v>31159</v>
      </c>
      <c r="V4596" s="5" t="s">
        <v>31159</v>
      </c>
      <c r="W4596" s="5" t="s">
        <v>72</v>
      </c>
      <c r="X4596" s="5" t="s">
        <v>72</v>
      </c>
      <c r="Y4596" s="4">
        <v>125</v>
      </c>
      <c r="Z4596" s="4">
        <v>12</v>
      </c>
      <c r="AA4596" s="4">
        <v>12</v>
      </c>
      <c r="AB4596" s="4">
        <v>1</v>
      </c>
      <c r="AC4596" s="4">
        <v>1</v>
      </c>
      <c r="AD4596" s="4">
        <v>52</v>
      </c>
      <c r="AE4596" s="4">
        <v>52</v>
      </c>
      <c r="AF4596" s="4">
        <v>0</v>
      </c>
      <c r="AG4596" s="4">
        <v>0</v>
      </c>
      <c r="AH4596" s="4">
        <v>44</v>
      </c>
      <c r="AI4596" s="4">
        <v>44</v>
      </c>
      <c r="AJ4596" s="4">
        <v>8</v>
      </c>
      <c r="AK4596" s="4">
        <v>8</v>
      </c>
      <c r="AL4596" s="4">
        <v>34</v>
      </c>
      <c r="AM4596" s="4">
        <v>34</v>
      </c>
      <c r="AN4596" s="4">
        <v>0</v>
      </c>
      <c r="AO4596" s="4">
        <v>0</v>
      </c>
      <c r="AP4596" s="4">
        <v>9</v>
      </c>
      <c r="AQ4596" s="4">
        <v>9</v>
      </c>
      <c r="AR4596" s="3" t="s">
        <v>64</v>
      </c>
      <c r="AS4596" s="3" t="s">
        <v>64</v>
      </c>
      <c r="AT4596" s="3" t="s">
        <v>128</v>
      </c>
      <c r="AU4596" s="6" t="str">
        <f>HYPERLINK("http://catalog.hathitrust.org/Record/004376132","HathiTrust Record")</f>
        <v>HathiTrust Record</v>
      </c>
      <c r="AV4596" s="6" t="str">
        <f>HYPERLINK("http://mcgill.on.worldcat.org/oclc/54043374","Catalog Record")</f>
        <v>Catalog Record</v>
      </c>
      <c r="AW4596" s="6" t="str">
        <f>HYPERLINK("http://www.worldcat.org/oclc/54043374","WorldCat Record")</f>
        <v>WorldCat Record</v>
      </c>
      <c r="AX4596" s="3" t="s">
        <v>44763</v>
      </c>
      <c r="AY4596" s="3" t="s">
        <v>44764</v>
      </c>
      <c r="AZ4596" s="3" t="s">
        <v>44765</v>
      </c>
      <c r="BA4596" s="3" t="s">
        <v>44765</v>
      </c>
      <c r="BB4596" s="3" t="s">
        <v>44769</v>
      </c>
      <c r="BC4596" s="3" t="s">
        <v>77</v>
      </c>
      <c r="BD4596" s="3" t="s">
        <v>78</v>
      </c>
      <c r="BE4596" s="3" t="s">
        <v>44767</v>
      </c>
      <c r="BF4596" s="3" t="s">
        <v>44769</v>
      </c>
      <c r="BG4596" s="3" t="s">
        <v>44770</v>
      </c>
      <c r="BH4596">
        <f t="shared" si="141"/>
        <v>0</v>
      </c>
    </row>
    <row r="4597" spans="1:60" ht="101.5" x14ac:dyDescent="0.35">
      <c r="A4597" s="2" t="s">
        <v>59</v>
      </c>
      <c r="B4597" s="2" t="s">
        <v>60</v>
      </c>
      <c r="C4597" s="2" t="s">
        <v>44771</v>
      </c>
      <c r="D4597" s="2" t="s">
        <v>44772</v>
      </c>
      <c r="E4597" s="2" t="s">
        <v>44773</v>
      </c>
      <c r="G4597" s="3" t="s">
        <v>64</v>
      </c>
      <c r="I4597" s="3" t="s">
        <v>64</v>
      </c>
      <c r="J4597" s="3" t="s">
        <v>64</v>
      </c>
      <c r="K4597" s="3" t="s">
        <v>65</v>
      </c>
      <c r="M4597" s="2" t="s">
        <v>44774</v>
      </c>
      <c r="N4597" s="3" t="s">
        <v>537</v>
      </c>
      <c r="P4597" s="3" t="s">
        <v>365</v>
      </c>
      <c r="Q4597" s="2" t="s">
        <v>44775</v>
      </c>
      <c r="R4597" s="3" t="s">
        <v>70</v>
      </c>
      <c r="S4597" s="4">
        <v>0</v>
      </c>
      <c r="T4597" s="4">
        <v>0</v>
      </c>
      <c r="W4597" s="5" t="s">
        <v>72</v>
      </c>
      <c r="X4597" s="5" t="s">
        <v>72</v>
      </c>
      <c r="Y4597" s="4">
        <v>19</v>
      </c>
      <c r="Z4597" s="4">
        <v>3</v>
      </c>
      <c r="AA4597" s="4">
        <v>3</v>
      </c>
      <c r="AB4597" s="4">
        <v>1</v>
      </c>
      <c r="AC4597" s="4">
        <v>1</v>
      </c>
      <c r="AD4597" s="4">
        <v>8</v>
      </c>
      <c r="AE4597" s="4">
        <v>8</v>
      </c>
      <c r="AF4597" s="4">
        <v>0</v>
      </c>
      <c r="AG4597" s="4">
        <v>0</v>
      </c>
      <c r="AH4597" s="4">
        <v>7</v>
      </c>
      <c r="AI4597" s="4">
        <v>7</v>
      </c>
      <c r="AJ4597" s="4">
        <v>1</v>
      </c>
      <c r="AK4597" s="4">
        <v>1</v>
      </c>
      <c r="AL4597" s="4">
        <v>7</v>
      </c>
      <c r="AM4597" s="4">
        <v>7</v>
      </c>
      <c r="AN4597" s="4">
        <v>0</v>
      </c>
      <c r="AO4597" s="4">
        <v>0</v>
      </c>
      <c r="AP4597" s="4">
        <v>1</v>
      </c>
      <c r="AQ4597" s="4">
        <v>1</v>
      </c>
      <c r="AR4597" s="3" t="s">
        <v>64</v>
      </c>
      <c r="AS4597" s="3" t="s">
        <v>64</v>
      </c>
      <c r="AT4597" s="3" t="s">
        <v>64</v>
      </c>
      <c r="AV4597" s="6" t="str">
        <f>HYPERLINK("http://mcgill.on.worldcat.org/oclc/954435194","Catalog Record")</f>
        <v>Catalog Record</v>
      </c>
      <c r="AW4597" s="6" t="str">
        <f>HYPERLINK("http://www.worldcat.org/oclc/954435194","WorldCat Record")</f>
        <v>WorldCat Record</v>
      </c>
      <c r="AX4597" s="3" t="s">
        <v>44776</v>
      </c>
      <c r="AY4597" s="3" t="s">
        <v>44777</v>
      </c>
      <c r="AZ4597" s="3" t="s">
        <v>44778</v>
      </c>
      <c r="BA4597" s="3" t="s">
        <v>44778</v>
      </c>
      <c r="BB4597" s="3" t="s">
        <v>44779</v>
      </c>
      <c r="BC4597" s="3" t="s">
        <v>77</v>
      </c>
      <c r="BD4597" s="3" t="s">
        <v>78</v>
      </c>
      <c r="BE4597" s="3" t="s">
        <v>44780</v>
      </c>
      <c r="BF4597" s="3" t="s">
        <v>44779</v>
      </c>
      <c r="BG4597" s="3" t="s">
        <v>44781</v>
      </c>
      <c r="BH4597">
        <f t="shared" si="141"/>
        <v>0</v>
      </c>
    </row>
    <row r="4598" spans="1:60" ht="72.5" x14ac:dyDescent="0.35">
      <c r="A4598" s="2" t="s">
        <v>59</v>
      </c>
      <c r="B4598" s="2" t="s">
        <v>60</v>
      </c>
      <c r="C4598" s="2" t="s">
        <v>44782</v>
      </c>
      <c r="D4598" s="2" t="s">
        <v>44783</v>
      </c>
      <c r="E4598" s="2" t="s">
        <v>44784</v>
      </c>
      <c r="F4598" s="3" t="s">
        <v>44785</v>
      </c>
      <c r="G4598" s="3" t="s">
        <v>64</v>
      </c>
      <c r="I4598" s="3" t="s">
        <v>64</v>
      </c>
      <c r="J4598" s="3" t="s">
        <v>64</v>
      </c>
      <c r="K4598" s="3" t="s">
        <v>65</v>
      </c>
      <c r="L4598" s="2" t="s">
        <v>44786</v>
      </c>
      <c r="M4598" s="2" t="s">
        <v>44787</v>
      </c>
      <c r="N4598" s="3" t="s">
        <v>86</v>
      </c>
      <c r="P4598" s="3" t="s">
        <v>365</v>
      </c>
      <c r="Q4598" s="2" t="s">
        <v>44788</v>
      </c>
      <c r="R4598" s="3" t="s">
        <v>70</v>
      </c>
      <c r="S4598" s="4">
        <v>0</v>
      </c>
      <c r="T4598" s="4">
        <v>0</v>
      </c>
      <c r="W4598" s="5" t="s">
        <v>72</v>
      </c>
      <c r="X4598" s="5" t="s">
        <v>72</v>
      </c>
      <c r="Y4598" s="4">
        <v>8</v>
      </c>
      <c r="Z4598" s="4">
        <v>1</v>
      </c>
      <c r="AA4598" s="4">
        <v>1</v>
      </c>
      <c r="AB4598" s="4">
        <v>1</v>
      </c>
      <c r="AC4598" s="4">
        <v>1</v>
      </c>
      <c r="AD4598" s="4">
        <v>5</v>
      </c>
      <c r="AE4598" s="4">
        <v>5</v>
      </c>
      <c r="AF4598" s="4">
        <v>0</v>
      </c>
      <c r="AG4598" s="4">
        <v>0</v>
      </c>
      <c r="AH4598" s="4">
        <v>5</v>
      </c>
      <c r="AI4598" s="4">
        <v>5</v>
      </c>
      <c r="AJ4598" s="4">
        <v>0</v>
      </c>
      <c r="AK4598" s="4">
        <v>0</v>
      </c>
      <c r="AL4598" s="4">
        <v>3</v>
      </c>
      <c r="AM4598" s="4">
        <v>3</v>
      </c>
      <c r="AN4598" s="4">
        <v>0</v>
      </c>
      <c r="AO4598" s="4">
        <v>0</v>
      </c>
      <c r="AP4598" s="4">
        <v>0</v>
      </c>
      <c r="AQ4598" s="4">
        <v>0</v>
      </c>
      <c r="AR4598" s="3" t="s">
        <v>64</v>
      </c>
      <c r="AS4598" s="3" t="s">
        <v>64</v>
      </c>
      <c r="AT4598" s="3" t="s">
        <v>64</v>
      </c>
      <c r="AV4598" s="6" t="str">
        <f>HYPERLINK("http://mcgill.on.worldcat.org/oclc/801833285","Catalog Record")</f>
        <v>Catalog Record</v>
      </c>
      <c r="AW4598" s="6" t="str">
        <f>HYPERLINK("http://www.worldcat.org/oclc/801833285","WorldCat Record")</f>
        <v>WorldCat Record</v>
      </c>
      <c r="AX4598" s="3" t="s">
        <v>44789</v>
      </c>
      <c r="AY4598" s="3" t="s">
        <v>44790</v>
      </c>
      <c r="AZ4598" s="3" t="s">
        <v>44791</v>
      </c>
      <c r="BA4598" s="3" t="s">
        <v>44791</v>
      </c>
      <c r="BB4598" s="3" t="s">
        <v>44792</v>
      </c>
      <c r="BC4598" s="3" t="s">
        <v>77</v>
      </c>
      <c r="BD4598" s="3" t="s">
        <v>78</v>
      </c>
      <c r="BE4598" s="3" t="s">
        <v>44793</v>
      </c>
      <c r="BF4598" s="3" t="s">
        <v>44792</v>
      </c>
      <c r="BG4598" s="3" t="s">
        <v>44794</v>
      </c>
      <c r="BH4598">
        <f t="shared" si="141"/>
        <v>0</v>
      </c>
    </row>
    <row r="4599" spans="1:60" ht="72.5" x14ac:dyDescent="0.35">
      <c r="A4599" s="2" t="s">
        <v>59</v>
      </c>
      <c r="B4599" s="2" t="s">
        <v>60</v>
      </c>
      <c r="C4599" s="2" t="s">
        <v>44795</v>
      </c>
      <c r="D4599" s="2" t="s">
        <v>44796</v>
      </c>
      <c r="E4599" s="2" t="s">
        <v>44797</v>
      </c>
      <c r="F4599" s="3" t="s">
        <v>44798</v>
      </c>
      <c r="G4599" s="3" t="s">
        <v>64</v>
      </c>
      <c r="I4599" s="3" t="s">
        <v>64</v>
      </c>
      <c r="J4599" s="3" t="s">
        <v>64</v>
      </c>
      <c r="K4599" s="3" t="s">
        <v>65</v>
      </c>
      <c r="L4599" s="2" t="s">
        <v>44799</v>
      </c>
      <c r="M4599" s="2" t="s">
        <v>44800</v>
      </c>
      <c r="N4599" s="3" t="s">
        <v>86</v>
      </c>
      <c r="P4599" s="3" t="s">
        <v>365</v>
      </c>
      <c r="Q4599" s="2" t="s">
        <v>44801</v>
      </c>
      <c r="R4599" s="3" t="s">
        <v>70</v>
      </c>
      <c r="S4599" s="4">
        <v>0</v>
      </c>
      <c r="T4599" s="4">
        <v>0</v>
      </c>
      <c r="W4599" s="5" t="s">
        <v>72</v>
      </c>
      <c r="X4599" s="5" t="s">
        <v>72</v>
      </c>
      <c r="Y4599" s="4">
        <v>14</v>
      </c>
      <c r="Z4599" s="4">
        <v>1</v>
      </c>
      <c r="AA4599" s="4">
        <v>1</v>
      </c>
      <c r="AB4599" s="4">
        <v>1</v>
      </c>
      <c r="AC4599" s="4">
        <v>1</v>
      </c>
      <c r="AD4599" s="4">
        <v>7</v>
      </c>
      <c r="AE4599" s="4">
        <v>7</v>
      </c>
      <c r="AF4599" s="4">
        <v>0</v>
      </c>
      <c r="AG4599" s="4">
        <v>0</v>
      </c>
      <c r="AH4599" s="4">
        <v>6</v>
      </c>
      <c r="AI4599" s="4">
        <v>6</v>
      </c>
      <c r="AJ4599" s="4">
        <v>0</v>
      </c>
      <c r="AK4599" s="4">
        <v>0</v>
      </c>
      <c r="AL4599" s="4">
        <v>4</v>
      </c>
      <c r="AM4599" s="4">
        <v>4</v>
      </c>
      <c r="AN4599" s="4">
        <v>0</v>
      </c>
      <c r="AO4599" s="4">
        <v>0</v>
      </c>
      <c r="AP4599" s="4">
        <v>0</v>
      </c>
      <c r="AQ4599" s="4">
        <v>0</v>
      </c>
      <c r="AR4599" s="3" t="s">
        <v>64</v>
      </c>
      <c r="AS4599" s="3" t="s">
        <v>64</v>
      </c>
      <c r="AT4599" s="3" t="s">
        <v>64</v>
      </c>
      <c r="AV4599" s="6" t="str">
        <f>HYPERLINK("http://mcgill.on.worldcat.org/oclc/798255955","Catalog Record")</f>
        <v>Catalog Record</v>
      </c>
      <c r="AW4599" s="6" t="str">
        <f>HYPERLINK("http://www.worldcat.org/oclc/798255955","WorldCat Record")</f>
        <v>WorldCat Record</v>
      </c>
      <c r="AX4599" s="3" t="s">
        <v>44802</v>
      </c>
      <c r="AY4599" s="3" t="s">
        <v>44803</v>
      </c>
      <c r="AZ4599" s="3" t="s">
        <v>44804</v>
      </c>
      <c r="BA4599" s="3" t="s">
        <v>44804</v>
      </c>
      <c r="BB4599" s="3" t="s">
        <v>44805</v>
      </c>
      <c r="BC4599" s="3" t="s">
        <v>77</v>
      </c>
      <c r="BD4599" s="3" t="s">
        <v>78</v>
      </c>
      <c r="BE4599" s="3" t="s">
        <v>44806</v>
      </c>
      <c r="BF4599" s="3" t="s">
        <v>44805</v>
      </c>
      <c r="BG4599" s="3" t="s">
        <v>44807</v>
      </c>
      <c r="BH4599">
        <f t="shared" si="141"/>
        <v>0</v>
      </c>
    </row>
    <row r="4600" spans="1:60" ht="72.5" x14ac:dyDescent="0.35">
      <c r="A4600" s="2" t="s">
        <v>59</v>
      </c>
      <c r="B4600" s="2" t="s">
        <v>60</v>
      </c>
      <c r="C4600" s="2" t="s">
        <v>44808</v>
      </c>
      <c r="D4600" s="2" t="s">
        <v>44809</v>
      </c>
      <c r="E4600" s="2" t="s">
        <v>44810</v>
      </c>
      <c r="F4600" s="3" t="s">
        <v>44811</v>
      </c>
      <c r="G4600" s="3" t="s">
        <v>128</v>
      </c>
      <c r="I4600" s="3" t="s">
        <v>64</v>
      </c>
      <c r="J4600" s="3" t="s">
        <v>64</v>
      </c>
      <c r="K4600" s="3" t="s">
        <v>65</v>
      </c>
      <c r="M4600" s="2" t="s">
        <v>44812</v>
      </c>
      <c r="N4600" s="3" t="s">
        <v>86</v>
      </c>
      <c r="P4600" s="3" t="s">
        <v>365</v>
      </c>
      <c r="Q4600" s="2" t="s">
        <v>44813</v>
      </c>
      <c r="R4600" s="3" t="s">
        <v>70</v>
      </c>
      <c r="S4600" s="4">
        <v>0</v>
      </c>
      <c r="T4600" s="4">
        <v>0</v>
      </c>
      <c r="W4600" s="5" t="s">
        <v>72</v>
      </c>
      <c r="X4600" s="5" t="s">
        <v>72</v>
      </c>
      <c r="Y4600" s="4">
        <v>15</v>
      </c>
      <c r="Z4600" s="4">
        <v>1</v>
      </c>
      <c r="AA4600" s="4">
        <v>1</v>
      </c>
      <c r="AB4600" s="4">
        <v>1</v>
      </c>
      <c r="AC4600" s="4">
        <v>1</v>
      </c>
      <c r="AD4600" s="4">
        <v>7</v>
      </c>
      <c r="AE4600" s="4">
        <v>7</v>
      </c>
      <c r="AF4600" s="4">
        <v>0</v>
      </c>
      <c r="AG4600" s="4">
        <v>0</v>
      </c>
      <c r="AH4600" s="4">
        <v>6</v>
      </c>
      <c r="AI4600" s="4">
        <v>6</v>
      </c>
      <c r="AJ4600" s="4">
        <v>0</v>
      </c>
      <c r="AK4600" s="4">
        <v>0</v>
      </c>
      <c r="AL4600" s="4">
        <v>4</v>
      </c>
      <c r="AM4600" s="4">
        <v>4</v>
      </c>
      <c r="AN4600" s="4">
        <v>0</v>
      </c>
      <c r="AO4600" s="4">
        <v>0</v>
      </c>
      <c r="AP4600" s="4">
        <v>0</v>
      </c>
      <c r="AQ4600" s="4">
        <v>0</v>
      </c>
      <c r="AR4600" s="3" t="s">
        <v>64</v>
      </c>
      <c r="AS4600" s="3" t="s">
        <v>64</v>
      </c>
      <c r="AT4600" s="3" t="s">
        <v>64</v>
      </c>
      <c r="AV4600" s="6" t="str">
        <f>HYPERLINK("http://mcgill.on.worldcat.org/oclc/795156659","Catalog Record")</f>
        <v>Catalog Record</v>
      </c>
      <c r="AW4600" s="6" t="str">
        <f>HYPERLINK("http://www.worldcat.org/oclc/795156659","WorldCat Record")</f>
        <v>WorldCat Record</v>
      </c>
      <c r="AX4600" s="3" t="s">
        <v>44814</v>
      </c>
      <c r="AY4600" s="3" t="s">
        <v>44815</v>
      </c>
      <c r="AZ4600" s="3" t="s">
        <v>44816</v>
      </c>
      <c r="BA4600" s="3" t="s">
        <v>44816</v>
      </c>
      <c r="BB4600" s="3" t="s">
        <v>44817</v>
      </c>
      <c r="BC4600" s="3" t="s">
        <v>77</v>
      </c>
      <c r="BD4600" s="3" t="s">
        <v>78</v>
      </c>
      <c r="BE4600" s="3" t="s">
        <v>44818</v>
      </c>
      <c r="BF4600" s="3" t="s">
        <v>44817</v>
      </c>
      <c r="BG4600" s="3" t="s">
        <v>44819</v>
      </c>
      <c r="BH4600">
        <f t="shared" si="141"/>
        <v>0</v>
      </c>
    </row>
    <row r="4601" spans="1:60" ht="145" x14ac:dyDescent="0.35">
      <c r="A4601" s="2" t="s">
        <v>59</v>
      </c>
      <c r="B4601" s="2" t="s">
        <v>60</v>
      </c>
      <c r="C4601" s="2" t="s">
        <v>44820</v>
      </c>
      <c r="D4601" s="2" t="s">
        <v>44821</v>
      </c>
      <c r="E4601" s="2" t="s">
        <v>44822</v>
      </c>
      <c r="F4601" s="3" t="s">
        <v>26723</v>
      </c>
      <c r="G4601" s="3" t="s">
        <v>64</v>
      </c>
      <c r="I4601" s="3" t="s">
        <v>64</v>
      </c>
      <c r="J4601" s="3" t="s">
        <v>64</v>
      </c>
      <c r="K4601" s="3" t="s">
        <v>65</v>
      </c>
      <c r="M4601" s="2" t="s">
        <v>44823</v>
      </c>
      <c r="N4601" s="3" t="s">
        <v>159</v>
      </c>
      <c r="P4601" s="3" t="s">
        <v>365</v>
      </c>
      <c r="Q4601" s="2" t="s">
        <v>44824</v>
      </c>
      <c r="R4601" s="3" t="s">
        <v>70</v>
      </c>
      <c r="S4601" s="4">
        <v>1</v>
      </c>
      <c r="T4601" s="4">
        <v>1</v>
      </c>
      <c r="U4601" s="5" t="s">
        <v>14111</v>
      </c>
      <c r="V4601" s="5" t="s">
        <v>14111</v>
      </c>
      <c r="W4601" s="5" t="s">
        <v>17763</v>
      </c>
      <c r="X4601" s="5" t="s">
        <v>17763</v>
      </c>
      <c r="Y4601" s="4">
        <v>9</v>
      </c>
      <c r="Z4601" s="4">
        <v>1</v>
      </c>
      <c r="AA4601" s="4">
        <v>1</v>
      </c>
      <c r="AB4601" s="4">
        <v>1</v>
      </c>
      <c r="AC4601" s="4">
        <v>1</v>
      </c>
      <c r="AD4601" s="4">
        <v>1</v>
      </c>
      <c r="AE4601" s="4">
        <v>1</v>
      </c>
      <c r="AF4601" s="4">
        <v>0</v>
      </c>
      <c r="AG4601" s="4">
        <v>0</v>
      </c>
      <c r="AH4601" s="4">
        <v>0</v>
      </c>
      <c r="AI4601" s="4">
        <v>0</v>
      </c>
      <c r="AJ4601" s="4">
        <v>0</v>
      </c>
      <c r="AK4601" s="4">
        <v>0</v>
      </c>
      <c r="AL4601" s="4">
        <v>1</v>
      </c>
      <c r="AM4601" s="4">
        <v>1</v>
      </c>
      <c r="AN4601" s="4">
        <v>0</v>
      </c>
      <c r="AO4601" s="4">
        <v>0</v>
      </c>
      <c r="AP4601" s="4">
        <v>0</v>
      </c>
      <c r="AQ4601" s="4">
        <v>0</v>
      </c>
      <c r="AR4601" s="3" t="s">
        <v>64</v>
      </c>
      <c r="AS4601" s="3" t="s">
        <v>64</v>
      </c>
      <c r="AT4601" s="3" t="s">
        <v>64</v>
      </c>
      <c r="AV4601" s="6" t="str">
        <f>HYPERLINK("http://mcgill.on.worldcat.org/oclc/123206480","Catalog Record")</f>
        <v>Catalog Record</v>
      </c>
      <c r="AW4601" s="6" t="str">
        <f>HYPERLINK("http://www.worldcat.org/oclc/123206480","WorldCat Record")</f>
        <v>WorldCat Record</v>
      </c>
      <c r="AX4601" s="3" t="s">
        <v>44825</v>
      </c>
      <c r="AY4601" s="3" t="s">
        <v>44826</v>
      </c>
      <c r="AZ4601" s="3" t="s">
        <v>44827</v>
      </c>
      <c r="BA4601" s="3" t="s">
        <v>44827</v>
      </c>
      <c r="BB4601" s="3" t="s">
        <v>44828</v>
      </c>
      <c r="BC4601" s="3" t="s">
        <v>77</v>
      </c>
      <c r="BD4601" s="3" t="s">
        <v>78</v>
      </c>
      <c r="BE4601" s="3" t="s">
        <v>44829</v>
      </c>
      <c r="BF4601" s="3" t="s">
        <v>44828</v>
      </c>
      <c r="BG4601" s="3" t="s">
        <v>44830</v>
      </c>
      <c r="BH4601">
        <f t="shared" si="141"/>
        <v>0</v>
      </c>
    </row>
    <row r="4602" spans="1:60" ht="145" x14ac:dyDescent="0.35">
      <c r="A4602" s="2" t="s">
        <v>59</v>
      </c>
      <c r="B4602" s="2" t="s">
        <v>60</v>
      </c>
      <c r="C4602" s="2" t="s">
        <v>44831</v>
      </c>
      <c r="D4602" s="2" t="s">
        <v>44832</v>
      </c>
      <c r="E4602" s="2" t="s">
        <v>44833</v>
      </c>
      <c r="G4602" s="3" t="s">
        <v>64</v>
      </c>
      <c r="I4602" s="3" t="s">
        <v>64</v>
      </c>
      <c r="J4602" s="3" t="s">
        <v>64</v>
      </c>
      <c r="K4602" s="3" t="s">
        <v>65</v>
      </c>
      <c r="M4602" s="2" t="s">
        <v>44834</v>
      </c>
      <c r="N4602" s="3" t="s">
        <v>511</v>
      </c>
      <c r="P4602" s="3" t="s">
        <v>365</v>
      </c>
      <c r="Q4602" s="2" t="s">
        <v>44835</v>
      </c>
      <c r="R4602" s="3" t="s">
        <v>70</v>
      </c>
      <c r="S4602" s="4">
        <v>1</v>
      </c>
      <c r="T4602" s="4">
        <v>1</v>
      </c>
      <c r="U4602" s="5" t="s">
        <v>14111</v>
      </c>
      <c r="V4602" s="5" t="s">
        <v>14111</v>
      </c>
      <c r="W4602" s="5" t="s">
        <v>72</v>
      </c>
      <c r="X4602" s="5" t="s">
        <v>72</v>
      </c>
      <c r="Y4602" s="4">
        <v>31</v>
      </c>
      <c r="Z4602" s="4">
        <v>4</v>
      </c>
      <c r="AA4602" s="4">
        <v>4</v>
      </c>
      <c r="AB4602" s="4">
        <v>1</v>
      </c>
      <c r="AC4602" s="4">
        <v>1</v>
      </c>
      <c r="AD4602" s="4">
        <v>12</v>
      </c>
      <c r="AE4602" s="4">
        <v>12</v>
      </c>
      <c r="AF4602" s="4">
        <v>0</v>
      </c>
      <c r="AG4602" s="4">
        <v>0</v>
      </c>
      <c r="AH4602" s="4">
        <v>12</v>
      </c>
      <c r="AI4602" s="4">
        <v>12</v>
      </c>
      <c r="AJ4602" s="4">
        <v>1</v>
      </c>
      <c r="AK4602" s="4">
        <v>1</v>
      </c>
      <c r="AL4602" s="4">
        <v>10</v>
      </c>
      <c r="AM4602" s="4">
        <v>10</v>
      </c>
      <c r="AN4602" s="4">
        <v>0</v>
      </c>
      <c r="AO4602" s="4">
        <v>0</v>
      </c>
      <c r="AP4602" s="4">
        <v>1</v>
      </c>
      <c r="AQ4602" s="4">
        <v>1</v>
      </c>
      <c r="AR4602" s="3" t="s">
        <v>64</v>
      </c>
      <c r="AS4602" s="3" t="s">
        <v>64</v>
      </c>
      <c r="AT4602" s="3" t="s">
        <v>64</v>
      </c>
      <c r="AV4602" s="6" t="str">
        <f>HYPERLINK("http://mcgill.on.worldcat.org/oclc/650021544","Catalog Record")</f>
        <v>Catalog Record</v>
      </c>
      <c r="AW4602" s="6" t="str">
        <f>HYPERLINK("http://www.worldcat.org/oclc/650021544","WorldCat Record")</f>
        <v>WorldCat Record</v>
      </c>
      <c r="AX4602" s="3" t="s">
        <v>44836</v>
      </c>
      <c r="AY4602" s="3" t="s">
        <v>44837</v>
      </c>
      <c r="AZ4602" s="3" t="s">
        <v>44838</v>
      </c>
      <c r="BA4602" s="3" t="s">
        <v>44838</v>
      </c>
      <c r="BB4602" s="3" t="s">
        <v>44839</v>
      </c>
      <c r="BC4602" s="3" t="s">
        <v>77</v>
      </c>
      <c r="BD4602" s="3" t="s">
        <v>78</v>
      </c>
      <c r="BE4602" s="3" t="s">
        <v>44840</v>
      </c>
      <c r="BF4602" s="3" t="s">
        <v>44839</v>
      </c>
      <c r="BG4602" s="3" t="s">
        <v>44841</v>
      </c>
      <c r="BH4602">
        <f t="shared" si="141"/>
        <v>0</v>
      </c>
    </row>
    <row r="4603" spans="1:60" ht="72.5" x14ac:dyDescent="0.35">
      <c r="A4603" s="2" t="s">
        <v>59</v>
      </c>
      <c r="B4603" s="2" t="s">
        <v>60</v>
      </c>
      <c r="C4603" s="2" t="s">
        <v>44842</v>
      </c>
      <c r="D4603" s="2" t="s">
        <v>44843</v>
      </c>
      <c r="E4603" s="2" t="s">
        <v>44844</v>
      </c>
      <c r="G4603" s="3" t="s">
        <v>64</v>
      </c>
      <c r="I4603" s="3" t="s">
        <v>64</v>
      </c>
      <c r="J4603" s="3" t="s">
        <v>64</v>
      </c>
      <c r="K4603" s="3" t="s">
        <v>65</v>
      </c>
      <c r="L4603" s="2" t="s">
        <v>44845</v>
      </c>
      <c r="M4603" s="2" t="s">
        <v>44846</v>
      </c>
      <c r="N4603" s="3" t="s">
        <v>421</v>
      </c>
      <c r="P4603" s="3" t="s">
        <v>102</v>
      </c>
      <c r="R4603" s="3" t="s">
        <v>70</v>
      </c>
      <c r="S4603" s="4">
        <v>4</v>
      </c>
      <c r="T4603" s="4">
        <v>4</v>
      </c>
      <c r="U4603" s="5" t="s">
        <v>22365</v>
      </c>
      <c r="V4603" s="5" t="s">
        <v>22365</v>
      </c>
      <c r="W4603" s="5" t="s">
        <v>72</v>
      </c>
      <c r="X4603" s="5" t="s">
        <v>72</v>
      </c>
      <c r="Y4603" s="4">
        <v>107</v>
      </c>
      <c r="Z4603" s="4">
        <v>3</v>
      </c>
      <c r="AA4603" s="4">
        <v>7</v>
      </c>
      <c r="AB4603" s="4">
        <v>1</v>
      </c>
      <c r="AC4603" s="4">
        <v>1</v>
      </c>
      <c r="AD4603" s="4">
        <v>51</v>
      </c>
      <c r="AE4603" s="4">
        <v>56</v>
      </c>
      <c r="AF4603" s="4">
        <v>0</v>
      </c>
      <c r="AG4603" s="4">
        <v>0</v>
      </c>
      <c r="AH4603" s="4">
        <v>49</v>
      </c>
      <c r="AI4603" s="4">
        <v>54</v>
      </c>
      <c r="AJ4603" s="4">
        <v>2</v>
      </c>
      <c r="AK4603" s="4">
        <v>4</v>
      </c>
      <c r="AL4603" s="4">
        <v>34</v>
      </c>
      <c r="AM4603" s="4">
        <v>38</v>
      </c>
      <c r="AN4603" s="4">
        <v>0</v>
      </c>
      <c r="AO4603" s="4">
        <v>0</v>
      </c>
      <c r="AP4603" s="4">
        <v>2</v>
      </c>
      <c r="AQ4603" s="4">
        <v>4</v>
      </c>
      <c r="AR4603" s="3" t="s">
        <v>64</v>
      </c>
      <c r="AS4603" s="3" t="s">
        <v>64</v>
      </c>
      <c r="AT4603" s="3" t="s">
        <v>128</v>
      </c>
      <c r="AU4603" s="6" t="str">
        <f>HYPERLINK("http://catalog.hathitrust.org/Record/003965285","HathiTrust Record")</f>
        <v>HathiTrust Record</v>
      </c>
      <c r="AV4603" s="6" t="str">
        <f>HYPERLINK("http://mcgill.on.worldcat.org/oclc/36556959","Catalog Record")</f>
        <v>Catalog Record</v>
      </c>
      <c r="AW4603" s="6" t="str">
        <f>HYPERLINK("http://www.worldcat.org/oclc/36556959","WorldCat Record")</f>
        <v>WorldCat Record</v>
      </c>
      <c r="AX4603" s="3" t="s">
        <v>44847</v>
      </c>
      <c r="AY4603" s="3" t="s">
        <v>44848</v>
      </c>
      <c r="AZ4603" s="3" t="s">
        <v>44849</v>
      </c>
      <c r="BA4603" s="3" t="s">
        <v>44849</v>
      </c>
      <c r="BB4603" s="3" t="s">
        <v>44850</v>
      </c>
      <c r="BC4603" s="3" t="s">
        <v>77</v>
      </c>
      <c r="BD4603" s="3" t="s">
        <v>78</v>
      </c>
      <c r="BE4603" s="3" t="s">
        <v>44851</v>
      </c>
      <c r="BF4603" s="3" t="s">
        <v>44850</v>
      </c>
      <c r="BG4603" s="3" t="s">
        <v>44852</v>
      </c>
      <c r="BH4603">
        <f t="shared" si="141"/>
        <v>0</v>
      </c>
    </row>
    <row r="4604" spans="1:60" ht="58" x14ac:dyDescent="0.35">
      <c r="A4604" s="2" t="s">
        <v>59</v>
      </c>
      <c r="B4604" s="2" t="s">
        <v>60</v>
      </c>
      <c r="C4604" s="2" t="s">
        <v>44853</v>
      </c>
      <c r="D4604" s="2" t="s">
        <v>44854</v>
      </c>
      <c r="E4604" s="2" t="s">
        <v>44855</v>
      </c>
      <c r="F4604" s="3" t="s">
        <v>489</v>
      </c>
      <c r="G4604" s="3" t="s">
        <v>128</v>
      </c>
      <c r="I4604" s="3" t="s">
        <v>64</v>
      </c>
      <c r="J4604" s="3" t="s">
        <v>64</v>
      </c>
      <c r="K4604" s="3" t="s">
        <v>65</v>
      </c>
      <c r="L4604" s="2" t="s">
        <v>33986</v>
      </c>
      <c r="M4604" s="2" t="s">
        <v>44856</v>
      </c>
      <c r="N4604" s="3" t="s">
        <v>1763</v>
      </c>
      <c r="P4604" s="3" t="s">
        <v>102</v>
      </c>
      <c r="Q4604" s="2" t="s">
        <v>44857</v>
      </c>
      <c r="R4604" s="3" t="s">
        <v>70</v>
      </c>
      <c r="S4604" s="4">
        <v>3</v>
      </c>
      <c r="T4604" s="4">
        <v>11</v>
      </c>
      <c r="U4604" s="5" t="s">
        <v>44858</v>
      </c>
      <c r="V4604" s="5" t="s">
        <v>39429</v>
      </c>
      <c r="W4604" s="5" t="s">
        <v>72</v>
      </c>
      <c r="X4604" s="5" t="s">
        <v>72</v>
      </c>
      <c r="Y4604" s="4">
        <v>273</v>
      </c>
      <c r="Z4604" s="4">
        <v>6</v>
      </c>
      <c r="AA4604" s="4">
        <v>7</v>
      </c>
      <c r="AB4604" s="4">
        <v>1</v>
      </c>
      <c r="AC4604" s="4">
        <v>1</v>
      </c>
      <c r="AD4604" s="4">
        <v>95</v>
      </c>
      <c r="AE4604" s="4">
        <v>96</v>
      </c>
      <c r="AF4604" s="4">
        <v>0</v>
      </c>
      <c r="AG4604" s="4">
        <v>0</v>
      </c>
      <c r="AH4604" s="4">
        <v>90</v>
      </c>
      <c r="AI4604" s="4">
        <v>90</v>
      </c>
      <c r="AJ4604" s="4">
        <v>5</v>
      </c>
      <c r="AK4604" s="4">
        <v>6</v>
      </c>
      <c r="AL4604" s="4">
        <v>53</v>
      </c>
      <c r="AM4604" s="4">
        <v>53</v>
      </c>
      <c r="AN4604" s="4">
        <v>0</v>
      </c>
      <c r="AO4604" s="4">
        <v>0</v>
      </c>
      <c r="AP4604" s="4">
        <v>5</v>
      </c>
      <c r="AQ4604" s="4">
        <v>6</v>
      </c>
      <c r="AR4604" s="3" t="s">
        <v>64</v>
      </c>
      <c r="AS4604" s="3" t="s">
        <v>64</v>
      </c>
      <c r="AT4604" s="3" t="s">
        <v>128</v>
      </c>
      <c r="AU4604" s="6" t="str">
        <f>HYPERLINK("http://catalog.hathitrust.org/Record/000450659","HathiTrust Record")</f>
        <v>HathiTrust Record</v>
      </c>
      <c r="AV4604" s="6" t="str">
        <f>HYPERLINK("http://mcgill.on.worldcat.org/oclc/10429671","Catalog Record")</f>
        <v>Catalog Record</v>
      </c>
      <c r="AW4604" s="6" t="str">
        <f>HYPERLINK("http://www.worldcat.org/oclc/10429671","WorldCat Record")</f>
        <v>WorldCat Record</v>
      </c>
      <c r="AX4604" s="3" t="s">
        <v>44859</v>
      </c>
      <c r="AY4604" s="3" t="s">
        <v>44860</v>
      </c>
      <c r="AZ4604" s="3" t="s">
        <v>44861</v>
      </c>
      <c r="BA4604" s="3" t="s">
        <v>44861</v>
      </c>
      <c r="BB4604" s="3" t="s">
        <v>44862</v>
      </c>
      <c r="BC4604" s="3" t="s">
        <v>77</v>
      </c>
      <c r="BD4604" s="3" t="s">
        <v>78</v>
      </c>
      <c r="BE4604" s="3" t="s">
        <v>44863</v>
      </c>
      <c r="BF4604" s="3" t="s">
        <v>44862</v>
      </c>
      <c r="BG4604" s="3" t="s">
        <v>44864</v>
      </c>
      <c r="BH4604">
        <f t="shared" si="141"/>
        <v>0</v>
      </c>
    </row>
    <row r="4605" spans="1:60" ht="58" x14ac:dyDescent="0.35">
      <c r="A4605" s="2" t="s">
        <v>59</v>
      </c>
      <c r="B4605" s="2" t="s">
        <v>60</v>
      </c>
      <c r="C4605" s="2" t="s">
        <v>44853</v>
      </c>
      <c r="D4605" s="2" t="s">
        <v>44854</v>
      </c>
      <c r="E4605" s="2" t="s">
        <v>44855</v>
      </c>
      <c r="F4605" s="3" t="s">
        <v>478</v>
      </c>
      <c r="G4605" s="3" t="s">
        <v>128</v>
      </c>
      <c r="I4605" s="3" t="s">
        <v>64</v>
      </c>
      <c r="J4605" s="3" t="s">
        <v>64</v>
      </c>
      <c r="K4605" s="3" t="s">
        <v>65</v>
      </c>
      <c r="L4605" s="2" t="s">
        <v>33986</v>
      </c>
      <c r="M4605" s="2" t="s">
        <v>44856</v>
      </c>
      <c r="N4605" s="3" t="s">
        <v>1763</v>
      </c>
      <c r="P4605" s="3" t="s">
        <v>102</v>
      </c>
      <c r="Q4605" s="2" t="s">
        <v>44857</v>
      </c>
      <c r="R4605" s="3" t="s">
        <v>70</v>
      </c>
      <c r="S4605" s="4">
        <v>4</v>
      </c>
      <c r="T4605" s="4">
        <v>11</v>
      </c>
      <c r="U4605" s="5" t="s">
        <v>39429</v>
      </c>
      <c r="V4605" s="5" t="s">
        <v>39429</v>
      </c>
      <c r="W4605" s="5" t="s">
        <v>72</v>
      </c>
      <c r="X4605" s="5" t="s">
        <v>72</v>
      </c>
      <c r="Y4605" s="4">
        <v>273</v>
      </c>
      <c r="Z4605" s="4">
        <v>6</v>
      </c>
      <c r="AA4605" s="4">
        <v>7</v>
      </c>
      <c r="AB4605" s="4">
        <v>1</v>
      </c>
      <c r="AC4605" s="4">
        <v>1</v>
      </c>
      <c r="AD4605" s="4">
        <v>95</v>
      </c>
      <c r="AE4605" s="4">
        <v>96</v>
      </c>
      <c r="AF4605" s="4">
        <v>0</v>
      </c>
      <c r="AG4605" s="4">
        <v>0</v>
      </c>
      <c r="AH4605" s="4">
        <v>90</v>
      </c>
      <c r="AI4605" s="4">
        <v>90</v>
      </c>
      <c r="AJ4605" s="4">
        <v>5</v>
      </c>
      <c r="AK4605" s="4">
        <v>6</v>
      </c>
      <c r="AL4605" s="4">
        <v>53</v>
      </c>
      <c r="AM4605" s="4">
        <v>53</v>
      </c>
      <c r="AN4605" s="4">
        <v>0</v>
      </c>
      <c r="AO4605" s="4">
        <v>0</v>
      </c>
      <c r="AP4605" s="4">
        <v>5</v>
      </c>
      <c r="AQ4605" s="4">
        <v>6</v>
      </c>
      <c r="AR4605" s="3" t="s">
        <v>64</v>
      </c>
      <c r="AS4605" s="3" t="s">
        <v>64</v>
      </c>
      <c r="AT4605" s="3" t="s">
        <v>128</v>
      </c>
      <c r="AU4605" s="6" t="str">
        <f>HYPERLINK("http://catalog.hathitrust.org/Record/000450659","HathiTrust Record")</f>
        <v>HathiTrust Record</v>
      </c>
      <c r="AV4605" s="6" t="str">
        <f>HYPERLINK("http://mcgill.on.worldcat.org/oclc/10429671","Catalog Record")</f>
        <v>Catalog Record</v>
      </c>
      <c r="AW4605" s="6" t="str">
        <f>HYPERLINK("http://www.worldcat.org/oclc/10429671","WorldCat Record")</f>
        <v>WorldCat Record</v>
      </c>
      <c r="AX4605" s="3" t="s">
        <v>44859</v>
      </c>
      <c r="AY4605" s="3" t="s">
        <v>44860</v>
      </c>
      <c r="AZ4605" s="3" t="s">
        <v>44861</v>
      </c>
      <c r="BA4605" s="3" t="s">
        <v>44861</v>
      </c>
      <c r="BB4605" s="3" t="s">
        <v>44865</v>
      </c>
      <c r="BC4605" s="3" t="s">
        <v>77</v>
      </c>
      <c r="BD4605" s="3" t="s">
        <v>78</v>
      </c>
      <c r="BE4605" s="3" t="s">
        <v>44863</v>
      </c>
      <c r="BF4605" s="3" t="s">
        <v>44865</v>
      </c>
      <c r="BG4605" s="3" t="s">
        <v>44866</v>
      </c>
      <c r="BH4605">
        <f t="shared" si="141"/>
        <v>0</v>
      </c>
    </row>
    <row r="4606" spans="1:60" ht="58" x14ac:dyDescent="0.35">
      <c r="A4606" s="2" t="s">
        <v>59</v>
      </c>
      <c r="B4606" s="2" t="s">
        <v>60</v>
      </c>
      <c r="C4606" s="2" t="s">
        <v>44853</v>
      </c>
      <c r="D4606" s="2" t="s">
        <v>44854</v>
      </c>
      <c r="E4606" s="2" t="s">
        <v>44855</v>
      </c>
      <c r="F4606" s="3" t="s">
        <v>2044</v>
      </c>
      <c r="G4606" s="3" t="s">
        <v>128</v>
      </c>
      <c r="I4606" s="3" t="s">
        <v>64</v>
      </c>
      <c r="J4606" s="3" t="s">
        <v>64</v>
      </c>
      <c r="K4606" s="3" t="s">
        <v>65</v>
      </c>
      <c r="L4606" s="2" t="s">
        <v>33986</v>
      </c>
      <c r="M4606" s="2" t="s">
        <v>44856</v>
      </c>
      <c r="N4606" s="3" t="s">
        <v>1763</v>
      </c>
      <c r="P4606" s="3" t="s">
        <v>102</v>
      </c>
      <c r="Q4606" s="2" t="s">
        <v>44857</v>
      </c>
      <c r="R4606" s="3" t="s">
        <v>70</v>
      </c>
      <c r="S4606" s="4">
        <v>2</v>
      </c>
      <c r="T4606" s="4">
        <v>11</v>
      </c>
      <c r="U4606" s="5" t="s">
        <v>44867</v>
      </c>
      <c r="V4606" s="5" t="s">
        <v>39429</v>
      </c>
      <c r="W4606" s="5" t="s">
        <v>72</v>
      </c>
      <c r="X4606" s="5" t="s">
        <v>72</v>
      </c>
      <c r="Y4606" s="4">
        <v>273</v>
      </c>
      <c r="Z4606" s="4">
        <v>6</v>
      </c>
      <c r="AA4606" s="4">
        <v>7</v>
      </c>
      <c r="AB4606" s="4">
        <v>1</v>
      </c>
      <c r="AC4606" s="4">
        <v>1</v>
      </c>
      <c r="AD4606" s="4">
        <v>95</v>
      </c>
      <c r="AE4606" s="4">
        <v>96</v>
      </c>
      <c r="AF4606" s="4">
        <v>0</v>
      </c>
      <c r="AG4606" s="4">
        <v>0</v>
      </c>
      <c r="AH4606" s="4">
        <v>90</v>
      </c>
      <c r="AI4606" s="4">
        <v>90</v>
      </c>
      <c r="AJ4606" s="4">
        <v>5</v>
      </c>
      <c r="AK4606" s="4">
        <v>6</v>
      </c>
      <c r="AL4606" s="4">
        <v>53</v>
      </c>
      <c r="AM4606" s="4">
        <v>53</v>
      </c>
      <c r="AN4606" s="4">
        <v>0</v>
      </c>
      <c r="AO4606" s="4">
        <v>0</v>
      </c>
      <c r="AP4606" s="4">
        <v>5</v>
      </c>
      <c r="AQ4606" s="4">
        <v>6</v>
      </c>
      <c r="AR4606" s="3" t="s">
        <v>64</v>
      </c>
      <c r="AS4606" s="3" t="s">
        <v>64</v>
      </c>
      <c r="AT4606" s="3" t="s">
        <v>128</v>
      </c>
      <c r="AU4606" s="6" t="str">
        <f>HYPERLINK("http://catalog.hathitrust.org/Record/000450659","HathiTrust Record")</f>
        <v>HathiTrust Record</v>
      </c>
      <c r="AV4606" s="6" t="str">
        <f>HYPERLINK("http://mcgill.on.worldcat.org/oclc/10429671","Catalog Record")</f>
        <v>Catalog Record</v>
      </c>
      <c r="AW4606" s="6" t="str">
        <f>HYPERLINK("http://www.worldcat.org/oclc/10429671","WorldCat Record")</f>
        <v>WorldCat Record</v>
      </c>
      <c r="AX4606" s="3" t="s">
        <v>44859</v>
      </c>
      <c r="AY4606" s="3" t="s">
        <v>44860</v>
      </c>
      <c r="AZ4606" s="3" t="s">
        <v>44861</v>
      </c>
      <c r="BA4606" s="3" t="s">
        <v>44861</v>
      </c>
      <c r="BB4606" s="3" t="s">
        <v>44868</v>
      </c>
      <c r="BC4606" s="3" t="s">
        <v>77</v>
      </c>
      <c r="BD4606" s="3" t="s">
        <v>78</v>
      </c>
      <c r="BE4606" s="3" t="s">
        <v>44863</v>
      </c>
      <c r="BF4606" s="3" t="s">
        <v>44868</v>
      </c>
      <c r="BG4606" s="3" t="s">
        <v>44869</v>
      </c>
      <c r="BH4606">
        <f t="shared" si="141"/>
        <v>0</v>
      </c>
    </row>
    <row r="4607" spans="1:60" ht="58" x14ac:dyDescent="0.35">
      <c r="A4607" s="2" t="s">
        <v>59</v>
      </c>
      <c r="B4607" s="2" t="s">
        <v>60</v>
      </c>
      <c r="C4607" s="2" t="s">
        <v>44853</v>
      </c>
      <c r="D4607" s="2" t="s">
        <v>44854</v>
      </c>
      <c r="E4607" s="2" t="s">
        <v>44855</v>
      </c>
      <c r="F4607" s="3" t="s">
        <v>522</v>
      </c>
      <c r="G4607" s="3" t="s">
        <v>128</v>
      </c>
      <c r="I4607" s="3" t="s">
        <v>64</v>
      </c>
      <c r="J4607" s="3" t="s">
        <v>64</v>
      </c>
      <c r="K4607" s="3" t="s">
        <v>65</v>
      </c>
      <c r="L4607" s="2" t="s">
        <v>33986</v>
      </c>
      <c r="M4607" s="2" t="s">
        <v>44856</v>
      </c>
      <c r="N4607" s="3" t="s">
        <v>1763</v>
      </c>
      <c r="P4607" s="3" t="s">
        <v>102</v>
      </c>
      <c r="Q4607" s="2" t="s">
        <v>44857</v>
      </c>
      <c r="R4607" s="3" t="s">
        <v>70</v>
      </c>
      <c r="S4607" s="4">
        <v>2</v>
      </c>
      <c r="T4607" s="4">
        <v>11</v>
      </c>
      <c r="U4607" s="5" t="s">
        <v>44867</v>
      </c>
      <c r="V4607" s="5" t="s">
        <v>39429</v>
      </c>
      <c r="W4607" s="5" t="s">
        <v>72</v>
      </c>
      <c r="X4607" s="5" t="s">
        <v>72</v>
      </c>
      <c r="Y4607" s="4">
        <v>273</v>
      </c>
      <c r="Z4607" s="4">
        <v>6</v>
      </c>
      <c r="AA4607" s="4">
        <v>7</v>
      </c>
      <c r="AB4607" s="4">
        <v>1</v>
      </c>
      <c r="AC4607" s="4">
        <v>1</v>
      </c>
      <c r="AD4607" s="4">
        <v>95</v>
      </c>
      <c r="AE4607" s="4">
        <v>96</v>
      </c>
      <c r="AF4607" s="4">
        <v>0</v>
      </c>
      <c r="AG4607" s="4">
        <v>0</v>
      </c>
      <c r="AH4607" s="4">
        <v>90</v>
      </c>
      <c r="AI4607" s="4">
        <v>90</v>
      </c>
      <c r="AJ4607" s="4">
        <v>5</v>
      </c>
      <c r="AK4607" s="4">
        <v>6</v>
      </c>
      <c r="AL4607" s="4">
        <v>53</v>
      </c>
      <c r="AM4607" s="4">
        <v>53</v>
      </c>
      <c r="AN4607" s="4">
        <v>0</v>
      </c>
      <c r="AO4607" s="4">
        <v>0</v>
      </c>
      <c r="AP4607" s="4">
        <v>5</v>
      </c>
      <c r="AQ4607" s="4">
        <v>6</v>
      </c>
      <c r="AR4607" s="3" t="s">
        <v>64</v>
      </c>
      <c r="AS4607" s="3" t="s">
        <v>64</v>
      </c>
      <c r="AT4607" s="3" t="s">
        <v>128</v>
      </c>
      <c r="AU4607" s="6" t="str">
        <f>HYPERLINK("http://catalog.hathitrust.org/Record/000450659","HathiTrust Record")</f>
        <v>HathiTrust Record</v>
      </c>
      <c r="AV4607" s="6" t="str">
        <f>HYPERLINK("http://mcgill.on.worldcat.org/oclc/10429671","Catalog Record")</f>
        <v>Catalog Record</v>
      </c>
      <c r="AW4607" s="6" t="str">
        <f>HYPERLINK("http://www.worldcat.org/oclc/10429671","WorldCat Record")</f>
        <v>WorldCat Record</v>
      </c>
      <c r="AX4607" s="3" t="s">
        <v>44859</v>
      </c>
      <c r="AY4607" s="3" t="s">
        <v>44860</v>
      </c>
      <c r="AZ4607" s="3" t="s">
        <v>44861</v>
      </c>
      <c r="BA4607" s="3" t="s">
        <v>44861</v>
      </c>
      <c r="BB4607" s="3" t="s">
        <v>44870</v>
      </c>
      <c r="BC4607" s="3" t="s">
        <v>77</v>
      </c>
      <c r="BD4607" s="3" t="s">
        <v>78</v>
      </c>
      <c r="BE4607" s="3" t="s">
        <v>44863</v>
      </c>
      <c r="BF4607" s="3" t="s">
        <v>44870</v>
      </c>
      <c r="BG4607" s="3" t="s">
        <v>44871</v>
      </c>
      <c r="BH4607">
        <f t="shared" si="141"/>
        <v>0</v>
      </c>
    </row>
    <row r="4608" spans="1:60" ht="58" x14ac:dyDescent="0.35">
      <c r="A4608" s="2" t="s">
        <v>59</v>
      </c>
      <c r="B4608" s="2" t="s">
        <v>60</v>
      </c>
      <c r="C4608" s="2" t="s">
        <v>44872</v>
      </c>
      <c r="D4608" s="2" t="s">
        <v>44873</v>
      </c>
      <c r="E4608" s="2" t="s">
        <v>44874</v>
      </c>
      <c r="G4608" s="3" t="s">
        <v>64</v>
      </c>
      <c r="I4608" s="3" t="s">
        <v>128</v>
      </c>
      <c r="J4608" s="3" t="s">
        <v>64</v>
      </c>
      <c r="K4608" s="3" t="s">
        <v>65</v>
      </c>
      <c r="L4608" s="2" t="s">
        <v>44875</v>
      </c>
      <c r="M4608" s="2" t="s">
        <v>44876</v>
      </c>
      <c r="N4608" s="3" t="s">
        <v>1087</v>
      </c>
      <c r="P4608" s="3" t="s">
        <v>102</v>
      </c>
      <c r="Q4608" s="2" t="s">
        <v>44877</v>
      </c>
      <c r="R4608" s="3" t="s">
        <v>70</v>
      </c>
      <c r="S4608" s="4">
        <v>3</v>
      </c>
      <c r="T4608" s="4">
        <v>3</v>
      </c>
      <c r="U4608" s="5" t="s">
        <v>30773</v>
      </c>
      <c r="V4608" s="5" t="s">
        <v>30773</v>
      </c>
      <c r="W4608" s="5" t="s">
        <v>72</v>
      </c>
      <c r="X4608" s="5" t="s">
        <v>72</v>
      </c>
      <c r="Y4608" s="4">
        <v>47</v>
      </c>
      <c r="Z4608" s="4">
        <v>21</v>
      </c>
      <c r="AA4608" s="4">
        <v>33</v>
      </c>
      <c r="AB4608" s="4">
        <v>1</v>
      </c>
      <c r="AC4608" s="4">
        <v>3</v>
      </c>
      <c r="AD4608" s="4">
        <v>21</v>
      </c>
      <c r="AE4608" s="4">
        <v>29</v>
      </c>
      <c r="AF4608" s="4">
        <v>0</v>
      </c>
      <c r="AG4608" s="4">
        <v>2</v>
      </c>
      <c r="AH4608" s="4">
        <v>11</v>
      </c>
      <c r="AI4608" s="4">
        <v>13</v>
      </c>
      <c r="AJ4608" s="4">
        <v>5</v>
      </c>
      <c r="AK4608" s="4">
        <v>11</v>
      </c>
      <c r="AL4608" s="4">
        <v>9</v>
      </c>
      <c r="AM4608" s="4">
        <v>9</v>
      </c>
      <c r="AN4608" s="4">
        <v>0</v>
      </c>
      <c r="AO4608" s="4">
        <v>0</v>
      </c>
      <c r="AP4608" s="4">
        <v>11</v>
      </c>
      <c r="AQ4608" s="4">
        <v>17</v>
      </c>
      <c r="AR4608" s="3" t="s">
        <v>128</v>
      </c>
      <c r="AS4608" s="3" t="s">
        <v>64</v>
      </c>
      <c r="AT4608" s="3" t="s">
        <v>64</v>
      </c>
      <c r="AV4608" s="6" t="str">
        <f>HYPERLINK("http://mcgill.on.worldcat.org/oclc/123276747","Catalog Record")</f>
        <v>Catalog Record</v>
      </c>
      <c r="AW4608" s="6" t="str">
        <f>HYPERLINK("http://www.worldcat.org/oclc/123276747","WorldCat Record")</f>
        <v>WorldCat Record</v>
      </c>
      <c r="AX4608" s="3" t="s">
        <v>44878</v>
      </c>
      <c r="AY4608" s="3" t="s">
        <v>44879</v>
      </c>
      <c r="AZ4608" s="3" t="s">
        <v>44880</v>
      </c>
      <c r="BA4608" s="3" t="s">
        <v>44880</v>
      </c>
      <c r="BB4608" s="3" t="s">
        <v>44881</v>
      </c>
      <c r="BC4608" s="3" t="s">
        <v>77</v>
      </c>
      <c r="BD4608" s="3" t="s">
        <v>78</v>
      </c>
      <c r="BE4608" s="3" t="s">
        <v>44882</v>
      </c>
      <c r="BF4608" s="3" t="s">
        <v>44881</v>
      </c>
      <c r="BG4608" s="3" t="s">
        <v>44883</v>
      </c>
      <c r="BH4608">
        <f t="shared" si="141"/>
        <v>0</v>
      </c>
    </row>
    <row r="4609" spans="1:60" ht="72.5" x14ac:dyDescent="0.35">
      <c r="A4609" s="2" t="s">
        <v>59</v>
      </c>
      <c r="B4609" s="2" t="s">
        <v>60</v>
      </c>
      <c r="C4609" s="2" t="s">
        <v>44884</v>
      </c>
      <c r="D4609" s="2" t="s">
        <v>44885</v>
      </c>
      <c r="E4609" s="2" t="s">
        <v>44886</v>
      </c>
      <c r="G4609" s="3" t="s">
        <v>64</v>
      </c>
      <c r="I4609" s="3" t="s">
        <v>64</v>
      </c>
      <c r="J4609" s="3" t="s">
        <v>64</v>
      </c>
      <c r="K4609" s="3" t="s">
        <v>65</v>
      </c>
      <c r="L4609" s="2" t="s">
        <v>44887</v>
      </c>
      <c r="M4609" s="2" t="s">
        <v>44888</v>
      </c>
      <c r="N4609" s="3" t="s">
        <v>578</v>
      </c>
      <c r="P4609" s="3" t="s">
        <v>365</v>
      </c>
      <c r="Q4609" s="2" t="s">
        <v>44889</v>
      </c>
      <c r="R4609" s="3" t="s">
        <v>70</v>
      </c>
      <c r="S4609" s="4">
        <v>0</v>
      </c>
      <c r="T4609" s="4">
        <v>0</v>
      </c>
      <c r="W4609" s="5" t="s">
        <v>72</v>
      </c>
      <c r="X4609" s="5" t="s">
        <v>72</v>
      </c>
      <c r="Y4609" s="4">
        <v>40</v>
      </c>
      <c r="Z4609" s="4">
        <v>2</v>
      </c>
      <c r="AA4609" s="4">
        <v>2</v>
      </c>
      <c r="AB4609" s="4">
        <v>1</v>
      </c>
      <c r="AC4609" s="4">
        <v>1</v>
      </c>
      <c r="AD4609" s="4">
        <v>21</v>
      </c>
      <c r="AE4609" s="4">
        <v>21</v>
      </c>
      <c r="AF4609" s="4">
        <v>0</v>
      </c>
      <c r="AG4609" s="4">
        <v>0</v>
      </c>
      <c r="AH4609" s="4">
        <v>21</v>
      </c>
      <c r="AI4609" s="4">
        <v>21</v>
      </c>
      <c r="AJ4609" s="4">
        <v>1</v>
      </c>
      <c r="AK4609" s="4">
        <v>1</v>
      </c>
      <c r="AL4609" s="4">
        <v>15</v>
      </c>
      <c r="AM4609" s="4">
        <v>15</v>
      </c>
      <c r="AN4609" s="4">
        <v>0</v>
      </c>
      <c r="AO4609" s="4">
        <v>0</v>
      </c>
      <c r="AP4609" s="4">
        <v>1</v>
      </c>
      <c r="AQ4609" s="4">
        <v>1</v>
      </c>
      <c r="AR4609" s="3" t="s">
        <v>64</v>
      </c>
      <c r="AS4609" s="3" t="s">
        <v>64</v>
      </c>
      <c r="AT4609" s="3" t="s">
        <v>64</v>
      </c>
      <c r="AV4609" s="6" t="str">
        <f>HYPERLINK("http://mcgill.on.worldcat.org/oclc/991605609","Catalog Record")</f>
        <v>Catalog Record</v>
      </c>
      <c r="AW4609" s="6" t="str">
        <f>HYPERLINK("http://www.worldcat.org/oclc/991605609","WorldCat Record")</f>
        <v>WorldCat Record</v>
      </c>
      <c r="AX4609" s="3" t="s">
        <v>44890</v>
      </c>
      <c r="AY4609" s="3" t="s">
        <v>44891</v>
      </c>
      <c r="AZ4609" s="3" t="s">
        <v>44892</v>
      </c>
      <c r="BA4609" s="3" t="s">
        <v>44892</v>
      </c>
      <c r="BB4609" s="3" t="s">
        <v>44893</v>
      </c>
      <c r="BC4609" s="3" t="s">
        <v>77</v>
      </c>
      <c r="BD4609" s="3" t="s">
        <v>78</v>
      </c>
      <c r="BE4609" s="3" t="s">
        <v>44894</v>
      </c>
      <c r="BF4609" s="3" t="s">
        <v>44893</v>
      </c>
      <c r="BG4609" s="3" t="s">
        <v>44895</v>
      </c>
      <c r="BH4609">
        <f t="shared" si="141"/>
        <v>0</v>
      </c>
    </row>
    <row r="4610" spans="1:60" ht="58" x14ac:dyDescent="0.35">
      <c r="A4610" s="2" t="s">
        <v>59</v>
      </c>
      <c r="B4610" s="2" t="s">
        <v>60</v>
      </c>
      <c r="C4610" s="2" t="s">
        <v>44896</v>
      </c>
      <c r="D4610" s="2" t="s">
        <v>44897</v>
      </c>
      <c r="E4610" s="2" t="s">
        <v>44898</v>
      </c>
      <c r="G4610" s="3" t="s">
        <v>64</v>
      </c>
      <c r="I4610" s="3" t="s">
        <v>64</v>
      </c>
      <c r="J4610" s="3" t="s">
        <v>64</v>
      </c>
      <c r="K4610" s="3" t="s">
        <v>65</v>
      </c>
      <c r="M4610" s="2" t="s">
        <v>44899</v>
      </c>
      <c r="N4610" s="3" t="s">
        <v>1047</v>
      </c>
      <c r="P4610" s="3" t="s">
        <v>365</v>
      </c>
      <c r="Q4610" s="2" t="s">
        <v>44900</v>
      </c>
      <c r="R4610" s="3" t="s">
        <v>70</v>
      </c>
      <c r="S4610" s="4">
        <v>1</v>
      </c>
      <c r="T4610" s="4">
        <v>1</v>
      </c>
      <c r="U4610" s="5" t="s">
        <v>44901</v>
      </c>
      <c r="V4610" s="5" t="s">
        <v>44901</v>
      </c>
      <c r="W4610" s="5" t="s">
        <v>72</v>
      </c>
      <c r="X4610" s="5" t="s">
        <v>72</v>
      </c>
      <c r="Y4610" s="4">
        <v>70</v>
      </c>
      <c r="Z4610" s="4">
        <v>5</v>
      </c>
      <c r="AA4610" s="4">
        <v>5</v>
      </c>
      <c r="AB4610" s="4">
        <v>1</v>
      </c>
      <c r="AC4610" s="4">
        <v>1</v>
      </c>
      <c r="AD4610" s="4">
        <v>42</v>
      </c>
      <c r="AE4610" s="4">
        <v>42</v>
      </c>
      <c r="AF4610" s="4">
        <v>0</v>
      </c>
      <c r="AG4610" s="4">
        <v>0</v>
      </c>
      <c r="AH4610" s="4">
        <v>39</v>
      </c>
      <c r="AI4610" s="4">
        <v>39</v>
      </c>
      <c r="AJ4610" s="4">
        <v>2</v>
      </c>
      <c r="AK4610" s="4">
        <v>2</v>
      </c>
      <c r="AL4610" s="4">
        <v>35</v>
      </c>
      <c r="AM4610" s="4">
        <v>35</v>
      </c>
      <c r="AN4610" s="4">
        <v>0</v>
      </c>
      <c r="AO4610" s="4">
        <v>0</v>
      </c>
      <c r="AP4610" s="4">
        <v>2</v>
      </c>
      <c r="AQ4610" s="4">
        <v>2</v>
      </c>
      <c r="AR4610" s="3" t="s">
        <v>64</v>
      </c>
      <c r="AS4610" s="3" t="s">
        <v>64</v>
      </c>
      <c r="AT4610" s="3" t="s">
        <v>128</v>
      </c>
      <c r="AU4610" s="6" t="str">
        <f>HYPERLINK("http://catalog.hathitrust.org/Record/000319363","HathiTrust Record")</f>
        <v>HathiTrust Record</v>
      </c>
      <c r="AV4610" s="6" t="str">
        <f>HYPERLINK("http://mcgill.on.worldcat.org/oclc/9622254","Catalog Record")</f>
        <v>Catalog Record</v>
      </c>
      <c r="AW4610" s="6" t="str">
        <f>HYPERLINK("http://www.worldcat.org/oclc/9622254","WorldCat Record")</f>
        <v>WorldCat Record</v>
      </c>
      <c r="AX4610" s="3" t="s">
        <v>44902</v>
      </c>
      <c r="AY4610" s="3" t="s">
        <v>44903</v>
      </c>
      <c r="AZ4610" s="3" t="s">
        <v>44904</v>
      </c>
      <c r="BA4610" s="3" t="s">
        <v>44904</v>
      </c>
      <c r="BB4610" s="3" t="s">
        <v>44905</v>
      </c>
      <c r="BC4610" s="3" t="s">
        <v>77</v>
      </c>
      <c r="BD4610" s="3" t="s">
        <v>78</v>
      </c>
      <c r="BF4610" s="3" t="s">
        <v>44905</v>
      </c>
      <c r="BG4610" s="3" t="s">
        <v>44906</v>
      </c>
      <c r="BH4610">
        <f t="shared" ref="BH4610:BH4673" si="148">IF(COUNTIF($BF$1:$BF$5431,BF4610)=1,0,1)</f>
        <v>0</v>
      </c>
    </row>
    <row r="4611" spans="1:60" ht="58" x14ac:dyDescent="0.35">
      <c r="A4611" s="2" t="s">
        <v>59</v>
      </c>
      <c r="B4611" s="2" t="s">
        <v>60</v>
      </c>
      <c r="C4611" s="2" t="s">
        <v>44907</v>
      </c>
      <c r="D4611" s="2" t="s">
        <v>44908</v>
      </c>
      <c r="E4611" s="2" t="s">
        <v>44909</v>
      </c>
      <c r="G4611" s="3" t="s">
        <v>64</v>
      </c>
      <c r="I4611" s="3" t="s">
        <v>64</v>
      </c>
      <c r="J4611" s="3" t="s">
        <v>64</v>
      </c>
      <c r="K4611" s="3" t="s">
        <v>65</v>
      </c>
      <c r="M4611" s="2" t="s">
        <v>44910</v>
      </c>
      <c r="N4611" s="3" t="s">
        <v>326</v>
      </c>
      <c r="P4611" s="3" t="s">
        <v>365</v>
      </c>
      <c r="Q4611" s="2" t="s">
        <v>44911</v>
      </c>
      <c r="R4611" s="3" t="s">
        <v>70</v>
      </c>
      <c r="S4611" s="4">
        <v>1</v>
      </c>
      <c r="T4611" s="4">
        <v>1</v>
      </c>
      <c r="U4611" s="5" t="s">
        <v>44912</v>
      </c>
      <c r="V4611" s="5" t="s">
        <v>44912</v>
      </c>
      <c r="W4611" s="5" t="s">
        <v>72</v>
      </c>
      <c r="X4611" s="5" t="s">
        <v>72</v>
      </c>
      <c r="Y4611" s="4">
        <v>37</v>
      </c>
      <c r="Z4611" s="4">
        <v>5</v>
      </c>
      <c r="AA4611" s="4">
        <v>5</v>
      </c>
      <c r="AB4611" s="4">
        <v>1</v>
      </c>
      <c r="AC4611" s="4">
        <v>1</v>
      </c>
      <c r="AD4611" s="4">
        <v>19</v>
      </c>
      <c r="AE4611" s="4">
        <v>19</v>
      </c>
      <c r="AF4611" s="4">
        <v>0</v>
      </c>
      <c r="AG4611" s="4">
        <v>0</v>
      </c>
      <c r="AH4611" s="4">
        <v>18</v>
      </c>
      <c r="AI4611" s="4">
        <v>18</v>
      </c>
      <c r="AJ4611" s="4">
        <v>2</v>
      </c>
      <c r="AK4611" s="4">
        <v>2</v>
      </c>
      <c r="AL4611" s="4">
        <v>15</v>
      </c>
      <c r="AM4611" s="4">
        <v>15</v>
      </c>
      <c r="AN4611" s="4">
        <v>0</v>
      </c>
      <c r="AO4611" s="4">
        <v>0</v>
      </c>
      <c r="AP4611" s="4">
        <v>2</v>
      </c>
      <c r="AQ4611" s="4">
        <v>2</v>
      </c>
      <c r="AR4611" s="3" t="s">
        <v>64</v>
      </c>
      <c r="AS4611" s="3" t="s">
        <v>64</v>
      </c>
      <c r="AT4611" s="3" t="s">
        <v>64</v>
      </c>
      <c r="AV4611" s="6" t="str">
        <f>HYPERLINK("http://mcgill.on.worldcat.org/oclc/727766561","Catalog Record")</f>
        <v>Catalog Record</v>
      </c>
      <c r="AW4611" s="6" t="str">
        <f>HYPERLINK("http://www.worldcat.org/oclc/727766561","WorldCat Record")</f>
        <v>WorldCat Record</v>
      </c>
      <c r="AX4611" s="3" t="s">
        <v>44913</v>
      </c>
      <c r="AY4611" s="3" t="s">
        <v>44914</v>
      </c>
      <c r="AZ4611" s="3" t="s">
        <v>44915</v>
      </c>
      <c r="BA4611" s="3" t="s">
        <v>44915</v>
      </c>
      <c r="BB4611" s="3" t="s">
        <v>44916</v>
      </c>
      <c r="BC4611" s="3" t="s">
        <v>77</v>
      </c>
      <c r="BD4611" s="3" t="s">
        <v>78</v>
      </c>
      <c r="BE4611" s="3" t="s">
        <v>44917</v>
      </c>
      <c r="BF4611" s="3" t="s">
        <v>44916</v>
      </c>
      <c r="BG4611" s="3" t="s">
        <v>44918</v>
      </c>
      <c r="BH4611">
        <f t="shared" si="148"/>
        <v>0</v>
      </c>
    </row>
    <row r="4612" spans="1:60" ht="72.5" x14ac:dyDescent="0.35">
      <c r="A4612" s="2" t="s">
        <v>59</v>
      </c>
      <c r="B4612" s="2" t="s">
        <v>60</v>
      </c>
      <c r="C4612" s="2" t="s">
        <v>44919</v>
      </c>
      <c r="D4612" s="2" t="s">
        <v>44920</v>
      </c>
      <c r="E4612" s="2" t="s">
        <v>44921</v>
      </c>
      <c r="G4612" s="3" t="s">
        <v>64</v>
      </c>
      <c r="I4612" s="3" t="s">
        <v>64</v>
      </c>
      <c r="J4612" s="3" t="s">
        <v>64</v>
      </c>
      <c r="K4612" s="3" t="s">
        <v>65</v>
      </c>
      <c r="M4612" s="2" t="s">
        <v>44922</v>
      </c>
      <c r="N4612" s="3" t="s">
        <v>159</v>
      </c>
      <c r="P4612" s="3" t="s">
        <v>365</v>
      </c>
      <c r="Q4612" s="2" t="s">
        <v>44923</v>
      </c>
      <c r="R4612" s="3" t="s">
        <v>70</v>
      </c>
      <c r="S4612" s="4">
        <v>1</v>
      </c>
      <c r="T4612" s="4">
        <v>1</v>
      </c>
      <c r="U4612" s="5" t="s">
        <v>44912</v>
      </c>
      <c r="V4612" s="5" t="s">
        <v>44912</v>
      </c>
      <c r="W4612" s="5" t="s">
        <v>72</v>
      </c>
      <c r="X4612" s="5" t="s">
        <v>72</v>
      </c>
      <c r="Y4612" s="4">
        <v>46</v>
      </c>
      <c r="Z4612" s="4">
        <v>1</v>
      </c>
      <c r="AA4612" s="4">
        <v>4</v>
      </c>
      <c r="AB4612" s="4">
        <v>1</v>
      </c>
      <c r="AC4612" s="4">
        <v>1</v>
      </c>
      <c r="AD4612" s="4">
        <v>21</v>
      </c>
      <c r="AE4612" s="4">
        <v>22</v>
      </c>
      <c r="AF4612" s="4">
        <v>0</v>
      </c>
      <c r="AG4612" s="4">
        <v>0</v>
      </c>
      <c r="AH4612" s="4">
        <v>20</v>
      </c>
      <c r="AI4612" s="4">
        <v>21</v>
      </c>
      <c r="AJ4612" s="4">
        <v>0</v>
      </c>
      <c r="AK4612" s="4">
        <v>1</v>
      </c>
      <c r="AL4612" s="4">
        <v>16</v>
      </c>
      <c r="AM4612" s="4">
        <v>17</v>
      </c>
      <c r="AN4612" s="4">
        <v>0</v>
      </c>
      <c r="AO4612" s="4">
        <v>0</v>
      </c>
      <c r="AP4612" s="4">
        <v>0</v>
      </c>
      <c r="AQ4612" s="4">
        <v>1</v>
      </c>
      <c r="AR4612" s="3" t="s">
        <v>64</v>
      </c>
      <c r="AS4612" s="3" t="s">
        <v>64</v>
      </c>
      <c r="AT4612" s="3" t="s">
        <v>64</v>
      </c>
      <c r="AV4612" s="6" t="str">
        <f>HYPERLINK("http://mcgill.on.worldcat.org/oclc/51257556","Catalog Record")</f>
        <v>Catalog Record</v>
      </c>
      <c r="AW4612" s="6" t="str">
        <f>HYPERLINK("http://www.worldcat.org/oclc/51257556","WorldCat Record")</f>
        <v>WorldCat Record</v>
      </c>
      <c r="AX4612" s="3" t="s">
        <v>44924</v>
      </c>
      <c r="AY4612" s="3" t="s">
        <v>44925</v>
      </c>
      <c r="AZ4612" s="3" t="s">
        <v>44926</v>
      </c>
      <c r="BA4612" s="3" t="s">
        <v>44926</v>
      </c>
      <c r="BB4612" s="3" t="s">
        <v>44927</v>
      </c>
      <c r="BC4612" s="3" t="s">
        <v>77</v>
      </c>
      <c r="BD4612" s="3" t="s">
        <v>78</v>
      </c>
      <c r="BE4612" s="3" t="s">
        <v>44928</v>
      </c>
      <c r="BF4612" s="3" t="s">
        <v>44927</v>
      </c>
      <c r="BG4612" s="3" t="s">
        <v>44929</v>
      </c>
      <c r="BH4612">
        <f t="shared" si="148"/>
        <v>0</v>
      </c>
    </row>
    <row r="4613" spans="1:60" ht="72.5" x14ac:dyDescent="0.35">
      <c r="A4613" s="2" t="s">
        <v>59</v>
      </c>
      <c r="B4613" s="2" t="s">
        <v>60</v>
      </c>
      <c r="C4613" s="2" t="s">
        <v>44930</v>
      </c>
      <c r="D4613" s="2" t="s">
        <v>44931</v>
      </c>
      <c r="E4613" s="2" t="s">
        <v>44932</v>
      </c>
      <c r="G4613" s="3" t="s">
        <v>64</v>
      </c>
      <c r="I4613" s="3" t="s">
        <v>64</v>
      </c>
      <c r="J4613" s="3" t="s">
        <v>64</v>
      </c>
      <c r="K4613" s="3" t="s">
        <v>65</v>
      </c>
      <c r="M4613" s="2" t="s">
        <v>44933</v>
      </c>
      <c r="N4613" s="3" t="s">
        <v>116</v>
      </c>
      <c r="P4613" s="3" t="s">
        <v>102</v>
      </c>
      <c r="R4613" s="3" t="s">
        <v>70</v>
      </c>
      <c r="S4613" s="4">
        <v>2</v>
      </c>
      <c r="T4613" s="4">
        <v>2</v>
      </c>
      <c r="U4613" s="5" t="s">
        <v>579</v>
      </c>
      <c r="V4613" s="5" t="s">
        <v>579</v>
      </c>
      <c r="W4613" s="5" t="s">
        <v>72</v>
      </c>
      <c r="X4613" s="5" t="s">
        <v>72</v>
      </c>
      <c r="Y4613" s="4">
        <v>55</v>
      </c>
      <c r="Z4613" s="4">
        <v>6</v>
      </c>
      <c r="AA4613" s="4">
        <v>6</v>
      </c>
      <c r="AB4613" s="4">
        <v>2</v>
      </c>
      <c r="AC4613" s="4">
        <v>2</v>
      </c>
      <c r="AD4613" s="4">
        <v>25</v>
      </c>
      <c r="AE4613" s="4">
        <v>25</v>
      </c>
      <c r="AF4613" s="4">
        <v>0</v>
      </c>
      <c r="AG4613" s="4">
        <v>0</v>
      </c>
      <c r="AH4613" s="4">
        <v>22</v>
      </c>
      <c r="AI4613" s="4">
        <v>22</v>
      </c>
      <c r="AJ4613" s="4">
        <v>2</v>
      </c>
      <c r="AK4613" s="4">
        <v>2</v>
      </c>
      <c r="AL4613" s="4">
        <v>20</v>
      </c>
      <c r="AM4613" s="4">
        <v>20</v>
      </c>
      <c r="AN4613" s="4">
        <v>0</v>
      </c>
      <c r="AO4613" s="4">
        <v>0</v>
      </c>
      <c r="AP4613" s="4">
        <v>1</v>
      </c>
      <c r="AQ4613" s="4">
        <v>1</v>
      </c>
      <c r="AR4613" s="3" t="s">
        <v>64</v>
      </c>
      <c r="AS4613" s="3" t="s">
        <v>64</v>
      </c>
      <c r="AT4613" s="3" t="s">
        <v>128</v>
      </c>
      <c r="AU4613" s="6" t="str">
        <f>HYPERLINK("http://catalog.hathitrust.org/Record/003591867","HathiTrust Record")</f>
        <v>HathiTrust Record</v>
      </c>
      <c r="AV4613" s="6" t="str">
        <f>HYPERLINK("http://mcgill.on.worldcat.org/oclc/50663033","Catalog Record")</f>
        <v>Catalog Record</v>
      </c>
      <c r="AW4613" s="6" t="str">
        <f>HYPERLINK("http://www.worldcat.org/oclc/50663033","WorldCat Record")</f>
        <v>WorldCat Record</v>
      </c>
      <c r="AX4613" s="3" t="s">
        <v>44934</v>
      </c>
      <c r="AY4613" s="3" t="s">
        <v>44935</v>
      </c>
      <c r="AZ4613" s="3" t="s">
        <v>44936</v>
      </c>
      <c r="BA4613" s="3" t="s">
        <v>44936</v>
      </c>
      <c r="BB4613" s="3" t="s">
        <v>44937</v>
      </c>
      <c r="BC4613" s="3" t="s">
        <v>77</v>
      </c>
      <c r="BD4613" s="3" t="s">
        <v>78</v>
      </c>
      <c r="BE4613" s="3" t="s">
        <v>44938</v>
      </c>
      <c r="BF4613" s="3" t="s">
        <v>44937</v>
      </c>
      <c r="BG4613" s="3" t="s">
        <v>44939</v>
      </c>
      <c r="BH4613">
        <f t="shared" si="148"/>
        <v>0</v>
      </c>
    </row>
    <row r="4614" spans="1:60" ht="72.5" x14ac:dyDescent="0.35">
      <c r="A4614" s="2" t="s">
        <v>59</v>
      </c>
      <c r="B4614" s="2" t="s">
        <v>60</v>
      </c>
      <c r="C4614" s="2" t="s">
        <v>44940</v>
      </c>
      <c r="D4614" s="2" t="s">
        <v>44941</v>
      </c>
      <c r="E4614" s="2" t="s">
        <v>44942</v>
      </c>
      <c r="F4614" s="3" t="s">
        <v>525</v>
      </c>
      <c r="G4614" s="3" t="s">
        <v>128</v>
      </c>
      <c r="I4614" s="3" t="s">
        <v>64</v>
      </c>
      <c r="J4614" s="3" t="s">
        <v>64</v>
      </c>
      <c r="K4614" s="3" t="s">
        <v>65</v>
      </c>
      <c r="M4614" s="2" t="s">
        <v>44943</v>
      </c>
      <c r="N4614" s="3" t="s">
        <v>979</v>
      </c>
      <c r="P4614" s="3" t="s">
        <v>68</v>
      </c>
      <c r="R4614" s="3" t="s">
        <v>70</v>
      </c>
      <c r="S4614" s="4">
        <v>1</v>
      </c>
      <c r="T4614" s="4">
        <v>5</v>
      </c>
      <c r="U4614" s="5" t="s">
        <v>38974</v>
      </c>
      <c r="V4614" s="5" t="s">
        <v>11334</v>
      </c>
      <c r="W4614" s="5" t="s">
        <v>72</v>
      </c>
      <c r="X4614" s="5" t="s">
        <v>72</v>
      </c>
      <c r="Y4614" s="4">
        <v>79</v>
      </c>
      <c r="Z4614" s="4">
        <v>7</v>
      </c>
      <c r="AA4614" s="4">
        <v>10</v>
      </c>
      <c r="AB4614" s="4">
        <v>1</v>
      </c>
      <c r="AC4614" s="4">
        <v>3</v>
      </c>
      <c r="AD4614" s="4">
        <v>34</v>
      </c>
      <c r="AE4614" s="4">
        <v>37</v>
      </c>
      <c r="AF4614" s="4">
        <v>0</v>
      </c>
      <c r="AG4614" s="4">
        <v>2</v>
      </c>
      <c r="AH4614" s="4">
        <v>32</v>
      </c>
      <c r="AI4614" s="4">
        <v>34</v>
      </c>
      <c r="AJ4614" s="4">
        <v>4</v>
      </c>
      <c r="AK4614" s="4">
        <v>7</v>
      </c>
      <c r="AL4614" s="4">
        <v>24</v>
      </c>
      <c r="AM4614" s="4">
        <v>24</v>
      </c>
      <c r="AN4614" s="4">
        <v>0</v>
      </c>
      <c r="AO4614" s="4">
        <v>0</v>
      </c>
      <c r="AP4614" s="4">
        <v>4</v>
      </c>
      <c r="AQ4614" s="4">
        <v>6</v>
      </c>
      <c r="AR4614" s="3" t="s">
        <v>64</v>
      </c>
      <c r="AS4614" s="3" t="s">
        <v>64</v>
      </c>
      <c r="AT4614" s="3" t="s">
        <v>128</v>
      </c>
      <c r="AU4614" s="6" t="str">
        <f t="shared" ref="AU4614:AU4619" si="149">HYPERLINK("http://catalog.hathitrust.org/Record/004198850","HathiTrust Record")</f>
        <v>HathiTrust Record</v>
      </c>
      <c r="AV4614" s="6" t="str">
        <f t="shared" ref="AV4614:AV4619" si="150">HYPERLINK("http://mcgill.on.worldcat.org/oclc/55738249","Catalog Record")</f>
        <v>Catalog Record</v>
      </c>
      <c r="AW4614" s="6" t="str">
        <f t="shared" ref="AW4614:AW4619" si="151">HYPERLINK("http://www.worldcat.org/oclc/55738249","WorldCat Record")</f>
        <v>WorldCat Record</v>
      </c>
      <c r="AX4614" s="3" t="s">
        <v>44944</v>
      </c>
      <c r="AY4614" s="3" t="s">
        <v>44945</v>
      </c>
      <c r="AZ4614" s="3" t="s">
        <v>44946</v>
      </c>
      <c r="BA4614" s="3" t="s">
        <v>44946</v>
      </c>
      <c r="BB4614" s="3" t="s">
        <v>44947</v>
      </c>
      <c r="BC4614" s="3" t="s">
        <v>77</v>
      </c>
      <c r="BD4614" s="3" t="s">
        <v>78</v>
      </c>
      <c r="BE4614" s="3" t="s">
        <v>44948</v>
      </c>
      <c r="BF4614" s="3" t="s">
        <v>44947</v>
      </c>
      <c r="BG4614" s="3" t="s">
        <v>44949</v>
      </c>
      <c r="BH4614">
        <f t="shared" si="148"/>
        <v>0</v>
      </c>
    </row>
    <row r="4615" spans="1:60" ht="72.5" x14ac:dyDescent="0.35">
      <c r="A4615" s="2" t="s">
        <v>59</v>
      </c>
      <c r="B4615" s="2" t="s">
        <v>60</v>
      </c>
      <c r="C4615" s="2" t="s">
        <v>44950</v>
      </c>
      <c r="D4615" s="2" t="s">
        <v>44941</v>
      </c>
      <c r="E4615" s="2" t="s">
        <v>44942</v>
      </c>
      <c r="F4615" s="3" t="s">
        <v>44951</v>
      </c>
      <c r="G4615" s="3" t="s">
        <v>128</v>
      </c>
      <c r="I4615" s="3" t="s">
        <v>64</v>
      </c>
      <c r="J4615" s="3" t="s">
        <v>64</v>
      </c>
      <c r="K4615" s="3" t="s">
        <v>65</v>
      </c>
      <c r="M4615" s="2" t="s">
        <v>44943</v>
      </c>
      <c r="N4615" s="3" t="s">
        <v>979</v>
      </c>
      <c r="P4615" s="3" t="s">
        <v>68</v>
      </c>
      <c r="R4615" s="3" t="s">
        <v>70</v>
      </c>
      <c r="S4615" s="4">
        <v>0</v>
      </c>
      <c r="T4615" s="4">
        <v>5</v>
      </c>
      <c r="V4615" s="5" t="s">
        <v>11334</v>
      </c>
      <c r="W4615" s="5" t="s">
        <v>72</v>
      </c>
      <c r="X4615" s="5" t="s">
        <v>72</v>
      </c>
      <c r="Y4615" s="4">
        <v>79</v>
      </c>
      <c r="Z4615" s="4">
        <v>7</v>
      </c>
      <c r="AA4615" s="4">
        <v>10</v>
      </c>
      <c r="AB4615" s="4">
        <v>1</v>
      </c>
      <c r="AC4615" s="4">
        <v>3</v>
      </c>
      <c r="AD4615" s="4">
        <v>34</v>
      </c>
      <c r="AE4615" s="4">
        <v>37</v>
      </c>
      <c r="AF4615" s="4">
        <v>0</v>
      </c>
      <c r="AG4615" s="4">
        <v>2</v>
      </c>
      <c r="AH4615" s="4">
        <v>32</v>
      </c>
      <c r="AI4615" s="4">
        <v>34</v>
      </c>
      <c r="AJ4615" s="4">
        <v>4</v>
      </c>
      <c r="AK4615" s="4">
        <v>7</v>
      </c>
      <c r="AL4615" s="4">
        <v>24</v>
      </c>
      <c r="AM4615" s="4">
        <v>24</v>
      </c>
      <c r="AN4615" s="4">
        <v>0</v>
      </c>
      <c r="AO4615" s="4">
        <v>0</v>
      </c>
      <c r="AP4615" s="4">
        <v>4</v>
      </c>
      <c r="AQ4615" s="4">
        <v>6</v>
      </c>
      <c r="AR4615" s="3" t="s">
        <v>64</v>
      </c>
      <c r="AS4615" s="3" t="s">
        <v>64</v>
      </c>
      <c r="AT4615" s="3" t="s">
        <v>128</v>
      </c>
      <c r="AU4615" s="6" t="str">
        <f t="shared" si="149"/>
        <v>HathiTrust Record</v>
      </c>
      <c r="AV4615" s="6" t="str">
        <f t="shared" si="150"/>
        <v>Catalog Record</v>
      </c>
      <c r="AW4615" s="6" t="str">
        <f t="shared" si="151"/>
        <v>WorldCat Record</v>
      </c>
      <c r="AX4615" s="3" t="s">
        <v>44944</v>
      </c>
      <c r="AY4615" s="3" t="s">
        <v>44945</v>
      </c>
      <c r="AZ4615" s="3" t="s">
        <v>44946</v>
      </c>
      <c r="BA4615" s="3" t="s">
        <v>44946</v>
      </c>
      <c r="BB4615" s="3" t="s">
        <v>44952</v>
      </c>
      <c r="BC4615" s="3" t="s">
        <v>77</v>
      </c>
      <c r="BD4615" s="3" t="s">
        <v>78</v>
      </c>
      <c r="BE4615" s="3" t="s">
        <v>44948</v>
      </c>
      <c r="BF4615" s="3" t="s">
        <v>44952</v>
      </c>
      <c r="BG4615" s="3" t="s">
        <v>44953</v>
      </c>
      <c r="BH4615">
        <f t="shared" si="148"/>
        <v>0</v>
      </c>
    </row>
    <row r="4616" spans="1:60" ht="72.5" x14ac:dyDescent="0.35">
      <c r="A4616" s="2" t="s">
        <v>59</v>
      </c>
      <c r="B4616" s="2" t="s">
        <v>60</v>
      </c>
      <c r="C4616" s="2" t="s">
        <v>44940</v>
      </c>
      <c r="D4616" s="2" t="s">
        <v>44941</v>
      </c>
      <c r="E4616" s="2" t="s">
        <v>44942</v>
      </c>
      <c r="F4616" s="3" t="s">
        <v>519</v>
      </c>
      <c r="G4616" s="3" t="s">
        <v>128</v>
      </c>
      <c r="I4616" s="3" t="s">
        <v>64</v>
      </c>
      <c r="J4616" s="3" t="s">
        <v>64</v>
      </c>
      <c r="K4616" s="3" t="s">
        <v>65</v>
      </c>
      <c r="M4616" s="2" t="s">
        <v>44943</v>
      </c>
      <c r="N4616" s="3" t="s">
        <v>979</v>
      </c>
      <c r="P4616" s="3" t="s">
        <v>68</v>
      </c>
      <c r="R4616" s="3" t="s">
        <v>70</v>
      </c>
      <c r="S4616" s="4">
        <v>1</v>
      </c>
      <c r="T4616" s="4">
        <v>5</v>
      </c>
      <c r="U4616" s="5" t="s">
        <v>11334</v>
      </c>
      <c r="V4616" s="5" t="s">
        <v>11334</v>
      </c>
      <c r="W4616" s="5" t="s">
        <v>72</v>
      </c>
      <c r="X4616" s="5" t="s">
        <v>72</v>
      </c>
      <c r="Y4616" s="4">
        <v>79</v>
      </c>
      <c r="Z4616" s="4">
        <v>7</v>
      </c>
      <c r="AA4616" s="4">
        <v>10</v>
      </c>
      <c r="AB4616" s="4">
        <v>1</v>
      </c>
      <c r="AC4616" s="4">
        <v>3</v>
      </c>
      <c r="AD4616" s="4">
        <v>34</v>
      </c>
      <c r="AE4616" s="4">
        <v>37</v>
      </c>
      <c r="AF4616" s="4">
        <v>0</v>
      </c>
      <c r="AG4616" s="4">
        <v>2</v>
      </c>
      <c r="AH4616" s="4">
        <v>32</v>
      </c>
      <c r="AI4616" s="4">
        <v>34</v>
      </c>
      <c r="AJ4616" s="4">
        <v>4</v>
      </c>
      <c r="AK4616" s="4">
        <v>7</v>
      </c>
      <c r="AL4616" s="4">
        <v>24</v>
      </c>
      <c r="AM4616" s="4">
        <v>24</v>
      </c>
      <c r="AN4616" s="4">
        <v>0</v>
      </c>
      <c r="AO4616" s="4">
        <v>0</v>
      </c>
      <c r="AP4616" s="4">
        <v>4</v>
      </c>
      <c r="AQ4616" s="4">
        <v>6</v>
      </c>
      <c r="AR4616" s="3" t="s">
        <v>64</v>
      </c>
      <c r="AS4616" s="3" t="s">
        <v>64</v>
      </c>
      <c r="AT4616" s="3" t="s">
        <v>128</v>
      </c>
      <c r="AU4616" s="6" t="str">
        <f t="shared" si="149"/>
        <v>HathiTrust Record</v>
      </c>
      <c r="AV4616" s="6" t="str">
        <f t="shared" si="150"/>
        <v>Catalog Record</v>
      </c>
      <c r="AW4616" s="6" t="str">
        <f t="shared" si="151"/>
        <v>WorldCat Record</v>
      </c>
      <c r="AX4616" s="3" t="s">
        <v>44944</v>
      </c>
      <c r="AY4616" s="3" t="s">
        <v>44945</v>
      </c>
      <c r="AZ4616" s="3" t="s">
        <v>44946</v>
      </c>
      <c r="BA4616" s="3" t="s">
        <v>44946</v>
      </c>
      <c r="BB4616" s="3" t="s">
        <v>44954</v>
      </c>
      <c r="BC4616" s="3" t="s">
        <v>77</v>
      </c>
      <c r="BD4616" s="3" t="s">
        <v>78</v>
      </c>
      <c r="BE4616" s="3" t="s">
        <v>44948</v>
      </c>
      <c r="BF4616" s="3" t="s">
        <v>44954</v>
      </c>
      <c r="BG4616" s="3" t="s">
        <v>44955</v>
      </c>
      <c r="BH4616">
        <f t="shared" si="148"/>
        <v>0</v>
      </c>
    </row>
    <row r="4617" spans="1:60" ht="72.5" x14ac:dyDescent="0.35">
      <c r="A4617" s="2" t="s">
        <v>59</v>
      </c>
      <c r="B4617" s="2" t="s">
        <v>60</v>
      </c>
      <c r="C4617" s="2" t="s">
        <v>44940</v>
      </c>
      <c r="D4617" s="2" t="s">
        <v>44941</v>
      </c>
      <c r="E4617" s="2" t="s">
        <v>44942</v>
      </c>
      <c r="F4617" s="3" t="s">
        <v>509</v>
      </c>
      <c r="G4617" s="3" t="s">
        <v>128</v>
      </c>
      <c r="I4617" s="3" t="s">
        <v>64</v>
      </c>
      <c r="J4617" s="3" t="s">
        <v>64</v>
      </c>
      <c r="K4617" s="3" t="s">
        <v>65</v>
      </c>
      <c r="M4617" s="2" t="s">
        <v>44943</v>
      </c>
      <c r="N4617" s="3" t="s">
        <v>979</v>
      </c>
      <c r="P4617" s="3" t="s">
        <v>68</v>
      </c>
      <c r="R4617" s="3" t="s">
        <v>70</v>
      </c>
      <c r="S4617" s="4">
        <v>1</v>
      </c>
      <c r="T4617" s="4">
        <v>5</v>
      </c>
      <c r="U4617" s="5" t="s">
        <v>44956</v>
      </c>
      <c r="V4617" s="5" t="s">
        <v>11334</v>
      </c>
      <c r="W4617" s="5" t="s">
        <v>72</v>
      </c>
      <c r="X4617" s="5" t="s">
        <v>72</v>
      </c>
      <c r="Y4617" s="4">
        <v>79</v>
      </c>
      <c r="Z4617" s="4">
        <v>7</v>
      </c>
      <c r="AA4617" s="4">
        <v>10</v>
      </c>
      <c r="AB4617" s="4">
        <v>1</v>
      </c>
      <c r="AC4617" s="4">
        <v>3</v>
      </c>
      <c r="AD4617" s="4">
        <v>34</v>
      </c>
      <c r="AE4617" s="4">
        <v>37</v>
      </c>
      <c r="AF4617" s="4">
        <v>0</v>
      </c>
      <c r="AG4617" s="4">
        <v>2</v>
      </c>
      <c r="AH4617" s="4">
        <v>32</v>
      </c>
      <c r="AI4617" s="4">
        <v>34</v>
      </c>
      <c r="AJ4617" s="4">
        <v>4</v>
      </c>
      <c r="AK4617" s="4">
        <v>7</v>
      </c>
      <c r="AL4617" s="4">
        <v>24</v>
      </c>
      <c r="AM4617" s="4">
        <v>24</v>
      </c>
      <c r="AN4617" s="4">
        <v>0</v>
      </c>
      <c r="AO4617" s="4">
        <v>0</v>
      </c>
      <c r="AP4617" s="4">
        <v>4</v>
      </c>
      <c r="AQ4617" s="4">
        <v>6</v>
      </c>
      <c r="AR4617" s="3" t="s">
        <v>64</v>
      </c>
      <c r="AS4617" s="3" t="s">
        <v>64</v>
      </c>
      <c r="AT4617" s="3" t="s">
        <v>128</v>
      </c>
      <c r="AU4617" s="6" t="str">
        <f t="shared" si="149"/>
        <v>HathiTrust Record</v>
      </c>
      <c r="AV4617" s="6" t="str">
        <f t="shared" si="150"/>
        <v>Catalog Record</v>
      </c>
      <c r="AW4617" s="6" t="str">
        <f t="shared" si="151"/>
        <v>WorldCat Record</v>
      </c>
      <c r="AX4617" s="3" t="s">
        <v>44944</v>
      </c>
      <c r="AY4617" s="3" t="s">
        <v>44945</v>
      </c>
      <c r="AZ4617" s="3" t="s">
        <v>44946</v>
      </c>
      <c r="BA4617" s="3" t="s">
        <v>44946</v>
      </c>
      <c r="BB4617" s="3" t="s">
        <v>44957</v>
      </c>
      <c r="BC4617" s="3" t="s">
        <v>77</v>
      </c>
      <c r="BD4617" s="3" t="s">
        <v>78</v>
      </c>
      <c r="BE4617" s="3" t="s">
        <v>44948</v>
      </c>
      <c r="BF4617" s="3" t="s">
        <v>44957</v>
      </c>
      <c r="BG4617" s="3" t="s">
        <v>44958</v>
      </c>
      <c r="BH4617">
        <f t="shared" si="148"/>
        <v>0</v>
      </c>
    </row>
    <row r="4618" spans="1:60" ht="72.5" x14ac:dyDescent="0.35">
      <c r="A4618" s="2" t="s">
        <v>59</v>
      </c>
      <c r="B4618" s="2" t="s">
        <v>60</v>
      </c>
      <c r="C4618" s="2" t="s">
        <v>44940</v>
      </c>
      <c r="D4618" s="2" t="s">
        <v>44941</v>
      </c>
      <c r="E4618" s="2" t="s">
        <v>44942</v>
      </c>
      <c r="F4618" s="3" t="s">
        <v>522</v>
      </c>
      <c r="G4618" s="3" t="s">
        <v>128</v>
      </c>
      <c r="I4618" s="3" t="s">
        <v>64</v>
      </c>
      <c r="J4618" s="3" t="s">
        <v>64</v>
      </c>
      <c r="K4618" s="3" t="s">
        <v>65</v>
      </c>
      <c r="M4618" s="2" t="s">
        <v>44943</v>
      </c>
      <c r="N4618" s="3" t="s">
        <v>979</v>
      </c>
      <c r="P4618" s="3" t="s">
        <v>68</v>
      </c>
      <c r="R4618" s="3" t="s">
        <v>70</v>
      </c>
      <c r="S4618" s="4">
        <v>1</v>
      </c>
      <c r="T4618" s="4">
        <v>5</v>
      </c>
      <c r="U4618" s="5" t="s">
        <v>44956</v>
      </c>
      <c r="V4618" s="5" t="s">
        <v>11334</v>
      </c>
      <c r="W4618" s="5" t="s">
        <v>72</v>
      </c>
      <c r="X4618" s="5" t="s">
        <v>72</v>
      </c>
      <c r="Y4618" s="4">
        <v>79</v>
      </c>
      <c r="Z4618" s="4">
        <v>7</v>
      </c>
      <c r="AA4618" s="4">
        <v>10</v>
      </c>
      <c r="AB4618" s="4">
        <v>1</v>
      </c>
      <c r="AC4618" s="4">
        <v>3</v>
      </c>
      <c r="AD4618" s="4">
        <v>34</v>
      </c>
      <c r="AE4618" s="4">
        <v>37</v>
      </c>
      <c r="AF4618" s="4">
        <v>0</v>
      </c>
      <c r="AG4618" s="4">
        <v>2</v>
      </c>
      <c r="AH4618" s="4">
        <v>32</v>
      </c>
      <c r="AI4618" s="4">
        <v>34</v>
      </c>
      <c r="AJ4618" s="4">
        <v>4</v>
      </c>
      <c r="AK4618" s="4">
        <v>7</v>
      </c>
      <c r="AL4618" s="4">
        <v>24</v>
      </c>
      <c r="AM4618" s="4">
        <v>24</v>
      </c>
      <c r="AN4618" s="4">
        <v>0</v>
      </c>
      <c r="AO4618" s="4">
        <v>0</v>
      </c>
      <c r="AP4618" s="4">
        <v>4</v>
      </c>
      <c r="AQ4618" s="4">
        <v>6</v>
      </c>
      <c r="AR4618" s="3" t="s">
        <v>64</v>
      </c>
      <c r="AS4618" s="3" t="s">
        <v>64</v>
      </c>
      <c r="AT4618" s="3" t="s">
        <v>128</v>
      </c>
      <c r="AU4618" s="6" t="str">
        <f t="shared" si="149"/>
        <v>HathiTrust Record</v>
      </c>
      <c r="AV4618" s="6" t="str">
        <f t="shared" si="150"/>
        <v>Catalog Record</v>
      </c>
      <c r="AW4618" s="6" t="str">
        <f t="shared" si="151"/>
        <v>WorldCat Record</v>
      </c>
      <c r="AX4618" s="3" t="s">
        <v>44944</v>
      </c>
      <c r="AY4618" s="3" t="s">
        <v>44945</v>
      </c>
      <c r="AZ4618" s="3" t="s">
        <v>44946</v>
      </c>
      <c r="BA4618" s="3" t="s">
        <v>44946</v>
      </c>
      <c r="BB4618" s="3" t="s">
        <v>44959</v>
      </c>
      <c r="BC4618" s="3" t="s">
        <v>77</v>
      </c>
      <c r="BD4618" s="3" t="s">
        <v>78</v>
      </c>
      <c r="BE4618" s="3" t="s">
        <v>44948</v>
      </c>
      <c r="BF4618" s="3" t="s">
        <v>44959</v>
      </c>
      <c r="BG4618" s="3" t="s">
        <v>44960</v>
      </c>
      <c r="BH4618">
        <f t="shared" si="148"/>
        <v>0</v>
      </c>
    </row>
    <row r="4619" spans="1:60" ht="72.5" x14ac:dyDescent="0.35">
      <c r="A4619" s="2" t="s">
        <v>59</v>
      </c>
      <c r="B4619" s="2" t="s">
        <v>60</v>
      </c>
      <c r="C4619" s="2" t="s">
        <v>44940</v>
      </c>
      <c r="D4619" s="2" t="s">
        <v>44941</v>
      </c>
      <c r="E4619" s="2" t="s">
        <v>44942</v>
      </c>
      <c r="F4619" s="3" t="s">
        <v>529</v>
      </c>
      <c r="G4619" s="3" t="s">
        <v>128</v>
      </c>
      <c r="I4619" s="3" t="s">
        <v>64</v>
      </c>
      <c r="J4619" s="3" t="s">
        <v>64</v>
      </c>
      <c r="K4619" s="3" t="s">
        <v>65</v>
      </c>
      <c r="M4619" s="2" t="s">
        <v>44943</v>
      </c>
      <c r="N4619" s="3" t="s">
        <v>979</v>
      </c>
      <c r="P4619" s="3" t="s">
        <v>68</v>
      </c>
      <c r="R4619" s="3" t="s">
        <v>70</v>
      </c>
      <c r="S4619" s="4">
        <v>1</v>
      </c>
      <c r="T4619" s="4">
        <v>5</v>
      </c>
      <c r="U4619" s="5" t="s">
        <v>44956</v>
      </c>
      <c r="V4619" s="5" t="s">
        <v>11334</v>
      </c>
      <c r="W4619" s="5" t="s">
        <v>72</v>
      </c>
      <c r="X4619" s="5" t="s">
        <v>72</v>
      </c>
      <c r="Y4619" s="4">
        <v>79</v>
      </c>
      <c r="Z4619" s="4">
        <v>7</v>
      </c>
      <c r="AA4619" s="4">
        <v>10</v>
      </c>
      <c r="AB4619" s="4">
        <v>1</v>
      </c>
      <c r="AC4619" s="4">
        <v>3</v>
      </c>
      <c r="AD4619" s="4">
        <v>34</v>
      </c>
      <c r="AE4619" s="4">
        <v>37</v>
      </c>
      <c r="AF4619" s="4">
        <v>0</v>
      </c>
      <c r="AG4619" s="4">
        <v>2</v>
      </c>
      <c r="AH4619" s="4">
        <v>32</v>
      </c>
      <c r="AI4619" s="4">
        <v>34</v>
      </c>
      <c r="AJ4619" s="4">
        <v>4</v>
      </c>
      <c r="AK4619" s="4">
        <v>7</v>
      </c>
      <c r="AL4619" s="4">
        <v>24</v>
      </c>
      <c r="AM4619" s="4">
        <v>24</v>
      </c>
      <c r="AN4619" s="4">
        <v>0</v>
      </c>
      <c r="AO4619" s="4">
        <v>0</v>
      </c>
      <c r="AP4619" s="4">
        <v>4</v>
      </c>
      <c r="AQ4619" s="4">
        <v>6</v>
      </c>
      <c r="AR4619" s="3" t="s">
        <v>64</v>
      </c>
      <c r="AS4619" s="3" t="s">
        <v>64</v>
      </c>
      <c r="AT4619" s="3" t="s">
        <v>128</v>
      </c>
      <c r="AU4619" s="6" t="str">
        <f t="shared" si="149"/>
        <v>HathiTrust Record</v>
      </c>
      <c r="AV4619" s="6" t="str">
        <f t="shared" si="150"/>
        <v>Catalog Record</v>
      </c>
      <c r="AW4619" s="6" t="str">
        <f t="shared" si="151"/>
        <v>WorldCat Record</v>
      </c>
      <c r="AX4619" s="3" t="s">
        <v>44944</v>
      </c>
      <c r="AY4619" s="3" t="s">
        <v>44945</v>
      </c>
      <c r="AZ4619" s="3" t="s">
        <v>44946</v>
      </c>
      <c r="BA4619" s="3" t="s">
        <v>44946</v>
      </c>
      <c r="BB4619" s="3" t="s">
        <v>44961</v>
      </c>
      <c r="BC4619" s="3" t="s">
        <v>77</v>
      </c>
      <c r="BD4619" s="3" t="s">
        <v>78</v>
      </c>
      <c r="BE4619" s="3" t="s">
        <v>44948</v>
      </c>
      <c r="BF4619" s="3" t="s">
        <v>44961</v>
      </c>
      <c r="BG4619" s="3" t="s">
        <v>44962</v>
      </c>
      <c r="BH4619">
        <f t="shared" si="148"/>
        <v>0</v>
      </c>
    </row>
    <row r="4620" spans="1:60" ht="87" x14ac:dyDescent="0.35">
      <c r="A4620" s="2" t="s">
        <v>59</v>
      </c>
      <c r="B4620" s="2" t="s">
        <v>60</v>
      </c>
      <c r="C4620" s="2" t="s">
        <v>44963</v>
      </c>
      <c r="D4620" s="2" t="s">
        <v>44964</v>
      </c>
      <c r="E4620" s="2" t="s">
        <v>44965</v>
      </c>
      <c r="G4620" s="3" t="s">
        <v>64</v>
      </c>
      <c r="I4620" s="3" t="s">
        <v>64</v>
      </c>
      <c r="J4620" s="3" t="s">
        <v>64</v>
      </c>
      <c r="K4620" s="3" t="s">
        <v>65</v>
      </c>
      <c r="L4620" s="2" t="s">
        <v>34807</v>
      </c>
      <c r="M4620" s="2" t="s">
        <v>44966</v>
      </c>
      <c r="N4620" s="3" t="s">
        <v>1250</v>
      </c>
      <c r="P4620" s="3" t="s">
        <v>102</v>
      </c>
      <c r="R4620" s="3" t="s">
        <v>70</v>
      </c>
      <c r="S4620" s="4">
        <v>9</v>
      </c>
      <c r="T4620" s="4">
        <v>9</v>
      </c>
      <c r="U4620" s="5" t="s">
        <v>25307</v>
      </c>
      <c r="V4620" s="5" t="s">
        <v>25307</v>
      </c>
      <c r="W4620" s="5" t="s">
        <v>72</v>
      </c>
      <c r="X4620" s="5" t="s">
        <v>72</v>
      </c>
      <c r="Y4620" s="4">
        <v>14</v>
      </c>
      <c r="Z4620" s="4">
        <v>1</v>
      </c>
      <c r="AA4620" s="4">
        <v>2</v>
      </c>
      <c r="AB4620" s="4">
        <v>1</v>
      </c>
      <c r="AC4620" s="4">
        <v>1</v>
      </c>
      <c r="AD4620" s="4">
        <v>8</v>
      </c>
      <c r="AE4620" s="4">
        <v>12</v>
      </c>
      <c r="AF4620" s="4">
        <v>0</v>
      </c>
      <c r="AG4620" s="4">
        <v>0</v>
      </c>
      <c r="AH4620" s="4">
        <v>7</v>
      </c>
      <c r="AI4620" s="4">
        <v>11</v>
      </c>
      <c r="AJ4620" s="4">
        <v>0</v>
      </c>
      <c r="AK4620" s="4">
        <v>1</v>
      </c>
      <c r="AL4620" s="4">
        <v>6</v>
      </c>
      <c r="AM4620" s="4">
        <v>9</v>
      </c>
      <c r="AN4620" s="4">
        <v>0</v>
      </c>
      <c r="AO4620" s="4">
        <v>0</v>
      </c>
      <c r="AP4620" s="4">
        <v>0</v>
      </c>
      <c r="AQ4620" s="4">
        <v>1</v>
      </c>
      <c r="AR4620" s="3" t="s">
        <v>64</v>
      </c>
      <c r="AS4620" s="3" t="s">
        <v>64</v>
      </c>
      <c r="AT4620" s="3" t="s">
        <v>128</v>
      </c>
      <c r="AU4620" s="6" t="str">
        <f>HYPERLINK("http://catalog.hathitrust.org/Record/002983517","HathiTrust Record")</f>
        <v>HathiTrust Record</v>
      </c>
      <c r="AV4620" s="6" t="str">
        <f>HYPERLINK("http://mcgill.on.worldcat.org/oclc/123246459","Catalog Record")</f>
        <v>Catalog Record</v>
      </c>
      <c r="AW4620" s="6" t="str">
        <f>HYPERLINK("http://www.worldcat.org/oclc/123246459","WorldCat Record")</f>
        <v>WorldCat Record</v>
      </c>
      <c r="AX4620" s="3" t="s">
        <v>44967</v>
      </c>
      <c r="AY4620" s="3" t="s">
        <v>44968</v>
      </c>
      <c r="AZ4620" s="3" t="s">
        <v>44969</v>
      </c>
      <c r="BA4620" s="3" t="s">
        <v>44969</v>
      </c>
      <c r="BB4620" s="3" t="s">
        <v>44970</v>
      </c>
      <c r="BC4620" s="3" t="s">
        <v>77</v>
      </c>
      <c r="BD4620" s="3" t="s">
        <v>165</v>
      </c>
      <c r="BE4620" s="3" t="s">
        <v>44971</v>
      </c>
      <c r="BF4620" s="3" t="s">
        <v>44970</v>
      </c>
      <c r="BG4620" s="3" t="s">
        <v>44972</v>
      </c>
      <c r="BH4620">
        <f t="shared" si="148"/>
        <v>0</v>
      </c>
    </row>
    <row r="4621" spans="1:60" ht="58" x14ac:dyDescent="0.35">
      <c r="A4621" s="2" t="s">
        <v>59</v>
      </c>
      <c r="B4621" s="2" t="s">
        <v>60</v>
      </c>
      <c r="C4621" s="2" t="s">
        <v>44973</v>
      </c>
      <c r="D4621" s="2" t="s">
        <v>44974</v>
      </c>
      <c r="E4621" s="2" t="s">
        <v>44975</v>
      </c>
      <c r="G4621" s="3" t="s">
        <v>64</v>
      </c>
      <c r="I4621" s="3" t="s">
        <v>64</v>
      </c>
      <c r="J4621" s="3" t="s">
        <v>64</v>
      </c>
      <c r="K4621" s="3" t="s">
        <v>65</v>
      </c>
      <c r="L4621" s="2" t="s">
        <v>44976</v>
      </c>
      <c r="M4621" s="2" t="s">
        <v>44977</v>
      </c>
      <c r="N4621" s="3" t="s">
        <v>36744</v>
      </c>
      <c r="P4621" s="3" t="s">
        <v>102</v>
      </c>
      <c r="R4621" s="3" t="s">
        <v>70</v>
      </c>
      <c r="S4621" s="4">
        <v>6</v>
      </c>
      <c r="T4621" s="4">
        <v>6</v>
      </c>
      <c r="U4621" s="5" t="s">
        <v>11650</v>
      </c>
      <c r="V4621" s="5" t="s">
        <v>11650</v>
      </c>
      <c r="W4621" s="5" t="s">
        <v>72</v>
      </c>
      <c r="X4621" s="5" t="s">
        <v>72</v>
      </c>
      <c r="Y4621" s="4">
        <v>123</v>
      </c>
      <c r="Z4621" s="4">
        <v>11</v>
      </c>
      <c r="AA4621" s="4">
        <v>26</v>
      </c>
      <c r="AB4621" s="4">
        <v>1</v>
      </c>
      <c r="AC4621" s="4">
        <v>2</v>
      </c>
      <c r="AD4621" s="4">
        <v>51</v>
      </c>
      <c r="AE4621" s="4">
        <v>61</v>
      </c>
      <c r="AF4621" s="4">
        <v>0</v>
      </c>
      <c r="AG4621" s="4">
        <v>0</v>
      </c>
      <c r="AH4621" s="4">
        <v>48</v>
      </c>
      <c r="AI4621" s="4">
        <v>54</v>
      </c>
      <c r="AJ4621" s="4">
        <v>7</v>
      </c>
      <c r="AK4621" s="4">
        <v>10</v>
      </c>
      <c r="AL4621" s="4">
        <v>34</v>
      </c>
      <c r="AM4621" s="4">
        <v>35</v>
      </c>
      <c r="AN4621" s="4">
        <v>0</v>
      </c>
      <c r="AO4621" s="4">
        <v>0</v>
      </c>
      <c r="AP4621" s="4">
        <v>6</v>
      </c>
      <c r="AQ4621" s="4">
        <v>13</v>
      </c>
      <c r="AR4621" s="3" t="s">
        <v>64</v>
      </c>
      <c r="AS4621" s="3" t="s">
        <v>128</v>
      </c>
      <c r="AT4621" s="3" t="s">
        <v>64</v>
      </c>
      <c r="AU4621" s="6" t="str">
        <f>HYPERLINK("http://catalog.hathitrust.org/Record/001173278","HathiTrust Record")</f>
        <v>HathiTrust Record</v>
      </c>
      <c r="AV4621" s="6" t="str">
        <f>HYPERLINK("http://mcgill.on.worldcat.org/oclc/3692707","Catalog Record")</f>
        <v>Catalog Record</v>
      </c>
      <c r="AW4621" s="6" t="str">
        <f>HYPERLINK("http://www.worldcat.org/oclc/3692707","WorldCat Record")</f>
        <v>WorldCat Record</v>
      </c>
      <c r="AX4621" s="3" t="s">
        <v>44978</v>
      </c>
      <c r="AY4621" s="3" t="s">
        <v>44979</v>
      </c>
      <c r="AZ4621" s="3" t="s">
        <v>44980</v>
      </c>
      <c r="BA4621" s="3" t="s">
        <v>44980</v>
      </c>
      <c r="BB4621" s="3" t="s">
        <v>44981</v>
      </c>
      <c r="BC4621" s="3" t="s">
        <v>77</v>
      </c>
      <c r="BD4621" s="3" t="s">
        <v>78</v>
      </c>
      <c r="BF4621" s="3" t="s">
        <v>44981</v>
      </c>
      <c r="BG4621" s="3" t="s">
        <v>44982</v>
      </c>
      <c r="BH4621">
        <f t="shared" si="148"/>
        <v>0</v>
      </c>
    </row>
    <row r="4622" spans="1:60" ht="58" x14ac:dyDescent="0.35">
      <c r="A4622" s="2" t="s">
        <v>59</v>
      </c>
      <c r="B4622" s="2" t="s">
        <v>60</v>
      </c>
      <c r="C4622" s="2" t="s">
        <v>44983</v>
      </c>
      <c r="D4622" s="2" t="s">
        <v>44984</v>
      </c>
      <c r="E4622" s="2" t="s">
        <v>44985</v>
      </c>
      <c r="G4622" s="3" t="s">
        <v>128</v>
      </c>
      <c r="I4622" s="3" t="s">
        <v>64</v>
      </c>
      <c r="J4622" s="3" t="s">
        <v>64</v>
      </c>
      <c r="K4622" s="3" t="s">
        <v>65</v>
      </c>
      <c r="L4622" s="2" t="s">
        <v>44986</v>
      </c>
      <c r="M4622" s="2" t="s">
        <v>44987</v>
      </c>
      <c r="N4622" s="3" t="s">
        <v>3795</v>
      </c>
      <c r="P4622" s="3" t="s">
        <v>40768</v>
      </c>
      <c r="Q4622" s="2" t="s">
        <v>44988</v>
      </c>
      <c r="R4622" s="3" t="s">
        <v>70</v>
      </c>
      <c r="S4622" s="4">
        <v>3</v>
      </c>
      <c r="T4622" s="4">
        <v>3</v>
      </c>
      <c r="U4622" s="5" t="s">
        <v>2789</v>
      </c>
      <c r="V4622" s="5" t="s">
        <v>2789</v>
      </c>
      <c r="W4622" s="5" t="s">
        <v>72</v>
      </c>
      <c r="X4622" s="5" t="s">
        <v>72</v>
      </c>
      <c r="Y4622" s="4">
        <v>48</v>
      </c>
      <c r="Z4622" s="4">
        <v>4</v>
      </c>
      <c r="AA4622" s="4">
        <v>4</v>
      </c>
      <c r="AB4622" s="4">
        <v>1</v>
      </c>
      <c r="AC4622" s="4">
        <v>1</v>
      </c>
      <c r="AD4622" s="4">
        <v>29</v>
      </c>
      <c r="AE4622" s="4">
        <v>29</v>
      </c>
      <c r="AF4622" s="4">
        <v>0</v>
      </c>
      <c r="AG4622" s="4">
        <v>0</v>
      </c>
      <c r="AH4622" s="4">
        <v>29</v>
      </c>
      <c r="AI4622" s="4">
        <v>29</v>
      </c>
      <c r="AJ4622" s="4">
        <v>2</v>
      </c>
      <c r="AK4622" s="4">
        <v>2</v>
      </c>
      <c r="AL4622" s="4">
        <v>23</v>
      </c>
      <c r="AM4622" s="4">
        <v>23</v>
      </c>
      <c r="AN4622" s="4">
        <v>0</v>
      </c>
      <c r="AO4622" s="4">
        <v>0</v>
      </c>
      <c r="AP4622" s="4">
        <v>2</v>
      </c>
      <c r="AQ4622" s="4">
        <v>2</v>
      </c>
      <c r="AR4622" s="3" t="s">
        <v>64</v>
      </c>
      <c r="AS4622" s="3" t="s">
        <v>64</v>
      </c>
      <c r="AT4622" s="3" t="s">
        <v>128</v>
      </c>
      <c r="AU4622" s="6" t="str">
        <f>HYPERLINK("http://catalog.hathitrust.org/Record/101874242","HathiTrust Record")</f>
        <v>HathiTrust Record</v>
      </c>
      <c r="AV4622" s="6" t="str">
        <f>HYPERLINK("http://mcgill.on.worldcat.org/oclc/511638","Catalog Record")</f>
        <v>Catalog Record</v>
      </c>
      <c r="AW4622" s="6" t="str">
        <f>HYPERLINK("http://www.worldcat.org/oclc/511638","WorldCat Record")</f>
        <v>WorldCat Record</v>
      </c>
      <c r="AX4622" s="3" t="s">
        <v>44989</v>
      </c>
      <c r="AY4622" s="3" t="s">
        <v>44990</v>
      </c>
      <c r="AZ4622" s="3" t="s">
        <v>44991</v>
      </c>
      <c r="BA4622" s="3" t="s">
        <v>44991</v>
      </c>
      <c r="BB4622" s="3" t="s">
        <v>44992</v>
      </c>
      <c r="BC4622" s="3" t="s">
        <v>77</v>
      </c>
      <c r="BD4622" s="3" t="s">
        <v>165</v>
      </c>
      <c r="BF4622" s="3" t="s">
        <v>44992</v>
      </c>
      <c r="BG4622" s="3" t="s">
        <v>44993</v>
      </c>
      <c r="BH4622">
        <f t="shared" si="148"/>
        <v>0</v>
      </c>
    </row>
    <row r="4623" spans="1:60" ht="72.5" x14ac:dyDescent="0.35">
      <c r="A4623" s="2" t="s">
        <v>59</v>
      </c>
      <c r="B4623" s="2" t="s">
        <v>60</v>
      </c>
      <c r="C4623" s="2" t="s">
        <v>44994</v>
      </c>
      <c r="D4623" s="2" t="s">
        <v>44995</v>
      </c>
      <c r="E4623" s="2" t="s">
        <v>44996</v>
      </c>
      <c r="F4623" s="3" t="s">
        <v>44997</v>
      </c>
      <c r="G4623" s="3" t="s">
        <v>128</v>
      </c>
      <c r="I4623" s="3" t="s">
        <v>64</v>
      </c>
      <c r="J4623" s="3" t="s">
        <v>64</v>
      </c>
      <c r="K4623" s="3" t="s">
        <v>65</v>
      </c>
      <c r="L4623" s="2" t="s">
        <v>44998</v>
      </c>
      <c r="M4623" s="2" t="s">
        <v>44999</v>
      </c>
      <c r="N4623" s="3" t="s">
        <v>3126</v>
      </c>
      <c r="P4623" s="3" t="s">
        <v>102</v>
      </c>
      <c r="Q4623" s="2" t="s">
        <v>45000</v>
      </c>
      <c r="R4623" s="3" t="s">
        <v>70</v>
      </c>
      <c r="S4623" s="4">
        <v>0</v>
      </c>
      <c r="T4623" s="4">
        <v>1</v>
      </c>
      <c r="V4623" s="5" t="s">
        <v>4311</v>
      </c>
      <c r="W4623" s="5" t="s">
        <v>72</v>
      </c>
      <c r="X4623" s="5" t="s">
        <v>72</v>
      </c>
      <c r="Y4623" s="4">
        <v>4</v>
      </c>
      <c r="Z4623" s="4">
        <v>1</v>
      </c>
      <c r="AA4623" s="4">
        <v>3</v>
      </c>
      <c r="AB4623" s="4">
        <v>1</v>
      </c>
      <c r="AC4623" s="4">
        <v>1</v>
      </c>
      <c r="AD4623" s="4">
        <v>0</v>
      </c>
      <c r="AE4623" s="4">
        <v>8</v>
      </c>
      <c r="AF4623" s="4">
        <v>0</v>
      </c>
      <c r="AG4623" s="4">
        <v>0</v>
      </c>
      <c r="AH4623" s="4">
        <v>0</v>
      </c>
      <c r="AI4623" s="4">
        <v>8</v>
      </c>
      <c r="AJ4623" s="4">
        <v>0</v>
      </c>
      <c r="AK4623" s="4">
        <v>1</v>
      </c>
      <c r="AL4623" s="4">
        <v>0</v>
      </c>
      <c r="AM4623" s="4">
        <v>7</v>
      </c>
      <c r="AN4623" s="4">
        <v>0</v>
      </c>
      <c r="AO4623" s="4">
        <v>0</v>
      </c>
      <c r="AP4623" s="4">
        <v>0</v>
      </c>
      <c r="AQ4623" s="4">
        <v>1</v>
      </c>
      <c r="AR4623" s="3" t="s">
        <v>64</v>
      </c>
      <c r="AS4623" s="3" t="s">
        <v>64</v>
      </c>
      <c r="AT4623" s="3" t="s">
        <v>64</v>
      </c>
      <c r="AV4623" s="6" t="str">
        <f>HYPERLINK("http://mcgill.on.worldcat.org/oclc/61552268","Catalog Record")</f>
        <v>Catalog Record</v>
      </c>
      <c r="AW4623" s="6" t="str">
        <f>HYPERLINK("http://www.worldcat.org/oclc/61552268","WorldCat Record")</f>
        <v>WorldCat Record</v>
      </c>
      <c r="AX4623" s="3" t="s">
        <v>45001</v>
      </c>
      <c r="AY4623" s="3" t="s">
        <v>45002</v>
      </c>
      <c r="AZ4623" s="3" t="s">
        <v>45003</v>
      </c>
      <c r="BA4623" s="3" t="s">
        <v>45003</v>
      </c>
      <c r="BB4623" s="3" t="s">
        <v>45004</v>
      </c>
      <c r="BC4623" s="3" t="s">
        <v>77</v>
      </c>
      <c r="BD4623" s="3" t="s">
        <v>78</v>
      </c>
      <c r="BF4623" s="3" t="s">
        <v>45004</v>
      </c>
      <c r="BG4623" s="3" t="s">
        <v>45005</v>
      </c>
      <c r="BH4623">
        <f t="shared" si="148"/>
        <v>0</v>
      </c>
    </row>
    <row r="4624" spans="1:60" ht="58" x14ac:dyDescent="0.35">
      <c r="A4624" s="2" t="s">
        <v>59</v>
      </c>
      <c r="B4624" s="2" t="s">
        <v>60</v>
      </c>
      <c r="C4624" s="2" t="s">
        <v>45006</v>
      </c>
      <c r="D4624" s="2" t="s">
        <v>45007</v>
      </c>
      <c r="E4624" s="2" t="s">
        <v>45008</v>
      </c>
      <c r="F4624" s="3" t="s">
        <v>478</v>
      </c>
      <c r="G4624" s="3" t="s">
        <v>128</v>
      </c>
      <c r="I4624" s="3" t="s">
        <v>128</v>
      </c>
      <c r="J4624" s="3" t="s">
        <v>64</v>
      </c>
      <c r="K4624" s="3" t="s">
        <v>65</v>
      </c>
      <c r="L4624" s="2" t="s">
        <v>45009</v>
      </c>
      <c r="M4624" s="2" t="s">
        <v>45010</v>
      </c>
      <c r="N4624" s="3" t="s">
        <v>38454</v>
      </c>
      <c r="P4624" s="3" t="s">
        <v>102</v>
      </c>
      <c r="R4624" s="3" t="s">
        <v>70</v>
      </c>
      <c r="S4624" s="4">
        <v>0</v>
      </c>
      <c r="T4624" s="4">
        <v>2</v>
      </c>
      <c r="V4624" s="5" t="s">
        <v>3865</v>
      </c>
      <c r="W4624" s="5" t="s">
        <v>72</v>
      </c>
      <c r="X4624" s="5" t="s">
        <v>72</v>
      </c>
      <c r="Y4624" s="4">
        <v>47</v>
      </c>
      <c r="Z4624" s="4">
        <v>1</v>
      </c>
      <c r="AA4624" s="4">
        <v>2</v>
      </c>
      <c r="AB4624" s="4">
        <v>1</v>
      </c>
      <c r="AC4624" s="4">
        <v>1</v>
      </c>
      <c r="AD4624" s="4">
        <v>21</v>
      </c>
      <c r="AE4624" s="4">
        <v>23</v>
      </c>
      <c r="AF4624" s="4">
        <v>0</v>
      </c>
      <c r="AG4624" s="4">
        <v>0</v>
      </c>
      <c r="AH4624" s="4">
        <v>19</v>
      </c>
      <c r="AI4624" s="4">
        <v>20</v>
      </c>
      <c r="AJ4624" s="4">
        <v>0</v>
      </c>
      <c r="AK4624" s="4">
        <v>0</v>
      </c>
      <c r="AL4624" s="4">
        <v>17</v>
      </c>
      <c r="AM4624" s="4">
        <v>17</v>
      </c>
      <c r="AN4624" s="4">
        <v>0</v>
      </c>
      <c r="AO4624" s="4">
        <v>0</v>
      </c>
      <c r="AP4624" s="4">
        <v>0</v>
      </c>
      <c r="AQ4624" s="4">
        <v>1</v>
      </c>
      <c r="AR4624" s="3" t="s">
        <v>64</v>
      </c>
      <c r="AS4624" s="3" t="s">
        <v>64</v>
      </c>
      <c r="AT4624" s="3" t="s">
        <v>64</v>
      </c>
      <c r="AU4624" s="6" t="str">
        <f>HYPERLINK("http://catalog.hathitrust.org/Record/001173306","HathiTrust Record")</f>
        <v>HathiTrust Record</v>
      </c>
      <c r="AV4624" s="6" t="str">
        <f>HYPERLINK("http://mcgill.on.worldcat.org/oclc/3977938","Catalog Record")</f>
        <v>Catalog Record</v>
      </c>
      <c r="AW4624" s="6" t="str">
        <f>HYPERLINK("http://www.worldcat.org/oclc/3977938","WorldCat Record")</f>
        <v>WorldCat Record</v>
      </c>
      <c r="AX4624" s="3" t="s">
        <v>45011</v>
      </c>
      <c r="AY4624" s="3" t="s">
        <v>45012</v>
      </c>
      <c r="AZ4624" s="3" t="s">
        <v>45013</v>
      </c>
      <c r="BA4624" s="3" t="s">
        <v>45013</v>
      </c>
      <c r="BB4624" s="3" t="s">
        <v>45014</v>
      </c>
      <c r="BC4624" s="3" t="s">
        <v>77</v>
      </c>
      <c r="BD4624" s="3" t="s">
        <v>78</v>
      </c>
      <c r="BF4624" s="3" t="s">
        <v>45014</v>
      </c>
      <c r="BG4624" s="3" t="s">
        <v>45015</v>
      </c>
      <c r="BH4624">
        <f t="shared" si="148"/>
        <v>0</v>
      </c>
    </row>
    <row r="4625" spans="1:60" ht="58" x14ac:dyDescent="0.35">
      <c r="A4625" s="2" t="s">
        <v>59</v>
      </c>
      <c r="B4625" s="2" t="s">
        <v>60</v>
      </c>
      <c r="C4625" s="2" t="s">
        <v>45006</v>
      </c>
      <c r="D4625" s="2" t="s">
        <v>45007</v>
      </c>
      <c r="E4625" s="2" t="s">
        <v>45008</v>
      </c>
      <c r="F4625" s="3" t="s">
        <v>489</v>
      </c>
      <c r="G4625" s="3" t="s">
        <v>128</v>
      </c>
      <c r="I4625" s="3" t="s">
        <v>128</v>
      </c>
      <c r="J4625" s="3" t="s">
        <v>64</v>
      </c>
      <c r="K4625" s="3" t="s">
        <v>65</v>
      </c>
      <c r="L4625" s="2" t="s">
        <v>45009</v>
      </c>
      <c r="M4625" s="2" t="s">
        <v>45010</v>
      </c>
      <c r="N4625" s="3" t="s">
        <v>38454</v>
      </c>
      <c r="P4625" s="3" t="s">
        <v>102</v>
      </c>
      <c r="R4625" s="3" t="s">
        <v>70</v>
      </c>
      <c r="S4625" s="4">
        <v>0</v>
      </c>
      <c r="T4625" s="4">
        <v>2</v>
      </c>
      <c r="V4625" s="5" t="s">
        <v>3865</v>
      </c>
      <c r="W4625" s="5" t="s">
        <v>72</v>
      </c>
      <c r="X4625" s="5" t="s">
        <v>72</v>
      </c>
      <c r="Y4625" s="4">
        <v>47</v>
      </c>
      <c r="Z4625" s="4">
        <v>1</v>
      </c>
      <c r="AA4625" s="4">
        <v>2</v>
      </c>
      <c r="AB4625" s="4">
        <v>1</v>
      </c>
      <c r="AC4625" s="4">
        <v>1</v>
      </c>
      <c r="AD4625" s="4">
        <v>21</v>
      </c>
      <c r="AE4625" s="4">
        <v>23</v>
      </c>
      <c r="AF4625" s="4">
        <v>0</v>
      </c>
      <c r="AG4625" s="4">
        <v>0</v>
      </c>
      <c r="AH4625" s="4">
        <v>19</v>
      </c>
      <c r="AI4625" s="4">
        <v>20</v>
      </c>
      <c r="AJ4625" s="4">
        <v>0</v>
      </c>
      <c r="AK4625" s="4">
        <v>0</v>
      </c>
      <c r="AL4625" s="4">
        <v>17</v>
      </c>
      <c r="AM4625" s="4">
        <v>17</v>
      </c>
      <c r="AN4625" s="4">
        <v>0</v>
      </c>
      <c r="AO4625" s="4">
        <v>0</v>
      </c>
      <c r="AP4625" s="4">
        <v>0</v>
      </c>
      <c r="AQ4625" s="4">
        <v>1</v>
      </c>
      <c r="AR4625" s="3" t="s">
        <v>64</v>
      </c>
      <c r="AS4625" s="3" t="s">
        <v>64</v>
      </c>
      <c r="AT4625" s="3" t="s">
        <v>64</v>
      </c>
      <c r="AU4625" s="6" t="str">
        <f>HYPERLINK("http://catalog.hathitrust.org/Record/001173306","HathiTrust Record")</f>
        <v>HathiTrust Record</v>
      </c>
      <c r="AV4625" s="6" t="str">
        <f>HYPERLINK("http://mcgill.on.worldcat.org/oclc/3977938","Catalog Record")</f>
        <v>Catalog Record</v>
      </c>
      <c r="AW4625" s="6" t="str">
        <f>HYPERLINK("http://www.worldcat.org/oclc/3977938","WorldCat Record")</f>
        <v>WorldCat Record</v>
      </c>
      <c r="AX4625" s="3" t="s">
        <v>45011</v>
      </c>
      <c r="AY4625" s="3" t="s">
        <v>45012</v>
      </c>
      <c r="AZ4625" s="3" t="s">
        <v>45013</v>
      </c>
      <c r="BA4625" s="3" t="s">
        <v>45013</v>
      </c>
      <c r="BB4625" s="3" t="s">
        <v>45016</v>
      </c>
      <c r="BC4625" s="3" t="s">
        <v>77</v>
      </c>
      <c r="BD4625" s="3" t="s">
        <v>78</v>
      </c>
      <c r="BF4625" s="3" t="s">
        <v>45016</v>
      </c>
      <c r="BG4625" s="3" t="s">
        <v>45017</v>
      </c>
      <c r="BH4625">
        <f t="shared" si="148"/>
        <v>0</v>
      </c>
    </row>
    <row r="4626" spans="1:60" ht="58" x14ac:dyDescent="0.35">
      <c r="A4626" s="2" t="s">
        <v>59</v>
      </c>
      <c r="B4626" s="2" t="s">
        <v>60</v>
      </c>
      <c r="C4626" s="2" t="s">
        <v>45018</v>
      </c>
      <c r="D4626" s="2" t="s">
        <v>45019</v>
      </c>
      <c r="E4626" s="2" t="s">
        <v>45020</v>
      </c>
      <c r="F4626" s="3" t="s">
        <v>2047</v>
      </c>
      <c r="G4626" s="3" t="s">
        <v>128</v>
      </c>
      <c r="I4626" s="3" t="s">
        <v>64</v>
      </c>
      <c r="J4626" s="3" t="s">
        <v>64</v>
      </c>
      <c r="K4626" s="3" t="s">
        <v>65</v>
      </c>
      <c r="L4626" s="2" t="s">
        <v>45021</v>
      </c>
      <c r="M4626" s="2" t="s">
        <v>45022</v>
      </c>
      <c r="N4626" s="3" t="s">
        <v>898</v>
      </c>
      <c r="P4626" s="3" t="s">
        <v>102</v>
      </c>
      <c r="R4626" s="3" t="s">
        <v>70</v>
      </c>
      <c r="S4626" s="4">
        <v>1</v>
      </c>
      <c r="T4626" s="4">
        <v>7</v>
      </c>
      <c r="U4626" s="5" t="s">
        <v>45023</v>
      </c>
      <c r="V4626" s="5" t="s">
        <v>10931</v>
      </c>
      <c r="W4626" s="5" t="s">
        <v>72</v>
      </c>
      <c r="X4626" s="5" t="s">
        <v>72</v>
      </c>
      <c r="Y4626" s="4">
        <v>61</v>
      </c>
      <c r="Z4626" s="4">
        <v>7</v>
      </c>
      <c r="AA4626" s="4">
        <v>8</v>
      </c>
      <c r="AB4626" s="4">
        <v>2</v>
      </c>
      <c r="AC4626" s="4">
        <v>3</v>
      </c>
      <c r="AD4626" s="4">
        <v>31</v>
      </c>
      <c r="AE4626" s="4">
        <v>32</v>
      </c>
      <c r="AF4626" s="4">
        <v>0</v>
      </c>
      <c r="AG4626" s="4">
        <v>1</v>
      </c>
      <c r="AH4626" s="4">
        <v>27</v>
      </c>
      <c r="AI4626" s="4">
        <v>27</v>
      </c>
      <c r="AJ4626" s="4">
        <v>4</v>
      </c>
      <c r="AK4626" s="4">
        <v>5</v>
      </c>
      <c r="AL4626" s="4">
        <v>20</v>
      </c>
      <c r="AM4626" s="4">
        <v>20</v>
      </c>
      <c r="AN4626" s="4">
        <v>0</v>
      </c>
      <c r="AO4626" s="4">
        <v>0</v>
      </c>
      <c r="AP4626" s="4">
        <v>4</v>
      </c>
      <c r="AQ4626" s="4">
        <v>4</v>
      </c>
      <c r="AR4626" s="3" t="s">
        <v>64</v>
      </c>
      <c r="AS4626" s="3" t="s">
        <v>64</v>
      </c>
      <c r="AT4626" s="3" t="s">
        <v>128</v>
      </c>
      <c r="AU4626" s="6" t="str">
        <f t="shared" ref="AU4626:AU4631" si="152">HYPERLINK("http://catalog.hathitrust.org/Record/101899966","HathiTrust Record")</f>
        <v>HathiTrust Record</v>
      </c>
      <c r="AV4626" s="6" t="str">
        <f t="shared" ref="AV4626:AV4631" si="153">HYPERLINK("http://mcgill.on.worldcat.org/oclc/7177459","Catalog Record")</f>
        <v>Catalog Record</v>
      </c>
      <c r="AW4626" s="6" t="str">
        <f t="shared" ref="AW4626:AW4631" si="154">HYPERLINK("http://www.worldcat.org/oclc/7177459","WorldCat Record")</f>
        <v>WorldCat Record</v>
      </c>
      <c r="AX4626" s="3" t="s">
        <v>45024</v>
      </c>
      <c r="AY4626" s="3" t="s">
        <v>45025</v>
      </c>
      <c r="AZ4626" s="3" t="s">
        <v>45026</v>
      </c>
      <c r="BA4626" s="3" t="s">
        <v>45026</v>
      </c>
      <c r="BB4626" s="3" t="s">
        <v>45027</v>
      </c>
      <c r="BC4626" s="3" t="s">
        <v>77</v>
      </c>
      <c r="BD4626" s="3" t="s">
        <v>78</v>
      </c>
      <c r="BE4626" s="3" t="s">
        <v>45028</v>
      </c>
      <c r="BF4626" s="3" t="s">
        <v>45027</v>
      </c>
      <c r="BG4626" s="3" t="s">
        <v>45029</v>
      </c>
      <c r="BH4626">
        <f t="shared" si="148"/>
        <v>0</v>
      </c>
    </row>
    <row r="4627" spans="1:60" ht="58" x14ac:dyDescent="0.35">
      <c r="A4627" s="2" t="s">
        <v>59</v>
      </c>
      <c r="B4627" s="2" t="s">
        <v>60</v>
      </c>
      <c r="C4627" s="2" t="s">
        <v>45018</v>
      </c>
      <c r="D4627" s="2" t="s">
        <v>45019</v>
      </c>
      <c r="E4627" s="2" t="s">
        <v>45020</v>
      </c>
      <c r="F4627" s="3" t="s">
        <v>39952</v>
      </c>
      <c r="G4627" s="3" t="s">
        <v>128</v>
      </c>
      <c r="I4627" s="3" t="s">
        <v>64</v>
      </c>
      <c r="J4627" s="3" t="s">
        <v>64</v>
      </c>
      <c r="K4627" s="3" t="s">
        <v>65</v>
      </c>
      <c r="L4627" s="2" t="s">
        <v>45021</v>
      </c>
      <c r="M4627" s="2" t="s">
        <v>45022</v>
      </c>
      <c r="N4627" s="3" t="s">
        <v>898</v>
      </c>
      <c r="P4627" s="3" t="s">
        <v>102</v>
      </c>
      <c r="R4627" s="3" t="s">
        <v>70</v>
      </c>
      <c r="S4627" s="4">
        <v>0</v>
      </c>
      <c r="T4627" s="4">
        <v>7</v>
      </c>
      <c r="V4627" s="5" t="s">
        <v>10931</v>
      </c>
      <c r="W4627" s="5" t="s">
        <v>72</v>
      </c>
      <c r="X4627" s="5" t="s">
        <v>72</v>
      </c>
      <c r="Y4627" s="4">
        <v>61</v>
      </c>
      <c r="Z4627" s="4">
        <v>7</v>
      </c>
      <c r="AA4627" s="4">
        <v>8</v>
      </c>
      <c r="AB4627" s="4">
        <v>2</v>
      </c>
      <c r="AC4627" s="4">
        <v>3</v>
      </c>
      <c r="AD4627" s="4">
        <v>31</v>
      </c>
      <c r="AE4627" s="4">
        <v>32</v>
      </c>
      <c r="AF4627" s="4">
        <v>0</v>
      </c>
      <c r="AG4627" s="4">
        <v>1</v>
      </c>
      <c r="AH4627" s="4">
        <v>27</v>
      </c>
      <c r="AI4627" s="4">
        <v>27</v>
      </c>
      <c r="AJ4627" s="4">
        <v>4</v>
      </c>
      <c r="AK4627" s="4">
        <v>5</v>
      </c>
      <c r="AL4627" s="4">
        <v>20</v>
      </c>
      <c r="AM4627" s="4">
        <v>20</v>
      </c>
      <c r="AN4627" s="4">
        <v>0</v>
      </c>
      <c r="AO4627" s="4">
        <v>0</v>
      </c>
      <c r="AP4627" s="4">
        <v>4</v>
      </c>
      <c r="AQ4627" s="4">
        <v>4</v>
      </c>
      <c r="AR4627" s="3" t="s">
        <v>64</v>
      </c>
      <c r="AS4627" s="3" t="s">
        <v>64</v>
      </c>
      <c r="AT4627" s="3" t="s">
        <v>128</v>
      </c>
      <c r="AU4627" s="6" t="str">
        <f t="shared" si="152"/>
        <v>HathiTrust Record</v>
      </c>
      <c r="AV4627" s="6" t="str">
        <f t="shared" si="153"/>
        <v>Catalog Record</v>
      </c>
      <c r="AW4627" s="6" t="str">
        <f t="shared" si="154"/>
        <v>WorldCat Record</v>
      </c>
      <c r="AX4627" s="3" t="s">
        <v>45024</v>
      </c>
      <c r="AY4627" s="3" t="s">
        <v>45025</v>
      </c>
      <c r="AZ4627" s="3" t="s">
        <v>45026</v>
      </c>
      <c r="BA4627" s="3" t="s">
        <v>45026</v>
      </c>
      <c r="BB4627" s="3" t="s">
        <v>45030</v>
      </c>
      <c r="BC4627" s="3" t="s">
        <v>77</v>
      </c>
      <c r="BD4627" s="3" t="s">
        <v>78</v>
      </c>
      <c r="BE4627" s="3" t="s">
        <v>45028</v>
      </c>
      <c r="BF4627" s="3" t="s">
        <v>45030</v>
      </c>
      <c r="BG4627" s="3" t="s">
        <v>45031</v>
      </c>
      <c r="BH4627">
        <f t="shared" si="148"/>
        <v>0</v>
      </c>
    </row>
    <row r="4628" spans="1:60" ht="58" x14ac:dyDescent="0.35">
      <c r="A4628" s="2" t="s">
        <v>59</v>
      </c>
      <c r="B4628" s="2" t="s">
        <v>60</v>
      </c>
      <c r="C4628" s="2" t="s">
        <v>45018</v>
      </c>
      <c r="D4628" s="2" t="s">
        <v>45019</v>
      </c>
      <c r="E4628" s="2" t="s">
        <v>45020</v>
      </c>
      <c r="F4628" s="3" t="s">
        <v>2044</v>
      </c>
      <c r="G4628" s="3" t="s">
        <v>128</v>
      </c>
      <c r="I4628" s="3" t="s">
        <v>64</v>
      </c>
      <c r="J4628" s="3" t="s">
        <v>64</v>
      </c>
      <c r="K4628" s="3" t="s">
        <v>65</v>
      </c>
      <c r="L4628" s="2" t="s">
        <v>45021</v>
      </c>
      <c r="M4628" s="2" t="s">
        <v>45022</v>
      </c>
      <c r="N4628" s="3" t="s">
        <v>898</v>
      </c>
      <c r="P4628" s="3" t="s">
        <v>102</v>
      </c>
      <c r="R4628" s="3" t="s">
        <v>70</v>
      </c>
      <c r="S4628" s="4">
        <v>1</v>
      </c>
      <c r="T4628" s="4">
        <v>7</v>
      </c>
      <c r="U4628" s="5" t="s">
        <v>45023</v>
      </c>
      <c r="V4628" s="5" t="s">
        <v>10931</v>
      </c>
      <c r="W4628" s="5" t="s">
        <v>72</v>
      </c>
      <c r="X4628" s="5" t="s">
        <v>72</v>
      </c>
      <c r="Y4628" s="4">
        <v>61</v>
      </c>
      <c r="Z4628" s="4">
        <v>7</v>
      </c>
      <c r="AA4628" s="4">
        <v>8</v>
      </c>
      <c r="AB4628" s="4">
        <v>2</v>
      </c>
      <c r="AC4628" s="4">
        <v>3</v>
      </c>
      <c r="AD4628" s="4">
        <v>31</v>
      </c>
      <c r="AE4628" s="4">
        <v>32</v>
      </c>
      <c r="AF4628" s="4">
        <v>0</v>
      </c>
      <c r="AG4628" s="4">
        <v>1</v>
      </c>
      <c r="AH4628" s="4">
        <v>27</v>
      </c>
      <c r="AI4628" s="4">
        <v>27</v>
      </c>
      <c r="AJ4628" s="4">
        <v>4</v>
      </c>
      <c r="AK4628" s="4">
        <v>5</v>
      </c>
      <c r="AL4628" s="4">
        <v>20</v>
      </c>
      <c r="AM4628" s="4">
        <v>20</v>
      </c>
      <c r="AN4628" s="4">
        <v>0</v>
      </c>
      <c r="AO4628" s="4">
        <v>0</v>
      </c>
      <c r="AP4628" s="4">
        <v>4</v>
      </c>
      <c r="AQ4628" s="4">
        <v>4</v>
      </c>
      <c r="AR4628" s="3" t="s">
        <v>64</v>
      </c>
      <c r="AS4628" s="3" t="s">
        <v>64</v>
      </c>
      <c r="AT4628" s="3" t="s">
        <v>128</v>
      </c>
      <c r="AU4628" s="6" t="str">
        <f t="shared" si="152"/>
        <v>HathiTrust Record</v>
      </c>
      <c r="AV4628" s="6" t="str">
        <f t="shared" si="153"/>
        <v>Catalog Record</v>
      </c>
      <c r="AW4628" s="6" t="str">
        <f t="shared" si="154"/>
        <v>WorldCat Record</v>
      </c>
      <c r="AX4628" s="3" t="s">
        <v>45024</v>
      </c>
      <c r="AY4628" s="3" t="s">
        <v>45025</v>
      </c>
      <c r="AZ4628" s="3" t="s">
        <v>45026</v>
      </c>
      <c r="BA4628" s="3" t="s">
        <v>45026</v>
      </c>
      <c r="BB4628" s="3" t="s">
        <v>45032</v>
      </c>
      <c r="BC4628" s="3" t="s">
        <v>77</v>
      </c>
      <c r="BD4628" s="3" t="s">
        <v>78</v>
      </c>
      <c r="BE4628" s="3" t="s">
        <v>45028</v>
      </c>
      <c r="BF4628" s="3" t="s">
        <v>45032</v>
      </c>
      <c r="BG4628" s="3" t="s">
        <v>45033</v>
      </c>
      <c r="BH4628">
        <f t="shared" si="148"/>
        <v>0</v>
      </c>
    </row>
    <row r="4629" spans="1:60" ht="58" x14ac:dyDescent="0.35">
      <c r="A4629" s="2" t="s">
        <v>59</v>
      </c>
      <c r="B4629" s="2" t="s">
        <v>60</v>
      </c>
      <c r="C4629" s="2" t="s">
        <v>45018</v>
      </c>
      <c r="D4629" s="2" t="s">
        <v>45019</v>
      </c>
      <c r="E4629" s="2" t="s">
        <v>45020</v>
      </c>
      <c r="F4629" s="3" t="s">
        <v>489</v>
      </c>
      <c r="G4629" s="3" t="s">
        <v>128</v>
      </c>
      <c r="I4629" s="3" t="s">
        <v>64</v>
      </c>
      <c r="J4629" s="3" t="s">
        <v>64</v>
      </c>
      <c r="K4629" s="3" t="s">
        <v>65</v>
      </c>
      <c r="L4629" s="2" t="s">
        <v>45021</v>
      </c>
      <c r="M4629" s="2" t="s">
        <v>45022</v>
      </c>
      <c r="N4629" s="3" t="s">
        <v>898</v>
      </c>
      <c r="P4629" s="3" t="s">
        <v>102</v>
      </c>
      <c r="R4629" s="3" t="s">
        <v>70</v>
      </c>
      <c r="S4629" s="4">
        <v>4</v>
      </c>
      <c r="T4629" s="4">
        <v>7</v>
      </c>
      <c r="U4629" s="5" t="s">
        <v>10931</v>
      </c>
      <c r="V4629" s="5" t="s">
        <v>10931</v>
      </c>
      <c r="W4629" s="5" t="s">
        <v>72</v>
      </c>
      <c r="X4629" s="5" t="s">
        <v>72</v>
      </c>
      <c r="Y4629" s="4">
        <v>61</v>
      </c>
      <c r="Z4629" s="4">
        <v>7</v>
      </c>
      <c r="AA4629" s="4">
        <v>8</v>
      </c>
      <c r="AB4629" s="4">
        <v>2</v>
      </c>
      <c r="AC4629" s="4">
        <v>3</v>
      </c>
      <c r="AD4629" s="4">
        <v>31</v>
      </c>
      <c r="AE4629" s="4">
        <v>32</v>
      </c>
      <c r="AF4629" s="4">
        <v>0</v>
      </c>
      <c r="AG4629" s="4">
        <v>1</v>
      </c>
      <c r="AH4629" s="4">
        <v>27</v>
      </c>
      <c r="AI4629" s="4">
        <v>27</v>
      </c>
      <c r="AJ4629" s="4">
        <v>4</v>
      </c>
      <c r="AK4629" s="4">
        <v>5</v>
      </c>
      <c r="AL4629" s="4">
        <v>20</v>
      </c>
      <c r="AM4629" s="4">
        <v>20</v>
      </c>
      <c r="AN4629" s="4">
        <v>0</v>
      </c>
      <c r="AO4629" s="4">
        <v>0</v>
      </c>
      <c r="AP4629" s="4">
        <v>4</v>
      </c>
      <c r="AQ4629" s="4">
        <v>4</v>
      </c>
      <c r="AR4629" s="3" t="s">
        <v>64</v>
      </c>
      <c r="AS4629" s="3" t="s">
        <v>64</v>
      </c>
      <c r="AT4629" s="3" t="s">
        <v>128</v>
      </c>
      <c r="AU4629" s="6" t="str">
        <f t="shared" si="152"/>
        <v>HathiTrust Record</v>
      </c>
      <c r="AV4629" s="6" t="str">
        <f t="shared" si="153"/>
        <v>Catalog Record</v>
      </c>
      <c r="AW4629" s="6" t="str">
        <f t="shared" si="154"/>
        <v>WorldCat Record</v>
      </c>
      <c r="AX4629" s="3" t="s">
        <v>45024</v>
      </c>
      <c r="AY4629" s="3" t="s">
        <v>45025</v>
      </c>
      <c r="AZ4629" s="3" t="s">
        <v>45026</v>
      </c>
      <c r="BA4629" s="3" t="s">
        <v>45026</v>
      </c>
      <c r="BB4629" s="3" t="s">
        <v>45034</v>
      </c>
      <c r="BC4629" s="3" t="s">
        <v>77</v>
      </c>
      <c r="BD4629" s="3" t="s">
        <v>78</v>
      </c>
      <c r="BE4629" s="3" t="s">
        <v>45028</v>
      </c>
      <c r="BF4629" s="3" t="s">
        <v>45034</v>
      </c>
      <c r="BG4629" s="3" t="s">
        <v>45035</v>
      </c>
      <c r="BH4629">
        <f t="shared" si="148"/>
        <v>0</v>
      </c>
    </row>
    <row r="4630" spans="1:60" ht="58" x14ac:dyDescent="0.35">
      <c r="A4630" s="2" t="s">
        <v>59</v>
      </c>
      <c r="B4630" s="2" t="s">
        <v>60</v>
      </c>
      <c r="C4630" s="2" t="s">
        <v>45018</v>
      </c>
      <c r="D4630" s="2" t="s">
        <v>45019</v>
      </c>
      <c r="E4630" s="2" t="s">
        <v>45020</v>
      </c>
      <c r="F4630" s="3" t="s">
        <v>45036</v>
      </c>
      <c r="G4630" s="3" t="s">
        <v>128</v>
      </c>
      <c r="I4630" s="3" t="s">
        <v>64</v>
      </c>
      <c r="J4630" s="3" t="s">
        <v>64</v>
      </c>
      <c r="K4630" s="3" t="s">
        <v>65</v>
      </c>
      <c r="L4630" s="2" t="s">
        <v>45021</v>
      </c>
      <c r="M4630" s="2" t="s">
        <v>45022</v>
      </c>
      <c r="N4630" s="3" t="s">
        <v>898</v>
      </c>
      <c r="P4630" s="3" t="s">
        <v>102</v>
      </c>
      <c r="R4630" s="3" t="s">
        <v>70</v>
      </c>
      <c r="S4630" s="4">
        <v>0</v>
      </c>
      <c r="T4630" s="4">
        <v>7</v>
      </c>
      <c r="V4630" s="5" t="s">
        <v>10931</v>
      </c>
      <c r="W4630" s="5" t="s">
        <v>72</v>
      </c>
      <c r="X4630" s="5" t="s">
        <v>72</v>
      </c>
      <c r="Y4630" s="4">
        <v>61</v>
      </c>
      <c r="Z4630" s="4">
        <v>7</v>
      </c>
      <c r="AA4630" s="4">
        <v>8</v>
      </c>
      <c r="AB4630" s="4">
        <v>2</v>
      </c>
      <c r="AC4630" s="4">
        <v>3</v>
      </c>
      <c r="AD4630" s="4">
        <v>31</v>
      </c>
      <c r="AE4630" s="4">
        <v>32</v>
      </c>
      <c r="AF4630" s="4">
        <v>0</v>
      </c>
      <c r="AG4630" s="4">
        <v>1</v>
      </c>
      <c r="AH4630" s="4">
        <v>27</v>
      </c>
      <c r="AI4630" s="4">
        <v>27</v>
      </c>
      <c r="AJ4630" s="4">
        <v>4</v>
      </c>
      <c r="AK4630" s="4">
        <v>5</v>
      </c>
      <c r="AL4630" s="4">
        <v>20</v>
      </c>
      <c r="AM4630" s="4">
        <v>20</v>
      </c>
      <c r="AN4630" s="4">
        <v>0</v>
      </c>
      <c r="AO4630" s="4">
        <v>0</v>
      </c>
      <c r="AP4630" s="4">
        <v>4</v>
      </c>
      <c r="AQ4630" s="4">
        <v>4</v>
      </c>
      <c r="AR4630" s="3" t="s">
        <v>64</v>
      </c>
      <c r="AS4630" s="3" t="s">
        <v>64</v>
      </c>
      <c r="AT4630" s="3" t="s">
        <v>128</v>
      </c>
      <c r="AU4630" s="6" t="str">
        <f t="shared" si="152"/>
        <v>HathiTrust Record</v>
      </c>
      <c r="AV4630" s="6" t="str">
        <f t="shared" si="153"/>
        <v>Catalog Record</v>
      </c>
      <c r="AW4630" s="6" t="str">
        <f t="shared" si="154"/>
        <v>WorldCat Record</v>
      </c>
      <c r="AX4630" s="3" t="s">
        <v>45024</v>
      </c>
      <c r="AY4630" s="3" t="s">
        <v>45025</v>
      </c>
      <c r="AZ4630" s="3" t="s">
        <v>45026</v>
      </c>
      <c r="BA4630" s="3" t="s">
        <v>45026</v>
      </c>
      <c r="BB4630" s="3" t="s">
        <v>45037</v>
      </c>
      <c r="BC4630" s="3" t="s">
        <v>77</v>
      </c>
      <c r="BD4630" s="3" t="s">
        <v>78</v>
      </c>
      <c r="BE4630" s="3" t="s">
        <v>45028</v>
      </c>
      <c r="BF4630" s="3" t="s">
        <v>45037</v>
      </c>
      <c r="BG4630" s="3" t="s">
        <v>45038</v>
      </c>
      <c r="BH4630">
        <f t="shared" si="148"/>
        <v>0</v>
      </c>
    </row>
    <row r="4631" spans="1:60" ht="58" x14ac:dyDescent="0.35">
      <c r="A4631" s="2" t="s">
        <v>59</v>
      </c>
      <c r="B4631" s="2" t="s">
        <v>60</v>
      </c>
      <c r="C4631" s="2" t="s">
        <v>45018</v>
      </c>
      <c r="D4631" s="2" t="s">
        <v>45019</v>
      </c>
      <c r="E4631" s="2" t="s">
        <v>45020</v>
      </c>
      <c r="F4631" s="3" t="s">
        <v>478</v>
      </c>
      <c r="G4631" s="3" t="s">
        <v>128</v>
      </c>
      <c r="I4631" s="3" t="s">
        <v>64</v>
      </c>
      <c r="J4631" s="3" t="s">
        <v>64</v>
      </c>
      <c r="K4631" s="3" t="s">
        <v>65</v>
      </c>
      <c r="L4631" s="2" t="s">
        <v>45021</v>
      </c>
      <c r="M4631" s="2" t="s">
        <v>45022</v>
      </c>
      <c r="N4631" s="3" t="s">
        <v>898</v>
      </c>
      <c r="P4631" s="3" t="s">
        <v>102</v>
      </c>
      <c r="R4631" s="3" t="s">
        <v>70</v>
      </c>
      <c r="S4631" s="4">
        <v>1</v>
      </c>
      <c r="T4631" s="4">
        <v>7</v>
      </c>
      <c r="U4631" s="5" t="s">
        <v>45023</v>
      </c>
      <c r="V4631" s="5" t="s">
        <v>10931</v>
      </c>
      <c r="W4631" s="5" t="s">
        <v>72</v>
      </c>
      <c r="X4631" s="5" t="s">
        <v>72</v>
      </c>
      <c r="Y4631" s="4">
        <v>61</v>
      </c>
      <c r="Z4631" s="4">
        <v>7</v>
      </c>
      <c r="AA4631" s="4">
        <v>8</v>
      </c>
      <c r="AB4631" s="4">
        <v>2</v>
      </c>
      <c r="AC4631" s="4">
        <v>3</v>
      </c>
      <c r="AD4631" s="4">
        <v>31</v>
      </c>
      <c r="AE4631" s="4">
        <v>32</v>
      </c>
      <c r="AF4631" s="4">
        <v>0</v>
      </c>
      <c r="AG4631" s="4">
        <v>1</v>
      </c>
      <c r="AH4631" s="4">
        <v>27</v>
      </c>
      <c r="AI4631" s="4">
        <v>27</v>
      </c>
      <c r="AJ4631" s="4">
        <v>4</v>
      </c>
      <c r="AK4631" s="4">
        <v>5</v>
      </c>
      <c r="AL4631" s="4">
        <v>20</v>
      </c>
      <c r="AM4631" s="4">
        <v>20</v>
      </c>
      <c r="AN4631" s="4">
        <v>0</v>
      </c>
      <c r="AO4631" s="4">
        <v>0</v>
      </c>
      <c r="AP4631" s="4">
        <v>4</v>
      </c>
      <c r="AQ4631" s="4">
        <v>4</v>
      </c>
      <c r="AR4631" s="3" t="s">
        <v>64</v>
      </c>
      <c r="AS4631" s="3" t="s">
        <v>64</v>
      </c>
      <c r="AT4631" s="3" t="s">
        <v>128</v>
      </c>
      <c r="AU4631" s="6" t="str">
        <f t="shared" si="152"/>
        <v>HathiTrust Record</v>
      </c>
      <c r="AV4631" s="6" t="str">
        <f t="shared" si="153"/>
        <v>Catalog Record</v>
      </c>
      <c r="AW4631" s="6" t="str">
        <f t="shared" si="154"/>
        <v>WorldCat Record</v>
      </c>
      <c r="AX4631" s="3" t="s">
        <v>45024</v>
      </c>
      <c r="AY4631" s="3" t="s">
        <v>45025</v>
      </c>
      <c r="AZ4631" s="3" t="s">
        <v>45026</v>
      </c>
      <c r="BA4631" s="3" t="s">
        <v>45026</v>
      </c>
      <c r="BB4631" s="3" t="s">
        <v>45039</v>
      </c>
      <c r="BC4631" s="3" t="s">
        <v>77</v>
      </c>
      <c r="BD4631" s="3" t="s">
        <v>78</v>
      </c>
      <c r="BE4631" s="3" t="s">
        <v>45028</v>
      </c>
      <c r="BF4631" s="3" t="s">
        <v>45039</v>
      </c>
      <c r="BG4631" s="3" t="s">
        <v>45040</v>
      </c>
      <c r="BH4631">
        <f t="shared" si="148"/>
        <v>0</v>
      </c>
    </row>
    <row r="4632" spans="1:60" ht="58" x14ac:dyDescent="0.35">
      <c r="A4632" s="2" t="s">
        <v>59</v>
      </c>
      <c r="B4632" s="2" t="s">
        <v>60</v>
      </c>
      <c r="C4632" s="2" t="s">
        <v>45041</v>
      </c>
      <c r="D4632" s="2" t="s">
        <v>45042</v>
      </c>
      <c r="E4632" s="2" t="s">
        <v>45043</v>
      </c>
      <c r="G4632" s="3" t="s">
        <v>64</v>
      </c>
      <c r="I4632" s="3" t="s">
        <v>64</v>
      </c>
      <c r="J4632" s="3" t="s">
        <v>64</v>
      </c>
      <c r="K4632" s="3" t="s">
        <v>65</v>
      </c>
      <c r="M4632" s="2" t="s">
        <v>45044</v>
      </c>
      <c r="N4632" s="3" t="s">
        <v>1031</v>
      </c>
      <c r="P4632" s="3" t="s">
        <v>102</v>
      </c>
      <c r="R4632" s="3" t="s">
        <v>70</v>
      </c>
      <c r="S4632" s="4">
        <v>2</v>
      </c>
      <c r="T4632" s="4">
        <v>2</v>
      </c>
      <c r="U4632" s="5" t="s">
        <v>23954</v>
      </c>
      <c r="V4632" s="5" t="s">
        <v>23954</v>
      </c>
      <c r="W4632" s="5" t="s">
        <v>72</v>
      </c>
      <c r="X4632" s="5" t="s">
        <v>72</v>
      </c>
      <c r="Y4632" s="4">
        <v>42</v>
      </c>
      <c r="Z4632" s="4">
        <v>1</v>
      </c>
      <c r="AA4632" s="4">
        <v>1</v>
      </c>
      <c r="AB4632" s="4">
        <v>1</v>
      </c>
      <c r="AC4632" s="4">
        <v>1</v>
      </c>
      <c r="AD4632" s="4">
        <v>7</v>
      </c>
      <c r="AE4632" s="4">
        <v>7</v>
      </c>
      <c r="AF4632" s="4">
        <v>0</v>
      </c>
      <c r="AG4632" s="4">
        <v>0</v>
      </c>
      <c r="AH4632" s="4">
        <v>7</v>
      </c>
      <c r="AI4632" s="4">
        <v>7</v>
      </c>
      <c r="AJ4632" s="4">
        <v>0</v>
      </c>
      <c r="AK4632" s="4">
        <v>0</v>
      </c>
      <c r="AL4632" s="4">
        <v>4</v>
      </c>
      <c r="AM4632" s="4">
        <v>4</v>
      </c>
      <c r="AN4632" s="4">
        <v>0</v>
      </c>
      <c r="AO4632" s="4">
        <v>0</v>
      </c>
      <c r="AP4632" s="4">
        <v>0</v>
      </c>
      <c r="AQ4632" s="4">
        <v>0</v>
      </c>
      <c r="AR4632" s="3" t="s">
        <v>64</v>
      </c>
      <c r="AS4632" s="3" t="s">
        <v>64</v>
      </c>
      <c r="AT4632" s="3" t="s">
        <v>64</v>
      </c>
      <c r="AV4632" s="6" t="str">
        <f>HYPERLINK("http://mcgill.on.worldcat.org/oclc/27678279","Catalog Record")</f>
        <v>Catalog Record</v>
      </c>
      <c r="AW4632" s="6" t="str">
        <f>HYPERLINK("http://www.worldcat.org/oclc/27678279","WorldCat Record")</f>
        <v>WorldCat Record</v>
      </c>
      <c r="AX4632" s="3" t="s">
        <v>45045</v>
      </c>
      <c r="AY4632" s="3" t="s">
        <v>45046</v>
      </c>
      <c r="AZ4632" s="3" t="s">
        <v>45047</v>
      </c>
      <c r="BA4632" s="3" t="s">
        <v>45047</v>
      </c>
      <c r="BB4632" s="3" t="s">
        <v>45048</v>
      </c>
      <c r="BC4632" s="3" t="s">
        <v>77</v>
      </c>
      <c r="BD4632" s="3" t="s">
        <v>78</v>
      </c>
      <c r="BF4632" s="3" t="s">
        <v>45048</v>
      </c>
      <c r="BG4632" s="3" t="s">
        <v>45049</v>
      </c>
      <c r="BH4632">
        <f t="shared" si="148"/>
        <v>0</v>
      </c>
    </row>
    <row r="4633" spans="1:60" ht="58" x14ac:dyDescent="0.35">
      <c r="A4633" s="2" t="s">
        <v>6202</v>
      </c>
      <c r="B4633" s="2" t="s">
        <v>6203</v>
      </c>
      <c r="C4633" s="2" t="s">
        <v>45050</v>
      </c>
      <c r="D4633" s="2" t="s">
        <v>45051</v>
      </c>
      <c r="E4633" s="2" t="s">
        <v>45052</v>
      </c>
      <c r="G4633" s="3" t="s">
        <v>64</v>
      </c>
      <c r="I4633" s="3" t="s">
        <v>64</v>
      </c>
      <c r="J4633" s="3" t="s">
        <v>64</v>
      </c>
      <c r="K4633" s="3" t="s">
        <v>65</v>
      </c>
      <c r="L4633" s="2" t="s">
        <v>45053</v>
      </c>
      <c r="M4633" s="2" t="s">
        <v>45054</v>
      </c>
      <c r="N4633" s="3" t="s">
        <v>144</v>
      </c>
      <c r="P4633" s="3" t="s">
        <v>102</v>
      </c>
      <c r="R4633" s="3" t="s">
        <v>70</v>
      </c>
      <c r="S4633" s="4">
        <v>3</v>
      </c>
      <c r="T4633" s="4">
        <v>3</v>
      </c>
      <c r="U4633" s="5" t="s">
        <v>28895</v>
      </c>
      <c r="V4633" s="5" t="s">
        <v>28895</v>
      </c>
      <c r="W4633" s="5" t="s">
        <v>72</v>
      </c>
      <c r="X4633" s="5" t="s">
        <v>72</v>
      </c>
      <c r="Y4633" s="4">
        <v>50</v>
      </c>
      <c r="Z4633" s="4">
        <v>2</v>
      </c>
      <c r="AA4633" s="4">
        <v>2</v>
      </c>
      <c r="AB4633" s="4">
        <v>1</v>
      </c>
      <c r="AC4633" s="4">
        <v>1</v>
      </c>
      <c r="AD4633" s="4">
        <v>21</v>
      </c>
      <c r="AE4633" s="4">
        <v>21</v>
      </c>
      <c r="AF4633" s="4">
        <v>0</v>
      </c>
      <c r="AG4633" s="4">
        <v>0</v>
      </c>
      <c r="AH4633" s="4">
        <v>20</v>
      </c>
      <c r="AI4633" s="4">
        <v>20</v>
      </c>
      <c r="AJ4633" s="4">
        <v>1</v>
      </c>
      <c r="AK4633" s="4">
        <v>1</v>
      </c>
      <c r="AL4633" s="4">
        <v>13</v>
      </c>
      <c r="AM4633" s="4">
        <v>13</v>
      </c>
      <c r="AN4633" s="4">
        <v>0</v>
      </c>
      <c r="AO4633" s="4">
        <v>0</v>
      </c>
      <c r="AP4633" s="4">
        <v>1</v>
      </c>
      <c r="AQ4633" s="4">
        <v>1</v>
      </c>
      <c r="AR4633" s="3" t="s">
        <v>64</v>
      </c>
      <c r="AS4633" s="3" t="s">
        <v>64</v>
      </c>
      <c r="AT4633" s="3" t="s">
        <v>64</v>
      </c>
      <c r="AV4633" s="6" t="str">
        <f>HYPERLINK("http://mcgill.on.worldcat.org/oclc/227272528","Catalog Record")</f>
        <v>Catalog Record</v>
      </c>
      <c r="AW4633" s="6" t="str">
        <f>HYPERLINK("http://www.worldcat.org/oclc/227272528","WorldCat Record")</f>
        <v>WorldCat Record</v>
      </c>
      <c r="AX4633" s="3" t="s">
        <v>45055</v>
      </c>
      <c r="AY4633" s="3" t="s">
        <v>45056</v>
      </c>
      <c r="AZ4633" s="3" t="s">
        <v>45057</v>
      </c>
      <c r="BA4633" s="3" t="s">
        <v>45057</v>
      </c>
      <c r="BB4633" s="3" t="s">
        <v>45058</v>
      </c>
      <c r="BC4633" s="3" t="s">
        <v>77</v>
      </c>
      <c r="BD4633" s="3" t="s">
        <v>78</v>
      </c>
      <c r="BE4633" s="3" t="s">
        <v>45059</v>
      </c>
      <c r="BF4633" s="3" t="s">
        <v>45058</v>
      </c>
      <c r="BG4633" s="3" t="s">
        <v>45060</v>
      </c>
      <c r="BH4633">
        <f t="shared" si="148"/>
        <v>0</v>
      </c>
    </row>
    <row r="4634" spans="1:60" ht="58" x14ac:dyDescent="0.35">
      <c r="A4634" s="2" t="s">
        <v>59</v>
      </c>
      <c r="B4634" s="2" t="s">
        <v>60</v>
      </c>
      <c r="C4634" s="2" t="s">
        <v>45061</v>
      </c>
      <c r="D4634" s="2" t="s">
        <v>45062</v>
      </c>
      <c r="E4634" s="2" t="s">
        <v>45063</v>
      </c>
      <c r="G4634" s="3" t="s">
        <v>64</v>
      </c>
      <c r="I4634" s="3" t="s">
        <v>64</v>
      </c>
      <c r="J4634" s="3" t="s">
        <v>64</v>
      </c>
      <c r="K4634" s="3" t="s">
        <v>65</v>
      </c>
      <c r="L4634" s="2" t="s">
        <v>34788</v>
      </c>
      <c r="M4634" s="2" t="s">
        <v>45064</v>
      </c>
      <c r="N4634" s="3" t="s">
        <v>6324</v>
      </c>
      <c r="P4634" s="3" t="s">
        <v>102</v>
      </c>
      <c r="R4634" s="3" t="s">
        <v>70</v>
      </c>
      <c r="S4634" s="4">
        <v>1</v>
      </c>
      <c r="T4634" s="4">
        <v>1</v>
      </c>
      <c r="U4634" s="5" t="s">
        <v>9891</v>
      </c>
      <c r="V4634" s="5" t="s">
        <v>9891</v>
      </c>
      <c r="W4634" s="5" t="s">
        <v>72</v>
      </c>
      <c r="X4634" s="5" t="s">
        <v>72</v>
      </c>
      <c r="Y4634" s="4">
        <v>38</v>
      </c>
      <c r="Z4634" s="4">
        <v>1</v>
      </c>
      <c r="AA4634" s="4">
        <v>3</v>
      </c>
      <c r="AB4634" s="4">
        <v>1</v>
      </c>
      <c r="AC4634" s="4">
        <v>1</v>
      </c>
      <c r="AD4634" s="4">
        <v>18</v>
      </c>
      <c r="AE4634" s="4">
        <v>19</v>
      </c>
      <c r="AF4634" s="4">
        <v>0</v>
      </c>
      <c r="AG4634" s="4">
        <v>0</v>
      </c>
      <c r="AH4634" s="4">
        <v>18</v>
      </c>
      <c r="AI4634" s="4">
        <v>19</v>
      </c>
      <c r="AJ4634" s="4">
        <v>0</v>
      </c>
      <c r="AK4634" s="4">
        <v>1</v>
      </c>
      <c r="AL4634" s="4">
        <v>15</v>
      </c>
      <c r="AM4634" s="4">
        <v>16</v>
      </c>
      <c r="AN4634" s="4">
        <v>0</v>
      </c>
      <c r="AO4634" s="4">
        <v>0</v>
      </c>
      <c r="AP4634" s="4">
        <v>0</v>
      </c>
      <c r="AQ4634" s="4">
        <v>1</v>
      </c>
      <c r="AR4634" s="3" t="s">
        <v>64</v>
      </c>
      <c r="AS4634" s="3" t="s">
        <v>64</v>
      </c>
      <c r="AT4634" s="3" t="s">
        <v>128</v>
      </c>
      <c r="AU4634" s="6" t="str">
        <f>HYPERLINK("http://catalog.hathitrust.org/Record/001173375","HathiTrust Record")</f>
        <v>HathiTrust Record</v>
      </c>
      <c r="AV4634" s="6" t="str">
        <f>HYPERLINK("http://mcgill.on.worldcat.org/oclc/5039347","Catalog Record")</f>
        <v>Catalog Record</v>
      </c>
      <c r="AW4634" s="6" t="str">
        <f>HYPERLINK("http://www.worldcat.org/oclc/5039347","WorldCat Record")</f>
        <v>WorldCat Record</v>
      </c>
      <c r="AX4634" s="3" t="s">
        <v>45065</v>
      </c>
      <c r="AY4634" s="3" t="s">
        <v>45066</v>
      </c>
      <c r="AZ4634" s="3" t="s">
        <v>45067</v>
      </c>
      <c r="BA4634" s="3" t="s">
        <v>45067</v>
      </c>
      <c r="BB4634" s="3" t="s">
        <v>45068</v>
      </c>
      <c r="BC4634" s="3" t="s">
        <v>77</v>
      </c>
      <c r="BD4634" s="3" t="s">
        <v>78</v>
      </c>
      <c r="BF4634" s="3" t="s">
        <v>45068</v>
      </c>
      <c r="BG4634" s="3" t="s">
        <v>45069</v>
      </c>
      <c r="BH4634">
        <f t="shared" si="148"/>
        <v>0</v>
      </c>
    </row>
    <row r="4635" spans="1:60" ht="58" x14ac:dyDescent="0.35">
      <c r="A4635" s="2" t="s">
        <v>59</v>
      </c>
      <c r="B4635" s="2" t="s">
        <v>60</v>
      </c>
      <c r="C4635" s="2" t="s">
        <v>45070</v>
      </c>
      <c r="D4635" s="2" t="s">
        <v>45071</v>
      </c>
      <c r="E4635" s="2" t="s">
        <v>45072</v>
      </c>
      <c r="F4635" s="3" t="s">
        <v>489</v>
      </c>
      <c r="G4635" s="3" t="s">
        <v>128</v>
      </c>
      <c r="I4635" s="3" t="s">
        <v>64</v>
      </c>
      <c r="J4635" s="3" t="s">
        <v>64</v>
      </c>
      <c r="K4635" s="3" t="s">
        <v>65</v>
      </c>
      <c r="L4635" s="2" t="s">
        <v>45073</v>
      </c>
      <c r="M4635" s="2" t="s">
        <v>45074</v>
      </c>
      <c r="N4635" s="3" t="s">
        <v>3584</v>
      </c>
      <c r="P4635" s="3" t="s">
        <v>102</v>
      </c>
      <c r="R4635" s="3" t="s">
        <v>70</v>
      </c>
      <c r="S4635" s="4">
        <v>4</v>
      </c>
      <c r="T4635" s="4">
        <v>7</v>
      </c>
      <c r="U4635" s="5" t="s">
        <v>45075</v>
      </c>
      <c r="V4635" s="5" t="s">
        <v>45076</v>
      </c>
      <c r="W4635" s="5" t="s">
        <v>72</v>
      </c>
      <c r="X4635" s="5" t="s">
        <v>72</v>
      </c>
      <c r="Y4635" s="4">
        <v>181</v>
      </c>
      <c r="Z4635" s="4">
        <v>24</v>
      </c>
      <c r="AA4635" s="4">
        <v>24</v>
      </c>
      <c r="AB4635" s="4">
        <v>2</v>
      </c>
      <c r="AC4635" s="4">
        <v>2</v>
      </c>
      <c r="AD4635" s="4">
        <v>67</v>
      </c>
      <c r="AE4635" s="4">
        <v>67</v>
      </c>
      <c r="AF4635" s="4">
        <v>1</v>
      </c>
      <c r="AG4635" s="4">
        <v>1</v>
      </c>
      <c r="AH4635" s="4">
        <v>57</v>
      </c>
      <c r="AI4635" s="4">
        <v>57</v>
      </c>
      <c r="AJ4635" s="4">
        <v>13</v>
      </c>
      <c r="AK4635" s="4">
        <v>13</v>
      </c>
      <c r="AL4635" s="4">
        <v>36</v>
      </c>
      <c r="AM4635" s="4">
        <v>36</v>
      </c>
      <c r="AN4635" s="4">
        <v>0</v>
      </c>
      <c r="AO4635" s="4">
        <v>0</v>
      </c>
      <c r="AP4635" s="4">
        <v>15</v>
      </c>
      <c r="AQ4635" s="4">
        <v>15</v>
      </c>
      <c r="AR4635" s="3" t="s">
        <v>64</v>
      </c>
      <c r="AS4635" s="3" t="s">
        <v>64</v>
      </c>
      <c r="AT4635" s="3" t="s">
        <v>128</v>
      </c>
      <c r="AU4635" s="6" t="str">
        <f>HYPERLINK("http://catalog.hathitrust.org/Record/000192097","HathiTrust Record")</f>
        <v>HathiTrust Record</v>
      </c>
      <c r="AV4635" s="6" t="str">
        <f>HYPERLINK("http://mcgill.on.worldcat.org/oclc/3914845","Catalog Record")</f>
        <v>Catalog Record</v>
      </c>
      <c r="AW4635" s="6" t="str">
        <f>HYPERLINK("http://www.worldcat.org/oclc/3914845","WorldCat Record")</f>
        <v>WorldCat Record</v>
      </c>
      <c r="AX4635" s="3" t="s">
        <v>45077</v>
      </c>
      <c r="AY4635" s="3" t="s">
        <v>45078</v>
      </c>
      <c r="AZ4635" s="3" t="s">
        <v>45079</v>
      </c>
      <c r="BA4635" s="3" t="s">
        <v>45079</v>
      </c>
      <c r="BB4635" s="3" t="s">
        <v>45080</v>
      </c>
      <c r="BC4635" s="3" t="s">
        <v>77</v>
      </c>
      <c r="BD4635" s="3" t="s">
        <v>165</v>
      </c>
      <c r="BE4635" s="3" t="s">
        <v>45081</v>
      </c>
      <c r="BF4635" s="3" t="s">
        <v>45080</v>
      </c>
      <c r="BG4635" s="3" t="s">
        <v>45082</v>
      </c>
      <c r="BH4635">
        <f t="shared" si="148"/>
        <v>0</v>
      </c>
    </row>
    <row r="4636" spans="1:60" ht="58" x14ac:dyDescent="0.35">
      <c r="A4636" s="2" t="s">
        <v>59</v>
      </c>
      <c r="B4636" s="2" t="s">
        <v>60</v>
      </c>
      <c r="C4636" s="2" t="s">
        <v>45070</v>
      </c>
      <c r="D4636" s="2" t="s">
        <v>45071</v>
      </c>
      <c r="E4636" s="2" t="s">
        <v>45072</v>
      </c>
      <c r="F4636" s="3" t="s">
        <v>478</v>
      </c>
      <c r="G4636" s="3" t="s">
        <v>128</v>
      </c>
      <c r="I4636" s="3" t="s">
        <v>64</v>
      </c>
      <c r="J4636" s="3" t="s">
        <v>64</v>
      </c>
      <c r="K4636" s="3" t="s">
        <v>65</v>
      </c>
      <c r="L4636" s="2" t="s">
        <v>45073</v>
      </c>
      <c r="M4636" s="2" t="s">
        <v>45074</v>
      </c>
      <c r="N4636" s="3" t="s">
        <v>3584</v>
      </c>
      <c r="P4636" s="3" t="s">
        <v>102</v>
      </c>
      <c r="R4636" s="3" t="s">
        <v>70</v>
      </c>
      <c r="S4636" s="4">
        <v>3</v>
      </c>
      <c r="T4636" s="4">
        <v>7</v>
      </c>
      <c r="U4636" s="5" t="s">
        <v>45076</v>
      </c>
      <c r="V4636" s="5" t="s">
        <v>45076</v>
      </c>
      <c r="W4636" s="5" t="s">
        <v>72</v>
      </c>
      <c r="X4636" s="5" t="s">
        <v>72</v>
      </c>
      <c r="Y4636" s="4">
        <v>181</v>
      </c>
      <c r="Z4636" s="4">
        <v>24</v>
      </c>
      <c r="AA4636" s="4">
        <v>24</v>
      </c>
      <c r="AB4636" s="4">
        <v>2</v>
      </c>
      <c r="AC4636" s="4">
        <v>2</v>
      </c>
      <c r="AD4636" s="4">
        <v>67</v>
      </c>
      <c r="AE4636" s="4">
        <v>67</v>
      </c>
      <c r="AF4636" s="4">
        <v>1</v>
      </c>
      <c r="AG4636" s="4">
        <v>1</v>
      </c>
      <c r="AH4636" s="4">
        <v>57</v>
      </c>
      <c r="AI4636" s="4">
        <v>57</v>
      </c>
      <c r="AJ4636" s="4">
        <v>13</v>
      </c>
      <c r="AK4636" s="4">
        <v>13</v>
      </c>
      <c r="AL4636" s="4">
        <v>36</v>
      </c>
      <c r="AM4636" s="4">
        <v>36</v>
      </c>
      <c r="AN4636" s="4">
        <v>0</v>
      </c>
      <c r="AO4636" s="4">
        <v>0</v>
      </c>
      <c r="AP4636" s="4">
        <v>15</v>
      </c>
      <c r="AQ4636" s="4">
        <v>15</v>
      </c>
      <c r="AR4636" s="3" t="s">
        <v>64</v>
      </c>
      <c r="AS4636" s="3" t="s">
        <v>64</v>
      </c>
      <c r="AT4636" s="3" t="s">
        <v>128</v>
      </c>
      <c r="AU4636" s="6" t="str">
        <f>HYPERLINK("http://catalog.hathitrust.org/Record/000192097","HathiTrust Record")</f>
        <v>HathiTrust Record</v>
      </c>
      <c r="AV4636" s="6" t="str">
        <f>HYPERLINK("http://mcgill.on.worldcat.org/oclc/3914845","Catalog Record")</f>
        <v>Catalog Record</v>
      </c>
      <c r="AW4636" s="6" t="str">
        <f>HYPERLINK("http://www.worldcat.org/oclc/3914845","WorldCat Record")</f>
        <v>WorldCat Record</v>
      </c>
      <c r="AX4636" s="3" t="s">
        <v>45077</v>
      </c>
      <c r="AY4636" s="3" t="s">
        <v>45078</v>
      </c>
      <c r="AZ4636" s="3" t="s">
        <v>45079</v>
      </c>
      <c r="BA4636" s="3" t="s">
        <v>45079</v>
      </c>
      <c r="BB4636" s="3" t="s">
        <v>45083</v>
      </c>
      <c r="BC4636" s="3" t="s">
        <v>77</v>
      </c>
      <c r="BD4636" s="3" t="s">
        <v>78</v>
      </c>
      <c r="BE4636" s="3" t="s">
        <v>45081</v>
      </c>
      <c r="BF4636" s="3" t="s">
        <v>45083</v>
      </c>
      <c r="BG4636" s="3" t="s">
        <v>45084</v>
      </c>
      <c r="BH4636">
        <f t="shared" si="148"/>
        <v>0</v>
      </c>
    </row>
    <row r="4637" spans="1:60" ht="58" x14ac:dyDescent="0.35">
      <c r="A4637" s="2" t="s">
        <v>59</v>
      </c>
      <c r="B4637" s="2" t="s">
        <v>60</v>
      </c>
      <c r="C4637" s="2" t="s">
        <v>45085</v>
      </c>
      <c r="D4637" s="2" t="s">
        <v>45086</v>
      </c>
      <c r="E4637" s="2" t="s">
        <v>45087</v>
      </c>
      <c r="G4637" s="3" t="s">
        <v>64</v>
      </c>
      <c r="I4637" s="3" t="s">
        <v>128</v>
      </c>
      <c r="J4637" s="3" t="s">
        <v>64</v>
      </c>
      <c r="K4637" s="3" t="s">
        <v>65</v>
      </c>
      <c r="L4637" s="2" t="s">
        <v>45088</v>
      </c>
      <c r="M4637" s="2" t="s">
        <v>45089</v>
      </c>
      <c r="N4637" s="3" t="s">
        <v>28040</v>
      </c>
      <c r="P4637" s="3" t="s">
        <v>102</v>
      </c>
      <c r="R4637" s="3" t="s">
        <v>70</v>
      </c>
      <c r="S4637" s="4">
        <v>0</v>
      </c>
      <c r="T4637" s="4">
        <v>1</v>
      </c>
      <c r="V4637" s="5" t="s">
        <v>45090</v>
      </c>
      <c r="W4637" s="5" t="s">
        <v>72</v>
      </c>
      <c r="X4637" s="5" t="s">
        <v>72</v>
      </c>
      <c r="Y4637" s="4">
        <v>49</v>
      </c>
      <c r="Z4637" s="4">
        <v>3</v>
      </c>
      <c r="AA4637" s="4">
        <v>17</v>
      </c>
      <c r="AB4637" s="4">
        <v>1</v>
      </c>
      <c r="AC4637" s="4">
        <v>1</v>
      </c>
      <c r="AD4637" s="4">
        <v>20</v>
      </c>
      <c r="AE4637" s="4">
        <v>27</v>
      </c>
      <c r="AF4637" s="4">
        <v>0</v>
      </c>
      <c r="AG4637" s="4">
        <v>0</v>
      </c>
      <c r="AH4637" s="4">
        <v>19</v>
      </c>
      <c r="AI4637" s="4">
        <v>21</v>
      </c>
      <c r="AJ4637" s="4">
        <v>1</v>
      </c>
      <c r="AK4637" s="4">
        <v>4</v>
      </c>
      <c r="AL4637" s="4">
        <v>17</v>
      </c>
      <c r="AM4637" s="4">
        <v>17</v>
      </c>
      <c r="AN4637" s="4">
        <v>0</v>
      </c>
      <c r="AO4637" s="4">
        <v>0</v>
      </c>
      <c r="AP4637" s="4">
        <v>1</v>
      </c>
      <c r="AQ4637" s="4">
        <v>8</v>
      </c>
      <c r="AR4637" s="3" t="s">
        <v>64</v>
      </c>
      <c r="AS4637" s="3" t="s">
        <v>64</v>
      </c>
      <c r="AT4637" s="3" t="s">
        <v>64</v>
      </c>
      <c r="AU4637" s="6" t="str">
        <f>HYPERLINK("http://catalog.hathitrust.org/Record/006177558","HathiTrust Record")</f>
        <v>HathiTrust Record</v>
      </c>
      <c r="AV4637" s="6" t="str">
        <f>HYPERLINK("http://mcgill.on.worldcat.org/oclc/4980064","Catalog Record")</f>
        <v>Catalog Record</v>
      </c>
      <c r="AW4637" s="6" t="str">
        <f>HYPERLINK("http://www.worldcat.org/oclc/4980064","WorldCat Record")</f>
        <v>WorldCat Record</v>
      </c>
      <c r="AX4637" s="3" t="s">
        <v>45091</v>
      </c>
      <c r="AY4637" s="3" t="s">
        <v>45092</v>
      </c>
      <c r="AZ4637" s="3" t="s">
        <v>45093</v>
      </c>
      <c r="BA4637" s="3" t="s">
        <v>45093</v>
      </c>
      <c r="BB4637" s="3" t="s">
        <v>45094</v>
      </c>
      <c r="BC4637" s="3" t="s">
        <v>77</v>
      </c>
      <c r="BD4637" s="3" t="s">
        <v>78</v>
      </c>
      <c r="BF4637" s="3" t="s">
        <v>45094</v>
      </c>
      <c r="BG4637" s="3" t="s">
        <v>45095</v>
      </c>
      <c r="BH4637">
        <f t="shared" si="148"/>
        <v>0</v>
      </c>
    </row>
    <row r="4638" spans="1:60" ht="58" x14ac:dyDescent="0.35">
      <c r="A4638" s="2" t="s">
        <v>59</v>
      </c>
      <c r="B4638" s="2" t="s">
        <v>60</v>
      </c>
      <c r="C4638" s="2" t="s">
        <v>45096</v>
      </c>
      <c r="D4638" s="2" t="s">
        <v>45097</v>
      </c>
      <c r="E4638" s="2" t="s">
        <v>45098</v>
      </c>
      <c r="F4638" s="3" t="s">
        <v>478</v>
      </c>
      <c r="G4638" s="3" t="s">
        <v>128</v>
      </c>
      <c r="I4638" s="3" t="s">
        <v>64</v>
      </c>
      <c r="J4638" s="3" t="s">
        <v>64</v>
      </c>
      <c r="K4638" s="3" t="s">
        <v>65</v>
      </c>
      <c r="L4638" s="2" t="s">
        <v>45099</v>
      </c>
      <c r="M4638" s="2" t="s">
        <v>45100</v>
      </c>
      <c r="N4638" s="3" t="s">
        <v>898</v>
      </c>
      <c r="P4638" s="3" t="s">
        <v>40768</v>
      </c>
      <c r="R4638" s="3" t="s">
        <v>70</v>
      </c>
      <c r="S4638" s="4">
        <v>1</v>
      </c>
      <c r="T4638" s="4">
        <v>3</v>
      </c>
      <c r="U4638" s="5" t="s">
        <v>445</v>
      </c>
      <c r="V4638" s="5" t="s">
        <v>445</v>
      </c>
      <c r="W4638" s="5" t="s">
        <v>72</v>
      </c>
      <c r="X4638" s="5" t="s">
        <v>72</v>
      </c>
      <c r="Y4638" s="4">
        <v>70</v>
      </c>
      <c r="Z4638" s="4">
        <v>4</v>
      </c>
      <c r="AA4638" s="4">
        <v>5</v>
      </c>
      <c r="AB4638" s="4">
        <v>1</v>
      </c>
      <c r="AC4638" s="4">
        <v>2</v>
      </c>
      <c r="AD4638" s="4">
        <v>37</v>
      </c>
      <c r="AE4638" s="4">
        <v>38</v>
      </c>
      <c r="AF4638" s="4">
        <v>0</v>
      </c>
      <c r="AG4638" s="4">
        <v>1</v>
      </c>
      <c r="AH4638" s="4">
        <v>34</v>
      </c>
      <c r="AI4638" s="4">
        <v>34</v>
      </c>
      <c r="AJ4638" s="4">
        <v>2</v>
      </c>
      <c r="AK4638" s="4">
        <v>3</v>
      </c>
      <c r="AL4638" s="4">
        <v>28</v>
      </c>
      <c r="AM4638" s="4">
        <v>28</v>
      </c>
      <c r="AN4638" s="4">
        <v>0</v>
      </c>
      <c r="AO4638" s="4">
        <v>0</v>
      </c>
      <c r="AP4638" s="4">
        <v>2</v>
      </c>
      <c r="AQ4638" s="4">
        <v>2</v>
      </c>
      <c r="AR4638" s="3" t="s">
        <v>64</v>
      </c>
      <c r="AS4638" s="3" t="s">
        <v>64</v>
      </c>
      <c r="AT4638" s="3" t="s">
        <v>128</v>
      </c>
      <c r="AU4638" s="6" t="str">
        <f>HYPERLINK("http://catalog.hathitrust.org/Record/006054262","HathiTrust Record")</f>
        <v>HathiTrust Record</v>
      </c>
      <c r="AV4638" s="6" t="str">
        <f>HYPERLINK("http://mcgill.on.worldcat.org/oclc/7307066","Catalog Record")</f>
        <v>Catalog Record</v>
      </c>
      <c r="AW4638" s="6" t="str">
        <f>HYPERLINK("http://www.worldcat.org/oclc/7307066","WorldCat Record")</f>
        <v>WorldCat Record</v>
      </c>
      <c r="AX4638" s="3" t="s">
        <v>45101</v>
      </c>
      <c r="AY4638" s="3" t="s">
        <v>45102</v>
      </c>
      <c r="AZ4638" s="3" t="s">
        <v>45103</v>
      </c>
      <c r="BA4638" s="3" t="s">
        <v>45103</v>
      </c>
      <c r="BB4638" s="3" t="s">
        <v>45104</v>
      </c>
      <c r="BC4638" s="3" t="s">
        <v>77</v>
      </c>
      <c r="BD4638" s="3" t="s">
        <v>78</v>
      </c>
      <c r="BE4638" s="3" t="s">
        <v>45105</v>
      </c>
      <c r="BF4638" s="3" t="s">
        <v>45104</v>
      </c>
      <c r="BG4638" s="3" t="s">
        <v>45106</v>
      </c>
      <c r="BH4638">
        <f t="shared" si="148"/>
        <v>0</v>
      </c>
    </row>
    <row r="4639" spans="1:60" ht="58" x14ac:dyDescent="0.35">
      <c r="A4639" s="2" t="s">
        <v>59</v>
      </c>
      <c r="B4639" s="2" t="s">
        <v>60</v>
      </c>
      <c r="C4639" s="2" t="s">
        <v>45096</v>
      </c>
      <c r="D4639" s="2" t="s">
        <v>45097</v>
      </c>
      <c r="E4639" s="2" t="s">
        <v>45098</v>
      </c>
      <c r="F4639" s="3" t="s">
        <v>489</v>
      </c>
      <c r="G4639" s="3" t="s">
        <v>128</v>
      </c>
      <c r="I4639" s="3" t="s">
        <v>64</v>
      </c>
      <c r="J4639" s="3" t="s">
        <v>64</v>
      </c>
      <c r="K4639" s="3" t="s">
        <v>65</v>
      </c>
      <c r="L4639" s="2" t="s">
        <v>45099</v>
      </c>
      <c r="M4639" s="2" t="s">
        <v>45100</v>
      </c>
      <c r="N4639" s="3" t="s">
        <v>898</v>
      </c>
      <c r="P4639" s="3" t="s">
        <v>40768</v>
      </c>
      <c r="R4639" s="3" t="s">
        <v>70</v>
      </c>
      <c r="S4639" s="4">
        <v>1</v>
      </c>
      <c r="T4639" s="4">
        <v>3</v>
      </c>
      <c r="U4639" s="5" t="s">
        <v>445</v>
      </c>
      <c r="V4639" s="5" t="s">
        <v>445</v>
      </c>
      <c r="W4639" s="5" t="s">
        <v>72</v>
      </c>
      <c r="X4639" s="5" t="s">
        <v>72</v>
      </c>
      <c r="Y4639" s="4">
        <v>70</v>
      </c>
      <c r="Z4639" s="4">
        <v>4</v>
      </c>
      <c r="AA4639" s="4">
        <v>5</v>
      </c>
      <c r="AB4639" s="4">
        <v>1</v>
      </c>
      <c r="AC4639" s="4">
        <v>2</v>
      </c>
      <c r="AD4639" s="4">
        <v>37</v>
      </c>
      <c r="AE4639" s="4">
        <v>38</v>
      </c>
      <c r="AF4639" s="4">
        <v>0</v>
      </c>
      <c r="AG4639" s="4">
        <v>1</v>
      </c>
      <c r="AH4639" s="4">
        <v>34</v>
      </c>
      <c r="AI4639" s="4">
        <v>34</v>
      </c>
      <c r="AJ4639" s="4">
        <v>2</v>
      </c>
      <c r="AK4639" s="4">
        <v>3</v>
      </c>
      <c r="AL4639" s="4">
        <v>28</v>
      </c>
      <c r="AM4639" s="4">
        <v>28</v>
      </c>
      <c r="AN4639" s="4">
        <v>0</v>
      </c>
      <c r="AO4639" s="4">
        <v>0</v>
      </c>
      <c r="AP4639" s="4">
        <v>2</v>
      </c>
      <c r="AQ4639" s="4">
        <v>2</v>
      </c>
      <c r="AR4639" s="3" t="s">
        <v>64</v>
      </c>
      <c r="AS4639" s="3" t="s">
        <v>64</v>
      </c>
      <c r="AT4639" s="3" t="s">
        <v>128</v>
      </c>
      <c r="AU4639" s="6" t="str">
        <f>HYPERLINK("http://catalog.hathitrust.org/Record/006054262","HathiTrust Record")</f>
        <v>HathiTrust Record</v>
      </c>
      <c r="AV4639" s="6" t="str">
        <f>HYPERLINK("http://mcgill.on.worldcat.org/oclc/7307066","Catalog Record")</f>
        <v>Catalog Record</v>
      </c>
      <c r="AW4639" s="6" t="str">
        <f>HYPERLINK("http://www.worldcat.org/oclc/7307066","WorldCat Record")</f>
        <v>WorldCat Record</v>
      </c>
      <c r="AX4639" s="3" t="s">
        <v>45101</v>
      </c>
      <c r="AY4639" s="3" t="s">
        <v>45102</v>
      </c>
      <c r="AZ4639" s="3" t="s">
        <v>45103</v>
      </c>
      <c r="BA4639" s="3" t="s">
        <v>45103</v>
      </c>
      <c r="BB4639" s="3" t="s">
        <v>45107</v>
      </c>
      <c r="BC4639" s="3" t="s">
        <v>77</v>
      </c>
      <c r="BD4639" s="3" t="s">
        <v>78</v>
      </c>
      <c r="BE4639" s="3" t="s">
        <v>45105</v>
      </c>
      <c r="BF4639" s="3" t="s">
        <v>45107</v>
      </c>
      <c r="BG4639" s="3" t="s">
        <v>45108</v>
      </c>
      <c r="BH4639">
        <f t="shared" si="148"/>
        <v>0</v>
      </c>
    </row>
    <row r="4640" spans="1:60" ht="58" x14ac:dyDescent="0.35">
      <c r="A4640" s="2" t="s">
        <v>59</v>
      </c>
      <c r="B4640" s="2" t="s">
        <v>60</v>
      </c>
      <c r="C4640" s="2" t="s">
        <v>45096</v>
      </c>
      <c r="D4640" s="2" t="s">
        <v>45097</v>
      </c>
      <c r="E4640" s="2" t="s">
        <v>45098</v>
      </c>
      <c r="F4640" s="3" t="s">
        <v>2044</v>
      </c>
      <c r="G4640" s="3" t="s">
        <v>128</v>
      </c>
      <c r="I4640" s="3" t="s">
        <v>64</v>
      </c>
      <c r="J4640" s="3" t="s">
        <v>64</v>
      </c>
      <c r="K4640" s="3" t="s">
        <v>65</v>
      </c>
      <c r="L4640" s="2" t="s">
        <v>45099</v>
      </c>
      <c r="M4640" s="2" t="s">
        <v>45100</v>
      </c>
      <c r="N4640" s="3" t="s">
        <v>898</v>
      </c>
      <c r="P4640" s="3" t="s">
        <v>40768</v>
      </c>
      <c r="R4640" s="3" t="s">
        <v>70</v>
      </c>
      <c r="S4640" s="4">
        <v>1</v>
      </c>
      <c r="T4640" s="4">
        <v>3</v>
      </c>
      <c r="U4640" s="5" t="s">
        <v>445</v>
      </c>
      <c r="V4640" s="5" t="s">
        <v>445</v>
      </c>
      <c r="W4640" s="5" t="s">
        <v>72</v>
      </c>
      <c r="X4640" s="5" t="s">
        <v>72</v>
      </c>
      <c r="Y4640" s="4">
        <v>70</v>
      </c>
      <c r="Z4640" s="4">
        <v>4</v>
      </c>
      <c r="AA4640" s="4">
        <v>5</v>
      </c>
      <c r="AB4640" s="4">
        <v>1</v>
      </c>
      <c r="AC4640" s="4">
        <v>2</v>
      </c>
      <c r="AD4640" s="4">
        <v>37</v>
      </c>
      <c r="AE4640" s="4">
        <v>38</v>
      </c>
      <c r="AF4640" s="4">
        <v>0</v>
      </c>
      <c r="AG4640" s="4">
        <v>1</v>
      </c>
      <c r="AH4640" s="4">
        <v>34</v>
      </c>
      <c r="AI4640" s="4">
        <v>34</v>
      </c>
      <c r="AJ4640" s="4">
        <v>2</v>
      </c>
      <c r="AK4640" s="4">
        <v>3</v>
      </c>
      <c r="AL4640" s="4">
        <v>28</v>
      </c>
      <c r="AM4640" s="4">
        <v>28</v>
      </c>
      <c r="AN4640" s="4">
        <v>0</v>
      </c>
      <c r="AO4640" s="4">
        <v>0</v>
      </c>
      <c r="AP4640" s="4">
        <v>2</v>
      </c>
      <c r="AQ4640" s="4">
        <v>2</v>
      </c>
      <c r="AR4640" s="3" t="s">
        <v>64</v>
      </c>
      <c r="AS4640" s="3" t="s">
        <v>64</v>
      </c>
      <c r="AT4640" s="3" t="s">
        <v>128</v>
      </c>
      <c r="AU4640" s="6" t="str">
        <f>HYPERLINK("http://catalog.hathitrust.org/Record/006054262","HathiTrust Record")</f>
        <v>HathiTrust Record</v>
      </c>
      <c r="AV4640" s="6" t="str">
        <f>HYPERLINK("http://mcgill.on.worldcat.org/oclc/7307066","Catalog Record")</f>
        <v>Catalog Record</v>
      </c>
      <c r="AW4640" s="6" t="str">
        <f>HYPERLINK("http://www.worldcat.org/oclc/7307066","WorldCat Record")</f>
        <v>WorldCat Record</v>
      </c>
      <c r="AX4640" s="3" t="s">
        <v>45101</v>
      </c>
      <c r="AY4640" s="3" t="s">
        <v>45102</v>
      </c>
      <c r="AZ4640" s="3" t="s">
        <v>45103</v>
      </c>
      <c r="BA4640" s="3" t="s">
        <v>45103</v>
      </c>
      <c r="BB4640" s="3" t="s">
        <v>45109</v>
      </c>
      <c r="BC4640" s="3" t="s">
        <v>77</v>
      </c>
      <c r="BD4640" s="3" t="s">
        <v>78</v>
      </c>
      <c r="BE4640" s="3" t="s">
        <v>45105</v>
      </c>
      <c r="BF4640" s="3" t="s">
        <v>45109</v>
      </c>
      <c r="BG4640" s="3" t="s">
        <v>45110</v>
      </c>
      <c r="BH4640">
        <f t="shared" si="148"/>
        <v>0</v>
      </c>
    </row>
    <row r="4641" spans="1:60" ht="58" x14ac:dyDescent="0.35">
      <c r="A4641" s="2" t="s">
        <v>59</v>
      </c>
      <c r="B4641" s="2" t="s">
        <v>60</v>
      </c>
      <c r="C4641" s="2" t="s">
        <v>45111</v>
      </c>
      <c r="D4641" s="2" t="s">
        <v>45112</v>
      </c>
      <c r="E4641" s="2" t="s">
        <v>45113</v>
      </c>
      <c r="G4641" s="3" t="s">
        <v>64</v>
      </c>
      <c r="I4641" s="3" t="s">
        <v>64</v>
      </c>
      <c r="J4641" s="3" t="s">
        <v>64</v>
      </c>
      <c r="K4641" s="3" t="s">
        <v>65</v>
      </c>
      <c r="L4641" s="2" t="s">
        <v>45114</v>
      </c>
      <c r="M4641" s="2" t="s">
        <v>45115</v>
      </c>
      <c r="N4641" s="3" t="s">
        <v>2067</v>
      </c>
      <c r="P4641" s="3" t="s">
        <v>102</v>
      </c>
      <c r="R4641" s="3" t="s">
        <v>70</v>
      </c>
      <c r="S4641" s="4">
        <v>1</v>
      </c>
      <c r="T4641" s="4">
        <v>1</v>
      </c>
      <c r="U4641" s="5" t="s">
        <v>14409</v>
      </c>
      <c r="V4641" s="5" t="s">
        <v>14409</v>
      </c>
      <c r="W4641" s="5" t="s">
        <v>72</v>
      </c>
      <c r="X4641" s="5" t="s">
        <v>72</v>
      </c>
      <c r="Y4641" s="4">
        <v>132</v>
      </c>
      <c r="Z4641" s="4">
        <v>8</v>
      </c>
      <c r="AA4641" s="4">
        <v>8</v>
      </c>
      <c r="AB4641" s="4">
        <v>1</v>
      </c>
      <c r="AC4641" s="4">
        <v>1</v>
      </c>
      <c r="AD4641" s="4">
        <v>49</v>
      </c>
      <c r="AE4641" s="4">
        <v>49</v>
      </c>
      <c r="AF4641" s="4">
        <v>0</v>
      </c>
      <c r="AG4641" s="4">
        <v>0</v>
      </c>
      <c r="AH4641" s="4">
        <v>45</v>
      </c>
      <c r="AI4641" s="4">
        <v>45</v>
      </c>
      <c r="AJ4641" s="4">
        <v>4</v>
      </c>
      <c r="AK4641" s="4">
        <v>4</v>
      </c>
      <c r="AL4641" s="4">
        <v>34</v>
      </c>
      <c r="AM4641" s="4">
        <v>34</v>
      </c>
      <c r="AN4641" s="4">
        <v>0</v>
      </c>
      <c r="AO4641" s="4">
        <v>0</v>
      </c>
      <c r="AP4641" s="4">
        <v>5</v>
      </c>
      <c r="AQ4641" s="4">
        <v>5</v>
      </c>
      <c r="AR4641" s="3" t="s">
        <v>64</v>
      </c>
      <c r="AS4641" s="3" t="s">
        <v>64</v>
      </c>
      <c r="AT4641" s="3" t="s">
        <v>64</v>
      </c>
      <c r="AV4641" s="6" t="str">
        <f>HYPERLINK("http://mcgill.on.worldcat.org/oclc/19513959","Catalog Record")</f>
        <v>Catalog Record</v>
      </c>
      <c r="AW4641" s="6" t="str">
        <f>HYPERLINK("http://www.worldcat.org/oclc/19513959","WorldCat Record")</f>
        <v>WorldCat Record</v>
      </c>
      <c r="AX4641" s="3" t="s">
        <v>45116</v>
      </c>
      <c r="AY4641" s="3" t="s">
        <v>45117</v>
      </c>
      <c r="AZ4641" s="3" t="s">
        <v>45118</v>
      </c>
      <c r="BA4641" s="3" t="s">
        <v>45118</v>
      </c>
      <c r="BB4641" s="3" t="s">
        <v>45119</v>
      </c>
      <c r="BC4641" s="3" t="s">
        <v>77</v>
      </c>
      <c r="BD4641" s="3" t="s">
        <v>78</v>
      </c>
      <c r="BE4641" s="3" t="s">
        <v>45120</v>
      </c>
      <c r="BF4641" s="3" t="s">
        <v>45119</v>
      </c>
      <c r="BG4641" s="3" t="s">
        <v>45121</v>
      </c>
      <c r="BH4641">
        <f t="shared" si="148"/>
        <v>0</v>
      </c>
    </row>
    <row r="4642" spans="1:60" ht="58" x14ac:dyDescent="0.35">
      <c r="A4642" s="2" t="s">
        <v>59</v>
      </c>
      <c r="B4642" s="2" t="s">
        <v>60</v>
      </c>
      <c r="C4642" s="2" t="s">
        <v>45122</v>
      </c>
      <c r="D4642" s="2" t="s">
        <v>45123</v>
      </c>
      <c r="E4642" s="2" t="s">
        <v>45124</v>
      </c>
      <c r="G4642" s="3" t="s">
        <v>64</v>
      </c>
      <c r="I4642" s="3" t="s">
        <v>64</v>
      </c>
      <c r="J4642" s="3" t="s">
        <v>64</v>
      </c>
      <c r="K4642" s="3" t="s">
        <v>65</v>
      </c>
      <c r="L4642" s="2" t="s">
        <v>45125</v>
      </c>
      <c r="M4642" s="2" t="s">
        <v>45126</v>
      </c>
      <c r="N4642" s="3" t="s">
        <v>511</v>
      </c>
      <c r="P4642" s="3" t="s">
        <v>102</v>
      </c>
      <c r="R4642" s="3" t="s">
        <v>70</v>
      </c>
      <c r="S4642" s="4">
        <v>1</v>
      </c>
      <c r="T4642" s="4">
        <v>1</v>
      </c>
      <c r="U4642" s="5" t="s">
        <v>45127</v>
      </c>
      <c r="V4642" s="5" t="s">
        <v>45127</v>
      </c>
      <c r="W4642" s="5" t="s">
        <v>72</v>
      </c>
      <c r="X4642" s="5" t="s">
        <v>72</v>
      </c>
      <c r="Y4642" s="4">
        <v>110</v>
      </c>
      <c r="Z4642" s="4">
        <v>6</v>
      </c>
      <c r="AA4642" s="4">
        <v>7</v>
      </c>
      <c r="AB4642" s="4">
        <v>1</v>
      </c>
      <c r="AC4642" s="4">
        <v>2</v>
      </c>
      <c r="AD4642" s="4">
        <v>30</v>
      </c>
      <c r="AE4642" s="4">
        <v>31</v>
      </c>
      <c r="AF4642" s="4">
        <v>0</v>
      </c>
      <c r="AG4642" s="4">
        <v>1</v>
      </c>
      <c r="AH4642" s="4">
        <v>29</v>
      </c>
      <c r="AI4642" s="4">
        <v>29</v>
      </c>
      <c r="AJ4642" s="4">
        <v>2</v>
      </c>
      <c r="AK4642" s="4">
        <v>3</v>
      </c>
      <c r="AL4642" s="4">
        <v>21</v>
      </c>
      <c r="AM4642" s="4">
        <v>21</v>
      </c>
      <c r="AN4642" s="4">
        <v>0</v>
      </c>
      <c r="AO4642" s="4">
        <v>0</v>
      </c>
      <c r="AP4642" s="4">
        <v>2</v>
      </c>
      <c r="AQ4642" s="4">
        <v>3</v>
      </c>
      <c r="AR4642" s="3" t="s">
        <v>64</v>
      </c>
      <c r="AS4642" s="3" t="s">
        <v>64</v>
      </c>
      <c r="AT4642" s="3" t="s">
        <v>64</v>
      </c>
      <c r="AV4642" s="6" t="str">
        <f>HYPERLINK("http://mcgill.on.worldcat.org/oclc/462895001","Catalog Record")</f>
        <v>Catalog Record</v>
      </c>
      <c r="AW4642" s="6" t="str">
        <f>HYPERLINK("http://www.worldcat.org/oclc/462895001","WorldCat Record")</f>
        <v>WorldCat Record</v>
      </c>
      <c r="AX4642" s="3" t="s">
        <v>45128</v>
      </c>
      <c r="AY4642" s="3" t="s">
        <v>45129</v>
      </c>
      <c r="AZ4642" s="3" t="s">
        <v>45130</v>
      </c>
      <c r="BA4642" s="3" t="s">
        <v>45130</v>
      </c>
      <c r="BB4642" s="3" t="s">
        <v>45131</v>
      </c>
      <c r="BC4642" s="3" t="s">
        <v>77</v>
      </c>
      <c r="BD4642" s="3" t="s">
        <v>78</v>
      </c>
      <c r="BE4642" s="3" t="s">
        <v>45132</v>
      </c>
      <c r="BF4642" s="3" t="s">
        <v>45131</v>
      </c>
      <c r="BG4642" s="3" t="s">
        <v>45133</v>
      </c>
      <c r="BH4642">
        <f t="shared" si="148"/>
        <v>0</v>
      </c>
    </row>
    <row r="4643" spans="1:60" ht="72.5" x14ac:dyDescent="0.35">
      <c r="A4643" s="2" t="s">
        <v>59</v>
      </c>
      <c r="B4643" s="2" t="s">
        <v>60</v>
      </c>
      <c r="C4643" s="2" t="s">
        <v>45134</v>
      </c>
      <c r="D4643" s="2" t="s">
        <v>45135</v>
      </c>
      <c r="E4643" s="2" t="s">
        <v>45136</v>
      </c>
      <c r="G4643" s="3" t="s">
        <v>64</v>
      </c>
      <c r="I4643" s="3" t="s">
        <v>64</v>
      </c>
      <c r="J4643" s="3" t="s">
        <v>64</v>
      </c>
      <c r="K4643" s="3" t="s">
        <v>65</v>
      </c>
      <c r="L4643" s="2" t="s">
        <v>45137</v>
      </c>
      <c r="M4643" s="2" t="s">
        <v>45138</v>
      </c>
      <c r="N4643" s="3" t="s">
        <v>511</v>
      </c>
      <c r="O4643" s="2" t="s">
        <v>45139</v>
      </c>
      <c r="P4643" s="3" t="s">
        <v>102</v>
      </c>
      <c r="R4643" s="3" t="s">
        <v>70</v>
      </c>
      <c r="S4643" s="4">
        <v>0</v>
      </c>
      <c r="T4643" s="4">
        <v>0</v>
      </c>
      <c r="W4643" s="5" t="s">
        <v>72</v>
      </c>
      <c r="X4643" s="5" t="s">
        <v>72</v>
      </c>
      <c r="Y4643" s="4">
        <v>1</v>
      </c>
      <c r="Z4643" s="4">
        <v>1</v>
      </c>
      <c r="AA4643" s="4">
        <v>1</v>
      </c>
      <c r="AB4643" s="4">
        <v>1</v>
      </c>
      <c r="AC4643" s="4">
        <v>1</v>
      </c>
      <c r="AD4643" s="4">
        <v>0</v>
      </c>
      <c r="AE4643" s="4">
        <v>0</v>
      </c>
      <c r="AF4643" s="4">
        <v>0</v>
      </c>
      <c r="AG4643" s="4">
        <v>0</v>
      </c>
      <c r="AH4643" s="4">
        <v>0</v>
      </c>
      <c r="AI4643" s="4">
        <v>0</v>
      </c>
      <c r="AJ4643" s="4">
        <v>0</v>
      </c>
      <c r="AK4643" s="4">
        <v>0</v>
      </c>
      <c r="AL4643" s="4">
        <v>0</v>
      </c>
      <c r="AM4643" s="4">
        <v>0</v>
      </c>
      <c r="AN4643" s="4">
        <v>0</v>
      </c>
      <c r="AO4643" s="4">
        <v>0</v>
      </c>
      <c r="AP4643" s="4">
        <v>0</v>
      </c>
      <c r="AQ4643" s="4">
        <v>0</v>
      </c>
      <c r="AR4643" s="3" t="s">
        <v>64</v>
      </c>
      <c r="AS4643" s="3" t="s">
        <v>64</v>
      </c>
      <c r="AT4643" s="3" t="s">
        <v>64</v>
      </c>
      <c r="AV4643" s="6" t="str">
        <f>HYPERLINK("http://mcgill.on.worldcat.org/oclc/670040731","Catalog Record")</f>
        <v>Catalog Record</v>
      </c>
      <c r="AW4643" s="6" t="str">
        <f>HYPERLINK("http://www.worldcat.org/oclc/670040731","WorldCat Record")</f>
        <v>WorldCat Record</v>
      </c>
      <c r="AX4643" s="3" t="s">
        <v>45140</v>
      </c>
      <c r="AY4643" s="3" t="s">
        <v>45141</v>
      </c>
      <c r="AZ4643" s="3" t="s">
        <v>45142</v>
      </c>
      <c r="BA4643" s="3" t="s">
        <v>45142</v>
      </c>
      <c r="BB4643" s="3" t="s">
        <v>45143</v>
      </c>
      <c r="BC4643" s="3" t="s">
        <v>77</v>
      </c>
      <c r="BD4643" s="3" t="s">
        <v>78</v>
      </c>
      <c r="BF4643" s="3" t="s">
        <v>45143</v>
      </c>
      <c r="BG4643" s="3" t="s">
        <v>45144</v>
      </c>
      <c r="BH4643">
        <f t="shared" si="148"/>
        <v>0</v>
      </c>
    </row>
    <row r="4644" spans="1:60" ht="58" x14ac:dyDescent="0.35">
      <c r="A4644" s="2" t="s">
        <v>6202</v>
      </c>
      <c r="B4644" s="2" t="s">
        <v>6203</v>
      </c>
      <c r="C4644" s="2" t="s">
        <v>45145</v>
      </c>
      <c r="D4644" s="2" t="s">
        <v>45146</v>
      </c>
      <c r="E4644" s="2" t="s">
        <v>45147</v>
      </c>
      <c r="G4644" s="3" t="s">
        <v>64</v>
      </c>
      <c r="I4644" s="3" t="s">
        <v>64</v>
      </c>
      <c r="J4644" s="3" t="s">
        <v>64</v>
      </c>
      <c r="K4644" s="3" t="s">
        <v>65</v>
      </c>
      <c r="L4644" s="2" t="s">
        <v>45114</v>
      </c>
      <c r="M4644" s="2" t="s">
        <v>45148</v>
      </c>
      <c r="N4644" s="3" t="s">
        <v>551</v>
      </c>
      <c r="P4644" s="3" t="s">
        <v>102</v>
      </c>
      <c r="R4644" s="3" t="s">
        <v>70</v>
      </c>
      <c r="S4644" s="4">
        <v>1</v>
      </c>
      <c r="T4644" s="4">
        <v>1</v>
      </c>
      <c r="U4644" s="5" t="s">
        <v>10182</v>
      </c>
      <c r="V4644" s="5" t="s">
        <v>10182</v>
      </c>
      <c r="W4644" s="5" t="s">
        <v>72</v>
      </c>
      <c r="X4644" s="5" t="s">
        <v>72</v>
      </c>
      <c r="Y4644" s="4">
        <v>100</v>
      </c>
      <c r="Z4644" s="4">
        <v>4</v>
      </c>
      <c r="AA4644" s="4">
        <v>7</v>
      </c>
      <c r="AB4644" s="4">
        <v>1</v>
      </c>
      <c r="AC4644" s="4">
        <v>1</v>
      </c>
      <c r="AD4644" s="4">
        <v>37</v>
      </c>
      <c r="AE4644" s="4">
        <v>38</v>
      </c>
      <c r="AF4644" s="4">
        <v>0</v>
      </c>
      <c r="AG4644" s="4">
        <v>0</v>
      </c>
      <c r="AH4644" s="4">
        <v>34</v>
      </c>
      <c r="AI4644" s="4">
        <v>35</v>
      </c>
      <c r="AJ4644" s="4">
        <v>2</v>
      </c>
      <c r="AK4644" s="4">
        <v>3</v>
      </c>
      <c r="AL4644" s="4">
        <v>27</v>
      </c>
      <c r="AM4644" s="4">
        <v>28</v>
      </c>
      <c r="AN4644" s="4">
        <v>0</v>
      </c>
      <c r="AO4644" s="4">
        <v>0</v>
      </c>
      <c r="AP4644" s="4">
        <v>3</v>
      </c>
      <c r="AQ4644" s="4">
        <v>4</v>
      </c>
      <c r="AR4644" s="3" t="s">
        <v>64</v>
      </c>
      <c r="AS4644" s="3" t="s">
        <v>64</v>
      </c>
      <c r="AT4644" s="3" t="s">
        <v>64</v>
      </c>
      <c r="AV4644" s="6" t="str">
        <f>HYPERLINK("http://mcgill.on.worldcat.org/oclc/386671344","Catalog Record")</f>
        <v>Catalog Record</v>
      </c>
      <c r="AW4644" s="6" t="str">
        <f>HYPERLINK("http://www.worldcat.org/oclc/386671344","WorldCat Record")</f>
        <v>WorldCat Record</v>
      </c>
      <c r="AX4644" s="3" t="s">
        <v>45149</v>
      </c>
      <c r="AY4644" s="3" t="s">
        <v>45150</v>
      </c>
      <c r="AZ4644" s="3" t="s">
        <v>45151</v>
      </c>
      <c r="BA4644" s="3" t="s">
        <v>45151</v>
      </c>
      <c r="BB4644" s="3" t="s">
        <v>45152</v>
      </c>
      <c r="BC4644" s="3" t="s">
        <v>77</v>
      </c>
      <c r="BD4644" s="3" t="s">
        <v>78</v>
      </c>
      <c r="BE4644" s="3" t="s">
        <v>45153</v>
      </c>
      <c r="BF4644" s="3" t="s">
        <v>45152</v>
      </c>
      <c r="BG4644" s="3" t="s">
        <v>45154</v>
      </c>
      <c r="BH4644">
        <f t="shared" si="148"/>
        <v>0</v>
      </c>
    </row>
    <row r="4645" spans="1:60" ht="72.5" x14ac:dyDescent="0.35">
      <c r="A4645" s="2" t="s">
        <v>59</v>
      </c>
      <c r="B4645" s="2" t="s">
        <v>60</v>
      </c>
      <c r="C4645" s="2" t="s">
        <v>45155</v>
      </c>
      <c r="D4645" s="2" t="s">
        <v>45156</v>
      </c>
      <c r="E4645" s="2" t="s">
        <v>45157</v>
      </c>
      <c r="G4645" s="3" t="s">
        <v>64</v>
      </c>
      <c r="I4645" s="3" t="s">
        <v>64</v>
      </c>
      <c r="J4645" s="3" t="s">
        <v>64</v>
      </c>
      <c r="K4645" s="3" t="s">
        <v>65</v>
      </c>
      <c r="L4645" s="2" t="s">
        <v>45158</v>
      </c>
      <c r="M4645" s="2" t="s">
        <v>45159</v>
      </c>
      <c r="N4645" s="3" t="s">
        <v>291</v>
      </c>
      <c r="P4645" s="3" t="s">
        <v>365</v>
      </c>
      <c r="Q4645" s="2" t="s">
        <v>45160</v>
      </c>
      <c r="R4645" s="3" t="s">
        <v>70</v>
      </c>
      <c r="S4645" s="4">
        <v>1</v>
      </c>
      <c r="T4645" s="4">
        <v>1</v>
      </c>
      <c r="U4645" s="5" t="s">
        <v>14111</v>
      </c>
      <c r="V4645" s="5" t="s">
        <v>14111</v>
      </c>
      <c r="W4645" s="5" t="s">
        <v>72</v>
      </c>
      <c r="X4645" s="5" t="s">
        <v>72</v>
      </c>
      <c r="Y4645" s="4">
        <v>27</v>
      </c>
      <c r="Z4645" s="4">
        <v>4</v>
      </c>
      <c r="AA4645" s="4">
        <v>4</v>
      </c>
      <c r="AB4645" s="4">
        <v>1</v>
      </c>
      <c r="AC4645" s="4">
        <v>1</v>
      </c>
      <c r="AD4645" s="4">
        <v>9</v>
      </c>
      <c r="AE4645" s="4">
        <v>12</v>
      </c>
      <c r="AF4645" s="4">
        <v>0</v>
      </c>
      <c r="AG4645" s="4">
        <v>0</v>
      </c>
      <c r="AH4645" s="4">
        <v>9</v>
      </c>
      <c r="AI4645" s="4">
        <v>11</v>
      </c>
      <c r="AJ4645" s="4">
        <v>1</v>
      </c>
      <c r="AK4645" s="4">
        <v>1</v>
      </c>
      <c r="AL4645" s="4">
        <v>7</v>
      </c>
      <c r="AM4645" s="4">
        <v>10</v>
      </c>
      <c r="AN4645" s="4">
        <v>0</v>
      </c>
      <c r="AO4645" s="4">
        <v>0</v>
      </c>
      <c r="AP4645" s="4">
        <v>1</v>
      </c>
      <c r="AQ4645" s="4">
        <v>1</v>
      </c>
      <c r="AR4645" s="3" t="s">
        <v>64</v>
      </c>
      <c r="AS4645" s="3" t="s">
        <v>64</v>
      </c>
      <c r="AT4645" s="3" t="s">
        <v>64</v>
      </c>
      <c r="AV4645" s="6" t="str">
        <f>HYPERLINK("http://mcgill.on.worldcat.org/oclc/164113454","Catalog Record")</f>
        <v>Catalog Record</v>
      </c>
      <c r="AW4645" s="6" t="str">
        <f>HYPERLINK("http://www.worldcat.org/oclc/164113454","WorldCat Record")</f>
        <v>WorldCat Record</v>
      </c>
      <c r="AX4645" s="3" t="s">
        <v>45161</v>
      </c>
      <c r="AY4645" s="3" t="s">
        <v>45162</v>
      </c>
      <c r="AZ4645" s="3" t="s">
        <v>45163</v>
      </c>
      <c r="BA4645" s="3" t="s">
        <v>45163</v>
      </c>
      <c r="BB4645" s="3" t="s">
        <v>45164</v>
      </c>
      <c r="BC4645" s="3" t="s">
        <v>77</v>
      </c>
      <c r="BD4645" s="3" t="s">
        <v>78</v>
      </c>
      <c r="BE4645" s="3" t="s">
        <v>45165</v>
      </c>
      <c r="BF4645" s="3" t="s">
        <v>45164</v>
      </c>
      <c r="BG4645" s="3" t="s">
        <v>45166</v>
      </c>
      <c r="BH4645">
        <f t="shared" si="148"/>
        <v>0</v>
      </c>
    </row>
    <row r="4646" spans="1:60" ht="58" x14ac:dyDescent="0.35">
      <c r="A4646" s="2" t="s">
        <v>59</v>
      </c>
      <c r="B4646" s="2" t="s">
        <v>60</v>
      </c>
      <c r="C4646" s="2" t="s">
        <v>45167</v>
      </c>
      <c r="D4646" s="2" t="s">
        <v>45168</v>
      </c>
      <c r="E4646" s="2" t="s">
        <v>45169</v>
      </c>
      <c r="G4646" s="3" t="s">
        <v>64</v>
      </c>
      <c r="I4646" s="3" t="s">
        <v>64</v>
      </c>
      <c r="J4646" s="3" t="s">
        <v>64</v>
      </c>
      <c r="K4646" s="3" t="s">
        <v>65</v>
      </c>
      <c r="L4646" s="2" t="s">
        <v>36875</v>
      </c>
      <c r="M4646" s="2" t="s">
        <v>45170</v>
      </c>
      <c r="N4646" s="3" t="s">
        <v>2067</v>
      </c>
      <c r="P4646" s="3" t="s">
        <v>102</v>
      </c>
      <c r="R4646" s="3" t="s">
        <v>70</v>
      </c>
      <c r="S4646" s="4">
        <v>3</v>
      </c>
      <c r="T4646" s="4">
        <v>3</v>
      </c>
      <c r="U4646" s="5" t="s">
        <v>626</v>
      </c>
      <c r="V4646" s="5" t="s">
        <v>626</v>
      </c>
      <c r="W4646" s="5" t="s">
        <v>72</v>
      </c>
      <c r="X4646" s="5" t="s">
        <v>72</v>
      </c>
      <c r="Y4646" s="4">
        <v>260</v>
      </c>
      <c r="Z4646" s="4">
        <v>12</v>
      </c>
      <c r="AA4646" s="4">
        <v>12</v>
      </c>
      <c r="AB4646" s="4">
        <v>1</v>
      </c>
      <c r="AC4646" s="4">
        <v>1</v>
      </c>
      <c r="AD4646" s="4">
        <v>90</v>
      </c>
      <c r="AE4646" s="4">
        <v>90</v>
      </c>
      <c r="AF4646" s="4">
        <v>0</v>
      </c>
      <c r="AG4646" s="4">
        <v>0</v>
      </c>
      <c r="AH4646" s="4">
        <v>84</v>
      </c>
      <c r="AI4646" s="4">
        <v>84</v>
      </c>
      <c r="AJ4646" s="4">
        <v>9</v>
      </c>
      <c r="AK4646" s="4">
        <v>9</v>
      </c>
      <c r="AL4646" s="4">
        <v>50</v>
      </c>
      <c r="AM4646" s="4">
        <v>50</v>
      </c>
      <c r="AN4646" s="4">
        <v>0</v>
      </c>
      <c r="AO4646" s="4">
        <v>0</v>
      </c>
      <c r="AP4646" s="4">
        <v>9</v>
      </c>
      <c r="AQ4646" s="4">
        <v>9</v>
      </c>
      <c r="AR4646" s="3" t="s">
        <v>64</v>
      </c>
      <c r="AS4646" s="3" t="s">
        <v>64</v>
      </c>
      <c r="AT4646" s="3" t="s">
        <v>64</v>
      </c>
      <c r="AV4646" s="6" t="str">
        <f>HYPERLINK("http://mcgill.on.worldcat.org/oclc/18988623","Catalog Record")</f>
        <v>Catalog Record</v>
      </c>
      <c r="AW4646" s="6" t="str">
        <f>HYPERLINK("http://www.worldcat.org/oclc/18988623","WorldCat Record")</f>
        <v>WorldCat Record</v>
      </c>
      <c r="AX4646" s="3" t="s">
        <v>45171</v>
      </c>
      <c r="AY4646" s="3" t="s">
        <v>45172</v>
      </c>
      <c r="AZ4646" s="3" t="s">
        <v>45173</v>
      </c>
      <c r="BA4646" s="3" t="s">
        <v>45173</v>
      </c>
      <c r="BB4646" s="3" t="s">
        <v>45174</v>
      </c>
      <c r="BC4646" s="3" t="s">
        <v>77</v>
      </c>
      <c r="BD4646" s="3" t="s">
        <v>78</v>
      </c>
      <c r="BE4646" s="3" t="s">
        <v>45175</v>
      </c>
      <c r="BF4646" s="3" t="s">
        <v>45174</v>
      </c>
      <c r="BG4646" s="3" t="s">
        <v>45176</v>
      </c>
      <c r="BH4646">
        <f t="shared" si="148"/>
        <v>0</v>
      </c>
    </row>
    <row r="4647" spans="1:60" ht="58" x14ac:dyDescent="0.35">
      <c r="A4647" s="2" t="s">
        <v>59</v>
      </c>
      <c r="B4647" s="2" t="s">
        <v>60</v>
      </c>
      <c r="C4647" s="2" t="s">
        <v>45177</v>
      </c>
      <c r="D4647" s="2" t="s">
        <v>45178</v>
      </c>
      <c r="E4647" s="2" t="s">
        <v>45179</v>
      </c>
      <c r="G4647" s="3" t="s">
        <v>64</v>
      </c>
      <c r="I4647" s="3" t="s">
        <v>64</v>
      </c>
      <c r="J4647" s="3" t="s">
        <v>64</v>
      </c>
      <c r="K4647" s="3" t="s">
        <v>65</v>
      </c>
      <c r="L4647" s="2" t="s">
        <v>45180</v>
      </c>
      <c r="M4647" s="2" t="s">
        <v>45181</v>
      </c>
      <c r="N4647" s="3" t="s">
        <v>3527</v>
      </c>
      <c r="P4647" s="3" t="s">
        <v>102</v>
      </c>
      <c r="R4647" s="3" t="s">
        <v>70</v>
      </c>
      <c r="S4647" s="4">
        <v>3</v>
      </c>
      <c r="T4647" s="4">
        <v>3</v>
      </c>
      <c r="U4647" s="5" t="s">
        <v>45182</v>
      </c>
      <c r="V4647" s="5" t="s">
        <v>45182</v>
      </c>
      <c r="W4647" s="5" t="s">
        <v>72</v>
      </c>
      <c r="X4647" s="5" t="s">
        <v>72</v>
      </c>
      <c r="Y4647" s="4">
        <v>226</v>
      </c>
      <c r="Z4647" s="4">
        <v>17</v>
      </c>
      <c r="AA4647" s="4">
        <v>19</v>
      </c>
      <c r="AB4647" s="4">
        <v>1</v>
      </c>
      <c r="AC4647" s="4">
        <v>2</v>
      </c>
      <c r="AD4647" s="4">
        <v>88</v>
      </c>
      <c r="AE4647" s="4">
        <v>90</v>
      </c>
      <c r="AF4647" s="4">
        <v>0</v>
      </c>
      <c r="AG4647" s="4">
        <v>1</v>
      </c>
      <c r="AH4647" s="4">
        <v>81</v>
      </c>
      <c r="AI4647" s="4">
        <v>81</v>
      </c>
      <c r="AJ4647" s="4">
        <v>10</v>
      </c>
      <c r="AK4647" s="4">
        <v>12</v>
      </c>
      <c r="AL4647" s="4">
        <v>51</v>
      </c>
      <c r="AM4647" s="4">
        <v>51</v>
      </c>
      <c r="AN4647" s="4">
        <v>0</v>
      </c>
      <c r="AO4647" s="4">
        <v>0</v>
      </c>
      <c r="AP4647" s="4">
        <v>12</v>
      </c>
      <c r="AQ4647" s="4">
        <v>12</v>
      </c>
      <c r="AR4647" s="3" t="s">
        <v>64</v>
      </c>
      <c r="AS4647" s="3" t="s">
        <v>64</v>
      </c>
      <c r="AT4647" s="3" t="s">
        <v>128</v>
      </c>
      <c r="AU4647" s="6" t="str">
        <f>HYPERLINK("http://catalog.hathitrust.org/Record/001173458","HathiTrust Record")</f>
        <v>HathiTrust Record</v>
      </c>
      <c r="AV4647" s="6" t="str">
        <f>HYPERLINK("http://mcgill.on.worldcat.org/oclc/14593439","Catalog Record")</f>
        <v>Catalog Record</v>
      </c>
      <c r="AW4647" s="6" t="str">
        <f>HYPERLINK("http://www.worldcat.org/oclc/14593439","WorldCat Record")</f>
        <v>WorldCat Record</v>
      </c>
      <c r="AX4647" s="3" t="s">
        <v>45183</v>
      </c>
      <c r="AY4647" s="3" t="s">
        <v>45184</v>
      </c>
      <c r="AZ4647" s="3" t="s">
        <v>45185</v>
      </c>
      <c r="BA4647" s="3" t="s">
        <v>45185</v>
      </c>
      <c r="BB4647" s="3" t="s">
        <v>45186</v>
      </c>
      <c r="BC4647" s="3" t="s">
        <v>77</v>
      </c>
      <c r="BD4647" s="3" t="s">
        <v>165</v>
      </c>
      <c r="BF4647" s="3" t="s">
        <v>45186</v>
      </c>
      <c r="BG4647" s="3" t="s">
        <v>45187</v>
      </c>
      <c r="BH4647">
        <f t="shared" si="148"/>
        <v>0</v>
      </c>
    </row>
    <row r="4648" spans="1:60" ht="58" x14ac:dyDescent="0.35">
      <c r="A4648" s="2" t="s">
        <v>59</v>
      </c>
      <c r="B4648" s="2" t="s">
        <v>60</v>
      </c>
      <c r="C4648" s="2" t="s">
        <v>45188</v>
      </c>
      <c r="D4648" s="2" t="s">
        <v>45189</v>
      </c>
      <c r="E4648" s="2" t="s">
        <v>45190</v>
      </c>
      <c r="G4648" s="3" t="s">
        <v>64</v>
      </c>
      <c r="I4648" s="3" t="s">
        <v>64</v>
      </c>
      <c r="J4648" s="3" t="s">
        <v>64</v>
      </c>
      <c r="K4648" s="3" t="s">
        <v>65</v>
      </c>
      <c r="L4648" s="2" t="s">
        <v>34807</v>
      </c>
      <c r="M4648" s="2" t="s">
        <v>45191</v>
      </c>
      <c r="N4648" s="3" t="s">
        <v>364</v>
      </c>
      <c r="P4648" s="3" t="s">
        <v>102</v>
      </c>
      <c r="Q4648" s="2" t="s">
        <v>45192</v>
      </c>
      <c r="R4648" s="3" t="s">
        <v>70</v>
      </c>
      <c r="S4648" s="4">
        <v>1</v>
      </c>
      <c r="T4648" s="4">
        <v>1</v>
      </c>
      <c r="U4648" s="5" t="s">
        <v>3273</v>
      </c>
      <c r="V4648" s="5" t="s">
        <v>3273</v>
      </c>
      <c r="W4648" s="5" t="s">
        <v>72</v>
      </c>
      <c r="X4648" s="5" t="s">
        <v>72</v>
      </c>
      <c r="Y4648" s="4">
        <v>12</v>
      </c>
      <c r="Z4648" s="4">
        <v>2</v>
      </c>
      <c r="AA4648" s="4">
        <v>8</v>
      </c>
      <c r="AB4648" s="4">
        <v>1</v>
      </c>
      <c r="AC4648" s="4">
        <v>1</v>
      </c>
      <c r="AD4648" s="4">
        <v>6</v>
      </c>
      <c r="AE4648" s="4">
        <v>37</v>
      </c>
      <c r="AF4648" s="4">
        <v>0</v>
      </c>
      <c r="AG4648" s="4">
        <v>0</v>
      </c>
      <c r="AH4648" s="4">
        <v>5</v>
      </c>
      <c r="AI4648" s="4">
        <v>33</v>
      </c>
      <c r="AJ4648" s="4">
        <v>1</v>
      </c>
      <c r="AK4648" s="4">
        <v>5</v>
      </c>
      <c r="AL4648" s="4">
        <v>4</v>
      </c>
      <c r="AM4648" s="4">
        <v>22</v>
      </c>
      <c r="AN4648" s="4">
        <v>0</v>
      </c>
      <c r="AO4648" s="4">
        <v>0</v>
      </c>
      <c r="AP4648" s="4">
        <v>1</v>
      </c>
      <c r="AQ4648" s="4">
        <v>5</v>
      </c>
      <c r="AR4648" s="3" t="s">
        <v>64</v>
      </c>
      <c r="AS4648" s="3" t="s">
        <v>64</v>
      </c>
      <c r="AT4648" s="3" t="s">
        <v>64</v>
      </c>
      <c r="AV4648" s="6" t="str">
        <f>HYPERLINK("http://mcgill.on.worldcat.org/oclc/82104181","Catalog Record")</f>
        <v>Catalog Record</v>
      </c>
      <c r="AW4648" s="6" t="str">
        <f>HYPERLINK("http://www.worldcat.org/oclc/82104181","WorldCat Record")</f>
        <v>WorldCat Record</v>
      </c>
      <c r="AX4648" s="3" t="s">
        <v>45193</v>
      </c>
      <c r="AY4648" s="3" t="s">
        <v>45194</v>
      </c>
      <c r="AZ4648" s="3" t="s">
        <v>45195</v>
      </c>
      <c r="BA4648" s="3" t="s">
        <v>45195</v>
      </c>
      <c r="BB4648" s="3" t="s">
        <v>45196</v>
      </c>
      <c r="BC4648" s="3" t="s">
        <v>77</v>
      </c>
      <c r="BD4648" s="3" t="s">
        <v>78</v>
      </c>
      <c r="BE4648" s="3" t="s">
        <v>45197</v>
      </c>
      <c r="BF4648" s="3" t="s">
        <v>45196</v>
      </c>
      <c r="BG4648" s="3" t="s">
        <v>45198</v>
      </c>
      <c r="BH4648">
        <f t="shared" si="148"/>
        <v>0</v>
      </c>
    </row>
    <row r="4649" spans="1:60" ht="58" x14ac:dyDescent="0.35">
      <c r="A4649" s="2" t="s">
        <v>59</v>
      </c>
      <c r="B4649" s="2" t="s">
        <v>60</v>
      </c>
      <c r="C4649" s="2" t="s">
        <v>45199</v>
      </c>
      <c r="D4649" s="2" t="s">
        <v>45200</v>
      </c>
      <c r="E4649" s="2" t="s">
        <v>45201</v>
      </c>
      <c r="G4649" s="3" t="s">
        <v>128</v>
      </c>
      <c r="I4649" s="3" t="s">
        <v>64</v>
      </c>
      <c r="J4649" s="3" t="s">
        <v>64</v>
      </c>
      <c r="K4649" s="3" t="s">
        <v>65</v>
      </c>
      <c r="L4649" s="2" t="s">
        <v>45202</v>
      </c>
      <c r="M4649" s="2" t="s">
        <v>45203</v>
      </c>
      <c r="N4649" s="3" t="s">
        <v>456</v>
      </c>
      <c r="P4649" s="3" t="s">
        <v>365</v>
      </c>
      <c r="Q4649" s="2" t="s">
        <v>45204</v>
      </c>
      <c r="R4649" s="3" t="s">
        <v>70</v>
      </c>
      <c r="S4649" s="4">
        <v>2</v>
      </c>
      <c r="T4649" s="4">
        <v>2</v>
      </c>
      <c r="U4649" s="5" t="s">
        <v>35255</v>
      </c>
      <c r="V4649" s="5" t="s">
        <v>35255</v>
      </c>
      <c r="W4649" s="5" t="s">
        <v>72</v>
      </c>
      <c r="X4649" s="5" t="s">
        <v>72</v>
      </c>
      <c r="Y4649" s="4">
        <v>56</v>
      </c>
      <c r="Z4649" s="4">
        <v>5</v>
      </c>
      <c r="AA4649" s="4">
        <v>5</v>
      </c>
      <c r="AB4649" s="4">
        <v>1</v>
      </c>
      <c r="AC4649" s="4">
        <v>1</v>
      </c>
      <c r="AD4649" s="4">
        <v>33</v>
      </c>
      <c r="AE4649" s="4">
        <v>33</v>
      </c>
      <c r="AF4649" s="4">
        <v>0</v>
      </c>
      <c r="AG4649" s="4">
        <v>0</v>
      </c>
      <c r="AH4649" s="4">
        <v>32</v>
      </c>
      <c r="AI4649" s="4">
        <v>32</v>
      </c>
      <c r="AJ4649" s="4">
        <v>3</v>
      </c>
      <c r="AK4649" s="4">
        <v>3</v>
      </c>
      <c r="AL4649" s="4">
        <v>25</v>
      </c>
      <c r="AM4649" s="4">
        <v>25</v>
      </c>
      <c r="AN4649" s="4">
        <v>0</v>
      </c>
      <c r="AO4649" s="4">
        <v>0</v>
      </c>
      <c r="AP4649" s="4">
        <v>3</v>
      </c>
      <c r="AQ4649" s="4">
        <v>3</v>
      </c>
      <c r="AR4649" s="3" t="s">
        <v>64</v>
      </c>
      <c r="AS4649" s="3" t="s">
        <v>64</v>
      </c>
      <c r="AT4649" s="3" t="s">
        <v>128</v>
      </c>
      <c r="AU4649" s="6" t="str">
        <f>HYPERLINK("http://catalog.hathitrust.org/Record/000870135","HathiTrust Record")</f>
        <v>HathiTrust Record</v>
      </c>
      <c r="AV4649" s="6" t="str">
        <f>HYPERLINK("http://mcgill.on.worldcat.org/oclc/2926618","Catalog Record")</f>
        <v>Catalog Record</v>
      </c>
      <c r="AW4649" s="6" t="str">
        <f>HYPERLINK("http://www.worldcat.org/oclc/2926618","WorldCat Record")</f>
        <v>WorldCat Record</v>
      </c>
      <c r="AX4649" s="3" t="s">
        <v>45205</v>
      </c>
      <c r="AY4649" s="3" t="s">
        <v>45206</v>
      </c>
      <c r="AZ4649" s="3" t="s">
        <v>45207</v>
      </c>
      <c r="BA4649" s="3" t="s">
        <v>45207</v>
      </c>
      <c r="BB4649" s="3" t="s">
        <v>45208</v>
      </c>
      <c r="BC4649" s="3" t="s">
        <v>77</v>
      </c>
      <c r="BD4649" s="3" t="s">
        <v>78</v>
      </c>
      <c r="BF4649" s="3" t="s">
        <v>45208</v>
      </c>
      <c r="BG4649" s="3" t="s">
        <v>45209</v>
      </c>
      <c r="BH4649">
        <f t="shared" si="148"/>
        <v>0</v>
      </c>
    </row>
    <row r="4650" spans="1:60" ht="58" x14ac:dyDescent="0.35">
      <c r="A4650" s="2" t="s">
        <v>6202</v>
      </c>
      <c r="B4650" s="2" t="s">
        <v>6203</v>
      </c>
      <c r="C4650" s="2" t="s">
        <v>45210</v>
      </c>
      <c r="D4650" s="2" t="s">
        <v>45211</v>
      </c>
      <c r="E4650" s="2" t="s">
        <v>45212</v>
      </c>
      <c r="G4650" s="3" t="s">
        <v>64</v>
      </c>
      <c r="I4650" s="3" t="s">
        <v>64</v>
      </c>
      <c r="J4650" s="3" t="s">
        <v>64</v>
      </c>
      <c r="K4650" s="3" t="s">
        <v>65</v>
      </c>
      <c r="L4650" s="2" t="s">
        <v>45213</v>
      </c>
      <c r="M4650" s="2" t="s">
        <v>45214</v>
      </c>
      <c r="N4650" s="3" t="s">
        <v>421</v>
      </c>
      <c r="P4650" s="3" t="s">
        <v>102</v>
      </c>
      <c r="Q4650" s="2" t="s">
        <v>45215</v>
      </c>
      <c r="R4650" s="3" t="s">
        <v>70</v>
      </c>
      <c r="S4650" s="4">
        <v>2</v>
      </c>
      <c r="T4650" s="4">
        <v>2</v>
      </c>
      <c r="U4650" s="5" t="s">
        <v>4130</v>
      </c>
      <c r="V4650" s="5" t="s">
        <v>4130</v>
      </c>
      <c r="W4650" s="5" t="s">
        <v>72</v>
      </c>
      <c r="X4650" s="5" t="s">
        <v>72</v>
      </c>
      <c r="Y4650" s="4">
        <v>156</v>
      </c>
      <c r="Z4650" s="4">
        <v>9</v>
      </c>
      <c r="AA4650" s="4">
        <v>9</v>
      </c>
      <c r="AB4650" s="4">
        <v>2</v>
      </c>
      <c r="AC4650" s="4">
        <v>2</v>
      </c>
      <c r="AD4650" s="4">
        <v>61</v>
      </c>
      <c r="AE4650" s="4">
        <v>61</v>
      </c>
      <c r="AF4650" s="4">
        <v>1</v>
      </c>
      <c r="AG4650" s="4">
        <v>1</v>
      </c>
      <c r="AH4650" s="4">
        <v>56</v>
      </c>
      <c r="AI4650" s="4">
        <v>56</v>
      </c>
      <c r="AJ4650" s="4">
        <v>5</v>
      </c>
      <c r="AK4650" s="4">
        <v>5</v>
      </c>
      <c r="AL4650" s="4">
        <v>36</v>
      </c>
      <c r="AM4650" s="4">
        <v>36</v>
      </c>
      <c r="AN4650" s="4">
        <v>0</v>
      </c>
      <c r="AO4650" s="4">
        <v>0</v>
      </c>
      <c r="AP4650" s="4">
        <v>5</v>
      </c>
      <c r="AQ4650" s="4">
        <v>5</v>
      </c>
      <c r="AR4650" s="3" t="s">
        <v>64</v>
      </c>
      <c r="AS4650" s="3" t="s">
        <v>64</v>
      </c>
      <c r="AT4650" s="3" t="s">
        <v>128</v>
      </c>
      <c r="AU4650" s="6" t="str">
        <f>HYPERLINK("http://catalog.hathitrust.org/Record/004212278","HathiTrust Record")</f>
        <v>HathiTrust Record</v>
      </c>
      <c r="AV4650" s="6" t="str">
        <f>HYPERLINK("http://mcgill.on.worldcat.org/oclc/37422629","Catalog Record")</f>
        <v>Catalog Record</v>
      </c>
      <c r="AW4650" s="6" t="str">
        <f>HYPERLINK("http://www.worldcat.org/oclc/37422629","WorldCat Record")</f>
        <v>WorldCat Record</v>
      </c>
      <c r="AX4650" s="3" t="s">
        <v>45216</v>
      </c>
      <c r="AY4650" s="3" t="s">
        <v>45217</v>
      </c>
      <c r="AZ4650" s="3" t="s">
        <v>45218</v>
      </c>
      <c r="BA4650" s="3" t="s">
        <v>45218</v>
      </c>
      <c r="BB4650" s="3" t="s">
        <v>45219</v>
      </c>
      <c r="BC4650" s="3" t="s">
        <v>77</v>
      </c>
      <c r="BD4650" s="3" t="s">
        <v>78</v>
      </c>
      <c r="BE4650" s="3" t="s">
        <v>45220</v>
      </c>
      <c r="BF4650" s="3" t="s">
        <v>45219</v>
      </c>
      <c r="BG4650" s="3" t="s">
        <v>45221</v>
      </c>
      <c r="BH4650">
        <f t="shared" si="148"/>
        <v>0</v>
      </c>
    </row>
    <row r="4651" spans="1:60" ht="58" x14ac:dyDescent="0.35">
      <c r="A4651" s="2" t="s">
        <v>59</v>
      </c>
      <c r="B4651" s="2" t="s">
        <v>60</v>
      </c>
      <c r="C4651" s="2" t="s">
        <v>45222</v>
      </c>
      <c r="D4651" s="2" t="s">
        <v>45223</v>
      </c>
      <c r="E4651" s="2" t="s">
        <v>45224</v>
      </c>
      <c r="G4651" s="3" t="s">
        <v>64</v>
      </c>
      <c r="I4651" s="3" t="s">
        <v>64</v>
      </c>
      <c r="J4651" s="3" t="s">
        <v>64</v>
      </c>
      <c r="K4651" s="3" t="s">
        <v>65</v>
      </c>
      <c r="L4651" s="2" t="s">
        <v>45225</v>
      </c>
      <c r="M4651" s="2" t="s">
        <v>45226</v>
      </c>
      <c r="N4651" s="3" t="s">
        <v>190</v>
      </c>
      <c r="P4651" s="3" t="s">
        <v>102</v>
      </c>
      <c r="Q4651" s="2" t="s">
        <v>45227</v>
      </c>
      <c r="R4651" s="3" t="s">
        <v>70</v>
      </c>
      <c r="S4651" s="4">
        <v>1</v>
      </c>
      <c r="T4651" s="4">
        <v>1</v>
      </c>
      <c r="U4651" s="5" t="s">
        <v>5052</v>
      </c>
      <c r="V4651" s="5" t="s">
        <v>5052</v>
      </c>
      <c r="W4651" s="5" t="s">
        <v>15249</v>
      </c>
      <c r="X4651" s="5" t="s">
        <v>15249</v>
      </c>
      <c r="Y4651" s="4">
        <v>54</v>
      </c>
      <c r="Z4651" s="4">
        <v>2</v>
      </c>
      <c r="AA4651" s="4">
        <v>2</v>
      </c>
      <c r="AB4651" s="4">
        <v>1</v>
      </c>
      <c r="AC4651" s="4">
        <v>1</v>
      </c>
      <c r="AD4651" s="4">
        <v>27</v>
      </c>
      <c r="AE4651" s="4">
        <v>27</v>
      </c>
      <c r="AF4651" s="4">
        <v>0</v>
      </c>
      <c r="AG4651" s="4">
        <v>0</v>
      </c>
      <c r="AH4651" s="4">
        <v>25</v>
      </c>
      <c r="AI4651" s="4">
        <v>25</v>
      </c>
      <c r="AJ4651" s="4">
        <v>1</v>
      </c>
      <c r="AK4651" s="4">
        <v>1</v>
      </c>
      <c r="AL4651" s="4">
        <v>24</v>
      </c>
      <c r="AM4651" s="4">
        <v>24</v>
      </c>
      <c r="AN4651" s="4">
        <v>0</v>
      </c>
      <c r="AO4651" s="4">
        <v>0</v>
      </c>
      <c r="AP4651" s="4">
        <v>1</v>
      </c>
      <c r="AQ4651" s="4">
        <v>1</v>
      </c>
      <c r="AR4651" s="3" t="s">
        <v>64</v>
      </c>
      <c r="AS4651" s="3" t="s">
        <v>64</v>
      </c>
      <c r="AT4651" s="3" t="s">
        <v>64</v>
      </c>
      <c r="AV4651" s="6" t="str">
        <f>HYPERLINK("http://mcgill.on.worldcat.org/oclc/1022268363","Catalog Record")</f>
        <v>Catalog Record</v>
      </c>
      <c r="AW4651" s="6" t="str">
        <f>HYPERLINK("http://www.worldcat.org/oclc/1022268363","WorldCat Record")</f>
        <v>WorldCat Record</v>
      </c>
      <c r="AX4651" s="3" t="s">
        <v>45228</v>
      </c>
      <c r="AY4651" s="3" t="s">
        <v>45229</v>
      </c>
      <c r="AZ4651" s="3" t="s">
        <v>45230</v>
      </c>
      <c r="BA4651" s="3" t="s">
        <v>45230</v>
      </c>
      <c r="BB4651" s="3" t="s">
        <v>45231</v>
      </c>
      <c r="BC4651" s="3" t="s">
        <v>77</v>
      </c>
      <c r="BD4651" s="3" t="s">
        <v>78</v>
      </c>
      <c r="BE4651" s="3" t="s">
        <v>45232</v>
      </c>
      <c r="BF4651" s="3" t="s">
        <v>45231</v>
      </c>
      <c r="BG4651" s="3" t="s">
        <v>45233</v>
      </c>
      <c r="BH4651">
        <f t="shared" si="148"/>
        <v>0</v>
      </c>
    </row>
    <row r="4652" spans="1:60" ht="101.5" x14ac:dyDescent="0.35">
      <c r="A4652" s="2" t="s">
        <v>59</v>
      </c>
      <c r="B4652" s="2" t="s">
        <v>60</v>
      </c>
      <c r="C4652" s="2" t="s">
        <v>45234</v>
      </c>
      <c r="D4652" s="2" t="s">
        <v>45235</v>
      </c>
      <c r="E4652" s="2" t="s">
        <v>45236</v>
      </c>
      <c r="G4652" s="3" t="s">
        <v>64</v>
      </c>
      <c r="I4652" s="3" t="s">
        <v>64</v>
      </c>
      <c r="J4652" s="3" t="s">
        <v>64</v>
      </c>
      <c r="K4652" s="3" t="s">
        <v>65</v>
      </c>
      <c r="L4652" s="2" t="s">
        <v>45237</v>
      </c>
      <c r="M4652" s="2" t="s">
        <v>45238</v>
      </c>
      <c r="N4652" s="3" t="s">
        <v>578</v>
      </c>
      <c r="P4652" s="3" t="s">
        <v>102</v>
      </c>
      <c r="Q4652" s="2" t="s">
        <v>45239</v>
      </c>
      <c r="R4652" s="3" t="s">
        <v>70</v>
      </c>
      <c r="S4652" s="4">
        <v>0</v>
      </c>
      <c r="T4652" s="4">
        <v>0</v>
      </c>
      <c r="W4652" s="5" t="s">
        <v>72</v>
      </c>
      <c r="X4652" s="5" t="s">
        <v>72</v>
      </c>
      <c r="Y4652" s="4">
        <v>60</v>
      </c>
      <c r="Z4652" s="4">
        <v>2</v>
      </c>
      <c r="AA4652" s="4">
        <v>2</v>
      </c>
      <c r="AB4652" s="4">
        <v>1</v>
      </c>
      <c r="AC4652" s="4">
        <v>1</v>
      </c>
      <c r="AD4652" s="4">
        <v>37</v>
      </c>
      <c r="AE4652" s="4">
        <v>37</v>
      </c>
      <c r="AF4652" s="4">
        <v>0</v>
      </c>
      <c r="AG4652" s="4">
        <v>0</v>
      </c>
      <c r="AH4652" s="4">
        <v>36</v>
      </c>
      <c r="AI4652" s="4">
        <v>36</v>
      </c>
      <c r="AJ4652" s="4">
        <v>1</v>
      </c>
      <c r="AK4652" s="4">
        <v>1</v>
      </c>
      <c r="AL4652" s="4">
        <v>26</v>
      </c>
      <c r="AM4652" s="4">
        <v>26</v>
      </c>
      <c r="AN4652" s="4">
        <v>0</v>
      </c>
      <c r="AO4652" s="4">
        <v>0</v>
      </c>
      <c r="AP4652" s="4">
        <v>1</v>
      </c>
      <c r="AQ4652" s="4">
        <v>1</v>
      </c>
      <c r="AR4652" s="3" t="s">
        <v>64</v>
      </c>
      <c r="AS4652" s="3" t="s">
        <v>64</v>
      </c>
      <c r="AT4652" s="3" t="s">
        <v>64</v>
      </c>
      <c r="AV4652" s="6" t="str">
        <f>HYPERLINK("http://mcgill.on.worldcat.org/oclc/1000388342","Catalog Record")</f>
        <v>Catalog Record</v>
      </c>
      <c r="AW4652" s="6" t="str">
        <f>HYPERLINK("http://www.worldcat.org/oclc/1000388342","WorldCat Record")</f>
        <v>WorldCat Record</v>
      </c>
      <c r="AX4652" s="3" t="s">
        <v>45240</v>
      </c>
      <c r="AY4652" s="3" t="s">
        <v>45241</v>
      </c>
      <c r="AZ4652" s="3" t="s">
        <v>45242</v>
      </c>
      <c r="BA4652" s="3" t="s">
        <v>45242</v>
      </c>
      <c r="BB4652" s="3" t="s">
        <v>45243</v>
      </c>
      <c r="BC4652" s="3" t="s">
        <v>77</v>
      </c>
      <c r="BD4652" s="3" t="s">
        <v>78</v>
      </c>
      <c r="BE4652" s="3" t="s">
        <v>45244</v>
      </c>
      <c r="BF4652" s="3" t="s">
        <v>45243</v>
      </c>
      <c r="BG4652" s="3" t="s">
        <v>45245</v>
      </c>
      <c r="BH4652">
        <f t="shared" si="148"/>
        <v>0</v>
      </c>
    </row>
    <row r="4653" spans="1:60" ht="116" x14ac:dyDescent="0.35">
      <c r="A4653" s="2" t="s">
        <v>59</v>
      </c>
      <c r="B4653" s="2" t="s">
        <v>60</v>
      </c>
      <c r="C4653" s="2" t="s">
        <v>45246</v>
      </c>
      <c r="D4653" s="2" t="s">
        <v>45247</v>
      </c>
      <c r="E4653" s="2" t="s">
        <v>45248</v>
      </c>
      <c r="G4653" s="3" t="s">
        <v>64</v>
      </c>
      <c r="I4653" s="3" t="s">
        <v>64</v>
      </c>
      <c r="J4653" s="3" t="s">
        <v>64</v>
      </c>
      <c r="K4653" s="3" t="s">
        <v>65</v>
      </c>
      <c r="M4653" s="2" t="s">
        <v>45249</v>
      </c>
      <c r="N4653" s="3" t="s">
        <v>144</v>
      </c>
      <c r="P4653" s="3" t="s">
        <v>102</v>
      </c>
      <c r="Q4653" s="2" t="s">
        <v>45250</v>
      </c>
      <c r="R4653" s="3" t="s">
        <v>70</v>
      </c>
      <c r="S4653" s="4">
        <v>4</v>
      </c>
      <c r="T4653" s="4">
        <v>4</v>
      </c>
      <c r="U4653" s="5" t="s">
        <v>14833</v>
      </c>
      <c r="V4653" s="5" t="s">
        <v>14833</v>
      </c>
      <c r="W4653" s="5" t="s">
        <v>72</v>
      </c>
      <c r="X4653" s="5" t="s">
        <v>72</v>
      </c>
      <c r="Y4653" s="4">
        <v>86</v>
      </c>
      <c r="Z4653" s="4">
        <v>8</v>
      </c>
      <c r="AA4653" s="4">
        <v>8</v>
      </c>
      <c r="AB4653" s="4">
        <v>1</v>
      </c>
      <c r="AC4653" s="4">
        <v>1</v>
      </c>
      <c r="AD4653" s="4">
        <v>39</v>
      </c>
      <c r="AE4653" s="4">
        <v>39</v>
      </c>
      <c r="AF4653" s="4">
        <v>0</v>
      </c>
      <c r="AG4653" s="4">
        <v>0</v>
      </c>
      <c r="AH4653" s="4">
        <v>35</v>
      </c>
      <c r="AI4653" s="4">
        <v>35</v>
      </c>
      <c r="AJ4653" s="4">
        <v>4</v>
      </c>
      <c r="AK4653" s="4">
        <v>4</v>
      </c>
      <c r="AL4653" s="4">
        <v>30</v>
      </c>
      <c r="AM4653" s="4">
        <v>30</v>
      </c>
      <c r="AN4653" s="4">
        <v>0</v>
      </c>
      <c r="AO4653" s="4">
        <v>0</v>
      </c>
      <c r="AP4653" s="4">
        <v>3</v>
      </c>
      <c r="AQ4653" s="4">
        <v>3</v>
      </c>
      <c r="AR4653" s="3" t="s">
        <v>64</v>
      </c>
      <c r="AS4653" s="3" t="s">
        <v>64</v>
      </c>
      <c r="AT4653" s="3" t="s">
        <v>64</v>
      </c>
      <c r="AV4653" s="6" t="str">
        <f>HYPERLINK("http://mcgill.on.worldcat.org/oclc/231656334","Catalog Record")</f>
        <v>Catalog Record</v>
      </c>
      <c r="AW4653" s="6" t="str">
        <f>HYPERLINK("http://www.worldcat.org/oclc/231656334","WorldCat Record")</f>
        <v>WorldCat Record</v>
      </c>
      <c r="AX4653" s="3" t="s">
        <v>45251</v>
      </c>
      <c r="AY4653" s="3" t="s">
        <v>45252</v>
      </c>
      <c r="AZ4653" s="3" t="s">
        <v>45253</v>
      </c>
      <c r="BA4653" s="3" t="s">
        <v>45253</v>
      </c>
      <c r="BB4653" s="3" t="s">
        <v>45254</v>
      </c>
      <c r="BC4653" s="3" t="s">
        <v>77</v>
      </c>
      <c r="BD4653" s="3" t="s">
        <v>78</v>
      </c>
      <c r="BE4653" s="3" t="s">
        <v>45255</v>
      </c>
      <c r="BF4653" s="3" t="s">
        <v>45254</v>
      </c>
      <c r="BG4653" s="3" t="s">
        <v>45256</v>
      </c>
      <c r="BH4653">
        <f t="shared" si="148"/>
        <v>0</v>
      </c>
    </row>
    <row r="4654" spans="1:60" ht="58" x14ac:dyDescent="0.35">
      <c r="A4654" s="2" t="s">
        <v>59</v>
      </c>
      <c r="B4654" s="2" t="s">
        <v>60</v>
      </c>
      <c r="C4654" s="2" t="s">
        <v>45257</v>
      </c>
      <c r="D4654" s="2" t="s">
        <v>45258</v>
      </c>
      <c r="E4654" s="2" t="s">
        <v>45259</v>
      </c>
      <c r="G4654" s="3" t="s">
        <v>64</v>
      </c>
      <c r="I4654" s="3" t="s">
        <v>128</v>
      </c>
      <c r="J4654" s="3" t="s">
        <v>64</v>
      </c>
      <c r="K4654" s="3" t="s">
        <v>65</v>
      </c>
      <c r="L4654" s="2" t="s">
        <v>45260</v>
      </c>
      <c r="M4654" s="2" t="s">
        <v>45261</v>
      </c>
      <c r="N4654" s="3" t="s">
        <v>3721</v>
      </c>
      <c r="P4654" s="3" t="s">
        <v>102</v>
      </c>
      <c r="Q4654" s="2" t="s">
        <v>45262</v>
      </c>
      <c r="R4654" s="3" t="s">
        <v>70</v>
      </c>
      <c r="S4654" s="4">
        <v>15</v>
      </c>
      <c r="T4654" s="4">
        <v>16</v>
      </c>
      <c r="U4654" s="5" t="s">
        <v>13411</v>
      </c>
      <c r="V4654" s="5" t="s">
        <v>13411</v>
      </c>
      <c r="W4654" s="5" t="s">
        <v>72</v>
      </c>
      <c r="X4654" s="5" t="s">
        <v>72</v>
      </c>
      <c r="Y4654" s="4">
        <v>120</v>
      </c>
      <c r="Z4654" s="4">
        <v>9</v>
      </c>
      <c r="AA4654" s="4">
        <v>10</v>
      </c>
      <c r="AB4654" s="4">
        <v>2</v>
      </c>
      <c r="AC4654" s="4">
        <v>3</v>
      </c>
      <c r="AD4654" s="4">
        <v>49</v>
      </c>
      <c r="AE4654" s="4">
        <v>50</v>
      </c>
      <c r="AF4654" s="4">
        <v>0</v>
      </c>
      <c r="AG4654" s="4">
        <v>1</v>
      </c>
      <c r="AH4654" s="4">
        <v>45</v>
      </c>
      <c r="AI4654" s="4">
        <v>45</v>
      </c>
      <c r="AJ4654" s="4">
        <v>3</v>
      </c>
      <c r="AK4654" s="4">
        <v>4</v>
      </c>
      <c r="AL4654" s="4">
        <v>35</v>
      </c>
      <c r="AM4654" s="4">
        <v>35</v>
      </c>
      <c r="AN4654" s="4">
        <v>0</v>
      </c>
      <c r="AO4654" s="4">
        <v>0</v>
      </c>
      <c r="AP4654" s="4">
        <v>3</v>
      </c>
      <c r="AQ4654" s="4">
        <v>3</v>
      </c>
      <c r="AR4654" s="3" t="s">
        <v>64</v>
      </c>
      <c r="AS4654" s="3" t="s">
        <v>64</v>
      </c>
      <c r="AT4654" s="3" t="s">
        <v>128</v>
      </c>
      <c r="AU4654" s="6" t="str">
        <f>HYPERLINK("http://catalog.hathitrust.org/Record/007118111","HathiTrust Record")</f>
        <v>HathiTrust Record</v>
      </c>
      <c r="AV4654" s="6" t="str">
        <f>HYPERLINK("http://mcgill.on.worldcat.org/oclc/7087435","Catalog Record")</f>
        <v>Catalog Record</v>
      </c>
      <c r="AW4654" s="6" t="str">
        <f>HYPERLINK("http://www.worldcat.org/oclc/7087435","WorldCat Record")</f>
        <v>WorldCat Record</v>
      </c>
      <c r="AX4654" s="3" t="s">
        <v>45263</v>
      </c>
      <c r="AY4654" s="3" t="s">
        <v>45264</v>
      </c>
      <c r="AZ4654" s="3" t="s">
        <v>45265</v>
      </c>
      <c r="BA4654" s="3" t="s">
        <v>45265</v>
      </c>
      <c r="BB4654" s="3" t="s">
        <v>45266</v>
      </c>
      <c r="BC4654" s="3" t="s">
        <v>77</v>
      </c>
      <c r="BD4654" s="3" t="s">
        <v>78</v>
      </c>
      <c r="BF4654" s="3" t="s">
        <v>45266</v>
      </c>
      <c r="BG4654" s="3" t="s">
        <v>45267</v>
      </c>
      <c r="BH4654">
        <f t="shared" si="148"/>
        <v>0</v>
      </c>
    </row>
    <row r="4655" spans="1:60" ht="58" x14ac:dyDescent="0.35">
      <c r="A4655" s="2" t="s">
        <v>59</v>
      </c>
      <c r="B4655" s="2" t="s">
        <v>60</v>
      </c>
      <c r="C4655" s="2" t="s">
        <v>45268</v>
      </c>
      <c r="D4655" s="2" t="s">
        <v>45269</v>
      </c>
      <c r="E4655" s="2" t="s">
        <v>45270</v>
      </c>
      <c r="G4655" s="3" t="s">
        <v>64</v>
      </c>
      <c r="I4655" s="3" t="s">
        <v>64</v>
      </c>
      <c r="J4655" s="3" t="s">
        <v>64</v>
      </c>
      <c r="K4655" s="3" t="s">
        <v>65</v>
      </c>
      <c r="L4655" s="2" t="s">
        <v>45271</v>
      </c>
      <c r="M4655" s="2" t="s">
        <v>45272</v>
      </c>
      <c r="N4655" s="3" t="s">
        <v>45273</v>
      </c>
      <c r="P4655" s="3" t="s">
        <v>365</v>
      </c>
      <c r="R4655" s="3" t="s">
        <v>70</v>
      </c>
      <c r="S4655" s="4">
        <v>4</v>
      </c>
      <c r="T4655" s="4">
        <v>4</v>
      </c>
      <c r="U4655" s="5" t="s">
        <v>22116</v>
      </c>
      <c r="V4655" s="5" t="s">
        <v>22116</v>
      </c>
      <c r="W4655" s="5" t="s">
        <v>72</v>
      </c>
      <c r="X4655" s="5" t="s">
        <v>72</v>
      </c>
      <c r="Y4655" s="4">
        <v>35</v>
      </c>
      <c r="Z4655" s="4">
        <v>3</v>
      </c>
      <c r="AA4655" s="4">
        <v>3</v>
      </c>
      <c r="AB4655" s="4">
        <v>1</v>
      </c>
      <c r="AC4655" s="4">
        <v>1</v>
      </c>
      <c r="AD4655" s="4">
        <v>21</v>
      </c>
      <c r="AE4655" s="4">
        <v>22</v>
      </c>
      <c r="AF4655" s="4">
        <v>0</v>
      </c>
      <c r="AG4655" s="4">
        <v>0</v>
      </c>
      <c r="AH4655" s="4">
        <v>19</v>
      </c>
      <c r="AI4655" s="4">
        <v>20</v>
      </c>
      <c r="AJ4655" s="4">
        <v>2</v>
      </c>
      <c r="AK4655" s="4">
        <v>2</v>
      </c>
      <c r="AL4655" s="4">
        <v>14</v>
      </c>
      <c r="AM4655" s="4">
        <v>14</v>
      </c>
      <c r="AN4655" s="4">
        <v>0</v>
      </c>
      <c r="AO4655" s="4">
        <v>0</v>
      </c>
      <c r="AP4655" s="4">
        <v>2</v>
      </c>
      <c r="AQ4655" s="4">
        <v>2</v>
      </c>
      <c r="AR4655" s="3" t="s">
        <v>64</v>
      </c>
      <c r="AS4655" s="3" t="s">
        <v>64</v>
      </c>
      <c r="AT4655" s="3" t="s">
        <v>64</v>
      </c>
      <c r="AU4655" s="6" t="str">
        <f>HYPERLINK("http://catalog.hathitrust.org/Record/009020781","HathiTrust Record")</f>
        <v>HathiTrust Record</v>
      </c>
      <c r="AV4655" s="6" t="str">
        <f>HYPERLINK("http://mcgill.on.worldcat.org/oclc/7105282","Catalog Record")</f>
        <v>Catalog Record</v>
      </c>
      <c r="AW4655" s="6" t="str">
        <f>HYPERLINK("http://www.worldcat.org/oclc/7105282","WorldCat Record")</f>
        <v>WorldCat Record</v>
      </c>
      <c r="AX4655" s="3" t="s">
        <v>45274</v>
      </c>
      <c r="AY4655" s="3" t="s">
        <v>45275</v>
      </c>
      <c r="AZ4655" s="3" t="s">
        <v>45276</v>
      </c>
      <c r="BA4655" s="3" t="s">
        <v>45276</v>
      </c>
      <c r="BB4655" s="3" t="s">
        <v>45277</v>
      </c>
      <c r="BC4655" s="3" t="s">
        <v>77</v>
      </c>
      <c r="BD4655" s="3" t="s">
        <v>78</v>
      </c>
      <c r="BF4655" s="3" t="s">
        <v>45277</v>
      </c>
      <c r="BG4655" s="3" t="s">
        <v>45278</v>
      </c>
      <c r="BH4655">
        <f t="shared" si="148"/>
        <v>0</v>
      </c>
    </row>
    <row r="4656" spans="1:60" ht="58" x14ac:dyDescent="0.35">
      <c r="A4656" s="2" t="s">
        <v>59</v>
      </c>
      <c r="B4656" s="2" t="s">
        <v>60</v>
      </c>
      <c r="C4656" s="2" t="s">
        <v>45279</v>
      </c>
      <c r="D4656" s="2" t="s">
        <v>45280</v>
      </c>
      <c r="E4656" s="2" t="s">
        <v>45281</v>
      </c>
      <c r="G4656" s="3" t="s">
        <v>64</v>
      </c>
      <c r="I4656" s="3" t="s">
        <v>64</v>
      </c>
      <c r="J4656" s="3" t="s">
        <v>128</v>
      </c>
      <c r="K4656" s="3" t="s">
        <v>65</v>
      </c>
      <c r="L4656" s="2" t="s">
        <v>45282</v>
      </c>
      <c r="M4656" s="2" t="s">
        <v>45283</v>
      </c>
      <c r="N4656" s="3" t="s">
        <v>7992</v>
      </c>
      <c r="P4656" s="3" t="s">
        <v>944</v>
      </c>
      <c r="Q4656" s="2" t="s">
        <v>45284</v>
      </c>
      <c r="R4656" s="3" t="s">
        <v>70</v>
      </c>
      <c r="S4656" s="4">
        <v>2</v>
      </c>
      <c r="T4656" s="4">
        <v>2</v>
      </c>
      <c r="U4656" s="5" t="s">
        <v>724</v>
      </c>
      <c r="V4656" s="5" t="s">
        <v>724</v>
      </c>
      <c r="W4656" s="5" t="s">
        <v>72</v>
      </c>
      <c r="X4656" s="5" t="s">
        <v>72</v>
      </c>
      <c r="Y4656" s="4">
        <v>80</v>
      </c>
      <c r="Z4656" s="4">
        <v>1</v>
      </c>
      <c r="AA4656" s="4">
        <v>1</v>
      </c>
      <c r="AB4656" s="4">
        <v>1</v>
      </c>
      <c r="AC4656" s="4">
        <v>1</v>
      </c>
      <c r="AD4656" s="4">
        <v>24</v>
      </c>
      <c r="AE4656" s="4">
        <v>33</v>
      </c>
      <c r="AF4656" s="4">
        <v>0</v>
      </c>
      <c r="AG4656" s="4">
        <v>0</v>
      </c>
      <c r="AH4656" s="4">
        <v>21</v>
      </c>
      <c r="AI4656" s="4">
        <v>30</v>
      </c>
      <c r="AJ4656" s="4">
        <v>0</v>
      </c>
      <c r="AK4656" s="4">
        <v>0</v>
      </c>
      <c r="AL4656" s="4">
        <v>17</v>
      </c>
      <c r="AM4656" s="4">
        <v>22</v>
      </c>
      <c r="AN4656" s="4">
        <v>0</v>
      </c>
      <c r="AO4656" s="4">
        <v>0</v>
      </c>
      <c r="AP4656" s="4">
        <v>0</v>
      </c>
      <c r="AQ4656" s="4">
        <v>0</v>
      </c>
      <c r="AR4656" s="3" t="s">
        <v>64</v>
      </c>
      <c r="AS4656" s="3" t="s">
        <v>64</v>
      </c>
      <c r="AT4656" s="3" t="s">
        <v>64</v>
      </c>
      <c r="AU4656" s="6" t="str">
        <f>HYPERLINK("http://catalog.hathitrust.org/Record/000475863","HathiTrust Record")</f>
        <v>HathiTrust Record</v>
      </c>
      <c r="AV4656" s="6" t="str">
        <f>HYPERLINK("http://mcgill.on.worldcat.org/oclc/11252893","Catalog Record")</f>
        <v>Catalog Record</v>
      </c>
      <c r="AW4656" s="6" t="str">
        <f>HYPERLINK("http://www.worldcat.org/oclc/11252893","WorldCat Record")</f>
        <v>WorldCat Record</v>
      </c>
      <c r="AX4656" s="3" t="s">
        <v>45285</v>
      </c>
      <c r="AY4656" s="3" t="s">
        <v>45286</v>
      </c>
      <c r="AZ4656" s="3" t="s">
        <v>45287</v>
      </c>
      <c r="BA4656" s="3" t="s">
        <v>45287</v>
      </c>
      <c r="BB4656" s="3" t="s">
        <v>45288</v>
      </c>
      <c r="BC4656" s="3" t="s">
        <v>77</v>
      </c>
      <c r="BD4656" s="3" t="s">
        <v>78</v>
      </c>
      <c r="BF4656" s="3" t="s">
        <v>45288</v>
      </c>
      <c r="BG4656" s="3" t="s">
        <v>45289</v>
      </c>
      <c r="BH4656">
        <f t="shared" si="148"/>
        <v>0</v>
      </c>
    </row>
    <row r="4657" spans="1:60" ht="116" x14ac:dyDescent="0.35">
      <c r="A4657" s="2" t="s">
        <v>59</v>
      </c>
      <c r="B4657" s="2" t="s">
        <v>25844</v>
      </c>
      <c r="C4657" s="2" t="s">
        <v>45290</v>
      </c>
      <c r="D4657" s="2" t="s">
        <v>45291</v>
      </c>
      <c r="E4657" s="2" t="s">
        <v>45292</v>
      </c>
      <c r="G4657" s="3" t="s">
        <v>64</v>
      </c>
      <c r="I4657" s="3" t="s">
        <v>64</v>
      </c>
      <c r="J4657" s="3" t="s">
        <v>64</v>
      </c>
      <c r="K4657" s="3" t="s">
        <v>65</v>
      </c>
      <c r="M4657" s="2" t="s">
        <v>45293</v>
      </c>
      <c r="N4657" s="3" t="s">
        <v>1087</v>
      </c>
      <c r="O4657" s="2" t="s">
        <v>1189</v>
      </c>
      <c r="P4657" s="3" t="s">
        <v>1190</v>
      </c>
      <c r="R4657" s="3" t="s">
        <v>70</v>
      </c>
      <c r="S4657" s="4">
        <v>1</v>
      </c>
      <c r="T4657" s="4">
        <v>1</v>
      </c>
      <c r="U4657" s="5" t="s">
        <v>45294</v>
      </c>
      <c r="V4657" s="5" t="s">
        <v>45294</v>
      </c>
      <c r="W4657" s="5" t="s">
        <v>72</v>
      </c>
      <c r="X4657" s="5" t="s">
        <v>72</v>
      </c>
      <c r="Y4657" s="4">
        <v>33</v>
      </c>
      <c r="Z4657" s="4">
        <v>3</v>
      </c>
      <c r="AA4657" s="4">
        <v>3</v>
      </c>
      <c r="AB4657" s="4">
        <v>1</v>
      </c>
      <c r="AC4657" s="4">
        <v>1</v>
      </c>
      <c r="AD4657" s="4">
        <v>18</v>
      </c>
      <c r="AE4657" s="4">
        <v>18</v>
      </c>
      <c r="AF4657" s="4">
        <v>0</v>
      </c>
      <c r="AG4657" s="4">
        <v>0</v>
      </c>
      <c r="AH4657" s="4">
        <v>17</v>
      </c>
      <c r="AI4657" s="4">
        <v>17</v>
      </c>
      <c r="AJ4657" s="4">
        <v>1</v>
      </c>
      <c r="AK4657" s="4">
        <v>1</v>
      </c>
      <c r="AL4657" s="4">
        <v>17</v>
      </c>
      <c r="AM4657" s="4">
        <v>17</v>
      </c>
      <c r="AN4657" s="4">
        <v>0</v>
      </c>
      <c r="AO4657" s="4">
        <v>0</v>
      </c>
      <c r="AP4657" s="4">
        <v>1</v>
      </c>
      <c r="AQ4657" s="4">
        <v>1</v>
      </c>
      <c r="AR4657" s="3" t="s">
        <v>64</v>
      </c>
      <c r="AS4657" s="3" t="s">
        <v>64</v>
      </c>
      <c r="AT4657" s="3" t="s">
        <v>64</v>
      </c>
      <c r="AV4657" s="6" t="str">
        <f>HYPERLINK("http://mcgill.on.worldcat.org/oclc/26842950","Catalog Record")</f>
        <v>Catalog Record</v>
      </c>
      <c r="AW4657" s="6" t="str">
        <f>HYPERLINK("http://www.worldcat.org/oclc/26842950","WorldCat Record")</f>
        <v>WorldCat Record</v>
      </c>
      <c r="AX4657" s="3" t="s">
        <v>45295</v>
      </c>
      <c r="AY4657" s="3" t="s">
        <v>45296</v>
      </c>
      <c r="AZ4657" s="3" t="s">
        <v>45297</v>
      </c>
      <c r="BA4657" s="3" t="s">
        <v>45297</v>
      </c>
      <c r="BB4657" s="3" t="s">
        <v>45298</v>
      </c>
      <c r="BC4657" s="3" t="s">
        <v>77</v>
      </c>
      <c r="BD4657" s="3" t="s">
        <v>78</v>
      </c>
      <c r="BE4657" s="3" t="s">
        <v>45299</v>
      </c>
      <c r="BF4657" s="3" t="s">
        <v>45298</v>
      </c>
      <c r="BG4657" s="3" t="s">
        <v>45300</v>
      </c>
      <c r="BH4657">
        <f t="shared" si="148"/>
        <v>0</v>
      </c>
    </row>
    <row r="4658" spans="1:60" ht="58" x14ac:dyDescent="0.35">
      <c r="A4658" s="2" t="s">
        <v>59</v>
      </c>
      <c r="B4658" s="2" t="s">
        <v>60</v>
      </c>
      <c r="C4658" s="2" t="s">
        <v>45301</v>
      </c>
      <c r="D4658" s="2" t="s">
        <v>45302</v>
      </c>
      <c r="E4658" s="2" t="s">
        <v>45303</v>
      </c>
      <c r="G4658" s="3" t="s">
        <v>64</v>
      </c>
      <c r="I4658" s="3" t="s">
        <v>128</v>
      </c>
      <c r="J4658" s="3" t="s">
        <v>64</v>
      </c>
      <c r="K4658" s="3" t="s">
        <v>65</v>
      </c>
      <c r="L4658" s="2" t="s">
        <v>45304</v>
      </c>
      <c r="M4658" s="2" t="s">
        <v>45305</v>
      </c>
      <c r="N4658" s="3" t="s">
        <v>153</v>
      </c>
      <c r="P4658" s="3" t="s">
        <v>102</v>
      </c>
      <c r="Q4658" s="2" t="s">
        <v>45306</v>
      </c>
      <c r="R4658" s="3" t="s">
        <v>70</v>
      </c>
      <c r="S4658" s="4">
        <v>2</v>
      </c>
      <c r="T4658" s="4">
        <v>3</v>
      </c>
      <c r="U4658" s="5" t="s">
        <v>45307</v>
      </c>
      <c r="V4658" s="5" t="s">
        <v>5146</v>
      </c>
      <c r="W4658" s="5" t="s">
        <v>72</v>
      </c>
      <c r="X4658" s="5" t="s">
        <v>72</v>
      </c>
      <c r="Y4658" s="4">
        <v>40</v>
      </c>
      <c r="Z4658" s="4">
        <v>24</v>
      </c>
      <c r="AA4658" s="4">
        <v>27</v>
      </c>
      <c r="AB4658" s="4">
        <v>1</v>
      </c>
      <c r="AC4658" s="4">
        <v>1</v>
      </c>
      <c r="AD4658" s="4">
        <v>29</v>
      </c>
      <c r="AE4658" s="4">
        <v>32</v>
      </c>
      <c r="AF4658" s="4">
        <v>0</v>
      </c>
      <c r="AG4658" s="4">
        <v>0</v>
      </c>
      <c r="AH4658" s="4">
        <v>19</v>
      </c>
      <c r="AI4658" s="4">
        <v>20</v>
      </c>
      <c r="AJ4658" s="4">
        <v>13</v>
      </c>
      <c r="AK4658" s="4">
        <v>16</v>
      </c>
      <c r="AL4658" s="4">
        <v>6</v>
      </c>
      <c r="AM4658" s="4">
        <v>6</v>
      </c>
      <c r="AN4658" s="4">
        <v>0</v>
      </c>
      <c r="AO4658" s="4">
        <v>0</v>
      </c>
      <c r="AP4658" s="4">
        <v>18</v>
      </c>
      <c r="AQ4658" s="4">
        <v>21</v>
      </c>
      <c r="AR4658" s="3" t="s">
        <v>128</v>
      </c>
      <c r="AS4658" s="3" t="s">
        <v>64</v>
      </c>
      <c r="AT4658" s="3" t="s">
        <v>64</v>
      </c>
      <c r="AV4658" s="6" t="str">
        <f>HYPERLINK("http://mcgill.on.worldcat.org/oclc/39070476","Catalog Record")</f>
        <v>Catalog Record</v>
      </c>
      <c r="AW4658" s="6" t="str">
        <f>HYPERLINK("http://www.worldcat.org/oclc/39070476","WorldCat Record")</f>
        <v>WorldCat Record</v>
      </c>
      <c r="AX4658" s="3" t="s">
        <v>45308</v>
      </c>
      <c r="AY4658" s="3" t="s">
        <v>45309</v>
      </c>
      <c r="AZ4658" s="3" t="s">
        <v>45310</v>
      </c>
      <c r="BA4658" s="3" t="s">
        <v>45310</v>
      </c>
      <c r="BB4658" s="3" t="s">
        <v>45311</v>
      </c>
      <c r="BC4658" s="3" t="s">
        <v>77</v>
      </c>
      <c r="BD4658" s="3" t="s">
        <v>78</v>
      </c>
      <c r="BE4658" s="3" t="s">
        <v>45312</v>
      </c>
      <c r="BF4658" s="3" t="s">
        <v>45311</v>
      </c>
      <c r="BG4658" s="3" t="s">
        <v>45313</v>
      </c>
      <c r="BH4658">
        <f t="shared" si="148"/>
        <v>0</v>
      </c>
    </row>
    <row r="4659" spans="1:60" ht="72.5" x14ac:dyDescent="0.35">
      <c r="A4659" s="2" t="s">
        <v>6202</v>
      </c>
      <c r="B4659" s="2" t="s">
        <v>6203</v>
      </c>
      <c r="C4659" s="2" t="s">
        <v>45314</v>
      </c>
      <c r="D4659" s="2" t="s">
        <v>45315</v>
      </c>
      <c r="E4659" s="2" t="s">
        <v>45316</v>
      </c>
      <c r="G4659" s="3" t="s">
        <v>64</v>
      </c>
      <c r="I4659" s="3" t="s">
        <v>128</v>
      </c>
      <c r="J4659" s="3" t="s">
        <v>128</v>
      </c>
      <c r="K4659" s="3" t="s">
        <v>65</v>
      </c>
      <c r="L4659" s="2" t="s">
        <v>17783</v>
      </c>
      <c r="M4659" s="2" t="s">
        <v>45317</v>
      </c>
      <c r="N4659" s="3" t="s">
        <v>481</v>
      </c>
      <c r="P4659" s="3" t="s">
        <v>102</v>
      </c>
      <c r="R4659" s="3" t="s">
        <v>70</v>
      </c>
      <c r="S4659" s="4">
        <v>0</v>
      </c>
      <c r="T4659" s="4">
        <v>2</v>
      </c>
      <c r="V4659" s="5" t="s">
        <v>45318</v>
      </c>
      <c r="W4659" s="5" t="s">
        <v>72</v>
      </c>
      <c r="X4659" s="5" t="s">
        <v>3671</v>
      </c>
      <c r="Y4659" s="4">
        <v>193</v>
      </c>
      <c r="Z4659" s="4">
        <v>29</v>
      </c>
      <c r="AA4659" s="4">
        <v>102</v>
      </c>
      <c r="AB4659" s="4">
        <v>2</v>
      </c>
      <c r="AC4659" s="4">
        <v>22</v>
      </c>
      <c r="AD4659" s="4">
        <v>77</v>
      </c>
      <c r="AE4659" s="4">
        <v>113</v>
      </c>
      <c r="AF4659" s="4">
        <v>0</v>
      </c>
      <c r="AG4659" s="4">
        <v>7</v>
      </c>
      <c r="AH4659" s="4">
        <v>64</v>
      </c>
      <c r="AI4659" s="4">
        <v>72</v>
      </c>
      <c r="AJ4659" s="4">
        <v>18</v>
      </c>
      <c r="AK4659" s="4">
        <v>26</v>
      </c>
      <c r="AL4659" s="4">
        <v>39</v>
      </c>
      <c r="AM4659" s="4">
        <v>43</v>
      </c>
      <c r="AN4659" s="4">
        <v>0</v>
      </c>
      <c r="AO4659" s="4">
        <v>0</v>
      </c>
      <c r="AP4659" s="4">
        <v>20</v>
      </c>
      <c r="AQ4659" s="4">
        <v>48</v>
      </c>
      <c r="AR4659" s="3" t="s">
        <v>128</v>
      </c>
      <c r="AS4659" s="3" t="s">
        <v>64</v>
      </c>
      <c r="AT4659" s="3" t="s">
        <v>64</v>
      </c>
      <c r="AV4659" s="6" t="str">
        <f>HYPERLINK("http://mcgill.on.worldcat.org/oclc/75916","Catalog Record")</f>
        <v>Catalog Record</v>
      </c>
      <c r="AW4659" s="6" t="str">
        <f>HYPERLINK("http://www.worldcat.org/oclc/75916","WorldCat Record")</f>
        <v>WorldCat Record</v>
      </c>
      <c r="AX4659" s="3" t="s">
        <v>45319</v>
      </c>
      <c r="AY4659" s="3" t="s">
        <v>45320</v>
      </c>
      <c r="AZ4659" s="3" t="s">
        <v>45321</v>
      </c>
      <c r="BA4659" s="3" t="s">
        <v>45321</v>
      </c>
      <c r="BB4659" s="3" t="s">
        <v>45322</v>
      </c>
      <c r="BC4659" s="3" t="s">
        <v>77</v>
      </c>
      <c r="BD4659" s="3" t="s">
        <v>78</v>
      </c>
      <c r="BE4659" s="3" t="s">
        <v>45323</v>
      </c>
      <c r="BF4659" s="3" t="s">
        <v>45322</v>
      </c>
      <c r="BG4659" s="3" t="s">
        <v>45324</v>
      </c>
      <c r="BH4659">
        <f t="shared" si="148"/>
        <v>0</v>
      </c>
    </row>
    <row r="4660" spans="1:60" ht="72.5" x14ac:dyDescent="0.35">
      <c r="A4660" s="2" t="s">
        <v>1040</v>
      </c>
      <c r="B4660" s="2" t="s">
        <v>60</v>
      </c>
      <c r="C4660" s="2" t="s">
        <v>45314</v>
      </c>
      <c r="D4660" s="2" t="s">
        <v>45315</v>
      </c>
      <c r="E4660" s="2" t="s">
        <v>45316</v>
      </c>
      <c r="G4660" s="3" t="s">
        <v>64</v>
      </c>
      <c r="I4660" s="3" t="s">
        <v>128</v>
      </c>
      <c r="J4660" s="3" t="s">
        <v>128</v>
      </c>
      <c r="K4660" s="3" t="s">
        <v>65</v>
      </c>
      <c r="L4660" s="2" t="s">
        <v>17783</v>
      </c>
      <c r="M4660" s="2" t="s">
        <v>45317</v>
      </c>
      <c r="N4660" s="3" t="s">
        <v>481</v>
      </c>
      <c r="P4660" s="3" t="s">
        <v>102</v>
      </c>
      <c r="R4660" s="3" t="s">
        <v>70</v>
      </c>
      <c r="S4660" s="4">
        <v>0</v>
      </c>
      <c r="T4660" s="4">
        <v>2</v>
      </c>
      <c r="V4660" s="5" t="s">
        <v>45318</v>
      </c>
      <c r="W4660" s="5" t="s">
        <v>72</v>
      </c>
      <c r="X4660" s="5" t="s">
        <v>3671</v>
      </c>
      <c r="Y4660" s="4">
        <v>193</v>
      </c>
      <c r="Z4660" s="4">
        <v>29</v>
      </c>
      <c r="AA4660" s="4">
        <v>102</v>
      </c>
      <c r="AB4660" s="4">
        <v>2</v>
      </c>
      <c r="AC4660" s="4">
        <v>22</v>
      </c>
      <c r="AD4660" s="4">
        <v>77</v>
      </c>
      <c r="AE4660" s="4">
        <v>113</v>
      </c>
      <c r="AF4660" s="4">
        <v>0</v>
      </c>
      <c r="AG4660" s="4">
        <v>7</v>
      </c>
      <c r="AH4660" s="4">
        <v>64</v>
      </c>
      <c r="AI4660" s="4">
        <v>72</v>
      </c>
      <c r="AJ4660" s="4">
        <v>18</v>
      </c>
      <c r="AK4660" s="4">
        <v>26</v>
      </c>
      <c r="AL4660" s="4">
        <v>39</v>
      </c>
      <c r="AM4660" s="4">
        <v>43</v>
      </c>
      <c r="AN4660" s="4">
        <v>0</v>
      </c>
      <c r="AO4660" s="4">
        <v>0</v>
      </c>
      <c r="AP4660" s="4">
        <v>20</v>
      </c>
      <c r="AQ4660" s="4">
        <v>48</v>
      </c>
      <c r="AR4660" s="3" t="s">
        <v>128</v>
      </c>
      <c r="AS4660" s="3" t="s">
        <v>64</v>
      </c>
      <c r="AT4660" s="3" t="s">
        <v>64</v>
      </c>
      <c r="AV4660" s="6" t="str">
        <f>HYPERLINK("http://mcgill.on.worldcat.org/oclc/75916","Catalog Record")</f>
        <v>Catalog Record</v>
      </c>
      <c r="AW4660" s="6" t="str">
        <f>HYPERLINK("http://www.worldcat.org/oclc/75916","WorldCat Record")</f>
        <v>WorldCat Record</v>
      </c>
      <c r="AX4660" s="3" t="s">
        <v>45319</v>
      </c>
      <c r="AY4660" s="3" t="s">
        <v>45320</v>
      </c>
      <c r="AZ4660" s="3" t="s">
        <v>45321</v>
      </c>
      <c r="BA4660" s="3" t="s">
        <v>45321</v>
      </c>
      <c r="BB4660" s="3" t="s">
        <v>45325</v>
      </c>
      <c r="BC4660" s="3" t="s">
        <v>77</v>
      </c>
      <c r="BD4660" s="3" t="s">
        <v>78</v>
      </c>
      <c r="BE4660" s="3" t="s">
        <v>45323</v>
      </c>
      <c r="BF4660" s="3" t="s">
        <v>45325</v>
      </c>
      <c r="BG4660" s="3" t="s">
        <v>45326</v>
      </c>
      <c r="BH4660">
        <f t="shared" si="148"/>
        <v>0</v>
      </c>
    </row>
    <row r="4661" spans="1:60" ht="58" x14ac:dyDescent="0.35">
      <c r="A4661" s="2" t="s">
        <v>6202</v>
      </c>
      <c r="B4661" s="2" t="s">
        <v>6203</v>
      </c>
      <c r="C4661" s="2" t="s">
        <v>45327</v>
      </c>
      <c r="D4661" s="2" t="s">
        <v>45328</v>
      </c>
      <c r="E4661" s="2" t="s">
        <v>45329</v>
      </c>
      <c r="G4661" s="3" t="s">
        <v>64</v>
      </c>
      <c r="I4661" s="3" t="s">
        <v>64</v>
      </c>
      <c r="J4661" s="3" t="s">
        <v>64</v>
      </c>
      <c r="K4661" s="3" t="s">
        <v>65</v>
      </c>
      <c r="L4661" s="2" t="s">
        <v>45330</v>
      </c>
      <c r="M4661" s="2" t="s">
        <v>3981</v>
      </c>
      <c r="N4661" s="3" t="s">
        <v>434</v>
      </c>
      <c r="P4661" s="3" t="s">
        <v>102</v>
      </c>
      <c r="Q4661" s="2" t="s">
        <v>45331</v>
      </c>
      <c r="R4661" s="3" t="s">
        <v>70</v>
      </c>
      <c r="S4661" s="4">
        <v>1</v>
      </c>
      <c r="T4661" s="4">
        <v>1</v>
      </c>
      <c r="U4661" s="5" t="s">
        <v>41517</v>
      </c>
      <c r="V4661" s="5" t="s">
        <v>41517</v>
      </c>
      <c r="W4661" s="5" t="s">
        <v>72</v>
      </c>
      <c r="X4661" s="5" t="s">
        <v>72</v>
      </c>
      <c r="Y4661" s="4">
        <v>121</v>
      </c>
      <c r="Z4661" s="4">
        <v>18</v>
      </c>
      <c r="AA4661" s="4">
        <v>19</v>
      </c>
      <c r="AB4661" s="4">
        <v>2</v>
      </c>
      <c r="AC4661" s="4">
        <v>3</v>
      </c>
      <c r="AD4661" s="4">
        <v>59</v>
      </c>
      <c r="AE4661" s="4">
        <v>60</v>
      </c>
      <c r="AF4661" s="4">
        <v>0</v>
      </c>
      <c r="AG4661" s="4">
        <v>1</v>
      </c>
      <c r="AH4661" s="4">
        <v>53</v>
      </c>
      <c r="AI4661" s="4">
        <v>53</v>
      </c>
      <c r="AJ4661" s="4">
        <v>12</v>
      </c>
      <c r="AK4661" s="4">
        <v>13</v>
      </c>
      <c r="AL4661" s="4">
        <v>35</v>
      </c>
      <c r="AM4661" s="4">
        <v>35</v>
      </c>
      <c r="AN4661" s="4">
        <v>0</v>
      </c>
      <c r="AO4661" s="4">
        <v>0</v>
      </c>
      <c r="AP4661" s="4">
        <v>14</v>
      </c>
      <c r="AQ4661" s="4">
        <v>14</v>
      </c>
      <c r="AR4661" s="3" t="s">
        <v>64</v>
      </c>
      <c r="AS4661" s="3" t="s">
        <v>64</v>
      </c>
      <c r="AT4661" s="3" t="s">
        <v>64</v>
      </c>
      <c r="AV4661" s="6" t="str">
        <f>HYPERLINK("http://mcgill.on.worldcat.org/oclc/57458761","Catalog Record")</f>
        <v>Catalog Record</v>
      </c>
      <c r="AW4661" s="6" t="str">
        <f>HYPERLINK("http://www.worldcat.org/oclc/57458761","WorldCat Record")</f>
        <v>WorldCat Record</v>
      </c>
      <c r="AX4661" s="3" t="s">
        <v>45332</v>
      </c>
      <c r="AY4661" s="3" t="s">
        <v>45333</v>
      </c>
      <c r="AZ4661" s="3" t="s">
        <v>45334</v>
      </c>
      <c r="BA4661" s="3" t="s">
        <v>45334</v>
      </c>
      <c r="BB4661" s="3" t="s">
        <v>45335</v>
      </c>
      <c r="BC4661" s="3" t="s">
        <v>77</v>
      </c>
      <c r="BD4661" s="3" t="s">
        <v>78</v>
      </c>
      <c r="BE4661" s="3" t="s">
        <v>45336</v>
      </c>
      <c r="BF4661" s="3" t="s">
        <v>45335</v>
      </c>
      <c r="BG4661" s="3" t="s">
        <v>45337</v>
      </c>
      <c r="BH4661">
        <f t="shared" si="148"/>
        <v>0</v>
      </c>
    </row>
    <row r="4662" spans="1:60" ht="58" x14ac:dyDescent="0.35">
      <c r="A4662" s="2" t="s">
        <v>6202</v>
      </c>
      <c r="B4662" s="2" t="s">
        <v>6203</v>
      </c>
      <c r="C4662" s="2" t="s">
        <v>45338</v>
      </c>
      <c r="D4662" s="2" t="s">
        <v>45339</v>
      </c>
      <c r="E4662" s="2" t="s">
        <v>45340</v>
      </c>
      <c r="G4662" s="3" t="s">
        <v>64</v>
      </c>
      <c r="I4662" s="3" t="s">
        <v>64</v>
      </c>
      <c r="J4662" s="3" t="s">
        <v>64</v>
      </c>
      <c r="K4662" s="3" t="s">
        <v>65</v>
      </c>
      <c r="L4662" s="2" t="s">
        <v>45330</v>
      </c>
      <c r="M4662" s="2" t="s">
        <v>45341</v>
      </c>
      <c r="N4662" s="3" t="s">
        <v>101</v>
      </c>
      <c r="P4662" s="3" t="s">
        <v>102</v>
      </c>
      <c r="Q4662" s="2" t="s">
        <v>45342</v>
      </c>
      <c r="R4662" s="3" t="s">
        <v>70</v>
      </c>
      <c r="S4662" s="4">
        <v>1</v>
      </c>
      <c r="T4662" s="4">
        <v>1</v>
      </c>
      <c r="U4662" s="5" t="s">
        <v>41517</v>
      </c>
      <c r="V4662" s="5" t="s">
        <v>41517</v>
      </c>
      <c r="W4662" s="5" t="s">
        <v>72</v>
      </c>
      <c r="X4662" s="5" t="s">
        <v>72</v>
      </c>
      <c r="Y4662" s="4">
        <v>122</v>
      </c>
      <c r="Z4662" s="4">
        <v>8</v>
      </c>
      <c r="AA4662" s="4">
        <v>100</v>
      </c>
      <c r="AB4662" s="4">
        <v>1</v>
      </c>
      <c r="AC4662" s="4">
        <v>17</v>
      </c>
      <c r="AD4662" s="4">
        <v>59</v>
      </c>
      <c r="AE4662" s="4">
        <v>123</v>
      </c>
      <c r="AF4662" s="4">
        <v>0</v>
      </c>
      <c r="AG4662" s="4">
        <v>8</v>
      </c>
      <c r="AH4662" s="4">
        <v>58</v>
      </c>
      <c r="AI4662" s="4">
        <v>88</v>
      </c>
      <c r="AJ4662" s="4">
        <v>5</v>
      </c>
      <c r="AK4662" s="4">
        <v>21</v>
      </c>
      <c r="AL4662" s="4">
        <v>37</v>
      </c>
      <c r="AM4662" s="4">
        <v>45</v>
      </c>
      <c r="AN4662" s="4">
        <v>0</v>
      </c>
      <c r="AO4662" s="4">
        <v>0</v>
      </c>
      <c r="AP4662" s="4">
        <v>5</v>
      </c>
      <c r="AQ4662" s="4">
        <v>42</v>
      </c>
      <c r="AR4662" s="3" t="s">
        <v>64</v>
      </c>
      <c r="AS4662" s="3" t="s">
        <v>64</v>
      </c>
      <c r="AT4662" s="3" t="s">
        <v>128</v>
      </c>
      <c r="AU4662" s="6" t="str">
        <f>HYPERLINK("http://catalog.hathitrust.org/Record/005067828","HathiTrust Record")</f>
        <v>HathiTrust Record</v>
      </c>
      <c r="AV4662" s="6" t="str">
        <f>HYPERLINK("http://mcgill.on.worldcat.org/oclc/52288738","Catalog Record")</f>
        <v>Catalog Record</v>
      </c>
      <c r="AW4662" s="6" t="str">
        <f>HYPERLINK("http://www.worldcat.org/oclc/52288738","WorldCat Record")</f>
        <v>WorldCat Record</v>
      </c>
      <c r="AX4662" s="3" t="s">
        <v>45343</v>
      </c>
      <c r="AY4662" s="3" t="s">
        <v>45344</v>
      </c>
      <c r="AZ4662" s="3" t="s">
        <v>45345</v>
      </c>
      <c r="BA4662" s="3" t="s">
        <v>45345</v>
      </c>
      <c r="BB4662" s="3" t="s">
        <v>45346</v>
      </c>
      <c r="BC4662" s="3" t="s">
        <v>77</v>
      </c>
      <c r="BD4662" s="3" t="s">
        <v>78</v>
      </c>
      <c r="BE4662" s="3" t="s">
        <v>45347</v>
      </c>
      <c r="BF4662" s="3" t="s">
        <v>45346</v>
      </c>
      <c r="BG4662" s="3" t="s">
        <v>45348</v>
      </c>
      <c r="BH4662">
        <f t="shared" si="148"/>
        <v>0</v>
      </c>
    </row>
    <row r="4663" spans="1:60" ht="58" x14ac:dyDescent="0.35">
      <c r="A4663" s="2" t="s">
        <v>6202</v>
      </c>
      <c r="B4663" s="2" t="s">
        <v>6203</v>
      </c>
      <c r="C4663" s="2" t="s">
        <v>45349</v>
      </c>
      <c r="D4663" s="2" t="s">
        <v>45350</v>
      </c>
      <c r="E4663" s="2" t="s">
        <v>45351</v>
      </c>
      <c r="G4663" s="3" t="s">
        <v>64</v>
      </c>
      <c r="I4663" s="3" t="s">
        <v>64</v>
      </c>
      <c r="J4663" s="3" t="s">
        <v>64</v>
      </c>
      <c r="K4663" s="3" t="s">
        <v>65</v>
      </c>
      <c r="L4663" s="2" t="s">
        <v>45352</v>
      </c>
      <c r="M4663" s="2" t="s">
        <v>45353</v>
      </c>
      <c r="N4663" s="3" t="s">
        <v>315</v>
      </c>
      <c r="P4663" s="3" t="s">
        <v>944</v>
      </c>
      <c r="Q4663" s="2" t="s">
        <v>45354</v>
      </c>
      <c r="R4663" s="3" t="s">
        <v>70</v>
      </c>
      <c r="S4663" s="4">
        <v>3</v>
      </c>
      <c r="T4663" s="4">
        <v>3</v>
      </c>
      <c r="U4663" s="5" t="s">
        <v>45355</v>
      </c>
      <c r="V4663" s="5" t="s">
        <v>45355</v>
      </c>
      <c r="W4663" s="5" t="s">
        <v>72</v>
      </c>
      <c r="X4663" s="5" t="s">
        <v>72</v>
      </c>
      <c r="Y4663" s="4">
        <v>92</v>
      </c>
      <c r="Z4663" s="4">
        <v>6</v>
      </c>
      <c r="AA4663" s="4">
        <v>6</v>
      </c>
      <c r="AB4663" s="4">
        <v>1</v>
      </c>
      <c r="AC4663" s="4">
        <v>1</v>
      </c>
      <c r="AD4663" s="4">
        <v>49</v>
      </c>
      <c r="AE4663" s="4">
        <v>49</v>
      </c>
      <c r="AF4663" s="4">
        <v>0</v>
      </c>
      <c r="AG4663" s="4">
        <v>0</v>
      </c>
      <c r="AH4663" s="4">
        <v>46</v>
      </c>
      <c r="AI4663" s="4">
        <v>46</v>
      </c>
      <c r="AJ4663" s="4">
        <v>4</v>
      </c>
      <c r="AK4663" s="4">
        <v>4</v>
      </c>
      <c r="AL4663" s="4">
        <v>32</v>
      </c>
      <c r="AM4663" s="4">
        <v>32</v>
      </c>
      <c r="AN4663" s="4">
        <v>0</v>
      </c>
      <c r="AO4663" s="4">
        <v>0</v>
      </c>
      <c r="AP4663" s="4">
        <v>4</v>
      </c>
      <c r="AQ4663" s="4">
        <v>4</v>
      </c>
      <c r="AR4663" s="3" t="s">
        <v>64</v>
      </c>
      <c r="AS4663" s="3" t="s">
        <v>64</v>
      </c>
      <c r="AT4663" s="3" t="s">
        <v>128</v>
      </c>
      <c r="AU4663" s="6" t="str">
        <f>HYPERLINK("http://catalog.hathitrust.org/Record/007111864","HathiTrust Record")</f>
        <v>HathiTrust Record</v>
      </c>
      <c r="AV4663" s="6" t="str">
        <f>HYPERLINK("http://mcgill.on.worldcat.org/oclc/1911980","Catalog Record")</f>
        <v>Catalog Record</v>
      </c>
      <c r="AW4663" s="6" t="str">
        <f>HYPERLINK("http://www.worldcat.org/oclc/1911980","WorldCat Record")</f>
        <v>WorldCat Record</v>
      </c>
      <c r="AX4663" s="3" t="s">
        <v>45356</v>
      </c>
      <c r="AY4663" s="3" t="s">
        <v>45357</v>
      </c>
      <c r="AZ4663" s="3" t="s">
        <v>45358</v>
      </c>
      <c r="BA4663" s="3" t="s">
        <v>45358</v>
      </c>
      <c r="BB4663" s="3" t="s">
        <v>45359</v>
      </c>
      <c r="BC4663" s="3" t="s">
        <v>77</v>
      </c>
      <c r="BD4663" s="3" t="s">
        <v>78</v>
      </c>
      <c r="BF4663" s="3" t="s">
        <v>45359</v>
      </c>
      <c r="BG4663" s="3" t="s">
        <v>45360</v>
      </c>
      <c r="BH4663">
        <f t="shared" si="148"/>
        <v>0</v>
      </c>
    </row>
    <row r="4664" spans="1:60" ht="130.5" x14ac:dyDescent="0.35">
      <c r="A4664" s="2" t="s">
        <v>59</v>
      </c>
      <c r="B4664" s="2" t="s">
        <v>39594</v>
      </c>
      <c r="C4664" s="2" t="s">
        <v>45361</v>
      </c>
      <c r="D4664" s="2" t="s">
        <v>45362</v>
      </c>
      <c r="E4664" s="2" t="s">
        <v>45363</v>
      </c>
      <c r="G4664" s="3" t="s">
        <v>64</v>
      </c>
      <c r="I4664" s="3" t="s">
        <v>128</v>
      </c>
      <c r="J4664" s="3" t="s">
        <v>64</v>
      </c>
      <c r="K4664" s="3" t="s">
        <v>65</v>
      </c>
      <c r="L4664" s="2" t="s">
        <v>45364</v>
      </c>
      <c r="M4664" s="2" t="s">
        <v>45365</v>
      </c>
      <c r="N4664" s="3" t="s">
        <v>1750</v>
      </c>
      <c r="P4664" s="3" t="s">
        <v>102</v>
      </c>
      <c r="R4664" s="3" t="s">
        <v>70</v>
      </c>
      <c r="S4664" s="4">
        <v>0</v>
      </c>
      <c r="T4664" s="4">
        <v>1</v>
      </c>
      <c r="V4664" s="5" t="s">
        <v>174</v>
      </c>
      <c r="W4664" s="5" t="s">
        <v>72</v>
      </c>
      <c r="X4664" s="5" t="s">
        <v>72</v>
      </c>
      <c r="Y4664" s="4">
        <v>13</v>
      </c>
      <c r="Z4664" s="4">
        <v>5</v>
      </c>
      <c r="AA4664" s="4">
        <v>21</v>
      </c>
      <c r="AB4664" s="4">
        <v>1</v>
      </c>
      <c r="AC4664" s="4">
        <v>2</v>
      </c>
      <c r="AD4664" s="4">
        <v>7</v>
      </c>
      <c r="AE4664" s="4">
        <v>27</v>
      </c>
      <c r="AF4664" s="4">
        <v>0</v>
      </c>
      <c r="AG4664" s="4">
        <v>1</v>
      </c>
      <c r="AH4664" s="4">
        <v>6</v>
      </c>
      <c r="AI4664" s="4">
        <v>19</v>
      </c>
      <c r="AJ4664" s="4">
        <v>2</v>
      </c>
      <c r="AK4664" s="4">
        <v>15</v>
      </c>
      <c r="AL4664" s="4">
        <v>3</v>
      </c>
      <c r="AM4664" s="4">
        <v>7</v>
      </c>
      <c r="AN4664" s="4">
        <v>0</v>
      </c>
      <c r="AO4664" s="4">
        <v>0</v>
      </c>
      <c r="AP4664" s="4">
        <v>3</v>
      </c>
      <c r="AQ4664" s="4">
        <v>17</v>
      </c>
      <c r="AR4664" s="3" t="s">
        <v>128</v>
      </c>
      <c r="AS4664" s="3" t="s">
        <v>64</v>
      </c>
      <c r="AT4664" s="3" t="s">
        <v>64</v>
      </c>
      <c r="AV4664" s="6" t="str">
        <f>HYPERLINK("http://mcgill.on.worldcat.org/oclc/2605550","Catalog Record")</f>
        <v>Catalog Record</v>
      </c>
      <c r="AW4664" s="6" t="str">
        <f>HYPERLINK("http://www.worldcat.org/oclc/2605550","WorldCat Record")</f>
        <v>WorldCat Record</v>
      </c>
      <c r="AX4664" s="3" t="s">
        <v>45366</v>
      </c>
      <c r="AY4664" s="3" t="s">
        <v>45367</v>
      </c>
      <c r="AZ4664" s="3" t="s">
        <v>45368</v>
      </c>
      <c r="BA4664" s="3" t="s">
        <v>45368</v>
      </c>
      <c r="BB4664" s="3" t="s">
        <v>45369</v>
      </c>
      <c r="BC4664" s="3" t="s">
        <v>77</v>
      </c>
      <c r="BD4664" s="3" t="s">
        <v>78</v>
      </c>
      <c r="BF4664" s="3" t="s">
        <v>45369</v>
      </c>
      <c r="BG4664" s="3" t="s">
        <v>45370</v>
      </c>
      <c r="BH4664">
        <f t="shared" si="148"/>
        <v>0</v>
      </c>
    </row>
    <row r="4665" spans="1:60" ht="87" x14ac:dyDescent="0.35">
      <c r="A4665" s="2" t="s">
        <v>1932</v>
      </c>
      <c r="B4665" s="2" t="s">
        <v>1933</v>
      </c>
      <c r="C4665" s="2" t="s">
        <v>45361</v>
      </c>
      <c r="D4665" s="2" t="s">
        <v>45362</v>
      </c>
      <c r="E4665" s="2" t="s">
        <v>45363</v>
      </c>
      <c r="G4665" s="3" t="s">
        <v>64</v>
      </c>
      <c r="I4665" s="3" t="s">
        <v>128</v>
      </c>
      <c r="J4665" s="3" t="s">
        <v>64</v>
      </c>
      <c r="K4665" s="3" t="s">
        <v>65</v>
      </c>
      <c r="L4665" s="2" t="s">
        <v>45364</v>
      </c>
      <c r="M4665" s="2" t="s">
        <v>45365</v>
      </c>
      <c r="N4665" s="3" t="s">
        <v>1750</v>
      </c>
      <c r="P4665" s="3" t="s">
        <v>102</v>
      </c>
      <c r="R4665" s="3" t="s">
        <v>70</v>
      </c>
      <c r="S4665" s="4">
        <v>1</v>
      </c>
      <c r="T4665" s="4">
        <v>1</v>
      </c>
      <c r="U4665" s="5" t="s">
        <v>174</v>
      </c>
      <c r="V4665" s="5" t="s">
        <v>174</v>
      </c>
      <c r="W4665" s="5" t="s">
        <v>72</v>
      </c>
      <c r="X4665" s="5" t="s">
        <v>72</v>
      </c>
      <c r="Y4665" s="4">
        <v>13</v>
      </c>
      <c r="Z4665" s="4">
        <v>5</v>
      </c>
      <c r="AA4665" s="4">
        <v>21</v>
      </c>
      <c r="AB4665" s="4">
        <v>1</v>
      </c>
      <c r="AC4665" s="4">
        <v>2</v>
      </c>
      <c r="AD4665" s="4">
        <v>7</v>
      </c>
      <c r="AE4665" s="4">
        <v>27</v>
      </c>
      <c r="AF4665" s="4">
        <v>0</v>
      </c>
      <c r="AG4665" s="4">
        <v>1</v>
      </c>
      <c r="AH4665" s="4">
        <v>6</v>
      </c>
      <c r="AI4665" s="4">
        <v>19</v>
      </c>
      <c r="AJ4665" s="4">
        <v>2</v>
      </c>
      <c r="AK4665" s="4">
        <v>15</v>
      </c>
      <c r="AL4665" s="4">
        <v>3</v>
      </c>
      <c r="AM4665" s="4">
        <v>7</v>
      </c>
      <c r="AN4665" s="4">
        <v>0</v>
      </c>
      <c r="AO4665" s="4">
        <v>0</v>
      </c>
      <c r="AP4665" s="4">
        <v>3</v>
      </c>
      <c r="AQ4665" s="4">
        <v>17</v>
      </c>
      <c r="AR4665" s="3" t="s">
        <v>128</v>
      </c>
      <c r="AS4665" s="3" t="s">
        <v>64</v>
      </c>
      <c r="AT4665" s="3" t="s">
        <v>64</v>
      </c>
      <c r="AV4665" s="6" t="str">
        <f>HYPERLINK("http://mcgill.on.worldcat.org/oclc/2605550","Catalog Record")</f>
        <v>Catalog Record</v>
      </c>
      <c r="AW4665" s="6" t="str">
        <f>HYPERLINK("http://www.worldcat.org/oclc/2605550","WorldCat Record")</f>
        <v>WorldCat Record</v>
      </c>
      <c r="AX4665" s="3" t="s">
        <v>45366</v>
      </c>
      <c r="AY4665" s="3" t="s">
        <v>45367</v>
      </c>
      <c r="AZ4665" s="3" t="s">
        <v>45368</v>
      </c>
      <c r="BA4665" s="3" t="s">
        <v>45368</v>
      </c>
      <c r="BB4665" s="3" t="s">
        <v>45371</v>
      </c>
      <c r="BC4665" s="3" t="s">
        <v>77</v>
      </c>
      <c r="BD4665" s="3" t="s">
        <v>78</v>
      </c>
      <c r="BF4665" s="3" t="s">
        <v>45371</v>
      </c>
      <c r="BG4665" s="3" t="s">
        <v>45372</v>
      </c>
      <c r="BH4665">
        <f t="shared" si="148"/>
        <v>0</v>
      </c>
    </row>
    <row r="4666" spans="1:60" ht="58" x14ac:dyDescent="0.35">
      <c r="A4666" s="2" t="s">
        <v>59</v>
      </c>
      <c r="B4666" s="2" t="s">
        <v>60</v>
      </c>
      <c r="C4666" s="2" t="s">
        <v>45373</v>
      </c>
      <c r="D4666" s="2" t="s">
        <v>45374</v>
      </c>
      <c r="E4666" s="2" t="s">
        <v>45375</v>
      </c>
      <c r="G4666" s="3" t="s">
        <v>64</v>
      </c>
      <c r="I4666" s="3" t="s">
        <v>128</v>
      </c>
      <c r="J4666" s="3" t="s">
        <v>64</v>
      </c>
      <c r="K4666" s="3" t="s">
        <v>65</v>
      </c>
      <c r="M4666" s="2" t="s">
        <v>45376</v>
      </c>
      <c r="N4666" s="3" t="s">
        <v>378</v>
      </c>
      <c r="O4666" s="2" t="s">
        <v>734</v>
      </c>
      <c r="P4666" s="3" t="s">
        <v>102</v>
      </c>
      <c r="R4666" s="3" t="s">
        <v>70</v>
      </c>
      <c r="S4666" s="4">
        <v>1</v>
      </c>
      <c r="T4666" s="4">
        <v>3</v>
      </c>
      <c r="U4666" s="5" t="s">
        <v>45377</v>
      </c>
      <c r="V4666" s="5" t="s">
        <v>45377</v>
      </c>
      <c r="W4666" s="5" t="s">
        <v>72</v>
      </c>
      <c r="X4666" s="5" t="s">
        <v>72</v>
      </c>
      <c r="Y4666" s="4">
        <v>1</v>
      </c>
      <c r="Z4666" s="4">
        <v>1</v>
      </c>
      <c r="AA4666" s="4">
        <v>3</v>
      </c>
      <c r="AB4666" s="4">
        <v>1</v>
      </c>
      <c r="AC4666" s="4">
        <v>2</v>
      </c>
      <c r="AD4666" s="4">
        <v>0</v>
      </c>
      <c r="AE4666" s="4">
        <v>2</v>
      </c>
      <c r="AF4666" s="4">
        <v>0</v>
      </c>
      <c r="AG4666" s="4">
        <v>1</v>
      </c>
      <c r="AH4666" s="4">
        <v>0</v>
      </c>
      <c r="AI4666" s="4">
        <v>0</v>
      </c>
      <c r="AJ4666" s="4">
        <v>0</v>
      </c>
      <c r="AK4666" s="4">
        <v>2</v>
      </c>
      <c r="AL4666" s="4">
        <v>0</v>
      </c>
      <c r="AM4666" s="4">
        <v>0</v>
      </c>
      <c r="AN4666" s="4">
        <v>0</v>
      </c>
      <c r="AO4666" s="4">
        <v>0</v>
      </c>
      <c r="AP4666" s="4">
        <v>0</v>
      </c>
      <c r="AQ4666" s="4">
        <v>0</v>
      </c>
      <c r="AR4666" s="3" t="s">
        <v>128</v>
      </c>
      <c r="AS4666" s="3" t="s">
        <v>64</v>
      </c>
      <c r="AT4666" s="3" t="s">
        <v>64</v>
      </c>
      <c r="AV4666" s="6" t="str">
        <f>HYPERLINK("http://mcgill.on.worldcat.org/oclc/61544826","Catalog Record")</f>
        <v>Catalog Record</v>
      </c>
      <c r="AW4666" s="6" t="str">
        <f>HYPERLINK("http://www.worldcat.org/oclc/61544826","WorldCat Record")</f>
        <v>WorldCat Record</v>
      </c>
      <c r="AX4666" s="3" t="s">
        <v>45378</v>
      </c>
      <c r="AY4666" s="3" t="s">
        <v>45379</v>
      </c>
      <c r="AZ4666" s="3" t="s">
        <v>45380</v>
      </c>
      <c r="BA4666" s="3" t="s">
        <v>45380</v>
      </c>
      <c r="BB4666" s="3" t="s">
        <v>45381</v>
      </c>
      <c r="BC4666" s="3" t="s">
        <v>77</v>
      </c>
      <c r="BD4666" s="3" t="s">
        <v>78</v>
      </c>
      <c r="BF4666" s="3" t="s">
        <v>45381</v>
      </c>
      <c r="BG4666" s="3" t="s">
        <v>45382</v>
      </c>
      <c r="BH4666">
        <f t="shared" si="148"/>
        <v>0</v>
      </c>
    </row>
    <row r="4667" spans="1:60" ht="58" x14ac:dyDescent="0.35">
      <c r="A4667" s="2" t="s">
        <v>6202</v>
      </c>
      <c r="B4667" s="2" t="s">
        <v>6203</v>
      </c>
      <c r="C4667" s="2" t="s">
        <v>45383</v>
      </c>
      <c r="D4667" s="2" t="s">
        <v>45384</v>
      </c>
      <c r="E4667" s="2" t="s">
        <v>45385</v>
      </c>
      <c r="F4667" s="3" t="s">
        <v>45386</v>
      </c>
      <c r="G4667" s="3" t="s">
        <v>128</v>
      </c>
      <c r="I4667" s="3" t="s">
        <v>64</v>
      </c>
      <c r="J4667" s="3" t="s">
        <v>64</v>
      </c>
      <c r="K4667" s="3" t="s">
        <v>65</v>
      </c>
      <c r="L4667" s="2" t="s">
        <v>45387</v>
      </c>
      <c r="M4667" s="2" t="s">
        <v>45388</v>
      </c>
      <c r="N4667" s="3" t="s">
        <v>242</v>
      </c>
      <c r="P4667" s="3" t="s">
        <v>102</v>
      </c>
      <c r="R4667" s="3" t="s">
        <v>70</v>
      </c>
      <c r="S4667" s="4">
        <v>2</v>
      </c>
      <c r="T4667" s="4">
        <v>8</v>
      </c>
      <c r="U4667" s="5" t="s">
        <v>16276</v>
      </c>
      <c r="V4667" s="5" t="s">
        <v>16276</v>
      </c>
      <c r="W4667" s="5" t="s">
        <v>72</v>
      </c>
      <c r="X4667" s="5" t="s">
        <v>72</v>
      </c>
      <c r="Y4667" s="4">
        <v>612</v>
      </c>
      <c r="Z4667" s="4">
        <v>20</v>
      </c>
      <c r="AA4667" s="4">
        <v>36</v>
      </c>
      <c r="AB4667" s="4">
        <v>2</v>
      </c>
      <c r="AC4667" s="4">
        <v>6</v>
      </c>
      <c r="AD4667" s="4">
        <v>111</v>
      </c>
      <c r="AE4667" s="4">
        <v>134</v>
      </c>
      <c r="AF4667" s="4">
        <v>1</v>
      </c>
      <c r="AG4667" s="4">
        <v>4</v>
      </c>
      <c r="AH4667" s="4">
        <v>100</v>
      </c>
      <c r="AI4667" s="4">
        <v>113</v>
      </c>
      <c r="AJ4667" s="4">
        <v>15</v>
      </c>
      <c r="AK4667" s="4">
        <v>24</v>
      </c>
      <c r="AL4667" s="4">
        <v>54</v>
      </c>
      <c r="AM4667" s="4">
        <v>60</v>
      </c>
      <c r="AN4667" s="4">
        <v>0</v>
      </c>
      <c r="AO4667" s="4">
        <v>0</v>
      </c>
      <c r="AP4667" s="4">
        <v>15</v>
      </c>
      <c r="AQ4667" s="4">
        <v>26</v>
      </c>
      <c r="AR4667" s="3" t="s">
        <v>64</v>
      </c>
      <c r="AS4667" s="3" t="s">
        <v>64</v>
      </c>
      <c r="AT4667" s="3" t="s">
        <v>128</v>
      </c>
      <c r="AU4667" s="6" t="str">
        <f>HYPERLINK("http://catalog.hathitrust.org/Record/002139120","HathiTrust Record")</f>
        <v>HathiTrust Record</v>
      </c>
      <c r="AV4667" s="6" t="str">
        <f>HYPERLINK("http://mcgill.on.worldcat.org/oclc/789013","Catalog Record")</f>
        <v>Catalog Record</v>
      </c>
      <c r="AW4667" s="6" t="str">
        <f>HYPERLINK("http://www.worldcat.org/oclc/789013","WorldCat Record")</f>
        <v>WorldCat Record</v>
      </c>
      <c r="AX4667" s="3" t="s">
        <v>45389</v>
      </c>
      <c r="AY4667" s="3" t="s">
        <v>45390</v>
      </c>
      <c r="AZ4667" s="3" t="s">
        <v>45391</v>
      </c>
      <c r="BA4667" s="3" t="s">
        <v>45391</v>
      </c>
      <c r="BB4667" s="3" t="s">
        <v>45392</v>
      </c>
      <c r="BC4667" s="3" t="s">
        <v>77</v>
      </c>
      <c r="BD4667" s="3" t="s">
        <v>78</v>
      </c>
      <c r="BF4667" s="3" t="s">
        <v>45392</v>
      </c>
      <c r="BG4667" s="3" t="s">
        <v>45393</v>
      </c>
      <c r="BH4667">
        <f t="shared" si="148"/>
        <v>0</v>
      </c>
    </row>
    <row r="4668" spans="1:60" ht="58" x14ac:dyDescent="0.35">
      <c r="A4668" s="2" t="s">
        <v>6202</v>
      </c>
      <c r="B4668" s="2" t="s">
        <v>6203</v>
      </c>
      <c r="C4668" s="2" t="s">
        <v>45383</v>
      </c>
      <c r="D4668" s="2" t="s">
        <v>45384</v>
      </c>
      <c r="E4668" s="2" t="s">
        <v>45385</v>
      </c>
      <c r="F4668" s="3" t="s">
        <v>478</v>
      </c>
      <c r="G4668" s="3" t="s">
        <v>128</v>
      </c>
      <c r="I4668" s="3" t="s">
        <v>64</v>
      </c>
      <c r="J4668" s="3" t="s">
        <v>64</v>
      </c>
      <c r="K4668" s="3" t="s">
        <v>65</v>
      </c>
      <c r="L4668" s="2" t="s">
        <v>45387</v>
      </c>
      <c r="M4668" s="2" t="s">
        <v>45388</v>
      </c>
      <c r="N4668" s="3" t="s">
        <v>242</v>
      </c>
      <c r="P4668" s="3" t="s">
        <v>102</v>
      </c>
      <c r="R4668" s="3" t="s">
        <v>70</v>
      </c>
      <c r="S4668" s="4">
        <v>3</v>
      </c>
      <c r="T4668" s="4">
        <v>8</v>
      </c>
      <c r="U4668" s="5" t="s">
        <v>16276</v>
      </c>
      <c r="V4668" s="5" t="s">
        <v>16276</v>
      </c>
      <c r="W4668" s="5" t="s">
        <v>72</v>
      </c>
      <c r="X4668" s="5" t="s">
        <v>72</v>
      </c>
      <c r="Y4668" s="4">
        <v>612</v>
      </c>
      <c r="Z4668" s="4">
        <v>20</v>
      </c>
      <c r="AA4668" s="4">
        <v>36</v>
      </c>
      <c r="AB4668" s="4">
        <v>2</v>
      </c>
      <c r="AC4668" s="4">
        <v>6</v>
      </c>
      <c r="AD4668" s="4">
        <v>111</v>
      </c>
      <c r="AE4668" s="4">
        <v>134</v>
      </c>
      <c r="AF4668" s="4">
        <v>1</v>
      </c>
      <c r="AG4668" s="4">
        <v>4</v>
      </c>
      <c r="AH4668" s="4">
        <v>100</v>
      </c>
      <c r="AI4668" s="4">
        <v>113</v>
      </c>
      <c r="AJ4668" s="4">
        <v>15</v>
      </c>
      <c r="AK4668" s="4">
        <v>24</v>
      </c>
      <c r="AL4668" s="4">
        <v>54</v>
      </c>
      <c r="AM4668" s="4">
        <v>60</v>
      </c>
      <c r="AN4668" s="4">
        <v>0</v>
      </c>
      <c r="AO4668" s="4">
        <v>0</v>
      </c>
      <c r="AP4668" s="4">
        <v>15</v>
      </c>
      <c r="AQ4668" s="4">
        <v>26</v>
      </c>
      <c r="AR4668" s="3" t="s">
        <v>64</v>
      </c>
      <c r="AS4668" s="3" t="s">
        <v>64</v>
      </c>
      <c r="AT4668" s="3" t="s">
        <v>128</v>
      </c>
      <c r="AU4668" s="6" t="str">
        <f>HYPERLINK("http://catalog.hathitrust.org/Record/002139120","HathiTrust Record")</f>
        <v>HathiTrust Record</v>
      </c>
      <c r="AV4668" s="6" t="str">
        <f>HYPERLINK("http://mcgill.on.worldcat.org/oclc/789013","Catalog Record")</f>
        <v>Catalog Record</v>
      </c>
      <c r="AW4668" s="6" t="str">
        <f>HYPERLINK("http://www.worldcat.org/oclc/789013","WorldCat Record")</f>
        <v>WorldCat Record</v>
      </c>
      <c r="AX4668" s="3" t="s">
        <v>45389</v>
      </c>
      <c r="AY4668" s="3" t="s">
        <v>45390</v>
      </c>
      <c r="AZ4668" s="3" t="s">
        <v>45391</v>
      </c>
      <c r="BA4668" s="3" t="s">
        <v>45391</v>
      </c>
      <c r="BB4668" s="3" t="s">
        <v>45394</v>
      </c>
      <c r="BC4668" s="3" t="s">
        <v>77</v>
      </c>
      <c r="BD4668" s="3" t="s">
        <v>78</v>
      </c>
      <c r="BF4668" s="3" t="s">
        <v>45394</v>
      </c>
      <c r="BG4668" s="3" t="s">
        <v>45395</v>
      </c>
      <c r="BH4668">
        <f t="shared" si="148"/>
        <v>0</v>
      </c>
    </row>
    <row r="4669" spans="1:60" ht="58" x14ac:dyDescent="0.35">
      <c r="A4669" s="2" t="s">
        <v>6202</v>
      </c>
      <c r="B4669" s="2" t="s">
        <v>6203</v>
      </c>
      <c r="C4669" s="2" t="s">
        <v>45383</v>
      </c>
      <c r="D4669" s="2" t="s">
        <v>45384</v>
      </c>
      <c r="E4669" s="2" t="s">
        <v>45385</v>
      </c>
      <c r="F4669" s="3" t="s">
        <v>45396</v>
      </c>
      <c r="G4669" s="3" t="s">
        <v>128</v>
      </c>
      <c r="I4669" s="3" t="s">
        <v>64</v>
      </c>
      <c r="J4669" s="3" t="s">
        <v>64</v>
      </c>
      <c r="K4669" s="3" t="s">
        <v>65</v>
      </c>
      <c r="L4669" s="2" t="s">
        <v>45387</v>
      </c>
      <c r="M4669" s="2" t="s">
        <v>45388</v>
      </c>
      <c r="N4669" s="3" t="s">
        <v>242</v>
      </c>
      <c r="P4669" s="3" t="s">
        <v>102</v>
      </c>
      <c r="R4669" s="3" t="s">
        <v>70</v>
      </c>
      <c r="S4669" s="4">
        <v>3</v>
      </c>
      <c r="T4669" s="4">
        <v>8</v>
      </c>
      <c r="U4669" s="5" t="s">
        <v>16276</v>
      </c>
      <c r="V4669" s="5" t="s">
        <v>16276</v>
      </c>
      <c r="W4669" s="5" t="s">
        <v>72</v>
      </c>
      <c r="X4669" s="5" t="s">
        <v>72</v>
      </c>
      <c r="Y4669" s="4">
        <v>612</v>
      </c>
      <c r="Z4669" s="4">
        <v>20</v>
      </c>
      <c r="AA4669" s="4">
        <v>36</v>
      </c>
      <c r="AB4669" s="4">
        <v>2</v>
      </c>
      <c r="AC4669" s="4">
        <v>6</v>
      </c>
      <c r="AD4669" s="4">
        <v>111</v>
      </c>
      <c r="AE4669" s="4">
        <v>134</v>
      </c>
      <c r="AF4669" s="4">
        <v>1</v>
      </c>
      <c r="AG4669" s="4">
        <v>4</v>
      </c>
      <c r="AH4669" s="4">
        <v>100</v>
      </c>
      <c r="AI4669" s="4">
        <v>113</v>
      </c>
      <c r="AJ4669" s="4">
        <v>15</v>
      </c>
      <c r="AK4669" s="4">
        <v>24</v>
      </c>
      <c r="AL4669" s="4">
        <v>54</v>
      </c>
      <c r="AM4669" s="4">
        <v>60</v>
      </c>
      <c r="AN4669" s="4">
        <v>0</v>
      </c>
      <c r="AO4669" s="4">
        <v>0</v>
      </c>
      <c r="AP4669" s="4">
        <v>15</v>
      </c>
      <c r="AQ4669" s="4">
        <v>26</v>
      </c>
      <c r="AR4669" s="3" t="s">
        <v>64</v>
      </c>
      <c r="AS4669" s="3" t="s">
        <v>64</v>
      </c>
      <c r="AT4669" s="3" t="s">
        <v>128</v>
      </c>
      <c r="AU4669" s="6" t="str">
        <f>HYPERLINK("http://catalog.hathitrust.org/Record/002139120","HathiTrust Record")</f>
        <v>HathiTrust Record</v>
      </c>
      <c r="AV4669" s="6" t="str">
        <f>HYPERLINK("http://mcgill.on.worldcat.org/oclc/789013","Catalog Record")</f>
        <v>Catalog Record</v>
      </c>
      <c r="AW4669" s="6" t="str">
        <f>HYPERLINK("http://www.worldcat.org/oclc/789013","WorldCat Record")</f>
        <v>WorldCat Record</v>
      </c>
      <c r="AX4669" s="3" t="s">
        <v>45389</v>
      </c>
      <c r="AY4669" s="3" t="s">
        <v>45390</v>
      </c>
      <c r="AZ4669" s="3" t="s">
        <v>45391</v>
      </c>
      <c r="BA4669" s="3" t="s">
        <v>45391</v>
      </c>
      <c r="BB4669" s="3" t="s">
        <v>45397</v>
      </c>
      <c r="BC4669" s="3" t="s">
        <v>77</v>
      </c>
      <c r="BD4669" s="3" t="s">
        <v>78</v>
      </c>
      <c r="BF4669" s="3" t="s">
        <v>45397</v>
      </c>
      <c r="BG4669" s="3" t="s">
        <v>45398</v>
      </c>
      <c r="BH4669">
        <f t="shared" si="148"/>
        <v>0</v>
      </c>
    </row>
    <row r="4670" spans="1:60" ht="101.5" x14ac:dyDescent="0.35">
      <c r="A4670" s="2" t="s">
        <v>6202</v>
      </c>
      <c r="B4670" s="2" t="s">
        <v>6203</v>
      </c>
      <c r="C4670" s="2" t="s">
        <v>45399</v>
      </c>
      <c r="D4670" s="2" t="s">
        <v>45400</v>
      </c>
      <c r="E4670" s="2" t="s">
        <v>45401</v>
      </c>
      <c r="G4670" s="3" t="s">
        <v>64</v>
      </c>
      <c r="I4670" s="3" t="s">
        <v>64</v>
      </c>
      <c r="J4670" s="3" t="s">
        <v>64</v>
      </c>
      <c r="K4670" s="3" t="s">
        <v>65</v>
      </c>
      <c r="L4670" s="2" t="s">
        <v>45402</v>
      </c>
      <c r="M4670" s="2" t="s">
        <v>45403</v>
      </c>
      <c r="N4670" s="3" t="s">
        <v>874</v>
      </c>
      <c r="P4670" s="3" t="s">
        <v>68</v>
      </c>
      <c r="R4670" s="3" t="s">
        <v>70</v>
      </c>
      <c r="S4670" s="4">
        <v>1</v>
      </c>
      <c r="T4670" s="4">
        <v>1</v>
      </c>
      <c r="U4670" s="5" t="s">
        <v>25521</v>
      </c>
      <c r="V4670" s="5" t="s">
        <v>25521</v>
      </c>
      <c r="W4670" s="5" t="s">
        <v>72</v>
      </c>
      <c r="X4670" s="5" t="s">
        <v>72</v>
      </c>
      <c r="Y4670" s="4">
        <v>5</v>
      </c>
      <c r="Z4670" s="4">
        <v>5</v>
      </c>
      <c r="AA4670" s="4">
        <v>5</v>
      </c>
      <c r="AB4670" s="4">
        <v>1</v>
      </c>
      <c r="AC4670" s="4">
        <v>1</v>
      </c>
      <c r="AD4670" s="4">
        <v>3</v>
      </c>
      <c r="AE4670" s="4">
        <v>3</v>
      </c>
      <c r="AF4670" s="4">
        <v>0</v>
      </c>
      <c r="AG4670" s="4">
        <v>0</v>
      </c>
      <c r="AH4670" s="4">
        <v>1</v>
      </c>
      <c r="AI4670" s="4">
        <v>1</v>
      </c>
      <c r="AJ4670" s="4">
        <v>3</v>
      </c>
      <c r="AK4670" s="4">
        <v>3</v>
      </c>
      <c r="AL4670" s="4">
        <v>1</v>
      </c>
      <c r="AM4670" s="4">
        <v>1</v>
      </c>
      <c r="AN4670" s="4">
        <v>0</v>
      </c>
      <c r="AO4670" s="4">
        <v>0</v>
      </c>
      <c r="AP4670" s="4">
        <v>1</v>
      </c>
      <c r="AQ4670" s="4">
        <v>1</v>
      </c>
      <c r="AR4670" s="3" t="s">
        <v>128</v>
      </c>
      <c r="AS4670" s="3" t="s">
        <v>64</v>
      </c>
      <c r="AT4670" s="3" t="s">
        <v>64</v>
      </c>
      <c r="AV4670" s="6" t="str">
        <f>HYPERLINK("http://mcgill.on.worldcat.org/oclc/427327799","Catalog Record")</f>
        <v>Catalog Record</v>
      </c>
      <c r="AW4670" s="6" t="str">
        <f>HYPERLINK("http://www.worldcat.org/oclc/427327799","WorldCat Record")</f>
        <v>WorldCat Record</v>
      </c>
      <c r="AX4670" s="3" t="s">
        <v>45404</v>
      </c>
      <c r="AY4670" s="3" t="s">
        <v>45405</v>
      </c>
      <c r="AZ4670" s="3" t="s">
        <v>45406</v>
      </c>
      <c r="BA4670" s="3" t="s">
        <v>45406</v>
      </c>
      <c r="BB4670" s="3" t="s">
        <v>45407</v>
      </c>
      <c r="BC4670" s="3" t="s">
        <v>77</v>
      </c>
      <c r="BD4670" s="3" t="s">
        <v>78</v>
      </c>
      <c r="BE4670" s="3" t="s">
        <v>45408</v>
      </c>
      <c r="BF4670" s="3" t="s">
        <v>45407</v>
      </c>
      <c r="BG4670" s="3" t="s">
        <v>45409</v>
      </c>
      <c r="BH4670">
        <f t="shared" si="148"/>
        <v>0</v>
      </c>
    </row>
    <row r="4671" spans="1:60" ht="58" x14ac:dyDescent="0.35">
      <c r="A4671" s="2" t="s">
        <v>6202</v>
      </c>
      <c r="B4671" s="2" t="s">
        <v>6203</v>
      </c>
      <c r="C4671" s="2" t="s">
        <v>45410</v>
      </c>
      <c r="D4671" s="2" t="s">
        <v>45411</v>
      </c>
      <c r="E4671" s="2" t="s">
        <v>45412</v>
      </c>
      <c r="G4671" s="3" t="s">
        <v>64</v>
      </c>
      <c r="I4671" s="3" t="s">
        <v>64</v>
      </c>
      <c r="J4671" s="3" t="s">
        <v>64</v>
      </c>
      <c r="K4671" s="3" t="s">
        <v>65</v>
      </c>
      <c r="M4671" s="2" t="s">
        <v>45413</v>
      </c>
      <c r="N4671" s="3" t="s">
        <v>3047</v>
      </c>
      <c r="O4671" s="2" t="s">
        <v>2149</v>
      </c>
      <c r="P4671" s="3" t="s">
        <v>102</v>
      </c>
      <c r="R4671" s="3" t="s">
        <v>70</v>
      </c>
      <c r="S4671" s="4">
        <v>1</v>
      </c>
      <c r="T4671" s="4">
        <v>1</v>
      </c>
      <c r="U4671" s="5" t="s">
        <v>38234</v>
      </c>
      <c r="V4671" s="5" t="s">
        <v>38234</v>
      </c>
      <c r="W4671" s="5" t="s">
        <v>72</v>
      </c>
      <c r="X4671" s="5" t="s">
        <v>72</v>
      </c>
      <c r="Y4671" s="4">
        <v>97</v>
      </c>
      <c r="Z4671" s="4">
        <v>56</v>
      </c>
      <c r="AA4671" s="4">
        <v>61</v>
      </c>
      <c r="AB4671" s="4">
        <v>4</v>
      </c>
      <c r="AC4671" s="4">
        <v>8</v>
      </c>
      <c r="AD4671" s="4">
        <v>41</v>
      </c>
      <c r="AE4671" s="4">
        <v>44</v>
      </c>
      <c r="AF4671" s="4">
        <v>1</v>
      </c>
      <c r="AG4671" s="4">
        <v>4</v>
      </c>
      <c r="AH4671" s="4">
        <v>24</v>
      </c>
      <c r="AI4671" s="4">
        <v>25</v>
      </c>
      <c r="AJ4671" s="4">
        <v>21</v>
      </c>
      <c r="AK4671" s="4">
        <v>24</v>
      </c>
      <c r="AL4671" s="4">
        <v>9</v>
      </c>
      <c r="AM4671" s="4">
        <v>9</v>
      </c>
      <c r="AN4671" s="4">
        <v>0</v>
      </c>
      <c r="AO4671" s="4">
        <v>0</v>
      </c>
      <c r="AP4671" s="4">
        <v>27</v>
      </c>
      <c r="AQ4671" s="4">
        <v>29</v>
      </c>
      <c r="AR4671" s="3" t="s">
        <v>128</v>
      </c>
      <c r="AS4671" s="3" t="s">
        <v>64</v>
      </c>
      <c r="AT4671" s="3" t="s">
        <v>64</v>
      </c>
      <c r="AV4671" s="6" t="str">
        <f>HYPERLINK("http://mcgill.on.worldcat.org/oclc/20393950","Catalog Record")</f>
        <v>Catalog Record</v>
      </c>
      <c r="AW4671" s="6" t="str">
        <f>HYPERLINK("http://www.worldcat.org/oclc/20393950","WorldCat Record")</f>
        <v>WorldCat Record</v>
      </c>
      <c r="AX4671" s="3" t="s">
        <v>45414</v>
      </c>
      <c r="AY4671" s="3" t="s">
        <v>45415</v>
      </c>
      <c r="AZ4671" s="3" t="s">
        <v>45416</v>
      </c>
      <c r="BA4671" s="3" t="s">
        <v>45416</v>
      </c>
      <c r="BB4671" s="3" t="s">
        <v>45417</v>
      </c>
      <c r="BC4671" s="3" t="s">
        <v>77</v>
      </c>
      <c r="BD4671" s="3" t="s">
        <v>40037</v>
      </c>
      <c r="BE4671" s="3" t="s">
        <v>45418</v>
      </c>
      <c r="BF4671" s="3" t="s">
        <v>45417</v>
      </c>
      <c r="BG4671" s="3" t="s">
        <v>45419</v>
      </c>
      <c r="BH4671">
        <f t="shared" si="148"/>
        <v>0</v>
      </c>
    </row>
    <row r="4672" spans="1:60" ht="101.5" x14ac:dyDescent="0.35">
      <c r="A4672" s="2" t="s">
        <v>59</v>
      </c>
      <c r="B4672" s="2" t="s">
        <v>7607</v>
      </c>
      <c r="C4672" s="2" t="s">
        <v>45420</v>
      </c>
      <c r="D4672" s="2" t="s">
        <v>45421</v>
      </c>
      <c r="E4672" s="2" t="s">
        <v>45422</v>
      </c>
      <c r="G4672" s="3" t="s">
        <v>64</v>
      </c>
      <c r="I4672" s="3" t="s">
        <v>64</v>
      </c>
      <c r="J4672" s="3" t="s">
        <v>64</v>
      </c>
      <c r="K4672" s="3" t="s">
        <v>65</v>
      </c>
      <c r="L4672" s="2" t="s">
        <v>45423</v>
      </c>
      <c r="M4672" s="2" t="s">
        <v>45424</v>
      </c>
      <c r="N4672" s="3" t="s">
        <v>3047</v>
      </c>
      <c r="P4672" s="3" t="s">
        <v>102</v>
      </c>
      <c r="R4672" s="3" t="s">
        <v>70</v>
      </c>
      <c r="S4672" s="4">
        <v>1</v>
      </c>
      <c r="T4672" s="4">
        <v>1</v>
      </c>
      <c r="U4672" s="5" t="s">
        <v>15836</v>
      </c>
      <c r="V4672" s="5" t="s">
        <v>15836</v>
      </c>
      <c r="W4672" s="5" t="s">
        <v>72</v>
      </c>
      <c r="X4672" s="5" t="s">
        <v>72</v>
      </c>
      <c r="Y4672" s="4">
        <v>2</v>
      </c>
      <c r="Z4672" s="4">
        <v>2</v>
      </c>
      <c r="AA4672" s="4">
        <v>36</v>
      </c>
      <c r="AB4672" s="4">
        <v>2</v>
      </c>
      <c r="AC4672" s="4">
        <v>4</v>
      </c>
      <c r="AD4672" s="4">
        <v>0</v>
      </c>
      <c r="AE4672" s="4">
        <v>44</v>
      </c>
      <c r="AF4672" s="4">
        <v>0</v>
      </c>
      <c r="AG4672" s="4">
        <v>1</v>
      </c>
      <c r="AH4672" s="4">
        <v>0</v>
      </c>
      <c r="AI4672" s="4">
        <v>26</v>
      </c>
      <c r="AJ4672" s="4">
        <v>0</v>
      </c>
      <c r="AK4672" s="4">
        <v>18</v>
      </c>
      <c r="AL4672" s="4">
        <v>0</v>
      </c>
      <c r="AM4672" s="4">
        <v>15</v>
      </c>
      <c r="AN4672" s="4">
        <v>0</v>
      </c>
      <c r="AO4672" s="4">
        <v>0</v>
      </c>
      <c r="AP4672" s="4">
        <v>0</v>
      </c>
      <c r="AQ4672" s="4">
        <v>23</v>
      </c>
      <c r="AR4672" s="3" t="s">
        <v>128</v>
      </c>
      <c r="AS4672" s="3" t="s">
        <v>64</v>
      </c>
      <c r="AT4672" s="3" t="s">
        <v>64</v>
      </c>
      <c r="AV4672" s="6" t="str">
        <f>HYPERLINK("http://mcgill.on.worldcat.org/oclc/61579665","Catalog Record")</f>
        <v>Catalog Record</v>
      </c>
      <c r="AW4672" s="6" t="str">
        <f>HYPERLINK("http://www.worldcat.org/oclc/61579665","WorldCat Record")</f>
        <v>WorldCat Record</v>
      </c>
      <c r="AX4672" s="3" t="s">
        <v>45425</v>
      </c>
      <c r="AY4672" s="3" t="s">
        <v>45426</v>
      </c>
      <c r="AZ4672" s="3" t="s">
        <v>45427</v>
      </c>
      <c r="BA4672" s="3" t="s">
        <v>45427</v>
      </c>
      <c r="BB4672" s="3" t="s">
        <v>45428</v>
      </c>
      <c r="BC4672" s="3" t="s">
        <v>77</v>
      </c>
      <c r="BD4672" s="3" t="s">
        <v>78</v>
      </c>
      <c r="BE4672" s="3" t="s">
        <v>45429</v>
      </c>
      <c r="BF4672" s="3" t="s">
        <v>45428</v>
      </c>
      <c r="BG4672" s="3" t="s">
        <v>45430</v>
      </c>
      <c r="BH4672">
        <f t="shared" si="148"/>
        <v>0</v>
      </c>
    </row>
    <row r="4673" spans="1:60" ht="58" x14ac:dyDescent="0.35">
      <c r="A4673" s="2" t="s">
        <v>59</v>
      </c>
      <c r="B4673" s="2" t="s">
        <v>60</v>
      </c>
      <c r="C4673" s="2" t="s">
        <v>45431</v>
      </c>
      <c r="D4673" s="2" t="s">
        <v>45432</v>
      </c>
      <c r="E4673" s="2" t="s">
        <v>45433</v>
      </c>
      <c r="G4673" s="3" t="s">
        <v>64</v>
      </c>
      <c r="I4673" s="3" t="s">
        <v>64</v>
      </c>
      <c r="J4673" s="3" t="s">
        <v>64</v>
      </c>
      <c r="K4673" s="3" t="s">
        <v>65</v>
      </c>
      <c r="L4673" s="2" t="s">
        <v>45434</v>
      </c>
      <c r="M4673" s="2" t="s">
        <v>45435</v>
      </c>
      <c r="N4673" s="3" t="s">
        <v>3721</v>
      </c>
      <c r="P4673" s="3" t="s">
        <v>102</v>
      </c>
      <c r="Q4673" s="2" t="s">
        <v>45436</v>
      </c>
      <c r="R4673" s="3" t="s">
        <v>70</v>
      </c>
      <c r="S4673" s="4">
        <v>2</v>
      </c>
      <c r="T4673" s="4">
        <v>2</v>
      </c>
      <c r="U4673" s="5" t="s">
        <v>7352</v>
      </c>
      <c r="V4673" s="5" t="s">
        <v>7352</v>
      </c>
      <c r="W4673" s="5" t="s">
        <v>72</v>
      </c>
      <c r="X4673" s="5" t="s">
        <v>72</v>
      </c>
      <c r="Y4673" s="4">
        <v>19</v>
      </c>
      <c r="Z4673" s="4">
        <v>10</v>
      </c>
      <c r="AA4673" s="4">
        <v>45</v>
      </c>
      <c r="AB4673" s="4">
        <v>2</v>
      </c>
      <c r="AC4673" s="4">
        <v>5</v>
      </c>
      <c r="AD4673" s="4">
        <v>8</v>
      </c>
      <c r="AE4673" s="4">
        <v>59</v>
      </c>
      <c r="AF4673" s="4">
        <v>0</v>
      </c>
      <c r="AG4673" s="4">
        <v>2</v>
      </c>
      <c r="AH4673" s="4">
        <v>4</v>
      </c>
      <c r="AI4673" s="4">
        <v>38</v>
      </c>
      <c r="AJ4673" s="4">
        <v>5</v>
      </c>
      <c r="AK4673" s="4">
        <v>22</v>
      </c>
      <c r="AL4673" s="4">
        <v>1</v>
      </c>
      <c r="AM4673" s="4">
        <v>20</v>
      </c>
      <c r="AN4673" s="4">
        <v>0</v>
      </c>
      <c r="AO4673" s="4">
        <v>0</v>
      </c>
      <c r="AP4673" s="4">
        <v>7</v>
      </c>
      <c r="AQ4673" s="4">
        <v>31</v>
      </c>
      <c r="AR4673" s="3" t="s">
        <v>64</v>
      </c>
      <c r="AS4673" s="3" t="s">
        <v>64</v>
      </c>
      <c r="AT4673" s="3" t="s">
        <v>64</v>
      </c>
      <c r="AV4673" s="6" t="str">
        <f>HYPERLINK("http://mcgill.on.worldcat.org/oclc/59246505","Catalog Record")</f>
        <v>Catalog Record</v>
      </c>
      <c r="AW4673" s="6" t="str">
        <f>HYPERLINK("http://www.worldcat.org/oclc/59246505","WorldCat Record")</f>
        <v>WorldCat Record</v>
      </c>
      <c r="AX4673" s="3" t="s">
        <v>45437</v>
      </c>
      <c r="AY4673" s="3" t="s">
        <v>45438</v>
      </c>
      <c r="AZ4673" s="3" t="s">
        <v>45439</v>
      </c>
      <c r="BA4673" s="3" t="s">
        <v>45439</v>
      </c>
      <c r="BB4673" s="3" t="s">
        <v>45440</v>
      </c>
      <c r="BC4673" s="3" t="s">
        <v>77</v>
      </c>
      <c r="BD4673" s="3" t="s">
        <v>78</v>
      </c>
      <c r="BE4673" s="3" t="s">
        <v>45441</v>
      </c>
      <c r="BF4673" s="3" t="s">
        <v>45440</v>
      </c>
      <c r="BG4673" s="3" t="s">
        <v>45442</v>
      </c>
      <c r="BH4673">
        <f t="shared" si="148"/>
        <v>0</v>
      </c>
    </row>
    <row r="4674" spans="1:60" ht="87" x14ac:dyDescent="0.35">
      <c r="A4674" s="2" t="s">
        <v>6202</v>
      </c>
      <c r="B4674" s="2" t="s">
        <v>6203</v>
      </c>
      <c r="C4674" s="2" t="s">
        <v>45443</v>
      </c>
      <c r="D4674" s="2" t="s">
        <v>45444</v>
      </c>
      <c r="E4674" s="2" t="s">
        <v>45445</v>
      </c>
      <c r="G4674" s="3" t="s">
        <v>64</v>
      </c>
      <c r="I4674" s="3" t="s">
        <v>64</v>
      </c>
      <c r="J4674" s="3" t="s">
        <v>64</v>
      </c>
      <c r="K4674" s="3" t="s">
        <v>65</v>
      </c>
      <c r="L4674" s="2" t="s">
        <v>45446</v>
      </c>
      <c r="M4674" s="2" t="s">
        <v>45447</v>
      </c>
      <c r="N4674" s="3" t="s">
        <v>159</v>
      </c>
      <c r="P4674" s="3" t="s">
        <v>68</v>
      </c>
      <c r="R4674" s="3" t="s">
        <v>70</v>
      </c>
      <c r="S4674" s="4">
        <v>3</v>
      </c>
      <c r="T4674" s="4">
        <v>3</v>
      </c>
      <c r="U4674" s="5" t="s">
        <v>14827</v>
      </c>
      <c r="V4674" s="5" t="s">
        <v>14827</v>
      </c>
      <c r="W4674" s="5" t="s">
        <v>72</v>
      </c>
      <c r="X4674" s="5" t="s">
        <v>72</v>
      </c>
      <c r="Y4674" s="4">
        <v>49</v>
      </c>
      <c r="Z4674" s="4">
        <v>5</v>
      </c>
      <c r="AA4674" s="4">
        <v>6</v>
      </c>
      <c r="AB4674" s="4">
        <v>1</v>
      </c>
      <c r="AC4674" s="4">
        <v>1</v>
      </c>
      <c r="AD4674" s="4">
        <v>33</v>
      </c>
      <c r="AE4674" s="4">
        <v>34</v>
      </c>
      <c r="AF4674" s="4">
        <v>0</v>
      </c>
      <c r="AG4674" s="4">
        <v>0</v>
      </c>
      <c r="AH4674" s="4">
        <v>30</v>
      </c>
      <c r="AI4674" s="4">
        <v>31</v>
      </c>
      <c r="AJ4674" s="4">
        <v>2</v>
      </c>
      <c r="AK4674" s="4">
        <v>3</v>
      </c>
      <c r="AL4674" s="4">
        <v>27</v>
      </c>
      <c r="AM4674" s="4">
        <v>27</v>
      </c>
      <c r="AN4674" s="4">
        <v>0</v>
      </c>
      <c r="AO4674" s="4">
        <v>0</v>
      </c>
      <c r="AP4674" s="4">
        <v>3</v>
      </c>
      <c r="AQ4674" s="4">
        <v>4</v>
      </c>
      <c r="AR4674" s="3" t="s">
        <v>64</v>
      </c>
      <c r="AS4674" s="3" t="s">
        <v>64</v>
      </c>
      <c r="AT4674" s="3" t="s">
        <v>128</v>
      </c>
      <c r="AU4674" s="6" t="str">
        <f>HYPERLINK("http://catalog.hathitrust.org/Record/004255645","HathiTrust Record")</f>
        <v>HathiTrust Record</v>
      </c>
      <c r="AV4674" s="6" t="str">
        <f>HYPERLINK("http://mcgill.on.worldcat.org/oclc/50772803","Catalog Record")</f>
        <v>Catalog Record</v>
      </c>
      <c r="AW4674" s="6" t="str">
        <f>HYPERLINK("http://www.worldcat.org/oclc/50772803","WorldCat Record")</f>
        <v>WorldCat Record</v>
      </c>
      <c r="AX4674" s="3" t="s">
        <v>45448</v>
      </c>
      <c r="AY4674" s="3" t="s">
        <v>45449</v>
      </c>
      <c r="AZ4674" s="3" t="s">
        <v>45450</v>
      </c>
      <c r="BA4674" s="3" t="s">
        <v>45450</v>
      </c>
      <c r="BB4674" s="3" t="s">
        <v>45451</v>
      </c>
      <c r="BC4674" s="3" t="s">
        <v>77</v>
      </c>
      <c r="BD4674" s="3" t="s">
        <v>78</v>
      </c>
      <c r="BE4674" s="3" t="s">
        <v>45452</v>
      </c>
      <c r="BF4674" s="3" t="s">
        <v>45451</v>
      </c>
      <c r="BG4674" s="3" t="s">
        <v>45453</v>
      </c>
      <c r="BH4674">
        <f t="shared" ref="BH4674:BH4737" si="155">IF(COUNTIF($BF$1:$BF$5431,BF4674)=1,0,1)</f>
        <v>0</v>
      </c>
    </row>
    <row r="4675" spans="1:60" ht="101.5" x14ac:dyDescent="0.35">
      <c r="A4675" s="2" t="s">
        <v>6202</v>
      </c>
      <c r="B4675" s="2" t="s">
        <v>6203</v>
      </c>
      <c r="C4675" s="2" t="s">
        <v>45454</v>
      </c>
      <c r="D4675" s="2" t="s">
        <v>45455</v>
      </c>
      <c r="E4675" s="2" t="s">
        <v>45456</v>
      </c>
      <c r="G4675" s="3" t="s">
        <v>64</v>
      </c>
      <c r="I4675" s="3" t="s">
        <v>64</v>
      </c>
      <c r="J4675" s="3" t="s">
        <v>64</v>
      </c>
      <c r="K4675" s="3" t="s">
        <v>65</v>
      </c>
      <c r="L4675" s="2" t="s">
        <v>45457</v>
      </c>
      <c r="M4675" s="2" t="s">
        <v>45458</v>
      </c>
      <c r="N4675" s="3" t="s">
        <v>498</v>
      </c>
      <c r="P4675" s="3" t="s">
        <v>944</v>
      </c>
      <c r="Q4675" s="2" t="s">
        <v>45459</v>
      </c>
      <c r="R4675" s="3" t="s">
        <v>70</v>
      </c>
      <c r="S4675" s="4">
        <v>1</v>
      </c>
      <c r="T4675" s="4">
        <v>1</v>
      </c>
      <c r="U4675" s="5" t="s">
        <v>3994</v>
      </c>
      <c r="V4675" s="5" t="s">
        <v>3994</v>
      </c>
      <c r="W4675" s="5" t="s">
        <v>72</v>
      </c>
      <c r="X4675" s="5" t="s">
        <v>72</v>
      </c>
      <c r="Y4675" s="4">
        <v>188</v>
      </c>
      <c r="Z4675" s="4">
        <v>13</v>
      </c>
      <c r="AA4675" s="4">
        <v>13</v>
      </c>
      <c r="AB4675" s="4">
        <v>1</v>
      </c>
      <c r="AC4675" s="4">
        <v>1</v>
      </c>
      <c r="AD4675" s="4">
        <v>73</v>
      </c>
      <c r="AE4675" s="4">
        <v>75</v>
      </c>
      <c r="AF4675" s="4">
        <v>0</v>
      </c>
      <c r="AG4675" s="4">
        <v>0</v>
      </c>
      <c r="AH4675" s="4">
        <v>67</v>
      </c>
      <c r="AI4675" s="4">
        <v>69</v>
      </c>
      <c r="AJ4675" s="4">
        <v>8</v>
      </c>
      <c r="AK4675" s="4">
        <v>8</v>
      </c>
      <c r="AL4675" s="4">
        <v>44</v>
      </c>
      <c r="AM4675" s="4">
        <v>45</v>
      </c>
      <c r="AN4675" s="4">
        <v>0</v>
      </c>
      <c r="AO4675" s="4">
        <v>0</v>
      </c>
      <c r="AP4675" s="4">
        <v>9</v>
      </c>
      <c r="AQ4675" s="4">
        <v>9</v>
      </c>
      <c r="AR4675" s="3" t="s">
        <v>64</v>
      </c>
      <c r="AS4675" s="3" t="s">
        <v>64</v>
      </c>
      <c r="AT4675" s="3" t="s">
        <v>128</v>
      </c>
      <c r="AU4675" s="6" t="str">
        <f>HYPERLINK("http://catalog.hathitrust.org/Record/000043898","HathiTrust Record")</f>
        <v>HathiTrust Record</v>
      </c>
      <c r="AV4675" s="6" t="str">
        <f>HYPERLINK("http://mcgill.on.worldcat.org/oclc/1198097","Catalog Record")</f>
        <v>Catalog Record</v>
      </c>
      <c r="AW4675" s="6" t="str">
        <f>HYPERLINK("http://www.worldcat.org/oclc/1198097","WorldCat Record")</f>
        <v>WorldCat Record</v>
      </c>
      <c r="AX4675" s="3" t="s">
        <v>45460</v>
      </c>
      <c r="AY4675" s="3" t="s">
        <v>45461</v>
      </c>
      <c r="AZ4675" s="3" t="s">
        <v>45462</v>
      </c>
      <c r="BA4675" s="3" t="s">
        <v>45462</v>
      </c>
      <c r="BB4675" s="3" t="s">
        <v>45463</v>
      </c>
      <c r="BC4675" s="3" t="s">
        <v>77</v>
      </c>
      <c r="BD4675" s="3" t="s">
        <v>78</v>
      </c>
      <c r="BE4675" s="3" t="s">
        <v>45464</v>
      </c>
      <c r="BF4675" s="3" t="s">
        <v>45463</v>
      </c>
      <c r="BG4675" s="3" t="s">
        <v>45465</v>
      </c>
      <c r="BH4675">
        <f t="shared" si="155"/>
        <v>0</v>
      </c>
    </row>
    <row r="4676" spans="1:60" ht="58" x14ac:dyDescent="0.35">
      <c r="A4676" s="2" t="s">
        <v>6202</v>
      </c>
      <c r="B4676" s="2" t="s">
        <v>6203</v>
      </c>
      <c r="C4676" s="2" t="s">
        <v>45466</v>
      </c>
      <c r="D4676" s="2" t="s">
        <v>45467</v>
      </c>
      <c r="E4676" s="2" t="s">
        <v>45468</v>
      </c>
      <c r="G4676" s="3" t="s">
        <v>64</v>
      </c>
      <c r="I4676" s="3" t="s">
        <v>64</v>
      </c>
      <c r="J4676" s="3" t="s">
        <v>64</v>
      </c>
      <c r="K4676" s="3" t="s">
        <v>65</v>
      </c>
      <c r="L4676" s="2" t="s">
        <v>45469</v>
      </c>
      <c r="M4676" s="2" t="s">
        <v>45470</v>
      </c>
      <c r="N4676" s="3" t="s">
        <v>86</v>
      </c>
      <c r="P4676" s="3" t="s">
        <v>102</v>
      </c>
      <c r="R4676" s="3" t="s">
        <v>70</v>
      </c>
      <c r="S4676" s="4">
        <v>2</v>
      </c>
      <c r="T4676" s="4">
        <v>2</v>
      </c>
      <c r="U4676" s="5" t="s">
        <v>20195</v>
      </c>
      <c r="V4676" s="5" t="s">
        <v>20195</v>
      </c>
      <c r="W4676" s="5" t="s">
        <v>72</v>
      </c>
      <c r="X4676" s="5" t="s">
        <v>72</v>
      </c>
      <c r="Y4676" s="4">
        <v>64</v>
      </c>
      <c r="Z4676" s="4">
        <v>7</v>
      </c>
      <c r="AA4676" s="4">
        <v>55</v>
      </c>
      <c r="AB4676" s="4">
        <v>1</v>
      </c>
      <c r="AC4676" s="4">
        <v>8</v>
      </c>
      <c r="AD4676" s="4">
        <v>25</v>
      </c>
      <c r="AE4676" s="4">
        <v>70</v>
      </c>
      <c r="AF4676" s="4">
        <v>0</v>
      </c>
      <c r="AG4676" s="4">
        <v>1</v>
      </c>
      <c r="AH4676" s="4">
        <v>24</v>
      </c>
      <c r="AI4676" s="4">
        <v>55</v>
      </c>
      <c r="AJ4676" s="4">
        <v>5</v>
      </c>
      <c r="AK4676" s="4">
        <v>12</v>
      </c>
      <c r="AL4676" s="4">
        <v>16</v>
      </c>
      <c r="AM4676" s="4">
        <v>28</v>
      </c>
      <c r="AN4676" s="4">
        <v>0</v>
      </c>
      <c r="AO4676" s="4">
        <v>0</v>
      </c>
      <c r="AP4676" s="4">
        <v>5</v>
      </c>
      <c r="AQ4676" s="4">
        <v>20</v>
      </c>
      <c r="AR4676" s="3" t="s">
        <v>64</v>
      </c>
      <c r="AS4676" s="3" t="s">
        <v>64</v>
      </c>
      <c r="AT4676" s="3" t="s">
        <v>64</v>
      </c>
      <c r="AV4676" s="6" t="str">
        <f>HYPERLINK("http://mcgill.on.worldcat.org/oclc/764588795","Catalog Record")</f>
        <v>Catalog Record</v>
      </c>
      <c r="AW4676" s="6" t="str">
        <f>HYPERLINK("http://www.worldcat.org/oclc/764588795","WorldCat Record")</f>
        <v>WorldCat Record</v>
      </c>
      <c r="AX4676" s="3" t="s">
        <v>45471</v>
      </c>
      <c r="AY4676" s="3" t="s">
        <v>45472</v>
      </c>
      <c r="AZ4676" s="3" t="s">
        <v>45473</v>
      </c>
      <c r="BA4676" s="3" t="s">
        <v>45473</v>
      </c>
      <c r="BB4676" s="3" t="s">
        <v>45474</v>
      </c>
      <c r="BC4676" s="3" t="s">
        <v>77</v>
      </c>
      <c r="BD4676" s="3" t="s">
        <v>78</v>
      </c>
      <c r="BE4676" s="3" t="s">
        <v>45475</v>
      </c>
      <c r="BF4676" s="3" t="s">
        <v>45474</v>
      </c>
      <c r="BG4676" s="3" t="s">
        <v>45476</v>
      </c>
      <c r="BH4676">
        <f t="shared" si="155"/>
        <v>0</v>
      </c>
    </row>
    <row r="4677" spans="1:60" ht="72.5" x14ac:dyDescent="0.35">
      <c r="A4677" s="2" t="s">
        <v>59</v>
      </c>
      <c r="B4677" s="2" t="s">
        <v>60</v>
      </c>
      <c r="C4677" s="2" t="s">
        <v>45477</v>
      </c>
      <c r="D4677" s="2" t="s">
        <v>45478</v>
      </c>
      <c r="E4677" s="2" t="s">
        <v>45479</v>
      </c>
      <c r="F4677" s="3" t="s">
        <v>529</v>
      </c>
      <c r="G4677" s="3" t="s">
        <v>128</v>
      </c>
      <c r="I4677" s="3" t="s">
        <v>64</v>
      </c>
      <c r="J4677" s="3" t="s">
        <v>64</v>
      </c>
      <c r="K4677" s="3" t="s">
        <v>65</v>
      </c>
      <c r="L4677" s="2" t="s">
        <v>45480</v>
      </c>
      <c r="M4677" s="2" t="s">
        <v>3919</v>
      </c>
      <c r="N4677" s="3" t="s">
        <v>578</v>
      </c>
      <c r="P4677" s="3" t="s">
        <v>102</v>
      </c>
      <c r="Q4677" s="2" t="s">
        <v>45481</v>
      </c>
      <c r="R4677" s="3" t="s">
        <v>70</v>
      </c>
      <c r="S4677" s="4">
        <v>0</v>
      </c>
      <c r="T4677" s="4">
        <v>0</v>
      </c>
      <c r="W4677" s="5" t="s">
        <v>72</v>
      </c>
      <c r="X4677" s="5" t="s">
        <v>72</v>
      </c>
      <c r="Y4677" s="4">
        <v>34</v>
      </c>
      <c r="Z4677" s="4">
        <v>1</v>
      </c>
      <c r="AA4677" s="4">
        <v>2</v>
      </c>
      <c r="AB4677" s="4">
        <v>1</v>
      </c>
      <c r="AC4677" s="4">
        <v>2</v>
      </c>
      <c r="AD4677" s="4">
        <v>18</v>
      </c>
      <c r="AE4677" s="4">
        <v>19</v>
      </c>
      <c r="AF4677" s="4">
        <v>0</v>
      </c>
      <c r="AG4677" s="4">
        <v>0</v>
      </c>
      <c r="AH4677" s="4">
        <v>18</v>
      </c>
      <c r="AI4677" s="4">
        <v>19</v>
      </c>
      <c r="AJ4677" s="4">
        <v>0</v>
      </c>
      <c r="AK4677" s="4">
        <v>0</v>
      </c>
      <c r="AL4677" s="4">
        <v>13</v>
      </c>
      <c r="AM4677" s="4">
        <v>14</v>
      </c>
      <c r="AN4677" s="4">
        <v>0</v>
      </c>
      <c r="AO4677" s="4">
        <v>0</v>
      </c>
      <c r="AP4677" s="4">
        <v>0</v>
      </c>
      <c r="AQ4677" s="4">
        <v>0</v>
      </c>
      <c r="AR4677" s="3" t="s">
        <v>64</v>
      </c>
      <c r="AS4677" s="3" t="s">
        <v>64</v>
      </c>
      <c r="AT4677" s="3" t="s">
        <v>64</v>
      </c>
      <c r="AV4677" s="6" t="str">
        <f>HYPERLINK("http://mcgill.on.worldcat.org/oclc/973290633","Catalog Record")</f>
        <v>Catalog Record</v>
      </c>
      <c r="AW4677" s="6" t="str">
        <f>HYPERLINK("http://www.worldcat.org/oclc/973290633","WorldCat Record")</f>
        <v>WorldCat Record</v>
      </c>
      <c r="AX4677" s="3" t="s">
        <v>45482</v>
      </c>
      <c r="AY4677" s="3" t="s">
        <v>45483</v>
      </c>
      <c r="AZ4677" s="3" t="s">
        <v>45484</v>
      </c>
      <c r="BA4677" s="3" t="s">
        <v>45484</v>
      </c>
      <c r="BB4677" s="3" t="s">
        <v>45485</v>
      </c>
      <c r="BC4677" s="3" t="s">
        <v>77</v>
      </c>
      <c r="BD4677" s="3" t="s">
        <v>78</v>
      </c>
      <c r="BE4677" s="3" t="s">
        <v>45486</v>
      </c>
      <c r="BF4677" s="3" t="s">
        <v>45485</v>
      </c>
      <c r="BG4677" s="3" t="s">
        <v>45487</v>
      </c>
      <c r="BH4677">
        <f t="shared" si="155"/>
        <v>0</v>
      </c>
    </row>
    <row r="4678" spans="1:60" ht="72.5" x14ac:dyDescent="0.35">
      <c r="A4678" s="2" t="s">
        <v>59</v>
      </c>
      <c r="B4678" s="2" t="s">
        <v>60</v>
      </c>
      <c r="C4678" s="2" t="s">
        <v>45477</v>
      </c>
      <c r="D4678" s="2" t="s">
        <v>45478</v>
      </c>
      <c r="E4678" s="2" t="s">
        <v>45479</v>
      </c>
      <c r="F4678" s="3" t="s">
        <v>525</v>
      </c>
      <c r="G4678" s="3" t="s">
        <v>128</v>
      </c>
      <c r="I4678" s="3" t="s">
        <v>64</v>
      </c>
      <c r="J4678" s="3" t="s">
        <v>64</v>
      </c>
      <c r="K4678" s="3" t="s">
        <v>65</v>
      </c>
      <c r="L4678" s="2" t="s">
        <v>45480</v>
      </c>
      <c r="M4678" s="2" t="s">
        <v>3919</v>
      </c>
      <c r="N4678" s="3" t="s">
        <v>578</v>
      </c>
      <c r="P4678" s="3" t="s">
        <v>102</v>
      </c>
      <c r="Q4678" s="2" t="s">
        <v>45481</v>
      </c>
      <c r="R4678" s="3" t="s">
        <v>70</v>
      </c>
      <c r="S4678" s="4">
        <v>0</v>
      </c>
      <c r="T4678" s="4">
        <v>0</v>
      </c>
      <c r="W4678" s="5" t="s">
        <v>72</v>
      </c>
      <c r="X4678" s="5" t="s">
        <v>72</v>
      </c>
      <c r="Y4678" s="4">
        <v>34</v>
      </c>
      <c r="Z4678" s="4">
        <v>1</v>
      </c>
      <c r="AA4678" s="4">
        <v>2</v>
      </c>
      <c r="AB4678" s="4">
        <v>1</v>
      </c>
      <c r="AC4678" s="4">
        <v>2</v>
      </c>
      <c r="AD4678" s="4">
        <v>18</v>
      </c>
      <c r="AE4678" s="4">
        <v>19</v>
      </c>
      <c r="AF4678" s="4">
        <v>0</v>
      </c>
      <c r="AG4678" s="4">
        <v>0</v>
      </c>
      <c r="AH4678" s="4">
        <v>18</v>
      </c>
      <c r="AI4678" s="4">
        <v>19</v>
      </c>
      <c r="AJ4678" s="4">
        <v>0</v>
      </c>
      <c r="AK4678" s="4">
        <v>0</v>
      </c>
      <c r="AL4678" s="4">
        <v>13</v>
      </c>
      <c r="AM4678" s="4">
        <v>14</v>
      </c>
      <c r="AN4678" s="4">
        <v>0</v>
      </c>
      <c r="AO4678" s="4">
        <v>0</v>
      </c>
      <c r="AP4678" s="4">
        <v>0</v>
      </c>
      <c r="AQ4678" s="4">
        <v>0</v>
      </c>
      <c r="AR4678" s="3" t="s">
        <v>64</v>
      </c>
      <c r="AS4678" s="3" t="s">
        <v>64</v>
      </c>
      <c r="AT4678" s="3" t="s">
        <v>64</v>
      </c>
      <c r="AV4678" s="6" t="str">
        <f>HYPERLINK("http://mcgill.on.worldcat.org/oclc/973290633","Catalog Record")</f>
        <v>Catalog Record</v>
      </c>
      <c r="AW4678" s="6" t="str">
        <f>HYPERLINK("http://www.worldcat.org/oclc/973290633","WorldCat Record")</f>
        <v>WorldCat Record</v>
      </c>
      <c r="AX4678" s="3" t="s">
        <v>45482</v>
      </c>
      <c r="AY4678" s="3" t="s">
        <v>45483</v>
      </c>
      <c r="AZ4678" s="3" t="s">
        <v>45484</v>
      </c>
      <c r="BA4678" s="3" t="s">
        <v>45484</v>
      </c>
      <c r="BB4678" s="3" t="s">
        <v>45488</v>
      </c>
      <c r="BC4678" s="3" t="s">
        <v>77</v>
      </c>
      <c r="BD4678" s="3" t="s">
        <v>78</v>
      </c>
      <c r="BE4678" s="3" t="s">
        <v>45486</v>
      </c>
      <c r="BF4678" s="3" t="s">
        <v>45488</v>
      </c>
      <c r="BG4678" s="3" t="s">
        <v>45489</v>
      </c>
      <c r="BH4678">
        <f t="shared" si="155"/>
        <v>0</v>
      </c>
    </row>
    <row r="4679" spans="1:60" ht="58" x14ac:dyDescent="0.35">
      <c r="A4679" s="2" t="s">
        <v>6202</v>
      </c>
      <c r="B4679" s="2" t="s">
        <v>6203</v>
      </c>
      <c r="C4679" s="2" t="s">
        <v>45490</v>
      </c>
      <c r="D4679" s="2" t="s">
        <v>45491</v>
      </c>
      <c r="E4679" s="2" t="s">
        <v>45492</v>
      </c>
      <c r="G4679" s="3" t="s">
        <v>64</v>
      </c>
      <c r="I4679" s="3" t="s">
        <v>64</v>
      </c>
      <c r="J4679" s="3" t="s">
        <v>64</v>
      </c>
      <c r="K4679" s="3" t="s">
        <v>65</v>
      </c>
      <c r="L4679" s="2" t="s">
        <v>45493</v>
      </c>
      <c r="M4679" s="2" t="s">
        <v>45494</v>
      </c>
      <c r="N4679" s="3" t="s">
        <v>1763</v>
      </c>
      <c r="P4679" s="3" t="s">
        <v>102</v>
      </c>
      <c r="Q4679" s="2" t="s">
        <v>45495</v>
      </c>
      <c r="R4679" s="3" t="s">
        <v>70</v>
      </c>
      <c r="S4679" s="4">
        <v>1</v>
      </c>
      <c r="T4679" s="4">
        <v>1</v>
      </c>
      <c r="U4679" s="5" t="s">
        <v>7782</v>
      </c>
      <c r="V4679" s="5" t="s">
        <v>7782</v>
      </c>
      <c r="W4679" s="5" t="s">
        <v>72</v>
      </c>
      <c r="X4679" s="5" t="s">
        <v>72</v>
      </c>
      <c r="Y4679" s="4">
        <v>90</v>
      </c>
      <c r="Z4679" s="4">
        <v>10</v>
      </c>
      <c r="AA4679" s="4">
        <v>10</v>
      </c>
      <c r="AB4679" s="4">
        <v>1</v>
      </c>
      <c r="AC4679" s="4">
        <v>1</v>
      </c>
      <c r="AD4679" s="4">
        <v>59</v>
      </c>
      <c r="AE4679" s="4">
        <v>59</v>
      </c>
      <c r="AF4679" s="4">
        <v>0</v>
      </c>
      <c r="AG4679" s="4">
        <v>0</v>
      </c>
      <c r="AH4679" s="4">
        <v>57</v>
      </c>
      <c r="AI4679" s="4">
        <v>57</v>
      </c>
      <c r="AJ4679" s="4">
        <v>8</v>
      </c>
      <c r="AK4679" s="4">
        <v>8</v>
      </c>
      <c r="AL4679" s="4">
        <v>37</v>
      </c>
      <c r="AM4679" s="4">
        <v>37</v>
      </c>
      <c r="AN4679" s="4">
        <v>0</v>
      </c>
      <c r="AO4679" s="4">
        <v>0</v>
      </c>
      <c r="AP4679" s="4">
        <v>8</v>
      </c>
      <c r="AQ4679" s="4">
        <v>8</v>
      </c>
      <c r="AR4679" s="3" t="s">
        <v>64</v>
      </c>
      <c r="AS4679" s="3" t="s">
        <v>64</v>
      </c>
      <c r="AT4679" s="3" t="s">
        <v>128</v>
      </c>
      <c r="AU4679" s="6" t="str">
        <f>HYPERLINK("http://catalog.hathitrust.org/Record/000471483","HathiTrust Record")</f>
        <v>HathiTrust Record</v>
      </c>
      <c r="AV4679" s="6" t="str">
        <f>HYPERLINK("http://mcgill.on.worldcat.org/oclc/13859760","Catalog Record")</f>
        <v>Catalog Record</v>
      </c>
      <c r="AW4679" s="6" t="str">
        <f>HYPERLINK("http://www.worldcat.org/oclc/13859760","WorldCat Record")</f>
        <v>WorldCat Record</v>
      </c>
      <c r="AX4679" s="3" t="s">
        <v>45496</v>
      </c>
      <c r="AY4679" s="3" t="s">
        <v>45497</v>
      </c>
      <c r="AZ4679" s="3" t="s">
        <v>45498</v>
      </c>
      <c r="BA4679" s="3" t="s">
        <v>45498</v>
      </c>
      <c r="BB4679" s="3" t="s">
        <v>45499</v>
      </c>
      <c r="BC4679" s="3" t="s">
        <v>77</v>
      </c>
      <c r="BD4679" s="3" t="s">
        <v>78</v>
      </c>
      <c r="BE4679" s="3" t="s">
        <v>45500</v>
      </c>
      <c r="BF4679" s="3" t="s">
        <v>45499</v>
      </c>
      <c r="BG4679" s="3" t="s">
        <v>45501</v>
      </c>
      <c r="BH4679">
        <f t="shared" si="155"/>
        <v>0</v>
      </c>
    </row>
    <row r="4680" spans="1:60" ht="58" x14ac:dyDescent="0.35">
      <c r="A4680" s="2" t="s">
        <v>6202</v>
      </c>
      <c r="B4680" s="2" t="s">
        <v>6203</v>
      </c>
      <c r="C4680" s="2" t="s">
        <v>45502</v>
      </c>
      <c r="D4680" s="2" t="s">
        <v>45503</v>
      </c>
      <c r="E4680" s="2" t="s">
        <v>45504</v>
      </c>
      <c r="G4680" s="3" t="s">
        <v>64</v>
      </c>
      <c r="I4680" s="3" t="s">
        <v>64</v>
      </c>
      <c r="J4680" s="3" t="s">
        <v>64</v>
      </c>
      <c r="K4680" s="3" t="s">
        <v>65</v>
      </c>
      <c r="L4680" s="2" t="s">
        <v>45505</v>
      </c>
      <c r="M4680" s="2" t="s">
        <v>45506</v>
      </c>
      <c r="N4680" s="3" t="s">
        <v>1615</v>
      </c>
      <c r="P4680" s="3" t="s">
        <v>68</v>
      </c>
      <c r="Q4680" s="2" t="s">
        <v>45507</v>
      </c>
      <c r="R4680" s="3" t="s">
        <v>70</v>
      </c>
      <c r="S4680" s="4">
        <v>6</v>
      </c>
      <c r="T4680" s="4">
        <v>6</v>
      </c>
      <c r="U4680" s="5" t="s">
        <v>45508</v>
      </c>
      <c r="V4680" s="5" t="s">
        <v>45508</v>
      </c>
      <c r="W4680" s="5" t="s">
        <v>72</v>
      </c>
      <c r="X4680" s="5" t="s">
        <v>72</v>
      </c>
      <c r="Y4680" s="4">
        <v>79</v>
      </c>
      <c r="Z4680" s="4">
        <v>9</v>
      </c>
      <c r="AA4680" s="4">
        <v>14</v>
      </c>
      <c r="AB4680" s="4">
        <v>1</v>
      </c>
      <c r="AC4680" s="4">
        <v>5</v>
      </c>
      <c r="AD4680" s="4">
        <v>44</v>
      </c>
      <c r="AE4680" s="4">
        <v>48</v>
      </c>
      <c r="AF4680" s="4">
        <v>0</v>
      </c>
      <c r="AG4680" s="4">
        <v>3</v>
      </c>
      <c r="AH4680" s="4">
        <v>40</v>
      </c>
      <c r="AI4680" s="4">
        <v>41</v>
      </c>
      <c r="AJ4680" s="4">
        <v>7</v>
      </c>
      <c r="AK4680" s="4">
        <v>11</v>
      </c>
      <c r="AL4680" s="4">
        <v>28</v>
      </c>
      <c r="AM4680" s="4">
        <v>28</v>
      </c>
      <c r="AN4680" s="4">
        <v>0</v>
      </c>
      <c r="AO4680" s="4">
        <v>0</v>
      </c>
      <c r="AP4680" s="4">
        <v>7</v>
      </c>
      <c r="AQ4680" s="4">
        <v>9</v>
      </c>
      <c r="AR4680" s="3" t="s">
        <v>64</v>
      </c>
      <c r="AS4680" s="3" t="s">
        <v>64</v>
      </c>
      <c r="AT4680" s="3" t="s">
        <v>128</v>
      </c>
      <c r="AU4680" s="6" t="str">
        <f>HYPERLINK("http://catalog.hathitrust.org/Record/003186490","HathiTrust Record")</f>
        <v>HathiTrust Record</v>
      </c>
      <c r="AV4680" s="6" t="str">
        <f>HYPERLINK("http://mcgill.on.worldcat.org/oclc/36544454","Catalog Record")</f>
        <v>Catalog Record</v>
      </c>
      <c r="AW4680" s="6" t="str">
        <f>HYPERLINK("http://www.worldcat.org/oclc/36544454","WorldCat Record")</f>
        <v>WorldCat Record</v>
      </c>
      <c r="AX4680" s="3" t="s">
        <v>45509</v>
      </c>
      <c r="AY4680" s="3" t="s">
        <v>45510</v>
      </c>
      <c r="AZ4680" s="3" t="s">
        <v>45511</v>
      </c>
      <c r="BA4680" s="3" t="s">
        <v>45511</v>
      </c>
      <c r="BB4680" s="3" t="s">
        <v>45512</v>
      </c>
      <c r="BC4680" s="3" t="s">
        <v>77</v>
      </c>
      <c r="BD4680" s="3" t="s">
        <v>40037</v>
      </c>
      <c r="BE4680" s="3" t="s">
        <v>45513</v>
      </c>
      <c r="BF4680" s="3" t="s">
        <v>45512</v>
      </c>
      <c r="BG4680" s="3" t="s">
        <v>45514</v>
      </c>
      <c r="BH4680">
        <f t="shared" si="155"/>
        <v>0</v>
      </c>
    </row>
    <row r="4681" spans="1:60" ht="58" x14ac:dyDescent="0.35">
      <c r="A4681" s="2" t="s">
        <v>59</v>
      </c>
      <c r="B4681" s="2" t="s">
        <v>60</v>
      </c>
      <c r="C4681" s="2" t="s">
        <v>45515</v>
      </c>
      <c r="D4681" s="2" t="s">
        <v>45516</v>
      </c>
      <c r="E4681" s="2" t="s">
        <v>45517</v>
      </c>
      <c r="G4681" s="3" t="s">
        <v>64</v>
      </c>
      <c r="I4681" s="3" t="s">
        <v>64</v>
      </c>
      <c r="J4681" s="3" t="s">
        <v>64</v>
      </c>
      <c r="K4681" s="3" t="s">
        <v>65</v>
      </c>
      <c r="L4681" s="2" t="s">
        <v>45518</v>
      </c>
      <c r="M4681" s="2" t="s">
        <v>45519</v>
      </c>
      <c r="N4681" s="3" t="s">
        <v>171</v>
      </c>
      <c r="O4681" s="2" t="s">
        <v>172</v>
      </c>
      <c r="P4681" s="3" t="s">
        <v>102</v>
      </c>
      <c r="R4681" s="3" t="s">
        <v>70</v>
      </c>
      <c r="S4681" s="4">
        <v>1</v>
      </c>
      <c r="T4681" s="4">
        <v>1</v>
      </c>
      <c r="U4681" s="5" t="s">
        <v>3355</v>
      </c>
      <c r="V4681" s="5" t="s">
        <v>3355</v>
      </c>
      <c r="W4681" s="5" t="s">
        <v>72</v>
      </c>
      <c r="X4681" s="5" t="s">
        <v>72</v>
      </c>
      <c r="Y4681" s="4">
        <v>165</v>
      </c>
      <c r="Z4681" s="4">
        <v>12</v>
      </c>
      <c r="AA4681" s="4">
        <v>16</v>
      </c>
      <c r="AB4681" s="4">
        <v>1</v>
      </c>
      <c r="AC4681" s="4">
        <v>1</v>
      </c>
      <c r="AD4681" s="4">
        <v>70</v>
      </c>
      <c r="AE4681" s="4">
        <v>73</v>
      </c>
      <c r="AF4681" s="4">
        <v>0</v>
      </c>
      <c r="AG4681" s="4">
        <v>0</v>
      </c>
      <c r="AH4681" s="4">
        <v>64</v>
      </c>
      <c r="AI4681" s="4">
        <v>66</v>
      </c>
      <c r="AJ4681" s="4">
        <v>10</v>
      </c>
      <c r="AK4681" s="4">
        <v>12</v>
      </c>
      <c r="AL4681" s="4">
        <v>44</v>
      </c>
      <c r="AM4681" s="4">
        <v>45</v>
      </c>
      <c r="AN4681" s="4">
        <v>0</v>
      </c>
      <c r="AO4681" s="4">
        <v>0</v>
      </c>
      <c r="AP4681" s="4">
        <v>11</v>
      </c>
      <c r="AQ4681" s="4">
        <v>13</v>
      </c>
      <c r="AR4681" s="3" t="s">
        <v>64</v>
      </c>
      <c r="AS4681" s="3" t="s">
        <v>64</v>
      </c>
      <c r="AT4681" s="3" t="s">
        <v>64</v>
      </c>
      <c r="AV4681" s="6" t="str">
        <f>HYPERLINK("http://mcgill.on.worldcat.org/oclc/52092027","Catalog Record")</f>
        <v>Catalog Record</v>
      </c>
      <c r="AW4681" s="6" t="str">
        <f>HYPERLINK("http://www.worldcat.org/oclc/52092027","WorldCat Record")</f>
        <v>WorldCat Record</v>
      </c>
      <c r="AX4681" s="3" t="s">
        <v>45520</v>
      </c>
      <c r="AY4681" s="3" t="s">
        <v>45521</v>
      </c>
      <c r="AZ4681" s="3" t="s">
        <v>45522</v>
      </c>
      <c r="BA4681" s="3" t="s">
        <v>45522</v>
      </c>
      <c r="BB4681" s="3" t="s">
        <v>45523</v>
      </c>
      <c r="BC4681" s="3" t="s">
        <v>77</v>
      </c>
      <c r="BD4681" s="3" t="s">
        <v>78</v>
      </c>
      <c r="BE4681" s="3" t="s">
        <v>45524</v>
      </c>
      <c r="BF4681" s="3" t="s">
        <v>45523</v>
      </c>
      <c r="BG4681" s="3" t="s">
        <v>45525</v>
      </c>
      <c r="BH4681">
        <f t="shared" si="155"/>
        <v>0</v>
      </c>
    </row>
    <row r="4682" spans="1:60" ht="58" x14ac:dyDescent="0.35">
      <c r="A4682" s="2" t="s">
        <v>6202</v>
      </c>
      <c r="B4682" s="2" t="s">
        <v>6203</v>
      </c>
      <c r="C4682" s="2" t="s">
        <v>45526</v>
      </c>
      <c r="D4682" s="2" t="s">
        <v>45527</v>
      </c>
      <c r="E4682" s="2" t="s">
        <v>45528</v>
      </c>
      <c r="G4682" s="3" t="s">
        <v>64</v>
      </c>
      <c r="I4682" s="3" t="s">
        <v>64</v>
      </c>
      <c r="J4682" s="3" t="s">
        <v>64</v>
      </c>
      <c r="K4682" s="3" t="s">
        <v>65</v>
      </c>
      <c r="L4682" s="2" t="s">
        <v>45529</v>
      </c>
      <c r="M4682" s="2" t="s">
        <v>45530</v>
      </c>
      <c r="N4682" s="3" t="s">
        <v>3047</v>
      </c>
      <c r="P4682" s="3" t="s">
        <v>68</v>
      </c>
      <c r="R4682" s="3" t="s">
        <v>70</v>
      </c>
      <c r="S4682" s="4">
        <v>8</v>
      </c>
      <c r="T4682" s="4">
        <v>8</v>
      </c>
      <c r="U4682" s="5" t="s">
        <v>45531</v>
      </c>
      <c r="V4682" s="5" t="s">
        <v>45531</v>
      </c>
      <c r="W4682" s="5" t="s">
        <v>72</v>
      </c>
      <c r="X4682" s="5" t="s">
        <v>72</v>
      </c>
      <c r="Y4682" s="4">
        <v>99</v>
      </c>
      <c r="Z4682" s="4">
        <v>35</v>
      </c>
      <c r="AA4682" s="4">
        <v>50</v>
      </c>
      <c r="AB4682" s="4">
        <v>4</v>
      </c>
      <c r="AC4682" s="4">
        <v>12</v>
      </c>
      <c r="AD4682" s="4">
        <v>61</v>
      </c>
      <c r="AE4682" s="4">
        <v>74</v>
      </c>
      <c r="AF4682" s="4">
        <v>1</v>
      </c>
      <c r="AG4682" s="4">
        <v>6</v>
      </c>
      <c r="AH4682" s="4">
        <v>43</v>
      </c>
      <c r="AI4682" s="4">
        <v>51</v>
      </c>
      <c r="AJ4682" s="4">
        <v>19</v>
      </c>
      <c r="AK4682" s="4">
        <v>27</v>
      </c>
      <c r="AL4682" s="4">
        <v>25</v>
      </c>
      <c r="AM4682" s="4">
        <v>27</v>
      </c>
      <c r="AN4682" s="4">
        <v>0</v>
      </c>
      <c r="AO4682" s="4">
        <v>0</v>
      </c>
      <c r="AP4682" s="4">
        <v>25</v>
      </c>
      <c r="AQ4682" s="4">
        <v>34</v>
      </c>
      <c r="AR4682" s="3" t="s">
        <v>128</v>
      </c>
      <c r="AS4682" s="3" t="s">
        <v>64</v>
      </c>
      <c r="AT4682" s="3" t="s">
        <v>128</v>
      </c>
      <c r="AU4682" s="6" t="str">
        <f>HYPERLINK("http://catalog.hathitrust.org/Record/000910611","HathiTrust Record")</f>
        <v>HathiTrust Record</v>
      </c>
      <c r="AV4682" s="6" t="str">
        <f>HYPERLINK("http://mcgill.on.worldcat.org/oclc/18015220","Catalog Record")</f>
        <v>Catalog Record</v>
      </c>
      <c r="AW4682" s="6" t="str">
        <f>HYPERLINK("http://www.worldcat.org/oclc/18015220","WorldCat Record")</f>
        <v>WorldCat Record</v>
      </c>
      <c r="AX4682" s="3" t="s">
        <v>45532</v>
      </c>
      <c r="AY4682" s="3" t="s">
        <v>45533</v>
      </c>
      <c r="AZ4682" s="3" t="s">
        <v>45534</v>
      </c>
      <c r="BA4682" s="3" t="s">
        <v>45534</v>
      </c>
      <c r="BB4682" s="3" t="s">
        <v>45535</v>
      </c>
      <c r="BC4682" s="3" t="s">
        <v>77</v>
      </c>
      <c r="BD4682" s="3" t="s">
        <v>78</v>
      </c>
      <c r="BE4682" s="3" t="s">
        <v>45536</v>
      </c>
      <c r="BF4682" s="3" t="s">
        <v>45535</v>
      </c>
      <c r="BG4682" s="3" t="s">
        <v>45537</v>
      </c>
      <c r="BH4682">
        <f t="shared" si="155"/>
        <v>0</v>
      </c>
    </row>
    <row r="4683" spans="1:60" ht="145" x14ac:dyDescent="0.35">
      <c r="A4683" s="2" t="s">
        <v>6202</v>
      </c>
      <c r="B4683" s="2" t="s">
        <v>6203</v>
      </c>
      <c r="C4683" s="2" t="s">
        <v>45538</v>
      </c>
      <c r="D4683" s="2" t="s">
        <v>45539</v>
      </c>
      <c r="E4683" s="2" t="s">
        <v>45540</v>
      </c>
      <c r="G4683" s="3" t="s">
        <v>64</v>
      </c>
      <c r="I4683" s="3" t="s">
        <v>64</v>
      </c>
      <c r="J4683" s="3" t="s">
        <v>64</v>
      </c>
      <c r="K4683" s="3" t="s">
        <v>65</v>
      </c>
      <c r="L4683" s="2" t="s">
        <v>45541</v>
      </c>
      <c r="M4683" s="2" t="s">
        <v>45542</v>
      </c>
      <c r="N4683" s="3" t="s">
        <v>511</v>
      </c>
      <c r="O4683" s="2" t="s">
        <v>45543</v>
      </c>
      <c r="P4683" s="3" t="s">
        <v>68</v>
      </c>
      <c r="Q4683" s="2" t="s">
        <v>45544</v>
      </c>
      <c r="R4683" s="3" t="s">
        <v>70</v>
      </c>
      <c r="S4683" s="4">
        <v>1</v>
      </c>
      <c r="T4683" s="4">
        <v>1</v>
      </c>
      <c r="U4683" s="5" t="s">
        <v>45545</v>
      </c>
      <c r="V4683" s="5" t="s">
        <v>45545</v>
      </c>
      <c r="W4683" s="5" t="s">
        <v>72</v>
      </c>
      <c r="X4683" s="5" t="s">
        <v>72</v>
      </c>
      <c r="Y4683" s="4">
        <v>58</v>
      </c>
      <c r="Z4683" s="4">
        <v>5</v>
      </c>
      <c r="AA4683" s="4">
        <v>9</v>
      </c>
      <c r="AB4683" s="4">
        <v>2</v>
      </c>
      <c r="AC4683" s="4">
        <v>6</v>
      </c>
      <c r="AD4683" s="4">
        <v>27</v>
      </c>
      <c r="AE4683" s="4">
        <v>30</v>
      </c>
      <c r="AF4683" s="4">
        <v>0</v>
      </c>
      <c r="AG4683" s="4">
        <v>3</v>
      </c>
      <c r="AH4683" s="4">
        <v>26</v>
      </c>
      <c r="AI4683" s="4">
        <v>27</v>
      </c>
      <c r="AJ4683" s="4">
        <v>3</v>
      </c>
      <c r="AK4683" s="4">
        <v>6</v>
      </c>
      <c r="AL4683" s="4">
        <v>18</v>
      </c>
      <c r="AM4683" s="4">
        <v>18</v>
      </c>
      <c r="AN4683" s="4">
        <v>0</v>
      </c>
      <c r="AO4683" s="4">
        <v>0</v>
      </c>
      <c r="AP4683" s="4">
        <v>3</v>
      </c>
      <c r="AQ4683" s="4">
        <v>5</v>
      </c>
      <c r="AR4683" s="3" t="s">
        <v>64</v>
      </c>
      <c r="AS4683" s="3" t="s">
        <v>64</v>
      </c>
      <c r="AT4683" s="3" t="s">
        <v>64</v>
      </c>
      <c r="AV4683" s="6" t="str">
        <f>HYPERLINK("http://mcgill.on.worldcat.org/oclc/669737833","Catalog Record")</f>
        <v>Catalog Record</v>
      </c>
      <c r="AW4683" s="6" t="str">
        <f>HYPERLINK("http://www.worldcat.org/oclc/669737833","WorldCat Record")</f>
        <v>WorldCat Record</v>
      </c>
      <c r="AX4683" s="3" t="s">
        <v>45546</v>
      </c>
      <c r="AY4683" s="3" t="s">
        <v>45547</v>
      </c>
      <c r="AZ4683" s="3" t="s">
        <v>45548</v>
      </c>
      <c r="BA4683" s="3" t="s">
        <v>45548</v>
      </c>
      <c r="BB4683" s="3" t="s">
        <v>45549</v>
      </c>
      <c r="BC4683" s="3" t="s">
        <v>77</v>
      </c>
      <c r="BD4683" s="3" t="s">
        <v>78</v>
      </c>
      <c r="BE4683" s="3" t="s">
        <v>45550</v>
      </c>
      <c r="BF4683" s="3" t="s">
        <v>45549</v>
      </c>
      <c r="BG4683" s="3" t="s">
        <v>45551</v>
      </c>
      <c r="BH4683">
        <f t="shared" si="155"/>
        <v>0</v>
      </c>
    </row>
    <row r="4684" spans="1:60" ht="58" x14ac:dyDescent="0.35">
      <c r="A4684" s="2" t="s">
        <v>59</v>
      </c>
      <c r="B4684" s="2" t="s">
        <v>60</v>
      </c>
      <c r="C4684" s="2" t="s">
        <v>45552</v>
      </c>
      <c r="D4684" s="2" t="s">
        <v>45553</v>
      </c>
      <c r="E4684" s="2" t="s">
        <v>45554</v>
      </c>
      <c r="G4684" s="3" t="s">
        <v>64</v>
      </c>
      <c r="I4684" s="3" t="s">
        <v>64</v>
      </c>
      <c r="J4684" s="3" t="s">
        <v>64</v>
      </c>
      <c r="K4684" s="3" t="s">
        <v>65</v>
      </c>
      <c r="L4684" s="2" t="s">
        <v>45555</v>
      </c>
      <c r="M4684" s="2" t="s">
        <v>45556</v>
      </c>
      <c r="N4684" s="3" t="s">
        <v>253</v>
      </c>
      <c r="P4684" s="3" t="s">
        <v>102</v>
      </c>
      <c r="Q4684" s="2" t="s">
        <v>45557</v>
      </c>
      <c r="R4684" s="3" t="s">
        <v>70</v>
      </c>
      <c r="S4684" s="4">
        <v>0</v>
      </c>
      <c r="T4684" s="4">
        <v>0</v>
      </c>
      <c r="W4684" s="5" t="s">
        <v>72</v>
      </c>
      <c r="X4684" s="5" t="s">
        <v>72</v>
      </c>
      <c r="Y4684" s="4">
        <v>45</v>
      </c>
      <c r="Z4684" s="4">
        <v>3</v>
      </c>
      <c r="AA4684" s="4">
        <v>4</v>
      </c>
      <c r="AB4684" s="4">
        <v>1</v>
      </c>
      <c r="AC4684" s="4">
        <v>1</v>
      </c>
      <c r="AD4684" s="4">
        <v>30</v>
      </c>
      <c r="AE4684" s="4">
        <v>31</v>
      </c>
      <c r="AF4684" s="4">
        <v>0</v>
      </c>
      <c r="AG4684" s="4">
        <v>0</v>
      </c>
      <c r="AH4684" s="4">
        <v>30</v>
      </c>
      <c r="AI4684" s="4">
        <v>30</v>
      </c>
      <c r="AJ4684" s="4">
        <v>1</v>
      </c>
      <c r="AK4684" s="4">
        <v>2</v>
      </c>
      <c r="AL4684" s="4">
        <v>21</v>
      </c>
      <c r="AM4684" s="4">
        <v>21</v>
      </c>
      <c r="AN4684" s="4">
        <v>0</v>
      </c>
      <c r="AO4684" s="4">
        <v>0</v>
      </c>
      <c r="AP4684" s="4">
        <v>1</v>
      </c>
      <c r="AQ4684" s="4">
        <v>2</v>
      </c>
      <c r="AR4684" s="3" t="s">
        <v>64</v>
      </c>
      <c r="AS4684" s="3" t="s">
        <v>64</v>
      </c>
      <c r="AT4684" s="3" t="s">
        <v>64</v>
      </c>
      <c r="AV4684" s="6" t="str">
        <f>HYPERLINK("http://mcgill.on.worldcat.org/oclc/904047344","Catalog Record")</f>
        <v>Catalog Record</v>
      </c>
      <c r="AW4684" s="6" t="str">
        <f>HYPERLINK("http://www.worldcat.org/oclc/904047344","WorldCat Record")</f>
        <v>WorldCat Record</v>
      </c>
      <c r="AX4684" s="3" t="s">
        <v>45558</v>
      </c>
      <c r="AY4684" s="3" t="s">
        <v>45559</v>
      </c>
      <c r="AZ4684" s="3" t="s">
        <v>45560</v>
      </c>
      <c r="BA4684" s="3" t="s">
        <v>45560</v>
      </c>
      <c r="BB4684" s="3" t="s">
        <v>45561</v>
      </c>
      <c r="BC4684" s="3" t="s">
        <v>77</v>
      </c>
      <c r="BD4684" s="3" t="s">
        <v>78</v>
      </c>
      <c r="BE4684" s="3" t="s">
        <v>45562</v>
      </c>
      <c r="BF4684" s="3" t="s">
        <v>45561</v>
      </c>
      <c r="BG4684" s="3" t="s">
        <v>45563</v>
      </c>
      <c r="BH4684">
        <f t="shared" si="155"/>
        <v>0</v>
      </c>
    </row>
    <row r="4685" spans="1:60" ht="58" x14ac:dyDescent="0.35">
      <c r="A4685" s="2" t="s">
        <v>59</v>
      </c>
      <c r="B4685" s="2" t="s">
        <v>60</v>
      </c>
      <c r="C4685" s="2" t="s">
        <v>45564</v>
      </c>
      <c r="D4685" s="2" t="s">
        <v>45565</v>
      </c>
      <c r="E4685" s="2" t="s">
        <v>45566</v>
      </c>
      <c r="G4685" s="3" t="s">
        <v>64</v>
      </c>
      <c r="I4685" s="3" t="s">
        <v>128</v>
      </c>
      <c r="J4685" s="3" t="s">
        <v>64</v>
      </c>
      <c r="K4685" s="3" t="s">
        <v>65</v>
      </c>
      <c r="L4685" s="2" t="s">
        <v>45567</v>
      </c>
      <c r="M4685" s="2" t="s">
        <v>45568</v>
      </c>
      <c r="N4685" s="3" t="s">
        <v>153</v>
      </c>
      <c r="P4685" s="3" t="s">
        <v>102</v>
      </c>
      <c r="Q4685" s="2" t="s">
        <v>45569</v>
      </c>
      <c r="R4685" s="3" t="s">
        <v>70</v>
      </c>
      <c r="S4685" s="4">
        <v>1</v>
      </c>
      <c r="T4685" s="4">
        <v>3</v>
      </c>
      <c r="U4685" s="5" t="s">
        <v>45570</v>
      </c>
      <c r="V4685" s="5" t="s">
        <v>22835</v>
      </c>
      <c r="W4685" s="5" t="s">
        <v>72</v>
      </c>
      <c r="X4685" s="5" t="s">
        <v>72</v>
      </c>
      <c r="Y4685" s="4">
        <v>105</v>
      </c>
      <c r="Z4685" s="4">
        <v>12</v>
      </c>
      <c r="AA4685" s="4">
        <v>13</v>
      </c>
      <c r="AB4685" s="4">
        <v>1</v>
      </c>
      <c r="AC4685" s="4">
        <v>2</v>
      </c>
      <c r="AD4685" s="4">
        <v>56</v>
      </c>
      <c r="AE4685" s="4">
        <v>57</v>
      </c>
      <c r="AF4685" s="4">
        <v>0</v>
      </c>
      <c r="AG4685" s="4">
        <v>0</v>
      </c>
      <c r="AH4685" s="4">
        <v>52</v>
      </c>
      <c r="AI4685" s="4">
        <v>53</v>
      </c>
      <c r="AJ4685" s="4">
        <v>9</v>
      </c>
      <c r="AK4685" s="4">
        <v>9</v>
      </c>
      <c r="AL4685" s="4">
        <v>31</v>
      </c>
      <c r="AM4685" s="4">
        <v>32</v>
      </c>
      <c r="AN4685" s="4">
        <v>0</v>
      </c>
      <c r="AO4685" s="4">
        <v>0</v>
      </c>
      <c r="AP4685" s="4">
        <v>8</v>
      </c>
      <c r="AQ4685" s="4">
        <v>8</v>
      </c>
      <c r="AR4685" s="3" t="s">
        <v>128</v>
      </c>
      <c r="AS4685" s="3" t="s">
        <v>64</v>
      </c>
      <c r="AT4685" s="3" t="s">
        <v>128</v>
      </c>
      <c r="AU4685" s="6" t="str">
        <f>HYPERLINK("http://catalog.hathitrust.org/Record/003972687","HathiTrust Record")</f>
        <v>HathiTrust Record</v>
      </c>
      <c r="AV4685" s="6" t="str">
        <f>HYPERLINK("http://mcgill.on.worldcat.org/oclc/43527119","Catalog Record")</f>
        <v>Catalog Record</v>
      </c>
      <c r="AW4685" s="6" t="str">
        <f>HYPERLINK("http://www.worldcat.org/oclc/43527119","WorldCat Record")</f>
        <v>WorldCat Record</v>
      </c>
      <c r="AX4685" s="3" t="s">
        <v>45571</v>
      </c>
      <c r="AY4685" s="3" t="s">
        <v>45572</v>
      </c>
      <c r="AZ4685" s="3" t="s">
        <v>45573</v>
      </c>
      <c r="BA4685" s="3" t="s">
        <v>45573</v>
      </c>
      <c r="BB4685" s="3" t="s">
        <v>45574</v>
      </c>
      <c r="BC4685" s="3" t="s">
        <v>77</v>
      </c>
      <c r="BD4685" s="3" t="s">
        <v>78</v>
      </c>
      <c r="BE4685" s="3" t="s">
        <v>45575</v>
      </c>
      <c r="BF4685" s="3" t="s">
        <v>45574</v>
      </c>
      <c r="BG4685" s="3" t="s">
        <v>45576</v>
      </c>
      <c r="BH4685">
        <f t="shared" si="155"/>
        <v>0</v>
      </c>
    </row>
    <row r="4686" spans="1:60" ht="58" x14ac:dyDescent="0.35">
      <c r="A4686" s="2" t="s">
        <v>6202</v>
      </c>
      <c r="B4686" s="2" t="s">
        <v>6203</v>
      </c>
      <c r="C4686" s="2" t="s">
        <v>45577</v>
      </c>
      <c r="D4686" s="2" t="s">
        <v>45578</v>
      </c>
      <c r="E4686" s="2" t="s">
        <v>45579</v>
      </c>
      <c r="G4686" s="3" t="s">
        <v>64</v>
      </c>
      <c r="I4686" s="3" t="s">
        <v>128</v>
      </c>
      <c r="J4686" s="3" t="s">
        <v>64</v>
      </c>
      <c r="K4686" s="3" t="s">
        <v>65</v>
      </c>
      <c r="M4686" s="2" t="s">
        <v>45580</v>
      </c>
      <c r="N4686" s="3" t="s">
        <v>364</v>
      </c>
      <c r="O4686" s="2" t="s">
        <v>45581</v>
      </c>
      <c r="P4686" s="3" t="s">
        <v>102</v>
      </c>
      <c r="R4686" s="3" t="s">
        <v>70</v>
      </c>
      <c r="S4686" s="4">
        <v>0</v>
      </c>
      <c r="T4686" s="4">
        <v>2</v>
      </c>
      <c r="V4686" s="5" t="s">
        <v>1655</v>
      </c>
      <c r="W4686" s="5" t="s">
        <v>72</v>
      </c>
      <c r="X4686" s="5" t="s">
        <v>72</v>
      </c>
      <c r="Y4686" s="4">
        <v>46</v>
      </c>
      <c r="Z4686" s="4">
        <v>7</v>
      </c>
      <c r="AA4686" s="4">
        <v>8</v>
      </c>
      <c r="AB4686" s="4">
        <v>1</v>
      </c>
      <c r="AC4686" s="4">
        <v>2</v>
      </c>
      <c r="AD4686" s="4">
        <v>32</v>
      </c>
      <c r="AE4686" s="4">
        <v>36</v>
      </c>
      <c r="AF4686" s="4">
        <v>0</v>
      </c>
      <c r="AG4686" s="4">
        <v>1</v>
      </c>
      <c r="AH4686" s="4">
        <v>29</v>
      </c>
      <c r="AI4686" s="4">
        <v>32</v>
      </c>
      <c r="AJ4686" s="4">
        <v>5</v>
      </c>
      <c r="AK4686" s="4">
        <v>6</v>
      </c>
      <c r="AL4686" s="4">
        <v>23</v>
      </c>
      <c r="AM4686" s="4">
        <v>24</v>
      </c>
      <c r="AN4686" s="4">
        <v>0</v>
      </c>
      <c r="AO4686" s="4">
        <v>0</v>
      </c>
      <c r="AP4686" s="4">
        <v>4</v>
      </c>
      <c r="AQ4686" s="4">
        <v>5</v>
      </c>
      <c r="AR4686" s="3" t="s">
        <v>64</v>
      </c>
      <c r="AS4686" s="3" t="s">
        <v>64</v>
      </c>
      <c r="AT4686" s="3" t="s">
        <v>128</v>
      </c>
      <c r="AU4686" s="6" t="str">
        <f>HYPERLINK("http://catalog.hathitrust.org/Record/000721039","HathiTrust Record")</f>
        <v>HathiTrust Record</v>
      </c>
      <c r="AV4686" s="6" t="str">
        <f>HYPERLINK("http://mcgill.on.worldcat.org/oclc/2136880","Catalog Record")</f>
        <v>Catalog Record</v>
      </c>
      <c r="AW4686" s="6" t="str">
        <f>HYPERLINK("http://www.worldcat.org/oclc/2136880","WorldCat Record")</f>
        <v>WorldCat Record</v>
      </c>
      <c r="AX4686" s="3" t="s">
        <v>45582</v>
      </c>
      <c r="AY4686" s="3" t="s">
        <v>45583</v>
      </c>
      <c r="AZ4686" s="3" t="s">
        <v>45584</v>
      </c>
      <c r="BA4686" s="3" t="s">
        <v>45584</v>
      </c>
      <c r="BB4686" s="3" t="s">
        <v>45585</v>
      </c>
      <c r="BC4686" s="3" t="s">
        <v>77</v>
      </c>
      <c r="BD4686" s="3" t="s">
        <v>78</v>
      </c>
      <c r="BF4686" s="3" t="s">
        <v>45585</v>
      </c>
      <c r="BG4686" s="3" t="s">
        <v>45586</v>
      </c>
      <c r="BH4686">
        <f t="shared" si="155"/>
        <v>0</v>
      </c>
    </row>
    <row r="4687" spans="1:60" ht="58" x14ac:dyDescent="0.35">
      <c r="A4687" s="2" t="s">
        <v>6202</v>
      </c>
      <c r="B4687" s="2" t="s">
        <v>6203</v>
      </c>
      <c r="C4687" s="2" t="s">
        <v>45587</v>
      </c>
      <c r="D4687" s="2" t="s">
        <v>45588</v>
      </c>
      <c r="E4687" s="2" t="s">
        <v>45589</v>
      </c>
      <c r="F4687" s="3" t="s">
        <v>489</v>
      </c>
      <c r="G4687" s="3" t="s">
        <v>128</v>
      </c>
      <c r="I4687" s="3" t="s">
        <v>128</v>
      </c>
      <c r="J4687" s="3" t="s">
        <v>64</v>
      </c>
      <c r="K4687" s="3" t="s">
        <v>65</v>
      </c>
      <c r="M4687" s="2" t="s">
        <v>45590</v>
      </c>
      <c r="N4687" s="3" t="s">
        <v>364</v>
      </c>
      <c r="P4687" s="3" t="s">
        <v>102</v>
      </c>
      <c r="R4687" s="3" t="s">
        <v>70</v>
      </c>
      <c r="S4687" s="4">
        <v>0</v>
      </c>
      <c r="T4687" s="4">
        <v>2</v>
      </c>
      <c r="V4687" s="5" t="s">
        <v>1655</v>
      </c>
      <c r="W4687" s="5" t="s">
        <v>72</v>
      </c>
      <c r="X4687" s="5" t="s">
        <v>72</v>
      </c>
      <c r="Y4687" s="4">
        <v>312</v>
      </c>
      <c r="Z4687" s="4">
        <v>23</v>
      </c>
      <c r="AA4687" s="4">
        <v>28</v>
      </c>
      <c r="AB4687" s="4">
        <v>2</v>
      </c>
      <c r="AC4687" s="4">
        <v>4</v>
      </c>
      <c r="AD4687" s="4">
        <v>85</v>
      </c>
      <c r="AE4687" s="4">
        <v>88</v>
      </c>
      <c r="AF4687" s="4">
        <v>0</v>
      </c>
      <c r="AG4687" s="4">
        <v>2</v>
      </c>
      <c r="AH4687" s="4">
        <v>76</v>
      </c>
      <c r="AI4687" s="4">
        <v>77</v>
      </c>
      <c r="AJ4687" s="4">
        <v>12</v>
      </c>
      <c r="AK4687" s="4">
        <v>15</v>
      </c>
      <c r="AL4687" s="4">
        <v>47</v>
      </c>
      <c r="AM4687" s="4">
        <v>47</v>
      </c>
      <c r="AN4687" s="4">
        <v>0</v>
      </c>
      <c r="AO4687" s="4">
        <v>0</v>
      </c>
      <c r="AP4687" s="4">
        <v>14</v>
      </c>
      <c r="AQ4687" s="4">
        <v>16</v>
      </c>
      <c r="AR4687" s="3" t="s">
        <v>64</v>
      </c>
      <c r="AS4687" s="3" t="s">
        <v>64</v>
      </c>
      <c r="AT4687" s="3" t="s">
        <v>128</v>
      </c>
      <c r="AU4687" s="6" t="str">
        <f>HYPERLINK("http://catalog.hathitrust.org/Record/000195172","HathiTrust Record")</f>
        <v>HathiTrust Record</v>
      </c>
      <c r="AV4687" s="6" t="str">
        <f>HYPERLINK("http://mcgill.on.worldcat.org/oclc/805486","Catalog Record")</f>
        <v>Catalog Record</v>
      </c>
      <c r="AW4687" s="6" t="str">
        <f>HYPERLINK("http://www.worldcat.org/oclc/805486","WorldCat Record")</f>
        <v>WorldCat Record</v>
      </c>
      <c r="AX4687" s="3" t="s">
        <v>45591</v>
      </c>
      <c r="AY4687" s="3" t="s">
        <v>45592</v>
      </c>
      <c r="AZ4687" s="3" t="s">
        <v>45593</v>
      </c>
      <c r="BA4687" s="3" t="s">
        <v>45593</v>
      </c>
      <c r="BB4687" s="3" t="s">
        <v>45594</v>
      </c>
      <c r="BC4687" s="3" t="s">
        <v>77</v>
      </c>
      <c r="BD4687" s="3" t="s">
        <v>78</v>
      </c>
      <c r="BE4687" s="3" t="s">
        <v>45595</v>
      </c>
      <c r="BF4687" s="3" t="s">
        <v>45594</v>
      </c>
      <c r="BG4687" s="3" t="s">
        <v>45596</v>
      </c>
      <c r="BH4687">
        <f t="shared" si="155"/>
        <v>0</v>
      </c>
    </row>
    <row r="4688" spans="1:60" ht="58" x14ac:dyDescent="0.35">
      <c r="A4688" s="2" t="s">
        <v>6202</v>
      </c>
      <c r="B4688" s="2" t="s">
        <v>6203</v>
      </c>
      <c r="C4688" s="2" t="s">
        <v>45587</v>
      </c>
      <c r="D4688" s="2" t="s">
        <v>45588</v>
      </c>
      <c r="E4688" s="2" t="s">
        <v>45589</v>
      </c>
      <c r="F4688" s="3" t="s">
        <v>478</v>
      </c>
      <c r="G4688" s="3" t="s">
        <v>128</v>
      </c>
      <c r="I4688" s="3" t="s">
        <v>128</v>
      </c>
      <c r="J4688" s="3" t="s">
        <v>64</v>
      </c>
      <c r="K4688" s="3" t="s">
        <v>65</v>
      </c>
      <c r="M4688" s="2" t="s">
        <v>45590</v>
      </c>
      <c r="N4688" s="3" t="s">
        <v>364</v>
      </c>
      <c r="P4688" s="3" t="s">
        <v>102</v>
      </c>
      <c r="R4688" s="3" t="s">
        <v>70</v>
      </c>
      <c r="S4688" s="4">
        <v>0</v>
      </c>
      <c r="T4688" s="4">
        <v>2</v>
      </c>
      <c r="V4688" s="5" t="s">
        <v>1655</v>
      </c>
      <c r="W4688" s="5" t="s">
        <v>72</v>
      </c>
      <c r="X4688" s="5" t="s">
        <v>72</v>
      </c>
      <c r="Y4688" s="4">
        <v>312</v>
      </c>
      <c r="Z4688" s="4">
        <v>23</v>
      </c>
      <c r="AA4688" s="4">
        <v>28</v>
      </c>
      <c r="AB4688" s="4">
        <v>2</v>
      </c>
      <c r="AC4688" s="4">
        <v>4</v>
      </c>
      <c r="AD4688" s="4">
        <v>85</v>
      </c>
      <c r="AE4688" s="4">
        <v>88</v>
      </c>
      <c r="AF4688" s="4">
        <v>0</v>
      </c>
      <c r="AG4688" s="4">
        <v>2</v>
      </c>
      <c r="AH4688" s="4">
        <v>76</v>
      </c>
      <c r="AI4688" s="4">
        <v>77</v>
      </c>
      <c r="AJ4688" s="4">
        <v>12</v>
      </c>
      <c r="AK4688" s="4">
        <v>15</v>
      </c>
      <c r="AL4688" s="4">
        <v>47</v>
      </c>
      <c r="AM4688" s="4">
        <v>47</v>
      </c>
      <c r="AN4688" s="4">
        <v>0</v>
      </c>
      <c r="AO4688" s="4">
        <v>0</v>
      </c>
      <c r="AP4688" s="4">
        <v>14</v>
      </c>
      <c r="AQ4688" s="4">
        <v>16</v>
      </c>
      <c r="AR4688" s="3" t="s">
        <v>64</v>
      </c>
      <c r="AS4688" s="3" t="s">
        <v>64</v>
      </c>
      <c r="AT4688" s="3" t="s">
        <v>128</v>
      </c>
      <c r="AU4688" s="6" t="str">
        <f>HYPERLINK("http://catalog.hathitrust.org/Record/000195172","HathiTrust Record")</f>
        <v>HathiTrust Record</v>
      </c>
      <c r="AV4688" s="6" t="str">
        <f>HYPERLINK("http://mcgill.on.worldcat.org/oclc/805486","Catalog Record")</f>
        <v>Catalog Record</v>
      </c>
      <c r="AW4688" s="6" t="str">
        <f>HYPERLINK("http://www.worldcat.org/oclc/805486","WorldCat Record")</f>
        <v>WorldCat Record</v>
      </c>
      <c r="AX4688" s="3" t="s">
        <v>45591</v>
      </c>
      <c r="AY4688" s="3" t="s">
        <v>45592</v>
      </c>
      <c r="AZ4688" s="3" t="s">
        <v>45593</v>
      </c>
      <c r="BA4688" s="3" t="s">
        <v>45593</v>
      </c>
      <c r="BB4688" s="3" t="s">
        <v>45597</v>
      </c>
      <c r="BC4688" s="3" t="s">
        <v>77</v>
      </c>
      <c r="BD4688" s="3" t="s">
        <v>78</v>
      </c>
      <c r="BE4688" s="3" t="s">
        <v>45595</v>
      </c>
      <c r="BF4688" s="3" t="s">
        <v>45597</v>
      </c>
      <c r="BG4688" s="3" t="s">
        <v>45598</v>
      </c>
      <c r="BH4688">
        <f t="shared" si="155"/>
        <v>0</v>
      </c>
    </row>
    <row r="4689" spans="1:60" ht="58" x14ac:dyDescent="0.35">
      <c r="A4689" s="2" t="s">
        <v>59</v>
      </c>
      <c r="B4689" s="2" t="s">
        <v>60</v>
      </c>
      <c r="C4689" s="2" t="s">
        <v>45599</v>
      </c>
      <c r="D4689" s="2" t="s">
        <v>45600</v>
      </c>
      <c r="E4689" s="2" t="s">
        <v>45589</v>
      </c>
      <c r="F4689" s="3" t="s">
        <v>478</v>
      </c>
      <c r="G4689" s="3" t="s">
        <v>128</v>
      </c>
      <c r="I4689" s="3" t="s">
        <v>128</v>
      </c>
      <c r="J4689" s="3" t="s">
        <v>64</v>
      </c>
      <c r="K4689" s="3" t="s">
        <v>65</v>
      </c>
      <c r="M4689" s="2" t="s">
        <v>45590</v>
      </c>
      <c r="N4689" s="3" t="s">
        <v>364</v>
      </c>
      <c r="P4689" s="3" t="s">
        <v>102</v>
      </c>
      <c r="R4689" s="3" t="s">
        <v>70</v>
      </c>
      <c r="S4689" s="4">
        <v>0</v>
      </c>
      <c r="T4689" s="4">
        <v>2</v>
      </c>
      <c r="V4689" s="5" t="s">
        <v>1655</v>
      </c>
      <c r="W4689" s="5" t="s">
        <v>72</v>
      </c>
      <c r="X4689" s="5" t="s">
        <v>72</v>
      </c>
      <c r="Y4689" s="4">
        <v>312</v>
      </c>
      <c r="Z4689" s="4">
        <v>23</v>
      </c>
      <c r="AA4689" s="4">
        <v>28</v>
      </c>
      <c r="AB4689" s="4">
        <v>2</v>
      </c>
      <c r="AC4689" s="4">
        <v>4</v>
      </c>
      <c r="AD4689" s="4">
        <v>85</v>
      </c>
      <c r="AE4689" s="4">
        <v>88</v>
      </c>
      <c r="AF4689" s="4">
        <v>0</v>
      </c>
      <c r="AG4689" s="4">
        <v>2</v>
      </c>
      <c r="AH4689" s="4">
        <v>76</v>
      </c>
      <c r="AI4689" s="4">
        <v>77</v>
      </c>
      <c r="AJ4689" s="4">
        <v>12</v>
      </c>
      <c r="AK4689" s="4">
        <v>15</v>
      </c>
      <c r="AL4689" s="4">
        <v>47</v>
      </c>
      <c r="AM4689" s="4">
        <v>47</v>
      </c>
      <c r="AN4689" s="4">
        <v>0</v>
      </c>
      <c r="AO4689" s="4">
        <v>0</v>
      </c>
      <c r="AP4689" s="4">
        <v>14</v>
      </c>
      <c r="AQ4689" s="4">
        <v>16</v>
      </c>
      <c r="AR4689" s="3" t="s">
        <v>64</v>
      </c>
      <c r="AS4689" s="3" t="s">
        <v>64</v>
      </c>
      <c r="AT4689" s="3" t="s">
        <v>128</v>
      </c>
      <c r="AU4689" s="6" t="str">
        <f>HYPERLINK("http://catalog.hathitrust.org/Record/000195172","HathiTrust Record")</f>
        <v>HathiTrust Record</v>
      </c>
      <c r="AV4689" s="6" t="str">
        <f>HYPERLINK("http://mcgill.on.worldcat.org/oclc/805486","Catalog Record")</f>
        <v>Catalog Record</v>
      </c>
      <c r="AW4689" s="6" t="str">
        <f>HYPERLINK("http://www.worldcat.org/oclc/805486","WorldCat Record")</f>
        <v>WorldCat Record</v>
      </c>
      <c r="AX4689" s="3" t="s">
        <v>45591</v>
      </c>
      <c r="AY4689" s="3" t="s">
        <v>45592</v>
      </c>
      <c r="AZ4689" s="3" t="s">
        <v>45593</v>
      </c>
      <c r="BA4689" s="3" t="s">
        <v>45593</v>
      </c>
      <c r="BB4689" s="3" t="s">
        <v>45601</v>
      </c>
      <c r="BC4689" s="3" t="s">
        <v>77</v>
      </c>
      <c r="BD4689" s="3" t="s">
        <v>78</v>
      </c>
      <c r="BE4689" s="3" t="s">
        <v>45595</v>
      </c>
      <c r="BF4689" s="3" t="s">
        <v>45601</v>
      </c>
      <c r="BG4689" s="3" t="s">
        <v>45602</v>
      </c>
      <c r="BH4689">
        <f t="shared" si="155"/>
        <v>0</v>
      </c>
    </row>
    <row r="4690" spans="1:60" ht="58" x14ac:dyDescent="0.35">
      <c r="A4690" s="2" t="s">
        <v>59</v>
      </c>
      <c r="B4690" s="2" t="s">
        <v>60</v>
      </c>
      <c r="C4690" s="2" t="s">
        <v>45599</v>
      </c>
      <c r="D4690" s="2" t="s">
        <v>45600</v>
      </c>
      <c r="E4690" s="2" t="s">
        <v>45589</v>
      </c>
      <c r="F4690" s="3" t="s">
        <v>489</v>
      </c>
      <c r="G4690" s="3" t="s">
        <v>128</v>
      </c>
      <c r="I4690" s="3" t="s">
        <v>128</v>
      </c>
      <c r="J4690" s="3" t="s">
        <v>64</v>
      </c>
      <c r="K4690" s="3" t="s">
        <v>65</v>
      </c>
      <c r="M4690" s="2" t="s">
        <v>45590</v>
      </c>
      <c r="N4690" s="3" t="s">
        <v>364</v>
      </c>
      <c r="P4690" s="3" t="s">
        <v>102</v>
      </c>
      <c r="R4690" s="3" t="s">
        <v>70</v>
      </c>
      <c r="S4690" s="4">
        <v>0</v>
      </c>
      <c r="T4690" s="4">
        <v>2</v>
      </c>
      <c r="V4690" s="5" t="s">
        <v>1655</v>
      </c>
      <c r="W4690" s="5" t="s">
        <v>72</v>
      </c>
      <c r="X4690" s="5" t="s">
        <v>72</v>
      </c>
      <c r="Y4690" s="4">
        <v>312</v>
      </c>
      <c r="Z4690" s="4">
        <v>23</v>
      </c>
      <c r="AA4690" s="4">
        <v>28</v>
      </c>
      <c r="AB4690" s="4">
        <v>2</v>
      </c>
      <c r="AC4690" s="4">
        <v>4</v>
      </c>
      <c r="AD4690" s="4">
        <v>85</v>
      </c>
      <c r="AE4690" s="4">
        <v>88</v>
      </c>
      <c r="AF4690" s="4">
        <v>0</v>
      </c>
      <c r="AG4690" s="4">
        <v>2</v>
      </c>
      <c r="AH4690" s="4">
        <v>76</v>
      </c>
      <c r="AI4690" s="4">
        <v>77</v>
      </c>
      <c r="AJ4690" s="4">
        <v>12</v>
      </c>
      <c r="AK4690" s="4">
        <v>15</v>
      </c>
      <c r="AL4690" s="4">
        <v>47</v>
      </c>
      <c r="AM4690" s="4">
        <v>47</v>
      </c>
      <c r="AN4690" s="4">
        <v>0</v>
      </c>
      <c r="AO4690" s="4">
        <v>0</v>
      </c>
      <c r="AP4690" s="4">
        <v>14</v>
      </c>
      <c r="AQ4690" s="4">
        <v>16</v>
      </c>
      <c r="AR4690" s="3" t="s">
        <v>64</v>
      </c>
      <c r="AS4690" s="3" t="s">
        <v>64</v>
      </c>
      <c r="AT4690" s="3" t="s">
        <v>128</v>
      </c>
      <c r="AU4690" s="6" t="str">
        <f>HYPERLINK("http://catalog.hathitrust.org/Record/000195172","HathiTrust Record")</f>
        <v>HathiTrust Record</v>
      </c>
      <c r="AV4690" s="6" t="str">
        <f>HYPERLINK("http://mcgill.on.worldcat.org/oclc/805486","Catalog Record")</f>
        <v>Catalog Record</v>
      </c>
      <c r="AW4690" s="6" t="str">
        <f>HYPERLINK("http://www.worldcat.org/oclc/805486","WorldCat Record")</f>
        <v>WorldCat Record</v>
      </c>
      <c r="AX4690" s="3" t="s">
        <v>45591</v>
      </c>
      <c r="AY4690" s="3" t="s">
        <v>45592</v>
      </c>
      <c r="AZ4690" s="3" t="s">
        <v>45593</v>
      </c>
      <c r="BA4690" s="3" t="s">
        <v>45593</v>
      </c>
      <c r="BB4690" s="3" t="s">
        <v>45603</v>
      </c>
      <c r="BC4690" s="3" t="s">
        <v>77</v>
      </c>
      <c r="BD4690" s="3" t="s">
        <v>78</v>
      </c>
      <c r="BE4690" s="3" t="s">
        <v>45595</v>
      </c>
      <c r="BF4690" s="3" t="s">
        <v>45603</v>
      </c>
      <c r="BG4690" s="3" t="s">
        <v>45604</v>
      </c>
      <c r="BH4690">
        <f t="shared" si="155"/>
        <v>0</v>
      </c>
    </row>
    <row r="4691" spans="1:60" ht="58" x14ac:dyDescent="0.35">
      <c r="A4691" s="2" t="s">
        <v>59</v>
      </c>
      <c r="B4691" s="2" t="s">
        <v>35724</v>
      </c>
      <c r="C4691" s="2" t="s">
        <v>45605</v>
      </c>
      <c r="D4691" s="2" t="s">
        <v>45606</v>
      </c>
      <c r="E4691" s="2" t="s">
        <v>45607</v>
      </c>
      <c r="F4691" s="3" t="s">
        <v>45608</v>
      </c>
      <c r="G4691" s="3" t="s">
        <v>128</v>
      </c>
      <c r="I4691" s="3" t="s">
        <v>64</v>
      </c>
      <c r="J4691" s="3" t="s">
        <v>64</v>
      </c>
      <c r="K4691" s="3" t="s">
        <v>65</v>
      </c>
      <c r="L4691" s="2" t="s">
        <v>45609</v>
      </c>
      <c r="M4691" s="2" t="s">
        <v>45610</v>
      </c>
      <c r="N4691" s="3" t="s">
        <v>35718</v>
      </c>
      <c r="P4691" s="3" t="s">
        <v>68</v>
      </c>
      <c r="R4691" s="3" t="s">
        <v>70</v>
      </c>
      <c r="S4691" s="4">
        <v>0</v>
      </c>
      <c r="T4691" s="4">
        <v>5</v>
      </c>
      <c r="V4691" s="5" t="s">
        <v>3865</v>
      </c>
      <c r="W4691" s="5" t="s">
        <v>72</v>
      </c>
      <c r="X4691" s="5" t="s">
        <v>72</v>
      </c>
      <c r="Y4691" s="4">
        <v>104</v>
      </c>
      <c r="Z4691" s="4">
        <v>3</v>
      </c>
      <c r="AA4691" s="4">
        <v>16</v>
      </c>
      <c r="AB4691" s="4">
        <v>1</v>
      </c>
      <c r="AC4691" s="4">
        <v>1</v>
      </c>
      <c r="AD4691" s="4">
        <v>61</v>
      </c>
      <c r="AE4691" s="4">
        <v>70</v>
      </c>
      <c r="AF4691" s="4">
        <v>0</v>
      </c>
      <c r="AG4691" s="4">
        <v>0</v>
      </c>
      <c r="AH4691" s="4">
        <v>56</v>
      </c>
      <c r="AI4691" s="4">
        <v>60</v>
      </c>
      <c r="AJ4691" s="4">
        <v>2</v>
      </c>
      <c r="AK4691" s="4">
        <v>4</v>
      </c>
      <c r="AL4691" s="4">
        <v>40</v>
      </c>
      <c r="AM4691" s="4">
        <v>41</v>
      </c>
      <c r="AN4691" s="4">
        <v>0</v>
      </c>
      <c r="AO4691" s="4">
        <v>0</v>
      </c>
      <c r="AP4691" s="4">
        <v>2</v>
      </c>
      <c r="AQ4691" s="4">
        <v>8</v>
      </c>
      <c r="AR4691" s="3" t="s">
        <v>64</v>
      </c>
      <c r="AS4691" s="3" t="s">
        <v>64</v>
      </c>
      <c r="AT4691" s="3" t="s">
        <v>128</v>
      </c>
      <c r="AU4691" s="6" t="str">
        <f>HYPERLINK("http://catalog.hathitrust.org/Record/000859859","HathiTrust Record")</f>
        <v>HathiTrust Record</v>
      </c>
      <c r="AV4691" s="6" t="str">
        <f>HYPERLINK("http://mcgill.on.worldcat.org/oclc/1282982","Catalog Record")</f>
        <v>Catalog Record</v>
      </c>
      <c r="AW4691" s="6" t="str">
        <f>HYPERLINK("http://www.worldcat.org/oclc/1282982","WorldCat Record")</f>
        <v>WorldCat Record</v>
      </c>
      <c r="AX4691" s="3" t="s">
        <v>45611</v>
      </c>
      <c r="AY4691" s="3" t="s">
        <v>45612</v>
      </c>
      <c r="AZ4691" s="3" t="s">
        <v>45613</v>
      </c>
      <c r="BA4691" s="3" t="s">
        <v>45613</v>
      </c>
      <c r="BB4691" s="3" t="s">
        <v>45614</v>
      </c>
      <c r="BC4691" s="3" t="s">
        <v>77</v>
      </c>
      <c r="BD4691" s="3" t="s">
        <v>78</v>
      </c>
      <c r="BF4691" s="3" t="s">
        <v>45614</v>
      </c>
      <c r="BG4691" s="3" t="s">
        <v>45615</v>
      </c>
      <c r="BH4691">
        <f t="shared" si="155"/>
        <v>0</v>
      </c>
    </row>
    <row r="4692" spans="1:60" ht="101.5" x14ac:dyDescent="0.35">
      <c r="A4692" s="2" t="s">
        <v>59</v>
      </c>
      <c r="B4692" s="2" t="s">
        <v>60</v>
      </c>
      <c r="C4692" s="2" t="s">
        <v>45616</v>
      </c>
      <c r="D4692" s="2" t="s">
        <v>45617</v>
      </c>
      <c r="E4692" s="2" t="s">
        <v>45618</v>
      </c>
      <c r="G4692" s="3" t="s">
        <v>64</v>
      </c>
      <c r="I4692" s="3" t="s">
        <v>64</v>
      </c>
      <c r="J4692" s="3" t="s">
        <v>64</v>
      </c>
      <c r="K4692" s="3" t="s">
        <v>65</v>
      </c>
      <c r="M4692" s="2" t="s">
        <v>45619</v>
      </c>
      <c r="N4692" s="3" t="s">
        <v>551</v>
      </c>
      <c r="P4692" s="3" t="s">
        <v>102</v>
      </c>
      <c r="R4692" s="3" t="s">
        <v>70</v>
      </c>
      <c r="S4692" s="4">
        <v>1</v>
      </c>
      <c r="T4692" s="4">
        <v>1</v>
      </c>
      <c r="U4692" s="5" t="s">
        <v>45620</v>
      </c>
      <c r="V4692" s="5" t="s">
        <v>45620</v>
      </c>
      <c r="W4692" s="5" t="s">
        <v>72</v>
      </c>
      <c r="X4692" s="5" t="s">
        <v>72</v>
      </c>
      <c r="Y4692" s="4">
        <v>87</v>
      </c>
      <c r="Z4692" s="4">
        <v>5</v>
      </c>
      <c r="AA4692" s="4">
        <v>5</v>
      </c>
      <c r="AB4692" s="4">
        <v>1</v>
      </c>
      <c r="AC4692" s="4">
        <v>1</v>
      </c>
      <c r="AD4692" s="4">
        <v>35</v>
      </c>
      <c r="AE4692" s="4">
        <v>36</v>
      </c>
      <c r="AF4692" s="4">
        <v>0</v>
      </c>
      <c r="AG4692" s="4">
        <v>0</v>
      </c>
      <c r="AH4692" s="4">
        <v>32</v>
      </c>
      <c r="AI4692" s="4">
        <v>33</v>
      </c>
      <c r="AJ4692" s="4">
        <v>2</v>
      </c>
      <c r="AK4692" s="4">
        <v>2</v>
      </c>
      <c r="AL4692" s="4">
        <v>26</v>
      </c>
      <c r="AM4692" s="4">
        <v>27</v>
      </c>
      <c r="AN4692" s="4">
        <v>0</v>
      </c>
      <c r="AO4692" s="4">
        <v>0</v>
      </c>
      <c r="AP4692" s="4">
        <v>1</v>
      </c>
      <c r="AQ4692" s="4">
        <v>1</v>
      </c>
      <c r="AR4692" s="3" t="s">
        <v>64</v>
      </c>
      <c r="AS4692" s="3" t="s">
        <v>64</v>
      </c>
      <c r="AT4692" s="3" t="s">
        <v>64</v>
      </c>
      <c r="AV4692" s="6" t="str">
        <f>HYPERLINK("http://mcgill.on.worldcat.org/oclc/466662420","Catalog Record")</f>
        <v>Catalog Record</v>
      </c>
      <c r="AW4692" s="6" t="str">
        <f>HYPERLINK("http://www.worldcat.org/oclc/466662420","WorldCat Record")</f>
        <v>WorldCat Record</v>
      </c>
      <c r="AX4692" s="3" t="s">
        <v>45621</v>
      </c>
      <c r="AY4692" s="3" t="s">
        <v>45622</v>
      </c>
      <c r="AZ4692" s="3" t="s">
        <v>45623</v>
      </c>
      <c r="BA4692" s="3" t="s">
        <v>45623</v>
      </c>
      <c r="BB4692" s="3" t="s">
        <v>45624</v>
      </c>
      <c r="BC4692" s="3" t="s">
        <v>77</v>
      </c>
      <c r="BD4692" s="3" t="s">
        <v>78</v>
      </c>
      <c r="BE4692" s="3" t="s">
        <v>45625</v>
      </c>
      <c r="BF4692" s="3" t="s">
        <v>45624</v>
      </c>
      <c r="BG4692" s="3" t="s">
        <v>45626</v>
      </c>
      <c r="BH4692">
        <f t="shared" si="155"/>
        <v>0</v>
      </c>
    </row>
    <row r="4693" spans="1:60" ht="116" x14ac:dyDescent="0.35">
      <c r="A4693" s="2" t="s">
        <v>6202</v>
      </c>
      <c r="B4693" s="2" t="s">
        <v>6203</v>
      </c>
      <c r="C4693" s="2" t="s">
        <v>45627</v>
      </c>
      <c r="D4693" s="2" t="s">
        <v>45628</v>
      </c>
      <c r="E4693" s="2" t="s">
        <v>45629</v>
      </c>
      <c r="G4693" s="3" t="s">
        <v>64</v>
      </c>
      <c r="I4693" s="3" t="s">
        <v>128</v>
      </c>
      <c r="J4693" s="3" t="s">
        <v>64</v>
      </c>
      <c r="K4693" s="3" t="s">
        <v>65</v>
      </c>
      <c r="L4693" s="2" t="s">
        <v>45630</v>
      </c>
      <c r="M4693" s="2" t="s">
        <v>45631</v>
      </c>
      <c r="N4693" s="3" t="s">
        <v>874</v>
      </c>
      <c r="P4693" s="3" t="s">
        <v>102</v>
      </c>
      <c r="R4693" s="3" t="s">
        <v>70</v>
      </c>
      <c r="S4693" s="4">
        <v>0</v>
      </c>
      <c r="T4693" s="4">
        <v>1</v>
      </c>
      <c r="V4693" s="5" t="s">
        <v>30773</v>
      </c>
      <c r="W4693" s="5" t="s">
        <v>72</v>
      </c>
      <c r="X4693" s="5" t="s">
        <v>72</v>
      </c>
      <c r="Y4693" s="4">
        <v>137</v>
      </c>
      <c r="Z4693" s="4">
        <v>20</v>
      </c>
      <c r="AA4693" s="4">
        <v>35</v>
      </c>
      <c r="AB4693" s="4">
        <v>1</v>
      </c>
      <c r="AC4693" s="4">
        <v>1</v>
      </c>
      <c r="AD4693" s="4">
        <v>58</v>
      </c>
      <c r="AE4693" s="4">
        <v>66</v>
      </c>
      <c r="AF4693" s="4">
        <v>0</v>
      </c>
      <c r="AG4693" s="4">
        <v>0</v>
      </c>
      <c r="AH4693" s="4">
        <v>49</v>
      </c>
      <c r="AI4693" s="4">
        <v>50</v>
      </c>
      <c r="AJ4693" s="4">
        <v>8</v>
      </c>
      <c r="AK4693" s="4">
        <v>14</v>
      </c>
      <c r="AL4693" s="4">
        <v>35</v>
      </c>
      <c r="AM4693" s="4">
        <v>36</v>
      </c>
      <c r="AN4693" s="4">
        <v>0</v>
      </c>
      <c r="AO4693" s="4">
        <v>0</v>
      </c>
      <c r="AP4693" s="4">
        <v>14</v>
      </c>
      <c r="AQ4693" s="4">
        <v>20</v>
      </c>
      <c r="AR4693" s="3" t="s">
        <v>128</v>
      </c>
      <c r="AS4693" s="3" t="s">
        <v>64</v>
      </c>
      <c r="AT4693" s="3" t="s">
        <v>128</v>
      </c>
      <c r="AU4693" s="6" t="str">
        <f>HYPERLINK("http://catalog.hathitrust.org/Record/000229503","HathiTrust Record")</f>
        <v>HathiTrust Record</v>
      </c>
      <c r="AV4693" s="6" t="str">
        <f>HYPERLINK("http://mcgill.on.worldcat.org/oclc/9684857","Catalog Record")</f>
        <v>Catalog Record</v>
      </c>
      <c r="AW4693" s="6" t="str">
        <f>HYPERLINK("http://www.worldcat.org/oclc/9684857","WorldCat Record")</f>
        <v>WorldCat Record</v>
      </c>
      <c r="AX4693" s="3" t="s">
        <v>45632</v>
      </c>
      <c r="AY4693" s="3" t="s">
        <v>45633</v>
      </c>
      <c r="AZ4693" s="3" t="s">
        <v>45634</v>
      </c>
      <c r="BA4693" s="3" t="s">
        <v>45634</v>
      </c>
      <c r="BB4693" s="3" t="s">
        <v>45635</v>
      </c>
      <c r="BC4693" s="3" t="s">
        <v>77</v>
      </c>
      <c r="BD4693" s="3" t="s">
        <v>78</v>
      </c>
      <c r="BE4693" s="3" t="s">
        <v>45636</v>
      </c>
      <c r="BF4693" s="3" t="s">
        <v>45635</v>
      </c>
      <c r="BG4693" s="3" t="s">
        <v>45637</v>
      </c>
      <c r="BH4693">
        <f t="shared" si="155"/>
        <v>0</v>
      </c>
    </row>
    <row r="4694" spans="1:60" ht="58" x14ac:dyDescent="0.35">
      <c r="A4694" s="2" t="s">
        <v>59</v>
      </c>
      <c r="B4694" s="2" t="s">
        <v>60</v>
      </c>
      <c r="C4694" s="2" t="s">
        <v>45638</v>
      </c>
      <c r="D4694" s="2" t="s">
        <v>45639</v>
      </c>
      <c r="E4694" s="2" t="s">
        <v>45640</v>
      </c>
      <c r="F4694" s="3" t="s">
        <v>26383</v>
      </c>
      <c r="G4694" s="3" t="s">
        <v>128</v>
      </c>
      <c r="I4694" s="3" t="s">
        <v>64</v>
      </c>
      <c r="J4694" s="3" t="s">
        <v>64</v>
      </c>
      <c r="K4694" s="3" t="s">
        <v>65</v>
      </c>
      <c r="L4694" s="2" t="s">
        <v>34807</v>
      </c>
      <c r="M4694" s="2" t="s">
        <v>45641</v>
      </c>
      <c r="N4694" s="3" t="s">
        <v>7935</v>
      </c>
      <c r="O4694" s="2" t="s">
        <v>45642</v>
      </c>
      <c r="P4694" s="3" t="s">
        <v>102</v>
      </c>
      <c r="R4694" s="3" t="s">
        <v>70</v>
      </c>
      <c r="S4694" s="4">
        <v>3</v>
      </c>
      <c r="T4694" s="4">
        <v>3</v>
      </c>
      <c r="U4694" s="5" t="s">
        <v>17179</v>
      </c>
      <c r="V4694" s="5" t="s">
        <v>17179</v>
      </c>
      <c r="W4694" s="5" t="s">
        <v>72</v>
      </c>
      <c r="X4694" s="5" t="s">
        <v>72</v>
      </c>
      <c r="Y4694" s="4">
        <v>40</v>
      </c>
      <c r="Z4694" s="4">
        <v>2</v>
      </c>
      <c r="AA4694" s="4">
        <v>2</v>
      </c>
      <c r="AB4694" s="4">
        <v>1</v>
      </c>
      <c r="AC4694" s="4">
        <v>1</v>
      </c>
      <c r="AD4694" s="4">
        <v>21</v>
      </c>
      <c r="AE4694" s="4">
        <v>21</v>
      </c>
      <c r="AF4694" s="4">
        <v>0</v>
      </c>
      <c r="AG4694" s="4">
        <v>0</v>
      </c>
      <c r="AH4694" s="4">
        <v>19</v>
      </c>
      <c r="AI4694" s="4">
        <v>19</v>
      </c>
      <c r="AJ4694" s="4">
        <v>1</v>
      </c>
      <c r="AK4694" s="4">
        <v>1</v>
      </c>
      <c r="AL4694" s="4">
        <v>16</v>
      </c>
      <c r="AM4694" s="4">
        <v>16</v>
      </c>
      <c r="AN4694" s="4">
        <v>0</v>
      </c>
      <c r="AO4694" s="4">
        <v>0</v>
      </c>
      <c r="AP4694" s="4">
        <v>1</v>
      </c>
      <c r="AQ4694" s="4">
        <v>1</v>
      </c>
      <c r="AR4694" s="3" t="s">
        <v>64</v>
      </c>
      <c r="AS4694" s="3" t="s">
        <v>64</v>
      </c>
      <c r="AT4694" s="3" t="s">
        <v>64</v>
      </c>
      <c r="AV4694" s="6" t="str">
        <f>HYPERLINK("http://mcgill.on.worldcat.org/oclc/188590","Catalog Record")</f>
        <v>Catalog Record</v>
      </c>
      <c r="AW4694" s="6" t="str">
        <f>HYPERLINK("http://www.worldcat.org/oclc/188590","WorldCat Record")</f>
        <v>WorldCat Record</v>
      </c>
      <c r="AX4694" s="3" t="s">
        <v>45643</v>
      </c>
      <c r="AY4694" s="3" t="s">
        <v>45644</v>
      </c>
      <c r="AZ4694" s="3" t="s">
        <v>45645</v>
      </c>
      <c r="BA4694" s="3" t="s">
        <v>45645</v>
      </c>
      <c r="BB4694" s="3" t="s">
        <v>45646</v>
      </c>
      <c r="BC4694" s="3" t="s">
        <v>77</v>
      </c>
      <c r="BD4694" s="3" t="s">
        <v>23905</v>
      </c>
      <c r="BF4694" s="3" t="s">
        <v>45646</v>
      </c>
      <c r="BG4694" s="3" t="s">
        <v>45647</v>
      </c>
      <c r="BH4694">
        <f t="shared" si="155"/>
        <v>0</v>
      </c>
    </row>
    <row r="4695" spans="1:60" ht="58" x14ac:dyDescent="0.35">
      <c r="A4695" s="2" t="s">
        <v>59</v>
      </c>
      <c r="B4695" s="2" t="s">
        <v>60</v>
      </c>
      <c r="C4695" s="2" t="s">
        <v>45638</v>
      </c>
      <c r="D4695" s="2" t="s">
        <v>45639</v>
      </c>
      <c r="E4695" s="2" t="s">
        <v>45640</v>
      </c>
      <c r="F4695" s="3" t="s">
        <v>26388</v>
      </c>
      <c r="G4695" s="3" t="s">
        <v>128</v>
      </c>
      <c r="I4695" s="3" t="s">
        <v>64</v>
      </c>
      <c r="J4695" s="3" t="s">
        <v>64</v>
      </c>
      <c r="K4695" s="3" t="s">
        <v>65</v>
      </c>
      <c r="L4695" s="2" t="s">
        <v>34807</v>
      </c>
      <c r="M4695" s="2" t="s">
        <v>45641</v>
      </c>
      <c r="N4695" s="3" t="s">
        <v>7935</v>
      </c>
      <c r="O4695" s="2" t="s">
        <v>45642</v>
      </c>
      <c r="P4695" s="3" t="s">
        <v>102</v>
      </c>
      <c r="R4695" s="3" t="s">
        <v>70</v>
      </c>
      <c r="S4695" s="4">
        <v>0</v>
      </c>
      <c r="T4695" s="4">
        <v>3</v>
      </c>
      <c r="V4695" s="5" t="s">
        <v>17179</v>
      </c>
      <c r="W4695" s="5" t="s">
        <v>72</v>
      </c>
      <c r="X4695" s="5" t="s">
        <v>72</v>
      </c>
      <c r="Y4695" s="4">
        <v>40</v>
      </c>
      <c r="Z4695" s="4">
        <v>2</v>
      </c>
      <c r="AA4695" s="4">
        <v>2</v>
      </c>
      <c r="AB4695" s="4">
        <v>1</v>
      </c>
      <c r="AC4695" s="4">
        <v>1</v>
      </c>
      <c r="AD4695" s="4">
        <v>21</v>
      </c>
      <c r="AE4695" s="4">
        <v>21</v>
      </c>
      <c r="AF4695" s="4">
        <v>0</v>
      </c>
      <c r="AG4695" s="4">
        <v>0</v>
      </c>
      <c r="AH4695" s="4">
        <v>19</v>
      </c>
      <c r="AI4695" s="4">
        <v>19</v>
      </c>
      <c r="AJ4695" s="4">
        <v>1</v>
      </c>
      <c r="AK4695" s="4">
        <v>1</v>
      </c>
      <c r="AL4695" s="4">
        <v>16</v>
      </c>
      <c r="AM4695" s="4">
        <v>16</v>
      </c>
      <c r="AN4695" s="4">
        <v>0</v>
      </c>
      <c r="AO4695" s="4">
        <v>0</v>
      </c>
      <c r="AP4695" s="4">
        <v>1</v>
      </c>
      <c r="AQ4695" s="4">
        <v>1</v>
      </c>
      <c r="AR4695" s="3" t="s">
        <v>64</v>
      </c>
      <c r="AS4695" s="3" t="s">
        <v>64</v>
      </c>
      <c r="AT4695" s="3" t="s">
        <v>64</v>
      </c>
      <c r="AV4695" s="6" t="str">
        <f>HYPERLINK("http://mcgill.on.worldcat.org/oclc/188590","Catalog Record")</f>
        <v>Catalog Record</v>
      </c>
      <c r="AW4695" s="6" t="str">
        <f>HYPERLINK("http://www.worldcat.org/oclc/188590","WorldCat Record")</f>
        <v>WorldCat Record</v>
      </c>
      <c r="AX4695" s="3" t="s">
        <v>45643</v>
      </c>
      <c r="AY4695" s="3" t="s">
        <v>45644</v>
      </c>
      <c r="AZ4695" s="3" t="s">
        <v>45645</v>
      </c>
      <c r="BA4695" s="3" t="s">
        <v>45645</v>
      </c>
      <c r="BB4695" s="3" t="s">
        <v>45648</v>
      </c>
      <c r="BC4695" s="3" t="s">
        <v>77</v>
      </c>
      <c r="BD4695" s="3" t="s">
        <v>78</v>
      </c>
      <c r="BF4695" s="3" t="s">
        <v>45648</v>
      </c>
      <c r="BG4695" s="3" t="s">
        <v>45649</v>
      </c>
      <c r="BH4695">
        <f t="shared" si="155"/>
        <v>0</v>
      </c>
    </row>
    <row r="4696" spans="1:60" ht="58" x14ac:dyDescent="0.35">
      <c r="A4696" s="2" t="s">
        <v>59</v>
      </c>
      <c r="B4696" s="2" t="s">
        <v>60</v>
      </c>
      <c r="C4696" s="2" t="s">
        <v>45638</v>
      </c>
      <c r="D4696" s="2" t="s">
        <v>45639</v>
      </c>
      <c r="E4696" s="2" t="s">
        <v>45640</v>
      </c>
      <c r="F4696" s="3" t="s">
        <v>1323</v>
      </c>
      <c r="G4696" s="3" t="s">
        <v>128</v>
      </c>
      <c r="I4696" s="3" t="s">
        <v>64</v>
      </c>
      <c r="J4696" s="3" t="s">
        <v>64</v>
      </c>
      <c r="K4696" s="3" t="s">
        <v>65</v>
      </c>
      <c r="L4696" s="2" t="s">
        <v>34807</v>
      </c>
      <c r="M4696" s="2" t="s">
        <v>45641</v>
      </c>
      <c r="N4696" s="3" t="s">
        <v>7935</v>
      </c>
      <c r="O4696" s="2" t="s">
        <v>45642</v>
      </c>
      <c r="P4696" s="3" t="s">
        <v>102</v>
      </c>
      <c r="R4696" s="3" t="s">
        <v>70</v>
      </c>
      <c r="S4696" s="4">
        <v>0</v>
      </c>
      <c r="T4696" s="4">
        <v>3</v>
      </c>
      <c r="V4696" s="5" t="s">
        <v>17179</v>
      </c>
      <c r="W4696" s="5" t="s">
        <v>72</v>
      </c>
      <c r="X4696" s="5" t="s">
        <v>72</v>
      </c>
      <c r="Y4696" s="4">
        <v>40</v>
      </c>
      <c r="Z4696" s="4">
        <v>2</v>
      </c>
      <c r="AA4696" s="4">
        <v>2</v>
      </c>
      <c r="AB4696" s="4">
        <v>1</v>
      </c>
      <c r="AC4696" s="4">
        <v>1</v>
      </c>
      <c r="AD4696" s="4">
        <v>21</v>
      </c>
      <c r="AE4696" s="4">
        <v>21</v>
      </c>
      <c r="AF4696" s="4">
        <v>0</v>
      </c>
      <c r="AG4696" s="4">
        <v>0</v>
      </c>
      <c r="AH4696" s="4">
        <v>19</v>
      </c>
      <c r="AI4696" s="4">
        <v>19</v>
      </c>
      <c r="AJ4696" s="4">
        <v>1</v>
      </c>
      <c r="AK4696" s="4">
        <v>1</v>
      </c>
      <c r="AL4696" s="4">
        <v>16</v>
      </c>
      <c r="AM4696" s="4">
        <v>16</v>
      </c>
      <c r="AN4696" s="4">
        <v>0</v>
      </c>
      <c r="AO4696" s="4">
        <v>0</v>
      </c>
      <c r="AP4696" s="4">
        <v>1</v>
      </c>
      <c r="AQ4696" s="4">
        <v>1</v>
      </c>
      <c r="AR4696" s="3" t="s">
        <v>64</v>
      </c>
      <c r="AS4696" s="3" t="s">
        <v>64</v>
      </c>
      <c r="AT4696" s="3" t="s">
        <v>64</v>
      </c>
      <c r="AV4696" s="6" t="str">
        <f>HYPERLINK("http://mcgill.on.worldcat.org/oclc/188590","Catalog Record")</f>
        <v>Catalog Record</v>
      </c>
      <c r="AW4696" s="6" t="str">
        <f>HYPERLINK("http://www.worldcat.org/oclc/188590","WorldCat Record")</f>
        <v>WorldCat Record</v>
      </c>
      <c r="AX4696" s="3" t="s">
        <v>45643</v>
      </c>
      <c r="AY4696" s="3" t="s">
        <v>45644</v>
      </c>
      <c r="AZ4696" s="3" t="s">
        <v>45645</v>
      </c>
      <c r="BA4696" s="3" t="s">
        <v>45645</v>
      </c>
      <c r="BB4696" s="3" t="s">
        <v>45650</v>
      </c>
      <c r="BC4696" s="3" t="s">
        <v>77</v>
      </c>
      <c r="BD4696" s="3" t="s">
        <v>78</v>
      </c>
      <c r="BF4696" s="3" t="s">
        <v>45650</v>
      </c>
      <c r="BG4696" s="3" t="s">
        <v>45651</v>
      </c>
      <c r="BH4696">
        <f t="shared" si="155"/>
        <v>0</v>
      </c>
    </row>
    <row r="4697" spans="1:60" ht="58" x14ac:dyDescent="0.35">
      <c r="A4697" s="2" t="s">
        <v>6202</v>
      </c>
      <c r="B4697" s="2" t="s">
        <v>6203</v>
      </c>
      <c r="C4697" s="2" t="s">
        <v>45652</v>
      </c>
      <c r="D4697" s="2" t="s">
        <v>45653</v>
      </c>
      <c r="E4697" s="2" t="s">
        <v>45654</v>
      </c>
      <c r="G4697" s="3" t="s">
        <v>64</v>
      </c>
      <c r="I4697" s="3" t="s">
        <v>64</v>
      </c>
      <c r="J4697" s="3" t="s">
        <v>64</v>
      </c>
      <c r="K4697" s="3" t="s">
        <v>65</v>
      </c>
      <c r="L4697" s="2" t="s">
        <v>34807</v>
      </c>
      <c r="M4697" s="2" t="s">
        <v>45655</v>
      </c>
      <c r="N4697" s="3" t="s">
        <v>17785</v>
      </c>
      <c r="P4697" s="3" t="s">
        <v>102</v>
      </c>
      <c r="R4697" s="3" t="s">
        <v>70</v>
      </c>
      <c r="S4697" s="4">
        <v>1</v>
      </c>
      <c r="T4697" s="4">
        <v>1</v>
      </c>
      <c r="U4697" s="5" t="s">
        <v>17179</v>
      </c>
      <c r="V4697" s="5" t="s">
        <v>17179</v>
      </c>
      <c r="W4697" s="5" t="s">
        <v>72</v>
      </c>
      <c r="X4697" s="5" t="s">
        <v>72</v>
      </c>
      <c r="Y4697" s="4">
        <v>83</v>
      </c>
      <c r="Z4697" s="4">
        <v>4</v>
      </c>
      <c r="AA4697" s="4">
        <v>4</v>
      </c>
      <c r="AB4697" s="4">
        <v>1</v>
      </c>
      <c r="AC4697" s="4">
        <v>1</v>
      </c>
      <c r="AD4697" s="4">
        <v>26</v>
      </c>
      <c r="AE4697" s="4">
        <v>27</v>
      </c>
      <c r="AF4697" s="4">
        <v>0</v>
      </c>
      <c r="AG4697" s="4">
        <v>0</v>
      </c>
      <c r="AH4697" s="4">
        <v>22</v>
      </c>
      <c r="AI4697" s="4">
        <v>23</v>
      </c>
      <c r="AJ4697" s="4">
        <v>2</v>
      </c>
      <c r="AK4697" s="4">
        <v>2</v>
      </c>
      <c r="AL4697" s="4">
        <v>17</v>
      </c>
      <c r="AM4697" s="4">
        <v>18</v>
      </c>
      <c r="AN4697" s="4">
        <v>0</v>
      </c>
      <c r="AO4697" s="4">
        <v>0</v>
      </c>
      <c r="AP4697" s="4">
        <v>1</v>
      </c>
      <c r="AQ4697" s="4">
        <v>1</v>
      </c>
      <c r="AR4697" s="3" t="s">
        <v>64</v>
      </c>
      <c r="AS4697" s="3" t="s">
        <v>64</v>
      </c>
      <c r="AT4697" s="3" t="s">
        <v>64</v>
      </c>
      <c r="AU4697" s="6" t="str">
        <f>HYPERLINK("http://catalog.hathitrust.org/Record/001178465","HathiTrust Record")</f>
        <v>HathiTrust Record</v>
      </c>
      <c r="AV4697" s="6" t="str">
        <f>HYPERLINK("http://mcgill.on.worldcat.org/oclc/184330","Catalog Record")</f>
        <v>Catalog Record</v>
      </c>
      <c r="AW4697" s="6" t="str">
        <f>HYPERLINK("http://www.worldcat.org/oclc/184330","WorldCat Record")</f>
        <v>WorldCat Record</v>
      </c>
      <c r="AX4697" s="3" t="s">
        <v>45656</v>
      </c>
      <c r="AY4697" s="3" t="s">
        <v>45657</v>
      </c>
      <c r="AZ4697" s="3" t="s">
        <v>45658</v>
      </c>
      <c r="BA4697" s="3" t="s">
        <v>45658</v>
      </c>
      <c r="BB4697" s="3" t="s">
        <v>45659</v>
      </c>
      <c r="BC4697" s="3" t="s">
        <v>77</v>
      </c>
      <c r="BD4697" s="3" t="s">
        <v>40037</v>
      </c>
      <c r="BF4697" s="3" t="s">
        <v>45659</v>
      </c>
      <c r="BG4697" s="3" t="s">
        <v>45660</v>
      </c>
      <c r="BH4697">
        <f t="shared" si="155"/>
        <v>0</v>
      </c>
    </row>
    <row r="4698" spans="1:60" ht="58" x14ac:dyDescent="0.35">
      <c r="A4698" s="2" t="s">
        <v>6202</v>
      </c>
      <c r="B4698" s="2" t="s">
        <v>6203</v>
      </c>
      <c r="C4698" s="2" t="s">
        <v>45661</v>
      </c>
      <c r="D4698" s="2" t="s">
        <v>45662</v>
      </c>
      <c r="E4698" s="2" t="s">
        <v>45663</v>
      </c>
      <c r="F4698" s="3" t="s">
        <v>45664</v>
      </c>
      <c r="G4698" s="3" t="s">
        <v>128</v>
      </c>
      <c r="I4698" s="3" t="s">
        <v>128</v>
      </c>
      <c r="J4698" s="3" t="s">
        <v>64</v>
      </c>
      <c r="K4698" s="3" t="s">
        <v>65</v>
      </c>
      <c r="L4698" s="2" t="s">
        <v>45665</v>
      </c>
      <c r="M4698" s="2" t="s">
        <v>45666</v>
      </c>
      <c r="N4698" s="3" t="s">
        <v>3126</v>
      </c>
      <c r="P4698" s="3" t="s">
        <v>102</v>
      </c>
      <c r="R4698" s="3" t="s">
        <v>70</v>
      </c>
      <c r="S4698" s="4">
        <v>2</v>
      </c>
      <c r="T4698" s="4">
        <v>16</v>
      </c>
      <c r="U4698" s="5" t="s">
        <v>45667</v>
      </c>
      <c r="V4698" s="5" t="s">
        <v>2411</v>
      </c>
      <c r="W4698" s="5" t="s">
        <v>72</v>
      </c>
      <c r="X4698" s="5" t="s">
        <v>72</v>
      </c>
      <c r="Y4698" s="4">
        <v>102</v>
      </c>
      <c r="Z4698" s="4">
        <v>4</v>
      </c>
      <c r="AA4698" s="4">
        <v>9</v>
      </c>
      <c r="AB4698" s="4">
        <v>1</v>
      </c>
      <c r="AC4698" s="4">
        <v>1</v>
      </c>
      <c r="AD4698" s="4">
        <v>49</v>
      </c>
      <c r="AE4698" s="4">
        <v>52</v>
      </c>
      <c r="AF4698" s="4">
        <v>0</v>
      </c>
      <c r="AG4698" s="4">
        <v>0</v>
      </c>
      <c r="AH4698" s="4">
        <v>44</v>
      </c>
      <c r="AI4698" s="4">
        <v>46</v>
      </c>
      <c r="AJ4698" s="4">
        <v>3</v>
      </c>
      <c r="AK4698" s="4">
        <v>5</v>
      </c>
      <c r="AL4698" s="4">
        <v>31</v>
      </c>
      <c r="AM4698" s="4">
        <v>32</v>
      </c>
      <c r="AN4698" s="4">
        <v>0</v>
      </c>
      <c r="AO4698" s="4">
        <v>0</v>
      </c>
      <c r="AP4698" s="4">
        <v>3</v>
      </c>
      <c r="AQ4698" s="4">
        <v>6</v>
      </c>
      <c r="AR4698" s="3" t="s">
        <v>64</v>
      </c>
      <c r="AS4698" s="3" t="s">
        <v>64</v>
      </c>
      <c r="AT4698" s="3" t="s">
        <v>128</v>
      </c>
      <c r="AU4698" s="6" t="str">
        <f>HYPERLINK("http://catalog.hathitrust.org/Record/000274577","HathiTrust Record")</f>
        <v>HathiTrust Record</v>
      </c>
      <c r="AV4698" s="6" t="str">
        <f>HYPERLINK("http://mcgill.on.worldcat.org/oclc/1312518","Catalog Record")</f>
        <v>Catalog Record</v>
      </c>
      <c r="AW4698" s="6" t="str">
        <f>HYPERLINK("http://www.worldcat.org/oclc/1312518","WorldCat Record")</f>
        <v>WorldCat Record</v>
      </c>
      <c r="AX4698" s="3" t="s">
        <v>45668</v>
      </c>
      <c r="AY4698" s="3" t="s">
        <v>45669</v>
      </c>
      <c r="AZ4698" s="3" t="s">
        <v>45670</v>
      </c>
      <c r="BA4698" s="3" t="s">
        <v>45670</v>
      </c>
      <c r="BB4698" s="3" t="s">
        <v>45671</v>
      </c>
      <c r="BC4698" s="3" t="s">
        <v>77</v>
      </c>
      <c r="BD4698" s="3" t="s">
        <v>78</v>
      </c>
      <c r="BE4698" s="3" t="s">
        <v>45672</v>
      </c>
      <c r="BF4698" s="3" t="s">
        <v>45671</v>
      </c>
      <c r="BG4698" s="3" t="s">
        <v>45673</v>
      </c>
      <c r="BH4698">
        <f t="shared" si="155"/>
        <v>0</v>
      </c>
    </row>
    <row r="4699" spans="1:60" ht="58" x14ac:dyDescent="0.35">
      <c r="A4699" s="2" t="s">
        <v>59</v>
      </c>
      <c r="B4699" s="2" t="s">
        <v>60</v>
      </c>
      <c r="C4699" s="2" t="s">
        <v>45674</v>
      </c>
      <c r="D4699" s="2" t="s">
        <v>45675</v>
      </c>
      <c r="E4699" s="2" t="s">
        <v>45676</v>
      </c>
      <c r="G4699" s="3" t="s">
        <v>64</v>
      </c>
      <c r="I4699" s="3" t="s">
        <v>64</v>
      </c>
      <c r="J4699" s="3" t="s">
        <v>128</v>
      </c>
      <c r="K4699" s="3" t="s">
        <v>183</v>
      </c>
      <c r="L4699" s="2" t="s">
        <v>45677</v>
      </c>
      <c r="M4699" s="2" t="s">
        <v>45678</v>
      </c>
      <c r="N4699" s="3" t="s">
        <v>45679</v>
      </c>
      <c r="P4699" s="3" t="s">
        <v>102</v>
      </c>
      <c r="Q4699" s="2" t="s">
        <v>45680</v>
      </c>
      <c r="R4699" s="3" t="s">
        <v>70</v>
      </c>
      <c r="S4699" s="4">
        <v>3</v>
      </c>
      <c r="T4699" s="4">
        <v>3</v>
      </c>
      <c r="U4699" s="5" t="s">
        <v>8586</v>
      </c>
      <c r="V4699" s="5" t="s">
        <v>8586</v>
      </c>
      <c r="W4699" s="5" t="s">
        <v>72</v>
      </c>
      <c r="X4699" s="5" t="s">
        <v>72</v>
      </c>
      <c r="Y4699" s="4">
        <v>183</v>
      </c>
      <c r="Z4699" s="4">
        <v>11</v>
      </c>
      <c r="AA4699" s="4">
        <v>44</v>
      </c>
      <c r="AB4699" s="4">
        <v>2</v>
      </c>
      <c r="AC4699" s="4">
        <v>13</v>
      </c>
      <c r="AD4699" s="4">
        <v>55</v>
      </c>
      <c r="AE4699" s="4">
        <v>79</v>
      </c>
      <c r="AF4699" s="4">
        <v>0</v>
      </c>
      <c r="AG4699" s="4">
        <v>6</v>
      </c>
      <c r="AH4699" s="4">
        <v>51</v>
      </c>
      <c r="AI4699" s="4">
        <v>59</v>
      </c>
      <c r="AJ4699" s="4">
        <v>4</v>
      </c>
      <c r="AK4699" s="4">
        <v>21</v>
      </c>
      <c r="AL4699" s="4">
        <v>38</v>
      </c>
      <c r="AM4699" s="4">
        <v>38</v>
      </c>
      <c r="AN4699" s="4">
        <v>0</v>
      </c>
      <c r="AO4699" s="4">
        <v>0</v>
      </c>
      <c r="AP4699" s="4">
        <v>4</v>
      </c>
      <c r="AQ4699" s="4">
        <v>27</v>
      </c>
      <c r="AR4699" s="3" t="s">
        <v>64</v>
      </c>
      <c r="AS4699" s="3" t="s">
        <v>128</v>
      </c>
      <c r="AT4699" s="3" t="s">
        <v>64</v>
      </c>
      <c r="AU4699" s="6" t="str">
        <f>HYPERLINK("http://catalog.hathitrust.org/Record/001178502","HathiTrust Record")</f>
        <v>HathiTrust Record</v>
      </c>
      <c r="AV4699" s="6" t="str">
        <f>HYPERLINK("http://mcgill.on.worldcat.org/oclc/5259382","Catalog Record")</f>
        <v>Catalog Record</v>
      </c>
      <c r="AW4699" s="6" t="str">
        <f>HYPERLINK("http://www.worldcat.org/oclc/5259382","WorldCat Record")</f>
        <v>WorldCat Record</v>
      </c>
      <c r="AX4699" s="3" t="s">
        <v>45681</v>
      </c>
      <c r="AY4699" s="3" t="s">
        <v>45682</v>
      </c>
      <c r="AZ4699" s="3" t="s">
        <v>45683</v>
      </c>
      <c r="BA4699" s="3" t="s">
        <v>45683</v>
      </c>
      <c r="BB4699" s="3" t="s">
        <v>45684</v>
      </c>
      <c r="BC4699" s="3" t="s">
        <v>77</v>
      </c>
      <c r="BD4699" s="3" t="s">
        <v>78</v>
      </c>
      <c r="BF4699" s="3" t="s">
        <v>45684</v>
      </c>
      <c r="BG4699" s="3" t="s">
        <v>45685</v>
      </c>
      <c r="BH4699">
        <f t="shared" si="155"/>
        <v>0</v>
      </c>
    </row>
    <row r="4700" spans="1:60" ht="58" x14ac:dyDescent="0.35">
      <c r="A4700" s="2" t="s">
        <v>6202</v>
      </c>
      <c r="B4700" s="2" t="s">
        <v>6203</v>
      </c>
      <c r="C4700" s="2" t="s">
        <v>45686</v>
      </c>
      <c r="D4700" s="2" t="s">
        <v>45687</v>
      </c>
      <c r="E4700" s="2" t="s">
        <v>45688</v>
      </c>
      <c r="G4700" s="3" t="s">
        <v>64</v>
      </c>
      <c r="I4700" s="3" t="s">
        <v>128</v>
      </c>
      <c r="J4700" s="3" t="s">
        <v>128</v>
      </c>
      <c r="K4700" s="3" t="s">
        <v>183</v>
      </c>
      <c r="L4700" s="2" t="s">
        <v>45689</v>
      </c>
      <c r="M4700" s="2" t="s">
        <v>45690</v>
      </c>
      <c r="N4700" s="3" t="s">
        <v>3910</v>
      </c>
      <c r="P4700" s="3" t="s">
        <v>102</v>
      </c>
      <c r="Q4700" s="2" t="s">
        <v>45691</v>
      </c>
      <c r="R4700" s="3" t="s">
        <v>70</v>
      </c>
      <c r="S4700" s="4">
        <v>0</v>
      </c>
      <c r="T4700" s="4">
        <v>2</v>
      </c>
      <c r="V4700" s="5" t="s">
        <v>8511</v>
      </c>
      <c r="W4700" s="5" t="s">
        <v>72</v>
      </c>
      <c r="X4700" s="5" t="s">
        <v>72</v>
      </c>
      <c r="Y4700" s="4">
        <v>41</v>
      </c>
      <c r="Z4700" s="4">
        <v>14</v>
      </c>
      <c r="AA4700" s="4">
        <v>53</v>
      </c>
      <c r="AB4700" s="4">
        <v>2</v>
      </c>
      <c r="AC4700" s="4">
        <v>13</v>
      </c>
      <c r="AD4700" s="4">
        <v>11</v>
      </c>
      <c r="AE4700" s="4">
        <v>109</v>
      </c>
      <c r="AF4700" s="4">
        <v>0</v>
      </c>
      <c r="AG4700" s="4">
        <v>6</v>
      </c>
      <c r="AH4700" s="4">
        <v>9</v>
      </c>
      <c r="AI4700" s="4">
        <v>86</v>
      </c>
      <c r="AJ4700" s="4">
        <v>4</v>
      </c>
      <c r="AK4700" s="4">
        <v>20</v>
      </c>
      <c r="AL4700" s="4">
        <v>3</v>
      </c>
      <c r="AM4700" s="4">
        <v>44</v>
      </c>
      <c r="AN4700" s="4">
        <v>0</v>
      </c>
      <c r="AO4700" s="4">
        <v>0</v>
      </c>
      <c r="AP4700" s="4">
        <v>6</v>
      </c>
      <c r="AQ4700" s="4">
        <v>32</v>
      </c>
      <c r="AR4700" s="3" t="s">
        <v>64</v>
      </c>
      <c r="AS4700" s="3" t="s">
        <v>128</v>
      </c>
      <c r="AT4700" s="3" t="s">
        <v>64</v>
      </c>
      <c r="AU4700" s="6" t="str">
        <f>HYPERLINK("http://catalog.hathitrust.org/Record/001178505","HathiTrust Record")</f>
        <v>HathiTrust Record</v>
      </c>
      <c r="AV4700" s="6" t="str">
        <f>HYPERLINK("http://mcgill.on.worldcat.org/oclc/61572515","Catalog Record")</f>
        <v>Catalog Record</v>
      </c>
      <c r="AW4700" s="6" t="str">
        <f>HYPERLINK("http://www.worldcat.org/oclc/61572515","WorldCat Record")</f>
        <v>WorldCat Record</v>
      </c>
      <c r="AX4700" s="3" t="s">
        <v>45692</v>
      </c>
      <c r="AY4700" s="3" t="s">
        <v>45693</v>
      </c>
      <c r="AZ4700" s="3" t="s">
        <v>45694</v>
      </c>
      <c r="BA4700" s="3" t="s">
        <v>45694</v>
      </c>
      <c r="BB4700" s="3" t="s">
        <v>45695</v>
      </c>
      <c r="BC4700" s="3" t="s">
        <v>77</v>
      </c>
      <c r="BD4700" s="3" t="s">
        <v>78</v>
      </c>
      <c r="BF4700" s="3" t="s">
        <v>45695</v>
      </c>
      <c r="BG4700" s="3" t="s">
        <v>45696</v>
      </c>
      <c r="BH4700">
        <f t="shared" si="155"/>
        <v>0</v>
      </c>
    </row>
    <row r="4701" spans="1:60" ht="58" x14ac:dyDescent="0.35">
      <c r="A4701" s="2" t="s">
        <v>59</v>
      </c>
      <c r="B4701" s="2" t="s">
        <v>60</v>
      </c>
      <c r="C4701" s="2" t="s">
        <v>45686</v>
      </c>
      <c r="D4701" s="2" t="s">
        <v>45687</v>
      </c>
      <c r="E4701" s="2" t="s">
        <v>45688</v>
      </c>
      <c r="G4701" s="3" t="s">
        <v>64</v>
      </c>
      <c r="I4701" s="3" t="s">
        <v>128</v>
      </c>
      <c r="J4701" s="3" t="s">
        <v>128</v>
      </c>
      <c r="K4701" s="3" t="s">
        <v>183</v>
      </c>
      <c r="L4701" s="2" t="s">
        <v>45689</v>
      </c>
      <c r="M4701" s="2" t="s">
        <v>45690</v>
      </c>
      <c r="N4701" s="3" t="s">
        <v>3910</v>
      </c>
      <c r="P4701" s="3" t="s">
        <v>102</v>
      </c>
      <c r="Q4701" s="2" t="s">
        <v>45691</v>
      </c>
      <c r="R4701" s="3" t="s">
        <v>70</v>
      </c>
      <c r="S4701" s="4">
        <v>1</v>
      </c>
      <c r="T4701" s="4">
        <v>2</v>
      </c>
      <c r="U4701" s="5" t="s">
        <v>39949</v>
      </c>
      <c r="V4701" s="5" t="s">
        <v>8511</v>
      </c>
      <c r="W4701" s="5" t="s">
        <v>72</v>
      </c>
      <c r="X4701" s="5" t="s">
        <v>72</v>
      </c>
      <c r="Y4701" s="4">
        <v>41</v>
      </c>
      <c r="Z4701" s="4">
        <v>14</v>
      </c>
      <c r="AA4701" s="4">
        <v>53</v>
      </c>
      <c r="AB4701" s="4">
        <v>2</v>
      </c>
      <c r="AC4701" s="4">
        <v>13</v>
      </c>
      <c r="AD4701" s="4">
        <v>11</v>
      </c>
      <c r="AE4701" s="4">
        <v>109</v>
      </c>
      <c r="AF4701" s="4">
        <v>0</v>
      </c>
      <c r="AG4701" s="4">
        <v>6</v>
      </c>
      <c r="AH4701" s="4">
        <v>9</v>
      </c>
      <c r="AI4701" s="4">
        <v>86</v>
      </c>
      <c r="AJ4701" s="4">
        <v>4</v>
      </c>
      <c r="AK4701" s="4">
        <v>20</v>
      </c>
      <c r="AL4701" s="4">
        <v>3</v>
      </c>
      <c r="AM4701" s="4">
        <v>44</v>
      </c>
      <c r="AN4701" s="4">
        <v>0</v>
      </c>
      <c r="AO4701" s="4">
        <v>0</v>
      </c>
      <c r="AP4701" s="4">
        <v>6</v>
      </c>
      <c r="AQ4701" s="4">
        <v>32</v>
      </c>
      <c r="AR4701" s="3" t="s">
        <v>64</v>
      </c>
      <c r="AS4701" s="3" t="s">
        <v>128</v>
      </c>
      <c r="AT4701" s="3" t="s">
        <v>64</v>
      </c>
      <c r="AU4701" s="6" t="str">
        <f>HYPERLINK("http://catalog.hathitrust.org/Record/001178505","HathiTrust Record")</f>
        <v>HathiTrust Record</v>
      </c>
      <c r="AV4701" s="6" t="str">
        <f>HYPERLINK("http://mcgill.on.worldcat.org/oclc/61572515","Catalog Record")</f>
        <v>Catalog Record</v>
      </c>
      <c r="AW4701" s="6" t="str">
        <f>HYPERLINK("http://www.worldcat.org/oclc/61572515","WorldCat Record")</f>
        <v>WorldCat Record</v>
      </c>
      <c r="AX4701" s="3" t="s">
        <v>45692</v>
      </c>
      <c r="AY4701" s="3" t="s">
        <v>45693</v>
      </c>
      <c r="AZ4701" s="3" t="s">
        <v>45694</v>
      </c>
      <c r="BA4701" s="3" t="s">
        <v>45694</v>
      </c>
      <c r="BB4701" s="3" t="s">
        <v>45697</v>
      </c>
      <c r="BC4701" s="3" t="s">
        <v>77</v>
      </c>
      <c r="BD4701" s="3" t="s">
        <v>78</v>
      </c>
      <c r="BF4701" s="3" t="s">
        <v>45697</v>
      </c>
      <c r="BG4701" s="3" t="s">
        <v>45698</v>
      </c>
      <c r="BH4701">
        <f t="shared" si="155"/>
        <v>0</v>
      </c>
    </row>
    <row r="4702" spans="1:60" ht="116" x14ac:dyDescent="0.35">
      <c r="A4702" s="2" t="s">
        <v>59</v>
      </c>
      <c r="B4702" s="2" t="s">
        <v>25844</v>
      </c>
      <c r="C4702" s="2" t="s">
        <v>45699</v>
      </c>
      <c r="D4702" s="2" t="s">
        <v>45700</v>
      </c>
      <c r="E4702" s="2" t="s">
        <v>45701</v>
      </c>
      <c r="G4702" s="3" t="s">
        <v>64</v>
      </c>
      <c r="I4702" s="3" t="s">
        <v>64</v>
      </c>
      <c r="J4702" s="3" t="s">
        <v>64</v>
      </c>
      <c r="K4702" s="3" t="s">
        <v>65</v>
      </c>
      <c r="M4702" s="2" t="s">
        <v>45702</v>
      </c>
      <c r="N4702" s="3" t="s">
        <v>511</v>
      </c>
      <c r="P4702" s="3" t="s">
        <v>1190</v>
      </c>
      <c r="Q4702" s="2" t="s">
        <v>45703</v>
      </c>
      <c r="R4702" s="3" t="s">
        <v>70</v>
      </c>
      <c r="S4702" s="4">
        <v>0</v>
      </c>
      <c r="T4702" s="4">
        <v>0</v>
      </c>
      <c r="W4702" s="5" t="s">
        <v>72</v>
      </c>
      <c r="X4702" s="5" t="s">
        <v>72</v>
      </c>
      <c r="Y4702" s="4">
        <v>52</v>
      </c>
      <c r="Z4702" s="4">
        <v>6</v>
      </c>
      <c r="AA4702" s="4">
        <v>6</v>
      </c>
      <c r="AB4702" s="4">
        <v>1</v>
      </c>
      <c r="AC4702" s="4">
        <v>1</v>
      </c>
      <c r="AD4702" s="4">
        <v>38</v>
      </c>
      <c r="AE4702" s="4">
        <v>38</v>
      </c>
      <c r="AF4702" s="4">
        <v>0</v>
      </c>
      <c r="AG4702" s="4">
        <v>0</v>
      </c>
      <c r="AH4702" s="4">
        <v>36</v>
      </c>
      <c r="AI4702" s="4">
        <v>36</v>
      </c>
      <c r="AJ4702" s="4">
        <v>3</v>
      </c>
      <c r="AK4702" s="4">
        <v>3</v>
      </c>
      <c r="AL4702" s="4">
        <v>30</v>
      </c>
      <c r="AM4702" s="4">
        <v>30</v>
      </c>
      <c r="AN4702" s="4">
        <v>0</v>
      </c>
      <c r="AO4702" s="4">
        <v>0</v>
      </c>
      <c r="AP4702" s="4">
        <v>3</v>
      </c>
      <c r="AQ4702" s="4">
        <v>3</v>
      </c>
      <c r="AR4702" s="3" t="s">
        <v>64</v>
      </c>
      <c r="AS4702" s="3" t="s">
        <v>64</v>
      </c>
      <c r="AT4702" s="3" t="s">
        <v>64</v>
      </c>
      <c r="AV4702" s="6" t="str">
        <f>HYPERLINK("http://mcgill.on.worldcat.org/oclc/664126075","Catalog Record")</f>
        <v>Catalog Record</v>
      </c>
      <c r="AW4702" s="6" t="str">
        <f>HYPERLINK("http://www.worldcat.org/oclc/664126075","WorldCat Record")</f>
        <v>WorldCat Record</v>
      </c>
      <c r="AX4702" s="3" t="s">
        <v>45704</v>
      </c>
      <c r="AY4702" s="3" t="s">
        <v>45705</v>
      </c>
      <c r="AZ4702" s="3" t="s">
        <v>45706</v>
      </c>
      <c r="BA4702" s="3" t="s">
        <v>45706</v>
      </c>
      <c r="BB4702" s="3" t="s">
        <v>45707</v>
      </c>
      <c r="BC4702" s="3" t="s">
        <v>77</v>
      </c>
      <c r="BD4702" s="3" t="s">
        <v>78</v>
      </c>
      <c r="BE4702" s="3" t="s">
        <v>45708</v>
      </c>
      <c r="BF4702" s="3" t="s">
        <v>45707</v>
      </c>
      <c r="BG4702" s="3" t="s">
        <v>45709</v>
      </c>
      <c r="BH4702">
        <f t="shared" si="155"/>
        <v>0</v>
      </c>
    </row>
    <row r="4703" spans="1:60" ht="58" x14ac:dyDescent="0.35">
      <c r="A4703" s="2" t="s">
        <v>59</v>
      </c>
      <c r="B4703" s="2" t="s">
        <v>60</v>
      </c>
      <c r="C4703" s="2" t="s">
        <v>45710</v>
      </c>
      <c r="D4703" s="2" t="s">
        <v>45711</v>
      </c>
      <c r="E4703" s="2" t="s">
        <v>45712</v>
      </c>
      <c r="G4703" s="3" t="s">
        <v>64</v>
      </c>
      <c r="I4703" s="3" t="s">
        <v>64</v>
      </c>
      <c r="J4703" s="3" t="s">
        <v>64</v>
      </c>
      <c r="K4703" s="3" t="s">
        <v>65</v>
      </c>
      <c r="M4703" s="2" t="s">
        <v>45713</v>
      </c>
      <c r="N4703" s="3" t="s">
        <v>86</v>
      </c>
      <c r="P4703" s="3" t="s">
        <v>944</v>
      </c>
      <c r="Q4703" s="2" t="s">
        <v>9938</v>
      </c>
      <c r="R4703" s="3" t="s">
        <v>70</v>
      </c>
      <c r="S4703" s="4">
        <v>0</v>
      </c>
      <c r="T4703" s="4">
        <v>0</v>
      </c>
      <c r="W4703" s="5" t="s">
        <v>72</v>
      </c>
      <c r="X4703" s="5" t="s">
        <v>72</v>
      </c>
      <c r="Y4703" s="4">
        <v>119</v>
      </c>
      <c r="Z4703" s="4">
        <v>7</v>
      </c>
      <c r="AA4703" s="4">
        <v>13</v>
      </c>
      <c r="AB4703" s="4">
        <v>1</v>
      </c>
      <c r="AC4703" s="4">
        <v>5</v>
      </c>
      <c r="AD4703" s="4">
        <v>48</v>
      </c>
      <c r="AE4703" s="4">
        <v>59</v>
      </c>
      <c r="AF4703" s="4">
        <v>0</v>
      </c>
      <c r="AG4703" s="4">
        <v>1</v>
      </c>
      <c r="AH4703" s="4">
        <v>46</v>
      </c>
      <c r="AI4703" s="4">
        <v>55</v>
      </c>
      <c r="AJ4703" s="4">
        <v>5</v>
      </c>
      <c r="AK4703" s="4">
        <v>7</v>
      </c>
      <c r="AL4703" s="4">
        <v>35</v>
      </c>
      <c r="AM4703" s="4">
        <v>40</v>
      </c>
      <c r="AN4703" s="4">
        <v>0</v>
      </c>
      <c r="AO4703" s="4">
        <v>0</v>
      </c>
      <c r="AP4703" s="4">
        <v>5</v>
      </c>
      <c r="AQ4703" s="4">
        <v>6</v>
      </c>
      <c r="AR4703" s="3" t="s">
        <v>64</v>
      </c>
      <c r="AS4703" s="3" t="s">
        <v>64</v>
      </c>
      <c r="AT4703" s="3" t="s">
        <v>64</v>
      </c>
      <c r="AV4703" s="6" t="str">
        <f>HYPERLINK("http://mcgill.on.worldcat.org/oclc/775420101","Catalog Record")</f>
        <v>Catalog Record</v>
      </c>
      <c r="AW4703" s="6" t="str">
        <f>HYPERLINK("http://www.worldcat.org/oclc/775420101","WorldCat Record")</f>
        <v>WorldCat Record</v>
      </c>
      <c r="AX4703" s="3" t="s">
        <v>45714</v>
      </c>
      <c r="AY4703" s="3" t="s">
        <v>45715</v>
      </c>
      <c r="AZ4703" s="3" t="s">
        <v>45716</v>
      </c>
      <c r="BA4703" s="3" t="s">
        <v>45716</v>
      </c>
      <c r="BB4703" s="3" t="s">
        <v>45717</v>
      </c>
      <c r="BC4703" s="3" t="s">
        <v>77</v>
      </c>
      <c r="BD4703" s="3" t="s">
        <v>78</v>
      </c>
      <c r="BE4703" s="3" t="s">
        <v>45718</v>
      </c>
      <c r="BF4703" s="3" t="s">
        <v>45717</v>
      </c>
      <c r="BG4703" s="3" t="s">
        <v>45719</v>
      </c>
      <c r="BH4703">
        <f t="shared" si="155"/>
        <v>0</v>
      </c>
    </row>
    <row r="4704" spans="1:60" ht="58" x14ac:dyDescent="0.35">
      <c r="A4704" s="2" t="s">
        <v>59</v>
      </c>
      <c r="B4704" s="2" t="s">
        <v>60</v>
      </c>
      <c r="C4704" s="2" t="s">
        <v>45720</v>
      </c>
      <c r="D4704" s="2" t="s">
        <v>45721</v>
      </c>
      <c r="E4704" s="2" t="s">
        <v>45722</v>
      </c>
      <c r="G4704" s="3" t="s">
        <v>64</v>
      </c>
      <c r="I4704" s="3" t="s">
        <v>64</v>
      </c>
      <c r="J4704" s="3" t="s">
        <v>64</v>
      </c>
      <c r="K4704" s="3" t="s">
        <v>65</v>
      </c>
      <c r="L4704" s="2" t="s">
        <v>45723</v>
      </c>
      <c r="M4704" s="2" t="s">
        <v>45724</v>
      </c>
      <c r="N4704" s="3" t="s">
        <v>3330</v>
      </c>
      <c r="P4704" s="3" t="s">
        <v>102</v>
      </c>
      <c r="R4704" s="3" t="s">
        <v>70</v>
      </c>
      <c r="S4704" s="4">
        <v>2</v>
      </c>
      <c r="T4704" s="4">
        <v>2</v>
      </c>
      <c r="U4704" s="5" t="s">
        <v>45725</v>
      </c>
      <c r="V4704" s="5" t="s">
        <v>45725</v>
      </c>
      <c r="W4704" s="5" t="s">
        <v>72</v>
      </c>
      <c r="X4704" s="5" t="s">
        <v>72</v>
      </c>
      <c r="Y4704" s="4">
        <v>122</v>
      </c>
      <c r="Z4704" s="4">
        <v>45</v>
      </c>
      <c r="AA4704" s="4">
        <v>46</v>
      </c>
      <c r="AB4704" s="4">
        <v>5</v>
      </c>
      <c r="AC4704" s="4">
        <v>5</v>
      </c>
      <c r="AD4704" s="4">
        <v>49</v>
      </c>
      <c r="AE4704" s="4">
        <v>50</v>
      </c>
      <c r="AF4704" s="4">
        <v>1</v>
      </c>
      <c r="AG4704" s="4">
        <v>1</v>
      </c>
      <c r="AH4704" s="4">
        <v>33</v>
      </c>
      <c r="AI4704" s="4">
        <v>34</v>
      </c>
      <c r="AJ4704" s="4">
        <v>17</v>
      </c>
      <c r="AK4704" s="4">
        <v>18</v>
      </c>
      <c r="AL4704" s="4">
        <v>18</v>
      </c>
      <c r="AM4704" s="4">
        <v>18</v>
      </c>
      <c r="AN4704" s="4">
        <v>0</v>
      </c>
      <c r="AO4704" s="4">
        <v>0</v>
      </c>
      <c r="AP4704" s="4">
        <v>21</v>
      </c>
      <c r="AQ4704" s="4">
        <v>22</v>
      </c>
      <c r="AR4704" s="3" t="s">
        <v>128</v>
      </c>
      <c r="AS4704" s="3" t="s">
        <v>64</v>
      </c>
      <c r="AT4704" s="3" t="s">
        <v>128</v>
      </c>
      <c r="AU4704" s="6" t="str">
        <f>HYPERLINK("http://catalog.hathitrust.org/Record/001543574","HathiTrust Record")</f>
        <v>HathiTrust Record</v>
      </c>
      <c r="AV4704" s="6" t="str">
        <f>HYPERLINK("http://mcgill.on.worldcat.org/oclc/23256047","Catalog Record")</f>
        <v>Catalog Record</v>
      </c>
      <c r="AW4704" s="6" t="str">
        <f>HYPERLINK("http://www.worldcat.org/oclc/23256047","WorldCat Record")</f>
        <v>WorldCat Record</v>
      </c>
      <c r="AX4704" s="3" t="s">
        <v>45726</v>
      </c>
      <c r="AY4704" s="3" t="s">
        <v>45727</v>
      </c>
      <c r="AZ4704" s="3" t="s">
        <v>45728</v>
      </c>
      <c r="BA4704" s="3" t="s">
        <v>45728</v>
      </c>
      <c r="BB4704" s="3" t="s">
        <v>45729</v>
      </c>
      <c r="BC4704" s="3" t="s">
        <v>77</v>
      </c>
      <c r="BD4704" s="3" t="s">
        <v>78</v>
      </c>
      <c r="BE4704" s="3" t="s">
        <v>45730</v>
      </c>
      <c r="BF4704" s="3" t="s">
        <v>45729</v>
      </c>
      <c r="BG4704" s="3" t="s">
        <v>45731</v>
      </c>
      <c r="BH4704">
        <f t="shared" si="155"/>
        <v>0</v>
      </c>
    </row>
    <row r="4705" spans="1:60" ht="58" x14ac:dyDescent="0.35">
      <c r="A4705" s="2" t="s">
        <v>59</v>
      </c>
      <c r="B4705" s="2" t="s">
        <v>60</v>
      </c>
      <c r="C4705" s="2" t="s">
        <v>45732</v>
      </c>
      <c r="D4705" s="2" t="s">
        <v>45733</v>
      </c>
      <c r="E4705" s="2" t="s">
        <v>45734</v>
      </c>
      <c r="G4705" s="3" t="s">
        <v>64</v>
      </c>
      <c r="I4705" s="3" t="s">
        <v>128</v>
      </c>
      <c r="J4705" s="3" t="s">
        <v>64</v>
      </c>
      <c r="K4705" s="3" t="s">
        <v>65</v>
      </c>
      <c r="L4705" s="2" t="s">
        <v>45735</v>
      </c>
      <c r="M4705" s="2" t="s">
        <v>45736</v>
      </c>
      <c r="N4705" s="3" t="s">
        <v>3126</v>
      </c>
      <c r="P4705" s="3" t="s">
        <v>944</v>
      </c>
      <c r="Q4705" s="2" t="s">
        <v>45737</v>
      </c>
      <c r="R4705" s="3" t="s">
        <v>70</v>
      </c>
      <c r="S4705" s="4">
        <v>1</v>
      </c>
      <c r="T4705" s="4">
        <v>1</v>
      </c>
      <c r="U4705" s="5" t="s">
        <v>7419</v>
      </c>
      <c r="V4705" s="5" t="s">
        <v>7419</v>
      </c>
      <c r="W4705" s="5" t="s">
        <v>72</v>
      </c>
      <c r="X4705" s="5" t="s">
        <v>72</v>
      </c>
      <c r="Y4705" s="4">
        <v>170</v>
      </c>
      <c r="Z4705" s="4">
        <v>11</v>
      </c>
      <c r="AA4705" s="4">
        <v>18</v>
      </c>
      <c r="AB4705" s="4">
        <v>1</v>
      </c>
      <c r="AC4705" s="4">
        <v>1</v>
      </c>
      <c r="AD4705" s="4">
        <v>80</v>
      </c>
      <c r="AE4705" s="4">
        <v>94</v>
      </c>
      <c r="AF4705" s="4">
        <v>0</v>
      </c>
      <c r="AG4705" s="4">
        <v>0</v>
      </c>
      <c r="AH4705" s="4">
        <v>77</v>
      </c>
      <c r="AI4705" s="4">
        <v>86</v>
      </c>
      <c r="AJ4705" s="4">
        <v>8</v>
      </c>
      <c r="AK4705" s="4">
        <v>14</v>
      </c>
      <c r="AL4705" s="4">
        <v>48</v>
      </c>
      <c r="AM4705" s="4">
        <v>51</v>
      </c>
      <c r="AN4705" s="4">
        <v>0</v>
      </c>
      <c r="AO4705" s="4">
        <v>0</v>
      </c>
      <c r="AP4705" s="4">
        <v>7</v>
      </c>
      <c r="AQ4705" s="4">
        <v>14</v>
      </c>
      <c r="AR4705" s="3" t="s">
        <v>64</v>
      </c>
      <c r="AS4705" s="3" t="s">
        <v>64</v>
      </c>
      <c r="AT4705" s="3" t="s">
        <v>128</v>
      </c>
      <c r="AU4705" s="6" t="str">
        <f>HYPERLINK("http://catalog.hathitrust.org/Record/001174927","HathiTrust Record")</f>
        <v>HathiTrust Record</v>
      </c>
      <c r="AV4705" s="6" t="str">
        <f>HYPERLINK("http://mcgill.on.worldcat.org/oclc/643269","Catalog Record")</f>
        <v>Catalog Record</v>
      </c>
      <c r="AW4705" s="6" t="str">
        <f>HYPERLINK("http://www.worldcat.org/oclc/643269","WorldCat Record")</f>
        <v>WorldCat Record</v>
      </c>
      <c r="AX4705" s="3" t="s">
        <v>45738</v>
      </c>
      <c r="AY4705" s="3" t="s">
        <v>45739</v>
      </c>
      <c r="AZ4705" s="3" t="s">
        <v>45740</v>
      </c>
      <c r="BA4705" s="3" t="s">
        <v>45740</v>
      </c>
      <c r="BB4705" s="3" t="s">
        <v>45741</v>
      </c>
      <c r="BC4705" s="3" t="s">
        <v>77</v>
      </c>
      <c r="BD4705" s="3" t="s">
        <v>78</v>
      </c>
      <c r="BF4705" s="3" t="s">
        <v>45741</v>
      </c>
      <c r="BG4705" s="3" t="s">
        <v>45742</v>
      </c>
      <c r="BH4705">
        <f t="shared" si="155"/>
        <v>0</v>
      </c>
    </row>
    <row r="4706" spans="1:60" ht="58" x14ac:dyDescent="0.35">
      <c r="A4706" s="2" t="s">
        <v>1932</v>
      </c>
      <c r="B4706" s="2" t="s">
        <v>1933</v>
      </c>
      <c r="C4706" s="2" t="s">
        <v>45743</v>
      </c>
      <c r="D4706" s="2" t="s">
        <v>45744</v>
      </c>
      <c r="E4706" s="2" t="s">
        <v>45745</v>
      </c>
      <c r="G4706" s="3" t="s">
        <v>128</v>
      </c>
      <c r="I4706" s="3" t="s">
        <v>64</v>
      </c>
      <c r="J4706" s="3" t="s">
        <v>64</v>
      </c>
      <c r="K4706" s="3" t="s">
        <v>65</v>
      </c>
      <c r="L4706" s="2" t="s">
        <v>45746</v>
      </c>
      <c r="M4706" s="2" t="s">
        <v>45747</v>
      </c>
      <c r="N4706" s="3" t="s">
        <v>1017</v>
      </c>
      <c r="P4706" s="3" t="s">
        <v>102</v>
      </c>
      <c r="R4706" s="3" t="s">
        <v>70</v>
      </c>
      <c r="S4706" s="4">
        <v>1</v>
      </c>
      <c r="T4706" s="4">
        <v>1</v>
      </c>
      <c r="U4706" s="5" t="s">
        <v>10182</v>
      </c>
      <c r="V4706" s="5" t="s">
        <v>10182</v>
      </c>
      <c r="W4706" s="5" t="s">
        <v>72</v>
      </c>
      <c r="X4706" s="5" t="s">
        <v>72</v>
      </c>
      <c r="Y4706" s="4">
        <v>1</v>
      </c>
      <c r="Z4706" s="4">
        <v>1</v>
      </c>
      <c r="AA4706" s="4">
        <v>1</v>
      </c>
      <c r="AB4706" s="4">
        <v>1</v>
      </c>
      <c r="AC4706" s="4">
        <v>1</v>
      </c>
      <c r="AD4706" s="4">
        <v>0</v>
      </c>
      <c r="AE4706" s="4">
        <v>0</v>
      </c>
      <c r="AF4706" s="4">
        <v>0</v>
      </c>
      <c r="AG4706" s="4">
        <v>0</v>
      </c>
      <c r="AH4706" s="4">
        <v>0</v>
      </c>
      <c r="AI4706" s="4">
        <v>0</v>
      </c>
      <c r="AJ4706" s="4">
        <v>0</v>
      </c>
      <c r="AK4706" s="4">
        <v>0</v>
      </c>
      <c r="AL4706" s="4">
        <v>0</v>
      </c>
      <c r="AM4706" s="4">
        <v>0</v>
      </c>
      <c r="AN4706" s="4">
        <v>0</v>
      </c>
      <c r="AO4706" s="4">
        <v>0</v>
      </c>
      <c r="AP4706" s="4">
        <v>0</v>
      </c>
      <c r="AQ4706" s="4">
        <v>0</v>
      </c>
      <c r="AR4706" s="3" t="s">
        <v>64</v>
      </c>
      <c r="AS4706" s="3" t="s">
        <v>64</v>
      </c>
      <c r="AT4706" s="3" t="s">
        <v>64</v>
      </c>
      <c r="AV4706" s="6" t="str">
        <f>HYPERLINK("http://mcgill.on.worldcat.org/oclc/61575018","Catalog Record")</f>
        <v>Catalog Record</v>
      </c>
      <c r="AW4706" s="6" t="str">
        <f>HYPERLINK("http://www.worldcat.org/oclc/61575018","WorldCat Record")</f>
        <v>WorldCat Record</v>
      </c>
      <c r="AX4706" s="3" t="s">
        <v>45748</v>
      </c>
      <c r="AY4706" s="3" t="s">
        <v>45749</v>
      </c>
      <c r="AZ4706" s="3" t="s">
        <v>45750</v>
      </c>
      <c r="BA4706" s="3" t="s">
        <v>45750</v>
      </c>
      <c r="BB4706" s="3" t="s">
        <v>45751</v>
      </c>
      <c r="BC4706" s="3" t="s">
        <v>77</v>
      </c>
      <c r="BD4706" s="3" t="s">
        <v>78</v>
      </c>
      <c r="BF4706" s="3" t="s">
        <v>45751</v>
      </c>
      <c r="BG4706" s="3" t="s">
        <v>45752</v>
      </c>
      <c r="BH4706">
        <f t="shared" si="155"/>
        <v>0</v>
      </c>
    </row>
    <row r="4707" spans="1:60" ht="58" x14ac:dyDescent="0.35">
      <c r="A4707" s="2" t="s">
        <v>59</v>
      </c>
      <c r="B4707" s="2" t="s">
        <v>60</v>
      </c>
      <c r="C4707" s="2" t="s">
        <v>45753</v>
      </c>
      <c r="D4707" s="2" t="s">
        <v>45754</v>
      </c>
      <c r="E4707" s="2" t="s">
        <v>45755</v>
      </c>
      <c r="G4707" s="3" t="s">
        <v>64</v>
      </c>
      <c r="I4707" s="3" t="s">
        <v>64</v>
      </c>
      <c r="J4707" s="3" t="s">
        <v>64</v>
      </c>
      <c r="K4707" s="3" t="s">
        <v>65</v>
      </c>
      <c r="L4707" s="2" t="s">
        <v>45756</v>
      </c>
      <c r="M4707" s="2" t="s">
        <v>45757</v>
      </c>
      <c r="N4707" s="3" t="s">
        <v>511</v>
      </c>
      <c r="P4707" s="3" t="s">
        <v>68</v>
      </c>
      <c r="Q4707" s="2" t="s">
        <v>45758</v>
      </c>
      <c r="R4707" s="3" t="s">
        <v>70</v>
      </c>
      <c r="S4707" s="4">
        <v>0</v>
      </c>
      <c r="T4707" s="4">
        <v>0</v>
      </c>
      <c r="W4707" s="5" t="s">
        <v>72</v>
      </c>
      <c r="X4707" s="5" t="s">
        <v>72</v>
      </c>
      <c r="Y4707" s="4">
        <v>1</v>
      </c>
      <c r="Z4707" s="4">
        <v>1</v>
      </c>
      <c r="AA4707" s="4">
        <v>2</v>
      </c>
      <c r="AB4707" s="4">
        <v>1</v>
      </c>
      <c r="AC4707" s="4">
        <v>2</v>
      </c>
      <c r="AD4707" s="4">
        <v>0</v>
      </c>
      <c r="AE4707" s="4">
        <v>1</v>
      </c>
      <c r="AF4707" s="4">
        <v>0</v>
      </c>
      <c r="AG4707" s="4">
        <v>1</v>
      </c>
      <c r="AH4707" s="4">
        <v>0</v>
      </c>
      <c r="AI4707" s="4">
        <v>0</v>
      </c>
      <c r="AJ4707" s="4">
        <v>0</v>
      </c>
      <c r="AK4707" s="4">
        <v>1</v>
      </c>
      <c r="AL4707" s="4">
        <v>0</v>
      </c>
      <c r="AM4707" s="4">
        <v>0</v>
      </c>
      <c r="AN4707" s="4">
        <v>0</v>
      </c>
      <c r="AO4707" s="4">
        <v>0</v>
      </c>
      <c r="AP4707" s="4">
        <v>0</v>
      </c>
      <c r="AQ4707" s="4">
        <v>1</v>
      </c>
      <c r="AR4707" s="3" t="s">
        <v>128</v>
      </c>
      <c r="AS4707" s="3" t="s">
        <v>64</v>
      </c>
      <c r="AT4707" s="3" t="s">
        <v>64</v>
      </c>
      <c r="AV4707" s="6" t="str">
        <f>HYPERLINK("http://mcgill.on.worldcat.org/oclc/741108129","Catalog Record")</f>
        <v>Catalog Record</v>
      </c>
      <c r="AW4707" s="6" t="str">
        <f>HYPERLINK("http://www.worldcat.org/oclc/741108129","WorldCat Record")</f>
        <v>WorldCat Record</v>
      </c>
      <c r="AX4707" s="3" t="s">
        <v>45759</v>
      </c>
      <c r="AY4707" s="3" t="s">
        <v>45760</v>
      </c>
      <c r="AZ4707" s="3" t="s">
        <v>45761</v>
      </c>
      <c r="BA4707" s="3" t="s">
        <v>45761</v>
      </c>
      <c r="BB4707" s="3" t="s">
        <v>45762</v>
      </c>
      <c r="BC4707" s="3" t="s">
        <v>77</v>
      </c>
      <c r="BD4707" s="3" t="s">
        <v>78</v>
      </c>
      <c r="BF4707" s="3" t="s">
        <v>45762</v>
      </c>
      <c r="BG4707" s="3" t="s">
        <v>45763</v>
      </c>
      <c r="BH4707">
        <f t="shared" si="155"/>
        <v>0</v>
      </c>
    </row>
    <row r="4708" spans="1:60" ht="58" x14ac:dyDescent="0.35">
      <c r="A4708" s="2" t="s">
        <v>59</v>
      </c>
      <c r="B4708" s="2" t="s">
        <v>60</v>
      </c>
      <c r="C4708" s="2" t="s">
        <v>45764</v>
      </c>
      <c r="D4708" s="2" t="s">
        <v>45765</v>
      </c>
      <c r="E4708" s="2" t="s">
        <v>45766</v>
      </c>
      <c r="G4708" s="3" t="s">
        <v>64</v>
      </c>
      <c r="I4708" s="3" t="s">
        <v>64</v>
      </c>
      <c r="J4708" s="3" t="s">
        <v>64</v>
      </c>
      <c r="K4708" s="3" t="s">
        <v>65</v>
      </c>
      <c r="L4708" s="2" t="s">
        <v>45767</v>
      </c>
      <c r="M4708" s="2" t="s">
        <v>45768</v>
      </c>
      <c r="N4708" s="3" t="s">
        <v>326</v>
      </c>
      <c r="P4708" s="3" t="s">
        <v>102</v>
      </c>
      <c r="R4708" s="3" t="s">
        <v>70</v>
      </c>
      <c r="S4708" s="4">
        <v>1</v>
      </c>
      <c r="T4708" s="4">
        <v>1</v>
      </c>
      <c r="U4708" s="5" t="s">
        <v>39275</v>
      </c>
      <c r="V4708" s="5" t="s">
        <v>39275</v>
      </c>
      <c r="W4708" s="5" t="s">
        <v>72</v>
      </c>
      <c r="X4708" s="5" t="s">
        <v>72</v>
      </c>
      <c r="Y4708" s="4">
        <v>141</v>
      </c>
      <c r="Z4708" s="4">
        <v>10</v>
      </c>
      <c r="AA4708" s="4">
        <v>10</v>
      </c>
      <c r="AB4708" s="4">
        <v>2</v>
      </c>
      <c r="AC4708" s="4">
        <v>2</v>
      </c>
      <c r="AD4708" s="4">
        <v>60</v>
      </c>
      <c r="AE4708" s="4">
        <v>60</v>
      </c>
      <c r="AF4708" s="4">
        <v>1</v>
      </c>
      <c r="AG4708" s="4">
        <v>1</v>
      </c>
      <c r="AH4708" s="4">
        <v>54</v>
      </c>
      <c r="AI4708" s="4">
        <v>54</v>
      </c>
      <c r="AJ4708" s="4">
        <v>8</v>
      </c>
      <c r="AK4708" s="4">
        <v>8</v>
      </c>
      <c r="AL4708" s="4">
        <v>37</v>
      </c>
      <c r="AM4708" s="4">
        <v>37</v>
      </c>
      <c r="AN4708" s="4">
        <v>0</v>
      </c>
      <c r="AO4708" s="4">
        <v>0</v>
      </c>
      <c r="AP4708" s="4">
        <v>9</v>
      </c>
      <c r="AQ4708" s="4">
        <v>9</v>
      </c>
      <c r="AR4708" s="3" t="s">
        <v>64</v>
      </c>
      <c r="AS4708" s="3" t="s">
        <v>64</v>
      </c>
      <c r="AT4708" s="3" t="s">
        <v>64</v>
      </c>
      <c r="AV4708" s="6" t="str">
        <f>HYPERLINK("http://mcgill.on.worldcat.org/oclc/714726305","Catalog Record")</f>
        <v>Catalog Record</v>
      </c>
      <c r="AW4708" s="6" t="str">
        <f>HYPERLINK("http://www.worldcat.org/oclc/714726305","WorldCat Record")</f>
        <v>WorldCat Record</v>
      </c>
      <c r="AX4708" s="3" t="s">
        <v>45769</v>
      </c>
      <c r="AY4708" s="3" t="s">
        <v>45770</v>
      </c>
      <c r="AZ4708" s="3" t="s">
        <v>45771</v>
      </c>
      <c r="BA4708" s="3" t="s">
        <v>45771</v>
      </c>
      <c r="BB4708" s="3" t="s">
        <v>45772</v>
      </c>
      <c r="BC4708" s="3" t="s">
        <v>77</v>
      </c>
      <c r="BD4708" s="3" t="s">
        <v>78</v>
      </c>
      <c r="BE4708" s="3" t="s">
        <v>45773</v>
      </c>
      <c r="BF4708" s="3" t="s">
        <v>45772</v>
      </c>
      <c r="BG4708" s="3" t="s">
        <v>45774</v>
      </c>
      <c r="BH4708">
        <f t="shared" si="155"/>
        <v>0</v>
      </c>
    </row>
    <row r="4709" spans="1:60" ht="58" x14ac:dyDescent="0.35">
      <c r="A4709" s="2" t="s">
        <v>59</v>
      </c>
      <c r="B4709" s="2" t="s">
        <v>60</v>
      </c>
      <c r="C4709" s="2" t="s">
        <v>45775</v>
      </c>
      <c r="D4709" s="2" t="s">
        <v>45776</v>
      </c>
      <c r="E4709" s="2" t="s">
        <v>45777</v>
      </c>
      <c r="G4709" s="3" t="s">
        <v>64</v>
      </c>
      <c r="I4709" s="3" t="s">
        <v>64</v>
      </c>
      <c r="J4709" s="3" t="s">
        <v>64</v>
      </c>
      <c r="K4709" s="3" t="s">
        <v>65</v>
      </c>
      <c r="M4709" s="2" t="s">
        <v>45778</v>
      </c>
      <c r="N4709" s="3" t="s">
        <v>253</v>
      </c>
      <c r="P4709" s="3" t="s">
        <v>102</v>
      </c>
      <c r="R4709" s="3" t="s">
        <v>70</v>
      </c>
      <c r="S4709" s="4">
        <v>0</v>
      </c>
      <c r="T4709" s="4">
        <v>0</v>
      </c>
      <c r="W4709" s="5" t="s">
        <v>72</v>
      </c>
      <c r="X4709" s="5" t="s">
        <v>72</v>
      </c>
      <c r="Y4709" s="4">
        <v>19</v>
      </c>
      <c r="Z4709" s="4">
        <v>1</v>
      </c>
      <c r="AA4709" s="4">
        <v>1</v>
      </c>
      <c r="AB4709" s="4">
        <v>1</v>
      </c>
      <c r="AC4709" s="4">
        <v>1</v>
      </c>
      <c r="AD4709" s="4">
        <v>5</v>
      </c>
      <c r="AE4709" s="4">
        <v>5</v>
      </c>
      <c r="AF4709" s="4">
        <v>0</v>
      </c>
      <c r="AG4709" s="4">
        <v>0</v>
      </c>
      <c r="AH4709" s="4">
        <v>5</v>
      </c>
      <c r="AI4709" s="4">
        <v>5</v>
      </c>
      <c r="AJ4709" s="4">
        <v>0</v>
      </c>
      <c r="AK4709" s="4">
        <v>0</v>
      </c>
      <c r="AL4709" s="4">
        <v>5</v>
      </c>
      <c r="AM4709" s="4">
        <v>5</v>
      </c>
      <c r="AN4709" s="4">
        <v>0</v>
      </c>
      <c r="AO4709" s="4">
        <v>0</v>
      </c>
      <c r="AP4709" s="4">
        <v>0</v>
      </c>
      <c r="AQ4709" s="4">
        <v>0</v>
      </c>
      <c r="AR4709" s="3" t="s">
        <v>64</v>
      </c>
      <c r="AS4709" s="3" t="s">
        <v>64</v>
      </c>
      <c r="AT4709" s="3" t="s">
        <v>64</v>
      </c>
      <c r="AV4709" s="6" t="str">
        <f>HYPERLINK("http://mcgill.on.worldcat.org/oclc/910504575","Catalog Record")</f>
        <v>Catalog Record</v>
      </c>
      <c r="AW4709" s="6" t="str">
        <f>HYPERLINK("http://www.worldcat.org/oclc/910504575","WorldCat Record")</f>
        <v>WorldCat Record</v>
      </c>
      <c r="AX4709" s="3" t="s">
        <v>45779</v>
      </c>
      <c r="AY4709" s="3" t="s">
        <v>45780</v>
      </c>
      <c r="AZ4709" s="3" t="s">
        <v>45781</v>
      </c>
      <c r="BA4709" s="3" t="s">
        <v>45781</v>
      </c>
      <c r="BB4709" s="3" t="s">
        <v>45782</v>
      </c>
      <c r="BC4709" s="3" t="s">
        <v>77</v>
      </c>
      <c r="BD4709" s="3" t="s">
        <v>78</v>
      </c>
      <c r="BE4709" s="3" t="s">
        <v>45783</v>
      </c>
      <c r="BF4709" s="3" t="s">
        <v>45782</v>
      </c>
      <c r="BG4709" s="3" t="s">
        <v>45784</v>
      </c>
      <c r="BH4709">
        <f t="shared" si="155"/>
        <v>0</v>
      </c>
    </row>
    <row r="4710" spans="1:60" ht="58" x14ac:dyDescent="0.35">
      <c r="A4710" s="2" t="s">
        <v>59</v>
      </c>
      <c r="B4710" s="2" t="s">
        <v>60</v>
      </c>
      <c r="C4710" s="2" t="s">
        <v>45785</v>
      </c>
      <c r="D4710" s="2" t="s">
        <v>45786</v>
      </c>
      <c r="E4710" s="2" t="s">
        <v>45787</v>
      </c>
      <c r="G4710" s="3" t="s">
        <v>64</v>
      </c>
      <c r="I4710" s="3" t="s">
        <v>64</v>
      </c>
      <c r="J4710" s="3" t="s">
        <v>64</v>
      </c>
      <c r="K4710" s="3" t="s">
        <v>65</v>
      </c>
      <c r="L4710" s="2" t="s">
        <v>45788</v>
      </c>
      <c r="M4710" s="2" t="s">
        <v>9772</v>
      </c>
      <c r="N4710" s="3" t="s">
        <v>1263</v>
      </c>
      <c r="P4710" s="3" t="s">
        <v>102</v>
      </c>
      <c r="Q4710" s="2" t="s">
        <v>45789</v>
      </c>
      <c r="R4710" s="3" t="s">
        <v>70</v>
      </c>
      <c r="S4710" s="4">
        <v>15</v>
      </c>
      <c r="T4710" s="4">
        <v>15</v>
      </c>
      <c r="U4710" s="5" t="s">
        <v>17014</v>
      </c>
      <c r="V4710" s="5" t="s">
        <v>17014</v>
      </c>
      <c r="W4710" s="5" t="s">
        <v>72</v>
      </c>
      <c r="X4710" s="5" t="s">
        <v>72</v>
      </c>
      <c r="Y4710" s="4">
        <v>365</v>
      </c>
      <c r="Z4710" s="4">
        <v>20</v>
      </c>
      <c r="AA4710" s="4">
        <v>20</v>
      </c>
      <c r="AB4710" s="4">
        <v>2</v>
      </c>
      <c r="AC4710" s="4">
        <v>2</v>
      </c>
      <c r="AD4710" s="4">
        <v>96</v>
      </c>
      <c r="AE4710" s="4">
        <v>96</v>
      </c>
      <c r="AF4710" s="4">
        <v>1</v>
      </c>
      <c r="AG4710" s="4">
        <v>1</v>
      </c>
      <c r="AH4710" s="4">
        <v>83</v>
      </c>
      <c r="AI4710" s="4">
        <v>83</v>
      </c>
      <c r="AJ4710" s="4">
        <v>11</v>
      </c>
      <c r="AK4710" s="4">
        <v>11</v>
      </c>
      <c r="AL4710" s="4">
        <v>43</v>
      </c>
      <c r="AM4710" s="4">
        <v>43</v>
      </c>
      <c r="AN4710" s="4">
        <v>0</v>
      </c>
      <c r="AO4710" s="4">
        <v>0</v>
      </c>
      <c r="AP4710" s="4">
        <v>17</v>
      </c>
      <c r="AQ4710" s="4">
        <v>17</v>
      </c>
      <c r="AR4710" s="3" t="s">
        <v>64</v>
      </c>
      <c r="AS4710" s="3" t="s">
        <v>64</v>
      </c>
      <c r="AT4710" s="3" t="s">
        <v>128</v>
      </c>
      <c r="AU4710" s="6" t="str">
        <f>HYPERLINK("http://catalog.hathitrust.org/Record/002782135","HathiTrust Record")</f>
        <v>HathiTrust Record</v>
      </c>
      <c r="AV4710" s="6" t="str">
        <f>HYPERLINK("http://mcgill.on.worldcat.org/oclc/27432484","Catalog Record")</f>
        <v>Catalog Record</v>
      </c>
      <c r="AW4710" s="6" t="str">
        <f>HYPERLINK("http://www.worldcat.org/oclc/27432484","WorldCat Record")</f>
        <v>WorldCat Record</v>
      </c>
      <c r="AX4710" s="3" t="s">
        <v>45790</v>
      </c>
      <c r="AY4710" s="3" t="s">
        <v>45791</v>
      </c>
      <c r="AZ4710" s="3" t="s">
        <v>45792</v>
      </c>
      <c r="BA4710" s="3" t="s">
        <v>45792</v>
      </c>
      <c r="BB4710" s="3" t="s">
        <v>45793</v>
      </c>
      <c r="BC4710" s="3" t="s">
        <v>77</v>
      </c>
      <c r="BD4710" s="3" t="s">
        <v>78</v>
      </c>
      <c r="BE4710" s="3" t="s">
        <v>45794</v>
      </c>
      <c r="BF4710" s="3" t="s">
        <v>45793</v>
      </c>
      <c r="BG4710" s="3" t="s">
        <v>45795</v>
      </c>
      <c r="BH4710">
        <f t="shared" si="155"/>
        <v>0</v>
      </c>
    </row>
    <row r="4711" spans="1:60" ht="58" x14ac:dyDescent="0.35">
      <c r="A4711" s="2" t="s">
        <v>59</v>
      </c>
      <c r="B4711" s="2" t="s">
        <v>7607</v>
      </c>
      <c r="C4711" s="2" t="s">
        <v>45796</v>
      </c>
      <c r="D4711" s="2" t="s">
        <v>45797</v>
      </c>
      <c r="E4711" s="2" t="s">
        <v>45798</v>
      </c>
      <c r="G4711" s="3" t="s">
        <v>64</v>
      </c>
      <c r="I4711" s="3" t="s">
        <v>64</v>
      </c>
      <c r="J4711" s="3" t="s">
        <v>64</v>
      </c>
      <c r="K4711" s="3" t="s">
        <v>65</v>
      </c>
      <c r="M4711" s="2" t="s">
        <v>16855</v>
      </c>
      <c r="N4711" s="3" t="s">
        <v>67</v>
      </c>
      <c r="P4711" s="3" t="s">
        <v>102</v>
      </c>
      <c r="R4711" s="3" t="s">
        <v>70</v>
      </c>
      <c r="S4711" s="4">
        <v>1</v>
      </c>
      <c r="T4711" s="4">
        <v>1</v>
      </c>
      <c r="U4711" s="5" t="s">
        <v>45799</v>
      </c>
      <c r="V4711" s="5" t="s">
        <v>45799</v>
      </c>
      <c r="W4711" s="5" t="s">
        <v>72</v>
      </c>
      <c r="X4711" s="5" t="s">
        <v>72</v>
      </c>
      <c r="Y4711" s="4">
        <v>252</v>
      </c>
      <c r="Z4711" s="4">
        <v>9</v>
      </c>
      <c r="AA4711" s="4">
        <v>104</v>
      </c>
      <c r="AB4711" s="4">
        <v>1</v>
      </c>
      <c r="AC4711" s="4">
        <v>14</v>
      </c>
      <c r="AD4711" s="4">
        <v>50</v>
      </c>
      <c r="AE4711" s="4">
        <v>124</v>
      </c>
      <c r="AF4711" s="4">
        <v>0</v>
      </c>
      <c r="AG4711" s="4">
        <v>8</v>
      </c>
      <c r="AH4711" s="4">
        <v>48</v>
      </c>
      <c r="AI4711" s="4">
        <v>86</v>
      </c>
      <c r="AJ4711" s="4">
        <v>4</v>
      </c>
      <c r="AK4711" s="4">
        <v>22</v>
      </c>
      <c r="AL4711" s="4">
        <v>26</v>
      </c>
      <c r="AM4711" s="4">
        <v>44</v>
      </c>
      <c r="AN4711" s="4">
        <v>0</v>
      </c>
      <c r="AO4711" s="4">
        <v>0</v>
      </c>
      <c r="AP4711" s="4">
        <v>5</v>
      </c>
      <c r="AQ4711" s="4">
        <v>45</v>
      </c>
      <c r="AR4711" s="3" t="s">
        <v>64</v>
      </c>
      <c r="AS4711" s="3" t="s">
        <v>64</v>
      </c>
      <c r="AT4711" s="3" t="s">
        <v>64</v>
      </c>
      <c r="AV4711" s="6" t="str">
        <f>HYPERLINK("http://mcgill.on.worldcat.org/oclc/881721222","Catalog Record")</f>
        <v>Catalog Record</v>
      </c>
      <c r="AW4711" s="6" t="str">
        <f>HYPERLINK("http://www.worldcat.org/oclc/881721222","WorldCat Record")</f>
        <v>WorldCat Record</v>
      </c>
      <c r="AX4711" s="3" t="s">
        <v>45800</v>
      </c>
      <c r="AY4711" s="3" t="s">
        <v>45801</v>
      </c>
      <c r="AZ4711" s="3" t="s">
        <v>45802</v>
      </c>
      <c r="BA4711" s="3" t="s">
        <v>45802</v>
      </c>
      <c r="BB4711" s="3" t="s">
        <v>45803</v>
      </c>
      <c r="BC4711" s="3" t="s">
        <v>77</v>
      </c>
      <c r="BD4711" s="3" t="s">
        <v>78</v>
      </c>
      <c r="BE4711" s="3" t="s">
        <v>45804</v>
      </c>
      <c r="BF4711" s="3" t="s">
        <v>45803</v>
      </c>
      <c r="BG4711" s="3" t="s">
        <v>45805</v>
      </c>
      <c r="BH4711">
        <f t="shared" si="155"/>
        <v>0</v>
      </c>
    </row>
    <row r="4712" spans="1:60" ht="58" x14ac:dyDescent="0.35">
      <c r="A4712" s="2" t="s">
        <v>59</v>
      </c>
      <c r="B4712" s="2" t="s">
        <v>60</v>
      </c>
      <c r="C4712" s="2" t="s">
        <v>45806</v>
      </c>
      <c r="D4712" s="2" t="s">
        <v>45807</v>
      </c>
      <c r="E4712" s="2" t="s">
        <v>45808</v>
      </c>
      <c r="G4712" s="3" t="s">
        <v>64</v>
      </c>
      <c r="I4712" s="3" t="s">
        <v>64</v>
      </c>
      <c r="J4712" s="3" t="s">
        <v>64</v>
      </c>
      <c r="K4712" s="3" t="s">
        <v>65</v>
      </c>
      <c r="L4712" s="2" t="s">
        <v>45809</v>
      </c>
      <c r="M4712" s="2" t="s">
        <v>45810</v>
      </c>
      <c r="N4712" s="3" t="s">
        <v>1615</v>
      </c>
      <c r="P4712" s="3" t="s">
        <v>102</v>
      </c>
      <c r="R4712" s="3" t="s">
        <v>70</v>
      </c>
      <c r="S4712" s="4">
        <v>2</v>
      </c>
      <c r="T4712" s="4">
        <v>2</v>
      </c>
      <c r="U4712" s="5" t="s">
        <v>43627</v>
      </c>
      <c r="V4712" s="5" t="s">
        <v>43627</v>
      </c>
      <c r="W4712" s="5" t="s">
        <v>72</v>
      </c>
      <c r="X4712" s="5" t="s">
        <v>72</v>
      </c>
      <c r="Y4712" s="4">
        <v>120</v>
      </c>
      <c r="Z4712" s="4">
        <v>10</v>
      </c>
      <c r="AA4712" s="4">
        <v>13</v>
      </c>
      <c r="AB4712" s="4">
        <v>1</v>
      </c>
      <c r="AC4712" s="4">
        <v>2</v>
      </c>
      <c r="AD4712" s="4">
        <v>57</v>
      </c>
      <c r="AE4712" s="4">
        <v>62</v>
      </c>
      <c r="AF4712" s="4">
        <v>0</v>
      </c>
      <c r="AG4712" s="4">
        <v>0</v>
      </c>
      <c r="AH4712" s="4">
        <v>54</v>
      </c>
      <c r="AI4712" s="4">
        <v>58</v>
      </c>
      <c r="AJ4712" s="4">
        <v>7</v>
      </c>
      <c r="AK4712" s="4">
        <v>8</v>
      </c>
      <c r="AL4712" s="4">
        <v>30</v>
      </c>
      <c r="AM4712" s="4">
        <v>31</v>
      </c>
      <c r="AN4712" s="4">
        <v>0</v>
      </c>
      <c r="AO4712" s="4">
        <v>0</v>
      </c>
      <c r="AP4712" s="4">
        <v>8</v>
      </c>
      <c r="AQ4712" s="4">
        <v>10</v>
      </c>
      <c r="AR4712" s="3" t="s">
        <v>64</v>
      </c>
      <c r="AS4712" s="3" t="s">
        <v>64</v>
      </c>
      <c r="AT4712" s="3" t="s">
        <v>64</v>
      </c>
      <c r="AV4712" s="6" t="str">
        <f>HYPERLINK("http://mcgill.on.worldcat.org/oclc/35270000","Catalog Record")</f>
        <v>Catalog Record</v>
      </c>
      <c r="AW4712" s="6" t="str">
        <f>HYPERLINK("http://www.worldcat.org/oclc/35270000","WorldCat Record")</f>
        <v>WorldCat Record</v>
      </c>
      <c r="AX4712" s="3" t="s">
        <v>45811</v>
      </c>
      <c r="AY4712" s="3" t="s">
        <v>45812</v>
      </c>
      <c r="AZ4712" s="3" t="s">
        <v>45813</v>
      </c>
      <c r="BA4712" s="3" t="s">
        <v>45813</v>
      </c>
      <c r="BB4712" s="3" t="s">
        <v>45814</v>
      </c>
      <c r="BC4712" s="3" t="s">
        <v>77</v>
      </c>
      <c r="BD4712" s="3" t="s">
        <v>78</v>
      </c>
      <c r="BE4712" s="3" t="s">
        <v>45815</v>
      </c>
      <c r="BF4712" s="3" t="s">
        <v>45814</v>
      </c>
      <c r="BG4712" s="3" t="s">
        <v>45816</v>
      </c>
      <c r="BH4712">
        <f t="shared" si="155"/>
        <v>0</v>
      </c>
    </row>
    <row r="4713" spans="1:60" ht="58" x14ac:dyDescent="0.35">
      <c r="A4713" s="2" t="s">
        <v>59</v>
      </c>
      <c r="B4713" s="2" t="s">
        <v>60</v>
      </c>
      <c r="C4713" s="2" t="s">
        <v>45817</v>
      </c>
      <c r="D4713" s="2" t="s">
        <v>45818</v>
      </c>
      <c r="E4713" s="2" t="s">
        <v>45819</v>
      </c>
      <c r="G4713" s="3" t="s">
        <v>64</v>
      </c>
      <c r="I4713" s="3" t="s">
        <v>64</v>
      </c>
      <c r="J4713" s="3" t="s">
        <v>128</v>
      </c>
      <c r="K4713" s="3" t="s">
        <v>65</v>
      </c>
      <c r="L4713" s="2" t="s">
        <v>45820</v>
      </c>
      <c r="M4713" s="2" t="s">
        <v>17391</v>
      </c>
      <c r="N4713" s="3" t="s">
        <v>86</v>
      </c>
      <c r="O4713" s="2" t="s">
        <v>2994</v>
      </c>
      <c r="P4713" s="3" t="s">
        <v>102</v>
      </c>
      <c r="R4713" s="3" t="s">
        <v>70</v>
      </c>
      <c r="S4713" s="4">
        <v>40</v>
      </c>
      <c r="T4713" s="4">
        <v>40</v>
      </c>
      <c r="U4713" s="5" t="s">
        <v>3831</v>
      </c>
      <c r="V4713" s="5" t="s">
        <v>3831</v>
      </c>
      <c r="W4713" s="5" t="s">
        <v>72</v>
      </c>
      <c r="X4713" s="5" t="s">
        <v>72</v>
      </c>
      <c r="Y4713" s="4">
        <v>516</v>
      </c>
      <c r="Z4713" s="4">
        <v>23</v>
      </c>
      <c r="AA4713" s="4">
        <v>50</v>
      </c>
      <c r="AB4713" s="4">
        <v>2</v>
      </c>
      <c r="AC4713" s="4">
        <v>6</v>
      </c>
      <c r="AD4713" s="4">
        <v>80</v>
      </c>
      <c r="AE4713" s="4">
        <v>122</v>
      </c>
      <c r="AF4713" s="4">
        <v>1</v>
      </c>
      <c r="AG4713" s="4">
        <v>5</v>
      </c>
      <c r="AH4713" s="4">
        <v>75</v>
      </c>
      <c r="AI4713" s="4">
        <v>104</v>
      </c>
      <c r="AJ4713" s="4">
        <v>12</v>
      </c>
      <c r="AK4713" s="4">
        <v>19</v>
      </c>
      <c r="AL4713" s="4">
        <v>38</v>
      </c>
      <c r="AM4713" s="4">
        <v>50</v>
      </c>
      <c r="AN4713" s="4">
        <v>0</v>
      </c>
      <c r="AO4713" s="4">
        <v>0</v>
      </c>
      <c r="AP4713" s="4">
        <v>14</v>
      </c>
      <c r="AQ4713" s="4">
        <v>29</v>
      </c>
      <c r="AR4713" s="3" t="s">
        <v>64</v>
      </c>
      <c r="AS4713" s="3" t="s">
        <v>64</v>
      </c>
      <c r="AT4713" s="3" t="s">
        <v>64</v>
      </c>
      <c r="AV4713" s="6" t="str">
        <f>HYPERLINK("http://mcgill.on.worldcat.org/oclc/740624217","Catalog Record")</f>
        <v>Catalog Record</v>
      </c>
      <c r="AW4713" s="6" t="str">
        <f>HYPERLINK("http://www.worldcat.org/oclc/740624217","WorldCat Record")</f>
        <v>WorldCat Record</v>
      </c>
      <c r="AX4713" s="3" t="s">
        <v>45821</v>
      </c>
      <c r="AY4713" s="3" t="s">
        <v>45822</v>
      </c>
      <c r="AZ4713" s="3" t="s">
        <v>45823</v>
      </c>
      <c r="BA4713" s="3" t="s">
        <v>45823</v>
      </c>
      <c r="BB4713" s="3" t="s">
        <v>45824</v>
      </c>
      <c r="BC4713" s="3" t="s">
        <v>77</v>
      </c>
      <c r="BD4713" s="3" t="s">
        <v>78</v>
      </c>
      <c r="BE4713" s="3" t="s">
        <v>45825</v>
      </c>
      <c r="BF4713" s="3" t="s">
        <v>45824</v>
      </c>
      <c r="BG4713" s="3" t="s">
        <v>45826</v>
      </c>
      <c r="BH4713">
        <f t="shared" si="155"/>
        <v>0</v>
      </c>
    </row>
    <row r="4714" spans="1:60" ht="87" x14ac:dyDescent="0.35">
      <c r="A4714" s="2" t="s">
        <v>6202</v>
      </c>
      <c r="B4714" s="2" t="s">
        <v>6203</v>
      </c>
      <c r="C4714" s="2" t="s">
        <v>45827</v>
      </c>
      <c r="D4714" s="2" t="s">
        <v>45828</v>
      </c>
      <c r="E4714" s="2" t="s">
        <v>45829</v>
      </c>
      <c r="G4714" s="3" t="s">
        <v>64</v>
      </c>
      <c r="I4714" s="3" t="s">
        <v>64</v>
      </c>
      <c r="J4714" s="3" t="s">
        <v>64</v>
      </c>
      <c r="K4714" s="3" t="s">
        <v>65</v>
      </c>
      <c r="L4714" s="2" t="s">
        <v>45830</v>
      </c>
      <c r="M4714" s="2" t="s">
        <v>45831</v>
      </c>
      <c r="N4714" s="3" t="s">
        <v>1750</v>
      </c>
      <c r="P4714" s="3" t="s">
        <v>102</v>
      </c>
      <c r="R4714" s="3" t="s">
        <v>70</v>
      </c>
      <c r="S4714" s="4">
        <v>3</v>
      </c>
      <c r="T4714" s="4">
        <v>3</v>
      </c>
      <c r="U4714" s="5" t="s">
        <v>1033</v>
      </c>
      <c r="V4714" s="5" t="s">
        <v>1033</v>
      </c>
      <c r="W4714" s="5" t="s">
        <v>72</v>
      </c>
      <c r="X4714" s="5" t="s">
        <v>72</v>
      </c>
      <c r="Y4714" s="4">
        <v>177</v>
      </c>
      <c r="Z4714" s="4">
        <v>12</v>
      </c>
      <c r="AA4714" s="4">
        <v>33</v>
      </c>
      <c r="AB4714" s="4">
        <v>2</v>
      </c>
      <c r="AC4714" s="4">
        <v>6</v>
      </c>
      <c r="AD4714" s="4">
        <v>64</v>
      </c>
      <c r="AE4714" s="4">
        <v>118</v>
      </c>
      <c r="AF4714" s="4">
        <v>1</v>
      </c>
      <c r="AG4714" s="4">
        <v>4</v>
      </c>
      <c r="AH4714" s="4">
        <v>58</v>
      </c>
      <c r="AI4714" s="4">
        <v>99</v>
      </c>
      <c r="AJ4714" s="4">
        <v>10</v>
      </c>
      <c r="AK4714" s="4">
        <v>25</v>
      </c>
      <c r="AL4714" s="4">
        <v>26</v>
      </c>
      <c r="AM4714" s="4">
        <v>48</v>
      </c>
      <c r="AN4714" s="4">
        <v>0</v>
      </c>
      <c r="AO4714" s="4">
        <v>0</v>
      </c>
      <c r="AP4714" s="4">
        <v>10</v>
      </c>
      <c r="AQ4714" s="4">
        <v>28</v>
      </c>
      <c r="AR4714" s="3" t="s">
        <v>64</v>
      </c>
      <c r="AS4714" s="3" t="s">
        <v>64</v>
      </c>
      <c r="AT4714" s="3" t="s">
        <v>64</v>
      </c>
      <c r="AV4714" s="6" t="str">
        <f>HYPERLINK("http://mcgill.on.worldcat.org/oclc/2007566","Catalog Record")</f>
        <v>Catalog Record</v>
      </c>
      <c r="AW4714" s="6" t="str">
        <f>HYPERLINK("http://www.worldcat.org/oclc/2007566","WorldCat Record")</f>
        <v>WorldCat Record</v>
      </c>
      <c r="AX4714" s="3" t="s">
        <v>45832</v>
      </c>
      <c r="AY4714" s="3" t="s">
        <v>45833</v>
      </c>
      <c r="AZ4714" s="3" t="s">
        <v>45834</v>
      </c>
      <c r="BA4714" s="3" t="s">
        <v>45834</v>
      </c>
      <c r="BB4714" s="3" t="s">
        <v>45835</v>
      </c>
      <c r="BC4714" s="3" t="s">
        <v>77</v>
      </c>
      <c r="BD4714" s="3" t="s">
        <v>40037</v>
      </c>
      <c r="BE4714" s="3" t="s">
        <v>45836</v>
      </c>
      <c r="BF4714" s="3" t="s">
        <v>45835</v>
      </c>
      <c r="BG4714" s="3" t="s">
        <v>45837</v>
      </c>
      <c r="BH4714">
        <f t="shared" si="155"/>
        <v>0</v>
      </c>
    </row>
    <row r="4715" spans="1:60" ht="58" x14ac:dyDescent="0.35">
      <c r="A4715" s="2" t="s">
        <v>59</v>
      </c>
      <c r="B4715" s="2" t="s">
        <v>60</v>
      </c>
      <c r="C4715" s="2" t="s">
        <v>45838</v>
      </c>
      <c r="D4715" s="2" t="s">
        <v>45839</v>
      </c>
      <c r="E4715" s="2" t="s">
        <v>45840</v>
      </c>
      <c r="G4715" s="3" t="s">
        <v>64</v>
      </c>
      <c r="I4715" s="3" t="s">
        <v>128</v>
      </c>
      <c r="J4715" s="3" t="s">
        <v>64</v>
      </c>
      <c r="K4715" s="3" t="s">
        <v>65</v>
      </c>
      <c r="L4715" s="2" t="s">
        <v>45841</v>
      </c>
      <c r="M4715" s="2" t="s">
        <v>45842</v>
      </c>
      <c r="N4715" s="3" t="s">
        <v>7285</v>
      </c>
      <c r="P4715" s="3" t="s">
        <v>102</v>
      </c>
      <c r="Q4715" s="2" t="s">
        <v>45843</v>
      </c>
      <c r="R4715" s="3" t="s">
        <v>70</v>
      </c>
      <c r="S4715" s="4">
        <v>0</v>
      </c>
      <c r="T4715" s="4">
        <v>1</v>
      </c>
      <c r="V4715" s="5" t="s">
        <v>1655</v>
      </c>
      <c r="W4715" s="5" t="s">
        <v>72</v>
      </c>
      <c r="X4715" s="5" t="s">
        <v>72</v>
      </c>
      <c r="Y4715" s="4">
        <v>95</v>
      </c>
      <c r="Z4715" s="4">
        <v>10</v>
      </c>
      <c r="AA4715" s="4">
        <v>13</v>
      </c>
      <c r="AB4715" s="4">
        <v>1</v>
      </c>
      <c r="AC4715" s="4">
        <v>3</v>
      </c>
      <c r="AD4715" s="4">
        <v>54</v>
      </c>
      <c r="AE4715" s="4">
        <v>58</v>
      </c>
      <c r="AF4715" s="4">
        <v>0</v>
      </c>
      <c r="AG4715" s="4">
        <v>2</v>
      </c>
      <c r="AH4715" s="4">
        <v>52</v>
      </c>
      <c r="AI4715" s="4">
        <v>54</v>
      </c>
      <c r="AJ4715" s="4">
        <v>8</v>
      </c>
      <c r="AK4715" s="4">
        <v>11</v>
      </c>
      <c r="AL4715" s="4">
        <v>35</v>
      </c>
      <c r="AM4715" s="4">
        <v>36</v>
      </c>
      <c r="AN4715" s="4">
        <v>0</v>
      </c>
      <c r="AO4715" s="4">
        <v>0</v>
      </c>
      <c r="AP4715" s="4">
        <v>7</v>
      </c>
      <c r="AQ4715" s="4">
        <v>9</v>
      </c>
      <c r="AR4715" s="3" t="s">
        <v>64</v>
      </c>
      <c r="AS4715" s="3" t="s">
        <v>64</v>
      </c>
      <c r="AT4715" s="3" t="s">
        <v>128</v>
      </c>
      <c r="AU4715" s="6" t="str">
        <f>HYPERLINK("http://catalog.hathitrust.org/Record/001178820","HathiTrust Record")</f>
        <v>HathiTrust Record</v>
      </c>
      <c r="AV4715" s="6" t="str">
        <f>HYPERLINK("http://mcgill.on.worldcat.org/oclc/693677","Catalog Record")</f>
        <v>Catalog Record</v>
      </c>
      <c r="AW4715" s="6" t="str">
        <f>HYPERLINK("http://www.worldcat.org/oclc/693677","WorldCat Record")</f>
        <v>WorldCat Record</v>
      </c>
      <c r="AX4715" s="3" t="s">
        <v>45844</v>
      </c>
      <c r="AY4715" s="3" t="s">
        <v>45845</v>
      </c>
      <c r="AZ4715" s="3" t="s">
        <v>45846</v>
      </c>
      <c r="BA4715" s="3" t="s">
        <v>45846</v>
      </c>
      <c r="BB4715" s="3" t="s">
        <v>45847</v>
      </c>
      <c r="BC4715" s="3" t="s">
        <v>77</v>
      </c>
      <c r="BD4715" s="3" t="s">
        <v>78</v>
      </c>
      <c r="BF4715" s="3" t="s">
        <v>45847</v>
      </c>
      <c r="BG4715" s="3" t="s">
        <v>45848</v>
      </c>
      <c r="BH4715">
        <f t="shared" si="155"/>
        <v>0</v>
      </c>
    </row>
    <row r="4716" spans="1:60" ht="72.5" x14ac:dyDescent="0.35">
      <c r="A4716" s="2" t="s">
        <v>59</v>
      </c>
      <c r="B4716" s="2" t="s">
        <v>60</v>
      </c>
      <c r="C4716" s="2" t="s">
        <v>45849</v>
      </c>
      <c r="D4716" s="2" t="s">
        <v>45850</v>
      </c>
      <c r="E4716" s="2" t="s">
        <v>45851</v>
      </c>
      <c r="F4716" s="3" t="s">
        <v>38363</v>
      </c>
      <c r="G4716" s="3" t="s">
        <v>64</v>
      </c>
      <c r="I4716" s="3" t="s">
        <v>64</v>
      </c>
      <c r="J4716" s="3" t="s">
        <v>64</v>
      </c>
      <c r="K4716" s="3" t="s">
        <v>65</v>
      </c>
      <c r="M4716" s="2" t="s">
        <v>45852</v>
      </c>
      <c r="N4716" s="3" t="s">
        <v>421</v>
      </c>
      <c r="P4716" s="3" t="s">
        <v>102</v>
      </c>
      <c r="Q4716" s="2" t="s">
        <v>45853</v>
      </c>
      <c r="R4716" s="3" t="s">
        <v>70</v>
      </c>
      <c r="S4716" s="4">
        <v>3</v>
      </c>
      <c r="T4716" s="4">
        <v>3</v>
      </c>
      <c r="U4716" s="5" t="s">
        <v>40369</v>
      </c>
      <c r="V4716" s="5" t="s">
        <v>40369</v>
      </c>
      <c r="W4716" s="5" t="s">
        <v>72</v>
      </c>
      <c r="X4716" s="5" t="s">
        <v>72</v>
      </c>
      <c r="Y4716" s="4">
        <v>187</v>
      </c>
      <c r="Z4716" s="4">
        <v>5</v>
      </c>
      <c r="AA4716" s="4">
        <v>10</v>
      </c>
      <c r="AB4716" s="4">
        <v>1</v>
      </c>
      <c r="AC4716" s="4">
        <v>4</v>
      </c>
      <c r="AD4716" s="4">
        <v>65</v>
      </c>
      <c r="AE4716" s="4">
        <v>70</v>
      </c>
      <c r="AF4716" s="4">
        <v>0</v>
      </c>
      <c r="AG4716" s="4">
        <v>0</v>
      </c>
      <c r="AH4716" s="4">
        <v>62</v>
      </c>
      <c r="AI4716" s="4">
        <v>66</v>
      </c>
      <c r="AJ4716" s="4">
        <v>3</v>
      </c>
      <c r="AK4716" s="4">
        <v>5</v>
      </c>
      <c r="AL4716" s="4">
        <v>39</v>
      </c>
      <c r="AM4716" s="4">
        <v>41</v>
      </c>
      <c r="AN4716" s="4">
        <v>0</v>
      </c>
      <c r="AO4716" s="4">
        <v>0</v>
      </c>
      <c r="AP4716" s="4">
        <v>3</v>
      </c>
      <c r="AQ4716" s="4">
        <v>5</v>
      </c>
      <c r="AR4716" s="3" t="s">
        <v>64</v>
      </c>
      <c r="AS4716" s="3" t="s">
        <v>64</v>
      </c>
      <c r="AT4716" s="3" t="s">
        <v>64</v>
      </c>
      <c r="AV4716" s="6" t="str">
        <f>HYPERLINK("http://mcgill.on.worldcat.org/oclc/36565869","Catalog Record")</f>
        <v>Catalog Record</v>
      </c>
      <c r="AW4716" s="6" t="str">
        <f>HYPERLINK("http://www.worldcat.org/oclc/36565869","WorldCat Record")</f>
        <v>WorldCat Record</v>
      </c>
      <c r="AX4716" s="3" t="s">
        <v>45854</v>
      </c>
      <c r="AY4716" s="3" t="s">
        <v>45855</v>
      </c>
      <c r="AZ4716" s="3" t="s">
        <v>45856</v>
      </c>
      <c r="BA4716" s="3" t="s">
        <v>45856</v>
      </c>
      <c r="BB4716" s="3" t="s">
        <v>45857</v>
      </c>
      <c r="BC4716" s="3" t="s">
        <v>77</v>
      </c>
      <c r="BD4716" s="3" t="s">
        <v>78</v>
      </c>
      <c r="BE4716" s="3" t="s">
        <v>45858</v>
      </c>
      <c r="BF4716" s="3" t="s">
        <v>45857</v>
      </c>
      <c r="BG4716" s="3" t="s">
        <v>45859</v>
      </c>
      <c r="BH4716">
        <f t="shared" si="155"/>
        <v>0</v>
      </c>
    </row>
    <row r="4717" spans="1:60" ht="58" x14ac:dyDescent="0.35">
      <c r="A4717" s="2" t="s">
        <v>59</v>
      </c>
      <c r="B4717" s="2" t="s">
        <v>60</v>
      </c>
      <c r="C4717" s="2" t="s">
        <v>45860</v>
      </c>
      <c r="D4717" s="2" t="s">
        <v>45861</v>
      </c>
      <c r="E4717" s="2" t="s">
        <v>45862</v>
      </c>
      <c r="G4717" s="3" t="s">
        <v>64</v>
      </c>
      <c r="I4717" s="3" t="s">
        <v>64</v>
      </c>
      <c r="J4717" s="3" t="s">
        <v>64</v>
      </c>
      <c r="K4717" s="3" t="s">
        <v>65</v>
      </c>
      <c r="L4717" s="2" t="s">
        <v>45863</v>
      </c>
      <c r="M4717" s="2" t="s">
        <v>45864</v>
      </c>
      <c r="N4717" s="3" t="s">
        <v>253</v>
      </c>
      <c r="P4717" s="3" t="s">
        <v>102</v>
      </c>
      <c r="R4717" s="3" t="s">
        <v>70</v>
      </c>
      <c r="S4717" s="4">
        <v>0</v>
      </c>
      <c r="T4717" s="4">
        <v>0</v>
      </c>
      <c r="W4717" s="5" t="s">
        <v>72</v>
      </c>
      <c r="X4717" s="5" t="s">
        <v>72</v>
      </c>
      <c r="Y4717" s="4">
        <v>195</v>
      </c>
      <c r="Z4717" s="4">
        <v>8</v>
      </c>
      <c r="AA4717" s="4">
        <v>8</v>
      </c>
      <c r="AB4717" s="4">
        <v>1</v>
      </c>
      <c r="AC4717" s="4">
        <v>1</v>
      </c>
      <c r="AD4717" s="4">
        <v>14</v>
      </c>
      <c r="AE4717" s="4">
        <v>14</v>
      </c>
      <c r="AF4717" s="4">
        <v>0</v>
      </c>
      <c r="AG4717" s="4">
        <v>0</v>
      </c>
      <c r="AH4717" s="4">
        <v>13</v>
      </c>
      <c r="AI4717" s="4">
        <v>13</v>
      </c>
      <c r="AJ4717" s="4">
        <v>2</v>
      </c>
      <c r="AK4717" s="4">
        <v>2</v>
      </c>
      <c r="AL4717" s="4">
        <v>6</v>
      </c>
      <c r="AM4717" s="4">
        <v>6</v>
      </c>
      <c r="AN4717" s="4">
        <v>0</v>
      </c>
      <c r="AO4717" s="4">
        <v>0</v>
      </c>
      <c r="AP4717" s="4">
        <v>3</v>
      </c>
      <c r="AQ4717" s="4">
        <v>3</v>
      </c>
      <c r="AR4717" s="3" t="s">
        <v>64</v>
      </c>
      <c r="AS4717" s="3" t="s">
        <v>64</v>
      </c>
      <c r="AT4717" s="3" t="s">
        <v>64</v>
      </c>
      <c r="AV4717" s="6" t="str">
        <f>HYPERLINK("http://mcgill.on.worldcat.org/oclc/897510394","Catalog Record")</f>
        <v>Catalog Record</v>
      </c>
      <c r="AW4717" s="6" t="str">
        <f>HYPERLINK("http://www.worldcat.org/oclc/897510394","WorldCat Record")</f>
        <v>WorldCat Record</v>
      </c>
      <c r="AX4717" s="3" t="s">
        <v>45865</v>
      </c>
      <c r="AY4717" s="3" t="s">
        <v>45866</v>
      </c>
      <c r="AZ4717" s="3" t="s">
        <v>45867</v>
      </c>
      <c r="BA4717" s="3" t="s">
        <v>45867</v>
      </c>
      <c r="BB4717" s="3" t="s">
        <v>45868</v>
      </c>
      <c r="BC4717" s="3" t="s">
        <v>77</v>
      </c>
      <c r="BD4717" s="3" t="s">
        <v>78</v>
      </c>
      <c r="BE4717" s="3" t="s">
        <v>45869</v>
      </c>
      <c r="BF4717" s="3" t="s">
        <v>45868</v>
      </c>
      <c r="BG4717" s="3" t="s">
        <v>45870</v>
      </c>
      <c r="BH4717">
        <f t="shared" si="155"/>
        <v>0</v>
      </c>
    </row>
    <row r="4718" spans="1:60" ht="58" x14ac:dyDescent="0.35">
      <c r="A4718" s="2" t="s">
        <v>6202</v>
      </c>
      <c r="B4718" s="2" t="s">
        <v>6203</v>
      </c>
      <c r="C4718" s="2" t="s">
        <v>45871</v>
      </c>
      <c r="D4718" s="2" t="s">
        <v>45872</v>
      </c>
      <c r="E4718" s="2" t="s">
        <v>45873</v>
      </c>
      <c r="G4718" s="3" t="s">
        <v>64</v>
      </c>
      <c r="I4718" s="3" t="s">
        <v>64</v>
      </c>
      <c r="J4718" s="3" t="s">
        <v>64</v>
      </c>
      <c r="K4718" s="3" t="s">
        <v>65</v>
      </c>
      <c r="L4718" s="2" t="s">
        <v>45874</v>
      </c>
      <c r="M4718" s="2" t="s">
        <v>45875</v>
      </c>
      <c r="N4718" s="3" t="s">
        <v>1061</v>
      </c>
      <c r="P4718" s="3" t="s">
        <v>102</v>
      </c>
      <c r="R4718" s="3" t="s">
        <v>70</v>
      </c>
      <c r="S4718" s="4">
        <v>1</v>
      </c>
      <c r="T4718" s="4">
        <v>1</v>
      </c>
      <c r="U4718" s="5" t="s">
        <v>45876</v>
      </c>
      <c r="V4718" s="5" t="s">
        <v>45876</v>
      </c>
      <c r="W4718" s="5" t="s">
        <v>72</v>
      </c>
      <c r="X4718" s="5" t="s">
        <v>72</v>
      </c>
      <c r="Y4718" s="4">
        <v>115</v>
      </c>
      <c r="Z4718" s="4">
        <v>8</v>
      </c>
      <c r="AA4718" s="4">
        <v>8</v>
      </c>
      <c r="AB4718" s="4">
        <v>1</v>
      </c>
      <c r="AC4718" s="4">
        <v>1</v>
      </c>
      <c r="AD4718" s="4">
        <v>54</v>
      </c>
      <c r="AE4718" s="4">
        <v>54</v>
      </c>
      <c r="AF4718" s="4">
        <v>0</v>
      </c>
      <c r="AG4718" s="4">
        <v>0</v>
      </c>
      <c r="AH4718" s="4">
        <v>49</v>
      </c>
      <c r="AI4718" s="4">
        <v>49</v>
      </c>
      <c r="AJ4718" s="4">
        <v>6</v>
      </c>
      <c r="AK4718" s="4">
        <v>6</v>
      </c>
      <c r="AL4718" s="4">
        <v>33</v>
      </c>
      <c r="AM4718" s="4">
        <v>33</v>
      </c>
      <c r="AN4718" s="4">
        <v>4</v>
      </c>
      <c r="AO4718" s="4">
        <v>4</v>
      </c>
      <c r="AP4718" s="4">
        <v>5</v>
      </c>
      <c r="AQ4718" s="4">
        <v>5</v>
      </c>
      <c r="AR4718" s="3" t="s">
        <v>64</v>
      </c>
      <c r="AS4718" s="3" t="s">
        <v>64</v>
      </c>
      <c r="AT4718" s="3" t="s">
        <v>128</v>
      </c>
      <c r="AU4718" s="6" t="str">
        <f>HYPERLINK("http://catalog.hathitrust.org/Record/000592700","HathiTrust Record")</f>
        <v>HathiTrust Record</v>
      </c>
      <c r="AV4718" s="6" t="str">
        <f>HYPERLINK("http://mcgill.on.worldcat.org/oclc/13643775","Catalog Record")</f>
        <v>Catalog Record</v>
      </c>
      <c r="AW4718" s="6" t="str">
        <f>HYPERLINK("http://www.worldcat.org/oclc/13643775","WorldCat Record")</f>
        <v>WorldCat Record</v>
      </c>
      <c r="AX4718" s="3" t="s">
        <v>45877</v>
      </c>
      <c r="AY4718" s="3" t="s">
        <v>45878</v>
      </c>
      <c r="AZ4718" s="3" t="s">
        <v>45879</v>
      </c>
      <c r="BA4718" s="3" t="s">
        <v>45879</v>
      </c>
      <c r="BB4718" s="3" t="s">
        <v>45880</v>
      </c>
      <c r="BC4718" s="3" t="s">
        <v>77</v>
      </c>
      <c r="BD4718" s="3" t="s">
        <v>78</v>
      </c>
      <c r="BE4718" s="3" t="s">
        <v>45881</v>
      </c>
      <c r="BF4718" s="3" t="s">
        <v>45880</v>
      </c>
      <c r="BG4718" s="3" t="s">
        <v>45882</v>
      </c>
      <c r="BH4718">
        <f t="shared" si="155"/>
        <v>0</v>
      </c>
    </row>
    <row r="4719" spans="1:60" ht="58" x14ac:dyDescent="0.35">
      <c r="A4719" s="2" t="s">
        <v>59</v>
      </c>
      <c r="B4719" s="2" t="s">
        <v>60</v>
      </c>
      <c r="C4719" s="2" t="s">
        <v>45883</v>
      </c>
      <c r="D4719" s="2" t="s">
        <v>45884</v>
      </c>
      <c r="E4719" s="2" t="s">
        <v>45885</v>
      </c>
      <c r="G4719" s="3" t="s">
        <v>64</v>
      </c>
      <c r="I4719" s="3" t="s">
        <v>64</v>
      </c>
      <c r="J4719" s="3" t="s">
        <v>64</v>
      </c>
      <c r="K4719" s="3" t="s">
        <v>65</v>
      </c>
      <c r="L4719" s="2" t="s">
        <v>45886</v>
      </c>
      <c r="M4719" s="2" t="s">
        <v>45887</v>
      </c>
      <c r="N4719" s="3" t="s">
        <v>537</v>
      </c>
      <c r="P4719" s="3" t="s">
        <v>102</v>
      </c>
      <c r="R4719" s="3" t="s">
        <v>70</v>
      </c>
      <c r="S4719" s="4">
        <v>0</v>
      </c>
      <c r="T4719" s="4">
        <v>0</v>
      </c>
      <c r="W4719" s="5" t="s">
        <v>72</v>
      </c>
      <c r="X4719" s="5" t="s">
        <v>72</v>
      </c>
      <c r="Y4719" s="4">
        <v>151</v>
      </c>
      <c r="Z4719" s="4">
        <v>6</v>
      </c>
      <c r="AA4719" s="4">
        <v>6</v>
      </c>
      <c r="AB4719" s="4">
        <v>1</v>
      </c>
      <c r="AC4719" s="4">
        <v>1</v>
      </c>
      <c r="AD4719" s="4">
        <v>45</v>
      </c>
      <c r="AE4719" s="4">
        <v>45</v>
      </c>
      <c r="AF4719" s="4">
        <v>0</v>
      </c>
      <c r="AG4719" s="4">
        <v>0</v>
      </c>
      <c r="AH4719" s="4">
        <v>43</v>
      </c>
      <c r="AI4719" s="4">
        <v>43</v>
      </c>
      <c r="AJ4719" s="4">
        <v>2</v>
      </c>
      <c r="AK4719" s="4">
        <v>2</v>
      </c>
      <c r="AL4719" s="4">
        <v>23</v>
      </c>
      <c r="AM4719" s="4">
        <v>23</v>
      </c>
      <c r="AN4719" s="4">
        <v>0</v>
      </c>
      <c r="AO4719" s="4">
        <v>0</v>
      </c>
      <c r="AP4719" s="4">
        <v>3</v>
      </c>
      <c r="AQ4719" s="4">
        <v>3</v>
      </c>
      <c r="AR4719" s="3" t="s">
        <v>64</v>
      </c>
      <c r="AS4719" s="3" t="s">
        <v>64</v>
      </c>
      <c r="AT4719" s="3" t="s">
        <v>64</v>
      </c>
      <c r="AV4719" s="6" t="str">
        <f>HYPERLINK("http://mcgill.on.worldcat.org/oclc/915159395","Catalog Record")</f>
        <v>Catalog Record</v>
      </c>
      <c r="AW4719" s="6" t="str">
        <f>HYPERLINK("http://www.worldcat.org/oclc/915159395","WorldCat Record")</f>
        <v>WorldCat Record</v>
      </c>
      <c r="AX4719" s="3" t="s">
        <v>45888</v>
      </c>
      <c r="AY4719" s="3" t="s">
        <v>45889</v>
      </c>
      <c r="AZ4719" s="3" t="s">
        <v>45890</v>
      </c>
      <c r="BA4719" s="3" t="s">
        <v>45890</v>
      </c>
      <c r="BB4719" s="3" t="s">
        <v>45891</v>
      </c>
      <c r="BC4719" s="3" t="s">
        <v>77</v>
      </c>
      <c r="BD4719" s="3" t="s">
        <v>78</v>
      </c>
      <c r="BE4719" s="3" t="s">
        <v>45892</v>
      </c>
      <c r="BF4719" s="3" t="s">
        <v>45891</v>
      </c>
      <c r="BG4719" s="3" t="s">
        <v>45893</v>
      </c>
      <c r="BH4719">
        <f t="shared" si="155"/>
        <v>0</v>
      </c>
    </row>
    <row r="4720" spans="1:60" ht="58" x14ac:dyDescent="0.35">
      <c r="A4720" s="2" t="s">
        <v>59</v>
      </c>
      <c r="B4720" s="2" t="s">
        <v>60</v>
      </c>
      <c r="C4720" s="2" t="s">
        <v>45894</v>
      </c>
      <c r="D4720" s="2" t="s">
        <v>45895</v>
      </c>
      <c r="E4720" s="2" t="s">
        <v>45896</v>
      </c>
      <c r="G4720" s="3" t="s">
        <v>64</v>
      </c>
      <c r="I4720" s="3" t="s">
        <v>64</v>
      </c>
      <c r="J4720" s="3" t="s">
        <v>64</v>
      </c>
      <c r="K4720" s="3" t="s">
        <v>65</v>
      </c>
      <c r="L4720" s="2" t="s">
        <v>45897</v>
      </c>
      <c r="M4720" s="2" t="s">
        <v>45898</v>
      </c>
      <c r="N4720" s="3" t="s">
        <v>1004</v>
      </c>
      <c r="P4720" s="3" t="s">
        <v>102</v>
      </c>
      <c r="Q4720" s="2" t="s">
        <v>45899</v>
      </c>
      <c r="R4720" s="3" t="s">
        <v>70</v>
      </c>
      <c r="S4720" s="4">
        <v>2</v>
      </c>
      <c r="T4720" s="4">
        <v>2</v>
      </c>
      <c r="U4720" s="5" t="s">
        <v>9512</v>
      </c>
      <c r="V4720" s="5" t="s">
        <v>9512</v>
      </c>
      <c r="W4720" s="5" t="s">
        <v>72</v>
      </c>
      <c r="X4720" s="5" t="s">
        <v>72</v>
      </c>
      <c r="Y4720" s="4">
        <v>39</v>
      </c>
      <c r="Z4720" s="4">
        <v>7</v>
      </c>
      <c r="AA4720" s="4">
        <v>8</v>
      </c>
      <c r="AB4720" s="4">
        <v>1</v>
      </c>
      <c r="AC4720" s="4">
        <v>2</v>
      </c>
      <c r="AD4720" s="4">
        <v>23</v>
      </c>
      <c r="AE4720" s="4">
        <v>24</v>
      </c>
      <c r="AF4720" s="4">
        <v>0</v>
      </c>
      <c r="AG4720" s="4">
        <v>1</v>
      </c>
      <c r="AH4720" s="4">
        <v>18</v>
      </c>
      <c r="AI4720" s="4">
        <v>18</v>
      </c>
      <c r="AJ4720" s="4">
        <v>5</v>
      </c>
      <c r="AK4720" s="4">
        <v>6</v>
      </c>
      <c r="AL4720" s="4">
        <v>12</v>
      </c>
      <c r="AM4720" s="4">
        <v>12</v>
      </c>
      <c r="AN4720" s="4">
        <v>0</v>
      </c>
      <c r="AO4720" s="4">
        <v>0</v>
      </c>
      <c r="AP4720" s="4">
        <v>6</v>
      </c>
      <c r="AQ4720" s="4">
        <v>7</v>
      </c>
      <c r="AR4720" s="3" t="s">
        <v>64</v>
      </c>
      <c r="AS4720" s="3" t="s">
        <v>64</v>
      </c>
      <c r="AT4720" s="3" t="s">
        <v>64</v>
      </c>
      <c r="AV4720" s="6" t="str">
        <f>HYPERLINK("http://mcgill.on.worldcat.org/oclc/9434014","Catalog Record")</f>
        <v>Catalog Record</v>
      </c>
      <c r="AW4720" s="6" t="str">
        <f>HYPERLINK("http://www.worldcat.org/oclc/9434014","WorldCat Record")</f>
        <v>WorldCat Record</v>
      </c>
      <c r="AX4720" s="3" t="s">
        <v>45900</v>
      </c>
      <c r="AY4720" s="3" t="s">
        <v>45901</v>
      </c>
      <c r="AZ4720" s="3" t="s">
        <v>45902</v>
      </c>
      <c r="BA4720" s="3" t="s">
        <v>45902</v>
      </c>
      <c r="BB4720" s="3" t="s">
        <v>45903</v>
      </c>
      <c r="BC4720" s="3" t="s">
        <v>77</v>
      </c>
      <c r="BD4720" s="3" t="s">
        <v>78</v>
      </c>
      <c r="BE4720" s="3" t="s">
        <v>45904</v>
      </c>
      <c r="BF4720" s="3" t="s">
        <v>45903</v>
      </c>
      <c r="BG4720" s="3" t="s">
        <v>45905</v>
      </c>
      <c r="BH4720">
        <f t="shared" si="155"/>
        <v>0</v>
      </c>
    </row>
    <row r="4721" spans="1:60" ht="58" x14ac:dyDescent="0.35">
      <c r="A4721" s="2" t="s">
        <v>6202</v>
      </c>
      <c r="B4721" s="2" t="s">
        <v>6203</v>
      </c>
      <c r="C4721" s="2" t="s">
        <v>45906</v>
      </c>
      <c r="D4721" s="2" t="s">
        <v>45907</v>
      </c>
      <c r="E4721" s="2" t="s">
        <v>45908</v>
      </c>
      <c r="G4721" s="3" t="s">
        <v>64</v>
      </c>
      <c r="I4721" s="3" t="s">
        <v>64</v>
      </c>
      <c r="J4721" s="3" t="s">
        <v>64</v>
      </c>
      <c r="K4721" s="3" t="s">
        <v>65</v>
      </c>
      <c r="L4721" s="2" t="s">
        <v>45909</v>
      </c>
      <c r="M4721" s="2" t="s">
        <v>45910</v>
      </c>
      <c r="N4721" s="3" t="s">
        <v>1750</v>
      </c>
      <c r="P4721" s="3" t="s">
        <v>102</v>
      </c>
      <c r="R4721" s="3" t="s">
        <v>70</v>
      </c>
      <c r="S4721" s="4">
        <v>1</v>
      </c>
      <c r="T4721" s="4">
        <v>1</v>
      </c>
      <c r="U4721" s="5" t="s">
        <v>25635</v>
      </c>
      <c r="V4721" s="5" t="s">
        <v>25635</v>
      </c>
      <c r="W4721" s="5" t="s">
        <v>72</v>
      </c>
      <c r="X4721" s="5" t="s">
        <v>72</v>
      </c>
      <c r="Y4721" s="4">
        <v>118</v>
      </c>
      <c r="Z4721" s="4">
        <v>50</v>
      </c>
      <c r="AA4721" s="4">
        <v>53</v>
      </c>
      <c r="AB4721" s="4">
        <v>2</v>
      </c>
      <c r="AC4721" s="4">
        <v>5</v>
      </c>
      <c r="AD4721" s="4">
        <v>76</v>
      </c>
      <c r="AE4721" s="4">
        <v>78</v>
      </c>
      <c r="AF4721" s="4">
        <v>1</v>
      </c>
      <c r="AG4721" s="4">
        <v>3</v>
      </c>
      <c r="AH4721" s="4">
        <v>48</v>
      </c>
      <c r="AI4721" s="4">
        <v>49</v>
      </c>
      <c r="AJ4721" s="4">
        <v>22</v>
      </c>
      <c r="AK4721" s="4">
        <v>24</v>
      </c>
      <c r="AL4721" s="4">
        <v>24</v>
      </c>
      <c r="AM4721" s="4">
        <v>24</v>
      </c>
      <c r="AN4721" s="4">
        <v>0</v>
      </c>
      <c r="AO4721" s="4">
        <v>0</v>
      </c>
      <c r="AP4721" s="4">
        <v>38</v>
      </c>
      <c r="AQ4721" s="4">
        <v>40</v>
      </c>
      <c r="AR4721" s="3" t="s">
        <v>128</v>
      </c>
      <c r="AS4721" s="3" t="s">
        <v>64</v>
      </c>
      <c r="AT4721" s="3" t="s">
        <v>128</v>
      </c>
      <c r="AU4721" s="6" t="str">
        <f>HYPERLINK("http://catalog.hathitrust.org/Record/000130322","HathiTrust Record")</f>
        <v>HathiTrust Record</v>
      </c>
      <c r="AV4721" s="6" t="str">
        <f>HYPERLINK("http://mcgill.on.worldcat.org/oclc/2633580","Catalog Record")</f>
        <v>Catalog Record</v>
      </c>
      <c r="AW4721" s="6" t="str">
        <f>HYPERLINK("http://www.worldcat.org/oclc/2633580","WorldCat Record")</f>
        <v>WorldCat Record</v>
      </c>
      <c r="AX4721" s="3" t="s">
        <v>45911</v>
      </c>
      <c r="AY4721" s="3" t="s">
        <v>45912</v>
      </c>
      <c r="AZ4721" s="3" t="s">
        <v>45913</v>
      </c>
      <c r="BA4721" s="3" t="s">
        <v>45913</v>
      </c>
      <c r="BB4721" s="3" t="s">
        <v>45914</v>
      </c>
      <c r="BC4721" s="3" t="s">
        <v>77</v>
      </c>
      <c r="BD4721" s="3" t="s">
        <v>78</v>
      </c>
      <c r="BE4721" s="3" t="s">
        <v>45915</v>
      </c>
      <c r="BF4721" s="3" t="s">
        <v>45914</v>
      </c>
      <c r="BG4721" s="3" t="s">
        <v>45916</v>
      </c>
      <c r="BH4721">
        <f t="shared" si="155"/>
        <v>0</v>
      </c>
    </row>
    <row r="4722" spans="1:60" ht="72.5" x14ac:dyDescent="0.35">
      <c r="A4722" s="2" t="s">
        <v>6202</v>
      </c>
      <c r="B4722" s="2" t="s">
        <v>6203</v>
      </c>
      <c r="C4722" s="2" t="s">
        <v>45917</v>
      </c>
      <c r="D4722" s="2" t="s">
        <v>45918</v>
      </c>
      <c r="E4722" s="2" t="s">
        <v>45919</v>
      </c>
      <c r="G4722" s="3" t="s">
        <v>64</v>
      </c>
      <c r="I4722" s="3" t="s">
        <v>128</v>
      </c>
      <c r="J4722" s="3" t="s">
        <v>64</v>
      </c>
      <c r="K4722" s="3" t="s">
        <v>65</v>
      </c>
      <c r="L4722" s="2" t="s">
        <v>45920</v>
      </c>
      <c r="M4722" s="2" t="s">
        <v>45921</v>
      </c>
      <c r="N4722" s="3" t="s">
        <v>405</v>
      </c>
      <c r="P4722" s="3" t="s">
        <v>102</v>
      </c>
      <c r="Q4722" s="2" t="s">
        <v>45922</v>
      </c>
      <c r="R4722" s="3" t="s">
        <v>70</v>
      </c>
      <c r="S4722" s="4">
        <v>0</v>
      </c>
      <c r="T4722" s="4">
        <v>1</v>
      </c>
      <c r="V4722" s="5" t="s">
        <v>1655</v>
      </c>
      <c r="W4722" s="5" t="s">
        <v>72</v>
      </c>
      <c r="X4722" s="5" t="s">
        <v>72</v>
      </c>
      <c r="Y4722" s="4">
        <v>258</v>
      </c>
      <c r="Z4722" s="4">
        <v>18</v>
      </c>
      <c r="AA4722" s="4">
        <v>20</v>
      </c>
      <c r="AB4722" s="4">
        <v>1</v>
      </c>
      <c r="AC4722" s="4">
        <v>3</v>
      </c>
      <c r="AD4722" s="4">
        <v>99</v>
      </c>
      <c r="AE4722" s="4">
        <v>101</v>
      </c>
      <c r="AF4722" s="4">
        <v>0</v>
      </c>
      <c r="AG4722" s="4">
        <v>2</v>
      </c>
      <c r="AH4722" s="4">
        <v>90</v>
      </c>
      <c r="AI4722" s="4">
        <v>91</v>
      </c>
      <c r="AJ4722" s="4">
        <v>14</v>
      </c>
      <c r="AK4722" s="4">
        <v>16</v>
      </c>
      <c r="AL4722" s="4">
        <v>51</v>
      </c>
      <c r="AM4722" s="4">
        <v>51</v>
      </c>
      <c r="AN4722" s="4">
        <v>0</v>
      </c>
      <c r="AO4722" s="4">
        <v>0</v>
      </c>
      <c r="AP4722" s="4">
        <v>15</v>
      </c>
      <c r="AQ4722" s="4">
        <v>16</v>
      </c>
      <c r="AR4722" s="3" t="s">
        <v>64</v>
      </c>
      <c r="AS4722" s="3" t="s">
        <v>64</v>
      </c>
      <c r="AT4722" s="3" t="s">
        <v>128</v>
      </c>
      <c r="AU4722" s="6" t="str">
        <f>HYPERLINK("http://catalog.hathitrust.org/Record/000729725","HathiTrust Record")</f>
        <v>HathiTrust Record</v>
      </c>
      <c r="AV4722" s="6" t="str">
        <f>HYPERLINK("http://mcgill.on.worldcat.org/oclc/2430513","Catalog Record")</f>
        <v>Catalog Record</v>
      </c>
      <c r="AW4722" s="6" t="str">
        <f>HYPERLINK("http://www.worldcat.org/oclc/2430513","WorldCat Record")</f>
        <v>WorldCat Record</v>
      </c>
      <c r="AX4722" s="3" t="s">
        <v>45923</v>
      </c>
      <c r="AY4722" s="3" t="s">
        <v>45924</v>
      </c>
      <c r="AZ4722" s="3" t="s">
        <v>45925</v>
      </c>
      <c r="BA4722" s="3" t="s">
        <v>45925</v>
      </c>
      <c r="BB4722" s="3" t="s">
        <v>45926</v>
      </c>
      <c r="BC4722" s="3" t="s">
        <v>77</v>
      </c>
      <c r="BD4722" s="3" t="s">
        <v>78</v>
      </c>
      <c r="BE4722" s="3" t="s">
        <v>45927</v>
      </c>
      <c r="BF4722" s="3" t="s">
        <v>45926</v>
      </c>
      <c r="BG4722" s="3" t="s">
        <v>45928</v>
      </c>
      <c r="BH4722">
        <f t="shared" si="155"/>
        <v>0</v>
      </c>
    </row>
    <row r="4723" spans="1:60" ht="58" x14ac:dyDescent="0.35">
      <c r="A4723" s="2" t="s">
        <v>59</v>
      </c>
      <c r="B4723" s="2" t="s">
        <v>60</v>
      </c>
      <c r="C4723" s="2" t="s">
        <v>45929</v>
      </c>
      <c r="D4723" s="2" t="s">
        <v>45930</v>
      </c>
      <c r="E4723" s="2" t="s">
        <v>45931</v>
      </c>
      <c r="G4723" s="3" t="s">
        <v>64</v>
      </c>
      <c r="I4723" s="3" t="s">
        <v>128</v>
      </c>
      <c r="J4723" s="3" t="s">
        <v>64</v>
      </c>
      <c r="K4723" s="3" t="s">
        <v>65</v>
      </c>
      <c r="L4723" s="2" t="s">
        <v>45932</v>
      </c>
      <c r="M4723" s="2" t="s">
        <v>45933</v>
      </c>
      <c r="N4723" s="3" t="s">
        <v>3804</v>
      </c>
      <c r="P4723" s="3" t="s">
        <v>102</v>
      </c>
      <c r="R4723" s="3" t="s">
        <v>70</v>
      </c>
      <c r="S4723" s="4">
        <v>0</v>
      </c>
      <c r="T4723" s="4">
        <v>1</v>
      </c>
      <c r="V4723" s="5" t="s">
        <v>1655</v>
      </c>
      <c r="W4723" s="5" t="s">
        <v>72</v>
      </c>
      <c r="X4723" s="5" t="s">
        <v>72</v>
      </c>
      <c r="Y4723" s="4">
        <v>3</v>
      </c>
      <c r="Z4723" s="4">
        <v>1</v>
      </c>
      <c r="AA4723" s="4">
        <v>7</v>
      </c>
      <c r="AB4723" s="4">
        <v>1</v>
      </c>
      <c r="AC4723" s="4">
        <v>1</v>
      </c>
      <c r="AD4723" s="4">
        <v>2</v>
      </c>
      <c r="AE4723" s="4">
        <v>31</v>
      </c>
      <c r="AF4723" s="4">
        <v>0</v>
      </c>
      <c r="AG4723" s="4">
        <v>0</v>
      </c>
      <c r="AH4723" s="4">
        <v>2</v>
      </c>
      <c r="AI4723" s="4">
        <v>26</v>
      </c>
      <c r="AJ4723" s="4">
        <v>0</v>
      </c>
      <c r="AK4723" s="4">
        <v>4</v>
      </c>
      <c r="AL4723" s="4">
        <v>2</v>
      </c>
      <c r="AM4723" s="4">
        <v>19</v>
      </c>
      <c r="AN4723" s="4">
        <v>0</v>
      </c>
      <c r="AO4723" s="4">
        <v>0</v>
      </c>
      <c r="AP4723" s="4">
        <v>0</v>
      </c>
      <c r="AQ4723" s="4">
        <v>6</v>
      </c>
      <c r="AR4723" s="3" t="s">
        <v>64</v>
      </c>
      <c r="AS4723" s="3" t="s">
        <v>64</v>
      </c>
      <c r="AT4723" s="3" t="s">
        <v>64</v>
      </c>
      <c r="AV4723" s="6" t="str">
        <f>HYPERLINK("http://mcgill.on.worldcat.org/oclc/213744038","Catalog Record")</f>
        <v>Catalog Record</v>
      </c>
      <c r="AW4723" s="6" t="str">
        <f>HYPERLINK("http://www.worldcat.org/oclc/213744038","WorldCat Record")</f>
        <v>WorldCat Record</v>
      </c>
      <c r="AX4723" s="3" t="s">
        <v>45934</v>
      </c>
      <c r="AY4723" s="3" t="s">
        <v>45935</v>
      </c>
      <c r="AZ4723" s="3" t="s">
        <v>45936</v>
      </c>
      <c r="BA4723" s="3" t="s">
        <v>45936</v>
      </c>
      <c r="BB4723" s="3" t="s">
        <v>45937</v>
      </c>
      <c r="BC4723" s="3" t="s">
        <v>77</v>
      </c>
      <c r="BD4723" s="3" t="s">
        <v>78</v>
      </c>
      <c r="BF4723" s="3" t="s">
        <v>45937</v>
      </c>
      <c r="BG4723" s="3" t="s">
        <v>45938</v>
      </c>
      <c r="BH4723">
        <f t="shared" si="155"/>
        <v>0</v>
      </c>
    </row>
    <row r="4724" spans="1:60" ht="101.5" x14ac:dyDescent="0.35">
      <c r="A4724" s="2" t="s">
        <v>6202</v>
      </c>
      <c r="B4724" s="2" t="s">
        <v>6203</v>
      </c>
      <c r="C4724" s="2" t="s">
        <v>45939</v>
      </c>
      <c r="D4724" s="2" t="s">
        <v>45940</v>
      </c>
      <c r="E4724" s="2" t="s">
        <v>45941</v>
      </c>
      <c r="G4724" s="3" t="s">
        <v>64</v>
      </c>
      <c r="I4724" s="3" t="s">
        <v>64</v>
      </c>
      <c r="J4724" s="3" t="s">
        <v>64</v>
      </c>
      <c r="K4724" s="3" t="s">
        <v>65</v>
      </c>
      <c r="L4724" s="2" t="s">
        <v>45942</v>
      </c>
      <c r="M4724" s="2" t="s">
        <v>45943</v>
      </c>
      <c r="N4724" s="3" t="s">
        <v>405</v>
      </c>
      <c r="P4724" s="3" t="s">
        <v>944</v>
      </c>
      <c r="Q4724" s="2" t="s">
        <v>45944</v>
      </c>
      <c r="R4724" s="3" t="s">
        <v>70</v>
      </c>
      <c r="S4724" s="4">
        <v>1</v>
      </c>
      <c r="T4724" s="4">
        <v>1</v>
      </c>
      <c r="U4724" s="5" t="s">
        <v>9072</v>
      </c>
      <c r="V4724" s="5" t="s">
        <v>9072</v>
      </c>
      <c r="W4724" s="5" t="s">
        <v>72</v>
      </c>
      <c r="X4724" s="5" t="s">
        <v>72</v>
      </c>
      <c r="Y4724" s="4">
        <v>150</v>
      </c>
      <c r="Z4724" s="4">
        <v>11</v>
      </c>
      <c r="AA4724" s="4">
        <v>11</v>
      </c>
      <c r="AB4724" s="4">
        <v>1</v>
      </c>
      <c r="AC4724" s="4">
        <v>1</v>
      </c>
      <c r="AD4724" s="4">
        <v>66</v>
      </c>
      <c r="AE4724" s="4">
        <v>66</v>
      </c>
      <c r="AF4724" s="4">
        <v>0</v>
      </c>
      <c r="AG4724" s="4">
        <v>0</v>
      </c>
      <c r="AH4724" s="4">
        <v>61</v>
      </c>
      <c r="AI4724" s="4">
        <v>61</v>
      </c>
      <c r="AJ4724" s="4">
        <v>9</v>
      </c>
      <c r="AK4724" s="4">
        <v>9</v>
      </c>
      <c r="AL4724" s="4">
        <v>41</v>
      </c>
      <c r="AM4724" s="4">
        <v>41</v>
      </c>
      <c r="AN4724" s="4">
        <v>0</v>
      </c>
      <c r="AO4724" s="4">
        <v>0</v>
      </c>
      <c r="AP4724" s="4">
        <v>9</v>
      </c>
      <c r="AQ4724" s="4">
        <v>9</v>
      </c>
      <c r="AR4724" s="3" t="s">
        <v>64</v>
      </c>
      <c r="AS4724" s="3" t="s">
        <v>64</v>
      </c>
      <c r="AT4724" s="3" t="s">
        <v>128</v>
      </c>
      <c r="AU4724" s="6" t="str">
        <f>HYPERLINK("http://catalog.hathitrust.org/Record/000719492","HathiTrust Record")</f>
        <v>HathiTrust Record</v>
      </c>
      <c r="AV4724" s="6" t="str">
        <f>HYPERLINK("http://mcgill.on.worldcat.org/oclc/2598675","Catalog Record")</f>
        <v>Catalog Record</v>
      </c>
      <c r="AW4724" s="6" t="str">
        <f>HYPERLINK("http://www.worldcat.org/oclc/2598675","WorldCat Record")</f>
        <v>WorldCat Record</v>
      </c>
      <c r="AX4724" s="3" t="s">
        <v>45945</v>
      </c>
      <c r="AY4724" s="3" t="s">
        <v>45946</v>
      </c>
      <c r="AZ4724" s="3" t="s">
        <v>45947</v>
      </c>
      <c r="BA4724" s="3" t="s">
        <v>45947</v>
      </c>
      <c r="BB4724" s="3" t="s">
        <v>45948</v>
      </c>
      <c r="BC4724" s="3" t="s">
        <v>77</v>
      </c>
      <c r="BD4724" s="3" t="s">
        <v>78</v>
      </c>
      <c r="BE4724" s="3" t="s">
        <v>45949</v>
      </c>
      <c r="BF4724" s="3" t="s">
        <v>45948</v>
      </c>
      <c r="BG4724" s="3" t="s">
        <v>45950</v>
      </c>
      <c r="BH4724">
        <f t="shared" si="155"/>
        <v>0</v>
      </c>
    </row>
    <row r="4725" spans="1:60" ht="58" x14ac:dyDescent="0.35">
      <c r="A4725" s="2" t="s">
        <v>59</v>
      </c>
      <c r="B4725" s="2" t="s">
        <v>60</v>
      </c>
      <c r="C4725" s="2" t="s">
        <v>45951</v>
      </c>
      <c r="D4725" s="2" t="s">
        <v>45952</v>
      </c>
      <c r="E4725" s="2" t="s">
        <v>45953</v>
      </c>
      <c r="G4725" s="3" t="s">
        <v>64</v>
      </c>
      <c r="I4725" s="3" t="s">
        <v>128</v>
      </c>
      <c r="J4725" s="3" t="s">
        <v>64</v>
      </c>
      <c r="K4725" s="3" t="s">
        <v>65</v>
      </c>
      <c r="L4725" s="2" t="s">
        <v>45954</v>
      </c>
      <c r="M4725" s="2" t="s">
        <v>45955</v>
      </c>
      <c r="N4725" s="3" t="s">
        <v>3721</v>
      </c>
      <c r="P4725" s="3" t="s">
        <v>102</v>
      </c>
      <c r="R4725" s="3" t="s">
        <v>70</v>
      </c>
      <c r="S4725" s="4">
        <v>4</v>
      </c>
      <c r="T4725" s="4">
        <v>17</v>
      </c>
      <c r="U4725" s="5" t="s">
        <v>15095</v>
      </c>
      <c r="V4725" s="5" t="s">
        <v>15298</v>
      </c>
      <c r="W4725" s="5" t="s">
        <v>72</v>
      </c>
      <c r="X4725" s="5" t="s">
        <v>72</v>
      </c>
      <c r="Y4725" s="4">
        <v>405</v>
      </c>
      <c r="Z4725" s="4">
        <v>17</v>
      </c>
      <c r="AA4725" s="4">
        <v>20</v>
      </c>
      <c r="AB4725" s="4">
        <v>1</v>
      </c>
      <c r="AC4725" s="4">
        <v>4</v>
      </c>
      <c r="AD4725" s="4">
        <v>82</v>
      </c>
      <c r="AE4725" s="4">
        <v>84</v>
      </c>
      <c r="AF4725" s="4">
        <v>0</v>
      </c>
      <c r="AG4725" s="4">
        <v>2</v>
      </c>
      <c r="AH4725" s="4">
        <v>76</v>
      </c>
      <c r="AI4725" s="4">
        <v>76</v>
      </c>
      <c r="AJ4725" s="4">
        <v>11</v>
      </c>
      <c r="AK4725" s="4">
        <v>13</v>
      </c>
      <c r="AL4725" s="4">
        <v>38</v>
      </c>
      <c r="AM4725" s="4">
        <v>38</v>
      </c>
      <c r="AN4725" s="4">
        <v>0</v>
      </c>
      <c r="AO4725" s="4">
        <v>0</v>
      </c>
      <c r="AP4725" s="4">
        <v>13</v>
      </c>
      <c r="AQ4725" s="4">
        <v>14</v>
      </c>
      <c r="AR4725" s="3" t="s">
        <v>64</v>
      </c>
      <c r="AS4725" s="3" t="s">
        <v>64</v>
      </c>
      <c r="AT4725" s="3" t="s">
        <v>128</v>
      </c>
      <c r="AU4725" s="6" t="str">
        <f>HYPERLINK("http://catalog.hathitrust.org/Record/000758622","HathiTrust Record")</f>
        <v>HathiTrust Record</v>
      </c>
      <c r="AV4725" s="6" t="str">
        <f>HYPERLINK("http://mcgill.on.worldcat.org/oclc/5499039","Catalog Record")</f>
        <v>Catalog Record</v>
      </c>
      <c r="AW4725" s="6" t="str">
        <f>HYPERLINK("http://www.worldcat.org/oclc/5499039","WorldCat Record")</f>
        <v>WorldCat Record</v>
      </c>
      <c r="AX4725" s="3" t="s">
        <v>45956</v>
      </c>
      <c r="AY4725" s="3" t="s">
        <v>45957</v>
      </c>
      <c r="AZ4725" s="3" t="s">
        <v>45958</v>
      </c>
      <c r="BA4725" s="3" t="s">
        <v>45958</v>
      </c>
      <c r="BB4725" s="3" t="s">
        <v>45959</v>
      </c>
      <c r="BC4725" s="3" t="s">
        <v>77</v>
      </c>
      <c r="BD4725" s="3" t="s">
        <v>78</v>
      </c>
      <c r="BE4725" s="3" t="s">
        <v>45960</v>
      </c>
      <c r="BF4725" s="3" t="s">
        <v>45959</v>
      </c>
      <c r="BG4725" s="3" t="s">
        <v>45961</v>
      </c>
      <c r="BH4725">
        <f t="shared" si="155"/>
        <v>0</v>
      </c>
    </row>
    <row r="4726" spans="1:60" ht="58" x14ac:dyDescent="0.35">
      <c r="A4726" s="2" t="s">
        <v>6202</v>
      </c>
      <c r="B4726" s="2" t="s">
        <v>6203</v>
      </c>
      <c r="C4726" s="2" t="s">
        <v>45962</v>
      </c>
      <c r="D4726" s="2" t="s">
        <v>45963</v>
      </c>
      <c r="E4726" s="2" t="s">
        <v>45964</v>
      </c>
      <c r="G4726" s="3" t="s">
        <v>64</v>
      </c>
      <c r="I4726" s="3" t="s">
        <v>128</v>
      </c>
      <c r="J4726" s="3" t="s">
        <v>64</v>
      </c>
      <c r="K4726" s="3" t="s">
        <v>65</v>
      </c>
      <c r="L4726" s="2" t="s">
        <v>45965</v>
      </c>
      <c r="M4726" s="2" t="s">
        <v>45966</v>
      </c>
      <c r="N4726" s="3" t="s">
        <v>1938</v>
      </c>
      <c r="P4726" s="3" t="s">
        <v>102</v>
      </c>
      <c r="Q4726" s="2" t="s">
        <v>45967</v>
      </c>
      <c r="R4726" s="3" t="s">
        <v>70</v>
      </c>
      <c r="S4726" s="4">
        <v>1</v>
      </c>
      <c r="T4726" s="4">
        <v>1</v>
      </c>
      <c r="U4726" s="5" t="s">
        <v>1375</v>
      </c>
      <c r="V4726" s="5" t="s">
        <v>1375</v>
      </c>
      <c r="W4726" s="5" t="s">
        <v>72</v>
      </c>
      <c r="X4726" s="5" t="s">
        <v>72</v>
      </c>
      <c r="Y4726" s="4">
        <v>367</v>
      </c>
      <c r="Z4726" s="4">
        <v>31</v>
      </c>
      <c r="AA4726" s="4">
        <v>37</v>
      </c>
      <c r="AB4726" s="4">
        <v>3</v>
      </c>
      <c r="AC4726" s="4">
        <v>9</v>
      </c>
      <c r="AD4726" s="4">
        <v>114</v>
      </c>
      <c r="AE4726" s="4">
        <v>117</v>
      </c>
      <c r="AF4726" s="4">
        <v>1</v>
      </c>
      <c r="AG4726" s="4">
        <v>4</v>
      </c>
      <c r="AH4726" s="4">
        <v>97</v>
      </c>
      <c r="AI4726" s="4">
        <v>98</v>
      </c>
      <c r="AJ4726" s="4">
        <v>19</v>
      </c>
      <c r="AK4726" s="4">
        <v>22</v>
      </c>
      <c r="AL4726" s="4">
        <v>56</v>
      </c>
      <c r="AM4726" s="4">
        <v>56</v>
      </c>
      <c r="AN4726" s="4">
        <v>0</v>
      </c>
      <c r="AO4726" s="4">
        <v>0</v>
      </c>
      <c r="AP4726" s="4">
        <v>26</v>
      </c>
      <c r="AQ4726" s="4">
        <v>28</v>
      </c>
      <c r="AR4726" s="3" t="s">
        <v>64</v>
      </c>
      <c r="AS4726" s="3" t="s">
        <v>64</v>
      </c>
      <c r="AT4726" s="3" t="s">
        <v>64</v>
      </c>
      <c r="AV4726" s="6" t="str">
        <f>HYPERLINK("http://mcgill.on.worldcat.org/oclc/20690579","Catalog Record")</f>
        <v>Catalog Record</v>
      </c>
      <c r="AW4726" s="6" t="str">
        <f>HYPERLINK("http://www.worldcat.org/oclc/20690579","WorldCat Record")</f>
        <v>WorldCat Record</v>
      </c>
      <c r="AX4726" s="3" t="s">
        <v>45968</v>
      </c>
      <c r="AY4726" s="3" t="s">
        <v>45969</v>
      </c>
      <c r="AZ4726" s="3" t="s">
        <v>45970</v>
      </c>
      <c r="BA4726" s="3" t="s">
        <v>45970</v>
      </c>
      <c r="BB4726" s="3" t="s">
        <v>45971</v>
      </c>
      <c r="BC4726" s="3" t="s">
        <v>77</v>
      </c>
      <c r="BD4726" s="3" t="s">
        <v>78</v>
      </c>
      <c r="BE4726" s="3" t="s">
        <v>45972</v>
      </c>
      <c r="BF4726" s="3" t="s">
        <v>45971</v>
      </c>
      <c r="BG4726" s="3" t="s">
        <v>45973</v>
      </c>
      <c r="BH4726">
        <f t="shared" si="155"/>
        <v>0</v>
      </c>
    </row>
    <row r="4727" spans="1:60" ht="58" x14ac:dyDescent="0.35">
      <c r="A4727" s="2" t="s">
        <v>6202</v>
      </c>
      <c r="B4727" s="2" t="s">
        <v>6203</v>
      </c>
      <c r="C4727" s="2" t="s">
        <v>45974</v>
      </c>
      <c r="D4727" s="2" t="s">
        <v>45975</v>
      </c>
      <c r="E4727" s="2" t="s">
        <v>45976</v>
      </c>
      <c r="G4727" s="3" t="s">
        <v>64</v>
      </c>
      <c r="I4727" s="3" t="s">
        <v>128</v>
      </c>
      <c r="J4727" s="3" t="s">
        <v>64</v>
      </c>
      <c r="K4727" s="3" t="s">
        <v>65</v>
      </c>
      <c r="L4727" s="2" t="s">
        <v>45977</v>
      </c>
      <c r="M4727" s="2" t="s">
        <v>45978</v>
      </c>
      <c r="N4727" s="3" t="s">
        <v>1763</v>
      </c>
      <c r="O4727" s="2" t="s">
        <v>172</v>
      </c>
      <c r="P4727" s="3" t="s">
        <v>102</v>
      </c>
      <c r="Q4727" s="2" t="s">
        <v>45979</v>
      </c>
      <c r="R4727" s="3" t="s">
        <v>70</v>
      </c>
      <c r="S4727" s="4">
        <v>0</v>
      </c>
      <c r="T4727" s="4">
        <v>1</v>
      </c>
      <c r="V4727" s="5" t="s">
        <v>16412</v>
      </c>
      <c r="W4727" s="5" t="s">
        <v>72</v>
      </c>
      <c r="X4727" s="5" t="s">
        <v>72</v>
      </c>
      <c r="Y4727" s="4">
        <v>91</v>
      </c>
      <c r="Z4727" s="4">
        <v>32</v>
      </c>
      <c r="AA4727" s="4">
        <v>43</v>
      </c>
      <c r="AB4727" s="4">
        <v>2</v>
      </c>
      <c r="AC4727" s="4">
        <v>6</v>
      </c>
      <c r="AD4727" s="4">
        <v>58</v>
      </c>
      <c r="AE4727" s="4">
        <v>68</v>
      </c>
      <c r="AF4727" s="4">
        <v>1</v>
      </c>
      <c r="AG4727" s="4">
        <v>4</v>
      </c>
      <c r="AH4727" s="4">
        <v>40</v>
      </c>
      <c r="AI4727" s="4">
        <v>44</v>
      </c>
      <c r="AJ4727" s="4">
        <v>16</v>
      </c>
      <c r="AK4727" s="4">
        <v>25</v>
      </c>
      <c r="AL4727" s="4">
        <v>27</v>
      </c>
      <c r="AM4727" s="4">
        <v>27</v>
      </c>
      <c r="AN4727" s="4">
        <v>0</v>
      </c>
      <c r="AO4727" s="4">
        <v>0</v>
      </c>
      <c r="AP4727" s="4">
        <v>25</v>
      </c>
      <c r="AQ4727" s="4">
        <v>31</v>
      </c>
      <c r="AR4727" s="3" t="s">
        <v>128</v>
      </c>
      <c r="AS4727" s="3" t="s">
        <v>64</v>
      </c>
      <c r="AT4727" s="3" t="s">
        <v>64</v>
      </c>
      <c r="AV4727" s="6" t="str">
        <f>HYPERLINK("http://mcgill.on.worldcat.org/oclc/11948181","Catalog Record")</f>
        <v>Catalog Record</v>
      </c>
      <c r="AW4727" s="6" t="str">
        <f>HYPERLINK("http://www.worldcat.org/oclc/11948181","WorldCat Record")</f>
        <v>WorldCat Record</v>
      </c>
      <c r="AX4727" s="3" t="s">
        <v>45980</v>
      </c>
      <c r="AY4727" s="3" t="s">
        <v>45981</v>
      </c>
      <c r="AZ4727" s="3" t="s">
        <v>45982</v>
      </c>
      <c r="BA4727" s="3" t="s">
        <v>45982</v>
      </c>
      <c r="BB4727" s="3" t="s">
        <v>45983</v>
      </c>
      <c r="BC4727" s="3" t="s">
        <v>77</v>
      </c>
      <c r="BD4727" s="3" t="s">
        <v>78</v>
      </c>
      <c r="BE4727" s="3" t="s">
        <v>45984</v>
      </c>
      <c r="BF4727" s="3" t="s">
        <v>45983</v>
      </c>
      <c r="BG4727" s="3" t="s">
        <v>45985</v>
      </c>
      <c r="BH4727">
        <f t="shared" si="155"/>
        <v>0</v>
      </c>
    </row>
    <row r="4728" spans="1:60" ht="72.5" x14ac:dyDescent="0.35">
      <c r="A4728" s="2" t="s">
        <v>59</v>
      </c>
      <c r="B4728" s="2" t="s">
        <v>60</v>
      </c>
      <c r="C4728" s="2" t="s">
        <v>45986</v>
      </c>
      <c r="D4728" s="2" t="s">
        <v>45987</v>
      </c>
      <c r="E4728" s="2" t="s">
        <v>45988</v>
      </c>
      <c r="F4728" s="3" t="s">
        <v>45989</v>
      </c>
      <c r="G4728" s="3" t="s">
        <v>64</v>
      </c>
      <c r="I4728" s="3" t="s">
        <v>64</v>
      </c>
      <c r="J4728" s="3" t="s">
        <v>64</v>
      </c>
      <c r="K4728" s="3" t="s">
        <v>65</v>
      </c>
      <c r="L4728" s="2" t="s">
        <v>45990</v>
      </c>
      <c r="M4728" s="2" t="s">
        <v>45991</v>
      </c>
      <c r="N4728" s="3" t="s">
        <v>1938</v>
      </c>
      <c r="P4728" s="3" t="s">
        <v>102</v>
      </c>
      <c r="Q4728" s="2" t="s">
        <v>45992</v>
      </c>
      <c r="R4728" s="3" t="s">
        <v>70</v>
      </c>
      <c r="S4728" s="4">
        <v>1</v>
      </c>
      <c r="T4728" s="4">
        <v>1</v>
      </c>
      <c r="U4728" s="5" t="s">
        <v>39462</v>
      </c>
      <c r="V4728" s="5" t="s">
        <v>39462</v>
      </c>
      <c r="W4728" s="5" t="s">
        <v>72</v>
      </c>
      <c r="X4728" s="5" t="s">
        <v>72</v>
      </c>
      <c r="Y4728" s="4">
        <v>149</v>
      </c>
      <c r="Z4728" s="4">
        <v>15</v>
      </c>
      <c r="AA4728" s="4">
        <v>17</v>
      </c>
      <c r="AB4728" s="4">
        <v>2</v>
      </c>
      <c r="AC4728" s="4">
        <v>3</v>
      </c>
      <c r="AD4728" s="4">
        <v>83</v>
      </c>
      <c r="AE4728" s="4">
        <v>85</v>
      </c>
      <c r="AF4728" s="4">
        <v>0</v>
      </c>
      <c r="AG4728" s="4">
        <v>1</v>
      </c>
      <c r="AH4728" s="4">
        <v>74</v>
      </c>
      <c r="AI4728" s="4">
        <v>75</v>
      </c>
      <c r="AJ4728" s="4">
        <v>12</v>
      </c>
      <c r="AK4728" s="4">
        <v>14</v>
      </c>
      <c r="AL4728" s="4">
        <v>45</v>
      </c>
      <c r="AM4728" s="4">
        <v>45</v>
      </c>
      <c r="AN4728" s="4">
        <v>0</v>
      </c>
      <c r="AO4728" s="4">
        <v>0</v>
      </c>
      <c r="AP4728" s="4">
        <v>13</v>
      </c>
      <c r="AQ4728" s="4">
        <v>15</v>
      </c>
      <c r="AR4728" s="3" t="s">
        <v>64</v>
      </c>
      <c r="AS4728" s="3" t="s">
        <v>64</v>
      </c>
      <c r="AT4728" s="3" t="s">
        <v>64</v>
      </c>
      <c r="AV4728" s="6" t="str">
        <f>HYPERLINK("http://mcgill.on.worldcat.org/oclc/22759346","Catalog Record")</f>
        <v>Catalog Record</v>
      </c>
      <c r="AW4728" s="6" t="str">
        <f>HYPERLINK("http://www.worldcat.org/oclc/22759346","WorldCat Record")</f>
        <v>WorldCat Record</v>
      </c>
      <c r="AX4728" s="3" t="s">
        <v>45993</v>
      </c>
      <c r="AY4728" s="3" t="s">
        <v>45994</v>
      </c>
      <c r="AZ4728" s="3" t="s">
        <v>45995</v>
      </c>
      <c r="BA4728" s="3" t="s">
        <v>45995</v>
      </c>
      <c r="BB4728" s="3" t="s">
        <v>45996</v>
      </c>
      <c r="BC4728" s="3" t="s">
        <v>77</v>
      </c>
      <c r="BD4728" s="3" t="s">
        <v>78</v>
      </c>
      <c r="BE4728" s="3" t="s">
        <v>45997</v>
      </c>
      <c r="BF4728" s="3" t="s">
        <v>45996</v>
      </c>
      <c r="BG4728" s="3" t="s">
        <v>45998</v>
      </c>
      <c r="BH4728">
        <f t="shared" si="155"/>
        <v>0</v>
      </c>
    </row>
    <row r="4729" spans="1:60" ht="58" x14ac:dyDescent="0.35">
      <c r="A4729" s="2" t="s">
        <v>59</v>
      </c>
      <c r="B4729" s="2" t="s">
        <v>35724</v>
      </c>
      <c r="C4729" s="2" t="s">
        <v>45999</v>
      </c>
      <c r="D4729" s="2" t="s">
        <v>46000</v>
      </c>
      <c r="E4729" s="2" t="s">
        <v>46001</v>
      </c>
      <c r="G4729" s="3" t="s">
        <v>64</v>
      </c>
      <c r="I4729" s="3" t="s">
        <v>64</v>
      </c>
      <c r="J4729" s="3" t="s">
        <v>64</v>
      </c>
      <c r="K4729" s="3" t="s">
        <v>65</v>
      </c>
      <c r="M4729" s="2" t="s">
        <v>8955</v>
      </c>
      <c r="N4729" s="3" t="s">
        <v>326</v>
      </c>
      <c r="P4729" s="3" t="s">
        <v>102</v>
      </c>
      <c r="R4729" s="3" t="s">
        <v>70</v>
      </c>
      <c r="S4729" s="4">
        <v>0</v>
      </c>
      <c r="T4729" s="4">
        <v>0</v>
      </c>
      <c r="W4729" s="5" t="s">
        <v>72</v>
      </c>
      <c r="X4729" s="5" t="s">
        <v>72</v>
      </c>
      <c r="Y4729" s="4">
        <v>480</v>
      </c>
      <c r="Z4729" s="4">
        <v>29</v>
      </c>
      <c r="AA4729" s="4">
        <v>33</v>
      </c>
      <c r="AB4729" s="4">
        <v>2</v>
      </c>
      <c r="AC4729" s="4">
        <v>6</v>
      </c>
      <c r="AD4729" s="4">
        <v>105</v>
      </c>
      <c r="AE4729" s="4">
        <v>108</v>
      </c>
      <c r="AF4729" s="4">
        <v>1</v>
      </c>
      <c r="AG4729" s="4">
        <v>4</v>
      </c>
      <c r="AH4729" s="4">
        <v>93</v>
      </c>
      <c r="AI4729" s="4">
        <v>93</v>
      </c>
      <c r="AJ4729" s="4">
        <v>15</v>
      </c>
      <c r="AK4729" s="4">
        <v>17</v>
      </c>
      <c r="AL4729" s="4">
        <v>52</v>
      </c>
      <c r="AM4729" s="4">
        <v>52</v>
      </c>
      <c r="AN4729" s="4">
        <v>0</v>
      </c>
      <c r="AO4729" s="4">
        <v>0</v>
      </c>
      <c r="AP4729" s="4">
        <v>21</v>
      </c>
      <c r="AQ4729" s="4">
        <v>24</v>
      </c>
      <c r="AR4729" s="3" t="s">
        <v>64</v>
      </c>
      <c r="AS4729" s="3" t="s">
        <v>64</v>
      </c>
      <c r="AT4729" s="3" t="s">
        <v>64</v>
      </c>
      <c r="AV4729" s="6" t="str">
        <f>HYPERLINK("http://mcgill.on.worldcat.org/oclc/441167468","Catalog Record")</f>
        <v>Catalog Record</v>
      </c>
      <c r="AW4729" s="6" t="str">
        <f>HYPERLINK("http://www.worldcat.org/oclc/441167468","WorldCat Record")</f>
        <v>WorldCat Record</v>
      </c>
      <c r="AX4729" s="3" t="s">
        <v>46002</v>
      </c>
      <c r="AY4729" s="3" t="s">
        <v>46003</v>
      </c>
      <c r="AZ4729" s="3" t="s">
        <v>46004</v>
      </c>
      <c r="BA4729" s="3" t="s">
        <v>46004</v>
      </c>
      <c r="BB4729" s="3" t="s">
        <v>46005</v>
      </c>
      <c r="BC4729" s="3" t="s">
        <v>77</v>
      </c>
      <c r="BD4729" s="3" t="s">
        <v>78</v>
      </c>
      <c r="BE4729" s="3" t="s">
        <v>46006</v>
      </c>
      <c r="BF4729" s="3" t="s">
        <v>46005</v>
      </c>
      <c r="BG4729" s="3" t="s">
        <v>46007</v>
      </c>
      <c r="BH4729">
        <f t="shared" si="155"/>
        <v>0</v>
      </c>
    </row>
    <row r="4730" spans="1:60" ht="101.5" x14ac:dyDescent="0.35">
      <c r="A4730" s="2" t="s">
        <v>59</v>
      </c>
      <c r="B4730" s="2" t="s">
        <v>7447</v>
      </c>
      <c r="C4730" s="2" t="s">
        <v>46008</v>
      </c>
      <c r="D4730" s="2" t="s">
        <v>46009</v>
      </c>
      <c r="E4730" s="2" t="s">
        <v>46010</v>
      </c>
      <c r="G4730" s="3" t="s">
        <v>64</v>
      </c>
      <c r="I4730" s="3" t="s">
        <v>128</v>
      </c>
      <c r="J4730" s="3" t="s">
        <v>64</v>
      </c>
      <c r="K4730" s="3" t="s">
        <v>65</v>
      </c>
      <c r="L4730" s="2" t="s">
        <v>46011</v>
      </c>
      <c r="M4730" s="2" t="s">
        <v>46012</v>
      </c>
      <c r="N4730" s="3" t="s">
        <v>3047</v>
      </c>
      <c r="P4730" s="3" t="s">
        <v>68</v>
      </c>
      <c r="Q4730" s="2" t="s">
        <v>46013</v>
      </c>
      <c r="R4730" s="3" t="s">
        <v>70</v>
      </c>
      <c r="S4730" s="4">
        <v>0</v>
      </c>
      <c r="T4730" s="4">
        <v>6</v>
      </c>
      <c r="V4730" s="5" t="s">
        <v>6010</v>
      </c>
      <c r="W4730" s="5" t="s">
        <v>72</v>
      </c>
      <c r="X4730" s="5" t="s">
        <v>72</v>
      </c>
      <c r="Y4730" s="4">
        <v>30</v>
      </c>
      <c r="Z4730" s="4">
        <v>21</v>
      </c>
      <c r="AA4730" s="4">
        <v>25</v>
      </c>
      <c r="AB4730" s="4">
        <v>15</v>
      </c>
      <c r="AC4730" s="4">
        <v>16</v>
      </c>
      <c r="AD4730" s="4">
        <v>12</v>
      </c>
      <c r="AE4730" s="4">
        <v>15</v>
      </c>
      <c r="AF4730" s="4">
        <v>5</v>
      </c>
      <c r="AG4730" s="4">
        <v>6</v>
      </c>
      <c r="AH4730" s="4">
        <v>7</v>
      </c>
      <c r="AI4730" s="4">
        <v>9</v>
      </c>
      <c r="AJ4730" s="4">
        <v>7</v>
      </c>
      <c r="AK4730" s="4">
        <v>9</v>
      </c>
      <c r="AL4730" s="4">
        <v>2</v>
      </c>
      <c r="AM4730" s="4">
        <v>3</v>
      </c>
      <c r="AN4730" s="4">
        <v>0</v>
      </c>
      <c r="AO4730" s="4">
        <v>0</v>
      </c>
      <c r="AP4730" s="4">
        <v>7</v>
      </c>
      <c r="AQ4730" s="4">
        <v>10</v>
      </c>
      <c r="AR4730" s="3" t="s">
        <v>128</v>
      </c>
      <c r="AS4730" s="3" t="s">
        <v>64</v>
      </c>
      <c r="AT4730" s="3" t="s">
        <v>64</v>
      </c>
      <c r="AV4730" s="6" t="str">
        <f>HYPERLINK("http://mcgill.on.worldcat.org/oclc/17585974","Catalog Record")</f>
        <v>Catalog Record</v>
      </c>
      <c r="AW4730" s="6" t="str">
        <f>HYPERLINK("http://www.worldcat.org/oclc/17585974","WorldCat Record")</f>
        <v>WorldCat Record</v>
      </c>
      <c r="AX4730" s="3" t="s">
        <v>46014</v>
      </c>
      <c r="AY4730" s="3" t="s">
        <v>46015</v>
      </c>
      <c r="AZ4730" s="3" t="s">
        <v>46016</v>
      </c>
      <c r="BA4730" s="3" t="s">
        <v>46016</v>
      </c>
      <c r="BB4730" s="3" t="s">
        <v>46017</v>
      </c>
      <c r="BC4730" s="3" t="s">
        <v>77</v>
      </c>
      <c r="BD4730" s="3" t="s">
        <v>78</v>
      </c>
      <c r="BE4730" s="3" t="s">
        <v>46018</v>
      </c>
      <c r="BF4730" s="3" t="s">
        <v>46017</v>
      </c>
      <c r="BG4730" s="3" t="s">
        <v>46019</v>
      </c>
      <c r="BH4730">
        <f t="shared" si="155"/>
        <v>0</v>
      </c>
    </row>
    <row r="4731" spans="1:60" ht="72.5" x14ac:dyDescent="0.35">
      <c r="A4731" s="2" t="s">
        <v>59</v>
      </c>
      <c r="B4731" s="2" t="s">
        <v>1025</v>
      </c>
      <c r="C4731" s="2" t="s">
        <v>46008</v>
      </c>
      <c r="D4731" s="2" t="s">
        <v>46009</v>
      </c>
      <c r="E4731" s="2" t="s">
        <v>46010</v>
      </c>
      <c r="G4731" s="3" t="s">
        <v>64</v>
      </c>
      <c r="I4731" s="3" t="s">
        <v>128</v>
      </c>
      <c r="J4731" s="3" t="s">
        <v>64</v>
      </c>
      <c r="K4731" s="3" t="s">
        <v>65</v>
      </c>
      <c r="L4731" s="2" t="s">
        <v>46011</v>
      </c>
      <c r="M4731" s="2" t="s">
        <v>46012</v>
      </c>
      <c r="N4731" s="3" t="s">
        <v>3047</v>
      </c>
      <c r="P4731" s="3" t="s">
        <v>68</v>
      </c>
      <c r="Q4731" s="2" t="s">
        <v>46013</v>
      </c>
      <c r="R4731" s="3" t="s">
        <v>70</v>
      </c>
      <c r="S4731" s="4">
        <v>6</v>
      </c>
      <c r="T4731" s="4">
        <v>6</v>
      </c>
      <c r="U4731" s="5" t="s">
        <v>6010</v>
      </c>
      <c r="V4731" s="5" t="s">
        <v>6010</v>
      </c>
      <c r="W4731" s="5" t="s">
        <v>72</v>
      </c>
      <c r="X4731" s="5" t="s">
        <v>72</v>
      </c>
      <c r="Y4731" s="4">
        <v>30</v>
      </c>
      <c r="Z4731" s="4">
        <v>21</v>
      </c>
      <c r="AA4731" s="4">
        <v>25</v>
      </c>
      <c r="AB4731" s="4">
        <v>15</v>
      </c>
      <c r="AC4731" s="4">
        <v>16</v>
      </c>
      <c r="AD4731" s="4">
        <v>12</v>
      </c>
      <c r="AE4731" s="4">
        <v>15</v>
      </c>
      <c r="AF4731" s="4">
        <v>5</v>
      </c>
      <c r="AG4731" s="4">
        <v>6</v>
      </c>
      <c r="AH4731" s="4">
        <v>7</v>
      </c>
      <c r="AI4731" s="4">
        <v>9</v>
      </c>
      <c r="AJ4731" s="4">
        <v>7</v>
      </c>
      <c r="AK4731" s="4">
        <v>9</v>
      </c>
      <c r="AL4731" s="4">
        <v>2</v>
      </c>
      <c r="AM4731" s="4">
        <v>3</v>
      </c>
      <c r="AN4731" s="4">
        <v>0</v>
      </c>
      <c r="AO4731" s="4">
        <v>0</v>
      </c>
      <c r="AP4731" s="4">
        <v>7</v>
      </c>
      <c r="AQ4731" s="4">
        <v>10</v>
      </c>
      <c r="AR4731" s="3" t="s">
        <v>128</v>
      </c>
      <c r="AS4731" s="3" t="s">
        <v>64</v>
      </c>
      <c r="AT4731" s="3" t="s">
        <v>64</v>
      </c>
      <c r="AV4731" s="6" t="str">
        <f>HYPERLINK("http://mcgill.on.worldcat.org/oclc/17585974","Catalog Record")</f>
        <v>Catalog Record</v>
      </c>
      <c r="AW4731" s="6" t="str">
        <f>HYPERLINK("http://www.worldcat.org/oclc/17585974","WorldCat Record")</f>
        <v>WorldCat Record</v>
      </c>
      <c r="AX4731" s="3" t="s">
        <v>46014</v>
      </c>
      <c r="AY4731" s="3" t="s">
        <v>46015</v>
      </c>
      <c r="AZ4731" s="3" t="s">
        <v>46016</v>
      </c>
      <c r="BA4731" s="3" t="s">
        <v>46016</v>
      </c>
      <c r="BB4731" s="3" t="s">
        <v>46020</v>
      </c>
      <c r="BC4731" s="3" t="s">
        <v>77</v>
      </c>
      <c r="BD4731" s="3" t="s">
        <v>78</v>
      </c>
      <c r="BE4731" s="3" t="s">
        <v>46018</v>
      </c>
      <c r="BF4731" s="3" t="s">
        <v>46020</v>
      </c>
      <c r="BG4731" s="3" t="s">
        <v>46021</v>
      </c>
      <c r="BH4731">
        <f t="shared" si="155"/>
        <v>0</v>
      </c>
    </row>
    <row r="4732" spans="1:60" ht="58" x14ac:dyDescent="0.35">
      <c r="A4732" s="2" t="s">
        <v>6202</v>
      </c>
      <c r="B4732" s="2" t="s">
        <v>6203</v>
      </c>
      <c r="C4732" s="2" t="s">
        <v>46022</v>
      </c>
      <c r="D4732" s="2" t="s">
        <v>46023</v>
      </c>
      <c r="E4732" s="2" t="s">
        <v>46024</v>
      </c>
      <c r="G4732" s="3" t="s">
        <v>64</v>
      </c>
      <c r="I4732" s="3" t="s">
        <v>64</v>
      </c>
      <c r="J4732" s="3" t="s">
        <v>64</v>
      </c>
      <c r="K4732" s="3" t="s">
        <v>65</v>
      </c>
      <c r="L4732" s="2" t="s">
        <v>46025</v>
      </c>
      <c r="M4732" s="2" t="s">
        <v>46026</v>
      </c>
      <c r="N4732" s="3" t="s">
        <v>131</v>
      </c>
      <c r="P4732" s="3" t="s">
        <v>68</v>
      </c>
      <c r="Q4732" s="2" t="s">
        <v>46027</v>
      </c>
      <c r="R4732" s="3" t="s">
        <v>70</v>
      </c>
      <c r="S4732" s="4">
        <v>2</v>
      </c>
      <c r="T4732" s="4">
        <v>2</v>
      </c>
      <c r="U4732" s="5" t="s">
        <v>46028</v>
      </c>
      <c r="V4732" s="5" t="s">
        <v>46028</v>
      </c>
      <c r="W4732" s="5" t="s">
        <v>72</v>
      </c>
      <c r="X4732" s="5" t="s">
        <v>72</v>
      </c>
      <c r="Y4732" s="4">
        <v>6</v>
      </c>
      <c r="Z4732" s="4">
        <v>1</v>
      </c>
      <c r="AA4732" s="4">
        <v>1</v>
      </c>
      <c r="AB4732" s="4">
        <v>1</v>
      </c>
      <c r="AC4732" s="4">
        <v>1</v>
      </c>
      <c r="AD4732" s="4">
        <v>3</v>
      </c>
      <c r="AE4732" s="4">
        <v>3</v>
      </c>
      <c r="AF4732" s="4">
        <v>0</v>
      </c>
      <c r="AG4732" s="4">
        <v>0</v>
      </c>
      <c r="AH4732" s="4">
        <v>3</v>
      </c>
      <c r="AI4732" s="4">
        <v>3</v>
      </c>
      <c r="AJ4732" s="4">
        <v>0</v>
      </c>
      <c r="AK4732" s="4">
        <v>0</v>
      </c>
      <c r="AL4732" s="4">
        <v>2</v>
      </c>
      <c r="AM4732" s="4">
        <v>2</v>
      </c>
      <c r="AN4732" s="4">
        <v>0</v>
      </c>
      <c r="AO4732" s="4">
        <v>0</v>
      </c>
      <c r="AP4732" s="4">
        <v>0</v>
      </c>
      <c r="AQ4732" s="4">
        <v>0</v>
      </c>
      <c r="AR4732" s="3" t="s">
        <v>64</v>
      </c>
      <c r="AS4732" s="3" t="s">
        <v>64</v>
      </c>
      <c r="AT4732" s="3" t="s">
        <v>64</v>
      </c>
      <c r="AV4732" s="6" t="str">
        <f>HYPERLINK("http://mcgill.on.worldcat.org/oclc/20916503","Catalog Record")</f>
        <v>Catalog Record</v>
      </c>
      <c r="AW4732" s="6" t="str">
        <f>HYPERLINK("http://www.worldcat.org/oclc/20916503","WorldCat Record")</f>
        <v>WorldCat Record</v>
      </c>
      <c r="AX4732" s="3" t="s">
        <v>46029</v>
      </c>
      <c r="AY4732" s="3" t="s">
        <v>46030</v>
      </c>
      <c r="AZ4732" s="3" t="s">
        <v>46031</v>
      </c>
      <c r="BA4732" s="3" t="s">
        <v>46031</v>
      </c>
      <c r="BB4732" s="3" t="s">
        <v>46032</v>
      </c>
      <c r="BC4732" s="3" t="s">
        <v>77</v>
      </c>
      <c r="BD4732" s="3" t="s">
        <v>78</v>
      </c>
      <c r="BF4732" s="3" t="s">
        <v>46032</v>
      </c>
      <c r="BG4732" s="3" t="s">
        <v>46033</v>
      </c>
      <c r="BH4732">
        <f t="shared" si="155"/>
        <v>0</v>
      </c>
    </row>
    <row r="4733" spans="1:60" ht="58" x14ac:dyDescent="0.35">
      <c r="A4733" s="2" t="s">
        <v>6202</v>
      </c>
      <c r="B4733" s="2" t="s">
        <v>6203</v>
      </c>
      <c r="C4733" s="2" t="s">
        <v>46034</v>
      </c>
      <c r="D4733" s="2" t="s">
        <v>46035</v>
      </c>
      <c r="E4733" s="2" t="s">
        <v>46036</v>
      </c>
      <c r="G4733" s="3" t="s">
        <v>64</v>
      </c>
      <c r="I4733" s="3" t="s">
        <v>128</v>
      </c>
      <c r="J4733" s="3" t="s">
        <v>64</v>
      </c>
      <c r="K4733" s="3" t="s">
        <v>65</v>
      </c>
      <c r="L4733" s="2" t="s">
        <v>42082</v>
      </c>
      <c r="M4733" s="2" t="s">
        <v>46037</v>
      </c>
      <c r="N4733" s="3" t="s">
        <v>405</v>
      </c>
      <c r="P4733" s="3" t="s">
        <v>102</v>
      </c>
      <c r="R4733" s="3" t="s">
        <v>70</v>
      </c>
      <c r="S4733" s="4">
        <v>0</v>
      </c>
      <c r="T4733" s="4">
        <v>1</v>
      </c>
      <c r="V4733" s="5" t="s">
        <v>1655</v>
      </c>
      <c r="W4733" s="5" t="s">
        <v>72</v>
      </c>
      <c r="X4733" s="5" t="s">
        <v>72</v>
      </c>
      <c r="Y4733" s="4">
        <v>148</v>
      </c>
      <c r="Z4733" s="4">
        <v>17</v>
      </c>
      <c r="AA4733" s="4">
        <v>27</v>
      </c>
      <c r="AB4733" s="4">
        <v>2</v>
      </c>
      <c r="AC4733" s="4">
        <v>5</v>
      </c>
      <c r="AD4733" s="4">
        <v>62</v>
      </c>
      <c r="AE4733" s="4">
        <v>107</v>
      </c>
      <c r="AF4733" s="4">
        <v>1</v>
      </c>
      <c r="AG4733" s="4">
        <v>4</v>
      </c>
      <c r="AH4733" s="4">
        <v>55</v>
      </c>
      <c r="AI4733" s="4">
        <v>90</v>
      </c>
      <c r="AJ4733" s="4">
        <v>13</v>
      </c>
      <c r="AK4733" s="4">
        <v>21</v>
      </c>
      <c r="AL4733" s="4">
        <v>30</v>
      </c>
      <c r="AM4733" s="4">
        <v>52</v>
      </c>
      <c r="AN4733" s="4">
        <v>0</v>
      </c>
      <c r="AO4733" s="4">
        <v>5</v>
      </c>
      <c r="AP4733" s="4">
        <v>15</v>
      </c>
      <c r="AQ4733" s="4">
        <v>22</v>
      </c>
      <c r="AR4733" s="3" t="s">
        <v>64</v>
      </c>
      <c r="AS4733" s="3" t="s">
        <v>64</v>
      </c>
      <c r="AT4733" s="3" t="s">
        <v>128</v>
      </c>
      <c r="AU4733" s="6" t="str">
        <f>HYPERLINK("http://catalog.hathitrust.org/Record/000092357","HathiTrust Record")</f>
        <v>HathiTrust Record</v>
      </c>
      <c r="AV4733" s="6" t="str">
        <f>HYPERLINK("http://mcgill.on.worldcat.org/oclc/3630219","Catalog Record")</f>
        <v>Catalog Record</v>
      </c>
      <c r="AW4733" s="6" t="str">
        <f>HYPERLINK("http://www.worldcat.org/oclc/3630219","WorldCat Record")</f>
        <v>WorldCat Record</v>
      </c>
      <c r="AX4733" s="3" t="s">
        <v>46038</v>
      </c>
      <c r="AY4733" s="3" t="s">
        <v>46039</v>
      </c>
      <c r="AZ4733" s="3" t="s">
        <v>46040</v>
      </c>
      <c r="BA4733" s="3" t="s">
        <v>46040</v>
      </c>
      <c r="BB4733" s="3" t="s">
        <v>46041</v>
      </c>
      <c r="BC4733" s="3" t="s">
        <v>77</v>
      </c>
      <c r="BD4733" s="3" t="s">
        <v>78</v>
      </c>
      <c r="BE4733" s="3" t="s">
        <v>46042</v>
      </c>
      <c r="BF4733" s="3" t="s">
        <v>46041</v>
      </c>
      <c r="BG4733" s="3" t="s">
        <v>46043</v>
      </c>
      <c r="BH4733">
        <f t="shared" si="155"/>
        <v>0</v>
      </c>
    </row>
    <row r="4734" spans="1:60" ht="58" x14ac:dyDescent="0.35">
      <c r="A4734" s="2" t="s">
        <v>6202</v>
      </c>
      <c r="B4734" s="2" t="s">
        <v>6203</v>
      </c>
      <c r="C4734" s="2" t="s">
        <v>46044</v>
      </c>
      <c r="D4734" s="2" t="s">
        <v>46045</v>
      </c>
      <c r="E4734" s="2" t="s">
        <v>46046</v>
      </c>
      <c r="G4734" s="3" t="s">
        <v>64</v>
      </c>
      <c r="I4734" s="3" t="s">
        <v>128</v>
      </c>
      <c r="J4734" s="3" t="s">
        <v>64</v>
      </c>
      <c r="K4734" s="3" t="s">
        <v>65</v>
      </c>
      <c r="L4734" s="2" t="s">
        <v>43498</v>
      </c>
      <c r="M4734" s="2" t="s">
        <v>46047</v>
      </c>
      <c r="N4734" s="3" t="s">
        <v>1004</v>
      </c>
      <c r="P4734" s="3" t="s">
        <v>102</v>
      </c>
      <c r="Q4734" s="2" t="s">
        <v>46048</v>
      </c>
      <c r="R4734" s="3" t="s">
        <v>70</v>
      </c>
      <c r="S4734" s="4">
        <v>0</v>
      </c>
      <c r="T4734" s="4">
        <v>1</v>
      </c>
      <c r="V4734" s="5" t="s">
        <v>1655</v>
      </c>
      <c r="W4734" s="5" t="s">
        <v>72</v>
      </c>
      <c r="X4734" s="5" t="s">
        <v>72</v>
      </c>
      <c r="Y4734" s="4">
        <v>73</v>
      </c>
      <c r="Z4734" s="4">
        <v>6</v>
      </c>
      <c r="AA4734" s="4">
        <v>7</v>
      </c>
      <c r="AB4734" s="4">
        <v>1</v>
      </c>
      <c r="AC4734" s="4">
        <v>1</v>
      </c>
      <c r="AD4734" s="4">
        <v>32</v>
      </c>
      <c r="AE4734" s="4">
        <v>77</v>
      </c>
      <c r="AF4734" s="4">
        <v>0</v>
      </c>
      <c r="AG4734" s="4">
        <v>0</v>
      </c>
      <c r="AH4734" s="4">
        <v>32</v>
      </c>
      <c r="AI4734" s="4">
        <v>75</v>
      </c>
      <c r="AJ4734" s="4">
        <v>4</v>
      </c>
      <c r="AK4734" s="4">
        <v>4</v>
      </c>
      <c r="AL4734" s="4">
        <v>18</v>
      </c>
      <c r="AM4734" s="4">
        <v>39</v>
      </c>
      <c r="AN4734" s="4">
        <v>0</v>
      </c>
      <c r="AO4734" s="4">
        <v>0</v>
      </c>
      <c r="AP4734" s="4">
        <v>4</v>
      </c>
      <c r="AQ4734" s="4">
        <v>5</v>
      </c>
      <c r="AR4734" s="3" t="s">
        <v>64</v>
      </c>
      <c r="AS4734" s="3" t="s">
        <v>64</v>
      </c>
      <c r="AT4734" s="3" t="s">
        <v>64</v>
      </c>
      <c r="AV4734" s="6" t="str">
        <f>HYPERLINK("http://mcgill.on.worldcat.org/oclc/9795900","Catalog Record")</f>
        <v>Catalog Record</v>
      </c>
      <c r="AW4734" s="6" t="str">
        <f>HYPERLINK("http://www.worldcat.org/oclc/9795900","WorldCat Record")</f>
        <v>WorldCat Record</v>
      </c>
      <c r="AX4734" s="3" t="s">
        <v>46049</v>
      </c>
      <c r="AY4734" s="3" t="s">
        <v>46050</v>
      </c>
      <c r="AZ4734" s="3" t="s">
        <v>46051</v>
      </c>
      <c r="BA4734" s="3" t="s">
        <v>46051</v>
      </c>
      <c r="BB4734" s="3" t="s">
        <v>46052</v>
      </c>
      <c r="BC4734" s="3" t="s">
        <v>77</v>
      </c>
      <c r="BD4734" s="3" t="s">
        <v>78</v>
      </c>
      <c r="BF4734" s="3" t="s">
        <v>46052</v>
      </c>
      <c r="BG4734" s="3" t="s">
        <v>46053</v>
      </c>
      <c r="BH4734">
        <f t="shared" si="155"/>
        <v>0</v>
      </c>
    </row>
    <row r="4735" spans="1:60" ht="58" x14ac:dyDescent="0.35">
      <c r="A4735" s="2" t="s">
        <v>6202</v>
      </c>
      <c r="B4735" s="2" t="s">
        <v>6203</v>
      </c>
      <c r="C4735" s="2" t="s">
        <v>46054</v>
      </c>
      <c r="D4735" s="2" t="s">
        <v>46055</v>
      </c>
      <c r="E4735" s="2" t="s">
        <v>46056</v>
      </c>
      <c r="G4735" s="3" t="s">
        <v>64</v>
      </c>
      <c r="I4735" s="3" t="s">
        <v>64</v>
      </c>
      <c r="J4735" s="3" t="s">
        <v>64</v>
      </c>
      <c r="K4735" s="3" t="s">
        <v>65</v>
      </c>
      <c r="L4735" s="2" t="s">
        <v>46057</v>
      </c>
      <c r="M4735" s="2" t="s">
        <v>46058</v>
      </c>
      <c r="N4735" s="3" t="s">
        <v>405</v>
      </c>
      <c r="P4735" s="3" t="s">
        <v>102</v>
      </c>
      <c r="Q4735" s="2" t="s">
        <v>46059</v>
      </c>
      <c r="R4735" s="3" t="s">
        <v>70</v>
      </c>
      <c r="S4735" s="4">
        <v>1</v>
      </c>
      <c r="T4735" s="4">
        <v>1</v>
      </c>
      <c r="U4735" s="5" t="s">
        <v>7419</v>
      </c>
      <c r="V4735" s="5" t="s">
        <v>7419</v>
      </c>
      <c r="W4735" s="5" t="s">
        <v>72</v>
      </c>
      <c r="X4735" s="5" t="s">
        <v>72</v>
      </c>
      <c r="Y4735" s="4">
        <v>7</v>
      </c>
      <c r="Z4735" s="4">
        <v>3</v>
      </c>
      <c r="AA4735" s="4">
        <v>7</v>
      </c>
      <c r="AB4735" s="4">
        <v>1</v>
      </c>
      <c r="AC4735" s="4">
        <v>3</v>
      </c>
      <c r="AD4735" s="4">
        <v>4</v>
      </c>
      <c r="AE4735" s="4">
        <v>37</v>
      </c>
      <c r="AF4735" s="4">
        <v>0</v>
      </c>
      <c r="AG4735" s="4">
        <v>2</v>
      </c>
      <c r="AH4735" s="4">
        <v>3</v>
      </c>
      <c r="AI4735" s="4">
        <v>33</v>
      </c>
      <c r="AJ4735" s="4">
        <v>2</v>
      </c>
      <c r="AK4735" s="4">
        <v>6</v>
      </c>
      <c r="AL4735" s="4">
        <v>2</v>
      </c>
      <c r="AM4735" s="4">
        <v>25</v>
      </c>
      <c r="AN4735" s="4">
        <v>0</v>
      </c>
      <c r="AO4735" s="4">
        <v>0</v>
      </c>
      <c r="AP4735" s="4">
        <v>2</v>
      </c>
      <c r="AQ4735" s="4">
        <v>6</v>
      </c>
      <c r="AR4735" s="3" t="s">
        <v>64</v>
      </c>
      <c r="AS4735" s="3" t="s">
        <v>64</v>
      </c>
      <c r="AT4735" s="3" t="s">
        <v>64</v>
      </c>
      <c r="AV4735" s="6" t="str">
        <f>HYPERLINK("http://mcgill.on.worldcat.org/oclc/426248747","Catalog Record")</f>
        <v>Catalog Record</v>
      </c>
      <c r="AW4735" s="6" t="str">
        <f>HYPERLINK("http://www.worldcat.org/oclc/426248747","WorldCat Record")</f>
        <v>WorldCat Record</v>
      </c>
      <c r="AX4735" s="3" t="s">
        <v>46060</v>
      </c>
      <c r="AY4735" s="3" t="s">
        <v>46061</v>
      </c>
      <c r="AZ4735" s="3" t="s">
        <v>46062</v>
      </c>
      <c r="BA4735" s="3" t="s">
        <v>46062</v>
      </c>
      <c r="BB4735" s="3" t="s">
        <v>46063</v>
      </c>
      <c r="BC4735" s="3" t="s">
        <v>77</v>
      </c>
      <c r="BD4735" s="3" t="s">
        <v>78</v>
      </c>
      <c r="BF4735" s="3" t="s">
        <v>46063</v>
      </c>
      <c r="BG4735" s="3" t="s">
        <v>46064</v>
      </c>
      <c r="BH4735">
        <f t="shared" si="155"/>
        <v>0</v>
      </c>
    </row>
    <row r="4736" spans="1:60" ht="58" x14ac:dyDescent="0.35">
      <c r="A4736" s="2" t="s">
        <v>59</v>
      </c>
      <c r="B4736" s="2" t="s">
        <v>60</v>
      </c>
      <c r="C4736" s="2" t="s">
        <v>46065</v>
      </c>
      <c r="D4736" s="2" t="s">
        <v>46066</v>
      </c>
      <c r="E4736" s="2" t="s">
        <v>46067</v>
      </c>
      <c r="G4736" s="3" t="s">
        <v>64</v>
      </c>
      <c r="I4736" s="3" t="s">
        <v>64</v>
      </c>
      <c r="J4736" s="3" t="s">
        <v>64</v>
      </c>
      <c r="K4736" s="3" t="s">
        <v>65</v>
      </c>
      <c r="L4736" s="2" t="s">
        <v>46068</v>
      </c>
      <c r="M4736" s="2" t="s">
        <v>46069</v>
      </c>
      <c r="N4736" s="3" t="s">
        <v>537</v>
      </c>
      <c r="P4736" s="3" t="s">
        <v>102</v>
      </c>
      <c r="R4736" s="3" t="s">
        <v>70</v>
      </c>
      <c r="S4736" s="4">
        <v>0</v>
      </c>
      <c r="T4736" s="4">
        <v>0</v>
      </c>
      <c r="W4736" s="5" t="s">
        <v>72</v>
      </c>
      <c r="X4736" s="5" t="s">
        <v>72</v>
      </c>
      <c r="Y4736" s="4">
        <v>27</v>
      </c>
      <c r="Z4736" s="4">
        <v>4</v>
      </c>
      <c r="AA4736" s="4">
        <v>8</v>
      </c>
      <c r="AB4736" s="4">
        <v>1</v>
      </c>
      <c r="AC4736" s="4">
        <v>3</v>
      </c>
      <c r="AD4736" s="4">
        <v>9</v>
      </c>
      <c r="AE4736" s="4">
        <v>17</v>
      </c>
      <c r="AF4736" s="4">
        <v>0</v>
      </c>
      <c r="AG4736" s="4">
        <v>1</v>
      </c>
      <c r="AH4736" s="4">
        <v>7</v>
      </c>
      <c r="AI4736" s="4">
        <v>13</v>
      </c>
      <c r="AJ4736" s="4">
        <v>2</v>
      </c>
      <c r="AK4736" s="4">
        <v>5</v>
      </c>
      <c r="AL4736" s="4">
        <v>8</v>
      </c>
      <c r="AM4736" s="4">
        <v>11</v>
      </c>
      <c r="AN4736" s="4">
        <v>0</v>
      </c>
      <c r="AO4736" s="4">
        <v>0</v>
      </c>
      <c r="AP4736" s="4">
        <v>2</v>
      </c>
      <c r="AQ4736" s="4">
        <v>5</v>
      </c>
      <c r="AR4736" s="3" t="s">
        <v>64</v>
      </c>
      <c r="AS4736" s="3" t="s">
        <v>64</v>
      </c>
      <c r="AT4736" s="3" t="s">
        <v>64</v>
      </c>
      <c r="AV4736" s="6" t="str">
        <f>HYPERLINK("http://mcgill.on.worldcat.org/oclc/948445928","Catalog Record")</f>
        <v>Catalog Record</v>
      </c>
      <c r="AW4736" s="6" t="str">
        <f>HYPERLINK("http://www.worldcat.org/oclc/948445928","WorldCat Record")</f>
        <v>WorldCat Record</v>
      </c>
      <c r="AX4736" s="3" t="s">
        <v>46070</v>
      </c>
      <c r="AY4736" s="3" t="s">
        <v>46071</v>
      </c>
      <c r="AZ4736" s="3" t="s">
        <v>46072</v>
      </c>
      <c r="BA4736" s="3" t="s">
        <v>46072</v>
      </c>
      <c r="BB4736" s="3" t="s">
        <v>46073</v>
      </c>
      <c r="BC4736" s="3" t="s">
        <v>77</v>
      </c>
      <c r="BD4736" s="3" t="s">
        <v>78</v>
      </c>
      <c r="BE4736" s="3" t="s">
        <v>46074</v>
      </c>
      <c r="BF4736" s="3" t="s">
        <v>46073</v>
      </c>
      <c r="BG4736" s="3" t="s">
        <v>46075</v>
      </c>
      <c r="BH4736">
        <f t="shared" si="155"/>
        <v>0</v>
      </c>
    </row>
    <row r="4737" spans="1:60" ht="58" x14ac:dyDescent="0.35">
      <c r="A4737" s="2" t="s">
        <v>6202</v>
      </c>
      <c r="B4737" s="2" t="s">
        <v>6203</v>
      </c>
      <c r="C4737" s="2" t="s">
        <v>46076</v>
      </c>
      <c r="D4737" s="2" t="s">
        <v>46077</v>
      </c>
      <c r="E4737" s="2" t="s">
        <v>46078</v>
      </c>
      <c r="G4737" s="3" t="s">
        <v>64</v>
      </c>
      <c r="I4737" s="3" t="s">
        <v>64</v>
      </c>
      <c r="J4737" s="3" t="s">
        <v>64</v>
      </c>
      <c r="K4737" s="3" t="s">
        <v>65</v>
      </c>
      <c r="L4737" s="2" t="s">
        <v>46079</v>
      </c>
      <c r="M4737" s="2" t="s">
        <v>46080</v>
      </c>
      <c r="N4737" s="3" t="s">
        <v>3584</v>
      </c>
      <c r="P4737" s="3" t="s">
        <v>102</v>
      </c>
      <c r="Q4737" s="2" t="s">
        <v>46081</v>
      </c>
      <c r="R4737" s="3" t="s">
        <v>70</v>
      </c>
      <c r="S4737" s="4">
        <v>4</v>
      </c>
      <c r="T4737" s="4">
        <v>4</v>
      </c>
      <c r="U4737" s="5" t="s">
        <v>30896</v>
      </c>
      <c r="V4737" s="5" t="s">
        <v>30896</v>
      </c>
      <c r="W4737" s="5" t="s">
        <v>72</v>
      </c>
      <c r="X4737" s="5" t="s">
        <v>72</v>
      </c>
      <c r="Y4737" s="4">
        <v>55</v>
      </c>
      <c r="Z4737" s="4">
        <v>6</v>
      </c>
      <c r="AA4737" s="4">
        <v>6</v>
      </c>
      <c r="AB4737" s="4">
        <v>2</v>
      </c>
      <c r="AC4737" s="4">
        <v>2</v>
      </c>
      <c r="AD4737" s="4">
        <v>20</v>
      </c>
      <c r="AE4737" s="4">
        <v>20</v>
      </c>
      <c r="AF4737" s="4">
        <v>1</v>
      </c>
      <c r="AG4737" s="4">
        <v>1</v>
      </c>
      <c r="AH4737" s="4">
        <v>17</v>
      </c>
      <c r="AI4737" s="4">
        <v>17</v>
      </c>
      <c r="AJ4737" s="4">
        <v>4</v>
      </c>
      <c r="AK4737" s="4">
        <v>4</v>
      </c>
      <c r="AL4737" s="4">
        <v>14</v>
      </c>
      <c r="AM4737" s="4">
        <v>14</v>
      </c>
      <c r="AN4737" s="4">
        <v>0</v>
      </c>
      <c r="AO4737" s="4">
        <v>0</v>
      </c>
      <c r="AP4737" s="4">
        <v>4</v>
      </c>
      <c r="AQ4737" s="4">
        <v>4</v>
      </c>
      <c r="AR4737" s="3" t="s">
        <v>64</v>
      </c>
      <c r="AS4737" s="3" t="s">
        <v>64</v>
      </c>
      <c r="AT4737" s="3" t="s">
        <v>128</v>
      </c>
      <c r="AU4737" s="6" t="str">
        <f>HYPERLINK("http://catalog.hathitrust.org/Record/009628068","HathiTrust Record")</f>
        <v>HathiTrust Record</v>
      </c>
      <c r="AV4737" s="6" t="str">
        <f>HYPERLINK("http://mcgill.on.worldcat.org/oclc/3541466","Catalog Record")</f>
        <v>Catalog Record</v>
      </c>
      <c r="AW4737" s="6" t="str">
        <f>HYPERLINK("http://www.worldcat.org/oclc/3541466","WorldCat Record")</f>
        <v>WorldCat Record</v>
      </c>
      <c r="AX4737" s="3" t="s">
        <v>46082</v>
      </c>
      <c r="AY4737" s="3" t="s">
        <v>46083</v>
      </c>
      <c r="AZ4737" s="3" t="s">
        <v>46084</v>
      </c>
      <c r="BA4737" s="3" t="s">
        <v>46084</v>
      </c>
      <c r="BB4737" s="3" t="s">
        <v>46085</v>
      </c>
      <c r="BC4737" s="3" t="s">
        <v>77</v>
      </c>
      <c r="BD4737" s="3" t="s">
        <v>78</v>
      </c>
      <c r="BE4737" s="3" t="s">
        <v>46086</v>
      </c>
      <c r="BF4737" s="3" t="s">
        <v>46085</v>
      </c>
      <c r="BG4737" s="3" t="s">
        <v>46087</v>
      </c>
      <c r="BH4737">
        <f t="shared" si="155"/>
        <v>0</v>
      </c>
    </row>
    <row r="4738" spans="1:60" ht="72.5" x14ac:dyDescent="0.35">
      <c r="A4738" s="2" t="s">
        <v>6202</v>
      </c>
      <c r="B4738" s="2" t="s">
        <v>6203</v>
      </c>
      <c r="C4738" s="2" t="s">
        <v>46088</v>
      </c>
      <c r="D4738" s="2" t="s">
        <v>46089</v>
      </c>
      <c r="E4738" s="2" t="s">
        <v>46090</v>
      </c>
      <c r="F4738" s="3" t="s">
        <v>46091</v>
      </c>
      <c r="G4738" s="3" t="s">
        <v>128</v>
      </c>
      <c r="I4738" s="3" t="s">
        <v>64</v>
      </c>
      <c r="J4738" s="3" t="s">
        <v>64</v>
      </c>
      <c r="K4738" s="3" t="s">
        <v>65</v>
      </c>
      <c r="M4738" s="2" t="s">
        <v>46092</v>
      </c>
      <c r="N4738" s="3" t="s">
        <v>3584</v>
      </c>
      <c r="P4738" s="3" t="s">
        <v>102</v>
      </c>
      <c r="R4738" s="3" t="s">
        <v>70</v>
      </c>
      <c r="S4738" s="4">
        <v>0</v>
      </c>
      <c r="T4738" s="4">
        <v>5</v>
      </c>
      <c r="V4738" s="5" t="s">
        <v>1655</v>
      </c>
      <c r="W4738" s="5" t="s">
        <v>72</v>
      </c>
      <c r="X4738" s="5" t="s">
        <v>72</v>
      </c>
      <c r="Y4738" s="4">
        <v>87</v>
      </c>
      <c r="Z4738" s="4">
        <v>11</v>
      </c>
      <c r="AA4738" s="4">
        <v>11</v>
      </c>
      <c r="AB4738" s="4">
        <v>1</v>
      </c>
      <c r="AC4738" s="4">
        <v>1</v>
      </c>
      <c r="AD4738" s="4">
        <v>56</v>
      </c>
      <c r="AE4738" s="4">
        <v>57</v>
      </c>
      <c r="AF4738" s="4">
        <v>0</v>
      </c>
      <c r="AG4738" s="4">
        <v>0</v>
      </c>
      <c r="AH4738" s="4">
        <v>53</v>
      </c>
      <c r="AI4738" s="4">
        <v>54</v>
      </c>
      <c r="AJ4738" s="4">
        <v>9</v>
      </c>
      <c r="AK4738" s="4">
        <v>9</v>
      </c>
      <c r="AL4738" s="4">
        <v>34</v>
      </c>
      <c r="AM4738" s="4">
        <v>34</v>
      </c>
      <c r="AN4738" s="4">
        <v>0</v>
      </c>
      <c r="AO4738" s="4">
        <v>0</v>
      </c>
      <c r="AP4738" s="4">
        <v>8</v>
      </c>
      <c r="AQ4738" s="4">
        <v>8</v>
      </c>
      <c r="AR4738" s="3" t="s">
        <v>64</v>
      </c>
      <c r="AS4738" s="3" t="s">
        <v>128</v>
      </c>
      <c r="AT4738" s="3" t="s">
        <v>128</v>
      </c>
      <c r="AU4738" s="6" t="str">
        <f>HYPERLINK("http://catalog.hathitrust.org/Record/000192498","HathiTrust Record")</f>
        <v>HathiTrust Record</v>
      </c>
      <c r="AV4738" s="6" t="str">
        <f>HYPERLINK("http://mcgill.on.worldcat.org/oclc/4907886","Catalog Record")</f>
        <v>Catalog Record</v>
      </c>
      <c r="AW4738" s="6" t="str">
        <f>HYPERLINK("http://www.worldcat.org/oclc/4907886","WorldCat Record")</f>
        <v>WorldCat Record</v>
      </c>
      <c r="AX4738" s="3" t="s">
        <v>46093</v>
      </c>
      <c r="AY4738" s="3" t="s">
        <v>46094</v>
      </c>
      <c r="AZ4738" s="3" t="s">
        <v>46095</v>
      </c>
      <c r="BA4738" s="3" t="s">
        <v>46095</v>
      </c>
      <c r="BB4738" s="3" t="s">
        <v>46096</v>
      </c>
      <c r="BC4738" s="3" t="s">
        <v>77</v>
      </c>
      <c r="BD4738" s="3" t="s">
        <v>78</v>
      </c>
      <c r="BF4738" s="3" t="s">
        <v>46096</v>
      </c>
      <c r="BG4738" s="3" t="s">
        <v>46097</v>
      </c>
      <c r="BH4738">
        <f t="shared" ref="BH4738:BH4801" si="156">IF(COUNTIF($BF$1:$BF$5431,BF4738)=1,0,1)</f>
        <v>0</v>
      </c>
    </row>
    <row r="4739" spans="1:60" ht="72.5" x14ac:dyDescent="0.35">
      <c r="A4739" s="2" t="s">
        <v>6202</v>
      </c>
      <c r="B4739" s="2" t="s">
        <v>6203</v>
      </c>
      <c r="C4739" s="2" t="s">
        <v>46088</v>
      </c>
      <c r="D4739" s="2" t="s">
        <v>46089</v>
      </c>
      <c r="E4739" s="2" t="s">
        <v>46090</v>
      </c>
      <c r="F4739" s="3" t="s">
        <v>489</v>
      </c>
      <c r="G4739" s="3" t="s">
        <v>128</v>
      </c>
      <c r="I4739" s="3" t="s">
        <v>64</v>
      </c>
      <c r="J4739" s="3" t="s">
        <v>64</v>
      </c>
      <c r="K4739" s="3" t="s">
        <v>65</v>
      </c>
      <c r="M4739" s="2" t="s">
        <v>46092</v>
      </c>
      <c r="N4739" s="3" t="s">
        <v>3584</v>
      </c>
      <c r="P4739" s="3" t="s">
        <v>102</v>
      </c>
      <c r="R4739" s="3" t="s">
        <v>70</v>
      </c>
      <c r="S4739" s="4">
        <v>0</v>
      </c>
      <c r="T4739" s="4">
        <v>5</v>
      </c>
      <c r="V4739" s="5" t="s">
        <v>1655</v>
      </c>
      <c r="W4739" s="5" t="s">
        <v>72</v>
      </c>
      <c r="X4739" s="5" t="s">
        <v>72</v>
      </c>
      <c r="Y4739" s="4">
        <v>87</v>
      </c>
      <c r="Z4739" s="4">
        <v>11</v>
      </c>
      <c r="AA4739" s="4">
        <v>11</v>
      </c>
      <c r="AB4739" s="4">
        <v>1</v>
      </c>
      <c r="AC4739" s="4">
        <v>1</v>
      </c>
      <c r="AD4739" s="4">
        <v>56</v>
      </c>
      <c r="AE4739" s="4">
        <v>57</v>
      </c>
      <c r="AF4739" s="4">
        <v>0</v>
      </c>
      <c r="AG4739" s="4">
        <v>0</v>
      </c>
      <c r="AH4739" s="4">
        <v>53</v>
      </c>
      <c r="AI4739" s="4">
        <v>54</v>
      </c>
      <c r="AJ4739" s="4">
        <v>9</v>
      </c>
      <c r="AK4739" s="4">
        <v>9</v>
      </c>
      <c r="AL4739" s="4">
        <v>34</v>
      </c>
      <c r="AM4739" s="4">
        <v>34</v>
      </c>
      <c r="AN4739" s="4">
        <v>0</v>
      </c>
      <c r="AO4739" s="4">
        <v>0</v>
      </c>
      <c r="AP4739" s="4">
        <v>8</v>
      </c>
      <c r="AQ4739" s="4">
        <v>8</v>
      </c>
      <c r="AR4739" s="3" t="s">
        <v>64</v>
      </c>
      <c r="AS4739" s="3" t="s">
        <v>128</v>
      </c>
      <c r="AT4739" s="3" t="s">
        <v>128</v>
      </c>
      <c r="AU4739" s="6" t="str">
        <f>HYPERLINK("http://catalog.hathitrust.org/Record/000192498","HathiTrust Record")</f>
        <v>HathiTrust Record</v>
      </c>
      <c r="AV4739" s="6" t="str">
        <f>HYPERLINK("http://mcgill.on.worldcat.org/oclc/4907886","Catalog Record")</f>
        <v>Catalog Record</v>
      </c>
      <c r="AW4739" s="6" t="str">
        <f>HYPERLINK("http://www.worldcat.org/oclc/4907886","WorldCat Record")</f>
        <v>WorldCat Record</v>
      </c>
      <c r="AX4739" s="3" t="s">
        <v>46093</v>
      </c>
      <c r="AY4739" s="3" t="s">
        <v>46094</v>
      </c>
      <c r="AZ4739" s="3" t="s">
        <v>46095</v>
      </c>
      <c r="BA4739" s="3" t="s">
        <v>46095</v>
      </c>
      <c r="BB4739" s="3" t="s">
        <v>46098</v>
      </c>
      <c r="BC4739" s="3" t="s">
        <v>77</v>
      </c>
      <c r="BD4739" s="3" t="s">
        <v>78</v>
      </c>
      <c r="BF4739" s="3" t="s">
        <v>46098</v>
      </c>
      <c r="BG4739" s="3" t="s">
        <v>46099</v>
      </c>
      <c r="BH4739">
        <f t="shared" si="156"/>
        <v>0</v>
      </c>
    </row>
    <row r="4740" spans="1:60" ht="72.5" x14ac:dyDescent="0.35">
      <c r="A4740" s="2" t="s">
        <v>6202</v>
      </c>
      <c r="B4740" s="2" t="s">
        <v>6203</v>
      </c>
      <c r="C4740" s="2" t="s">
        <v>46088</v>
      </c>
      <c r="D4740" s="2" t="s">
        <v>46089</v>
      </c>
      <c r="E4740" s="2" t="s">
        <v>46090</v>
      </c>
      <c r="F4740" s="3" t="s">
        <v>478</v>
      </c>
      <c r="G4740" s="3" t="s">
        <v>128</v>
      </c>
      <c r="I4740" s="3" t="s">
        <v>64</v>
      </c>
      <c r="J4740" s="3" t="s">
        <v>64</v>
      </c>
      <c r="K4740" s="3" t="s">
        <v>65</v>
      </c>
      <c r="M4740" s="2" t="s">
        <v>46092</v>
      </c>
      <c r="N4740" s="3" t="s">
        <v>3584</v>
      </c>
      <c r="P4740" s="3" t="s">
        <v>102</v>
      </c>
      <c r="R4740" s="3" t="s">
        <v>70</v>
      </c>
      <c r="S4740" s="4">
        <v>0</v>
      </c>
      <c r="T4740" s="4">
        <v>5</v>
      </c>
      <c r="V4740" s="5" t="s">
        <v>1655</v>
      </c>
      <c r="W4740" s="5" t="s">
        <v>72</v>
      </c>
      <c r="X4740" s="5" t="s">
        <v>72</v>
      </c>
      <c r="Y4740" s="4">
        <v>87</v>
      </c>
      <c r="Z4740" s="4">
        <v>11</v>
      </c>
      <c r="AA4740" s="4">
        <v>11</v>
      </c>
      <c r="AB4740" s="4">
        <v>1</v>
      </c>
      <c r="AC4740" s="4">
        <v>1</v>
      </c>
      <c r="AD4740" s="4">
        <v>56</v>
      </c>
      <c r="AE4740" s="4">
        <v>57</v>
      </c>
      <c r="AF4740" s="4">
        <v>0</v>
      </c>
      <c r="AG4740" s="4">
        <v>0</v>
      </c>
      <c r="AH4740" s="4">
        <v>53</v>
      </c>
      <c r="AI4740" s="4">
        <v>54</v>
      </c>
      <c r="AJ4740" s="4">
        <v>9</v>
      </c>
      <c r="AK4740" s="4">
        <v>9</v>
      </c>
      <c r="AL4740" s="4">
        <v>34</v>
      </c>
      <c r="AM4740" s="4">
        <v>34</v>
      </c>
      <c r="AN4740" s="4">
        <v>0</v>
      </c>
      <c r="AO4740" s="4">
        <v>0</v>
      </c>
      <c r="AP4740" s="4">
        <v>8</v>
      </c>
      <c r="AQ4740" s="4">
        <v>8</v>
      </c>
      <c r="AR4740" s="3" t="s">
        <v>64</v>
      </c>
      <c r="AS4740" s="3" t="s">
        <v>128</v>
      </c>
      <c r="AT4740" s="3" t="s">
        <v>128</v>
      </c>
      <c r="AU4740" s="6" t="str">
        <f>HYPERLINK("http://catalog.hathitrust.org/Record/000192498","HathiTrust Record")</f>
        <v>HathiTrust Record</v>
      </c>
      <c r="AV4740" s="6" t="str">
        <f>HYPERLINK("http://mcgill.on.worldcat.org/oclc/4907886","Catalog Record")</f>
        <v>Catalog Record</v>
      </c>
      <c r="AW4740" s="6" t="str">
        <f>HYPERLINK("http://www.worldcat.org/oclc/4907886","WorldCat Record")</f>
        <v>WorldCat Record</v>
      </c>
      <c r="AX4740" s="3" t="s">
        <v>46093</v>
      </c>
      <c r="AY4740" s="3" t="s">
        <v>46094</v>
      </c>
      <c r="AZ4740" s="3" t="s">
        <v>46095</v>
      </c>
      <c r="BA4740" s="3" t="s">
        <v>46095</v>
      </c>
      <c r="BB4740" s="3" t="s">
        <v>46100</v>
      </c>
      <c r="BC4740" s="3" t="s">
        <v>77</v>
      </c>
      <c r="BD4740" s="3" t="s">
        <v>78</v>
      </c>
      <c r="BF4740" s="3" t="s">
        <v>46100</v>
      </c>
      <c r="BG4740" s="3" t="s">
        <v>46101</v>
      </c>
      <c r="BH4740">
        <f t="shared" si="156"/>
        <v>0</v>
      </c>
    </row>
    <row r="4741" spans="1:60" ht="72.5" x14ac:dyDescent="0.35">
      <c r="A4741" s="2" t="s">
        <v>6202</v>
      </c>
      <c r="B4741" s="2" t="s">
        <v>6203</v>
      </c>
      <c r="C4741" s="2" t="s">
        <v>46088</v>
      </c>
      <c r="D4741" s="2" t="s">
        <v>46089</v>
      </c>
      <c r="E4741" s="2" t="s">
        <v>46090</v>
      </c>
      <c r="F4741" s="3" t="s">
        <v>2044</v>
      </c>
      <c r="G4741" s="3" t="s">
        <v>128</v>
      </c>
      <c r="I4741" s="3" t="s">
        <v>64</v>
      </c>
      <c r="J4741" s="3" t="s">
        <v>64</v>
      </c>
      <c r="K4741" s="3" t="s">
        <v>65</v>
      </c>
      <c r="M4741" s="2" t="s">
        <v>46092</v>
      </c>
      <c r="N4741" s="3" t="s">
        <v>3584</v>
      </c>
      <c r="P4741" s="3" t="s">
        <v>102</v>
      </c>
      <c r="R4741" s="3" t="s">
        <v>70</v>
      </c>
      <c r="S4741" s="4">
        <v>0</v>
      </c>
      <c r="T4741" s="4">
        <v>5</v>
      </c>
      <c r="V4741" s="5" t="s">
        <v>1655</v>
      </c>
      <c r="W4741" s="5" t="s">
        <v>72</v>
      </c>
      <c r="X4741" s="5" t="s">
        <v>72</v>
      </c>
      <c r="Y4741" s="4">
        <v>87</v>
      </c>
      <c r="Z4741" s="4">
        <v>11</v>
      </c>
      <c r="AA4741" s="4">
        <v>11</v>
      </c>
      <c r="AB4741" s="4">
        <v>1</v>
      </c>
      <c r="AC4741" s="4">
        <v>1</v>
      </c>
      <c r="AD4741" s="4">
        <v>56</v>
      </c>
      <c r="AE4741" s="4">
        <v>57</v>
      </c>
      <c r="AF4741" s="4">
        <v>0</v>
      </c>
      <c r="AG4741" s="4">
        <v>0</v>
      </c>
      <c r="AH4741" s="4">
        <v>53</v>
      </c>
      <c r="AI4741" s="4">
        <v>54</v>
      </c>
      <c r="AJ4741" s="4">
        <v>9</v>
      </c>
      <c r="AK4741" s="4">
        <v>9</v>
      </c>
      <c r="AL4741" s="4">
        <v>34</v>
      </c>
      <c r="AM4741" s="4">
        <v>34</v>
      </c>
      <c r="AN4741" s="4">
        <v>0</v>
      </c>
      <c r="AO4741" s="4">
        <v>0</v>
      </c>
      <c r="AP4741" s="4">
        <v>8</v>
      </c>
      <c r="AQ4741" s="4">
        <v>8</v>
      </c>
      <c r="AR4741" s="3" t="s">
        <v>64</v>
      </c>
      <c r="AS4741" s="3" t="s">
        <v>128</v>
      </c>
      <c r="AT4741" s="3" t="s">
        <v>128</v>
      </c>
      <c r="AU4741" s="6" t="str">
        <f>HYPERLINK("http://catalog.hathitrust.org/Record/000192498","HathiTrust Record")</f>
        <v>HathiTrust Record</v>
      </c>
      <c r="AV4741" s="6" t="str">
        <f>HYPERLINK("http://mcgill.on.worldcat.org/oclc/4907886","Catalog Record")</f>
        <v>Catalog Record</v>
      </c>
      <c r="AW4741" s="6" t="str">
        <f>HYPERLINK("http://www.worldcat.org/oclc/4907886","WorldCat Record")</f>
        <v>WorldCat Record</v>
      </c>
      <c r="AX4741" s="3" t="s">
        <v>46093</v>
      </c>
      <c r="AY4741" s="3" t="s">
        <v>46094</v>
      </c>
      <c r="AZ4741" s="3" t="s">
        <v>46095</v>
      </c>
      <c r="BA4741" s="3" t="s">
        <v>46095</v>
      </c>
      <c r="BB4741" s="3" t="s">
        <v>46102</v>
      </c>
      <c r="BC4741" s="3" t="s">
        <v>77</v>
      </c>
      <c r="BD4741" s="3" t="s">
        <v>78</v>
      </c>
      <c r="BF4741" s="3" t="s">
        <v>46102</v>
      </c>
      <c r="BG4741" s="3" t="s">
        <v>46103</v>
      </c>
      <c r="BH4741">
        <f t="shared" si="156"/>
        <v>0</v>
      </c>
    </row>
    <row r="4742" spans="1:60" ht="72.5" x14ac:dyDescent="0.35">
      <c r="A4742" s="2" t="s">
        <v>6202</v>
      </c>
      <c r="B4742" s="2" t="s">
        <v>6203</v>
      </c>
      <c r="C4742" s="2" t="s">
        <v>46088</v>
      </c>
      <c r="D4742" s="2" t="s">
        <v>46089</v>
      </c>
      <c r="E4742" s="2" t="s">
        <v>46090</v>
      </c>
      <c r="F4742" s="3" t="s">
        <v>46104</v>
      </c>
      <c r="G4742" s="3" t="s">
        <v>128</v>
      </c>
      <c r="I4742" s="3" t="s">
        <v>64</v>
      </c>
      <c r="J4742" s="3" t="s">
        <v>64</v>
      </c>
      <c r="K4742" s="3" t="s">
        <v>65</v>
      </c>
      <c r="M4742" s="2" t="s">
        <v>46092</v>
      </c>
      <c r="N4742" s="3" t="s">
        <v>3584</v>
      </c>
      <c r="P4742" s="3" t="s">
        <v>102</v>
      </c>
      <c r="R4742" s="3" t="s">
        <v>70</v>
      </c>
      <c r="S4742" s="4">
        <v>0</v>
      </c>
      <c r="T4742" s="4">
        <v>5</v>
      </c>
      <c r="V4742" s="5" t="s">
        <v>1655</v>
      </c>
      <c r="W4742" s="5" t="s">
        <v>72</v>
      </c>
      <c r="X4742" s="5" t="s">
        <v>72</v>
      </c>
      <c r="Y4742" s="4">
        <v>87</v>
      </c>
      <c r="Z4742" s="4">
        <v>11</v>
      </c>
      <c r="AA4742" s="4">
        <v>11</v>
      </c>
      <c r="AB4742" s="4">
        <v>1</v>
      </c>
      <c r="AC4742" s="4">
        <v>1</v>
      </c>
      <c r="AD4742" s="4">
        <v>56</v>
      </c>
      <c r="AE4742" s="4">
        <v>57</v>
      </c>
      <c r="AF4742" s="4">
        <v>0</v>
      </c>
      <c r="AG4742" s="4">
        <v>0</v>
      </c>
      <c r="AH4742" s="4">
        <v>53</v>
      </c>
      <c r="AI4742" s="4">
        <v>54</v>
      </c>
      <c r="AJ4742" s="4">
        <v>9</v>
      </c>
      <c r="AK4742" s="4">
        <v>9</v>
      </c>
      <c r="AL4742" s="4">
        <v>34</v>
      </c>
      <c r="AM4742" s="4">
        <v>34</v>
      </c>
      <c r="AN4742" s="4">
        <v>0</v>
      </c>
      <c r="AO4742" s="4">
        <v>0</v>
      </c>
      <c r="AP4742" s="4">
        <v>8</v>
      </c>
      <c r="AQ4742" s="4">
        <v>8</v>
      </c>
      <c r="AR4742" s="3" t="s">
        <v>64</v>
      </c>
      <c r="AS4742" s="3" t="s">
        <v>128</v>
      </c>
      <c r="AT4742" s="3" t="s">
        <v>128</v>
      </c>
      <c r="AU4742" s="6" t="str">
        <f>HYPERLINK("http://catalog.hathitrust.org/Record/000192498","HathiTrust Record")</f>
        <v>HathiTrust Record</v>
      </c>
      <c r="AV4742" s="6" t="str">
        <f>HYPERLINK("http://mcgill.on.worldcat.org/oclc/4907886","Catalog Record")</f>
        <v>Catalog Record</v>
      </c>
      <c r="AW4742" s="6" t="str">
        <f>HYPERLINK("http://www.worldcat.org/oclc/4907886","WorldCat Record")</f>
        <v>WorldCat Record</v>
      </c>
      <c r="AX4742" s="3" t="s">
        <v>46093</v>
      </c>
      <c r="AY4742" s="3" t="s">
        <v>46094</v>
      </c>
      <c r="AZ4742" s="3" t="s">
        <v>46095</v>
      </c>
      <c r="BA4742" s="3" t="s">
        <v>46095</v>
      </c>
      <c r="BB4742" s="3" t="s">
        <v>46105</v>
      </c>
      <c r="BC4742" s="3" t="s">
        <v>77</v>
      </c>
      <c r="BD4742" s="3" t="s">
        <v>78</v>
      </c>
      <c r="BF4742" s="3" t="s">
        <v>46105</v>
      </c>
      <c r="BG4742" s="3" t="s">
        <v>46106</v>
      </c>
      <c r="BH4742">
        <f t="shared" si="156"/>
        <v>0</v>
      </c>
    </row>
    <row r="4743" spans="1:60" ht="58" x14ac:dyDescent="0.35">
      <c r="A4743" s="2" t="s">
        <v>6202</v>
      </c>
      <c r="B4743" s="2" t="s">
        <v>6203</v>
      </c>
      <c r="C4743" s="2" t="s">
        <v>46107</v>
      </c>
      <c r="D4743" s="2" t="s">
        <v>46108</v>
      </c>
      <c r="E4743" s="2" t="s">
        <v>46109</v>
      </c>
      <c r="G4743" s="3" t="s">
        <v>64</v>
      </c>
      <c r="I4743" s="3" t="s">
        <v>128</v>
      </c>
      <c r="J4743" s="3" t="s">
        <v>64</v>
      </c>
      <c r="K4743" s="3" t="s">
        <v>65</v>
      </c>
      <c r="L4743" s="2" t="s">
        <v>46110</v>
      </c>
      <c r="M4743" s="2" t="s">
        <v>46111</v>
      </c>
      <c r="N4743" s="3" t="s">
        <v>1750</v>
      </c>
      <c r="P4743" s="3" t="s">
        <v>102</v>
      </c>
      <c r="R4743" s="3" t="s">
        <v>70</v>
      </c>
      <c r="S4743" s="4">
        <v>0</v>
      </c>
      <c r="T4743" s="4">
        <v>1</v>
      </c>
      <c r="V4743" s="5" t="s">
        <v>1655</v>
      </c>
      <c r="W4743" s="5" t="s">
        <v>72</v>
      </c>
      <c r="X4743" s="5" t="s">
        <v>72</v>
      </c>
      <c r="Y4743" s="4">
        <v>53</v>
      </c>
      <c r="Z4743" s="4">
        <v>10</v>
      </c>
      <c r="AA4743" s="4">
        <v>10</v>
      </c>
      <c r="AB4743" s="4">
        <v>1</v>
      </c>
      <c r="AC4743" s="4">
        <v>1</v>
      </c>
      <c r="AD4743" s="4">
        <v>34</v>
      </c>
      <c r="AE4743" s="4">
        <v>34</v>
      </c>
      <c r="AF4743" s="4">
        <v>0</v>
      </c>
      <c r="AG4743" s="4">
        <v>0</v>
      </c>
      <c r="AH4743" s="4">
        <v>30</v>
      </c>
      <c r="AI4743" s="4">
        <v>30</v>
      </c>
      <c r="AJ4743" s="4">
        <v>8</v>
      </c>
      <c r="AK4743" s="4">
        <v>8</v>
      </c>
      <c r="AL4743" s="4">
        <v>22</v>
      </c>
      <c r="AM4743" s="4">
        <v>22</v>
      </c>
      <c r="AN4743" s="4">
        <v>0</v>
      </c>
      <c r="AO4743" s="4">
        <v>0</v>
      </c>
      <c r="AP4743" s="4">
        <v>7</v>
      </c>
      <c r="AQ4743" s="4">
        <v>7</v>
      </c>
      <c r="AR4743" s="3" t="s">
        <v>64</v>
      </c>
      <c r="AS4743" s="3" t="s">
        <v>64</v>
      </c>
      <c r="AT4743" s="3" t="s">
        <v>128</v>
      </c>
      <c r="AU4743" s="6" t="str">
        <f>HYPERLINK("http://catalog.hathitrust.org/Record/000709891","HathiTrust Record")</f>
        <v>HathiTrust Record</v>
      </c>
      <c r="AV4743" s="6" t="str">
        <f>HYPERLINK("http://mcgill.on.worldcat.org/oclc/2202266","Catalog Record")</f>
        <v>Catalog Record</v>
      </c>
      <c r="AW4743" s="6" t="str">
        <f>HYPERLINK("http://www.worldcat.org/oclc/2202266","WorldCat Record")</f>
        <v>WorldCat Record</v>
      </c>
      <c r="AX4743" s="3" t="s">
        <v>46112</v>
      </c>
      <c r="AY4743" s="3" t="s">
        <v>46113</v>
      </c>
      <c r="AZ4743" s="3" t="s">
        <v>46114</v>
      </c>
      <c r="BA4743" s="3" t="s">
        <v>46114</v>
      </c>
      <c r="BB4743" s="3" t="s">
        <v>46115</v>
      </c>
      <c r="BC4743" s="3" t="s">
        <v>77</v>
      </c>
      <c r="BD4743" s="3" t="s">
        <v>78</v>
      </c>
      <c r="BF4743" s="3" t="s">
        <v>46115</v>
      </c>
      <c r="BG4743" s="3" t="s">
        <v>46116</v>
      </c>
      <c r="BH4743">
        <f t="shared" si="156"/>
        <v>0</v>
      </c>
    </row>
    <row r="4744" spans="1:60" ht="58" x14ac:dyDescent="0.35">
      <c r="A4744" s="2" t="s">
        <v>59</v>
      </c>
      <c r="B4744" s="2" t="s">
        <v>60</v>
      </c>
      <c r="C4744" s="2" t="s">
        <v>46117</v>
      </c>
      <c r="D4744" s="2" t="s">
        <v>46118</v>
      </c>
      <c r="E4744" s="2" t="s">
        <v>46119</v>
      </c>
      <c r="G4744" s="3" t="s">
        <v>64</v>
      </c>
      <c r="I4744" s="3" t="s">
        <v>128</v>
      </c>
      <c r="J4744" s="3" t="s">
        <v>64</v>
      </c>
      <c r="K4744" s="3" t="s">
        <v>65</v>
      </c>
      <c r="L4744" s="2" t="s">
        <v>46120</v>
      </c>
      <c r="M4744" s="2" t="s">
        <v>46121</v>
      </c>
      <c r="N4744" s="3" t="s">
        <v>7285</v>
      </c>
      <c r="P4744" s="3" t="s">
        <v>102</v>
      </c>
      <c r="Q4744" s="2" t="s">
        <v>46122</v>
      </c>
      <c r="R4744" s="3" t="s">
        <v>70</v>
      </c>
      <c r="S4744" s="4">
        <v>0</v>
      </c>
      <c r="T4744" s="4">
        <v>1</v>
      </c>
      <c r="V4744" s="5" t="s">
        <v>1655</v>
      </c>
      <c r="W4744" s="5" t="s">
        <v>72</v>
      </c>
      <c r="X4744" s="5" t="s">
        <v>72</v>
      </c>
      <c r="Y4744" s="4">
        <v>128</v>
      </c>
      <c r="Z4744" s="4">
        <v>10</v>
      </c>
      <c r="AA4744" s="4">
        <v>10</v>
      </c>
      <c r="AB4744" s="4">
        <v>1</v>
      </c>
      <c r="AC4744" s="4">
        <v>1</v>
      </c>
      <c r="AD4744" s="4">
        <v>52</v>
      </c>
      <c r="AE4744" s="4">
        <v>52</v>
      </c>
      <c r="AF4744" s="4">
        <v>0</v>
      </c>
      <c r="AG4744" s="4">
        <v>0</v>
      </c>
      <c r="AH4744" s="4">
        <v>45</v>
      </c>
      <c r="AI4744" s="4">
        <v>45</v>
      </c>
      <c r="AJ4744" s="4">
        <v>7</v>
      </c>
      <c r="AK4744" s="4">
        <v>7</v>
      </c>
      <c r="AL4744" s="4">
        <v>31</v>
      </c>
      <c r="AM4744" s="4">
        <v>31</v>
      </c>
      <c r="AN4744" s="4">
        <v>0</v>
      </c>
      <c r="AO4744" s="4">
        <v>0</v>
      </c>
      <c r="AP4744" s="4">
        <v>8</v>
      </c>
      <c r="AQ4744" s="4">
        <v>8</v>
      </c>
      <c r="AR4744" s="3" t="s">
        <v>64</v>
      </c>
      <c r="AS4744" s="3" t="s">
        <v>64</v>
      </c>
      <c r="AT4744" s="3" t="s">
        <v>128</v>
      </c>
      <c r="AU4744" s="6" t="str">
        <f>HYPERLINK("http://catalog.hathitrust.org/Record/001644514","HathiTrust Record")</f>
        <v>HathiTrust Record</v>
      </c>
      <c r="AV4744" s="6" t="str">
        <f>HYPERLINK("http://mcgill.on.worldcat.org/oclc/417324","Catalog Record")</f>
        <v>Catalog Record</v>
      </c>
      <c r="AW4744" s="6" t="str">
        <f>HYPERLINK("http://www.worldcat.org/oclc/417324","WorldCat Record")</f>
        <v>WorldCat Record</v>
      </c>
      <c r="AX4744" s="3" t="s">
        <v>46123</v>
      </c>
      <c r="AY4744" s="3" t="s">
        <v>46124</v>
      </c>
      <c r="AZ4744" s="3" t="s">
        <v>46125</v>
      </c>
      <c r="BA4744" s="3" t="s">
        <v>46125</v>
      </c>
      <c r="BB4744" s="3" t="s">
        <v>46126</v>
      </c>
      <c r="BC4744" s="3" t="s">
        <v>77</v>
      </c>
      <c r="BD4744" s="3" t="s">
        <v>78</v>
      </c>
      <c r="BE4744" s="3" t="s">
        <v>46127</v>
      </c>
      <c r="BF4744" s="3" t="s">
        <v>46126</v>
      </c>
      <c r="BG4744" s="3" t="s">
        <v>46128</v>
      </c>
      <c r="BH4744">
        <f t="shared" si="156"/>
        <v>0</v>
      </c>
    </row>
    <row r="4745" spans="1:60" ht="72.5" x14ac:dyDescent="0.35">
      <c r="A4745" s="2" t="s">
        <v>59</v>
      </c>
      <c r="B4745" s="2" t="s">
        <v>60</v>
      </c>
      <c r="C4745" s="2" t="s">
        <v>46129</v>
      </c>
      <c r="D4745" s="2" t="s">
        <v>46130</v>
      </c>
      <c r="E4745" s="2" t="s">
        <v>46131</v>
      </c>
      <c r="G4745" s="3" t="s">
        <v>64</v>
      </c>
      <c r="I4745" s="3" t="s">
        <v>64</v>
      </c>
      <c r="J4745" s="3" t="s">
        <v>64</v>
      </c>
      <c r="K4745" s="3" t="s">
        <v>65</v>
      </c>
      <c r="M4745" s="2" t="s">
        <v>6507</v>
      </c>
      <c r="N4745" s="3" t="s">
        <v>86</v>
      </c>
      <c r="P4745" s="3" t="s">
        <v>365</v>
      </c>
      <c r="Q4745" s="2" t="s">
        <v>46132</v>
      </c>
      <c r="R4745" s="3" t="s">
        <v>70</v>
      </c>
      <c r="S4745" s="4">
        <v>0</v>
      </c>
      <c r="T4745" s="4">
        <v>0</v>
      </c>
      <c r="W4745" s="5" t="s">
        <v>72</v>
      </c>
      <c r="X4745" s="5" t="s">
        <v>72</v>
      </c>
      <c r="Y4745" s="4">
        <v>31</v>
      </c>
      <c r="Z4745" s="4">
        <v>3</v>
      </c>
      <c r="AA4745" s="4">
        <v>4</v>
      </c>
      <c r="AB4745" s="4">
        <v>1</v>
      </c>
      <c r="AC4745" s="4">
        <v>2</v>
      </c>
      <c r="AD4745" s="4">
        <v>20</v>
      </c>
      <c r="AE4745" s="4">
        <v>24</v>
      </c>
      <c r="AF4745" s="4">
        <v>0</v>
      </c>
      <c r="AG4745" s="4">
        <v>0</v>
      </c>
      <c r="AH4745" s="4">
        <v>19</v>
      </c>
      <c r="AI4745" s="4">
        <v>23</v>
      </c>
      <c r="AJ4745" s="4">
        <v>1</v>
      </c>
      <c r="AK4745" s="4">
        <v>1</v>
      </c>
      <c r="AL4745" s="4">
        <v>17</v>
      </c>
      <c r="AM4745" s="4">
        <v>19</v>
      </c>
      <c r="AN4745" s="4">
        <v>0</v>
      </c>
      <c r="AO4745" s="4">
        <v>0</v>
      </c>
      <c r="AP4745" s="4">
        <v>1</v>
      </c>
      <c r="AQ4745" s="4">
        <v>1</v>
      </c>
      <c r="AR4745" s="3" t="s">
        <v>64</v>
      </c>
      <c r="AS4745" s="3" t="s">
        <v>64</v>
      </c>
      <c r="AT4745" s="3" t="s">
        <v>128</v>
      </c>
      <c r="AU4745" s="6" t="str">
        <f>HYPERLINK("http://catalog.hathitrust.org/Record/100896345","HathiTrust Record")</f>
        <v>HathiTrust Record</v>
      </c>
      <c r="AV4745" s="6" t="str">
        <f>HYPERLINK("http://mcgill.on.worldcat.org/oclc/812997722","Catalog Record")</f>
        <v>Catalog Record</v>
      </c>
      <c r="AW4745" s="6" t="str">
        <f>HYPERLINK("http://www.worldcat.org/oclc/812997722","WorldCat Record")</f>
        <v>WorldCat Record</v>
      </c>
      <c r="AX4745" s="3" t="s">
        <v>46133</v>
      </c>
      <c r="AY4745" s="3" t="s">
        <v>46134</v>
      </c>
      <c r="AZ4745" s="3" t="s">
        <v>46135</v>
      </c>
      <c r="BA4745" s="3" t="s">
        <v>46135</v>
      </c>
      <c r="BB4745" s="3" t="s">
        <v>46136</v>
      </c>
      <c r="BC4745" s="3" t="s">
        <v>77</v>
      </c>
      <c r="BD4745" s="3" t="s">
        <v>78</v>
      </c>
      <c r="BE4745" s="3" t="s">
        <v>46137</v>
      </c>
      <c r="BF4745" s="3" t="s">
        <v>46136</v>
      </c>
      <c r="BG4745" s="3" t="s">
        <v>46138</v>
      </c>
      <c r="BH4745">
        <f t="shared" si="156"/>
        <v>0</v>
      </c>
    </row>
    <row r="4746" spans="1:60" ht="58" x14ac:dyDescent="0.35">
      <c r="A4746" s="2" t="s">
        <v>6202</v>
      </c>
      <c r="B4746" s="2" t="s">
        <v>6203</v>
      </c>
      <c r="C4746" s="2" t="s">
        <v>46139</v>
      </c>
      <c r="D4746" s="2" t="s">
        <v>46140</v>
      </c>
      <c r="E4746" s="2" t="s">
        <v>46141</v>
      </c>
      <c r="G4746" s="3" t="s">
        <v>64</v>
      </c>
      <c r="I4746" s="3" t="s">
        <v>128</v>
      </c>
      <c r="J4746" s="3" t="s">
        <v>64</v>
      </c>
      <c r="K4746" s="3" t="s">
        <v>65</v>
      </c>
      <c r="L4746" s="2" t="s">
        <v>46142</v>
      </c>
      <c r="M4746" s="2" t="s">
        <v>46143</v>
      </c>
      <c r="N4746" s="3" t="s">
        <v>1763</v>
      </c>
      <c r="P4746" s="3" t="s">
        <v>102</v>
      </c>
      <c r="R4746" s="3" t="s">
        <v>70</v>
      </c>
      <c r="S4746" s="4">
        <v>0</v>
      </c>
      <c r="T4746" s="4">
        <v>1</v>
      </c>
      <c r="V4746" s="5" t="s">
        <v>1655</v>
      </c>
      <c r="W4746" s="5" t="s">
        <v>72</v>
      </c>
      <c r="X4746" s="5" t="s">
        <v>72</v>
      </c>
      <c r="Y4746" s="4">
        <v>200</v>
      </c>
      <c r="Z4746" s="4">
        <v>18</v>
      </c>
      <c r="AA4746" s="4">
        <v>19</v>
      </c>
      <c r="AB4746" s="4">
        <v>2</v>
      </c>
      <c r="AC4746" s="4">
        <v>3</v>
      </c>
      <c r="AD4746" s="4">
        <v>85</v>
      </c>
      <c r="AE4746" s="4">
        <v>86</v>
      </c>
      <c r="AF4746" s="4">
        <v>1</v>
      </c>
      <c r="AG4746" s="4">
        <v>2</v>
      </c>
      <c r="AH4746" s="4">
        <v>77</v>
      </c>
      <c r="AI4746" s="4">
        <v>78</v>
      </c>
      <c r="AJ4746" s="4">
        <v>14</v>
      </c>
      <c r="AK4746" s="4">
        <v>15</v>
      </c>
      <c r="AL4746" s="4">
        <v>46</v>
      </c>
      <c r="AM4746" s="4">
        <v>46</v>
      </c>
      <c r="AN4746" s="4">
        <v>0</v>
      </c>
      <c r="AO4746" s="4">
        <v>0</v>
      </c>
      <c r="AP4746" s="4">
        <v>15</v>
      </c>
      <c r="AQ4746" s="4">
        <v>16</v>
      </c>
      <c r="AR4746" s="3" t="s">
        <v>64</v>
      </c>
      <c r="AS4746" s="3" t="s">
        <v>64</v>
      </c>
      <c r="AT4746" s="3" t="s">
        <v>128</v>
      </c>
      <c r="AU4746" s="6" t="str">
        <f>HYPERLINK("http://catalog.hathitrust.org/Record/000164859","HathiTrust Record")</f>
        <v>HathiTrust Record</v>
      </c>
      <c r="AV4746" s="6" t="str">
        <f>HYPERLINK("http://mcgill.on.worldcat.org/oclc/10725074","Catalog Record")</f>
        <v>Catalog Record</v>
      </c>
      <c r="AW4746" s="6" t="str">
        <f>HYPERLINK("http://www.worldcat.org/oclc/10725074","WorldCat Record")</f>
        <v>WorldCat Record</v>
      </c>
      <c r="AX4746" s="3" t="s">
        <v>46144</v>
      </c>
      <c r="AY4746" s="3" t="s">
        <v>46145</v>
      </c>
      <c r="AZ4746" s="3" t="s">
        <v>46146</v>
      </c>
      <c r="BA4746" s="3" t="s">
        <v>46146</v>
      </c>
      <c r="BB4746" s="3" t="s">
        <v>46147</v>
      </c>
      <c r="BC4746" s="3" t="s">
        <v>77</v>
      </c>
      <c r="BD4746" s="3" t="s">
        <v>78</v>
      </c>
      <c r="BE4746" s="3" t="s">
        <v>46148</v>
      </c>
      <c r="BF4746" s="3" t="s">
        <v>46147</v>
      </c>
      <c r="BG4746" s="3" t="s">
        <v>46149</v>
      </c>
      <c r="BH4746">
        <f t="shared" si="156"/>
        <v>0</v>
      </c>
    </row>
    <row r="4747" spans="1:60" ht="58" x14ac:dyDescent="0.35">
      <c r="A4747" s="2" t="s">
        <v>6202</v>
      </c>
      <c r="B4747" s="2" t="s">
        <v>6203</v>
      </c>
      <c r="C4747" s="2" t="s">
        <v>46150</v>
      </c>
      <c r="D4747" s="2" t="s">
        <v>46151</v>
      </c>
      <c r="E4747" s="2" t="s">
        <v>46152</v>
      </c>
      <c r="G4747" s="3" t="s">
        <v>64</v>
      </c>
      <c r="I4747" s="3" t="s">
        <v>64</v>
      </c>
      <c r="J4747" s="3" t="s">
        <v>64</v>
      </c>
      <c r="K4747" s="3" t="s">
        <v>65</v>
      </c>
      <c r="L4747" s="2" t="s">
        <v>46153</v>
      </c>
      <c r="M4747" s="2" t="s">
        <v>46154</v>
      </c>
      <c r="N4747" s="3" t="s">
        <v>1263</v>
      </c>
      <c r="P4747" s="3" t="s">
        <v>102</v>
      </c>
      <c r="Q4747" s="2" t="s">
        <v>46155</v>
      </c>
      <c r="R4747" s="3" t="s">
        <v>70</v>
      </c>
      <c r="S4747" s="4">
        <v>1</v>
      </c>
      <c r="T4747" s="4">
        <v>1</v>
      </c>
      <c r="U4747" s="5" t="s">
        <v>46156</v>
      </c>
      <c r="V4747" s="5" t="s">
        <v>46156</v>
      </c>
      <c r="W4747" s="5" t="s">
        <v>72</v>
      </c>
      <c r="X4747" s="5" t="s">
        <v>72</v>
      </c>
      <c r="Y4747" s="4">
        <v>52</v>
      </c>
      <c r="Z4747" s="4">
        <v>4</v>
      </c>
      <c r="AA4747" s="4">
        <v>4</v>
      </c>
      <c r="AB4747" s="4">
        <v>1</v>
      </c>
      <c r="AC4747" s="4">
        <v>1</v>
      </c>
      <c r="AD4747" s="4">
        <v>15</v>
      </c>
      <c r="AE4747" s="4">
        <v>15</v>
      </c>
      <c r="AF4747" s="4">
        <v>0</v>
      </c>
      <c r="AG4747" s="4">
        <v>0</v>
      </c>
      <c r="AH4747" s="4">
        <v>15</v>
      </c>
      <c r="AI4747" s="4">
        <v>15</v>
      </c>
      <c r="AJ4747" s="4">
        <v>2</v>
      </c>
      <c r="AK4747" s="4">
        <v>2</v>
      </c>
      <c r="AL4747" s="4">
        <v>10</v>
      </c>
      <c r="AM4747" s="4">
        <v>10</v>
      </c>
      <c r="AN4747" s="4">
        <v>0</v>
      </c>
      <c r="AO4747" s="4">
        <v>0</v>
      </c>
      <c r="AP4747" s="4">
        <v>2</v>
      </c>
      <c r="AQ4747" s="4">
        <v>2</v>
      </c>
      <c r="AR4747" s="3" t="s">
        <v>64</v>
      </c>
      <c r="AS4747" s="3" t="s">
        <v>64</v>
      </c>
      <c r="AT4747" s="3" t="s">
        <v>128</v>
      </c>
      <c r="AU4747" s="6" t="str">
        <f>HYPERLINK("http://catalog.hathitrust.org/Record/008317837","HathiTrust Record")</f>
        <v>HathiTrust Record</v>
      </c>
      <c r="AV4747" s="6" t="str">
        <f>HYPERLINK("http://mcgill.on.worldcat.org/oclc/30137210","Catalog Record")</f>
        <v>Catalog Record</v>
      </c>
      <c r="AW4747" s="6" t="str">
        <f>HYPERLINK("http://www.worldcat.org/oclc/30137210","WorldCat Record")</f>
        <v>WorldCat Record</v>
      </c>
      <c r="AX4747" s="3" t="s">
        <v>46157</v>
      </c>
      <c r="AY4747" s="3" t="s">
        <v>46158</v>
      </c>
      <c r="AZ4747" s="3" t="s">
        <v>46159</v>
      </c>
      <c r="BA4747" s="3" t="s">
        <v>46159</v>
      </c>
      <c r="BB4747" s="3" t="s">
        <v>46160</v>
      </c>
      <c r="BC4747" s="3" t="s">
        <v>77</v>
      </c>
      <c r="BD4747" s="3" t="s">
        <v>78</v>
      </c>
      <c r="BF4747" s="3" t="s">
        <v>46160</v>
      </c>
      <c r="BG4747" s="3" t="s">
        <v>46161</v>
      </c>
      <c r="BH4747">
        <f t="shared" si="156"/>
        <v>0</v>
      </c>
    </row>
    <row r="4748" spans="1:60" ht="58" x14ac:dyDescent="0.35">
      <c r="A4748" s="2" t="s">
        <v>6202</v>
      </c>
      <c r="B4748" s="2" t="s">
        <v>6203</v>
      </c>
      <c r="C4748" s="2" t="s">
        <v>46162</v>
      </c>
      <c r="D4748" s="2" t="s">
        <v>46163</v>
      </c>
      <c r="E4748" s="2" t="s">
        <v>46164</v>
      </c>
      <c r="G4748" s="3" t="s">
        <v>64</v>
      </c>
      <c r="I4748" s="3" t="s">
        <v>128</v>
      </c>
      <c r="J4748" s="3" t="s">
        <v>64</v>
      </c>
      <c r="K4748" s="3" t="s">
        <v>65</v>
      </c>
      <c r="L4748" s="2" t="s">
        <v>46165</v>
      </c>
      <c r="M4748" s="2" t="s">
        <v>46166</v>
      </c>
      <c r="N4748" s="3" t="s">
        <v>456</v>
      </c>
      <c r="O4748" s="2" t="s">
        <v>8153</v>
      </c>
      <c r="P4748" s="3" t="s">
        <v>102</v>
      </c>
      <c r="R4748" s="3" t="s">
        <v>70</v>
      </c>
      <c r="S4748" s="4">
        <v>0</v>
      </c>
      <c r="T4748" s="4">
        <v>3</v>
      </c>
      <c r="V4748" s="5" t="s">
        <v>14247</v>
      </c>
      <c r="W4748" s="5" t="s">
        <v>72</v>
      </c>
      <c r="X4748" s="5" t="s">
        <v>72</v>
      </c>
      <c r="Y4748" s="4">
        <v>206</v>
      </c>
      <c r="Z4748" s="4">
        <v>19</v>
      </c>
      <c r="AA4748" s="4">
        <v>22</v>
      </c>
      <c r="AB4748" s="4">
        <v>3</v>
      </c>
      <c r="AC4748" s="4">
        <v>5</v>
      </c>
      <c r="AD4748" s="4">
        <v>80</v>
      </c>
      <c r="AE4748" s="4">
        <v>83</v>
      </c>
      <c r="AF4748" s="4">
        <v>1</v>
      </c>
      <c r="AG4748" s="4">
        <v>3</v>
      </c>
      <c r="AH4748" s="4">
        <v>69</v>
      </c>
      <c r="AI4748" s="4">
        <v>71</v>
      </c>
      <c r="AJ4748" s="4">
        <v>11</v>
      </c>
      <c r="AK4748" s="4">
        <v>14</v>
      </c>
      <c r="AL4748" s="4">
        <v>43</v>
      </c>
      <c r="AM4748" s="4">
        <v>43</v>
      </c>
      <c r="AN4748" s="4">
        <v>0</v>
      </c>
      <c r="AO4748" s="4">
        <v>0</v>
      </c>
      <c r="AP4748" s="4">
        <v>15</v>
      </c>
      <c r="AQ4748" s="4">
        <v>17</v>
      </c>
      <c r="AR4748" s="3" t="s">
        <v>64</v>
      </c>
      <c r="AS4748" s="3" t="s">
        <v>64</v>
      </c>
      <c r="AT4748" s="3" t="s">
        <v>128</v>
      </c>
      <c r="AU4748" s="6" t="str">
        <f>HYPERLINK("http://catalog.hathitrust.org/Record/003035625","HathiTrust Record")</f>
        <v>HathiTrust Record</v>
      </c>
      <c r="AV4748" s="6" t="str">
        <f>HYPERLINK("http://mcgill.on.worldcat.org/oclc/581543","Catalog Record")</f>
        <v>Catalog Record</v>
      </c>
      <c r="AW4748" s="6" t="str">
        <f>HYPERLINK("http://www.worldcat.org/oclc/581543","WorldCat Record")</f>
        <v>WorldCat Record</v>
      </c>
      <c r="AX4748" s="3" t="s">
        <v>46167</v>
      </c>
      <c r="AY4748" s="3" t="s">
        <v>46168</v>
      </c>
      <c r="AZ4748" s="3" t="s">
        <v>46169</v>
      </c>
      <c r="BA4748" s="3" t="s">
        <v>46169</v>
      </c>
      <c r="BB4748" s="3" t="s">
        <v>46170</v>
      </c>
      <c r="BC4748" s="3" t="s">
        <v>77</v>
      </c>
      <c r="BD4748" s="3" t="s">
        <v>78</v>
      </c>
      <c r="BF4748" s="3" t="s">
        <v>46170</v>
      </c>
      <c r="BG4748" s="3" t="s">
        <v>46171</v>
      </c>
      <c r="BH4748">
        <f t="shared" si="156"/>
        <v>0</v>
      </c>
    </row>
    <row r="4749" spans="1:60" ht="58" x14ac:dyDescent="0.35">
      <c r="A4749" s="2" t="s">
        <v>1932</v>
      </c>
      <c r="B4749" s="2" t="s">
        <v>7461</v>
      </c>
      <c r="C4749" s="2" t="s">
        <v>46172</v>
      </c>
      <c r="D4749" s="2" t="s">
        <v>46173</v>
      </c>
      <c r="E4749" s="2" t="s">
        <v>46164</v>
      </c>
      <c r="G4749" s="3" t="s">
        <v>64</v>
      </c>
      <c r="I4749" s="3" t="s">
        <v>128</v>
      </c>
      <c r="J4749" s="3" t="s">
        <v>64</v>
      </c>
      <c r="K4749" s="3" t="s">
        <v>65</v>
      </c>
      <c r="L4749" s="2" t="s">
        <v>46165</v>
      </c>
      <c r="M4749" s="2" t="s">
        <v>46166</v>
      </c>
      <c r="N4749" s="3" t="s">
        <v>456</v>
      </c>
      <c r="O4749" s="2" t="s">
        <v>8153</v>
      </c>
      <c r="P4749" s="3" t="s">
        <v>102</v>
      </c>
      <c r="R4749" s="3" t="s">
        <v>70</v>
      </c>
      <c r="S4749" s="4">
        <v>3</v>
      </c>
      <c r="T4749" s="4">
        <v>3</v>
      </c>
      <c r="U4749" s="5" t="s">
        <v>14247</v>
      </c>
      <c r="V4749" s="5" t="s">
        <v>14247</v>
      </c>
      <c r="W4749" s="5" t="s">
        <v>72</v>
      </c>
      <c r="X4749" s="5" t="s">
        <v>72</v>
      </c>
      <c r="Y4749" s="4">
        <v>206</v>
      </c>
      <c r="Z4749" s="4">
        <v>19</v>
      </c>
      <c r="AA4749" s="4">
        <v>22</v>
      </c>
      <c r="AB4749" s="4">
        <v>3</v>
      </c>
      <c r="AC4749" s="4">
        <v>5</v>
      </c>
      <c r="AD4749" s="4">
        <v>80</v>
      </c>
      <c r="AE4749" s="4">
        <v>83</v>
      </c>
      <c r="AF4749" s="4">
        <v>1</v>
      </c>
      <c r="AG4749" s="4">
        <v>3</v>
      </c>
      <c r="AH4749" s="4">
        <v>69</v>
      </c>
      <c r="AI4749" s="4">
        <v>71</v>
      </c>
      <c r="AJ4749" s="4">
        <v>11</v>
      </c>
      <c r="AK4749" s="4">
        <v>14</v>
      </c>
      <c r="AL4749" s="4">
        <v>43</v>
      </c>
      <c r="AM4749" s="4">
        <v>43</v>
      </c>
      <c r="AN4749" s="4">
        <v>0</v>
      </c>
      <c r="AO4749" s="4">
        <v>0</v>
      </c>
      <c r="AP4749" s="4">
        <v>15</v>
      </c>
      <c r="AQ4749" s="4">
        <v>17</v>
      </c>
      <c r="AR4749" s="3" t="s">
        <v>64</v>
      </c>
      <c r="AS4749" s="3" t="s">
        <v>64</v>
      </c>
      <c r="AT4749" s="3" t="s">
        <v>128</v>
      </c>
      <c r="AU4749" s="6" t="str">
        <f>HYPERLINK("http://catalog.hathitrust.org/Record/003035625","HathiTrust Record")</f>
        <v>HathiTrust Record</v>
      </c>
      <c r="AV4749" s="6" t="str">
        <f>HYPERLINK("http://mcgill.on.worldcat.org/oclc/581543","Catalog Record")</f>
        <v>Catalog Record</v>
      </c>
      <c r="AW4749" s="6" t="str">
        <f>HYPERLINK("http://www.worldcat.org/oclc/581543","WorldCat Record")</f>
        <v>WorldCat Record</v>
      </c>
      <c r="AX4749" s="3" t="s">
        <v>46167</v>
      </c>
      <c r="AY4749" s="3" t="s">
        <v>46168</v>
      </c>
      <c r="AZ4749" s="3" t="s">
        <v>46169</v>
      </c>
      <c r="BA4749" s="3" t="s">
        <v>46169</v>
      </c>
      <c r="BB4749" s="3" t="s">
        <v>46174</v>
      </c>
      <c r="BC4749" s="3" t="s">
        <v>77</v>
      </c>
      <c r="BD4749" s="3" t="s">
        <v>78</v>
      </c>
      <c r="BF4749" s="3" t="s">
        <v>46174</v>
      </c>
      <c r="BG4749" s="3" t="s">
        <v>46175</v>
      </c>
      <c r="BH4749">
        <f t="shared" si="156"/>
        <v>0</v>
      </c>
    </row>
    <row r="4750" spans="1:60" ht="101.5" x14ac:dyDescent="0.35">
      <c r="A4750" s="2" t="s">
        <v>59</v>
      </c>
      <c r="B4750" s="2" t="s">
        <v>60</v>
      </c>
      <c r="C4750" s="2" t="s">
        <v>46176</v>
      </c>
      <c r="D4750" s="2" t="s">
        <v>46177</v>
      </c>
      <c r="E4750" s="2" t="s">
        <v>46178</v>
      </c>
      <c r="G4750" s="3" t="s">
        <v>64</v>
      </c>
      <c r="I4750" s="3" t="s">
        <v>64</v>
      </c>
      <c r="J4750" s="3" t="s">
        <v>64</v>
      </c>
      <c r="K4750" s="3" t="s">
        <v>65</v>
      </c>
      <c r="L4750" s="2" t="s">
        <v>43498</v>
      </c>
      <c r="M4750" s="2" t="s">
        <v>46179</v>
      </c>
      <c r="N4750" s="3" t="s">
        <v>7992</v>
      </c>
      <c r="P4750" s="3" t="s">
        <v>102</v>
      </c>
      <c r="Q4750" s="2" t="s">
        <v>46180</v>
      </c>
      <c r="R4750" s="3" t="s">
        <v>70</v>
      </c>
      <c r="S4750" s="4">
        <v>1</v>
      </c>
      <c r="T4750" s="4">
        <v>1</v>
      </c>
      <c r="U4750" s="5" t="s">
        <v>23320</v>
      </c>
      <c r="V4750" s="5" t="s">
        <v>23320</v>
      </c>
      <c r="W4750" s="5" t="s">
        <v>72</v>
      </c>
      <c r="X4750" s="5" t="s">
        <v>72</v>
      </c>
      <c r="Y4750" s="4">
        <v>65</v>
      </c>
      <c r="Z4750" s="4">
        <v>2</v>
      </c>
      <c r="AA4750" s="4">
        <v>2</v>
      </c>
      <c r="AB4750" s="4">
        <v>1</v>
      </c>
      <c r="AC4750" s="4">
        <v>1</v>
      </c>
      <c r="AD4750" s="4">
        <v>33</v>
      </c>
      <c r="AE4750" s="4">
        <v>35</v>
      </c>
      <c r="AF4750" s="4">
        <v>0</v>
      </c>
      <c r="AG4750" s="4">
        <v>0</v>
      </c>
      <c r="AH4750" s="4">
        <v>31</v>
      </c>
      <c r="AI4750" s="4">
        <v>33</v>
      </c>
      <c r="AJ4750" s="4">
        <v>0</v>
      </c>
      <c r="AK4750" s="4">
        <v>0</v>
      </c>
      <c r="AL4750" s="4">
        <v>25</v>
      </c>
      <c r="AM4750" s="4">
        <v>25</v>
      </c>
      <c r="AN4750" s="4">
        <v>0</v>
      </c>
      <c r="AO4750" s="4">
        <v>0</v>
      </c>
      <c r="AP4750" s="4">
        <v>0</v>
      </c>
      <c r="AQ4750" s="4">
        <v>0</v>
      </c>
      <c r="AR4750" s="3" t="s">
        <v>64</v>
      </c>
      <c r="AS4750" s="3" t="s">
        <v>128</v>
      </c>
      <c r="AT4750" s="3" t="s">
        <v>64</v>
      </c>
      <c r="AU4750" s="6" t="str">
        <f>HYPERLINK("http://catalog.hathitrust.org/Record/001171400","HathiTrust Record")</f>
        <v>HathiTrust Record</v>
      </c>
      <c r="AV4750" s="6" t="str">
        <f>HYPERLINK("http://mcgill.on.worldcat.org/oclc/3945040","Catalog Record")</f>
        <v>Catalog Record</v>
      </c>
      <c r="AW4750" s="6" t="str">
        <f>HYPERLINK("http://www.worldcat.org/oclc/3945040","WorldCat Record")</f>
        <v>WorldCat Record</v>
      </c>
      <c r="AX4750" s="3" t="s">
        <v>46181</v>
      </c>
      <c r="AY4750" s="3" t="s">
        <v>46182</v>
      </c>
      <c r="AZ4750" s="3" t="s">
        <v>46183</v>
      </c>
      <c r="BA4750" s="3" t="s">
        <v>46183</v>
      </c>
      <c r="BB4750" s="3" t="s">
        <v>46184</v>
      </c>
      <c r="BC4750" s="3" t="s">
        <v>77</v>
      </c>
      <c r="BD4750" s="3" t="s">
        <v>78</v>
      </c>
      <c r="BF4750" s="3" t="s">
        <v>46184</v>
      </c>
      <c r="BG4750" s="3" t="s">
        <v>46185</v>
      </c>
      <c r="BH4750">
        <f t="shared" si="156"/>
        <v>0</v>
      </c>
    </row>
    <row r="4751" spans="1:60" ht="58" x14ac:dyDescent="0.35">
      <c r="A4751" s="2" t="s">
        <v>6202</v>
      </c>
      <c r="B4751" s="2" t="s">
        <v>6203</v>
      </c>
      <c r="C4751" s="2" t="s">
        <v>46186</v>
      </c>
      <c r="D4751" s="2" t="s">
        <v>46187</v>
      </c>
      <c r="E4751" s="2" t="s">
        <v>46188</v>
      </c>
      <c r="G4751" s="3" t="s">
        <v>64</v>
      </c>
      <c r="I4751" s="3" t="s">
        <v>64</v>
      </c>
      <c r="J4751" s="3" t="s">
        <v>64</v>
      </c>
      <c r="K4751" s="3" t="s">
        <v>65</v>
      </c>
      <c r="M4751" s="2" t="s">
        <v>46189</v>
      </c>
      <c r="N4751" s="3" t="s">
        <v>4167</v>
      </c>
      <c r="P4751" s="3" t="s">
        <v>102</v>
      </c>
      <c r="R4751" s="3" t="s">
        <v>70</v>
      </c>
      <c r="S4751" s="4">
        <v>1</v>
      </c>
      <c r="T4751" s="4">
        <v>1</v>
      </c>
      <c r="U4751" s="5" t="s">
        <v>651</v>
      </c>
      <c r="V4751" s="5" t="s">
        <v>651</v>
      </c>
      <c r="W4751" s="5" t="s">
        <v>72</v>
      </c>
      <c r="X4751" s="5" t="s">
        <v>72</v>
      </c>
      <c r="Y4751" s="4">
        <v>17</v>
      </c>
      <c r="Z4751" s="4">
        <v>2</v>
      </c>
      <c r="AA4751" s="4">
        <v>3</v>
      </c>
      <c r="AB4751" s="4">
        <v>1</v>
      </c>
      <c r="AC4751" s="4">
        <v>2</v>
      </c>
      <c r="AD4751" s="4">
        <v>13</v>
      </c>
      <c r="AE4751" s="4">
        <v>15</v>
      </c>
      <c r="AF4751" s="4">
        <v>0</v>
      </c>
      <c r="AG4751" s="4">
        <v>1</v>
      </c>
      <c r="AH4751" s="4">
        <v>12</v>
      </c>
      <c r="AI4751" s="4">
        <v>14</v>
      </c>
      <c r="AJ4751" s="4">
        <v>0</v>
      </c>
      <c r="AK4751" s="4">
        <v>1</v>
      </c>
      <c r="AL4751" s="4">
        <v>11</v>
      </c>
      <c r="AM4751" s="4">
        <v>12</v>
      </c>
      <c r="AN4751" s="4">
        <v>0</v>
      </c>
      <c r="AO4751" s="4">
        <v>0</v>
      </c>
      <c r="AP4751" s="4">
        <v>0</v>
      </c>
      <c r="AQ4751" s="4">
        <v>1</v>
      </c>
      <c r="AR4751" s="3" t="s">
        <v>64</v>
      </c>
      <c r="AS4751" s="3" t="s">
        <v>64</v>
      </c>
      <c r="AT4751" s="3" t="s">
        <v>64</v>
      </c>
      <c r="AV4751" s="6" t="str">
        <f>HYPERLINK("http://mcgill.on.worldcat.org/oclc/4636866","Catalog Record")</f>
        <v>Catalog Record</v>
      </c>
      <c r="AW4751" s="6" t="str">
        <f>HYPERLINK("http://www.worldcat.org/oclc/4636866","WorldCat Record")</f>
        <v>WorldCat Record</v>
      </c>
      <c r="AX4751" s="3" t="s">
        <v>46190</v>
      </c>
      <c r="AY4751" s="3" t="s">
        <v>46191</v>
      </c>
      <c r="AZ4751" s="3" t="s">
        <v>46192</v>
      </c>
      <c r="BA4751" s="3" t="s">
        <v>46192</v>
      </c>
      <c r="BB4751" s="3" t="s">
        <v>46193</v>
      </c>
      <c r="BC4751" s="3" t="s">
        <v>77</v>
      </c>
      <c r="BD4751" s="3" t="s">
        <v>78</v>
      </c>
      <c r="BF4751" s="3" t="s">
        <v>46193</v>
      </c>
      <c r="BG4751" s="3" t="s">
        <v>46194</v>
      </c>
      <c r="BH4751">
        <f t="shared" si="156"/>
        <v>0</v>
      </c>
    </row>
    <row r="4752" spans="1:60" ht="58" x14ac:dyDescent="0.35">
      <c r="A4752" s="2" t="s">
        <v>59</v>
      </c>
      <c r="B4752" s="2" t="s">
        <v>60</v>
      </c>
      <c r="C4752" s="2" t="s">
        <v>46195</v>
      </c>
      <c r="D4752" s="2" t="s">
        <v>46196</v>
      </c>
      <c r="E4752" s="2" t="s">
        <v>46197</v>
      </c>
      <c r="G4752" s="3" t="s">
        <v>64</v>
      </c>
      <c r="I4752" s="3" t="s">
        <v>64</v>
      </c>
      <c r="J4752" s="3" t="s">
        <v>64</v>
      </c>
      <c r="K4752" s="3" t="s">
        <v>65</v>
      </c>
      <c r="L4752" s="2" t="s">
        <v>46198</v>
      </c>
      <c r="M4752" s="2" t="s">
        <v>46199</v>
      </c>
      <c r="N4752" s="3" t="s">
        <v>190</v>
      </c>
      <c r="P4752" s="3" t="s">
        <v>102</v>
      </c>
      <c r="R4752" s="3" t="s">
        <v>70</v>
      </c>
      <c r="S4752" s="4">
        <v>0</v>
      </c>
      <c r="T4752" s="4">
        <v>0</v>
      </c>
      <c r="W4752" s="5" t="s">
        <v>21196</v>
      </c>
      <c r="X4752" s="5" t="s">
        <v>21196</v>
      </c>
      <c r="Y4752" s="4">
        <v>18</v>
      </c>
      <c r="Z4752" s="4">
        <v>2</v>
      </c>
      <c r="AA4752" s="4">
        <v>5</v>
      </c>
      <c r="AB4752" s="4">
        <v>1</v>
      </c>
      <c r="AC4752" s="4">
        <v>3</v>
      </c>
      <c r="AD4752" s="4">
        <v>8</v>
      </c>
      <c r="AE4752" s="4">
        <v>11</v>
      </c>
      <c r="AF4752" s="4">
        <v>0</v>
      </c>
      <c r="AG4752" s="4">
        <v>0</v>
      </c>
      <c r="AH4752" s="4">
        <v>7</v>
      </c>
      <c r="AI4752" s="4">
        <v>10</v>
      </c>
      <c r="AJ4752" s="4">
        <v>1</v>
      </c>
      <c r="AK4752" s="4">
        <v>2</v>
      </c>
      <c r="AL4752" s="4">
        <v>5</v>
      </c>
      <c r="AM4752" s="4">
        <v>7</v>
      </c>
      <c r="AN4752" s="4">
        <v>0</v>
      </c>
      <c r="AO4752" s="4">
        <v>0</v>
      </c>
      <c r="AP4752" s="4">
        <v>1</v>
      </c>
      <c r="AQ4752" s="4">
        <v>2</v>
      </c>
      <c r="AR4752" s="3" t="s">
        <v>64</v>
      </c>
      <c r="AS4752" s="3" t="s">
        <v>64</v>
      </c>
      <c r="AT4752" s="3" t="s">
        <v>64</v>
      </c>
      <c r="AV4752" s="6" t="str">
        <f>HYPERLINK("http://mcgill.on.worldcat.org/oclc/1030904557","Catalog Record")</f>
        <v>Catalog Record</v>
      </c>
      <c r="AW4752" s="6" t="str">
        <f>HYPERLINK("http://www.worldcat.org/oclc/1030904557","WorldCat Record")</f>
        <v>WorldCat Record</v>
      </c>
      <c r="AX4752" s="3" t="s">
        <v>46200</v>
      </c>
      <c r="AY4752" s="3" t="s">
        <v>46201</v>
      </c>
      <c r="AZ4752" s="3" t="s">
        <v>46202</v>
      </c>
      <c r="BA4752" s="3" t="s">
        <v>46202</v>
      </c>
      <c r="BB4752" s="3" t="s">
        <v>46203</v>
      </c>
      <c r="BC4752" s="3" t="s">
        <v>77</v>
      </c>
      <c r="BD4752" s="3" t="s">
        <v>78</v>
      </c>
      <c r="BE4752" s="3" t="s">
        <v>46204</v>
      </c>
      <c r="BF4752" s="3" t="s">
        <v>46203</v>
      </c>
      <c r="BG4752" s="3" t="s">
        <v>46205</v>
      </c>
      <c r="BH4752">
        <f t="shared" si="156"/>
        <v>0</v>
      </c>
    </row>
    <row r="4753" spans="1:60" ht="58" x14ac:dyDescent="0.35">
      <c r="A4753" s="2" t="s">
        <v>59</v>
      </c>
      <c r="B4753" s="2" t="s">
        <v>60</v>
      </c>
      <c r="C4753" s="2" t="s">
        <v>46206</v>
      </c>
      <c r="D4753" s="2" t="s">
        <v>46207</v>
      </c>
      <c r="E4753" s="2" t="s">
        <v>46208</v>
      </c>
      <c r="G4753" s="3" t="s">
        <v>64</v>
      </c>
      <c r="I4753" s="3" t="s">
        <v>64</v>
      </c>
      <c r="J4753" s="3" t="s">
        <v>128</v>
      </c>
      <c r="K4753" s="3" t="s">
        <v>65</v>
      </c>
      <c r="L4753" s="2" t="s">
        <v>46209</v>
      </c>
      <c r="M4753" s="2" t="s">
        <v>46210</v>
      </c>
      <c r="N4753" s="3" t="s">
        <v>315</v>
      </c>
      <c r="P4753" s="3" t="s">
        <v>102</v>
      </c>
      <c r="R4753" s="3" t="s">
        <v>70</v>
      </c>
      <c r="S4753" s="4">
        <v>2</v>
      </c>
      <c r="T4753" s="4">
        <v>2</v>
      </c>
      <c r="U4753" s="5" t="s">
        <v>13665</v>
      </c>
      <c r="V4753" s="5" t="s">
        <v>13665</v>
      </c>
      <c r="W4753" s="5" t="s">
        <v>72</v>
      </c>
      <c r="X4753" s="5" t="s">
        <v>72</v>
      </c>
      <c r="Y4753" s="4">
        <v>212</v>
      </c>
      <c r="Z4753" s="4">
        <v>10</v>
      </c>
      <c r="AA4753" s="4">
        <v>21</v>
      </c>
      <c r="AB4753" s="4">
        <v>1</v>
      </c>
      <c r="AC4753" s="4">
        <v>3</v>
      </c>
      <c r="AD4753" s="4">
        <v>82</v>
      </c>
      <c r="AE4753" s="4">
        <v>111</v>
      </c>
      <c r="AF4753" s="4">
        <v>0</v>
      </c>
      <c r="AG4753" s="4">
        <v>1</v>
      </c>
      <c r="AH4753" s="4">
        <v>80</v>
      </c>
      <c r="AI4753" s="4">
        <v>101</v>
      </c>
      <c r="AJ4753" s="4">
        <v>5</v>
      </c>
      <c r="AK4753" s="4">
        <v>13</v>
      </c>
      <c r="AL4753" s="4">
        <v>47</v>
      </c>
      <c r="AM4753" s="4">
        <v>57</v>
      </c>
      <c r="AN4753" s="4">
        <v>0</v>
      </c>
      <c r="AO4753" s="4">
        <v>0</v>
      </c>
      <c r="AP4753" s="4">
        <v>6</v>
      </c>
      <c r="AQ4753" s="4">
        <v>14</v>
      </c>
      <c r="AR4753" s="3" t="s">
        <v>64</v>
      </c>
      <c r="AS4753" s="3" t="s">
        <v>64</v>
      </c>
      <c r="AT4753" s="3" t="s">
        <v>128</v>
      </c>
      <c r="AU4753" s="6" t="str">
        <f>HYPERLINK("http://catalog.hathitrust.org/Record/001179539","HathiTrust Record")</f>
        <v>HathiTrust Record</v>
      </c>
      <c r="AV4753" s="6" t="str">
        <f>HYPERLINK("http://mcgill.on.worldcat.org/oclc/442004","Catalog Record")</f>
        <v>Catalog Record</v>
      </c>
      <c r="AW4753" s="6" t="str">
        <f>HYPERLINK("http://www.worldcat.org/oclc/442004","WorldCat Record")</f>
        <v>WorldCat Record</v>
      </c>
      <c r="AX4753" s="3" t="s">
        <v>46211</v>
      </c>
      <c r="AY4753" s="3" t="s">
        <v>46212</v>
      </c>
      <c r="AZ4753" s="3" t="s">
        <v>46213</v>
      </c>
      <c r="BA4753" s="3" t="s">
        <v>46213</v>
      </c>
      <c r="BB4753" s="3" t="s">
        <v>46214</v>
      </c>
      <c r="BC4753" s="3" t="s">
        <v>77</v>
      </c>
      <c r="BD4753" s="3" t="s">
        <v>78</v>
      </c>
      <c r="BF4753" s="3" t="s">
        <v>46214</v>
      </c>
      <c r="BG4753" s="3" t="s">
        <v>46215</v>
      </c>
      <c r="BH4753">
        <f t="shared" si="156"/>
        <v>0</v>
      </c>
    </row>
    <row r="4754" spans="1:60" ht="72.5" x14ac:dyDescent="0.35">
      <c r="A4754" s="2" t="s">
        <v>1040</v>
      </c>
      <c r="B4754" s="2" t="s">
        <v>1041</v>
      </c>
      <c r="C4754" s="2" t="s">
        <v>46216</v>
      </c>
      <c r="D4754" s="2" t="s">
        <v>46217</v>
      </c>
      <c r="E4754" s="2" t="s">
        <v>46218</v>
      </c>
      <c r="G4754" s="3" t="s">
        <v>64</v>
      </c>
      <c r="I4754" s="3" t="s">
        <v>128</v>
      </c>
      <c r="J4754" s="3" t="s">
        <v>64</v>
      </c>
      <c r="K4754" s="3" t="s">
        <v>65</v>
      </c>
      <c r="L4754" s="2" t="s">
        <v>46219</v>
      </c>
      <c r="N4754" s="3" t="s">
        <v>4972</v>
      </c>
      <c r="P4754" s="3" t="s">
        <v>102</v>
      </c>
      <c r="Q4754" s="2" t="s">
        <v>46220</v>
      </c>
      <c r="R4754" s="3" t="s">
        <v>70</v>
      </c>
      <c r="S4754" s="4">
        <v>0</v>
      </c>
      <c r="T4754" s="4">
        <v>2</v>
      </c>
      <c r="V4754" s="5" t="s">
        <v>46221</v>
      </c>
      <c r="W4754" s="5" t="s">
        <v>72</v>
      </c>
      <c r="X4754" s="5" t="s">
        <v>72</v>
      </c>
      <c r="Y4754" s="4">
        <v>194</v>
      </c>
      <c r="Z4754" s="4">
        <v>6</v>
      </c>
      <c r="AA4754" s="4">
        <v>16</v>
      </c>
      <c r="AB4754" s="4">
        <v>1</v>
      </c>
      <c r="AC4754" s="4">
        <v>5</v>
      </c>
      <c r="AD4754" s="4">
        <v>68</v>
      </c>
      <c r="AE4754" s="4">
        <v>79</v>
      </c>
      <c r="AF4754" s="4">
        <v>0</v>
      </c>
      <c r="AG4754" s="4">
        <v>2</v>
      </c>
      <c r="AH4754" s="4">
        <v>61</v>
      </c>
      <c r="AI4754" s="4">
        <v>70</v>
      </c>
      <c r="AJ4754" s="4">
        <v>4</v>
      </c>
      <c r="AK4754" s="4">
        <v>10</v>
      </c>
      <c r="AL4754" s="4">
        <v>43</v>
      </c>
      <c r="AM4754" s="4">
        <v>46</v>
      </c>
      <c r="AN4754" s="4">
        <v>0</v>
      </c>
      <c r="AO4754" s="4">
        <v>0</v>
      </c>
      <c r="AP4754" s="4">
        <v>5</v>
      </c>
      <c r="AQ4754" s="4">
        <v>11</v>
      </c>
      <c r="AR4754" s="3" t="s">
        <v>64</v>
      </c>
      <c r="AS4754" s="3" t="s">
        <v>64</v>
      </c>
      <c r="AT4754" s="3" t="s">
        <v>64</v>
      </c>
      <c r="AV4754" s="6" t="str">
        <f>HYPERLINK("http://mcgill.on.worldcat.org/oclc/1112391","Catalog Record")</f>
        <v>Catalog Record</v>
      </c>
      <c r="AW4754" s="6" t="str">
        <f>HYPERLINK("http://www.worldcat.org/oclc/1112391","WorldCat Record")</f>
        <v>WorldCat Record</v>
      </c>
      <c r="AX4754" s="3" t="s">
        <v>46222</v>
      </c>
      <c r="AY4754" s="3" t="s">
        <v>46223</v>
      </c>
      <c r="AZ4754" s="3" t="s">
        <v>46224</v>
      </c>
      <c r="BA4754" s="3" t="s">
        <v>46224</v>
      </c>
      <c r="BB4754" s="3" t="s">
        <v>46225</v>
      </c>
      <c r="BC4754" s="3" t="s">
        <v>77</v>
      </c>
      <c r="BD4754" s="3" t="s">
        <v>78</v>
      </c>
      <c r="BF4754" s="3" t="s">
        <v>46225</v>
      </c>
      <c r="BG4754" s="3" t="s">
        <v>46226</v>
      </c>
      <c r="BH4754">
        <f t="shared" si="156"/>
        <v>0</v>
      </c>
    </row>
    <row r="4755" spans="1:60" ht="72.5" x14ac:dyDescent="0.35">
      <c r="A4755" s="2" t="s">
        <v>1040</v>
      </c>
      <c r="B4755" s="2" t="s">
        <v>1041</v>
      </c>
      <c r="C4755" s="2" t="s">
        <v>46216</v>
      </c>
      <c r="D4755" s="2" t="s">
        <v>46217</v>
      </c>
      <c r="E4755" s="2" t="s">
        <v>46218</v>
      </c>
      <c r="G4755" s="3" t="s">
        <v>64</v>
      </c>
      <c r="I4755" s="3" t="s">
        <v>128</v>
      </c>
      <c r="J4755" s="3" t="s">
        <v>64</v>
      </c>
      <c r="K4755" s="3" t="s">
        <v>65</v>
      </c>
      <c r="L4755" s="2" t="s">
        <v>46219</v>
      </c>
      <c r="N4755" s="3" t="s">
        <v>4972</v>
      </c>
      <c r="P4755" s="3" t="s">
        <v>102</v>
      </c>
      <c r="Q4755" s="2" t="s">
        <v>46220</v>
      </c>
      <c r="R4755" s="3" t="s">
        <v>70</v>
      </c>
      <c r="S4755" s="4">
        <v>0</v>
      </c>
      <c r="T4755" s="4">
        <v>2</v>
      </c>
      <c r="V4755" s="5" t="s">
        <v>46221</v>
      </c>
      <c r="W4755" s="5" t="s">
        <v>72</v>
      </c>
      <c r="X4755" s="5" t="s">
        <v>72</v>
      </c>
      <c r="Y4755" s="4">
        <v>194</v>
      </c>
      <c r="Z4755" s="4">
        <v>6</v>
      </c>
      <c r="AA4755" s="4">
        <v>16</v>
      </c>
      <c r="AB4755" s="4">
        <v>1</v>
      </c>
      <c r="AC4755" s="4">
        <v>5</v>
      </c>
      <c r="AD4755" s="4">
        <v>68</v>
      </c>
      <c r="AE4755" s="4">
        <v>79</v>
      </c>
      <c r="AF4755" s="4">
        <v>0</v>
      </c>
      <c r="AG4755" s="4">
        <v>2</v>
      </c>
      <c r="AH4755" s="4">
        <v>61</v>
      </c>
      <c r="AI4755" s="4">
        <v>70</v>
      </c>
      <c r="AJ4755" s="4">
        <v>4</v>
      </c>
      <c r="AK4755" s="4">
        <v>10</v>
      </c>
      <c r="AL4755" s="4">
        <v>43</v>
      </c>
      <c r="AM4755" s="4">
        <v>46</v>
      </c>
      <c r="AN4755" s="4">
        <v>0</v>
      </c>
      <c r="AO4755" s="4">
        <v>0</v>
      </c>
      <c r="AP4755" s="4">
        <v>5</v>
      </c>
      <c r="AQ4755" s="4">
        <v>11</v>
      </c>
      <c r="AR4755" s="3" t="s">
        <v>64</v>
      </c>
      <c r="AS4755" s="3" t="s">
        <v>64</v>
      </c>
      <c r="AT4755" s="3" t="s">
        <v>64</v>
      </c>
      <c r="AV4755" s="6" t="str">
        <f>HYPERLINK("http://mcgill.on.worldcat.org/oclc/1112391","Catalog Record")</f>
        <v>Catalog Record</v>
      </c>
      <c r="AW4755" s="6" t="str">
        <f>HYPERLINK("http://www.worldcat.org/oclc/1112391","WorldCat Record")</f>
        <v>WorldCat Record</v>
      </c>
      <c r="AX4755" s="3" t="s">
        <v>46222</v>
      </c>
      <c r="AY4755" s="3" t="s">
        <v>46223</v>
      </c>
      <c r="AZ4755" s="3" t="s">
        <v>46224</v>
      </c>
      <c r="BA4755" s="3" t="s">
        <v>46224</v>
      </c>
      <c r="BB4755" s="3" t="s">
        <v>46227</v>
      </c>
      <c r="BC4755" s="3" t="s">
        <v>77</v>
      </c>
      <c r="BD4755" s="3" t="s">
        <v>78</v>
      </c>
      <c r="BF4755" s="3" t="s">
        <v>46227</v>
      </c>
      <c r="BG4755" s="3" t="s">
        <v>46228</v>
      </c>
      <c r="BH4755">
        <f t="shared" si="156"/>
        <v>0</v>
      </c>
    </row>
    <row r="4756" spans="1:60" ht="58" x14ac:dyDescent="0.35">
      <c r="A4756" s="2" t="s">
        <v>1932</v>
      </c>
      <c r="B4756" s="2" t="s">
        <v>1933</v>
      </c>
      <c r="C4756" s="2" t="s">
        <v>46216</v>
      </c>
      <c r="D4756" s="2" t="s">
        <v>46217</v>
      </c>
      <c r="E4756" s="2" t="s">
        <v>46218</v>
      </c>
      <c r="G4756" s="3" t="s">
        <v>64</v>
      </c>
      <c r="I4756" s="3" t="s">
        <v>128</v>
      </c>
      <c r="J4756" s="3" t="s">
        <v>64</v>
      </c>
      <c r="K4756" s="3" t="s">
        <v>65</v>
      </c>
      <c r="L4756" s="2" t="s">
        <v>46219</v>
      </c>
      <c r="N4756" s="3" t="s">
        <v>4972</v>
      </c>
      <c r="P4756" s="3" t="s">
        <v>102</v>
      </c>
      <c r="Q4756" s="2" t="s">
        <v>46220</v>
      </c>
      <c r="R4756" s="3" t="s">
        <v>70</v>
      </c>
      <c r="S4756" s="4">
        <v>2</v>
      </c>
      <c r="T4756" s="4">
        <v>2</v>
      </c>
      <c r="U4756" s="5" t="s">
        <v>46221</v>
      </c>
      <c r="V4756" s="5" t="s">
        <v>46221</v>
      </c>
      <c r="W4756" s="5" t="s">
        <v>72</v>
      </c>
      <c r="X4756" s="5" t="s">
        <v>72</v>
      </c>
      <c r="Y4756" s="4">
        <v>194</v>
      </c>
      <c r="Z4756" s="4">
        <v>6</v>
      </c>
      <c r="AA4756" s="4">
        <v>16</v>
      </c>
      <c r="AB4756" s="4">
        <v>1</v>
      </c>
      <c r="AC4756" s="4">
        <v>5</v>
      </c>
      <c r="AD4756" s="4">
        <v>68</v>
      </c>
      <c r="AE4756" s="4">
        <v>79</v>
      </c>
      <c r="AF4756" s="4">
        <v>0</v>
      </c>
      <c r="AG4756" s="4">
        <v>2</v>
      </c>
      <c r="AH4756" s="4">
        <v>61</v>
      </c>
      <c r="AI4756" s="4">
        <v>70</v>
      </c>
      <c r="AJ4756" s="4">
        <v>4</v>
      </c>
      <c r="AK4756" s="4">
        <v>10</v>
      </c>
      <c r="AL4756" s="4">
        <v>43</v>
      </c>
      <c r="AM4756" s="4">
        <v>46</v>
      </c>
      <c r="AN4756" s="4">
        <v>0</v>
      </c>
      <c r="AO4756" s="4">
        <v>0</v>
      </c>
      <c r="AP4756" s="4">
        <v>5</v>
      </c>
      <c r="AQ4756" s="4">
        <v>11</v>
      </c>
      <c r="AR4756" s="3" t="s">
        <v>64</v>
      </c>
      <c r="AS4756" s="3" t="s">
        <v>64</v>
      </c>
      <c r="AT4756" s="3" t="s">
        <v>64</v>
      </c>
      <c r="AV4756" s="6" t="str">
        <f>HYPERLINK("http://mcgill.on.worldcat.org/oclc/1112391","Catalog Record")</f>
        <v>Catalog Record</v>
      </c>
      <c r="AW4756" s="6" t="str">
        <f>HYPERLINK("http://www.worldcat.org/oclc/1112391","WorldCat Record")</f>
        <v>WorldCat Record</v>
      </c>
      <c r="AX4756" s="3" t="s">
        <v>46222</v>
      </c>
      <c r="AY4756" s="3" t="s">
        <v>46223</v>
      </c>
      <c r="AZ4756" s="3" t="s">
        <v>46224</v>
      </c>
      <c r="BA4756" s="3" t="s">
        <v>46224</v>
      </c>
      <c r="BB4756" s="3" t="s">
        <v>46229</v>
      </c>
      <c r="BC4756" s="3" t="s">
        <v>77</v>
      </c>
      <c r="BD4756" s="3" t="s">
        <v>1956</v>
      </c>
      <c r="BF4756" s="3" t="s">
        <v>46229</v>
      </c>
      <c r="BG4756" s="3" t="s">
        <v>46230</v>
      </c>
      <c r="BH4756">
        <f t="shared" si="156"/>
        <v>0</v>
      </c>
    </row>
    <row r="4757" spans="1:60" ht="72.5" x14ac:dyDescent="0.35">
      <c r="A4757" s="2" t="s">
        <v>59</v>
      </c>
      <c r="B4757" s="2" t="s">
        <v>60</v>
      </c>
      <c r="C4757" s="2" t="s">
        <v>46231</v>
      </c>
      <c r="D4757" s="2" t="s">
        <v>46232</v>
      </c>
      <c r="E4757" s="2" t="s">
        <v>46233</v>
      </c>
      <c r="G4757" s="3" t="s">
        <v>64</v>
      </c>
      <c r="I4757" s="3" t="s">
        <v>128</v>
      </c>
      <c r="J4757" s="3" t="s">
        <v>64</v>
      </c>
      <c r="K4757" s="3" t="s">
        <v>65</v>
      </c>
      <c r="L4757" s="2" t="s">
        <v>46234</v>
      </c>
      <c r="M4757" s="2" t="s">
        <v>46235</v>
      </c>
      <c r="N4757" s="3" t="s">
        <v>378</v>
      </c>
      <c r="P4757" s="3" t="s">
        <v>102</v>
      </c>
      <c r="R4757" s="3" t="s">
        <v>70</v>
      </c>
      <c r="S4757" s="4">
        <v>1</v>
      </c>
      <c r="T4757" s="4">
        <v>1</v>
      </c>
      <c r="U4757" s="5" t="s">
        <v>10182</v>
      </c>
      <c r="V4757" s="5" t="s">
        <v>10182</v>
      </c>
      <c r="W4757" s="5" t="s">
        <v>72</v>
      </c>
      <c r="X4757" s="5" t="s">
        <v>72</v>
      </c>
      <c r="Y4757" s="4">
        <v>1</v>
      </c>
      <c r="Z4757" s="4">
        <v>1</v>
      </c>
      <c r="AA4757" s="4">
        <v>1</v>
      </c>
      <c r="AB4757" s="4">
        <v>1</v>
      </c>
      <c r="AC4757" s="4">
        <v>1</v>
      </c>
      <c r="AD4757" s="4">
        <v>0</v>
      </c>
      <c r="AE4757" s="4">
        <v>0</v>
      </c>
      <c r="AF4757" s="4">
        <v>0</v>
      </c>
      <c r="AG4757" s="4">
        <v>0</v>
      </c>
      <c r="AH4757" s="4">
        <v>0</v>
      </c>
      <c r="AI4757" s="4">
        <v>0</v>
      </c>
      <c r="AJ4757" s="4">
        <v>0</v>
      </c>
      <c r="AK4757" s="4">
        <v>0</v>
      </c>
      <c r="AL4757" s="4">
        <v>0</v>
      </c>
      <c r="AM4757" s="4">
        <v>0</v>
      </c>
      <c r="AN4757" s="4">
        <v>0</v>
      </c>
      <c r="AO4757" s="4">
        <v>0</v>
      </c>
      <c r="AP4757" s="4">
        <v>0</v>
      </c>
      <c r="AQ4757" s="4">
        <v>0</v>
      </c>
      <c r="AR4757" s="3" t="s">
        <v>128</v>
      </c>
      <c r="AS4757" s="3" t="s">
        <v>64</v>
      </c>
      <c r="AT4757" s="3" t="s">
        <v>64</v>
      </c>
      <c r="AV4757" s="6" t="str">
        <f>HYPERLINK("http://mcgill.on.worldcat.org/oclc/61553466","Catalog Record")</f>
        <v>Catalog Record</v>
      </c>
      <c r="AW4757" s="6" t="str">
        <f>HYPERLINK("http://www.worldcat.org/oclc/61553466","WorldCat Record")</f>
        <v>WorldCat Record</v>
      </c>
      <c r="AX4757" s="3" t="s">
        <v>46236</v>
      </c>
      <c r="AY4757" s="3" t="s">
        <v>46237</v>
      </c>
      <c r="AZ4757" s="3" t="s">
        <v>46238</v>
      </c>
      <c r="BA4757" s="3" t="s">
        <v>46238</v>
      </c>
      <c r="BB4757" s="3" t="s">
        <v>46239</v>
      </c>
      <c r="BC4757" s="3" t="s">
        <v>77</v>
      </c>
      <c r="BD4757" s="3" t="s">
        <v>78</v>
      </c>
      <c r="BF4757" s="3" t="s">
        <v>46239</v>
      </c>
      <c r="BG4757" s="3" t="s">
        <v>46240</v>
      </c>
      <c r="BH4757">
        <f t="shared" si="156"/>
        <v>0</v>
      </c>
    </row>
    <row r="4758" spans="1:60" ht="72.5" x14ac:dyDescent="0.35">
      <c r="A4758" s="2" t="s">
        <v>1040</v>
      </c>
      <c r="B4758" s="2" t="s">
        <v>1041</v>
      </c>
      <c r="C4758" s="2" t="s">
        <v>46231</v>
      </c>
      <c r="D4758" s="2" t="s">
        <v>46232</v>
      </c>
      <c r="E4758" s="2" t="s">
        <v>46233</v>
      </c>
      <c r="G4758" s="3" t="s">
        <v>64</v>
      </c>
      <c r="I4758" s="3" t="s">
        <v>128</v>
      </c>
      <c r="J4758" s="3" t="s">
        <v>64</v>
      </c>
      <c r="K4758" s="3" t="s">
        <v>65</v>
      </c>
      <c r="L4758" s="2" t="s">
        <v>46234</v>
      </c>
      <c r="M4758" s="2" t="s">
        <v>46235</v>
      </c>
      <c r="N4758" s="3" t="s">
        <v>378</v>
      </c>
      <c r="P4758" s="3" t="s">
        <v>102</v>
      </c>
      <c r="R4758" s="3" t="s">
        <v>70</v>
      </c>
      <c r="S4758" s="4">
        <v>0</v>
      </c>
      <c r="T4758" s="4">
        <v>1</v>
      </c>
      <c r="V4758" s="5" t="s">
        <v>10182</v>
      </c>
      <c r="W4758" s="5" t="s">
        <v>72</v>
      </c>
      <c r="X4758" s="5" t="s">
        <v>72</v>
      </c>
      <c r="Y4758" s="4">
        <v>1</v>
      </c>
      <c r="Z4758" s="4">
        <v>1</v>
      </c>
      <c r="AA4758" s="4">
        <v>1</v>
      </c>
      <c r="AB4758" s="4">
        <v>1</v>
      </c>
      <c r="AC4758" s="4">
        <v>1</v>
      </c>
      <c r="AD4758" s="4">
        <v>0</v>
      </c>
      <c r="AE4758" s="4">
        <v>0</v>
      </c>
      <c r="AF4758" s="4">
        <v>0</v>
      </c>
      <c r="AG4758" s="4">
        <v>0</v>
      </c>
      <c r="AH4758" s="4">
        <v>0</v>
      </c>
      <c r="AI4758" s="4">
        <v>0</v>
      </c>
      <c r="AJ4758" s="4">
        <v>0</v>
      </c>
      <c r="AK4758" s="4">
        <v>0</v>
      </c>
      <c r="AL4758" s="4">
        <v>0</v>
      </c>
      <c r="AM4758" s="4">
        <v>0</v>
      </c>
      <c r="AN4758" s="4">
        <v>0</v>
      </c>
      <c r="AO4758" s="4">
        <v>0</v>
      </c>
      <c r="AP4758" s="4">
        <v>0</v>
      </c>
      <c r="AQ4758" s="4">
        <v>0</v>
      </c>
      <c r="AR4758" s="3" t="s">
        <v>128</v>
      </c>
      <c r="AS4758" s="3" t="s">
        <v>64</v>
      </c>
      <c r="AT4758" s="3" t="s">
        <v>64</v>
      </c>
      <c r="AV4758" s="6" t="str">
        <f>HYPERLINK("http://mcgill.on.worldcat.org/oclc/61553466","Catalog Record")</f>
        <v>Catalog Record</v>
      </c>
      <c r="AW4758" s="6" t="str">
        <f>HYPERLINK("http://www.worldcat.org/oclc/61553466","WorldCat Record")</f>
        <v>WorldCat Record</v>
      </c>
      <c r="AX4758" s="3" t="s">
        <v>46236</v>
      </c>
      <c r="AY4758" s="3" t="s">
        <v>46237</v>
      </c>
      <c r="AZ4758" s="3" t="s">
        <v>46238</v>
      </c>
      <c r="BA4758" s="3" t="s">
        <v>46238</v>
      </c>
      <c r="BB4758" s="3" t="s">
        <v>46241</v>
      </c>
      <c r="BC4758" s="3" t="s">
        <v>77</v>
      </c>
      <c r="BD4758" s="3" t="s">
        <v>78</v>
      </c>
      <c r="BF4758" s="3" t="s">
        <v>46241</v>
      </c>
      <c r="BG4758" s="3" t="s">
        <v>46242</v>
      </c>
      <c r="BH4758">
        <f t="shared" si="156"/>
        <v>0</v>
      </c>
    </row>
    <row r="4759" spans="1:60" ht="87" x14ac:dyDescent="0.35">
      <c r="A4759" s="2" t="s">
        <v>59</v>
      </c>
      <c r="B4759" s="2" t="s">
        <v>60</v>
      </c>
      <c r="C4759" s="2" t="s">
        <v>46243</v>
      </c>
      <c r="D4759" s="2" t="s">
        <v>46244</v>
      </c>
      <c r="E4759" s="2" t="s">
        <v>46245</v>
      </c>
      <c r="G4759" s="3" t="s">
        <v>64</v>
      </c>
      <c r="I4759" s="3" t="s">
        <v>128</v>
      </c>
      <c r="J4759" s="3" t="s">
        <v>64</v>
      </c>
      <c r="K4759" s="3" t="s">
        <v>65</v>
      </c>
      <c r="L4759" s="2" t="s">
        <v>46246</v>
      </c>
      <c r="M4759" s="2" t="s">
        <v>46247</v>
      </c>
      <c r="N4759" s="3" t="s">
        <v>1047</v>
      </c>
      <c r="P4759" s="3" t="s">
        <v>102</v>
      </c>
      <c r="R4759" s="3" t="s">
        <v>70</v>
      </c>
      <c r="S4759" s="4">
        <v>2</v>
      </c>
      <c r="T4759" s="4">
        <v>3</v>
      </c>
      <c r="U4759" s="5" t="s">
        <v>46248</v>
      </c>
      <c r="V4759" s="5" t="s">
        <v>1655</v>
      </c>
      <c r="W4759" s="5" t="s">
        <v>72</v>
      </c>
      <c r="X4759" s="5" t="s">
        <v>72</v>
      </c>
      <c r="Y4759" s="4">
        <v>73</v>
      </c>
      <c r="Z4759" s="4">
        <v>7</v>
      </c>
      <c r="AA4759" s="4">
        <v>8</v>
      </c>
      <c r="AB4759" s="4">
        <v>3</v>
      </c>
      <c r="AC4759" s="4">
        <v>3</v>
      </c>
      <c r="AD4759" s="4">
        <v>43</v>
      </c>
      <c r="AE4759" s="4">
        <v>44</v>
      </c>
      <c r="AF4759" s="4">
        <v>1</v>
      </c>
      <c r="AG4759" s="4">
        <v>1</v>
      </c>
      <c r="AH4759" s="4">
        <v>40</v>
      </c>
      <c r="AI4759" s="4">
        <v>41</v>
      </c>
      <c r="AJ4759" s="4">
        <v>4</v>
      </c>
      <c r="AK4759" s="4">
        <v>5</v>
      </c>
      <c r="AL4759" s="4">
        <v>31</v>
      </c>
      <c r="AM4759" s="4">
        <v>31</v>
      </c>
      <c r="AN4759" s="4">
        <v>0</v>
      </c>
      <c r="AO4759" s="4">
        <v>0</v>
      </c>
      <c r="AP4759" s="4">
        <v>4</v>
      </c>
      <c r="AQ4759" s="4">
        <v>5</v>
      </c>
      <c r="AR4759" s="3" t="s">
        <v>64</v>
      </c>
      <c r="AS4759" s="3" t="s">
        <v>64</v>
      </c>
      <c r="AT4759" s="3" t="s">
        <v>128</v>
      </c>
      <c r="AU4759" s="6" t="str">
        <f>HYPERLINK("http://catalog.hathitrust.org/Record/000123419","HathiTrust Record")</f>
        <v>HathiTrust Record</v>
      </c>
      <c r="AV4759" s="6" t="str">
        <f>HYPERLINK("http://mcgill.on.worldcat.org/oclc/9852452","Catalog Record")</f>
        <v>Catalog Record</v>
      </c>
      <c r="AW4759" s="6" t="str">
        <f>HYPERLINK("http://www.worldcat.org/oclc/9852452","WorldCat Record")</f>
        <v>WorldCat Record</v>
      </c>
      <c r="AX4759" s="3" t="s">
        <v>46249</v>
      </c>
      <c r="AY4759" s="3" t="s">
        <v>46250</v>
      </c>
      <c r="AZ4759" s="3" t="s">
        <v>46251</v>
      </c>
      <c r="BA4759" s="3" t="s">
        <v>46251</v>
      </c>
      <c r="BB4759" s="3" t="s">
        <v>46252</v>
      </c>
      <c r="BC4759" s="3" t="s">
        <v>77</v>
      </c>
      <c r="BD4759" s="3" t="s">
        <v>78</v>
      </c>
      <c r="BF4759" s="3" t="s">
        <v>46252</v>
      </c>
      <c r="BG4759" s="3" t="s">
        <v>46253</v>
      </c>
      <c r="BH4759">
        <f t="shared" si="156"/>
        <v>0</v>
      </c>
    </row>
    <row r="4760" spans="1:60" ht="58" x14ac:dyDescent="0.35">
      <c r="A4760" s="2" t="s">
        <v>6202</v>
      </c>
      <c r="B4760" s="2" t="s">
        <v>6203</v>
      </c>
      <c r="C4760" s="2" t="s">
        <v>46254</v>
      </c>
      <c r="D4760" s="2" t="s">
        <v>46255</v>
      </c>
      <c r="E4760" s="2" t="s">
        <v>46256</v>
      </c>
      <c r="G4760" s="3" t="s">
        <v>64</v>
      </c>
      <c r="I4760" s="3" t="s">
        <v>64</v>
      </c>
      <c r="J4760" s="3" t="s">
        <v>64</v>
      </c>
      <c r="K4760" s="3" t="s">
        <v>65</v>
      </c>
      <c r="M4760" s="2" t="s">
        <v>46257</v>
      </c>
      <c r="N4760" s="3" t="s">
        <v>190</v>
      </c>
      <c r="P4760" s="3" t="s">
        <v>102</v>
      </c>
      <c r="Q4760" s="2" t="s">
        <v>46258</v>
      </c>
      <c r="R4760" s="3" t="s">
        <v>70</v>
      </c>
      <c r="S4760" s="4">
        <v>0</v>
      </c>
      <c r="T4760" s="4">
        <v>0</v>
      </c>
      <c r="W4760" s="5" t="s">
        <v>72</v>
      </c>
      <c r="X4760" s="5" t="s">
        <v>72</v>
      </c>
      <c r="Y4760" s="4">
        <v>1</v>
      </c>
      <c r="Z4760" s="4">
        <v>1</v>
      </c>
      <c r="AA4760" s="4">
        <v>1</v>
      </c>
      <c r="AB4760" s="4">
        <v>1</v>
      </c>
      <c r="AC4760" s="4">
        <v>1</v>
      </c>
      <c r="AD4760" s="4">
        <v>0</v>
      </c>
      <c r="AE4760" s="4">
        <v>0</v>
      </c>
      <c r="AF4760" s="4">
        <v>0</v>
      </c>
      <c r="AG4760" s="4">
        <v>0</v>
      </c>
      <c r="AH4760" s="4">
        <v>0</v>
      </c>
      <c r="AI4760" s="4">
        <v>0</v>
      </c>
      <c r="AJ4760" s="4">
        <v>0</v>
      </c>
      <c r="AK4760" s="4">
        <v>0</v>
      </c>
      <c r="AL4760" s="4">
        <v>0</v>
      </c>
      <c r="AM4760" s="4">
        <v>0</v>
      </c>
      <c r="AN4760" s="4">
        <v>0</v>
      </c>
      <c r="AO4760" s="4">
        <v>0</v>
      </c>
      <c r="AP4760" s="4">
        <v>0</v>
      </c>
      <c r="AQ4760" s="4">
        <v>0</v>
      </c>
      <c r="AR4760" s="3" t="s">
        <v>64</v>
      </c>
      <c r="AS4760" s="3" t="s">
        <v>64</v>
      </c>
      <c r="AT4760" s="3" t="s">
        <v>64</v>
      </c>
      <c r="AV4760" s="6" t="str">
        <f>HYPERLINK("http://mcgill.on.worldcat.org/oclc/1035373717","Catalog Record")</f>
        <v>Catalog Record</v>
      </c>
      <c r="AW4760" s="6" t="str">
        <f>HYPERLINK("http://www.worldcat.org/oclc/1035373717","WorldCat Record")</f>
        <v>WorldCat Record</v>
      </c>
      <c r="AX4760" s="3" t="s">
        <v>46259</v>
      </c>
      <c r="AY4760" s="3" t="s">
        <v>46260</v>
      </c>
      <c r="AZ4760" s="3" t="s">
        <v>46261</v>
      </c>
      <c r="BA4760" s="3" t="s">
        <v>46261</v>
      </c>
      <c r="BB4760" s="3" t="s">
        <v>46262</v>
      </c>
      <c r="BC4760" s="3" t="s">
        <v>77</v>
      </c>
      <c r="BD4760" s="3" t="s">
        <v>78</v>
      </c>
      <c r="BF4760" s="3" t="s">
        <v>46262</v>
      </c>
      <c r="BG4760" s="3" t="s">
        <v>46263</v>
      </c>
      <c r="BH4760">
        <f t="shared" si="156"/>
        <v>0</v>
      </c>
    </row>
    <row r="4761" spans="1:60" ht="130.5" x14ac:dyDescent="0.35">
      <c r="A4761" s="2" t="s">
        <v>59</v>
      </c>
      <c r="B4761" s="2" t="s">
        <v>39594</v>
      </c>
      <c r="C4761" s="2" t="s">
        <v>46264</v>
      </c>
      <c r="D4761" s="2" t="s">
        <v>46265</v>
      </c>
      <c r="E4761" s="2" t="s">
        <v>46266</v>
      </c>
      <c r="G4761" s="3" t="s">
        <v>64</v>
      </c>
      <c r="I4761" s="3" t="s">
        <v>128</v>
      </c>
      <c r="J4761" s="3" t="s">
        <v>64</v>
      </c>
      <c r="K4761" s="3" t="s">
        <v>65</v>
      </c>
      <c r="L4761" s="2" t="s">
        <v>46267</v>
      </c>
      <c r="M4761" s="2" t="s">
        <v>46268</v>
      </c>
      <c r="N4761" s="3" t="s">
        <v>266</v>
      </c>
      <c r="P4761" s="3" t="s">
        <v>102</v>
      </c>
      <c r="R4761" s="3" t="s">
        <v>70</v>
      </c>
      <c r="S4761" s="4">
        <v>0</v>
      </c>
      <c r="T4761" s="4">
        <v>3</v>
      </c>
      <c r="V4761" s="5" t="s">
        <v>9084</v>
      </c>
      <c r="W4761" s="5" t="s">
        <v>72</v>
      </c>
      <c r="X4761" s="5" t="s">
        <v>72</v>
      </c>
      <c r="Y4761" s="4">
        <v>1</v>
      </c>
      <c r="Z4761" s="4">
        <v>1</v>
      </c>
      <c r="AA4761" s="4">
        <v>12</v>
      </c>
      <c r="AB4761" s="4">
        <v>1</v>
      </c>
      <c r="AC4761" s="4">
        <v>1</v>
      </c>
      <c r="AD4761" s="4">
        <v>0</v>
      </c>
      <c r="AE4761" s="4">
        <v>48</v>
      </c>
      <c r="AF4761" s="4">
        <v>0</v>
      </c>
      <c r="AG4761" s="4">
        <v>0</v>
      </c>
      <c r="AH4761" s="4">
        <v>0</v>
      </c>
      <c r="AI4761" s="4">
        <v>44</v>
      </c>
      <c r="AJ4761" s="4">
        <v>0</v>
      </c>
      <c r="AK4761" s="4">
        <v>10</v>
      </c>
      <c r="AL4761" s="4">
        <v>0</v>
      </c>
      <c r="AM4761" s="4">
        <v>23</v>
      </c>
      <c r="AN4761" s="4">
        <v>0</v>
      </c>
      <c r="AO4761" s="4">
        <v>0</v>
      </c>
      <c r="AP4761" s="4">
        <v>0</v>
      </c>
      <c r="AQ4761" s="4">
        <v>10</v>
      </c>
      <c r="AR4761" s="3" t="s">
        <v>64</v>
      </c>
      <c r="AS4761" s="3" t="s">
        <v>64</v>
      </c>
      <c r="AT4761" s="3" t="s">
        <v>64</v>
      </c>
      <c r="AV4761" s="6" t="str">
        <f>HYPERLINK("http://mcgill.on.worldcat.org/oclc/427375145","Catalog Record")</f>
        <v>Catalog Record</v>
      </c>
      <c r="AW4761" s="6" t="str">
        <f>HYPERLINK("http://www.worldcat.org/oclc/427375145","WorldCat Record")</f>
        <v>WorldCat Record</v>
      </c>
      <c r="AX4761" s="3" t="s">
        <v>46269</v>
      </c>
      <c r="AY4761" s="3" t="s">
        <v>46270</v>
      </c>
      <c r="AZ4761" s="3" t="s">
        <v>46271</v>
      </c>
      <c r="BA4761" s="3" t="s">
        <v>46271</v>
      </c>
      <c r="BB4761" s="3" t="s">
        <v>46272</v>
      </c>
      <c r="BC4761" s="3" t="s">
        <v>77</v>
      </c>
      <c r="BD4761" s="3" t="s">
        <v>78</v>
      </c>
      <c r="BF4761" s="3" t="s">
        <v>46272</v>
      </c>
      <c r="BG4761" s="3" t="s">
        <v>46273</v>
      </c>
      <c r="BH4761">
        <f t="shared" si="156"/>
        <v>0</v>
      </c>
    </row>
    <row r="4762" spans="1:60" ht="58" x14ac:dyDescent="0.35">
      <c r="A4762" s="2" t="s">
        <v>6202</v>
      </c>
      <c r="B4762" s="2" t="s">
        <v>6203</v>
      </c>
      <c r="C4762" s="2" t="s">
        <v>46264</v>
      </c>
      <c r="D4762" s="2" t="s">
        <v>46265</v>
      </c>
      <c r="E4762" s="2" t="s">
        <v>46266</v>
      </c>
      <c r="G4762" s="3" t="s">
        <v>64</v>
      </c>
      <c r="I4762" s="3" t="s">
        <v>128</v>
      </c>
      <c r="J4762" s="3" t="s">
        <v>64</v>
      </c>
      <c r="K4762" s="3" t="s">
        <v>65</v>
      </c>
      <c r="L4762" s="2" t="s">
        <v>46267</v>
      </c>
      <c r="M4762" s="2" t="s">
        <v>46268</v>
      </c>
      <c r="N4762" s="3" t="s">
        <v>266</v>
      </c>
      <c r="P4762" s="3" t="s">
        <v>102</v>
      </c>
      <c r="R4762" s="3" t="s">
        <v>70</v>
      </c>
      <c r="S4762" s="4">
        <v>3</v>
      </c>
      <c r="T4762" s="4">
        <v>3</v>
      </c>
      <c r="U4762" s="5" t="s">
        <v>9084</v>
      </c>
      <c r="V4762" s="5" t="s">
        <v>9084</v>
      </c>
      <c r="W4762" s="5" t="s">
        <v>72</v>
      </c>
      <c r="X4762" s="5" t="s">
        <v>72</v>
      </c>
      <c r="Y4762" s="4">
        <v>1</v>
      </c>
      <c r="Z4762" s="4">
        <v>1</v>
      </c>
      <c r="AA4762" s="4">
        <v>12</v>
      </c>
      <c r="AB4762" s="4">
        <v>1</v>
      </c>
      <c r="AC4762" s="4">
        <v>1</v>
      </c>
      <c r="AD4762" s="4">
        <v>0</v>
      </c>
      <c r="AE4762" s="4">
        <v>48</v>
      </c>
      <c r="AF4762" s="4">
        <v>0</v>
      </c>
      <c r="AG4762" s="4">
        <v>0</v>
      </c>
      <c r="AH4762" s="4">
        <v>0</v>
      </c>
      <c r="AI4762" s="4">
        <v>44</v>
      </c>
      <c r="AJ4762" s="4">
        <v>0</v>
      </c>
      <c r="AK4762" s="4">
        <v>10</v>
      </c>
      <c r="AL4762" s="4">
        <v>0</v>
      </c>
      <c r="AM4762" s="4">
        <v>23</v>
      </c>
      <c r="AN4762" s="4">
        <v>0</v>
      </c>
      <c r="AO4762" s="4">
        <v>0</v>
      </c>
      <c r="AP4762" s="4">
        <v>0</v>
      </c>
      <c r="AQ4762" s="4">
        <v>10</v>
      </c>
      <c r="AR4762" s="3" t="s">
        <v>64</v>
      </c>
      <c r="AS4762" s="3" t="s">
        <v>64</v>
      </c>
      <c r="AT4762" s="3" t="s">
        <v>64</v>
      </c>
      <c r="AV4762" s="6" t="str">
        <f>HYPERLINK("http://mcgill.on.worldcat.org/oclc/427375145","Catalog Record")</f>
        <v>Catalog Record</v>
      </c>
      <c r="AW4762" s="6" t="str">
        <f>HYPERLINK("http://www.worldcat.org/oclc/427375145","WorldCat Record")</f>
        <v>WorldCat Record</v>
      </c>
      <c r="AX4762" s="3" t="s">
        <v>46269</v>
      </c>
      <c r="AY4762" s="3" t="s">
        <v>46270</v>
      </c>
      <c r="AZ4762" s="3" t="s">
        <v>46271</v>
      </c>
      <c r="BA4762" s="3" t="s">
        <v>46271</v>
      </c>
      <c r="BB4762" s="3" t="s">
        <v>46274</v>
      </c>
      <c r="BC4762" s="3" t="s">
        <v>77</v>
      </c>
      <c r="BD4762" s="3" t="s">
        <v>78</v>
      </c>
      <c r="BF4762" s="3" t="s">
        <v>46274</v>
      </c>
      <c r="BG4762" s="3" t="s">
        <v>46275</v>
      </c>
      <c r="BH4762">
        <f t="shared" si="156"/>
        <v>0</v>
      </c>
    </row>
    <row r="4763" spans="1:60" ht="58" x14ac:dyDescent="0.35">
      <c r="A4763" s="2" t="s">
        <v>6202</v>
      </c>
      <c r="B4763" s="2" t="s">
        <v>6203</v>
      </c>
      <c r="C4763" s="2" t="s">
        <v>46276</v>
      </c>
      <c r="D4763" s="2" t="s">
        <v>46277</v>
      </c>
      <c r="E4763" s="2" t="s">
        <v>46278</v>
      </c>
      <c r="G4763" s="3" t="s">
        <v>64</v>
      </c>
      <c r="I4763" s="3" t="s">
        <v>64</v>
      </c>
      <c r="J4763" s="3" t="s">
        <v>64</v>
      </c>
      <c r="K4763" s="3" t="s">
        <v>65</v>
      </c>
      <c r="L4763" s="2" t="s">
        <v>46279</v>
      </c>
      <c r="M4763" s="2" t="s">
        <v>23931</v>
      </c>
      <c r="N4763" s="3" t="s">
        <v>1061</v>
      </c>
      <c r="P4763" s="3" t="s">
        <v>102</v>
      </c>
      <c r="R4763" s="3" t="s">
        <v>70</v>
      </c>
      <c r="S4763" s="4">
        <v>1</v>
      </c>
      <c r="T4763" s="4">
        <v>1</v>
      </c>
      <c r="U4763" s="5" t="s">
        <v>34451</v>
      </c>
      <c r="V4763" s="5" t="s">
        <v>34451</v>
      </c>
      <c r="W4763" s="5" t="s">
        <v>72</v>
      </c>
      <c r="X4763" s="5" t="s">
        <v>72</v>
      </c>
      <c r="Y4763" s="4">
        <v>548</v>
      </c>
      <c r="Z4763" s="4">
        <v>28</v>
      </c>
      <c r="AA4763" s="4">
        <v>28</v>
      </c>
      <c r="AB4763" s="4">
        <v>2</v>
      </c>
      <c r="AC4763" s="4">
        <v>2</v>
      </c>
      <c r="AD4763" s="4">
        <v>118</v>
      </c>
      <c r="AE4763" s="4">
        <v>118</v>
      </c>
      <c r="AF4763" s="4">
        <v>1</v>
      </c>
      <c r="AG4763" s="4">
        <v>1</v>
      </c>
      <c r="AH4763" s="4">
        <v>102</v>
      </c>
      <c r="AI4763" s="4">
        <v>102</v>
      </c>
      <c r="AJ4763" s="4">
        <v>19</v>
      </c>
      <c r="AK4763" s="4">
        <v>19</v>
      </c>
      <c r="AL4763" s="4">
        <v>55</v>
      </c>
      <c r="AM4763" s="4">
        <v>55</v>
      </c>
      <c r="AN4763" s="4">
        <v>0</v>
      </c>
      <c r="AO4763" s="4">
        <v>0</v>
      </c>
      <c r="AP4763" s="4">
        <v>22</v>
      </c>
      <c r="AQ4763" s="4">
        <v>22</v>
      </c>
      <c r="AR4763" s="3" t="s">
        <v>64</v>
      </c>
      <c r="AS4763" s="3" t="s">
        <v>64</v>
      </c>
      <c r="AT4763" s="3" t="s">
        <v>128</v>
      </c>
      <c r="AU4763" s="6" t="str">
        <f>HYPERLINK("http://catalog.hathitrust.org/Record/000573406","HathiTrust Record")</f>
        <v>HathiTrust Record</v>
      </c>
      <c r="AV4763" s="6" t="str">
        <f>HYPERLINK("http://mcgill.on.worldcat.org/oclc/11624110","Catalog Record")</f>
        <v>Catalog Record</v>
      </c>
      <c r="AW4763" s="6" t="str">
        <f>HYPERLINK("http://www.worldcat.org/oclc/11624110","WorldCat Record")</f>
        <v>WorldCat Record</v>
      </c>
      <c r="AX4763" s="3" t="s">
        <v>46280</v>
      </c>
      <c r="AY4763" s="3" t="s">
        <v>46281</v>
      </c>
      <c r="AZ4763" s="3" t="s">
        <v>46282</v>
      </c>
      <c r="BA4763" s="3" t="s">
        <v>46282</v>
      </c>
      <c r="BB4763" s="3" t="s">
        <v>46283</v>
      </c>
      <c r="BC4763" s="3" t="s">
        <v>77</v>
      </c>
      <c r="BD4763" s="3" t="s">
        <v>40037</v>
      </c>
      <c r="BE4763" s="3" t="s">
        <v>46284</v>
      </c>
      <c r="BF4763" s="3" t="s">
        <v>46283</v>
      </c>
      <c r="BG4763" s="3" t="s">
        <v>46285</v>
      </c>
      <c r="BH4763">
        <f t="shared" si="156"/>
        <v>0</v>
      </c>
    </row>
    <row r="4764" spans="1:60" ht="58" x14ac:dyDescent="0.35">
      <c r="A4764" s="2" t="s">
        <v>6202</v>
      </c>
      <c r="B4764" s="2" t="s">
        <v>6203</v>
      </c>
      <c r="C4764" s="2" t="s">
        <v>46286</v>
      </c>
      <c r="D4764" s="2" t="s">
        <v>46287</v>
      </c>
      <c r="E4764" s="2" t="s">
        <v>46288</v>
      </c>
      <c r="G4764" s="3" t="s">
        <v>64</v>
      </c>
      <c r="I4764" s="3" t="s">
        <v>64</v>
      </c>
      <c r="J4764" s="3" t="s">
        <v>64</v>
      </c>
      <c r="K4764" s="3" t="s">
        <v>65</v>
      </c>
      <c r="L4764" s="2" t="s">
        <v>46289</v>
      </c>
      <c r="M4764" s="2" t="s">
        <v>46290</v>
      </c>
      <c r="N4764" s="3" t="s">
        <v>874</v>
      </c>
      <c r="O4764" s="2" t="s">
        <v>46291</v>
      </c>
      <c r="P4764" s="3" t="s">
        <v>102</v>
      </c>
      <c r="R4764" s="3" t="s">
        <v>70</v>
      </c>
      <c r="S4764" s="4">
        <v>1</v>
      </c>
      <c r="T4764" s="4">
        <v>1</v>
      </c>
      <c r="U4764" s="5" t="s">
        <v>626</v>
      </c>
      <c r="V4764" s="5" t="s">
        <v>626</v>
      </c>
      <c r="W4764" s="5" t="s">
        <v>72</v>
      </c>
      <c r="X4764" s="5" t="s">
        <v>72</v>
      </c>
      <c r="Y4764" s="4">
        <v>61</v>
      </c>
      <c r="Z4764" s="4">
        <v>5</v>
      </c>
      <c r="AA4764" s="4">
        <v>5</v>
      </c>
      <c r="AB4764" s="4">
        <v>1</v>
      </c>
      <c r="AC4764" s="4">
        <v>1</v>
      </c>
      <c r="AD4764" s="4">
        <v>15</v>
      </c>
      <c r="AE4764" s="4">
        <v>15</v>
      </c>
      <c r="AF4764" s="4">
        <v>0</v>
      </c>
      <c r="AG4764" s="4">
        <v>0</v>
      </c>
      <c r="AH4764" s="4">
        <v>13</v>
      </c>
      <c r="AI4764" s="4">
        <v>13</v>
      </c>
      <c r="AJ4764" s="4">
        <v>2</v>
      </c>
      <c r="AK4764" s="4">
        <v>2</v>
      </c>
      <c r="AL4764" s="4">
        <v>9</v>
      </c>
      <c r="AM4764" s="4">
        <v>9</v>
      </c>
      <c r="AN4764" s="4">
        <v>0</v>
      </c>
      <c r="AO4764" s="4">
        <v>0</v>
      </c>
      <c r="AP4764" s="4">
        <v>3</v>
      </c>
      <c r="AQ4764" s="4">
        <v>3</v>
      </c>
      <c r="AR4764" s="3" t="s">
        <v>64</v>
      </c>
      <c r="AS4764" s="3" t="s">
        <v>64</v>
      </c>
      <c r="AT4764" s="3" t="s">
        <v>128</v>
      </c>
      <c r="AU4764" s="6" t="str">
        <f>HYPERLINK("http://catalog.hathitrust.org/Record/000634089","HathiTrust Record")</f>
        <v>HathiTrust Record</v>
      </c>
      <c r="AV4764" s="6" t="str">
        <f>HYPERLINK("http://mcgill.on.worldcat.org/oclc/7636742","Catalog Record")</f>
        <v>Catalog Record</v>
      </c>
      <c r="AW4764" s="6" t="str">
        <f>HYPERLINK("http://www.worldcat.org/oclc/7636742","WorldCat Record")</f>
        <v>WorldCat Record</v>
      </c>
      <c r="AX4764" s="3" t="s">
        <v>46292</v>
      </c>
      <c r="AY4764" s="3" t="s">
        <v>46293</v>
      </c>
      <c r="AZ4764" s="3" t="s">
        <v>46294</v>
      </c>
      <c r="BA4764" s="3" t="s">
        <v>46294</v>
      </c>
      <c r="BB4764" s="3" t="s">
        <v>46295</v>
      </c>
      <c r="BC4764" s="3" t="s">
        <v>77</v>
      </c>
      <c r="BD4764" s="3" t="s">
        <v>78</v>
      </c>
      <c r="BF4764" s="3" t="s">
        <v>46295</v>
      </c>
      <c r="BG4764" s="3" t="s">
        <v>46296</v>
      </c>
      <c r="BH4764">
        <f t="shared" si="156"/>
        <v>0</v>
      </c>
    </row>
    <row r="4765" spans="1:60" ht="58" x14ac:dyDescent="0.35">
      <c r="A4765" s="2" t="s">
        <v>6202</v>
      </c>
      <c r="B4765" s="2" t="s">
        <v>6203</v>
      </c>
      <c r="C4765" s="2" t="s">
        <v>46297</v>
      </c>
      <c r="D4765" s="2" t="s">
        <v>46298</v>
      </c>
      <c r="E4765" s="2" t="s">
        <v>46299</v>
      </c>
      <c r="G4765" s="3" t="s">
        <v>64</v>
      </c>
      <c r="I4765" s="3" t="s">
        <v>64</v>
      </c>
      <c r="J4765" s="3" t="s">
        <v>64</v>
      </c>
      <c r="K4765" s="3" t="s">
        <v>65</v>
      </c>
      <c r="L4765" s="2" t="s">
        <v>46300</v>
      </c>
      <c r="M4765" s="2" t="s">
        <v>46301</v>
      </c>
      <c r="N4765" s="3" t="s">
        <v>3428</v>
      </c>
      <c r="P4765" s="3" t="s">
        <v>102</v>
      </c>
      <c r="R4765" s="3" t="s">
        <v>70</v>
      </c>
      <c r="S4765" s="4">
        <v>1</v>
      </c>
      <c r="T4765" s="4">
        <v>1</v>
      </c>
      <c r="U4765" s="5" t="s">
        <v>6902</v>
      </c>
      <c r="V4765" s="5" t="s">
        <v>6902</v>
      </c>
      <c r="W4765" s="5" t="s">
        <v>72</v>
      </c>
      <c r="X4765" s="5" t="s">
        <v>72</v>
      </c>
      <c r="Y4765" s="4">
        <v>544</v>
      </c>
      <c r="Z4765" s="4">
        <v>38</v>
      </c>
      <c r="AA4765" s="4">
        <v>40</v>
      </c>
      <c r="AB4765" s="4">
        <v>2</v>
      </c>
      <c r="AC4765" s="4">
        <v>3</v>
      </c>
      <c r="AD4765" s="4">
        <v>106</v>
      </c>
      <c r="AE4765" s="4">
        <v>110</v>
      </c>
      <c r="AF4765" s="4">
        <v>1</v>
      </c>
      <c r="AG4765" s="4">
        <v>2</v>
      </c>
      <c r="AH4765" s="4">
        <v>90</v>
      </c>
      <c r="AI4765" s="4">
        <v>94</v>
      </c>
      <c r="AJ4765" s="4">
        <v>15</v>
      </c>
      <c r="AK4765" s="4">
        <v>17</v>
      </c>
      <c r="AL4765" s="4">
        <v>50</v>
      </c>
      <c r="AM4765" s="4">
        <v>52</v>
      </c>
      <c r="AN4765" s="4">
        <v>0</v>
      </c>
      <c r="AO4765" s="4">
        <v>0</v>
      </c>
      <c r="AP4765" s="4">
        <v>22</v>
      </c>
      <c r="AQ4765" s="4">
        <v>24</v>
      </c>
      <c r="AR4765" s="3" t="s">
        <v>64</v>
      </c>
      <c r="AS4765" s="3" t="s">
        <v>64</v>
      </c>
      <c r="AT4765" s="3" t="s">
        <v>64</v>
      </c>
      <c r="AV4765" s="6" t="str">
        <f>HYPERLINK("http://mcgill.on.worldcat.org/oclc/30913622","Catalog Record")</f>
        <v>Catalog Record</v>
      </c>
      <c r="AW4765" s="6" t="str">
        <f>HYPERLINK("http://www.worldcat.org/oclc/30913622","WorldCat Record")</f>
        <v>WorldCat Record</v>
      </c>
      <c r="AX4765" s="3" t="s">
        <v>46302</v>
      </c>
      <c r="AY4765" s="3" t="s">
        <v>46303</v>
      </c>
      <c r="AZ4765" s="3" t="s">
        <v>46304</v>
      </c>
      <c r="BA4765" s="3" t="s">
        <v>46304</v>
      </c>
      <c r="BB4765" s="3" t="s">
        <v>46305</v>
      </c>
      <c r="BC4765" s="3" t="s">
        <v>77</v>
      </c>
      <c r="BD4765" s="3" t="s">
        <v>78</v>
      </c>
      <c r="BE4765" s="3" t="s">
        <v>46306</v>
      </c>
      <c r="BF4765" s="3" t="s">
        <v>46305</v>
      </c>
      <c r="BG4765" s="3" t="s">
        <v>46307</v>
      </c>
      <c r="BH4765">
        <f t="shared" si="156"/>
        <v>0</v>
      </c>
    </row>
    <row r="4766" spans="1:60" ht="58" x14ac:dyDescent="0.35">
      <c r="A4766" s="2" t="s">
        <v>59</v>
      </c>
      <c r="B4766" s="2" t="s">
        <v>7607</v>
      </c>
      <c r="C4766" s="2" t="s">
        <v>46308</v>
      </c>
      <c r="D4766" s="2" t="s">
        <v>46309</v>
      </c>
      <c r="E4766" s="2" t="s">
        <v>46310</v>
      </c>
      <c r="G4766" s="3" t="s">
        <v>64</v>
      </c>
      <c r="I4766" s="3" t="s">
        <v>64</v>
      </c>
      <c r="J4766" s="3" t="s">
        <v>64</v>
      </c>
      <c r="K4766" s="3" t="s">
        <v>65</v>
      </c>
      <c r="L4766" s="2" t="s">
        <v>46311</v>
      </c>
      <c r="M4766" s="2" t="s">
        <v>46312</v>
      </c>
      <c r="N4766" s="3" t="s">
        <v>326</v>
      </c>
      <c r="P4766" s="3" t="s">
        <v>102</v>
      </c>
      <c r="Q4766" s="2" t="s">
        <v>46313</v>
      </c>
      <c r="R4766" s="3" t="s">
        <v>70</v>
      </c>
      <c r="S4766" s="4">
        <v>0</v>
      </c>
      <c r="T4766" s="4">
        <v>0</v>
      </c>
      <c r="W4766" s="5" t="s">
        <v>72</v>
      </c>
      <c r="X4766" s="5" t="s">
        <v>72</v>
      </c>
      <c r="Y4766" s="4">
        <v>131</v>
      </c>
      <c r="Z4766" s="4">
        <v>8</v>
      </c>
      <c r="AA4766" s="4">
        <v>80</v>
      </c>
      <c r="AB4766" s="4">
        <v>1</v>
      </c>
      <c r="AC4766" s="4">
        <v>14</v>
      </c>
      <c r="AD4766" s="4">
        <v>30</v>
      </c>
      <c r="AE4766" s="4">
        <v>109</v>
      </c>
      <c r="AF4766" s="4">
        <v>0</v>
      </c>
      <c r="AG4766" s="4">
        <v>8</v>
      </c>
      <c r="AH4766" s="4">
        <v>28</v>
      </c>
      <c r="AI4766" s="4">
        <v>77</v>
      </c>
      <c r="AJ4766" s="4">
        <v>2</v>
      </c>
      <c r="AK4766" s="4">
        <v>20</v>
      </c>
      <c r="AL4766" s="4">
        <v>19</v>
      </c>
      <c r="AM4766" s="4">
        <v>38</v>
      </c>
      <c r="AN4766" s="4">
        <v>0</v>
      </c>
      <c r="AO4766" s="4">
        <v>0</v>
      </c>
      <c r="AP4766" s="4">
        <v>3</v>
      </c>
      <c r="AQ4766" s="4">
        <v>39</v>
      </c>
      <c r="AR4766" s="3" t="s">
        <v>64</v>
      </c>
      <c r="AS4766" s="3" t="s">
        <v>64</v>
      </c>
      <c r="AT4766" s="3" t="s">
        <v>64</v>
      </c>
      <c r="AV4766" s="6" t="str">
        <f>HYPERLINK("http://mcgill.on.worldcat.org/oclc/670211467","Catalog Record")</f>
        <v>Catalog Record</v>
      </c>
      <c r="AW4766" s="6" t="str">
        <f>HYPERLINK("http://www.worldcat.org/oclc/670211467","WorldCat Record")</f>
        <v>WorldCat Record</v>
      </c>
      <c r="AX4766" s="3" t="s">
        <v>46314</v>
      </c>
      <c r="AY4766" s="3" t="s">
        <v>46315</v>
      </c>
      <c r="AZ4766" s="3" t="s">
        <v>46316</v>
      </c>
      <c r="BA4766" s="3" t="s">
        <v>46316</v>
      </c>
      <c r="BB4766" s="3" t="s">
        <v>46317</v>
      </c>
      <c r="BC4766" s="3" t="s">
        <v>77</v>
      </c>
      <c r="BD4766" s="3" t="s">
        <v>78</v>
      </c>
      <c r="BE4766" s="3" t="s">
        <v>46318</v>
      </c>
      <c r="BF4766" s="3" t="s">
        <v>46317</v>
      </c>
      <c r="BG4766" s="3" t="s">
        <v>46319</v>
      </c>
      <c r="BH4766">
        <f t="shared" si="156"/>
        <v>0</v>
      </c>
    </row>
    <row r="4767" spans="1:60" ht="58" x14ac:dyDescent="0.35">
      <c r="A4767" s="2" t="s">
        <v>6202</v>
      </c>
      <c r="B4767" s="2" t="s">
        <v>6203</v>
      </c>
      <c r="C4767" s="2" t="s">
        <v>46320</v>
      </c>
      <c r="D4767" s="2" t="s">
        <v>46321</v>
      </c>
      <c r="E4767" s="2" t="s">
        <v>46322</v>
      </c>
      <c r="G4767" s="3" t="s">
        <v>64</v>
      </c>
      <c r="I4767" s="3" t="s">
        <v>64</v>
      </c>
      <c r="J4767" s="3" t="s">
        <v>64</v>
      </c>
      <c r="K4767" s="3" t="s">
        <v>65</v>
      </c>
      <c r="M4767" s="2" t="s">
        <v>23875</v>
      </c>
      <c r="N4767" s="3" t="s">
        <v>421</v>
      </c>
      <c r="P4767" s="3" t="s">
        <v>102</v>
      </c>
      <c r="Q4767" s="2" t="s">
        <v>46323</v>
      </c>
      <c r="R4767" s="3" t="s">
        <v>70</v>
      </c>
      <c r="S4767" s="4">
        <v>1</v>
      </c>
      <c r="T4767" s="4">
        <v>1</v>
      </c>
      <c r="U4767" s="5" t="s">
        <v>16287</v>
      </c>
      <c r="V4767" s="5" t="s">
        <v>16287</v>
      </c>
      <c r="W4767" s="5" t="s">
        <v>72</v>
      </c>
      <c r="X4767" s="5" t="s">
        <v>72</v>
      </c>
      <c r="Y4767" s="4">
        <v>231</v>
      </c>
      <c r="Z4767" s="4">
        <v>10</v>
      </c>
      <c r="AA4767" s="4">
        <v>36</v>
      </c>
      <c r="AB4767" s="4">
        <v>1</v>
      </c>
      <c r="AC4767" s="4">
        <v>6</v>
      </c>
      <c r="AD4767" s="4">
        <v>71</v>
      </c>
      <c r="AE4767" s="4">
        <v>74</v>
      </c>
      <c r="AF4767" s="4">
        <v>0</v>
      </c>
      <c r="AG4767" s="4">
        <v>0</v>
      </c>
      <c r="AH4767" s="4">
        <v>68</v>
      </c>
      <c r="AI4767" s="4">
        <v>69</v>
      </c>
      <c r="AJ4767" s="4">
        <v>6</v>
      </c>
      <c r="AK4767" s="4">
        <v>6</v>
      </c>
      <c r="AL4767" s="4">
        <v>42</v>
      </c>
      <c r="AM4767" s="4">
        <v>43</v>
      </c>
      <c r="AN4767" s="4">
        <v>0</v>
      </c>
      <c r="AO4767" s="4">
        <v>0</v>
      </c>
      <c r="AP4767" s="4">
        <v>6</v>
      </c>
      <c r="AQ4767" s="4">
        <v>8</v>
      </c>
      <c r="AR4767" s="3" t="s">
        <v>64</v>
      </c>
      <c r="AS4767" s="3" t="s">
        <v>64</v>
      </c>
      <c r="AT4767" s="3" t="s">
        <v>128</v>
      </c>
      <c r="AU4767" s="6" t="str">
        <f>HYPERLINK("http://catalog.hathitrust.org/Record/004024944","HathiTrust Record")</f>
        <v>HathiTrust Record</v>
      </c>
      <c r="AV4767" s="6" t="str">
        <f>HYPERLINK("http://mcgill.on.worldcat.org/oclc/36470167","Catalog Record")</f>
        <v>Catalog Record</v>
      </c>
      <c r="AW4767" s="6" t="str">
        <f>HYPERLINK("http://www.worldcat.org/oclc/36470167","WorldCat Record")</f>
        <v>WorldCat Record</v>
      </c>
      <c r="AX4767" s="3" t="s">
        <v>46324</v>
      </c>
      <c r="AY4767" s="3" t="s">
        <v>46325</v>
      </c>
      <c r="AZ4767" s="3" t="s">
        <v>46326</v>
      </c>
      <c r="BA4767" s="3" t="s">
        <v>46326</v>
      </c>
      <c r="BB4767" s="3" t="s">
        <v>46327</v>
      </c>
      <c r="BC4767" s="3" t="s">
        <v>77</v>
      </c>
      <c r="BD4767" s="3" t="s">
        <v>78</v>
      </c>
      <c r="BE4767" s="3" t="s">
        <v>46328</v>
      </c>
      <c r="BF4767" s="3" t="s">
        <v>46327</v>
      </c>
      <c r="BG4767" s="3" t="s">
        <v>46329</v>
      </c>
      <c r="BH4767">
        <f t="shared" si="156"/>
        <v>0</v>
      </c>
    </row>
    <row r="4768" spans="1:60" ht="58" x14ac:dyDescent="0.35">
      <c r="A4768" s="2" t="s">
        <v>59</v>
      </c>
      <c r="B4768" s="2" t="s">
        <v>60</v>
      </c>
      <c r="C4768" s="2" t="s">
        <v>46330</v>
      </c>
      <c r="D4768" s="2" t="s">
        <v>46331</v>
      </c>
      <c r="E4768" s="2" t="s">
        <v>46332</v>
      </c>
      <c r="G4768" s="3" t="s">
        <v>64</v>
      </c>
      <c r="I4768" s="3" t="s">
        <v>64</v>
      </c>
      <c r="J4768" s="3" t="s">
        <v>64</v>
      </c>
      <c r="K4768" s="3" t="s">
        <v>65</v>
      </c>
      <c r="L4768" s="2" t="s">
        <v>46333</v>
      </c>
      <c r="M4768" s="2" t="s">
        <v>46334</v>
      </c>
      <c r="N4768" s="3" t="s">
        <v>537</v>
      </c>
      <c r="O4768" s="2" t="s">
        <v>46335</v>
      </c>
      <c r="P4768" s="3" t="s">
        <v>102</v>
      </c>
      <c r="R4768" s="3" t="s">
        <v>70</v>
      </c>
      <c r="S4768" s="4">
        <v>1</v>
      </c>
      <c r="T4768" s="4">
        <v>1</v>
      </c>
      <c r="U4768" s="5" t="s">
        <v>46336</v>
      </c>
      <c r="V4768" s="5" t="s">
        <v>46336</v>
      </c>
      <c r="W4768" s="5" t="s">
        <v>72</v>
      </c>
      <c r="X4768" s="5" t="s">
        <v>72</v>
      </c>
      <c r="Y4768" s="4">
        <v>158</v>
      </c>
      <c r="Z4768" s="4">
        <v>11</v>
      </c>
      <c r="AA4768" s="4">
        <v>16</v>
      </c>
      <c r="AB4768" s="4">
        <v>1</v>
      </c>
      <c r="AC4768" s="4">
        <v>2</v>
      </c>
      <c r="AD4768" s="4">
        <v>14</v>
      </c>
      <c r="AE4768" s="4">
        <v>17</v>
      </c>
      <c r="AF4768" s="4">
        <v>0</v>
      </c>
      <c r="AG4768" s="4">
        <v>1</v>
      </c>
      <c r="AH4768" s="4">
        <v>12</v>
      </c>
      <c r="AI4768" s="4">
        <v>14</v>
      </c>
      <c r="AJ4768" s="4">
        <v>1</v>
      </c>
      <c r="AK4768" s="4">
        <v>2</v>
      </c>
      <c r="AL4768" s="4">
        <v>7</v>
      </c>
      <c r="AM4768" s="4">
        <v>9</v>
      </c>
      <c r="AN4768" s="4">
        <v>0</v>
      </c>
      <c r="AO4768" s="4">
        <v>0</v>
      </c>
      <c r="AP4768" s="4">
        <v>3</v>
      </c>
      <c r="AQ4768" s="4">
        <v>4</v>
      </c>
      <c r="AR4768" s="3" t="s">
        <v>64</v>
      </c>
      <c r="AS4768" s="3" t="s">
        <v>64</v>
      </c>
      <c r="AT4768" s="3" t="s">
        <v>64</v>
      </c>
      <c r="AV4768" s="6" t="str">
        <f>HYPERLINK("http://mcgill.on.worldcat.org/oclc/933722314","Catalog Record")</f>
        <v>Catalog Record</v>
      </c>
      <c r="AW4768" s="6" t="str">
        <f>HYPERLINK("http://www.worldcat.org/oclc/933722314","WorldCat Record")</f>
        <v>WorldCat Record</v>
      </c>
      <c r="AX4768" s="3" t="s">
        <v>46337</v>
      </c>
      <c r="AY4768" s="3" t="s">
        <v>46338</v>
      </c>
      <c r="AZ4768" s="3" t="s">
        <v>46339</v>
      </c>
      <c r="BA4768" s="3" t="s">
        <v>46339</v>
      </c>
      <c r="BB4768" s="3" t="s">
        <v>46340</v>
      </c>
      <c r="BC4768" s="3" t="s">
        <v>77</v>
      </c>
      <c r="BD4768" s="3" t="s">
        <v>78</v>
      </c>
      <c r="BE4768" s="3" t="s">
        <v>46341</v>
      </c>
      <c r="BF4768" s="3" t="s">
        <v>46340</v>
      </c>
      <c r="BG4768" s="3" t="s">
        <v>46342</v>
      </c>
      <c r="BH4768">
        <f t="shared" si="156"/>
        <v>0</v>
      </c>
    </row>
    <row r="4769" spans="1:60" ht="72.5" x14ac:dyDescent="0.35">
      <c r="A4769" s="2" t="s">
        <v>59</v>
      </c>
      <c r="B4769" s="2" t="s">
        <v>60</v>
      </c>
      <c r="C4769" s="2" t="s">
        <v>46343</v>
      </c>
      <c r="D4769" s="2" t="s">
        <v>46344</v>
      </c>
      <c r="E4769" s="2" t="s">
        <v>46345</v>
      </c>
      <c r="G4769" s="3" t="s">
        <v>64</v>
      </c>
      <c r="I4769" s="3" t="s">
        <v>64</v>
      </c>
      <c r="J4769" s="3" t="s">
        <v>64</v>
      </c>
      <c r="K4769" s="3" t="s">
        <v>65</v>
      </c>
      <c r="L4769" s="2" t="s">
        <v>46346</v>
      </c>
      <c r="M4769" s="2" t="s">
        <v>14363</v>
      </c>
      <c r="N4769" s="3" t="s">
        <v>1031</v>
      </c>
      <c r="P4769" s="3" t="s">
        <v>102</v>
      </c>
      <c r="Q4769" s="2" t="s">
        <v>46347</v>
      </c>
      <c r="R4769" s="3" t="s">
        <v>70</v>
      </c>
      <c r="S4769" s="4">
        <v>2</v>
      </c>
      <c r="T4769" s="4">
        <v>2</v>
      </c>
      <c r="U4769" s="5" t="s">
        <v>18733</v>
      </c>
      <c r="V4769" s="5" t="s">
        <v>18733</v>
      </c>
      <c r="W4769" s="5" t="s">
        <v>72</v>
      </c>
      <c r="X4769" s="5" t="s">
        <v>72</v>
      </c>
      <c r="Y4769" s="4">
        <v>379</v>
      </c>
      <c r="Z4769" s="4">
        <v>23</v>
      </c>
      <c r="AA4769" s="4">
        <v>26</v>
      </c>
      <c r="AB4769" s="4">
        <v>1</v>
      </c>
      <c r="AC4769" s="4">
        <v>4</v>
      </c>
      <c r="AD4769" s="4">
        <v>89</v>
      </c>
      <c r="AE4769" s="4">
        <v>91</v>
      </c>
      <c r="AF4769" s="4">
        <v>0</v>
      </c>
      <c r="AG4769" s="4">
        <v>2</v>
      </c>
      <c r="AH4769" s="4">
        <v>82</v>
      </c>
      <c r="AI4769" s="4">
        <v>83</v>
      </c>
      <c r="AJ4769" s="4">
        <v>8</v>
      </c>
      <c r="AK4769" s="4">
        <v>10</v>
      </c>
      <c r="AL4769" s="4">
        <v>50</v>
      </c>
      <c r="AM4769" s="4">
        <v>50</v>
      </c>
      <c r="AN4769" s="4">
        <v>0</v>
      </c>
      <c r="AO4769" s="4">
        <v>0</v>
      </c>
      <c r="AP4769" s="4">
        <v>10</v>
      </c>
      <c r="AQ4769" s="4">
        <v>12</v>
      </c>
      <c r="AR4769" s="3" t="s">
        <v>64</v>
      </c>
      <c r="AS4769" s="3" t="s">
        <v>64</v>
      </c>
      <c r="AT4769" s="3" t="s">
        <v>64</v>
      </c>
      <c r="AV4769" s="6" t="str">
        <f>HYPERLINK("http://mcgill.on.worldcat.org/oclc/24670565","Catalog Record")</f>
        <v>Catalog Record</v>
      </c>
      <c r="AW4769" s="6" t="str">
        <f>HYPERLINK("http://www.worldcat.org/oclc/24670565","WorldCat Record")</f>
        <v>WorldCat Record</v>
      </c>
      <c r="AX4769" s="3" t="s">
        <v>46348</v>
      </c>
      <c r="AY4769" s="3" t="s">
        <v>46349</v>
      </c>
      <c r="AZ4769" s="3" t="s">
        <v>46350</v>
      </c>
      <c r="BA4769" s="3" t="s">
        <v>46350</v>
      </c>
      <c r="BB4769" s="3" t="s">
        <v>46351</v>
      </c>
      <c r="BC4769" s="3" t="s">
        <v>77</v>
      </c>
      <c r="BD4769" s="3" t="s">
        <v>78</v>
      </c>
      <c r="BE4769" s="3" t="s">
        <v>46352</v>
      </c>
      <c r="BF4769" s="3" t="s">
        <v>46351</v>
      </c>
      <c r="BG4769" s="3" t="s">
        <v>46353</v>
      </c>
      <c r="BH4769">
        <f t="shared" si="156"/>
        <v>0</v>
      </c>
    </row>
    <row r="4770" spans="1:60" ht="58" x14ac:dyDescent="0.35">
      <c r="A4770" s="2" t="s">
        <v>6202</v>
      </c>
      <c r="B4770" s="2" t="s">
        <v>6203</v>
      </c>
      <c r="C4770" s="2" t="s">
        <v>46354</v>
      </c>
      <c r="D4770" s="2" t="s">
        <v>46355</v>
      </c>
      <c r="E4770" s="2" t="s">
        <v>46356</v>
      </c>
      <c r="G4770" s="3" t="s">
        <v>64</v>
      </c>
      <c r="I4770" s="3" t="s">
        <v>64</v>
      </c>
      <c r="J4770" s="3" t="s">
        <v>64</v>
      </c>
      <c r="K4770" s="3" t="s">
        <v>65</v>
      </c>
      <c r="L4770" s="2" t="s">
        <v>46357</v>
      </c>
      <c r="M4770" s="2" t="s">
        <v>46358</v>
      </c>
      <c r="N4770" s="3" t="s">
        <v>1250</v>
      </c>
      <c r="P4770" s="3" t="s">
        <v>102</v>
      </c>
      <c r="Q4770" s="2" t="s">
        <v>46359</v>
      </c>
      <c r="R4770" s="3" t="s">
        <v>70</v>
      </c>
      <c r="S4770" s="4">
        <v>3</v>
      </c>
      <c r="T4770" s="4">
        <v>3</v>
      </c>
      <c r="U4770" s="5" t="s">
        <v>46360</v>
      </c>
      <c r="V4770" s="5" t="s">
        <v>46360</v>
      </c>
      <c r="W4770" s="5" t="s">
        <v>72</v>
      </c>
      <c r="X4770" s="5" t="s">
        <v>72</v>
      </c>
      <c r="Y4770" s="4">
        <v>281</v>
      </c>
      <c r="Z4770" s="4">
        <v>16</v>
      </c>
      <c r="AA4770" s="4">
        <v>20</v>
      </c>
      <c r="AB4770" s="4">
        <v>1</v>
      </c>
      <c r="AC4770" s="4">
        <v>4</v>
      </c>
      <c r="AD4770" s="4">
        <v>61</v>
      </c>
      <c r="AE4770" s="4">
        <v>65</v>
      </c>
      <c r="AF4770" s="4">
        <v>0</v>
      </c>
      <c r="AG4770" s="4">
        <v>3</v>
      </c>
      <c r="AH4770" s="4">
        <v>56</v>
      </c>
      <c r="AI4770" s="4">
        <v>58</v>
      </c>
      <c r="AJ4770" s="4">
        <v>5</v>
      </c>
      <c r="AK4770" s="4">
        <v>8</v>
      </c>
      <c r="AL4770" s="4">
        <v>40</v>
      </c>
      <c r="AM4770" s="4">
        <v>41</v>
      </c>
      <c r="AN4770" s="4">
        <v>0</v>
      </c>
      <c r="AO4770" s="4">
        <v>0</v>
      </c>
      <c r="AP4770" s="4">
        <v>9</v>
      </c>
      <c r="AQ4770" s="4">
        <v>11</v>
      </c>
      <c r="AR4770" s="3" t="s">
        <v>64</v>
      </c>
      <c r="AS4770" s="3" t="s">
        <v>64</v>
      </c>
      <c r="AT4770" s="3" t="s">
        <v>64</v>
      </c>
      <c r="AV4770" s="6" t="str">
        <f>HYPERLINK("http://mcgill.on.worldcat.org/oclc/28962237","Catalog Record")</f>
        <v>Catalog Record</v>
      </c>
      <c r="AW4770" s="6" t="str">
        <f>HYPERLINK("http://www.worldcat.org/oclc/28962237","WorldCat Record")</f>
        <v>WorldCat Record</v>
      </c>
      <c r="AX4770" s="3" t="s">
        <v>46361</v>
      </c>
      <c r="AY4770" s="3" t="s">
        <v>46362</v>
      </c>
      <c r="AZ4770" s="3" t="s">
        <v>46363</v>
      </c>
      <c r="BA4770" s="3" t="s">
        <v>46363</v>
      </c>
      <c r="BB4770" s="3" t="s">
        <v>46364</v>
      </c>
      <c r="BC4770" s="3" t="s">
        <v>77</v>
      </c>
      <c r="BD4770" s="3" t="s">
        <v>78</v>
      </c>
      <c r="BE4770" s="3" t="s">
        <v>46365</v>
      </c>
      <c r="BF4770" s="3" t="s">
        <v>46364</v>
      </c>
      <c r="BG4770" s="3" t="s">
        <v>46366</v>
      </c>
      <c r="BH4770">
        <f t="shared" si="156"/>
        <v>0</v>
      </c>
    </row>
    <row r="4771" spans="1:60" ht="58" x14ac:dyDescent="0.35">
      <c r="A4771" s="2" t="s">
        <v>59</v>
      </c>
      <c r="B4771" s="2" t="s">
        <v>60</v>
      </c>
      <c r="C4771" s="2" t="s">
        <v>46367</v>
      </c>
      <c r="D4771" s="2" t="s">
        <v>46368</v>
      </c>
      <c r="E4771" s="2" t="s">
        <v>46369</v>
      </c>
      <c r="G4771" s="3" t="s">
        <v>64</v>
      </c>
      <c r="I4771" s="3" t="s">
        <v>64</v>
      </c>
      <c r="J4771" s="3" t="s">
        <v>64</v>
      </c>
      <c r="K4771" s="3" t="s">
        <v>65</v>
      </c>
      <c r="L4771" s="2" t="s">
        <v>46370</v>
      </c>
      <c r="M4771" s="2" t="s">
        <v>9354</v>
      </c>
      <c r="N4771" s="3" t="s">
        <v>253</v>
      </c>
      <c r="O4771" s="2" t="s">
        <v>15120</v>
      </c>
      <c r="P4771" s="3" t="s">
        <v>102</v>
      </c>
      <c r="Q4771" s="2" t="s">
        <v>46371</v>
      </c>
      <c r="R4771" s="3" t="s">
        <v>70</v>
      </c>
      <c r="S4771" s="4">
        <v>0</v>
      </c>
      <c r="T4771" s="4">
        <v>0</v>
      </c>
      <c r="W4771" s="5" t="s">
        <v>72</v>
      </c>
      <c r="X4771" s="5" t="s">
        <v>72</v>
      </c>
      <c r="Y4771" s="4">
        <v>147</v>
      </c>
      <c r="Z4771" s="4">
        <v>9</v>
      </c>
      <c r="AA4771" s="4">
        <v>80</v>
      </c>
      <c r="AB4771" s="4">
        <v>1</v>
      </c>
      <c r="AC4771" s="4">
        <v>14</v>
      </c>
      <c r="AD4771" s="4">
        <v>39</v>
      </c>
      <c r="AE4771" s="4">
        <v>110</v>
      </c>
      <c r="AF4771" s="4">
        <v>0</v>
      </c>
      <c r="AG4771" s="4">
        <v>8</v>
      </c>
      <c r="AH4771" s="4">
        <v>39</v>
      </c>
      <c r="AI4771" s="4">
        <v>79</v>
      </c>
      <c r="AJ4771" s="4">
        <v>4</v>
      </c>
      <c r="AK4771" s="4">
        <v>20</v>
      </c>
      <c r="AL4771" s="4">
        <v>25</v>
      </c>
      <c r="AM4771" s="4">
        <v>39</v>
      </c>
      <c r="AN4771" s="4">
        <v>0</v>
      </c>
      <c r="AO4771" s="4">
        <v>0</v>
      </c>
      <c r="AP4771" s="4">
        <v>4</v>
      </c>
      <c r="AQ4771" s="4">
        <v>39</v>
      </c>
      <c r="AR4771" s="3" t="s">
        <v>64</v>
      </c>
      <c r="AS4771" s="3" t="s">
        <v>64</v>
      </c>
      <c r="AT4771" s="3" t="s">
        <v>64</v>
      </c>
      <c r="AV4771" s="6" t="str">
        <f>HYPERLINK("http://mcgill.on.worldcat.org/oclc/902986805","Catalog Record")</f>
        <v>Catalog Record</v>
      </c>
      <c r="AW4771" s="6" t="str">
        <f>HYPERLINK("http://www.worldcat.org/oclc/902986805","WorldCat Record")</f>
        <v>WorldCat Record</v>
      </c>
      <c r="AX4771" s="3" t="s">
        <v>46372</v>
      </c>
      <c r="AY4771" s="3" t="s">
        <v>46373</v>
      </c>
      <c r="AZ4771" s="3" t="s">
        <v>46374</v>
      </c>
      <c r="BA4771" s="3" t="s">
        <v>46374</v>
      </c>
      <c r="BB4771" s="3" t="s">
        <v>46375</v>
      </c>
      <c r="BC4771" s="3" t="s">
        <v>77</v>
      </c>
      <c r="BD4771" s="3" t="s">
        <v>78</v>
      </c>
      <c r="BE4771" s="3" t="s">
        <v>46376</v>
      </c>
      <c r="BF4771" s="3" t="s">
        <v>46375</v>
      </c>
      <c r="BG4771" s="3" t="s">
        <v>46377</v>
      </c>
      <c r="BH4771">
        <f t="shared" si="156"/>
        <v>0</v>
      </c>
    </row>
    <row r="4772" spans="1:60" ht="58" x14ac:dyDescent="0.35">
      <c r="A4772" s="2" t="s">
        <v>59</v>
      </c>
      <c r="B4772" s="2" t="s">
        <v>60</v>
      </c>
      <c r="C4772" s="2" t="s">
        <v>46378</v>
      </c>
      <c r="D4772" s="2" t="s">
        <v>46379</v>
      </c>
      <c r="E4772" s="2" t="s">
        <v>46380</v>
      </c>
      <c r="G4772" s="3" t="s">
        <v>64</v>
      </c>
      <c r="I4772" s="3" t="s">
        <v>64</v>
      </c>
      <c r="J4772" s="3" t="s">
        <v>64</v>
      </c>
      <c r="K4772" s="3" t="s">
        <v>65</v>
      </c>
      <c r="L4772" s="2" t="s">
        <v>46381</v>
      </c>
      <c r="M4772" s="2" t="s">
        <v>46382</v>
      </c>
      <c r="N4772" s="3" t="s">
        <v>144</v>
      </c>
      <c r="P4772" s="3" t="s">
        <v>102</v>
      </c>
      <c r="Q4772" s="2" t="s">
        <v>46383</v>
      </c>
      <c r="R4772" s="3" t="s">
        <v>70</v>
      </c>
      <c r="S4772" s="4">
        <v>3</v>
      </c>
      <c r="T4772" s="4">
        <v>3</v>
      </c>
      <c r="U4772" s="5" t="s">
        <v>7670</v>
      </c>
      <c r="V4772" s="5" t="s">
        <v>7670</v>
      </c>
      <c r="W4772" s="5" t="s">
        <v>72</v>
      </c>
      <c r="X4772" s="5" t="s">
        <v>72</v>
      </c>
      <c r="Y4772" s="4">
        <v>114</v>
      </c>
      <c r="Z4772" s="4">
        <v>9</v>
      </c>
      <c r="AA4772" s="4">
        <v>10</v>
      </c>
      <c r="AB4772" s="4">
        <v>1</v>
      </c>
      <c r="AC4772" s="4">
        <v>2</v>
      </c>
      <c r="AD4772" s="4">
        <v>28</v>
      </c>
      <c r="AE4772" s="4">
        <v>29</v>
      </c>
      <c r="AF4772" s="4">
        <v>0</v>
      </c>
      <c r="AG4772" s="4">
        <v>1</v>
      </c>
      <c r="AH4772" s="4">
        <v>24</v>
      </c>
      <c r="AI4772" s="4">
        <v>24</v>
      </c>
      <c r="AJ4772" s="4">
        <v>5</v>
      </c>
      <c r="AK4772" s="4">
        <v>6</v>
      </c>
      <c r="AL4772" s="4">
        <v>19</v>
      </c>
      <c r="AM4772" s="4">
        <v>19</v>
      </c>
      <c r="AN4772" s="4">
        <v>0</v>
      </c>
      <c r="AO4772" s="4">
        <v>0</v>
      </c>
      <c r="AP4772" s="4">
        <v>4</v>
      </c>
      <c r="AQ4772" s="4">
        <v>4</v>
      </c>
      <c r="AR4772" s="3" t="s">
        <v>64</v>
      </c>
      <c r="AS4772" s="3" t="s">
        <v>64</v>
      </c>
      <c r="AT4772" s="3" t="s">
        <v>128</v>
      </c>
      <c r="AU4772" s="6" t="str">
        <f>HYPERLINK("http://catalog.hathitrust.org/Record/005883073","HathiTrust Record")</f>
        <v>HathiTrust Record</v>
      </c>
      <c r="AV4772" s="6" t="str">
        <f>HYPERLINK("http://mcgill.on.worldcat.org/oclc/227962272","Catalog Record")</f>
        <v>Catalog Record</v>
      </c>
      <c r="AW4772" s="6" t="str">
        <f>HYPERLINK("http://www.worldcat.org/oclc/227962272","WorldCat Record")</f>
        <v>WorldCat Record</v>
      </c>
      <c r="AX4772" s="3" t="s">
        <v>46384</v>
      </c>
      <c r="AY4772" s="3" t="s">
        <v>46385</v>
      </c>
      <c r="AZ4772" s="3" t="s">
        <v>46386</v>
      </c>
      <c r="BA4772" s="3" t="s">
        <v>46386</v>
      </c>
      <c r="BB4772" s="3" t="s">
        <v>46387</v>
      </c>
      <c r="BC4772" s="3" t="s">
        <v>77</v>
      </c>
      <c r="BD4772" s="3" t="s">
        <v>78</v>
      </c>
      <c r="BE4772" s="3" t="s">
        <v>46388</v>
      </c>
      <c r="BF4772" s="3" t="s">
        <v>46387</v>
      </c>
      <c r="BG4772" s="3" t="s">
        <v>46389</v>
      </c>
      <c r="BH4772">
        <f t="shared" si="156"/>
        <v>0</v>
      </c>
    </row>
    <row r="4773" spans="1:60" ht="58" x14ac:dyDescent="0.35">
      <c r="A4773" s="2" t="s">
        <v>59</v>
      </c>
      <c r="B4773" s="2" t="s">
        <v>60</v>
      </c>
      <c r="C4773" s="2" t="s">
        <v>46390</v>
      </c>
      <c r="D4773" s="2" t="s">
        <v>46391</v>
      </c>
      <c r="E4773" s="2" t="s">
        <v>46392</v>
      </c>
      <c r="G4773" s="3" t="s">
        <v>64</v>
      </c>
      <c r="I4773" s="3" t="s">
        <v>64</v>
      </c>
      <c r="J4773" s="3" t="s">
        <v>64</v>
      </c>
      <c r="K4773" s="3" t="s">
        <v>65</v>
      </c>
      <c r="L4773" s="2" t="s">
        <v>46393</v>
      </c>
      <c r="M4773" s="2" t="s">
        <v>46394</v>
      </c>
      <c r="N4773" s="3" t="s">
        <v>116</v>
      </c>
      <c r="P4773" s="3" t="s">
        <v>102</v>
      </c>
      <c r="Q4773" s="2" t="s">
        <v>46395</v>
      </c>
      <c r="R4773" s="3" t="s">
        <v>70</v>
      </c>
      <c r="S4773" s="4">
        <v>5</v>
      </c>
      <c r="T4773" s="4">
        <v>5</v>
      </c>
      <c r="U4773" s="5" t="s">
        <v>10506</v>
      </c>
      <c r="V4773" s="5" t="s">
        <v>10506</v>
      </c>
      <c r="W4773" s="5" t="s">
        <v>72</v>
      </c>
      <c r="X4773" s="5" t="s">
        <v>72</v>
      </c>
      <c r="Y4773" s="4">
        <v>198</v>
      </c>
      <c r="Z4773" s="4">
        <v>15</v>
      </c>
      <c r="AA4773" s="4">
        <v>17</v>
      </c>
      <c r="AB4773" s="4">
        <v>3</v>
      </c>
      <c r="AC4773" s="4">
        <v>5</v>
      </c>
      <c r="AD4773" s="4">
        <v>43</v>
      </c>
      <c r="AE4773" s="4">
        <v>45</v>
      </c>
      <c r="AF4773" s="4">
        <v>1</v>
      </c>
      <c r="AG4773" s="4">
        <v>3</v>
      </c>
      <c r="AH4773" s="4">
        <v>38</v>
      </c>
      <c r="AI4773" s="4">
        <v>39</v>
      </c>
      <c r="AJ4773" s="4">
        <v>6</v>
      </c>
      <c r="AK4773" s="4">
        <v>8</v>
      </c>
      <c r="AL4773" s="4">
        <v>31</v>
      </c>
      <c r="AM4773" s="4">
        <v>31</v>
      </c>
      <c r="AN4773" s="4">
        <v>5</v>
      </c>
      <c r="AO4773" s="4">
        <v>5</v>
      </c>
      <c r="AP4773" s="4">
        <v>8</v>
      </c>
      <c r="AQ4773" s="4">
        <v>9</v>
      </c>
      <c r="AR4773" s="3" t="s">
        <v>64</v>
      </c>
      <c r="AS4773" s="3" t="s">
        <v>64</v>
      </c>
      <c r="AT4773" s="3" t="s">
        <v>128</v>
      </c>
      <c r="AU4773" s="6" t="str">
        <f>HYPERLINK("http://catalog.hathitrust.org/Record/004298099","HathiTrust Record")</f>
        <v>HathiTrust Record</v>
      </c>
      <c r="AV4773" s="6" t="str">
        <f>HYPERLINK("http://mcgill.on.worldcat.org/oclc/48194311","Catalog Record")</f>
        <v>Catalog Record</v>
      </c>
      <c r="AW4773" s="6" t="str">
        <f>HYPERLINK("http://www.worldcat.org/oclc/48194311","WorldCat Record")</f>
        <v>WorldCat Record</v>
      </c>
      <c r="AX4773" s="3" t="s">
        <v>46396</v>
      </c>
      <c r="AY4773" s="3" t="s">
        <v>46397</v>
      </c>
      <c r="AZ4773" s="3" t="s">
        <v>46398</v>
      </c>
      <c r="BA4773" s="3" t="s">
        <v>46398</v>
      </c>
      <c r="BB4773" s="3" t="s">
        <v>46399</v>
      </c>
      <c r="BC4773" s="3" t="s">
        <v>77</v>
      </c>
      <c r="BD4773" s="3" t="s">
        <v>78</v>
      </c>
      <c r="BE4773" s="3" t="s">
        <v>46400</v>
      </c>
      <c r="BF4773" s="3" t="s">
        <v>46399</v>
      </c>
      <c r="BG4773" s="3" t="s">
        <v>46401</v>
      </c>
      <c r="BH4773">
        <f t="shared" si="156"/>
        <v>0</v>
      </c>
    </row>
    <row r="4774" spans="1:60" ht="58" x14ac:dyDescent="0.35">
      <c r="A4774" s="2" t="s">
        <v>59</v>
      </c>
      <c r="B4774" s="2" t="s">
        <v>7607</v>
      </c>
      <c r="C4774" s="2" t="s">
        <v>46402</v>
      </c>
      <c r="D4774" s="2" t="s">
        <v>46403</v>
      </c>
      <c r="E4774" s="2" t="s">
        <v>46404</v>
      </c>
      <c r="F4774" s="3" t="s">
        <v>525</v>
      </c>
      <c r="G4774" s="3" t="s">
        <v>128</v>
      </c>
      <c r="I4774" s="3" t="s">
        <v>64</v>
      </c>
      <c r="J4774" s="3" t="s">
        <v>64</v>
      </c>
      <c r="K4774" s="3" t="s">
        <v>65</v>
      </c>
      <c r="M4774" s="2" t="s">
        <v>46405</v>
      </c>
      <c r="N4774" s="3" t="s">
        <v>153</v>
      </c>
      <c r="P4774" s="3" t="s">
        <v>102</v>
      </c>
      <c r="Q4774" s="2" t="s">
        <v>46406</v>
      </c>
      <c r="R4774" s="3" t="s">
        <v>70</v>
      </c>
      <c r="S4774" s="4">
        <v>2</v>
      </c>
      <c r="T4774" s="4">
        <v>3</v>
      </c>
      <c r="U4774" s="5" t="s">
        <v>11093</v>
      </c>
      <c r="V4774" s="5" t="s">
        <v>11093</v>
      </c>
      <c r="W4774" s="5" t="s">
        <v>72</v>
      </c>
      <c r="X4774" s="5" t="s">
        <v>72</v>
      </c>
      <c r="Y4774" s="4">
        <v>141</v>
      </c>
      <c r="Z4774" s="4">
        <v>17</v>
      </c>
      <c r="AA4774" s="4">
        <v>19</v>
      </c>
      <c r="AB4774" s="4">
        <v>1</v>
      </c>
      <c r="AC4774" s="4">
        <v>3</v>
      </c>
      <c r="AD4774" s="4">
        <v>44</v>
      </c>
      <c r="AE4774" s="4">
        <v>46</v>
      </c>
      <c r="AF4774" s="4">
        <v>0</v>
      </c>
      <c r="AG4774" s="4">
        <v>2</v>
      </c>
      <c r="AH4774" s="4">
        <v>39</v>
      </c>
      <c r="AI4774" s="4">
        <v>40</v>
      </c>
      <c r="AJ4774" s="4">
        <v>5</v>
      </c>
      <c r="AK4774" s="4">
        <v>7</v>
      </c>
      <c r="AL4774" s="4">
        <v>26</v>
      </c>
      <c r="AM4774" s="4">
        <v>26</v>
      </c>
      <c r="AN4774" s="4">
        <v>0</v>
      </c>
      <c r="AO4774" s="4">
        <v>0</v>
      </c>
      <c r="AP4774" s="4">
        <v>7</v>
      </c>
      <c r="AQ4774" s="4">
        <v>8</v>
      </c>
      <c r="AR4774" s="3" t="s">
        <v>64</v>
      </c>
      <c r="AS4774" s="3" t="s">
        <v>64</v>
      </c>
      <c r="AT4774" s="3" t="s">
        <v>64</v>
      </c>
      <c r="AV4774" s="6" t="str">
        <f>HYPERLINK("http://mcgill.on.worldcat.org/oclc/40983243","Catalog Record")</f>
        <v>Catalog Record</v>
      </c>
      <c r="AW4774" s="6" t="str">
        <f>HYPERLINK("http://www.worldcat.org/oclc/40983243","WorldCat Record")</f>
        <v>WorldCat Record</v>
      </c>
      <c r="AX4774" s="3" t="s">
        <v>46407</v>
      </c>
      <c r="AY4774" s="3" t="s">
        <v>46408</v>
      </c>
      <c r="AZ4774" s="3" t="s">
        <v>46409</v>
      </c>
      <c r="BA4774" s="3" t="s">
        <v>46409</v>
      </c>
      <c r="BB4774" s="3" t="s">
        <v>46410</v>
      </c>
      <c r="BC4774" s="3" t="s">
        <v>77</v>
      </c>
      <c r="BD4774" s="3" t="s">
        <v>78</v>
      </c>
      <c r="BE4774" s="3" t="s">
        <v>46411</v>
      </c>
      <c r="BF4774" s="3" t="s">
        <v>46410</v>
      </c>
      <c r="BG4774" s="3" t="s">
        <v>46412</v>
      </c>
      <c r="BH4774">
        <f t="shared" si="156"/>
        <v>0</v>
      </c>
    </row>
    <row r="4775" spans="1:60" ht="58" x14ac:dyDescent="0.35">
      <c r="A4775" s="2" t="s">
        <v>59</v>
      </c>
      <c r="B4775" s="2" t="s">
        <v>7607</v>
      </c>
      <c r="C4775" s="2" t="s">
        <v>46402</v>
      </c>
      <c r="D4775" s="2" t="s">
        <v>46403</v>
      </c>
      <c r="E4775" s="2" t="s">
        <v>46404</v>
      </c>
      <c r="F4775" s="3" t="s">
        <v>529</v>
      </c>
      <c r="G4775" s="3" t="s">
        <v>128</v>
      </c>
      <c r="I4775" s="3" t="s">
        <v>64</v>
      </c>
      <c r="J4775" s="3" t="s">
        <v>64</v>
      </c>
      <c r="K4775" s="3" t="s">
        <v>65</v>
      </c>
      <c r="M4775" s="2" t="s">
        <v>46405</v>
      </c>
      <c r="N4775" s="3" t="s">
        <v>153</v>
      </c>
      <c r="P4775" s="3" t="s">
        <v>102</v>
      </c>
      <c r="Q4775" s="2" t="s">
        <v>46406</v>
      </c>
      <c r="R4775" s="3" t="s">
        <v>70</v>
      </c>
      <c r="S4775" s="4">
        <v>1</v>
      </c>
      <c r="T4775" s="4">
        <v>3</v>
      </c>
      <c r="U4775" s="5" t="s">
        <v>11093</v>
      </c>
      <c r="V4775" s="5" t="s">
        <v>11093</v>
      </c>
      <c r="W4775" s="5" t="s">
        <v>72</v>
      </c>
      <c r="X4775" s="5" t="s">
        <v>72</v>
      </c>
      <c r="Y4775" s="4">
        <v>141</v>
      </c>
      <c r="Z4775" s="4">
        <v>17</v>
      </c>
      <c r="AA4775" s="4">
        <v>19</v>
      </c>
      <c r="AB4775" s="4">
        <v>1</v>
      </c>
      <c r="AC4775" s="4">
        <v>3</v>
      </c>
      <c r="AD4775" s="4">
        <v>44</v>
      </c>
      <c r="AE4775" s="4">
        <v>46</v>
      </c>
      <c r="AF4775" s="4">
        <v>0</v>
      </c>
      <c r="AG4775" s="4">
        <v>2</v>
      </c>
      <c r="AH4775" s="4">
        <v>39</v>
      </c>
      <c r="AI4775" s="4">
        <v>40</v>
      </c>
      <c r="AJ4775" s="4">
        <v>5</v>
      </c>
      <c r="AK4775" s="4">
        <v>7</v>
      </c>
      <c r="AL4775" s="4">
        <v>26</v>
      </c>
      <c r="AM4775" s="4">
        <v>26</v>
      </c>
      <c r="AN4775" s="4">
        <v>0</v>
      </c>
      <c r="AO4775" s="4">
        <v>0</v>
      </c>
      <c r="AP4775" s="4">
        <v>7</v>
      </c>
      <c r="AQ4775" s="4">
        <v>8</v>
      </c>
      <c r="AR4775" s="3" t="s">
        <v>64</v>
      </c>
      <c r="AS4775" s="3" t="s">
        <v>64</v>
      </c>
      <c r="AT4775" s="3" t="s">
        <v>64</v>
      </c>
      <c r="AV4775" s="6" t="str">
        <f>HYPERLINK("http://mcgill.on.worldcat.org/oclc/40983243","Catalog Record")</f>
        <v>Catalog Record</v>
      </c>
      <c r="AW4775" s="6" t="str">
        <f>HYPERLINK("http://www.worldcat.org/oclc/40983243","WorldCat Record")</f>
        <v>WorldCat Record</v>
      </c>
      <c r="AX4775" s="3" t="s">
        <v>46407</v>
      </c>
      <c r="AY4775" s="3" t="s">
        <v>46408</v>
      </c>
      <c r="AZ4775" s="3" t="s">
        <v>46409</v>
      </c>
      <c r="BA4775" s="3" t="s">
        <v>46409</v>
      </c>
      <c r="BB4775" s="3" t="s">
        <v>46413</v>
      </c>
      <c r="BC4775" s="3" t="s">
        <v>77</v>
      </c>
      <c r="BD4775" s="3" t="s">
        <v>78</v>
      </c>
      <c r="BE4775" s="3" t="s">
        <v>46411</v>
      </c>
      <c r="BF4775" s="3" t="s">
        <v>46413</v>
      </c>
      <c r="BG4775" s="3" t="s">
        <v>46414</v>
      </c>
      <c r="BH4775">
        <f t="shared" si="156"/>
        <v>0</v>
      </c>
    </row>
    <row r="4776" spans="1:60" ht="87" x14ac:dyDescent="0.35">
      <c r="A4776" s="2" t="s">
        <v>59</v>
      </c>
      <c r="B4776" s="2" t="s">
        <v>7607</v>
      </c>
      <c r="C4776" s="2" t="s">
        <v>46415</v>
      </c>
      <c r="D4776" s="2" t="s">
        <v>46416</v>
      </c>
      <c r="E4776" s="2" t="s">
        <v>46417</v>
      </c>
      <c r="G4776" s="3" t="s">
        <v>64</v>
      </c>
      <c r="I4776" s="3" t="s">
        <v>64</v>
      </c>
      <c r="J4776" s="3" t="s">
        <v>64</v>
      </c>
      <c r="K4776" s="3" t="s">
        <v>65</v>
      </c>
      <c r="L4776" s="2" t="s">
        <v>46418</v>
      </c>
      <c r="M4776" s="2" t="s">
        <v>46419</v>
      </c>
      <c r="N4776" s="3" t="s">
        <v>3047</v>
      </c>
      <c r="P4776" s="3" t="s">
        <v>102</v>
      </c>
      <c r="Q4776" s="2" t="s">
        <v>46420</v>
      </c>
      <c r="R4776" s="3" t="s">
        <v>70</v>
      </c>
      <c r="S4776" s="4">
        <v>2</v>
      </c>
      <c r="T4776" s="4">
        <v>2</v>
      </c>
      <c r="U4776" s="5" t="s">
        <v>46421</v>
      </c>
      <c r="V4776" s="5" t="s">
        <v>46421</v>
      </c>
      <c r="W4776" s="5" t="s">
        <v>72</v>
      </c>
      <c r="X4776" s="5" t="s">
        <v>72</v>
      </c>
      <c r="Y4776" s="4">
        <v>440</v>
      </c>
      <c r="Z4776" s="4">
        <v>28</v>
      </c>
      <c r="AA4776" s="4">
        <v>33</v>
      </c>
      <c r="AB4776" s="4">
        <v>2</v>
      </c>
      <c r="AC4776" s="4">
        <v>4</v>
      </c>
      <c r="AD4776" s="4">
        <v>88</v>
      </c>
      <c r="AE4776" s="4">
        <v>91</v>
      </c>
      <c r="AF4776" s="4">
        <v>1</v>
      </c>
      <c r="AG4776" s="4">
        <v>3</v>
      </c>
      <c r="AH4776" s="4">
        <v>77</v>
      </c>
      <c r="AI4776" s="4">
        <v>78</v>
      </c>
      <c r="AJ4776" s="4">
        <v>12</v>
      </c>
      <c r="AK4776" s="4">
        <v>15</v>
      </c>
      <c r="AL4776" s="4">
        <v>47</v>
      </c>
      <c r="AM4776" s="4">
        <v>47</v>
      </c>
      <c r="AN4776" s="4">
        <v>0</v>
      </c>
      <c r="AO4776" s="4">
        <v>0</v>
      </c>
      <c r="AP4776" s="4">
        <v>15</v>
      </c>
      <c r="AQ4776" s="4">
        <v>17</v>
      </c>
      <c r="AR4776" s="3" t="s">
        <v>64</v>
      </c>
      <c r="AS4776" s="3" t="s">
        <v>64</v>
      </c>
      <c r="AT4776" s="3" t="s">
        <v>128</v>
      </c>
      <c r="AU4776" s="6" t="str">
        <f>HYPERLINK("http://catalog.hathitrust.org/Record/000839199","HathiTrust Record")</f>
        <v>HathiTrust Record</v>
      </c>
      <c r="AV4776" s="6" t="str">
        <f>HYPERLINK("http://mcgill.on.worldcat.org/oclc/12419094","Catalog Record")</f>
        <v>Catalog Record</v>
      </c>
      <c r="AW4776" s="6" t="str">
        <f>HYPERLINK("http://www.worldcat.org/oclc/12419094","WorldCat Record")</f>
        <v>WorldCat Record</v>
      </c>
      <c r="AX4776" s="3" t="s">
        <v>46422</v>
      </c>
      <c r="AY4776" s="3" t="s">
        <v>46423</v>
      </c>
      <c r="AZ4776" s="3" t="s">
        <v>46424</v>
      </c>
      <c r="BA4776" s="3" t="s">
        <v>46424</v>
      </c>
      <c r="BB4776" s="3" t="s">
        <v>46425</v>
      </c>
      <c r="BC4776" s="3" t="s">
        <v>77</v>
      </c>
      <c r="BD4776" s="3" t="s">
        <v>78</v>
      </c>
      <c r="BE4776" s="3" t="s">
        <v>46426</v>
      </c>
      <c r="BF4776" s="3" t="s">
        <v>46425</v>
      </c>
      <c r="BG4776" s="3" t="s">
        <v>46427</v>
      </c>
      <c r="BH4776">
        <f t="shared" si="156"/>
        <v>0</v>
      </c>
    </row>
    <row r="4777" spans="1:60" ht="58" x14ac:dyDescent="0.35">
      <c r="A4777" s="2" t="s">
        <v>6202</v>
      </c>
      <c r="B4777" s="2" t="s">
        <v>6203</v>
      </c>
      <c r="C4777" s="2" t="s">
        <v>46428</v>
      </c>
      <c r="D4777" s="2" t="s">
        <v>46429</v>
      </c>
      <c r="E4777" s="2" t="s">
        <v>46430</v>
      </c>
      <c r="G4777" s="3" t="s">
        <v>64</v>
      </c>
      <c r="I4777" s="3" t="s">
        <v>64</v>
      </c>
      <c r="J4777" s="3" t="s">
        <v>64</v>
      </c>
      <c r="K4777" s="3" t="s">
        <v>65</v>
      </c>
      <c r="L4777" s="2" t="s">
        <v>46431</v>
      </c>
      <c r="M4777" s="2" t="s">
        <v>43207</v>
      </c>
      <c r="N4777" s="3" t="s">
        <v>1263</v>
      </c>
      <c r="P4777" s="3" t="s">
        <v>102</v>
      </c>
      <c r="Q4777" s="2" t="s">
        <v>46432</v>
      </c>
      <c r="R4777" s="3" t="s">
        <v>70</v>
      </c>
      <c r="S4777" s="4">
        <v>2</v>
      </c>
      <c r="T4777" s="4">
        <v>2</v>
      </c>
      <c r="U4777" s="5" t="s">
        <v>8131</v>
      </c>
      <c r="V4777" s="5" t="s">
        <v>8131</v>
      </c>
      <c r="W4777" s="5" t="s">
        <v>72</v>
      </c>
      <c r="X4777" s="5" t="s">
        <v>72</v>
      </c>
      <c r="Y4777" s="4">
        <v>344</v>
      </c>
      <c r="Z4777" s="4">
        <v>19</v>
      </c>
      <c r="AA4777" s="4">
        <v>24</v>
      </c>
      <c r="AB4777" s="4">
        <v>1</v>
      </c>
      <c r="AC4777" s="4">
        <v>4</v>
      </c>
      <c r="AD4777" s="4">
        <v>93</v>
      </c>
      <c r="AE4777" s="4">
        <v>95</v>
      </c>
      <c r="AF4777" s="4">
        <v>0</v>
      </c>
      <c r="AG4777" s="4">
        <v>0</v>
      </c>
      <c r="AH4777" s="4">
        <v>86</v>
      </c>
      <c r="AI4777" s="4">
        <v>88</v>
      </c>
      <c r="AJ4777" s="4">
        <v>10</v>
      </c>
      <c r="AK4777" s="4">
        <v>12</v>
      </c>
      <c r="AL4777" s="4">
        <v>49</v>
      </c>
      <c r="AM4777" s="4">
        <v>49</v>
      </c>
      <c r="AN4777" s="4">
        <v>0</v>
      </c>
      <c r="AO4777" s="4">
        <v>0</v>
      </c>
      <c r="AP4777" s="4">
        <v>13</v>
      </c>
      <c r="AQ4777" s="4">
        <v>15</v>
      </c>
      <c r="AR4777" s="3" t="s">
        <v>64</v>
      </c>
      <c r="AS4777" s="3" t="s">
        <v>64</v>
      </c>
      <c r="AT4777" s="3" t="s">
        <v>64</v>
      </c>
      <c r="AV4777" s="6" t="str">
        <f>HYPERLINK("http://mcgill.on.worldcat.org/oclc/27266342","Catalog Record")</f>
        <v>Catalog Record</v>
      </c>
      <c r="AW4777" s="6" t="str">
        <f>HYPERLINK("http://www.worldcat.org/oclc/27266342","WorldCat Record")</f>
        <v>WorldCat Record</v>
      </c>
      <c r="AX4777" s="3" t="s">
        <v>46433</v>
      </c>
      <c r="AY4777" s="3" t="s">
        <v>46434</v>
      </c>
      <c r="AZ4777" s="3" t="s">
        <v>46435</v>
      </c>
      <c r="BA4777" s="3" t="s">
        <v>46435</v>
      </c>
      <c r="BB4777" s="3" t="s">
        <v>46436</v>
      </c>
      <c r="BC4777" s="3" t="s">
        <v>77</v>
      </c>
      <c r="BD4777" s="3" t="s">
        <v>29248</v>
      </c>
      <c r="BE4777" s="3" t="s">
        <v>46437</v>
      </c>
      <c r="BF4777" s="3" t="s">
        <v>46436</v>
      </c>
      <c r="BG4777" s="3" t="s">
        <v>46438</v>
      </c>
      <c r="BH4777">
        <f t="shared" si="156"/>
        <v>0</v>
      </c>
    </row>
    <row r="4778" spans="1:60" ht="58" x14ac:dyDescent="0.35">
      <c r="A4778" s="2" t="s">
        <v>59</v>
      </c>
      <c r="B4778" s="2" t="s">
        <v>60</v>
      </c>
      <c r="C4778" s="2" t="s">
        <v>46439</v>
      </c>
      <c r="D4778" s="2" t="s">
        <v>46440</v>
      </c>
      <c r="E4778" s="2" t="s">
        <v>46441</v>
      </c>
      <c r="G4778" s="3" t="s">
        <v>64</v>
      </c>
      <c r="I4778" s="3" t="s">
        <v>64</v>
      </c>
      <c r="J4778" s="3" t="s">
        <v>64</v>
      </c>
      <c r="K4778" s="3" t="s">
        <v>65</v>
      </c>
      <c r="L4778" s="2" t="s">
        <v>46442</v>
      </c>
      <c r="M4778" s="2" t="s">
        <v>46443</v>
      </c>
      <c r="N4778" s="3" t="s">
        <v>1061</v>
      </c>
      <c r="P4778" s="3" t="s">
        <v>102</v>
      </c>
      <c r="Q4778" s="2" t="s">
        <v>46444</v>
      </c>
      <c r="R4778" s="3" t="s">
        <v>70</v>
      </c>
      <c r="S4778" s="4">
        <v>1</v>
      </c>
      <c r="T4778" s="4">
        <v>1</v>
      </c>
      <c r="U4778" s="5" t="s">
        <v>11731</v>
      </c>
      <c r="V4778" s="5" t="s">
        <v>11731</v>
      </c>
      <c r="W4778" s="5" t="s">
        <v>72</v>
      </c>
      <c r="X4778" s="5" t="s">
        <v>72</v>
      </c>
      <c r="Y4778" s="4">
        <v>233</v>
      </c>
      <c r="Z4778" s="4">
        <v>27</v>
      </c>
      <c r="AA4778" s="4">
        <v>28</v>
      </c>
      <c r="AB4778" s="4">
        <v>1</v>
      </c>
      <c r="AC4778" s="4">
        <v>2</v>
      </c>
      <c r="AD4778" s="4">
        <v>63</v>
      </c>
      <c r="AE4778" s="4">
        <v>64</v>
      </c>
      <c r="AF4778" s="4">
        <v>0</v>
      </c>
      <c r="AG4778" s="4">
        <v>1</v>
      </c>
      <c r="AH4778" s="4">
        <v>55</v>
      </c>
      <c r="AI4778" s="4">
        <v>56</v>
      </c>
      <c r="AJ4778" s="4">
        <v>11</v>
      </c>
      <c r="AK4778" s="4">
        <v>12</v>
      </c>
      <c r="AL4778" s="4">
        <v>32</v>
      </c>
      <c r="AM4778" s="4">
        <v>32</v>
      </c>
      <c r="AN4778" s="4">
        <v>0</v>
      </c>
      <c r="AO4778" s="4">
        <v>0</v>
      </c>
      <c r="AP4778" s="4">
        <v>13</v>
      </c>
      <c r="AQ4778" s="4">
        <v>14</v>
      </c>
      <c r="AR4778" s="3" t="s">
        <v>64</v>
      </c>
      <c r="AS4778" s="3" t="s">
        <v>64</v>
      </c>
      <c r="AT4778" s="3" t="s">
        <v>128</v>
      </c>
      <c r="AU4778" s="6" t="str">
        <f>HYPERLINK("http://catalog.hathitrust.org/Record/000351586","HathiTrust Record")</f>
        <v>HathiTrust Record</v>
      </c>
      <c r="AV4778" s="6" t="str">
        <f>HYPERLINK("http://mcgill.on.worldcat.org/oclc/12082619","Catalog Record")</f>
        <v>Catalog Record</v>
      </c>
      <c r="AW4778" s="6" t="str">
        <f>HYPERLINK("http://www.worldcat.org/oclc/12082619","WorldCat Record")</f>
        <v>WorldCat Record</v>
      </c>
      <c r="AX4778" s="3" t="s">
        <v>46445</v>
      </c>
      <c r="AY4778" s="3" t="s">
        <v>46446</v>
      </c>
      <c r="AZ4778" s="3" t="s">
        <v>46447</v>
      </c>
      <c r="BA4778" s="3" t="s">
        <v>46447</v>
      </c>
      <c r="BB4778" s="3" t="s">
        <v>46448</v>
      </c>
      <c r="BC4778" s="3" t="s">
        <v>77</v>
      </c>
      <c r="BD4778" s="3" t="s">
        <v>78</v>
      </c>
      <c r="BE4778" s="3" t="s">
        <v>46449</v>
      </c>
      <c r="BF4778" s="3" t="s">
        <v>46448</v>
      </c>
      <c r="BG4778" s="3" t="s">
        <v>46450</v>
      </c>
      <c r="BH4778">
        <f t="shared" si="156"/>
        <v>0</v>
      </c>
    </row>
    <row r="4779" spans="1:60" ht="58" x14ac:dyDescent="0.35">
      <c r="A4779" s="2" t="s">
        <v>6202</v>
      </c>
      <c r="B4779" s="2" t="s">
        <v>6203</v>
      </c>
      <c r="C4779" s="2" t="s">
        <v>46451</v>
      </c>
      <c r="D4779" s="2" t="s">
        <v>46452</v>
      </c>
      <c r="E4779" s="2" t="s">
        <v>46453</v>
      </c>
      <c r="G4779" s="3" t="s">
        <v>64</v>
      </c>
      <c r="I4779" s="3" t="s">
        <v>64</v>
      </c>
      <c r="J4779" s="3" t="s">
        <v>64</v>
      </c>
      <c r="K4779" s="3" t="s">
        <v>65</v>
      </c>
      <c r="L4779" s="2" t="s">
        <v>46454</v>
      </c>
      <c r="M4779" s="2" t="s">
        <v>46455</v>
      </c>
      <c r="N4779" s="3" t="s">
        <v>874</v>
      </c>
      <c r="P4779" s="3" t="s">
        <v>102</v>
      </c>
      <c r="R4779" s="3" t="s">
        <v>70</v>
      </c>
      <c r="S4779" s="4">
        <v>1</v>
      </c>
      <c r="T4779" s="4">
        <v>1</v>
      </c>
      <c r="U4779" s="5" t="s">
        <v>4758</v>
      </c>
      <c r="V4779" s="5" t="s">
        <v>4758</v>
      </c>
      <c r="W4779" s="5" t="s">
        <v>72</v>
      </c>
      <c r="X4779" s="5" t="s">
        <v>72</v>
      </c>
      <c r="Y4779" s="4">
        <v>29</v>
      </c>
      <c r="Z4779" s="4">
        <v>3</v>
      </c>
      <c r="AA4779" s="4">
        <v>3</v>
      </c>
      <c r="AB4779" s="4">
        <v>1</v>
      </c>
      <c r="AC4779" s="4">
        <v>1</v>
      </c>
      <c r="AD4779" s="4">
        <v>24</v>
      </c>
      <c r="AE4779" s="4">
        <v>24</v>
      </c>
      <c r="AF4779" s="4">
        <v>0</v>
      </c>
      <c r="AG4779" s="4">
        <v>0</v>
      </c>
      <c r="AH4779" s="4">
        <v>23</v>
      </c>
      <c r="AI4779" s="4">
        <v>23</v>
      </c>
      <c r="AJ4779" s="4">
        <v>1</v>
      </c>
      <c r="AK4779" s="4">
        <v>1</v>
      </c>
      <c r="AL4779" s="4">
        <v>20</v>
      </c>
      <c r="AM4779" s="4">
        <v>20</v>
      </c>
      <c r="AN4779" s="4">
        <v>0</v>
      </c>
      <c r="AO4779" s="4">
        <v>0</v>
      </c>
      <c r="AP4779" s="4">
        <v>1</v>
      </c>
      <c r="AQ4779" s="4">
        <v>1</v>
      </c>
      <c r="AR4779" s="3" t="s">
        <v>64</v>
      </c>
      <c r="AS4779" s="3" t="s">
        <v>64</v>
      </c>
      <c r="AT4779" s="3" t="s">
        <v>128</v>
      </c>
      <c r="AU4779" s="6" t="str">
        <f>HYPERLINK("http://catalog.hathitrust.org/Record/001540050","HathiTrust Record")</f>
        <v>HathiTrust Record</v>
      </c>
      <c r="AV4779" s="6" t="str">
        <f>HYPERLINK("http://mcgill.on.worldcat.org/oclc/13125149","Catalog Record")</f>
        <v>Catalog Record</v>
      </c>
      <c r="AW4779" s="6" t="str">
        <f>HYPERLINK("http://www.worldcat.org/oclc/13125149","WorldCat Record")</f>
        <v>WorldCat Record</v>
      </c>
      <c r="AX4779" s="3" t="s">
        <v>46456</v>
      </c>
      <c r="AY4779" s="3" t="s">
        <v>46457</v>
      </c>
      <c r="AZ4779" s="3" t="s">
        <v>46458</v>
      </c>
      <c r="BA4779" s="3" t="s">
        <v>46458</v>
      </c>
      <c r="BB4779" s="3" t="s">
        <v>46459</v>
      </c>
      <c r="BC4779" s="3" t="s">
        <v>77</v>
      </c>
      <c r="BD4779" s="3" t="s">
        <v>78</v>
      </c>
      <c r="BF4779" s="3" t="s">
        <v>46459</v>
      </c>
      <c r="BG4779" s="3" t="s">
        <v>46460</v>
      </c>
      <c r="BH4779">
        <f t="shared" si="156"/>
        <v>0</v>
      </c>
    </row>
    <row r="4780" spans="1:60" ht="87" x14ac:dyDescent="0.35">
      <c r="A4780" s="2" t="s">
        <v>6202</v>
      </c>
      <c r="B4780" s="2" t="s">
        <v>6203</v>
      </c>
      <c r="C4780" s="2" t="s">
        <v>46461</v>
      </c>
      <c r="D4780" s="2" t="s">
        <v>46462</v>
      </c>
      <c r="E4780" s="2" t="s">
        <v>46463</v>
      </c>
      <c r="G4780" s="3" t="s">
        <v>64</v>
      </c>
      <c r="I4780" s="3" t="s">
        <v>128</v>
      </c>
      <c r="J4780" s="3" t="s">
        <v>64</v>
      </c>
      <c r="K4780" s="3" t="s">
        <v>65</v>
      </c>
      <c r="L4780" s="2" t="s">
        <v>40256</v>
      </c>
      <c r="M4780" s="2" t="s">
        <v>46464</v>
      </c>
      <c r="N4780" s="3" t="s">
        <v>364</v>
      </c>
      <c r="P4780" s="3" t="s">
        <v>102</v>
      </c>
      <c r="Q4780" s="2" t="s">
        <v>46465</v>
      </c>
      <c r="R4780" s="3" t="s">
        <v>70</v>
      </c>
      <c r="S4780" s="4">
        <v>4</v>
      </c>
      <c r="T4780" s="4">
        <v>5</v>
      </c>
      <c r="U4780" s="5" t="s">
        <v>29486</v>
      </c>
      <c r="V4780" s="5" t="s">
        <v>29486</v>
      </c>
      <c r="W4780" s="5" t="s">
        <v>72</v>
      </c>
      <c r="X4780" s="5" t="s">
        <v>72</v>
      </c>
      <c r="Y4780" s="4">
        <v>35</v>
      </c>
      <c r="Z4780" s="4">
        <v>14</v>
      </c>
      <c r="AA4780" s="4">
        <v>29</v>
      </c>
      <c r="AB4780" s="4">
        <v>3</v>
      </c>
      <c r="AC4780" s="4">
        <v>6</v>
      </c>
      <c r="AD4780" s="4">
        <v>18</v>
      </c>
      <c r="AE4780" s="4">
        <v>30</v>
      </c>
      <c r="AF4780" s="4">
        <v>1</v>
      </c>
      <c r="AG4780" s="4">
        <v>3</v>
      </c>
      <c r="AH4780" s="4">
        <v>13</v>
      </c>
      <c r="AI4780" s="4">
        <v>19</v>
      </c>
      <c r="AJ4780" s="4">
        <v>10</v>
      </c>
      <c r="AK4780" s="4">
        <v>20</v>
      </c>
      <c r="AL4780" s="4">
        <v>5</v>
      </c>
      <c r="AM4780" s="4">
        <v>7</v>
      </c>
      <c r="AN4780" s="4">
        <v>0</v>
      </c>
      <c r="AO4780" s="4">
        <v>0</v>
      </c>
      <c r="AP4780" s="4">
        <v>9</v>
      </c>
      <c r="AQ4780" s="4">
        <v>19</v>
      </c>
      <c r="AR4780" s="3" t="s">
        <v>128</v>
      </c>
      <c r="AS4780" s="3" t="s">
        <v>64</v>
      </c>
      <c r="AT4780" s="3" t="s">
        <v>64</v>
      </c>
      <c r="AV4780" s="6" t="str">
        <f>HYPERLINK("http://mcgill.on.worldcat.org/oclc/2644761","Catalog Record")</f>
        <v>Catalog Record</v>
      </c>
      <c r="AW4780" s="6" t="str">
        <f>HYPERLINK("http://www.worldcat.org/oclc/2644761","WorldCat Record")</f>
        <v>WorldCat Record</v>
      </c>
      <c r="AX4780" s="3" t="s">
        <v>46466</v>
      </c>
      <c r="AY4780" s="3" t="s">
        <v>46467</v>
      </c>
      <c r="AZ4780" s="3" t="s">
        <v>46468</v>
      </c>
      <c r="BA4780" s="3" t="s">
        <v>46468</v>
      </c>
      <c r="BB4780" s="3" t="s">
        <v>46469</v>
      </c>
      <c r="BC4780" s="3" t="s">
        <v>77</v>
      </c>
      <c r="BD4780" s="3" t="s">
        <v>40037</v>
      </c>
      <c r="BF4780" s="3" t="s">
        <v>46469</v>
      </c>
      <c r="BG4780" s="3" t="s">
        <v>46470</v>
      </c>
      <c r="BH4780">
        <f t="shared" si="156"/>
        <v>0</v>
      </c>
    </row>
    <row r="4781" spans="1:60" ht="72.5" x14ac:dyDescent="0.35">
      <c r="A4781" s="2" t="s">
        <v>6202</v>
      </c>
      <c r="B4781" s="2" t="s">
        <v>6203</v>
      </c>
      <c r="C4781" s="2" t="s">
        <v>46471</v>
      </c>
      <c r="D4781" s="2" t="s">
        <v>46472</v>
      </c>
      <c r="E4781" s="2" t="s">
        <v>46473</v>
      </c>
      <c r="G4781" s="3" t="s">
        <v>64</v>
      </c>
      <c r="I4781" s="3" t="s">
        <v>64</v>
      </c>
      <c r="J4781" s="3" t="s">
        <v>64</v>
      </c>
      <c r="K4781" s="3" t="s">
        <v>65</v>
      </c>
      <c r="L4781" s="2" t="s">
        <v>46474</v>
      </c>
      <c r="M4781" s="2" t="s">
        <v>46475</v>
      </c>
      <c r="N4781" s="3" t="s">
        <v>3584</v>
      </c>
      <c r="P4781" s="3" t="s">
        <v>102</v>
      </c>
      <c r="Q4781" s="2" t="s">
        <v>46476</v>
      </c>
      <c r="R4781" s="3" t="s">
        <v>70</v>
      </c>
      <c r="S4781" s="4">
        <v>1</v>
      </c>
      <c r="T4781" s="4">
        <v>1</v>
      </c>
      <c r="U4781" s="5" t="s">
        <v>1834</v>
      </c>
      <c r="V4781" s="5" t="s">
        <v>1834</v>
      </c>
      <c r="W4781" s="5" t="s">
        <v>72</v>
      </c>
      <c r="X4781" s="5" t="s">
        <v>72</v>
      </c>
      <c r="Y4781" s="4">
        <v>250</v>
      </c>
      <c r="Z4781" s="4">
        <v>29</v>
      </c>
      <c r="AA4781" s="4">
        <v>30</v>
      </c>
      <c r="AB4781" s="4">
        <v>1</v>
      </c>
      <c r="AC4781" s="4">
        <v>2</v>
      </c>
      <c r="AD4781" s="4">
        <v>74</v>
      </c>
      <c r="AE4781" s="4">
        <v>75</v>
      </c>
      <c r="AF4781" s="4">
        <v>0</v>
      </c>
      <c r="AG4781" s="4">
        <v>1</v>
      </c>
      <c r="AH4781" s="4">
        <v>66</v>
      </c>
      <c r="AI4781" s="4">
        <v>66</v>
      </c>
      <c r="AJ4781" s="4">
        <v>12</v>
      </c>
      <c r="AK4781" s="4">
        <v>13</v>
      </c>
      <c r="AL4781" s="4">
        <v>44</v>
      </c>
      <c r="AM4781" s="4">
        <v>44</v>
      </c>
      <c r="AN4781" s="4">
        <v>0</v>
      </c>
      <c r="AO4781" s="4">
        <v>0</v>
      </c>
      <c r="AP4781" s="4">
        <v>15</v>
      </c>
      <c r="AQ4781" s="4">
        <v>15</v>
      </c>
      <c r="AR4781" s="3" t="s">
        <v>64</v>
      </c>
      <c r="AS4781" s="3" t="s">
        <v>64</v>
      </c>
      <c r="AT4781" s="3" t="s">
        <v>128</v>
      </c>
      <c r="AU4781" s="6" t="str">
        <f>HYPERLINK("http://catalog.hathitrust.org/Record/000177398","HathiTrust Record")</f>
        <v>HathiTrust Record</v>
      </c>
      <c r="AV4781" s="6" t="str">
        <f>HYPERLINK("http://mcgill.on.worldcat.org/oclc/4029437","Catalog Record")</f>
        <v>Catalog Record</v>
      </c>
      <c r="AW4781" s="6" t="str">
        <f>HYPERLINK("http://www.worldcat.org/oclc/4029437","WorldCat Record")</f>
        <v>WorldCat Record</v>
      </c>
      <c r="AX4781" s="3" t="s">
        <v>46477</v>
      </c>
      <c r="AY4781" s="3" t="s">
        <v>46478</v>
      </c>
      <c r="AZ4781" s="3" t="s">
        <v>46479</v>
      </c>
      <c r="BA4781" s="3" t="s">
        <v>46479</v>
      </c>
      <c r="BB4781" s="3" t="s">
        <v>46480</v>
      </c>
      <c r="BC4781" s="3" t="s">
        <v>77</v>
      </c>
      <c r="BD4781" s="3" t="s">
        <v>78</v>
      </c>
      <c r="BE4781" s="3" t="s">
        <v>46481</v>
      </c>
      <c r="BF4781" s="3" t="s">
        <v>46480</v>
      </c>
      <c r="BG4781" s="3" t="s">
        <v>46482</v>
      </c>
      <c r="BH4781">
        <f t="shared" si="156"/>
        <v>0</v>
      </c>
    </row>
    <row r="4782" spans="1:60" ht="58" x14ac:dyDescent="0.35">
      <c r="A4782" s="2" t="s">
        <v>59</v>
      </c>
      <c r="B4782" s="2" t="s">
        <v>60</v>
      </c>
      <c r="C4782" s="2" t="s">
        <v>46483</v>
      </c>
      <c r="D4782" s="2" t="s">
        <v>46484</v>
      </c>
      <c r="E4782" s="2" t="s">
        <v>46485</v>
      </c>
      <c r="G4782" s="3" t="s">
        <v>64</v>
      </c>
      <c r="I4782" s="3" t="s">
        <v>128</v>
      </c>
      <c r="J4782" s="3" t="s">
        <v>128</v>
      </c>
      <c r="K4782" s="3" t="s">
        <v>65</v>
      </c>
      <c r="M4782" s="2" t="s">
        <v>46486</v>
      </c>
      <c r="N4782" s="3" t="s">
        <v>4548</v>
      </c>
      <c r="P4782" s="3" t="s">
        <v>102</v>
      </c>
      <c r="R4782" s="3" t="s">
        <v>70</v>
      </c>
      <c r="S4782" s="4">
        <v>0</v>
      </c>
      <c r="T4782" s="4">
        <v>3</v>
      </c>
      <c r="V4782" s="5" t="s">
        <v>2411</v>
      </c>
      <c r="W4782" s="5" t="s">
        <v>72</v>
      </c>
      <c r="X4782" s="5" t="s">
        <v>72</v>
      </c>
      <c r="Y4782" s="4">
        <v>981</v>
      </c>
      <c r="Z4782" s="4">
        <v>40</v>
      </c>
      <c r="AA4782" s="4">
        <v>75</v>
      </c>
      <c r="AB4782" s="4">
        <v>3</v>
      </c>
      <c r="AC4782" s="4">
        <v>8</v>
      </c>
      <c r="AD4782" s="4">
        <v>114</v>
      </c>
      <c r="AE4782" s="4">
        <v>145</v>
      </c>
      <c r="AF4782" s="4">
        <v>1</v>
      </c>
      <c r="AG4782" s="4">
        <v>4</v>
      </c>
      <c r="AH4782" s="4">
        <v>96</v>
      </c>
      <c r="AI4782" s="4">
        <v>111</v>
      </c>
      <c r="AJ4782" s="4">
        <v>14</v>
      </c>
      <c r="AK4782" s="4">
        <v>25</v>
      </c>
      <c r="AL4782" s="4">
        <v>55</v>
      </c>
      <c r="AM4782" s="4">
        <v>59</v>
      </c>
      <c r="AN4782" s="4">
        <v>0</v>
      </c>
      <c r="AO4782" s="4">
        <v>0</v>
      </c>
      <c r="AP4782" s="4">
        <v>22</v>
      </c>
      <c r="AQ4782" s="4">
        <v>41</v>
      </c>
      <c r="AR4782" s="3" t="s">
        <v>64</v>
      </c>
      <c r="AS4782" s="3" t="s">
        <v>64</v>
      </c>
      <c r="AT4782" s="3" t="s">
        <v>128</v>
      </c>
      <c r="AU4782" s="6" t="str">
        <f>HYPERLINK("http://catalog.hathitrust.org/Record/003025347","HathiTrust Record")</f>
        <v>HathiTrust Record</v>
      </c>
      <c r="AV4782" s="6" t="str">
        <f>HYPERLINK("http://mcgill.on.worldcat.org/oclc/520464","Catalog Record")</f>
        <v>Catalog Record</v>
      </c>
      <c r="AW4782" s="6" t="str">
        <f>HYPERLINK("http://www.worldcat.org/oclc/520464","WorldCat Record")</f>
        <v>WorldCat Record</v>
      </c>
      <c r="AX4782" s="3" t="s">
        <v>46487</v>
      </c>
      <c r="AY4782" s="3" t="s">
        <v>46488</v>
      </c>
      <c r="AZ4782" s="3" t="s">
        <v>46489</v>
      </c>
      <c r="BA4782" s="3" t="s">
        <v>46489</v>
      </c>
      <c r="BB4782" s="3" t="s">
        <v>46490</v>
      </c>
      <c r="BC4782" s="3" t="s">
        <v>77</v>
      </c>
      <c r="BD4782" s="3" t="s">
        <v>78</v>
      </c>
      <c r="BF4782" s="3" t="s">
        <v>46490</v>
      </c>
      <c r="BG4782" s="3" t="s">
        <v>46491</v>
      </c>
      <c r="BH4782">
        <f t="shared" si="156"/>
        <v>0</v>
      </c>
    </row>
    <row r="4783" spans="1:60" ht="58" x14ac:dyDescent="0.35">
      <c r="A4783" s="2" t="s">
        <v>59</v>
      </c>
      <c r="B4783" s="2" t="s">
        <v>7607</v>
      </c>
      <c r="C4783" s="2" t="s">
        <v>46492</v>
      </c>
      <c r="D4783" s="2" t="s">
        <v>46493</v>
      </c>
      <c r="E4783" s="2" t="s">
        <v>46485</v>
      </c>
      <c r="G4783" s="3" t="s">
        <v>64</v>
      </c>
      <c r="I4783" s="3" t="s">
        <v>128</v>
      </c>
      <c r="J4783" s="3" t="s">
        <v>128</v>
      </c>
      <c r="K4783" s="3" t="s">
        <v>65</v>
      </c>
      <c r="L4783" s="2" t="s">
        <v>46494</v>
      </c>
      <c r="M4783" s="2" t="s">
        <v>46495</v>
      </c>
      <c r="N4783" s="3" t="s">
        <v>3584</v>
      </c>
      <c r="O4783" s="2" t="s">
        <v>745</v>
      </c>
      <c r="P4783" s="3" t="s">
        <v>102</v>
      </c>
      <c r="R4783" s="3" t="s">
        <v>70</v>
      </c>
      <c r="S4783" s="4">
        <v>0</v>
      </c>
      <c r="T4783" s="4">
        <v>2</v>
      </c>
      <c r="V4783" s="5" t="s">
        <v>1655</v>
      </c>
      <c r="W4783" s="5" t="s">
        <v>72</v>
      </c>
      <c r="X4783" s="5" t="s">
        <v>72</v>
      </c>
      <c r="Y4783" s="4">
        <v>1169</v>
      </c>
      <c r="Z4783" s="4">
        <v>51</v>
      </c>
      <c r="AA4783" s="4">
        <v>75</v>
      </c>
      <c r="AB4783" s="4">
        <v>1</v>
      </c>
      <c r="AC4783" s="4">
        <v>8</v>
      </c>
      <c r="AD4783" s="4">
        <v>125</v>
      </c>
      <c r="AE4783" s="4">
        <v>145</v>
      </c>
      <c r="AF4783" s="4">
        <v>0</v>
      </c>
      <c r="AG4783" s="4">
        <v>4</v>
      </c>
      <c r="AH4783" s="4">
        <v>101</v>
      </c>
      <c r="AI4783" s="4">
        <v>111</v>
      </c>
      <c r="AJ4783" s="4">
        <v>17</v>
      </c>
      <c r="AK4783" s="4">
        <v>25</v>
      </c>
      <c r="AL4783" s="4">
        <v>54</v>
      </c>
      <c r="AM4783" s="4">
        <v>59</v>
      </c>
      <c r="AN4783" s="4">
        <v>0</v>
      </c>
      <c r="AO4783" s="4">
        <v>0</v>
      </c>
      <c r="AP4783" s="4">
        <v>32</v>
      </c>
      <c r="AQ4783" s="4">
        <v>41</v>
      </c>
      <c r="AR4783" s="3" t="s">
        <v>64</v>
      </c>
      <c r="AS4783" s="3" t="s">
        <v>64</v>
      </c>
      <c r="AT4783" s="3" t="s">
        <v>128</v>
      </c>
      <c r="AU4783" s="6" t="str">
        <f>HYPERLINK("http://catalog.hathitrust.org/Record/000738649","HathiTrust Record")</f>
        <v>HathiTrust Record</v>
      </c>
      <c r="AV4783" s="6" t="str">
        <f>HYPERLINK("http://mcgill.on.worldcat.org/oclc/2331225","Catalog Record")</f>
        <v>Catalog Record</v>
      </c>
      <c r="AW4783" s="6" t="str">
        <f>HYPERLINK("http://www.worldcat.org/oclc/2331225","WorldCat Record")</f>
        <v>WorldCat Record</v>
      </c>
      <c r="AX4783" s="3" t="s">
        <v>46487</v>
      </c>
      <c r="AY4783" s="3" t="s">
        <v>46496</v>
      </c>
      <c r="AZ4783" s="3" t="s">
        <v>46497</v>
      </c>
      <c r="BA4783" s="3" t="s">
        <v>46497</v>
      </c>
      <c r="BB4783" s="3" t="s">
        <v>46498</v>
      </c>
      <c r="BC4783" s="3" t="s">
        <v>77</v>
      </c>
      <c r="BD4783" s="3" t="s">
        <v>78</v>
      </c>
      <c r="BE4783" s="3" t="s">
        <v>46499</v>
      </c>
      <c r="BF4783" s="3" t="s">
        <v>46498</v>
      </c>
      <c r="BG4783" s="3" t="s">
        <v>46500</v>
      </c>
      <c r="BH4783">
        <f t="shared" si="156"/>
        <v>0</v>
      </c>
    </row>
    <row r="4784" spans="1:60" ht="58" x14ac:dyDescent="0.35">
      <c r="A4784" s="2" t="s">
        <v>59</v>
      </c>
      <c r="B4784" s="2" t="s">
        <v>60</v>
      </c>
      <c r="C4784" s="2" t="s">
        <v>46492</v>
      </c>
      <c r="D4784" s="2" t="s">
        <v>46493</v>
      </c>
      <c r="E4784" s="2" t="s">
        <v>46485</v>
      </c>
      <c r="G4784" s="3" t="s">
        <v>64</v>
      </c>
      <c r="I4784" s="3" t="s">
        <v>128</v>
      </c>
      <c r="J4784" s="3" t="s">
        <v>128</v>
      </c>
      <c r="K4784" s="3" t="s">
        <v>65</v>
      </c>
      <c r="L4784" s="2" t="s">
        <v>46494</v>
      </c>
      <c r="M4784" s="2" t="s">
        <v>46495</v>
      </c>
      <c r="N4784" s="3" t="s">
        <v>3584</v>
      </c>
      <c r="O4784" s="2" t="s">
        <v>745</v>
      </c>
      <c r="P4784" s="3" t="s">
        <v>102</v>
      </c>
      <c r="R4784" s="3" t="s">
        <v>70</v>
      </c>
      <c r="S4784" s="4">
        <v>0</v>
      </c>
      <c r="T4784" s="4">
        <v>2</v>
      </c>
      <c r="V4784" s="5" t="s">
        <v>1655</v>
      </c>
      <c r="W4784" s="5" t="s">
        <v>72</v>
      </c>
      <c r="X4784" s="5" t="s">
        <v>72</v>
      </c>
      <c r="Y4784" s="4">
        <v>1169</v>
      </c>
      <c r="Z4784" s="4">
        <v>51</v>
      </c>
      <c r="AA4784" s="4">
        <v>75</v>
      </c>
      <c r="AB4784" s="4">
        <v>1</v>
      </c>
      <c r="AC4784" s="4">
        <v>8</v>
      </c>
      <c r="AD4784" s="4">
        <v>125</v>
      </c>
      <c r="AE4784" s="4">
        <v>145</v>
      </c>
      <c r="AF4784" s="4">
        <v>0</v>
      </c>
      <c r="AG4784" s="4">
        <v>4</v>
      </c>
      <c r="AH4784" s="4">
        <v>101</v>
      </c>
      <c r="AI4784" s="4">
        <v>111</v>
      </c>
      <c r="AJ4784" s="4">
        <v>17</v>
      </c>
      <c r="AK4784" s="4">
        <v>25</v>
      </c>
      <c r="AL4784" s="4">
        <v>54</v>
      </c>
      <c r="AM4784" s="4">
        <v>59</v>
      </c>
      <c r="AN4784" s="4">
        <v>0</v>
      </c>
      <c r="AO4784" s="4">
        <v>0</v>
      </c>
      <c r="AP4784" s="4">
        <v>32</v>
      </c>
      <c r="AQ4784" s="4">
        <v>41</v>
      </c>
      <c r="AR4784" s="3" t="s">
        <v>64</v>
      </c>
      <c r="AS4784" s="3" t="s">
        <v>64</v>
      </c>
      <c r="AT4784" s="3" t="s">
        <v>128</v>
      </c>
      <c r="AU4784" s="6" t="str">
        <f>HYPERLINK("http://catalog.hathitrust.org/Record/000738649","HathiTrust Record")</f>
        <v>HathiTrust Record</v>
      </c>
      <c r="AV4784" s="6" t="str">
        <f>HYPERLINK("http://mcgill.on.worldcat.org/oclc/2331225","Catalog Record")</f>
        <v>Catalog Record</v>
      </c>
      <c r="AW4784" s="6" t="str">
        <f>HYPERLINK("http://www.worldcat.org/oclc/2331225","WorldCat Record")</f>
        <v>WorldCat Record</v>
      </c>
      <c r="AX4784" s="3" t="s">
        <v>46487</v>
      </c>
      <c r="AY4784" s="3" t="s">
        <v>46496</v>
      </c>
      <c r="AZ4784" s="3" t="s">
        <v>46497</v>
      </c>
      <c r="BA4784" s="3" t="s">
        <v>46497</v>
      </c>
      <c r="BB4784" s="3" t="s">
        <v>46501</v>
      </c>
      <c r="BC4784" s="3" t="s">
        <v>77</v>
      </c>
      <c r="BD4784" s="3" t="s">
        <v>78</v>
      </c>
      <c r="BE4784" s="3" t="s">
        <v>46499</v>
      </c>
      <c r="BF4784" s="3" t="s">
        <v>46501</v>
      </c>
      <c r="BG4784" s="3" t="s">
        <v>46502</v>
      </c>
      <c r="BH4784">
        <f t="shared" si="156"/>
        <v>0</v>
      </c>
    </row>
    <row r="4785" spans="1:60" ht="58" x14ac:dyDescent="0.35">
      <c r="A4785" s="2" t="s">
        <v>59</v>
      </c>
      <c r="B4785" s="2" t="s">
        <v>60</v>
      </c>
      <c r="C4785" s="2" t="s">
        <v>46492</v>
      </c>
      <c r="D4785" s="2" t="s">
        <v>46493</v>
      </c>
      <c r="E4785" s="2" t="s">
        <v>46485</v>
      </c>
      <c r="G4785" s="3" t="s">
        <v>64</v>
      </c>
      <c r="I4785" s="3" t="s">
        <v>128</v>
      </c>
      <c r="J4785" s="3" t="s">
        <v>128</v>
      </c>
      <c r="K4785" s="3" t="s">
        <v>65</v>
      </c>
      <c r="L4785" s="2" t="s">
        <v>46494</v>
      </c>
      <c r="M4785" s="2" t="s">
        <v>46495</v>
      </c>
      <c r="N4785" s="3" t="s">
        <v>3584</v>
      </c>
      <c r="O4785" s="2" t="s">
        <v>745</v>
      </c>
      <c r="P4785" s="3" t="s">
        <v>102</v>
      </c>
      <c r="R4785" s="3" t="s">
        <v>70</v>
      </c>
      <c r="S4785" s="4">
        <v>0</v>
      </c>
      <c r="T4785" s="4">
        <v>2</v>
      </c>
      <c r="V4785" s="5" t="s">
        <v>1655</v>
      </c>
      <c r="W4785" s="5" t="s">
        <v>72</v>
      </c>
      <c r="X4785" s="5" t="s">
        <v>72</v>
      </c>
      <c r="Y4785" s="4">
        <v>1169</v>
      </c>
      <c r="Z4785" s="4">
        <v>51</v>
      </c>
      <c r="AA4785" s="4">
        <v>75</v>
      </c>
      <c r="AB4785" s="4">
        <v>1</v>
      </c>
      <c r="AC4785" s="4">
        <v>8</v>
      </c>
      <c r="AD4785" s="4">
        <v>125</v>
      </c>
      <c r="AE4785" s="4">
        <v>145</v>
      </c>
      <c r="AF4785" s="4">
        <v>0</v>
      </c>
      <c r="AG4785" s="4">
        <v>4</v>
      </c>
      <c r="AH4785" s="4">
        <v>101</v>
      </c>
      <c r="AI4785" s="4">
        <v>111</v>
      </c>
      <c r="AJ4785" s="4">
        <v>17</v>
      </c>
      <c r="AK4785" s="4">
        <v>25</v>
      </c>
      <c r="AL4785" s="4">
        <v>54</v>
      </c>
      <c r="AM4785" s="4">
        <v>59</v>
      </c>
      <c r="AN4785" s="4">
        <v>0</v>
      </c>
      <c r="AO4785" s="4">
        <v>0</v>
      </c>
      <c r="AP4785" s="4">
        <v>32</v>
      </c>
      <c r="AQ4785" s="4">
        <v>41</v>
      </c>
      <c r="AR4785" s="3" t="s">
        <v>64</v>
      </c>
      <c r="AS4785" s="3" t="s">
        <v>64</v>
      </c>
      <c r="AT4785" s="3" t="s">
        <v>128</v>
      </c>
      <c r="AU4785" s="6" t="str">
        <f>HYPERLINK("http://catalog.hathitrust.org/Record/000738649","HathiTrust Record")</f>
        <v>HathiTrust Record</v>
      </c>
      <c r="AV4785" s="6" t="str">
        <f>HYPERLINK("http://mcgill.on.worldcat.org/oclc/2331225","Catalog Record")</f>
        <v>Catalog Record</v>
      </c>
      <c r="AW4785" s="6" t="str">
        <f>HYPERLINK("http://www.worldcat.org/oclc/2331225","WorldCat Record")</f>
        <v>WorldCat Record</v>
      </c>
      <c r="AX4785" s="3" t="s">
        <v>46487</v>
      </c>
      <c r="AY4785" s="3" t="s">
        <v>46496</v>
      </c>
      <c r="AZ4785" s="3" t="s">
        <v>46497</v>
      </c>
      <c r="BA4785" s="3" t="s">
        <v>46497</v>
      </c>
      <c r="BB4785" s="3" t="s">
        <v>46503</v>
      </c>
      <c r="BC4785" s="3" t="s">
        <v>77</v>
      </c>
      <c r="BD4785" s="3" t="s">
        <v>78</v>
      </c>
      <c r="BE4785" s="3" t="s">
        <v>46499</v>
      </c>
      <c r="BF4785" s="3" t="s">
        <v>46503</v>
      </c>
      <c r="BG4785" s="3" t="s">
        <v>46504</v>
      </c>
      <c r="BH4785">
        <f t="shared" si="156"/>
        <v>0</v>
      </c>
    </row>
    <row r="4786" spans="1:60" ht="58" x14ac:dyDescent="0.35">
      <c r="A4786" s="2" t="s">
        <v>59</v>
      </c>
      <c r="B4786" s="2" t="s">
        <v>7607</v>
      </c>
      <c r="C4786" s="2" t="s">
        <v>46505</v>
      </c>
      <c r="D4786" s="2" t="s">
        <v>46506</v>
      </c>
      <c r="E4786" s="2" t="s">
        <v>46507</v>
      </c>
      <c r="G4786" s="3" t="s">
        <v>64</v>
      </c>
      <c r="I4786" s="3" t="s">
        <v>128</v>
      </c>
      <c r="J4786" s="3" t="s">
        <v>64</v>
      </c>
      <c r="K4786" s="3" t="s">
        <v>65</v>
      </c>
      <c r="M4786" s="2" t="s">
        <v>43439</v>
      </c>
      <c r="N4786" s="3" t="s">
        <v>1004</v>
      </c>
      <c r="P4786" s="3" t="s">
        <v>102</v>
      </c>
      <c r="Q4786" s="2" t="s">
        <v>46508</v>
      </c>
      <c r="R4786" s="3" t="s">
        <v>70</v>
      </c>
      <c r="S4786" s="4">
        <v>0</v>
      </c>
      <c r="T4786" s="4">
        <v>3</v>
      </c>
      <c r="V4786" s="5" t="s">
        <v>1655</v>
      </c>
      <c r="W4786" s="5" t="s">
        <v>72</v>
      </c>
      <c r="X4786" s="5" t="s">
        <v>72</v>
      </c>
      <c r="Y4786" s="4">
        <v>494</v>
      </c>
      <c r="Z4786" s="4">
        <v>28</v>
      </c>
      <c r="AA4786" s="4">
        <v>30</v>
      </c>
      <c r="AB4786" s="4">
        <v>2</v>
      </c>
      <c r="AC4786" s="4">
        <v>4</v>
      </c>
      <c r="AD4786" s="4">
        <v>113</v>
      </c>
      <c r="AE4786" s="4">
        <v>115</v>
      </c>
      <c r="AF4786" s="4">
        <v>1</v>
      </c>
      <c r="AG4786" s="4">
        <v>3</v>
      </c>
      <c r="AH4786" s="4">
        <v>101</v>
      </c>
      <c r="AI4786" s="4">
        <v>102</v>
      </c>
      <c r="AJ4786" s="4">
        <v>17</v>
      </c>
      <c r="AK4786" s="4">
        <v>19</v>
      </c>
      <c r="AL4786" s="4">
        <v>55</v>
      </c>
      <c r="AM4786" s="4">
        <v>55</v>
      </c>
      <c r="AN4786" s="4">
        <v>0</v>
      </c>
      <c r="AO4786" s="4">
        <v>0</v>
      </c>
      <c r="AP4786" s="4">
        <v>21</v>
      </c>
      <c r="AQ4786" s="4">
        <v>23</v>
      </c>
      <c r="AR4786" s="3" t="s">
        <v>64</v>
      </c>
      <c r="AS4786" s="3" t="s">
        <v>64</v>
      </c>
      <c r="AT4786" s="3" t="s">
        <v>128</v>
      </c>
      <c r="AU4786" s="6" t="str">
        <f>HYPERLINK("http://catalog.hathitrust.org/Record/000375392","HathiTrust Record")</f>
        <v>HathiTrust Record</v>
      </c>
      <c r="AV4786" s="6" t="str">
        <f>HYPERLINK("http://mcgill.on.worldcat.org/oclc/9393269","Catalog Record")</f>
        <v>Catalog Record</v>
      </c>
      <c r="AW4786" s="6" t="str">
        <f>HYPERLINK("http://www.worldcat.org/oclc/9393269","WorldCat Record")</f>
        <v>WorldCat Record</v>
      </c>
      <c r="AX4786" s="3" t="s">
        <v>46509</v>
      </c>
      <c r="AY4786" s="3" t="s">
        <v>46510</v>
      </c>
      <c r="AZ4786" s="3" t="s">
        <v>46511</v>
      </c>
      <c r="BA4786" s="3" t="s">
        <v>46511</v>
      </c>
      <c r="BB4786" s="3" t="s">
        <v>46512</v>
      </c>
      <c r="BC4786" s="3" t="s">
        <v>77</v>
      </c>
      <c r="BD4786" s="3" t="s">
        <v>78</v>
      </c>
      <c r="BE4786" s="3" t="s">
        <v>46513</v>
      </c>
      <c r="BF4786" s="3" t="s">
        <v>46512</v>
      </c>
      <c r="BG4786" s="3" t="s">
        <v>46514</v>
      </c>
      <c r="BH4786">
        <f t="shared" si="156"/>
        <v>0</v>
      </c>
    </row>
    <row r="4787" spans="1:60" ht="58" x14ac:dyDescent="0.35">
      <c r="A4787" s="2" t="s">
        <v>59</v>
      </c>
      <c r="B4787" s="2" t="s">
        <v>60</v>
      </c>
      <c r="C4787" s="2" t="s">
        <v>46515</v>
      </c>
      <c r="D4787" s="2" t="s">
        <v>46516</v>
      </c>
      <c r="E4787" s="2" t="s">
        <v>46517</v>
      </c>
      <c r="G4787" s="3" t="s">
        <v>64</v>
      </c>
      <c r="I4787" s="3" t="s">
        <v>128</v>
      </c>
      <c r="J4787" s="3" t="s">
        <v>64</v>
      </c>
      <c r="K4787" s="3" t="s">
        <v>65</v>
      </c>
      <c r="L4787" s="2" t="s">
        <v>46518</v>
      </c>
      <c r="M4787" s="2" t="s">
        <v>21548</v>
      </c>
      <c r="N4787" s="3" t="s">
        <v>1087</v>
      </c>
      <c r="P4787" s="3" t="s">
        <v>102</v>
      </c>
      <c r="Q4787" s="2" t="s">
        <v>46519</v>
      </c>
      <c r="R4787" s="3" t="s">
        <v>70</v>
      </c>
      <c r="S4787" s="4">
        <v>0</v>
      </c>
      <c r="T4787" s="4">
        <v>1</v>
      </c>
      <c r="V4787" s="5" t="s">
        <v>1655</v>
      </c>
      <c r="W4787" s="5" t="s">
        <v>72</v>
      </c>
      <c r="X4787" s="5" t="s">
        <v>72</v>
      </c>
      <c r="Y4787" s="4">
        <v>464</v>
      </c>
      <c r="Z4787" s="4">
        <v>27</v>
      </c>
      <c r="AA4787" s="4">
        <v>29</v>
      </c>
      <c r="AB4787" s="4">
        <v>2</v>
      </c>
      <c r="AC4787" s="4">
        <v>4</v>
      </c>
      <c r="AD4787" s="4">
        <v>109</v>
      </c>
      <c r="AE4787" s="4">
        <v>111</v>
      </c>
      <c r="AF4787" s="4">
        <v>1</v>
      </c>
      <c r="AG4787" s="4">
        <v>3</v>
      </c>
      <c r="AH4787" s="4">
        <v>96</v>
      </c>
      <c r="AI4787" s="4">
        <v>96</v>
      </c>
      <c r="AJ4787" s="4">
        <v>17</v>
      </c>
      <c r="AK4787" s="4">
        <v>19</v>
      </c>
      <c r="AL4787" s="4">
        <v>55</v>
      </c>
      <c r="AM4787" s="4">
        <v>55</v>
      </c>
      <c r="AN4787" s="4">
        <v>0</v>
      </c>
      <c r="AO4787" s="4">
        <v>0</v>
      </c>
      <c r="AP4787" s="4">
        <v>20</v>
      </c>
      <c r="AQ4787" s="4">
        <v>21</v>
      </c>
      <c r="AR4787" s="3" t="s">
        <v>64</v>
      </c>
      <c r="AS4787" s="3" t="s">
        <v>64</v>
      </c>
      <c r="AT4787" s="3" t="s">
        <v>64</v>
      </c>
      <c r="AV4787" s="6" t="str">
        <f>HYPERLINK("http://mcgill.on.worldcat.org/oclc/23463846","Catalog Record")</f>
        <v>Catalog Record</v>
      </c>
      <c r="AW4787" s="6" t="str">
        <f>HYPERLINK("http://www.worldcat.org/oclc/23463846","WorldCat Record")</f>
        <v>WorldCat Record</v>
      </c>
      <c r="AX4787" s="3" t="s">
        <v>46520</v>
      </c>
      <c r="AY4787" s="3" t="s">
        <v>46521</v>
      </c>
      <c r="AZ4787" s="3" t="s">
        <v>46522</v>
      </c>
      <c r="BA4787" s="3" t="s">
        <v>46522</v>
      </c>
      <c r="BB4787" s="3" t="s">
        <v>46523</v>
      </c>
      <c r="BC4787" s="3" t="s">
        <v>77</v>
      </c>
      <c r="BD4787" s="3" t="s">
        <v>78</v>
      </c>
      <c r="BE4787" s="3" t="s">
        <v>46524</v>
      </c>
      <c r="BF4787" s="3" t="s">
        <v>46523</v>
      </c>
      <c r="BG4787" s="3" t="s">
        <v>46525</v>
      </c>
      <c r="BH4787">
        <f t="shared" si="156"/>
        <v>0</v>
      </c>
    </row>
    <row r="4788" spans="1:60" ht="58" x14ac:dyDescent="0.35">
      <c r="A4788" s="2" t="s">
        <v>59</v>
      </c>
      <c r="B4788" s="2" t="s">
        <v>60</v>
      </c>
      <c r="C4788" s="2" t="s">
        <v>46526</v>
      </c>
      <c r="D4788" s="2" t="s">
        <v>46527</v>
      </c>
      <c r="E4788" s="2" t="s">
        <v>46528</v>
      </c>
      <c r="G4788" s="3" t="s">
        <v>64</v>
      </c>
      <c r="I4788" s="3" t="s">
        <v>128</v>
      </c>
      <c r="J4788" s="3" t="s">
        <v>64</v>
      </c>
      <c r="K4788" s="3" t="s">
        <v>65</v>
      </c>
      <c r="L4788" s="2" t="s">
        <v>46529</v>
      </c>
      <c r="M4788" s="2" t="s">
        <v>46530</v>
      </c>
      <c r="N4788" s="3" t="s">
        <v>1004</v>
      </c>
      <c r="P4788" s="3" t="s">
        <v>102</v>
      </c>
      <c r="R4788" s="3" t="s">
        <v>70</v>
      </c>
      <c r="S4788" s="4">
        <v>1</v>
      </c>
      <c r="T4788" s="4">
        <v>2</v>
      </c>
      <c r="U4788" s="5" t="s">
        <v>46531</v>
      </c>
      <c r="V4788" s="5" t="s">
        <v>1655</v>
      </c>
      <c r="W4788" s="5" t="s">
        <v>72</v>
      </c>
      <c r="X4788" s="5" t="s">
        <v>72</v>
      </c>
      <c r="Y4788" s="4">
        <v>317</v>
      </c>
      <c r="Z4788" s="4">
        <v>22</v>
      </c>
      <c r="AA4788" s="4">
        <v>24</v>
      </c>
      <c r="AB4788" s="4">
        <v>1</v>
      </c>
      <c r="AC4788" s="4">
        <v>3</v>
      </c>
      <c r="AD4788" s="4">
        <v>103</v>
      </c>
      <c r="AE4788" s="4">
        <v>105</v>
      </c>
      <c r="AF4788" s="4">
        <v>0</v>
      </c>
      <c r="AG4788" s="4">
        <v>2</v>
      </c>
      <c r="AH4788" s="4">
        <v>93</v>
      </c>
      <c r="AI4788" s="4">
        <v>94</v>
      </c>
      <c r="AJ4788" s="4">
        <v>16</v>
      </c>
      <c r="AK4788" s="4">
        <v>18</v>
      </c>
      <c r="AL4788" s="4">
        <v>52</v>
      </c>
      <c r="AM4788" s="4">
        <v>52</v>
      </c>
      <c r="AN4788" s="4">
        <v>0</v>
      </c>
      <c r="AO4788" s="4">
        <v>0</v>
      </c>
      <c r="AP4788" s="4">
        <v>18</v>
      </c>
      <c r="AQ4788" s="4">
        <v>19</v>
      </c>
      <c r="AR4788" s="3" t="s">
        <v>64</v>
      </c>
      <c r="AS4788" s="3" t="s">
        <v>64</v>
      </c>
      <c r="AT4788" s="3" t="s">
        <v>128</v>
      </c>
      <c r="AU4788" s="6" t="str">
        <f>HYPERLINK("http://catalog.hathitrust.org/Record/000945427","HathiTrust Record")</f>
        <v>HathiTrust Record</v>
      </c>
      <c r="AV4788" s="6" t="str">
        <f>HYPERLINK("http://mcgill.on.worldcat.org/oclc/9510823","Catalog Record")</f>
        <v>Catalog Record</v>
      </c>
      <c r="AW4788" s="6" t="str">
        <f>HYPERLINK("http://www.worldcat.org/oclc/9510823","WorldCat Record")</f>
        <v>WorldCat Record</v>
      </c>
      <c r="AX4788" s="3" t="s">
        <v>46532</v>
      </c>
      <c r="AY4788" s="3" t="s">
        <v>46533</v>
      </c>
      <c r="AZ4788" s="3" t="s">
        <v>46534</v>
      </c>
      <c r="BA4788" s="3" t="s">
        <v>46534</v>
      </c>
      <c r="BB4788" s="3" t="s">
        <v>46535</v>
      </c>
      <c r="BC4788" s="3" t="s">
        <v>77</v>
      </c>
      <c r="BD4788" s="3" t="s">
        <v>78</v>
      </c>
      <c r="BE4788" s="3" t="s">
        <v>46536</v>
      </c>
      <c r="BF4788" s="3" t="s">
        <v>46535</v>
      </c>
      <c r="BG4788" s="3" t="s">
        <v>46537</v>
      </c>
      <c r="BH4788">
        <f t="shared" si="156"/>
        <v>0</v>
      </c>
    </row>
    <row r="4789" spans="1:60" ht="58" x14ac:dyDescent="0.35">
      <c r="A4789" s="2" t="s">
        <v>59</v>
      </c>
      <c r="B4789" s="2" t="s">
        <v>60</v>
      </c>
      <c r="C4789" s="2" t="s">
        <v>46538</v>
      </c>
      <c r="D4789" s="2" t="s">
        <v>46539</v>
      </c>
      <c r="E4789" s="2" t="s">
        <v>46540</v>
      </c>
      <c r="G4789" s="3" t="s">
        <v>64</v>
      </c>
      <c r="I4789" s="3" t="s">
        <v>128</v>
      </c>
      <c r="J4789" s="3" t="s">
        <v>64</v>
      </c>
      <c r="K4789" s="3" t="s">
        <v>65</v>
      </c>
      <c r="L4789" s="2" t="s">
        <v>46541</v>
      </c>
      <c r="M4789" s="2" t="s">
        <v>46542</v>
      </c>
      <c r="N4789" s="3" t="s">
        <v>793</v>
      </c>
      <c r="P4789" s="3" t="s">
        <v>944</v>
      </c>
      <c r="R4789" s="3" t="s">
        <v>70</v>
      </c>
      <c r="S4789" s="4">
        <v>0</v>
      </c>
      <c r="T4789" s="4">
        <v>1</v>
      </c>
      <c r="V4789" s="5" t="s">
        <v>1655</v>
      </c>
      <c r="W4789" s="5" t="s">
        <v>72</v>
      </c>
      <c r="X4789" s="5" t="s">
        <v>72</v>
      </c>
      <c r="Y4789" s="4">
        <v>138</v>
      </c>
      <c r="Z4789" s="4">
        <v>8</v>
      </c>
      <c r="AA4789" s="4">
        <v>11</v>
      </c>
      <c r="AB4789" s="4">
        <v>1</v>
      </c>
      <c r="AC4789" s="4">
        <v>3</v>
      </c>
      <c r="AD4789" s="4">
        <v>42</v>
      </c>
      <c r="AE4789" s="4">
        <v>55</v>
      </c>
      <c r="AF4789" s="4">
        <v>0</v>
      </c>
      <c r="AG4789" s="4">
        <v>1</v>
      </c>
      <c r="AH4789" s="4">
        <v>36</v>
      </c>
      <c r="AI4789" s="4">
        <v>47</v>
      </c>
      <c r="AJ4789" s="4">
        <v>5</v>
      </c>
      <c r="AK4789" s="4">
        <v>6</v>
      </c>
      <c r="AL4789" s="4">
        <v>30</v>
      </c>
      <c r="AM4789" s="4">
        <v>37</v>
      </c>
      <c r="AN4789" s="4">
        <v>0</v>
      </c>
      <c r="AO4789" s="4">
        <v>0</v>
      </c>
      <c r="AP4789" s="4">
        <v>5</v>
      </c>
      <c r="AQ4789" s="4">
        <v>6</v>
      </c>
      <c r="AR4789" s="3" t="s">
        <v>64</v>
      </c>
      <c r="AS4789" s="3" t="s">
        <v>64</v>
      </c>
      <c r="AT4789" s="3" t="s">
        <v>64</v>
      </c>
      <c r="AU4789" s="6" t="str">
        <f>HYPERLINK("http://catalog.hathitrust.org/Record/001179843","HathiTrust Record")</f>
        <v>HathiTrust Record</v>
      </c>
      <c r="AV4789" s="6" t="str">
        <f>HYPERLINK("http://mcgill.on.worldcat.org/oclc/497776","Catalog Record")</f>
        <v>Catalog Record</v>
      </c>
      <c r="AW4789" s="6" t="str">
        <f>HYPERLINK("http://www.worldcat.org/oclc/497776","WorldCat Record")</f>
        <v>WorldCat Record</v>
      </c>
      <c r="AX4789" s="3" t="s">
        <v>46543</v>
      </c>
      <c r="AY4789" s="3" t="s">
        <v>46544</v>
      </c>
      <c r="AZ4789" s="3" t="s">
        <v>46545</v>
      </c>
      <c r="BA4789" s="3" t="s">
        <v>46545</v>
      </c>
      <c r="BB4789" s="3" t="s">
        <v>46546</v>
      </c>
      <c r="BC4789" s="3" t="s">
        <v>77</v>
      </c>
      <c r="BD4789" s="3" t="s">
        <v>78</v>
      </c>
      <c r="BF4789" s="3" t="s">
        <v>46546</v>
      </c>
      <c r="BG4789" s="3" t="s">
        <v>46547</v>
      </c>
      <c r="BH4789">
        <f t="shared" si="156"/>
        <v>0</v>
      </c>
    </row>
    <row r="4790" spans="1:60" ht="58" x14ac:dyDescent="0.35">
      <c r="A4790" s="2" t="s">
        <v>59</v>
      </c>
      <c r="B4790" s="2" t="s">
        <v>60</v>
      </c>
      <c r="C4790" s="2" t="s">
        <v>46548</v>
      </c>
      <c r="D4790" s="2" t="s">
        <v>46549</v>
      </c>
      <c r="E4790" s="2" t="s">
        <v>46550</v>
      </c>
      <c r="G4790" s="3" t="s">
        <v>64</v>
      </c>
      <c r="I4790" s="3" t="s">
        <v>128</v>
      </c>
      <c r="J4790" s="3" t="s">
        <v>64</v>
      </c>
      <c r="K4790" s="3" t="s">
        <v>65</v>
      </c>
      <c r="L4790" s="2" t="s">
        <v>46551</v>
      </c>
      <c r="M4790" s="2" t="s">
        <v>46552</v>
      </c>
      <c r="N4790" s="3" t="s">
        <v>4548</v>
      </c>
      <c r="O4790" s="2" t="s">
        <v>46553</v>
      </c>
      <c r="P4790" s="3" t="s">
        <v>102</v>
      </c>
      <c r="R4790" s="3" t="s">
        <v>70</v>
      </c>
      <c r="S4790" s="4">
        <v>0</v>
      </c>
      <c r="T4790" s="4">
        <v>1</v>
      </c>
      <c r="V4790" s="5" t="s">
        <v>1655</v>
      </c>
      <c r="W4790" s="5" t="s">
        <v>72</v>
      </c>
      <c r="X4790" s="5" t="s">
        <v>72</v>
      </c>
      <c r="Y4790" s="4">
        <v>13</v>
      </c>
      <c r="Z4790" s="4">
        <v>5</v>
      </c>
      <c r="AA4790" s="4">
        <v>28</v>
      </c>
      <c r="AB4790" s="4">
        <v>1</v>
      </c>
      <c r="AC4790" s="4">
        <v>2</v>
      </c>
      <c r="AD4790" s="4">
        <v>5</v>
      </c>
      <c r="AE4790" s="4">
        <v>112</v>
      </c>
      <c r="AF4790" s="4">
        <v>0</v>
      </c>
      <c r="AG4790" s="4">
        <v>1</v>
      </c>
      <c r="AH4790" s="4">
        <v>2</v>
      </c>
      <c r="AI4790" s="4">
        <v>97</v>
      </c>
      <c r="AJ4790" s="4">
        <v>3</v>
      </c>
      <c r="AK4790" s="4">
        <v>17</v>
      </c>
      <c r="AL4790" s="4">
        <v>1</v>
      </c>
      <c r="AM4790" s="4">
        <v>56</v>
      </c>
      <c r="AN4790" s="4">
        <v>0</v>
      </c>
      <c r="AO4790" s="4">
        <v>0</v>
      </c>
      <c r="AP4790" s="4">
        <v>4</v>
      </c>
      <c r="AQ4790" s="4">
        <v>18</v>
      </c>
      <c r="AR4790" s="3" t="s">
        <v>64</v>
      </c>
      <c r="AS4790" s="3" t="s">
        <v>64</v>
      </c>
      <c r="AT4790" s="3" t="s">
        <v>128</v>
      </c>
      <c r="AU4790" s="6" t="str">
        <f>HYPERLINK("http://catalog.hathitrust.org/Record/001177253","HathiTrust Record")</f>
        <v>HathiTrust Record</v>
      </c>
      <c r="AV4790" s="6" t="str">
        <f>HYPERLINK("http://mcgill.on.worldcat.org/oclc/61552409","Catalog Record")</f>
        <v>Catalog Record</v>
      </c>
      <c r="AW4790" s="6" t="str">
        <f>HYPERLINK("http://www.worldcat.org/oclc/61552409","WorldCat Record")</f>
        <v>WorldCat Record</v>
      </c>
      <c r="AX4790" s="3" t="s">
        <v>46554</v>
      </c>
      <c r="AY4790" s="3" t="s">
        <v>46555</v>
      </c>
      <c r="AZ4790" s="3" t="s">
        <v>46556</v>
      </c>
      <c r="BA4790" s="3" t="s">
        <v>46556</v>
      </c>
      <c r="BB4790" s="3" t="s">
        <v>46557</v>
      </c>
      <c r="BC4790" s="3" t="s">
        <v>77</v>
      </c>
      <c r="BD4790" s="3" t="s">
        <v>78</v>
      </c>
      <c r="BF4790" s="3" t="s">
        <v>46557</v>
      </c>
      <c r="BG4790" s="3" t="s">
        <v>46558</v>
      </c>
      <c r="BH4790">
        <f t="shared" si="156"/>
        <v>0</v>
      </c>
    </row>
    <row r="4791" spans="1:60" ht="87" x14ac:dyDescent="0.35">
      <c r="A4791" s="2" t="s">
        <v>6202</v>
      </c>
      <c r="B4791" s="2" t="s">
        <v>44446</v>
      </c>
      <c r="C4791" s="2" t="s">
        <v>46559</v>
      </c>
      <c r="D4791" s="2" t="s">
        <v>46560</v>
      </c>
      <c r="E4791" s="2" t="s">
        <v>46561</v>
      </c>
      <c r="G4791" s="3" t="s">
        <v>64</v>
      </c>
      <c r="I4791" s="3" t="s">
        <v>64</v>
      </c>
      <c r="J4791" s="3" t="s">
        <v>64</v>
      </c>
      <c r="K4791" s="3" t="s">
        <v>65</v>
      </c>
      <c r="L4791" s="2" t="s">
        <v>46562</v>
      </c>
      <c r="M4791" s="2" t="s">
        <v>46563</v>
      </c>
      <c r="N4791" s="3" t="s">
        <v>86</v>
      </c>
      <c r="O4791" s="2" t="s">
        <v>46564</v>
      </c>
      <c r="P4791" s="3" t="s">
        <v>44452</v>
      </c>
      <c r="R4791" s="3" t="s">
        <v>70</v>
      </c>
      <c r="S4791" s="4">
        <v>0</v>
      </c>
      <c r="T4791" s="4">
        <v>0</v>
      </c>
      <c r="W4791" s="5" t="s">
        <v>72</v>
      </c>
      <c r="X4791" s="5" t="s">
        <v>72</v>
      </c>
      <c r="Y4791" s="4">
        <v>6</v>
      </c>
      <c r="Z4791" s="4">
        <v>1</v>
      </c>
      <c r="AA4791" s="4">
        <v>1</v>
      </c>
      <c r="AB4791" s="4">
        <v>1</v>
      </c>
      <c r="AC4791" s="4">
        <v>1</v>
      </c>
      <c r="AD4791" s="4">
        <v>4</v>
      </c>
      <c r="AE4791" s="4">
        <v>4</v>
      </c>
      <c r="AF4791" s="4">
        <v>0</v>
      </c>
      <c r="AG4791" s="4">
        <v>0</v>
      </c>
      <c r="AH4791" s="4">
        <v>4</v>
      </c>
      <c r="AI4791" s="4">
        <v>4</v>
      </c>
      <c r="AJ4791" s="4">
        <v>0</v>
      </c>
      <c r="AK4791" s="4">
        <v>0</v>
      </c>
      <c r="AL4791" s="4">
        <v>2</v>
      </c>
      <c r="AM4791" s="4">
        <v>2</v>
      </c>
      <c r="AN4791" s="4">
        <v>0</v>
      </c>
      <c r="AO4791" s="4">
        <v>0</v>
      </c>
      <c r="AP4791" s="4">
        <v>0</v>
      </c>
      <c r="AQ4791" s="4">
        <v>0</v>
      </c>
      <c r="AR4791" s="3" t="s">
        <v>64</v>
      </c>
      <c r="AS4791" s="3" t="s">
        <v>64</v>
      </c>
      <c r="AT4791" s="3" t="s">
        <v>64</v>
      </c>
      <c r="AV4791" s="6" t="str">
        <f>HYPERLINK("http://mcgill.on.worldcat.org/oclc/842133101","Catalog Record")</f>
        <v>Catalog Record</v>
      </c>
      <c r="AW4791" s="6" t="str">
        <f>HYPERLINK("http://www.worldcat.org/oclc/842133101","WorldCat Record")</f>
        <v>WorldCat Record</v>
      </c>
      <c r="AX4791" s="3" t="s">
        <v>46565</v>
      </c>
      <c r="AY4791" s="3" t="s">
        <v>46566</v>
      </c>
      <c r="AZ4791" s="3" t="s">
        <v>46567</v>
      </c>
      <c r="BA4791" s="3" t="s">
        <v>46567</v>
      </c>
      <c r="BB4791" s="3" t="s">
        <v>46568</v>
      </c>
      <c r="BC4791" s="3" t="s">
        <v>77</v>
      </c>
      <c r="BD4791" s="3" t="s">
        <v>78</v>
      </c>
      <c r="BE4791" s="3" t="s">
        <v>46569</v>
      </c>
      <c r="BF4791" s="3" t="s">
        <v>46568</v>
      </c>
      <c r="BG4791" s="3" t="s">
        <v>46570</v>
      </c>
      <c r="BH4791">
        <f t="shared" si="156"/>
        <v>0</v>
      </c>
    </row>
    <row r="4792" spans="1:60" ht="58" x14ac:dyDescent="0.35">
      <c r="A4792" s="2" t="s">
        <v>59</v>
      </c>
      <c r="B4792" s="2" t="s">
        <v>60</v>
      </c>
      <c r="C4792" s="2" t="s">
        <v>46571</v>
      </c>
      <c r="D4792" s="2" t="s">
        <v>46572</v>
      </c>
      <c r="E4792" s="2" t="s">
        <v>46573</v>
      </c>
      <c r="G4792" s="3" t="s">
        <v>64</v>
      </c>
      <c r="I4792" s="3" t="s">
        <v>128</v>
      </c>
      <c r="J4792" s="3" t="s">
        <v>64</v>
      </c>
      <c r="K4792" s="3" t="s">
        <v>65</v>
      </c>
      <c r="L4792" s="2" t="s">
        <v>46574</v>
      </c>
      <c r="M4792" s="2" t="s">
        <v>46575</v>
      </c>
      <c r="N4792" s="3" t="s">
        <v>768</v>
      </c>
      <c r="P4792" s="3" t="s">
        <v>102</v>
      </c>
      <c r="R4792" s="3" t="s">
        <v>70</v>
      </c>
      <c r="S4792" s="4">
        <v>1</v>
      </c>
      <c r="T4792" s="4">
        <v>2</v>
      </c>
      <c r="U4792" s="5" t="s">
        <v>46576</v>
      </c>
      <c r="V4792" s="5" t="s">
        <v>1655</v>
      </c>
      <c r="W4792" s="5" t="s">
        <v>72</v>
      </c>
      <c r="X4792" s="5" t="s">
        <v>72</v>
      </c>
      <c r="Y4792" s="4">
        <v>445</v>
      </c>
      <c r="Z4792" s="4">
        <v>15</v>
      </c>
      <c r="AA4792" s="4">
        <v>16</v>
      </c>
      <c r="AB4792" s="4">
        <v>1</v>
      </c>
      <c r="AC4792" s="4">
        <v>1</v>
      </c>
      <c r="AD4792" s="4">
        <v>92</v>
      </c>
      <c r="AE4792" s="4">
        <v>93</v>
      </c>
      <c r="AF4792" s="4">
        <v>0</v>
      </c>
      <c r="AG4792" s="4">
        <v>0</v>
      </c>
      <c r="AH4792" s="4">
        <v>86</v>
      </c>
      <c r="AI4792" s="4">
        <v>87</v>
      </c>
      <c r="AJ4792" s="4">
        <v>9</v>
      </c>
      <c r="AK4792" s="4">
        <v>10</v>
      </c>
      <c r="AL4792" s="4">
        <v>46</v>
      </c>
      <c r="AM4792" s="4">
        <v>46</v>
      </c>
      <c r="AN4792" s="4">
        <v>0</v>
      </c>
      <c r="AO4792" s="4">
        <v>0</v>
      </c>
      <c r="AP4792" s="4">
        <v>11</v>
      </c>
      <c r="AQ4792" s="4">
        <v>12</v>
      </c>
      <c r="AR4792" s="3" t="s">
        <v>64</v>
      </c>
      <c r="AS4792" s="3" t="s">
        <v>128</v>
      </c>
      <c r="AT4792" s="3" t="s">
        <v>64</v>
      </c>
      <c r="AU4792" s="6" t="str">
        <f>HYPERLINK("http://catalog.hathitrust.org/Record/000727327","HathiTrust Record")</f>
        <v>HathiTrust Record</v>
      </c>
      <c r="AV4792" s="6" t="str">
        <f>HYPERLINK("http://mcgill.on.worldcat.org/oclc/2091493","Catalog Record")</f>
        <v>Catalog Record</v>
      </c>
      <c r="AW4792" s="6" t="str">
        <f>HYPERLINK("http://www.worldcat.org/oclc/2091493","WorldCat Record")</f>
        <v>WorldCat Record</v>
      </c>
      <c r="AX4792" s="3" t="s">
        <v>46577</v>
      </c>
      <c r="AY4792" s="3" t="s">
        <v>46578</v>
      </c>
      <c r="AZ4792" s="3" t="s">
        <v>46579</v>
      </c>
      <c r="BA4792" s="3" t="s">
        <v>46579</v>
      </c>
      <c r="BB4792" s="3" t="s">
        <v>46580</v>
      </c>
      <c r="BC4792" s="3" t="s">
        <v>77</v>
      </c>
      <c r="BD4792" s="3" t="s">
        <v>78</v>
      </c>
      <c r="BE4792" s="3" t="s">
        <v>46581</v>
      </c>
      <c r="BF4792" s="3" t="s">
        <v>46580</v>
      </c>
      <c r="BG4792" s="3" t="s">
        <v>46582</v>
      </c>
      <c r="BH4792">
        <f t="shared" si="156"/>
        <v>0</v>
      </c>
    </row>
    <row r="4793" spans="1:60" ht="58" x14ac:dyDescent="0.35">
      <c r="A4793" s="2" t="s">
        <v>59</v>
      </c>
      <c r="B4793" s="2" t="s">
        <v>60</v>
      </c>
      <c r="C4793" s="2" t="s">
        <v>46583</v>
      </c>
      <c r="D4793" s="2" t="s">
        <v>46584</v>
      </c>
      <c r="E4793" s="2" t="s">
        <v>46585</v>
      </c>
      <c r="G4793" s="3" t="s">
        <v>64</v>
      </c>
      <c r="I4793" s="3" t="s">
        <v>128</v>
      </c>
      <c r="J4793" s="3" t="s">
        <v>64</v>
      </c>
      <c r="K4793" s="3" t="s">
        <v>65</v>
      </c>
      <c r="L4793" s="2" t="s">
        <v>46586</v>
      </c>
      <c r="M4793" s="2" t="s">
        <v>46587</v>
      </c>
      <c r="N4793" s="3" t="s">
        <v>3047</v>
      </c>
      <c r="P4793" s="3" t="s">
        <v>102</v>
      </c>
      <c r="Q4793" s="2" t="s">
        <v>46588</v>
      </c>
      <c r="R4793" s="3" t="s">
        <v>70</v>
      </c>
      <c r="S4793" s="4">
        <v>17</v>
      </c>
      <c r="T4793" s="4">
        <v>37</v>
      </c>
      <c r="U4793" s="5" t="s">
        <v>46589</v>
      </c>
      <c r="V4793" s="5" t="s">
        <v>46590</v>
      </c>
      <c r="W4793" s="5" t="s">
        <v>72</v>
      </c>
      <c r="X4793" s="5" t="s">
        <v>72</v>
      </c>
      <c r="Y4793" s="4">
        <v>206</v>
      </c>
      <c r="Z4793" s="4">
        <v>19</v>
      </c>
      <c r="AA4793" s="4">
        <v>20</v>
      </c>
      <c r="AB4793" s="4">
        <v>2</v>
      </c>
      <c r="AC4793" s="4">
        <v>3</v>
      </c>
      <c r="AD4793" s="4">
        <v>92</v>
      </c>
      <c r="AE4793" s="4">
        <v>93</v>
      </c>
      <c r="AF4793" s="4">
        <v>1</v>
      </c>
      <c r="AG4793" s="4">
        <v>2</v>
      </c>
      <c r="AH4793" s="4">
        <v>83</v>
      </c>
      <c r="AI4793" s="4">
        <v>83</v>
      </c>
      <c r="AJ4793" s="4">
        <v>14</v>
      </c>
      <c r="AK4793" s="4">
        <v>15</v>
      </c>
      <c r="AL4793" s="4">
        <v>50</v>
      </c>
      <c r="AM4793" s="4">
        <v>50</v>
      </c>
      <c r="AN4793" s="4">
        <v>0</v>
      </c>
      <c r="AO4793" s="4">
        <v>0</v>
      </c>
      <c r="AP4793" s="4">
        <v>15</v>
      </c>
      <c r="AQ4793" s="4">
        <v>15</v>
      </c>
      <c r="AR4793" s="3" t="s">
        <v>64</v>
      </c>
      <c r="AS4793" s="3" t="s">
        <v>64</v>
      </c>
      <c r="AT4793" s="3" t="s">
        <v>128</v>
      </c>
      <c r="AU4793" s="6" t="str">
        <f>HYPERLINK("http://catalog.hathitrust.org/Record/000896717","HathiTrust Record")</f>
        <v>HathiTrust Record</v>
      </c>
      <c r="AV4793" s="6" t="str">
        <f>HYPERLINK("http://mcgill.on.worldcat.org/oclc/17018387","Catalog Record")</f>
        <v>Catalog Record</v>
      </c>
      <c r="AW4793" s="6" t="str">
        <f>HYPERLINK("http://www.worldcat.org/oclc/17018387","WorldCat Record")</f>
        <v>WorldCat Record</v>
      </c>
      <c r="AX4793" s="3" t="s">
        <v>46591</v>
      </c>
      <c r="AY4793" s="3" t="s">
        <v>46592</v>
      </c>
      <c r="AZ4793" s="3" t="s">
        <v>46593</v>
      </c>
      <c r="BA4793" s="3" t="s">
        <v>46593</v>
      </c>
      <c r="BB4793" s="3" t="s">
        <v>46594</v>
      </c>
      <c r="BC4793" s="3" t="s">
        <v>77</v>
      </c>
      <c r="BD4793" s="3" t="s">
        <v>78</v>
      </c>
      <c r="BE4793" s="3" t="s">
        <v>46595</v>
      </c>
      <c r="BF4793" s="3" t="s">
        <v>46594</v>
      </c>
      <c r="BG4793" s="3" t="s">
        <v>46596</v>
      </c>
      <c r="BH4793">
        <f t="shared" si="156"/>
        <v>0</v>
      </c>
    </row>
    <row r="4794" spans="1:60" ht="58" x14ac:dyDescent="0.35">
      <c r="A4794" s="2" t="s">
        <v>59</v>
      </c>
      <c r="B4794" s="2" t="s">
        <v>60</v>
      </c>
      <c r="C4794" s="2" t="s">
        <v>46583</v>
      </c>
      <c r="D4794" s="2" t="s">
        <v>46584</v>
      </c>
      <c r="E4794" s="2" t="s">
        <v>46585</v>
      </c>
      <c r="G4794" s="3" t="s">
        <v>64</v>
      </c>
      <c r="I4794" s="3" t="s">
        <v>128</v>
      </c>
      <c r="J4794" s="3" t="s">
        <v>64</v>
      </c>
      <c r="K4794" s="3" t="s">
        <v>65</v>
      </c>
      <c r="L4794" s="2" t="s">
        <v>46586</v>
      </c>
      <c r="M4794" s="2" t="s">
        <v>46587</v>
      </c>
      <c r="N4794" s="3" t="s">
        <v>3047</v>
      </c>
      <c r="P4794" s="3" t="s">
        <v>102</v>
      </c>
      <c r="Q4794" s="2" t="s">
        <v>46588</v>
      </c>
      <c r="R4794" s="3" t="s">
        <v>70</v>
      </c>
      <c r="S4794" s="4">
        <v>20</v>
      </c>
      <c r="T4794" s="4">
        <v>37</v>
      </c>
      <c r="U4794" s="5" t="s">
        <v>46590</v>
      </c>
      <c r="V4794" s="5" t="s">
        <v>46590</v>
      </c>
      <c r="W4794" s="5" t="s">
        <v>72</v>
      </c>
      <c r="X4794" s="5" t="s">
        <v>72</v>
      </c>
      <c r="Y4794" s="4">
        <v>206</v>
      </c>
      <c r="Z4794" s="4">
        <v>19</v>
      </c>
      <c r="AA4794" s="4">
        <v>20</v>
      </c>
      <c r="AB4794" s="4">
        <v>2</v>
      </c>
      <c r="AC4794" s="4">
        <v>3</v>
      </c>
      <c r="AD4794" s="4">
        <v>92</v>
      </c>
      <c r="AE4794" s="4">
        <v>93</v>
      </c>
      <c r="AF4794" s="4">
        <v>1</v>
      </c>
      <c r="AG4794" s="4">
        <v>2</v>
      </c>
      <c r="AH4794" s="4">
        <v>83</v>
      </c>
      <c r="AI4794" s="4">
        <v>83</v>
      </c>
      <c r="AJ4794" s="4">
        <v>14</v>
      </c>
      <c r="AK4794" s="4">
        <v>15</v>
      </c>
      <c r="AL4794" s="4">
        <v>50</v>
      </c>
      <c r="AM4794" s="4">
        <v>50</v>
      </c>
      <c r="AN4794" s="4">
        <v>0</v>
      </c>
      <c r="AO4794" s="4">
        <v>0</v>
      </c>
      <c r="AP4794" s="4">
        <v>15</v>
      </c>
      <c r="AQ4794" s="4">
        <v>15</v>
      </c>
      <c r="AR4794" s="3" t="s">
        <v>64</v>
      </c>
      <c r="AS4794" s="3" t="s">
        <v>64</v>
      </c>
      <c r="AT4794" s="3" t="s">
        <v>128</v>
      </c>
      <c r="AU4794" s="6" t="str">
        <f>HYPERLINK("http://catalog.hathitrust.org/Record/000896717","HathiTrust Record")</f>
        <v>HathiTrust Record</v>
      </c>
      <c r="AV4794" s="6" t="str">
        <f>HYPERLINK("http://mcgill.on.worldcat.org/oclc/17018387","Catalog Record")</f>
        <v>Catalog Record</v>
      </c>
      <c r="AW4794" s="6" t="str">
        <f>HYPERLINK("http://www.worldcat.org/oclc/17018387","WorldCat Record")</f>
        <v>WorldCat Record</v>
      </c>
      <c r="AX4794" s="3" t="s">
        <v>46591</v>
      </c>
      <c r="AY4794" s="3" t="s">
        <v>46592</v>
      </c>
      <c r="AZ4794" s="3" t="s">
        <v>46593</v>
      </c>
      <c r="BA4794" s="3" t="s">
        <v>46593</v>
      </c>
      <c r="BB4794" s="3" t="s">
        <v>46597</v>
      </c>
      <c r="BC4794" s="3" t="s">
        <v>77</v>
      </c>
      <c r="BD4794" s="3" t="s">
        <v>78</v>
      </c>
      <c r="BE4794" s="3" t="s">
        <v>46595</v>
      </c>
      <c r="BF4794" s="3" t="s">
        <v>46597</v>
      </c>
      <c r="BG4794" s="3" t="s">
        <v>46598</v>
      </c>
      <c r="BH4794">
        <f t="shared" si="156"/>
        <v>0</v>
      </c>
    </row>
    <row r="4795" spans="1:60" ht="58" x14ac:dyDescent="0.35">
      <c r="A4795" s="2" t="s">
        <v>6202</v>
      </c>
      <c r="B4795" s="2" t="s">
        <v>6203</v>
      </c>
      <c r="C4795" s="2" t="s">
        <v>46599</v>
      </c>
      <c r="D4795" s="2" t="s">
        <v>46600</v>
      </c>
      <c r="E4795" s="2" t="s">
        <v>46601</v>
      </c>
      <c r="G4795" s="3" t="s">
        <v>64</v>
      </c>
      <c r="I4795" s="3" t="s">
        <v>64</v>
      </c>
      <c r="J4795" s="3" t="s">
        <v>64</v>
      </c>
      <c r="K4795" s="3" t="s">
        <v>65</v>
      </c>
      <c r="L4795" s="2" t="s">
        <v>46602</v>
      </c>
      <c r="M4795" s="2" t="s">
        <v>42467</v>
      </c>
      <c r="N4795" s="3" t="s">
        <v>392</v>
      </c>
      <c r="P4795" s="3" t="s">
        <v>102</v>
      </c>
      <c r="Q4795" s="2" t="s">
        <v>46603</v>
      </c>
      <c r="R4795" s="3" t="s">
        <v>70</v>
      </c>
      <c r="S4795" s="4">
        <v>1</v>
      </c>
      <c r="T4795" s="4">
        <v>1</v>
      </c>
      <c r="U4795" s="5" t="s">
        <v>42151</v>
      </c>
      <c r="V4795" s="5" t="s">
        <v>42151</v>
      </c>
      <c r="W4795" s="5" t="s">
        <v>72</v>
      </c>
      <c r="X4795" s="5" t="s">
        <v>72</v>
      </c>
      <c r="Y4795" s="4">
        <v>220</v>
      </c>
      <c r="Z4795" s="4">
        <v>13</v>
      </c>
      <c r="AA4795" s="4">
        <v>13</v>
      </c>
      <c r="AB4795" s="4">
        <v>1</v>
      </c>
      <c r="AC4795" s="4">
        <v>1</v>
      </c>
      <c r="AD4795" s="4">
        <v>67</v>
      </c>
      <c r="AE4795" s="4">
        <v>69</v>
      </c>
      <c r="AF4795" s="4">
        <v>0</v>
      </c>
      <c r="AG4795" s="4">
        <v>0</v>
      </c>
      <c r="AH4795" s="4">
        <v>60</v>
      </c>
      <c r="AI4795" s="4">
        <v>62</v>
      </c>
      <c r="AJ4795" s="4">
        <v>9</v>
      </c>
      <c r="AK4795" s="4">
        <v>9</v>
      </c>
      <c r="AL4795" s="4">
        <v>36</v>
      </c>
      <c r="AM4795" s="4">
        <v>38</v>
      </c>
      <c r="AN4795" s="4">
        <v>0</v>
      </c>
      <c r="AO4795" s="4">
        <v>0</v>
      </c>
      <c r="AP4795" s="4">
        <v>10</v>
      </c>
      <c r="AQ4795" s="4">
        <v>10</v>
      </c>
      <c r="AR4795" s="3" t="s">
        <v>64</v>
      </c>
      <c r="AS4795" s="3" t="s">
        <v>64</v>
      </c>
      <c r="AT4795" s="3" t="s">
        <v>128</v>
      </c>
      <c r="AU4795" s="6" t="str">
        <f>HYPERLINK("http://catalog.hathitrust.org/Record/004031563","HathiTrust Record")</f>
        <v>HathiTrust Record</v>
      </c>
      <c r="AV4795" s="6" t="str">
        <f>HYPERLINK("http://mcgill.on.worldcat.org/oclc/39733767","Catalog Record")</f>
        <v>Catalog Record</v>
      </c>
      <c r="AW4795" s="6" t="str">
        <f>HYPERLINK("http://www.worldcat.org/oclc/39733767","WorldCat Record")</f>
        <v>WorldCat Record</v>
      </c>
      <c r="AX4795" s="3" t="s">
        <v>46604</v>
      </c>
      <c r="AY4795" s="3" t="s">
        <v>46605</v>
      </c>
      <c r="AZ4795" s="3" t="s">
        <v>46606</v>
      </c>
      <c r="BA4795" s="3" t="s">
        <v>46606</v>
      </c>
      <c r="BB4795" s="3" t="s">
        <v>46607</v>
      </c>
      <c r="BC4795" s="3" t="s">
        <v>77</v>
      </c>
      <c r="BD4795" s="3" t="s">
        <v>78</v>
      </c>
      <c r="BE4795" s="3" t="s">
        <v>46608</v>
      </c>
      <c r="BF4795" s="3" t="s">
        <v>46607</v>
      </c>
      <c r="BG4795" s="3" t="s">
        <v>46609</v>
      </c>
      <c r="BH4795">
        <f t="shared" si="156"/>
        <v>0</v>
      </c>
    </row>
    <row r="4796" spans="1:60" ht="58" x14ac:dyDescent="0.35">
      <c r="A4796" s="2" t="s">
        <v>6202</v>
      </c>
      <c r="B4796" s="2" t="s">
        <v>6203</v>
      </c>
      <c r="C4796" s="2" t="s">
        <v>46610</v>
      </c>
      <c r="D4796" s="2" t="s">
        <v>46611</v>
      </c>
      <c r="E4796" s="2" t="s">
        <v>46612</v>
      </c>
      <c r="G4796" s="3" t="s">
        <v>64</v>
      </c>
      <c r="I4796" s="3" t="s">
        <v>64</v>
      </c>
      <c r="J4796" s="3" t="s">
        <v>64</v>
      </c>
      <c r="K4796" s="3" t="s">
        <v>65</v>
      </c>
      <c r="M4796" s="2" t="s">
        <v>46613</v>
      </c>
      <c r="N4796" s="3" t="s">
        <v>1615</v>
      </c>
      <c r="P4796" s="3" t="s">
        <v>102</v>
      </c>
      <c r="R4796" s="3" t="s">
        <v>70</v>
      </c>
      <c r="S4796" s="4">
        <v>1</v>
      </c>
      <c r="T4796" s="4">
        <v>1</v>
      </c>
      <c r="U4796" s="5" t="s">
        <v>46614</v>
      </c>
      <c r="V4796" s="5" t="s">
        <v>46614</v>
      </c>
      <c r="W4796" s="5" t="s">
        <v>72</v>
      </c>
      <c r="X4796" s="5" t="s">
        <v>72</v>
      </c>
      <c r="Y4796" s="4">
        <v>239</v>
      </c>
      <c r="Z4796" s="4">
        <v>21</v>
      </c>
      <c r="AA4796" s="4">
        <v>21</v>
      </c>
      <c r="AB4796" s="4">
        <v>2</v>
      </c>
      <c r="AC4796" s="4">
        <v>2</v>
      </c>
      <c r="AD4796" s="4">
        <v>77</v>
      </c>
      <c r="AE4796" s="4">
        <v>78</v>
      </c>
      <c r="AF4796" s="4">
        <v>1</v>
      </c>
      <c r="AG4796" s="4">
        <v>1</v>
      </c>
      <c r="AH4796" s="4">
        <v>69</v>
      </c>
      <c r="AI4796" s="4">
        <v>70</v>
      </c>
      <c r="AJ4796" s="4">
        <v>13</v>
      </c>
      <c r="AK4796" s="4">
        <v>13</v>
      </c>
      <c r="AL4796" s="4">
        <v>39</v>
      </c>
      <c r="AM4796" s="4">
        <v>40</v>
      </c>
      <c r="AN4796" s="4">
        <v>0</v>
      </c>
      <c r="AO4796" s="4">
        <v>0</v>
      </c>
      <c r="AP4796" s="4">
        <v>15</v>
      </c>
      <c r="AQ4796" s="4">
        <v>15</v>
      </c>
      <c r="AR4796" s="3" t="s">
        <v>64</v>
      </c>
      <c r="AS4796" s="3" t="s">
        <v>64</v>
      </c>
      <c r="AT4796" s="3" t="s">
        <v>64</v>
      </c>
      <c r="AV4796" s="6" t="str">
        <f>HYPERLINK("http://mcgill.on.worldcat.org/oclc/32924263","Catalog Record")</f>
        <v>Catalog Record</v>
      </c>
      <c r="AW4796" s="6" t="str">
        <f>HYPERLINK("http://www.worldcat.org/oclc/32924263","WorldCat Record")</f>
        <v>WorldCat Record</v>
      </c>
      <c r="AX4796" s="3" t="s">
        <v>46615</v>
      </c>
      <c r="AY4796" s="3" t="s">
        <v>46616</v>
      </c>
      <c r="AZ4796" s="3" t="s">
        <v>46617</v>
      </c>
      <c r="BA4796" s="3" t="s">
        <v>46617</v>
      </c>
      <c r="BB4796" s="3" t="s">
        <v>46618</v>
      </c>
      <c r="BC4796" s="3" t="s">
        <v>77</v>
      </c>
      <c r="BD4796" s="3" t="s">
        <v>78</v>
      </c>
      <c r="BE4796" s="3" t="s">
        <v>46619</v>
      </c>
      <c r="BF4796" s="3" t="s">
        <v>46618</v>
      </c>
      <c r="BG4796" s="3" t="s">
        <v>46620</v>
      </c>
      <c r="BH4796">
        <f t="shared" si="156"/>
        <v>0</v>
      </c>
    </row>
    <row r="4797" spans="1:60" ht="58" x14ac:dyDescent="0.35">
      <c r="A4797" s="2" t="s">
        <v>59</v>
      </c>
      <c r="B4797" s="2" t="s">
        <v>60</v>
      </c>
      <c r="C4797" s="2" t="s">
        <v>46621</v>
      </c>
      <c r="D4797" s="2" t="s">
        <v>46622</v>
      </c>
      <c r="E4797" s="2" t="s">
        <v>46623</v>
      </c>
      <c r="G4797" s="3" t="s">
        <v>64</v>
      </c>
      <c r="I4797" s="3" t="s">
        <v>128</v>
      </c>
      <c r="J4797" s="3" t="s">
        <v>64</v>
      </c>
      <c r="K4797" s="3" t="s">
        <v>65</v>
      </c>
      <c r="M4797" s="2" t="s">
        <v>46624</v>
      </c>
      <c r="N4797" s="3" t="s">
        <v>190</v>
      </c>
      <c r="P4797" s="3" t="s">
        <v>68</v>
      </c>
      <c r="R4797" s="3" t="s">
        <v>70</v>
      </c>
      <c r="S4797" s="4">
        <v>0</v>
      </c>
      <c r="T4797" s="4">
        <v>2</v>
      </c>
      <c r="V4797" s="5" t="s">
        <v>32865</v>
      </c>
      <c r="W4797" s="5" t="s">
        <v>72</v>
      </c>
      <c r="X4797" s="5" t="s">
        <v>72</v>
      </c>
      <c r="Y4797" s="4">
        <v>1</v>
      </c>
      <c r="Z4797" s="4">
        <v>1</v>
      </c>
      <c r="AA4797" s="4">
        <v>27</v>
      </c>
      <c r="AB4797" s="4">
        <v>1</v>
      </c>
      <c r="AC4797" s="4">
        <v>13</v>
      </c>
      <c r="AD4797" s="4">
        <v>0</v>
      </c>
      <c r="AE4797" s="4">
        <v>22</v>
      </c>
      <c r="AF4797" s="4">
        <v>0</v>
      </c>
      <c r="AG4797" s="4">
        <v>6</v>
      </c>
      <c r="AH4797" s="4">
        <v>0</v>
      </c>
      <c r="AI4797" s="4">
        <v>14</v>
      </c>
      <c r="AJ4797" s="4">
        <v>0</v>
      </c>
      <c r="AK4797" s="4">
        <v>11</v>
      </c>
      <c r="AL4797" s="4">
        <v>0</v>
      </c>
      <c r="AM4797" s="4">
        <v>4</v>
      </c>
      <c r="AN4797" s="4">
        <v>0</v>
      </c>
      <c r="AO4797" s="4">
        <v>0</v>
      </c>
      <c r="AP4797" s="4">
        <v>0</v>
      </c>
      <c r="AQ4797" s="4">
        <v>11</v>
      </c>
      <c r="AR4797" s="3" t="s">
        <v>128</v>
      </c>
      <c r="AS4797" s="3" t="s">
        <v>64</v>
      </c>
      <c r="AT4797" s="3" t="s">
        <v>64</v>
      </c>
      <c r="AV4797" s="6" t="str">
        <f>HYPERLINK("http://mcgill.on.worldcat.org/oclc/1050953347","Catalog Record")</f>
        <v>Catalog Record</v>
      </c>
      <c r="AW4797" s="6" t="str">
        <f>HYPERLINK("http://www.worldcat.org/oclc/1050953347","WorldCat Record")</f>
        <v>WorldCat Record</v>
      </c>
      <c r="AX4797" s="3" t="s">
        <v>46625</v>
      </c>
      <c r="AY4797" s="3" t="s">
        <v>46626</v>
      </c>
      <c r="AZ4797" s="3" t="s">
        <v>46627</v>
      </c>
      <c r="BA4797" s="3" t="s">
        <v>46627</v>
      </c>
      <c r="BB4797" s="3" t="s">
        <v>46628</v>
      </c>
      <c r="BC4797" s="3" t="s">
        <v>77</v>
      </c>
      <c r="BD4797" s="3" t="s">
        <v>78</v>
      </c>
      <c r="BE4797" s="3" t="s">
        <v>46629</v>
      </c>
      <c r="BF4797" s="3" t="s">
        <v>46628</v>
      </c>
      <c r="BG4797" s="3" t="s">
        <v>46630</v>
      </c>
      <c r="BH4797">
        <f t="shared" si="156"/>
        <v>0</v>
      </c>
    </row>
    <row r="4798" spans="1:60" ht="101.5" x14ac:dyDescent="0.35">
      <c r="A4798" s="2" t="s">
        <v>59</v>
      </c>
      <c r="B4798" s="2" t="s">
        <v>15059</v>
      </c>
      <c r="C4798" s="2" t="s">
        <v>46631</v>
      </c>
      <c r="D4798" s="2" t="s">
        <v>46622</v>
      </c>
      <c r="E4798" s="2" t="s">
        <v>46623</v>
      </c>
      <c r="G4798" s="3" t="s">
        <v>64</v>
      </c>
      <c r="I4798" s="3" t="s">
        <v>128</v>
      </c>
      <c r="J4798" s="3" t="s">
        <v>64</v>
      </c>
      <c r="K4798" s="3" t="s">
        <v>65</v>
      </c>
      <c r="M4798" s="2" t="s">
        <v>46624</v>
      </c>
      <c r="N4798" s="3" t="s">
        <v>190</v>
      </c>
      <c r="P4798" s="3" t="s">
        <v>68</v>
      </c>
      <c r="R4798" s="3" t="s">
        <v>70</v>
      </c>
      <c r="S4798" s="4">
        <v>1</v>
      </c>
      <c r="T4798" s="4">
        <v>2</v>
      </c>
      <c r="U4798" s="5" t="s">
        <v>45508</v>
      </c>
      <c r="V4798" s="5" t="s">
        <v>32865</v>
      </c>
      <c r="W4798" s="5" t="s">
        <v>72</v>
      </c>
      <c r="X4798" s="5" t="s">
        <v>72</v>
      </c>
      <c r="Y4798" s="4">
        <v>1</v>
      </c>
      <c r="Z4798" s="4">
        <v>1</v>
      </c>
      <c r="AA4798" s="4">
        <v>27</v>
      </c>
      <c r="AB4798" s="4">
        <v>1</v>
      </c>
      <c r="AC4798" s="4">
        <v>13</v>
      </c>
      <c r="AD4798" s="4">
        <v>0</v>
      </c>
      <c r="AE4798" s="4">
        <v>22</v>
      </c>
      <c r="AF4798" s="4">
        <v>0</v>
      </c>
      <c r="AG4798" s="4">
        <v>6</v>
      </c>
      <c r="AH4798" s="4">
        <v>0</v>
      </c>
      <c r="AI4798" s="4">
        <v>14</v>
      </c>
      <c r="AJ4798" s="4">
        <v>0</v>
      </c>
      <c r="AK4798" s="4">
        <v>11</v>
      </c>
      <c r="AL4798" s="4">
        <v>0</v>
      </c>
      <c r="AM4798" s="4">
        <v>4</v>
      </c>
      <c r="AN4798" s="4">
        <v>0</v>
      </c>
      <c r="AO4798" s="4">
        <v>0</v>
      </c>
      <c r="AP4798" s="4">
        <v>0</v>
      </c>
      <c r="AQ4798" s="4">
        <v>11</v>
      </c>
      <c r="AR4798" s="3" t="s">
        <v>128</v>
      </c>
      <c r="AS4798" s="3" t="s">
        <v>64</v>
      </c>
      <c r="AT4798" s="3" t="s">
        <v>64</v>
      </c>
      <c r="AV4798" s="6" t="str">
        <f>HYPERLINK("http://mcgill.on.worldcat.org/oclc/1050953347","Catalog Record")</f>
        <v>Catalog Record</v>
      </c>
      <c r="AW4798" s="6" t="str">
        <f>HYPERLINK("http://www.worldcat.org/oclc/1050953347","WorldCat Record")</f>
        <v>WorldCat Record</v>
      </c>
      <c r="AX4798" s="3" t="s">
        <v>46625</v>
      </c>
      <c r="AY4798" s="3" t="s">
        <v>46626</v>
      </c>
      <c r="AZ4798" s="3" t="s">
        <v>46627</v>
      </c>
      <c r="BA4798" s="3" t="s">
        <v>46627</v>
      </c>
      <c r="BB4798" s="3" t="s">
        <v>46632</v>
      </c>
      <c r="BC4798" s="3" t="s">
        <v>77</v>
      </c>
      <c r="BD4798" s="3" t="s">
        <v>78</v>
      </c>
      <c r="BE4798" s="3" t="s">
        <v>46629</v>
      </c>
      <c r="BF4798" s="3" t="s">
        <v>46632</v>
      </c>
      <c r="BG4798" s="3" t="s">
        <v>46633</v>
      </c>
      <c r="BH4798">
        <f t="shared" si="156"/>
        <v>0</v>
      </c>
    </row>
    <row r="4799" spans="1:60" ht="58" x14ac:dyDescent="0.35">
      <c r="A4799" s="2" t="s">
        <v>59</v>
      </c>
      <c r="B4799" s="2" t="s">
        <v>60</v>
      </c>
      <c r="C4799" s="2" t="s">
        <v>46634</v>
      </c>
      <c r="D4799" s="2" t="s">
        <v>46635</v>
      </c>
      <c r="E4799" s="2" t="s">
        <v>46636</v>
      </c>
      <c r="G4799" s="3" t="s">
        <v>64</v>
      </c>
      <c r="I4799" s="3" t="s">
        <v>64</v>
      </c>
      <c r="J4799" s="3" t="s">
        <v>64</v>
      </c>
      <c r="K4799" s="3" t="s">
        <v>65</v>
      </c>
      <c r="L4799" s="2" t="s">
        <v>46637</v>
      </c>
      <c r="M4799" s="2" t="s">
        <v>46638</v>
      </c>
      <c r="N4799" s="3" t="s">
        <v>1075</v>
      </c>
      <c r="P4799" s="3" t="s">
        <v>102</v>
      </c>
      <c r="R4799" s="3" t="s">
        <v>70</v>
      </c>
      <c r="S4799" s="4">
        <v>1</v>
      </c>
      <c r="T4799" s="4">
        <v>1</v>
      </c>
      <c r="U4799" s="5" t="s">
        <v>1453</v>
      </c>
      <c r="V4799" s="5" t="s">
        <v>1453</v>
      </c>
      <c r="W4799" s="5" t="s">
        <v>72</v>
      </c>
      <c r="X4799" s="5" t="s">
        <v>72</v>
      </c>
      <c r="Y4799" s="4">
        <v>68</v>
      </c>
      <c r="Z4799" s="4">
        <v>7</v>
      </c>
      <c r="AA4799" s="4">
        <v>9</v>
      </c>
      <c r="AB4799" s="4">
        <v>1</v>
      </c>
      <c r="AC4799" s="4">
        <v>3</v>
      </c>
      <c r="AD4799" s="4">
        <v>30</v>
      </c>
      <c r="AE4799" s="4">
        <v>33</v>
      </c>
      <c r="AF4799" s="4">
        <v>0</v>
      </c>
      <c r="AG4799" s="4">
        <v>2</v>
      </c>
      <c r="AH4799" s="4">
        <v>28</v>
      </c>
      <c r="AI4799" s="4">
        <v>30</v>
      </c>
      <c r="AJ4799" s="4">
        <v>4</v>
      </c>
      <c r="AK4799" s="4">
        <v>6</v>
      </c>
      <c r="AL4799" s="4">
        <v>20</v>
      </c>
      <c r="AM4799" s="4">
        <v>21</v>
      </c>
      <c r="AN4799" s="4">
        <v>0</v>
      </c>
      <c r="AO4799" s="4">
        <v>0</v>
      </c>
      <c r="AP4799" s="4">
        <v>4</v>
      </c>
      <c r="AQ4799" s="4">
        <v>6</v>
      </c>
      <c r="AR4799" s="3" t="s">
        <v>64</v>
      </c>
      <c r="AS4799" s="3" t="s">
        <v>64</v>
      </c>
      <c r="AT4799" s="3" t="s">
        <v>64</v>
      </c>
      <c r="AV4799" s="6" t="str">
        <f>HYPERLINK("http://mcgill.on.worldcat.org/oclc/858488061","Catalog Record")</f>
        <v>Catalog Record</v>
      </c>
      <c r="AW4799" s="6" t="str">
        <f>HYPERLINK("http://www.worldcat.org/oclc/858488061","WorldCat Record")</f>
        <v>WorldCat Record</v>
      </c>
      <c r="AX4799" s="3" t="s">
        <v>46639</v>
      </c>
      <c r="AY4799" s="3" t="s">
        <v>46640</v>
      </c>
      <c r="AZ4799" s="3" t="s">
        <v>46641</v>
      </c>
      <c r="BA4799" s="3" t="s">
        <v>46641</v>
      </c>
      <c r="BB4799" s="3" t="s">
        <v>46642</v>
      </c>
      <c r="BC4799" s="3" t="s">
        <v>77</v>
      </c>
      <c r="BD4799" s="3" t="s">
        <v>78</v>
      </c>
      <c r="BE4799" s="3" t="s">
        <v>46643</v>
      </c>
      <c r="BF4799" s="3" t="s">
        <v>46642</v>
      </c>
      <c r="BG4799" s="3" t="s">
        <v>46644</v>
      </c>
      <c r="BH4799">
        <f t="shared" si="156"/>
        <v>0</v>
      </c>
    </row>
    <row r="4800" spans="1:60" ht="58" x14ac:dyDescent="0.35">
      <c r="A4800" s="2" t="s">
        <v>6202</v>
      </c>
      <c r="B4800" s="2" t="s">
        <v>6203</v>
      </c>
      <c r="C4800" s="2" t="s">
        <v>46645</v>
      </c>
      <c r="D4800" s="2" t="s">
        <v>46646</v>
      </c>
      <c r="E4800" s="2" t="s">
        <v>46647</v>
      </c>
      <c r="G4800" s="3" t="s">
        <v>64</v>
      </c>
      <c r="I4800" s="3" t="s">
        <v>64</v>
      </c>
      <c r="J4800" s="3" t="s">
        <v>64</v>
      </c>
      <c r="K4800" s="3" t="s">
        <v>65</v>
      </c>
      <c r="L4800" s="2" t="s">
        <v>46648</v>
      </c>
      <c r="M4800" s="2" t="s">
        <v>46649</v>
      </c>
      <c r="N4800" s="3" t="s">
        <v>1263</v>
      </c>
      <c r="P4800" s="3" t="s">
        <v>68</v>
      </c>
      <c r="Q4800" s="2" t="s">
        <v>46650</v>
      </c>
      <c r="R4800" s="3" t="s">
        <v>70</v>
      </c>
      <c r="S4800" s="4">
        <v>2</v>
      </c>
      <c r="T4800" s="4">
        <v>2</v>
      </c>
      <c r="U4800" s="5" t="s">
        <v>6114</v>
      </c>
      <c r="V4800" s="5" t="s">
        <v>6114</v>
      </c>
      <c r="W4800" s="5" t="s">
        <v>72</v>
      </c>
      <c r="X4800" s="5" t="s">
        <v>72</v>
      </c>
      <c r="Y4800" s="4">
        <v>103</v>
      </c>
      <c r="Z4800" s="4">
        <v>7</v>
      </c>
      <c r="AA4800" s="4">
        <v>7</v>
      </c>
      <c r="AB4800" s="4">
        <v>1</v>
      </c>
      <c r="AC4800" s="4">
        <v>1</v>
      </c>
      <c r="AD4800" s="4">
        <v>41</v>
      </c>
      <c r="AE4800" s="4">
        <v>41</v>
      </c>
      <c r="AF4800" s="4">
        <v>0</v>
      </c>
      <c r="AG4800" s="4">
        <v>0</v>
      </c>
      <c r="AH4800" s="4">
        <v>39</v>
      </c>
      <c r="AI4800" s="4">
        <v>39</v>
      </c>
      <c r="AJ4800" s="4">
        <v>3</v>
      </c>
      <c r="AK4800" s="4">
        <v>3</v>
      </c>
      <c r="AL4800" s="4">
        <v>29</v>
      </c>
      <c r="AM4800" s="4">
        <v>29</v>
      </c>
      <c r="AN4800" s="4">
        <v>0</v>
      </c>
      <c r="AO4800" s="4">
        <v>0</v>
      </c>
      <c r="AP4800" s="4">
        <v>3</v>
      </c>
      <c r="AQ4800" s="4">
        <v>3</v>
      </c>
      <c r="AR4800" s="3" t="s">
        <v>64</v>
      </c>
      <c r="AS4800" s="3" t="s">
        <v>64</v>
      </c>
      <c r="AT4800" s="3" t="s">
        <v>64</v>
      </c>
      <c r="AV4800" s="6" t="str">
        <f>HYPERLINK("http://mcgill.on.worldcat.org/oclc/28966611","Catalog Record")</f>
        <v>Catalog Record</v>
      </c>
      <c r="AW4800" s="6" t="str">
        <f>HYPERLINK("http://www.worldcat.org/oclc/28966611","WorldCat Record")</f>
        <v>WorldCat Record</v>
      </c>
      <c r="AX4800" s="3" t="s">
        <v>46651</v>
      </c>
      <c r="AY4800" s="3" t="s">
        <v>46652</v>
      </c>
      <c r="AZ4800" s="3" t="s">
        <v>46653</v>
      </c>
      <c r="BA4800" s="3" t="s">
        <v>46653</v>
      </c>
      <c r="BB4800" s="3" t="s">
        <v>46654</v>
      </c>
      <c r="BC4800" s="3" t="s">
        <v>77</v>
      </c>
      <c r="BD4800" s="3" t="s">
        <v>78</v>
      </c>
      <c r="BE4800" s="3" t="s">
        <v>46655</v>
      </c>
      <c r="BF4800" s="3" t="s">
        <v>46654</v>
      </c>
      <c r="BG4800" s="3" t="s">
        <v>46656</v>
      </c>
      <c r="BH4800">
        <f t="shared" si="156"/>
        <v>0</v>
      </c>
    </row>
    <row r="4801" spans="1:60" ht="58" x14ac:dyDescent="0.35">
      <c r="A4801" s="2" t="s">
        <v>6202</v>
      </c>
      <c r="B4801" s="2" t="s">
        <v>6203</v>
      </c>
      <c r="C4801" s="2" t="s">
        <v>46657</v>
      </c>
      <c r="D4801" s="2" t="s">
        <v>46658</v>
      </c>
      <c r="E4801" s="2" t="s">
        <v>46659</v>
      </c>
      <c r="G4801" s="3" t="s">
        <v>64</v>
      </c>
      <c r="I4801" s="3" t="s">
        <v>64</v>
      </c>
      <c r="J4801" s="3" t="s">
        <v>64</v>
      </c>
      <c r="K4801" s="3" t="s">
        <v>65</v>
      </c>
      <c r="L4801" s="2" t="s">
        <v>46660</v>
      </c>
      <c r="M4801" s="2" t="s">
        <v>46661</v>
      </c>
      <c r="N4801" s="3" t="s">
        <v>421</v>
      </c>
      <c r="P4801" s="3" t="s">
        <v>102</v>
      </c>
      <c r="Q4801" s="2" t="s">
        <v>46662</v>
      </c>
      <c r="R4801" s="3" t="s">
        <v>70</v>
      </c>
      <c r="S4801" s="4">
        <v>1</v>
      </c>
      <c r="T4801" s="4">
        <v>1</v>
      </c>
      <c r="U4801" s="5" t="s">
        <v>40716</v>
      </c>
      <c r="V4801" s="5" t="s">
        <v>40716</v>
      </c>
      <c r="W4801" s="5" t="s">
        <v>72</v>
      </c>
      <c r="X4801" s="5" t="s">
        <v>72</v>
      </c>
      <c r="Y4801" s="4">
        <v>191</v>
      </c>
      <c r="Z4801" s="4">
        <v>12</v>
      </c>
      <c r="AA4801" s="4">
        <v>14</v>
      </c>
      <c r="AB4801" s="4">
        <v>1</v>
      </c>
      <c r="AC4801" s="4">
        <v>3</v>
      </c>
      <c r="AD4801" s="4">
        <v>60</v>
      </c>
      <c r="AE4801" s="4">
        <v>62</v>
      </c>
      <c r="AF4801" s="4">
        <v>0</v>
      </c>
      <c r="AG4801" s="4">
        <v>2</v>
      </c>
      <c r="AH4801" s="4">
        <v>53</v>
      </c>
      <c r="AI4801" s="4">
        <v>54</v>
      </c>
      <c r="AJ4801" s="4">
        <v>4</v>
      </c>
      <c r="AK4801" s="4">
        <v>6</v>
      </c>
      <c r="AL4801" s="4">
        <v>38</v>
      </c>
      <c r="AM4801" s="4">
        <v>38</v>
      </c>
      <c r="AN4801" s="4">
        <v>0</v>
      </c>
      <c r="AO4801" s="4">
        <v>0</v>
      </c>
      <c r="AP4801" s="4">
        <v>7</v>
      </c>
      <c r="AQ4801" s="4">
        <v>8</v>
      </c>
      <c r="AR4801" s="3" t="s">
        <v>64</v>
      </c>
      <c r="AS4801" s="3" t="s">
        <v>64</v>
      </c>
      <c r="AT4801" s="3" t="s">
        <v>128</v>
      </c>
      <c r="AU4801" s="6" t="str">
        <f>HYPERLINK("http://catalog.hathitrust.org/Record/003172998","HathiTrust Record")</f>
        <v>HathiTrust Record</v>
      </c>
      <c r="AV4801" s="6" t="str">
        <f>HYPERLINK("http://mcgill.on.worldcat.org/oclc/37180822","Catalog Record")</f>
        <v>Catalog Record</v>
      </c>
      <c r="AW4801" s="6" t="str">
        <f>HYPERLINK("http://www.worldcat.org/oclc/37180822","WorldCat Record")</f>
        <v>WorldCat Record</v>
      </c>
      <c r="AX4801" s="3" t="s">
        <v>46663</v>
      </c>
      <c r="AY4801" s="3" t="s">
        <v>46664</v>
      </c>
      <c r="AZ4801" s="3" t="s">
        <v>46665</v>
      </c>
      <c r="BA4801" s="3" t="s">
        <v>46665</v>
      </c>
      <c r="BB4801" s="3" t="s">
        <v>46666</v>
      </c>
      <c r="BC4801" s="3" t="s">
        <v>77</v>
      </c>
      <c r="BD4801" s="3" t="s">
        <v>78</v>
      </c>
      <c r="BE4801" s="3" t="s">
        <v>46667</v>
      </c>
      <c r="BF4801" s="3" t="s">
        <v>46666</v>
      </c>
      <c r="BG4801" s="3" t="s">
        <v>46668</v>
      </c>
      <c r="BH4801">
        <f t="shared" si="156"/>
        <v>0</v>
      </c>
    </row>
    <row r="4802" spans="1:60" ht="58" x14ac:dyDescent="0.35">
      <c r="A4802" s="2" t="s">
        <v>6202</v>
      </c>
      <c r="B4802" s="2" t="s">
        <v>6203</v>
      </c>
      <c r="C4802" s="2" t="s">
        <v>46669</v>
      </c>
      <c r="D4802" s="2" t="s">
        <v>46670</v>
      </c>
      <c r="E4802" s="2" t="s">
        <v>46671</v>
      </c>
      <c r="G4802" s="3" t="s">
        <v>64</v>
      </c>
      <c r="I4802" s="3" t="s">
        <v>64</v>
      </c>
      <c r="J4802" s="3" t="s">
        <v>64</v>
      </c>
      <c r="K4802" s="3" t="s">
        <v>65</v>
      </c>
      <c r="L4802" s="2" t="s">
        <v>46672</v>
      </c>
      <c r="M4802" s="2" t="s">
        <v>46673</v>
      </c>
      <c r="N4802" s="3" t="s">
        <v>1004</v>
      </c>
      <c r="P4802" s="3" t="s">
        <v>102</v>
      </c>
      <c r="Q4802" s="2" t="s">
        <v>46674</v>
      </c>
      <c r="R4802" s="3" t="s">
        <v>70</v>
      </c>
      <c r="S4802" s="4">
        <v>2</v>
      </c>
      <c r="T4802" s="4">
        <v>2</v>
      </c>
      <c r="U4802" s="5" t="s">
        <v>4397</v>
      </c>
      <c r="V4802" s="5" t="s">
        <v>4397</v>
      </c>
      <c r="W4802" s="5" t="s">
        <v>72</v>
      </c>
      <c r="X4802" s="5" t="s">
        <v>72</v>
      </c>
      <c r="Y4802" s="4">
        <v>179</v>
      </c>
      <c r="Z4802" s="4">
        <v>15</v>
      </c>
      <c r="AA4802" s="4">
        <v>17</v>
      </c>
      <c r="AB4802" s="4">
        <v>1</v>
      </c>
      <c r="AC4802" s="4">
        <v>3</v>
      </c>
      <c r="AD4802" s="4">
        <v>88</v>
      </c>
      <c r="AE4802" s="4">
        <v>90</v>
      </c>
      <c r="AF4802" s="4">
        <v>0</v>
      </c>
      <c r="AG4802" s="4">
        <v>2</v>
      </c>
      <c r="AH4802" s="4">
        <v>82</v>
      </c>
      <c r="AI4802" s="4">
        <v>83</v>
      </c>
      <c r="AJ4802" s="4">
        <v>12</v>
      </c>
      <c r="AK4802" s="4">
        <v>14</v>
      </c>
      <c r="AL4802" s="4">
        <v>51</v>
      </c>
      <c r="AM4802" s="4">
        <v>51</v>
      </c>
      <c r="AN4802" s="4">
        <v>0</v>
      </c>
      <c r="AO4802" s="4">
        <v>0</v>
      </c>
      <c r="AP4802" s="4">
        <v>12</v>
      </c>
      <c r="AQ4802" s="4">
        <v>14</v>
      </c>
      <c r="AR4802" s="3" t="s">
        <v>64</v>
      </c>
      <c r="AS4802" s="3" t="s">
        <v>64</v>
      </c>
      <c r="AT4802" s="3" t="s">
        <v>128</v>
      </c>
      <c r="AU4802" s="6" t="str">
        <f>HYPERLINK("http://catalog.hathitrust.org/Record/000322363","HathiTrust Record")</f>
        <v>HathiTrust Record</v>
      </c>
      <c r="AV4802" s="6" t="str">
        <f>HYPERLINK("http://mcgill.on.worldcat.org/oclc/10605816","Catalog Record")</f>
        <v>Catalog Record</v>
      </c>
      <c r="AW4802" s="6" t="str">
        <f>HYPERLINK("http://www.worldcat.org/oclc/10605816","WorldCat Record")</f>
        <v>WorldCat Record</v>
      </c>
      <c r="AX4802" s="3" t="s">
        <v>46675</v>
      </c>
      <c r="AY4802" s="3" t="s">
        <v>46676</v>
      </c>
      <c r="AZ4802" s="3" t="s">
        <v>46677</v>
      </c>
      <c r="BA4802" s="3" t="s">
        <v>46677</v>
      </c>
      <c r="BB4802" s="3" t="s">
        <v>46678</v>
      </c>
      <c r="BC4802" s="3" t="s">
        <v>77</v>
      </c>
      <c r="BD4802" s="3" t="s">
        <v>78</v>
      </c>
      <c r="BF4802" s="3" t="s">
        <v>46678</v>
      </c>
      <c r="BG4802" s="3" t="s">
        <v>46679</v>
      </c>
      <c r="BH4802">
        <f t="shared" ref="BH4802:BH4865" si="157">IF(COUNTIF($BF$1:$BF$5431,BF4802)=1,0,1)</f>
        <v>0</v>
      </c>
    </row>
    <row r="4803" spans="1:60" ht="116" x14ac:dyDescent="0.35">
      <c r="A4803" s="2" t="s">
        <v>59</v>
      </c>
      <c r="B4803" s="2" t="s">
        <v>1183</v>
      </c>
      <c r="C4803" s="2" t="s">
        <v>46680</v>
      </c>
      <c r="D4803" s="2" t="s">
        <v>46681</v>
      </c>
      <c r="E4803" s="2" t="s">
        <v>46682</v>
      </c>
      <c r="G4803" s="3" t="s">
        <v>64</v>
      </c>
      <c r="I4803" s="3" t="s">
        <v>64</v>
      </c>
      <c r="J4803" s="3" t="s">
        <v>64</v>
      </c>
      <c r="K4803" s="3" t="s">
        <v>65</v>
      </c>
      <c r="L4803" s="2" t="s">
        <v>46683</v>
      </c>
      <c r="M4803" s="2" t="s">
        <v>46684</v>
      </c>
      <c r="N4803" s="3" t="s">
        <v>131</v>
      </c>
      <c r="O4803" s="2" t="s">
        <v>1189</v>
      </c>
      <c r="P4803" s="3" t="s">
        <v>1190</v>
      </c>
      <c r="R4803" s="3" t="s">
        <v>70</v>
      </c>
      <c r="S4803" s="4">
        <v>3</v>
      </c>
      <c r="T4803" s="4">
        <v>3</v>
      </c>
      <c r="U4803" s="5" t="s">
        <v>15334</v>
      </c>
      <c r="V4803" s="5" t="s">
        <v>15334</v>
      </c>
      <c r="W4803" s="5" t="s">
        <v>72</v>
      </c>
      <c r="X4803" s="5" t="s">
        <v>72</v>
      </c>
      <c r="Y4803" s="4">
        <v>51</v>
      </c>
      <c r="Z4803" s="4">
        <v>6</v>
      </c>
      <c r="AA4803" s="4">
        <v>7</v>
      </c>
      <c r="AB4803" s="4">
        <v>1</v>
      </c>
      <c r="AC4803" s="4">
        <v>2</v>
      </c>
      <c r="AD4803" s="4">
        <v>34</v>
      </c>
      <c r="AE4803" s="4">
        <v>35</v>
      </c>
      <c r="AF4803" s="4">
        <v>0</v>
      </c>
      <c r="AG4803" s="4">
        <v>1</v>
      </c>
      <c r="AH4803" s="4">
        <v>30</v>
      </c>
      <c r="AI4803" s="4">
        <v>30</v>
      </c>
      <c r="AJ4803" s="4">
        <v>3</v>
      </c>
      <c r="AK4803" s="4">
        <v>4</v>
      </c>
      <c r="AL4803" s="4">
        <v>26</v>
      </c>
      <c r="AM4803" s="4">
        <v>26</v>
      </c>
      <c r="AN4803" s="4">
        <v>0</v>
      </c>
      <c r="AO4803" s="4">
        <v>0</v>
      </c>
      <c r="AP4803" s="4">
        <v>4</v>
      </c>
      <c r="AQ4803" s="4">
        <v>4</v>
      </c>
      <c r="AR4803" s="3" t="s">
        <v>64</v>
      </c>
      <c r="AS4803" s="3" t="s">
        <v>64</v>
      </c>
      <c r="AT4803" s="3" t="s">
        <v>128</v>
      </c>
      <c r="AU4803" s="6" t="str">
        <f>HYPERLINK("http://catalog.hathitrust.org/Record/002308640","HathiTrust Record")</f>
        <v>HathiTrust Record</v>
      </c>
      <c r="AV4803" s="6" t="str">
        <f>HYPERLINK("http://mcgill.on.worldcat.org/oclc/22791422","Catalog Record")</f>
        <v>Catalog Record</v>
      </c>
      <c r="AW4803" s="6" t="str">
        <f>HYPERLINK("http://www.worldcat.org/oclc/22791422","WorldCat Record")</f>
        <v>WorldCat Record</v>
      </c>
      <c r="AX4803" s="3" t="s">
        <v>46685</v>
      </c>
      <c r="AY4803" s="3" t="s">
        <v>46686</v>
      </c>
      <c r="AZ4803" s="3" t="s">
        <v>46687</v>
      </c>
      <c r="BA4803" s="3" t="s">
        <v>46687</v>
      </c>
      <c r="BB4803" s="3" t="s">
        <v>46688</v>
      </c>
      <c r="BC4803" s="3" t="s">
        <v>77</v>
      </c>
      <c r="BD4803" s="3" t="s">
        <v>78</v>
      </c>
      <c r="BF4803" s="3" t="s">
        <v>46688</v>
      </c>
      <c r="BG4803" s="3" t="s">
        <v>46689</v>
      </c>
      <c r="BH4803">
        <f t="shared" si="157"/>
        <v>0</v>
      </c>
    </row>
    <row r="4804" spans="1:60" ht="116" x14ac:dyDescent="0.35">
      <c r="A4804" s="2" t="s">
        <v>59</v>
      </c>
      <c r="B4804" s="2" t="s">
        <v>1183</v>
      </c>
      <c r="C4804" s="2" t="s">
        <v>46690</v>
      </c>
      <c r="D4804" s="2" t="s">
        <v>46691</v>
      </c>
      <c r="E4804" s="2" t="s">
        <v>46692</v>
      </c>
      <c r="G4804" s="3" t="s">
        <v>64</v>
      </c>
      <c r="I4804" s="3" t="s">
        <v>64</v>
      </c>
      <c r="J4804" s="3" t="s">
        <v>64</v>
      </c>
      <c r="K4804" s="3" t="s">
        <v>65</v>
      </c>
      <c r="L4804" s="2" t="s">
        <v>46693</v>
      </c>
      <c r="M4804" s="2" t="s">
        <v>46694</v>
      </c>
      <c r="N4804" s="3" t="s">
        <v>291</v>
      </c>
      <c r="O4804" s="2" t="s">
        <v>1189</v>
      </c>
      <c r="P4804" s="3" t="s">
        <v>1190</v>
      </c>
      <c r="R4804" s="3" t="s">
        <v>70</v>
      </c>
      <c r="S4804" s="4">
        <v>4</v>
      </c>
      <c r="T4804" s="4">
        <v>4</v>
      </c>
      <c r="U4804" s="5" t="s">
        <v>8119</v>
      </c>
      <c r="V4804" s="5" t="s">
        <v>8119</v>
      </c>
      <c r="W4804" s="5" t="s">
        <v>72</v>
      </c>
      <c r="X4804" s="5" t="s">
        <v>72</v>
      </c>
      <c r="Y4804" s="4">
        <v>35</v>
      </c>
      <c r="Z4804" s="4">
        <v>4</v>
      </c>
      <c r="AA4804" s="4">
        <v>4</v>
      </c>
      <c r="AB4804" s="4">
        <v>1</v>
      </c>
      <c r="AC4804" s="4">
        <v>1</v>
      </c>
      <c r="AD4804" s="4">
        <v>24</v>
      </c>
      <c r="AE4804" s="4">
        <v>24</v>
      </c>
      <c r="AF4804" s="4">
        <v>0</v>
      </c>
      <c r="AG4804" s="4">
        <v>0</v>
      </c>
      <c r="AH4804" s="4">
        <v>23</v>
      </c>
      <c r="AI4804" s="4">
        <v>23</v>
      </c>
      <c r="AJ4804" s="4">
        <v>2</v>
      </c>
      <c r="AK4804" s="4">
        <v>2</v>
      </c>
      <c r="AL4804" s="4">
        <v>20</v>
      </c>
      <c r="AM4804" s="4">
        <v>20</v>
      </c>
      <c r="AN4804" s="4">
        <v>0</v>
      </c>
      <c r="AO4804" s="4">
        <v>0</v>
      </c>
      <c r="AP4804" s="4">
        <v>2</v>
      </c>
      <c r="AQ4804" s="4">
        <v>2</v>
      </c>
      <c r="AR4804" s="3" t="s">
        <v>64</v>
      </c>
      <c r="AS4804" s="3" t="s">
        <v>64</v>
      </c>
      <c r="AT4804" s="3" t="s">
        <v>64</v>
      </c>
      <c r="AV4804" s="6" t="str">
        <f>HYPERLINK("http://mcgill.on.worldcat.org/oclc/213375397","Catalog Record")</f>
        <v>Catalog Record</v>
      </c>
      <c r="AW4804" s="6" t="str">
        <f>HYPERLINK("http://www.worldcat.org/oclc/213375397","WorldCat Record")</f>
        <v>WorldCat Record</v>
      </c>
      <c r="AX4804" s="3" t="s">
        <v>46695</v>
      </c>
      <c r="AY4804" s="3" t="s">
        <v>46696</v>
      </c>
      <c r="AZ4804" s="3" t="s">
        <v>46697</v>
      </c>
      <c r="BA4804" s="3" t="s">
        <v>46697</v>
      </c>
      <c r="BB4804" s="3" t="s">
        <v>46698</v>
      </c>
      <c r="BC4804" s="3" t="s">
        <v>77</v>
      </c>
      <c r="BD4804" s="3" t="s">
        <v>78</v>
      </c>
      <c r="BE4804" s="3" t="s">
        <v>46699</v>
      </c>
      <c r="BF4804" s="3" t="s">
        <v>46698</v>
      </c>
      <c r="BG4804" s="3" t="s">
        <v>46700</v>
      </c>
      <c r="BH4804">
        <f t="shared" si="157"/>
        <v>0</v>
      </c>
    </row>
    <row r="4805" spans="1:60" ht="116" x14ac:dyDescent="0.35">
      <c r="A4805" s="2" t="s">
        <v>59</v>
      </c>
      <c r="B4805" s="2" t="s">
        <v>1183</v>
      </c>
      <c r="C4805" s="2" t="s">
        <v>46701</v>
      </c>
      <c r="D4805" s="2" t="s">
        <v>46702</v>
      </c>
      <c r="E4805" s="2" t="s">
        <v>46703</v>
      </c>
      <c r="F4805" s="3" t="s">
        <v>46704</v>
      </c>
      <c r="G4805" s="3" t="s">
        <v>128</v>
      </c>
      <c r="I4805" s="3" t="s">
        <v>64</v>
      </c>
      <c r="J4805" s="3" t="s">
        <v>64</v>
      </c>
      <c r="K4805" s="3" t="s">
        <v>65</v>
      </c>
      <c r="L4805" s="2" t="s">
        <v>46705</v>
      </c>
      <c r="M4805" s="2" t="s">
        <v>46706</v>
      </c>
      <c r="N4805" s="3" t="s">
        <v>4872</v>
      </c>
      <c r="P4805" s="3" t="s">
        <v>8739</v>
      </c>
      <c r="Q4805" s="2" t="s">
        <v>46707</v>
      </c>
      <c r="R4805" s="3" t="s">
        <v>70</v>
      </c>
      <c r="S4805" s="4">
        <v>3</v>
      </c>
      <c r="T4805" s="4">
        <v>3</v>
      </c>
      <c r="U4805" s="5" t="s">
        <v>14409</v>
      </c>
      <c r="V4805" s="5" t="s">
        <v>14409</v>
      </c>
      <c r="W4805" s="5" t="s">
        <v>72</v>
      </c>
      <c r="X4805" s="5" t="s">
        <v>72</v>
      </c>
      <c r="Y4805" s="4">
        <v>37</v>
      </c>
      <c r="Z4805" s="4">
        <v>7</v>
      </c>
      <c r="AA4805" s="4">
        <v>7</v>
      </c>
      <c r="AB4805" s="4">
        <v>1</v>
      </c>
      <c r="AC4805" s="4">
        <v>1</v>
      </c>
      <c r="AD4805" s="4">
        <v>26</v>
      </c>
      <c r="AE4805" s="4">
        <v>26</v>
      </c>
      <c r="AF4805" s="4">
        <v>0</v>
      </c>
      <c r="AG4805" s="4">
        <v>0</v>
      </c>
      <c r="AH4805" s="4">
        <v>23</v>
      </c>
      <c r="AI4805" s="4">
        <v>23</v>
      </c>
      <c r="AJ4805" s="4">
        <v>5</v>
      </c>
      <c r="AK4805" s="4">
        <v>5</v>
      </c>
      <c r="AL4805" s="4">
        <v>19</v>
      </c>
      <c r="AM4805" s="4">
        <v>19</v>
      </c>
      <c r="AN4805" s="4">
        <v>0</v>
      </c>
      <c r="AO4805" s="4">
        <v>0</v>
      </c>
      <c r="AP4805" s="4">
        <v>5</v>
      </c>
      <c r="AQ4805" s="4">
        <v>5</v>
      </c>
      <c r="AR4805" s="3" t="s">
        <v>64</v>
      </c>
      <c r="AS4805" s="3" t="s">
        <v>64</v>
      </c>
      <c r="AT4805" s="3" t="s">
        <v>128</v>
      </c>
      <c r="AU4805" s="6" t="str">
        <f>HYPERLINK("http://catalog.hathitrust.org/Record/007551197","HathiTrust Record")</f>
        <v>HathiTrust Record</v>
      </c>
      <c r="AV4805" s="6" t="str">
        <f>HYPERLINK("http://mcgill.on.worldcat.org/oclc/5165458","Catalog Record")</f>
        <v>Catalog Record</v>
      </c>
      <c r="AW4805" s="6" t="str">
        <f>HYPERLINK("http://www.worldcat.org/oclc/5165458","WorldCat Record")</f>
        <v>WorldCat Record</v>
      </c>
      <c r="AX4805" s="3" t="s">
        <v>46708</v>
      </c>
      <c r="AY4805" s="3" t="s">
        <v>46709</v>
      </c>
      <c r="AZ4805" s="3" t="s">
        <v>46710</v>
      </c>
      <c r="BA4805" s="3" t="s">
        <v>46710</v>
      </c>
      <c r="BB4805" s="3" t="s">
        <v>46711</v>
      </c>
      <c r="BC4805" s="3" t="s">
        <v>77</v>
      </c>
      <c r="BD4805" s="3" t="s">
        <v>78</v>
      </c>
      <c r="BF4805" s="3" t="s">
        <v>46711</v>
      </c>
      <c r="BG4805" s="3" t="s">
        <v>46712</v>
      </c>
      <c r="BH4805">
        <f t="shared" si="157"/>
        <v>0</v>
      </c>
    </row>
    <row r="4806" spans="1:60" ht="116" x14ac:dyDescent="0.35">
      <c r="A4806" s="2" t="s">
        <v>59</v>
      </c>
      <c r="B4806" s="2" t="s">
        <v>25844</v>
      </c>
      <c r="C4806" s="2" t="s">
        <v>46713</v>
      </c>
      <c r="D4806" s="2" t="s">
        <v>46714</v>
      </c>
      <c r="E4806" s="2" t="s">
        <v>46715</v>
      </c>
      <c r="F4806" s="3" t="s">
        <v>529</v>
      </c>
      <c r="G4806" s="3" t="s">
        <v>128</v>
      </c>
      <c r="I4806" s="3" t="s">
        <v>64</v>
      </c>
      <c r="J4806" s="3" t="s">
        <v>64</v>
      </c>
      <c r="K4806" s="3" t="s">
        <v>65</v>
      </c>
      <c r="L4806" s="2" t="s">
        <v>46716</v>
      </c>
      <c r="M4806" s="2" t="s">
        <v>46717</v>
      </c>
      <c r="N4806" s="3" t="s">
        <v>67</v>
      </c>
      <c r="O4806" s="2" t="s">
        <v>1189</v>
      </c>
      <c r="P4806" s="3" t="s">
        <v>1190</v>
      </c>
      <c r="Q4806" s="2" t="s">
        <v>46718</v>
      </c>
      <c r="R4806" s="3" t="s">
        <v>70</v>
      </c>
      <c r="S4806" s="4">
        <v>0</v>
      </c>
      <c r="T4806" s="4">
        <v>0</v>
      </c>
      <c r="W4806" s="5" t="s">
        <v>72</v>
      </c>
      <c r="X4806" s="5" t="s">
        <v>72</v>
      </c>
      <c r="Y4806" s="4">
        <v>42</v>
      </c>
      <c r="Z4806" s="4">
        <v>3</v>
      </c>
      <c r="AA4806" s="4">
        <v>3</v>
      </c>
      <c r="AB4806" s="4">
        <v>1</v>
      </c>
      <c r="AC4806" s="4">
        <v>1</v>
      </c>
      <c r="AD4806" s="4">
        <v>30</v>
      </c>
      <c r="AE4806" s="4">
        <v>30</v>
      </c>
      <c r="AF4806" s="4">
        <v>0</v>
      </c>
      <c r="AG4806" s="4">
        <v>0</v>
      </c>
      <c r="AH4806" s="4">
        <v>28</v>
      </c>
      <c r="AI4806" s="4">
        <v>28</v>
      </c>
      <c r="AJ4806" s="4">
        <v>1</v>
      </c>
      <c r="AK4806" s="4">
        <v>1</v>
      </c>
      <c r="AL4806" s="4">
        <v>28</v>
      </c>
      <c r="AM4806" s="4">
        <v>28</v>
      </c>
      <c r="AN4806" s="4">
        <v>0</v>
      </c>
      <c r="AO4806" s="4">
        <v>0</v>
      </c>
      <c r="AP4806" s="4">
        <v>1</v>
      </c>
      <c r="AQ4806" s="4">
        <v>1</v>
      </c>
      <c r="AR4806" s="3" t="s">
        <v>64</v>
      </c>
      <c r="AS4806" s="3" t="s">
        <v>64</v>
      </c>
      <c r="AT4806" s="3" t="s">
        <v>64</v>
      </c>
      <c r="AV4806" s="6" t="str">
        <f>HYPERLINK("http://mcgill.on.worldcat.org/oclc/870979501","Catalog Record")</f>
        <v>Catalog Record</v>
      </c>
      <c r="AW4806" s="6" t="str">
        <f>HYPERLINK("http://www.worldcat.org/oclc/870979501","WorldCat Record")</f>
        <v>WorldCat Record</v>
      </c>
      <c r="AX4806" s="3" t="s">
        <v>46719</v>
      </c>
      <c r="AY4806" s="3" t="s">
        <v>46720</v>
      </c>
      <c r="AZ4806" s="3" t="s">
        <v>46721</v>
      </c>
      <c r="BA4806" s="3" t="s">
        <v>46721</v>
      </c>
      <c r="BB4806" s="3" t="s">
        <v>46722</v>
      </c>
      <c r="BC4806" s="3" t="s">
        <v>77</v>
      </c>
      <c r="BD4806" s="3" t="s">
        <v>78</v>
      </c>
      <c r="BE4806" s="3" t="s">
        <v>46723</v>
      </c>
      <c r="BF4806" s="3" t="s">
        <v>46722</v>
      </c>
      <c r="BG4806" s="3" t="s">
        <v>46724</v>
      </c>
      <c r="BH4806">
        <f t="shared" si="157"/>
        <v>0</v>
      </c>
    </row>
    <row r="4807" spans="1:60" ht="116" x14ac:dyDescent="0.35">
      <c r="A4807" s="2" t="s">
        <v>59</v>
      </c>
      <c r="B4807" s="2" t="s">
        <v>25844</v>
      </c>
      <c r="C4807" s="2" t="s">
        <v>46713</v>
      </c>
      <c r="D4807" s="2" t="s">
        <v>46714</v>
      </c>
      <c r="E4807" s="2" t="s">
        <v>46715</v>
      </c>
      <c r="F4807" s="3" t="s">
        <v>525</v>
      </c>
      <c r="G4807" s="3" t="s">
        <v>128</v>
      </c>
      <c r="I4807" s="3" t="s">
        <v>64</v>
      </c>
      <c r="J4807" s="3" t="s">
        <v>64</v>
      </c>
      <c r="K4807" s="3" t="s">
        <v>65</v>
      </c>
      <c r="L4807" s="2" t="s">
        <v>46716</v>
      </c>
      <c r="M4807" s="2" t="s">
        <v>46717</v>
      </c>
      <c r="N4807" s="3" t="s">
        <v>67</v>
      </c>
      <c r="O4807" s="2" t="s">
        <v>1189</v>
      </c>
      <c r="P4807" s="3" t="s">
        <v>1190</v>
      </c>
      <c r="Q4807" s="2" t="s">
        <v>46718</v>
      </c>
      <c r="R4807" s="3" t="s">
        <v>70</v>
      </c>
      <c r="S4807" s="4">
        <v>0</v>
      </c>
      <c r="T4807" s="4">
        <v>0</v>
      </c>
      <c r="W4807" s="5" t="s">
        <v>72</v>
      </c>
      <c r="X4807" s="5" t="s">
        <v>72</v>
      </c>
      <c r="Y4807" s="4">
        <v>42</v>
      </c>
      <c r="Z4807" s="4">
        <v>3</v>
      </c>
      <c r="AA4807" s="4">
        <v>3</v>
      </c>
      <c r="AB4807" s="4">
        <v>1</v>
      </c>
      <c r="AC4807" s="4">
        <v>1</v>
      </c>
      <c r="AD4807" s="4">
        <v>30</v>
      </c>
      <c r="AE4807" s="4">
        <v>30</v>
      </c>
      <c r="AF4807" s="4">
        <v>0</v>
      </c>
      <c r="AG4807" s="4">
        <v>0</v>
      </c>
      <c r="AH4807" s="4">
        <v>28</v>
      </c>
      <c r="AI4807" s="4">
        <v>28</v>
      </c>
      <c r="AJ4807" s="4">
        <v>1</v>
      </c>
      <c r="AK4807" s="4">
        <v>1</v>
      </c>
      <c r="AL4807" s="4">
        <v>28</v>
      </c>
      <c r="AM4807" s="4">
        <v>28</v>
      </c>
      <c r="AN4807" s="4">
        <v>0</v>
      </c>
      <c r="AO4807" s="4">
        <v>0</v>
      </c>
      <c r="AP4807" s="4">
        <v>1</v>
      </c>
      <c r="AQ4807" s="4">
        <v>1</v>
      </c>
      <c r="AR4807" s="3" t="s">
        <v>64</v>
      </c>
      <c r="AS4807" s="3" t="s">
        <v>64</v>
      </c>
      <c r="AT4807" s="3" t="s">
        <v>64</v>
      </c>
      <c r="AV4807" s="6" t="str">
        <f>HYPERLINK("http://mcgill.on.worldcat.org/oclc/870979501","Catalog Record")</f>
        <v>Catalog Record</v>
      </c>
      <c r="AW4807" s="6" t="str">
        <f>HYPERLINK("http://www.worldcat.org/oclc/870979501","WorldCat Record")</f>
        <v>WorldCat Record</v>
      </c>
      <c r="AX4807" s="3" t="s">
        <v>46719</v>
      </c>
      <c r="AY4807" s="3" t="s">
        <v>46720</v>
      </c>
      <c r="AZ4807" s="3" t="s">
        <v>46721</v>
      </c>
      <c r="BA4807" s="3" t="s">
        <v>46721</v>
      </c>
      <c r="BB4807" s="3" t="s">
        <v>46725</v>
      </c>
      <c r="BC4807" s="3" t="s">
        <v>77</v>
      </c>
      <c r="BD4807" s="3" t="s">
        <v>78</v>
      </c>
      <c r="BE4807" s="3" t="s">
        <v>46723</v>
      </c>
      <c r="BF4807" s="3" t="s">
        <v>46725</v>
      </c>
      <c r="BG4807" s="3" t="s">
        <v>46726</v>
      </c>
      <c r="BH4807">
        <f t="shared" si="157"/>
        <v>0</v>
      </c>
    </row>
    <row r="4808" spans="1:60" ht="116" x14ac:dyDescent="0.35">
      <c r="A4808" s="2" t="s">
        <v>59</v>
      </c>
      <c r="B4808" s="2" t="s">
        <v>1183</v>
      </c>
      <c r="C4808" s="2" t="s">
        <v>46727</v>
      </c>
      <c r="D4808" s="2" t="s">
        <v>46728</v>
      </c>
      <c r="E4808" s="2" t="s">
        <v>46729</v>
      </c>
      <c r="G4808" s="3" t="s">
        <v>64</v>
      </c>
      <c r="I4808" s="3" t="s">
        <v>64</v>
      </c>
      <c r="J4808" s="3" t="s">
        <v>64</v>
      </c>
      <c r="K4808" s="3" t="s">
        <v>65</v>
      </c>
      <c r="L4808" s="2" t="s">
        <v>46730</v>
      </c>
      <c r="M4808" s="2" t="s">
        <v>46731</v>
      </c>
      <c r="N4808" s="3" t="s">
        <v>1087</v>
      </c>
      <c r="O4808" s="2" t="s">
        <v>11357</v>
      </c>
      <c r="P4808" s="3" t="s">
        <v>1190</v>
      </c>
      <c r="R4808" s="3" t="s">
        <v>70</v>
      </c>
      <c r="S4808" s="4">
        <v>1</v>
      </c>
      <c r="T4808" s="4">
        <v>1</v>
      </c>
      <c r="U4808" s="5" t="s">
        <v>35607</v>
      </c>
      <c r="V4808" s="5" t="s">
        <v>35607</v>
      </c>
      <c r="W4808" s="5" t="s">
        <v>72</v>
      </c>
      <c r="X4808" s="5" t="s">
        <v>72</v>
      </c>
      <c r="Y4808" s="4">
        <v>31</v>
      </c>
      <c r="Z4808" s="4">
        <v>2</v>
      </c>
      <c r="AA4808" s="4">
        <v>2</v>
      </c>
      <c r="AB4808" s="4">
        <v>1</v>
      </c>
      <c r="AC4808" s="4">
        <v>1</v>
      </c>
      <c r="AD4808" s="4">
        <v>18</v>
      </c>
      <c r="AE4808" s="4">
        <v>19</v>
      </c>
      <c r="AF4808" s="4">
        <v>0</v>
      </c>
      <c r="AG4808" s="4">
        <v>0</v>
      </c>
      <c r="AH4808" s="4">
        <v>17</v>
      </c>
      <c r="AI4808" s="4">
        <v>18</v>
      </c>
      <c r="AJ4808" s="4">
        <v>1</v>
      </c>
      <c r="AK4808" s="4">
        <v>1</v>
      </c>
      <c r="AL4808" s="4">
        <v>15</v>
      </c>
      <c r="AM4808" s="4">
        <v>16</v>
      </c>
      <c r="AN4808" s="4">
        <v>0</v>
      </c>
      <c r="AO4808" s="4">
        <v>0</v>
      </c>
      <c r="AP4808" s="4">
        <v>1</v>
      </c>
      <c r="AQ4808" s="4">
        <v>1</v>
      </c>
      <c r="AR4808" s="3" t="s">
        <v>64</v>
      </c>
      <c r="AS4808" s="3" t="s">
        <v>64</v>
      </c>
      <c r="AT4808" s="3" t="s">
        <v>64</v>
      </c>
      <c r="AV4808" s="6" t="str">
        <f>HYPERLINK("http://mcgill.on.worldcat.org/oclc/29752138","Catalog Record")</f>
        <v>Catalog Record</v>
      </c>
      <c r="AW4808" s="6" t="str">
        <f>HYPERLINK("http://www.worldcat.org/oclc/29752138","WorldCat Record")</f>
        <v>WorldCat Record</v>
      </c>
      <c r="AX4808" s="3" t="s">
        <v>46732</v>
      </c>
      <c r="AY4808" s="3" t="s">
        <v>46733</v>
      </c>
      <c r="AZ4808" s="3" t="s">
        <v>46734</v>
      </c>
      <c r="BA4808" s="3" t="s">
        <v>46734</v>
      </c>
      <c r="BB4808" s="3" t="s">
        <v>46735</v>
      </c>
      <c r="BC4808" s="3" t="s">
        <v>77</v>
      </c>
      <c r="BD4808" s="3" t="s">
        <v>78</v>
      </c>
      <c r="BE4808" s="3" t="s">
        <v>46736</v>
      </c>
      <c r="BF4808" s="3" t="s">
        <v>46735</v>
      </c>
      <c r="BG4808" s="3" t="s">
        <v>46737</v>
      </c>
      <c r="BH4808">
        <f t="shared" si="157"/>
        <v>0</v>
      </c>
    </row>
    <row r="4809" spans="1:60" ht="58" x14ac:dyDescent="0.35">
      <c r="A4809" s="2" t="s">
        <v>59</v>
      </c>
      <c r="B4809" s="2" t="s">
        <v>60</v>
      </c>
      <c r="C4809" s="2" t="s">
        <v>46738</v>
      </c>
      <c r="D4809" s="2" t="s">
        <v>46739</v>
      </c>
      <c r="E4809" s="2" t="s">
        <v>46740</v>
      </c>
      <c r="G4809" s="3" t="s">
        <v>64</v>
      </c>
      <c r="I4809" s="3" t="s">
        <v>64</v>
      </c>
      <c r="J4809" s="3" t="s">
        <v>64</v>
      </c>
      <c r="K4809" s="3" t="s">
        <v>65</v>
      </c>
      <c r="L4809" s="2" t="s">
        <v>46741</v>
      </c>
      <c r="M4809" s="2" t="s">
        <v>46742</v>
      </c>
      <c r="N4809" s="3" t="s">
        <v>1087</v>
      </c>
      <c r="P4809" s="3" t="s">
        <v>102</v>
      </c>
      <c r="Q4809" s="2" t="s">
        <v>46743</v>
      </c>
      <c r="R4809" s="3" t="s">
        <v>70</v>
      </c>
      <c r="S4809" s="4">
        <v>6</v>
      </c>
      <c r="T4809" s="4">
        <v>6</v>
      </c>
      <c r="U4809" s="5" t="s">
        <v>317</v>
      </c>
      <c r="V4809" s="5" t="s">
        <v>317</v>
      </c>
      <c r="W4809" s="5" t="s">
        <v>72</v>
      </c>
      <c r="X4809" s="5" t="s">
        <v>72</v>
      </c>
      <c r="Y4809" s="4">
        <v>243</v>
      </c>
      <c r="Z4809" s="4">
        <v>19</v>
      </c>
      <c r="AA4809" s="4">
        <v>19</v>
      </c>
      <c r="AB4809" s="4">
        <v>1</v>
      </c>
      <c r="AC4809" s="4">
        <v>1</v>
      </c>
      <c r="AD4809" s="4">
        <v>74</v>
      </c>
      <c r="AE4809" s="4">
        <v>74</v>
      </c>
      <c r="AF4809" s="4">
        <v>0</v>
      </c>
      <c r="AG4809" s="4">
        <v>0</v>
      </c>
      <c r="AH4809" s="4">
        <v>67</v>
      </c>
      <c r="AI4809" s="4">
        <v>67</v>
      </c>
      <c r="AJ4809" s="4">
        <v>11</v>
      </c>
      <c r="AK4809" s="4">
        <v>11</v>
      </c>
      <c r="AL4809" s="4">
        <v>43</v>
      </c>
      <c r="AM4809" s="4">
        <v>43</v>
      </c>
      <c r="AN4809" s="4">
        <v>0</v>
      </c>
      <c r="AO4809" s="4">
        <v>0</v>
      </c>
      <c r="AP4809" s="4">
        <v>12</v>
      </c>
      <c r="AQ4809" s="4">
        <v>12</v>
      </c>
      <c r="AR4809" s="3" t="s">
        <v>64</v>
      </c>
      <c r="AS4809" s="3" t="s">
        <v>64</v>
      </c>
      <c r="AT4809" s="3" t="s">
        <v>128</v>
      </c>
      <c r="AU4809" s="6" t="str">
        <f>HYPERLINK("http://catalog.hathitrust.org/Record/002534137","HathiTrust Record")</f>
        <v>HathiTrust Record</v>
      </c>
      <c r="AV4809" s="6" t="str">
        <f>HYPERLINK("http://mcgill.on.worldcat.org/oclc/24589773","Catalog Record")</f>
        <v>Catalog Record</v>
      </c>
      <c r="AW4809" s="6" t="str">
        <f>HYPERLINK("http://www.worldcat.org/oclc/24589773","WorldCat Record")</f>
        <v>WorldCat Record</v>
      </c>
      <c r="AX4809" s="3" t="s">
        <v>46744</v>
      </c>
      <c r="AY4809" s="3" t="s">
        <v>46745</v>
      </c>
      <c r="AZ4809" s="3" t="s">
        <v>46746</v>
      </c>
      <c r="BA4809" s="3" t="s">
        <v>46746</v>
      </c>
      <c r="BB4809" s="3" t="s">
        <v>46747</v>
      </c>
      <c r="BC4809" s="3" t="s">
        <v>77</v>
      </c>
      <c r="BD4809" s="3" t="s">
        <v>78</v>
      </c>
      <c r="BE4809" s="3" t="s">
        <v>46748</v>
      </c>
      <c r="BF4809" s="3" t="s">
        <v>46747</v>
      </c>
      <c r="BG4809" s="3" t="s">
        <v>46749</v>
      </c>
      <c r="BH4809">
        <f t="shared" si="157"/>
        <v>0</v>
      </c>
    </row>
    <row r="4810" spans="1:60" ht="58" x14ac:dyDescent="0.35">
      <c r="A4810" s="2" t="s">
        <v>1932</v>
      </c>
      <c r="B4810" s="2" t="s">
        <v>1933</v>
      </c>
      <c r="C4810" s="2" t="s">
        <v>46750</v>
      </c>
      <c r="D4810" s="2" t="s">
        <v>46751</v>
      </c>
      <c r="E4810" s="2" t="s">
        <v>46752</v>
      </c>
      <c r="G4810" s="3" t="s">
        <v>64</v>
      </c>
      <c r="I4810" s="3" t="s">
        <v>128</v>
      </c>
      <c r="J4810" s="3" t="s">
        <v>128</v>
      </c>
      <c r="K4810" s="3" t="s">
        <v>65</v>
      </c>
      <c r="L4810" s="2" t="s">
        <v>46753</v>
      </c>
      <c r="M4810" s="2" t="s">
        <v>46754</v>
      </c>
      <c r="N4810" s="3" t="s">
        <v>3761</v>
      </c>
      <c r="O4810" s="2" t="s">
        <v>46755</v>
      </c>
      <c r="P4810" s="3" t="s">
        <v>102</v>
      </c>
      <c r="R4810" s="3" t="s">
        <v>70</v>
      </c>
      <c r="S4810" s="4">
        <v>0</v>
      </c>
      <c r="T4810" s="4">
        <v>1</v>
      </c>
      <c r="V4810" s="5" t="s">
        <v>8655</v>
      </c>
      <c r="W4810" s="5" t="s">
        <v>72</v>
      </c>
      <c r="X4810" s="5" t="s">
        <v>72</v>
      </c>
      <c r="Y4810" s="4">
        <v>91</v>
      </c>
      <c r="Z4810" s="4">
        <v>8</v>
      </c>
      <c r="AA4810" s="4">
        <v>16</v>
      </c>
      <c r="AB4810" s="4">
        <v>1</v>
      </c>
      <c r="AC4810" s="4">
        <v>3</v>
      </c>
      <c r="AD4810" s="4">
        <v>43</v>
      </c>
      <c r="AE4810" s="4">
        <v>63</v>
      </c>
      <c r="AF4810" s="4">
        <v>0</v>
      </c>
      <c r="AG4810" s="4">
        <v>2</v>
      </c>
      <c r="AH4810" s="4">
        <v>36</v>
      </c>
      <c r="AI4810" s="4">
        <v>54</v>
      </c>
      <c r="AJ4810" s="4">
        <v>3</v>
      </c>
      <c r="AK4810" s="4">
        <v>9</v>
      </c>
      <c r="AL4810" s="4">
        <v>24</v>
      </c>
      <c r="AM4810" s="4">
        <v>35</v>
      </c>
      <c r="AN4810" s="4">
        <v>0</v>
      </c>
      <c r="AO4810" s="4">
        <v>0</v>
      </c>
      <c r="AP4810" s="4">
        <v>6</v>
      </c>
      <c r="AQ4810" s="4">
        <v>13</v>
      </c>
      <c r="AR4810" s="3" t="s">
        <v>64</v>
      </c>
      <c r="AS4810" s="3" t="s">
        <v>64</v>
      </c>
      <c r="AT4810" s="3" t="s">
        <v>128</v>
      </c>
      <c r="AU4810" s="6" t="str">
        <f>HYPERLINK("http://catalog.hathitrust.org/Record/005786776","HathiTrust Record")</f>
        <v>HathiTrust Record</v>
      </c>
      <c r="AV4810" s="6" t="str">
        <f>HYPERLINK("http://mcgill.on.worldcat.org/oclc/3088448","Catalog Record")</f>
        <v>Catalog Record</v>
      </c>
      <c r="AW4810" s="6" t="str">
        <f>HYPERLINK("http://www.worldcat.org/oclc/3088448","WorldCat Record")</f>
        <v>WorldCat Record</v>
      </c>
      <c r="AX4810" s="3" t="s">
        <v>46756</v>
      </c>
      <c r="AY4810" s="3" t="s">
        <v>46757</v>
      </c>
      <c r="AZ4810" s="3" t="s">
        <v>46758</v>
      </c>
      <c r="BA4810" s="3" t="s">
        <v>46758</v>
      </c>
      <c r="BB4810" s="3" t="s">
        <v>46759</v>
      </c>
      <c r="BC4810" s="3" t="s">
        <v>77</v>
      </c>
      <c r="BD4810" s="3" t="s">
        <v>78</v>
      </c>
      <c r="BF4810" s="3" t="s">
        <v>46759</v>
      </c>
      <c r="BG4810" s="3" t="s">
        <v>46760</v>
      </c>
      <c r="BH4810">
        <f t="shared" si="157"/>
        <v>0</v>
      </c>
    </row>
    <row r="4811" spans="1:60" ht="58" x14ac:dyDescent="0.35">
      <c r="A4811" s="2" t="s">
        <v>1932</v>
      </c>
      <c r="B4811" s="2" t="s">
        <v>1933</v>
      </c>
      <c r="C4811" s="2" t="s">
        <v>46750</v>
      </c>
      <c r="D4811" s="2" t="s">
        <v>46751</v>
      </c>
      <c r="E4811" s="2" t="s">
        <v>46752</v>
      </c>
      <c r="G4811" s="3" t="s">
        <v>64</v>
      </c>
      <c r="I4811" s="3" t="s">
        <v>128</v>
      </c>
      <c r="J4811" s="3" t="s">
        <v>128</v>
      </c>
      <c r="K4811" s="3" t="s">
        <v>65</v>
      </c>
      <c r="L4811" s="2" t="s">
        <v>46753</v>
      </c>
      <c r="M4811" s="2" t="s">
        <v>46754</v>
      </c>
      <c r="N4811" s="3" t="s">
        <v>3761</v>
      </c>
      <c r="O4811" s="2" t="s">
        <v>46755</v>
      </c>
      <c r="P4811" s="3" t="s">
        <v>102</v>
      </c>
      <c r="R4811" s="3" t="s">
        <v>70</v>
      </c>
      <c r="S4811" s="4">
        <v>1</v>
      </c>
      <c r="T4811" s="4">
        <v>1</v>
      </c>
      <c r="U4811" s="5" t="s">
        <v>8655</v>
      </c>
      <c r="V4811" s="5" t="s">
        <v>8655</v>
      </c>
      <c r="W4811" s="5" t="s">
        <v>72</v>
      </c>
      <c r="X4811" s="5" t="s">
        <v>72</v>
      </c>
      <c r="Y4811" s="4">
        <v>91</v>
      </c>
      <c r="Z4811" s="4">
        <v>8</v>
      </c>
      <c r="AA4811" s="4">
        <v>16</v>
      </c>
      <c r="AB4811" s="4">
        <v>1</v>
      </c>
      <c r="AC4811" s="4">
        <v>3</v>
      </c>
      <c r="AD4811" s="4">
        <v>43</v>
      </c>
      <c r="AE4811" s="4">
        <v>63</v>
      </c>
      <c r="AF4811" s="4">
        <v>0</v>
      </c>
      <c r="AG4811" s="4">
        <v>2</v>
      </c>
      <c r="AH4811" s="4">
        <v>36</v>
      </c>
      <c r="AI4811" s="4">
        <v>54</v>
      </c>
      <c r="AJ4811" s="4">
        <v>3</v>
      </c>
      <c r="AK4811" s="4">
        <v>9</v>
      </c>
      <c r="AL4811" s="4">
        <v>24</v>
      </c>
      <c r="AM4811" s="4">
        <v>35</v>
      </c>
      <c r="AN4811" s="4">
        <v>0</v>
      </c>
      <c r="AO4811" s="4">
        <v>0</v>
      </c>
      <c r="AP4811" s="4">
        <v>6</v>
      </c>
      <c r="AQ4811" s="4">
        <v>13</v>
      </c>
      <c r="AR4811" s="3" t="s">
        <v>64</v>
      </c>
      <c r="AS4811" s="3" t="s">
        <v>64</v>
      </c>
      <c r="AT4811" s="3" t="s">
        <v>128</v>
      </c>
      <c r="AU4811" s="6" t="str">
        <f>HYPERLINK("http://catalog.hathitrust.org/Record/005786776","HathiTrust Record")</f>
        <v>HathiTrust Record</v>
      </c>
      <c r="AV4811" s="6" t="str">
        <f>HYPERLINK("http://mcgill.on.worldcat.org/oclc/3088448","Catalog Record")</f>
        <v>Catalog Record</v>
      </c>
      <c r="AW4811" s="6" t="str">
        <f>HYPERLINK("http://www.worldcat.org/oclc/3088448","WorldCat Record")</f>
        <v>WorldCat Record</v>
      </c>
      <c r="AX4811" s="3" t="s">
        <v>46756</v>
      </c>
      <c r="AY4811" s="3" t="s">
        <v>46757</v>
      </c>
      <c r="AZ4811" s="3" t="s">
        <v>46758</v>
      </c>
      <c r="BA4811" s="3" t="s">
        <v>46758</v>
      </c>
      <c r="BB4811" s="3" t="s">
        <v>46761</v>
      </c>
      <c r="BC4811" s="3" t="s">
        <v>77</v>
      </c>
      <c r="BD4811" s="3" t="s">
        <v>78</v>
      </c>
      <c r="BF4811" s="3" t="s">
        <v>46761</v>
      </c>
      <c r="BG4811" s="3" t="s">
        <v>46762</v>
      </c>
      <c r="BH4811">
        <f t="shared" si="157"/>
        <v>0</v>
      </c>
    </row>
    <row r="4812" spans="1:60" ht="87" x14ac:dyDescent="0.35">
      <c r="A4812" s="2" t="s">
        <v>1932</v>
      </c>
      <c r="B4812" s="2" t="s">
        <v>1933</v>
      </c>
      <c r="C4812" s="2" t="s">
        <v>46763</v>
      </c>
      <c r="D4812" s="2" t="s">
        <v>46764</v>
      </c>
      <c r="E4812" s="2" t="s">
        <v>46765</v>
      </c>
      <c r="G4812" s="3" t="s">
        <v>64</v>
      </c>
      <c r="I4812" s="3" t="s">
        <v>64</v>
      </c>
      <c r="J4812" s="3" t="s">
        <v>64</v>
      </c>
      <c r="K4812" s="3" t="s">
        <v>65</v>
      </c>
      <c r="L4812" s="2" t="s">
        <v>46766</v>
      </c>
      <c r="M4812" s="2" t="s">
        <v>46767</v>
      </c>
      <c r="N4812" s="3" t="s">
        <v>4872</v>
      </c>
      <c r="P4812" s="3" t="s">
        <v>102</v>
      </c>
      <c r="Q4812" s="2" t="s">
        <v>46768</v>
      </c>
      <c r="R4812" s="3" t="s">
        <v>70</v>
      </c>
      <c r="S4812" s="4">
        <v>3</v>
      </c>
      <c r="T4812" s="4">
        <v>3</v>
      </c>
      <c r="U4812" s="5" t="s">
        <v>15128</v>
      </c>
      <c r="V4812" s="5" t="s">
        <v>15128</v>
      </c>
      <c r="W4812" s="5" t="s">
        <v>72</v>
      </c>
      <c r="X4812" s="5" t="s">
        <v>72</v>
      </c>
      <c r="Y4812" s="4">
        <v>246</v>
      </c>
      <c r="Z4812" s="4">
        <v>13</v>
      </c>
      <c r="AA4812" s="4">
        <v>16</v>
      </c>
      <c r="AB4812" s="4">
        <v>1</v>
      </c>
      <c r="AC4812" s="4">
        <v>2</v>
      </c>
      <c r="AD4812" s="4">
        <v>84</v>
      </c>
      <c r="AE4812" s="4">
        <v>87</v>
      </c>
      <c r="AF4812" s="4">
        <v>0</v>
      </c>
      <c r="AG4812" s="4">
        <v>1</v>
      </c>
      <c r="AH4812" s="4">
        <v>74</v>
      </c>
      <c r="AI4812" s="4">
        <v>76</v>
      </c>
      <c r="AJ4812" s="4">
        <v>8</v>
      </c>
      <c r="AK4812" s="4">
        <v>10</v>
      </c>
      <c r="AL4812" s="4">
        <v>43</v>
      </c>
      <c r="AM4812" s="4">
        <v>43</v>
      </c>
      <c r="AN4812" s="4">
        <v>0</v>
      </c>
      <c r="AO4812" s="4">
        <v>0</v>
      </c>
      <c r="AP4812" s="4">
        <v>10</v>
      </c>
      <c r="AQ4812" s="4">
        <v>13</v>
      </c>
      <c r="AR4812" s="3" t="s">
        <v>64</v>
      </c>
      <c r="AS4812" s="3" t="s">
        <v>64</v>
      </c>
      <c r="AT4812" s="3" t="s">
        <v>128</v>
      </c>
      <c r="AU4812" s="6" t="str">
        <f>HYPERLINK("http://catalog.hathitrust.org/Record/001192954","HathiTrust Record")</f>
        <v>HathiTrust Record</v>
      </c>
      <c r="AV4812" s="6" t="str">
        <f>HYPERLINK("http://mcgill.on.worldcat.org/oclc/580852","Catalog Record")</f>
        <v>Catalog Record</v>
      </c>
      <c r="AW4812" s="6" t="str">
        <f>HYPERLINK("http://www.worldcat.org/oclc/580852","WorldCat Record")</f>
        <v>WorldCat Record</v>
      </c>
      <c r="AX4812" s="3" t="s">
        <v>46769</v>
      </c>
      <c r="AY4812" s="3" t="s">
        <v>46770</v>
      </c>
      <c r="AZ4812" s="3" t="s">
        <v>46771</v>
      </c>
      <c r="BA4812" s="3" t="s">
        <v>46771</v>
      </c>
      <c r="BB4812" s="3" t="s">
        <v>46772</v>
      </c>
      <c r="BC4812" s="3" t="s">
        <v>77</v>
      </c>
      <c r="BD4812" s="3" t="s">
        <v>78</v>
      </c>
      <c r="BF4812" s="3" t="s">
        <v>46772</v>
      </c>
      <c r="BG4812" s="3" t="s">
        <v>46773</v>
      </c>
      <c r="BH4812">
        <f t="shared" si="157"/>
        <v>0</v>
      </c>
    </row>
    <row r="4813" spans="1:60" ht="72.5" x14ac:dyDescent="0.35">
      <c r="A4813" s="2" t="s">
        <v>59</v>
      </c>
      <c r="B4813" s="2" t="s">
        <v>1025</v>
      </c>
      <c r="C4813" s="2" t="s">
        <v>46774</v>
      </c>
      <c r="D4813" s="2" t="s">
        <v>46775</v>
      </c>
      <c r="E4813" s="2" t="s">
        <v>46776</v>
      </c>
      <c r="G4813" s="3" t="s">
        <v>64</v>
      </c>
      <c r="I4813" s="3" t="s">
        <v>64</v>
      </c>
      <c r="J4813" s="3" t="s">
        <v>64</v>
      </c>
      <c r="K4813" s="3" t="s">
        <v>65</v>
      </c>
      <c r="L4813" s="2" t="s">
        <v>46777</v>
      </c>
      <c r="M4813" s="2" t="s">
        <v>46778</v>
      </c>
      <c r="N4813" s="3" t="s">
        <v>253</v>
      </c>
      <c r="P4813" s="3" t="s">
        <v>102</v>
      </c>
      <c r="R4813" s="3" t="s">
        <v>70</v>
      </c>
      <c r="S4813" s="4">
        <v>1</v>
      </c>
      <c r="T4813" s="4">
        <v>1</v>
      </c>
      <c r="U4813" s="5" t="s">
        <v>7177</v>
      </c>
      <c r="V4813" s="5" t="s">
        <v>7177</v>
      </c>
      <c r="W4813" s="5" t="s">
        <v>72</v>
      </c>
      <c r="X4813" s="5" t="s">
        <v>72</v>
      </c>
      <c r="Y4813" s="4">
        <v>70</v>
      </c>
      <c r="Z4813" s="4">
        <v>4</v>
      </c>
      <c r="AA4813" s="4">
        <v>6</v>
      </c>
      <c r="AB4813" s="4">
        <v>1</v>
      </c>
      <c r="AC4813" s="4">
        <v>3</v>
      </c>
      <c r="AD4813" s="4">
        <v>26</v>
      </c>
      <c r="AE4813" s="4">
        <v>29</v>
      </c>
      <c r="AF4813" s="4">
        <v>0</v>
      </c>
      <c r="AG4813" s="4">
        <v>0</v>
      </c>
      <c r="AH4813" s="4">
        <v>26</v>
      </c>
      <c r="AI4813" s="4">
        <v>29</v>
      </c>
      <c r="AJ4813" s="4">
        <v>1</v>
      </c>
      <c r="AK4813" s="4">
        <v>1</v>
      </c>
      <c r="AL4813" s="4">
        <v>22</v>
      </c>
      <c r="AM4813" s="4">
        <v>23</v>
      </c>
      <c r="AN4813" s="4">
        <v>0</v>
      </c>
      <c r="AO4813" s="4">
        <v>0</v>
      </c>
      <c r="AP4813" s="4">
        <v>1</v>
      </c>
      <c r="AQ4813" s="4">
        <v>1</v>
      </c>
      <c r="AR4813" s="3" t="s">
        <v>64</v>
      </c>
      <c r="AS4813" s="3" t="s">
        <v>64</v>
      </c>
      <c r="AT4813" s="3" t="s">
        <v>64</v>
      </c>
      <c r="AV4813" s="6" t="str">
        <f>HYPERLINK("http://mcgill.on.worldcat.org/oclc/903436669","Catalog Record")</f>
        <v>Catalog Record</v>
      </c>
      <c r="AW4813" s="6" t="str">
        <f>HYPERLINK("http://www.worldcat.org/oclc/903436669","WorldCat Record")</f>
        <v>WorldCat Record</v>
      </c>
      <c r="AX4813" s="3" t="s">
        <v>46779</v>
      </c>
      <c r="AY4813" s="3" t="s">
        <v>46780</v>
      </c>
      <c r="AZ4813" s="3" t="s">
        <v>46781</v>
      </c>
      <c r="BA4813" s="3" t="s">
        <v>46781</v>
      </c>
      <c r="BB4813" s="3" t="s">
        <v>46782</v>
      </c>
      <c r="BC4813" s="3" t="s">
        <v>77</v>
      </c>
      <c r="BD4813" s="3" t="s">
        <v>78</v>
      </c>
      <c r="BE4813" s="3" t="s">
        <v>46783</v>
      </c>
      <c r="BF4813" s="3" t="s">
        <v>46782</v>
      </c>
      <c r="BG4813" s="3" t="s">
        <v>46784</v>
      </c>
      <c r="BH4813">
        <f t="shared" si="157"/>
        <v>0</v>
      </c>
    </row>
    <row r="4814" spans="1:60" ht="58" x14ac:dyDescent="0.35">
      <c r="A4814" s="2" t="s">
        <v>6202</v>
      </c>
      <c r="B4814" s="2" t="s">
        <v>6203</v>
      </c>
      <c r="C4814" s="2" t="s">
        <v>46785</v>
      </c>
      <c r="D4814" s="2" t="s">
        <v>46786</v>
      </c>
      <c r="E4814" s="2" t="s">
        <v>46787</v>
      </c>
      <c r="G4814" s="3" t="s">
        <v>64</v>
      </c>
      <c r="I4814" s="3" t="s">
        <v>128</v>
      </c>
      <c r="J4814" s="3" t="s">
        <v>64</v>
      </c>
      <c r="K4814" s="3" t="s">
        <v>65</v>
      </c>
      <c r="L4814" s="2" t="s">
        <v>46788</v>
      </c>
      <c r="M4814" s="2" t="s">
        <v>46789</v>
      </c>
      <c r="N4814" s="3" t="s">
        <v>498</v>
      </c>
      <c r="P4814" s="3" t="s">
        <v>102</v>
      </c>
      <c r="R4814" s="3" t="s">
        <v>70</v>
      </c>
      <c r="S4814" s="4">
        <v>0</v>
      </c>
      <c r="T4814" s="4">
        <v>1</v>
      </c>
      <c r="V4814" s="5" t="s">
        <v>1655</v>
      </c>
      <c r="W4814" s="5" t="s">
        <v>72</v>
      </c>
      <c r="X4814" s="5" t="s">
        <v>72</v>
      </c>
      <c r="Y4814" s="4">
        <v>623</v>
      </c>
      <c r="Z4814" s="4">
        <v>37</v>
      </c>
      <c r="AA4814" s="4">
        <v>43</v>
      </c>
      <c r="AB4814" s="4">
        <v>1</v>
      </c>
      <c r="AC4814" s="4">
        <v>3</v>
      </c>
      <c r="AD4814" s="4">
        <v>113</v>
      </c>
      <c r="AE4814" s="4">
        <v>119</v>
      </c>
      <c r="AF4814" s="4">
        <v>0</v>
      </c>
      <c r="AG4814" s="4">
        <v>2</v>
      </c>
      <c r="AH4814" s="4">
        <v>92</v>
      </c>
      <c r="AI4814" s="4">
        <v>94</v>
      </c>
      <c r="AJ4814" s="4">
        <v>12</v>
      </c>
      <c r="AK4814" s="4">
        <v>18</v>
      </c>
      <c r="AL4814" s="4">
        <v>52</v>
      </c>
      <c r="AM4814" s="4">
        <v>52</v>
      </c>
      <c r="AN4814" s="4">
        <v>0</v>
      </c>
      <c r="AO4814" s="4">
        <v>0</v>
      </c>
      <c r="AP4814" s="4">
        <v>23</v>
      </c>
      <c r="AQ4814" s="4">
        <v>28</v>
      </c>
      <c r="AR4814" s="3" t="s">
        <v>64</v>
      </c>
      <c r="AS4814" s="3" t="s">
        <v>64</v>
      </c>
      <c r="AT4814" s="3" t="s">
        <v>128</v>
      </c>
      <c r="AU4814" s="6" t="str">
        <f>HYPERLINK("http://catalog.hathitrust.org/Record/000227582","HathiTrust Record")</f>
        <v>HathiTrust Record</v>
      </c>
      <c r="AV4814" s="6" t="str">
        <f>HYPERLINK("http://mcgill.on.worldcat.org/oclc/1050797","Catalog Record")</f>
        <v>Catalog Record</v>
      </c>
      <c r="AW4814" s="6" t="str">
        <f>HYPERLINK("http://www.worldcat.org/oclc/1050797","WorldCat Record")</f>
        <v>WorldCat Record</v>
      </c>
      <c r="AX4814" s="3" t="s">
        <v>46790</v>
      </c>
      <c r="AY4814" s="3" t="s">
        <v>46791</v>
      </c>
      <c r="AZ4814" s="3" t="s">
        <v>46792</v>
      </c>
      <c r="BA4814" s="3" t="s">
        <v>46792</v>
      </c>
      <c r="BB4814" s="3" t="s">
        <v>46793</v>
      </c>
      <c r="BC4814" s="3" t="s">
        <v>77</v>
      </c>
      <c r="BD4814" s="3" t="s">
        <v>78</v>
      </c>
      <c r="BE4814" s="3" t="s">
        <v>46794</v>
      </c>
      <c r="BF4814" s="3" t="s">
        <v>46793</v>
      </c>
      <c r="BG4814" s="3" t="s">
        <v>46795</v>
      </c>
      <c r="BH4814">
        <f t="shared" si="157"/>
        <v>0</v>
      </c>
    </row>
    <row r="4815" spans="1:60" ht="58" x14ac:dyDescent="0.35">
      <c r="A4815" s="2" t="s">
        <v>6202</v>
      </c>
      <c r="B4815" s="2" t="s">
        <v>6203</v>
      </c>
      <c r="C4815" s="2" t="s">
        <v>46796</v>
      </c>
      <c r="D4815" s="2" t="s">
        <v>46797</v>
      </c>
      <c r="E4815" s="2" t="s">
        <v>46798</v>
      </c>
      <c r="G4815" s="3" t="s">
        <v>64</v>
      </c>
      <c r="I4815" s="3" t="s">
        <v>64</v>
      </c>
      <c r="J4815" s="3" t="s">
        <v>64</v>
      </c>
      <c r="K4815" s="3" t="s">
        <v>65</v>
      </c>
      <c r="L4815" s="2" t="s">
        <v>46799</v>
      </c>
      <c r="M4815" s="2" t="s">
        <v>46800</v>
      </c>
      <c r="N4815" s="3" t="s">
        <v>1004</v>
      </c>
      <c r="P4815" s="3" t="s">
        <v>102</v>
      </c>
      <c r="Q4815" s="2" t="s">
        <v>46801</v>
      </c>
      <c r="R4815" s="3" t="s">
        <v>70</v>
      </c>
      <c r="S4815" s="4">
        <v>4</v>
      </c>
      <c r="T4815" s="4">
        <v>4</v>
      </c>
      <c r="U4815" s="5" t="s">
        <v>18743</v>
      </c>
      <c r="V4815" s="5" t="s">
        <v>18743</v>
      </c>
      <c r="W4815" s="5" t="s">
        <v>72</v>
      </c>
      <c r="X4815" s="5" t="s">
        <v>72</v>
      </c>
      <c r="Y4815" s="4">
        <v>215</v>
      </c>
      <c r="Z4815" s="4">
        <v>17</v>
      </c>
      <c r="AA4815" s="4">
        <v>18</v>
      </c>
      <c r="AB4815" s="4">
        <v>1</v>
      </c>
      <c r="AC4815" s="4">
        <v>1</v>
      </c>
      <c r="AD4815" s="4">
        <v>68</v>
      </c>
      <c r="AE4815" s="4">
        <v>69</v>
      </c>
      <c r="AF4815" s="4">
        <v>0</v>
      </c>
      <c r="AG4815" s="4">
        <v>0</v>
      </c>
      <c r="AH4815" s="4">
        <v>61</v>
      </c>
      <c r="AI4815" s="4">
        <v>62</v>
      </c>
      <c r="AJ4815" s="4">
        <v>8</v>
      </c>
      <c r="AK4815" s="4">
        <v>9</v>
      </c>
      <c r="AL4815" s="4">
        <v>39</v>
      </c>
      <c r="AM4815" s="4">
        <v>39</v>
      </c>
      <c r="AN4815" s="4">
        <v>0</v>
      </c>
      <c r="AO4815" s="4">
        <v>0</v>
      </c>
      <c r="AP4815" s="4">
        <v>10</v>
      </c>
      <c r="AQ4815" s="4">
        <v>11</v>
      </c>
      <c r="AR4815" s="3" t="s">
        <v>64</v>
      </c>
      <c r="AS4815" s="3" t="s">
        <v>64</v>
      </c>
      <c r="AT4815" s="3" t="s">
        <v>64</v>
      </c>
      <c r="AV4815" s="6" t="str">
        <f>HYPERLINK("http://mcgill.on.worldcat.org/oclc/9981380","Catalog Record")</f>
        <v>Catalog Record</v>
      </c>
      <c r="AW4815" s="6" t="str">
        <f>HYPERLINK("http://www.worldcat.org/oclc/9981380","WorldCat Record")</f>
        <v>WorldCat Record</v>
      </c>
      <c r="AX4815" s="3" t="s">
        <v>46802</v>
      </c>
      <c r="AY4815" s="3" t="s">
        <v>46803</v>
      </c>
      <c r="AZ4815" s="3" t="s">
        <v>46804</v>
      </c>
      <c r="BA4815" s="3" t="s">
        <v>46804</v>
      </c>
      <c r="BB4815" s="3" t="s">
        <v>46805</v>
      </c>
      <c r="BC4815" s="3" t="s">
        <v>77</v>
      </c>
      <c r="BD4815" s="3" t="s">
        <v>40037</v>
      </c>
      <c r="BF4815" s="3" t="s">
        <v>46805</v>
      </c>
      <c r="BG4815" s="3" t="s">
        <v>46806</v>
      </c>
      <c r="BH4815">
        <f t="shared" si="157"/>
        <v>0</v>
      </c>
    </row>
    <row r="4816" spans="1:60" ht="58" x14ac:dyDescent="0.35">
      <c r="A4816" s="2" t="s">
        <v>6202</v>
      </c>
      <c r="B4816" s="2" t="s">
        <v>6203</v>
      </c>
      <c r="C4816" s="2" t="s">
        <v>46807</v>
      </c>
      <c r="D4816" s="2" t="s">
        <v>46808</v>
      </c>
      <c r="E4816" s="2" t="s">
        <v>46809</v>
      </c>
      <c r="G4816" s="3" t="s">
        <v>64</v>
      </c>
      <c r="I4816" s="3" t="s">
        <v>64</v>
      </c>
      <c r="J4816" s="3" t="s">
        <v>64</v>
      </c>
      <c r="K4816" s="3" t="s">
        <v>65</v>
      </c>
      <c r="L4816" s="2" t="s">
        <v>46810</v>
      </c>
      <c r="M4816" s="2" t="s">
        <v>14033</v>
      </c>
      <c r="N4816" s="3" t="s">
        <v>434</v>
      </c>
      <c r="P4816" s="3" t="s">
        <v>102</v>
      </c>
      <c r="R4816" s="3" t="s">
        <v>70</v>
      </c>
      <c r="S4816" s="4">
        <v>3</v>
      </c>
      <c r="T4816" s="4">
        <v>3</v>
      </c>
      <c r="U4816" s="5" t="s">
        <v>44727</v>
      </c>
      <c r="V4816" s="5" t="s">
        <v>44727</v>
      </c>
      <c r="W4816" s="5" t="s">
        <v>72</v>
      </c>
      <c r="X4816" s="5" t="s">
        <v>72</v>
      </c>
      <c r="Y4816" s="4">
        <v>226</v>
      </c>
      <c r="Z4816" s="4">
        <v>21</v>
      </c>
      <c r="AA4816" s="4">
        <v>23</v>
      </c>
      <c r="AB4816" s="4">
        <v>2</v>
      </c>
      <c r="AC4816" s="4">
        <v>4</v>
      </c>
      <c r="AD4816" s="4">
        <v>88</v>
      </c>
      <c r="AE4816" s="4">
        <v>90</v>
      </c>
      <c r="AF4816" s="4">
        <v>1</v>
      </c>
      <c r="AG4816" s="4">
        <v>3</v>
      </c>
      <c r="AH4816" s="4">
        <v>78</v>
      </c>
      <c r="AI4816" s="4">
        <v>79</v>
      </c>
      <c r="AJ4816" s="4">
        <v>10</v>
      </c>
      <c r="AK4816" s="4">
        <v>12</v>
      </c>
      <c r="AL4816" s="4">
        <v>43</v>
      </c>
      <c r="AM4816" s="4">
        <v>43</v>
      </c>
      <c r="AN4816" s="4">
        <v>0</v>
      </c>
      <c r="AO4816" s="4">
        <v>0</v>
      </c>
      <c r="AP4816" s="4">
        <v>15</v>
      </c>
      <c r="AQ4816" s="4">
        <v>16</v>
      </c>
      <c r="AR4816" s="3" t="s">
        <v>64</v>
      </c>
      <c r="AS4816" s="3" t="s">
        <v>64</v>
      </c>
      <c r="AT4816" s="3" t="s">
        <v>128</v>
      </c>
      <c r="AU4816" s="6" t="str">
        <f>HYPERLINK("http://catalog.hathitrust.org/Record/004955148","HathiTrust Record")</f>
        <v>HathiTrust Record</v>
      </c>
      <c r="AV4816" s="6" t="str">
        <f>HYPERLINK("http://mcgill.on.worldcat.org/oclc/56111784","Catalog Record")</f>
        <v>Catalog Record</v>
      </c>
      <c r="AW4816" s="6" t="str">
        <f>HYPERLINK("http://www.worldcat.org/oclc/56111784","WorldCat Record")</f>
        <v>WorldCat Record</v>
      </c>
      <c r="AX4816" s="3" t="s">
        <v>46811</v>
      </c>
      <c r="AY4816" s="3" t="s">
        <v>46812</v>
      </c>
      <c r="AZ4816" s="3" t="s">
        <v>46813</v>
      </c>
      <c r="BA4816" s="3" t="s">
        <v>46813</v>
      </c>
      <c r="BB4816" s="3" t="s">
        <v>46814</v>
      </c>
      <c r="BC4816" s="3" t="s">
        <v>77</v>
      </c>
      <c r="BD4816" s="3" t="s">
        <v>78</v>
      </c>
      <c r="BE4816" s="3" t="s">
        <v>46815</v>
      </c>
      <c r="BF4816" s="3" t="s">
        <v>46814</v>
      </c>
      <c r="BG4816" s="3" t="s">
        <v>46816</v>
      </c>
      <c r="BH4816">
        <f t="shared" si="157"/>
        <v>0</v>
      </c>
    </row>
    <row r="4817" spans="1:60" ht="58" x14ac:dyDescent="0.35">
      <c r="A4817" s="2" t="s">
        <v>59</v>
      </c>
      <c r="B4817" s="2" t="s">
        <v>60</v>
      </c>
      <c r="C4817" s="2" t="s">
        <v>46817</v>
      </c>
      <c r="D4817" s="2" t="s">
        <v>46818</v>
      </c>
      <c r="E4817" s="2" t="s">
        <v>46819</v>
      </c>
      <c r="G4817" s="3" t="s">
        <v>64</v>
      </c>
      <c r="I4817" s="3" t="s">
        <v>64</v>
      </c>
      <c r="J4817" s="3" t="s">
        <v>64</v>
      </c>
      <c r="K4817" s="3" t="s">
        <v>65</v>
      </c>
      <c r="L4817" s="2" t="s">
        <v>46820</v>
      </c>
      <c r="M4817" s="2" t="s">
        <v>46821</v>
      </c>
      <c r="N4817" s="3" t="s">
        <v>5609</v>
      </c>
      <c r="P4817" s="3" t="s">
        <v>102</v>
      </c>
      <c r="Q4817" s="2" t="s">
        <v>46822</v>
      </c>
      <c r="R4817" s="3" t="s">
        <v>70</v>
      </c>
      <c r="S4817" s="4">
        <v>10</v>
      </c>
      <c r="T4817" s="4">
        <v>10</v>
      </c>
      <c r="U4817" s="5" t="s">
        <v>46823</v>
      </c>
      <c r="V4817" s="5" t="s">
        <v>46823</v>
      </c>
      <c r="W4817" s="5" t="s">
        <v>72</v>
      </c>
      <c r="X4817" s="5" t="s">
        <v>72</v>
      </c>
      <c r="Y4817" s="4">
        <v>216</v>
      </c>
      <c r="Z4817" s="4">
        <v>12</v>
      </c>
      <c r="AA4817" s="4">
        <v>31</v>
      </c>
      <c r="AB4817" s="4">
        <v>1</v>
      </c>
      <c r="AC4817" s="4">
        <v>3</v>
      </c>
      <c r="AD4817" s="4">
        <v>76</v>
      </c>
      <c r="AE4817" s="4">
        <v>116</v>
      </c>
      <c r="AF4817" s="4">
        <v>0</v>
      </c>
      <c r="AG4817" s="4">
        <v>1</v>
      </c>
      <c r="AH4817" s="4">
        <v>71</v>
      </c>
      <c r="AI4817" s="4">
        <v>101</v>
      </c>
      <c r="AJ4817" s="4">
        <v>8</v>
      </c>
      <c r="AK4817" s="4">
        <v>17</v>
      </c>
      <c r="AL4817" s="4">
        <v>46</v>
      </c>
      <c r="AM4817" s="4">
        <v>55</v>
      </c>
      <c r="AN4817" s="4">
        <v>0</v>
      </c>
      <c r="AO4817" s="4">
        <v>0</v>
      </c>
      <c r="AP4817" s="4">
        <v>8</v>
      </c>
      <c r="AQ4817" s="4">
        <v>23</v>
      </c>
      <c r="AR4817" s="3" t="s">
        <v>64</v>
      </c>
      <c r="AS4817" s="3" t="s">
        <v>128</v>
      </c>
      <c r="AT4817" s="3" t="s">
        <v>64</v>
      </c>
      <c r="AU4817" s="6" t="str">
        <f>HYPERLINK("http://catalog.hathitrust.org/Record/001668261","HathiTrust Record")</f>
        <v>HathiTrust Record</v>
      </c>
      <c r="AV4817" s="6" t="str">
        <f>HYPERLINK("http://mcgill.on.worldcat.org/oclc/1879677","Catalog Record")</f>
        <v>Catalog Record</v>
      </c>
      <c r="AW4817" s="6" t="str">
        <f>HYPERLINK("http://www.worldcat.org/oclc/1879677","WorldCat Record")</f>
        <v>WorldCat Record</v>
      </c>
      <c r="AX4817" s="3" t="s">
        <v>46824</v>
      </c>
      <c r="AY4817" s="3" t="s">
        <v>46825</v>
      </c>
      <c r="AZ4817" s="3" t="s">
        <v>46826</v>
      </c>
      <c r="BA4817" s="3" t="s">
        <v>46826</v>
      </c>
      <c r="BB4817" s="3" t="s">
        <v>46827</v>
      </c>
      <c r="BC4817" s="3" t="s">
        <v>77</v>
      </c>
      <c r="BD4817" s="3" t="s">
        <v>78</v>
      </c>
      <c r="BF4817" s="3" t="s">
        <v>46827</v>
      </c>
      <c r="BG4817" s="3" t="s">
        <v>46828</v>
      </c>
      <c r="BH4817">
        <f t="shared" si="157"/>
        <v>0</v>
      </c>
    </row>
    <row r="4818" spans="1:60" ht="58" x14ac:dyDescent="0.35">
      <c r="A4818" s="2" t="s">
        <v>59</v>
      </c>
      <c r="B4818" s="2" t="s">
        <v>7607</v>
      </c>
      <c r="C4818" s="2" t="s">
        <v>46829</v>
      </c>
      <c r="D4818" s="2" t="s">
        <v>46830</v>
      </c>
      <c r="E4818" s="2" t="s">
        <v>46831</v>
      </c>
      <c r="G4818" s="3" t="s">
        <v>64</v>
      </c>
      <c r="I4818" s="3" t="s">
        <v>64</v>
      </c>
      <c r="J4818" s="3" t="s">
        <v>64</v>
      </c>
      <c r="K4818" s="3" t="s">
        <v>65</v>
      </c>
      <c r="L4818" s="2" t="s">
        <v>46832</v>
      </c>
      <c r="M4818" s="2" t="s">
        <v>46833</v>
      </c>
      <c r="N4818" s="3" t="s">
        <v>421</v>
      </c>
      <c r="P4818" s="3" t="s">
        <v>102</v>
      </c>
      <c r="R4818" s="3" t="s">
        <v>70</v>
      </c>
      <c r="S4818" s="4">
        <v>1</v>
      </c>
      <c r="T4818" s="4">
        <v>1</v>
      </c>
      <c r="U4818" s="5" t="s">
        <v>9311</v>
      </c>
      <c r="V4818" s="5" t="s">
        <v>9311</v>
      </c>
      <c r="W4818" s="5" t="s">
        <v>72</v>
      </c>
      <c r="X4818" s="5" t="s">
        <v>72</v>
      </c>
      <c r="Y4818" s="4">
        <v>396</v>
      </c>
      <c r="Z4818" s="4">
        <v>13</v>
      </c>
      <c r="AA4818" s="4">
        <v>17</v>
      </c>
      <c r="AB4818" s="4">
        <v>1</v>
      </c>
      <c r="AC4818" s="4">
        <v>4</v>
      </c>
      <c r="AD4818" s="4">
        <v>95</v>
      </c>
      <c r="AE4818" s="4">
        <v>105</v>
      </c>
      <c r="AF4818" s="4">
        <v>0</v>
      </c>
      <c r="AG4818" s="4">
        <v>2</v>
      </c>
      <c r="AH4818" s="4">
        <v>90</v>
      </c>
      <c r="AI4818" s="4">
        <v>98</v>
      </c>
      <c r="AJ4818" s="4">
        <v>8</v>
      </c>
      <c r="AK4818" s="4">
        <v>10</v>
      </c>
      <c r="AL4818" s="4">
        <v>52</v>
      </c>
      <c r="AM4818" s="4">
        <v>54</v>
      </c>
      <c r="AN4818" s="4">
        <v>0</v>
      </c>
      <c r="AO4818" s="4">
        <v>0</v>
      </c>
      <c r="AP4818" s="4">
        <v>9</v>
      </c>
      <c r="AQ4818" s="4">
        <v>10</v>
      </c>
      <c r="AR4818" s="3" t="s">
        <v>64</v>
      </c>
      <c r="AS4818" s="3" t="s">
        <v>64</v>
      </c>
      <c r="AT4818" s="3" t="s">
        <v>128</v>
      </c>
      <c r="AU4818" s="6" t="str">
        <f>HYPERLINK("http://catalog.hathitrust.org/Record/004001328","HathiTrust Record")</f>
        <v>HathiTrust Record</v>
      </c>
      <c r="AV4818" s="6" t="str">
        <f>HYPERLINK("http://mcgill.on.worldcat.org/oclc/35599297","Catalog Record")</f>
        <v>Catalog Record</v>
      </c>
      <c r="AW4818" s="6" t="str">
        <f>HYPERLINK("http://www.worldcat.org/oclc/35599297","WorldCat Record")</f>
        <v>WorldCat Record</v>
      </c>
      <c r="AX4818" s="3" t="s">
        <v>46834</v>
      </c>
      <c r="AY4818" s="3" t="s">
        <v>46835</v>
      </c>
      <c r="AZ4818" s="3" t="s">
        <v>46836</v>
      </c>
      <c r="BA4818" s="3" t="s">
        <v>46836</v>
      </c>
      <c r="BB4818" s="3" t="s">
        <v>46837</v>
      </c>
      <c r="BC4818" s="3" t="s">
        <v>77</v>
      </c>
      <c r="BD4818" s="3" t="s">
        <v>78</v>
      </c>
      <c r="BE4818" s="3" t="s">
        <v>46838</v>
      </c>
      <c r="BF4818" s="3" t="s">
        <v>46837</v>
      </c>
      <c r="BG4818" s="3" t="s">
        <v>46839</v>
      </c>
      <c r="BH4818">
        <f t="shared" si="157"/>
        <v>0</v>
      </c>
    </row>
    <row r="4819" spans="1:60" ht="58" x14ac:dyDescent="0.35">
      <c r="A4819" s="2" t="s">
        <v>59</v>
      </c>
      <c r="B4819" s="2" t="s">
        <v>60</v>
      </c>
      <c r="C4819" s="2" t="s">
        <v>46840</v>
      </c>
      <c r="D4819" s="2" t="s">
        <v>46841</v>
      </c>
      <c r="E4819" s="2" t="s">
        <v>46842</v>
      </c>
      <c r="G4819" s="3" t="s">
        <v>64</v>
      </c>
      <c r="I4819" s="3" t="s">
        <v>128</v>
      </c>
      <c r="J4819" s="3" t="s">
        <v>64</v>
      </c>
      <c r="K4819" s="3" t="s">
        <v>65</v>
      </c>
      <c r="L4819" s="2" t="s">
        <v>46843</v>
      </c>
      <c r="M4819" s="2" t="s">
        <v>46844</v>
      </c>
      <c r="N4819" s="3" t="s">
        <v>898</v>
      </c>
      <c r="P4819" s="3" t="s">
        <v>102</v>
      </c>
      <c r="Q4819" s="2" t="s">
        <v>46845</v>
      </c>
      <c r="R4819" s="3" t="s">
        <v>70</v>
      </c>
      <c r="S4819" s="4">
        <v>17</v>
      </c>
      <c r="T4819" s="4">
        <v>17</v>
      </c>
      <c r="U4819" s="5" t="s">
        <v>21220</v>
      </c>
      <c r="V4819" s="5" t="s">
        <v>21220</v>
      </c>
      <c r="W4819" s="5" t="s">
        <v>72</v>
      </c>
      <c r="X4819" s="5" t="s">
        <v>72</v>
      </c>
      <c r="Y4819" s="4">
        <v>149</v>
      </c>
      <c r="Z4819" s="4">
        <v>73</v>
      </c>
      <c r="AA4819" s="4">
        <v>83</v>
      </c>
      <c r="AB4819" s="4">
        <v>6</v>
      </c>
      <c r="AC4819" s="4">
        <v>11</v>
      </c>
      <c r="AD4819" s="4">
        <v>76</v>
      </c>
      <c r="AE4819" s="4">
        <v>82</v>
      </c>
      <c r="AF4819" s="4">
        <v>2</v>
      </c>
      <c r="AG4819" s="4">
        <v>5</v>
      </c>
      <c r="AH4819" s="4">
        <v>44</v>
      </c>
      <c r="AI4819" s="4">
        <v>46</v>
      </c>
      <c r="AJ4819" s="4">
        <v>22</v>
      </c>
      <c r="AK4819" s="4">
        <v>26</v>
      </c>
      <c r="AL4819" s="4">
        <v>25</v>
      </c>
      <c r="AM4819" s="4">
        <v>25</v>
      </c>
      <c r="AN4819" s="4">
        <v>0</v>
      </c>
      <c r="AO4819" s="4">
        <v>0</v>
      </c>
      <c r="AP4819" s="4">
        <v>40</v>
      </c>
      <c r="AQ4819" s="4">
        <v>45</v>
      </c>
      <c r="AR4819" s="3" t="s">
        <v>128</v>
      </c>
      <c r="AS4819" s="3" t="s">
        <v>64</v>
      </c>
      <c r="AT4819" s="3" t="s">
        <v>128</v>
      </c>
      <c r="AU4819" s="6" t="str">
        <f>HYPERLINK("http://catalog.hathitrust.org/Record/000730356","HathiTrust Record")</f>
        <v>HathiTrust Record</v>
      </c>
      <c r="AV4819" s="6" t="str">
        <f>HYPERLINK("http://mcgill.on.worldcat.org/oclc/6942402","Catalog Record")</f>
        <v>Catalog Record</v>
      </c>
      <c r="AW4819" s="6" t="str">
        <f>HYPERLINK("http://www.worldcat.org/oclc/6942402","WorldCat Record")</f>
        <v>WorldCat Record</v>
      </c>
      <c r="AX4819" s="3" t="s">
        <v>46846</v>
      </c>
      <c r="AY4819" s="3" t="s">
        <v>46847</v>
      </c>
      <c r="AZ4819" s="3" t="s">
        <v>46848</v>
      </c>
      <c r="BA4819" s="3" t="s">
        <v>46848</v>
      </c>
      <c r="BB4819" s="3" t="s">
        <v>46849</v>
      </c>
      <c r="BC4819" s="3" t="s">
        <v>77</v>
      </c>
      <c r="BD4819" s="3" t="s">
        <v>78</v>
      </c>
      <c r="BE4819" s="3" t="s">
        <v>46850</v>
      </c>
      <c r="BF4819" s="3" t="s">
        <v>46849</v>
      </c>
      <c r="BG4819" s="3" t="s">
        <v>46851</v>
      </c>
      <c r="BH4819">
        <f t="shared" si="157"/>
        <v>0</v>
      </c>
    </row>
    <row r="4820" spans="1:60" ht="58" x14ac:dyDescent="0.35">
      <c r="A4820" s="2" t="s">
        <v>59</v>
      </c>
      <c r="B4820" s="2" t="s">
        <v>7607</v>
      </c>
      <c r="C4820" s="2" t="s">
        <v>46840</v>
      </c>
      <c r="D4820" s="2" t="s">
        <v>46841</v>
      </c>
      <c r="E4820" s="2" t="s">
        <v>46842</v>
      </c>
      <c r="G4820" s="3" t="s">
        <v>64</v>
      </c>
      <c r="I4820" s="3" t="s">
        <v>128</v>
      </c>
      <c r="J4820" s="3" t="s">
        <v>64</v>
      </c>
      <c r="K4820" s="3" t="s">
        <v>65</v>
      </c>
      <c r="L4820" s="2" t="s">
        <v>46843</v>
      </c>
      <c r="M4820" s="2" t="s">
        <v>46844</v>
      </c>
      <c r="N4820" s="3" t="s">
        <v>898</v>
      </c>
      <c r="P4820" s="3" t="s">
        <v>102</v>
      </c>
      <c r="Q4820" s="2" t="s">
        <v>46845</v>
      </c>
      <c r="R4820" s="3" t="s">
        <v>70</v>
      </c>
      <c r="S4820" s="4">
        <v>0</v>
      </c>
      <c r="T4820" s="4">
        <v>17</v>
      </c>
      <c r="V4820" s="5" t="s">
        <v>21220</v>
      </c>
      <c r="W4820" s="5" t="s">
        <v>72</v>
      </c>
      <c r="X4820" s="5" t="s">
        <v>72</v>
      </c>
      <c r="Y4820" s="4">
        <v>149</v>
      </c>
      <c r="Z4820" s="4">
        <v>73</v>
      </c>
      <c r="AA4820" s="4">
        <v>83</v>
      </c>
      <c r="AB4820" s="4">
        <v>6</v>
      </c>
      <c r="AC4820" s="4">
        <v>11</v>
      </c>
      <c r="AD4820" s="4">
        <v>76</v>
      </c>
      <c r="AE4820" s="4">
        <v>82</v>
      </c>
      <c r="AF4820" s="4">
        <v>2</v>
      </c>
      <c r="AG4820" s="4">
        <v>5</v>
      </c>
      <c r="AH4820" s="4">
        <v>44</v>
      </c>
      <c r="AI4820" s="4">
        <v>46</v>
      </c>
      <c r="AJ4820" s="4">
        <v>22</v>
      </c>
      <c r="AK4820" s="4">
        <v>26</v>
      </c>
      <c r="AL4820" s="4">
        <v>25</v>
      </c>
      <c r="AM4820" s="4">
        <v>25</v>
      </c>
      <c r="AN4820" s="4">
        <v>0</v>
      </c>
      <c r="AO4820" s="4">
        <v>0</v>
      </c>
      <c r="AP4820" s="4">
        <v>40</v>
      </c>
      <c r="AQ4820" s="4">
        <v>45</v>
      </c>
      <c r="AR4820" s="3" t="s">
        <v>128</v>
      </c>
      <c r="AS4820" s="3" t="s">
        <v>64</v>
      </c>
      <c r="AT4820" s="3" t="s">
        <v>128</v>
      </c>
      <c r="AU4820" s="6" t="str">
        <f>HYPERLINK("http://catalog.hathitrust.org/Record/000730356","HathiTrust Record")</f>
        <v>HathiTrust Record</v>
      </c>
      <c r="AV4820" s="6" t="str">
        <f>HYPERLINK("http://mcgill.on.worldcat.org/oclc/6942402","Catalog Record")</f>
        <v>Catalog Record</v>
      </c>
      <c r="AW4820" s="6" t="str">
        <f>HYPERLINK("http://www.worldcat.org/oclc/6942402","WorldCat Record")</f>
        <v>WorldCat Record</v>
      </c>
      <c r="AX4820" s="3" t="s">
        <v>46846</v>
      </c>
      <c r="AY4820" s="3" t="s">
        <v>46847</v>
      </c>
      <c r="AZ4820" s="3" t="s">
        <v>46848</v>
      </c>
      <c r="BA4820" s="3" t="s">
        <v>46848</v>
      </c>
      <c r="BB4820" s="3" t="s">
        <v>46852</v>
      </c>
      <c r="BC4820" s="3" t="s">
        <v>77</v>
      </c>
      <c r="BD4820" s="3" t="s">
        <v>78</v>
      </c>
      <c r="BE4820" s="3" t="s">
        <v>46850</v>
      </c>
      <c r="BF4820" s="3" t="s">
        <v>46852</v>
      </c>
      <c r="BG4820" s="3" t="s">
        <v>46853</v>
      </c>
      <c r="BH4820">
        <f t="shared" si="157"/>
        <v>0</v>
      </c>
    </row>
    <row r="4821" spans="1:60" ht="58" x14ac:dyDescent="0.35">
      <c r="A4821" s="2" t="s">
        <v>59</v>
      </c>
      <c r="B4821" s="2" t="s">
        <v>60</v>
      </c>
      <c r="C4821" s="2" t="s">
        <v>46854</v>
      </c>
      <c r="D4821" s="2" t="s">
        <v>46855</v>
      </c>
      <c r="E4821" s="2" t="s">
        <v>46856</v>
      </c>
      <c r="G4821" s="3" t="s">
        <v>64</v>
      </c>
      <c r="I4821" s="3" t="s">
        <v>64</v>
      </c>
      <c r="J4821" s="3" t="s">
        <v>64</v>
      </c>
      <c r="K4821" s="3" t="s">
        <v>65</v>
      </c>
      <c r="L4821" s="2" t="s">
        <v>46857</v>
      </c>
      <c r="M4821" s="2" t="s">
        <v>46858</v>
      </c>
      <c r="N4821" s="3" t="s">
        <v>498</v>
      </c>
      <c r="P4821" s="3" t="s">
        <v>102</v>
      </c>
      <c r="Q4821" s="2" t="s">
        <v>46859</v>
      </c>
      <c r="R4821" s="3" t="s">
        <v>70</v>
      </c>
      <c r="S4821" s="4">
        <v>2</v>
      </c>
      <c r="T4821" s="4">
        <v>2</v>
      </c>
      <c r="U4821" s="5" t="s">
        <v>21220</v>
      </c>
      <c r="V4821" s="5" t="s">
        <v>21220</v>
      </c>
      <c r="W4821" s="5" t="s">
        <v>72</v>
      </c>
      <c r="X4821" s="5" t="s">
        <v>72</v>
      </c>
      <c r="Y4821" s="4">
        <v>111</v>
      </c>
      <c r="Z4821" s="4">
        <v>47</v>
      </c>
      <c r="AA4821" s="4">
        <v>55</v>
      </c>
      <c r="AB4821" s="4">
        <v>4</v>
      </c>
      <c r="AC4821" s="4">
        <v>6</v>
      </c>
      <c r="AD4821" s="4">
        <v>64</v>
      </c>
      <c r="AE4821" s="4">
        <v>80</v>
      </c>
      <c r="AF4821" s="4">
        <v>2</v>
      </c>
      <c r="AG4821" s="4">
        <v>3</v>
      </c>
      <c r="AH4821" s="4">
        <v>43</v>
      </c>
      <c r="AI4821" s="4">
        <v>57</v>
      </c>
      <c r="AJ4821" s="4">
        <v>19</v>
      </c>
      <c r="AK4821" s="4">
        <v>24</v>
      </c>
      <c r="AL4821" s="4">
        <v>23</v>
      </c>
      <c r="AM4821" s="4">
        <v>28</v>
      </c>
      <c r="AN4821" s="4">
        <v>0</v>
      </c>
      <c r="AO4821" s="4">
        <v>0</v>
      </c>
      <c r="AP4821" s="4">
        <v>27</v>
      </c>
      <c r="AQ4821" s="4">
        <v>33</v>
      </c>
      <c r="AR4821" s="3" t="s">
        <v>128</v>
      </c>
      <c r="AS4821" s="3" t="s">
        <v>64</v>
      </c>
      <c r="AT4821" s="3" t="s">
        <v>128</v>
      </c>
      <c r="AU4821" s="6" t="str">
        <f>HYPERLINK("http://catalog.hathitrust.org/Record/003911718","HathiTrust Record")</f>
        <v>HathiTrust Record</v>
      </c>
      <c r="AV4821" s="6" t="str">
        <f>HYPERLINK("http://mcgill.on.worldcat.org/oclc/1503528","Catalog Record")</f>
        <v>Catalog Record</v>
      </c>
      <c r="AW4821" s="6" t="str">
        <f>HYPERLINK("http://www.worldcat.org/oclc/1503528","WorldCat Record")</f>
        <v>WorldCat Record</v>
      </c>
      <c r="AX4821" s="3" t="s">
        <v>46860</v>
      </c>
      <c r="AY4821" s="3" t="s">
        <v>46861</v>
      </c>
      <c r="AZ4821" s="3" t="s">
        <v>46862</v>
      </c>
      <c r="BA4821" s="3" t="s">
        <v>46862</v>
      </c>
      <c r="BB4821" s="3" t="s">
        <v>46863</v>
      </c>
      <c r="BC4821" s="3" t="s">
        <v>77</v>
      </c>
      <c r="BD4821" s="3" t="s">
        <v>78</v>
      </c>
      <c r="BF4821" s="3" t="s">
        <v>46863</v>
      </c>
      <c r="BG4821" s="3" t="s">
        <v>46864</v>
      </c>
      <c r="BH4821">
        <f t="shared" si="157"/>
        <v>0</v>
      </c>
    </row>
    <row r="4822" spans="1:60" ht="58" x14ac:dyDescent="0.35">
      <c r="A4822" s="2" t="s">
        <v>6202</v>
      </c>
      <c r="B4822" s="2" t="s">
        <v>6203</v>
      </c>
      <c r="C4822" s="2" t="s">
        <v>46865</v>
      </c>
      <c r="D4822" s="2" t="s">
        <v>46866</v>
      </c>
      <c r="E4822" s="2" t="s">
        <v>46867</v>
      </c>
      <c r="G4822" s="3" t="s">
        <v>64</v>
      </c>
      <c r="I4822" s="3" t="s">
        <v>128</v>
      </c>
      <c r="J4822" s="3" t="s">
        <v>64</v>
      </c>
      <c r="K4822" s="3" t="s">
        <v>65</v>
      </c>
      <c r="L4822" s="2" t="s">
        <v>46868</v>
      </c>
      <c r="M4822" s="2" t="s">
        <v>46869</v>
      </c>
      <c r="N4822" s="3" t="s">
        <v>3584</v>
      </c>
      <c r="P4822" s="3" t="s">
        <v>102</v>
      </c>
      <c r="Q4822" s="2" t="s">
        <v>46870</v>
      </c>
      <c r="R4822" s="3" t="s">
        <v>70</v>
      </c>
      <c r="S4822" s="4">
        <v>0</v>
      </c>
      <c r="T4822" s="4">
        <v>1</v>
      </c>
      <c r="V4822" s="5" t="s">
        <v>1655</v>
      </c>
      <c r="W4822" s="5" t="s">
        <v>72</v>
      </c>
      <c r="X4822" s="5" t="s">
        <v>72</v>
      </c>
      <c r="Y4822" s="4">
        <v>358</v>
      </c>
      <c r="Z4822" s="4">
        <v>21</v>
      </c>
      <c r="AA4822" s="4">
        <v>22</v>
      </c>
      <c r="AB4822" s="4">
        <v>2</v>
      </c>
      <c r="AC4822" s="4">
        <v>3</v>
      </c>
      <c r="AD4822" s="4">
        <v>105</v>
      </c>
      <c r="AE4822" s="4">
        <v>106</v>
      </c>
      <c r="AF4822" s="4">
        <v>1</v>
      </c>
      <c r="AG4822" s="4">
        <v>2</v>
      </c>
      <c r="AH4822" s="4">
        <v>93</v>
      </c>
      <c r="AI4822" s="4">
        <v>93</v>
      </c>
      <c r="AJ4822" s="4">
        <v>15</v>
      </c>
      <c r="AK4822" s="4">
        <v>16</v>
      </c>
      <c r="AL4822" s="4">
        <v>51</v>
      </c>
      <c r="AM4822" s="4">
        <v>51</v>
      </c>
      <c r="AN4822" s="4">
        <v>0</v>
      </c>
      <c r="AO4822" s="4">
        <v>0</v>
      </c>
      <c r="AP4822" s="4">
        <v>17</v>
      </c>
      <c r="AQ4822" s="4">
        <v>17</v>
      </c>
      <c r="AR4822" s="3" t="s">
        <v>64</v>
      </c>
      <c r="AS4822" s="3" t="s">
        <v>64</v>
      </c>
      <c r="AT4822" s="3" t="s">
        <v>128</v>
      </c>
      <c r="AU4822" s="6" t="str">
        <f>HYPERLINK("http://catalog.hathitrust.org/Record/000267365","HathiTrust Record")</f>
        <v>HathiTrust Record</v>
      </c>
      <c r="AV4822" s="6" t="str">
        <f>HYPERLINK("http://mcgill.on.worldcat.org/oclc/3205343","Catalog Record")</f>
        <v>Catalog Record</v>
      </c>
      <c r="AW4822" s="6" t="str">
        <f>HYPERLINK("http://www.worldcat.org/oclc/3205343","WorldCat Record")</f>
        <v>WorldCat Record</v>
      </c>
      <c r="AX4822" s="3" t="s">
        <v>46871</v>
      </c>
      <c r="AY4822" s="3" t="s">
        <v>46872</v>
      </c>
      <c r="AZ4822" s="3" t="s">
        <v>46873</v>
      </c>
      <c r="BA4822" s="3" t="s">
        <v>46873</v>
      </c>
      <c r="BB4822" s="3" t="s">
        <v>46874</v>
      </c>
      <c r="BC4822" s="3" t="s">
        <v>77</v>
      </c>
      <c r="BD4822" s="3" t="s">
        <v>78</v>
      </c>
      <c r="BE4822" s="3" t="s">
        <v>46875</v>
      </c>
      <c r="BF4822" s="3" t="s">
        <v>46874</v>
      </c>
      <c r="BG4822" s="3" t="s">
        <v>46876</v>
      </c>
      <c r="BH4822">
        <f t="shared" si="157"/>
        <v>0</v>
      </c>
    </row>
    <row r="4823" spans="1:60" ht="58" x14ac:dyDescent="0.35">
      <c r="A4823" s="2" t="s">
        <v>1040</v>
      </c>
      <c r="B4823" s="2" t="s">
        <v>60</v>
      </c>
      <c r="C4823" s="2" t="s">
        <v>46877</v>
      </c>
      <c r="D4823" s="2" t="s">
        <v>46878</v>
      </c>
      <c r="E4823" s="2" t="s">
        <v>46879</v>
      </c>
      <c r="G4823" s="3" t="s">
        <v>64</v>
      </c>
      <c r="I4823" s="3" t="s">
        <v>64</v>
      </c>
      <c r="J4823" s="3" t="s">
        <v>64</v>
      </c>
      <c r="K4823" s="3" t="s">
        <v>65</v>
      </c>
      <c r="M4823" s="2" t="s">
        <v>46880</v>
      </c>
      <c r="N4823" s="3" t="s">
        <v>511</v>
      </c>
      <c r="P4823" s="3" t="s">
        <v>102</v>
      </c>
      <c r="R4823" s="3" t="s">
        <v>70</v>
      </c>
      <c r="S4823" s="4">
        <v>0</v>
      </c>
      <c r="T4823" s="4">
        <v>0</v>
      </c>
      <c r="W4823" s="5" t="s">
        <v>72</v>
      </c>
      <c r="X4823" s="5" t="s">
        <v>72</v>
      </c>
      <c r="Y4823" s="4">
        <v>9</v>
      </c>
      <c r="Z4823" s="4">
        <v>1</v>
      </c>
      <c r="AA4823" s="4">
        <v>1</v>
      </c>
      <c r="AB4823" s="4">
        <v>1</v>
      </c>
      <c r="AC4823" s="4">
        <v>1</v>
      </c>
      <c r="AD4823" s="4">
        <v>6</v>
      </c>
      <c r="AE4823" s="4">
        <v>6</v>
      </c>
      <c r="AF4823" s="4">
        <v>0</v>
      </c>
      <c r="AG4823" s="4">
        <v>0</v>
      </c>
      <c r="AH4823" s="4">
        <v>6</v>
      </c>
      <c r="AI4823" s="4">
        <v>6</v>
      </c>
      <c r="AJ4823" s="4">
        <v>0</v>
      </c>
      <c r="AK4823" s="4">
        <v>0</v>
      </c>
      <c r="AL4823" s="4">
        <v>4</v>
      </c>
      <c r="AM4823" s="4">
        <v>4</v>
      </c>
      <c r="AN4823" s="4">
        <v>0</v>
      </c>
      <c r="AO4823" s="4">
        <v>0</v>
      </c>
      <c r="AP4823" s="4">
        <v>0</v>
      </c>
      <c r="AQ4823" s="4">
        <v>0</v>
      </c>
      <c r="AR4823" s="3" t="s">
        <v>64</v>
      </c>
      <c r="AS4823" s="3" t="s">
        <v>64</v>
      </c>
      <c r="AT4823" s="3" t="s">
        <v>64</v>
      </c>
      <c r="AV4823" s="6" t="str">
        <f>HYPERLINK("http://mcgill.on.worldcat.org/oclc/636612988","Catalog Record")</f>
        <v>Catalog Record</v>
      </c>
      <c r="AW4823" s="6" t="str">
        <f>HYPERLINK("http://www.worldcat.org/oclc/636612988","WorldCat Record")</f>
        <v>WorldCat Record</v>
      </c>
      <c r="AX4823" s="3" t="s">
        <v>46881</v>
      </c>
      <c r="AY4823" s="3" t="s">
        <v>46882</v>
      </c>
      <c r="AZ4823" s="3" t="s">
        <v>46883</v>
      </c>
      <c r="BA4823" s="3" t="s">
        <v>46883</v>
      </c>
      <c r="BB4823" s="3" t="s">
        <v>46884</v>
      </c>
      <c r="BC4823" s="3" t="s">
        <v>77</v>
      </c>
      <c r="BD4823" s="3" t="s">
        <v>78</v>
      </c>
      <c r="BF4823" s="3" t="s">
        <v>46884</v>
      </c>
      <c r="BG4823" s="3" t="s">
        <v>46885</v>
      </c>
      <c r="BH4823">
        <f t="shared" si="157"/>
        <v>0</v>
      </c>
    </row>
    <row r="4824" spans="1:60" ht="58" x14ac:dyDescent="0.35">
      <c r="A4824" s="2" t="s">
        <v>59</v>
      </c>
      <c r="B4824" s="2" t="s">
        <v>60</v>
      </c>
      <c r="C4824" s="2" t="s">
        <v>46886</v>
      </c>
      <c r="D4824" s="2" t="s">
        <v>46887</v>
      </c>
      <c r="E4824" s="2" t="s">
        <v>46888</v>
      </c>
      <c r="G4824" s="3" t="s">
        <v>64</v>
      </c>
      <c r="I4824" s="3" t="s">
        <v>64</v>
      </c>
      <c r="J4824" s="3" t="s">
        <v>64</v>
      </c>
      <c r="K4824" s="3" t="s">
        <v>65</v>
      </c>
      <c r="L4824" s="2" t="s">
        <v>46889</v>
      </c>
      <c r="M4824" s="2" t="s">
        <v>46890</v>
      </c>
      <c r="N4824" s="3" t="s">
        <v>1250</v>
      </c>
      <c r="P4824" s="3" t="s">
        <v>102</v>
      </c>
      <c r="Q4824" s="2" t="s">
        <v>46891</v>
      </c>
      <c r="R4824" s="3" t="s">
        <v>70</v>
      </c>
      <c r="S4824" s="4">
        <v>1</v>
      </c>
      <c r="T4824" s="4">
        <v>1</v>
      </c>
      <c r="U4824" s="5" t="s">
        <v>46892</v>
      </c>
      <c r="V4824" s="5" t="s">
        <v>46892</v>
      </c>
      <c r="W4824" s="5" t="s">
        <v>72</v>
      </c>
      <c r="X4824" s="5" t="s">
        <v>72</v>
      </c>
      <c r="Y4824" s="4">
        <v>222</v>
      </c>
      <c r="Z4824" s="4">
        <v>18</v>
      </c>
      <c r="AA4824" s="4">
        <v>18</v>
      </c>
      <c r="AB4824" s="4">
        <v>2</v>
      </c>
      <c r="AC4824" s="4">
        <v>2</v>
      </c>
      <c r="AD4824" s="4">
        <v>93</v>
      </c>
      <c r="AE4824" s="4">
        <v>93</v>
      </c>
      <c r="AF4824" s="4">
        <v>1</v>
      </c>
      <c r="AG4824" s="4">
        <v>1</v>
      </c>
      <c r="AH4824" s="4">
        <v>82</v>
      </c>
      <c r="AI4824" s="4">
        <v>82</v>
      </c>
      <c r="AJ4824" s="4">
        <v>13</v>
      </c>
      <c r="AK4824" s="4">
        <v>13</v>
      </c>
      <c r="AL4824" s="4">
        <v>48</v>
      </c>
      <c r="AM4824" s="4">
        <v>48</v>
      </c>
      <c r="AN4824" s="4">
        <v>5</v>
      </c>
      <c r="AO4824" s="4">
        <v>5</v>
      </c>
      <c r="AP4824" s="4">
        <v>15</v>
      </c>
      <c r="AQ4824" s="4">
        <v>15</v>
      </c>
      <c r="AR4824" s="3" t="s">
        <v>64</v>
      </c>
      <c r="AS4824" s="3" t="s">
        <v>64</v>
      </c>
      <c r="AT4824" s="3" t="s">
        <v>128</v>
      </c>
      <c r="AU4824" s="6" t="str">
        <f>HYPERLINK("http://catalog.hathitrust.org/Record/004537507","HathiTrust Record")</f>
        <v>HathiTrust Record</v>
      </c>
      <c r="AV4824" s="6" t="str">
        <f>HYPERLINK("http://mcgill.on.worldcat.org/oclc/30625354","Catalog Record")</f>
        <v>Catalog Record</v>
      </c>
      <c r="AW4824" s="6" t="str">
        <f>HYPERLINK("http://www.worldcat.org/oclc/30625354","WorldCat Record")</f>
        <v>WorldCat Record</v>
      </c>
      <c r="AX4824" s="3" t="s">
        <v>46893</v>
      </c>
      <c r="AY4824" s="3" t="s">
        <v>46894</v>
      </c>
      <c r="AZ4824" s="3" t="s">
        <v>46895</v>
      </c>
      <c r="BA4824" s="3" t="s">
        <v>46895</v>
      </c>
      <c r="BB4824" s="3" t="s">
        <v>46896</v>
      </c>
      <c r="BC4824" s="3" t="s">
        <v>77</v>
      </c>
      <c r="BD4824" s="3" t="s">
        <v>78</v>
      </c>
      <c r="BE4824" s="3" t="s">
        <v>46897</v>
      </c>
      <c r="BF4824" s="3" t="s">
        <v>46896</v>
      </c>
      <c r="BG4824" s="3" t="s">
        <v>46898</v>
      </c>
      <c r="BH4824">
        <f t="shared" si="157"/>
        <v>0</v>
      </c>
    </row>
    <row r="4825" spans="1:60" ht="58" x14ac:dyDescent="0.35">
      <c r="A4825" s="2" t="s">
        <v>59</v>
      </c>
      <c r="B4825" s="2" t="s">
        <v>60</v>
      </c>
      <c r="C4825" s="2" t="s">
        <v>46899</v>
      </c>
      <c r="D4825" s="2" t="s">
        <v>46900</v>
      </c>
      <c r="E4825" s="2" t="s">
        <v>46901</v>
      </c>
      <c r="G4825" s="3" t="s">
        <v>64</v>
      </c>
      <c r="I4825" s="3" t="s">
        <v>64</v>
      </c>
      <c r="J4825" s="3" t="s">
        <v>64</v>
      </c>
      <c r="K4825" s="3" t="s">
        <v>65</v>
      </c>
      <c r="L4825" s="2" t="s">
        <v>46902</v>
      </c>
      <c r="M4825" s="2" t="s">
        <v>46903</v>
      </c>
      <c r="N4825" s="3" t="s">
        <v>86</v>
      </c>
      <c r="P4825" s="3" t="s">
        <v>102</v>
      </c>
      <c r="Q4825" s="2" t="s">
        <v>46904</v>
      </c>
      <c r="R4825" s="3" t="s">
        <v>70</v>
      </c>
      <c r="S4825" s="4">
        <v>0</v>
      </c>
      <c r="T4825" s="4">
        <v>0</v>
      </c>
      <c r="W4825" s="5" t="s">
        <v>72</v>
      </c>
      <c r="X4825" s="5" t="s">
        <v>72</v>
      </c>
      <c r="Y4825" s="4">
        <v>66</v>
      </c>
      <c r="Z4825" s="4">
        <v>9</v>
      </c>
      <c r="AA4825" s="4">
        <v>17</v>
      </c>
      <c r="AB4825" s="4">
        <v>1</v>
      </c>
      <c r="AC4825" s="4">
        <v>5</v>
      </c>
      <c r="AD4825" s="4">
        <v>40</v>
      </c>
      <c r="AE4825" s="4">
        <v>57</v>
      </c>
      <c r="AF4825" s="4">
        <v>0</v>
      </c>
      <c r="AG4825" s="4">
        <v>1</v>
      </c>
      <c r="AH4825" s="4">
        <v>37</v>
      </c>
      <c r="AI4825" s="4">
        <v>50</v>
      </c>
      <c r="AJ4825" s="4">
        <v>6</v>
      </c>
      <c r="AK4825" s="4">
        <v>9</v>
      </c>
      <c r="AL4825" s="4">
        <v>25</v>
      </c>
      <c r="AM4825" s="4">
        <v>34</v>
      </c>
      <c r="AN4825" s="4">
        <v>0</v>
      </c>
      <c r="AO4825" s="4">
        <v>0</v>
      </c>
      <c r="AP4825" s="4">
        <v>6</v>
      </c>
      <c r="AQ4825" s="4">
        <v>9</v>
      </c>
      <c r="AR4825" s="3" t="s">
        <v>64</v>
      </c>
      <c r="AS4825" s="3" t="s">
        <v>64</v>
      </c>
      <c r="AT4825" s="3" t="s">
        <v>64</v>
      </c>
      <c r="AV4825" s="6" t="str">
        <f>HYPERLINK("http://mcgill.on.worldcat.org/oclc/746834933","Catalog Record")</f>
        <v>Catalog Record</v>
      </c>
      <c r="AW4825" s="6" t="str">
        <f>HYPERLINK("http://www.worldcat.org/oclc/746834933","WorldCat Record")</f>
        <v>WorldCat Record</v>
      </c>
      <c r="AX4825" s="3" t="s">
        <v>46905</v>
      </c>
      <c r="AY4825" s="3" t="s">
        <v>46906</v>
      </c>
      <c r="AZ4825" s="3" t="s">
        <v>46907</v>
      </c>
      <c r="BA4825" s="3" t="s">
        <v>46907</v>
      </c>
      <c r="BB4825" s="3" t="s">
        <v>46908</v>
      </c>
      <c r="BC4825" s="3" t="s">
        <v>77</v>
      </c>
      <c r="BD4825" s="3" t="s">
        <v>78</v>
      </c>
      <c r="BE4825" s="3" t="s">
        <v>46909</v>
      </c>
      <c r="BF4825" s="3" t="s">
        <v>46908</v>
      </c>
      <c r="BG4825" s="3" t="s">
        <v>46910</v>
      </c>
      <c r="BH4825">
        <f t="shared" si="157"/>
        <v>0</v>
      </c>
    </row>
    <row r="4826" spans="1:60" ht="58" x14ac:dyDescent="0.35">
      <c r="A4826" s="2" t="s">
        <v>59</v>
      </c>
      <c r="B4826" s="2" t="s">
        <v>60</v>
      </c>
      <c r="C4826" s="2" t="s">
        <v>46911</v>
      </c>
      <c r="D4826" s="2" t="s">
        <v>46912</v>
      </c>
      <c r="E4826" s="2" t="s">
        <v>46913</v>
      </c>
      <c r="F4826" s="3" t="s">
        <v>519</v>
      </c>
      <c r="G4826" s="3" t="s">
        <v>128</v>
      </c>
      <c r="I4826" s="3" t="s">
        <v>64</v>
      </c>
      <c r="J4826" s="3" t="s">
        <v>64</v>
      </c>
      <c r="K4826" s="3" t="s">
        <v>65</v>
      </c>
      <c r="L4826" s="2" t="s">
        <v>46914</v>
      </c>
      <c r="M4826" s="2" t="s">
        <v>46915</v>
      </c>
      <c r="N4826" s="3" t="s">
        <v>3330</v>
      </c>
      <c r="P4826" s="3" t="s">
        <v>102</v>
      </c>
      <c r="Q4826" s="2" t="s">
        <v>46916</v>
      </c>
      <c r="R4826" s="3" t="s">
        <v>70</v>
      </c>
      <c r="S4826" s="4">
        <v>5</v>
      </c>
      <c r="T4826" s="4">
        <v>5</v>
      </c>
      <c r="U4826" s="5" t="s">
        <v>1441</v>
      </c>
      <c r="V4826" s="5" t="s">
        <v>1441</v>
      </c>
      <c r="W4826" s="5" t="s">
        <v>72</v>
      </c>
      <c r="X4826" s="5" t="s">
        <v>72</v>
      </c>
      <c r="Y4826" s="4">
        <v>98</v>
      </c>
      <c r="Z4826" s="4">
        <v>6</v>
      </c>
      <c r="AA4826" s="4">
        <v>6</v>
      </c>
      <c r="AB4826" s="4">
        <v>1</v>
      </c>
      <c r="AC4826" s="4">
        <v>1</v>
      </c>
      <c r="AD4826" s="4">
        <v>48</v>
      </c>
      <c r="AE4826" s="4">
        <v>48</v>
      </c>
      <c r="AF4826" s="4">
        <v>0</v>
      </c>
      <c r="AG4826" s="4">
        <v>0</v>
      </c>
      <c r="AH4826" s="4">
        <v>44</v>
      </c>
      <c r="AI4826" s="4">
        <v>44</v>
      </c>
      <c r="AJ4826" s="4">
        <v>5</v>
      </c>
      <c r="AK4826" s="4">
        <v>5</v>
      </c>
      <c r="AL4826" s="4">
        <v>32</v>
      </c>
      <c r="AM4826" s="4">
        <v>32</v>
      </c>
      <c r="AN4826" s="4">
        <v>0</v>
      </c>
      <c r="AO4826" s="4">
        <v>0</v>
      </c>
      <c r="AP4826" s="4">
        <v>5</v>
      </c>
      <c r="AQ4826" s="4">
        <v>5</v>
      </c>
      <c r="AR4826" s="3" t="s">
        <v>64</v>
      </c>
      <c r="AS4826" s="3" t="s">
        <v>64</v>
      </c>
      <c r="AT4826" s="3" t="s">
        <v>128</v>
      </c>
      <c r="AU4826" s="6" t="str">
        <f>HYPERLINK("http://catalog.hathitrust.org/Record/003101735","HathiTrust Record")</f>
        <v>HathiTrust Record</v>
      </c>
      <c r="AV4826" s="6" t="str">
        <f>HYPERLINK("http://mcgill.on.worldcat.org/oclc/20261038","Catalog Record")</f>
        <v>Catalog Record</v>
      </c>
      <c r="AW4826" s="6" t="str">
        <f>HYPERLINK("http://www.worldcat.org/oclc/20261038","WorldCat Record")</f>
        <v>WorldCat Record</v>
      </c>
      <c r="AX4826" s="3" t="s">
        <v>46917</v>
      </c>
      <c r="AY4826" s="3" t="s">
        <v>46918</v>
      </c>
      <c r="AZ4826" s="3" t="s">
        <v>46919</v>
      </c>
      <c r="BA4826" s="3" t="s">
        <v>46919</v>
      </c>
      <c r="BB4826" s="3" t="s">
        <v>46920</v>
      </c>
      <c r="BC4826" s="3" t="s">
        <v>77</v>
      </c>
      <c r="BD4826" s="3" t="s">
        <v>165</v>
      </c>
      <c r="BE4826" s="3" t="s">
        <v>46921</v>
      </c>
      <c r="BF4826" s="3" t="s">
        <v>46920</v>
      </c>
      <c r="BG4826" s="3" t="s">
        <v>46922</v>
      </c>
      <c r="BH4826">
        <f t="shared" si="157"/>
        <v>0</v>
      </c>
    </row>
    <row r="4827" spans="1:60" ht="58" x14ac:dyDescent="0.35">
      <c r="A4827" s="2" t="s">
        <v>59</v>
      </c>
      <c r="B4827" s="2" t="s">
        <v>60</v>
      </c>
      <c r="C4827" s="2" t="s">
        <v>46923</v>
      </c>
      <c r="D4827" s="2" t="s">
        <v>46924</v>
      </c>
      <c r="E4827" s="2" t="s">
        <v>46925</v>
      </c>
      <c r="G4827" s="3" t="s">
        <v>64</v>
      </c>
      <c r="I4827" s="3" t="s">
        <v>64</v>
      </c>
      <c r="J4827" s="3" t="s">
        <v>64</v>
      </c>
      <c r="K4827" s="3" t="s">
        <v>65</v>
      </c>
      <c r="L4827" s="2" t="s">
        <v>46926</v>
      </c>
      <c r="M4827" s="2" t="s">
        <v>46927</v>
      </c>
      <c r="N4827" s="3" t="s">
        <v>2923</v>
      </c>
      <c r="P4827" s="3" t="s">
        <v>68</v>
      </c>
      <c r="Q4827" s="2" t="s">
        <v>46928</v>
      </c>
      <c r="R4827" s="3" t="s">
        <v>70</v>
      </c>
      <c r="S4827" s="4">
        <v>7</v>
      </c>
      <c r="T4827" s="4">
        <v>7</v>
      </c>
      <c r="U4827" s="5" t="s">
        <v>20478</v>
      </c>
      <c r="V4827" s="5" t="s">
        <v>20478</v>
      </c>
      <c r="W4827" s="5" t="s">
        <v>72</v>
      </c>
      <c r="X4827" s="5" t="s">
        <v>72</v>
      </c>
      <c r="Y4827" s="4">
        <v>163</v>
      </c>
      <c r="Z4827" s="4">
        <v>13</v>
      </c>
      <c r="AA4827" s="4">
        <v>20</v>
      </c>
      <c r="AB4827" s="4">
        <v>1</v>
      </c>
      <c r="AC4827" s="4">
        <v>7</v>
      </c>
      <c r="AD4827" s="4">
        <v>60</v>
      </c>
      <c r="AE4827" s="4">
        <v>66</v>
      </c>
      <c r="AF4827" s="4">
        <v>0</v>
      </c>
      <c r="AG4827" s="4">
        <v>4</v>
      </c>
      <c r="AH4827" s="4">
        <v>55</v>
      </c>
      <c r="AI4827" s="4">
        <v>58</v>
      </c>
      <c r="AJ4827" s="4">
        <v>9</v>
      </c>
      <c r="AK4827" s="4">
        <v>14</v>
      </c>
      <c r="AL4827" s="4">
        <v>38</v>
      </c>
      <c r="AM4827" s="4">
        <v>39</v>
      </c>
      <c r="AN4827" s="4">
        <v>0</v>
      </c>
      <c r="AO4827" s="4">
        <v>0</v>
      </c>
      <c r="AP4827" s="4">
        <v>9</v>
      </c>
      <c r="AQ4827" s="4">
        <v>13</v>
      </c>
      <c r="AR4827" s="3" t="s">
        <v>64</v>
      </c>
      <c r="AS4827" s="3" t="s">
        <v>64</v>
      </c>
      <c r="AT4827" s="3" t="s">
        <v>128</v>
      </c>
      <c r="AU4827" s="6" t="str">
        <f>HYPERLINK("http://catalog.hathitrust.org/Record/001222627","HathiTrust Record")</f>
        <v>HathiTrust Record</v>
      </c>
      <c r="AV4827" s="6" t="str">
        <f>HYPERLINK("http://mcgill.on.worldcat.org/oclc/260262","Catalog Record")</f>
        <v>Catalog Record</v>
      </c>
      <c r="AW4827" s="6" t="str">
        <f>HYPERLINK("http://www.worldcat.org/oclc/260262","WorldCat Record")</f>
        <v>WorldCat Record</v>
      </c>
      <c r="AX4827" s="3" t="s">
        <v>46929</v>
      </c>
      <c r="AY4827" s="3" t="s">
        <v>46930</v>
      </c>
      <c r="AZ4827" s="3" t="s">
        <v>46931</v>
      </c>
      <c r="BA4827" s="3" t="s">
        <v>46931</v>
      </c>
      <c r="BB4827" s="3" t="s">
        <v>46932</v>
      </c>
      <c r="BC4827" s="3" t="s">
        <v>77</v>
      </c>
      <c r="BD4827" s="3" t="s">
        <v>78</v>
      </c>
      <c r="BF4827" s="3" t="s">
        <v>46932</v>
      </c>
      <c r="BG4827" s="3" t="s">
        <v>46933</v>
      </c>
      <c r="BH4827">
        <f t="shared" si="157"/>
        <v>0</v>
      </c>
    </row>
    <row r="4828" spans="1:60" ht="58" x14ac:dyDescent="0.35">
      <c r="A4828" s="2" t="s">
        <v>59</v>
      </c>
      <c r="B4828" s="2" t="s">
        <v>60</v>
      </c>
      <c r="C4828" s="2" t="s">
        <v>46934</v>
      </c>
      <c r="D4828" s="2" t="s">
        <v>46935</v>
      </c>
      <c r="E4828" s="2" t="s">
        <v>46936</v>
      </c>
      <c r="G4828" s="3" t="s">
        <v>64</v>
      </c>
      <c r="I4828" s="3" t="s">
        <v>64</v>
      </c>
      <c r="J4828" s="3" t="s">
        <v>64</v>
      </c>
      <c r="K4828" s="3" t="s">
        <v>65</v>
      </c>
      <c r="L4828" s="2" t="s">
        <v>46937</v>
      </c>
      <c r="M4828" s="2" t="s">
        <v>46938</v>
      </c>
      <c r="N4828" s="3" t="s">
        <v>171</v>
      </c>
      <c r="P4828" s="3" t="s">
        <v>102</v>
      </c>
      <c r="R4828" s="3" t="s">
        <v>70</v>
      </c>
      <c r="S4828" s="4">
        <v>1</v>
      </c>
      <c r="T4828" s="4">
        <v>1</v>
      </c>
      <c r="U4828" s="5" t="s">
        <v>46939</v>
      </c>
      <c r="V4828" s="5" t="s">
        <v>46939</v>
      </c>
      <c r="W4828" s="5" t="s">
        <v>72</v>
      </c>
      <c r="X4828" s="5" t="s">
        <v>72</v>
      </c>
      <c r="Y4828" s="4">
        <v>164</v>
      </c>
      <c r="Z4828" s="4">
        <v>14</v>
      </c>
      <c r="AA4828" s="4">
        <v>22</v>
      </c>
      <c r="AB4828" s="4">
        <v>1</v>
      </c>
      <c r="AC4828" s="4">
        <v>6</v>
      </c>
      <c r="AD4828" s="4">
        <v>66</v>
      </c>
      <c r="AE4828" s="4">
        <v>76</v>
      </c>
      <c r="AF4828" s="4">
        <v>0</v>
      </c>
      <c r="AG4828" s="4">
        <v>2</v>
      </c>
      <c r="AH4828" s="4">
        <v>58</v>
      </c>
      <c r="AI4828" s="4">
        <v>65</v>
      </c>
      <c r="AJ4828" s="4">
        <v>9</v>
      </c>
      <c r="AK4828" s="4">
        <v>12</v>
      </c>
      <c r="AL4828" s="4">
        <v>37</v>
      </c>
      <c r="AM4828" s="4">
        <v>41</v>
      </c>
      <c r="AN4828" s="4">
        <v>0</v>
      </c>
      <c r="AO4828" s="4">
        <v>0</v>
      </c>
      <c r="AP4828" s="4">
        <v>9</v>
      </c>
      <c r="AQ4828" s="4">
        <v>11</v>
      </c>
      <c r="AR4828" s="3" t="s">
        <v>64</v>
      </c>
      <c r="AS4828" s="3" t="s">
        <v>64</v>
      </c>
      <c r="AT4828" s="3" t="s">
        <v>64</v>
      </c>
      <c r="AV4828" s="6" t="str">
        <f>HYPERLINK("http://mcgill.on.worldcat.org/oclc/62265709","Catalog Record")</f>
        <v>Catalog Record</v>
      </c>
      <c r="AW4828" s="6" t="str">
        <f>HYPERLINK("http://www.worldcat.org/oclc/62265709","WorldCat Record")</f>
        <v>WorldCat Record</v>
      </c>
      <c r="AX4828" s="3" t="s">
        <v>46940</v>
      </c>
      <c r="AY4828" s="3" t="s">
        <v>46941</v>
      </c>
      <c r="AZ4828" s="3" t="s">
        <v>46942</v>
      </c>
      <c r="BA4828" s="3" t="s">
        <v>46942</v>
      </c>
      <c r="BB4828" s="3" t="s">
        <v>46943</v>
      </c>
      <c r="BC4828" s="3" t="s">
        <v>77</v>
      </c>
      <c r="BD4828" s="3" t="s">
        <v>78</v>
      </c>
      <c r="BE4828" s="3" t="s">
        <v>46944</v>
      </c>
      <c r="BF4828" s="3" t="s">
        <v>46943</v>
      </c>
      <c r="BG4828" s="3" t="s">
        <v>46945</v>
      </c>
      <c r="BH4828">
        <f t="shared" si="157"/>
        <v>0</v>
      </c>
    </row>
    <row r="4829" spans="1:60" ht="58" x14ac:dyDescent="0.35">
      <c r="A4829" s="2" t="s">
        <v>59</v>
      </c>
      <c r="B4829" s="2" t="s">
        <v>60</v>
      </c>
      <c r="C4829" s="2" t="s">
        <v>46946</v>
      </c>
      <c r="D4829" s="2" t="s">
        <v>46947</v>
      </c>
      <c r="E4829" s="2" t="s">
        <v>46948</v>
      </c>
      <c r="G4829" s="3" t="s">
        <v>64</v>
      </c>
      <c r="I4829" s="3" t="s">
        <v>64</v>
      </c>
      <c r="J4829" s="3" t="s">
        <v>64</v>
      </c>
      <c r="K4829" s="3" t="s">
        <v>65</v>
      </c>
      <c r="L4829" s="2" t="s">
        <v>46949</v>
      </c>
      <c r="M4829" s="2" t="s">
        <v>14751</v>
      </c>
      <c r="N4829" s="3" t="s">
        <v>291</v>
      </c>
      <c r="P4829" s="3" t="s">
        <v>102</v>
      </c>
      <c r="R4829" s="3" t="s">
        <v>70</v>
      </c>
      <c r="S4829" s="4">
        <v>2</v>
      </c>
      <c r="T4829" s="4">
        <v>2</v>
      </c>
      <c r="U4829" s="5" t="s">
        <v>46950</v>
      </c>
      <c r="V4829" s="5" t="s">
        <v>46950</v>
      </c>
      <c r="W4829" s="5" t="s">
        <v>72</v>
      </c>
      <c r="X4829" s="5" t="s">
        <v>72</v>
      </c>
      <c r="Y4829" s="4">
        <v>287</v>
      </c>
      <c r="Z4829" s="4">
        <v>49</v>
      </c>
      <c r="AA4829" s="4">
        <v>106</v>
      </c>
      <c r="AB4829" s="4">
        <v>3</v>
      </c>
      <c r="AC4829" s="4">
        <v>15</v>
      </c>
      <c r="AD4829" s="4">
        <v>98</v>
      </c>
      <c r="AE4829" s="4">
        <v>139</v>
      </c>
      <c r="AF4829" s="4">
        <v>1</v>
      </c>
      <c r="AG4829" s="4">
        <v>8</v>
      </c>
      <c r="AH4829" s="4">
        <v>80</v>
      </c>
      <c r="AI4829" s="4">
        <v>97</v>
      </c>
      <c r="AJ4829" s="4">
        <v>15</v>
      </c>
      <c r="AK4829" s="4">
        <v>26</v>
      </c>
      <c r="AL4829" s="4">
        <v>43</v>
      </c>
      <c r="AM4829" s="4">
        <v>49</v>
      </c>
      <c r="AN4829" s="4">
        <v>0</v>
      </c>
      <c r="AO4829" s="4">
        <v>0</v>
      </c>
      <c r="AP4829" s="4">
        <v>26</v>
      </c>
      <c r="AQ4829" s="4">
        <v>50</v>
      </c>
      <c r="AR4829" s="3" t="s">
        <v>64</v>
      </c>
      <c r="AS4829" s="3" t="s">
        <v>64</v>
      </c>
      <c r="AT4829" s="3" t="s">
        <v>64</v>
      </c>
      <c r="AV4829" s="6" t="str">
        <f>HYPERLINK("http://mcgill.on.worldcat.org/oclc/76864053","Catalog Record")</f>
        <v>Catalog Record</v>
      </c>
      <c r="AW4829" s="6" t="str">
        <f>HYPERLINK("http://www.worldcat.org/oclc/76864053","WorldCat Record")</f>
        <v>WorldCat Record</v>
      </c>
      <c r="AX4829" s="3" t="s">
        <v>46951</v>
      </c>
      <c r="AY4829" s="3" t="s">
        <v>46952</v>
      </c>
      <c r="AZ4829" s="3" t="s">
        <v>46953</v>
      </c>
      <c r="BA4829" s="3" t="s">
        <v>46953</v>
      </c>
      <c r="BB4829" s="3" t="s">
        <v>46954</v>
      </c>
      <c r="BC4829" s="3" t="s">
        <v>77</v>
      </c>
      <c r="BD4829" s="3" t="s">
        <v>78</v>
      </c>
      <c r="BE4829" s="3" t="s">
        <v>46955</v>
      </c>
      <c r="BF4829" s="3" t="s">
        <v>46954</v>
      </c>
      <c r="BG4829" s="3" t="s">
        <v>46956</v>
      </c>
      <c r="BH4829">
        <f t="shared" si="157"/>
        <v>0</v>
      </c>
    </row>
    <row r="4830" spans="1:60" ht="58" x14ac:dyDescent="0.35">
      <c r="A4830" s="2" t="s">
        <v>59</v>
      </c>
      <c r="B4830" s="2" t="s">
        <v>60</v>
      </c>
      <c r="C4830" s="2" t="s">
        <v>46957</v>
      </c>
      <c r="D4830" s="2" t="s">
        <v>46958</v>
      </c>
      <c r="E4830" s="2" t="s">
        <v>46959</v>
      </c>
      <c r="G4830" s="3" t="s">
        <v>64</v>
      </c>
      <c r="I4830" s="3" t="s">
        <v>64</v>
      </c>
      <c r="J4830" s="3" t="s">
        <v>64</v>
      </c>
      <c r="K4830" s="3" t="s">
        <v>65</v>
      </c>
      <c r="L4830" s="2" t="s">
        <v>46960</v>
      </c>
      <c r="M4830" s="2" t="s">
        <v>46961</v>
      </c>
      <c r="N4830" s="3" t="s">
        <v>1087</v>
      </c>
      <c r="P4830" s="3" t="s">
        <v>102</v>
      </c>
      <c r="R4830" s="3" t="s">
        <v>70</v>
      </c>
      <c r="S4830" s="4">
        <v>1</v>
      </c>
      <c r="T4830" s="4">
        <v>1</v>
      </c>
      <c r="U4830" s="5" t="s">
        <v>26400</v>
      </c>
      <c r="V4830" s="5" t="s">
        <v>26400</v>
      </c>
      <c r="W4830" s="5" t="s">
        <v>72</v>
      </c>
      <c r="X4830" s="5" t="s">
        <v>72</v>
      </c>
      <c r="Y4830" s="4">
        <v>184</v>
      </c>
      <c r="Z4830" s="4">
        <v>18</v>
      </c>
      <c r="AA4830" s="4">
        <v>20</v>
      </c>
      <c r="AB4830" s="4">
        <v>1</v>
      </c>
      <c r="AC4830" s="4">
        <v>3</v>
      </c>
      <c r="AD4830" s="4">
        <v>47</v>
      </c>
      <c r="AE4830" s="4">
        <v>49</v>
      </c>
      <c r="AF4830" s="4">
        <v>0</v>
      </c>
      <c r="AG4830" s="4">
        <v>2</v>
      </c>
      <c r="AH4830" s="4">
        <v>42</v>
      </c>
      <c r="AI4830" s="4">
        <v>43</v>
      </c>
      <c r="AJ4830" s="4">
        <v>9</v>
      </c>
      <c r="AK4830" s="4">
        <v>11</v>
      </c>
      <c r="AL4830" s="4">
        <v>27</v>
      </c>
      <c r="AM4830" s="4">
        <v>27</v>
      </c>
      <c r="AN4830" s="4">
        <v>0</v>
      </c>
      <c r="AO4830" s="4">
        <v>0</v>
      </c>
      <c r="AP4830" s="4">
        <v>11</v>
      </c>
      <c r="AQ4830" s="4">
        <v>12</v>
      </c>
      <c r="AR4830" s="3" t="s">
        <v>64</v>
      </c>
      <c r="AS4830" s="3" t="s">
        <v>64</v>
      </c>
      <c r="AT4830" s="3" t="s">
        <v>128</v>
      </c>
      <c r="AU4830" s="6" t="str">
        <f>HYPERLINK("http://catalog.hathitrust.org/Record/002811469","HathiTrust Record")</f>
        <v>HathiTrust Record</v>
      </c>
      <c r="AV4830" s="6" t="str">
        <f>HYPERLINK("http://mcgill.on.worldcat.org/oclc/24107085","Catalog Record")</f>
        <v>Catalog Record</v>
      </c>
      <c r="AW4830" s="6" t="str">
        <f>HYPERLINK("http://www.worldcat.org/oclc/24107085","WorldCat Record")</f>
        <v>WorldCat Record</v>
      </c>
      <c r="AX4830" s="3" t="s">
        <v>46962</v>
      </c>
      <c r="AY4830" s="3" t="s">
        <v>46963</v>
      </c>
      <c r="AZ4830" s="3" t="s">
        <v>46964</v>
      </c>
      <c r="BA4830" s="3" t="s">
        <v>46964</v>
      </c>
      <c r="BB4830" s="3" t="s">
        <v>46965</v>
      </c>
      <c r="BC4830" s="3" t="s">
        <v>77</v>
      </c>
      <c r="BD4830" s="3" t="s">
        <v>78</v>
      </c>
      <c r="BE4830" s="3" t="s">
        <v>46966</v>
      </c>
      <c r="BF4830" s="3" t="s">
        <v>46965</v>
      </c>
      <c r="BG4830" s="3" t="s">
        <v>46967</v>
      </c>
      <c r="BH4830">
        <f t="shared" si="157"/>
        <v>0</v>
      </c>
    </row>
    <row r="4831" spans="1:60" ht="58" x14ac:dyDescent="0.35">
      <c r="A4831" s="2" t="s">
        <v>59</v>
      </c>
      <c r="B4831" s="2" t="s">
        <v>60</v>
      </c>
      <c r="C4831" s="2" t="s">
        <v>46968</v>
      </c>
      <c r="D4831" s="2" t="s">
        <v>46969</v>
      </c>
      <c r="E4831" s="2" t="s">
        <v>46970</v>
      </c>
      <c r="G4831" s="3" t="s">
        <v>64</v>
      </c>
      <c r="I4831" s="3" t="s">
        <v>64</v>
      </c>
      <c r="J4831" s="3" t="s">
        <v>64</v>
      </c>
      <c r="K4831" s="3" t="s">
        <v>65</v>
      </c>
      <c r="L4831" s="2" t="s">
        <v>46971</v>
      </c>
      <c r="M4831" s="2" t="s">
        <v>46972</v>
      </c>
      <c r="N4831" s="3" t="s">
        <v>4972</v>
      </c>
      <c r="O4831" s="2" t="s">
        <v>745</v>
      </c>
      <c r="P4831" s="3" t="s">
        <v>102</v>
      </c>
      <c r="R4831" s="3" t="s">
        <v>70</v>
      </c>
      <c r="S4831" s="4">
        <v>1</v>
      </c>
      <c r="T4831" s="4">
        <v>1</v>
      </c>
      <c r="U4831" s="5" t="s">
        <v>29719</v>
      </c>
      <c r="V4831" s="5" t="s">
        <v>29719</v>
      </c>
      <c r="W4831" s="5" t="s">
        <v>72</v>
      </c>
      <c r="X4831" s="5" t="s">
        <v>72</v>
      </c>
      <c r="Y4831" s="4">
        <v>232</v>
      </c>
      <c r="Z4831" s="4">
        <v>13</v>
      </c>
      <c r="AA4831" s="4">
        <v>37</v>
      </c>
      <c r="AB4831" s="4">
        <v>2</v>
      </c>
      <c r="AC4831" s="4">
        <v>4</v>
      </c>
      <c r="AD4831" s="4">
        <v>55</v>
      </c>
      <c r="AE4831" s="4">
        <v>129</v>
      </c>
      <c r="AF4831" s="4">
        <v>1</v>
      </c>
      <c r="AG4831" s="4">
        <v>3</v>
      </c>
      <c r="AH4831" s="4">
        <v>46</v>
      </c>
      <c r="AI4831" s="4">
        <v>106</v>
      </c>
      <c r="AJ4831" s="4">
        <v>8</v>
      </c>
      <c r="AK4831" s="4">
        <v>20</v>
      </c>
      <c r="AL4831" s="4">
        <v>26</v>
      </c>
      <c r="AM4831" s="4">
        <v>58</v>
      </c>
      <c r="AN4831" s="4">
        <v>0</v>
      </c>
      <c r="AO4831" s="4">
        <v>0</v>
      </c>
      <c r="AP4831" s="4">
        <v>9</v>
      </c>
      <c r="AQ4831" s="4">
        <v>28</v>
      </c>
      <c r="AR4831" s="3" t="s">
        <v>64</v>
      </c>
      <c r="AS4831" s="3" t="s">
        <v>64</v>
      </c>
      <c r="AT4831" s="3" t="s">
        <v>128</v>
      </c>
      <c r="AU4831" s="6" t="str">
        <f>HYPERLINK("http://catalog.hathitrust.org/Record/001023088","HathiTrust Record")</f>
        <v>HathiTrust Record</v>
      </c>
      <c r="AV4831" s="6" t="str">
        <f>HYPERLINK("http://mcgill.on.worldcat.org/oclc/1848823","Catalog Record")</f>
        <v>Catalog Record</v>
      </c>
      <c r="AW4831" s="6" t="str">
        <f>HYPERLINK("http://www.worldcat.org/oclc/1848823","WorldCat Record")</f>
        <v>WorldCat Record</v>
      </c>
      <c r="AX4831" s="3" t="s">
        <v>46973</v>
      </c>
      <c r="AY4831" s="3" t="s">
        <v>46974</v>
      </c>
      <c r="AZ4831" s="3" t="s">
        <v>46975</v>
      </c>
      <c r="BA4831" s="3" t="s">
        <v>46975</v>
      </c>
      <c r="BB4831" s="3" t="s">
        <v>46976</v>
      </c>
      <c r="BC4831" s="3" t="s">
        <v>77</v>
      </c>
      <c r="BD4831" s="3" t="s">
        <v>78</v>
      </c>
      <c r="BF4831" s="3" t="s">
        <v>46976</v>
      </c>
      <c r="BG4831" s="3" t="s">
        <v>46977</v>
      </c>
      <c r="BH4831">
        <f t="shared" si="157"/>
        <v>0</v>
      </c>
    </row>
    <row r="4832" spans="1:60" ht="58" x14ac:dyDescent="0.35">
      <c r="A4832" s="2" t="s">
        <v>59</v>
      </c>
      <c r="B4832" s="2" t="s">
        <v>60</v>
      </c>
      <c r="C4832" s="2" t="s">
        <v>46978</v>
      </c>
      <c r="D4832" s="2" t="s">
        <v>46979</v>
      </c>
      <c r="E4832" s="2" t="s">
        <v>46980</v>
      </c>
      <c r="G4832" s="3" t="s">
        <v>64</v>
      </c>
      <c r="I4832" s="3" t="s">
        <v>64</v>
      </c>
      <c r="J4832" s="3" t="s">
        <v>128</v>
      </c>
      <c r="K4832" s="3" t="s">
        <v>65</v>
      </c>
      <c r="L4832" s="2" t="s">
        <v>46981</v>
      </c>
      <c r="M4832" s="2" t="s">
        <v>46982</v>
      </c>
      <c r="N4832" s="3" t="s">
        <v>421</v>
      </c>
      <c r="P4832" s="3" t="s">
        <v>102</v>
      </c>
      <c r="R4832" s="3" t="s">
        <v>70</v>
      </c>
      <c r="S4832" s="4">
        <v>5</v>
      </c>
      <c r="T4832" s="4">
        <v>5</v>
      </c>
      <c r="U4832" s="5" t="s">
        <v>7592</v>
      </c>
      <c r="V4832" s="5" t="s">
        <v>7592</v>
      </c>
      <c r="W4832" s="5" t="s">
        <v>72</v>
      </c>
      <c r="X4832" s="5" t="s">
        <v>72</v>
      </c>
      <c r="Y4832" s="4">
        <v>160</v>
      </c>
      <c r="Z4832" s="4">
        <v>9</v>
      </c>
      <c r="AA4832" s="4">
        <v>36</v>
      </c>
      <c r="AB4832" s="4">
        <v>2</v>
      </c>
      <c r="AC4832" s="4">
        <v>5</v>
      </c>
      <c r="AD4832" s="4">
        <v>55</v>
      </c>
      <c r="AE4832" s="4">
        <v>130</v>
      </c>
      <c r="AF4832" s="4">
        <v>1</v>
      </c>
      <c r="AG4832" s="4">
        <v>4</v>
      </c>
      <c r="AH4832" s="4">
        <v>50</v>
      </c>
      <c r="AI4832" s="4">
        <v>109</v>
      </c>
      <c r="AJ4832" s="4">
        <v>6</v>
      </c>
      <c r="AK4832" s="4">
        <v>25</v>
      </c>
      <c r="AL4832" s="4">
        <v>33</v>
      </c>
      <c r="AM4832" s="4">
        <v>59</v>
      </c>
      <c r="AN4832" s="4">
        <v>0</v>
      </c>
      <c r="AO4832" s="4">
        <v>0</v>
      </c>
      <c r="AP4832" s="4">
        <v>6</v>
      </c>
      <c r="AQ4832" s="4">
        <v>29</v>
      </c>
      <c r="AR4832" s="3" t="s">
        <v>64</v>
      </c>
      <c r="AS4832" s="3" t="s">
        <v>64</v>
      </c>
      <c r="AT4832" s="3" t="s">
        <v>64</v>
      </c>
      <c r="AV4832" s="6" t="str">
        <f>HYPERLINK("http://mcgill.on.worldcat.org/oclc/36252824","Catalog Record")</f>
        <v>Catalog Record</v>
      </c>
      <c r="AW4832" s="6" t="str">
        <f>HYPERLINK("http://www.worldcat.org/oclc/36252824","WorldCat Record")</f>
        <v>WorldCat Record</v>
      </c>
      <c r="AX4832" s="3" t="s">
        <v>46983</v>
      </c>
      <c r="AY4832" s="3" t="s">
        <v>46984</v>
      </c>
      <c r="AZ4832" s="3" t="s">
        <v>46985</v>
      </c>
      <c r="BA4832" s="3" t="s">
        <v>46985</v>
      </c>
      <c r="BB4832" s="3" t="s">
        <v>46986</v>
      </c>
      <c r="BC4832" s="3" t="s">
        <v>77</v>
      </c>
      <c r="BD4832" s="3" t="s">
        <v>165</v>
      </c>
      <c r="BE4832" s="3" t="s">
        <v>46987</v>
      </c>
      <c r="BF4832" s="3" t="s">
        <v>46986</v>
      </c>
      <c r="BG4832" s="3" t="s">
        <v>46988</v>
      </c>
      <c r="BH4832">
        <f t="shared" si="157"/>
        <v>0</v>
      </c>
    </row>
    <row r="4833" spans="1:60" ht="58" x14ac:dyDescent="0.35">
      <c r="A4833" s="2" t="s">
        <v>59</v>
      </c>
      <c r="B4833" s="2" t="s">
        <v>60</v>
      </c>
      <c r="C4833" s="2" t="s">
        <v>46989</v>
      </c>
      <c r="D4833" s="2" t="s">
        <v>46990</v>
      </c>
      <c r="E4833" s="2" t="s">
        <v>46991</v>
      </c>
      <c r="G4833" s="3" t="s">
        <v>64</v>
      </c>
      <c r="I4833" s="3" t="s">
        <v>128</v>
      </c>
      <c r="J4833" s="3" t="s">
        <v>64</v>
      </c>
      <c r="K4833" s="3" t="s">
        <v>65</v>
      </c>
      <c r="L4833" s="2" t="s">
        <v>35859</v>
      </c>
      <c r="M4833" s="2" t="s">
        <v>46992</v>
      </c>
      <c r="N4833" s="3" t="s">
        <v>17785</v>
      </c>
      <c r="P4833" s="3" t="s">
        <v>102</v>
      </c>
      <c r="R4833" s="3" t="s">
        <v>70</v>
      </c>
      <c r="S4833" s="4">
        <v>0</v>
      </c>
      <c r="T4833" s="4">
        <v>1</v>
      </c>
      <c r="V4833" s="5" t="s">
        <v>17797</v>
      </c>
      <c r="W4833" s="5" t="s">
        <v>72</v>
      </c>
      <c r="X4833" s="5" t="s">
        <v>72</v>
      </c>
      <c r="Y4833" s="4">
        <v>213</v>
      </c>
      <c r="Z4833" s="4">
        <v>14</v>
      </c>
      <c r="AA4833" s="4">
        <v>40</v>
      </c>
      <c r="AB4833" s="4">
        <v>2</v>
      </c>
      <c r="AC4833" s="4">
        <v>3</v>
      </c>
      <c r="AD4833" s="4">
        <v>79</v>
      </c>
      <c r="AE4833" s="4">
        <v>127</v>
      </c>
      <c r="AF4833" s="4">
        <v>0</v>
      </c>
      <c r="AG4833" s="4">
        <v>1</v>
      </c>
      <c r="AH4833" s="4">
        <v>74</v>
      </c>
      <c r="AI4833" s="4">
        <v>103</v>
      </c>
      <c r="AJ4833" s="4">
        <v>9</v>
      </c>
      <c r="AK4833" s="4">
        <v>23</v>
      </c>
      <c r="AL4833" s="4">
        <v>50</v>
      </c>
      <c r="AM4833" s="4">
        <v>57</v>
      </c>
      <c r="AN4833" s="4">
        <v>0</v>
      </c>
      <c r="AO4833" s="4">
        <v>0</v>
      </c>
      <c r="AP4833" s="4">
        <v>10</v>
      </c>
      <c r="AQ4833" s="4">
        <v>32</v>
      </c>
      <c r="AR4833" s="3" t="s">
        <v>64</v>
      </c>
      <c r="AS4833" s="3" t="s">
        <v>64</v>
      </c>
      <c r="AT4833" s="3" t="s">
        <v>128</v>
      </c>
      <c r="AU4833" s="6" t="str">
        <f>HYPERLINK("http://catalog.hathitrust.org/Record/001023082","HathiTrust Record")</f>
        <v>HathiTrust Record</v>
      </c>
      <c r="AV4833" s="6" t="str">
        <f>HYPERLINK("http://mcgill.on.worldcat.org/oclc/2198057","Catalog Record")</f>
        <v>Catalog Record</v>
      </c>
      <c r="AW4833" s="6" t="str">
        <f>HYPERLINK("http://www.worldcat.org/oclc/2198057","WorldCat Record")</f>
        <v>WorldCat Record</v>
      </c>
      <c r="AX4833" s="3" t="s">
        <v>46993</v>
      </c>
      <c r="AY4833" s="3" t="s">
        <v>46994</v>
      </c>
      <c r="AZ4833" s="3" t="s">
        <v>46995</v>
      </c>
      <c r="BA4833" s="3" t="s">
        <v>46995</v>
      </c>
      <c r="BB4833" s="3" t="s">
        <v>46996</v>
      </c>
      <c r="BC4833" s="3" t="s">
        <v>77</v>
      </c>
      <c r="BD4833" s="3" t="s">
        <v>78</v>
      </c>
      <c r="BF4833" s="3" t="s">
        <v>46996</v>
      </c>
      <c r="BG4833" s="3" t="s">
        <v>46997</v>
      </c>
      <c r="BH4833">
        <f t="shared" si="157"/>
        <v>0</v>
      </c>
    </row>
    <row r="4834" spans="1:60" ht="72.5" x14ac:dyDescent="0.35">
      <c r="A4834" s="2" t="s">
        <v>59</v>
      </c>
      <c r="B4834" s="2" t="s">
        <v>60</v>
      </c>
      <c r="C4834" s="2" t="s">
        <v>46998</v>
      </c>
      <c r="D4834" s="2" t="s">
        <v>46999</v>
      </c>
      <c r="E4834" s="2" t="s">
        <v>47000</v>
      </c>
      <c r="G4834" s="3" t="s">
        <v>64</v>
      </c>
      <c r="I4834" s="3" t="s">
        <v>64</v>
      </c>
      <c r="J4834" s="3" t="s">
        <v>64</v>
      </c>
      <c r="K4834" s="3" t="s">
        <v>65</v>
      </c>
      <c r="L4834" s="2" t="s">
        <v>47001</v>
      </c>
      <c r="M4834" s="2" t="s">
        <v>47002</v>
      </c>
      <c r="N4834" s="3" t="s">
        <v>537</v>
      </c>
      <c r="P4834" s="3" t="s">
        <v>944</v>
      </c>
      <c r="Q4834" s="2" t="s">
        <v>47003</v>
      </c>
      <c r="R4834" s="3" t="s">
        <v>70</v>
      </c>
      <c r="S4834" s="4">
        <v>0</v>
      </c>
      <c r="T4834" s="4">
        <v>0</v>
      </c>
      <c r="W4834" s="5" t="s">
        <v>72</v>
      </c>
      <c r="X4834" s="5" t="s">
        <v>72</v>
      </c>
      <c r="Y4834" s="4">
        <v>20</v>
      </c>
      <c r="Z4834" s="4">
        <v>2</v>
      </c>
      <c r="AA4834" s="4">
        <v>2</v>
      </c>
      <c r="AB4834" s="4">
        <v>1</v>
      </c>
      <c r="AC4834" s="4">
        <v>1</v>
      </c>
      <c r="AD4834" s="4">
        <v>18</v>
      </c>
      <c r="AE4834" s="4">
        <v>18</v>
      </c>
      <c r="AF4834" s="4">
        <v>0</v>
      </c>
      <c r="AG4834" s="4">
        <v>0</v>
      </c>
      <c r="AH4834" s="4">
        <v>17</v>
      </c>
      <c r="AI4834" s="4">
        <v>17</v>
      </c>
      <c r="AJ4834" s="4">
        <v>1</v>
      </c>
      <c r="AK4834" s="4">
        <v>1</v>
      </c>
      <c r="AL4834" s="4">
        <v>14</v>
      </c>
      <c r="AM4834" s="4">
        <v>14</v>
      </c>
      <c r="AN4834" s="4">
        <v>0</v>
      </c>
      <c r="AO4834" s="4">
        <v>0</v>
      </c>
      <c r="AP4834" s="4">
        <v>1</v>
      </c>
      <c r="AQ4834" s="4">
        <v>1</v>
      </c>
      <c r="AR4834" s="3" t="s">
        <v>64</v>
      </c>
      <c r="AS4834" s="3" t="s">
        <v>64</v>
      </c>
      <c r="AT4834" s="3" t="s">
        <v>64</v>
      </c>
      <c r="AV4834" s="6" t="str">
        <f>HYPERLINK("http://mcgill.on.worldcat.org/oclc/972329686","Catalog Record")</f>
        <v>Catalog Record</v>
      </c>
      <c r="AW4834" s="6" t="str">
        <f>HYPERLINK("http://www.worldcat.org/oclc/972329686","WorldCat Record")</f>
        <v>WorldCat Record</v>
      </c>
      <c r="AX4834" s="3" t="s">
        <v>47004</v>
      </c>
      <c r="AY4834" s="3" t="s">
        <v>47005</v>
      </c>
      <c r="AZ4834" s="3" t="s">
        <v>47006</v>
      </c>
      <c r="BA4834" s="3" t="s">
        <v>47006</v>
      </c>
      <c r="BB4834" s="3" t="s">
        <v>47007</v>
      </c>
      <c r="BC4834" s="3" t="s">
        <v>77</v>
      </c>
      <c r="BD4834" s="3" t="s">
        <v>78</v>
      </c>
      <c r="BE4834" s="3" t="s">
        <v>47008</v>
      </c>
      <c r="BF4834" s="3" t="s">
        <v>47007</v>
      </c>
      <c r="BG4834" s="3" t="s">
        <v>47009</v>
      </c>
      <c r="BH4834">
        <f t="shared" si="157"/>
        <v>0</v>
      </c>
    </row>
    <row r="4835" spans="1:60" ht="58" x14ac:dyDescent="0.35">
      <c r="A4835" s="2" t="s">
        <v>59</v>
      </c>
      <c r="B4835" s="2" t="s">
        <v>60</v>
      </c>
      <c r="C4835" s="2" t="s">
        <v>47010</v>
      </c>
      <c r="D4835" s="2" t="s">
        <v>47011</v>
      </c>
      <c r="E4835" s="2" t="s">
        <v>47012</v>
      </c>
      <c r="G4835" s="3" t="s">
        <v>64</v>
      </c>
      <c r="I4835" s="3" t="s">
        <v>64</v>
      </c>
      <c r="J4835" s="3" t="s">
        <v>64</v>
      </c>
      <c r="K4835" s="3" t="s">
        <v>65</v>
      </c>
      <c r="L4835" s="2" t="s">
        <v>45505</v>
      </c>
      <c r="M4835" s="2" t="s">
        <v>40431</v>
      </c>
      <c r="N4835" s="3" t="s">
        <v>266</v>
      </c>
      <c r="P4835" s="3" t="s">
        <v>68</v>
      </c>
      <c r="R4835" s="3" t="s">
        <v>70</v>
      </c>
      <c r="S4835" s="4">
        <v>2</v>
      </c>
      <c r="T4835" s="4">
        <v>2</v>
      </c>
      <c r="U4835" s="5" t="s">
        <v>28245</v>
      </c>
      <c r="V4835" s="5" t="s">
        <v>28245</v>
      </c>
      <c r="W4835" s="5" t="s">
        <v>72</v>
      </c>
      <c r="X4835" s="5" t="s">
        <v>72</v>
      </c>
      <c r="Y4835" s="4">
        <v>191</v>
      </c>
      <c r="Z4835" s="4">
        <v>25</v>
      </c>
      <c r="AA4835" s="4">
        <v>34</v>
      </c>
      <c r="AB4835" s="4">
        <v>3</v>
      </c>
      <c r="AC4835" s="4">
        <v>9</v>
      </c>
      <c r="AD4835" s="4">
        <v>92</v>
      </c>
      <c r="AE4835" s="4">
        <v>100</v>
      </c>
      <c r="AF4835" s="4">
        <v>1</v>
      </c>
      <c r="AG4835" s="4">
        <v>6</v>
      </c>
      <c r="AH4835" s="4">
        <v>78</v>
      </c>
      <c r="AI4835" s="4">
        <v>80</v>
      </c>
      <c r="AJ4835" s="4">
        <v>17</v>
      </c>
      <c r="AK4835" s="4">
        <v>23</v>
      </c>
      <c r="AL4835" s="4">
        <v>47</v>
      </c>
      <c r="AM4835" s="4">
        <v>47</v>
      </c>
      <c r="AN4835" s="4">
        <v>0</v>
      </c>
      <c r="AO4835" s="4">
        <v>0</v>
      </c>
      <c r="AP4835" s="4">
        <v>21</v>
      </c>
      <c r="AQ4835" s="4">
        <v>27</v>
      </c>
      <c r="AR4835" s="3" t="s">
        <v>128</v>
      </c>
      <c r="AS4835" s="3" t="s">
        <v>64</v>
      </c>
      <c r="AT4835" s="3" t="s">
        <v>128</v>
      </c>
      <c r="AU4835" s="6" t="str">
        <f>HYPERLINK("http://catalog.hathitrust.org/Record/000838419","HathiTrust Record")</f>
        <v>HathiTrust Record</v>
      </c>
      <c r="AV4835" s="6" t="str">
        <f>HYPERLINK("http://mcgill.on.worldcat.org/oclc/3657481","Catalog Record")</f>
        <v>Catalog Record</v>
      </c>
      <c r="AW4835" s="6" t="str">
        <f>HYPERLINK("http://www.worldcat.org/oclc/3657481","WorldCat Record")</f>
        <v>WorldCat Record</v>
      </c>
      <c r="AX4835" s="3" t="s">
        <v>47013</v>
      </c>
      <c r="AY4835" s="3" t="s">
        <v>47014</v>
      </c>
      <c r="AZ4835" s="3" t="s">
        <v>47015</v>
      </c>
      <c r="BA4835" s="3" t="s">
        <v>47015</v>
      </c>
      <c r="BB4835" s="3" t="s">
        <v>47016</v>
      </c>
      <c r="BC4835" s="3" t="s">
        <v>77</v>
      </c>
      <c r="BD4835" s="3" t="s">
        <v>78</v>
      </c>
      <c r="BF4835" s="3" t="s">
        <v>47016</v>
      </c>
      <c r="BG4835" s="3" t="s">
        <v>47017</v>
      </c>
      <c r="BH4835">
        <f t="shared" si="157"/>
        <v>0</v>
      </c>
    </row>
    <row r="4836" spans="1:60" ht="72.5" x14ac:dyDescent="0.35">
      <c r="A4836" s="2" t="s">
        <v>59</v>
      </c>
      <c r="B4836" s="2" t="s">
        <v>60</v>
      </c>
      <c r="C4836" s="2" t="s">
        <v>47018</v>
      </c>
      <c r="D4836" s="2" t="s">
        <v>47019</v>
      </c>
      <c r="E4836" s="2" t="s">
        <v>47020</v>
      </c>
      <c r="F4836" s="3" t="s">
        <v>6565</v>
      </c>
      <c r="G4836" s="3" t="s">
        <v>128</v>
      </c>
      <c r="I4836" s="3" t="s">
        <v>64</v>
      </c>
      <c r="J4836" s="3" t="s">
        <v>64</v>
      </c>
      <c r="K4836" s="3" t="s">
        <v>65</v>
      </c>
      <c r="L4836" s="2" t="s">
        <v>45505</v>
      </c>
      <c r="M4836" s="2" t="s">
        <v>47021</v>
      </c>
      <c r="N4836" s="3" t="s">
        <v>481</v>
      </c>
      <c r="P4836" s="3" t="s">
        <v>68</v>
      </c>
      <c r="R4836" s="3" t="s">
        <v>70</v>
      </c>
      <c r="S4836" s="4">
        <v>3</v>
      </c>
      <c r="T4836" s="4">
        <v>3</v>
      </c>
      <c r="U4836" s="5" t="s">
        <v>28245</v>
      </c>
      <c r="V4836" s="5" t="s">
        <v>28245</v>
      </c>
      <c r="W4836" s="5" t="s">
        <v>72</v>
      </c>
      <c r="X4836" s="5" t="s">
        <v>72</v>
      </c>
      <c r="Y4836" s="4">
        <v>45</v>
      </c>
      <c r="Z4836" s="4">
        <v>7</v>
      </c>
      <c r="AA4836" s="4">
        <v>18</v>
      </c>
      <c r="AB4836" s="4">
        <v>1</v>
      </c>
      <c r="AC4836" s="4">
        <v>6</v>
      </c>
      <c r="AD4836" s="4">
        <v>26</v>
      </c>
      <c r="AE4836" s="4">
        <v>62</v>
      </c>
      <c r="AF4836" s="4">
        <v>0</v>
      </c>
      <c r="AG4836" s="4">
        <v>4</v>
      </c>
      <c r="AH4836" s="4">
        <v>23</v>
      </c>
      <c r="AI4836" s="4">
        <v>52</v>
      </c>
      <c r="AJ4836" s="4">
        <v>4</v>
      </c>
      <c r="AK4836" s="4">
        <v>13</v>
      </c>
      <c r="AL4836" s="4">
        <v>14</v>
      </c>
      <c r="AM4836" s="4">
        <v>33</v>
      </c>
      <c r="AN4836" s="4">
        <v>0</v>
      </c>
      <c r="AO4836" s="4">
        <v>0</v>
      </c>
      <c r="AP4836" s="4">
        <v>6</v>
      </c>
      <c r="AQ4836" s="4">
        <v>13</v>
      </c>
      <c r="AR4836" s="3" t="s">
        <v>128</v>
      </c>
      <c r="AS4836" s="3" t="s">
        <v>64</v>
      </c>
      <c r="AT4836" s="3" t="s">
        <v>64</v>
      </c>
      <c r="AV4836" s="6" t="str">
        <f>HYPERLINK("http://mcgill.on.worldcat.org/oclc/25283691","Catalog Record")</f>
        <v>Catalog Record</v>
      </c>
      <c r="AW4836" s="6" t="str">
        <f>HYPERLINK("http://www.worldcat.org/oclc/25283691","WorldCat Record")</f>
        <v>WorldCat Record</v>
      </c>
      <c r="AX4836" s="3" t="s">
        <v>47022</v>
      </c>
      <c r="AY4836" s="3" t="s">
        <v>47023</v>
      </c>
      <c r="AZ4836" s="3" t="s">
        <v>47024</v>
      </c>
      <c r="BA4836" s="3" t="s">
        <v>47024</v>
      </c>
      <c r="BB4836" s="3" t="s">
        <v>47025</v>
      </c>
      <c r="BC4836" s="3" t="s">
        <v>77</v>
      </c>
      <c r="BD4836" s="3" t="s">
        <v>78</v>
      </c>
      <c r="BF4836" s="3" t="s">
        <v>47025</v>
      </c>
      <c r="BG4836" s="3" t="s">
        <v>47026</v>
      </c>
      <c r="BH4836">
        <f t="shared" si="157"/>
        <v>0</v>
      </c>
    </row>
    <row r="4837" spans="1:60" ht="87" x14ac:dyDescent="0.35">
      <c r="A4837" s="2" t="s">
        <v>59</v>
      </c>
      <c r="B4837" s="2" t="s">
        <v>47027</v>
      </c>
      <c r="C4837" s="2" t="s">
        <v>47028</v>
      </c>
      <c r="D4837" s="2" t="s">
        <v>47029</v>
      </c>
      <c r="E4837" s="2" t="s">
        <v>47030</v>
      </c>
      <c r="G4837" s="3" t="s">
        <v>64</v>
      </c>
      <c r="I4837" s="3" t="s">
        <v>128</v>
      </c>
      <c r="J4837" s="3" t="s">
        <v>64</v>
      </c>
      <c r="K4837" s="3" t="s">
        <v>65</v>
      </c>
      <c r="L4837" s="2" t="s">
        <v>47031</v>
      </c>
      <c r="M4837" s="2" t="s">
        <v>47032</v>
      </c>
      <c r="N4837" s="3" t="s">
        <v>304</v>
      </c>
      <c r="P4837" s="3" t="s">
        <v>102</v>
      </c>
      <c r="R4837" s="3" t="s">
        <v>70</v>
      </c>
      <c r="S4837" s="4">
        <v>1</v>
      </c>
      <c r="T4837" s="4">
        <v>3</v>
      </c>
      <c r="U4837" s="5" t="s">
        <v>47033</v>
      </c>
      <c r="V4837" s="5" t="s">
        <v>47033</v>
      </c>
      <c r="W4837" s="5" t="s">
        <v>72</v>
      </c>
      <c r="X4837" s="5" t="s">
        <v>72</v>
      </c>
      <c r="Y4837" s="4">
        <v>157</v>
      </c>
      <c r="Z4837" s="4">
        <v>8</v>
      </c>
      <c r="AA4837" s="4">
        <v>8</v>
      </c>
      <c r="AB4837" s="4">
        <v>1</v>
      </c>
      <c r="AC4837" s="4">
        <v>1</v>
      </c>
      <c r="AD4837" s="4">
        <v>54</v>
      </c>
      <c r="AE4837" s="4">
        <v>54</v>
      </c>
      <c r="AF4837" s="4">
        <v>0</v>
      </c>
      <c r="AG4837" s="4">
        <v>0</v>
      </c>
      <c r="AH4837" s="4">
        <v>48</v>
      </c>
      <c r="AI4837" s="4">
        <v>48</v>
      </c>
      <c r="AJ4837" s="4">
        <v>5</v>
      </c>
      <c r="AK4837" s="4">
        <v>5</v>
      </c>
      <c r="AL4837" s="4">
        <v>37</v>
      </c>
      <c r="AM4837" s="4">
        <v>37</v>
      </c>
      <c r="AN4837" s="4">
        <v>0</v>
      </c>
      <c r="AO4837" s="4">
        <v>0</v>
      </c>
      <c r="AP4837" s="4">
        <v>5</v>
      </c>
      <c r="AQ4837" s="4">
        <v>5</v>
      </c>
      <c r="AR4837" s="3" t="s">
        <v>64</v>
      </c>
      <c r="AS4837" s="3" t="s">
        <v>64</v>
      </c>
      <c r="AT4837" s="3" t="s">
        <v>128</v>
      </c>
      <c r="AU4837" s="6" t="str">
        <f>HYPERLINK("http://catalog.hathitrust.org/Record/001177901","HathiTrust Record")</f>
        <v>HathiTrust Record</v>
      </c>
      <c r="AV4837" s="6" t="str">
        <f>HYPERLINK("http://mcgill.on.worldcat.org/oclc/2092696","Catalog Record")</f>
        <v>Catalog Record</v>
      </c>
      <c r="AW4837" s="6" t="str">
        <f>HYPERLINK("http://www.worldcat.org/oclc/2092696","WorldCat Record")</f>
        <v>WorldCat Record</v>
      </c>
      <c r="AX4837" s="3" t="s">
        <v>47034</v>
      </c>
      <c r="AY4837" s="3" t="s">
        <v>47035</v>
      </c>
      <c r="AZ4837" s="3" t="s">
        <v>47036</v>
      </c>
      <c r="BA4837" s="3" t="s">
        <v>47036</v>
      </c>
      <c r="BB4837" s="3" t="s">
        <v>47037</v>
      </c>
      <c r="BC4837" s="3" t="s">
        <v>77</v>
      </c>
      <c r="BD4837" s="3" t="s">
        <v>78</v>
      </c>
      <c r="BF4837" s="3" t="s">
        <v>47037</v>
      </c>
      <c r="BG4837" s="3" t="s">
        <v>47038</v>
      </c>
      <c r="BH4837">
        <f t="shared" si="157"/>
        <v>0</v>
      </c>
    </row>
    <row r="4838" spans="1:60" ht="58" x14ac:dyDescent="0.35">
      <c r="A4838" s="2" t="s">
        <v>59</v>
      </c>
      <c r="B4838" s="2" t="s">
        <v>60</v>
      </c>
      <c r="C4838" s="2" t="s">
        <v>47039</v>
      </c>
      <c r="D4838" s="2" t="s">
        <v>47040</v>
      </c>
      <c r="E4838" s="2" t="s">
        <v>47041</v>
      </c>
      <c r="F4838" s="3" t="s">
        <v>525</v>
      </c>
      <c r="G4838" s="3" t="s">
        <v>128</v>
      </c>
      <c r="I4838" s="3" t="s">
        <v>64</v>
      </c>
      <c r="J4838" s="3" t="s">
        <v>64</v>
      </c>
      <c r="K4838" s="3" t="s">
        <v>65</v>
      </c>
      <c r="M4838" s="2" t="s">
        <v>47042</v>
      </c>
      <c r="N4838" s="3" t="s">
        <v>511</v>
      </c>
      <c r="P4838" s="3" t="s">
        <v>365</v>
      </c>
      <c r="R4838" s="3" t="s">
        <v>70</v>
      </c>
      <c r="S4838" s="4">
        <v>1</v>
      </c>
      <c r="T4838" s="4">
        <v>2</v>
      </c>
      <c r="U4838" s="5" t="s">
        <v>47043</v>
      </c>
      <c r="V4838" s="5" t="s">
        <v>47043</v>
      </c>
      <c r="W4838" s="5" t="s">
        <v>72</v>
      </c>
      <c r="X4838" s="5" t="s">
        <v>72</v>
      </c>
      <c r="Y4838" s="4">
        <v>23</v>
      </c>
      <c r="Z4838" s="4">
        <v>2</v>
      </c>
      <c r="AA4838" s="4">
        <v>2</v>
      </c>
      <c r="AB4838" s="4">
        <v>1</v>
      </c>
      <c r="AC4838" s="4">
        <v>1</v>
      </c>
      <c r="AD4838" s="4">
        <v>17</v>
      </c>
      <c r="AE4838" s="4">
        <v>17</v>
      </c>
      <c r="AF4838" s="4">
        <v>0</v>
      </c>
      <c r="AG4838" s="4">
        <v>0</v>
      </c>
      <c r="AH4838" s="4">
        <v>16</v>
      </c>
      <c r="AI4838" s="4">
        <v>16</v>
      </c>
      <c r="AJ4838" s="4">
        <v>1</v>
      </c>
      <c r="AK4838" s="4">
        <v>1</v>
      </c>
      <c r="AL4838" s="4">
        <v>12</v>
      </c>
      <c r="AM4838" s="4">
        <v>12</v>
      </c>
      <c r="AN4838" s="4">
        <v>0</v>
      </c>
      <c r="AO4838" s="4">
        <v>0</v>
      </c>
      <c r="AP4838" s="4">
        <v>1</v>
      </c>
      <c r="AQ4838" s="4">
        <v>1</v>
      </c>
      <c r="AR4838" s="3" t="s">
        <v>64</v>
      </c>
      <c r="AS4838" s="3" t="s">
        <v>64</v>
      </c>
      <c r="AT4838" s="3" t="s">
        <v>64</v>
      </c>
      <c r="AV4838" s="6" t="str">
        <f>HYPERLINK("http://mcgill.on.worldcat.org/oclc/694057404","Catalog Record")</f>
        <v>Catalog Record</v>
      </c>
      <c r="AW4838" s="6" t="str">
        <f>HYPERLINK("http://www.worldcat.org/oclc/694057404","WorldCat Record")</f>
        <v>WorldCat Record</v>
      </c>
      <c r="AX4838" s="3" t="s">
        <v>47044</v>
      </c>
      <c r="AY4838" s="3" t="s">
        <v>47045</v>
      </c>
      <c r="AZ4838" s="3" t="s">
        <v>47046</v>
      </c>
      <c r="BA4838" s="3" t="s">
        <v>47046</v>
      </c>
      <c r="BB4838" s="3" t="s">
        <v>47047</v>
      </c>
      <c r="BC4838" s="3" t="s">
        <v>77</v>
      </c>
      <c r="BD4838" s="3" t="s">
        <v>78</v>
      </c>
      <c r="BE4838" s="3" t="s">
        <v>47048</v>
      </c>
      <c r="BF4838" s="3" t="s">
        <v>47047</v>
      </c>
      <c r="BG4838" s="3" t="s">
        <v>47049</v>
      </c>
      <c r="BH4838">
        <f t="shared" si="157"/>
        <v>0</v>
      </c>
    </row>
    <row r="4839" spans="1:60" ht="58" x14ac:dyDescent="0.35">
      <c r="A4839" s="2" t="s">
        <v>59</v>
      </c>
      <c r="B4839" s="2" t="s">
        <v>60</v>
      </c>
      <c r="C4839" s="2" t="s">
        <v>47039</v>
      </c>
      <c r="D4839" s="2" t="s">
        <v>47040</v>
      </c>
      <c r="E4839" s="2" t="s">
        <v>47041</v>
      </c>
      <c r="F4839" s="3" t="s">
        <v>529</v>
      </c>
      <c r="G4839" s="3" t="s">
        <v>128</v>
      </c>
      <c r="I4839" s="3" t="s">
        <v>64</v>
      </c>
      <c r="J4839" s="3" t="s">
        <v>64</v>
      </c>
      <c r="K4839" s="3" t="s">
        <v>65</v>
      </c>
      <c r="M4839" s="2" t="s">
        <v>47042</v>
      </c>
      <c r="N4839" s="3" t="s">
        <v>511</v>
      </c>
      <c r="P4839" s="3" t="s">
        <v>365</v>
      </c>
      <c r="R4839" s="3" t="s">
        <v>70</v>
      </c>
      <c r="S4839" s="4">
        <v>1</v>
      </c>
      <c r="T4839" s="4">
        <v>2</v>
      </c>
      <c r="U4839" s="5" t="s">
        <v>47043</v>
      </c>
      <c r="V4839" s="5" t="s">
        <v>47043</v>
      </c>
      <c r="W4839" s="5" t="s">
        <v>72</v>
      </c>
      <c r="X4839" s="5" t="s">
        <v>72</v>
      </c>
      <c r="Y4839" s="4">
        <v>23</v>
      </c>
      <c r="Z4839" s="4">
        <v>2</v>
      </c>
      <c r="AA4839" s="4">
        <v>2</v>
      </c>
      <c r="AB4839" s="4">
        <v>1</v>
      </c>
      <c r="AC4839" s="4">
        <v>1</v>
      </c>
      <c r="AD4839" s="4">
        <v>17</v>
      </c>
      <c r="AE4839" s="4">
        <v>17</v>
      </c>
      <c r="AF4839" s="4">
        <v>0</v>
      </c>
      <c r="AG4839" s="4">
        <v>0</v>
      </c>
      <c r="AH4839" s="4">
        <v>16</v>
      </c>
      <c r="AI4839" s="4">
        <v>16</v>
      </c>
      <c r="AJ4839" s="4">
        <v>1</v>
      </c>
      <c r="AK4839" s="4">
        <v>1</v>
      </c>
      <c r="AL4839" s="4">
        <v>12</v>
      </c>
      <c r="AM4839" s="4">
        <v>12</v>
      </c>
      <c r="AN4839" s="4">
        <v>0</v>
      </c>
      <c r="AO4839" s="4">
        <v>0</v>
      </c>
      <c r="AP4839" s="4">
        <v>1</v>
      </c>
      <c r="AQ4839" s="4">
        <v>1</v>
      </c>
      <c r="AR4839" s="3" t="s">
        <v>64</v>
      </c>
      <c r="AS4839" s="3" t="s">
        <v>64</v>
      </c>
      <c r="AT4839" s="3" t="s">
        <v>64</v>
      </c>
      <c r="AV4839" s="6" t="str">
        <f>HYPERLINK("http://mcgill.on.worldcat.org/oclc/694057404","Catalog Record")</f>
        <v>Catalog Record</v>
      </c>
      <c r="AW4839" s="6" t="str">
        <f>HYPERLINK("http://www.worldcat.org/oclc/694057404","WorldCat Record")</f>
        <v>WorldCat Record</v>
      </c>
      <c r="AX4839" s="3" t="s">
        <v>47044</v>
      </c>
      <c r="AY4839" s="3" t="s">
        <v>47045</v>
      </c>
      <c r="AZ4839" s="3" t="s">
        <v>47046</v>
      </c>
      <c r="BA4839" s="3" t="s">
        <v>47046</v>
      </c>
      <c r="BB4839" s="3" t="s">
        <v>47050</v>
      </c>
      <c r="BC4839" s="3" t="s">
        <v>77</v>
      </c>
      <c r="BD4839" s="3" t="s">
        <v>78</v>
      </c>
      <c r="BE4839" s="3" t="s">
        <v>47048</v>
      </c>
      <c r="BF4839" s="3" t="s">
        <v>47050</v>
      </c>
      <c r="BG4839" s="3" t="s">
        <v>47051</v>
      </c>
      <c r="BH4839">
        <f t="shared" si="157"/>
        <v>0</v>
      </c>
    </row>
    <row r="4840" spans="1:60" ht="58" x14ac:dyDescent="0.35">
      <c r="A4840" s="2" t="s">
        <v>59</v>
      </c>
      <c r="B4840" s="2" t="s">
        <v>60</v>
      </c>
      <c r="C4840" s="2" t="s">
        <v>47052</v>
      </c>
      <c r="D4840" s="2" t="s">
        <v>47053</v>
      </c>
      <c r="E4840" s="2" t="s">
        <v>47054</v>
      </c>
      <c r="G4840" s="3" t="s">
        <v>64</v>
      </c>
      <c r="I4840" s="3" t="s">
        <v>64</v>
      </c>
      <c r="J4840" s="3" t="s">
        <v>64</v>
      </c>
      <c r="K4840" s="3" t="s">
        <v>65</v>
      </c>
      <c r="L4840" s="2" t="s">
        <v>47055</v>
      </c>
      <c r="M4840" s="2" t="s">
        <v>13365</v>
      </c>
      <c r="N4840" s="3" t="s">
        <v>253</v>
      </c>
      <c r="P4840" s="3" t="s">
        <v>68</v>
      </c>
      <c r="Q4840" s="2" t="s">
        <v>47056</v>
      </c>
      <c r="R4840" s="3" t="s">
        <v>70</v>
      </c>
      <c r="S4840" s="4">
        <v>0</v>
      </c>
      <c r="T4840" s="4">
        <v>0</v>
      </c>
      <c r="W4840" s="5" t="s">
        <v>72</v>
      </c>
      <c r="X4840" s="5" t="s">
        <v>72</v>
      </c>
      <c r="Y4840" s="4">
        <v>41</v>
      </c>
      <c r="Z4840" s="4">
        <v>8</v>
      </c>
      <c r="AA4840" s="4">
        <v>11</v>
      </c>
      <c r="AB4840" s="4">
        <v>1</v>
      </c>
      <c r="AC4840" s="4">
        <v>4</v>
      </c>
      <c r="AD4840" s="4">
        <v>28</v>
      </c>
      <c r="AE4840" s="4">
        <v>29</v>
      </c>
      <c r="AF4840" s="4">
        <v>0</v>
      </c>
      <c r="AG4840" s="4">
        <v>1</v>
      </c>
      <c r="AH4840" s="4">
        <v>25</v>
      </c>
      <c r="AI4840" s="4">
        <v>25</v>
      </c>
      <c r="AJ4840" s="4">
        <v>6</v>
      </c>
      <c r="AK4840" s="4">
        <v>7</v>
      </c>
      <c r="AL4840" s="4">
        <v>19</v>
      </c>
      <c r="AM4840" s="4">
        <v>19</v>
      </c>
      <c r="AN4840" s="4">
        <v>0</v>
      </c>
      <c r="AO4840" s="4">
        <v>0</v>
      </c>
      <c r="AP4840" s="4">
        <v>6</v>
      </c>
      <c r="AQ4840" s="4">
        <v>6</v>
      </c>
      <c r="AR4840" s="3" t="s">
        <v>64</v>
      </c>
      <c r="AS4840" s="3" t="s">
        <v>64</v>
      </c>
      <c r="AT4840" s="3" t="s">
        <v>64</v>
      </c>
      <c r="AV4840" s="6" t="str">
        <f>HYPERLINK("http://mcgill.on.worldcat.org/oclc/908086830","Catalog Record")</f>
        <v>Catalog Record</v>
      </c>
      <c r="AW4840" s="6" t="str">
        <f>HYPERLINK("http://www.worldcat.org/oclc/908086830","WorldCat Record")</f>
        <v>WorldCat Record</v>
      </c>
      <c r="AX4840" s="3" t="s">
        <v>47057</v>
      </c>
      <c r="AY4840" s="3" t="s">
        <v>47058</v>
      </c>
      <c r="AZ4840" s="3" t="s">
        <v>47059</v>
      </c>
      <c r="BA4840" s="3" t="s">
        <v>47059</v>
      </c>
      <c r="BB4840" s="3" t="s">
        <v>47060</v>
      </c>
      <c r="BC4840" s="3" t="s">
        <v>77</v>
      </c>
      <c r="BD4840" s="3" t="s">
        <v>78</v>
      </c>
      <c r="BE4840" s="3" t="s">
        <v>47061</v>
      </c>
      <c r="BF4840" s="3" t="s">
        <v>47060</v>
      </c>
      <c r="BG4840" s="3" t="s">
        <v>47062</v>
      </c>
      <c r="BH4840">
        <f t="shared" si="157"/>
        <v>0</v>
      </c>
    </row>
    <row r="4841" spans="1:60" ht="58" x14ac:dyDescent="0.35">
      <c r="A4841" s="2" t="s">
        <v>59</v>
      </c>
      <c r="B4841" s="2" t="s">
        <v>60</v>
      </c>
      <c r="C4841" s="2" t="s">
        <v>47063</v>
      </c>
      <c r="D4841" s="2" t="s">
        <v>47064</v>
      </c>
      <c r="E4841" s="2" t="s">
        <v>47065</v>
      </c>
      <c r="G4841" s="3" t="s">
        <v>64</v>
      </c>
      <c r="I4841" s="3" t="s">
        <v>64</v>
      </c>
      <c r="J4841" s="3" t="s">
        <v>64</v>
      </c>
      <c r="K4841" s="3" t="s">
        <v>65</v>
      </c>
      <c r="L4841" s="2" t="s">
        <v>47066</v>
      </c>
      <c r="M4841" s="2" t="s">
        <v>47067</v>
      </c>
      <c r="N4841" s="3" t="s">
        <v>1017</v>
      </c>
      <c r="P4841" s="3" t="s">
        <v>102</v>
      </c>
      <c r="R4841" s="3" t="s">
        <v>70</v>
      </c>
      <c r="S4841" s="4">
        <v>2</v>
      </c>
      <c r="T4841" s="4">
        <v>2</v>
      </c>
      <c r="U4841" s="5" t="s">
        <v>3035</v>
      </c>
      <c r="V4841" s="5" t="s">
        <v>3035</v>
      </c>
      <c r="W4841" s="5" t="s">
        <v>72</v>
      </c>
      <c r="X4841" s="5" t="s">
        <v>72</v>
      </c>
      <c r="Y4841" s="4">
        <v>716</v>
      </c>
      <c r="Z4841" s="4">
        <v>42</v>
      </c>
      <c r="AA4841" s="4">
        <v>49</v>
      </c>
      <c r="AB4841" s="4">
        <v>1</v>
      </c>
      <c r="AC4841" s="4">
        <v>6</v>
      </c>
      <c r="AD4841" s="4">
        <v>126</v>
      </c>
      <c r="AE4841" s="4">
        <v>132</v>
      </c>
      <c r="AF4841" s="4">
        <v>0</v>
      </c>
      <c r="AG4841" s="4">
        <v>4</v>
      </c>
      <c r="AH4841" s="4">
        <v>102</v>
      </c>
      <c r="AI4841" s="4">
        <v>104</v>
      </c>
      <c r="AJ4841" s="4">
        <v>20</v>
      </c>
      <c r="AK4841" s="4">
        <v>25</v>
      </c>
      <c r="AL4841" s="4">
        <v>57</v>
      </c>
      <c r="AM4841" s="4">
        <v>57</v>
      </c>
      <c r="AN4841" s="4">
        <v>0</v>
      </c>
      <c r="AO4841" s="4">
        <v>0</v>
      </c>
      <c r="AP4841" s="4">
        <v>30</v>
      </c>
      <c r="AQ4841" s="4">
        <v>35</v>
      </c>
      <c r="AR4841" s="3" t="s">
        <v>64</v>
      </c>
      <c r="AS4841" s="3" t="s">
        <v>64</v>
      </c>
      <c r="AT4841" s="3" t="s">
        <v>64</v>
      </c>
      <c r="AV4841" s="6" t="str">
        <f>HYPERLINK("http://mcgill.on.worldcat.org/oclc/102394","Catalog Record")</f>
        <v>Catalog Record</v>
      </c>
      <c r="AW4841" s="6" t="str">
        <f>HYPERLINK("http://www.worldcat.org/oclc/102394","WorldCat Record")</f>
        <v>WorldCat Record</v>
      </c>
      <c r="AX4841" s="3" t="s">
        <v>47068</v>
      </c>
      <c r="AY4841" s="3" t="s">
        <v>47069</v>
      </c>
      <c r="AZ4841" s="3" t="s">
        <v>47070</v>
      </c>
      <c r="BA4841" s="3" t="s">
        <v>47070</v>
      </c>
      <c r="BB4841" s="3" t="s">
        <v>47071</v>
      </c>
      <c r="BC4841" s="3" t="s">
        <v>77</v>
      </c>
      <c r="BD4841" s="3" t="s">
        <v>78</v>
      </c>
      <c r="BE4841" s="3" t="s">
        <v>47072</v>
      </c>
      <c r="BF4841" s="3" t="s">
        <v>47071</v>
      </c>
      <c r="BG4841" s="3" t="s">
        <v>47073</v>
      </c>
      <c r="BH4841">
        <f t="shared" si="157"/>
        <v>0</v>
      </c>
    </row>
    <row r="4842" spans="1:60" ht="58" x14ac:dyDescent="0.35">
      <c r="A4842" s="2" t="s">
        <v>59</v>
      </c>
      <c r="B4842" s="2" t="s">
        <v>60</v>
      </c>
      <c r="C4842" s="2" t="s">
        <v>47074</v>
      </c>
      <c r="D4842" s="2" t="s">
        <v>47075</v>
      </c>
      <c r="E4842" s="2" t="s">
        <v>47076</v>
      </c>
      <c r="F4842" s="3" t="s">
        <v>529</v>
      </c>
      <c r="G4842" s="3" t="s">
        <v>128</v>
      </c>
      <c r="I4842" s="3" t="s">
        <v>128</v>
      </c>
      <c r="J4842" s="3" t="s">
        <v>64</v>
      </c>
      <c r="K4842" s="3" t="s">
        <v>65</v>
      </c>
      <c r="L4842" s="2" t="s">
        <v>47077</v>
      </c>
      <c r="M4842" s="2" t="s">
        <v>47078</v>
      </c>
      <c r="N4842" s="3" t="s">
        <v>326</v>
      </c>
      <c r="P4842" s="3" t="s">
        <v>102</v>
      </c>
      <c r="R4842" s="3" t="s">
        <v>70</v>
      </c>
      <c r="S4842" s="4">
        <v>1</v>
      </c>
      <c r="T4842" s="4">
        <v>3</v>
      </c>
      <c r="U4842" s="5" t="s">
        <v>10720</v>
      </c>
      <c r="V4842" s="5" t="s">
        <v>10720</v>
      </c>
      <c r="W4842" s="5" t="s">
        <v>72</v>
      </c>
      <c r="X4842" s="5" t="s">
        <v>72</v>
      </c>
      <c r="Y4842" s="4">
        <v>204</v>
      </c>
      <c r="Z4842" s="4">
        <v>22</v>
      </c>
      <c r="AA4842" s="4">
        <v>24</v>
      </c>
      <c r="AB4842" s="4">
        <v>1</v>
      </c>
      <c r="AC4842" s="4">
        <v>3</v>
      </c>
      <c r="AD4842" s="4">
        <v>72</v>
      </c>
      <c r="AE4842" s="4">
        <v>74</v>
      </c>
      <c r="AF4842" s="4">
        <v>0</v>
      </c>
      <c r="AG4842" s="4">
        <v>2</v>
      </c>
      <c r="AH4842" s="4">
        <v>66</v>
      </c>
      <c r="AI4842" s="4">
        <v>66</v>
      </c>
      <c r="AJ4842" s="4">
        <v>10</v>
      </c>
      <c r="AK4842" s="4">
        <v>12</v>
      </c>
      <c r="AL4842" s="4">
        <v>39</v>
      </c>
      <c r="AM4842" s="4">
        <v>39</v>
      </c>
      <c r="AN4842" s="4">
        <v>0</v>
      </c>
      <c r="AO4842" s="4">
        <v>0</v>
      </c>
      <c r="AP4842" s="4">
        <v>12</v>
      </c>
      <c r="AQ4842" s="4">
        <v>13</v>
      </c>
      <c r="AR4842" s="3" t="s">
        <v>64</v>
      </c>
      <c r="AS4842" s="3" t="s">
        <v>64</v>
      </c>
      <c r="AT4842" s="3" t="s">
        <v>64</v>
      </c>
      <c r="AV4842" s="6" t="str">
        <f>HYPERLINK("http://mcgill.on.worldcat.org/oclc/700205619","Catalog Record")</f>
        <v>Catalog Record</v>
      </c>
      <c r="AW4842" s="6" t="str">
        <f>HYPERLINK("http://www.worldcat.org/oclc/700205619","WorldCat Record")</f>
        <v>WorldCat Record</v>
      </c>
      <c r="AX4842" s="3" t="s">
        <v>47079</v>
      </c>
      <c r="AY4842" s="3" t="s">
        <v>47080</v>
      </c>
      <c r="AZ4842" s="3" t="s">
        <v>47081</v>
      </c>
      <c r="BA4842" s="3" t="s">
        <v>47081</v>
      </c>
      <c r="BB4842" s="3" t="s">
        <v>47082</v>
      </c>
      <c r="BC4842" s="3" t="s">
        <v>77</v>
      </c>
      <c r="BD4842" s="3" t="s">
        <v>78</v>
      </c>
      <c r="BE4842" s="3" t="s">
        <v>47083</v>
      </c>
      <c r="BF4842" s="3" t="s">
        <v>47082</v>
      </c>
      <c r="BG4842" s="3" t="s">
        <v>47084</v>
      </c>
      <c r="BH4842">
        <f t="shared" si="157"/>
        <v>0</v>
      </c>
    </row>
    <row r="4843" spans="1:60" ht="58" x14ac:dyDescent="0.35">
      <c r="A4843" s="2" t="s">
        <v>59</v>
      </c>
      <c r="B4843" s="2" t="s">
        <v>60</v>
      </c>
      <c r="C4843" s="2" t="s">
        <v>47074</v>
      </c>
      <c r="D4843" s="2" t="s">
        <v>47075</v>
      </c>
      <c r="E4843" s="2" t="s">
        <v>47076</v>
      </c>
      <c r="F4843" s="3" t="s">
        <v>525</v>
      </c>
      <c r="G4843" s="3" t="s">
        <v>128</v>
      </c>
      <c r="I4843" s="3" t="s">
        <v>128</v>
      </c>
      <c r="J4843" s="3" t="s">
        <v>64</v>
      </c>
      <c r="K4843" s="3" t="s">
        <v>65</v>
      </c>
      <c r="L4843" s="2" t="s">
        <v>47077</v>
      </c>
      <c r="M4843" s="2" t="s">
        <v>47078</v>
      </c>
      <c r="N4843" s="3" t="s">
        <v>326</v>
      </c>
      <c r="P4843" s="3" t="s">
        <v>102</v>
      </c>
      <c r="R4843" s="3" t="s">
        <v>70</v>
      </c>
      <c r="S4843" s="4">
        <v>1</v>
      </c>
      <c r="T4843" s="4">
        <v>3</v>
      </c>
      <c r="U4843" s="5" t="s">
        <v>10720</v>
      </c>
      <c r="V4843" s="5" t="s">
        <v>10720</v>
      </c>
      <c r="W4843" s="5" t="s">
        <v>72</v>
      </c>
      <c r="X4843" s="5" t="s">
        <v>72</v>
      </c>
      <c r="Y4843" s="4">
        <v>204</v>
      </c>
      <c r="Z4843" s="4">
        <v>22</v>
      </c>
      <c r="AA4843" s="4">
        <v>24</v>
      </c>
      <c r="AB4843" s="4">
        <v>1</v>
      </c>
      <c r="AC4843" s="4">
        <v>3</v>
      </c>
      <c r="AD4843" s="4">
        <v>72</v>
      </c>
      <c r="AE4843" s="4">
        <v>74</v>
      </c>
      <c r="AF4843" s="4">
        <v>0</v>
      </c>
      <c r="AG4843" s="4">
        <v>2</v>
      </c>
      <c r="AH4843" s="4">
        <v>66</v>
      </c>
      <c r="AI4843" s="4">
        <v>66</v>
      </c>
      <c r="AJ4843" s="4">
        <v>10</v>
      </c>
      <c r="AK4843" s="4">
        <v>12</v>
      </c>
      <c r="AL4843" s="4">
        <v>39</v>
      </c>
      <c r="AM4843" s="4">
        <v>39</v>
      </c>
      <c r="AN4843" s="4">
        <v>0</v>
      </c>
      <c r="AO4843" s="4">
        <v>0</v>
      </c>
      <c r="AP4843" s="4">
        <v>12</v>
      </c>
      <c r="AQ4843" s="4">
        <v>13</v>
      </c>
      <c r="AR4843" s="3" t="s">
        <v>64</v>
      </c>
      <c r="AS4843" s="3" t="s">
        <v>64</v>
      </c>
      <c r="AT4843" s="3" t="s">
        <v>64</v>
      </c>
      <c r="AV4843" s="6" t="str">
        <f>HYPERLINK("http://mcgill.on.worldcat.org/oclc/700205619","Catalog Record")</f>
        <v>Catalog Record</v>
      </c>
      <c r="AW4843" s="6" t="str">
        <f>HYPERLINK("http://www.worldcat.org/oclc/700205619","WorldCat Record")</f>
        <v>WorldCat Record</v>
      </c>
      <c r="AX4843" s="3" t="s">
        <v>47079</v>
      </c>
      <c r="AY4843" s="3" t="s">
        <v>47080</v>
      </c>
      <c r="AZ4843" s="3" t="s">
        <v>47081</v>
      </c>
      <c r="BA4843" s="3" t="s">
        <v>47081</v>
      </c>
      <c r="BB4843" s="3" t="s">
        <v>47085</v>
      </c>
      <c r="BC4843" s="3" t="s">
        <v>77</v>
      </c>
      <c r="BD4843" s="3" t="s">
        <v>78</v>
      </c>
      <c r="BE4843" s="3" t="s">
        <v>47083</v>
      </c>
      <c r="BF4843" s="3" t="s">
        <v>47085</v>
      </c>
      <c r="BG4843" s="3" t="s">
        <v>47086</v>
      </c>
      <c r="BH4843">
        <f t="shared" si="157"/>
        <v>0</v>
      </c>
    </row>
    <row r="4844" spans="1:60" ht="58" x14ac:dyDescent="0.35">
      <c r="A4844" s="2" t="s">
        <v>59</v>
      </c>
      <c r="B4844" s="2" t="s">
        <v>60</v>
      </c>
      <c r="C4844" s="2" t="s">
        <v>47074</v>
      </c>
      <c r="D4844" s="2" t="s">
        <v>47075</v>
      </c>
      <c r="E4844" s="2" t="s">
        <v>47076</v>
      </c>
      <c r="F4844" s="3" t="s">
        <v>509</v>
      </c>
      <c r="G4844" s="3" t="s">
        <v>128</v>
      </c>
      <c r="I4844" s="3" t="s">
        <v>128</v>
      </c>
      <c r="J4844" s="3" t="s">
        <v>64</v>
      </c>
      <c r="K4844" s="3" t="s">
        <v>65</v>
      </c>
      <c r="L4844" s="2" t="s">
        <v>47077</v>
      </c>
      <c r="M4844" s="2" t="s">
        <v>47078</v>
      </c>
      <c r="N4844" s="3" t="s">
        <v>326</v>
      </c>
      <c r="P4844" s="3" t="s">
        <v>102</v>
      </c>
      <c r="R4844" s="3" t="s">
        <v>70</v>
      </c>
      <c r="S4844" s="4">
        <v>1</v>
      </c>
      <c r="T4844" s="4">
        <v>3</v>
      </c>
      <c r="U4844" s="5" t="s">
        <v>10720</v>
      </c>
      <c r="V4844" s="5" t="s">
        <v>10720</v>
      </c>
      <c r="W4844" s="5" t="s">
        <v>72</v>
      </c>
      <c r="X4844" s="5" t="s">
        <v>72</v>
      </c>
      <c r="Y4844" s="4">
        <v>204</v>
      </c>
      <c r="Z4844" s="4">
        <v>22</v>
      </c>
      <c r="AA4844" s="4">
        <v>24</v>
      </c>
      <c r="AB4844" s="4">
        <v>1</v>
      </c>
      <c r="AC4844" s="4">
        <v>3</v>
      </c>
      <c r="AD4844" s="4">
        <v>72</v>
      </c>
      <c r="AE4844" s="4">
        <v>74</v>
      </c>
      <c r="AF4844" s="4">
        <v>0</v>
      </c>
      <c r="AG4844" s="4">
        <v>2</v>
      </c>
      <c r="AH4844" s="4">
        <v>66</v>
      </c>
      <c r="AI4844" s="4">
        <v>66</v>
      </c>
      <c r="AJ4844" s="4">
        <v>10</v>
      </c>
      <c r="AK4844" s="4">
        <v>12</v>
      </c>
      <c r="AL4844" s="4">
        <v>39</v>
      </c>
      <c r="AM4844" s="4">
        <v>39</v>
      </c>
      <c r="AN4844" s="4">
        <v>0</v>
      </c>
      <c r="AO4844" s="4">
        <v>0</v>
      </c>
      <c r="AP4844" s="4">
        <v>12</v>
      </c>
      <c r="AQ4844" s="4">
        <v>13</v>
      </c>
      <c r="AR4844" s="3" t="s">
        <v>64</v>
      </c>
      <c r="AS4844" s="3" t="s">
        <v>64</v>
      </c>
      <c r="AT4844" s="3" t="s">
        <v>64</v>
      </c>
      <c r="AV4844" s="6" t="str">
        <f>HYPERLINK("http://mcgill.on.worldcat.org/oclc/700205619","Catalog Record")</f>
        <v>Catalog Record</v>
      </c>
      <c r="AW4844" s="6" t="str">
        <f>HYPERLINK("http://www.worldcat.org/oclc/700205619","WorldCat Record")</f>
        <v>WorldCat Record</v>
      </c>
      <c r="AX4844" s="3" t="s">
        <v>47079</v>
      </c>
      <c r="AY4844" s="3" t="s">
        <v>47080</v>
      </c>
      <c r="AZ4844" s="3" t="s">
        <v>47081</v>
      </c>
      <c r="BA4844" s="3" t="s">
        <v>47081</v>
      </c>
      <c r="BB4844" s="3" t="s">
        <v>47087</v>
      </c>
      <c r="BC4844" s="3" t="s">
        <v>77</v>
      </c>
      <c r="BD4844" s="3" t="s">
        <v>78</v>
      </c>
      <c r="BE4844" s="3" t="s">
        <v>47083</v>
      </c>
      <c r="BF4844" s="3" t="s">
        <v>47087</v>
      </c>
      <c r="BG4844" s="3" t="s">
        <v>47088</v>
      </c>
      <c r="BH4844">
        <f t="shared" si="157"/>
        <v>0</v>
      </c>
    </row>
    <row r="4845" spans="1:60" ht="58" x14ac:dyDescent="0.35">
      <c r="A4845" s="2" t="s">
        <v>59</v>
      </c>
      <c r="B4845" s="2" t="s">
        <v>60</v>
      </c>
      <c r="C4845" s="2" t="s">
        <v>47089</v>
      </c>
      <c r="D4845" s="2" t="s">
        <v>47090</v>
      </c>
      <c r="E4845" s="2" t="s">
        <v>47091</v>
      </c>
      <c r="G4845" s="3" t="s">
        <v>64</v>
      </c>
      <c r="I4845" s="3" t="s">
        <v>128</v>
      </c>
      <c r="J4845" s="3" t="s">
        <v>64</v>
      </c>
      <c r="K4845" s="3" t="s">
        <v>65</v>
      </c>
      <c r="L4845" s="2" t="s">
        <v>47092</v>
      </c>
      <c r="M4845" s="2" t="s">
        <v>47093</v>
      </c>
      <c r="N4845" s="3" t="s">
        <v>1004</v>
      </c>
      <c r="P4845" s="3" t="s">
        <v>102</v>
      </c>
      <c r="R4845" s="3" t="s">
        <v>70</v>
      </c>
      <c r="S4845" s="4">
        <v>0</v>
      </c>
      <c r="T4845" s="4">
        <v>2</v>
      </c>
      <c r="V4845" s="5" t="s">
        <v>2763</v>
      </c>
      <c r="W4845" s="5" t="s">
        <v>72</v>
      </c>
      <c r="X4845" s="5" t="s">
        <v>72</v>
      </c>
      <c r="Y4845" s="4">
        <v>37</v>
      </c>
      <c r="Z4845" s="4">
        <v>22</v>
      </c>
      <c r="AA4845" s="4">
        <v>25</v>
      </c>
      <c r="AB4845" s="4">
        <v>2</v>
      </c>
      <c r="AC4845" s="4">
        <v>4</v>
      </c>
      <c r="AD4845" s="4">
        <v>23</v>
      </c>
      <c r="AE4845" s="4">
        <v>25</v>
      </c>
      <c r="AF4845" s="4">
        <v>1</v>
      </c>
      <c r="AG4845" s="4">
        <v>2</v>
      </c>
      <c r="AH4845" s="4">
        <v>16</v>
      </c>
      <c r="AI4845" s="4">
        <v>17</v>
      </c>
      <c r="AJ4845" s="4">
        <v>15</v>
      </c>
      <c r="AK4845" s="4">
        <v>16</v>
      </c>
      <c r="AL4845" s="4">
        <v>3</v>
      </c>
      <c r="AM4845" s="4">
        <v>3</v>
      </c>
      <c r="AN4845" s="4">
        <v>0</v>
      </c>
      <c r="AO4845" s="4">
        <v>0</v>
      </c>
      <c r="AP4845" s="4">
        <v>16</v>
      </c>
      <c r="AQ4845" s="4">
        <v>18</v>
      </c>
      <c r="AR4845" s="3" t="s">
        <v>128</v>
      </c>
      <c r="AS4845" s="3" t="s">
        <v>64</v>
      </c>
      <c r="AT4845" s="3" t="s">
        <v>64</v>
      </c>
      <c r="AV4845" s="6" t="str">
        <f>HYPERLINK("http://mcgill.on.worldcat.org/oclc/16056686","Catalog Record")</f>
        <v>Catalog Record</v>
      </c>
      <c r="AW4845" s="6" t="str">
        <f>HYPERLINK("http://www.worldcat.org/oclc/16056686","WorldCat Record")</f>
        <v>WorldCat Record</v>
      </c>
      <c r="AX4845" s="3" t="s">
        <v>47094</v>
      </c>
      <c r="AY4845" s="3" t="s">
        <v>47095</v>
      </c>
      <c r="AZ4845" s="3" t="s">
        <v>47096</v>
      </c>
      <c r="BA4845" s="3" t="s">
        <v>47096</v>
      </c>
      <c r="BB4845" s="3" t="s">
        <v>47097</v>
      </c>
      <c r="BC4845" s="3" t="s">
        <v>77</v>
      </c>
      <c r="BD4845" s="3" t="s">
        <v>78</v>
      </c>
      <c r="BF4845" s="3" t="s">
        <v>47097</v>
      </c>
      <c r="BG4845" s="3" t="s">
        <v>47098</v>
      </c>
      <c r="BH4845">
        <f t="shared" si="157"/>
        <v>0</v>
      </c>
    </row>
    <row r="4846" spans="1:60" ht="58" x14ac:dyDescent="0.35">
      <c r="A4846" s="2" t="s">
        <v>59</v>
      </c>
      <c r="B4846" s="2" t="s">
        <v>60</v>
      </c>
      <c r="C4846" s="2" t="s">
        <v>47099</v>
      </c>
      <c r="D4846" s="2" t="s">
        <v>47100</v>
      </c>
      <c r="E4846" s="2" t="s">
        <v>47101</v>
      </c>
      <c r="G4846" s="3" t="s">
        <v>64</v>
      </c>
      <c r="I4846" s="3" t="s">
        <v>64</v>
      </c>
      <c r="J4846" s="3" t="s">
        <v>64</v>
      </c>
      <c r="K4846" s="3" t="s">
        <v>65</v>
      </c>
      <c r="L4846" s="2" t="s">
        <v>47102</v>
      </c>
      <c r="M4846" s="2" t="s">
        <v>24405</v>
      </c>
      <c r="N4846" s="3" t="s">
        <v>3428</v>
      </c>
      <c r="P4846" s="3" t="s">
        <v>102</v>
      </c>
      <c r="Q4846" s="2" t="s">
        <v>47103</v>
      </c>
      <c r="R4846" s="3" t="s">
        <v>70</v>
      </c>
      <c r="S4846" s="4">
        <v>1</v>
      </c>
      <c r="T4846" s="4">
        <v>1</v>
      </c>
      <c r="U4846" s="5" t="s">
        <v>28950</v>
      </c>
      <c r="V4846" s="5" t="s">
        <v>28950</v>
      </c>
      <c r="W4846" s="5" t="s">
        <v>72</v>
      </c>
      <c r="X4846" s="5" t="s">
        <v>72</v>
      </c>
      <c r="Y4846" s="4">
        <v>206</v>
      </c>
      <c r="Z4846" s="4">
        <v>14</v>
      </c>
      <c r="AA4846" s="4">
        <v>14</v>
      </c>
      <c r="AB4846" s="4">
        <v>1</v>
      </c>
      <c r="AC4846" s="4">
        <v>1</v>
      </c>
      <c r="AD4846" s="4">
        <v>85</v>
      </c>
      <c r="AE4846" s="4">
        <v>85</v>
      </c>
      <c r="AF4846" s="4">
        <v>0</v>
      </c>
      <c r="AG4846" s="4">
        <v>0</v>
      </c>
      <c r="AH4846" s="4">
        <v>78</v>
      </c>
      <c r="AI4846" s="4">
        <v>78</v>
      </c>
      <c r="AJ4846" s="4">
        <v>11</v>
      </c>
      <c r="AK4846" s="4">
        <v>11</v>
      </c>
      <c r="AL4846" s="4">
        <v>48</v>
      </c>
      <c r="AM4846" s="4">
        <v>48</v>
      </c>
      <c r="AN4846" s="4">
        <v>0</v>
      </c>
      <c r="AO4846" s="4">
        <v>0</v>
      </c>
      <c r="AP4846" s="4">
        <v>11</v>
      </c>
      <c r="AQ4846" s="4">
        <v>11</v>
      </c>
      <c r="AR4846" s="3" t="s">
        <v>64</v>
      </c>
      <c r="AS4846" s="3" t="s">
        <v>64</v>
      </c>
      <c r="AT4846" s="3" t="s">
        <v>128</v>
      </c>
      <c r="AU4846" s="6" t="str">
        <f>HYPERLINK("http://catalog.hathitrust.org/Record/002978960","HathiTrust Record")</f>
        <v>HathiTrust Record</v>
      </c>
      <c r="AV4846" s="6" t="str">
        <f>HYPERLINK("http://mcgill.on.worldcat.org/oclc/31411160","Catalog Record")</f>
        <v>Catalog Record</v>
      </c>
      <c r="AW4846" s="6" t="str">
        <f>HYPERLINK("http://www.worldcat.org/oclc/31411160","WorldCat Record")</f>
        <v>WorldCat Record</v>
      </c>
      <c r="AX4846" s="3" t="s">
        <v>47104</v>
      </c>
      <c r="AY4846" s="3" t="s">
        <v>47105</v>
      </c>
      <c r="AZ4846" s="3" t="s">
        <v>47106</v>
      </c>
      <c r="BA4846" s="3" t="s">
        <v>47106</v>
      </c>
      <c r="BB4846" s="3" t="s">
        <v>47107</v>
      </c>
      <c r="BC4846" s="3" t="s">
        <v>77</v>
      </c>
      <c r="BD4846" s="3" t="s">
        <v>78</v>
      </c>
      <c r="BE4846" s="3" t="s">
        <v>47108</v>
      </c>
      <c r="BF4846" s="3" t="s">
        <v>47107</v>
      </c>
      <c r="BG4846" s="3" t="s">
        <v>47109</v>
      </c>
      <c r="BH4846">
        <f t="shared" si="157"/>
        <v>0</v>
      </c>
    </row>
    <row r="4847" spans="1:60" ht="58" x14ac:dyDescent="0.35">
      <c r="A4847" s="2" t="s">
        <v>59</v>
      </c>
      <c r="B4847" s="2" t="s">
        <v>60</v>
      </c>
      <c r="C4847" s="2" t="s">
        <v>47110</v>
      </c>
      <c r="D4847" s="2" t="s">
        <v>47111</v>
      </c>
      <c r="E4847" s="2" t="s">
        <v>47112</v>
      </c>
      <c r="G4847" s="3" t="s">
        <v>64</v>
      </c>
      <c r="I4847" s="3" t="s">
        <v>64</v>
      </c>
      <c r="J4847" s="3" t="s">
        <v>64</v>
      </c>
      <c r="K4847" s="3" t="s">
        <v>65</v>
      </c>
      <c r="L4847" s="2" t="s">
        <v>47113</v>
      </c>
      <c r="M4847" s="2" t="s">
        <v>47114</v>
      </c>
      <c r="N4847" s="3" t="s">
        <v>364</v>
      </c>
      <c r="P4847" s="3" t="s">
        <v>1479</v>
      </c>
      <c r="R4847" s="3" t="s">
        <v>70</v>
      </c>
      <c r="S4847" s="4">
        <v>3</v>
      </c>
      <c r="T4847" s="4">
        <v>3</v>
      </c>
      <c r="U4847" s="5" t="s">
        <v>47115</v>
      </c>
      <c r="V4847" s="5" t="s">
        <v>47115</v>
      </c>
      <c r="W4847" s="5" t="s">
        <v>72</v>
      </c>
      <c r="X4847" s="5" t="s">
        <v>72</v>
      </c>
      <c r="Y4847" s="4">
        <v>235</v>
      </c>
      <c r="Z4847" s="4">
        <v>17</v>
      </c>
      <c r="AA4847" s="4">
        <v>20</v>
      </c>
      <c r="AB4847" s="4">
        <v>1</v>
      </c>
      <c r="AC4847" s="4">
        <v>2</v>
      </c>
      <c r="AD4847" s="4">
        <v>95</v>
      </c>
      <c r="AE4847" s="4">
        <v>106</v>
      </c>
      <c r="AF4847" s="4">
        <v>0</v>
      </c>
      <c r="AG4847" s="4">
        <v>1</v>
      </c>
      <c r="AH4847" s="4">
        <v>84</v>
      </c>
      <c r="AI4847" s="4">
        <v>94</v>
      </c>
      <c r="AJ4847" s="4">
        <v>15</v>
      </c>
      <c r="AK4847" s="4">
        <v>18</v>
      </c>
      <c r="AL4847" s="4">
        <v>51</v>
      </c>
      <c r="AM4847" s="4">
        <v>55</v>
      </c>
      <c r="AN4847" s="4">
        <v>0</v>
      </c>
      <c r="AO4847" s="4">
        <v>0</v>
      </c>
      <c r="AP4847" s="4">
        <v>14</v>
      </c>
      <c r="AQ4847" s="4">
        <v>17</v>
      </c>
      <c r="AR4847" s="3" t="s">
        <v>64</v>
      </c>
      <c r="AS4847" s="3" t="s">
        <v>64</v>
      </c>
      <c r="AT4847" s="3" t="s">
        <v>128</v>
      </c>
      <c r="AU4847" s="6" t="str">
        <f>HYPERLINK("http://catalog.hathitrust.org/Record/000149981","HathiTrust Record")</f>
        <v>HathiTrust Record</v>
      </c>
      <c r="AV4847" s="6" t="str">
        <f>HYPERLINK("http://mcgill.on.worldcat.org/oclc/1348395","Catalog Record")</f>
        <v>Catalog Record</v>
      </c>
      <c r="AW4847" s="6" t="str">
        <f>HYPERLINK("http://www.worldcat.org/oclc/1348395","WorldCat Record")</f>
        <v>WorldCat Record</v>
      </c>
      <c r="AX4847" s="3" t="s">
        <v>47116</v>
      </c>
      <c r="AY4847" s="3" t="s">
        <v>47117</v>
      </c>
      <c r="AZ4847" s="3" t="s">
        <v>47118</v>
      </c>
      <c r="BA4847" s="3" t="s">
        <v>47118</v>
      </c>
      <c r="BB4847" s="3" t="s">
        <v>47119</v>
      </c>
      <c r="BC4847" s="3" t="s">
        <v>77</v>
      </c>
      <c r="BD4847" s="3" t="s">
        <v>78</v>
      </c>
      <c r="BF4847" s="3" t="s">
        <v>47119</v>
      </c>
      <c r="BG4847" s="3" t="s">
        <v>47120</v>
      </c>
      <c r="BH4847">
        <f t="shared" si="157"/>
        <v>0</v>
      </c>
    </row>
    <row r="4848" spans="1:60" ht="58" x14ac:dyDescent="0.35">
      <c r="A4848" s="2" t="s">
        <v>59</v>
      </c>
      <c r="B4848" s="2" t="s">
        <v>60</v>
      </c>
      <c r="C4848" s="2" t="s">
        <v>47121</v>
      </c>
      <c r="D4848" s="2" t="s">
        <v>47122</v>
      </c>
      <c r="E4848" s="2" t="s">
        <v>47123</v>
      </c>
      <c r="G4848" s="3" t="s">
        <v>64</v>
      </c>
      <c r="I4848" s="3" t="s">
        <v>64</v>
      </c>
      <c r="J4848" s="3" t="s">
        <v>64</v>
      </c>
      <c r="K4848" s="3" t="s">
        <v>65</v>
      </c>
      <c r="M4848" s="2" t="s">
        <v>47124</v>
      </c>
      <c r="N4848" s="3" t="s">
        <v>511</v>
      </c>
      <c r="P4848" s="3" t="s">
        <v>1479</v>
      </c>
      <c r="R4848" s="3" t="s">
        <v>70</v>
      </c>
      <c r="S4848" s="4">
        <v>5</v>
      </c>
      <c r="T4848" s="4">
        <v>5</v>
      </c>
      <c r="U4848" s="5" t="s">
        <v>47115</v>
      </c>
      <c r="V4848" s="5" t="s">
        <v>47115</v>
      </c>
      <c r="W4848" s="5" t="s">
        <v>72</v>
      </c>
      <c r="X4848" s="5" t="s">
        <v>72</v>
      </c>
      <c r="Y4848" s="4">
        <v>72</v>
      </c>
      <c r="Z4848" s="4">
        <v>6</v>
      </c>
      <c r="AA4848" s="4">
        <v>6</v>
      </c>
      <c r="AB4848" s="4">
        <v>1</v>
      </c>
      <c r="AC4848" s="4">
        <v>1</v>
      </c>
      <c r="AD4848" s="4">
        <v>47</v>
      </c>
      <c r="AE4848" s="4">
        <v>47</v>
      </c>
      <c r="AF4848" s="4">
        <v>0</v>
      </c>
      <c r="AG4848" s="4">
        <v>0</v>
      </c>
      <c r="AH4848" s="4">
        <v>45</v>
      </c>
      <c r="AI4848" s="4">
        <v>45</v>
      </c>
      <c r="AJ4848" s="4">
        <v>4</v>
      </c>
      <c r="AK4848" s="4">
        <v>4</v>
      </c>
      <c r="AL4848" s="4">
        <v>33</v>
      </c>
      <c r="AM4848" s="4">
        <v>33</v>
      </c>
      <c r="AN4848" s="4">
        <v>0</v>
      </c>
      <c r="AO4848" s="4">
        <v>0</v>
      </c>
      <c r="AP4848" s="4">
        <v>4</v>
      </c>
      <c r="AQ4848" s="4">
        <v>4</v>
      </c>
      <c r="AR4848" s="3" t="s">
        <v>64</v>
      </c>
      <c r="AS4848" s="3" t="s">
        <v>64</v>
      </c>
      <c r="AT4848" s="3" t="s">
        <v>64</v>
      </c>
      <c r="AV4848" s="6" t="str">
        <f>HYPERLINK("http://mcgill.on.worldcat.org/oclc/671251028","Catalog Record")</f>
        <v>Catalog Record</v>
      </c>
      <c r="AW4848" s="6" t="str">
        <f>HYPERLINK("http://www.worldcat.org/oclc/671251028","WorldCat Record")</f>
        <v>WorldCat Record</v>
      </c>
      <c r="AX4848" s="3" t="s">
        <v>47125</v>
      </c>
      <c r="AY4848" s="3" t="s">
        <v>47126</v>
      </c>
      <c r="AZ4848" s="3" t="s">
        <v>47127</v>
      </c>
      <c r="BA4848" s="3" t="s">
        <v>47127</v>
      </c>
      <c r="BB4848" s="3" t="s">
        <v>47128</v>
      </c>
      <c r="BC4848" s="3" t="s">
        <v>77</v>
      </c>
      <c r="BD4848" s="3" t="s">
        <v>78</v>
      </c>
      <c r="BE4848" s="3" t="s">
        <v>47129</v>
      </c>
      <c r="BF4848" s="3" t="s">
        <v>47128</v>
      </c>
      <c r="BG4848" s="3" t="s">
        <v>47130</v>
      </c>
      <c r="BH4848">
        <f t="shared" si="157"/>
        <v>0</v>
      </c>
    </row>
    <row r="4849" spans="1:60" ht="58" x14ac:dyDescent="0.35">
      <c r="A4849" s="2" t="s">
        <v>59</v>
      </c>
      <c r="B4849" s="2" t="s">
        <v>60</v>
      </c>
      <c r="C4849" s="2" t="s">
        <v>47131</v>
      </c>
      <c r="D4849" s="2" t="s">
        <v>47132</v>
      </c>
      <c r="E4849" s="2" t="s">
        <v>47133</v>
      </c>
      <c r="G4849" s="3" t="s">
        <v>64</v>
      </c>
      <c r="I4849" s="3" t="s">
        <v>64</v>
      </c>
      <c r="J4849" s="3" t="s">
        <v>64</v>
      </c>
      <c r="K4849" s="3" t="s">
        <v>65</v>
      </c>
      <c r="L4849" s="2" t="s">
        <v>47134</v>
      </c>
      <c r="M4849" s="2" t="s">
        <v>33482</v>
      </c>
      <c r="N4849" s="3" t="s">
        <v>1763</v>
      </c>
      <c r="P4849" s="3" t="s">
        <v>102</v>
      </c>
      <c r="Q4849" s="2" t="s">
        <v>47135</v>
      </c>
      <c r="R4849" s="3" t="s">
        <v>70</v>
      </c>
      <c r="S4849" s="4">
        <v>3</v>
      </c>
      <c r="T4849" s="4">
        <v>3</v>
      </c>
      <c r="U4849" s="5" t="s">
        <v>47115</v>
      </c>
      <c r="V4849" s="5" t="s">
        <v>47115</v>
      </c>
      <c r="W4849" s="5" t="s">
        <v>72</v>
      </c>
      <c r="X4849" s="5" t="s">
        <v>72</v>
      </c>
      <c r="Y4849" s="4">
        <v>411</v>
      </c>
      <c r="Z4849" s="4">
        <v>25</v>
      </c>
      <c r="AA4849" s="4">
        <v>26</v>
      </c>
      <c r="AB4849" s="4">
        <v>2</v>
      </c>
      <c r="AC4849" s="4">
        <v>3</v>
      </c>
      <c r="AD4849" s="4">
        <v>118</v>
      </c>
      <c r="AE4849" s="4">
        <v>119</v>
      </c>
      <c r="AF4849" s="4">
        <v>1</v>
      </c>
      <c r="AG4849" s="4">
        <v>2</v>
      </c>
      <c r="AH4849" s="4">
        <v>104</v>
      </c>
      <c r="AI4849" s="4">
        <v>104</v>
      </c>
      <c r="AJ4849" s="4">
        <v>20</v>
      </c>
      <c r="AK4849" s="4">
        <v>21</v>
      </c>
      <c r="AL4849" s="4">
        <v>56</v>
      </c>
      <c r="AM4849" s="4">
        <v>56</v>
      </c>
      <c r="AN4849" s="4">
        <v>0</v>
      </c>
      <c r="AO4849" s="4">
        <v>0</v>
      </c>
      <c r="AP4849" s="4">
        <v>23</v>
      </c>
      <c r="AQ4849" s="4">
        <v>23</v>
      </c>
      <c r="AR4849" s="3" t="s">
        <v>64</v>
      </c>
      <c r="AS4849" s="3" t="s">
        <v>64</v>
      </c>
      <c r="AT4849" s="3" t="s">
        <v>128</v>
      </c>
      <c r="AU4849" s="6" t="str">
        <f>HYPERLINK("http://catalog.hathitrust.org/Record/000166229","HathiTrust Record")</f>
        <v>HathiTrust Record</v>
      </c>
      <c r="AV4849" s="6" t="str">
        <f>HYPERLINK("http://mcgill.on.worldcat.org/oclc/10162135","Catalog Record")</f>
        <v>Catalog Record</v>
      </c>
      <c r="AW4849" s="6" t="str">
        <f>HYPERLINK("http://www.worldcat.org/oclc/10162135","WorldCat Record")</f>
        <v>WorldCat Record</v>
      </c>
      <c r="AX4849" s="3" t="s">
        <v>47136</v>
      </c>
      <c r="AY4849" s="3" t="s">
        <v>47137</v>
      </c>
      <c r="AZ4849" s="3" t="s">
        <v>47138</v>
      </c>
      <c r="BA4849" s="3" t="s">
        <v>47138</v>
      </c>
      <c r="BB4849" s="3" t="s">
        <v>47139</v>
      </c>
      <c r="BC4849" s="3" t="s">
        <v>77</v>
      </c>
      <c r="BD4849" s="3" t="s">
        <v>78</v>
      </c>
      <c r="BE4849" s="3" t="s">
        <v>47140</v>
      </c>
      <c r="BF4849" s="3" t="s">
        <v>47139</v>
      </c>
      <c r="BG4849" s="3" t="s">
        <v>47141</v>
      </c>
      <c r="BH4849">
        <f t="shared" si="157"/>
        <v>0</v>
      </c>
    </row>
    <row r="4850" spans="1:60" ht="58" x14ac:dyDescent="0.35">
      <c r="A4850" s="2" t="s">
        <v>59</v>
      </c>
      <c r="B4850" s="2" t="s">
        <v>60</v>
      </c>
      <c r="C4850" s="2" t="s">
        <v>47142</v>
      </c>
      <c r="D4850" s="2" t="s">
        <v>47143</v>
      </c>
      <c r="E4850" s="2" t="s">
        <v>47144</v>
      </c>
      <c r="G4850" s="3" t="s">
        <v>64</v>
      </c>
      <c r="I4850" s="3" t="s">
        <v>64</v>
      </c>
      <c r="J4850" s="3" t="s">
        <v>64</v>
      </c>
      <c r="K4850" s="3" t="s">
        <v>65</v>
      </c>
      <c r="L4850" s="2" t="s">
        <v>47145</v>
      </c>
      <c r="M4850" s="2" t="s">
        <v>47146</v>
      </c>
      <c r="N4850" s="3" t="s">
        <v>2067</v>
      </c>
      <c r="P4850" s="3" t="s">
        <v>1479</v>
      </c>
      <c r="R4850" s="3" t="s">
        <v>70</v>
      </c>
      <c r="S4850" s="4">
        <v>3</v>
      </c>
      <c r="T4850" s="4">
        <v>3</v>
      </c>
      <c r="U4850" s="5" t="s">
        <v>47115</v>
      </c>
      <c r="V4850" s="5" t="s">
        <v>47115</v>
      </c>
      <c r="W4850" s="5" t="s">
        <v>72</v>
      </c>
      <c r="X4850" s="5" t="s">
        <v>72</v>
      </c>
      <c r="Y4850" s="4">
        <v>52</v>
      </c>
      <c r="Z4850" s="4">
        <v>6</v>
      </c>
      <c r="AA4850" s="4">
        <v>7</v>
      </c>
      <c r="AB4850" s="4">
        <v>1</v>
      </c>
      <c r="AC4850" s="4">
        <v>2</v>
      </c>
      <c r="AD4850" s="4">
        <v>38</v>
      </c>
      <c r="AE4850" s="4">
        <v>39</v>
      </c>
      <c r="AF4850" s="4">
        <v>0</v>
      </c>
      <c r="AG4850" s="4">
        <v>1</v>
      </c>
      <c r="AH4850" s="4">
        <v>35</v>
      </c>
      <c r="AI4850" s="4">
        <v>36</v>
      </c>
      <c r="AJ4850" s="4">
        <v>4</v>
      </c>
      <c r="AK4850" s="4">
        <v>5</v>
      </c>
      <c r="AL4850" s="4">
        <v>26</v>
      </c>
      <c r="AM4850" s="4">
        <v>26</v>
      </c>
      <c r="AN4850" s="4">
        <v>0</v>
      </c>
      <c r="AO4850" s="4">
        <v>0</v>
      </c>
      <c r="AP4850" s="4">
        <v>4</v>
      </c>
      <c r="AQ4850" s="4">
        <v>5</v>
      </c>
      <c r="AR4850" s="3" t="s">
        <v>64</v>
      </c>
      <c r="AS4850" s="3" t="s">
        <v>64</v>
      </c>
      <c r="AT4850" s="3" t="s">
        <v>128</v>
      </c>
      <c r="AU4850" s="6" t="str">
        <f>HYPERLINK("http://catalog.hathitrust.org/Record/008454030","HathiTrust Record")</f>
        <v>HathiTrust Record</v>
      </c>
      <c r="AV4850" s="6" t="str">
        <f>HYPERLINK("http://mcgill.on.worldcat.org/oclc/23602238","Catalog Record")</f>
        <v>Catalog Record</v>
      </c>
      <c r="AW4850" s="6" t="str">
        <f>HYPERLINK("http://www.worldcat.org/oclc/23602238","WorldCat Record")</f>
        <v>WorldCat Record</v>
      </c>
      <c r="AX4850" s="3" t="s">
        <v>47147</v>
      </c>
      <c r="AY4850" s="3" t="s">
        <v>47148</v>
      </c>
      <c r="AZ4850" s="3" t="s">
        <v>47149</v>
      </c>
      <c r="BA4850" s="3" t="s">
        <v>47149</v>
      </c>
      <c r="BB4850" s="3" t="s">
        <v>47150</v>
      </c>
      <c r="BC4850" s="3" t="s">
        <v>77</v>
      </c>
      <c r="BD4850" s="3" t="s">
        <v>78</v>
      </c>
      <c r="BE4850" s="3" t="s">
        <v>47151</v>
      </c>
      <c r="BF4850" s="3" t="s">
        <v>47150</v>
      </c>
      <c r="BG4850" s="3" t="s">
        <v>47152</v>
      </c>
      <c r="BH4850">
        <f t="shared" si="157"/>
        <v>0</v>
      </c>
    </row>
    <row r="4851" spans="1:60" ht="58" x14ac:dyDescent="0.35">
      <c r="A4851" s="2" t="s">
        <v>59</v>
      </c>
      <c r="B4851" s="2" t="s">
        <v>60</v>
      </c>
      <c r="C4851" s="2" t="s">
        <v>47153</v>
      </c>
      <c r="D4851" s="2" t="s">
        <v>47154</v>
      </c>
      <c r="E4851" s="2" t="s">
        <v>47155</v>
      </c>
      <c r="G4851" s="3" t="s">
        <v>64</v>
      </c>
      <c r="I4851" s="3" t="s">
        <v>64</v>
      </c>
      <c r="J4851" s="3" t="s">
        <v>64</v>
      </c>
      <c r="K4851" s="3" t="s">
        <v>65</v>
      </c>
      <c r="L4851" s="2" t="s">
        <v>47156</v>
      </c>
      <c r="M4851" s="2" t="s">
        <v>47157</v>
      </c>
      <c r="N4851" s="3" t="s">
        <v>1263</v>
      </c>
      <c r="P4851" s="3" t="s">
        <v>102</v>
      </c>
      <c r="R4851" s="3" t="s">
        <v>70</v>
      </c>
      <c r="S4851" s="4">
        <v>3</v>
      </c>
      <c r="T4851" s="4">
        <v>3</v>
      </c>
      <c r="U4851" s="5" t="s">
        <v>47115</v>
      </c>
      <c r="V4851" s="5" t="s">
        <v>47115</v>
      </c>
      <c r="W4851" s="5" t="s">
        <v>72</v>
      </c>
      <c r="X4851" s="5" t="s">
        <v>72</v>
      </c>
      <c r="Y4851" s="4">
        <v>173</v>
      </c>
      <c r="Z4851" s="4">
        <v>9</v>
      </c>
      <c r="AA4851" s="4">
        <v>9</v>
      </c>
      <c r="AB4851" s="4">
        <v>1</v>
      </c>
      <c r="AC4851" s="4">
        <v>1</v>
      </c>
      <c r="AD4851" s="4">
        <v>89</v>
      </c>
      <c r="AE4851" s="4">
        <v>89</v>
      </c>
      <c r="AF4851" s="4">
        <v>0</v>
      </c>
      <c r="AG4851" s="4">
        <v>0</v>
      </c>
      <c r="AH4851" s="4">
        <v>82</v>
      </c>
      <c r="AI4851" s="4">
        <v>82</v>
      </c>
      <c r="AJ4851" s="4">
        <v>7</v>
      </c>
      <c r="AK4851" s="4">
        <v>7</v>
      </c>
      <c r="AL4851" s="4">
        <v>51</v>
      </c>
      <c r="AM4851" s="4">
        <v>51</v>
      </c>
      <c r="AN4851" s="4">
        <v>0</v>
      </c>
      <c r="AO4851" s="4">
        <v>0</v>
      </c>
      <c r="AP4851" s="4">
        <v>7</v>
      </c>
      <c r="AQ4851" s="4">
        <v>7</v>
      </c>
      <c r="AR4851" s="3" t="s">
        <v>64</v>
      </c>
      <c r="AS4851" s="3" t="s">
        <v>64</v>
      </c>
      <c r="AT4851" s="3" t="s">
        <v>64</v>
      </c>
      <c r="AV4851" s="6" t="str">
        <f>HYPERLINK("http://mcgill.on.worldcat.org/oclc/24468294","Catalog Record")</f>
        <v>Catalog Record</v>
      </c>
      <c r="AW4851" s="6" t="str">
        <f>HYPERLINK("http://www.worldcat.org/oclc/24468294","WorldCat Record")</f>
        <v>WorldCat Record</v>
      </c>
      <c r="AX4851" s="3" t="s">
        <v>47158</v>
      </c>
      <c r="AY4851" s="3" t="s">
        <v>47159</v>
      </c>
      <c r="AZ4851" s="3" t="s">
        <v>47160</v>
      </c>
      <c r="BA4851" s="3" t="s">
        <v>47160</v>
      </c>
      <c r="BB4851" s="3" t="s">
        <v>47161</v>
      </c>
      <c r="BC4851" s="3" t="s">
        <v>77</v>
      </c>
      <c r="BD4851" s="3" t="s">
        <v>78</v>
      </c>
      <c r="BE4851" s="3" t="s">
        <v>47162</v>
      </c>
      <c r="BF4851" s="3" t="s">
        <v>47161</v>
      </c>
      <c r="BG4851" s="3" t="s">
        <v>47163</v>
      </c>
      <c r="BH4851">
        <f t="shared" si="157"/>
        <v>0</v>
      </c>
    </row>
    <row r="4852" spans="1:60" ht="72.5" x14ac:dyDescent="0.35">
      <c r="A4852" s="2" t="s">
        <v>59</v>
      </c>
      <c r="B4852" s="2" t="s">
        <v>60</v>
      </c>
      <c r="C4852" s="2" t="s">
        <v>47164</v>
      </c>
      <c r="D4852" s="2" t="s">
        <v>47165</v>
      </c>
      <c r="E4852" s="2" t="s">
        <v>47166</v>
      </c>
      <c r="G4852" s="3" t="s">
        <v>64</v>
      </c>
      <c r="I4852" s="3" t="s">
        <v>64</v>
      </c>
      <c r="J4852" s="3" t="s">
        <v>64</v>
      </c>
      <c r="K4852" s="3" t="s">
        <v>65</v>
      </c>
      <c r="M4852" s="2" t="s">
        <v>189</v>
      </c>
      <c r="N4852" s="3" t="s">
        <v>190</v>
      </c>
      <c r="P4852" s="3" t="s">
        <v>944</v>
      </c>
      <c r="Q4852" s="2" t="s">
        <v>47167</v>
      </c>
      <c r="R4852" s="3" t="s">
        <v>70</v>
      </c>
      <c r="S4852" s="4">
        <v>0</v>
      </c>
      <c r="T4852" s="4">
        <v>0</v>
      </c>
      <c r="W4852" s="5" t="s">
        <v>1453</v>
      </c>
      <c r="X4852" s="5" t="s">
        <v>1453</v>
      </c>
      <c r="Y4852" s="4">
        <v>27</v>
      </c>
      <c r="Z4852" s="4">
        <v>1</v>
      </c>
      <c r="AA4852" s="4">
        <v>1</v>
      </c>
      <c r="AB4852" s="4">
        <v>1</v>
      </c>
      <c r="AC4852" s="4">
        <v>1</v>
      </c>
      <c r="AD4852" s="4">
        <v>18</v>
      </c>
      <c r="AE4852" s="4">
        <v>18</v>
      </c>
      <c r="AF4852" s="4">
        <v>0</v>
      </c>
      <c r="AG4852" s="4">
        <v>0</v>
      </c>
      <c r="AH4852" s="4">
        <v>17</v>
      </c>
      <c r="AI4852" s="4">
        <v>17</v>
      </c>
      <c r="AJ4852" s="4">
        <v>0</v>
      </c>
      <c r="AK4852" s="4">
        <v>0</v>
      </c>
      <c r="AL4852" s="4">
        <v>15</v>
      </c>
      <c r="AM4852" s="4">
        <v>15</v>
      </c>
      <c r="AN4852" s="4">
        <v>0</v>
      </c>
      <c r="AO4852" s="4">
        <v>0</v>
      </c>
      <c r="AP4852" s="4">
        <v>0</v>
      </c>
      <c r="AQ4852" s="4">
        <v>0</v>
      </c>
      <c r="AR4852" s="3" t="s">
        <v>64</v>
      </c>
      <c r="AS4852" s="3" t="s">
        <v>64</v>
      </c>
      <c r="AT4852" s="3" t="s">
        <v>64</v>
      </c>
      <c r="AV4852" s="6" t="str">
        <f>HYPERLINK("http://mcgill.on.worldcat.org/oclc/1079851201","Catalog Record")</f>
        <v>Catalog Record</v>
      </c>
      <c r="AW4852" s="6" t="str">
        <f>HYPERLINK("http://www.worldcat.org/oclc/1079851201","WorldCat Record")</f>
        <v>WorldCat Record</v>
      </c>
      <c r="AX4852" s="3" t="s">
        <v>47168</v>
      </c>
      <c r="AY4852" s="3" t="s">
        <v>47169</v>
      </c>
      <c r="AZ4852" s="3" t="s">
        <v>47170</v>
      </c>
      <c r="BA4852" s="3" t="s">
        <v>47170</v>
      </c>
      <c r="BB4852" s="3" t="s">
        <v>47171</v>
      </c>
      <c r="BC4852" s="3" t="s">
        <v>77</v>
      </c>
      <c r="BD4852" s="3" t="s">
        <v>78</v>
      </c>
      <c r="BE4852" s="3" t="s">
        <v>47172</v>
      </c>
      <c r="BF4852" s="3" t="s">
        <v>47171</v>
      </c>
      <c r="BG4852" s="3" t="s">
        <v>47173</v>
      </c>
      <c r="BH4852">
        <f t="shared" si="157"/>
        <v>0</v>
      </c>
    </row>
    <row r="4853" spans="1:60" ht="58" x14ac:dyDescent="0.35">
      <c r="A4853" s="2" t="s">
        <v>59</v>
      </c>
      <c r="B4853" s="2" t="s">
        <v>60</v>
      </c>
      <c r="C4853" s="2" t="s">
        <v>47174</v>
      </c>
      <c r="D4853" s="2" t="s">
        <v>47175</v>
      </c>
      <c r="E4853" s="2" t="s">
        <v>47176</v>
      </c>
      <c r="G4853" s="3" t="s">
        <v>64</v>
      </c>
      <c r="I4853" s="3" t="s">
        <v>64</v>
      </c>
      <c r="J4853" s="3" t="s">
        <v>64</v>
      </c>
      <c r="K4853" s="3" t="s">
        <v>65</v>
      </c>
      <c r="L4853" s="2" t="s">
        <v>47177</v>
      </c>
      <c r="M4853" s="2" t="s">
        <v>47178</v>
      </c>
      <c r="N4853" s="3" t="s">
        <v>874</v>
      </c>
      <c r="P4853" s="3" t="s">
        <v>102</v>
      </c>
      <c r="Q4853" s="2" t="s">
        <v>40900</v>
      </c>
      <c r="R4853" s="3" t="s">
        <v>70</v>
      </c>
      <c r="S4853" s="4">
        <v>1</v>
      </c>
      <c r="T4853" s="4">
        <v>1</v>
      </c>
      <c r="U4853" s="5" t="s">
        <v>9697</v>
      </c>
      <c r="V4853" s="5" t="s">
        <v>9697</v>
      </c>
      <c r="W4853" s="5" t="s">
        <v>72</v>
      </c>
      <c r="X4853" s="5" t="s">
        <v>72</v>
      </c>
      <c r="Y4853" s="4">
        <v>319</v>
      </c>
      <c r="Z4853" s="4">
        <v>23</v>
      </c>
      <c r="AA4853" s="4">
        <v>23</v>
      </c>
      <c r="AB4853" s="4">
        <v>1</v>
      </c>
      <c r="AC4853" s="4">
        <v>1</v>
      </c>
      <c r="AD4853" s="4">
        <v>107</v>
      </c>
      <c r="AE4853" s="4">
        <v>107</v>
      </c>
      <c r="AF4853" s="4">
        <v>0</v>
      </c>
      <c r="AG4853" s="4">
        <v>0</v>
      </c>
      <c r="AH4853" s="4">
        <v>97</v>
      </c>
      <c r="AI4853" s="4">
        <v>97</v>
      </c>
      <c r="AJ4853" s="4">
        <v>17</v>
      </c>
      <c r="AK4853" s="4">
        <v>17</v>
      </c>
      <c r="AL4853" s="4">
        <v>50</v>
      </c>
      <c r="AM4853" s="4">
        <v>50</v>
      </c>
      <c r="AN4853" s="4">
        <v>0</v>
      </c>
      <c r="AO4853" s="4">
        <v>0</v>
      </c>
      <c r="AP4853" s="4">
        <v>19</v>
      </c>
      <c r="AQ4853" s="4">
        <v>19</v>
      </c>
      <c r="AR4853" s="3" t="s">
        <v>64</v>
      </c>
      <c r="AS4853" s="3" t="s">
        <v>64</v>
      </c>
      <c r="AT4853" s="3" t="s">
        <v>128</v>
      </c>
      <c r="AU4853" s="6" t="str">
        <f>HYPERLINK("http://catalog.hathitrust.org/Record/000223618","HathiTrust Record")</f>
        <v>HathiTrust Record</v>
      </c>
      <c r="AV4853" s="6" t="str">
        <f>HYPERLINK("http://mcgill.on.worldcat.org/oclc/7553925","Catalog Record")</f>
        <v>Catalog Record</v>
      </c>
      <c r="AW4853" s="6" t="str">
        <f>HYPERLINK("http://www.worldcat.org/oclc/7553925","WorldCat Record")</f>
        <v>WorldCat Record</v>
      </c>
      <c r="AX4853" s="3" t="s">
        <v>47179</v>
      </c>
      <c r="AY4853" s="3" t="s">
        <v>47180</v>
      </c>
      <c r="AZ4853" s="3" t="s">
        <v>47181</v>
      </c>
      <c r="BA4853" s="3" t="s">
        <v>47181</v>
      </c>
      <c r="BB4853" s="3" t="s">
        <v>47182</v>
      </c>
      <c r="BC4853" s="3" t="s">
        <v>77</v>
      </c>
      <c r="BD4853" s="3" t="s">
        <v>78</v>
      </c>
      <c r="BE4853" s="3" t="s">
        <v>47183</v>
      </c>
      <c r="BF4853" s="3" t="s">
        <v>47182</v>
      </c>
      <c r="BG4853" s="3" t="s">
        <v>47184</v>
      </c>
      <c r="BH4853">
        <f t="shared" si="157"/>
        <v>0</v>
      </c>
    </row>
    <row r="4854" spans="1:60" ht="58" x14ac:dyDescent="0.35">
      <c r="A4854" s="2" t="s">
        <v>59</v>
      </c>
      <c r="B4854" s="2" t="s">
        <v>60</v>
      </c>
      <c r="C4854" s="2" t="s">
        <v>47185</v>
      </c>
      <c r="D4854" s="2" t="s">
        <v>47186</v>
      </c>
      <c r="E4854" s="2" t="s">
        <v>47187</v>
      </c>
      <c r="G4854" s="3" t="s">
        <v>64</v>
      </c>
      <c r="I4854" s="3" t="s">
        <v>128</v>
      </c>
      <c r="J4854" s="3" t="s">
        <v>64</v>
      </c>
      <c r="K4854" s="3" t="s">
        <v>65</v>
      </c>
      <c r="L4854" s="2" t="s">
        <v>35859</v>
      </c>
      <c r="M4854" s="2" t="s">
        <v>47188</v>
      </c>
      <c r="N4854" s="3" t="s">
        <v>315</v>
      </c>
      <c r="O4854" s="2" t="s">
        <v>47189</v>
      </c>
      <c r="P4854" s="3" t="s">
        <v>102</v>
      </c>
      <c r="R4854" s="3" t="s">
        <v>70</v>
      </c>
      <c r="S4854" s="4">
        <v>1</v>
      </c>
      <c r="T4854" s="4">
        <v>1</v>
      </c>
      <c r="U4854" s="5" t="s">
        <v>3416</v>
      </c>
      <c r="V4854" s="5" t="s">
        <v>3416</v>
      </c>
      <c r="W4854" s="5" t="s">
        <v>72</v>
      </c>
      <c r="X4854" s="5" t="s">
        <v>72</v>
      </c>
      <c r="Y4854" s="4">
        <v>425</v>
      </c>
      <c r="Z4854" s="4">
        <v>19</v>
      </c>
      <c r="AA4854" s="4">
        <v>28</v>
      </c>
      <c r="AB4854" s="4">
        <v>2</v>
      </c>
      <c r="AC4854" s="4">
        <v>2</v>
      </c>
      <c r="AD4854" s="4">
        <v>107</v>
      </c>
      <c r="AE4854" s="4">
        <v>120</v>
      </c>
      <c r="AF4854" s="4">
        <v>1</v>
      </c>
      <c r="AG4854" s="4">
        <v>1</v>
      </c>
      <c r="AH4854" s="4">
        <v>94</v>
      </c>
      <c r="AI4854" s="4">
        <v>101</v>
      </c>
      <c r="AJ4854" s="4">
        <v>10</v>
      </c>
      <c r="AK4854" s="4">
        <v>16</v>
      </c>
      <c r="AL4854" s="4">
        <v>53</v>
      </c>
      <c r="AM4854" s="4">
        <v>56</v>
      </c>
      <c r="AN4854" s="4">
        <v>0</v>
      </c>
      <c r="AO4854" s="4">
        <v>0</v>
      </c>
      <c r="AP4854" s="4">
        <v>16</v>
      </c>
      <c r="AQ4854" s="4">
        <v>22</v>
      </c>
      <c r="AR4854" s="3" t="s">
        <v>64</v>
      </c>
      <c r="AS4854" s="3" t="s">
        <v>64</v>
      </c>
      <c r="AT4854" s="3" t="s">
        <v>128</v>
      </c>
      <c r="AU4854" s="6" t="str">
        <f>HYPERLINK("http://catalog.hathitrust.org/Record/000475367","HathiTrust Record")</f>
        <v>HathiTrust Record</v>
      </c>
      <c r="AV4854" s="6" t="str">
        <f>HYPERLINK("http://mcgill.on.worldcat.org/oclc/463302","Catalog Record")</f>
        <v>Catalog Record</v>
      </c>
      <c r="AW4854" s="6" t="str">
        <f>HYPERLINK("http://www.worldcat.org/oclc/463302","WorldCat Record")</f>
        <v>WorldCat Record</v>
      </c>
      <c r="AX4854" s="3" t="s">
        <v>47190</v>
      </c>
      <c r="AY4854" s="3" t="s">
        <v>47191</v>
      </c>
      <c r="AZ4854" s="3" t="s">
        <v>47192</v>
      </c>
      <c r="BA4854" s="3" t="s">
        <v>47192</v>
      </c>
      <c r="BB4854" s="3" t="s">
        <v>47193</v>
      </c>
      <c r="BC4854" s="3" t="s">
        <v>77</v>
      </c>
      <c r="BD4854" s="3" t="s">
        <v>78</v>
      </c>
      <c r="BE4854" s="3" t="s">
        <v>47194</v>
      </c>
      <c r="BF4854" s="3" t="s">
        <v>47193</v>
      </c>
      <c r="BG4854" s="3" t="s">
        <v>47195</v>
      </c>
      <c r="BH4854">
        <f t="shared" si="157"/>
        <v>0</v>
      </c>
    </row>
    <row r="4855" spans="1:60" ht="58" x14ac:dyDescent="0.35">
      <c r="A4855" s="2" t="s">
        <v>59</v>
      </c>
      <c r="B4855" s="2" t="s">
        <v>60</v>
      </c>
      <c r="C4855" s="2" t="s">
        <v>47196</v>
      </c>
      <c r="D4855" s="2" t="s">
        <v>47197</v>
      </c>
      <c r="E4855" s="2" t="s">
        <v>47198</v>
      </c>
      <c r="G4855" s="3" t="s">
        <v>64</v>
      </c>
      <c r="I4855" s="3" t="s">
        <v>64</v>
      </c>
      <c r="J4855" s="3" t="s">
        <v>64</v>
      </c>
      <c r="K4855" s="3" t="s">
        <v>65</v>
      </c>
      <c r="L4855" s="2" t="s">
        <v>47199</v>
      </c>
      <c r="M4855" s="2" t="s">
        <v>39686</v>
      </c>
      <c r="N4855" s="3" t="s">
        <v>3330</v>
      </c>
      <c r="P4855" s="3" t="s">
        <v>102</v>
      </c>
      <c r="Q4855" s="2" t="s">
        <v>47200</v>
      </c>
      <c r="R4855" s="3" t="s">
        <v>70</v>
      </c>
      <c r="S4855" s="4">
        <v>3</v>
      </c>
      <c r="T4855" s="4">
        <v>3</v>
      </c>
      <c r="U4855" s="5" t="s">
        <v>10305</v>
      </c>
      <c r="V4855" s="5" t="s">
        <v>10305</v>
      </c>
      <c r="W4855" s="5" t="s">
        <v>72</v>
      </c>
      <c r="X4855" s="5" t="s">
        <v>72</v>
      </c>
      <c r="Y4855" s="4">
        <v>167</v>
      </c>
      <c r="Z4855" s="4">
        <v>13</v>
      </c>
      <c r="AA4855" s="4">
        <v>13</v>
      </c>
      <c r="AB4855" s="4">
        <v>1</v>
      </c>
      <c r="AC4855" s="4">
        <v>1</v>
      </c>
      <c r="AD4855" s="4">
        <v>79</v>
      </c>
      <c r="AE4855" s="4">
        <v>79</v>
      </c>
      <c r="AF4855" s="4">
        <v>0</v>
      </c>
      <c r="AG4855" s="4">
        <v>0</v>
      </c>
      <c r="AH4855" s="4">
        <v>74</v>
      </c>
      <c r="AI4855" s="4">
        <v>74</v>
      </c>
      <c r="AJ4855" s="4">
        <v>10</v>
      </c>
      <c r="AK4855" s="4">
        <v>10</v>
      </c>
      <c r="AL4855" s="4">
        <v>42</v>
      </c>
      <c r="AM4855" s="4">
        <v>42</v>
      </c>
      <c r="AN4855" s="4">
        <v>0</v>
      </c>
      <c r="AO4855" s="4">
        <v>0</v>
      </c>
      <c r="AP4855" s="4">
        <v>11</v>
      </c>
      <c r="AQ4855" s="4">
        <v>11</v>
      </c>
      <c r="AR4855" s="3" t="s">
        <v>64</v>
      </c>
      <c r="AS4855" s="3" t="s">
        <v>64</v>
      </c>
      <c r="AT4855" s="3" t="s">
        <v>64</v>
      </c>
      <c r="AV4855" s="6" t="str">
        <f>HYPERLINK("http://mcgill.on.worldcat.org/oclc/18497814","Catalog Record")</f>
        <v>Catalog Record</v>
      </c>
      <c r="AW4855" s="6" t="str">
        <f>HYPERLINK("http://www.worldcat.org/oclc/18497814","WorldCat Record")</f>
        <v>WorldCat Record</v>
      </c>
      <c r="AX4855" s="3" t="s">
        <v>47201</v>
      </c>
      <c r="AY4855" s="3" t="s">
        <v>47202</v>
      </c>
      <c r="AZ4855" s="3" t="s">
        <v>47203</v>
      </c>
      <c r="BA4855" s="3" t="s">
        <v>47203</v>
      </c>
      <c r="BB4855" s="3" t="s">
        <v>47204</v>
      </c>
      <c r="BC4855" s="3" t="s">
        <v>77</v>
      </c>
      <c r="BD4855" s="3" t="s">
        <v>78</v>
      </c>
      <c r="BE4855" s="3" t="s">
        <v>47205</v>
      </c>
      <c r="BF4855" s="3" t="s">
        <v>47204</v>
      </c>
      <c r="BG4855" s="3" t="s">
        <v>47206</v>
      </c>
      <c r="BH4855">
        <f t="shared" si="157"/>
        <v>0</v>
      </c>
    </row>
    <row r="4856" spans="1:60" ht="58" x14ac:dyDescent="0.35">
      <c r="A4856" s="2" t="s">
        <v>59</v>
      </c>
      <c r="B4856" s="2" t="s">
        <v>60</v>
      </c>
      <c r="C4856" s="2" t="s">
        <v>47207</v>
      </c>
      <c r="D4856" s="2" t="s">
        <v>47208</v>
      </c>
      <c r="E4856" s="2" t="s">
        <v>47209</v>
      </c>
      <c r="G4856" s="3" t="s">
        <v>64</v>
      </c>
      <c r="I4856" s="3" t="s">
        <v>64</v>
      </c>
      <c r="J4856" s="3" t="s">
        <v>64</v>
      </c>
      <c r="K4856" s="3" t="s">
        <v>65</v>
      </c>
      <c r="L4856" s="2" t="s">
        <v>47210</v>
      </c>
      <c r="M4856" s="2" t="s">
        <v>47211</v>
      </c>
      <c r="N4856" s="3" t="s">
        <v>1047</v>
      </c>
      <c r="P4856" s="3" t="s">
        <v>102</v>
      </c>
      <c r="Q4856" s="2" t="s">
        <v>47212</v>
      </c>
      <c r="R4856" s="3" t="s">
        <v>70</v>
      </c>
      <c r="S4856" s="4">
        <v>5</v>
      </c>
      <c r="T4856" s="4">
        <v>5</v>
      </c>
      <c r="U4856" s="5" t="s">
        <v>36581</v>
      </c>
      <c r="V4856" s="5" t="s">
        <v>36581</v>
      </c>
      <c r="W4856" s="5" t="s">
        <v>72</v>
      </c>
      <c r="X4856" s="5" t="s">
        <v>72</v>
      </c>
      <c r="Y4856" s="4">
        <v>264</v>
      </c>
      <c r="Z4856" s="4">
        <v>16</v>
      </c>
      <c r="AA4856" s="4">
        <v>16</v>
      </c>
      <c r="AB4856" s="4">
        <v>2</v>
      </c>
      <c r="AC4856" s="4">
        <v>2</v>
      </c>
      <c r="AD4856" s="4">
        <v>94</v>
      </c>
      <c r="AE4856" s="4">
        <v>94</v>
      </c>
      <c r="AF4856" s="4">
        <v>1</v>
      </c>
      <c r="AG4856" s="4">
        <v>1</v>
      </c>
      <c r="AH4856" s="4">
        <v>88</v>
      </c>
      <c r="AI4856" s="4">
        <v>88</v>
      </c>
      <c r="AJ4856" s="4">
        <v>12</v>
      </c>
      <c r="AK4856" s="4">
        <v>12</v>
      </c>
      <c r="AL4856" s="4">
        <v>48</v>
      </c>
      <c r="AM4856" s="4">
        <v>48</v>
      </c>
      <c r="AN4856" s="4">
        <v>0</v>
      </c>
      <c r="AO4856" s="4">
        <v>0</v>
      </c>
      <c r="AP4856" s="4">
        <v>12</v>
      </c>
      <c r="AQ4856" s="4">
        <v>12</v>
      </c>
      <c r="AR4856" s="3" t="s">
        <v>64</v>
      </c>
      <c r="AS4856" s="3" t="s">
        <v>64</v>
      </c>
      <c r="AT4856" s="3" t="s">
        <v>128</v>
      </c>
      <c r="AU4856" s="6" t="str">
        <f>HYPERLINK("http://catalog.hathitrust.org/Record/000192809","HathiTrust Record")</f>
        <v>HathiTrust Record</v>
      </c>
      <c r="AV4856" s="6" t="str">
        <f>HYPERLINK("http://mcgill.on.worldcat.org/oclc/8219522","Catalog Record")</f>
        <v>Catalog Record</v>
      </c>
      <c r="AW4856" s="6" t="str">
        <f>HYPERLINK("http://www.worldcat.org/oclc/8219522","WorldCat Record")</f>
        <v>WorldCat Record</v>
      </c>
      <c r="AX4856" s="3" t="s">
        <v>47213</v>
      </c>
      <c r="AY4856" s="3" t="s">
        <v>47214</v>
      </c>
      <c r="AZ4856" s="3" t="s">
        <v>47215</v>
      </c>
      <c r="BA4856" s="3" t="s">
        <v>47215</v>
      </c>
      <c r="BB4856" s="3" t="s">
        <v>47216</v>
      </c>
      <c r="BC4856" s="3" t="s">
        <v>77</v>
      </c>
      <c r="BD4856" s="3" t="s">
        <v>165</v>
      </c>
      <c r="BE4856" s="3" t="s">
        <v>47217</v>
      </c>
      <c r="BF4856" s="3" t="s">
        <v>47216</v>
      </c>
      <c r="BG4856" s="3" t="s">
        <v>47218</v>
      </c>
      <c r="BH4856">
        <f t="shared" si="157"/>
        <v>0</v>
      </c>
    </row>
    <row r="4857" spans="1:60" ht="58" x14ac:dyDescent="0.35">
      <c r="A4857" s="2" t="s">
        <v>59</v>
      </c>
      <c r="B4857" s="2" t="s">
        <v>60</v>
      </c>
      <c r="C4857" s="2" t="s">
        <v>47219</v>
      </c>
      <c r="D4857" s="2" t="s">
        <v>47220</v>
      </c>
      <c r="E4857" s="2" t="s">
        <v>47221</v>
      </c>
      <c r="G4857" s="3" t="s">
        <v>64</v>
      </c>
      <c r="I4857" s="3" t="s">
        <v>64</v>
      </c>
      <c r="J4857" s="3" t="s">
        <v>64</v>
      </c>
      <c r="K4857" s="3" t="s">
        <v>65</v>
      </c>
      <c r="L4857" s="2" t="s">
        <v>47222</v>
      </c>
      <c r="M4857" s="2" t="s">
        <v>47223</v>
      </c>
      <c r="N4857" s="3" t="s">
        <v>67</v>
      </c>
      <c r="P4857" s="3" t="s">
        <v>365</v>
      </c>
      <c r="R4857" s="3" t="s">
        <v>70</v>
      </c>
      <c r="S4857" s="4">
        <v>0</v>
      </c>
      <c r="T4857" s="4">
        <v>0</v>
      </c>
      <c r="W4857" s="5" t="s">
        <v>72</v>
      </c>
      <c r="X4857" s="5" t="s">
        <v>72</v>
      </c>
      <c r="Y4857" s="4">
        <v>30</v>
      </c>
      <c r="Z4857" s="4">
        <v>4</v>
      </c>
      <c r="AA4857" s="4">
        <v>4</v>
      </c>
      <c r="AB4857" s="4">
        <v>1</v>
      </c>
      <c r="AC4857" s="4">
        <v>1</v>
      </c>
      <c r="AD4857" s="4">
        <v>20</v>
      </c>
      <c r="AE4857" s="4">
        <v>20</v>
      </c>
      <c r="AF4857" s="4">
        <v>0</v>
      </c>
      <c r="AG4857" s="4">
        <v>0</v>
      </c>
      <c r="AH4857" s="4">
        <v>19</v>
      </c>
      <c r="AI4857" s="4">
        <v>19</v>
      </c>
      <c r="AJ4857" s="4">
        <v>2</v>
      </c>
      <c r="AK4857" s="4">
        <v>2</v>
      </c>
      <c r="AL4857" s="4">
        <v>13</v>
      </c>
      <c r="AM4857" s="4">
        <v>13</v>
      </c>
      <c r="AN4857" s="4">
        <v>0</v>
      </c>
      <c r="AO4857" s="4">
        <v>0</v>
      </c>
      <c r="AP4857" s="4">
        <v>2</v>
      </c>
      <c r="AQ4857" s="4">
        <v>2</v>
      </c>
      <c r="AR4857" s="3" t="s">
        <v>64</v>
      </c>
      <c r="AS4857" s="3" t="s">
        <v>64</v>
      </c>
      <c r="AT4857" s="3" t="s">
        <v>64</v>
      </c>
      <c r="AV4857" s="6" t="str">
        <f>HYPERLINK("http://mcgill.on.worldcat.org/oclc/903942294","Catalog Record")</f>
        <v>Catalog Record</v>
      </c>
      <c r="AW4857" s="6" t="str">
        <f>HYPERLINK("http://www.worldcat.org/oclc/903942294","WorldCat Record")</f>
        <v>WorldCat Record</v>
      </c>
      <c r="AX4857" s="3" t="s">
        <v>47224</v>
      </c>
      <c r="AY4857" s="3" t="s">
        <v>47225</v>
      </c>
      <c r="AZ4857" s="3" t="s">
        <v>47226</v>
      </c>
      <c r="BA4857" s="3" t="s">
        <v>47226</v>
      </c>
      <c r="BB4857" s="3" t="s">
        <v>47227</v>
      </c>
      <c r="BC4857" s="3" t="s">
        <v>77</v>
      </c>
      <c r="BD4857" s="3" t="s">
        <v>78</v>
      </c>
      <c r="BE4857" s="3" t="s">
        <v>47228</v>
      </c>
      <c r="BF4857" s="3" t="s">
        <v>47227</v>
      </c>
      <c r="BG4857" s="3" t="s">
        <v>47229</v>
      </c>
      <c r="BH4857">
        <f t="shared" si="157"/>
        <v>0</v>
      </c>
    </row>
    <row r="4858" spans="1:60" ht="58" x14ac:dyDescent="0.35">
      <c r="A4858" s="2" t="s">
        <v>59</v>
      </c>
      <c r="B4858" s="2" t="s">
        <v>60</v>
      </c>
      <c r="C4858" s="2" t="s">
        <v>47230</v>
      </c>
      <c r="D4858" s="2" t="s">
        <v>47231</v>
      </c>
      <c r="E4858" s="2" t="s">
        <v>47232</v>
      </c>
      <c r="G4858" s="3" t="s">
        <v>64</v>
      </c>
      <c r="I4858" s="3" t="s">
        <v>128</v>
      </c>
      <c r="J4858" s="3" t="s">
        <v>64</v>
      </c>
      <c r="K4858" s="3" t="s">
        <v>65</v>
      </c>
      <c r="L4858" s="2" t="s">
        <v>47233</v>
      </c>
      <c r="M4858" s="2" t="s">
        <v>47234</v>
      </c>
      <c r="N4858" s="3" t="s">
        <v>874</v>
      </c>
      <c r="P4858" s="3" t="s">
        <v>365</v>
      </c>
      <c r="R4858" s="3" t="s">
        <v>70</v>
      </c>
      <c r="S4858" s="4">
        <v>0</v>
      </c>
      <c r="T4858" s="4">
        <v>4</v>
      </c>
      <c r="V4858" s="5" t="s">
        <v>20937</v>
      </c>
      <c r="W4858" s="5" t="s">
        <v>72</v>
      </c>
      <c r="X4858" s="5" t="s">
        <v>72</v>
      </c>
      <c r="Y4858" s="4">
        <v>1</v>
      </c>
      <c r="Z4858" s="4">
        <v>1</v>
      </c>
      <c r="AA4858" s="4">
        <v>2</v>
      </c>
      <c r="AB4858" s="4">
        <v>1</v>
      </c>
      <c r="AC4858" s="4">
        <v>2</v>
      </c>
      <c r="AD4858" s="4">
        <v>0</v>
      </c>
      <c r="AE4858" s="4">
        <v>1</v>
      </c>
      <c r="AF4858" s="4">
        <v>0</v>
      </c>
      <c r="AG4858" s="4">
        <v>1</v>
      </c>
      <c r="AH4858" s="4">
        <v>0</v>
      </c>
      <c r="AI4858" s="4">
        <v>0</v>
      </c>
      <c r="AJ4858" s="4">
        <v>0</v>
      </c>
      <c r="AK4858" s="4">
        <v>1</v>
      </c>
      <c r="AL4858" s="4">
        <v>0</v>
      </c>
      <c r="AM4858" s="4">
        <v>0</v>
      </c>
      <c r="AN4858" s="4">
        <v>0</v>
      </c>
      <c r="AO4858" s="4">
        <v>0</v>
      </c>
      <c r="AP4858" s="4">
        <v>0</v>
      </c>
      <c r="AQ4858" s="4">
        <v>1</v>
      </c>
      <c r="AR4858" s="3" t="s">
        <v>64</v>
      </c>
      <c r="AS4858" s="3" t="s">
        <v>64</v>
      </c>
      <c r="AT4858" s="3" t="s">
        <v>64</v>
      </c>
      <c r="AV4858" s="6" t="str">
        <f>HYPERLINK("http://mcgill.on.worldcat.org/oclc/61538018","Catalog Record")</f>
        <v>Catalog Record</v>
      </c>
      <c r="AW4858" s="6" t="str">
        <f>HYPERLINK("http://www.worldcat.org/oclc/61538018","WorldCat Record")</f>
        <v>WorldCat Record</v>
      </c>
      <c r="AX4858" s="3" t="s">
        <v>47235</v>
      </c>
      <c r="AY4858" s="3" t="s">
        <v>47236</v>
      </c>
      <c r="AZ4858" s="3" t="s">
        <v>47237</v>
      </c>
      <c r="BA4858" s="3" t="s">
        <v>47237</v>
      </c>
      <c r="BB4858" s="3" t="s">
        <v>47238</v>
      </c>
      <c r="BC4858" s="3" t="s">
        <v>77</v>
      </c>
      <c r="BD4858" s="3" t="s">
        <v>78</v>
      </c>
      <c r="BF4858" s="3" t="s">
        <v>47238</v>
      </c>
      <c r="BG4858" s="3" t="s">
        <v>47239</v>
      </c>
      <c r="BH4858">
        <f t="shared" si="157"/>
        <v>0</v>
      </c>
    </row>
    <row r="4859" spans="1:60" ht="58" x14ac:dyDescent="0.35">
      <c r="A4859" s="2" t="s">
        <v>59</v>
      </c>
      <c r="B4859" s="2" t="s">
        <v>60</v>
      </c>
      <c r="C4859" s="2" t="s">
        <v>47240</v>
      </c>
      <c r="D4859" s="2" t="s">
        <v>47241</v>
      </c>
      <c r="E4859" s="2" t="s">
        <v>47242</v>
      </c>
      <c r="G4859" s="3" t="s">
        <v>64</v>
      </c>
      <c r="I4859" s="3" t="s">
        <v>64</v>
      </c>
      <c r="J4859" s="3" t="s">
        <v>64</v>
      </c>
      <c r="K4859" s="3" t="s">
        <v>65</v>
      </c>
      <c r="L4859" s="2" t="s">
        <v>47243</v>
      </c>
      <c r="M4859" s="2" t="s">
        <v>47244</v>
      </c>
      <c r="N4859" s="3" t="s">
        <v>253</v>
      </c>
      <c r="P4859" s="3" t="s">
        <v>68</v>
      </c>
      <c r="R4859" s="3" t="s">
        <v>70</v>
      </c>
      <c r="S4859" s="4">
        <v>0</v>
      </c>
      <c r="T4859" s="4">
        <v>0</v>
      </c>
      <c r="W4859" s="5" t="s">
        <v>72</v>
      </c>
      <c r="X4859" s="5" t="s">
        <v>72</v>
      </c>
      <c r="Y4859" s="4">
        <v>26</v>
      </c>
      <c r="Z4859" s="4">
        <v>5</v>
      </c>
      <c r="AA4859" s="4">
        <v>5</v>
      </c>
      <c r="AB4859" s="4">
        <v>1</v>
      </c>
      <c r="AC4859" s="4">
        <v>1</v>
      </c>
      <c r="AD4859" s="4">
        <v>18</v>
      </c>
      <c r="AE4859" s="4">
        <v>18</v>
      </c>
      <c r="AF4859" s="4">
        <v>0</v>
      </c>
      <c r="AG4859" s="4">
        <v>0</v>
      </c>
      <c r="AH4859" s="4">
        <v>17</v>
      </c>
      <c r="AI4859" s="4">
        <v>17</v>
      </c>
      <c r="AJ4859" s="4">
        <v>3</v>
      </c>
      <c r="AK4859" s="4">
        <v>3</v>
      </c>
      <c r="AL4859" s="4">
        <v>13</v>
      </c>
      <c r="AM4859" s="4">
        <v>13</v>
      </c>
      <c r="AN4859" s="4">
        <v>0</v>
      </c>
      <c r="AO4859" s="4">
        <v>0</v>
      </c>
      <c r="AP4859" s="4">
        <v>3</v>
      </c>
      <c r="AQ4859" s="4">
        <v>3</v>
      </c>
      <c r="AR4859" s="3" t="s">
        <v>64</v>
      </c>
      <c r="AS4859" s="3" t="s">
        <v>64</v>
      </c>
      <c r="AT4859" s="3" t="s">
        <v>64</v>
      </c>
      <c r="AV4859" s="6" t="str">
        <f>HYPERLINK("http://mcgill.on.worldcat.org/oclc/921506335","Catalog Record")</f>
        <v>Catalog Record</v>
      </c>
      <c r="AW4859" s="6" t="str">
        <f>HYPERLINK("http://www.worldcat.org/oclc/921506335","WorldCat Record")</f>
        <v>WorldCat Record</v>
      </c>
      <c r="AX4859" s="3" t="s">
        <v>47245</v>
      </c>
      <c r="AY4859" s="3" t="s">
        <v>47246</v>
      </c>
      <c r="AZ4859" s="3" t="s">
        <v>47247</v>
      </c>
      <c r="BA4859" s="3" t="s">
        <v>47247</v>
      </c>
      <c r="BB4859" s="3" t="s">
        <v>47248</v>
      </c>
      <c r="BC4859" s="3" t="s">
        <v>77</v>
      </c>
      <c r="BD4859" s="3" t="s">
        <v>78</v>
      </c>
      <c r="BE4859" s="3" t="s">
        <v>47249</v>
      </c>
      <c r="BF4859" s="3" t="s">
        <v>47248</v>
      </c>
      <c r="BG4859" s="3" t="s">
        <v>47250</v>
      </c>
      <c r="BH4859">
        <f t="shared" si="157"/>
        <v>0</v>
      </c>
    </row>
    <row r="4860" spans="1:60" ht="58" x14ac:dyDescent="0.35">
      <c r="A4860" s="2" t="s">
        <v>59</v>
      </c>
      <c r="B4860" s="2" t="s">
        <v>60</v>
      </c>
      <c r="C4860" s="2" t="s">
        <v>47251</v>
      </c>
      <c r="D4860" s="2" t="s">
        <v>47252</v>
      </c>
      <c r="E4860" s="2" t="s">
        <v>47253</v>
      </c>
      <c r="G4860" s="3" t="s">
        <v>128</v>
      </c>
      <c r="I4860" s="3" t="s">
        <v>64</v>
      </c>
      <c r="J4860" s="3" t="s">
        <v>64</v>
      </c>
      <c r="K4860" s="3" t="s">
        <v>65</v>
      </c>
      <c r="L4860" s="2" t="s">
        <v>47254</v>
      </c>
      <c r="M4860" s="2" t="s">
        <v>47255</v>
      </c>
      <c r="N4860" s="3" t="s">
        <v>3584</v>
      </c>
      <c r="P4860" s="3" t="s">
        <v>68</v>
      </c>
      <c r="Q4860" s="2" t="s">
        <v>47256</v>
      </c>
      <c r="R4860" s="3" t="s">
        <v>70</v>
      </c>
      <c r="S4860" s="4">
        <v>1</v>
      </c>
      <c r="T4860" s="4">
        <v>1</v>
      </c>
      <c r="U4860" s="5" t="s">
        <v>47257</v>
      </c>
      <c r="V4860" s="5" t="s">
        <v>47257</v>
      </c>
      <c r="W4860" s="5" t="s">
        <v>72</v>
      </c>
      <c r="X4860" s="5" t="s">
        <v>72</v>
      </c>
      <c r="Y4860" s="4">
        <v>5</v>
      </c>
      <c r="Z4860" s="4">
        <v>4</v>
      </c>
      <c r="AA4860" s="4">
        <v>7</v>
      </c>
      <c r="AB4860" s="4">
        <v>1</v>
      </c>
      <c r="AC4860" s="4">
        <v>4</v>
      </c>
      <c r="AD4860" s="4">
        <v>2</v>
      </c>
      <c r="AE4860" s="4">
        <v>4</v>
      </c>
      <c r="AF4860" s="4">
        <v>0</v>
      </c>
      <c r="AG4860" s="4">
        <v>2</v>
      </c>
      <c r="AH4860" s="4">
        <v>1</v>
      </c>
      <c r="AI4860" s="4">
        <v>1</v>
      </c>
      <c r="AJ4860" s="4">
        <v>2</v>
      </c>
      <c r="AK4860" s="4">
        <v>4</v>
      </c>
      <c r="AL4860" s="4">
        <v>1</v>
      </c>
      <c r="AM4860" s="4">
        <v>1</v>
      </c>
      <c r="AN4860" s="4">
        <v>0</v>
      </c>
      <c r="AO4860" s="4">
        <v>0</v>
      </c>
      <c r="AP4860" s="4">
        <v>2</v>
      </c>
      <c r="AQ4860" s="4">
        <v>3</v>
      </c>
      <c r="AR4860" s="3" t="s">
        <v>64</v>
      </c>
      <c r="AS4860" s="3" t="s">
        <v>64</v>
      </c>
      <c r="AT4860" s="3" t="s">
        <v>128</v>
      </c>
      <c r="AU4860" s="6" t="str">
        <f>HYPERLINK("http://catalog.hathitrust.org/Record/000164791","HathiTrust Record")</f>
        <v>HathiTrust Record</v>
      </c>
      <c r="AV4860" s="6" t="str">
        <f>HYPERLINK("http://mcgill.on.worldcat.org/oclc/427247761","Catalog Record")</f>
        <v>Catalog Record</v>
      </c>
      <c r="AW4860" s="6" t="str">
        <f>HYPERLINK("http://www.worldcat.org/oclc/427247761","WorldCat Record")</f>
        <v>WorldCat Record</v>
      </c>
      <c r="AX4860" s="3" t="s">
        <v>47258</v>
      </c>
      <c r="AY4860" s="3" t="s">
        <v>47259</v>
      </c>
      <c r="AZ4860" s="3" t="s">
        <v>47260</v>
      </c>
      <c r="BA4860" s="3" t="s">
        <v>47260</v>
      </c>
      <c r="BB4860" s="3" t="s">
        <v>47261</v>
      </c>
      <c r="BC4860" s="3" t="s">
        <v>77</v>
      </c>
      <c r="BD4860" s="3" t="s">
        <v>78</v>
      </c>
      <c r="BE4860" s="3" t="s">
        <v>47262</v>
      </c>
      <c r="BF4860" s="3" t="s">
        <v>47261</v>
      </c>
      <c r="BG4860" s="3" t="s">
        <v>47263</v>
      </c>
      <c r="BH4860">
        <f t="shared" si="157"/>
        <v>0</v>
      </c>
    </row>
    <row r="4861" spans="1:60" ht="58" x14ac:dyDescent="0.35">
      <c r="A4861" s="2" t="s">
        <v>59</v>
      </c>
      <c r="B4861" s="2" t="s">
        <v>60</v>
      </c>
      <c r="C4861" s="2" t="s">
        <v>47264</v>
      </c>
      <c r="D4861" s="2" t="s">
        <v>47265</v>
      </c>
      <c r="E4861" s="2" t="s">
        <v>47266</v>
      </c>
      <c r="G4861" s="3" t="s">
        <v>64</v>
      </c>
      <c r="I4861" s="3" t="s">
        <v>64</v>
      </c>
      <c r="J4861" s="3" t="s">
        <v>64</v>
      </c>
      <c r="K4861" s="3" t="s">
        <v>65</v>
      </c>
      <c r="L4861" s="2" t="s">
        <v>47254</v>
      </c>
      <c r="M4861" s="2" t="s">
        <v>47267</v>
      </c>
      <c r="N4861" s="3" t="s">
        <v>1061</v>
      </c>
      <c r="P4861" s="3" t="s">
        <v>68</v>
      </c>
      <c r="Q4861" s="2" t="s">
        <v>47268</v>
      </c>
      <c r="R4861" s="3" t="s">
        <v>70</v>
      </c>
      <c r="S4861" s="4">
        <v>2</v>
      </c>
      <c r="T4861" s="4">
        <v>2</v>
      </c>
      <c r="U4861" s="5" t="s">
        <v>47257</v>
      </c>
      <c r="V4861" s="5" t="s">
        <v>47257</v>
      </c>
      <c r="W4861" s="5" t="s">
        <v>72</v>
      </c>
      <c r="X4861" s="5" t="s">
        <v>72</v>
      </c>
      <c r="Y4861" s="4">
        <v>99</v>
      </c>
      <c r="Z4861" s="4">
        <v>10</v>
      </c>
      <c r="AA4861" s="4">
        <v>10</v>
      </c>
      <c r="AB4861" s="4">
        <v>1</v>
      </c>
      <c r="AC4861" s="4">
        <v>1</v>
      </c>
      <c r="AD4861" s="4">
        <v>51</v>
      </c>
      <c r="AE4861" s="4">
        <v>52</v>
      </c>
      <c r="AF4861" s="4">
        <v>0</v>
      </c>
      <c r="AG4861" s="4">
        <v>0</v>
      </c>
      <c r="AH4861" s="4">
        <v>47</v>
      </c>
      <c r="AI4861" s="4">
        <v>48</v>
      </c>
      <c r="AJ4861" s="4">
        <v>8</v>
      </c>
      <c r="AK4861" s="4">
        <v>8</v>
      </c>
      <c r="AL4861" s="4">
        <v>34</v>
      </c>
      <c r="AM4861" s="4">
        <v>35</v>
      </c>
      <c r="AN4861" s="4">
        <v>0</v>
      </c>
      <c r="AO4861" s="4">
        <v>0</v>
      </c>
      <c r="AP4861" s="4">
        <v>8</v>
      </c>
      <c r="AQ4861" s="4">
        <v>8</v>
      </c>
      <c r="AR4861" s="3" t="s">
        <v>64</v>
      </c>
      <c r="AS4861" s="3" t="s">
        <v>64</v>
      </c>
      <c r="AT4861" s="3" t="s">
        <v>128</v>
      </c>
      <c r="AU4861" s="6" t="str">
        <f>HYPERLINK("http://catalog.hathitrust.org/Record/000871365","HathiTrust Record")</f>
        <v>HathiTrust Record</v>
      </c>
      <c r="AV4861" s="6" t="str">
        <f>HYPERLINK("http://mcgill.on.worldcat.org/oclc/13424032","Catalog Record")</f>
        <v>Catalog Record</v>
      </c>
      <c r="AW4861" s="6" t="str">
        <f>HYPERLINK("http://www.worldcat.org/oclc/13424032","WorldCat Record")</f>
        <v>WorldCat Record</v>
      </c>
      <c r="AX4861" s="3" t="s">
        <v>47269</v>
      </c>
      <c r="AY4861" s="3" t="s">
        <v>47270</v>
      </c>
      <c r="AZ4861" s="3" t="s">
        <v>47271</v>
      </c>
      <c r="BA4861" s="3" t="s">
        <v>47271</v>
      </c>
      <c r="BB4861" s="3" t="s">
        <v>47272</v>
      </c>
      <c r="BC4861" s="3" t="s">
        <v>77</v>
      </c>
      <c r="BD4861" s="3" t="s">
        <v>78</v>
      </c>
      <c r="BF4861" s="3" t="s">
        <v>47272</v>
      </c>
      <c r="BG4861" s="3" t="s">
        <v>47273</v>
      </c>
      <c r="BH4861">
        <f t="shared" si="157"/>
        <v>0</v>
      </c>
    </row>
    <row r="4862" spans="1:60" ht="58" x14ac:dyDescent="0.35">
      <c r="A4862" s="2" t="s">
        <v>59</v>
      </c>
      <c r="B4862" s="2" t="s">
        <v>60</v>
      </c>
      <c r="C4862" s="2" t="s">
        <v>47274</v>
      </c>
      <c r="D4862" s="2" t="s">
        <v>47275</v>
      </c>
      <c r="E4862" s="2" t="s">
        <v>47276</v>
      </c>
      <c r="G4862" s="3" t="s">
        <v>64</v>
      </c>
      <c r="I4862" s="3" t="s">
        <v>64</v>
      </c>
      <c r="J4862" s="3" t="s">
        <v>64</v>
      </c>
      <c r="K4862" s="3" t="s">
        <v>65</v>
      </c>
      <c r="L4862" s="2" t="s">
        <v>47277</v>
      </c>
      <c r="M4862" s="2" t="s">
        <v>47278</v>
      </c>
      <c r="N4862" s="3" t="s">
        <v>3428</v>
      </c>
      <c r="P4862" s="3" t="s">
        <v>1479</v>
      </c>
      <c r="R4862" s="3" t="s">
        <v>70</v>
      </c>
      <c r="S4862" s="4">
        <v>1</v>
      </c>
      <c r="T4862" s="4">
        <v>1</v>
      </c>
      <c r="U4862" s="5" t="s">
        <v>8725</v>
      </c>
      <c r="V4862" s="5" t="s">
        <v>8725</v>
      </c>
      <c r="W4862" s="5" t="s">
        <v>72</v>
      </c>
      <c r="X4862" s="5" t="s">
        <v>72</v>
      </c>
      <c r="Y4862" s="4">
        <v>99</v>
      </c>
      <c r="Z4862" s="4">
        <v>10</v>
      </c>
      <c r="AA4862" s="4">
        <v>14</v>
      </c>
      <c r="AB4862" s="4">
        <v>1</v>
      </c>
      <c r="AC4862" s="4">
        <v>2</v>
      </c>
      <c r="AD4862" s="4">
        <v>53</v>
      </c>
      <c r="AE4862" s="4">
        <v>66</v>
      </c>
      <c r="AF4862" s="4">
        <v>0</v>
      </c>
      <c r="AG4862" s="4">
        <v>1</v>
      </c>
      <c r="AH4862" s="4">
        <v>49</v>
      </c>
      <c r="AI4862" s="4">
        <v>60</v>
      </c>
      <c r="AJ4862" s="4">
        <v>8</v>
      </c>
      <c r="AK4862" s="4">
        <v>11</v>
      </c>
      <c r="AL4862" s="4">
        <v>35</v>
      </c>
      <c r="AM4862" s="4">
        <v>40</v>
      </c>
      <c r="AN4862" s="4">
        <v>0</v>
      </c>
      <c r="AO4862" s="4">
        <v>0</v>
      </c>
      <c r="AP4862" s="4">
        <v>8</v>
      </c>
      <c r="AQ4862" s="4">
        <v>10</v>
      </c>
      <c r="AR4862" s="3" t="s">
        <v>64</v>
      </c>
      <c r="AS4862" s="3" t="s">
        <v>64</v>
      </c>
      <c r="AT4862" s="3" t="s">
        <v>128</v>
      </c>
      <c r="AU4862" s="6" t="str">
        <f>HYPERLINK("http://catalog.hathitrust.org/Record/003167770","HathiTrust Record")</f>
        <v>HathiTrust Record</v>
      </c>
      <c r="AV4862" s="6" t="str">
        <f>HYPERLINK("http://mcgill.on.worldcat.org/oclc/34143813","Catalog Record")</f>
        <v>Catalog Record</v>
      </c>
      <c r="AW4862" s="6" t="str">
        <f>HYPERLINK("http://www.worldcat.org/oclc/34143813","WorldCat Record")</f>
        <v>WorldCat Record</v>
      </c>
      <c r="AX4862" s="3" t="s">
        <v>47279</v>
      </c>
      <c r="AY4862" s="3" t="s">
        <v>47280</v>
      </c>
      <c r="AZ4862" s="3" t="s">
        <v>47281</v>
      </c>
      <c r="BA4862" s="3" t="s">
        <v>47281</v>
      </c>
      <c r="BB4862" s="3" t="s">
        <v>47282</v>
      </c>
      <c r="BC4862" s="3" t="s">
        <v>77</v>
      </c>
      <c r="BD4862" s="3" t="s">
        <v>78</v>
      </c>
      <c r="BE4862" s="3" t="s">
        <v>47283</v>
      </c>
      <c r="BF4862" s="3" t="s">
        <v>47282</v>
      </c>
      <c r="BG4862" s="3" t="s">
        <v>47284</v>
      </c>
      <c r="BH4862">
        <f t="shared" si="157"/>
        <v>0</v>
      </c>
    </row>
    <row r="4863" spans="1:60" ht="87" x14ac:dyDescent="0.35">
      <c r="A4863" s="2" t="s">
        <v>59</v>
      </c>
      <c r="B4863" s="2" t="s">
        <v>60</v>
      </c>
      <c r="C4863" s="2" t="s">
        <v>47285</v>
      </c>
      <c r="D4863" s="2" t="s">
        <v>47286</v>
      </c>
      <c r="E4863" s="2" t="s">
        <v>47287</v>
      </c>
      <c r="F4863" s="3" t="s">
        <v>6565</v>
      </c>
      <c r="G4863" s="3" t="s">
        <v>64</v>
      </c>
      <c r="I4863" s="3" t="s">
        <v>64</v>
      </c>
      <c r="J4863" s="3" t="s">
        <v>64</v>
      </c>
      <c r="K4863" s="3" t="s">
        <v>65</v>
      </c>
      <c r="L4863" s="2" t="s">
        <v>47288</v>
      </c>
      <c r="M4863" s="2" t="s">
        <v>47289</v>
      </c>
      <c r="N4863" s="3" t="s">
        <v>674</v>
      </c>
      <c r="P4863" s="3" t="s">
        <v>1479</v>
      </c>
      <c r="R4863" s="3" t="s">
        <v>70</v>
      </c>
      <c r="S4863" s="4">
        <v>1</v>
      </c>
      <c r="T4863" s="4">
        <v>1</v>
      </c>
      <c r="U4863" s="5" t="s">
        <v>8725</v>
      </c>
      <c r="V4863" s="5" t="s">
        <v>8725</v>
      </c>
      <c r="W4863" s="5" t="s">
        <v>72</v>
      </c>
      <c r="X4863" s="5" t="s">
        <v>72</v>
      </c>
      <c r="Y4863" s="4">
        <v>108</v>
      </c>
      <c r="Z4863" s="4">
        <v>3</v>
      </c>
      <c r="AA4863" s="4">
        <v>24</v>
      </c>
      <c r="AB4863" s="4">
        <v>1</v>
      </c>
      <c r="AC4863" s="4">
        <v>1</v>
      </c>
      <c r="AD4863" s="4">
        <v>56</v>
      </c>
      <c r="AE4863" s="4">
        <v>98</v>
      </c>
      <c r="AF4863" s="4">
        <v>0</v>
      </c>
      <c r="AG4863" s="4">
        <v>0</v>
      </c>
      <c r="AH4863" s="4">
        <v>53</v>
      </c>
      <c r="AI4863" s="4">
        <v>87</v>
      </c>
      <c r="AJ4863" s="4">
        <v>1</v>
      </c>
      <c r="AK4863" s="4">
        <v>10</v>
      </c>
      <c r="AL4863" s="4">
        <v>37</v>
      </c>
      <c r="AM4863" s="4">
        <v>51</v>
      </c>
      <c r="AN4863" s="4">
        <v>0</v>
      </c>
      <c r="AO4863" s="4">
        <v>0</v>
      </c>
      <c r="AP4863" s="4">
        <v>1</v>
      </c>
      <c r="AQ4863" s="4">
        <v>15</v>
      </c>
      <c r="AR4863" s="3" t="s">
        <v>64</v>
      </c>
      <c r="AS4863" s="3" t="s">
        <v>64</v>
      </c>
      <c r="AT4863" s="3" t="s">
        <v>128</v>
      </c>
      <c r="AU4863" s="6" t="str">
        <f>HYPERLINK("http://catalog.hathitrust.org/Record/001050605","HathiTrust Record")</f>
        <v>HathiTrust Record</v>
      </c>
      <c r="AV4863" s="6" t="str">
        <f>HYPERLINK("http://mcgill.on.worldcat.org/oclc/1804998","Catalog Record")</f>
        <v>Catalog Record</v>
      </c>
      <c r="AW4863" s="6" t="str">
        <f>HYPERLINK("http://www.worldcat.org/oclc/1804998","WorldCat Record")</f>
        <v>WorldCat Record</v>
      </c>
      <c r="AX4863" s="3" t="s">
        <v>47290</v>
      </c>
      <c r="AY4863" s="3" t="s">
        <v>47291</v>
      </c>
      <c r="AZ4863" s="3" t="s">
        <v>47292</v>
      </c>
      <c r="BA4863" s="3" t="s">
        <v>47292</v>
      </c>
      <c r="BB4863" s="3" t="s">
        <v>47293</v>
      </c>
      <c r="BC4863" s="3" t="s">
        <v>77</v>
      </c>
      <c r="BD4863" s="3" t="s">
        <v>78</v>
      </c>
      <c r="BF4863" s="3" t="s">
        <v>47293</v>
      </c>
      <c r="BG4863" s="3" t="s">
        <v>47294</v>
      </c>
      <c r="BH4863">
        <f t="shared" si="157"/>
        <v>0</v>
      </c>
    </row>
    <row r="4864" spans="1:60" ht="58" x14ac:dyDescent="0.35">
      <c r="A4864" s="2" t="s">
        <v>59</v>
      </c>
      <c r="B4864" s="2" t="s">
        <v>60</v>
      </c>
      <c r="C4864" s="2" t="s">
        <v>47295</v>
      </c>
      <c r="D4864" s="2" t="s">
        <v>47296</v>
      </c>
      <c r="E4864" s="2" t="s">
        <v>47297</v>
      </c>
      <c r="G4864" s="3" t="s">
        <v>64</v>
      </c>
      <c r="I4864" s="3" t="s">
        <v>64</v>
      </c>
      <c r="J4864" s="3" t="s">
        <v>64</v>
      </c>
      <c r="K4864" s="3" t="s">
        <v>65</v>
      </c>
      <c r="L4864" s="2" t="s">
        <v>47298</v>
      </c>
      <c r="M4864" s="2" t="s">
        <v>47299</v>
      </c>
      <c r="N4864" s="3" t="s">
        <v>6324</v>
      </c>
      <c r="P4864" s="3" t="s">
        <v>1479</v>
      </c>
      <c r="R4864" s="3" t="s">
        <v>70</v>
      </c>
      <c r="S4864" s="4">
        <v>3</v>
      </c>
      <c r="T4864" s="4">
        <v>3</v>
      </c>
      <c r="U4864" s="5" t="s">
        <v>8725</v>
      </c>
      <c r="V4864" s="5" t="s">
        <v>8725</v>
      </c>
      <c r="W4864" s="5" t="s">
        <v>72</v>
      </c>
      <c r="X4864" s="5" t="s">
        <v>72</v>
      </c>
      <c r="Y4864" s="4">
        <v>134</v>
      </c>
      <c r="Z4864" s="4">
        <v>9</v>
      </c>
      <c r="AA4864" s="4">
        <v>9</v>
      </c>
      <c r="AB4864" s="4">
        <v>1</v>
      </c>
      <c r="AC4864" s="4">
        <v>1</v>
      </c>
      <c r="AD4864" s="4">
        <v>79</v>
      </c>
      <c r="AE4864" s="4">
        <v>79</v>
      </c>
      <c r="AF4864" s="4">
        <v>0</v>
      </c>
      <c r="AG4864" s="4">
        <v>0</v>
      </c>
      <c r="AH4864" s="4">
        <v>75</v>
      </c>
      <c r="AI4864" s="4">
        <v>75</v>
      </c>
      <c r="AJ4864" s="4">
        <v>7</v>
      </c>
      <c r="AK4864" s="4">
        <v>7</v>
      </c>
      <c r="AL4864" s="4">
        <v>46</v>
      </c>
      <c r="AM4864" s="4">
        <v>46</v>
      </c>
      <c r="AN4864" s="4">
        <v>0</v>
      </c>
      <c r="AO4864" s="4">
        <v>0</v>
      </c>
      <c r="AP4864" s="4">
        <v>7</v>
      </c>
      <c r="AQ4864" s="4">
        <v>7</v>
      </c>
      <c r="AR4864" s="3" t="s">
        <v>64</v>
      </c>
      <c r="AS4864" s="3" t="s">
        <v>64</v>
      </c>
      <c r="AT4864" s="3" t="s">
        <v>128</v>
      </c>
      <c r="AU4864" s="6" t="str">
        <f>HYPERLINK("http://catalog.hathitrust.org/Record/001050716","HathiTrust Record")</f>
        <v>HathiTrust Record</v>
      </c>
      <c r="AV4864" s="6" t="str">
        <f>HYPERLINK("http://mcgill.on.worldcat.org/oclc/619373","Catalog Record")</f>
        <v>Catalog Record</v>
      </c>
      <c r="AW4864" s="6" t="str">
        <f>HYPERLINK("http://www.worldcat.org/oclc/619373","WorldCat Record")</f>
        <v>WorldCat Record</v>
      </c>
      <c r="AX4864" s="3" t="s">
        <v>47300</v>
      </c>
      <c r="AY4864" s="3" t="s">
        <v>47301</v>
      </c>
      <c r="AZ4864" s="3" t="s">
        <v>47302</v>
      </c>
      <c r="BA4864" s="3" t="s">
        <v>47302</v>
      </c>
      <c r="BB4864" s="3" t="s">
        <v>47303</v>
      </c>
      <c r="BC4864" s="3" t="s">
        <v>77</v>
      </c>
      <c r="BD4864" s="3" t="s">
        <v>78</v>
      </c>
      <c r="BF4864" s="3" t="s">
        <v>47303</v>
      </c>
      <c r="BG4864" s="3" t="s">
        <v>47304</v>
      </c>
      <c r="BH4864">
        <f t="shared" si="157"/>
        <v>0</v>
      </c>
    </row>
    <row r="4865" spans="1:60" ht="58" x14ac:dyDescent="0.35">
      <c r="A4865" s="2" t="s">
        <v>59</v>
      </c>
      <c r="B4865" s="2" t="s">
        <v>60</v>
      </c>
      <c r="C4865" s="2" t="s">
        <v>47305</v>
      </c>
      <c r="D4865" s="2" t="s">
        <v>47306</v>
      </c>
      <c r="E4865" s="2" t="s">
        <v>47307</v>
      </c>
      <c r="G4865" s="3" t="s">
        <v>64</v>
      </c>
      <c r="I4865" s="3" t="s">
        <v>64</v>
      </c>
      <c r="J4865" s="3" t="s">
        <v>64</v>
      </c>
      <c r="K4865" s="3" t="s">
        <v>65</v>
      </c>
      <c r="M4865" s="2" t="s">
        <v>47308</v>
      </c>
      <c r="N4865" s="3" t="s">
        <v>537</v>
      </c>
      <c r="P4865" s="3" t="s">
        <v>102</v>
      </c>
      <c r="Q4865" s="2" t="s">
        <v>47309</v>
      </c>
      <c r="R4865" s="3" t="s">
        <v>70</v>
      </c>
      <c r="S4865" s="4">
        <v>0</v>
      </c>
      <c r="T4865" s="4">
        <v>0</v>
      </c>
      <c r="W4865" s="5" t="s">
        <v>72</v>
      </c>
      <c r="X4865" s="5" t="s">
        <v>72</v>
      </c>
      <c r="Y4865" s="4">
        <v>83</v>
      </c>
      <c r="Z4865" s="4">
        <v>6</v>
      </c>
      <c r="AA4865" s="4">
        <v>103</v>
      </c>
      <c r="AB4865" s="4">
        <v>1</v>
      </c>
      <c r="AC4865" s="4">
        <v>15</v>
      </c>
      <c r="AD4865" s="4">
        <v>31</v>
      </c>
      <c r="AE4865" s="4">
        <v>111</v>
      </c>
      <c r="AF4865" s="4">
        <v>0</v>
      </c>
      <c r="AG4865" s="4">
        <v>8</v>
      </c>
      <c r="AH4865" s="4">
        <v>28</v>
      </c>
      <c r="AI4865" s="4">
        <v>74</v>
      </c>
      <c r="AJ4865" s="4">
        <v>2</v>
      </c>
      <c r="AK4865" s="4">
        <v>19</v>
      </c>
      <c r="AL4865" s="4">
        <v>22</v>
      </c>
      <c r="AM4865" s="4">
        <v>44</v>
      </c>
      <c r="AN4865" s="4">
        <v>0</v>
      </c>
      <c r="AO4865" s="4">
        <v>0</v>
      </c>
      <c r="AP4865" s="4">
        <v>3</v>
      </c>
      <c r="AQ4865" s="4">
        <v>41</v>
      </c>
      <c r="AR4865" s="3" t="s">
        <v>64</v>
      </c>
      <c r="AS4865" s="3" t="s">
        <v>64</v>
      </c>
      <c r="AT4865" s="3" t="s">
        <v>64</v>
      </c>
      <c r="AV4865" s="6" t="str">
        <f>HYPERLINK("http://mcgill.on.worldcat.org/oclc/926875638","Catalog Record")</f>
        <v>Catalog Record</v>
      </c>
      <c r="AW4865" s="6" t="str">
        <f>HYPERLINK("http://www.worldcat.org/oclc/926875638","WorldCat Record")</f>
        <v>WorldCat Record</v>
      </c>
      <c r="AX4865" s="3" t="s">
        <v>47310</v>
      </c>
      <c r="AY4865" s="3" t="s">
        <v>47311</v>
      </c>
      <c r="AZ4865" s="3" t="s">
        <v>47312</v>
      </c>
      <c r="BA4865" s="3" t="s">
        <v>47312</v>
      </c>
      <c r="BB4865" s="3" t="s">
        <v>47313</v>
      </c>
      <c r="BC4865" s="3" t="s">
        <v>77</v>
      </c>
      <c r="BD4865" s="3" t="s">
        <v>78</v>
      </c>
      <c r="BE4865" s="3" t="s">
        <v>47314</v>
      </c>
      <c r="BF4865" s="3" t="s">
        <v>47313</v>
      </c>
      <c r="BG4865" s="3" t="s">
        <v>47315</v>
      </c>
      <c r="BH4865">
        <f t="shared" si="157"/>
        <v>0</v>
      </c>
    </row>
    <row r="4866" spans="1:60" ht="58" x14ac:dyDescent="0.35">
      <c r="A4866" s="2" t="s">
        <v>59</v>
      </c>
      <c r="B4866" s="2" t="s">
        <v>60</v>
      </c>
      <c r="C4866" s="2" t="s">
        <v>47316</v>
      </c>
      <c r="D4866" s="2" t="s">
        <v>47317</v>
      </c>
      <c r="E4866" s="2" t="s">
        <v>47318</v>
      </c>
      <c r="G4866" s="3" t="s">
        <v>64</v>
      </c>
      <c r="I4866" s="3" t="s">
        <v>64</v>
      </c>
      <c r="J4866" s="3" t="s">
        <v>64</v>
      </c>
      <c r="K4866" s="3" t="s">
        <v>65</v>
      </c>
      <c r="L4866" s="2" t="s">
        <v>47319</v>
      </c>
      <c r="M4866" s="2" t="s">
        <v>47320</v>
      </c>
      <c r="N4866" s="3" t="s">
        <v>1061</v>
      </c>
      <c r="P4866" s="3" t="s">
        <v>102</v>
      </c>
      <c r="R4866" s="3" t="s">
        <v>70</v>
      </c>
      <c r="S4866" s="4">
        <v>1</v>
      </c>
      <c r="T4866" s="4">
        <v>1</v>
      </c>
      <c r="U4866" s="5" t="s">
        <v>16083</v>
      </c>
      <c r="V4866" s="5" t="s">
        <v>16083</v>
      </c>
      <c r="W4866" s="5" t="s">
        <v>72</v>
      </c>
      <c r="X4866" s="5" t="s">
        <v>72</v>
      </c>
      <c r="Y4866" s="4">
        <v>363</v>
      </c>
      <c r="Z4866" s="4">
        <v>31</v>
      </c>
      <c r="AA4866" s="4">
        <v>33</v>
      </c>
      <c r="AB4866" s="4">
        <v>3</v>
      </c>
      <c r="AC4866" s="4">
        <v>5</v>
      </c>
      <c r="AD4866" s="4">
        <v>119</v>
      </c>
      <c r="AE4866" s="4">
        <v>121</v>
      </c>
      <c r="AF4866" s="4">
        <v>2</v>
      </c>
      <c r="AG4866" s="4">
        <v>4</v>
      </c>
      <c r="AH4866" s="4">
        <v>102</v>
      </c>
      <c r="AI4866" s="4">
        <v>102</v>
      </c>
      <c r="AJ4866" s="4">
        <v>21</v>
      </c>
      <c r="AK4866" s="4">
        <v>23</v>
      </c>
      <c r="AL4866" s="4">
        <v>52</v>
      </c>
      <c r="AM4866" s="4">
        <v>52</v>
      </c>
      <c r="AN4866" s="4">
        <v>0</v>
      </c>
      <c r="AO4866" s="4">
        <v>0</v>
      </c>
      <c r="AP4866" s="4">
        <v>25</v>
      </c>
      <c r="AQ4866" s="4">
        <v>26</v>
      </c>
      <c r="AR4866" s="3" t="s">
        <v>64</v>
      </c>
      <c r="AS4866" s="3" t="s">
        <v>64</v>
      </c>
      <c r="AT4866" s="3" t="s">
        <v>128</v>
      </c>
      <c r="AU4866" s="6" t="str">
        <f>HYPERLINK("http://catalog.hathitrust.org/Record/000351479","HathiTrust Record")</f>
        <v>HathiTrust Record</v>
      </c>
      <c r="AV4866" s="6" t="str">
        <f>HYPERLINK("http://mcgill.on.worldcat.org/oclc/11814107","Catalog Record")</f>
        <v>Catalog Record</v>
      </c>
      <c r="AW4866" s="6" t="str">
        <f>HYPERLINK("http://www.worldcat.org/oclc/11814107","WorldCat Record")</f>
        <v>WorldCat Record</v>
      </c>
      <c r="AX4866" s="3" t="s">
        <v>47321</v>
      </c>
      <c r="AY4866" s="3" t="s">
        <v>47322</v>
      </c>
      <c r="AZ4866" s="3" t="s">
        <v>47323</v>
      </c>
      <c r="BA4866" s="3" t="s">
        <v>47323</v>
      </c>
      <c r="BB4866" s="3" t="s">
        <v>47324</v>
      </c>
      <c r="BC4866" s="3" t="s">
        <v>77</v>
      </c>
      <c r="BD4866" s="3" t="s">
        <v>78</v>
      </c>
      <c r="BE4866" s="3" t="s">
        <v>47325</v>
      </c>
      <c r="BF4866" s="3" t="s">
        <v>47324</v>
      </c>
      <c r="BG4866" s="3" t="s">
        <v>47326</v>
      </c>
      <c r="BH4866">
        <f t="shared" ref="BH4866:BH4929" si="158">IF(COUNTIF($BF$1:$BF$5431,BF4866)=1,0,1)</f>
        <v>0</v>
      </c>
    </row>
    <row r="4867" spans="1:60" ht="116" x14ac:dyDescent="0.35">
      <c r="A4867" s="2" t="s">
        <v>59</v>
      </c>
      <c r="B4867" s="2" t="s">
        <v>60</v>
      </c>
      <c r="C4867" s="2" t="s">
        <v>47327</v>
      </c>
      <c r="D4867" s="2" t="s">
        <v>47328</v>
      </c>
      <c r="E4867" s="2" t="s">
        <v>47329</v>
      </c>
      <c r="G4867" s="3" t="s">
        <v>64</v>
      </c>
      <c r="I4867" s="3" t="s">
        <v>64</v>
      </c>
      <c r="J4867" s="3" t="s">
        <v>64</v>
      </c>
      <c r="K4867" s="3" t="s">
        <v>65</v>
      </c>
      <c r="L4867" s="2" t="s">
        <v>47330</v>
      </c>
      <c r="M4867" s="2" t="s">
        <v>47331</v>
      </c>
      <c r="N4867" s="3" t="s">
        <v>67</v>
      </c>
      <c r="O4867" s="2" t="s">
        <v>47332</v>
      </c>
      <c r="P4867" s="3" t="s">
        <v>1479</v>
      </c>
      <c r="R4867" s="3" t="s">
        <v>70</v>
      </c>
      <c r="S4867" s="4">
        <v>0</v>
      </c>
      <c r="T4867" s="4">
        <v>0</v>
      </c>
      <c r="W4867" s="5" t="s">
        <v>72</v>
      </c>
      <c r="X4867" s="5" t="s">
        <v>72</v>
      </c>
      <c r="Y4867" s="4">
        <v>77</v>
      </c>
      <c r="Z4867" s="4">
        <v>7</v>
      </c>
      <c r="AA4867" s="4">
        <v>7</v>
      </c>
      <c r="AB4867" s="4">
        <v>1</v>
      </c>
      <c r="AC4867" s="4">
        <v>1</v>
      </c>
      <c r="AD4867" s="4">
        <v>60</v>
      </c>
      <c r="AE4867" s="4">
        <v>60</v>
      </c>
      <c r="AF4867" s="4">
        <v>0</v>
      </c>
      <c r="AG4867" s="4">
        <v>0</v>
      </c>
      <c r="AH4867" s="4">
        <v>59</v>
      </c>
      <c r="AI4867" s="4">
        <v>59</v>
      </c>
      <c r="AJ4867" s="4">
        <v>5</v>
      </c>
      <c r="AK4867" s="4">
        <v>5</v>
      </c>
      <c r="AL4867" s="4">
        <v>40</v>
      </c>
      <c r="AM4867" s="4">
        <v>40</v>
      </c>
      <c r="AN4867" s="4">
        <v>0</v>
      </c>
      <c r="AO4867" s="4">
        <v>0</v>
      </c>
      <c r="AP4867" s="4">
        <v>5</v>
      </c>
      <c r="AQ4867" s="4">
        <v>5</v>
      </c>
      <c r="AR4867" s="3" t="s">
        <v>64</v>
      </c>
      <c r="AS4867" s="3" t="s">
        <v>64</v>
      </c>
      <c r="AT4867" s="3" t="s">
        <v>64</v>
      </c>
      <c r="AV4867" s="6" t="str">
        <f>HYPERLINK("http://mcgill.on.worldcat.org/oclc/890392565","Catalog Record")</f>
        <v>Catalog Record</v>
      </c>
      <c r="AW4867" s="6" t="str">
        <f>HYPERLINK("http://www.worldcat.org/oclc/890392565","WorldCat Record")</f>
        <v>WorldCat Record</v>
      </c>
      <c r="AX4867" s="3" t="s">
        <v>47333</v>
      </c>
      <c r="AY4867" s="3" t="s">
        <v>47334</v>
      </c>
      <c r="AZ4867" s="3" t="s">
        <v>47335</v>
      </c>
      <c r="BA4867" s="3" t="s">
        <v>47335</v>
      </c>
      <c r="BB4867" s="3" t="s">
        <v>47336</v>
      </c>
      <c r="BC4867" s="3" t="s">
        <v>77</v>
      </c>
      <c r="BD4867" s="3" t="s">
        <v>78</v>
      </c>
      <c r="BE4867" s="3" t="s">
        <v>47337</v>
      </c>
      <c r="BF4867" s="3" t="s">
        <v>47336</v>
      </c>
      <c r="BG4867" s="3" t="s">
        <v>47338</v>
      </c>
      <c r="BH4867">
        <f t="shared" si="158"/>
        <v>0</v>
      </c>
    </row>
    <row r="4868" spans="1:60" ht="58" x14ac:dyDescent="0.35">
      <c r="A4868" s="2" t="s">
        <v>59</v>
      </c>
      <c r="B4868" s="2" t="s">
        <v>60</v>
      </c>
      <c r="C4868" s="2" t="s">
        <v>47339</v>
      </c>
      <c r="D4868" s="2" t="s">
        <v>47340</v>
      </c>
      <c r="E4868" s="2" t="s">
        <v>47341</v>
      </c>
      <c r="G4868" s="3" t="s">
        <v>64</v>
      </c>
      <c r="I4868" s="3" t="s">
        <v>128</v>
      </c>
      <c r="J4868" s="3" t="s">
        <v>64</v>
      </c>
      <c r="K4868" s="3" t="s">
        <v>65</v>
      </c>
      <c r="L4868" s="2" t="s">
        <v>47342</v>
      </c>
      <c r="M4868" s="2" t="s">
        <v>47343</v>
      </c>
      <c r="N4868" s="3" t="s">
        <v>793</v>
      </c>
      <c r="P4868" s="3" t="s">
        <v>102</v>
      </c>
      <c r="R4868" s="3" t="s">
        <v>70</v>
      </c>
      <c r="S4868" s="4">
        <v>1</v>
      </c>
      <c r="T4868" s="4">
        <v>3</v>
      </c>
      <c r="U4868" s="5" t="s">
        <v>6114</v>
      </c>
      <c r="V4868" s="5" t="s">
        <v>6114</v>
      </c>
      <c r="W4868" s="5" t="s">
        <v>72</v>
      </c>
      <c r="X4868" s="5" t="s">
        <v>72</v>
      </c>
      <c r="Y4868" s="4">
        <v>169</v>
      </c>
      <c r="Z4868" s="4">
        <v>15</v>
      </c>
      <c r="AA4868" s="4">
        <v>17</v>
      </c>
      <c r="AB4868" s="4">
        <v>1</v>
      </c>
      <c r="AC4868" s="4">
        <v>1</v>
      </c>
      <c r="AD4868" s="4">
        <v>66</v>
      </c>
      <c r="AE4868" s="4">
        <v>74</v>
      </c>
      <c r="AF4868" s="4">
        <v>0</v>
      </c>
      <c r="AG4868" s="4">
        <v>0</v>
      </c>
      <c r="AH4868" s="4">
        <v>60</v>
      </c>
      <c r="AI4868" s="4">
        <v>66</v>
      </c>
      <c r="AJ4868" s="4">
        <v>8</v>
      </c>
      <c r="AK4868" s="4">
        <v>10</v>
      </c>
      <c r="AL4868" s="4">
        <v>39</v>
      </c>
      <c r="AM4868" s="4">
        <v>43</v>
      </c>
      <c r="AN4868" s="4">
        <v>0</v>
      </c>
      <c r="AO4868" s="4">
        <v>4</v>
      </c>
      <c r="AP4868" s="4">
        <v>9</v>
      </c>
      <c r="AQ4868" s="4">
        <v>11</v>
      </c>
      <c r="AR4868" s="3" t="s">
        <v>64</v>
      </c>
      <c r="AS4868" s="3" t="s">
        <v>64</v>
      </c>
      <c r="AT4868" s="3" t="s">
        <v>64</v>
      </c>
      <c r="AU4868" s="6" t="str">
        <f>HYPERLINK("http://catalog.hathitrust.org/Record/001180233","HathiTrust Record")</f>
        <v>HathiTrust Record</v>
      </c>
      <c r="AV4868" s="6" t="str">
        <f>HYPERLINK("http://mcgill.on.worldcat.org/oclc/1871203","Catalog Record")</f>
        <v>Catalog Record</v>
      </c>
      <c r="AW4868" s="6" t="str">
        <f>HYPERLINK("http://www.worldcat.org/oclc/1871203","WorldCat Record")</f>
        <v>WorldCat Record</v>
      </c>
      <c r="AX4868" s="3" t="s">
        <v>47344</v>
      </c>
      <c r="AY4868" s="3" t="s">
        <v>47345</v>
      </c>
      <c r="AZ4868" s="3" t="s">
        <v>47346</v>
      </c>
      <c r="BA4868" s="3" t="s">
        <v>47346</v>
      </c>
      <c r="BB4868" s="3" t="s">
        <v>47347</v>
      </c>
      <c r="BC4868" s="3" t="s">
        <v>77</v>
      </c>
      <c r="BD4868" s="3" t="s">
        <v>78</v>
      </c>
      <c r="BF4868" s="3" t="s">
        <v>47347</v>
      </c>
      <c r="BG4868" s="3" t="s">
        <v>47348</v>
      </c>
      <c r="BH4868">
        <f t="shared" si="158"/>
        <v>0</v>
      </c>
    </row>
    <row r="4869" spans="1:60" ht="58" x14ac:dyDescent="0.35">
      <c r="A4869" s="2" t="s">
        <v>59</v>
      </c>
      <c r="B4869" s="2" t="s">
        <v>60</v>
      </c>
      <c r="C4869" s="2" t="s">
        <v>47349</v>
      </c>
      <c r="D4869" s="2" t="s">
        <v>47350</v>
      </c>
      <c r="E4869" s="2" t="s">
        <v>47351</v>
      </c>
      <c r="G4869" s="3" t="s">
        <v>64</v>
      </c>
      <c r="I4869" s="3" t="s">
        <v>64</v>
      </c>
      <c r="J4869" s="3" t="s">
        <v>64</v>
      </c>
      <c r="K4869" s="3" t="s">
        <v>65</v>
      </c>
      <c r="M4869" s="2" t="s">
        <v>47352</v>
      </c>
      <c r="N4869" s="3" t="s">
        <v>511</v>
      </c>
      <c r="P4869" s="3" t="s">
        <v>365</v>
      </c>
      <c r="R4869" s="3" t="s">
        <v>70</v>
      </c>
      <c r="S4869" s="4">
        <v>0</v>
      </c>
      <c r="T4869" s="4">
        <v>0</v>
      </c>
      <c r="W4869" s="5" t="s">
        <v>72</v>
      </c>
      <c r="X4869" s="5" t="s">
        <v>72</v>
      </c>
      <c r="Y4869" s="4">
        <v>40</v>
      </c>
      <c r="Z4869" s="4">
        <v>7</v>
      </c>
      <c r="AA4869" s="4">
        <v>7</v>
      </c>
      <c r="AB4869" s="4">
        <v>1</v>
      </c>
      <c r="AC4869" s="4">
        <v>1</v>
      </c>
      <c r="AD4869" s="4">
        <v>27</v>
      </c>
      <c r="AE4869" s="4">
        <v>27</v>
      </c>
      <c r="AF4869" s="4">
        <v>0</v>
      </c>
      <c r="AG4869" s="4">
        <v>0</v>
      </c>
      <c r="AH4869" s="4">
        <v>26</v>
      </c>
      <c r="AI4869" s="4">
        <v>26</v>
      </c>
      <c r="AJ4869" s="4">
        <v>4</v>
      </c>
      <c r="AK4869" s="4">
        <v>4</v>
      </c>
      <c r="AL4869" s="4">
        <v>18</v>
      </c>
      <c r="AM4869" s="4">
        <v>18</v>
      </c>
      <c r="AN4869" s="4">
        <v>0</v>
      </c>
      <c r="AO4869" s="4">
        <v>0</v>
      </c>
      <c r="AP4869" s="4">
        <v>4</v>
      </c>
      <c r="AQ4869" s="4">
        <v>4</v>
      </c>
      <c r="AR4869" s="3" t="s">
        <v>64</v>
      </c>
      <c r="AS4869" s="3" t="s">
        <v>64</v>
      </c>
      <c r="AT4869" s="3" t="s">
        <v>64</v>
      </c>
      <c r="AV4869" s="6" t="str">
        <f>HYPERLINK("http://mcgill.on.worldcat.org/oclc/697263478","Catalog Record")</f>
        <v>Catalog Record</v>
      </c>
      <c r="AW4869" s="6" t="str">
        <f>HYPERLINK("http://www.worldcat.org/oclc/697263478","WorldCat Record")</f>
        <v>WorldCat Record</v>
      </c>
      <c r="AX4869" s="3" t="s">
        <v>47353</v>
      </c>
      <c r="AY4869" s="3" t="s">
        <v>47354</v>
      </c>
      <c r="AZ4869" s="3" t="s">
        <v>47355</v>
      </c>
      <c r="BA4869" s="3" t="s">
        <v>47355</v>
      </c>
      <c r="BB4869" s="3" t="s">
        <v>47356</v>
      </c>
      <c r="BC4869" s="3" t="s">
        <v>77</v>
      </c>
      <c r="BD4869" s="3" t="s">
        <v>78</v>
      </c>
      <c r="BE4869" s="3" t="s">
        <v>47357</v>
      </c>
      <c r="BF4869" s="3" t="s">
        <v>47356</v>
      </c>
      <c r="BG4869" s="3" t="s">
        <v>47358</v>
      </c>
      <c r="BH4869">
        <f t="shared" si="158"/>
        <v>0</v>
      </c>
    </row>
    <row r="4870" spans="1:60" ht="101.5" x14ac:dyDescent="0.35">
      <c r="A4870" s="2" t="s">
        <v>59</v>
      </c>
      <c r="B4870" s="2" t="s">
        <v>60</v>
      </c>
      <c r="C4870" s="2" t="s">
        <v>47359</v>
      </c>
      <c r="D4870" s="2" t="s">
        <v>47360</v>
      </c>
      <c r="E4870" s="2" t="s">
        <v>47361</v>
      </c>
      <c r="G4870" s="3" t="s">
        <v>64</v>
      </c>
      <c r="I4870" s="3" t="s">
        <v>64</v>
      </c>
      <c r="J4870" s="3" t="s">
        <v>64</v>
      </c>
      <c r="K4870" s="3" t="s">
        <v>65</v>
      </c>
      <c r="M4870" s="2" t="s">
        <v>47362</v>
      </c>
      <c r="N4870" s="3" t="s">
        <v>326</v>
      </c>
      <c r="P4870" s="3" t="s">
        <v>365</v>
      </c>
      <c r="R4870" s="3" t="s">
        <v>70</v>
      </c>
      <c r="S4870" s="4">
        <v>0</v>
      </c>
      <c r="T4870" s="4">
        <v>0</v>
      </c>
      <c r="W4870" s="5" t="s">
        <v>72</v>
      </c>
      <c r="X4870" s="5" t="s">
        <v>72</v>
      </c>
      <c r="Y4870" s="4">
        <v>48</v>
      </c>
      <c r="Z4870" s="4">
        <v>5</v>
      </c>
      <c r="AA4870" s="4">
        <v>5</v>
      </c>
      <c r="AB4870" s="4">
        <v>1</v>
      </c>
      <c r="AC4870" s="4">
        <v>1</v>
      </c>
      <c r="AD4870" s="4">
        <v>30</v>
      </c>
      <c r="AE4870" s="4">
        <v>30</v>
      </c>
      <c r="AF4870" s="4">
        <v>0</v>
      </c>
      <c r="AG4870" s="4">
        <v>0</v>
      </c>
      <c r="AH4870" s="4">
        <v>28</v>
      </c>
      <c r="AI4870" s="4">
        <v>28</v>
      </c>
      <c r="AJ4870" s="4">
        <v>2</v>
      </c>
      <c r="AK4870" s="4">
        <v>2</v>
      </c>
      <c r="AL4870" s="4">
        <v>25</v>
      </c>
      <c r="AM4870" s="4">
        <v>25</v>
      </c>
      <c r="AN4870" s="4">
        <v>0</v>
      </c>
      <c r="AO4870" s="4">
        <v>0</v>
      </c>
      <c r="AP4870" s="4">
        <v>2</v>
      </c>
      <c r="AQ4870" s="4">
        <v>2</v>
      </c>
      <c r="AR4870" s="3" t="s">
        <v>64</v>
      </c>
      <c r="AS4870" s="3" t="s">
        <v>64</v>
      </c>
      <c r="AT4870" s="3" t="s">
        <v>64</v>
      </c>
      <c r="AV4870" s="6" t="str">
        <f>HYPERLINK("http://mcgill.on.worldcat.org/oclc/764331745","Catalog Record")</f>
        <v>Catalog Record</v>
      </c>
      <c r="AW4870" s="6" t="str">
        <f>HYPERLINK("http://www.worldcat.org/oclc/764331745","WorldCat Record")</f>
        <v>WorldCat Record</v>
      </c>
      <c r="AX4870" s="3" t="s">
        <v>47363</v>
      </c>
      <c r="AY4870" s="3" t="s">
        <v>47364</v>
      </c>
      <c r="AZ4870" s="3" t="s">
        <v>47365</v>
      </c>
      <c r="BA4870" s="3" t="s">
        <v>47365</v>
      </c>
      <c r="BB4870" s="3" t="s">
        <v>47366</v>
      </c>
      <c r="BC4870" s="3" t="s">
        <v>77</v>
      </c>
      <c r="BD4870" s="3" t="s">
        <v>78</v>
      </c>
      <c r="BE4870" s="3" t="s">
        <v>47367</v>
      </c>
      <c r="BF4870" s="3" t="s">
        <v>47366</v>
      </c>
      <c r="BG4870" s="3" t="s">
        <v>47368</v>
      </c>
      <c r="BH4870">
        <f t="shared" si="158"/>
        <v>0</v>
      </c>
    </row>
    <row r="4871" spans="1:60" ht="58" x14ac:dyDescent="0.35">
      <c r="A4871" s="2" t="s">
        <v>59</v>
      </c>
      <c r="B4871" s="2" t="s">
        <v>60</v>
      </c>
      <c r="C4871" s="2" t="s">
        <v>47369</v>
      </c>
      <c r="D4871" s="2" t="s">
        <v>47370</v>
      </c>
      <c r="E4871" s="2" t="s">
        <v>47371</v>
      </c>
      <c r="F4871" s="3" t="s">
        <v>19804</v>
      </c>
      <c r="G4871" s="3" t="s">
        <v>64</v>
      </c>
      <c r="I4871" s="3" t="s">
        <v>64</v>
      </c>
      <c r="J4871" s="3" t="s">
        <v>64</v>
      </c>
      <c r="K4871" s="3" t="s">
        <v>65</v>
      </c>
      <c r="M4871" s="2" t="s">
        <v>47372</v>
      </c>
      <c r="N4871" s="3" t="s">
        <v>434</v>
      </c>
      <c r="P4871" s="3" t="s">
        <v>365</v>
      </c>
      <c r="Q4871" s="2" t="s">
        <v>47373</v>
      </c>
      <c r="R4871" s="3" t="s">
        <v>70</v>
      </c>
      <c r="S4871" s="4">
        <v>1</v>
      </c>
      <c r="T4871" s="4">
        <v>1</v>
      </c>
      <c r="U4871" s="5" t="s">
        <v>5624</v>
      </c>
      <c r="V4871" s="5" t="s">
        <v>5624</v>
      </c>
      <c r="W4871" s="5" t="s">
        <v>72</v>
      </c>
      <c r="X4871" s="5" t="s">
        <v>72</v>
      </c>
      <c r="Y4871" s="4">
        <v>29</v>
      </c>
      <c r="Z4871" s="4">
        <v>1</v>
      </c>
      <c r="AA4871" s="4">
        <v>5</v>
      </c>
      <c r="AB4871" s="4">
        <v>1</v>
      </c>
      <c r="AC4871" s="4">
        <v>2</v>
      </c>
      <c r="AD4871" s="4">
        <v>15</v>
      </c>
      <c r="AE4871" s="4">
        <v>32</v>
      </c>
      <c r="AF4871" s="4">
        <v>0</v>
      </c>
      <c r="AG4871" s="4">
        <v>1</v>
      </c>
      <c r="AH4871" s="4">
        <v>15</v>
      </c>
      <c r="AI4871" s="4">
        <v>29</v>
      </c>
      <c r="AJ4871" s="4">
        <v>0</v>
      </c>
      <c r="AK4871" s="4">
        <v>3</v>
      </c>
      <c r="AL4871" s="4">
        <v>14</v>
      </c>
      <c r="AM4871" s="4">
        <v>26</v>
      </c>
      <c r="AN4871" s="4">
        <v>0</v>
      </c>
      <c r="AO4871" s="4">
        <v>0</v>
      </c>
      <c r="AP4871" s="4">
        <v>0</v>
      </c>
      <c r="AQ4871" s="4">
        <v>2</v>
      </c>
      <c r="AR4871" s="3" t="s">
        <v>64</v>
      </c>
      <c r="AS4871" s="3" t="s">
        <v>64</v>
      </c>
      <c r="AT4871" s="3" t="s">
        <v>128</v>
      </c>
      <c r="AU4871" s="6" t="str">
        <f>HYPERLINK("http://catalog.hathitrust.org/Record/005234836","HathiTrust Record")</f>
        <v>HathiTrust Record</v>
      </c>
      <c r="AV4871" s="6" t="str">
        <f>HYPERLINK("http://mcgill.on.worldcat.org/oclc/64672585","Catalog Record")</f>
        <v>Catalog Record</v>
      </c>
      <c r="AW4871" s="6" t="str">
        <f>HYPERLINK("http://www.worldcat.org/oclc/64672585","WorldCat Record")</f>
        <v>WorldCat Record</v>
      </c>
      <c r="AX4871" s="3" t="s">
        <v>47374</v>
      </c>
      <c r="AY4871" s="3" t="s">
        <v>47375</v>
      </c>
      <c r="AZ4871" s="3" t="s">
        <v>47376</v>
      </c>
      <c r="BA4871" s="3" t="s">
        <v>47376</v>
      </c>
      <c r="BB4871" s="3" t="s">
        <v>47377</v>
      </c>
      <c r="BC4871" s="3" t="s">
        <v>77</v>
      </c>
      <c r="BD4871" s="3" t="s">
        <v>78</v>
      </c>
      <c r="BE4871" s="3" t="s">
        <v>47378</v>
      </c>
      <c r="BF4871" s="3" t="s">
        <v>47377</v>
      </c>
      <c r="BG4871" s="3" t="s">
        <v>47379</v>
      </c>
      <c r="BH4871">
        <f t="shared" si="158"/>
        <v>0</v>
      </c>
    </row>
    <row r="4872" spans="1:60" ht="58" x14ac:dyDescent="0.35">
      <c r="A4872" s="2" t="s">
        <v>59</v>
      </c>
      <c r="B4872" s="2" t="s">
        <v>60</v>
      </c>
      <c r="C4872" s="2" t="s">
        <v>47380</v>
      </c>
      <c r="D4872" s="2" t="s">
        <v>47381</v>
      </c>
      <c r="E4872" s="2" t="s">
        <v>47382</v>
      </c>
      <c r="G4872" s="3" t="s">
        <v>64</v>
      </c>
      <c r="I4872" s="3" t="s">
        <v>64</v>
      </c>
      <c r="J4872" s="3" t="s">
        <v>64</v>
      </c>
      <c r="K4872" s="3" t="s">
        <v>65</v>
      </c>
      <c r="L4872" s="2" t="s">
        <v>47383</v>
      </c>
      <c r="M4872" s="2" t="s">
        <v>47384</v>
      </c>
      <c r="N4872" s="3" t="s">
        <v>67</v>
      </c>
      <c r="P4872" s="3" t="s">
        <v>365</v>
      </c>
      <c r="R4872" s="3" t="s">
        <v>70</v>
      </c>
      <c r="S4872" s="4">
        <v>0</v>
      </c>
      <c r="T4872" s="4">
        <v>0</v>
      </c>
      <c r="W4872" s="5" t="s">
        <v>72</v>
      </c>
      <c r="X4872" s="5" t="s">
        <v>72</v>
      </c>
      <c r="Y4872" s="4">
        <v>32</v>
      </c>
      <c r="Z4872" s="4">
        <v>4</v>
      </c>
      <c r="AA4872" s="4">
        <v>4</v>
      </c>
      <c r="AB4872" s="4">
        <v>1</v>
      </c>
      <c r="AC4872" s="4">
        <v>1</v>
      </c>
      <c r="AD4872" s="4">
        <v>21</v>
      </c>
      <c r="AE4872" s="4">
        <v>21</v>
      </c>
      <c r="AF4872" s="4">
        <v>0</v>
      </c>
      <c r="AG4872" s="4">
        <v>0</v>
      </c>
      <c r="AH4872" s="4">
        <v>20</v>
      </c>
      <c r="AI4872" s="4">
        <v>20</v>
      </c>
      <c r="AJ4872" s="4">
        <v>2</v>
      </c>
      <c r="AK4872" s="4">
        <v>2</v>
      </c>
      <c r="AL4872" s="4">
        <v>16</v>
      </c>
      <c r="AM4872" s="4">
        <v>16</v>
      </c>
      <c r="AN4872" s="4">
        <v>0</v>
      </c>
      <c r="AO4872" s="4">
        <v>0</v>
      </c>
      <c r="AP4872" s="4">
        <v>2</v>
      </c>
      <c r="AQ4872" s="4">
        <v>2</v>
      </c>
      <c r="AR4872" s="3" t="s">
        <v>64</v>
      </c>
      <c r="AS4872" s="3" t="s">
        <v>64</v>
      </c>
      <c r="AT4872" s="3" t="s">
        <v>64</v>
      </c>
      <c r="AV4872" s="6" t="str">
        <f>HYPERLINK("http://mcgill.on.worldcat.org/oclc/904251353","Catalog Record")</f>
        <v>Catalog Record</v>
      </c>
      <c r="AW4872" s="6" t="str">
        <f>HYPERLINK("http://www.worldcat.org/oclc/904251353","WorldCat Record")</f>
        <v>WorldCat Record</v>
      </c>
      <c r="AX4872" s="3" t="s">
        <v>47385</v>
      </c>
      <c r="AY4872" s="3" t="s">
        <v>47386</v>
      </c>
      <c r="AZ4872" s="3" t="s">
        <v>47387</v>
      </c>
      <c r="BA4872" s="3" t="s">
        <v>47387</v>
      </c>
      <c r="BB4872" s="3" t="s">
        <v>47388</v>
      </c>
      <c r="BC4872" s="3" t="s">
        <v>77</v>
      </c>
      <c r="BD4872" s="3" t="s">
        <v>78</v>
      </c>
      <c r="BE4872" s="3" t="s">
        <v>47389</v>
      </c>
      <c r="BF4872" s="3" t="s">
        <v>47388</v>
      </c>
      <c r="BG4872" s="3" t="s">
        <v>47390</v>
      </c>
      <c r="BH4872">
        <f t="shared" si="158"/>
        <v>0</v>
      </c>
    </row>
    <row r="4873" spans="1:60" ht="58" x14ac:dyDescent="0.35">
      <c r="A4873" s="2" t="s">
        <v>59</v>
      </c>
      <c r="B4873" s="2" t="s">
        <v>60</v>
      </c>
      <c r="C4873" s="2" t="s">
        <v>47391</v>
      </c>
      <c r="D4873" s="2" t="s">
        <v>47392</v>
      </c>
      <c r="E4873" s="2" t="s">
        <v>47393</v>
      </c>
      <c r="G4873" s="3" t="s">
        <v>64</v>
      </c>
      <c r="I4873" s="3" t="s">
        <v>64</v>
      </c>
      <c r="J4873" s="3" t="s">
        <v>64</v>
      </c>
      <c r="K4873" s="3" t="s">
        <v>65</v>
      </c>
      <c r="L4873" s="2" t="s">
        <v>47394</v>
      </c>
      <c r="M4873" s="2" t="s">
        <v>47395</v>
      </c>
      <c r="N4873" s="3" t="s">
        <v>67</v>
      </c>
      <c r="P4873" s="3" t="s">
        <v>102</v>
      </c>
      <c r="R4873" s="3" t="s">
        <v>70</v>
      </c>
      <c r="S4873" s="4">
        <v>0</v>
      </c>
      <c r="T4873" s="4">
        <v>0</v>
      </c>
      <c r="W4873" s="5" t="s">
        <v>72</v>
      </c>
      <c r="X4873" s="5" t="s">
        <v>72</v>
      </c>
      <c r="Y4873" s="4">
        <v>64</v>
      </c>
      <c r="Z4873" s="4">
        <v>21</v>
      </c>
      <c r="AA4873" s="4">
        <v>104</v>
      </c>
      <c r="AB4873" s="4">
        <v>1</v>
      </c>
      <c r="AC4873" s="4">
        <v>16</v>
      </c>
      <c r="AD4873" s="4">
        <v>41</v>
      </c>
      <c r="AE4873" s="4">
        <v>122</v>
      </c>
      <c r="AF4873" s="4">
        <v>0</v>
      </c>
      <c r="AG4873" s="4">
        <v>8</v>
      </c>
      <c r="AH4873" s="4">
        <v>32</v>
      </c>
      <c r="AI4873" s="4">
        <v>77</v>
      </c>
      <c r="AJ4873" s="4">
        <v>12</v>
      </c>
      <c r="AK4873" s="4">
        <v>28</v>
      </c>
      <c r="AL4873" s="4">
        <v>20</v>
      </c>
      <c r="AM4873" s="4">
        <v>40</v>
      </c>
      <c r="AN4873" s="4">
        <v>0</v>
      </c>
      <c r="AO4873" s="4">
        <v>0</v>
      </c>
      <c r="AP4873" s="4">
        <v>15</v>
      </c>
      <c r="AQ4873" s="4">
        <v>54</v>
      </c>
      <c r="AR4873" s="3" t="s">
        <v>128</v>
      </c>
      <c r="AS4873" s="3" t="s">
        <v>64</v>
      </c>
      <c r="AT4873" s="3" t="s">
        <v>64</v>
      </c>
      <c r="AV4873" s="6" t="str">
        <f>HYPERLINK("http://mcgill.on.worldcat.org/oclc/862039350","Catalog Record")</f>
        <v>Catalog Record</v>
      </c>
      <c r="AW4873" s="6" t="str">
        <f>HYPERLINK("http://www.worldcat.org/oclc/862039350","WorldCat Record")</f>
        <v>WorldCat Record</v>
      </c>
      <c r="AX4873" s="3" t="s">
        <v>47396</v>
      </c>
      <c r="AY4873" s="3" t="s">
        <v>47397</v>
      </c>
      <c r="AZ4873" s="3" t="s">
        <v>47398</v>
      </c>
      <c r="BA4873" s="3" t="s">
        <v>47398</v>
      </c>
      <c r="BB4873" s="3" t="s">
        <v>47399</v>
      </c>
      <c r="BC4873" s="3" t="s">
        <v>77</v>
      </c>
      <c r="BD4873" s="3" t="s">
        <v>78</v>
      </c>
      <c r="BE4873" s="3" t="s">
        <v>47400</v>
      </c>
      <c r="BF4873" s="3" t="s">
        <v>47399</v>
      </c>
      <c r="BG4873" s="3" t="s">
        <v>47401</v>
      </c>
      <c r="BH4873">
        <f t="shared" si="158"/>
        <v>0</v>
      </c>
    </row>
    <row r="4874" spans="1:60" ht="58" x14ac:dyDescent="0.35">
      <c r="A4874" s="2" t="s">
        <v>59</v>
      </c>
      <c r="B4874" s="2" t="s">
        <v>60</v>
      </c>
      <c r="C4874" s="2" t="s">
        <v>47402</v>
      </c>
      <c r="D4874" s="2" t="s">
        <v>47403</v>
      </c>
      <c r="E4874" s="2" t="s">
        <v>47404</v>
      </c>
      <c r="G4874" s="3" t="s">
        <v>64</v>
      </c>
      <c r="I4874" s="3" t="s">
        <v>128</v>
      </c>
      <c r="J4874" s="3" t="s">
        <v>64</v>
      </c>
      <c r="K4874" s="3" t="s">
        <v>65</v>
      </c>
      <c r="L4874" s="2" t="s">
        <v>47405</v>
      </c>
      <c r="M4874" s="2" t="s">
        <v>47406</v>
      </c>
      <c r="N4874" s="3" t="s">
        <v>3428</v>
      </c>
      <c r="P4874" s="3" t="s">
        <v>102</v>
      </c>
      <c r="Q4874" s="2" t="s">
        <v>47407</v>
      </c>
      <c r="R4874" s="3" t="s">
        <v>70</v>
      </c>
      <c r="S4874" s="4">
        <v>12</v>
      </c>
      <c r="T4874" s="4">
        <v>12</v>
      </c>
      <c r="U4874" s="5" t="s">
        <v>317</v>
      </c>
      <c r="V4874" s="5" t="s">
        <v>317</v>
      </c>
      <c r="W4874" s="5" t="s">
        <v>72</v>
      </c>
      <c r="X4874" s="5" t="s">
        <v>72</v>
      </c>
      <c r="Y4874" s="4">
        <v>428</v>
      </c>
      <c r="Z4874" s="4">
        <v>29</v>
      </c>
      <c r="AA4874" s="4">
        <v>105</v>
      </c>
      <c r="AB4874" s="4">
        <v>3</v>
      </c>
      <c r="AC4874" s="4">
        <v>18</v>
      </c>
      <c r="AD4874" s="4">
        <v>117</v>
      </c>
      <c r="AE4874" s="4">
        <v>147</v>
      </c>
      <c r="AF4874" s="4">
        <v>1</v>
      </c>
      <c r="AG4874" s="4">
        <v>8</v>
      </c>
      <c r="AH4874" s="4">
        <v>102</v>
      </c>
      <c r="AI4874" s="4">
        <v>107</v>
      </c>
      <c r="AJ4874" s="4">
        <v>18</v>
      </c>
      <c r="AK4874" s="4">
        <v>27</v>
      </c>
      <c r="AL4874" s="4">
        <v>53</v>
      </c>
      <c r="AM4874" s="4">
        <v>55</v>
      </c>
      <c r="AN4874" s="4">
        <v>0</v>
      </c>
      <c r="AO4874" s="4">
        <v>0</v>
      </c>
      <c r="AP4874" s="4">
        <v>24</v>
      </c>
      <c r="AQ4874" s="4">
        <v>50</v>
      </c>
      <c r="AR4874" s="3" t="s">
        <v>64</v>
      </c>
      <c r="AS4874" s="3" t="s">
        <v>64</v>
      </c>
      <c r="AT4874" s="3" t="s">
        <v>128</v>
      </c>
      <c r="AU4874" s="6" t="str">
        <f>HYPERLINK("http://catalog.hathitrust.org/Record/002969684","HathiTrust Record")</f>
        <v>HathiTrust Record</v>
      </c>
      <c r="AV4874" s="6" t="str">
        <f>HYPERLINK("http://mcgill.on.worldcat.org/oclc/30671366","Catalog Record")</f>
        <v>Catalog Record</v>
      </c>
      <c r="AW4874" s="6" t="str">
        <f>HYPERLINK("http://www.worldcat.org/oclc/30671366","WorldCat Record")</f>
        <v>WorldCat Record</v>
      </c>
      <c r="AX4874" s="3" t="s">
        <v>47408</v>
      </c>
      <c r="AY4874" s="3" t="s">
        <v>47409</v>
      </c>
      <c r="AZ4874" s="3" t="s">
        <v>47410</v>
      </c>
      <c r="BA4874" s="3" t="s">
        <v>47410</v>
      </c>
      <c r="BB4874" s="3" t="s">
        <v>47411</v>
      </c>
      <c r="BC4874" s="3" t="s">
        <v>77</v>
      </c>
      <c r="BD4874" s="3" t="s">
        <v>78</v>
      </c>
      <c r="BE4874" s="3" t="s">
        <v>47412</v>
      </c>
      <c r="BF4874" s="3" t="s">
        <v>47411</v>
      </c>
      <c r="BG4874" s="3" t="s">
        <v>47413</v>
      </c>
      <c r="BH4874">
        <f t="shared" si="158"/>
        <v>0</v>
      </c>
    </row>
    <row r="4875" spans="1:60" ht="58" x14ac:dyDescent="0.35">
      <c r="A4875" s="2" t="s">
        <v>59</v>
      </c>
      <c r="B4875" s="2" t="s">
        <v>60</v>
      </c>
      <c r="C4875" s="2" t="s">
        <v>47414</v>
      </c>
      <c r="D4875" s="2" t="s">
        <v>47415</v>
      </c>
      <c r="E4875" s="2" t="s">
        <v>47416</v>
      </c>
      <c r="G4875" s="3" t="s">
        <v>64</v>
      </c>
      <c r="I4875" s="3" t="s">
        <v>64</v>
      </c>
      <c r="J4875" s="3" t="s">
        <v>64</v>
      </c>
      <c r="K4875" s="3" t="s">
        <v>65</v>
      </c>
      <c r="L4875" s="2" t="s">
        <v>47417</v>
      </c>
      <c r="M4875" s="2" t="s">
        <v>47418</v>
      </c>
      <c r="N4875" s="3" t="s">
        <v>405</v>
      </c>
      <c r="P4875" s="3" t="s">
        <v>68</v>
      </c>
      <c r="R4875" s="3" t="s">
        <v>70</v>
      </c>
      <c r="S4875" s="4">
        <v>1</v>
      </c>
      <c r="T4875" s="4">
        <v>1</v>
      </c>
      <c r="U4875" s="5" t="s">
        <v>4156</v>
      </c>
      <c r="V4875" s="5" t="s">
        <v>4156</v>
      </c>
      <c r="W4875" s="5" t="s">
        <v>72</v>
      </c>
      <c r="X4875" s="5" t="s">
        <v>72</v>
      </c>
      <c r="Y4875" s="4">
        <v>170</v>
      </c>
      <c r="Z4875" s="4">
        <v>18</v>
      </c>
      <c r="AA4875" s="4">
        <v>20</v>
      </c>
      <c r="AB4875" s="4">
        <v>1</v>
      </c>
      <c r="AC4875" s="4">
        <v>2</v>
      </c>
      <c r="AD4875" s="4">
        <v>72</v>
      </c>
      <c r="AE4875" s="4">
        <v>74</v>
      </c>
      <c r="AF4875" s="4">
        <v>0</v>
      </c>
      <c r="AG4875" s="4">
        <v>1</v>
      </c>
      <c r="AH4875" s="4">
        <v>62</v>
      </c>
      <c r="AI4875" s="4">
        <v>62</v>
      </c>
      <c r="AJ4875" s="4">
        <v>13</v>
      </c>
      <c r="AK4875" s="4">
        <v>14</v>
      </c>
      <c r="AL4875" s="4">
        <v>39</v>
      </c>
      <c r="AM4875" s="4">
        <v>39</v>
      </c>
      <c r="AN4875" s="4">
        <v>0</v>
      </c>
      <c r="AO4875" s="4">
        <v>0</v>
      </c>
      <c r="AP4875" s="4">
        <v>12</v>
      </c>
      <c r="AQ4875" s="4">
        <v>13</v>
      </c>
      <c r="AR4875" s="3" t="s">
        <v>64</v>
      </c>
      <c r="AS4875" s="3" t="s">
        <v>64</v>
      </c>
      <c r="AT4875" s="3" t="s">
        <v>128</v>
      </c>
      <c r="AU4875" s="6" t="str">
        <f>HYPERLINK("http://catalog.hathitrust.org/Record/000211949","HathiTrust Record")</f>
        <v>HathiTrust Record</v>
      </c>
      <c r="AV4875" s="6" t="str">
        <f>HYPERLINK("http://mcgill.on.worldcat.org/oclc/2852766","Catalog Record")</f>
        <v>Catalog Record</v>
      </c>
      <c r="AW4875" s="6" t="str">
        <f>HYPERLINK("http://www.worldcat.org/oclc/2852766","WorldCat Record")</f>
        <v>WorldCat Record</v>
      </c>
      <c r="AX4875" s="3" t="s">
        <v>47419</v>
      </c>
      <c r="AY4875" s="3" t="s">
        <v>47420</v>
      </c>
      <c r="AZ4875" s="3" t="s">
        <v>47421</v>
      </c>
      <c r="BA4875" s="3" t="s">
        <v>47421</v>
      </c>
      <c r="BB4875" s="3" t="s">
        <v>47422</v>
      </c>
      <c r="BC4875" s="3" t="s">
        <v>77</v>
      </c>
      <c r="BD4875" s="3" t="s">
        <v>78</v>
      </c>
      <c r="BE4875" s="3" t="s">
        <v>47423</v>
      </c>
      <c r="BF4875" s="3" t="s">
        <v>47422</v>
      </c>
      <c r="BG4875" s="3" t="s">
        <v>47424</v>
      </c>
      <c r="BH4875">
        <f t="shared" si="158"/>
        <v>0</v>
      </c>
    </row>
    <row r="4876" spans="1:60" ht="58" x14ac:dyDescent="0.35">
      <c r="A4876" s="2" t="s">
        <v>59</v>
      </c>
      <c r="B4876" s="2" t="s">
        <v>60</v>
      </c>
      <c r="C4876" s="2" t="s">
        <v>47425</v>
      </c>
      <c r="D4876" s="2" t="s">
        <v>47426</v>
      </c>
      <c r="E4876" s="2" t="s">
        <v>47427</v>
      </c>
      <c r="G4876" s="3" t="s">
        <v>64</v>
      </c>
      <c r="I4876" s="3" t="s">
        <v>128</v>
      </c>
      <c r="J4876" s="3" t="s">
        <v>128</v>
      </c>
      <c r="K4876" s="3" t="s">
        <v>65</v>
      </c>
      <c r="L4876" s="2" t="s">
        <v>47233</v>
      </c>
      <c r="M4876" s="2" t="s">
        <v>47428</v>
      </c>
      <c r="N4876" s="3" t="s">
        <v>1017</v>
      </c>
      <c r="P4876" s="3" t="s">
        <v>102</v>
      </c>
      <c r="R4876" s="3" t="s">
        <v>70</v>
      </c>
      <c r="S4876" s="4">
        <v>0</v>
      </c>
      <c r="T4876" s="4">
        <v>1</v>
      </c>
      <c r="V4876" s="5" t="s">
        <v>47429</v>
      </c>
      <c r="W4876" s="5" t="s">
        <v>72</v>
      </c>
      <c r="X4876" s="5" t="s">
        <v>72</v>
      </c>
      <c r="Y4876" s="4">
        <v>2</v>
      </c>
      <c r="Z4876" s="4">
        <v>1</v>
      </c>
      <c r="AA4876" s="4">
        <v>1</v>
      </c>
      <c r="AB4876" s="4">
        <v>1</v>
      </c>
      <c r="AC4876" s="4">
        <v>1</v>
      </c>
      <c r="AD4876" s="4">
        <v>0</v>
      </c>
      <c r="AE4876" s="4">
        <v>0</v>
      </c>
      <c r="AF4876" s="4">
        <v>0</v>
      </c>
      <c r="AG4876" s="4">
        <v>0</v>
      </c>
      <c r="AH4876" s="4">
        <v>0</v>
      </c>
      <c r="AI4876" s="4">
        <v>0</v>
      </c>
      <c r="AJ4876" s="4">
        <v>0</v>
      </c>
      <c r="AK4876" s="4">
        <v>0</v>
      </c>
      <c r="AL4876" s="4">
        <v>0</v>
      </c>
      <c r="AM4876" s="4">
        <v>0</v>
      </c>
      <c r="AN4876" s="4">
        <v>0</v>
      </c>
      <c r="AO4876" s="4">
        <v>0</v>
      </c>
      <c r="AP4876" s="4">
        <v>0</v>
      </c>
      <c r="AQ4876" s="4">
        <v>0</v>
      </c>
      <c r="AR4876" s="3" t="s">
        <v>128</v>
      </c>
      <c r="AS4876" s="3" t="s">
        <v>64</v>
      </c>
      <c r="AT4876" s="3" t="s">
        <v>64</v>
      </c>
      <c r="AV4876" s="6" t="str">
        <f>HYPERLINK("http://mcgill.on.worldcat.org/oclc/427309697","Catalog Record")</f>
        <v>Catalog Record</v>
      </c>
      <c r="AW4876" s="6" t="str">
        <f>HYPERLINK("http://www.worldcat.org/oclc/427309697","WorldCat Record")</f>
        <v>WorldCat Record</v>
      </c>
      <c r="AX4876" s="3" t="s">
        <v>47430</v>
      </c>
      <c r="AY4876" s="3" t="s">
        <v>47431</v>
      </c>
      <c r="AZ4876" s="3" t="s">
        <v>47432</v>
      </c>
      <c r="BA4876" s="3" t="s">
        <v>47432</v>
      </c>
      <c r="BB4876" s="3" t="s">
        <v>47433</v>
      </c>
      <c r="BC4876" s="3" t="s">
        <v>77</v>
      </c>
      <c r="BD4876" s="3" t="s">
        <v>78</v>
      </c>
      <c r="BF4876" s="3" t="s">
        <v>47433</v>
      </c>
      <c r="BG4876" s="3" t="s">
        <v>47434</v>
      </c>
      <c r="BH4876">
        <f t="shared" si="158"/>
        <v>0</v>
      </c>
    </row>
    <row r="4877" spans="1:60" ht="58" x14ac:dyDescent="0.35">
      <c r="A4877" s="2" t="s">
        <v>59</v>
      </c>
      <c r="B4877" s="2" t="s">
        <v>60</v>
      </c>
      <c r="C4877" s="2" t="s">
        <v>47435</v>
      </c>
      <c r="D4877" s="2" t="s">
        <v>47436</v>
      </c>
      <c r="E4877" s="2" t="s">
        <v>47437</v>
      </c>
      <c r="G4877" s="3" t="s">
        <v>64</v>
      </c>
      <c r="I4877" s="3" t="s">
        <v>64</v>
      </c>
      <c r="J4877" s="3" t="s">
        <v>64</v>
      </c>
      <c r="K4877" s="3" t="s">
        <v>65</v>
      </c>
      <c r="L4877" s="2" t="s">
        <v>47438</v>
      </c>
      <c r="M4877" s="2" t="s">
        <v>33482</v>
      </c>
      <c r="N4877" s="3" t="s">
        <v>1763</v>
      </c>
      <c r="P4877" s="3" t="s">
        <v>102</v>
      </c>
      <c r="Q4877" s="2" t="s">
        <v>47439</v>
      </c>
      <c r="R4877" s="3" t="s">
        <v>70</v>
      </c>
      <c r="S4877" s="4">
        <v>1</v>
      </c>
      <c r="T4877" s="4">
        <v>1</v>
      </c>
      <c r="U4877" s="5" t="s">
        <v>1616</v>
      </c>
      <c r="V4877" s="5" t="s">
        <v>1616</v>
      </c>
      <c r="W4877" s="5" t="s">
        <v>72</v>
      </c>
      <c r="X4877" s="5" t="s">
        <v>72</v>
      </c>
      <c r="Y4877" s="4">
        <v>264</v>
      </c>
      <c r="Z4877" s="4">
        <v>17</v>
      </c>
      <c r="AA4877" s="4">
        <v>17</v>
      </c>
      <c r="AB4877" s="4">
        <v>1</v>
      </c>
      <c r="AC4877" s="4">
        <v>1</v>
      </c>
      <c r="AD4877" s="4">
        <v>89</v>
      </c>
      <c r="AE4877" s="4">
        <v>89</v>
      </c>
      <c r="AF4877" s="4">
        <v>0</v>
      </c>
      <c r="AG4877" s="4">
        <v>0</v>
      </c>
      <c r="AH4877" s="4">
        <v>82</v>
      </c>
      <c r="AI4877" s="4">
        <v>82</v>
      </c>
      <c r="AJ4877" s="4">
        <v>13</v>
      </c>
      <c r="AK4877" s="4">
        <v>13</v>
      </c>
      <c r="AL4877" s="4">
        <v>49</v>
      </c>
      <c r="AM4877" s="4">
        <v>49</v>
      </c>
      <c r="AN4877" s="4">
        <v>0</v>
      </c>
      <c r="AO4877" s="4">
        <v>0</v>
      </c>
      <c r="AP4877" s="4">
        <v>14</v>
      </c>
      <c r="AQ4877" s="4">
        <v>14</v>
      </c>
      <c r="AR4877" s="3" t="s">
        <v>64</v>
      </c>
      <c r="AS4877" s="3" t="s">
        <v>64</v>
      </c>
      <c r="AT4877" s="3" t="s">
        <v>64</v>
      </c>
      <c r="AV4877" s="6" t="str">
        <f>HYPERLINK("http://mcgill.on.worldcat.org/oclc/10777165","Catalog Record")</f>
        <v>Catalog Record</v>
      </c>
      <c r="AW4877" s="6" t="str">
        <f>HYPERLINK("http://www.worldcat.org/oclc/10777165","WorldCat Record")</f>
        <v>WorldCat Record</v>
      </c>
      <c r="AX4877" s="3" t="s">
        <v>47440</v>
      </c>
      <c r="AY4877" s="3" t="s">
        <v>47441</v>
      </c>
      <c r="AZ4877" s="3" t="s">
        <v>47442</v>
      </c>
      <c r="BA4877" s="3" t="s">
        <v>47442</v>
      </c>
      <c r="BB4877" s="3" t="s">
        <v>47443</v>
      </c>
      <c r="BC4877" s="3" t="s">
        <v>77</v>
      </c>
      <c r="BD4877" s="3" t="s">
        <v>78</v>
      </c>
      <c r="BE4877" s="3" t="s">
        <v>47444</v>
      </c>
      <c r="BF4877" s="3" t="s">
        <v>47443</v>
      </c>
      <c r="BG4877" s="3" t="s">
        <v>47445</v>
      </c>
      <c r="BH4877">
        <f t="shared" si="158"/>
        <v>0</v>
      </c>
    </row>
    <row r="4878" spans="1:60" ht="58" x14ac:dyDescent="0.35">
      <c r="A4878" s="2" t="s">
        <v>59</v>
      </c>
      <c r="B4878" s="2" t="s">
        <v>60</v>
      </c>
      <c r="C4878" s="2" t="s">
        <v>47446</v>
      </c>
      <c r="D4878" s="2" t="s">
        <v>47447</v>
      </c>
      <c r="E4878" s="2" t="s">
        <v>47448</v>
      </c>
      <c r="G4878" s="3" t="s">
        <v>64</v>
      </c>
      <c r="I4878" s="3" t="s">
        <v>64</v>
      </c>
      <c r="J4878" s="3" t="s">
        <v>64</v>
      </c>
      <c r="K4878" s="3" t="s">
        <v>65</v>
      </c>
      <c r="L4878" s="2" t="s">
        <v>47449</v>
      </c>
      <c r="M4878" s="2" t="s">
        <v>45966</v>
      </c>
      <c r="N4878" s="3" t="s">
        <v>1938</v>
      </c>
      <c r="P4878" s="3" t="s">
        <v>102</v>
      </c>
      <c r="Q4878" s="2" t="s">
        <v>47450</v>
      </c>
      <c r="R4878" s="3" t="s">
        <v>70</v>
      </c>
      <c r="S4878" s="4">
        <v>2</v>
      </c>
      <c r="T4878" s="4">
        <v>2</v>
      </c>
      <c r="U4878" s="5" t="s">
        <v>17303</v>
      </c>
      <c r="V4878" s="5" t="s">
        <v>17303</v>
      </c>
      <c r="W4878" s="5" t="s">
        <v>72</v>
      </c>
      <c r="X4878" s="5" t="s">
        <v>72</v>
      </c>
      <c r="Y4878" s="4">
        <v>229</v>
      </c>
      <c r="Z4878" s="4">
        <v>19</v>
      </c>
      <c r="AA4878" s="4">
        <v>20</v>
      </c>
      <c r="AB4878" s="4">
        <v>2</v>
      </c>
      <c r="AC4878" s="4">
        <v>2</v>
      </c>
      <c r="AD4878" s="4">
        <v>88</v>
      </c>
      <c r="AE4878" s="4">
        <v>89</v>
      </c>
      <c r="AF4878" s="4">
        <v>1</v>
      </c>
      <c r="AG4878" s="4">
        <v>1</v>
      </c>
      <c r="AH4878" s="4">
        <v>78</v>
      </c>
      <c r="AI4878" s="4">
        <v>79</v>
      </c>
      <c r="AJ4878" s="4">
        <v>13</v>
      </c>
      <c r="AK4878" s="4">
        <v>14</v>
      </c>
      <c r="AL4878" s="4">
        <v>45</v>
      </c>
      <c r="AM4878" s="4">
        <v>45</v>
      </c>
      <c r="AN4878" s="4">
        <v>0</v>
      </c>
      <c r="AO4878" s="4">
        <v>0</v>
      </c>
      <c r="AP4878" s="4">
        <v>15</v>
      </c>
      <c r="AQ4878" s="4">
        <v>16</v>
      </c>
      <c r="AR4878" s="3" t="s">
        <v>64</v>
      </c>
      <c r="AS4878" s="3" t="s">
        <v>64</v>
      </c>
      <c r="AT4878" s="3" t="s">
        <v>64</v>
      </c>
      <c r="AV4878" s="6" t="str">
        <f>HYPERLINK("http://mcgill.on.worldcat.org/oclc/20823328","Catalog Record")</f>
        <v>Catalog Record</v>
      </c>
      <c r="AW4878" s="6" t="str">
        <f>HYPERLINK("http://www.worldcat.org/oclc/20823328","WorldCat Record")</f>
        <v>WorldCat Record</v>
      </c>
      <c r="AX4878" s="3" t="s">
        <v>47451</v>
      </c>
      <c r="AY4878" s="3" t="s">
        <v>47452</v>
      </c>
      <c r="AZ4878" s="3" t="s">
        <v>47453</v>
      </c>
      <c r="BA4878" s="3" t="s">
        <v>47453</v>
      </c>
      <c r="BB4878" s="3" t="s">
        <v>47454</v>
      </c>
      <c r="BC4878" s="3" t="s">
        <v>77</v>
      </c>
      <c r="BD4878" s="3" t="s">
        <v>78</v>
      </c>
      <c r="BE4878" s="3" t="s">
        <v>47455</v>
      </c>
      <c r="BF4878" s="3" t="s">
        <v>47454</v>
      </c>
      <c r="BG4878" s="3" t="s">
        <v>47456</v>
      </c>
      <c r="BH4878">
        <f t="shared" si="158"/>
        <v>0</v>
      </c>
    </row>
    <row r="4879" spans="1:60" ht="72.5" x14ac:dyDescent="0.35">
      <c r="A4879" s="2" t="s">
        <v>59</v>
      </c>
      <c r="B4879" s="2" t="s">
        <v>60</v>
      </c>
      <c r="C4879" s="2" t="s">
        <v>47457</v>
      </c>
      <c r="D4879" s="2" t="s">
        <v>47458</v>
      </c>
      <c r="E4879" s="2" t="s">
        <v>47459</v>
      </c>
      <c r="G4879" s="3" t="s">
        <v>64</v>
      </c>
      <c r="I4879" s="3" t="s">
        <v>64</v>
      </c>
      <c r="J4879" s="3" t="s">
        <v>64</v>
      </c>
      <c r="K4879" s="3" t="s">
        <v>65</v>
      </c>
      <c r="L4879" s="2" t="s">
        <v>47460</v>
      </c>
      <c r="M4879" s="2" t="s">
        <v>47461</v>
      </c>
      <c r="N4879" s="3" t="s">
        <v>86</v>
      </c>
      <c r="P4879" s="3" t="s">
        <v>102</v>
      </c>
      <c r="R4879" s="3" t="s">
        <v>70</v>
      </c>
      <c r="S4879" s="4">
        <v>0</v>
      </c>
      <c r="T4879" s="4">
        <v>0</v>
      </c>
      <c r="W4879" s="5" t="s">
        <v>72</v>
      </c>
      <c r="X4879" s="5" t="s">
        <v>72</v>
      </c>
      <c r="Y4879" s="4">
        <v>107</v>
      </c>
      <c r="Z4879" s="4">
        <v>6</v>
      </c>
      <c r="AA4879" s="4">
        <v>6</v>
      </c>
      <c r="AB4879" s="4">
        <v>1</v>
      </c>
      <c r="AC4879" s="4">
        <v>1</v>
      </c>
      <c r="AD4879" s="4">
        <v>52</v>
      </c>
      <c r="AE4879" s="4">
        <v>52</v>
      </c>
      <c r="AF4879" s="4">
        <v>0</v>
      </c>
      <c r="AG4879" s="4">
        <v>0</v>
      </c>
      <c r="AH4879" s="4">
        <v>52</v>
      </c>
      <c r="AI4879" s="4">
        <v>52</v>
      </c>
      <c r="AJ4879" s="4">
        <v>4</v>
      </c>
      <c r="AK4879" s="4">
        <v>4</v>
      </c>
      <c r="AL4879" s="4">
        <v>30</v>
      </c>
      <c r="AM4879" s="4">
        <v>30</v>
      </c>
      <c r="AN4879" s="4">
        <v>0</v>
      </c>
      <c r="AO4879" s="4">
        <v>0</v>
      </c>
      <c r="AP4879" s="4">
        <v>4</v>
      </c>
      <c r="AQ4879" s="4">
        <v>4</v>
      </c>
      <c r="AR4879" s="3" t="s">
        <v>64</v>
      </c>
      <c r="AS4879" s="3" t="s">
        <v>64</v>
      </c>
      <c r="AT4879" s="3" t="s">
        <v>64</v>
      </c>
      <c r="AV4879" s="6" t="str">
        <f>HYPERLINK("http://mcgill.on.worldcat.org/oclc/810123175","Catalog Record")</f>
        <v>Catalog Record</v>
      </c>
      <c r="AW4879" s="6" t="str">
        <f>HYPERLINK("http://www.worldcat.org/oclc/810123175","WorldCat Record")</f>
        <v>WorldCat Record</v>
      </c>
      <c r="AX4879" s="3" t="s">
        <v>47462</v>
      </c>
      <c r="AY4879" s="3" t="s">
        <v>47463</v>
      </c>
      <c r="AZ4879" s="3" t="s">
        <v>47464</v>
      </c>
      <c r="BA4879" s="3" t="s">
        <v>47464</v>
      </c>
      <c r="BB4879" s="3" t="s">
        <v>47465</v>
      </c>
      <c r="BC4879" s="3" t="s">
        <v>77</v>
      </c>
      <c r="BD4879" s="3" t="s">
        <v>78</v>
      </c>
      <c r="BE4879" s="3" t="s">
        <v>47466</v>
      </c>
      <c r="BF4879" s="3" t="s">
        <v>47465</v>
      </c>
      <c r="BG4879" s="3" t="s">
        <v>47467</v>
      </c>
      <c r="BH4879">
        <f t="shared" si="158"/>
        <v>0</v>
      </c>
    </row>
    <row r="4880" spans="1:60" ht="58" x14ac:dyDescent="0.35">
      <c r="A4880" s="2" t="s">
        <v>59</v>
      </c>
      <c r="B4880" s="2" t="s">
        <v>60</v>
      </c>
      <c r="C4880" s="2" t="s">
        <v>47468</v>
      </c>
      <c r="D4880" s="2" t="s">
        <v>47469</v>
      </c>
      <c r="E4880" s="2" t="s">
        <v>47470</v>
      </c>
      <c r="G4880" s="3" t="s">
        <v>64</v>
      </c>
      <c r="I4880" s="3" t="s">
        <v>64</v>
      </c>
      <c r="J4880" s="3" t="s">
        <v>64</v>
      </c>
      <c r="K4880" s="3" t="s">
        <v>65</v>
      </c>
      <c r="L4880" s="2" t="s">
        <v>47471</v>
      </c>
      <c r="M4880" s="2" t="s">
        <v>47472</v>
      </c>
      <c r="N4880" s="3" t="s">
        <v>3721</v>
      </c>
      <c r="P4880" s="3" t="s">
        <v>102</v>
      </c>
      <c r="Q4880" s="2" t="s">
        <v>47473</v>
      </c>
      <c r="R4880" s="3" t="s">
        <v>70</v>
      </c>
      <c r="S4880" s="4">
        <v>1</v>
      </c>
      <c r="T4880" s="4">
        <v>1</v>
      </c>
      <c r="U4880" s="5" t="s">
        <v>13820</v>
      </c>
      <c r="V4880" s="5" t="s">
        <v>13820</v>
      </c>
      <c r="W4880" s="5" t="s">
        <v>72</v>
      </c>
      <c r="X4880" s="5" t="s">
        <v>72</v>
      </c>
      <c r="Y4880" s="4">
        <v>614</v>
      </c>
      <c r="Z4880" s="4">
        <v>34</v>
      </c>
      <c r="AA4880" s="4">
        <v>36</v>
      </c>
      <c r="AB4880" s="4">
        <v>2</v>
      </c>
      <c r="AC4880" s="4">
        <v>4</v>
      </c>
      <c r="AD4880" s="4">
        <v>120</v>
      </c>
      <c r="AE4880" s="4">
        <v>122</v>
      </c>
      <c r="AF4880" s="4">
        <v>1</v>
      </c>
      <c r="AG4880" s="4">
        <v>3</v>
      </c>
      <c r="AH4880" s="4">
        <v>102</v>
      </c>
      <c r="AI4880" s="4">
        <v>103</v>
      </c>
      <c r="AJ4880" s="4">
        <v>21</v>
      </c>
      <c r="AK4880" s="4">
        <v>23</v>
      </c>
      <c r="AL4880" s="4">
        <v>53</v>
      </c>
      <c r="AM4880" s="4">
        <v>53</v>
      </c>
      <c r="AN4880" s="4">
        <v>0</v>
      </c>
      <c r="AO4880" s="4">
        <v>0</v>
      </c>
      <c r="AP4880" s="4">
        <v>27</v>
      </c>
      <c r="AQ4880" s="4">
        <v>28</v>
      </c>
      <c r="AR4880" s="3" t="s">
        <v>64</v>
      </c>
      <c r="AS4880" s="3" t="s">
        <v>64</v>
      </c>
      <c r="AT4880" s="3" t="s">
        <v>128</v>
      </c>
      <c r="AU4880" s="6" t="str">
        <f>HYPERLINK("http://catalog.hathitrust.org/Record/000036463","HathiTrust Record")</f>
        <v>HathiTrust Record</v>
      </c>
      <c r="AV4880" s="6" t="str">
        <f>HYPERLINK("http://mcgill.on.worldcat.org/oclc/4883123","Catalog Record")</f>
        <v>Catalog Record</v>
      </c>
      <c r="AW4880" s="6" t="str">
        <f>HYPERLINK("http://www.worldcat.org/oclc/4883123","WorldCat Record")</f>
        <v>WorldCat Record</v>
      </c>
      <c r="AX4880" s="3" t="s">
        <v>47474</v>
      </c>
      <c r="AY4880" s="3" t="s">
        <v>47475</v>
      </c>
      <c r="AZ4880" s="3" t="s">
        <v>47476</v>
      </c>
      <c r="BA4880" s="3" t="s">
        <v>47476</v>
      </c>
      <c r="BB4880" s="3" t="s">
        <v>47477</v>
      </c>
      <c r="BC4880" s="3" t="s">
        <v>77</v>
      </c>
      <c r="BD4880" s="3" t="s">
        <v>78</v>
      </c>
      <c r="BE4880" s="3" t="s">
        <v>47478</v>
      </c>
      <c r="BF4880" s="3" t="s">
        <v>47477</v>
      </c>
      <c r="BG4880" s="3" t="s">
        <v>47479</v>
      </c>
      <c r="BH4880">
        <f t="shared" si="158"/>
        <v>0</v>
      </c>
    </row>
    <row r="4881" spans="1:60" ht="58" x14ac:dyDescent="0.35">
      <c r="A4881" s="2" t="s">
        <v>59</v>
      </c>
      <c r="B4881" s="2" t="s">
        <v>60</v>
      </c>
      <c r="C4881" s="2" t="s">
        <v>47480</v>
      </c>
      <c r="D4881" s="2" t="s">
        <v>47481</v>
      </c>
      <c r="E4881" s="2" t="s">
        <v>47482</v>
      </c>
      <c r="G4881" s="3" t="s">
        <v>64</v>
      </c>
      <c r="I4881" s="3" t="s">
        <v>64</v>
      </c>
      <c r="J4881" s="3" t="s">
        <v>64</v>
      </c>
      <c r="K4881" s="3" t="s">
        <v>65</v>
      </c>
      <c r="L4881" s="2" t="s">
        <v>47483</v>
      </c>
      <c r="M4881" s="2" t="s">
        <v>47484</v>
      </c>
      <c r="N4881" s="3" t="s">
        <v>1263</v>
      </c>
      <c r="P4881" s="3" t="s">
        <v>102</v>
      </c>
      <c r="Q4881" s="2" t="s">
        <v>47473</v>
      </c>
      <c r="R4881" s="3" t="s">
        <v>70</v>
      </c>
      <c r="S4881" s="4">
        <v>2</v>
      </c>
      <c r="T4881" s="4">
        <v>2</v>
      </c>
      <c r="U4881" s="5" t="s">
        <v>13820</v>
      </c>
      <c r="V4881" s="5" t="s">
        <v>13820</v>
      </c>
      <c r="W4881" s="5" t="s">
        <v>72</v>
      </c>
      <c r="X4881" s="5" t="s">
        <v>72</v>
      </c>
      <c r="Y4881" s="4">
        <v>383</v>
      </c>
      <c r="Z4881" s="4">
        <v>13</v>
      </c>
      <c r="AA4881" s="4">
        <v>13</v>
      </c>
      <c r="AB4881" s="4">
        <v>2</v>
      </c>
      <c r="AC4881" s="4">
        <v>2</v>
      </c>
      <c r="AD4881" s="4">
        <v>88</v>
      </c>
      <c r="AE4881" s="4">
        <v>88</v>
      </c>
      <c r="AF4881" s="4">
        <v>1</v>
      </c>
      <c r="AG4881" s="4">
        <v>1</v>
      </c>
      <c r="AH4881" s="4">
        <v>81</v>
      </c>
      <c r="AI4881" s="4">
        <v>81</v>
      </c>
      <c r="AJ4881" s="4">
        <v>7</v>
      </c>
      <c r="AK4881" s="4">
        <v>7</v>
      </c>
      <c r="AL4881" s="4">
        <v>49</v>
      </c>
      <c r="AM4881" s="4">
        <v>49</v>
      </c>
      <c r="AN4881" s="4">
        <v>0</v>
      </c>
      <c r="AO4881" s="4">
        <v>0</v>
      </c>
      <c r="AP4881" s="4">
        <v>9</v>
      </c>
      <c r="AQ4881" s="4">
        <v>9</v>
      </c>
      <c r="AR4881" s="3" t="s">
        <v>64</v>
      </c>
      <c r="AS4881" s="3" t="s">
        <v>64</v>
      </c>
      <c r="AT4881" s="3" t="s">
        <v>128</v>
      </c>
      <c r="AU4881" s="6" t="str">
        <f>HYPERLINK("http://catalog.hathitrust.org/Record/002708284","HathiTrust Record")</f>
        <v>HathiTrust Record</v>
      </c>
      <c r="AV4881" s="6" t="str">
        <f>HYPERLINK("http://mcgill.on.worldcat.org/oclc/26547919","Catalog Record")</f>
        <v>Catalog Record</v>
      </c>
      <c r="AW4881" s="6" t="str">
        <f>HYPERLINK("http://www.worldcat.org/oclc/26547919","WorldCat Record")</f>
        <v>WorldCat Record</v>
      </c>
      <c r="AX4881" s="3" t="s">
        <v>47485</v>
      </c>
      <c r="AY4881" s="3" t="s">
        <v>47486</v>
      </c>
      <c r="AZ4881" s="3" t="s">
        <v>47487</v>
      </c>
      <c r="BA4881" s="3" t="s">
        <v>47487</v>
      </c>
      <c r="BB4881" s="3" t="s">
        <v>47488</v>
      </c>
      <c r="BC4881" s="3" t="s">
        <v>77</v>
      </c>
      <c r="BD4881" s="3" t="s">
        <v>78</v>
      </c>
      <c r="BE4881" s="3" t="s">
        <v>47489</v>
      </c>
      <c r="BF4881" s="3" t="s">
        <v>47488</v>
      </c>
      <c r="BG4881" s="3" t="s">
        <v>47490</v>
      </c>
      <c r="BH4881">
        <f t="shared" si="158"/>
        <v>0</v>
      </c>
    </row>
    <row r="4882" spans="1:60" ht="58" x14ac:dyDescent="0.35">
      <c r="A4882" s="2" t="s">
        <v>59</v>
      </c>
      <c r="B4882" s="2" t="s">
        <v>60</v>
      </c>
      <c r="C4882" s="2" t="s">
        <v>47491</v>
      </c>
      <c r="D4882" s="2" t="s">
        <v>47492</v>
      </c>
      <c r="E4882" s="2" t="s">
        <v>47493</v>
      </c>
      <c r="G4882" s="3" t="s">
        <v>64</v>
      </c>
      <c r="I4882" s="3" t="s">
        <v>64</v>
      </c>
      <c r="J4882" s="3" t="s">
        <v>64</v>
      </c>
      <c r="K4882" s="3" t="s">
        <v>65</v>
      </c>
      <c r="L4882" s="2" t="s">
        <v>47494</v>
      </c>
      <c r="M4882" s="2" t="s">
        <v>47495</v>
      </c>
      <c r="N4882" s="3" t="s">
        <v>7935</v>
      </c>
      <c r="P4882" s="3" t="s">
        <v>102</v>
      </c>
      <c r="R4882" s="3" t="s">
        <v>70</v>
      </c>
      <c r="S4882" s="4">
        <v>6</v>
      </c>
      <c r="T4882" s="4">
        <v>6</v>
      </c>
      <c r="U4882" s="5" t="s">
        <v>20323</v>
      </c>
      <c r="V4882" s="5" t="s">
        <v>20323</v>
      </c>
      <c r="W4882" s="5" t="s">
        <v>72</v>
      </c>
      <c r="X4882" s="5" t="s">
        <v>72</v>
      </c>
      <c r="Y4882" s="4">
        <v>45</v>
      </c>
      <c r="Z4882" s="4">
        <v>7</v>
      </c>
      <c r="AA4882" s="4">
        <v>7</v>
      </c>
      <c r="AB4882" s="4">
        <v>1</v>
      </c>
      <c r="AC4882" s="4">
        <v>1</v>
      </c>
      <c r="AD4882" s="4">
        <v>27</v>
      </c>
      <c r="AE4882" s="4">
        <v>49</v>
      </c>
      <c r="AF4882" s="4">
        <v>0</v>
      </c>
      <c r="AG4882" s="4">
        <v>0</v>
      </c>
      <c r="AH4882" s="4">
        <v>25</v>
      </c>
      <c r="AI4882" s="4">
        <v>44</v>
      </c>
      <c r="AJ4882" s="4">
        <v>3</v>
      </c>
      <c r="AK4882" s="4">
        <v>3</v>
      </c>
      <c r="AL4882" s="4">
        <v>20</v>
      </c>
      <c r="AM4882" s="4">
        <v>36</v>
      </c>
      <c r="AN4882" s="4">
        <v>5</v>
      </c>
      <c r="AO4882" s="4">
        <v>5</v>
      </c>
      <c r="AP4882" s="4">
        <v>3</v>
      </c>
      <c r="AQ4882" s="4">
        <v>3</v>
      </c>
      <c r="AR4882" s="3" t="s">
        <v>64</v>
      </c>
      <c r="AS4882" s="3" t="s">
        <v>64</v>
      </c>
      <c r="AT4882" s="3" t="s">
        <v>128</v>
      </c>
      <c r="AU4882" s="6" t="str">
        <f>HYPERLINK("http://catalog.hathitrust.org/Record/001023646","HathiTrust Record")</f>
        <v>HathiTrust Record</v>
      </c>
      <c r="AV4882" s="6" t="str">
        <f>HYPERLINK("http://mcgill.on.worldcat.org/oclc/35605394","Catalog Record")</f>
        <v>Catalog Record</v>
      </c>
      <c r="AW4882" s="6" t="str">
        <f>HYPERLINK("http://www.worldcat.org/oclc/35605394","WorldCat Record")</f>
        <v>WorldCat Record</v>
      </c>
      <c r="AX4882" s="3" t="s">
        <v>47496</v>
      </c>
      <c r="AY4882" s="3" t="s">
        <v>47497</v>
      </c>
      <c r="AZ4882" s="3" t="s">
        <v>47498</v>
      </c>
      <c r="BA4882" s="3" t="s">
        <v>47498</v>
      </c>
      <c r="BB4882" s="3" t="s">
        <v>47499</v>
      </c>
      <c r="BC4882" s="3" t="s">
        <v>77</v>
      </c>
      <c r="BD4882" s="3" t="s">
        <v>78</v>
      </c>
      <c r="BF4882" s="3" t="s">
        <v>47499</v>
      </c>
      <c r="BG4882" s="3" t="s">
        <v>47500</v>
      </c>
      <c r="BH4882">
        <f t="shared" si="158"/>
        <v>0</v>
      </c>
    </row>
    <row r="4883" spans="1:60" ht="58" x14ac:dyDescent="0.35">
      <c r="A4883" s="2" t="s">
        <v>59</v>
      </c>
      <c r="B4883" s="2" t="s">
        <v>60</v>
      </c>
      <c r="C4883" s="2" t="s">
        <v>47501</v>
      </c>
      <c r="D4883" s="2" t="s">
        <v>47502</v>
      </c>
      <c r="E4883" s="2" t="s">
        <v>47503</v>
      </c>
      <c r="G4883" s="3" t="s">
        <v>64</v>
      </c>
      <c r="I4883" s="3" t="s">
        <v>64</v>
      </c>
      <c r="J4883" s="3" t="s">
        <v>64</v>
      </c>
      <c r="K4883" s="3" t="s">
        <v>65</v>
      </c>
      <c r="L4883" s="2" t="s">
        <v>47504</v>
      </c>
      <c r="M4883" s="2" t="s">
        <v>47505</v>
      </c>
      <c r="N4883" s="3" t="s">
        <v>898</v>
      </c>
      <c r="P4883" s="3" t="s">
        <v>68</v>
      </c>
      <c r="Q4883" s="2" t="s">
        <v>47506</v>
      </c>
      <c r="R4883" s="3" t="s">
        <v>70</v>
      </c>
      <c r="S4883" s="4">
        <v>1</v>
      </c>
      <c r="T4883" s="4">
        <v>1</v>
      </c>
      <c r="U4883" s="5" t="s">
        <v>39070</v>
      </c>
      <c r="V4883" s="5" t="s">
        <v>39070</v>
      </c>
      <c r="W4883" s="5" t="s">
        <v>72</v>
      </c>
      <c r="X4883" s="5" t="s">
        <v>72</v>
      </c>
      <c r="Y4883" s="4">
        <v>173</v>
      </c>
      <c r="Z4883" s="4">
        <v>18</v>
      </c>
      <c r="AA4883" s="4">
        <v>24</v>
      </c>
      <c r="AB4883" s="4">
        <v>1</v>
      </c>
      <c r="AC4883" s="4">
        <v>5</v>
      </c>
      <c r="AD4883" s="4">
        <v>91</v>
      </c>
      <c r="AE4883" s="4">
        <v>96</v>
      </c>
      <c r="AF4883" s="4">
        <v>0</v>
      </c>
      <c r="AG4883" s="4">
        <v>4</v>
      </c>
      <c r="AH4883" s="4">
        <v>82</v>
      </c>
      <c r="AI4883" s="4">
        <v>83</v>
      </c>
      <c r="AJ4883" s="4">
        <v>15</v>
      </c>
      <c r="AK4883" s="4">
        <v>20</v>
      </c>
      <c r="AL4883" s="4">
        <v>49</v>
      </c>
      <c r="AM4883" s="4">
        <v>49</v>
      </c>
      <c r="AN4883" s="4">
        <v>3</v>
      </c>
      <c r="AO4883" s="4">
        <v>3</v>
      </c>
      <c r="AP4883" s="4">
        <v>16</v>
      </c>
      <c r="AQ4883" s="4">
        <v>20</v>
      </c>
      <c r="AR4883" s="3" t="s">
        <v>64</v>
      </c>
      <c r="AS4883" s="3" t="s">
        <v>64</v>
      </c>
      <c r="AT4883" s="3" t="s">
        <v>128</v>
      </c>
      <c r="AU4883" s="6" t="str">
        <f>HYPERLINK("http://catalog.hathitrust.org/Record/000703812","HathiTrust Record")</f>
        <v>HathiTrust Record</v>
      </c>
      <c r="AV4883" s="6" t="str">
        <f>HYPERLINK("http://mcgill.on.worldcat.org/oclc/6861923","Catalog Record")</f>
        <v>Catalog Record</v>
      </c>
      <c r="AW4883" s="6" t="str">
        <f>HYPERLINK("http://www.worldcat.org/oclc/6861923","WorldCat Record")</f>
        <v>WorldCat Record</v>
      </c>
      <c r="AX4883" s="3" t="s">
        <v>47507</v>
      </c>
      <c r="AY4883" s="3" t="s">
        <v>47508</v>
      </c>
      <c r="AZ4883" s="3" t="s">
        <v>47509</v>
      </c>
      <c r="BA4883" s="3" t="s">
        <v>47509</v>
      </c>
      <c r="BB4883" s="3" t="s">
        <v>47510</v>
      </c>
      <c r="BC4883" s="3" t="s">
        <v>77</v>
      </c>
      <c r="BD4883" s="3" t="s">
        <v>78</v>
      </c>
      <c r="BF4883" s="3" t="s">
        <v>47510</v>
      </c>
      <c r="BG4883" s="3" t="s">
        <v>47511</v>
      </c>
      <c r="BH4883">
        <f t="shared" si="158"/>
        <v>0</v>
      </c>
    </row>
    <row r="4884" spans="1:60" ht="58" x14ac:dyDescent="0.35">
      <c r="A4884" s="2" t="s">
        <v>59</v>
      </c>
      <c r="B4884" s="2" t="s">
        <v>60</v>
      </c>
      <c r="C4884" s="2" t="s">
        <v>47512</v>
      </c>
      <c r="D4884" s="2" t="s">
        <v>47513</v>
      </c>
      <c r="E4884" s="2" t="s">
        <v>47514</v>
      </c>
      <c r="G4884" s="3" t="s">
        <v>64</v>
      </c>
      <c r="I4884" s="3" t="s">
        <v>64</v>
      </c>
      <c r="J4884" s="3" t="s">
        <v>64</v>
      </c>
      <c r="K4884" s="3" t="s">
        <v>65</v>
      </c>
      <c r="L4884" s="2" t="s">
        <v>47515</v>
      </c>
      <c r="M4884" s="2" t="s">
        <v>47516</v>
      </c>
      <c r="N4884" s="3" t="s">
        <v>979</v>
      </c>
      <c r="P4884" s="3" t="s">
        <v>365</v>
      </c>
      <c r="R4884" s="3" t="s">
        <v>70</v>
      </c>
      <c r="S4884" s="4">
        <v>2</v>
      </c>
      <c r="T4884" s="4">
        <v>2</v>
      </c>
      <c r="U4884" s="5" t="s">
        <v>9697</v>
      </c>
      <c r="V4884" s="5" t="s">
        <v>9697</v>
      </c>
      <c r="W4884" s="5" t="s">
        <v>72</v>
      </c>
      <c r="X4884" s="5" t="s">
        <v>72</v>
      </c>
      <c r="Y4884" s="4">
        <v>23</v>
      </c>
      <c r="Z4884" s="4">
        <v>1</v>
      </c>
      <c r="AA4884" s="4">
        <v>1</v>
      </c>
      <c r="AB4884" s="4">
        <v>1</v>
      </c>
      <c r="AC4884" s="4">
        <v>1</v>
      </c>
      <c r="AD4884" s="4">
        <v>13</v>
      </c>
      <c r="AE4884" s="4">
        <v>13</v>
      </c>
      <c r="AF4884" s="4">
        <v>0</v>
      </c>
      <c r="AG4884" s="4">
        <v>0</v>
      </c>
      <c r="AH4884" s="4">
        <v>12</v>
      </c>
      <c r="AI4884" s="4">
        <v>12</v>
      </c>
      <c r="AJ4884" s="4">
        <v>0</v>
      </c>
      <c r="AK4884" s="4">
        <v>0</v>
      </c>
      <c r="AL4884" s="4">
        <v>12</v>
      </c>
      <c r="AM4884" s="4">
        <v>12</v>
      </c>
      <c r="AN4884" s="4">
        <v>0</v>
      </c>
      <c r="AO4884" s="4">
        <v>0</v>
      </c>
      <c r="AP4884" s="4">
        <v>0</v>
      </c>
      <c r="AQ4884" s="4">
        <v>0</v>
      </c>
      <c r="AR4884" s="3" t="s">
        <v>64</v>
      </c>
      <c r="AS4884" s="3" t="s">
        <v>64</v>
      </c>
      <c r="AT4884" s="3" t="s">
        <v>64</v>
      </c>
      <c r="AV4884" s="6" t="str">
        <f>HYPERLINK("http://mcgill.on.worldcat.org/oclc/45819970","Catalog Record")</f>
        <v>Catalog Record</v>
      </c>
      <c r="AW4884" s="6" t="str">
        <f>HYPERLINK("http://www.worldcat.org/oclc/45819970","WorldCat Record")</f>
        <v>WorldCat Record</v>
      </c>
      <c r="AX4884" s="3" t="s">
        <v>47517</v>
      </c>
      <c r="AY4884" s="3" t="s">
        <v>47518</v>
      </c>
      <c r="AZ4884" s="3" t="s">
        <v>47519</v>
      </c>
      <c r="BA4884" s="3" t="s">
        <v>47519</v>
      </c>
      <c r="BB4884" s="3" t="s">
        <v>47520</v>
      </c>
      <c r="BC4884" s="3" t="s">
        <v>77</v>
      </c>
      <c r="BD4884" s="3" t="s">
        <v>78</v>
      </c>
      <c r="BE4884" s="3" t="s">
        <v>47521</v>
      </c>
      <c r="BF4884" s="3" t="s">
        <v>47520</v>
      </c>
      <c r="BG4884" s="3" t="s">
        <v>47522</v>
      </c>
      <c r="BH4884">
        <f t="shared" si="158"/>
        <v>0</v>
      </c>
    </row>
    <row r="4885" spans="1:60" ht="58" x14ac:dyDescent="0.35">
      <c r="A4885" s="2" t="s">
        <v>59</v>
      </c>
      <c r="B4885" s="2" t="s">
        <v>60</v>
      </c>
      <c r="C4885" s="2" t="s">
        <v>47523</v>
      </c>
      <c r="D4885" s="2" t="s">
        <v>47524</v>
      </c>
      <c r="E4885" s="2" t="s">
        <v>47525</v>
      </c>
      <c r="G4885" s="3" t="s">
        <v>64</v>
      </c>
      <c r="I4885" s="3" t="s">
        <v>64</v>
      </c>
      <c r="J4885" s="3" t="s">
        <v>64</v>
      </c>
      <c r="K4885" s="3" t="s">
        <v>65</v>
      </c>
      <c r="L4885" s="2" t="s">
        <v>47526</v>
      </c>
      <c r="M4885" s="2" t="s">
        <v>47527</v>
      </c>
      <c r="N4885" s="3" t="s">
        <v>1047</v>
      </c>
      <c r="P4885" s="3" t="s">
        <v>102</v>
      </c>
      <c r="R4885" s="3" t="s">
        <v>70</v>
      </c>
      <c r="S4885" s="4">
        <v>2</v>
      </c>
      <c r="T4885" s="4">
        <v>2</v>
      </c>
      <c r="U4885" s="5" t="s">
        <v>20871</v>
      </c>
      <c r="V4885" s="5" t="s">
        <v>20871</v>
      </c>
      <c r="W4885" s="5" t="s">
        <v>72</v>
      </c>
      <c r="X4885" s="5" t="s">
        <v>72</v>
      </c>
      <c r="Y4885" s="4">
        <v>581</v>
      </c>
      <c r="Z4885" s="4">
        <v>33</v>
      </c>
      <c r="AA4885" s="4">
        <v>36</v>
      </c>
      <c r="AB4885" s="4">
        <v>1</v>
      </c>
      <c r="AC4885" s="4">
        <v>3</v>
      </c>
      <c r="AD4885" s="4">
        <v>120</v>
      </c>
      <c r="AE4885" s="4">
        <v>122</v>
      </c>
      <c r="AF4885" s="4">
        <v>0</v>
      </c>
      <c r="AG4885" s="4">
        <v>2</v>
      </c>
      <c r="AH4885" s="4">
        <v>99</v>
      </c>
      <c r="AI4885" s="4">
        <v>100</v>
      </c>
      <c r="AJ4885" s="4">
        <v>18</v>
      </c>
      <c r="AK4885" s="4">
        <v>20</v>
      </c>
      <c r="AL4885" s="4">
        <v>57</v>
      </c>
      <c r="AM4885" s="4">
        <v>57</v>
      </c>
      <c r="AN4885" s="4">
        <v>0</v>
      </c>
      <c r="AO4885" s="4">
        <v>0</v>
      </c>
      <c r="AP4885" s="4">
        <v>26</v>
      </c>
      <c r="AQ4885" s="4">
        <v>27</v>
      </c>
      <c r="AR4885" s="3" t="s">
        <v>64</v>
      </c>
      <c r="AS4885" s="3" t="s">
        <v>64</v>
      </c>
      <c r="AT4885" s="3" t="s">
        <v>128</v>
      </c>
      <c r="AU4885" s="6" t="str">
        <f>HYPERLINK("http://catalog.hathitrust.org/Record/000272885","HathiTrust Record")</f>
        <v>HathiTrust Record</v>
      </c>
      <c r="AV4885" s="6" t="str">
        <f>HYPERLINK("http://mcgill.on.worldcat.org/oclc/8168995","Catalog Record")</f>
        <v>Catalog Record</v>
      </c>
      <c r="AW4885" s="6" t="str">
        <f>HYPERLINK("http://www.worldcat.org/oclc/8168995","WorldCat Record")</f>
        <v>WorldCat Record</v>
      </c>
      <c r="AX4885" s="3" t="s">
        <v>47528</v>
      </c>
      <c r="AY4885" s="3" t="s">
        <v>47529</v>
      </c>
      <c r="AZ4885" s="3" t="s">
        <v>47530</v>
      </c>
      <c r="BA4885" s="3" t="s">
        <v>47530</v>
      </c>
      <c r="BB4885" s="3" t="s">
        <v>47531</v>
      </c>
      <c r="BC4885" s="3" t="s">
        <v>77</v>
      </c>
      <c r="BD4885" s="3" t="s">
        <v>78</v>
      </c>
      <c r="BE4885" s="3" t="s">
        <v>47532</v>
      </c>
      <c r="BF4885" s="3" t="s">
        <v>47531</v>
      </c>
      <c r="BG4885" s="3" t="s">
        <v>47533</v>
      </c>
      <c r="BH4885">
        <f t="shared" si="158"/>
        <v>0</v>
      </c>
    </row>
    <row r="4886" spans="1:60" ht="58" x14ac:dyDescent="0.35">
      <c r="A4886" s="2" t="s">
        <v>59</v>
      </c>
      <c r="B4886" s="2" t="s">
        <v>60</v>
      </c>
      <c r="C4886" s="2" t="s">
        <v>47534</v>
      </c>
      <c r="D4886" s="2" t="s">
        <v>47535</v>
      </c>
      <c r="E4886" s="2" t="s">
        <v>47536</v>
      </c>
      <c r="G4886" s="3" t="s">
        <v>64</v>
      </c>
      <c r="I4886" s="3" t="s">
        <v>64</v>
      </c>
      <c r="J4886" s="3" t="s">
        <v>64</v>
      </c>
      <c r="K4886" s="3" t="s">
        <v>65</v>
      </c>
      <c r="L4886" s="2" t="s">
        <v>47537</v>
      </c>
      <c r="M4886" s="2" t="s">
        <v>47538</v>
      </c>
      <c r="N4886" s="3" t="s">
        <v>1263</v>
      </c>
      <c r="P4886" s="3" t="s">
        <v>102</v>
      </c>
      <c r="R4886" s="3" t="s">
        <v>70</v>
      </c>
      <c r="S4886" s="4">
        <v>3</v>
      </c>
      <c r="T4886" s="4">
        <v>3</v>
      </c>
      <c r="U4886" s="5" t="s">
        <v>17854</v>
      </c>
      <c r="V4886" s="5" t="s">
        <v>17854</v>
      </c>
      <c r="W4886" s="5" t="s">
        <v>72</v>
      </c>
      <c r="X4886" s="5" t="s">
        <v>72</v>
      </c>
      <c r="Y4886" s="4">
        <v>320</v>
      </c>
      <c r="Z4886" s="4">
        <v>22</v>
      </c>
      <c r="AA4886" s="4">
        <v>23</v>
      </c>
      <c r="AB4886" s="4">
        <v>2</v>
      </c>
      <c r="AC4886" s="4">
        <v>3</v>
      </c>
      <c r="AD4886" s="4">
        <v>107</v>
      </c>
      <c r="AE4886" s="4">
        <v>108</v>
      </c>
      <c r="AF4886" s="4">
        <v>1</v>
      </c>
      <c r="AG4886" s="4">
        <v>2</v>
      </c>
      <c r="AH4886" s="4">
        <v>96</v>
      </c>
      <c r="AI4886" s="4">
        <v>97</v>
      </c>
      <c r="AJ4886" s="4">
        <v>16</v>
      </c>
      <c r="AK4886" s="4">
        <v>17</v>
      </c>
      <c r="AL4886" s="4">
        <v>52</v>
      </c>
      <c r="AM4886" s="4">
        <v>52</v>
      </c>
      <c r="AN4886" s="4">
        <v>0</v>
      </c>
      <c r="AO4886" s="4">
        <v>0</v>
      </c>
      <c r="AP4886" s="4">
        <v>18</v>
      </c>
      <c r="AQ4886" s="4">
        <v>19</v>
      </c>
      <c r="AR4886" s="3" t="s">
        <v>64</v>
      </c>
      <c r="AS4886" s="3" t="s">
        <v>64</v>
      </c>
      <c r="AT4886" s="3" t="s">
        <v>128</v>
      </c>
      <c r="AU4886" s="6" t="str">
        <f>HYPERLINK("http://catalog.hathitrust.org/Record/002702977","HathiTrust Record")</f>
        <v>HathiTrust Record</v>
      </c>
      <c r="AV4886" s="6" t="str">
        <f>HYPERLINK("http://mcgill.on.worldcat.org/oclc/27432288","Catalog Record")</f>
        <v>Catalog Record</v>
      </c>
      <c r="AW4886" s="6" t="str">
        <f>HYPERLINK("http://www.worldcat.org/oclc/27432288","WorldCat Record")</f>
        <v>WorldCat Record</v>
      </c>
      <c r="AX4886" s="3" t="s">
        <v>47539</v>
      </c>
      <c r="AY4886" s="3" t="s">
        <v>47540</v>
      </c>
      <c r="AZ4886" s="3" t="s">
        <v>47541</v>
      </c>
      <c r="BA4886" s="3" t="s">
        <v>47541</v>
      </c>
      <c r="BB4886" s="3" t="s">
        <v>47542</v>
      </c>
      <c r="BC4886" s="3" t="s">
        <v>77</v>
      </c>
      <c r="BD4886" s="3" t="s">
        <v>78</v>
      </c>
      <c r="BE4886" s="3" t="s">
        <v>47543</v>
      </c>
      <c r="BF4886" s="3" t="s">
        <v>47542</v>
      </c>
      <c r="BG4886" s="3" t="s">
        <v>47544</v>
      </c>
      <c r="BH4886">
        <f t="shared" si="158"/>
        <v>0</v>
      </c>
    </row>
    <row r="4887" spans="1:60" ht="58" x14ac:dyDescent="0.35">
      <c r="A4887" s="2" t="s">
        <v>59</v>
      </c>
      <c r="B4887" s="2" t="s">
        <v>60</v>
      </c>
      <c r="C4887" s="2" t="s">
        <v>47545</v>
      </c>
      <c r="D4887" s="2" t="s">
        <v>47546</v>
      </c>
      <c r="E4887" s="2" t="s">
        <v>47547</v>
      </c>
      <c r="G4887" s="3" t="s">
        <v>64</v>
      </c>
      <c r="I4887" s="3" t="s">
        <v>64</v>
      </c>
      <c r="J4887" s="3" t="s">
        <v>64</v>
      </c>
      <c r="K4887" s="3" t="s">
        <v>65</v>
      </c>
      <c r="L4887" s="2" t="s">
        <v>47548</v>
      </c>
      <c r="M4887" s="2" t="s">
        <v>47549</v>
      </c>
      <c r="N4887" s="3" t="s">
        <v>1263</v>
      </c>
      <c r="P4887" s="3" t="s">
        <v>102</v>
      </c>
      <c r="Q4887" s="2" t="s">
        <v>47550</v>
      </c>
      <c r="R4887" s="3" t="s">
        <v>70</v>
      </c>
      <c r="S4887" s="4">
        <v>2</v>
      </c>
      <c r="T4887" s="4">
        <v>2</v>
      </c>
      <c r="U4887" s="5" t="s">
        <v>47551</v>
      </c>
      <c r="V4887" s="5" t="s">
        <v>47551</v>
      </c>
      <c r="W4887" s="5" t="s">
        <v>72</v>
      </c>
      <c r="X4887" s="5" t="s">
        <v>72</v>
      </c>
      <c r="Y4887" s="4">
        <v>341</v>
      </c>
      <c r="Z4887" s="4">
        <v>21</v>
      </c>
      <c r="AA4887" s="4">
        <v>21</v>
      </c>
      <c r="AB4887" s="4">
        <v>2</v>
      </c>
      <c r="AC4887" s="4">
        <v>2</v>
      </c>
      <c r="AD4887" s="4">
        <v>109</v>
      </c>
      <c r="AE4887" s="4">
        <v>109</v>
      </c>
      <c r="AF4887" s="4">
        <v>1</v>
      </c>
      <c r="AG4887" s="4">
        <v>1</v>
      </c>
      <c r="AH4887" s="4">
        <v>98</v>
      </c>
      <c r="AI4887" s="4">
        <v>98</v>
      </c>
      <c r="AJ4887" s="4">
        <v>16</v>
      </c>
      <c r="AK4887" s="4">
        <v>16</v>
      </c>
      <c r="AL4887" s="4">
        <v>54</v>
      </c>
      <c r="AM4887" s="4">
        <v>54</v>
      </c>
      <c r="AN4887" s="4">
        <v>0</v>
      </c>
      <c r="AO4887" s="4">
        <v>0</v>
      </c>
      <c r="AP4887" s="4">
        <v>18</v>
      </c>
      <c r="AQ4887" s="4">
        <v>18</v>
      </c>
      <c r="AR4887" s="3" t="s">
        <v>64</v>
      </c>
      <c r="AS4887" s="3" t="s">
        <v>64</v>
      </c>
      <c r="AT4887" s="3" t="s">
        <v>128</v>
      </c>
      <c r="AU4887" s="6" t="str">
        <f>HYPERLINK("http://catalog.hathitrust.org/Record/002630532","HathiTrust Record")</f>
        <v>HathiTrust Record</v>
      </c>
      <c r="AV4887" s="6" t="str">
        <f>HYPERLINK("http://mcgill.on.worldcat.org/oclc/26398492","Catalog Record")</f>
        <v>Catalog Record</v>
      </c>
      <c r="AW4887" s="6" t="str">
        <f>HYPERLINK("http://www.worldcat.org/oclc/26398492","WorldCat Record")</f>
        <v>WorldCat Record</v>
      </c>
      <c r="AX4887" s="3" t="s">
        <v>47552</v>
      </c>
      <c r="AY4887" s="3" t="s">
        <v>47553</v>
      </c>
      <c r="AZ4887" s="3" t="s">
        <v>47554</v>
      </c>
      <c r="BA4887" s="3" t="s">
        <v>47554</v>
      </c>
      <c r="BB4887" s="3" t="s">
        <v>47555</v>
      </c>
      <c r="BC4887" s="3" t="s">
        <v>77</v>
      </c>
      <c r="BD4887" s="3" t="s">
        <v>78</v>
      </c>
      <c r="BE4887" s="3" t="s">
        <v>47556</v>
      </c>
      <c r="BF4887" s="3" t="s">
        <v>47555</v>
      </c>
      <c r="BG4887" s="3" t="s">
        <v>47557</v>
      </c>
      <c r="BH4887">
        <f t="shared" si="158"/>
        <v>0</v>
      </c>
    </row>
    <row r="4888" spans="1:60" ht="58" x14ac:dyDescent="0.35">
      <c r="A4888" s="2" t="s">
        <v>59</v>
      </c>
      <c r="B4888" s="2" t="s">
        <v>60</v>
      </c>
      <c r="C4888" s="2" t="s">
        <v>47558</v>
      </c>
      <c r="D4888" s="2" t="s">
        <v>47559</v>
      </c>
      <c r="E4888" s="2" t="s">
        <v>47560</v>
      </c>
      <c r="G4888" s="3" t="s">
        <v>64</v>
      </c>
      <c r="I4888" s="3" t="s">
        <v>64</v>
      </c>
      <c r="J4888" s="3" t="s">
        <v>64</v>
      </c>
      <c r="K4888" s="3" t="s">
        <v>65</v>
      </c>
      <c r="L4888" s="2" t="s">
        <v>47561</v>
      </c>
      <c r="M4888" s="2" t="s">
        <v>47562</v>
      </c>
      <c r="N4888" s="3" t="s">
        <v>674</v>
      </c>
      <c r="P4888" s="3" t="s">
        <v>102</v>
      </c>
      <c r="R4888" s="3" t="s">
        <v>70</v>
      </c>
      <c r="S4888" s="4">
        <v>2</v>
      </c>
      <c r="T4888" s="4">
        <v>2</v>
      </c>
      <c r="U4888" s="5" t="s">
        <v>28950</v>
      </c>
      <c r="V4888" s="5" t="s">
        <v>28950</v>
      </c>
      <c r="W4888" s="5" t="s">
        <v>72</v>
      </c>
      <c r="X4888" s="5" t="s">
        <v>72</v>
      </c>
      <c r="Y4888" s="4">
        <v>245</v>
      </c>
      <c r="Z4888" s="4">
        <v>14</v>
      </c>
      <c r="AA4888" s="4">
        <v>34</v>
      </c>
      <c r="AB4888" s="4">
        <v>1</v>
      </c>
      <c r="AC4888" s="4">
        <v>4</v>
      </c>
      <c r="AD4888" s="4">
        <v>93</v>
      </c>
      <c r="AE4888" s="4">
        <v>124</v>
      </c>
      <c r="AF4888" s="4">
        <v>0</v>
      </c>
      <c r="AG4888" s="4">
        <v>3</v>
      </c>
      <c r="AH4888" s="4">
        <v>82</v>
      </c>
      <c r="AI4888" s="4">
        <v>102</v>
      </c>
      <c r="AJ4888" s="4">
        <v>10</v>
      </c>
      <c r="AK4888" s="4">
        <v>24</v>
      </c>
      <c r="AL4888" s="4">
        <v>51</v>
      </c>
      <c r="AM4888" s="4">
        <v>56</v>
      </c>
      <c r="AN4888" s="4">
        <v>0</v>
      </c>
      <c r="AO4888" s="4">
        <v>5</v>
      </c>
      <c r="AP4888" s="4">
        <v>11</v>
      </c>
      <c r="AQ4888" s="4">
        <v>28</v>
      </c>
      <c r="AR4888" s="3" t="s">
        <v>64</v>
      </c>
      <c r="AS4888" s="3" t="s">
        <v>64</v>
      </c>
      <c r="AT4888" s="3" t="s">
        <v>64</v>
      </c>
      <c r="AV4888" s="6" t="str">
        <f>HYPERLINK("http://mcgill.on.worldcat.org/oclc/1239174","Catalog Record")</f>
        <v>Catalog Record</v>
      </c>
      <c r="AW4888" s="6" t="str">
        <f>HYPERLINK("http://www.worldcat.org/oclc/1239174","WorldCat Record")</f>
        <v>WorldCat Record</v>
      </c>
      <c r="AX4888" s="3" t="s">
        <v>47563</v>
      </c>
      <c r="AY4888" s="3" t="s">
        <v>47564</v>
      </c>
      <c r="AZ4888" s="3" t="s">
        <v>47565</v>
      </c>
      <c r="BA4888" s="3" t="s">
        <v>47565</v>
      </c>
      <c r="BB4888" s="3" t="s">
        <v>47566</v>
      </c>
      <c r="BC4888" s="3" t="s">
        <v>77</v>
      </c>
      <c r="BD4888" s="3" t="s">
        <v>78</v>
      </c>
      <c r="BF4888" s="3" t="s">
        <v>47566</v>
      </c>
      <c r="BG4888" s="3" t="s">
        <v>47567</v>
      </c>
      <c r="BH4888">
        <f t="shared" si="158"/>
        <v>0</v>
      </c>
    </row>
    <row r="4889" spans="1:60" ht="58" x14ac:dyDescent="0.35">
      <c r="A4889" s="2" t="s">
        <v>59</v>
      </c>
      <c r="B4889" s="2" t="s">
        <v>60</v>
      </c>
      <c r="C4889" s="2" t="s">
        <v>47568</v>
      </c>
      <c r="D4889" s="2" t="s">
        <v>47569</v>
      </c>
      <c r="E4889" s="2" t="s">
        <v>47570</v>
      </c>
      <c r="G4889" s="3" t="s">
        <v>64</v>
      </c>
      <c r="I4889" s="3" t="s">
        <v>64</v>
      </c>
      <c r="J4889" s="3" t="s">
        <v>64</v>
      </c>
      <c r="K4889" s="3" t="s">
        <v>65</v>
      </c>
      <c r="L4889" s="2" t="s">
        <v>47571</v>
      </c>
      <c r="M4889" s="2" t="s">
        <v>47572</v>
      </c>
      <c r="N4889" s="3" t="s">
        <v>153</v>
      </c>
      <c r="P4889" s="3" t="s">
        <v>68</v>
      </c>
      <c r="Q4889" s="2" t="s">
        <v>47573</v>
      </c>
      <c r="R4889" s="3" t="s">
        <v>70</v>
      </c>
      <c r="S4889" s="4">
        <v>2</v>
      </c>
      <c r="T4889" s="4">
        <v>2</v>
      </c>
      <c r="U4889" s="5" t="s">
        <v>1252</v>
      </c>
      <c r="V4889" s="5" t="s">
        <v>1252</v>
      </c>
      <c r="W4889" s="5" t="s">
        <v>72</v>
      </c>
      <c r="X4889" s="5" t="s">
        <v>72</v>
      </c>
      <c r="Y4889" s="4">
        <v>54</v>
      </c>
      <c r="Z4889" s="4">
        <v>5</v>
      </c>
      <c r="AA4889" s="4">
        <v>5</v>
      </c>
      <c r="AB4889" s="4">
        <v>1</v>
      </c>
      <c r="AC4889" s="4">
        <v>1</v>
      </c>
      <c r="AD4889" s="4">
        <v>32</v>
      </c>
      <c r="AE4889" s="4">
        <v>32</v>
      </c>
      <c r="AF4889" s="4">
        <v>0</v>
      </c>
      <c r="AG4889" s="4">
        <v>0</v>
      </c>
      <c r="AH4889" s="4">
        <v>30</v>
      </c>
      <c r="AI4889" s="4">
        <v>30</v>
      </c>
      <c r="AJ4889" s="4">
        <v>3</v>
      </c>
      <c r="AK4889" s="4">
        <v>3</v>
      </c>
      <c r="AL4889" s="4">
        <v>25</v>
      </c>
      <c r="AM4889" s="4">
        <v>25</v>
      </c>
      <c r="AN4889" s="4">
        <v>0</v>
      </c>
      <c r="AO4889" s="4">
        <v>0</v>
      </c>
      <c r="AP4889" s="4">
        <v>3</v>
      </c>
      <c r="AQ4889" s="4">
        <v>3</v>
      </c>
      <c r="AR4889" s="3" t="s">
        <v>64</v>
      </c>
      <c r="AS4889" s="3" t="s">
        <v>64</v>
      </c>
      <c r="AT4889" s="3" t="s">
        <v>128</v>
      </c>
      <c r="AU4889" s="6" t="str">
        <f>HYPERLINK("http://catalog.hathitrust.org/Record/003985177","HathiTrust Record")</f>
        <v>HathiTrust Record</v>
      </c>
      <c r="AV4889" s="6" t="str">
        <f>HYPERLINK("http://mcgill.on.worldcat.org/oclc/39103528","Catalog Record")</f>
        <v>Catalog Record</v>
      </c>
      <c r="AW4889" s="6" t="str">
        <f>HYPERLINK("http://www.worldcat.org/oclc/39103528","WorldCat Record")</f>
        <v>WorldCat Record</v>
      </c>
      <c r="AX4889" s="3" t="s">
        <v>47574</v>
      </c>
      <c r="AY4889" s="3" t="s">
        <v>47575</v>
      </c>
      <c r="AZ4889" s="3" t="s">
        <v>47576</v>
      </c>
      <c r="BA4889" s="3" t="s">
        <v>47576</v>
      </c>
      <c r="BB4889" s="3" t="s">
        <v>47577</v>
      </c>
      <c r="BC4889" s="3" t="s">
        <v>77</v>
      </c>
      <c r="BD4889" s="3" t="s">
        <v>78</v>
      </c>
      <c r="BE4889" s="3" t="s">
        <v>47578</v>
      </c>
      <c r="BF4889" s="3" t="s">
        <v>47577</v>
      </c>
      <c r="BG4889" s="3" t="s">
        <v>47579</v>
      </c>
      <c r="BH4889">
        <f t="shared" si="158"/>
        <v>0</v>
      </c>
    </row>
    <row r="4890" spans="1:60" ht="58" x14ac:dyDescent="0.35">
      <c r="A4890" s="2" t="s">
        <v>59</v>
      </c>
      <c r="B4890" s="2" t="s">
        <v>60</v>
      </c>
      <c r="C4890" s="2" t="s">
        <v>47580</v>
      </c>
      <c r="D4890" s="2" t="s">
        <v>47581</v>
      </c>
      <c r="E4890" s="2" t="s">
        <v>47582</v>
      </c>
      <c r="G4890" s="3" t="s">
        <v>64</v>
      </c>
      <c r="I4890" s="3" t="s">
        <v>64</v>
      </c>
      <c r="J4890" s="3" t="s">
        <v>64</v>
      </c>
      <c r="K4890" s="3" t="s">
        <v>65</v>
      </c>
      <c r="L4890" s="2" t="s">
        <v>47583</v>
      </c>
      <c r="M4890" s="2" t="s">
        <v>47584</v>
      </c>
      <c r="N4890" s="3" t="s">
        <v>2923</v>
      </c>
      <c r="P4890" s="3" t="s">
        <v>68</v>
      </c>
      <c r="R4890" s="3" t="s">
        <v>70</v>
      </c>
      <c r="S4890" s="4">
        <v>1</v>
      </c>
      <c r="T4890" s="4">
        <v>1</v>
      </c>
      <c r="U4890" s="5" t="s">
        <v>13422</v>
      </c>
      <c r="V4890" s="5" t="s">
        <v>13422</v>
      </c>
      <c r="W4890" s="5" t="s">
        <v>72</v>
      </c>
      <c r="X4890" s="5" t="s">
        <v>72</v>
      </c>
      <c r="Y4890" s="4">
        <v>122</v>
      </c>
      <c r="Z4890" s="4">
        <v>12</v>
      </c>
      <c r="AA4890" s="4">
        <v>14</v>
      </c>
      <c r="AB4890" s="4">
        <v>1</v>
      </c>
      <c r="AC4890" s="4">
        <v>2</v>
      </c>
      <c r="AD4890" s="4">
        <v>61</v>
      </c>
      <c r="AE4890" s="4">
        <v>63</v>
      </c>
      <c r="AF4890" s="4">
        <v>0</v>
      </c>
      <c r="AG4890" s="4">
        <v>1</v>
      </c>
      <c r="AH4890" s="4">
        <v>54</v>
      </c>
      <c r="AI4890" s="4">
        <v>56</v>
      </c>
      <c r="AJ4890" s="4">
        <v>7</v>
      </c>
      <c r="AK4890" s="4">
        <v>9</v>
      </c>
      <c r="AL4890" s="4">
        <v>33</v>
      </c>
      <c r="AM4890" s="4">
        <v>33</v>
      </c>
      <c r="AN4890" s="4">
        <v>0</v>
      </c>
      <c r="AO4890" s="4">
        <v>0</v>
      </c>
      <c r="AP4890" s="4">
        <v>9</v>
      </c>
      <c r="AQ4890" s="4">
        <v>11</v>
      </c>
      <c r="AR4890" s="3" t="s">
        <v>64</v>
      </c>
      <c r="AS4890" s="3" t="s">
        <v>64</v>
      </c>
      <c r="AT4890" s="3" t="s">
        <v>128</v>
      </c>
      <c r="AU4890" s="6" t="str">
        <f>HYPERLINK("http://catalog.hathitrust.org/Record/001206636","HathiTrust Record")</f>
        <v>HathiTrust Record</v>
      </c>
      <c r="AV4890" s="6" t="str">
        <f>HYPERLINK("http://mcgill.on.worldcat.org/oclc/608776","Catalog Record")</f>
        <v>Catalog Record</v>
      </c>
      <c r="AW4890" s="6" t="str">
        <f>HYPERLINK("http://www.worldcat.org/oclc/608776","WorldCat Record")</f>
        <v>WorldCat Record</v>
      </c>
      <c r="AX4890" s="3" t="s">
        <v>47585</v>
      </c>
      <c r="AY4890" s="3" t="s">
        <v>47586</v>
      </c>
      <c r="AZ4890" s="3" t="s">
        <v>47587</v>
      </c>
      <c r="BA4890" s="3" t="s">
        <v>47587</v>
      </c>
      <c r="BB4890" s="3" t="s">
        <v>47588</v>
      </c>
      <c r="BC4890" s="3" t="s">
        <v>77</v>
      </c>
      <c r="BD4890" s="3" t="s">
        <v>78</v>
      </c>
      <c r="BF4890" s="3" t="s">
        <v>47588</v>
      </c>
      <c r="BG4890" s="3" t="s">
        <v>47589</v>
      </c>
      <c r="BH4890">
        <f t="shared" si="158"/>
        <v>0</v>
      </c>
    </row>
    <row r="4891" spans="1:60" ht="58" x14ac:dyDescent="0.35">
      <c r="A4891" s="2" t="s">
        <v>59</v>
      </c>
      <c r="B4891" s="2" t="s">
        <v>60</v>
      </c>
      <c r="C4891" s="2" t="s">
        <v>47590</v>
      </c>
      <c r="D4891" s="2" t="s">
        <v>47591</v>
      </c>
      <c r="E4891" s="2" t="s">
        <v>47592</v>
      </c>
      <c r="G4891" s="3" t="s">
        <v>64</v>
      </c>
      <c r="I4891" s="3" t="s">
        <v>64</v>
      </c>
      <c r="J4891" s="3" t="s">
        <v>64</v>
      </c>
      <c r="K4891" s="3" t="s">
        <v>65</v>
      </c>
      <c r="L4891" s="2" t="s">
        <v>47593</v>
      </c>
      <c r="M4891" s="2" t="s">
        <v>5715</v>
      </c>
      <c r="N4891" s="3" t="s">
        <v>1061</v>
      </c>
      <c r="P4891" s="3" t="s">
        <v>102</v>
      </c>
      <c r="Q4891" s="2" t="s">
        <v>47594</v>
      </c>
      <c r="R4891" s="3" t="s">
        <v>70</v>
      </c>
      <c r="S4891" s="4">
        <v>1</v>
      </c>
      <c r="T4891" s="4">
        <v>1</v>
      </c>
      <c r="U4891" s="5" t="s">
        <v>7579</v>
      </c>
      <c r="V4891" s="5" t="s">
        <v>7579</v>
      </c>
      <c r="W4891" s="5" t="s">
        <v>72</v>
      </c>
      <c r="X4891" s="5" t="s">
        <v>72</v>
      </c>
      <c r="Y4891" s="4">
        <v>193</v>
      </c>
      <c r="Z4891" s="4">
        <v>16</v>
      </c>
      <c r="AA4891" s="4">
        <v>17</v>
      </c>
      <c r="AB4891" s="4">
        <v>1</v>
      </c>
      <c r="AC4891" s="4">
        <v>2</v>
      </c>
      <c r="AD4891" s="4">
        <v>88</v>
      </c>
      <c r="AE4891" s="4">
        <v>89</v>
      </c>
      <c r="AF4891" s="4">
        <v>0</v>
      </c>
      <c r="AG4891" s="4">
        <v>1</v>
      </c>
      <c r="AH4891" s="4">
        <v>80</v>
      </c>
      <c r="AI4891" s="4">
        <v>80</v>
      </c>
      <c r="AJ4891" s="4">
        <v>14</v>
      </c>
      <c r="AK4891" s="4">
        <v>15</v>
      </c>
      <c r="AL4891" s="4">
        <v>46</v>
      </c>
      <c r="AM4891" s="4">
        <v>46</v>
      </c>
      <c r="AN4891" s="4">
        <v>0</v>
      </c>
      <c r="AO4891" s="4">
        <v>0</v>
      </c>
      <c r="AP4891" s="4">
        <v>14</v>
      </c>
      <c r="AQ4891" s="4">
        <v>14</v>
      </c>
      <c r="AR4891" s="3" t="s">
        <v>64</v>
      </c>
      <c r="AS4891" s="3" t="s">
        <v>64</v>
      </c>
      <c r="AT4891" s="3" t="s">
        <v>128</v>
      </c>
      <c r="AU4891" s="6" t="str">
        <f>HYPERLINK("http://catalog.hathitrust.org/Record/000344835","HathiTrust Record")</f>
        <v>HathiTrust Record</v>
      </c>
      <c r="AV4891" s="6" t="str">
        <f>HYPERLINK("http://mcgill.on.worldcat.org/oclc/11134238","Catalog Record")</f>
        <v>Catalog Record</v>
      </c>
      <c r="AW4891" s="6" t="str">
        <f>HYPERLINK("http://www.worldcat.org/oclc/11134238","WorldCat Record")</f>
        <v>WorldCat Record</v>
      </c>
      <c r="AX4891" s="3" t="s">
        <v>47595</v>
      </c>
      <c r="AY4891" s="3" t="s">
        <v>47596</v>
      </c>
      <c r="AZ4891" s="3" t="s">
        <v>47597</v>
      </c>
      <c r="BA4891" s="3" t="s">
        <v>47597</v>
      </c>
      <c r="BB4891" s="3" t="s">
        <v>47598</v>
      </c>
      <c r="BC4891" s="3" t="s">
        <v>77</v>
      </c>
      <c r="BD4891" s="3" t="s">
        <v>78</v>
      </c>
      <c r="BE4891" s="3" t="s">
        <v>47599</v>
      </c>
      <c r="BF4891" s="3" t="s">
        <v>47598</v>
      </c>
      <c r="BG4891" s="3" t="s">
        <v>47600</v>
      </c>
      <c r="BH4891">
        <f t="shared" si="158"/>
        <v>0</v>
      </c>
    </row>
    <row r="4892" spans="1:60" ht="58" x14ac:dyDescent="0.35">
      <c r="A4892" s="2" t="s">
        <v>59</v>
      </c>
      <c r="B4892" s="2" t="s">
        <v>60</v>
      </c>
      <c r="C4892" s="2" t="s">
        <v>47601</v>
      </c>
      <c r="D4892" s="2" t="s">
        <v>47602</v>
      </c>
      <c r="E4892" s="2" t="s">
        <v>47603</v>
      </c>
      <c r="G4892" s="3" t="s">
        <v>64</v>
      </c>
      <c r="I4892" s="3" t="s">
        <v>64</v>
      </c>
      <c r="J4892" s="3" t="s">
        <v>64</v>
      </c>
      <c r="K4892" s="3" t="s">
        <v>65</v>
      </c>
      <c r="L4892" s="2" t="s">
        <v>47604</v>
      </c>
      <c r="M4892" s="2" t="s">
        <v>47605</v>
      </c>
      <c r="N4892" s="3" t="s">
        <v>1615</v>
      </c>
      <c r="P4892" s="3" t="s">
        <v>102</v>
      </c>
      <c r="Q4892" s="2" t="s">
        <v>47606</v>
      </c>
      <c r="R4892" s="3" t="s">
        <v>70</v>
      </c>
      <c r="S4892" s="4">
        <v>1</v>
      </c>
      <c r="T4892" s="4">
        <v>1</v>
      </c>
      <c r="U4892" s="5" t="s">
        <v>47551</v>
      </c>
      <c r="V4892" s="5" t="s">
        <v>47551</v>
      </c>
      <c r="W4892" s="5" t="s">
        <v>72</v>
      </c>
      <c r="X4892" s="5" t="s">
        <v>72</v>
      </c>
      <c r="Y4892" s="4">
        <v>327</v>
      </c>
      <c r="Z4892" s="4">
        <v>17</v>
      </c>
      <c r="AA4892" s="4">
        <v>18</v>
      </c>
      <c r="AB4892" s="4">
        <v>1</v>
      </c>
      <c r="AC4892" s="4">
        <v>2</v>
      </c>
      <c r="AD4892" s="4">
        <v>93</v>
      </c>
      <c r="AE4892" s="4">
        <v>94</v>
      </c>
      <c r="AF4892" s="4">
        <v>0</v>
      </c>
      <c r="AG4892" s="4">
        <v>1</v>
      </c>
      <c r="AH4892" s="4">
        <v>85</v>
      </c>
      <c r="AI4892" s="4">
        <v>86</v>
      </c>
      <c r="AJ4892" s="4">
        <v>11</v>
      </c>
      <c r="AK4892" s="4">
        <v>12</v>
      </c>
      <c r="AL4892" s="4">
        <v>46</v>
      </c>
      <c r="AM4892" s="4">
        <v>46</v>
      </c>
      <c r="AN4892" s="4">
        <v>0</v>
      </c>
      <c r="AO4892" s="4">
        <v>0</v>
      </c>
      <c r="AP4892" s="4">
        <v>13</v>
      </c>
      <c r="AQ4892" s="4">
        <v>14</v>
      </c>
      <c r="AR4892" s="3" t="s">
        <v>64</v>
      </c>
      <c r="AS4892" s="3" t="s">
        <v>64</v>
      </c>
      <c r="AT4892" s="3" t="s">
        <v>64</v>
      </c>
      <c r="AV4892" s="6" t="str">
        <f>HYPERLINK("http://mcgill.on.worldcat.org/oclc/34546252","Catalog Record")</f>
        <v>Catalog Record</v>
      </c>
      <c r="AW4892" s="6" t="str">
        <f>HYPERLINK("http://www.worldcat.org/oclc/34546252","WorldCat Record")</f>
        <v>WorldCat Record</v>
      </c>
      <c r="AX4892" s="3" t="s">
        <v>47607</v>
      </c>
      <c r="AY4892" s="3" t="s">
        <v>47608</v>
      </c>
      <c r="AZ4892" s="3" t="s">
        <v>47609</v>
      </c>
      <c r="BA4892" s="3" t="s">
        <v>47609</v>
      </c>
      <c r="BB4892" s="3" t="s">
        <v>47610</v>
      </c>
      <c r="BC4892" s="3" t="s">
        <v>77</v>
      </c>
      <c r="BD4892" s="3" t="s">
        <v>78</v>
      </c>
      <c r="BE4892" s="3" t="s">
        <v>47611</v>
      </c>
      <c r="BF4892" s="3" t="s">
        <v>47610</v>
      </c>
      <c r="BG4892" s="3" t="s">
        <v>47612</v>
      </c>
      <c r="BH4892">
        <f t="shared" si="158"/>
        <v>0</v>
      </c>
    </row>
    <row r="4893" spans="1:60" ht="58" x14ac:dyDescent="0.35">
      <c r="A4893" s="2" t="s">
        <v>59</v>
      </c>
      <c r="B4893" s="2" t="s">
        <v>60</v>
      </c>
      <c r="C4893" s="2" t="s">
        <v>47613</v>
      </c>
      <c r="D4893" s="2" t="s">
        <v>47614</v>
      </c>
      <c r="E4893" s="2" t="s">
        <v>47615</v>
      </c>
      <c r="G4893" s="3" t="s">
        <v>64</v>
      </c>
      <c r="I4893" s="3" t="s">
        <v>64</v>
      </c>
      <c r="J4893" s="3" t="s">
        <v>64</v>
      </c>
      <c r="K4893" s="3" t="s">
        <v>65</v>
      </c>
      <c r="L4893" s="2" t="s">
        <v>47616</v>
      </c>
      <c r="M4893" s="2" t="s">
        <v>47617</v>
      </c>
      <c r="N4893" s="3" t="s">
        <v>1031</v>
      </c>
      <c r="P4893" s="3" t="s">
        <v>102</v>
      </c>
      <c r="Q4893" s="2" t="s">
        <v>47618</v>
      </c>
      <c r="R4893" s="3" t="s">
        <v>70</v>
      </c>
      <c r="S4893" s="4">
        <v>2</v>
      </c>
      <c r="T4893" s="4">
        <v>2</v>
      </c>
      <c r="U4893" s="5" t="s">
        <v>47551</v>
      </c>
      <c r="V4893" s="5" t="s">
        <v>47551</v>
      </c>
      <c r="W4893" s="5" t="s">
        <v>72</v>
      </c>
      <c r="X4893" s="5" t="s">
        <v>72</v>
      </c>
      <c r="Y4893" s="4">
        <v>3</v>
      </c>
      <c r="Z4893" s="4">
        <v>1</v>
      </c>
      <c r="AA4893" s="4">
        <v>1</v>
      </c>
      <c r="AB4893" s="4">
        <v>1</v>
      </c>
      <c r="AC4893" s="4">
        <v>1</v>
      </c>
      <c r="AD4893" s="4">
        <v>0</v>
      </c>
      <c r="AE4893" s="4">
        <v>0</v>
      </c>
      <c r="AF4893" s="4">
        <v>0</v>
      </c>
      <c r="AG4893" s="4">
        <v>0</v>
      </c>
      <c r="AH4893" s="4">
        <v>0</v>
      </c>
      <c r="AI4893" s="4">
        <v>0</v>
      </c>
      <c r="AJ4893" s="4">
        <v>0</v>
      </c>
      <c r="AK4893" s="4">
        <v>0</v>
      </c>
      <c r="AL4893" s="4">
        <v>0</v>
      </c>
      <c r="AM4893" s="4">
        <v>0</v>
      </c>
      <c r="AN4893" s="4">
        <v>0</v>
      </c>
      <c r="AO4893" s="4">
        <v>0</v>
      </c>
      <c r="AP4893" s="4">
        <v>0</v>
      </c>
      <c r="AQ4893" s="4">
        <v>0</v>
      </c>
      <c r="AR4893" s="3" t="s">
        <v>64</v>
      </c>
      <c r="AS4893" s="3" t="s">
        <v>64</v>
      </c>
      <c r="AT4893" s="3" t="s">
        <v>64</v>
      </c>
      <c r="AV4893" s="6" t="str">
        <f>HYPERLINK("http://mcgill.on.worldcat.org/oclc/230095137","Catalog Record")</f>
        <v>Catalog Record</v>
      </c>
      <c r="AW4893" s="6" t="str">
        <f>HYPERLINK("http://www.worldcat.org/oclc/230095137","WorldCat Record")</f>
        <v>WorldCat Record</v>
      </c>
      <c r="AX4893" s="3" t="s">
        <v>47619</v>
      </c>
      <c r="AY4893" s="3" t="s">
        <v>47620</v>
      </c>
      <c r="AZ4893" s="3" t="s">
        <v>47621</v>
      </c>
      <c r="BA4893" s="3" t="s">
        <v>47621</v>
      </c>
      <c r="BB4893" s="3" t="s">
        <v>47622</v>
      </c>
      <c r="BC4893" s="3" t="s">
        <v>77</v>
      </c>
      <c r="BD4893" s="3" t="s">
        <v>78</v>
      </c>
      <c r="BE4893" s="3" t="s">
        <v>47623</v>
      </c>
      <c r="BF4893" s="3" t="s">
        <v>47622</v>
      </c>
      <c r="BG4893" s="3" t="s">
        <v>47624</v>
      </c>
      <c r="BH4893">
        <f t="shared" si="158"/>
        <v>0</v>
      </c>
    </row>
    <row r="4894" spans="1:60" ht="58" x14ac:dyDescent="0.35">
      <c r="A4894" s="2" t="s">
        <v>59</v>
      </c>
      <c r="B4894" s="2" t="s">
        <v>60</v>
      </c>
      <c r="C4894" s="2" t="s">
        <v>47625</v>
      </c>
      <c r="D4894" s="2" t="s">
        <v>47626</v>
      </c>
      <c r="E4894" s="2" t="s">
        <v>47627</v>
      </c>
      <c r="G4894" s="3" t="s">
        <v>64</v>
      </c>
      <c r="I4894" s="3" t="s">
        <v>64</v>
      </c>
      <c r="J4894" s="3" t="s">
        <v>64</v>
      </c>
      <c r="K4894" s="3" t="s">
        <v>65</v>
      </c>
      <c r="L4894" s="2" t="s">
        <v>47628</v>
      </c>
      <c r="M4894" s="2" t="s">
        <v>47629</v>
      </c>
      <c r="N4894" s="3" t="s">
        <v>922</v>
      </c>
      <c r="P4894" s="3" t="s">
        <v>102</v>
      </c>
      <c r="R4894" s="3" t="s">
        <v>70</v>
      </c>
      <c r="S4894" s="4">
        <v>2</v>
      </c>
      <c r="T4894" s="4">
        <v>2</v>
      </c>
      <c r="U4894" s="5" t="s">
        <v>12109</v>
      </c>
      <c r="V4894" s="5" t="s">
        <v>12109</v>
      </c>
      <c r="W4894" s="5" t="s">
        <v>72</v>
      </c>
      <c r="X4894" s="5" t="s">
        <v>72</v>
      </c>
      <c r="Y4894" s="4">
        <v>783</v>
      </c>
      <c r="Z4894" s="4">
        <v>41</v>
      </c>
      <c r="AA4894" s="4">
        <v>46</v>
      </c>
      <c r="AB4894" s="4">
        <v>2</v>
      </c>
      <c r="AC4894" s="4">
        <v>5</v>
      </c>
      <c r="AD4894" s="4">
        <v>132</v>
      </c>
      <c r="AE4894" s="4">
        <v>136</v>
      </c>
      <c r="AF4894" s="4">
        <v>1</v>
      </c>
      <c r="AG4894" s="4">
        <v>3</v>
      </c>
      <c r="AH4894" s="4">
        <v>104</v>
      </c>
      <c r="AI4894" s="4">
        <v>105</v>
      </c>
      <c r="AJ4894" s="4">
        <v>20</v>
      </c>
      <c r="AK4894" s="4">
        <v>23</v>
      </c>
      <c r="AL4894" s="4">
        <v>59</v>
      </c>
      <c r="AM4894" s="4">
        <v>59</v>
      </c>
      <c r="AN4894" s="4">
        <v>0</v>
      </c>
      <c r="AO4894" s="4">
        <v>0</v>
      </c>
      <c r="AP4894" s="4">
        <v>32</v>
      </c>
      <c r="AQ4894" s="4">
        <v>35</v>
      </c>
      <c r="AR4894" s="3" t="s">
        <v>64</v>
      </c>
      <c r="AS4894" s="3" t="s">
        <v>64</v>
      </c>
      <c r="AT4894" s="3" t="s">
        <v>128</v>
      </c>
      <c r="AU4894" s="6" t="str">
        <f>HYPERLINK("http://catalog.hathitrust.org/Record/000540607","HathiTrust Record")</f>
        <v>HathiTrust Record</v>
      </c>
      <c r="AV4894" s="6" t="str">
        <f>HYPERLINK("http://mcgill.on.worldcat.org/oclc/267895","Catalog Record")</f>
        <v>Catalog Record</v>
      </c>
      <c r="AW4894" s="6" t="str">
        <f>HYPERLINK("http://www.worldcat.org/oclc/267895","WorldCat Record")</f>
        <v>WorldCat Record</v>
      </c>
      <c r="AX4894" s="3" t="s">
        <v>47630</v>
      </c>
      <c r="AY4894" s="3" t="s">
        <v>47631</v>
      </c>
      <c r="AZ4894" s="3" t="s">
        <v>47632</v>
      </c>
      <c r="BA4894" s="3" t="s">
        <v>47632</v>
      </c>
      <c r="BB4894" s="3" t="s">
        <v>47633</v>
      </c>
      <c r="BC4894" s="3" t="s">
        <v>77</v>
      </c>
      <c r="BD4894" s="3" t="s">
        <v>78</v>
      </c>
      <c r="BE4894" s="3" t="s">
        <v>47634</v>
      </c>
      <c r="BF4894" s="3" t="s">
        <v>47633</v>
      </c>
      <c r="BG4894" s="3" t="s">
        <v>47635</v>
      </c>
      <c r="BH4894">
        <f t="shared" si="158"/>
        <v>0</v>
      </c>
    </row>
    <row r="4895" spans="1:60" ht="58" x14ac:dyDescent="0.35">
      <c r="A4895" s="2" t="s">
        <v>59</v>
      </c>
      <c r="B4895" s="2" t="s">
        <v>60</v>
      </c>
      <c r="C4895" s="2" t="s">
        <v>47636</v>
      </c>
      <c r="D4895" s="2" t="s">
        <v>47637</v>
      </c>
      <c r="E4895" s="2" t="s">
        <v>47638</v>
      </c>
      <c r="G4895" s="3" t="s">
        <v>64</v>
      </c>
      <c r="I4895" s="3" t="s">
        <v>64</v>
      </c>
      <c r="J4895" s="3" t="s">
        <v>64</v>
      </c>
      <c r="K4895" s="3" t="s">
        <v>65</v>
      </c>
      <c r="L4895" s="2" t="s">
        <v>47639</v>
      </c>
      <c r="M4895" s="2" t="s">
        <v>47640</v>
      </c>
      <c r="N4895" s="3" t="s">
        <v>768</v>
      </c>
      <c r="P4895" s="3" t="s">
        <v>102</v>
      </c>
      <c r="Q4895" s="2" t="s">
        <v>47641</v>
      </c>
      <c r="R4895" s="3" t="s">
        <v>70</v>
      </c>
      <c r="S4895" s="4">
        <v>1</v>
      </c>
      <c r="T4895" s="4">
        <v>1</v>
      </c>
      <c r="U4895" s="5" t="s">
        <v>2783</v>
      </c>
      <c r="V4895" s="5" t="s">
        <v>2783</v>
      </c>
      <c r="W4895" s="5" t="s">
        <v>72</v>
      </c>
      <c r="X4895" s="5" t="s">
        <v>72</v>
      </c>
      <c r="Y4895" s="4">
        <v>99</v>
      </c>
      <c r="Z4895" s="4">
        <v>13</v>
      </c>
      <c r="AA4895" s="4">
        <v>14</v>
      </c>
      <c r="AB4895" s="4">
        <v>1</v>
      </c>
      <c r="AC4895" s="4">
        <v>1</v>
      </c>
      <c r="AD4895" s="4">
        <v>51</v>
      </c>
      <c r="AE4895" s="4">
        <v>55</v>
      </c>
      <c r="AF4895" s="4">
        <v>0</v>
      </c>
      <c r="AG4895" s="4">
        <v>0</v>
      </c>
      <c r="AH4895" s="4">
        <v>43</v>
      </c>
      <c r="AI4895" s="4">
        <v>47</v>
      </c>
      <c r="AJ4895" s="4">
        <v>9</v>
      </c>
      <c r="AK4895" s="4">
        <v>9</v>
      </c>
      <c r="AL4895" s="4">
        <v>23</v>
      </c>
      <c r="AM4895" s="4">
        <v>26</v>
      </c>
      <c r="AN4895" s="4">
        <v>0</v>
      </c>
      <c r="AO4895" s="4">
        <v>0</v>
      </c>
      <c r="AP4895" s="4">
        <v>10</v>
      </c>
      <c r="AQ4895" s="4">
        <v>11</v>
      </c>
      <c r="AR4895" s="3" t="s">
        <v>128</v>
      </c>
      <c r="AS4895" s="3" t="s">
        <v>64</v>
      </c>
      <c r="AT4895" s="3" t="s">
        <v>128</v>
      </c>
      <c r="AU4895" s="6" t="str">
        <f>HYPERLINK("http://catalog.hathitrust.org/Record/000179862","HathiTrust Record")</f>
        <v>HathiTrust Record</v>
      </c>
      <c r="AV4895" s="6" t="str">
        <f>HYPERLINK("http://mcgill.on.worldcat.org/oclc/21626877","Catalog Record")</f>
        <v>Catalog Record</v>
      </c>
      <c r="AW4895" s="6" t="str">
        <f>HYPERLINK("http://www.worldcat.org/oclc/21626877","WorldCat Record")</f>
        <v>WorldCat Record</v>
      </c>
      <c r="AX4895" s="3" t="s">
        <v>47642</v>
      </c>
      <c r="AY4895" s="3" t="s">
        <v>47643</v>
      </c>
      <c r="AZ4895" s="3" t="s">
        <v>47644</v>
      </c>
      <c r="BA4895" s="3" t="s">
        <v>47644</v>
      </c>
      <c r="BB4895" s="3" t="s">
        <v>47645</v>
      </c>
      <c r="BC4895" s="3" t="s">
        <v>77</v>
      </c>
      <c r="BD4895" s="3" t="s">
        <v>78</v>
      </c>
      <c r="BE4895" s="3" t="s">
        <v>47646</v>
      </c>
      <c r="BF4895" s="3" t="s">
        <v>47645</v>
      </c>
      <c r="BG4895" s="3" t="s">
        <v>47647</v>
      </c>
      <c r="BH4895">
        <f t="shared" si="158"/>
        <v>0</v>
      </c>
    </row>
    <row r="4896" spans="1:60" ht="58" x14ac:dyDescent="0.35">
      <c r="A4896" s="2" t="s">
        <v>59</v>
      </c>
      <c r="B4896" s="2" t="s">
        <v>60</v>
      </c>
      <c r="C4896" s="2" t="s">
        <v>47648</v>
      </c>
      <c r="D4896" s="2" t="s">
        <v>47649</v>
      </c>
      <c r="E4896" s="2" t="s">
        <v>47650</v>
      </c>
      <c r="G4896" s="3" t="s">
        <v>64</v>
      </c>
      <c r="I4896" s="3" t="s">
        <v>64</v>
      </c>
      <c r="J4896" s="3" t="s">
        <v>64</v>
      </c>
      <c r="K4896" s="3" t="s">
        <v>65</v>
      </c>
      <c r="L4896" s="2" t="s">
        <v>47651</v>
      </c>
      <c r="M4896" s="2" t="s">
        <v>25719</v>
      </c>
      <c r="N4896" s="3" t="s">
        <v>898</v>
      </c>
      <c r="P4896" s="3" t="s">
        <v>102</v>
      </c>
      <c r="Q4896" s="2" t="s">
        <v>47652</v>
      </c>
      <c r="R4896" s="3" t="s">
        <v>70</v>
      </c>
      <c r="S4896" s="4">
        <v>1</v>
      </c>
      <c r="T4896" s="4">
        <v>1</v>
      </c>
      <c r="U4896" s="5" t="s">
        <v>12109</v>
      </c>
      <c r="V4896" s="5" t="s">
        <v>12109</v>
      </c>
      <c r="W4896" s="5" t="s">
        <v>72</v>
      </c>
      <c r="X4896" s="5" t="s">
        <v>72</v>
      </c>
      <c r="Y4896" s="4">
        <v>502</v>
      </c>
      <c r="Z4896" s="4">
        <v>33</v>
      </c>
      <c r="AA4896" s="4">
        <v>36</v>
      </c>
      <c r="AB4896" s="4">
        <v>1</v>
      </c>
      <c r="AC4896" s="4">
        <v>4</v>
      </c>
      <c r="AD4896" s="4">
        <v>125</v>
      </c>
      <c r="AE4896" s="4">
        <v>128</v>
      </c>
      <c r="AF4896" s="4">
        <v>0</v>
      </c>
      <c r="AG4896" s="4">
        <v>3</v>
      </c>
      <c r="AH4896" s="4">
        <v>107</v>
      </c>
      <c r="AI4896" s="4">
        <v>108</v>
      </c>
      <c r="AJ4896" s="4">
        <v>20</v>
      </c>
      <c r="AK4896" s="4">
        <v>23</v>
      </c>
      <c r="AL4896" s="4">
        <v>56</v>
      </c>
      <c r="AM4896" s="4">
        <v>56</v>
      </c>
      <c r="AN4896" s="4">
        <v>0</v>
      </c>
      <c r="AO4896" s="4">
        <v>0</v>
      </c>
      <c r="AP4896" s="4">
        <v>25</v>
      </c>
      <c r="AQ4896" s="4">
        <v>27</v>
      </c>
      <c r="AR4896" s="3" t="s">
        <v>64</v>
      </c>
      <c r="AS4896" s="3" t="s">
        <v>64</v>
      </c>
      <c r="AT4896" s="3" t="s">
        <v>128</v>
      </c>
      <c r="AU4896" s="6" t="str">
        <f>HYPERLINK("http://catalog.hathitrust.org/Record/000713684","HathiTrust Record")</f>
        <v>HathiTrust Record</v>
      </c>
      <c r="AV4896" s="6" t="str">
        <f>HYPERLINK("http://mcgill.on.worldcat.org/oclc/5410682","Catalog Record")</f>
        <v>Catalog Record</v>
      </c>
      <c r="AW4896" s="6" t="str">
        <f>HYPERLINK("http://www.worldcat.org/oclc/5410682","WorldCat Record")</f>
        <v>WorldCat Record</v>
      </c>
      <c r="AX4896" s="3" t="s">
        <v>47653</v>
      </c>
      <c r="AY4896" s="3" t="s">
        <v>47654</v>
      </c>
      <c r="AZ4896" s="3" t="s">
        <v>47655</v>
      </c>
      <c r="BA4896" s="3" t="s">
        <v>47655</v>
      </c>
      <c r="BB4896" s="3" t="s">
        <v>47656</v>
      </c>
      <c r="BC4896" s="3" t="s">
        <v>77</v>
      </c>
      <c r="BD4896" s="3" t="s">
        <v>78</v>
      </c>
      <c r="BE4896" s="3" t="s">
        <v>47657</v>
      </c>
      <c r="BF4896" s="3" t="s">
        <v>47656</v>
      </c>
      <c r="BG4896" s="3" t="s">
        <v>47658</v>
      </c>
      <c r="BH4896">
        <f t="shared" si="158"/>
        <v>0</v>
      </c>
    </row>
    <row r="4897" spans="1:60" ht="58" x14ac:dyDescent="0.35">
      <c r="A4897" s="2" t="s">
        <v>59</v>
      </c>
      <c r="B4897" s="2" t="s">
        <v>60</v>
      </c>
      <c r="C4897" s="2" t="s">
        <v>47659</v>
      </c>
      <c r="D4897" s="2" t="s">
        <v>47660</v>
      </c>
      <c r="E4897" s="2" t="s">
        <v>47661</v>
      </c>
      <c r="G4897" s="3" t="s">
        <v>64</v>
      </c>
      <c r="I4897" s="3" t="s">
        <v>64</v>
      </c>
      <c r="J4897" s="3" t="s">
        <v>64</v>
      </c>
      <c r="K4897" s="3" t="s">
        <v>65</v>
      </c>
      <c r="L4897" s="2" t="s">
        <v>47662</v>
      </c>
      <c r="M4897" s="2" t="s">
        <v>13342</v>
      </c>
      <c r="N4897" s="3" t="s">
        <v>1750</v>
      </c>
      <c r="P4897" s="3" t="s">
        <v>102</v>
      </c>
      <c r="Q4897" s="2" t="s">
        <v>47663</v>
      </c>
      <c r="R4897" s="3" t="s">
        <v>70</v>
      </c>
      <c r="S4897" s="4">
        <v>4</v>
      </c>
      <c r="T4897" s="4">
        <v>4</v>
      </c>
      <c r="U4897" s="5" t="s">
        <v>2783</v>
      </c>
      <c r="V4897" s="5" t="s">
        <v>2783</v>
      </c>
      <c r="W4897" s="5" t="s">
        <v>72</v>
      </c>
      <c r="X4897" s="5" t="s">
        <v>72</v>
      </c>
      <c r="Y4897" s="4">
        <v>253</v>
      </c>
      <c r="Z4897" s="4">
        <v>19</v>
      </c>
      <c r="AA4897" s="4">
        <v>19</v>
      </c>
      <c r="AB4897" s="4">
        <v>1</v>
      </c>
      <c r="AC4897" s="4">
        <v>1</v>
      </c>
      <c r="AD4897" s="4">
        <v>94</v>
      </c>
      <c r="AE4897" s="4">
        <v>95</v>
      </c>
      <c r="AF4897" s="4">
        <v>0</v>
      </c>
      <c r="AG4897" s="4">
        <v>0</v>
      </c>
      <c r="AH4897" s="4">
        <v>85</v>
      </c>
      <c r="AI4897" s="4">
        <v>86</v>
      </c>
      <c r="AJ4897" s="4">
        <v>15</v>
      </c>
      <c r="AK4897" s="4">
        <v>15</v>
      </c>
      <c r="AL4897" s="4">
        <v>49</v>
      </c>
      <c r="AM4897" s="4">
        <v>50</v>
      </c>
      <c r="AN4897" s="4">
        <v>0</v>
      </c>
      <c r="AO4897" s="4">
        <v>0</v>
      </c>
      <c r="AP4897" s="4">
        <v>15</v>
      </c>
      <c r="AQ4897" s="4">
        <v>15</v>
      </c>
      <c r="AR4897" s="3" t="s">
        <v>64</v>
      </c>
      <c r="AS4897" s="3" t="s">
        <v>64</v>
      </c>
      <c r="AT4897" s="3" t="s">
        <v>128</v>
      </c>
      <c r="AU4897" s="6" t="str">
        <f>HYPERLINK("http://catalog.hathitrust.org/Record/000698934","HathiTrust Record")</f>
        <v>HathiTrust Record</v>
      </c>
      <c r="AV4897" s="6" t="str">
        <f>HYPERLINK("http://mcgill.on.worldcat.org/oclc/1801464","Catalog Record")</f>
        <v>Catalog Record</v>
      </c>
      <c r="AW4897" s="6" t="str">
        <f>HYPERLINK("http://www.worldcat.org/oclc/1801464","WorldCat Record")</f>
        <v>WorldCat Record</v>
      </c>
      <c r="AX4897" s="3" t="s">
        <v>47664</v>
      </c>
      <c r="AY4897" s="3" t="s">
        <v>47665</v>
      </c>
      <c r="AZ4897" s="3" t="s">
        <v>47666</v>
      </c>
      <c r="BA4897" s="3" t="s">
        <v>47666</v>
      </c>
      <c r="BB4897" s="3" t="s">
        <v>47667</v>
      </c>
      <c r="BC4897" s="3" t="s">
        <v>77</v>
      </c>
      <c r="BD4897" s="3" t="s">
        <v>78</v>
      </c>
      <c r="BF4897" s="3" t="s">
        <v>47667</v>
      </c>
      <c r="BG4897" s="3" t="s">
        <v>47668</v>
      </c>
      <c r="BH4897">
        <f t="shared" si="158"/>
        <v>0</v>
      </c>
    </row>
    <row r="4898" spans="1:60" ht="58" x14ac:dyDescent="0.35">
      <c r="A4898" s="2" t="s">
        <v>59</v>
      </c>
      <c r="B4898" s="2" t="s">
        <v>60</v>
      </c>
      <c r="C4898" s="2" t="s">
        <v>47669</v>
      </c>
      <c r="D4898" s="2" t="s">
        <v>47670</v>
      </c>
      <c r="E4898" s="2" t="s">
        <v>47671</v>
      </c>
      <c r="G4898" s="3" t="s">
        <v>64</v>
      </c>
      <c r="I4898" s="3" t="s">
        <v>64</v>
      </c>
      <c r="J4898" s="3" t="s">
        <v>64</v>
      </c>
      <c r="K4898" s="3" t="s">
        <v>65</v>
      </c>
      <c r="L4898" s="2" t="s">
        <v>47672</v>
      </c>
      <c r="M4898" s="2" t="s">
        <v>47673</v>
      </c>
      <c r="N4898" s="3" t="s">
        <v>1750</v>
      </c>
      <c r="P4898" s="3" t="s">
        <v>102</v>
      </c>
      <c r="Q4898" s="2" t="s">
        <v>47674</v>
      </c>
      <c r="R4898" s="3" t="s">
        <v>70</v>
      </c>
      <c r="S4898" s="4">
        <v>1</v>
      </c>
      <c r="T4898" s="4">
        <v>1</v>
      </c>
      <c r="U4898" s="5" t="s">
        <v>40782</v>
      </c>
      <c r="V4898" s="5" t="s">
        <v>40782</v>
      </c>
      <c r="W4898" s="5" t="s">
        <v>72</v>
      </c>
      <c r="X4898" s="5" t="s">
        <v>72</v>
      </c>
      <c r="Y4898" s="4">
        <v>175</v>
      </c>
      <c r="Z4898" s="4">
        <v>15</v>
      </c>
      <c r="AA4898" s="4">
        <v>15</v>
      </c>
      <c r="AB4898" s="4">
        <v>1</v>
      </c>
      <c r="AC4898" s="4">
        <v>1</v>
      </c>
      <c r="AD4898" s="4">
        <v>87</v>
      </c>
      <c r="AE4898" s="4">
        <v>87</v>
      </c>
      <c r="AF4898" s="4">
        <v>0</v>
      </c>
      <c r="AG4898" s="4">
        <v>0</v>
      </c>
      <c r="AH4898" s="4">
        <v>81</v>
      </c>
      <c r="AI4898" s="4">
        <v>81</v>
      </c>
      <c r="AJ4898" s="4">
        <v>12</v>
      </c>
      <c r="AK4898" s="4">
        <v>12</v>
      </c>
      <c r="AL4898" s="4">
        <v>46</v>
      </c>
      <c r="AM4898" s="4">
        <v>46</v>
      </c>
      <c r="AN4898" s="4">
        <v>0</v>
      </c>
      <c r="AO4898" s="4">
        <v>0</v>
      </c>
      <c r="AP4898" s="4">
        <v>12</v>
      </c>
      <c r="AQ4898" s="4">
        <v>12</v>
      </c>
      <c r="AR4898" s="3" t="s">
        <v>64</v>
      </c>
      <c r="AS4898" s="3" t="s">
        <v>64</v>
      </c>
      <c r="AT4898" s="3" t="s">
        <v>64</v>
      </c>
      <c r="AV4898" s="6" t="str">
        <f>HYPERLINK("http://mcgill.on.worldcat.org/oclc/2503583","Catalog Record")</f>
        <v>Catalog Record</v>
      </c>
      <c r="AW4898" s="6" t="str">
        <f>HYPERLINK("http://www.worldcat.org/oclc/2503583","WorldCat Record")</f>
        <v>WorldCat Record</v>
      </c>
      <c r="AX4898" s="3" t="s">
        <v>47675</v>
      </c>
      <c r="AY4898" s="3" t="s">
        <v>47676</v>
      </c>
      <c r="AZ4898" s="3" t="s">
        <v>47677</v>
      </c>
      <c r="BA4898" s="3" t="s">
        <v>47677</v>
      </c>
      <c r="BB4898" s="3" t="s">
        <v>47678</v>
      </c>
      <c r="BC4898" s="3" t="s">
        <v>77</v>
      </c>
      <c r="BD4898" s="3" t="s">
        <v>78</v>
      </c>
      <c r="BE4898" s="3" t="s">
        <v>47679</v>
      </c>
      <c r="BF4898" s="3" t="s">
        <v>47678</v>
      </c>
      <c r="BG4898" s="3" t="s">
        <v>47680</v>
      </c>
      <c r="BH4898">
        <f t="shared" si="158"/>
        <v>0</v>
      </c>
    </row>
    <row r="4899" spans="1:60" ht="58" x14ac:dyDescent="0.35">
      <c r="A4899" s="2" t="s">
        <v>59</v>
      </c>
      <c r="B4899" s="2" t="s">
        <v>60</v>
      </c>
      <c r="C4899" s="2" t="s">
        <v>47681</v>
      </c>
      <c r="D4899" s="2" t="s">
        <v>47682</v>
      </c>
      <c r="E4899" s="2" t="s">
        <v>47683</v>
      </c>
      <c r="G4899" s="3" t="s">
        <v>64</v>
      </c>
      <c r="I4899" s="3" t="s">
        <v>64</v>
      </c>
      <c r="J4899" s="3" t="s">
        <v>64</v>
      </c>
      <c r="K4899" s="3" t="s">
        <v>65</v>
      </c>
      <c r="L4899" s="2" t="s">
        <v>47684</v>
      </c>
      <c r="M4899" s="2" t="s">
        <v>14662</v>
      </c>
      <c r="N4899" s="3" t="s">
        <v>551</v>
      </c>
      <c r="P4899" s="3" t="s">
        <v>102</v>
      </c>
      <c r="R4899" s="3" t="s">
        <v>70</v>
      </c>
      <c r="S4899" s="4">
        <v>2</v>
      </c>
      <c r="T4899" s="4">
        <v>2</v>
      </c>
      <c r="U4899" s="5" t="s">
        <v>21485</v>
      </c>
      <c r="V4899" s="5" t="s">
        <v>21485</v>
      </c>
      <c r="W4899" s="5" t="s">
        <v>72</v>
      </c>
      <c r="X4899" s="5" t="s">
        <v>72</v>
      </c>
      <c r="Y4899" s="4">
        <v>181</v>
      </c>
      <c r="Z4899" s="4">
        <v>10</v>
      </c>
      <c r="AA4899" s="4">
        <v>34</v>
      </c>
      <c r="AB4899" s="4">
        <v>2</v>
      </c>
      <c r="AC4899" s="4">
        <v>4</v>
      </c>
      <c r="AD4899" s="4">
        <v>65</v>
      </c>
      <c r="AE4899" s="4">
        <v>85</v>
      </c>
      <c r="AF4899" s="4">
        <v>0</v>
      </c>
      <c r="AG4899" s="4">
        <v>0</v>
      </c>
      <c r="AH4899" s="4">
        <v>62</v>
      </c>
      <c r="AI4899" s="4">
        <v>75</v>
      </c>
      <c r="AJ4899" s="4">
        <v>6</v>
      </c>
      <c r="AK4899" s="4">
        <v>8</v>
      </c>
      <c r="AL4899" s="4">
        <v>38</v>
      </c>
      <c r="AM4899" s="4">
        <v>43</v>
      </c>
      <c r="AN4899" s="4">
        <v>0</v>
      </c>
      <c r="AO4899" s="4">
        <v>0</v>
      </c>
      <c r="AP4899" s="4">
        <v>6</v>
      </c>
      <c r="AQ4899" s="4">
        <v>13</v>
      </c>
      <c r="AR4899" s="3" t="s">
        <v>64</v>
      </c>
      <c r="AS4899" s="3" t="s">
        <v>64</v>
      </c>
      <c r="AT4899" s="3" t="s">
        <v>64</v>
      </c>
      <c r="AV4899" s="6" t="str">
        <f>HYPERLINK("http://mcgill.on.worldcat.org/oclc/288932955","Catalog Record")</f>
        <v>Catalog Record</v>
      </c>
      <c r="AW4899" s="6" t="str">
        <f>HYPERLINK("http://www.worldcat.org/oclc/288932955","WorldCat Record")</f>
        <v>WorldCat Record</v>
      </c>
      <c r="AX4899" s="3" t="s">
        <v>47685</v>
      </c>
      <c r="AY4899" s="3" t="s">
        <v>47686</v>
      </c>
      <c r="AZ4899" s="3" t="s">
        <v>47687</v>
      </c>
      <c r="BA4899" s="3" t="s">
        <v>47687</v>
      </c>
      <c r="BB4899" s="3" t="s">
        <v>47688</v>
      </c>
      <c r="BC4899" s="3" t="s">
        <v>77</v>
      </c>
      <c r="BD4899" s="3" t="s">
        <v>78</v>
      </c>
      <c r="BE4899" s="3" t="s">
        <v>47689</v>
      </c>
      <c r="BF4899" s="3" t="s">
        <v>47688</v>
      </c>
      <c r="BG4899" s="3" t="s">
        <v>47690</v>
      </c>
      <c r="BH4899">
        <f t="shared" si="158"/>
        <v>0</v>
      </c>
    </row>
    <row r="4900" spans="1:60" ht="58" x14ac:dyDescent="0.35">
      <c r="A4900" s="2" t="s">
        <v>59</v>
      </c>
      <c r="B4900" s="2" t="s">
        <v>60</v>
      </c>
      <c r="C4900" s="2" t="s">
        <v>47691</v>
      </c>
      <c r="D4900" s="2" t="s">
        <v>47692</v>
      </c>
      <c r="E4900" s="2" t="s">
        <v>47693</v>
      </c>
      <c r="G4900" s="3" t="s">
        <v>64</v>
      </c>
      <c r="I4900" s="3" t="s">
        <v>64</v>
      </c>
      <c r="J4900" s="3" t="s">
        <v>64</v>
      </c>
      <c r="K4900" s="3" t="s">
        <v>65</v>
      </c>
      <c r="L4900" s="2" t="s">
        <v>47694</v>
      </c>
      <c r="M4900" s="2" t="s">
        <v>47695</v>
      </c>
      <c r="N4900" s="3" t="s">
        <v>1061</v>
      </c>
      <c r="P4900" s="3" t="s">
        <v>102</v>
      </c>
      <c r="R4900" s="3" t="s">
        <v>70</v>
      </c>
      <c r="S4900" s="4">
        <v>1</v>
      </c>
      <c r="T4900" s="4">
        <v>1</v>
      </c>
      <c r="U4900" s="5" t="s">
        <v>47696</v>
      </c>
      <c r="V4900" s="5" t="s">
        <v>47696</v>
      </c>
      <c r="W4900" s="5" t="s">
        <v>72</v>
      </c>
      <c r="X4900" s="5" t="s">
        <v>72</v>
      </c>
      <c r="Y4900" s="4">
        <v>519</v>
      </c>
      <c r="Z4900" s="4">
        <v>27</v>
      </c>
      <c r="AA4900" s="4">
        <v>29</v>
      </c>
      <c r="AB4900" s="4">
        <v>1</v>
      </c>
      <c r="AC4900" s="4">
        <v>3</v>
      </c>
      <c r="AD4900" s="4">
        <v>118</v>
      </c>
      <c r="AE4900" s="4">
        <v>120</v>
      </c>
      <c r="AF4900" s="4">
        <v>0</v>
      </c>
      <c r="AG4900" s="4">
        <v>2</v>
      </c>
      <c r="AH4900" s="4">
        <v>103</v>
      </c>
      <c r="AI4900" s="4">
        <v>104</v>
      </c>
      <c r="AJ4900" s="4">
        <v>15</v>
      </c>
      <c r="AK4900" s="4">
        <v>17</v>
      </c>
      <c r="AL4900" s="4">
        <v>55</v>
      </c>
      <c r="AM4900" s="4">
        <v>55</v>
      </c>
      <c r="AN4900" s="4">
        <v>0</v>
      </c>
      <c r="AO4900" s="4">
        <v>0</v>
      </c>
      <c r="AP4900" s="4">
        <v>24</v>
      </c>
      <c r="AQ4900" s="4">
        <v>25</v>
      </c>
      <c r="AR4900" s="3" t="s">
        <v>64</v>
      </c>
      <c r="AS4900" s="3" t="s">
        <v>64</v>
      </c>
      <c r="AT4900" s="3" t="s">
        <v>128</v>
      </c>
      <c r="AU4900" s="6" t="str">
        <f>HYPERLINK("http://catalog.hathitrust.org/Record/000572206","HathiTrust Record")</f>
        <v>HathiTrust Record</v>
      </c>
      <c r="AV4900" s="6" t="str">
        <f>HYPERLINK("http://mcgill.on.worldcat.org/oclc/11370980","Catalog Record")</f>
        <v>Catalog Record</v>
      </c>
      <c r="AW4900" s="6" t="str">
        <f>HYPERLINK("http://www.worldcat.org/oclc/11370980","WorldCat Record")</f>
        <v>WorldCat Record</v>
      </c>
      <c r="AX4900" s="3" t="s">
        <v>47697</v>
      </c>
      <c r="AY4900" s="3" t="s">
        <v>47698</v>
      </c>
      <c r="AZ4900" s="3" t="s">
        <v>47699</v>
      </c>
      <c r="BA4900" s="3" t="s">
        <v>47699</v>
      </c>
      <c r="BB4900" s="3" t="s">
        <v>47700</v>
      </c>
      <c r="BC4900" s="3" t="s">
        <v>77</v>
      </c>
      <c r="BD4900" s="3" t="s">
        <v>78</v>
      </c>
      <c r="BE4900" s="3" t="s">
        <v>47701</v>
      </c>
      <c r="BF4900" s="3" t="s">
        <v>47700</v>
      </c>
      <c r="BG4900" s="3" t="s">
        <v>47702</v>
      </c>
      <c r="BH4900">
        <f t="shared" si="158"/>
        <v>0</v>
      </c>
    </row>
    <row r="4901" spans="1:60" ht="72.5" x14ac:dyDescent="0.35">
      <c r="A4901" s="2" t="s">
        <v>59</v>
      </c>
      <c r="B4901" s="2" t="s">
        <v>60</v>
      </c>
      <c r="C4901" s="2" t="s">
        <v>47703</v>
      </c>
      <c r="D4901" s="2" t="s">
        <v>47704</v>
      </c>
      <c r="E4901" s="2" t="s">
        <v>47705</v>
      </c>
      <c r="F4901" s="3" t="s">
        <v>529</v>
      </c>
      <c r="G4901" s="3" t="s">
        <v>128</v>
      </c>
      <c r="I4901" s="3" t="s">
        <v>64</v>
      </c>
      <c r="J4901" s="3" t="s">
        <v>64</v>
      </c>
      <c r="K4901" s="3" t="s">
        <v>65</v>
      </c>
      <c r="L4901" s="2" t="s">
        <v>47706</v>
      </c>
      <c r="M4901" s="2" t="s">
        <v>47707</v>
      </c>
      <c r="N4901" s="3" t="s">
        <v>326</v>
      </c>
      <c r="P4901" s="3" t="s">
        <v>365</v>
      </c>
      <c r="Q4901" s="2" t="s">
        <v>47708</v>
      </c>
      <c r="R4901" s="3" t="s">
        <v>70</v>
      </c>
      <c r="S4901" s="4">
        <v>1</v>
      </c>
      <c r="T4901" s="4">
        <v>2</v>
      </c>
      <c r="U4901" s="5" t="s">
        <v>47709</v>
      </c>
      <c r="V4901" s="5" t="s">
        <v>47709</v>
      </c>
      <c r="W4901" s="5" t="s">
        <v>72</v>
      </c>
      <c r="X4901" s="5" t="s">
        <v>72</v>
      </c>
      <c r="Y4901" s="4">
        <v>31</v>
      </c>
      <c r="Z4901" s="4">
        <v>5</v>
      </c>
      <c r="AA4901" s="4">
        <v>5</v>
      </c>
      <c r="AB4901" s="4">
        <v>1</v>
      </c>
      <c r="AC4901" s="4">
        <v>1</v>
      </c>
      <c r="AD4901" s="4">
        <v>25</v>
      </c>
      <c r="AE4901" s="4">
        <v>25</v>
      </c>
      <c r="AF4901" s="4">
        <v>0</v>
      </c>
      <c r="AG4901" s="4">
        <v>0</v>
      </c>
      <c r="AH4901" s="4">
        <v>24</v>
      </c>
      <c r="AI4901" s="4">
        <v>24</v>
      </c>
      <c r="AJ4901" s="4">
        <v>3</v>
      </c>
      <c r="AK4901" s="4">
        <v>3</v>
      </c>
      <c r="AL4901" s="4">
        <v>16</v>
      </c>
      <c r="AM4901" s="4">
        <v>16</v>
      </c>
      <c r="AN4901" s="4">
        <v>0</v>
      </c>
      <c r="AO4901" s="4">
        <v>0</v>
      </c>
      <c r="AP4901" s="4">
        <v>3</v>
      </c>
      <c r="AQ4901" s="4">
        <v>3</v>
      </c>
      <c r="AR4901" s="3" t="s">
        <v>64</v>
      </c>
      <c r="AS4901" s="3" t="s">
        <v>64</v>
      </c>
      <c r="AT4901" s="3" t="s">
        <v>64</v>
      </c>
      <c r="AV4901" s="6" t="str">
        <f>HYPERLINK("http://mcgill.on.worldcat.org/oclc/760988790","Catalog Record")</f>
        <v>Catalog Record</v>
      </c>
      <c r="AW4901" s="6" t="str">
        <f>HYPERLINK("http://www.worldcat.org/oclc/760988790","WorldCat Record")</f>
        <v>WorldCat Record</v>
      </c>
      <c r="AX4901" s="3" t="s">
        <v>47710</v>
      </c>
      <c r="AY4901" s="3" t="s">
        <v>47711</v>
      </c>
      <c r="AZ4901" s="3" t="s">
        <v>47712</v>
      </c>
      <c r="BA4901" s="3" t="s">
        <v>47712</v>
      </c>
      <c r="BB4901" s="3" t="s">
        <v>47713</v>
      </c>
      <c r="BC4901" s="3" t="s">
        <v>77</v>
      </c>
      <c r="BD4901" s="3" t="s">
        <v>78</v>
      </c>
      <c r="BE4901" s="3" t="s">
        <v>47714</v>
      </c>
      <c r="BF4901" s="3" t="s">
        <v>47713</v>
      </c>
      <c r="BG4901" s="3" t="s">
        <v>47715</v>
      </c>
      <c r="BH4901">
        <f t="shared" si="158"/>
        <v>0</v>
      </c>
    </row>
    <row r="4902" spans="1:60" ht="72.5" x14ac:dyDescent="0.35">
      <c r="A4902" s="2" t="s">
        <v>59</v>
      </c>
      <c r="B4902" s="2" t="s">
        <v>60</v>
      </c>
      <c r="C4902" s="2" t="s">
        <v>47703</v>
      </c>
      <c r="D4902" s="2" t="s">
        <v>47704</v>
      </c>
      <c r="E4902" s="2" t="s">
        <v>47705</v>
      </c>
      <c r="F4902" s="3" t="s">
        <v>525</v>
      </c>
      <c r="G4902" s="3" t="s">
        <v>128</v>
      </c>
      <c r="I4902" s="3" t="s">
        <v>64</v>
      </c>
      <c r="J4902" s="3" t="s">
        <v>64</v>
      </c>
      <c r="K4902" s="3" t="s">
        <v>65</v>
      </c>
      <c r="L4902" s="2" t="s">
        <v>47706</v>
      </c>
      <c r="M4902" s="2" t="s">
        <v>47707</v>
      </c>
      <c r="N4902" s="3" t="s">
        <v>326</v>
      </c>
      <c r="P4902" s="3" t="s">
        <v>365</v>
      </c>
      <c r="Q4902" s="2" t="s">
        <v>47708</v>
      </c>
      <c r="R4902" s="3" t="s">
        <v>70</v>
      </c>
      <c r="S4902" s="4">
        <v>1</v>
      </c>
      <c r="T4902" s="4">
        <v>2</v>
      </c>
      <c r="U4902" s="5" t="s">
        <v>47709</v>
      </c>
      <c r="V4902" s="5" t="s">
        <v>47709</v>
      </c>
      <c r="W4902" s="5" t="s">
        <v>72</v>
      </c>
      <c r="X4902" s="5" t="s">
        <v>72</v>
      </c>
      <c r="Y4902" s="4">
        <v>31</v>
      </c>
      <c r="Z4902" s="4">
        <v>5</v>
      </c>
      <c r="AA4902" s="4">
        <v>5</v>
      </c>
      <c r="AB4902" s="4">
        <v>1</v>
      </c>
      <c r="AC4902" s="4">
        <v>1</v>
      </c>
      <c r="AD4902" s="4">
        <v>25</v>
      </c>
      <c r="AE4902" s="4">
        <v>25</v>
      </c>
      <c r="AF4902" s="4">
        <v>0</v>
      </c>
      <c r="AG4902" s="4">
        <v>0</v>
      </c>
      <c r="AH4902" s="4">
        <v>24</v>
      </c>
      <c r="AI4902" s="4">
        <v>24</v>
      </c>
      <c r="AJ4902" s="4">
        <v>3</v>
      </c>
      <c r="AK4902" s="4">
        <v>3</v>
      </c>
      <c r="AL4902" s="4">
        <v>16</v>
      </c>
      <c r="AM4902" s="4">
        <v>16</v>
      </c>
      <c r="AN4902" s="4">
        <v>0</v>
      </c>
      <c r="AO4902" s="4">
        <v>0</v>
      </c>
      <c r="AP4902" s="4">
        <v>3</v>
      </c>
      <c r="AQ4902" s="4">
        <v>3</v>
      </c>
      <c r="AR4902" s="3" t="s">
        <v>64</v>
      </c>
      <c r="AS4902" s="3" t="s">
        <v>64</v>
      </c>
      <c r="AT4902" s="3" t="s">
        <v>64</v>
      </c>
      <c r="AV4902" s="6" t="str">
        <f>HYPERLINK("http://mcgill.on.worldcat.org/oclc/760988790","Catalog Record")</f>
        <v>Catalog Record</v>
      </c>
      <c r="AW4902" s="6" t="str">
        <f>HYPERLINK("http://www.worldcat.org/oclc/760988790","WorldCat Record")</f>
        <v>WorldCat Record</v>
      </c>
      <c r="AX4902" s="3" t="s">
        <v>47710</v>
      </c>
      <c r="AY4902" s="3" t="s">
        <v>47711</v>
      </c>
      <c r="AZ4902" s="3" t="s">
        <v>47712</v>
      </c>
      <c r="BA4902" s="3" t="s">
        <v>47712</v>
      </c>
      <c r="BB4902" s="3" t="s">
        <v>47716</v>
      </c>
      <c r="BC4902" s="3" t="s">
        <v>77</v>
      </c>
      <c r="BD4902" s="3" t="s">
        <v>78</v>
      </c>
      <c r="BE4902" s="3" t="s">
        <v>47714</v>
      </c>
      <c r="BF4902" s="3" t="s">
        <v>47716</v>
      </c>
      <c r="BG4902" s="3" t="s">
        <v>47717</v>
      </c>
      <c r="BH4902">
        <f t="shared" si="158"/>
        <v>0</v>
      </c>
    </row>
    <row r="4903" spans="1:60" ht="58" x14ac:dyDescent="0.35">
      <c r="A4903" s="2" t="s">
        <v>59</v>
      </c>
      <c r="B4903" s="2" t="s">
        <v>60</v>
      </c>
      <c r="C4903" s="2" t="s">
        <v>47718</v>
      </c>
      <c r="D4903" s="2" t="s">
        <v>47719</v>
      </c>
      <c r="E4903" s="2" t="s">
        <v>47720</v>
      </c>
      <c r="G4903" s="3" t="s">
        <v>64</v>
      </c>
      <c r="I4903" s="3" t="s">
        <v>64</v>
      </c>
      <c r="J4903" s="3" t="s">
        <v>64</v>
      </c>
      <c r="K4903" s="3" t="s">
        <v>65</v>
      </c>
      <c r="L4903" s="2" t="s">
        <v>47721</v>
      </c>
      <c r="M4903" s="2" t="s">
        <v>47722</v>
      </c>
      <c r="N4903" s="3" t="s">
        <v>3721</v>
      </c>
      <c r="P4903" s="3" t="s">
        <v>102</v>
      </c>
      <c r="Q4903" s="2" t="s">
        <v>47723</v>
      </c>
      <c r="R4903" s="3" t="s">
        <v>70</v>
      </c>
      <c r="S4903" s="4">
        <v>3</v>
      </c>
      <c r="T4903" s="4">
        <v>3</v>
      </c>
      <c r="U4903" s="5" t="s">
        <v>47724</v>
      </c>
      <c r="V4903" s="5" t="s">
        <v>47724</v>
      </c>
      <c r="W4903" s="5" t="s">
        <v>72</v>
      </c>
      <c r="X4903" s="5" t="s">
        <v>72</v>
      </c>
      <c r="Y4903" s="4">
        <v>209</v>
      </c>
      <c r="Z4903" s="4">
        <v>13</v>
      </c>
      <c r="AA4903" s="4">
        <v>14</v>
      </c>
      <c r="AB4903" s="4">
        <v>1</v>
      </c>
      <c r="AC4903" s="4">
        <v>2</v>
      </c>
      <c r="AD4903" s="4">
        <v>84</v>
      </c>
      <c r="AE4903" s="4">
        <v>85</v>
      </c>
      <c r="AF4903" s="4">
        <v>0</v>
      </c>
      <c r="AG4903" s="4">
        <v>1</v>
      </c>
      <c r="AH4903" s="4">
        <v>77</v>
      </c>
      <c r="AI4903" s="4">
        <v>77</v>
      </c>
      <c r="AJ4903" s="4">
        <v>9</v>
      </c>
      <c r="AK4903" s="4">
        <v>10</v>
      </c>
      <c r="AL4903" s="4">
        <v>49</v>
      </c>
      <c r="AM4903" s="4">
        <v>49</v>
      </c>
      <c r="AN4903" s="4">
        <v>0</v>
      </c>
      <c r="AO4903" s="4">
        <v>0</v>
      </c>
      <c r="AP4903" s="4">
        <v>10</v>
      </c>
      <c r="AQ4903" s="4">
        <v>11</v>
      </c>
      <c r="AR4903" s="3" t="s">
        <v>64</v>
      </c>
      <c r="AS4903" s="3" t="s">
        <v>64</v>
      </c>
      <c r="AT4903" s="3" t="s">
        <v>128</v>
      </c>
      <c r="AU4903" s="6" t="str">
        <f>HYPERLINK("http://catalog.hathitrust.org/Record/000755331","HathiTrust Record")</f>
        <v>HathiTrust Record</v>
      </c>
      <c r="AV4903" s="6" t="str">
        <f>HYPERLINK("http://mcgill.on.worldcat.org/oclc/5220682","Catalog Record")</f>
        <v>Catalog Record</v>
      </c>
      <c r="AW4903" s="6" t="str">
        <f>HYPERLINK("http://www.worldcat.org/oclc/5220682","WorldCat Record")</f>
        <v>WorldCat Record</v>
      </c>
      <c r="AX4903" s="3" t="s">
        <v>47725</v>
      </c>
      <c r="AY4903" s="3" t="s">
        <v>47726</v>
      </c>
      <c r="AZ4903" s="3" t="s">
        <v>47727</v>
      </c>
      <c r="BA4903" s="3" t="s">
        <v>47727</v>
      </c>
      <c r="BB4903" s="3" t="s">
        <v>47728</v>
      </c>
      <c r="BC4903" s="3" t="s">
        <v>77</v>
      </c>
      <c r="BD4903" s="3" t="s">
        <v>78</v>
      </c>
      <c r="BE4903" s="3" t="s">
        <v>47729</v>
      </c>
      <c r="BF4903" s="3" t="s">
        <v>47728</v>
      </c>
      <c r="BG4903" s="3" t="s">
        <v>47730</v>
      </c>
      <c r="BH4903">
        <f t="shared" si="158"/>
        <v>0</v>
      </c>
    </row>
    <row r="4904" spans="1:60" ht="58" x14ac:dyDescent="0.35">
      <c r="A4904" s="2" t="s">
        <v>59</v>
      </c>
      <c r="B4904" s="2" t="s">
        <v>60</v>
      </c>
      <c r="C4904" s="2" t="s">
        <v>47731</v>
      </c>
      <c r="D4904" s="2" t="s">
        <v>47732</v>
      </c>
      <c r="E4904" s="2" t="s">
        <v>47733</v>
      </c>
      <c r="G4904" s="3" t="s">
        <v>64</v>
      </c>
      <c r="I4904" s="3" t="s">
        <v>64</v>
      </c>
      <c r="J4904" s="3" t="s">
        <v>64</v>
      </c>
      <c r="K4904" s="3" t="s">
        <v>65</v>
      </c>
      <c r="L4904" s="2" t="s">
        <v>47734</v>
      </c>
      <c r="M4904" s="2" t="s">
        <v>24405</v>
      </c>
      <c r="N4904" s="3" t="s">
        <v>3428</v>
      </c>
      <c r="P4904" s="3" t="s">
        <v>102</v>
      </c>
      <c r="Q4904" s="2" t="s">
        <v>47735</v>
      </c>
      <c r="R4904" s="3" t="s">
        <v>70</v>
      </c>
      <c r="S4904" s="4">
        <v>1</v>
      </c>
      <c r="T4904" s="4">
        <v>1</v>
      </c>
      <c r="U4904" s="5" t="s">
        <v>10805</v>
      </c>
      <c r="V4904" s="5" t="s">
        <v>10805</v>
      </c>
      <c r="W4904" s="5" t="s">
        <v>72</v>
      </c>
      <c r="X4904" s="5" t="s">
        <v>72</v>
      </c>
      <c r="Y4904" s="4">
        <v>220</v>
      </c>
      <c r="Z4904" s="4">
        <v>9</v>
      </c>
      <c r="AA4904" s="4">
        <v>14</v>
      </c>
      <c r="AB4904" s="4">
        <v>1</v>
      </c>
      <c r="AC4904" s="4">
        <v>2</v>
      </c>
      <c r="AD4904" s="4">
        <v>77</v>
      </c>
      <c r="AE4904" s="4">
        <v>79</v>
      </c>
      <c r="AF4904" s="4">
        <v>0</v>
      </c>
      <c r="AG4904" s="4">
        <v>0</v>
      </c>
      <c r="AH4904" s="4">
        <v>71</v>
      </c>
      <c r="AI4904" s="4">
        <v>71</v>
      </c>
      <c r="AJ4904" s="4">
        <v>6</v>
      </c>
      <c r="AK4904" s="4">
        <v>6</v>
      </c>
      <c r="AL4904" s="4">
        <v>44</v>
      </c>
      <c r="AM4904" s="4">
        <v>45</v>
      </c>
      <c r="AN4904" s="4">
        <v>0</v>
      </c>
      <c r="AO4904" s="4">
        <v>0</v>
      </c>
      <c r="AP4904" s="4">
        <v>7</v>
      </c>
      <c r="AQ4904" s="4">
        <v>8</v>
      </c>
      <c r="AR4904" s="3" t="s">
        <v>64</v>
      </c>
      <c r="AS4904" s="3" t="s">
        <v>64</v>
      </c>
      <c r="AT4904" s="3" t="s">
        <v>64</v>
      </c>
      <c r="AV4904" s="6" t="str">
        <f>HYPERLINK("http://mcgill.on.worldcat.org/oclc/31754903","Catalog Record")</f>
        <v>Catalog Record</v>
      </c>
      <c r="AW4904" s="6" t="str">
        <f>HYPERLINK("http://www.worldcat.org/oclc/31754903","WorldCat Record")</f>
        <v>WorldCat Record</v>
      </c>
      <c r="AX4904" s="3" t="s">
        <v>47736</v>
      </c>
      <c r="AY4904" s="3" t="s">
        <v>47737</v>
      </c>
      <c r="AZ4904" s="3" t="s">
        <v>47738</v>
      </c>
      <c r="BA4904" s="3" t="s">
        <v>47738</v>
      </c>
      <c r="BB4904" s="3" t="s">
        <v>47739</v>
      </c>
      <c r="BC4904" s="3" t="s">
        <v>77</v>
      </c>
      <c r="BD4904" s="3" t="s">
        <v>78</v>
      </c>
      <c r="BE4904" s="3" t="s">
        <v>47740</v>
      </c>
      <c r="BF4904" s="3" t="s">
        <v>47739</v>
      </c>
      <c r="BG4904" s="3" t="s">
        <v>47741</v>
      </c>
      <c r="BH4904">
        <f t="shared" si="158"/>
        <v>0</v>
      </c>
    </row>
    <row r="4905" spans="1:60" ht="58" x14ac:dyDescent="0.35">
      <c r="A4905" s="2" t="s">
        <v>59</v>
      </c>
      <c r="B4905" s="2" t="s">
        <v>60</v>
      </c>
      <c r="C4905" s="2" t="s">
        <v>47742</v>
      </c>
      <c r="D4905" s="2" t="s">
        <v>47743</v>
      </c>
      <c r="E4905" s="2" t="s">
        <v>47744</v>
      </c>
      <c r="F4905" s="3" t="s">
        <v>529</v>
      </c>
      <c r="G4905" s="3" t="s">
        <v>128</v>
      </c>
      <c r="I4905" s="3" t="s">
        <v>64</v>
      </c>
      <c r="J4905" s="3" t="s">
        <v>64</v>
      </c>
      <c r="K4905" s="3" t="s">
        <v>65</v>
      </c>
      <c r="L4905" s="2" t="s">
        <v>47745</v>
      </c>
      <c r="M4905" s="2" t="s">
        <v>47746</v>
      </c>
      <c r="N4905" s="3" t="s">
        <v>3428</v>
      </c>
      <c r="P4905" s="3" t="s">
        <v>102</v>
      </c>
      <c r="Q4905" s="2" t="s">
        <v>47747</v>
      </c>
      <c r="R4905" s="3" t="s">
        <v>70</v>
      </c>
      <c r="S4905" s="4">
        <v>1</v>
      </c>
      <c r="T4905" s="4">
        <v>1</v>
      </c>
      <c r="U4905" s="5" t="s">
        <v>10805</v>
      </c>
      <c r="V4905" s="5" t="s">
        <v>10805</v>
      </c>
      <c r="W4905" s="5" t="s">
        <v>72</v>
      </c>
      <c r="X4905" s="5" t="s">
        <v>72</v>
      </c>
      <c r="Y4905" s="4">
        <v>207</v>
      </c>
      <c r="Z4905" s="4">
        <v>14</v>
      </c>
      <c r="AA4905" s="4">
        <v>14</v>
      </c>
      <c r="AB4905" s="4">
        <v>2</v>
      </c>
      <c r="AC4905" s="4">
        <v>2</v>
      </c>
      <c r="AD4905" s="4">
        <v>78</v>
      </c>
      <c r="AE4905" s="4">
        <v>78</v>
      </c>
      <c r="AF4905" s="4">
        <v>1</v>
      </c>
      <c r="AG4905" s="4">
        <v>1</v>
      </c>
      <c r="AH4905" s="4">
        <v>70</v>
      </c>
      <c r="AI4905" s="4">
        <v>70</v>
      </c>
      <c r="AJ4905" s="4">
        <v>11</v>
      </c>
      <c r="AK4905" s="4">
        <v>11</v>
      </c>
      <c r="AL4905" s="4">
        <v>44</v>
      </c>
      <c r="AM4905" s="4">
        <v>44</v>
      </c>
      <c r="AN4905" s="4">
        <v>0</v>
      </c>
      <c r="AO4905" s="4">
        <v>0</v>
      </c>
      <c r="AP4905" s="4">
        <v>10</v>
      </c>
      <c r="AQ4905" s="4">
        <v>10</v>
      </c>
      <c r="AR4905" s="3" t="s">
        <v>64</v>
      </c>
      <c r="AS4905" s="3" t="s">
        <v>64</v>
      </c>
      <c r="AT4905" s="3" t="s">
        <v>128</v>
      </c>
      <c r="AU4905" s="6" t="str">
        <f>HYPERLINK("http://catalog.hathitrust.org/Record/003048467","HathiTrust Record")</f>
        <v>HathiTrust Record</v>
      </c>
      <c r="AV4905" s="6" t="str">
        <f>HYPERLINK("http://mcgill.on.worldcat.org/oclc/32469102","Catalog Record")</f>
        <v>Catalog Record</v>
      </c>
      <c r="AW4905" s="6" t="str">
        <f>HYPERLINK("http://www.worldcat.org/oclc/32469102","WorldCat Record")</f>
        <v>WorldCat Record</v>
      </c>
      <c r="AX4905" s="3" t="s">
        <v>47748</v>
      </c>
      <c r="AY4905" s="3" t="s">
        <v>47749</v>
      </c>
      <c r="AZ4905" s="3" t="s">
        <v>47750</v>
      </c>
      <c r="BA4905" s="3" t="s">
        <v>47750</v>
      </c>
      <c r="BB4905" s="3" t="s">
        <v>47751</v>
      </c>
      <c r="BC4905" s="3" t="s">
        <v>77</v>
      </c>
      <c r="BD4905" s="3" t="s">
        <v>78</v>
      </c>
      <c r="BE4905" s="3" t="s">
        <v>47752</v>
      </c>
      <c r="BF4905" s="3" t="s">
        <v>47751</v>
      </c>
      <c r="BG4905" s="3" t="s">
        <v>47753</v>
      </c>
      <c r="BH4905">
        <f t="shared" si="158"/>
        <v>0</v>
      </c>
    </row>
    <row r="4906" spans="1:60" ht="58" x14ac:dyDescent="0.35">
      <c r="A4906" s="2" t="s">
        <v>59</v>
      </c>
      <c r="B4906" s="2" t="s">
        <v>60</v>
      </c>
      <c r="C4906" s="2" t="s">
        <v>47742</v>
      </c>
      <c r="D4906" s="2" t="s">
        <v>47743</v>
      </c>
      <c r="E4906" s="2" t="s">
        <v>47744</v>
      </c>
      <c r="F4906" s="3" t="s">
        <v>525</v>
      </c>
      <c r="G4906" s="3" t="s">
        <v>128</v>
      </c>
      <c r="I4906" s="3" t="s">
        <v>64</v>
      </c>
      <c r="J4906" s="3" t="s">
        <v>64</v>
      </c>
      <c r="K4906" s="3" t="s">
        <v>65</v>
      </c>
      <c r="L4906" s="2" t="s">
        <v>47745</v>
      </c>
      <c r="M4906" s="2" t="s">
        <v>47746</v>
      </c>
      <c r="N4906" s="3" t="s">
        <v>3428</v>
      </c>
      <c r="P4906" s="3" t="s">
        <v>102</v>
      </c>
      <c r="Q4906" s="2" t="s">
        <v>47747</v>
      </c>
      <c r="R4906" s="3" t="s">
        <v>70</v>
      </c>
      <c r="S4906" s="4">
        <v>0</v>
      </c>
      <c r="T4906" s="4">
        <v>1</v>
      </c>
      <c r="V4906" s="5" t="s">
        <v>10805</v>
      </c>
      <c r="W4906" s="5" t="s">
        <v>72</v>
      </c>
      <c r="X4906" s="5" t="s">
        <v>72</v>
      </c>
      <c r="Y4906" s="4">
        <v>207</v>
      </c>
      <c r="Z4906" s="4">
        <v>14</v>
      </c>
      <c r="AA4906" s="4">
        <v>14</v>
      </c>
      <c r="AB4906" s="4">
        <v>2</v>
      </c>
      <c r="AC4906" s="4">
        <v>2</v>
      </c>
      <c r="AD4906" s="4">
        <v>78</v>
      </c>
      <c r="AE4906" s="4">
        <v>78</v>
      </c>
      <c r="AF4906" s="4">
        <v>1</v>
      </c>
      <c r="AG4906" s="4">
        <v>1</v>
      </c>
      <c r="AH4906" s="4">
        <v>70</v>
      </c>
      <c r="AI4906" s="4">
        <v>70</v>
      </c>
      <c r="AJ4906" s="4">
        <v>11</v>
      </c>
      <c r="AK4906" s="4">
        <v>11</v>
      </c>
      <c r="AL4906" s="4">
        <v>44</v>
      </c>
      <c r="AM4906" s="4">
        <v>44</v>
      </c>
      <c r="AN4906" s="4">
        <v>0</v>
      </c>
      <c r="AO4906" s="4">
        <v>0</v>
      </c>
      <c r="AP4906" s="4">
        <v>10</v>
      </c>
      <c r="AQ4906" s="4">
        <v>10</v>
      </c>
      <c r="AR4906" s="3" t="s">
        <v>64</v>
      </c>
      <c r="AS4906" s="3" t="s">
        <v>64</v>
      </c>
      <c r="AT4906" s="3" t="s">
        <v>128</v>
      </c>
      <c r="AU4906" s="6" t="str">
        <f>HYPERLINK("http://catalog.hathitrust.org/Record/003048467","HathiTrust Record")</f>
        <v>HathiTrust Record</v>
      </c>
      <c r="AV4906" s="6" t="str">
        <f>HYPERLINK("http://mcgill.on.worldcat.org/oclc/32469102","Catalog Record")</f>
        <v>Catalog Record</v>
      </c>
      <c r="AW4906" s="6" t="str">
        <f>HYPERLINK("http://www.worldcat.org/oclc/32469102","WorldCat Record")</f>
        <v>WorldCat Record</v>
      </c>
      <c r="AX4906" s="3" t="s">
        <v>47748</v>
      </c>
      <c r="AY4906" s="3" t="s">
        <v>47749</v>
      </c>
      <c r="AZ4906" s="3" t="s">
        <v>47750</v>
      </c>
      <c r="BA4906" s="3" t="s">
        <v>47750</v>
      </c>
      <c r="BB4906" s="3" t="s">
        <v>47754</v>
      </c>
      <c r="BC4906" s="3" t="s">
        <v>77</v>
      </c>
      <c r="BD4906" s="3" t="s">
        <v>78</v>
      </c>
      <c r="BE4906" s="3" t="s">
        <v>47752</v>
      </c>
      <c r="BF4906" s="3" t="s">
        <v>47754</v>
      </c>
      <c r="BG4906" s="3" t="s">
        <v>47755</v>
      </c>
      <c r="BH4906">
        <f t="shared" si="158"/>
        <v>0</v>
      </c>
    </row>
    <row r="4907" spans="1:60" ht="58" x14ac:dyDescent="0.35">
      <c r="A4907" s="2" t="s">
        <v>59</v>
      </c>
      <c r="B4907" s="2" t="s">
        <v>60</v>
      </c>
      <c r="C4907" s="2" t="s">
        <v>47756</v>
      </c>
      <c r="D4907" s="2" t="s">
        <v>47757</v>
      </c>
      <c r="E4907" s="2" t="s">
        <v>47758</v>
      </c>
      <c r="G4907" s="3" t="s">
        <v>64</v>
      </c>
      <c r="I4907" s="3" t="s">
        <v>64</v>
      </c>
      <c r="J4907" s="3" t="s">
        <v>64</v>
      </c>
      <c r="K4907" s="3" t="s">
        <v>65</v>
      </c>
      <c r="L4907" s="2" t="s">
        <v>47759</v>
      </c>
      <c r="M4907" s="2" t="s">
        <v>47760</v>
      </c>
      <c r="N4907" s="3" t="s">
        <v>434</v>
      </c>
      <c r="P4907" s="3" t="s">
        <v>102</v>
      </c>
      <c r="Q4907" s="2" t="s">
        <v>47761</v>
      </c>
      <c r="R4907" s="3" t="s">
        <v>70</v>
      </c>
      <c r="S4907" s="4">
        <v>1</v>
      </c>
      <c r="T4907" s="4">
        <v>1</v>
      </c>
      <c r="U4907" s="5" t="s">
        <v>41585</v>
      </c>
      <c r="V4907" s="5" t="s">
        <v>41585</v>
      </c>
      <c r="W4907" s="5" t="s">
        <v>72</v>
      </c>
      <c r="X4907" s="5" t="s">
        <v>72</v>
      </c>
      <c r="Y4907" s="4">
        <v>72</v>
      </c>
      <c r="Z4907" s="4">
        <v>10</v>
      </c>
      <c r="AA4907" s="4">
        <v>11</v>
      </c>
      <c r="AB4907" s="4">
        <v>1</v>
      </c>
      <c r="AC4907" s="4">
        <v>2</v>
      </c>
      <c r="AD4907" s="4">
        <v>34</v>
      </c>
      <c r="AE4907" s="4">
        <v>35</v>
      </c>
      <c r="AF4907" s="4">
        <v>0</v>
      </c>
      <c r="AG4907" s="4">
        <v>1</v>
      </c>
      <c r="AH4907" s="4">
        <v>30</v>
      </c>
      <c r="AI4907" s="4">
        <v>30</v>
      </c>
      <c r="AJ4907" s="4">
        <v>7</v>
      </c>
      <c r="AK4907" s="4">
        <v>8</v>
      </c>
      <c r="AL4907" s="4">
        <v>25</v>
      </c>
      <c r="AM4907" s="4">
        <v>25</v>
      </c>
      <c r="AN4907" s="4">
        <v>0</v>
      </c>
      <c r="AO4907" s="4">
        <v>0</v>
      </c>
      <c r="AP4907" s="4">
        <v>7</v>
      </c>
      <c r="AQ4907" s="4">
        <v>7</v>
      </c>
      <c r="AR4907" s="3" t="s">
        <v>64</v>
      </c>
      <c r="AS4907" s="3" t="s">
        <v>64</v>
      </c>
      <c r="AT4907" s="3" t="s">
        <v>64</v>
      </c>
      <c r="AV4907" s="6" t="str">
        <f>HYPERLINK("http://mcgill.on.worldcat.org/oclc/60808390","Catalog Record")</f>
        <v>Catalog Record</v>
      </c>
      <c r="AW4907" s="6" t="str">
        <f>HYPERLINK("http://www.worldcat.org/oclc/60808390","WorldCat Record")</f>
        <v>WorldCat Record</v>
      </c>
      <c r="AX4907" s="3" t="s">
        <v>47762</v>
      </c>
      <c r="AY4907" s="3" t="s">
        <v>47763</v>
      </c>
      <c r="AZ4907" s="3" t="s">
        <v>47764</v>
      </c>
      <c r="BA4907" s="3" t="s">
        <v>47764</v>
      </c>
      <c r="BB4907" s="3" t="s">
        <v>47765</v>
      </c>
      <c r="BC4907" s="3" t="s">
        <v>77</v>
      </c>
      <c r="BD4907" s="3" t="s">
        <v>78</v>
      </c>
      <c r="BE4907" s="3" t="s">
        <v>47766</v>
      </c>
      <c r="BF4907" s="3" t="s">
        <v>47765</v>
      </c>
      <c r="BG4907" s="3" t="s">
        <v>47767</v>
      </c>
      <c r="BH4907">
        <f t="shared" si="158"/>
        <v>0</v>
      </c>
    </row>
    <row r="4908" spans="1:60" ht="72.5" x14ac:dyDescent="0.35">
      <c r="A4908" s="2" t="s">
        <v>59</v>
      </c>
      <c r="B4908" s="2" t="s">
        <v>60</v>
      </c>
      <c r="C4908" s="2" t="s">
        <v>47768</v>
      </c>
      <c r="D4908" s="2" t="s">
        <v>47769</v>
      </c>
      <c r="E4908" s="2" t="s">
        <v>47770</v>
      </c>
      <c r="G4908" s="3" t="s">
        <v>64</v>
      </c>
      <c r="I4908" s="3" t="s">
        <v>64</v>
      </c>
      <c r="J4908" s="3" t="s">
        <v>64</v>
      </c>
      <c r="K4908" s="3" t="s">
        <v>65</v>
      </c>
      <c r="L4908" s="2" t="s">
        <v>47771</v>
      </c>
      <c r="M4908" s="2" t="s">
        <v>47772</v>
      </c>
      <c r="N4908" s="3" t="s">
        <v>4167</v>
      </c>
      <c r="P4908" s="3" t="s">
        <v>102</v>
      </c>
      <c r="R4908" s="3" t="s">
        <v>70</v>
      </c>
      <c r="S4908" s="4">
        <v>3</v>
      </c>
      <c r="T4908" s="4">
        <v>3</v>
      </c>
      <c r="U4908" s="5" t="s">
        <v>47773</v>
      </c>
      <c r="V4908" s="5" t="s">
        <v>47773</v>
      </c>
      <c r="W4908" s="5" t="s">
        <v>72</v>
      </c>
      <c r="X4908" s="5" t="s">
        <v>72</v>
      </c>
      <c r="Y4908" s="4">
        <v>172</v>
      </c>
      <c r="Z4908" s="4">
        <v>8</v>
      </c>
      <c r="AA4908" s="4">
        <v>11</v>
      </c>
      <c r="AB4908" s="4">
        <v>1</v>
      </c>
      <c r="AC4908" s="4">
        <v>2</v>
      </c>
      <c r="AD4908" s="4">
        <v>78</v>
      </c>
      <c r="AE4908" s="4">
        <v>87</v>
      </c>
      <c r="AF4908" s="4">
        <v>0</v>
      </c>
      <c r="AG4908" s="4">
        <v>1</v>
      </c>
      <c r="AH4908" s="4">
        <v>75</v>
      </c>
      <c r="AI4908" s="4">
        <v>82</v>
      </c>
      <c r="AJ4908" s="4">
        <v>6</v>
      </c>
      <c r="AK4908" s="4">
        <v>9</v>
      </c>
      <c r="AL4908" s="4">
        <v>43</v>
      </c>
      <c r="AM4908" s="4">
        <v>46</v>
      </c>
      <c r="AN4908" s="4">
        <v>0</v>
      </c>
      <c r="AO4908" s="4">
        <v>0</v>
      </c>
      <c r="AP4908" s="4">
        <v>7</v>
      </c>
      <c r="AQ4908" s="4">
        <v>10</v>
      </c>
      <c r="AR4908" s="3" t="s">
        <v>64</v>
      </c>
      <c r="AS4908" s="3" t="s">
        <v>64</v>
      </c>
      <c r="AT4908" s="3" t="s">
        <v>128</v>
      </c>
      <c r="AU4908" s="6" t="str">
        <f>HYPERLINK("http://catalog.hathitrust.org/Record/001795119","HathiTrust Record")</f>
        <v>HathiTrust Record</v>
      </c>
      <c r="AV4908" s="6" t="str">
        <f>HYPERLINK("http://mcgill.on.worldcat.org/oclc/611017","Catalog Record")</f>
        <v>Catalog Record</v>
      </c>
      <c r="AW4908" s="6" t="str">
        <f>HYPERLINK("http://www.worldcat.org/oclc/611017","WorldCat Record")</f>
        <v>WorldCat Record</v>
      </c>
      <c r="AX4908" s="3" t="s">
        <v>47774</v>
      </c>
      <c r="AY4908" s="3" t="s">
        <v>47775</v>
      </c>
      <c r="AZ4908" s="3" t="s">
        <v>47776</v>
      </c>
      <c r="BA4908" s="3" t="s">
        <v>47776</v>
      </c>
      <c r="BB4908" s="3" t="s">
        <v>47777</v>
      </c>
      <c r="BC4908" s="3" t="s">
        <v>77</v>
      </c>
      <c r="BD4908" s="3" t="s">
        <v>78</v>
      </c>
      <c r="BF4908" s="3" t="s">
        <v>47777</v>
      </c>
      <c r="BG4908" s="3" t="s">
        <v>47778</v>
      </c>
      <c r="BH4908">
        <f t="shared" si="158"/>
        <v>0</v>
      </c>
    </row>
    <row r="4909" spans="1:60" ht="58" x14ac:dyDescent="0.35">
      <c r="A4909" s="2" t="s">
        <v>59</v>
      </c>
      <c r="B4909" s="2" t="s">
        <v>60</v>
      </c>
      <c r="C4909" s="2" t="s">
        <v>47779</v>
      </c>
      <c r="D4909" s="2" t="s">
        <v>47780</v>
      </c>
      <c r="E4909" s="2" t="s">
        <v>47781</v>
      </c>
      <c r="G4909" s="3" t="s">
        <v>64</v>
      </c>
      <c r="I4909" s="3" t="s">
        <v>64</v>
      </c>
      <c r="J4909" s="3" t="s">
        <v>64</v>
      </c>
      <c r="K4909" s="3" t="s">
        <v>65</v>
      </c>
      <c r="L4909" s="2" t="s">
        <v>47782</v>
      </c>
      <c r="M4909" s="2" t="s">
        <v>47783</v>
      </c>
      <c r="N4909" s="3" t="s">
        <v>874</v>
      </c>
      <c r="P4909" s="3" t="s">
        <v>102</v>
      </c>
      <c r="Q4909" s="2" t="s">
        <v>47784</v>
      </c>
      <c r="R4909" s="3" t="s">
        <v>70</v>
      </c>
      <c r="S4909" s="4">
        <v>2</v>
      </c>
      <c r="T4909" s="4">
        <v>2</v>
      </c>
      <c r="U4909" s="5" t="s">
        <v>7178</v>
      </c>
      <c r="V4909" s="5" t="s">
        <v>7178</v>
      </c>
      <c r="W4909" s="5" t="s">
        <v>72</v>
      </c>
      <c r="X4909" s="5" t="s">
        <v>72</v>
      </c>
      <c r="Y4909" s="4">
        <v>416</v>
      </c>
      <c r="Z4909" s="4">
        <v>32</v>
      </c>
      <c r="AA4909" s="4">
        <v>36</v>
      </c>
      <c r="AB4909" s="4">
        <v>1</v>
      </c>
      <c r="AC4909" s="4">
        <v>5</v>
      </c>
      <c r="AD4909" s="4">
        <v>117</v>
      </c>
      <c r="AE4909" s="4">
        <v>120</v>
      </c>
      <c r="AF4909" s="4">
        <v>0</v>
      </c>
      <c r="AG4909" s="4">
        <v>3</v>
      </c>
      <c r="AH4909" s="4">
        <v>98</v>
      </c>
      <c r="AI4909" s="4">
        <v>99</v>
      </c>
      <c r="AJ4909" s="4">
        <v>19</v>
      </c>
      <c r="AK4909" s="4">
        <v>22</v>
      </c>
      <c r="AL4909" s="4">
        <v>54</v>
      </c>
      <c r="AM4909" s="4">
        <v>54</v>
      </c>
      <c r="AN4909" s="4">
        <v>0</v>
      </c>
      <c r="AO4909" s="4">
        <v>0</v>
      </c>
      <c r="AP4909" s="4">
        <v>25</v>
      </c>
      <c r="AQ4909" s="4">
        <v>27</v>
      </c>
      <c r="AR4909" s="3" t="s">
        <v>64</v>
      </c>
      <c r="AS4909" s="3" t="s">
        <v>64</v>
      </c>
      <c r="AT4909" s="3" t="s">
        <v>128</v>
      </c>
      <c r="AU4909" s="6" t="str">
        <f>HYPERLINK("http://catalog.hathitrust.org/Record/000138076","HathiTrust Record")</f>
        <v>HathiTrust Record</v>
      </c>
      <c r="AV4909" s="6" t="str">
        <f>HYPERLINK("http://mcgill.on.worldcat.org/oclc/7282087","Catalog Record")</f>
        <v>Catalog Record</v>
      </c>
      <c r="AW4909" s="6" t="str">
        <f>HYPERLINK("http://www.worldcat.org/oclc/7282087","WorldCat Record")</f>
        <v>WorldCat Record</v>
      </c>
      <c r="AX4909" s="3" t="s">
        <v>47785</v>
      </c>
      <c r="AY4909" s="3" t="s">
        <v>47786</v>
      </c>
      <c r="AZ4909" s="3" t="s">
        <v>47787</v>
      </c>
      <c r="BA4909" s="3" t="s">
        <v>47787</v>
      </c>
      <c r="BB4909" s="3" t="s">
        <v>47788</v>
      </c>
      <c r="BC4909" s="3" t="s">
        <v>77</v>
      </c>
      <c r="BD4909" s="3" t="s">
        <v>78</v>
      </c>
      <c r="BE4909" s="3" t="s">
        <v>47789</v>
      </c>
      <c r="BF4909" s="3" t="s">
        <v>47788</v>
      </c>
      <c r="BG4909" s="3" t="s">
        <v>47790</v>
      </c>
      <c r="BH4909">
        <f t="shared" si="158"/>
        <v>0</v>
      </c>
    </row>
    <row r="4910" spans="1:60" ht="58" x14ac:dyDescent="0.35">
      <c r="A4910" s="2" t="s">
        <v>59</v>
      </c>
      <c r="B4910" s="2" t="s">
        <v>60</v>
      </c>
      <c r="C4910" s="2" t="s">
        <v>47791</v>
      </c>
      <c r="D4910" s="2" t="s">
        <v>47792</v>
      </c>
      <c r="E4910" s="2" t="s">
        <v>47793</v>
      </c>
      <c r="F4910" s="3" t="s">
        <v>525</v>
      </c>
      <c r="G4910" s="3" t="s">
        <v>128</v>
      </c>
      <c r="I4910" s="3" t="s">
        <v>64</v>
      </c>
      <c r="J4910" s="3" t="s">
        <v>64</v>
      </c>
      <c r="K4910" s="3" t="s">
        <v>65</v>
      </c>
      <c r="L4910" s="2" t="s">
        <v>47794</v>
      </c>
      <c r="M4910" s="2" t="s">
        <v>47795</v>
      </c>
      <c r="N4910" s="3" t="s">
        <v>86</v>
      </c>
      <c r="P4910" s="3" t="s">
        <v>102</v>
      </c>
      <c r="R4910" s="3" t="s">
        <v>70</v>
      </c>
      <c r="S4910" s="4">
        <v>2</v>
      </c>
      <c r="T4910" s="4">
        <v>2</v>
      </c>
      <c r="U4910" s="5" t="s">
        <v>5782</v>
      </c>
      <c r="V4910" s="5" t="s">
        <v>5782</v>
      </c>
      <c r="W4910" s="5" t="s">
        <v>72</v>
      </c>
      <c r="X4910" s="5" t="s">
        <v>72</v>
      </c>
      <c r="Y4910" s="4">
        <v>93</v>
      </c>
      <c r="Z4910" s="4">
        <v>6</v>
      </c>
      <c r="AA4910" s="4">
        <v>75</v>
      </c>
      <c r="AB4910" s="4">
        <v>1</v>
      </c>
      <c r="AC4910" s="4">
        <v>14</v>
      </c>
      <c r="AD4910" s="4">
        <v>41</v>
      </c>
      <c r="AE4910" s="4">
        <v>108</v>
      </c>
      <c r="AF4910" s="4">
        <v>0</v>
      </c>
      <c r="AG4910" s="4">
        <v>8</v>
      </c>
      <c r="AH4910" s="4">
        <v>37</v>
      </c>
      <c r="AI4910" s="4">
        <v>78</v>
      </c>
      <c r="AJ4910" s="4">
        <v>4</v>
      </c>
      <c r="AK4910" s="4">
        <v>20</v>
      </c>
      <c r="AL4910" s="4">
        <v>24</v>
      </c>
      <c r="AM4910" s="4">
        <v>41</v>
      </c>
      <c r="AN4910" s="4">
        <v>0</v>
      </c>
      <c r="AO4910" s="4">
        <v>0</v>
      </c>
      <c r="AP4910" s="4">
        <v>5</v>
      </c>
      <c r="AQ4910" s="4">
        <v>37</v>
      </c>
      <c r="AR4910" s="3" t="s">
        <v>64</v>
      </c>
      <c r="AS4910" s="3" t="s">
        <v>64</v>
      </c>
      <c r="AT4910" s="3" t="s">
        <v>64</v>
      </c>
      <c r="AV4910" s="6" t="str">
        <f>HYPERLINK("http://mcgill.on.worldcat.org/oclc/755004194","Catalog Record")</f>
        <v>Catalog Record</v>
      </c>
      <c r="AW4910" s="6" t="str">
        <f>HYPERLINK("http://www.worldcat.org/oclc/755004194","WorldCat Record")</f>
        <v>WorldCat Record</v>
      </c>
      <c r="AX4910" s="3" t="s">
        <v>47796</v>
      </c>
      <c r="AY4910" s="3" t="s">
        <v>47797</v>
      </c>
      <c r="AZ4910" s="3" t="s">
        <v>47798</v>
      </c>
      <c r="BA4910" s="3" t="s">
        <v>47798</v>
      </c>
      <c r="BB4910" s="3" t="s">
        <v>47799</v>
      </c>
      <c r="BC4910" s="3" t="s">
        <v>77</v>
      </c>
      <c r="BD4910" s="3" t="s">
        <v>78</v>
      </c>
      <c r="BE4910" s="3" t="s">
        <v>47800</v>
      </c>
      <c r="BF4910" s="3" t="s">
        <v>47799</v>
      </c>
      <c r="BG4910" s="3" t="s">
        <v>47801</v>
      </c>
      <c r="BH4910">
        <f t="shared" si="158"/>
        <v>0</v>
      </c>
    </row>
    <row r="4911" spans="1:60" ht="58" x14ac:dyDescent="0.35">
      <c r="A4911" s="2" t="s">
        <v>59</v>
      </c>
      <c r="B4911" s="2" t="s">
        <v>60</v>
      </c>
      <c r="C4911" s="2" t="s">
        <v>47791</v>
      </c>
      <c r="D4911" s="2" t="s">
        <v>47792</v>
      </c>
      <c r="E4911" s="2" t="s">
        <v>47793</v>
      </c>
      <c r="F4911" s="3" t="s">
        <v>529</v>
      </c>
      <c r="G4911" s="3" t="s">
        <v>128</v>
      </c>
      <c r="I4911" s="3" t="s">
        <v>64</v>
      </c>
      <c r="J4911" s="3" t="s">
        <v>64</v>
      </c>
      <c r="K4911" s="3" t="s">
        <v>65</v>
      </c>
      <c r="L4911" s="2" t="s">
        <v>47794</v>
      </c>
      <c r="M4911" s="2" t="s">
        <v>47795</v>
      </c>
      <c r="N4911" s="3" t="s">
        <v>86</v>
      </c>
      <c r="P4911" s="3" t="s">
        <v>102</v>
      </c>
      <c r="R4911" s="3" t="s">
        <v>70</v>
      </c>
      <c r="S4911" s="4">
        <v>0</v>
      </c>
      <c r="T4911" s="4">
        <v>2</v>
      </c>
      <c r="V4911" s="5" t="s">
        <v>5782</v>
      </c>
      <c r="W4911" s="5" t="s">
        <v>72</v>
      </c>
      <c r="X4911" s="5" t="s">
        <v>72</v>
      </c>
      <c r="Y4911" s="4">
        <v>93</v>
      </c>
      <c r="Z4911" s="4">
        <v>6</v>
      </c>
      <c r="AA4911" s="4">
        <v>75</v>
      </c>
      <c r="AB4911" s="4">
        <v>1</v>
      </c>
      <c r="AC4911" s="4">
        <v>14</v>
      </c>
      <c r="AD4911" s="4">
        <v>41</v>
      </c>
      <c r="AE4911" s="4">
        <v>108</v>
      </c>
      <c r="AF4911" s="4">
        <v>0</v>
      </c>
      <c r="AG4911" s="4">
        <v>8</v>
      </c>
      <c r="AH4911" s="4">
        <v>37</v>
      </c>
      <c r="AI4911" s="4">
        <v>78</v>
      </c>
      <c r="AJ4911" s="4">
        <v>4</v>
      </c>
      <c r="AK4911" s="4">
        <v>20</v>
      </c>
      <c r="AL4911" s="4">
        <v>24</v>
      </c>
      <c r="AM4911" s="4">
        <v>41</v>
      </c>
      <c r="AN4911" s="4">
        <v>0</v>
      </c>
      <c r="AO4911" s="4">
        <v>0</v>
      </c>
      <c r="AP4911" s="4">
        <v>5</v>
      </c>
      <c r="AQ4911" s="4">
        <v>37</v>
      </c>
      <c r="AR4911" s="3" t="s">
        <v>64</v>
      </c>
      <c r="AS4911" s="3" t="s">
        <v>64</v>
      </c>
      <c r="AT4911" s="3" t="s">
        <v>64</v>
      </c>
      <c r="AV4911" s="6" t="str">
        <f>HYPERLINK("http://mcgill.on.worldcat.org/oclc/755004194","Catalog Record")</f>
        <v>Catalog Record</v>
      </c>
      <c r="AW4911" s="6" t="str">
        <f>HYPERLINK("http://www.worldcat.org/oclc/755004194","WorldCat Record")</f>
        <v>WorldCat Record</v>
      </c>
      <c r="AX4911" s="3" t="s">
        <v>47796</v>
      </c>
      <c r="AY4911" s="3" t="s">
        <v>47797</v>
      </c>
      <c r="AZ4911" s="3" t="s">
        <v>47798</v>
      </c>
      <c r="BA4911" s="3" t="s">
        <v>47798</v>
      </c>
      <c r="BB4911" s="3" t="s">
        <v>47802</v>
      </c>
      <c r="BC4911" s="3" t="s">
        <v>77</v>
      </c>
      <c r="BD4911" s="3" t="s">
        <v>78</v>
      </c>
      <c r="BE4911" s="3" t="s">
        <v>47800</v>
      </c>
      <c r="BF4911" s="3" t="s">
        <v>47802</v>
      </c>
      <c r="BG4911" s="3" t="s">
        <v>47803</v>
      </c>
      <c r="BH4911">
        <f t="shared" si="158"/>
        <v>0</v>
      </c>
    </row>
    <row r="4912" spans="1:60" ht="87" x14ac:dyDescent="0.35">
      <c r="A4912" s="2" t="s">
        <v>59</v>
      </c>
      <c r="B4912" s="2" t="s">
        <v>60</v>
      </c>
      <c r="C4912" s="2" t="s">
        <v>47804</v>
      </c>
      <c r="D4912" s="2" t="s">
        <v>47805</v>
      </c>
      <c r="E4912" s="2" t="s">
        <v>47806</v>
      </c>
      <c r="G4912" s="3" t="s">
        <v>64</v>
      </c>
      <c r="I4912" s="3" t="s">
        <v>64</v>
      </c>
      <c r="J4912" s="3" t="s">
        <v>64</v>
      </c>
      <c r="K4912" s="3" t="s">
        <v>65</v>
      </c>
      <c r="L4912" s="2" t="s">
        <v>47807</v>
      </c>
      <c r="M4912" s="2" t="s">
        <v>47808</v>
      </c>
      <c r="N4912" s="3" t="s">
        <v>1263</v>
      </c>
      <c r="P4912" s="3" t="s">
        <v>102</v>
      </c>
      <c r="Q4912" s="2" t="s">
        <v>47809</v>
      </c>
      <c r="R4912" s="3" t="s">
        <v>70</v>
      </c>
      <c r="S4912" s="4">
        <v>1</v>
      </c>
      <c r="T4912" s="4">
        <v>1</v>
      </c>
      <c r="U4912" s="5" t="s">
        <v>43576</v>
      </c>
      <c r="V4912" s="5" t="s">
        <v>43576</v>
      </c>
      <c r="W4912" s="5" t="s">
        <v>72</v>
      </c>
      <c r="X4912" s="5" t="s">
        <v>72</v>
      </c>
      <c r="Y4912" s="4">
        <v>251</v>
      </c>
      <c r="Z4912" s="4">
        <v>20</v>
      </c>
      <c r="AA4912" s="4">
        <v>23</v>
      </c>
      <c r="AB4912" s="4">
        <v>2</v>
      </c>
      <c r="AC4912" s="4">
        <v>5</v>
      </c>
      <c r="AD4912" s="4">
        <v>101</v>
      </c>
      <c r="AE4912" s="4">
        <v>104</v>
      </c>
      <c r="AF4912" s="4">
        <v>1</v>
      </c>
      <c r="AG4912" s="4">
        <v>4</v>
      </c>
      <c r="AH4912" s="4">
        <v>92</v>
      </c>
      <c r="AI4912" s="4">
        <v>93</v>
      </c>
      <c r="AJ4912" s="4">
        <v>15</v>
      </c>
      <c r="AK4912" s="4">
        <v>18</v>
      </c>
      <c r="AL4912" s="4">
        <v>52</v>
      </c>
      <c r="AM4912" s="4">
        <v>52</v>
      </c>
      <c r="AN4912" s="4">
        <v>0</v>
      </c>
      <c r="AO4912" s="4">
        <v>0</v>
      </c>
      <c r="AP4912" s="4">
        <v>16</v>
      </c>
      <c r="AQ4912" s="4">
        <v>18</v>
      </c>
      <c r="AR4912" s="3" t="s">
        <v>64</v>
      </c>
      <c r="AS4912" s="3" t="s">
        <v>64</v>
      </c>
      <c r="AT4912" s="3" t="s">
        <v>64</v>
      </c>
      <c r="AV4912" s="6" t="str">
        <f>HYPERLINK("http://mcgill.on.worldcat.org/oclc/27938087","Catalog Record")</f>
        <v>Catalog Record</v>
      </c>
      <c r="AW4912" s="6" t="str">
        <f>HYPERLINK("http://www.worldcat.org/oclc/27938087","WorldCat Record")</f>
        <v>WorldCat Record</v>
      </c>
      <c r="AX4912" s="3" t="s">
        <v>47810</v>
      </c>
      <c r="AY4912" s="3" t="s">
        <v>47811</v>
      </c>
      <c r="AZ4912" s="3" t="s">
        <v>47812</v>
      </c>
      <c r="BA4912" s="3" t="s">
        <v>47812</v>
      </c>
      <c r="BB4912" s="3" t="s">
        <v>47813</v>
      </c>
      <c r="BC4912" s="3" t="s">
        <v>77</v>
      </c>
      <c r="BD4912" s="3" t="s">
        <v>78</v>
      </c>
      <c r="BE4912" s="3" t="s">
        <v>47814</v>
      </c>
      <c r="BF4912" s="3" t="s">
        <v>47813</v>
      </c>
      <c r="BG4912" s="3" t="s">
        <v>47815</v>
      </c>
      <c r="BH4912">
        <f t="shared" si="158"/>
        <v>0</v>
      </c>
    </row>
    <row r="4913" spans="1:60" ht="87" x14ac:dyDescent="0.35">
      <c r="A4913" s="2" t="s">
        <v>59</v>
      </c>
      <c r="B4913" s="2" t="s">
        <v>60</v>
      </c>
      <c r="C4913" s="2" t="s">
        <v>47816</v>
      </c>
      <c r="D4913" s="2" t="s">
        <v>47817</v>
      </c>
      <c r="E4913" s="2" t="s">
        <v>47818</v>
      </c>
      <c r="G4913" s="3" t="s">
        <v>64</v>
      </c>
      <c r="I4913" s="3" t="s">
        <v>64</v>
      </c>
      <c r="J4913" s="3" t="s">
        <v>64</v>
      </c>
      <c r="K4913" s="3" t="s">
        <v>65</v>
      </c>
      <c r="L4913" s="2" t="s">
        <v>47819</v>
      </c>
      <c r="M4913" s="2" t="s">
        <v>47002</v>
      </c>
      <c r="N4913" s="3" t="s">
        <v>537</v>
      </c>
      <c r="P4913" s="3" t="s">
        <v>944</v>
      </c>
      <c r="Q4913" s="2" t="s">
        <v>47003</v>
      </c>
      <c r="R4913" s="3" t="s">
        <v>70</v>
      </c>
      <c r="S4913" s="4">
        <v>0</v>
      </c>
      <c r="T4913" s="4">
        <v>0</v>
      </c>
      <c r="W4913" s="5" t="s">
        <v>72</v>
      </c>
      <c r="X4913" s="5" t="s">
        <v>72</v>
      </c>
      <c r="Y4913" s="4">
        <v>55</v>
      </c>
      <c r="Z4913" s="4">
        <v>6</v>
      </c>
      <c r="AA4913" s="4">
        <v>6</v>
      </c>
      <c r="AB4913" s="4">
        <v>1</v>
      </c>
      <c r="AC4913" s="4">
        <v>1</v>
      </c>
      <c r="AD4913" s="4">
        <v>47</v>
      </c>
      <c r="AE4913" s="4">
        <v>47</v>
      </c>
      <c r="AF4913" s="4">
        <v>0</v>
      </c>
      <c r="AG4913" s="4">
        <v>0</v>
      </c>
      <c r="AH4913" s="4">
        <v>44</v>
      </c>
      <c r="AI4913" s="4">
        <v>44</v>
      </c>
      <c r="AJ4913" s="4">
        <v>5</v>
      </c>
      <c r="AK4913" s="4">
        <v>5</v>
      </c>
      <c r="AL4913" s="4">
        <v>34</v>
      </c>
      <c r="AM4913" s="4">
        <v>34</v>
      </c>
      <c r="AN4913" s="4">
        <v>0</v>
      </c>
      <c r="AO4913" s="4">
        <v>0</v>
      </c>
      <c r="AP4913" s="4">
        <v>5</v>
      </c>
      <c r="AQ4913" s="4">
        <v>5</v>
      </c>
      <c r="AR4913" s="3" t="s">
        <v>64</v>
      </c>
      <c r="AS4913" s="3" t="s">
        <v>64</v>
      </c>
      <c r="AT4913" s="3" t="s">
        <v>64</v>
      </c>
      <c r="AV4913" s="6" t="str">
        <f>HYPERLINK("http://mcgill.on.worldcat.org/oclc/953713188","Catalog Record")</f>
        <v>Catalog Record</v>
      </c>
      <c r="AW4913" s="6" t="str">
        <f>HYPERLINK("http://www.worldcat.org/oclc/953713188","WorldCat Record")</f>
        <v>WorldCat Record</v>
      </c>
      <c r="AX4913" s="3" t="s">
        <v>47820</v>
      </c>
      <c r="AY4913" s="3" t="s">
        <v>47821</v>
      </c>
      <c r="AZ4913" s="3" t="s">
        <v>47822</v>
      </c>
      <c r="BA4913" s="3" t="s">
        <v>47822</v>
      </c>
      <c r="BB4913" s="3" t="s">
        <v>47823</v>
      </c>
      <c r="BC4913" s="3" t="s">
        <v>77</v>
      </c>
      <c r="BD4913" s="3" t="s">
        <v>78</v>
      </c>
      <c r="BE4913" s="3" t="s">
        <v>47824</v>
      </c>
      <c r="BF4913" s="3" t="s">
        <v>47823</v>
      </c>
      <c r="BG4913" s="3" t="s">
        <v>47825</v>
      </c>
      <c r="BH4913">
        <f t="shared" si="158"/>
        <v>0</v>
      </c>
    </row>
    <row r="4914" spans="1:60" ht="58" x14ac:dyDescent="0.35">
      <c r="A4914" s="2" t="s">
        <v>59</v>
      </c>
      <c r="B4914" s="2" t="s">
        <v>60</v>
      </c>
      <c r="C4914" s="2" t="s">
        <v>47826</v>
      </c>
      <c r="D4914" s="2" t="s">
        <v>47827</v>
      </c>
      <c r="E4914" s="2" t="s">
        <v>47828</v>
      </c>
      <c r="G4914" s="3" t="s">
        <v>64</v>
      </c>
      <c r="I4914" s="3" t="s">
        <v>64</v>
      </c>
      <c r="J4914" s="3" t="s">
        <v>64</v>
      </c>
      <c r="K4914" s="3" t="s">
        <v>65</v>
      </c>
      <c r="L4914" s="2" t="s">
        <v>47829</v>
      </c>
      <c r="M4914" s="2" t="s">
        <v>15478</v>
      </c>
      <c r="N4914" s="3" t="s">
        <v>1061</v>
      </c>
      <c r="P4914" s="3" t="s">
        <v>102</v>
      </c>
      <c r="R4914" s="3" t="s">
        <v>70</v>
      </c>
      <c r="S4914" s="4">
        <v>1</v>
      </c>
      <c r="T4914" s="4">
        <v>1</v>
      </c>
      <c r="U4914" s="5" t="s">
        <v>44901</v>
      </c>
      <c r="V4914" s="5" t="s">
        <v>44901</v>
      </c>
      <c r="W4914" s="5" t="s">
        <v>72</v>
      </c>
      <c r="X4914" s="5" t="s">
        <v>72</v>
      </c>
      <c r="Y4914" s="4">
        <v>352</v>
      </c>
      <c r="Z4914" s="4">
        <v>18</v>
      </c>
      <c r="AA4914" s="4">
        <v>19</v>
      </c>
      <c r="AB4914" s="4">
        <v>1</v>
      </c>
      <c r="AC4914" s="4">
        <v>1</v>
      </c>
      <c r="AD4914" s="4">
        <v>106</v>
      </c>
      <c r="AE4914" s="4">
        <v>109</v>
      </c>
      <c r="AF4914" s="4">
        <v>0</v>
      </c>
      <c r="AG4914" s="4">
        <v>0</v>
      </c>
      <c r="AH4914" s="4">
        <v>97</v>
      </c>
      <c r="AI4914" s="4">
        <v>99</v>
      </c>
      <c r="AJ4914" s="4">
        <v>14</v>
      </c>
      <c r="AK4914" s="4">
        <v>15</v>
      </c>
      <c r="AL4914" s="4">
        <v>50</v>
      </c>
      <c r="AM4914" s="4">
        <v>52</v>
      </c>
      <c r="AN4914" s="4">
        <v>0</v>
      </c>
      <c r="AO4914" s="4">
        <v>0</v>
      </c>
      <c r="AP4914" s="4">
        <v>15</v>
      </c>
      <c r="AQ4914" s="4">
        <v>16</v>
      </c>
      <c r="AR4914" s="3" t="s">
        <v>64</v>
      </c>
      <c r="AS4914" s="3" t="s">
        <v>64</v>
      </c>
      <c r="AT4914" s="3" t="s">
        <v>128</v>
      </c>
      <c r="AU4914" s="6" t="str">
        <f>HYPERLINK("http://catalog.hathitrust.org/Record/000602633","HathiTrust Record")</f>
        <v>HathiTrust Record</v>
      </c>
      <c r="AV4914" s="6" t="str">
        <f>HYPERLINK("http://mcgill.on.worldcat.org/oclc/11186233","Catalog Record")</f>
        <v>Catalog Record</v>
      </c>
      <c r="AW4914" s="6" t="str">
        <f>HYPERLINK("http://www.worldcat.org/oclc/11186233","WorldCat Record")</f>
        <v>WorldCat Record</v>
      </c>
      <c r="AX4914" s="3" t="s">
        <v>47830</v>
      </c>
      <c r="AY4914" s="3" t="s">
        <v>47831</v>
      </c>
      <c r="AZ4914" s="3" t="s">
        <v>47832</v>
      </c>
      <c r="BA4914" s="3" t="s">
        <v>47832</v>
      </c>
      <c r="BB4914" s="3" t="s">
        <v>47833</v>
      </c>
      <c r="BC4914" s="3" t="s">
        <v>77</v>
      </c>
      <c r="BD4914" s="3" t="s">
        <v>78</v>
      </c>
      <c r="BE4914" s="3" t="s">
        <v>47834</v>
      </c>
      <c r="BF4914" s="3" t="s">
        <v>47833</v>
      </c>
      <c r="BG4914" s="3" t="s">
        <v>47835</v>
      </c>
      <c r="BH4914">
        <f t="shared" si="158"/>
        <v>0</v>
      </c>
    </row>
    <row r="4915" spans="1:60" ht="58" x14ac:dyDescent="0.35">
      <c r="A4915" s="2" t="s">
        <v>59</v>
      </c>
      <c r="B4915" s="2" t="s">
        <v>60</v>
      </c>
      <c r="C4915" s="2" t="s">
        <v>47836</v>
      </c>
      <c r="D4915" s="2" t="s">
        <v>47837</v>
      </c>
      <c r="E4915" s="2" t="s">
        <v>47838</v>
      </c>
      <c r="G4915" s="3" t="s">
        <v>64</v>
      </c>
      <c r="I4915" s="3" t="s">
        <v>64</v>
      </c>
      <c r="J4915" s="3" t="s">
        <v>64</v>
      </c>
      <c r="K4915" s="3" t="s">
        <v>65</v>
      </c>
      <c r="L4915" s="2" t="s">
        <v>47839</v>
      </c>
      <c r="M4915" s="2" t="s">
        <v>47472</v>
      </c>
      <c r="N4915" s="3" t="s">
        <v>3721</v>
      </c>
      <c r="P4915" s="3" t="s">
        <v>102</v>
      </c>
      <c r="Q4915" s="2" t="s">
        <v>47473</v>
      </c>
      <c r="R4915" s="3" t="s">
        <v>70</v>
      </c>
      <c r="S4915" s="4">
        <v>1</v>
      </c>
      <c r="T4915" s="4">
        <v>1</v>
      </c>
      <c r="U4915" s="5" t="s">
        <v>6010</v>
      </c>
      <c r="V4915" s="5" t="s">
        <v>6010</v>
      </c>
      <c r="W4915" s="5" t="s">
        <v>72</v>
      </c>
      <c r="X4915" s="5" t="s">
        <v>72</v>
      </c>
      <c r="Y4915" s="4">
        <v>778</v>
      </c>
      <c r="Z4915" s="4">
        <v>29</v>
      </c>
      <c r="AA4915" s="4">
        <v>30</v>
      </c>
      <c r="AB4915" s="4">
        <v>2</v>
      </c>
      <c r="AC4915" s="4">
        <v>3</v>
      </c>
      <c r="AD4915" s="4">
        <v>108</v>
      </c>
      <c r="AE4915" s="4">
        <v>109</v>
      </c>
      <c r="AF4915" s="4">
        <v>1</v>
      </c>
      <c r="AG4915" s="4">
        <v>2</v>
      </c>
      <c r="AH4915" s="4">
        <v>97</v>
      </c>
      <c r="AI4915" s="4">
        <v>98</v>
      </c>
      <c r="AJ4915" s="4">
        <v>16</v>
      </c>
      <c r="AK4915" s="4">
        <v>17</v>
      </c>
      <c r="AL4915" s="4">
        <v>50</v>
      </c>
      <c r="AM4915" s="4">
        <v>50</v>
      </c>
      <c r="AN4915" s="4">
        <v>0</v>
      </c>
      <c r="AO4915" s="4">
        <v>0</v>
      </c>
      <c r="AP4915" s="4">
        <v>22</v>
      </c>
      <c r="AQ4915" s="4">
        <v>23</v>
      </c>
      <c r="AR4915" s="3" t="s">
        <v>64</v>
      </c>
      <c r="AS4915" s="3" t="s">
        <v>64</v>
      </c>
      <c r="AT4915" s="3" t="s">
        <v>128</v>
      </c>
      <c r="AU4915" s="6" t="str">
        <f>HYPERLINK("http://catalog.hathitrust.org/Record/000705787","HathiTrust Record")</f>
        <v>HathiTrust Record</v>
      </c>
      <c r="AV4915" s="6" t="str">
        <f>HYPERLINK("http://mcgill.on.worldcat.org/oclc/5336913","Catalog Record")</f>
        <v>Catalog Record</v>
      </c>
      <c r="AW4915" s="6" t="str">
        <f>HYPERLINK("http://www.worldcat.org/oclc/5336913","WorldCat Record")</f>
        <v>WorldCat Record</v>
      </c>
      <c r="AX4915" s="3" t="s">
        <v>47840</v>
      </c>
      <c r="AY4915" s="3" t="s">
        <v>47841</v>
      </c>
      <c r="AZ4915" s="3" t="s">
        <v>47842</v>
      </c>
      <c r="BA4915" s="3" t="s">
        <v>47842</v>
      </c>
      <c r="BB4915" s="3" t="s">
        <v>47843</v>
      </c>
      <c r="BC4915" s="3" t="s">
        <v>77</v>
      </c>
      <c r="BD4915" s="3" t="s">
        <v>78</v>
      </c>
      <c r="BE4915" s="3" t="s">
        <v>47844</v>
      </c>
      <c r="BF4915" s="3" t="s">
        <v>47843</v>
      </c>
      <c r="BG4915" s="3" t="s">
        <v>47845</v>
      </c>
      <c r="BH4915">
        <f t="shared" si="158"/>
        <v>0</v>
      </c>
    </row>
    <row r="4916" spans="1:60" ht="58" x14ac:dyDescent="0.35">
      <c r="A4916" s="2" t="s">
        <v>59</v>
      </c>
      <c r="B4916" s="2" t="s">
        <v>60</v>
      </c>
      <c r="C4916" s="2" t="s">
        <v>47846</v>
      </c>
      <c r="D4916" s="2" t="s">
        <v>47847</v>
      </c>
      <c r="E4916" s="2" t="s">
        <v>47848</v>
      </c>
      <c r="G4916" s="3" t="s">
        <v>64</v>
      </c>
      <c r="I4916" s="3" t="s">
        <v>64</v>
      </c>
      <c r="J4916" s="3" t="s">
        <v>64</v>
      </c>
      <c r="K4916" s="3" t="s">
        <v>65</v>
      </c>
      <c r="L4916" s="2" t="s">
        <v>47849</v>
      </c>
      <c r="M4916" s="2" t="s">
        <v>47850</v>
      </c>
      <c r="N4916" s="3" t="s">
        <v>1275</v>
      </c>
      <c r="P4916" s="3" t="s">
        <v>102</v>
      </c>
      <c r="R4916" s="3" t="s">
        <v>70</v>
      </c>
      <c r="S4916" s="4">
        <v>3</v>
      </c>
      <c r="T4916" s="4">
        <v>3</v>
      </c>
      <c r="U4916" s="5" t="s">
        <v>5146</v>
      </c>
      <c r="V4916" s="5" t="s">
        <v>5146</v>
      </c>
      <c r="W4916" s="5" t="s">
        <v>72</v>
      </c>
      <c r="X4916" s="5" t="s">
        <v>72</v>
      </c>
      <c r="Y4916" s="4">
        <v>119</v>
      </c>
      <c r="Z4916" s="4">
        <v>11</v>
      </c>
      <c r="AA4916" s="4">
        <v>15</v>
      </c>
      <c r="AB4916" s="4">
        <v>1</v>
      </c>
      <c r="AC4916" s="4">
        <v>4</v>
      </c>
      <c r="AD4916" s="4">
        <v>61</v>
      </c>
      <c r="AE4916" s="4">
        <v>63</v>
      </c>
      <c r="AF4916" s="4">
        <v>0</v>
      </c>
      <c r="AG4916" s="4">
        <v>0</v>
      </c>
      <c r="AH4916" s="4">
        <v>55</v>
      </c>
      <c r="AI4916" s="4">
        <v>57</v>
      </c>
      <c r="AJ4916" s="4">
        <v>8</v>
      </c>
      <c r="AK4916" s="4">
        <v>9</v>
      </c>
      <c r="AL4916" s="4">
        <v>34</v>
      </c>
      <c r="AM4916" s="4">
        <v>34</v>
      </c>
      <c r="AN4916" s="4">
        <v>0</v>
      </c>
      <c r="AO4916" s="4">
        <v>0</v>
      </c>
      <c r="AP4916" s="4">
        <v>9</v>
      </c>
      <c r="AQ4916" s="4">
        <v>10</v>
      </c>
      <c r="AR4916" s="3" t="s">
        <v>64</v>
      </c>
      <c r="AS4916" s="3" t="s">
        <v>64</v>
      </c>
      <c r="AT4916" s="3" t="s">
        <v>64</v>
      </c>
      <c r="AV4916" s="6" t="str">
        <f>HYPERLINK("http://mcgill.on.worldcat.org/oclc/48641569","Catalog Record")</f>
        <v>Catalog Record</v>
      </c>
      <c r="AW4916" s="6" t="str">
        <f>HYPERLINK("http://www.worldcat.org/oclc/48641569","WorldCat Record")</f>
        <v>WorldCat Record</v>
      </c>
      <c r="AX4916" s="3" t="s">
        <v>47851</v>
      </c>
      <c r="AY4916" s="3" t="s">
        <v>47852</v>
      </c>
      <c r="AZ4916" s="3" t="s">
        <v>47853</v>
      </c>
      <c r="BA4916" s="3" t="s">
        <v>47853</v>
      </c>
      <c r="BB4916" s="3" t="s">
        <v>47854</v>
      </c>
      <c r="BC4916" s="3" t="s">
        <v>77</v>
      </c>
      <c r="BD4916" s="3" t="s">
        <v>78</v>
      </c>
      <c r="BE4916" s="3" t="s">
        <v>47855</v>
      </c>
      <c r="BF4916" s="3" t="s">
        <v>47854</v>
      </c>
      <c r="BG4916" s="3" t="s">
        <v>47856</v>
      </c>
      <c r="BH4916">
        <f t="shared" si="158"/>
        <v>0</v>
      </c>
    </row>
    <row r="4917" spans="1:60" ht="72.5" x14ac:dyDescent="0.35">
      <c r="A4917" s="2" t="s">
        <v>59</v>
      </c>
      <c r="B4917" s="2" t="s">
        <v>60</v>
      </c>
      <c r="C4917" s="2" t="s">
        <v>47857</v>
      </c>
      <c r="D4917" s="2" t="s">
        <v>47858</v>
      </c>
      <c r="E4917" s="2" t="s">
        <v>47859</v>
      </c>
      <c r="G4917" s="3" t="s">
        <v>64</v>
      </c>
      <c r="I4917" s="3" t="s">
        <v>64</v>
      </c>
      <c r="J4917" s="3" t="s">
        <v>64</v>
      </c>
      <c r="K4917" s="3" t="s">
        <v>65</v>
      </c>
      <c r="M4917" s="2" t="s">
        <v>47860</v>
      </c>
      <c r="N4917" s="3" t="s">
        <v>144</v>
      </c>
      <c r="P4917" s="3" t="s">
        <v>68</v>
      </c>
      <c r="Q4917" s="2" t="s">
        <v>47861</v>
      </c>
      <c r="R4917" s="3" t="s">
        <v>70</v>
      </c>
      <c r="S4917" s="4">
        <v>2</v>
      </c>
      <c r="T4917" s="4">
        <v>2</v>
      </c>
      <c r="U4917" s="5" t="s">
        <v>21485</v>
      </c>
      <c r="V4917" s="5" t="s">
        <v>21485</v>
      </c>
      <c r="W4917" s="5" t="s">
        <v>72</v>
      </c>
      <c r="X4917" s="5" t="s">
        <v>72</v>
      </c>
      <c r="Y4917" s="4">
        <v>41</v>
      </c>
      <c r="Z4917" s="4">
        <v>21</v>
      </c>
      <c r="AA4917" s="4">
        <v>28</v>
      </c>
      <c r="AB4917" s="4">
        <v>10</v>
      </c>
      <c r="AC4917" s="4">
        <v>12</v>
      </c>
      <c r="AD4917" s="4">
        <v>13</v>
      </c>
      <c r="AE4917" s="4">
        <v>35</v>
      </c>
      <c r="AF4917" s="4">
        <v>5</v>
      </c>
      <c r="AG4917" s="4">
        <v>6</v>
      </c>
      <c r="AH4917" s="4">
        <v>4</v>
      </c>
      <c r="AI4917" s="4">
        <v>23</v>
      </c>
      <c r="AJ4917" s="4">
        <v>10</v>
      </c>
      <c r="AK4917" s="4">
        <v>15</v>
      </c>
      <c r="AL4917" s="4">
        <v>2</v>
      </c>
      <c r="AM4917" s="4">
        <v>13</v>
      </c>
      <c r="AN4917" s="4">
        <v>0</v>
      </c>
      <c r="AO4917" s="4">
        <v>0</v>
      </c>
      <c r="AP4917" s="4">
        <v>10</v>
      </c>
      <c r="AQ4917" s="4">
        <v>16</v>
      </c>
      <c r="AR4917" s="3" t="s">
        <v>128</v>
      </c>
      <c r="AS4917" s="3" t="s">
        <v>64</v>
      </c>
      <c r="AT4917" s="3" t="s">
        <v>64</v>
      </c>
      <c r="AV4917" s="6" t="str">
        <f>HYPERLINK("http://mcgill.on.worldcat.org/oclc/263470727","Catalog Record")</f>
        <v>Catalog Record</v>
      </c>
      <c r="AW4917" s="6" t="str">
        <f>HYPERLINK("http://www.worldcat.org/oclc/263470727","WorldCat Record")</f>
        <v>WorldCat Record</v>
      </c>
      <c r="AX4917" s="3" t="s">
        <v>47862</v>
      </c>
      <c r="AY4917" s="3" t="s">
        <v>47863</v>
      </c>
      <c r="AZ4917" s="3" t="s">
        <v>47864</v>
      </c>
      <c r="BA4917" s="3" t="s">
        <v>47864</v>
      </c>
      <c r="BB4917" s="3" t="s">
        <v>47865</v>
      </c>
      <c r="BC4917" s="3" t="s">
        <v>77</v>
      </c>
      <c r="BD4917" s="3" t="s">
        <v>78</v>
      </c>
      <c r="BE4917" s="3" t="s">
        <v>47866</v>
      </c>
      <c r="BF4917" s="3" t="s">
        <v>47865</v>
      </c>
      <c r="BG4917" s="3" t="s">
        <v>47867</v>
      </c>
      <c r="BH4917">
        <f t="shared" si="158"/>
        <v>0</v>
      </c>
    </row>
    <row r="4918" spans="1:60" ht="58" x14ac:dyDescent="0.35">
      <c r="A4918" s="2" t="s">
        <v>59</v>
      </c>
      <c r="B4918" s="2" t="s">
        <v>60</v>
      </c>
      <c r="C4918" s="2" t="s">
        <v>47868</v>
      </c>
      <c r="D4918" s="2" t="s">
        <v>47869</v>
      </c>
      <c r="E4918" s="2" t="s">
        <v>47870</v>
      </c>
      <c r="G4918" s="3" t="s">
        <v>64</v>
      </c>
      <c r="I4918" s="3" t="s">
        <v>64</v>
      </c>
      <c r="J4918" s="3" t="s">
        <v>64</v>
      </c>
      <c r="K4918" s="3" t="s">
        <v>65</v>
      </c>
      <c r="L4918" s="2" t="s">
        <v>47871</v>
      </c>
      <c r="M4918" s="2" t="s">
        <v>47872</v>
      </c>
      <c r="N4918" s="3" t="s">
        <v>378</v>
      </c>
      <c r="P4918" s="3" t="s">
        <v>68</v>
      </c>
      <c r="Q4918" s="2" t="s">
        <v>47873</v>
      </c>
      <c r="R4918" s="3" t="s">
        <v>70</v>
      </c>
      <c r="S4918" s="4">
        <v>1</v>
      </c>
      <c r="T4918" s="4">
        <v>1</v>
      </c>
      <c r="U4918" s="5" t="s">
        <v>47874</v>
      </c>
      <c r="V4918" s="5" t="s">
        <v>47874</v>
      </c>
      <c r="W4918" s="5" t="s">
        <v>72</v>
      </c>
      <c r="X4918" s="5" t="s">
        <v>72</v>
      </c>
      <c r="Y4918" s="4">
        <v>6</v>
      </c>
      <c r="Z4918" s="4">
        <v>5</v>
      </c>
      <c r="AA4918" s="4">
        <v>8</v>
      </c>
      <c r="AB4918" s="4">
        <v>3</v>
      </c>
      <c r="AC4918" s="4">
        <v>3</v>
      </c>
      <c r="AD4918" s="4">
        <v>3</v>
      </c>
      <c r="AE4918" s="4">
        <v>5</v>
      </c>
      <c r="AF4918" s="4">
        <v>0</v>
      </c>
      <c r="AG4918" s="4">
        <v>0</v>
      </c>
      <c r="AH4918" s="4">
        <v>2</v>
      </c>
      <c r="AI4918" s="4">
        <v>4</v>
      </c>
      <c r="AJ4918" s="4">
        <v>2</v>
      </c>
      <c r="AK4918" s="4">
        <v>4</v>
      </c>
      <c r="AL4918" s="4">
        <v>1</v>
      </c>
      <c r="AM4918" s="4">
        <v>2</v>
      </c>
      <c r="AN4918" s="4">
        <v>0</v>
      </c>
      <c r="AO4918" s="4">
        <v>0</v>
      </c>
      <c r="AP4918" s="4">
        <v>1</v>
      </c>
      <c r="AQ4918" s="4">
        <v>3</v>
      </c>
      <c r="AR4918" s="3" t="s">
        <v>128</v>
      </c>
      <c r="AS4918" s="3" t="s">
        <v>64</v>
      </c>
      <c r="AT4918" s="3" t="s">
        <v>64</v>
      </c>
      <c r="AV4918" s="6" t="str">
        <f>HYPERLINK("http://mcgill.on.worldcat.org/oclc/16183169","Catalog Record")</f>
        <v>Catalog Record</v>
      </c>
      <c r="AW4918" s="6" t="str">
        <f>HYPERLINK("http://www.worldcat.org/oclc/16183169","WorldCat Record")</f>
        <v>WorldCat Record</v>
      </c>
      <c r="AX4918" s="3" t="s">
        <v>47875</v>
      </c>
      <c r="AY4918" s="3" t="s">
        <v>47876</v>
      </c>
      <c r="AZ4918" s="3" t="s">
        <v>47877</v>
      </c>
      <c r="BA4918" s="3" t="s">
        <v>47877</v>
      </c>
      <c r="BB4918" s="3" t="s">
        <v>47878</v>
      </c>
      <c r="BC4918" s="3" t="s">
        <v>77</v>
      </c>
      <c r="BD4918" s="3" t="s">
        <v>78</v>
      </c>
      <c r="BE4918" s="3" t="s">
        <v>47879</v>
      </c>
      <c r="BF4918" s="3" t="s">
        <v>47878</v>
      </c>
      <c r="BG4918" s="3" t="s">
        <v>47880</v>
      </c>
      <c r="BH4918">
        <f t="shared" si="158"/>
        <v>0</v>
      </c>
    </row>
    <row r="4919" spans="1:60" ht="58" x14ac:dyDescent="0.35">
      <c r="A4919" s="2" t="s">
        <v>59</v>
      </c>
      <c r="B4919" s="2" t="s">
        <v>60</v>
      </c>
      <c r="C4919" s="2" t="s">
        <v>47881</v>
      </c>
      <c r="D4919" s="2" t="s">
        <v>47882</v>
      </c>
      <c r="E4919" s="2" t="s">
        <v>47883</v>
      </c>
      <c r="F4919" s="3" t="s">
        <v>47884</v>
      </c>
      <c r="G4919" s="3" t="s">
        <v>64</v>
      </c>
      <c r="I4919" s="3" t="s">
        <v>64</v>
      </c>
      <c r="J4919" s="3" t="s">
        <v>64</v>
      </c>
      <c r="K4919" s="3" t="s">
        <v>65</v>
      </c>
      <c r="L4919" s="2" t="s">
        <v>47885</v>
      </c>
      <c r="M4919" s="2" t="s">
        <v>47886</v>
      </c>
      <c r="N4919" s="3" t="s">
        <v>326</v>
      </c>
      <c r="O4919" s="2" t="s">
        <v>117</v>
      </c>
      <c r="P4919" s="3" t="s">
        <v>102</v>
      </c>
      <c r="R4919" s="3" t="s">
        <v>70</v>
      </c>
      <c r="S4919" s="4">
        <v>0</v>
      </c>
      <c r="T4919" s="4">
        <v>0</v>
      </c>
      <c r="W4919" s="5" t="s">
        <v>17763</v>
      </c>
      <c r="X4919" s="5" t="s">
        <v>17763</v>
      </c>
      <c r="Y4919" s="4">
        <v>102</v>
      </c>
      <c r="Z4919" s="4">
        <v>7</v>
      </c>
      <c r="AA4919" s="4">
        <v>7</v>
      </c>
      <c r="AB4919" s="4">
        <v>1</v>
      </c>
      <c r="AC4919" s="4">
        <v>1</v>
      </c>
      <c r="AD4919" s="4">
        <v>47</v>
      </c>
      <c r="AE4919" s="4">
        <v>47</v>
      </c>
      <c r="AF4919" s="4">
        <v>0</v>
      </c>
      <c r="AG4919" s="4">
        <v>0</v>
      </c>
      <c r="AH4919" s="4">
        <v>44</v>
      </c>
      <c r="AI4919" s="4">
        <v>44</v>
      </c>
      <c r="AJ4919" s="4">
        <v>4</v>
      </c>
      <c r="AK4919" s="4">
        <v>4</v>
      </c>
      <c r="AL4919" s="4">
        <v>28</v>
      </c>
      <c r="AM4919" s="4">
        <v>28</v>
      </c>
      <c r="AN4919" s="4">
        <v>0</v>
      </c>
      <c r="AO4919" s="4">
        <v>0</v>
      </c>
      <c r="AP4919" s="4">
        <v>4</v>
      </c>
      <c r="AQ4919" s="4">
        <v>4</v>
      </c>
      <c r="AR4919" s="3" t="s">
        <v>64</v>
      </c>
      <c r="AS4919" s="3" t="s">
        <v>64</v>
      </c>
      <c r="AT4919" s="3" t="s">
        <v>64</v>
      </c>
      <c r="AV4919" s="6" t="str">
        <f>HYPERLINK("http://mcgill.on.worldcat.org/oclc/714505167","Catalog Record")</f>
        <v>Catalog Record</v>
      </c>
      <c r="AW4919" s="6" t="str">
        <f>HYPERLINK("http://www.worldcat.org/oclc/714505167","WorldCat Record")</f>
        <v>WorldCat Record</v>
      </c>
      <c r="AX4919" s="3" t="s">
        <v>47887</v>
      </c>
      <c r="AY4919" s="3" t="s">
        <v>47888</v>
      </c>
      <c r="AZ4919" s="3" t="s">
        <v>47889</v>
      </c>
      <c r="BA4919" s="3" t="s">
        <v>47889</v>
      </c>
      <c r="BB4919" s="3" t="s">
        <v>47890</v>
      </c>
      <c r="BC4919" s="3" t="s">
        <v>77</v>
      </c>
      <c r="BD4919" s="3" t="s">
        <v>78</v>
      </c>
      <c r="BE4919" s="3" t="s">
        <v>47891</v>
      </c>
      <c r="BF4919" s="3" t="s">
        <v>47890</v>
      </c>
      <c r="BG4919" s="3" t="s">
        <v>47892</v>
      </c>
      <c r="BH4919">
        <f t="shared" si="158"/>
        <v>0</v>
      </c>
    </row>
    <row r="4920" spans="1:60" ht="58" x14ac:dyDescent="0.35">
      <c r="A4920" s="2" t="s">
        <v>59</v>
      </c>
      <c r="B4920" s="2" t="s">
        <v>60</v>
      </c>
      <c r="C4920" s="2" t="s">
        <v>47893</v>
      </c>
      <c r="D4920" s="2" t="s">
        <v>47894</v>
      </c>
      <c r="E4920" s="2" t="s">
        <v>47895</v>
      </c>
      <c r="G4920" s="3" t="s">
        <v>64</v>
      </c>
      <c r="I4920" s="3" t="s">
        <v>64</v>
      </c>
      <c r="J4920" s="3" t="s">
        <v>64</v>
      </c>
      <c r="K4920" s="3" t="s">
        <v>65</v>
      </c>
      <c r="L4920" s="2" t="s">
        <v>47896</v>
      </c>
      <c r="M4920" s="2" t="s">
        <v>47897</v>
      </c>
      <c r="N4920" s="3" t="s">
        <v>2067</v>
      </c>
      <c r="P4920" s="3" t="s">
        <v>102</v>
      </c>
      <c r="Q4920" s="2" t="s">
        <v>47473</v>
      </c>
      <c r="R4920" s="3" t="s">
        <v>70</v>
      </c>
      <c r="S4920" s="4">
        <v>2</v>
      </c>
      <c r="T4920" s="4">
        <v>2</v>
      </c>
      <c r="U4920" s="5" t="s">
        <v>47898</v>
      </c>
      <c r="V4920" s="5" t="s">
        <v>47898</v>
      </c>
      <c r="W4920" s="5" t="s">
        <v>72</v>
      </c>
      <c r="X4920" s="5" t="s">
        <v>72</v>
      </c>
      <c r="Y4920" s="4">
        <v>775</v>
      </c>
      <c r="Z4920" s="4">
        <v>32</v>
      </c>
      <c r="AA4920" s="4">
        <v>36</v>
      </c>
      <c r="AB4920" s="4">
        <v>3</v>
      </c>
      <c r="AC4920" s="4">
        <v>7</v>
      </c>
      <c r="AD4920" s="4">
        <v>104</v>
      </c>
      <c r="AE4920" s="4">
        <v>108</v>
      </c>
      <c r="AF4920" s="4">
        <v>1</v>
      </c>
      <c r="AG4920" s="4">
        <v>5</v>
      </c>
      <c r="AH4920" s="4">
        <v>90</v>
      </c>
      <c r="AI4920" s="4">
        <v>91</v>
      </c>
      <c r="AJ4920" s="4">
        <v>13</v>
      </c>
      <c r="AK4920" s="4">
        <v>17</v>
      </c>
      <c r="AL4920" s="4">
        <v>50</v>
      </c>
      <c r="AM4920" s="4">
        <v>50</v>
      </c>
      <c r="AN4920" s="4">
        <v>0</v>
      </c>
      <c r="AO4920" s="4">
        <v>0</v>
      </c>
      <c r="AP4920" s="4">
        <v>19</v>
      </c>
      <c r="AQ4920" s="4">
        <v>22</v>
      </c>
      <c r="AR4920" s="3" t="s">
        <v>64</v>
      </c>
      <c r="AS4920" s="3" t="s">
        <v>64</v>
      </c>
      <c r="AT4920" s="3" t="s">
        <v>64</v>
      </c>
      <c r="AV4920" s="6" t="str">
        <f>HYPERLINK("http://mcgill.on.worldcat.org/oclc/18961617","Catalog Record")</f>
        <v>Catalog Record</v>
      </c>
      <c r="AW4920" s="6" t="str">
        <f>HYPERLINK("http://www.worldcat.org/oclc/18961617","WorldCat Record")</f>
        <v>WorldCat Record</v>
      </c>
      <c r="AX4920" s="3" t="s">
        <v>47899</v>
      </c>
      <c r="AY4920" s="3" t="s">
        <v>47900</v>
      </c>
      <c r="AZ4920" s="3" t="s">
        <v>47901</v>
      </c>
      <c r="BA4920" s="3" t="s">
        <v>47901</v>
      </c>
      <c r="BB4920" s="3" t="s">
        <v>47902</v>
      </c>
      <c r="BC4920" s="3" t="s">
        <v>77</v>
      </c>
      <c r="BD4920" s="3" t="s">
        <v>78</v>
      </c>
      <c r="BE4920" s="3" t="s">
        <v>47903</v>
      </c>
      <c r="BF4920" s="3" t="s">
        <v>47902</v>
      </c>
      <c r="BG4920" s="3" t="s">
        <v>47904</v>
      </c>
      <c r="BH4920">
        <f t="shared" si="158"/>
        <v>0</v>
      </c>
    </row>
    <row r="4921" spans="1:60" ht="58" x14ac:dyDescent="0.35">
      <c r="A4921" s="2" t="s">
        <v>59</v>
      </c>
      <c r="B4921" s="2" t="s">
        <v>60</v>
      </c>
      <c r="C4921" s="2" t="s">
        <v>47905</v>
      </c>
      <c r="D4921" s="2" t="s">
        <v>47906</v>
      </c>
      <c r="E4921" s="2" t="s">
        <v>47907</v>
      </c>
      <c r="F4921" s="3" t="s">
        <v>489</v>
      </c>
      <c r="G4921" s="3" t="s">
        <v>128</v>
      </c>
      <c r="I4921" s="3" t="s">
        <v>64</v>
      </c>
      <c r="J4921" s="3" t="s">
        <v>64</v>
      </c>
      <c r="K4921" s="3" t="s">
        <v>65</v>
      </c>
      <c r="L4921" s="2" t="s">
        <v>47908</v>
      </c>
      <c r="M4921" s="2" t="s">
        <v>47909</v>
      </c>
      <c r="N4921" s="3" t="s">
        <v>3584</v>
      </c>
      <c r="P4921" s="3" t="s">
        <v>102</v>
      </c>
      <c r="R4921" s="3" t="s">
        <v>70</v>
      </c>
      <c r="S4921" s="4">
        <v>1</v>
      </c>
      <c r="T4921" s="4">
        <v>2</v>
      </c>
      <c r="U4921" s="5" t="s">
        <v>47910</v>
      </c>
      <c r="V4921" s="5" t="s">
        <v>47910</v>
      </c>
      <c r="W4921" s="5" t="s">
        <v>72</v>
      </c>
      <c r="X4921" s="5" t="s">
        <v>72</v>
      </c>
      <c r="Y4921" s="4">
        <v>661</v>
      </c>
      <c r="Z4921" s="4">
        <v>33</v>
      </c>
      <c r="AA4921" s="4">
        <v>35</v>
      </c>
      <c r="AB4921" s="4">
        <v>1</v>
      </c>
      <c r="AC4921" s="4">
        <v>3</v>
      </c>
      <c r="AD4921" s="4">
        <v>120</v>
      </c>
      <c r="AE4921" s="4">
        <v>122</v>
      </c>
      <c r="AF4921" s="4">
        <v>0</v>
      </c>
      <c r="AG4921" s="4">
        <v>2</v>
      </c>
      <c r="AH4921" s="4">
        <v>107</v>
      </c>
      <c r="AI4921" s="4">
        <v>108</v>
      </c>
      <c r="AJ4921" s="4">
        <v>19</v>
      </c>
      <c r="AK4921" s="4">
        <v>21</v>
      </c>
      <c r="AL4921" s="4">
        <v>55</v>
      </c>
      <c r="AM4921" s="4">
        <v>55</v>
      </c>
      <c r="AN4921" s="4">
        <v>0</v>
      </c>
      <c r="AO4921" s="4">
        <v>0</v>
      </c>
      <c r="AP4921" s="4">
        <v>24</v>
      </c>
      <c r="AQ4921" s="4">
        <v>26</v>
      </c>
      <c r="AR4921" s="3" t="s">
        <v>64</v>
      </c>
      <c r="AS4921" s="3" t="s">
        <v>64</v>
      </c>
      <c r="AT4921" s="3" t="s">
        <v>64</v>
      </c>
      <c r="AV4921" s="6" t="str">
        <f>HYPERLINK("http://mcgill.on.worldcat.org/oclc/3011107","Catalog Record")</f>
        <v>Catalog Record</v>
      </c>
      <c r="AW4921" s="6" t="str">
        <f>HYPERLINK("http://www.worldcat.org/oclc/3011107","WorldCat Record")</f>
        <v>WorldCat Record</v>
      </c>
      <c r="AX4921" s="3" t="s">
        <v>47911</v>
      </c>
      <c r="AY4921" s="3" t="s">
        <v>47912</v>
      </c>
      <c r="AZ4921" s="3" t="s">
        <v>47913</v>
      </c>
      <c r="BA4921" s="3" t="s">
        <v>47913</v>
      </c>
      <c r="BB4921" s="3" t="s">
        <v>47914</v>
      </c>
      <c r="BC4921" s="3" t="s">
        <v>77</v>
      </c>
      <c r="BD4921" s="3" t="s">
        <v>78</v>
      </c>
      <c r="BE4921" s="3" t="s">
        <v>47915</v>
      </c>
      <c r="BF4921" s="3" t="s">
        <v>47914</v>
      </c>
      <c r="BG4921" s="3" t="s">
        <v>47916</v>
      </c>
      <c r="BH4921">
        <f t="shared" si="158"/>
        <v>0</v>
      </c>
    </row>
    <row r="4922" spans="1:60" ht="58" x14ac:dyDescent="0.35">
      <c r="A4922" s="2" t="s">
        <v>59</v>
      </c>
      <c r="B4922" s="2" t="s">
        <v>60</v>
      </c>
      <c r="C4922" s="2" t="s">
        <v>47905</v>
      </c>
      <c r="D4922" s="2" t="s">
        <v>47906</v>
      </c>
      <c r="E4922" s="2" t="s">
        <v>47907</v>
      </c>
      <c r="F4922" s="3" t="s">
        <v>478</v>
      </c>
      <c r="G4922" s="3" t="s">
        <v>128</v>
      </c>
      <c r="I4922" s="3" t="s">
        <v>64</v>
      </c>
      <c r="J4922" s="3" t="s">
        <v>64</v>
      </c>
      <c r="K4922" s="3" t="s">
        <v>65</v>
      </c>
      <c r="L4922" s="2" t="s">
        <v>47908</v>
      </c>
      <c r="M4922" s="2" t="s">
        <v>47909</v>
      </c>
      <c r="N4922" s="3" t="s">
        <v>3584</v>
      </c>
      <c r="P4922" s="3" t="s">
        <v>102</v>
      </c>
      <c r="R4922" s="3" t="s">
        <v>70</v>
      </c>
      <c r="S4922" s="4">
        <v>1</v>
      </c>
      <c r="T4922" s="4">
        <v>2</v>
      </c>
      <c r="U4922" s="5" t="s">
        <v>47910</v>
      </c>
      <c r="V4922" s="5" t="s">
        <v>47910</v>
      </c>
      <c r="W4922" s="5" t="s">
        <v>72</v>
      </c>
      <c r="X4922" s="5" t="s">
        <v>72</v>
      </c>
      <c r="Y4922" s="4">
        <v>661</v>
      </c>
      <c r="Z4922" s="4">
        <v>33</v>
      </c>
      <c r="AA4922" s="4">
        <v>35</v>
      </c>
      <c r="AB4922" s="4">
        <v>1</v>
      </c>
      <c r="AC4922" s="4">
        <v>3</v>
      </c>
      <c r="AD4922" s="4">
        <v>120</v>
      </c>
      <c r="AE4922" s="4">
        <v>122</v>
      </c>
      <c r="AF4922" s="4">
        <v>0</v>
      </c>
      <c r="AG4922" s="4">
        <v>2</v>
      </c>
      <c r="AH4922" s="4">
        <v>107</v>
      </c>
      <c r="AI4922" s="4">
        <v>108</v>
      </c>
      <c r="AJ4922" s="4">
        <v>19</v>
      </c>
      <c r="AK4922" s="4">
        <v>21</v>
      </c>
      <c r="AL4922" s="4">
        <v>55</v>
      </c>
      <c r="AM4922" s="4">
        <v>55</v>
      </c>
      <c r="AN4922" s="4">
        <v>0</v>
      </c>
      <c r="AO4922" s="4">
        <v>0</v>
      </c>
      <c r="AP4922" s="4">
        <v>24</v>
      </c>
      <c r="AQ4922" s="4">
        <v>26</v>
      </c>
      <c r="AR4922" s="3" t="s">
        <v>64</v>
      </c>
      <c r="AS4922" s="3" t="s">
        <v>64</v>
      </c>
      <c r="AT4922" s="3" t="s">
        <v>64</v>
      </c>
      <c r="AV4922" s="6" t="str">
        <f>HYPERLINK("http://mcgill.on.worldcat.org/oclc/3011107","Catalog Record")</f>
        <v>Catalog Record</v>
      </c>
      <c r="AW4922" s="6" t="str">
        <f>HYPERLINK("http://www.worldcat.org/oclc/3011107","WorldCat Record")</f>
        <v>WorldCat Record</v>
      </c>
      <c r="AX4922" s="3" t="s">
        <v>47911</v>
      </c>
      <c r="AY4922" s="3" t="s">
        <v>47912</v>
      </c>
      <c r="AZ4922" s="3" t="s">
        <v>47913</v>
      </c>
      <c r="BA4922" s="3" t="s">
        <v>47913</v>
      </c>
      <c r="BB4922" s="3" t="s">
        <v>47917</v>
      </c>
      <c r="BC4922" s="3" t="s">
        <v>77</v>
      </c>
      <c r="BD4922" s="3" t="s">
        <v>78</v>
      </c>
      <c r="BE4922" s="3" t="s">
        <v>47915</v>
      </c>
      <c r="BF4922" s="3" t="s">
        <v>47917</v>
      </c>
      <c r="BG4922" s="3" t="s">
        <v>47918</v>
      </c>
      <c r="BH4922">
        <f t="shared" si="158"/>
        <v>0</v>
      </c>
    </row>
    <row r="4923" spans="1:60" ht="58" x14ac:dyDescent="0.35">
      <c r="A4923" s="2" t="s">
        <v>59</v>
      </c>
      <c r="B4923" s="2" t="s">
        <v>60</v>
      </c>
      <c r="C4923" s="2" t="s">
        <v>47919</v>
      </c>
      <c r="D4923" s="2" t="s">
        <v>47920</v>
      </c>
      <c r="E4923" s="2" t="s">
        <v>47921</v>
      </c>
      <c r="G4923" s="3" t="s">
        <v>64</v>
      </c>
      <c r="I4923" s="3" t="s">
        <v>64</v>
      </c>
      <c r="J4923" s="3" t="s">
        <v>64</v>
      </c>
      <c r="K4923" s="3" t="s">
        <v>65</v>
      </c>
      <c r="L4923" s="2" t="s">
        <v>47922</v>
      </c>
      <c r="M4923" s="2" t="s">
        <v>47923</v>
      </c>
      <c r="N4923" s="3" t="s">
        <v>153</v>
      </c>
      <c r="P4923" s="3" t="s">
        <v>102</v>
      </c>
      <c r="Q4923" s="2" t="s">
        <v>47924</v>
      </c>
      <c r="R4923" s="3" t="s">
        <v>70</v>
      </c>
      <c r="S4923" s="4">
        <v>2</v>
      </c>
      <c r="T4923" s="4">
        <v>2</v>
      </c>
      <c r="U4923" s="5" t="s">
        <v>23756</v>
      </c>
      <c r="V4923" s="5" t="s">
        <v>23756</v>
      </c>
      <c r="W4923" s="5" t="s">
        <v>72</v>
      </c>
      <c r="X4923" s="5" t="s">
        <v>72</v>
      </c>
      <c r="Y4923" s="4">
        <v>327</v>
      </c>
      <c r="Z4923" s="4">
        <v>21</v>
      </c>
      <c r="AA4923" s="4">
        <v>21</v>
      </c>
      <c r="AB4923" s="4">
        <v>2</v>
      </c>
      <c r="AC4923" s="4">
        <v>2</v>
      </c>
      <c r="AD4923" s="4">
        <v>105</v>
      </c>
      <c r="AE4923" s="4">
        <v>105</v>
      </c>
      <c r="AF4923" s="4">
        <v>1</v>
      </c>
      <c r="AG4923" s="4">
        <v>1</v>
      </c>
      <c r="AH4923" s="4">
        <v>93</v>
      </c>
      <c r="AI4923" s="4">
        <v>93</v>
      </c>
      <c r="AJ4923" s="4">
        <v>17</v>
      </c>
      <c r="AK4923" s="4">
        <v>17</v>
      </c>
      <c r="AL4923" s="4">
        <v>50</v>
      </c>
      <c r="AM4923" s="4">
        <v>50</v>
      </c>
      <c r="AN4923" s="4">
        <v>0</v>
      </c>
      <c r="AO4923" s="4">
        <v>0</v>
      </c>
      <c r="AP4923" s="4">
        <v>19</v>
      </c>
      <c r="AQ4923" s="4">
        <v>19</v>
      </c>
      <c r="AR4923" s="3" t="s">
        <v>64</v>
      </c>
      <c r="AS4923" s="3" t="s">
        <v>64</v>
      </c>
      <c r="AT4923" s="3" t="s">
        <v>64</v>
      </c>
      <c r="AV4923" s="6" t="str">
        <f>HYPERLINK("http://mcgill.on.worldcat.org/oclc/39787084","Catalog Record")</f>
        <v>Catalog Record</v>
      </c>
      <c r="AW4923" s="6" t="str">
        <f>HYPERLINK("http://www.worldcat.org/oclc/39787084","WorldCat Record")</f>
        <v>WorldCat Record</v>
      </c>
      <c r="AX4923" s="3" t="s">
        <v>47925</v>
      </c>
      <c r="AY4923" s="3" t="s">
        <v>47926</v>
      </c>
      <c r="AZ4923" s="3" t="s">
        <v>47927</v>
      </c>
      <c r="BA4923" s="3" t="s">
        <v>47927</v>
      </c>
      <c r="BB4923" s="3" t="s">
        <v>47928</v>
      </c>
      <c r="BC4923" s="3" t="s">
        <v>77</v>
      </c>
      <c r="BD4923" s="3" t="s">
        <v>78</v>
      </c>
      <c r="BE4923" s="3" t="s">
        <v>47929</v>
      </c>
      <c r="BF4923" s="3" t="s">
        <v>47928</v>
      </c>
      <c r="BG4923" s="3" t="s">
        <v>47930</v>
      </c>
      <c r="BH4923">
        <f t="shared" si="158"/>
        <v>0</v>
      </c>
    </row>
    <row r="4924" spans="1:60" ht="58" x14ac:dyDescent="0.35">
      <c r="A4924" s="2" t="s">
        <v>59</v>
      </c>
      <c r="B4924" s="2" t="s">
        <v>60</v>
      </c>
      <c r="C4924" s="2" t="s">
        <v>47931</v>
      </c>
      <c r="D4924" s="2" t="s">
        <v>47932</v>
      </c>
      <c r="E4924" s="2" t="s">
        <v>47933</v>
      </c>
      <c r="G4924" s="3" t="s">
        <v>64</v>
      </c>
      <c r="I4924" s="3" t="s">
        <v>64</v>
      </c>
      <c r="J4924" s="3" t="s">
        <v>64</v>
      </c>
      <c r="K4924" s="3" t="s">
        <v>65</v>
      </c>
      <c r="L4924" s="2" t="s">
        <v>47934</v>
      </c>
      <c r="M4924" s="2" t="s">
        <v>47935</v>
      </c>
      <c r="N4924" s="3" t="s">
        <v>3584</v>
      </c>
      <c r="P4924" s="3" t="s">
        <v>102</v>
      </c>
      <c r="R4924" s="3" t="s">
        <v>70</v>
      </c>
      <c r="S4924" s="4">
        <v>1</v>
      </c>
      <c r="T4924" s="4">
        <v>1</v>
      </c>
      <c r="U4924" s="5" t="s">
        <v>47936</v>
      </c>
      <c r="V4924" s="5" t="s">
        <v>47936</v>
      </c>
      <c r="W4924" s="5" t="s">
        <v>72</v>
      </c>
      <c r="X4924" s="5" t="s">
        <v>72</v>
      </c>
      <c r="Y4924" s="4">
        <v>41</v>
      </c>
      <c r="Z4924" s="4">
        <v>1</v>
      </c>
      <c r="AA4924" s="4">
        <v>1</v>
      </c>
      <c r="AB4924" s="4">
        <v>1</v>
      </c>
      <c r="AC4924" s="4">
        <v>1</v>
      </c>
      <c r="AD4924" s="4">
        <v>14</v>
      </c>
      <c r="AE4924" s="4">
        <v>14</v>
      </c>
      <c r="AF4924" s="4">
        <v>0</v>
      </c>
      <c r="AG4924" s="4">
        <v>0</v>
      </c>
      <c r="AH4924" s="4">
        <v>14</v>
      </c>
      <c r="AI4924" s="4">
        <v>14</v>
      </c>
      <c r="AJ4924" s="4">
        <v>0</v>
      </c>
      <c r="AK4924" s="4">
        <v>0</v>
      </c>
      <c r="AL4924" s="4">
        <v>9</v>
      </c>
      <c r="AM4924" s="4">
        <v>9</v>
      </c>
      <c r="AN4924" s="4">
        <v>0</v>
      </c>
      <c r="AO4924" s="4">
        <v>0</v>
      </c>
      <c r="AP4924" s="4">
        <v>0</v>
      </c>
      <c r="AQ4924" s="4">
        <v>0</v>
      </c>
      <c r="AR4924" s="3" t="s">
        <v>64</v>
      </c>
      <c r="AS4924" s="3" t="s">
        <v>64</v>
      </c>
      <c r="AT4924" s="3" t="s">
        <v>64</v>
      </c>
      <c r="AV4924" s="6" t="str">
        <f>HYPERLINK("http://mcgill.on.worldcat.org/oclc/2525238","Catalog Record")</f>
        <v>Catalog Record</v>
      </c>
      <c r="AW4924" s="6" t="str">
        <f>HYPERLINK("http://www.worldcat.org/oclc/2525238","WorldCat Record")</f>
        <v>WorldCat Record</v>
      </c>
      <c r="AX4924" s="3" t="s">
        <v>47937</v>
      </c>
      <c r="AY4924" s="3" t="s">
        <v>47938</v>
      </c>
      <c r="AZ4924" s="3" t="s">
        <v>47939</v>
      </c>
      <c r="BA4924" s="3" t="s">
        <v>47939</v>
      </c>
      <c r="BB4924" s="3" t="s">
        <v>47940</v>
      </c>
      <c r="BC4924" s="3" t="s">
        <v>77</v>
      </c>
      <c r="BD4924" s="3" t="s">
        <v>78</v>
      </c>
      <c r="BE4924" s="3" t="s">
        <v>47941</v>
      </c>
      <c r="BF4924" s="3" t="s">
        <v>47940</v>
      </c>
      <c r="BG4924" s="3" t="s">
        <v>47942</v>
      </c>
      <c r="BH4924">
        <f t="shared" si="158"/>
        <v>0</v>
      </c>
    </row>
    <row r="4925" spans="1:60" ht="72.5" x14ac:dyDescent="0.35">
      <c r="A4925" s="2" t="s">
        <v>59</v>
      </c>
      <c r="B4925" s="2" t="s">
        <v>60</v>
      </c>
      <c r="C4925" s="2" t="s">
        <v>47943</v>
      </c>
      <c r="D4925" s="2" t="s">
        <v>47944</v>
      </c>
      <c r="E4925" s="2" t="s">
        <v>47945</v>
      </c>
      <c r="G4925" s="3" t="s">
        <v>64</v>
      </c>
      <c r="I4925" s="3" t="s">
        <v>64</v>
      </c>
      <c r="J4925" s="3" t="s">
        <v>64</v>
      </c>
      <c r="K4925" s="3" t="s">
        <v>65</v>
      </c>
      <c r="L4925" s="2" t="s">
        <v>47946</v>
      </c>
      <c r="M4925" s="2" t="s">
        <v>9751</v>
      </c>
      <c r="N4925" s="3" t="s">
        <v>578</v>
      </c>
      <c r="O4925" s="2" t="s">
        <v>47947</v>
      </c>
      <c r="P4925" s="3" t="s">
        <v>68</v>
      </c>
      <c r="Q4925" s="2" t="s">
        <v>47948</v>
      </c>
      <c r="R4925" s="3" t="s">
        <v>70</v>
      </c>
      <c r="S4925" s="4">
        <v>0</v>
      </c>
      <c r="T4925" s="4">
        <v>0</v>
      </c>
      <c r="W4925" s="5" t="s">
        <v>72</v>
      </c>
      <c r="X4925" s="5" t="s">
        <v>72</v>
      </c>
      <c r="Y4925" s="4">
        <v>24</v>
      </c>
      <c r="Z4925" s="4">
        <v>3</v>
      </c>
      <c r="AA4925" s="4">
        <v>3</v>
      </c>
      <c r="AB4925" s="4">
        <v>1</v>
      </c>
      <c r="AC4925" s="4">
        <v>1</v>
      </c>
      <c r="AD4925" s="4">
        <v>16</v>
      </c>
      <c r="AE4925" s="4">
        <v>16</v>
      </c>
      <c r="AF4925" s="4">
        <v>0</v>
      </c>
      <c r="AG4925" s="4">
        <v>0</v>
      </c>
      <c r="AH4925" s="4">
        <v>15</v>
      </c>
      <c r="AI4925" s="4">
        <v>15</v>
      </c>
      <c r="AJ4925" s="4">
        <v>2</v>
      </c>
      <c r="AK4925" s="4">
        <v>2</v>
      </c>
      <c r="AL4925" s="4">
        <v>13</v>
      </c>
      <c r="AM4925" s="4">
        <v>13</v>
      </c>
      <c r="AN4925" s="4">
        <v>0</v>
      </c>
      <c r="AO4925" s="4">
        <v>0</v>
      </c>
      <c r="AP4925" s="4">
        <v>2</v>
      </c>
      <c r="AQ4925" s="4">
        <v>2</v>
      </c>
      <c r="AR4925" s="3" t="s">
        <v>64</v>
      </c>
      <c r="AS4925" s="3" t="s">
        <v>64</v>
      </c>
      <c r="AT4925" s="3" t="s">
        <v>64</v>
      </c>
      <c r="AV4925" s="6" t="str">
        <f>HYPERLINK("http://mcgill.on.worldcat.org/oclc/970619078","Catalog Record")</f>
        <v>Catalog Record</v>
      </c>
      <c r="AW4925" s="6" t="str">
        <f>HYPERLINK("http://www.worldcat.org/oclc/970619078","WorldCat Record")</f>
        <v>WorldCat Record</v>
      </c>
      <c r="AX4925" s="3" t="s">
        <v>47949</v>
      </c>
      <c r="AY4925" s="3" t="s">
        <v>47950</v>
      </c>
      <c r="AZ4925" s="3" t="s">
        <v>47951</v>
      </c>
      <c r="BA4925" s="3" t="s">
        <v>47951</v>
      </c>
      <c r="BB4925" s="3" t="s">
        <v>47952</v>
      </c>
      <c r="BC4925" s="3" t="s">
        <v>77</v>
      </c>
      <c r="BD4925" s="3" t="s">
        <v>78</v>
      </c>
      <c r="BE4925" s="3" t="s">
        <v>47953</v>
      </c>
      <c r="BF4925" s="3" t="s">
        <v>47952</v>
      </c>
      <c r="BG4925" s="3" t="s">
        <v>47954</v>
      </c>
      <c r="BH4925">
        <f t="shared" si="158"/>
        <v>0</v>
      </c>
    </row>
    <row r="4926" spans="1:60" ht="58" x14ac:dyDescent="0.35">
      <c r="A4926" s="2" t="s">
        <v>59</v>
      </c>
      <c r="B4926" s="2" t="s">
        <v>60</v>
      </c>
      <c r="C4926" s="2" t="s">
        <v>47955</v>
      </c>
      <c r="D4926" s="2" t="s">
        <v>47956</v>
      </c>
      <c r="E4926" s="2" t="s">
        <v>47957</v>
      </c>
      <c r="G4926" s="3" t="s">
        <v>64</v>
      </c>
      <c r="I4926" s="3" t="s">
        <v>64</v>
      </c>
      <c r="J4926" s="3" t="s">
        <v>64</v>
      </c>
      <c r="K4926" s="3" t="s">
        <v>65</v>
      </c>
      <c r="L4926" s="2" t="s">
        <v>47958</v>
      </c>
      <c r="M4926" s="2" t="s">
        <v>47959</v>
      </c>
      <c r="N4926" s="3" t="s">
        <v>4972</v>
      </c>
      <c r="P4926" s="3" t="s">
        <v>102</v>
      </c>
      <c r="R4926" s="3" t="s">
        <v>70</v>
      </c>
      <c r="S4926" s="4">
        <v>1</v>
      </c>
      <c r="T4926" s="4">
        <v>1</v>
      </c>
      <c r="U4926" s="5" t="s">
        <v>18826</v>
      </c>
      <c r="V4926" s="5" t="s">
        <v>18826</v>
      </c>
      <c r="W4926" s="5" t="s">
        <v>72</v>
      </c>
      <c r="X4926" s="5" t="s">
        <v>72</v>
      </c>
      <c r="Y4926" s="4">
        <v>146</v>
      </c>
      <c r="Z4926" s="4">
        <v>20</v>
      </c>
      <c r="AA4926" s="4">
        <v>21</v>
      </c>
      <c r="AB4926" s="4">
        <v>1</v>
      </c>
      <c r="AC4926" s="4">
        <v>1</v>
      </c>
      <c r="AD4926" s="4">
        <v>67</v>
      </c>
      <c r="AE4926" s="4">
        <v>69</v>
      </c>
      <c r="AF4926" s="4">
        <v>0</v>
      </c>
      <c r="AG4926" s="4">
        <v>0</v>
      </c>
      <c r="AH4926" s="4">
        <v>57</v>
      </c>
      <c r="AI4926" s="4">
        <v>58</v>
      </c>
      <c r="AJ4926" s="4">
        <v>13</v>
      </c>
      <c r="AK4926" s="4">
        <v>14</v>
      </c>
      <c r="AL4926" s="4">
        <v>36</v>
      </c>
      <c r="AM4926" s="4">
        <v>37</v>
      </c>
      <c r="AN4926" s="4">
        <v>0</v>
      </c>
      <c r="AO4926" s="4">
        <v>0</v>
      </c>
      <c r="AP4926" s="4">
        <v>14</v>
      </c>
      <c r="AQ4926" s="4">
        <v>15</v>
      </c>
      <c r="AR4926" s="3" t="s">
        <v>64</v>
      </c>
      <c r="AS4926" s="3" t="s">
        <v>64</v>
      </c>
      <c r="AT4926" s="3" t="s">
        <v>128</v>
      </c>
      <c r="AU4926" s="6" t="str">
        <f>HYPERLINK("http://catalog.hathitrust.org/Record/006152296","HathiTrust Record")</f>
        <v>HathiTrust Record</v>
      </c>
      <c r="AV4926" s="6" t="str">
        <f>HYPERLINK("http://mcgill.on.worldcat.org/oclc/1848320","Catalog Record")</f>
        <v>Catalog Record</v>
      </c>
      <c r="AW4926" s="6" t="str">
        <f>HYPERLINK("http://www.worldcat.org/oclc/1848320","WorldCat Record")</f>
        <v>WorldCat Record</v>
      </c>
      <c r="AX4926" s="3" t="s">
        <v>47960</v>
      </c>
      <c r="AY4926" s="3" t="s">
        <v>47961</v>
      </c>
      <c r="AZ4926" s="3" t="s">
        <v>47962</v>
      </c>
      <c r="BA4926" s="3" t="s">
        <v>47962</v>
      </c>
      <c r="BB4926" s="3" t="s">
        <v>47963</v>
      </c>
      <c r="BC4926" s="3" t="s">
        <v>77</v>
      </c>
      <c r="BD4926" s="3" t="s">
        <v>78</v>
      </c>
      <c r="BF4926" s="3" t="s">
        <v>47963</v>
      </c>
      <c r="BG4926" s="3" t="s">
        <v>47964</v>
      </c>
      <c r="BH4926">
        <f t="shared" si="158"/>
        <v>0</v>
      </c>
    </row>
    <row r="4927" spans="1:60" ht="58" x14ac:dyDescent="0.35">
      <c r="A4927" s="2" t="s">
        <v>59</v>
      </c>
      <c r="B4927" s="2" t="s">
        <v>60</v>
      </c>
      <c r="C4927" s="2" t="s">
        <v>47965</v>
      </c>
      <c r="D4927" s="2" t="s">
        <v>47966</v>
      </c>
      <c r="E4927" s="2" t="s">
        <v>47967</v>
      </c>
      <c r="F4927" s="3" t="s">
        <v>41228</v>
      </c>
      <c r="G4927" s="3" t="s">
        <v>128</v>
      </c>
      <c r="I4927" s="3" t="s">
        <v>64</v>
      </c>
      <c r="J4927" s="3" t="s">
        <v>64</v>
      </c>
      <c r="K4927" s="3" t="s">
        <v>65</v>
      </c>
      <c r="L4927" s="2" t="s">
        <v>47968</v>
      </c>
      <c r="M4927" s="2" t="s">
        <v>4490</v>
      </c>
      <c r="N4927" s="3" t="s">
        <v>578</v>
      </c>
      <c r="P4927" s="3" t="s">
        <v>365</v>
      </c>
      <c r="Q4927" s="2" t="s">
        <v>47969</v>
      </c>
      <c r="R4927" s="3" t="s">
        <v>70</v>
      </c>
      <c r="S4927" s="4">
        <v>0</v>
      </c>
      <c r="T4927" s="4">
        <v>0</v>
      </c>
      <c r="W4927" s="5" t="s">
        <v>72</v>
      </c>
      <c r="X4927" s="5" t="s">
        <v>72</v>
      </c>
      <c r="Y4927" s="4">
        <v>70</v>
      </c>
      <c r="Z4927" s="4">
        <v>4</v>
      </c>
      <c r="AA4927" s="4">
        <v>4</v>
      </c>
      <c r="AB4927" s="4">
        <v>1</v>
      </c>
      <c r="AC4927" s="4">
        <v>1</v>
      </c>
      <c r="AD4927" s="4">
        <v>35</v>
      </c>
      <c r="AE4927" s="4">
        <v>36</v>
      </c>
      <c r="AF4927" s="4">
        <v>0</v>
      </c>
      <c r="AG4927" s="4">
        <v>0</v>
      </c>
      <c r="AH4927" s="4">
        <v>33</v>
      </c>
      <c r="AI4927" s="4">
        <v>34</v>
      </c>
      <c r="AJ4927" s="4">
        <v>3</v>
      </c>
      <c r="AK4927" s="4">
        <v>3</v>
      </c>
      <c r="AL4927" s="4">
        <v>23</v>
      </c>
      <c r="AM4927" s="4">
        <v>24</v>
      </c>
      <c r="AN4927" s="4">
        <v>0</v>
      </c>
      <c r="AO4927" s="4">
        <v>0</v>
      </c>
      <c r="AP4927" s="4">
        <v>3</v>
      </c>
      <c r="AQ4927" s="4">
        <v>3</v>
      </c>
      <c r="AR4927" s="3" t="s">
        <v>64</v>
      </c>
      <c r="AS4927" s="3" t="s">
        <v>64</v>
      </c>
      <c r="AT4927" s="3" t="s">
        <v>64</v>
      </c>
      <c r="AV4927" s="6" t="str">
        <f>HYPERLINK("http://mcgill.on.worldcat.org/oclc/999771810","Catalog Record")</f>
        <v>Catalog Record</v>
      </c>
      <c r="AW4927" s="6" t="str">
        <f>HYPERLINK("http://www.worldcat.org/oclc/999771810","WorldCat Record")</f>
        <v>WorldCat Record</v>
      </c>
      <c r="AX4927" s="3" t="s">
        <v>47970</v>
      </c>
      <c r="AY4927" s="3" t="s">
        <v>47971</v>
      </c>
      <c r="AZ4927" s="3" t="s">
        <v>47972</v>
      </c>
      <c r="BA4927" s="3" t="s">
        <v>47972</v>
      </c>
      <c r="BB4927" s="3" t="s">
        <v>47973</v>
      </c>
      <c r="BC4927" s="3" t="s">
        <v>77</v>
      </c>
      <c r="BD4927" s="3" t="s">
        <v>78</v>
      </c>
      <c r="BE4927" s="3" t="s">
        <v>47974</v>
      </c>
      <c r="BF4927" s="3" t="s">
        <v>47973</v>
      </c>
      <c r="BG4927" s="3" t="s">
        <v>47975</v>
      </c>
      <c r="BH4927">
        <f t="shared" si="158"/>
        <v>0</v>
      </c>
    </row>
    <row r="4928" spans="1:60" ht="58" x14ac:dyDescent="0.35">
      <c r="A4928" s="2" t="s">
        <v>59</v>
      </c>
      <c r="B4928" s="2" t="s">
        <v>60</v>
      </c>
      <c r="C4928" s="2" t="s">
        <v>47965</v>
      </c>
      <c r="D4928" s="2" t="s">
        <v>47966</v>
      </c>
      <c r="E4928" s="2" t="s">
        <v>47967</v>
      </c>
      <c r="F4928" s="3" t="s">
        <v>41239</v>
      </c>
      <c r="G4928" s="3" t="s">
        <v>128</v>
      </c>
      <c r="I4928" s="3" t="s">
        <v>64</v>
      </c>
      <c r="J4928" s="3" t="s">
        <v>64</v>
      </c>
      <c r="K4928" s="3" t="s">
        <v>65</v>
      </c>
      <c r="L4928" s="2" t="s">
        <v>47968</v>
      </c>
      <c r="M4928" s="2" t="s">
        <v>4490</v>
      </c>
      <c r="N4928" s="3" t="s">
        <v>578</v>
      </c>
      <c r="P4928" s="3" t="s">
        <v>365</v>
      </c>
      <c r="Q4928" s="2" t="s">
        <v>47969</v>
      </c>
      <c r="R4928" s="3" t="s">
        <v>70</v>
      </c>
      <c r="S4928" s="4">
        <v>0</v>
      </c>
      <c r="T4928" s="4">
        <v>0</v>
      </c>
      <c r="W4928" s="5" t="s">
        <v>72</v>
      </c>
      <c r="X4928" s="5" t="s">
        <v>72</v>
      </c>
      <c r="Y4928" s="4">
        <v>70</v>
      </c>
      <c r="Z4928" s="4">
        <v>4</v>
      </c>
      <c r="AA4928" s="4">
        <v>4</v>
      </c>
      <c r="AB4928" s="4">
        <v>1</v>
      </c>
      <c r="AC4928" s="4">
        <v>1</v>
      </c>
      <c r="AD4928" s="4">
        <v>35</v>
      </c>
      <c r="AE4928" s="4">
        <v>36</v>
      </c>
      <c r="AF4928" s="4">
        <v>0</v>
      </c>
      <c r="AG4928" s="4">
        <v>0</v>
      </c>
      <c r="AH4928" s="4">
        <v>33</v>
      </c>
      <c r="AI4928" s="4">
        <v>34</v>
      </c>
      <c r="AJ4928" s="4">
        <v>3</v>
      </c>
      <c r="AK4928" s="4">
        <v>3</v>
      </c>
      <c r="AL4928" s="4">
        <v>23</v>
      </c>
      <c r="AM4928" s="4">
        <v>24</v>
      </c>
      <c r="AN4928" s="4">
        <v>0</v>
      </c>
      <c r="AO4928" s="4">
        <v>0</v>
      </c>
      <c r="AP4928" s="4">
        <v>3</v>
      </c>
      <c r="AQ4928" s="4">
        <v>3</v>
      </c>
      <c r="AR4928" s="3" t="s">
        <v>64</v>
      </c>
      <c r="AS4928" s="3" t="s">
        <v>64</v>
      </c>
      <c r="AT4928" s="3" t="s">
        <v>64</v>
      </c>
      <c r="AV4928" s="6" t="str">
        <f>HYPERLINK("http://mcgill.on.worldcat.org/oclc/999771810","Catalog Record")</f>
        <v>Catalog Record</v>
      </c>
      <c r="AW4928" s="6" t="str">
        <f>HYPERLINK("http://www.worldcat.org/oclc/999771810","WorldCat Record")</f>
        <v>WorldCat Record</v>
      </c>
      <c r="AX4928" s="3" t="s">
        <v>47970</v>
      </c>
      <c r="AY4928" s="3" t="s">
        <v>47971</v>
      </c>
      <c r="AZ4928" s="3" t="s">
        <v>47972</v>
      </c>
      <c r="BA4928" s="3" t="s">
        <v>47972</v>
      </c>
      <c r="BB4928" s="3" t="s">
        <v>47976</v>
      </c>
      <c r="BC4928" s="3" t="s">
        <v>77</v>
      </c>
      <c r="BD4928" s="3" t="s">
        <v>78</v>
      </c>
      <c r="BE4928" s="3" t="s">
        <v>47974</v>
      </c>
      <c r="BF4928" s="3" t="s">
        <v>47976</v>
      </c>
      <c r="BG4928" s="3" t="s">
        <v>47977</v>
      </c>
      <c r="BH4928">
        <f t="shared" si="158"/>
        <v>0</v>
      </c>
    </row>
    <row r="4929" spans="1:60" ht="58" x14ac:dyDescent="0.35">
      <c r="A4929" s="2" t="s">
        <v>59</v>
      </c>
      <c r="B4929" s="2" t="s">
        <v>60</v>
      </c>
      <c r="C4929" s="2" t="s">
        <v>47978</v>
      </c>
      <c r="D4929" s="2" t="s">
        <v>47979</v>
      </c>
      <c r="E4929" s="2" t="s">
        <v>47980</v>
      </c>
      <c r="G4929" s="3" t="s">
        <v>64</v>
      </c>
      <c r="I4929" s="3" t="s">
        <v>64</v>
      </c>
      <c r="J4929" s="3" t="s">
        <v>128</v>
      </c>
      <c r="K4929" s="3" t="s">
        <v>65</v>
      </c>
      <c r="L4929" s="2" t="s">
        <v>47981</v>
      </c>
      <c r="M4929" s="2" t="s">
        <v>47982</v>
      </c>
      <c r="N4929" s="3" t="s">
        <v>1004</v>
      </c>
      <c r="P4929" s="3" t="s">
        <v>102</v>
      </c>
      <c r="Q4929" s="2" t="s">
        <v>47983</v>
      </c>
      <c r="R4929" s="3" t="s">
        <v>70</v>
      </c>
      <c r="S4929" s="4">
        <v>1</v>
      </c>
      <c r="T4929" s="4">
        <v>1</v>
      </c>
      <c r="U4929" s="5" t="s">
        <v>36176</v>
      </c>
      <c r="V4929" s="5" t="s">
        <v>36176</v>
      </c>
      <c r="W4929" s="5" t="s">
        <v>72</v>
      </c>
      <c r="X4929" s="5" t="s">
        <v>72</v>
      </c>
      <c r="Y4929" s="4">
        <v>70</v>
      </c>
      <c r="Z4929" s="4">
        <v>3</v>
      </c>
      <c r="AA4929" s="4">
        <v>34</v>
      </c>
      <c r="AB4929" s="4">
        <v>1</v>
      </c>
      <c r="AC4929" s="4">
        <v>5</v>
      </c>
      <c r="AD4929" s="4">
        <v>22</v>
      </c>
      <c r="AE4929" s="4">
        <v>114</v>
      </c>
      <c r="AF4929" s="4">
        <v>0</v>
      </c>
      <c r="AG4929" s="4">
        <v>3</v>
      </c>
      <c r="AH4929" s="4">
        <v>19</v>
      </c>
      <c r="AI4929" s="4">
        <v>96</v>
      </c>
      <c r="AJ4929" s="4">
        <v>1</v>
      </c>
      <c r="AK4929" s="4">
        <v>21</v>
      </c>
      <c r="AL4929" s="4">
        <v>9</v>
      </c>
      <c r="AM4929" s="4">
        <v>53</v>
      </c>
      <c r="AN4929" s="4">
        <v>0</v>
      </c>
      <c r="AO4929" s="4">
        <v>0</v>
      </c>
      <c r="AP4929" s="4">
        <v>2</v>
      </c>
      <c r="AQ4929" s="4">
        <v>25</v>
      </c>
      <c r="AR4929" s="3" t="s">
        <v>64</v>
      </c>
      <c r="AS4929" s="3" t="s">
        <v>64</v>
      </c>
      <c r="AT4929" s="3" t="s">
        <v>64</v>
      </c>
      <c r="AV4929" s="6" t="str">
        <f>HYPERLINK("http://mcgill.on.worldcat.org/oclc/9412953","Catalog Record")</f>
        <v>Catalog Record</v>
      </c>
      <c r="AW4929" s="6" t="str">
        <f>HYPERLINK("http://www.worldcat.org/oclc/9412953","WorldCat Record")</f>
        <v>WorldCat Record</v>
      </c>
      <c r="AX4929" s="3" t="s">
        <v>47984</v>
      </c>
      <c r="AY4929" s="3" t="s">
        <v>47985</v>
      </c>
      <c r="AZ4929" s="3" t="s">
        <v>47986</v>
      </c>
      <c r="BA4929" s="3" t="s">
        <v>47986</v>
      </c>
      <c r="BB4929" s="3" t="s">
        <v>47987</v>
      </c>
      <c r="BC4929" s="3" t="s">
        <v>77</v>
      </c>
      <c r="BD4929" s="3" t="s">
        <v>78</v>
      </c>
      <c r="BE4929" s="3" t="s">
        <v>47988</v>
      </c>
      <c r="BF4929" s="3" t="s">
        <v>47987</v>
      </c>
      <c r="BG4929" s="3" t="s">
        <v>47989</v>
      </c>
      <c r="BH4929">
        <f t="shared" si="158"/>
        <v>0</v>
      </c>
    </row>
    <row r="4930" spans="1:60" ht="58" x14ac:dyDescent="0.35">
      <c r="A4930" s="2" t="s">
        <v>59</v>
      </c>
      <c r="B4930" s="2" t="s">
        <v>60</v>
      </c>
      <c r="C4930" s="2" t="s">
        <v>47990</v>
      </c>
      <c r="D4930" s="2" t="s">
        <v>47991</v>
      </c>
      <c r="E4930" s="2" t="s">
        <v>47992</v>
      </c>
      <c r="G4930" s="3" t="s">
        <v>64</v>
      </c>
      <c r="I4930" s="3" t="s">
        <v>64</v>
      </c>
      <c r="J4930" s="3" t="s">
        <v>64</v>
      </c>
      <c r="K4930" s="3" t="s">
        <v>65</v>
      </c>
      <c r="L4930" s="2" t="s">
        <v>47993</v>
      </c>
      <c r="M4930" s="2" t="s">
        <v>47994</v>
      </c>
      <c r="N4930" s="3" t="s">
        <v>86</v>
      </c>
      <c r="P4930" s="3" t="s">
        <v>4873</v>
      </c>
      <c r="R4930" s="3" t="s">
        <v>70</v>
      </c>
      <c r="S4930" s="4">
        <v>0</v>
      </c>
      <c r="T4930" s="4">
        <v>0</v>
      </c>
      <c r="W4930" s="5" t="s">
        <v>72</v>
      </c>
      <c r="X4930" s="5" t="s">
        <v>72</v>
      </c>
      <c r="Y4930" s="4">
        <v>24</v>
      </c>
      <c r="Z4930" s="4">
        <v>1</v>
      </c>
      <c r="AA4930" s="4">
        <v>1</v>
      </c>
      <c r="AB4930" s="4">
        <v>1</v>
      </c>
      <c r="AC4930" s="4">
        <v>1</v>
      </c>
      <c r="AD4930" s="4">
        <v>16</v>
      </c>
      <c r="AE4930" s="4">
        <v>16</v>
      </c>
      <c r="AF4930" s="4">
        <v>0</v>
      </c>
      <c r="AG4930" s="4">
        <v>0</v>
      </c>
      <c r="AH4930" s="4">
        <v>15</v>
      </c>
      <c r="AI4930" s="4">
        <v>15</v>
      </c>
      <c r="AJ4930" s="4">
        <v>0</v>
      </c>
      <c r="AK4930" s="4">
        <v>0</v>
      </c>
      <c r="AL4930" s="4">
        <v>15</v>
      </c>
      <c r="AM4930" s="4">
        <v>15</v>
      </c>
      <c r="AN4930" s="4">
        <v>0</v>
      </c>
      <c r="AO4930" s="4">
        <v>0</v>
      </c>
      <c r="AP4930" s="4">
        <v>0</v>
      </c>
      <c r="AQ4930" s="4">
        <v>0</v>
      </c>
      <c r="AR4930" s="3" t="s">
        <v>64</v>
      </c>
      <c r="AS4930" s="3" t="s">
        <v>64</v>
      </c>
      <c r="AT4930" s="3" t="s">
        <v>64</v>
      </c>
      <c r="AV4930" s="6" t="str">
        <f>HYPERLINK("http://mcgill.on.worldcat.org/oclc/798995747","Catalog Record")</f>
        <v>Catalog Record</v>
      </c>
      <c r="AW4930" s="6" t="str">
        <f>HYPERLINK("http://www.worldcat.org/oclc/798995747","WorldCat Record")</f>
        <v>WorldCat Record</v>
      </c>
      <c r="AX4930" s="3" t="s">
        <v>47995</v>
      </c>
      <c r="AY4930" s="3" t="s">
        <v>47996</v>
      </c>
      <c r="AZ4930" s="3" t="s">
        <v>47997</v>
      </c>
      <c r="BA4930" s="3" t="s">
        <v>47997</v>
      </c>
      <c r="BB4930" s="3" t="s">
        <v>47998</v>
      </c>
      <c r="BC4930" s="3" t="s">
        <v>77</v>
      </c>
      <c r="BD4930" s="3" t="s">
        <v>78</v>
      </c>
      <c r="BE4930" s="3" t="s">
        <v>47999</v>
      </c>
      <c r="BF4930" s="3" t="s">
        <v>47998</v>
      </c>
      <c r="BG4930" s="3" t="s">
        <v>48000</v>
      </c>
      <c r="BH4930">
        <f t="shared" ref="BH4930:BH4993" si="159">IF(COUNTIF($BF$1:$BF$5431,BF4930)=1,0,1)</f>
        <v>0</v>
      </c>
    </row>
    <row r="4931" spans="1:60" ht="203" x14ac:dyDescent="0.35">
      <c r="A4931" s="2" t="s">
        <v>59</v>
      </c>
      <c r="B4931" s="2" t="s">
        <v>60</v>
      </c>
      <c r="C4931" s="2" t="s">
        <v>48001</v>
      </c>
      <c r="D4931" s="2" t="s">
        <v>48002</v>
      </c>
      <c r="E4931" s="2" t="s">
        <v>48003</v>
      </c>
      <c r="G4931" s="3" t="s">
        <v>64</v>
      </c>
      <c r="I4931" s="3" t="s">
        <v>64</v>
      </c>
      <c r="J4931" s="3" t="s">
        <v>64</v>
      </c>
      <c r="K4931" s="3" t="s">
        <v>65</v>
      </c>
      <c r="L4931" s="2" t="s">
        <v>48004</v>
      </c>
      <c r="M4931" s="2" t="s">
        <v>48005</v>
      </c>
      <c r="N4931" s="3" t="s">
        <v>1763</v>
      </c>
      <c r="O4931" s="2" t="s">
        <v>48006</v>
      </c>
      <c r="P4931" s="3" t="s">
        <v>102</v>
      </c>
      <c r="R4931" s="3" t="s">
        <v>70</v>
      </c>
      <c r="S4931" s="4">
        <v>2</v>
      </c>
      <c r="T4931" s="4">
        <v>2</v>
      </c>
      <c r="U4931" s="5" t="s">
        <v>48007</v>
      </c>
      <c r="V4931" s="5" t="s">
        <v>48007</v>
      </c>
      <c r="W4931" s="5" t="s">
        <v>72</v>
      </c>
      <c r="X4931" s="5" t="s">
        <v>72</v>
      </c>
      <c r="Y4931" s="4">
        <v>65</v>
      </c>
      <c r="Z4931" s="4">
        <v>5</v>
      </c>
      <c r="AA4931" s="4">
        <v>13</v>
      </c>
      <c r="AB4931" s="4">
        <v>1</v>
      </c>
      <c r="AC4931" s="4">
        <v>2</v>
      </c>
      <c r="AD4931" s="4">
        <v>32</v>
      </c>
      <c r="AE4931" s="4">
        <v>59</v>
      </c>
      <c r="AF4931" s="4">
        <v>0</v>
      </c>
      <c r="AG4931" s="4">
        <v>1</v>
      </c>
      <c r="AH4931" s="4">
        <v>30</v>
      </c>
      <c r="AI4931" s="4">
        <v>52</v>
      </c>
      <c r="AJ4931" s="4">
        <v>2</v>
      </c>
      <c r="AK4931" s="4">
        <v>8</v>
      </c>
      <c r="AL4931" s="4">
        <v>21</v>
      </c>
      <c r="AM4931" s="4">
        <v>35</v>
      </c>
      <c r="AN4931" s="4">
        <v>5</v>
      </c>
      <c r="AO4931" s="4">
        <v>5</v>
      </c>
      <c r="AP4931" s="4">
        <v>2</v>
      </c>
      <c r="AQ4931" s="4">
        <v>7</v>
      </c>
      <c r="AR4931" s="3" t="s">
        <v>64</v>
      </c>
      <c r="AS4931" s="3" t="s">
        <v>64</v>
      </c>
      <c r="AT4931" s="3" t="s">
        <v>128</v>
      </c>
      <c r="AU4931" s="6" t="str">
        <f>HYPERLINK("http://catalog.hathitrust.org/Record/000834724","HathiTrust Record")</f>
        <v>HathiTrust Record</v>
      </c>
      <c r="AV4931" s="6" t="str">
        <f>HYPERLINK("http://mcgill.on.worldcat.org/oclc/19326435","Catalog Record")</f>
        <v>Catalog Record</v>
      </c>
      <c r="AW4931" s="6" t="str">
        <f>HYPERLINK("http://www.worldcat.org/oclc/19326435","WorldCat Record")</f>
        <v>WorldCat Record</v>
      </c>
      <c r="AX4931" s="3" t="s">
        <v>48008</v>
      </c>
      <c r="AY4931" s="3" t="s">
        <v>48009</v>
      </c>
      <c r="AZ4931" s="3" t="s">
        <v>48010</v>
      </c>
      <c r="BA4931" s="3" t="s">
        <v>48010</v>
      </c>
      <c r="BB4931" s="3" t="s">
        <v>48011</v>
      </c>
      <c r="BC4931" s="3" t="s">
        <v>77</v>
      </c>
      <c r="BD4931" s="3" t="s">
        <v>78</v>
      </c>
      <c r="BE4931" s="3" t="s">
        <v>48012</v>
      </c>
      <c r="BF4931" s="3" t="s">
        <v>48011</v>
      </c>
      <c r="BG4931" s="3" t="s">
        <v>48013</v>
      </c>
      <c r="BH4931">
        <f t="shared" si="159"/>
        <v>0</v>
      </c>
    </row>
    <row r="4932" spans="1:60" ht="58" x14ac:dyDescent="0.35">
      <c r="A4932" s="2" t="s">
        <v>59</v>
      </c>
      <c r="B4932" s="2" t="s">
        <v>60</v>
      </c>
      <c r="C4932" s="2" t="s">
        <v>48014</v>
      </c>
      <c r="D4932" s="2" t="s">
        <v>48015</v>
      </c>
      <c r="E4932" s="2" t="s">
        <v>48016</v>
      </c>
      <c r="G4932" s="3" t="s">
        <v>64</v>
      </c>
      <c r="I4932" s="3" t="s">
        <v>64</v>
      </c>
      <c r="J4932" s="3" t="s">
        <v>64</v>
      </c>
      <c r="K4932" s="3" t="s">
        <v>65</v>
      </c>
      <c r="L4932" s="2" t="s">
        <v>48017</v>
      </c>
      <c r="M4932" s="2" t="s">
        <v>48018</v>
      </c>
      <c r="N4932" s="3" t="s">
        <v>116</v>
      </c>
      <c r="P4932" s="3" t="s">
        <v>102</v>
      </c>
      <c r="Q4932" s="2" t="s">
        <v>48019</v>
      </c>
      <c r="R4932" s="3" t="s">
        <v>70</v>
      </c>
      <c r="S4932" s="4">
        <v>2</v>
      </c>
      <c r="T4932" s="4">
        <v>2</v>
      </c>
      <c r="U4932" s="5" t="s">
        <v>14247</v>
      </c>
      <c r="V4932" s="5" t="s">
        <v>14247</v>
      </c>
      <c r="W4932" s="5" t="s">
        <v>72</v>
      </c>
      <c r="X4932" s="5" t="s">
        <v>72</v>
      </c>
      <c r="Y4932" s="4">
        <v>99</v>
      </c>
      <c r="Z4932" s="4">
        <v>8</v>
      </c>
      <c r="AA4932" s="4">
        <v>8</v>
      </c>
      <c r="AB4932" s="4">
        <v>2</v>
      </c>
      <c r="AC4932" s="4">
        <v>2</v>
      </c>
      <c r="AD4932" s="4">
        <v>36</v>
      </c>
      <c r="AE4932" s="4">
        <v>36</v>
      </c>
      <c r="AF4932" s="4">
        <v>0</v>
      </c>
      <c r="AG4932" s="4">
        <v>0</v>
      </c>
      <c r="AH4932" s="4">
        <v>35</v>
      </c>
      <c r="AI4932" s="4">
        <v>35</v>
      </c>
      <c r="AJ4932" s="4">
        <v>3</v>
      </c>
      <c r="AK4932" s="4">
        <v>3</v>
      </c>
      <c r="AL4932" s="4">
        <v>20</v>
      </c>
      <c r="AM4932" s="4">
        <v>20</v>
      </c>
      <c r="AN4932" s="4">
        <v>0</v>
      </c>
      <c r="AO4932" s="4">
        <v>0</v>
      </c>
      <c r="AP4932" s="4">
        <v>3</v>
      </c>
      <c r="AQ4932" s="4">
        <v>3</v>
      </c>
      <c r="AR4932" s="3" t="s">
        <v>64</v>
      </c>
      <c r="AS4932" s="3" t="s">
        <v>64</v>
      </c>
      <c r="AT4932" s="3" t="s">
        <v>64</v>
      </c>
      <c r="AV4932" s="6" t="str">
        <f>HYPERLINK("http://mcgill.on.worldcat.org/oclc/46729412","Catalog Record")</f>
        <v>Catalog Record</v>
      </c>
      <c r="AW4932" s="6" t="str">
        <f>HYPERLINK("http://www.worldcat.org/oclc/46729412","WorldCat Record")</f>
        <v>WorldCat Record</v>
      </c>
      <c r="AX4932" s="3" t="s">
        <v>48020</v>
      </c>
      <c r="AY4932" s="3" t="s">
        <v>48021</v>
      </c>
      <c r="AZ4932" s="3" t="s">
        <v>48022</v>
      </c>
      <c r="BA4932" s="3" t="s">
        <v>48022</v>
      </c>
      <c r="BB4932" s="3" t="s">
        <v>48023</v>
      </c>
      <c r="BC4932" s="3" t="s">
        <v>77</v>
      </c>
      <c r="BD4932" s="3" t="s">
        <v>78</v>
      </c>
      <c r="BE4932" s="3" t="s">
        <v>48024</v>
      </c>
      <c r="BF4932" s="3" t="s">
        <v>48023</v>
      </c>
      <c r="BG4932" s="3" t="s">
        <v>48025</v>
      </c>
      <c r="BH4932">
        <f t="shared" si="159"/>
        <v>0</v>
      </c>
    </row>
    <row r="4933" spans="1:60" ht="58" x14ac:dyDescent="0.35">
      <c r="A4933" s="2" t="s">
        <v>59</v>
      </c>
      <c r="B4933" s="2" t="s">
        <v>60</v>
      </c>
      <c r="C4933" s="2" t="s">
        <v>48026</v>
      </c>
      <c r="D4933" s="2" t="s">
        <v>48027</v>
      </c>
      <c r="E4933" s="2" t="s">
        <v>48028</v>
      </c>
      <c r="G4933" s="3" t="s">
        <v>64</v>
      </c>
      <c r="I4933" s="3" t="s">
        <v>64</v>
      </c>
      <c r="J4933" s="3" t="s">
        <v>64</v>
      </c>
      <c r="K4933" s="3" t="s">
        <v>65</v>
      </c>
      <c r="L4933" s="2" t="s">
        <v>48029</v>
      </c>
      <c r="M4933" s="2" t="s">
        <v>48030</v>
      </c>
      <c r="N4933" s="3" t="s">
        <v>171</v>
      </c>
      <c r="P4933" s="3" t="s">
        <v>102</v>
      </c>
      <c r="R4933" s="3" t="s">
        <v>70</v>
      </c>
      <c r="S4933" s="4">
        <v>2</v>
      </c>
      <c r="T4933" s="4">
        <v>2</v>
      </c>
      <c r="U4933" s="5" t="s">
        <v>7592</v>
      </c>
      <c r="V4933" s="5" t="s">
        <v>7592</v>
      </c>
      <c r="W4933" s="5" t="s">
        <v>72</v>
      </c>
      <c r="X4933" s="5" t="s">
        <v>72</v>
      </c>
      <c r="Y4933" s="4">
        <v>97</v>
      </c>
      <c r="Z4933" s="4">
        <v>5</v>
      </c>
      <c r="AA4933" s="4">
        <v>5</v>
      </c>
      <c r="AB4933" s="4">
        <v>1</v>
      </c>
      <c r="AC4933" s="4">
        <v>1</v>
      </c>
      <c r="AD4933" s="4">
        <v>48</v>
      </c>
      <c r="AE4933" s="4">
        <v>48</v>
      </c>
      <c r="AF4933" s="4">
        <v>0</v>
      </c>
      <c r="AG4933" s="4">
        <v>0</v>
      </c>
      <c r="AH4933" s="4">
        <v>46</v>
      </c>
      <c r="AI4933" s="4">
        <v>46</v>
      </c>
      <c r="AJ4933" s="4">
        <v>2</v>
      </c>
      <c r="AK4933" s="4">
        <v>2</v>
      </c>
      <c r="AL4933" s="4">
        <v>34</v>
      </c>
      <c r="AM4933" s="4">
        <v>34</v>
      </c>
      <c r="AN4933" s="4">
        <v>0</v>
      </c>
      <c r="AO4933" s="4">
        <v>0</v>
      </c>
      <c r="AP4933" s="4">
        <v>2</v>
      </c>
      <c r="AQ4933" s="4">
        <v>2</v>
      </c>
      <c r="AR4933" s="3" t="s">
        <v>64</v>
      </c>
      <c r="AS4933" s="3" t="s">
        <v>64</v>
      </c>
      <c r="AT4933" s="3" t="s">
        <v>128</v>
      </c>
      <c r="AU4933" s="6" t="str">
        <f>HYPERLINK("http://catalog.hathitrust.org/Record/005260297","HathiTrust Record")</f>
        <v>HathiTrust Record</v>
      </c>
      <c r="AV4933" s="6" t="str">
        <f>HYPERLINK("http://mcgill.on.worldcat.org/oclc/69912549","Catalog Record")</f>
        <v>Catalog Record</v>
      </c>
      <c r="AW4933" s="6" t="str">
        <f>HYPERLINK("http://www.worldcat.org/oclc/69912549","WorldCat Record")</f>
        <v>WorldCat Record</v>
      </c>
      <c r="AX4933" s="3" t="s">
        <v>48031</v>
      </c>
      <c r="AY4933" s="3" t="s">
        <v>48032</v>
      </c>
      <c r="AZ4933" s="3" t="s">
        <v>48033</v>
      </c>
      <c r="BA4933" s="3" t="s">
        <v>48033</v>
      </c>
      <c r="BB4933" s="3" t="s">
        <v>48034</v>
      </c>
      <c r="BC4933" s="3" t="s">
        <v>77</v>
      </c>
      <c r="BD4933" s="3" t="s">
        <v>78</v>
      </c>
      <c r="BE4933" s="3" t="s">
        <v>48035</v>
      </c>
      <c r="BF4933" s="3" t="s">
        <v>48034</v>
      </c>
      <c r="BG4933" s="3" t="s">
        <v>48036</v>
      </c>
      <c r="BH4933">
        <f t="shared" si="159"/>
        <v>0</v>
      </c>
    </row>
    <row r="4934" spans="1:60" ht="58" x14ac:dyDescent="0.35">
      <c r="A4934" s="2" t="s">
        <v>59</v>
      </c>
      <c r="B4934" s="2" t="s">
        <v>60</v>
      </c>
      <c r="C4934" s="2" t="s">
        <v>48037</v>
      </c>
      <c r="D4934" s="2" t="s">
        <v>48038</v>
      </c>
      <c r="E4934" s="2" t="s">
        <v>48039</v>
      </c>
      <c r="G4934" s="3" t="s">
        <v>64</v>
      </c>
      <c r="I4934" s="3" t="s">
        <v>64</v>
      </c>
      <c r="J4934" s="3" t="s">
        <v>64</v>
      </c>
      <c r="K4934" s="3" t="s">
        <v>65</v>
      </c>
      <c r="L4934" s="2" t="s">
        <v>48040</v>
      </c>
      <c r="M4934" s="2" t="s">
        <v>48041</v>
      </c>
      <c r="N4934" s="3" t="s">
        <v>67</v>
      </c>
      <c r="O4934" s="2" t="s">
        <v>21483</v>
      </c>
      <c r="P4934" s="3" t="s">
        <v>102</v>
      </c>
      <c r="R4934" s="3" t="s">
        <v>70</v>
      </c>
      <c r="S4934" s="4">
        <v>3</v>
      </c>
      <c r="T4934" s="4">
        <v>3</v>
      </c>
      <c r="U4934" s="5" t="s">
        <v>14509</v>
      </c>
      <c r="V4934" s="5" t="s">
        <v>14509</v>
      </c>
      <c r="W4934" s="5" t="s">
        <v>72</v>
      </c>
      <c r="X4934" s="5" t="s">
        <v>72</v>
      </c>
      <c r="Y4934" s="4">
        <v>32</v>
      </c>
      <c r="Z4934" s="4">
        <v>3</v>
      </c>
      <c r="AA4934" s="4">
        <v>8</v>
      </c>
      <c r="AB4934" s="4">
        <v>1</v>
      </c>
      <c r="AC4934" s="4">
        <v>1</v>
      </c>
      <c r="AD4934" s="4">
        <v>17</v>
      </c>
      <c r="AE4934" s="4">
        <v>39</v>
      </c>
      <c r="AF4934" s="4">
        <v>0</v>
      </c>
      <c r="AG4934" s="4">
        <v>0</v>
      </c>
      <c r="AH4934" s="4">
        <v>17</v>
      </c>
      <c r="AI4934" s="4">
        <v>37</v>
      </c>
      <c r="AJ4934" s="4">
        <v>2</v>
      </c>
      <c r="AK4934" s="4">
        <v>5</v>
      </c>
      <c r="AL4934" s="4">
        <v>11</v>
      </c>
      <c r="AM4934" s="4">
        <v>24</v>
      </c>
      <c r="AN4934" s="4">
        <v>0</v>
      </c>
      <c r="AO4934" s="4">
        <v>0</v>
      </c>
      <c r="AP4934" s="4">
        <v>2</v>
      </c>
      <c r="AQ4934" s="4">
        <v>5</v>
      </c>
      <c r="AR4934" s="3" t="s">
        <v>64</v>
      </c>
      <c r="AS4934" s="3" t="s">
        <v>64</v>
      </c>
      <c r="AT4934" s="3" t="s">
        <v>64</v>
      </c>
      <c r="AV4934" s="6" t="str">
        <f>HYPERLINK("http://mcgill.on.worldcat.org/oclc/868083402","Catalog Record")</f>
        <v>Catalog Record</v>
      </c>
      <c r="AW4934" s="6" t="str">
        <f>HYPERLINK("http://www.worldcat.org/oclc/868083402","WorldCat Record")</f>
        <v>WorldCat Record</v>
      </c>
      <c r="AX4934" s="3" t="s">
        <v>48042</v>
      </c>
      <c r="AY4934" s="3" t="s">
        <v>48043</v>
      </c>
      <c r="AZ4934" s="3" t="s">
        <v>48044</v>
      </c>
      <c r="BA4934" s="3" t="s">
        <v>48044</v>
      </c>
      <c r="BB4934" s="3" t="s">
        <v>48045</v>
      </c>
      <c r="BC4934" s="3" t="s">
        <v>77</v>
      </c>
      <c r="BD4934" s="3" t="s">
        <v>78</v>
      </c>
      <c r="BE4934" s="3" t="s">
        <v>48046</v>
      </c>
      <c r="BF4934" s="3" t="s">
        <v>48045</v>
      </c>
      <c r="BG4934" s="3" t="s">
        <v>48047</v>
      </c>
      <c r="BH4934">
        <f t="shared" si="159"/>
        <v>0</v>
      </c>
    </row>
    <row r="4935" spans="1:60" ht="58" x14ac:dyDescent="0.35">
      <c r="A4935" s="2" t="s">
        <v>59</v>
      </c>
      <c r="B4935" s="2" t="s">
        <v>60</v>
      </c>
      <c r="C4935" s="2" t="s">
        <v>48048</v>
      </c>
      <c r="D4935" s="2" t="s">
        <v>48049</v>
      </c>
      <c r="E4935" s="2" t="s">
        <v>48050</v>
      </c>
      <c r="F4935" s="3" t="s">
        <v>48051</v>
      </c>
      <c r="G4935" s="3" t="s">
        <v>64</v>
      </c>
      <c r="I4935" s="3" t="s">
        <v>64</v>
      </c>
      <c r="J4935" s="3" t="s">
        <v>64</v>
      </c>
      <c r="K4935" s="3" t="s">
        <v>65</v>
      </c>
      <c r="L4935" s="2" t="s">
        <v>48052</v>
      </c>
      <c r="M4935" s="2" t="s">
        <v>6901</v>
      </c>
      <c r="N4935" s="3" t="s">
        <v>253</v>
      </c>
      <c r="O4935" s="2" t="s">
        <v>117</v>
      </c>
      <c r="P4935" s="3" t="s">
        <v>102</v>
      </c>
      <c r="R4935" s="3" t="s">
        <v>70</v>
      </c>
      <c r="S4935" s="4">
        <v>0</v>
      </c>
      <c r="T4935" s="4">
        <v>0</v>
      </c>
      <c r="W4935" s="5" t="s">
        <v>17763</v>
      </c>
      <c r="X4935" s="5" t="s">
        <v>17763</v>
      </c>
      <c r="Y4935" s="4">
        <v>68</v>
      </c>
      <c r="Z4935" s="4">
        <v>2</v>
      </c>
      <c r="AA4935" s="4">
        <v>4</v>
      </c>
      <c r="AB4935" s="4">
        <v>1</v>
      </c>
      <c r="AC4935" s="4">
        <v>1</v>
      </c>
      <c r="AD4935" s="4">
        <v>38</v>
      </c>
      <c r="AE4935" s="4">
        <v>40</v>
      </c>
      <c r="AF4935" s="4">
        <v>0</v>
      </c>
      <c r="AG4935" s="4">
        <v>0</v>
      </c>
      <c r="AH4935" s="4">
        <v>37</v>
      </c>
      <c r="AI4935" s="4">
        <v>39</v>
      </c>
      <c r="AJ4935" s="4">
        <v>1</v>
      </c>
      <c r="AK4935" s="4">
        <v>2</v>
      </c>
      <c r="AL4935" s="4">
        <v>29</v>
      </c>
      <c r="AM4935" s="4">
        <v>31</v>
      </c>
      <c r="AN4935" s="4">
        <v>0</v>
      </c>
      <c r="AO4935" s="4">
        <v>0</v>
      </c>
      <c r="AP4935" s="4">
        <v>1</v>
      </c>
      <c r="AQ4935" s="4">
        <v>2</v>
      </c>
      <c r="AR4935" s="3" t="s">
        <v>64</v>
      </c>
      <c r="AS4935" s="3" t="s">
        <v>64</v>
      </c>
      <c r="AT4935" s="3" t="s">
        <v>64</v>
      </c>
      <c r="AV4935" s="6" t="str">
        <f>HYPERLINK("http://mcgill.on.worldcat.org/oclc/923665684","Catalog Record")</f>
        <v>Catalog Record</v>
      </c>
      <c r="AW4935" s="6" t="str">
        <f>HYPERLINK("http://www.worldcat.org/oclc/923665684","WorldCat Record")</f>
        <v>WorldCat Record</v>
      </c>
      <c r="AX4935" s="3" t="s">
        <v>48053</v>
      </c>
      <c r="AY4935" s="3" t="s">
        <v>48054</v>
      </c>
      <c r="AZ4935" s="3" t="s">
        <v>48055</v>
      </c>
      <c r="BA4935" s="3" t="s">
        <v>48055</v>
      </c>
      <c r="BB4935" s="3" t="s">
        <v>48056</v>
      </c>
      <c r="BC4935" s="3" t="s">
        <v>77</v>
      </c>
      <c r="BD4935" s="3" t="s">
        <v>78</v>
      </c>
      <c r="BE4935" s="3" t="s">
        <v>48057</v>
      </c>
      <c r="BF4935" s="3" t="s">
        <v>48056</v>
      </c>
      <c r="BG4935" s="3" t="s">
        <v>48058</v>
      </c>
      <c r="BH4935">
        <f t="shared" si="159"/>
        <v>0</v>
      </c>
    </row>
    <row r="4936" spans="1:60" ht="72.5" x14ac:dyDescent="0.35">
      <c r="A4936" s="2" t="s">
        <v>59</v>
      </c>
      <c r="B4936" s="2" t="s">
        <v>60</v>
      </c>
      <c r="C4936" s="2" t="s">
        <v>48059</v>
      </c>
      <c r="D4936" s="2" t="s">
        <v>48060</v>
      </c>
      <c r="E4936" s="2" t="s">
        <v>48061</v>
      </c>
      <c r="F4936" s="3" t="s">
        <v>529</v>
      </c>
      <c r="G4936" s="3" t="s">
        <v>128</v>
      </c>
      <c r="I4936" s="3" t="s">
        <v>128</v>
      </c>
      <c r="J4936" s="3" t="s">
        <v>64</v>
      </c>
      <c r="K4936" s="3" t="s">
        <v>65</v>
      </c>
      <c r="L4936" s="2" t="s">
        <v>48062</v>
      </c>
      <c r="M4936" s="2" t="s">
        <v>48063</v>
      </c>
      <c r="N4936" s="3" t="s">
        <v>979</v>
      </c>
      <c r="P4936" s="3" t="s">
        <v>102</v>
      </c>
      <c r="R4936" s="3" t="s">
        <v>70</v>
      </c>
      <c r="S4936" s="4">
        <v>0</v>
      </c>
      <c r="T4936" s="4">
        <v>7</v>
      </c>
      <c r="V4936" s="5" t="s">
        <v>24265</v>
      </c>
      <c r="W4936" s="5" t="s">
        <v>72</v>
      </c>
      <c r="X4936" s="5" t="s">
        <v>72</v>
      </c>
      <c r="Y4936" s="4">
        <v>169</v>
      </c>
      <c r="Z4936" s="4">
        <v>14</v>
      </c>
      <c r="AA4936" s="4">
        <v>19</v>
      </c>
      <c r="AB4936" s="4">
        <v>1</v>
      </c>
      <c r="AC4936" s="4">
        <v>2</v>
      </c>
      <c r="AD4936" s="4">
        <v>74</v>
      </c>
      <c r="AE4936" s="4">
        <v>87</v>
      </c>
      <c r="AF4936" s="4">
        <v>0</v>
      </c>
      <c r="AG4936" s="4">
        <v>1</v>
      </c>
      <c r="AH4936" s="4">
        <v>70</v>
      </c>
      <c r="AI4936" s="4">
        <v>81</v>
      </c>
      <c r="AJ4936" s="4">
        <v>10</v>
      </c>
      <c r="AK4936" s="4">
        <v>14</v>
      </c>
      <c r="AL4936" s="4">
        <v>42</v>
      </c>
      <c r="AM4936" s="4">
        <v>48</v>
      </c>
      <c r="AN4936" s="4">
        <v>0</v>
      </c>
      <c r="AO4936" s="4">
        <v>0</v>
      </c>
      <c r="AP4936" s="4">
        <v>10</v>
      </c>
      <c r="AQ4936" s="4">
        <v>14</v>
      </c>
      <c r="AR4936" s="3" t="s">
        <v>64</v>
      </c>
      <c r="AS4936" s="3" t="s">
        <v>64</v>
      </c>
      <c r="AT4936" s="3" t="s">
        <v>128</v>
      </c>
      <c r="AU4936" s="6" t="str">
        <f>HYPERLINK("http://catalog.hathitrust.org/Record/004101893","HathiTrust Record")</f>
        <v>HathiTrust Record</v>
      </c>
      <c r="AV4936" s="6" t="str">
        <f>HYPERLINK("http://mcgill.on.worldcat.org/oclc/40354814","Catalog Record")</f>
        <v>Catalog Record</v>
      </c>
      <c r="AW4936" s="6" t="str">
        <f>HYPERLINK("http://www.worldcat.org/oclc/40354814","WorldCat Record")</f>
        <v>WorldCat Record</v>
      </c>
      <c r="AX4936" s="3" t="s">
        <v>48064</v>
      </c>
      <c r="AY4936" s="3" t="s">
        <v>48065</v>
      </c>
      <c r="AZ4936" s="3" t="s">
        <v>48066</v>
      </c>
      <c r="BA4936" s="3" t="s">
        <v>48066</v>
      </c>
      <c r="BB4936" s="3" t="s">
        <v>48067</v>
      </c>
      <c r="BC4936" s="3" t="s">
        <v>77</v>
      </c>
      <c r="BD4936" s="3" t="s">
        <v>78</v>
      </c>
      <c r="BE4936" s="3" t="s">
        <v>48068</v>
      </c>
      <c r="BF4936" s="3" t="s">
        <v>48067</v>
      </c>
      <c r="BG4936" s="3" t="s">
        <v>48069</v>
      </c>
      <c r="BH4936">
        <f t="shared" si="159"/>
        <v>0</v>
      </c>
    </row>
    <row r="4937" spans="1:60" ht="72.5" x14ac:dyDescent="0.35">
      <c r="A4937" s="2" t="s">
        <v>59</v>
      </c>
      <c r="B4937" s="2" t="s">
        <v>60</v>
      </c>
      <c r="C4937" s="2" t="s">
        <v>48059</v>
      </c>
      <c r="D4937" s="2" t="s">
        <v>48060</v>
      </c>
      <c r="E4937" s="2" t="s">
        <v>48061</v>
      </c>
      <c r="F4937" s="3" t="s">
        <v>525</v>
      </c>
      <c r="G4937" s="3" t="s">
        <v>128</v>
      </c>
      <c r="I4937" s="3" t="s">
        <v>128</v>
      </c>
      <c r="J4937" s="3" t="s">
        <v>64</v>
      </c>
      <c r="K4937" s="3" t="s">
        <v>65</v>
      </c>
      <c r="L4937" s="2" t="s">
        <v>48062</v>
      </c>
      <c r="M4937" s="2" t="s">
        <v>48063</v>
      </c>
      <c r="N4937" s="3" t="s">
        <v>979</v>
      </c>
      <c r="P4937" s="3" t="s">
        <v>102</v>
      </c>
      <c r="R4937" s="3" t="s">
        <v>70</v>
      </c>
      <c r="S4937" s="4">
        <v>1</v>
      </c>
      <c r="T4937" s="4">
        <v>7</v>
      </c>
      <c r="U4937" s="5" t="s">
        <v>24265</v>
      </c>
      <c r="V4937" s="5" t="s">
        <v>24265</v>
      </c>
      <c r="W4937" s="5" t="s">
        <v>72</v>
      </c>
      <c r="X4937" s="5" t="s">
        <v>72</v>
      </c>
      <c r="Y4937" s="4">
        <v>169</v>
      </c>
      <c r="Z4937" s="4">
        <v>14</v>
      </c>
      <c r="AA4937" s="4">
        <v>19</v>
      </c>
      <c r="AB4937" s="4">
        <v>1</v>
      </c>
      <c r="AC4937" s="4">
        <v>2</v>
      </c>
      <c r="AD4937" s="4">
        <v>74</v>
      </c>
      <c r="AE4937" s="4">
        <v>87</v>
      </c>
      <c r="AF4937" s="4">
        <v>0</v>
      </c>
      <c r="AG4937" s="4">
        <v>1</v>
      </c>
      <c r="AH4937" s="4">
        <v>70</v>
      </c>
      <c r="AI4937" s="4">
        <v>81</v>
      </c>
      <c r="AJ4937" s="4">
        <v>10</v>
      </c>
      <c r="AK4937" s="4">
        <v>14</v>
      </c>
      <c r="AL4937" s="4">
        <v>42</v>
      </c>
      <c r="AM4937" s="4">
        <v>48</v>
      </c>
      <c r="AN4937" s="4">
        <v>0</v>
      </c>
      <c r="AO4937" s="4">
        <v>0</v>
      </c>
      <c r="AP4937" s="4">
        <v>10</v>
      </c>
      <c r="AQ4937" s="4">
        <v>14</v>
      </c>
      <c r="AR4937" s="3" t="s">
        <v>64</v>
      </c>
      <c r="AS4937" s="3" t="s">
        <v>64</v>
      </c>
      <c r="AT4937" s="3" t="s">
        <v>128</v>
      </c>
      <c r="AU4937" s="6" t="str">
        <f>HYPERLINK("http://catalog.hathitrust.org/Record/004101893","HathiTrust Record")</f>
        <v>HathiTrust Record</v>
      </c>
      <c r="AV4937" s="6" t="str">
        <f>HYPERLINK("http://mcgill.on.worldcat.org/oclc/40354814","Catalog Record")</f>
        <v>Catalog Record</v>
      </c>
      <c r="AW4937" s="6" t="str">
        <f>HYPERLINK("http://www.worldcat.org/oclc/40354814","WorldCat Record")</f>
        <v>WorldCat Record</v>
      </c>
      <c r="AX4937" s="3" t="s">
        <v>48064</v>
      </c>
      <c r="AY4937" s="3" t="s">
        <v>48065</v>
      </c>
      <c r="AZ4937" s="3" t="s">
        <v>48066</v>
      </c>
      <c r="BA4937" s="3" t="s">
        <v>48066</v>
      </c>
      <c r="BB4937" s="3" t="s">
        <v>48070</v>
      </c>
      <c r="BC4937" s="3" t="s">
        <v>77</v>
      </c>
      <c r="BD4937" s="3" t="s">
        <v>78</v>
      </c>
      <c r="BE4937" s="3" t="s">
        <v>48068</v>
      </c>
      <c r="BF4937" s="3" t="s">
        <v>48070</v>
      </c>
      <c r="BG4937" s="3" t="s">
        <v>48071</v>
      </c>
      <c r="BH4937">
        <f t="shared" si="159"/>
        <v>0</v>
      </c>
    </row>
    <row r="4938" spans="1:60" ht="72.5" x14ac:dyDescent="0.35">
      <c r="A4938" s="2" t="s">
        <v>59</v>
      </c>
      <c r="B4938" s="2" t="s">
        <v>60</v>
      </c>
      <c r="C4938" s="2" t="s">
        <v>48072</v>
      </c>
      <c r="D4938" s="2" t="s">
        <v>48073</v>
      </c>
      <c r="E4938" s="2" t="s">
        <v>48061</v>
      </c>
      <c r="F4938" s="3" t="s">
        <v>529</v>
      </c>
      <c r="G4938" s="3" t="s">
        <v>128</v>
      </c>
      <c r="I4938" s="3" t="s">
        <v>128</v>
      </c>
      <c r="J4938" s="3" t="s">
        <v>64</v>
      </c>
      <c r="K4938" s="3" t="s">
        <v>65</v>
      </c>
      <c r="L4938" s="2" t="s">
        <v>48062</v>
      </c>
      <c r="M4938" s="2" t="s">
        <v>48063</v>
      </c>
      <c r="N4938" s="3" t="s">
        <v>979</v>
      </c>
      <c r="P4938" s="3" t="s">
        <v>102</v>
      </c>
      <c r="R4938" s="3" t="s">
        <v>70</v>
      </c>
      <c r="S4938" s="4">
        <v>3</v>
      </c>
      <c r="T4938" s="4">
        <v>7</v>
      </c>
      <c r="U4938" s="5" t="s">
        <v>14509</v>
      </c>
      <c r="V4938" s="5" t="s">
        <v>24265</v>
      </c>
      <c r="W4938" s="5" t="s">
        <v>72</v>
      </c>
      <c r="X4938" s="5" t="s">
        <v>72</v>
      </c>
      <c r="Y4938" s="4">
        <v>169</v>
      </c>
      <c r="Z4938" s="4">
        <v>14</v>
      </c>
      <c r="AA4938" s="4">
        <v>19</v>
      </c>
      <c r="AB4938" s="4">
        <v>1</v>
      </c>
      <c r="AC4938" s="4">
        <v>2</v>
      </c>
      <c r="AD4938" s="4">
        <v>74</v>
      </c>
      <c r="AE4938" s="4">
        <v>87</v>
      </c>
      <c r="AF4938" s="4">
        <v>0</v>
      </c>
      <c r="AG4938" s="4">
        <v>1</v>
      </c>
      <c r="AH4938" s="4">
        <v>70</v>
      </c>
      <c r="AI4938" s="4">
        <v>81</v>
      </c>
      <c r="AJ4938" s="4">
        <v>10</v>
      </c>
      <c r="AK4938" s="4">
        <v>14</v>
      </c>
      <c r="AL4938" s="4">
        <v>42</v>
      </c>
      <c r="AM4938" s="4">
        <v>48</v>
      </c>
      <c r="AN4938" s="4">
        <v>0</v>
      </c>
      <c r="AO4938" s="4">
        <v>0</v>
      </c>
      <c r="AP4938" s="4">
        <v>10</v>
      </c>
      <c r="AQ4938" s="4">
        <v>14</v>
      </c>
      <c r="AR4938" s="3" t="s">
        <v>64</v>
      </c>
      <c r="AS4938" s="3" t="s">
        <v>64</v>
      </c>
      <c r="AT4938" s="3" t="s">
        <v>128</v>
      </c>
      <c r="AU4938" s="6" t="str">
        <f>HYPERLINK("http://catalog.hathitrust.org/Record/004101893","HathiTrust Record")</f>
        <v>HathiTrust Record</v>
      </c>
      <c r="AV4938" s="6" t="str">
        <f>HYPERLINK("http://mcgill.on.worldcat.org/oclc/40354814","Catalog Record")</f>
        <v>Catalog Record</v>
      </c>
      <c r="AW4938" s="6" t="str">
        <f>HYPERLINK("http://www.worldcat.org/oclc/40354814","WorldCat Record")</f>
        <v>WorldCat Record</v>
      </c>
      <c r="AX4938" s="3" t="s">
        <v>48064</v>
      </c>
      <c r="AY4938" s="3" t="s">
        <v>48065</v>
      </c>
      <c r="AZ4938" s="3" t="s">
        <v>48066</v>
      </c>
      <c r="BA4938" s="3" t="s">
        <v>48066</v>
      </c>
      <c r="BB4938" s="3" t="s">
        <v>48074</v>
      </c>
      <c r="BC4938" s="3" t="s">
        <v>77</v>
      </c>
      <c r="BD4938" s="3" t="s">
        <v>78</v>
      </c>
      <c r="BE4938" s="3" t="s">
        <v>48068</v>
      </c>
      <c r="BF4938" s="3" t="s">
        <v>48074</v>
      </c>
      <c r="BG4938" s="3" t="s">
        <v>48075</v>
      </c>
      <c r="BH4938">
        <f t="shared" si="159"/>
        <v>0</v>
      </c>
    </row>
    <row r="4939" spans="1:60" ht="72.5" x14ac:dyDescent="0.35">
      <c r="A4939" s="2" t="s">
        <v>59</v>
      </c>
      <c r="B4939" s="2" t="s">
        <v>60</v>
      </c>
      <c r="C4939" s="2" t="s">
        <v>48072</v>
      </c>
      <c r="D4939" s="2" t="s">
        <v>48073</v>
      </c>
      <c r="E4939" s="2" t="s">
        <v>48061</v>
      </c>
      <c r="F4939" s="3" t="s">
        <v>525</v>
      </c>
      <c r="G4939" s="3" t="s">
        <v>128</v>
      </c>
      <c r="I4939" s="3" t="s">
        <v>128</v>
      </c>
      <c r="J4939" s="3" t="s">
        <v>64</v>
      </c>
      <c r="K4939" s="3" t="s">
        <v>65</v>
      </c>
      <c r="L4939" s="2" t="s">
        <v>48062</v>
      </c>
      <c r="M4939" s="2" t="s">
        <v>48063</v>
      </c>
      <c r="N4939" s="3" t="s">
        <v>979</v>
      </c>
      <c r="P4939" s="3" t="s">
        <v>102</v>
      </c>
      <c r="R4939" s="3" t="s">
        <v>70</v>
      </c>
      <c r="S4939" s="4">
        <v>3</v>
      </c>
      <c r="T4939" s="4">
        <v>7</v>
      </c>
      <c r="U4939" s="5" t="s">
        <v>14509</v>
      </c>
      <c r="V4939" s="5" t="s">
        <v>24265</v>
      </c>
      <c r="W4939" s="5" t="s">
        <v>72</v>
      </c>
      <c r="X4939" s="5" t="s">
        <v>72</v>
      </c>
      <c r="Y4939" s="4">
        <v>169</v>
      </c>
      <c r="Z4939" s="4">
        <v>14</v>
      </c>
      <c r="AA4939" s="4">
        <v>19</v>
      </c>
      <c r="AB4939" s="4">
        <v>1</v>
      </c>
      <c r="AC4939" s="4">
        <v>2</v>
      </c>
      <c r="AD4939" s="4">
        <v>74</v>
      </c>
      <c r="AE4939" s="4">
        <v>87</v>
      </c>
      <c r="AF4939" s="4">
        <v>0</v>
      </c>
      <c r="AG4939" s="4">
        <v>1</v>
      </c>
      <c r="AH4939" s="4">
        <v>70</v>
      </c>
      <c r="AI4939" s="4">
        <v>81</v>
      </c>
      <c r="AJ4939" s="4">
        <v>10</v>
      </c>
      <c r="AK4939" s="4">
        <v>14</v>
      </c>
      <c r="AL4939" s="4">
        <v>42</v>
      </c>
      <c r="AM4939" s="4">
        <v>48</v>
      </c>
      <c r="AN4939" s="4">
        <v>0</v>
      </c>
      <c r="AO4939" s="4">
        <v>0</v>
      </c>
      <c r="AP4939" s="4">
        <v>10</v>
      </c>
      <c r="AQ4939" s="4">
        <v>14</v>
      </c>
      <c r="AR4939" s="3" t="s">
        <v>64</v>
      </c>
      <c r="AS4939" s="3" t="s">
        <v>64</v>
      </c>
      <c r="AT4939" s="3" t="s">
        <v>128</v>
      </c>
      <c r="AU4939" s="6" t="str">
        <f>HYPERLINK("http://catalog.hathitrust.org/Record/004101893","HathiTrust Record")</f>
        <v>HathiTrust Record</v>
      </c>
      <c r="AV4939" s="6" t="str">
        <f>HYPERLINK("http://mcgill.on.worldcat.org/oclc/40354814","Catalog Record")</f>
        <v>Catalog Record</v>
      </c>
      <c r="AW4939" s="6" t="str">
        <f>HYPERLINK("http://www.worldcat.org/oclc/40354814","WorldCat Record")</f>
        <v>WorldCat Record</v>
      </c>
      <c r="AX4939" s="3" t="s">
        <v>48064</v>
      </c>
      <c r="AY4939" s="3" t="s">
        <v>48065</v>
      </c>
      <c r="AZ4939" s="3" t="s">
        <v>48066</v>
      </c>
      <c r="BA4939" s="3" t="s">
        <v>48066</v>
      </c>
      <c r="BB4939" s="3" t="s">
        <v>48076</v>
      </c>
      <c r="BC4939" s="3" t="s">
        <v>77</v>
      </c>
      <c r="BD4939" s="3" t="s">
        <v>78</v>
      </c>
      <c r="BE4939" s="3" t="s">
        <v>48068</v>
      </c>
      <c r="BF4939" s="3" t="s">
        <v>48076</v>
      </c>
      <c r="BG4939" s="3" t="s">
        <v>48077</v>
      </c>
      <c r="BH4939">
        <f t="shared" si="159"/>
        <v>0</v>
      </c>
    </row>
    <row r="4940" spans="1:60" ht="58" x14ac:dyDescent="0.35">
      <c r="A4940" s="2" t="s">
        <v>59</v>
      </c>
      <c r="B4940" s="2" t="s">
        <v>60</v>
      </c>
      <c r="C4940" s="2" t="s">
        <v>48078</v>
      </c>
      <c r="D4940" s="2" t="s">
        <v>48079</v>
      </c>
      <c r="E4940" s="2" t="s">
        <v>48080</v>
      </c>
      <c r="G4940" s="3" t="s">
        <v>64</v>
      </c>
      <c r="I4940" s="3" t="s">
        <v>64</v>
      </c>
      <c r="J4940" s="3" t="s">
        <v>64</v>
      </c>
      <c r="K4940" s="3" t="s">
        <v>65</v>
      </c>
      <c r="L4940" s="2" t="s">
        <v>48081</v>
      </c>
      <c r="M4940" s="2" t="s">
        <v>48082</v>
      </c>
      <c r="N4940" s="3" t="s">
        <v>405</v>
      </c>
      <c r="P4940" s="3" t="s">
        <v>102</v>
      </c>
      <c r="Q4940" s="2" t="s">
        <v>48083</v>
      </c>
      <c r="R4940" s="3" t="s">
        <v>70</v>
      </c>
      <c r="S4940" s="4">
        <v>2</v>
      </c>
      <c r="T4940" s="4">
        <v>2</v>
      </c>
      <c r="U4940" s="5" t="s">
        <v>26539</v>
      </c>
      <c r="V4940" s="5" t="s">
        <v>26539</v>
      </c>
      <c r="W4940" s="5" t="s">
        <v>72</v>
      </c>
      <c r="X4940" s="5" t="s">
        <v>72</v>
      </c>
      <c r="Y4940" s="4">
        <v>288</v>
      </c>
      <c r="Z4940" s="4">
        <v>27</v>
      </c>
      <c r="AA4940" s="4">
        <v>28</v>
      </c>
      <c r="AB4940" s="4">
        <v>1</v>
      </c>
      <c r="AC4940" s="4">
        <v>2</v>
      </c>
      <c r="AD4940" s="4">
        <v>99</v>
      </c>
      <c r="AE4940" s="4">
        <v>104</v>
      </c>
      <c r="AF4940" s="4">
        <v>0</v>
      </c>
      <c r="AG4940" s="4">
        <v>1</v>
      </c>
      <c r="AH4940" s="4">
        <v>83</v>
      </c>
      <c r="AI4940" s="4">
        <v>87</v>
      </c>
      <c r="AJ4940" s="4">
        <v>19</v>
      </c>
      <c r="AK4940" s="4">
        <v>20</v>
      </c>
      <c r="AL4940" s="4">
        <v>46</v>
      </c>
      <c r="AM4940" s="4">
        <v>48</v>
      </c>
      <c r="AN4940" s="4">
        <v>0</v>
      </c>
      <c r="AO4940" s="4">
        <v>0</v>
      </c>
      <c r="AP4940" s="4">
        <v>22</v>
      </c>
      <c r="AQ4940" s="4">
        <v>22</v>
      </c>
      <c r="AR4940" s="3" t="s">
        <v>64</v>
      </c>
      <c r="AS4940" s="3" t="s">
        <v>64</v>
      </c>
      <c r="AT4940" s="3" t="s">
        <v>64</v>
      </c>
      <c r="AV4940" s="6" t="str">
        <f>HYPERLINK("http://mcgill.on.worldcat.org/oclc/3103856","Catalog Record")</f>
        <v>Catalog Record</v>
      </c>
      <c r="AW4940" s="6" t="str">
        <f>HYPERLINK("http://www.worldcat.org/oclc/3103856","WorldCat Record")</f>
        <v>WorldCat Record</v>
      </c>
      <c r="AX4940" s="3" t="s">
        <v>48084</v>
      </c>
      <c r="AY4940" s="3" t="s">
        <v>48085</v>
      </c>
      <c r="AZ4940" s="3" t="s">
        <v>48086</v>
      </c>
      <c r="BA4940" s="3" t="s">
        <v>48086</v>
      </c>
      <c r="BB4940" s="3" t="s">
        <v>48087</v>
      </c>
      <c r="BC4940" s="3" t="s">
        <v>77</v>
      </c>
      <c r="BD4940" s="3" t="s">
        <v>78</v>
      </c>
      <c r="BE4940" s="3" t="s">
        <v>48088</v>
      </c>
      <c r="BF4940" s="3" t="s">
        <v>48087</v>
      </c>
      <c r="BG4940" s="3" t="s">
        <v>48089</v>
      </c>
      <c r="BH4940">
        <f t="shared" si="159"/>
        <v>0</v>
      </c>
    </row>
    <row r="4941" spans="1:60" ht="58" x14ac:dyDescent="0.35">
      <c r="A4941" s="2" t="s">
        <v>59</v>
      </c>
      <c r="B4941" s="2" t="s">
        <v>60</v>
      </c>
      <c r="C4941" s="2" t="s">
        <v>48090</v>
      </c>
      <c r="D4941" s="2" t="s">
        <v>48091</v>
      </c>
      <c r="E4941" s="2" t="s">
        <v>48092</v>
      </c>
      <c r="G4941" s="3" t="s">
        <v>64</v>
      </c>
      <c r="I4941" s="3" t="s">
        <v>64</v>
      </c>
      <c r="J4941" s="3" t="s">
        <v>64</v>
      </c>
      <c r="K4941" s="3" t="s">
        <v>65</v>
      </c>
      <c r="L4941" s="2" t="s">
        <v>48093</v>
      </c>
      <c r="M4941" s="2" t="s">
        <v>48094</v>
      </c>
      <c r="N4941" s="3" t="s">
        <v>11160</v>
      </c>
      <c r="P4941" s="3" t="s">
        <v>102</v>
      </c>
      <c r="Q4941" s="2" t="s">
        <v>48095</v>
      </c>
      <c r="R4941" s="3" t="s">
        <v>70</v>
      </c>
      <c r="S4941" s="4">
        <v>3</v>
      </c>
      <c r="T4941" s="4">
        <v>3</v>
      </c>
      <c r="U4941" s="5" t="s">
        <v>27313</v>
      </c>
      <c r="V4941" s="5" t="s">
        <v>27313</v>
      </c>
      <c r="W4941" s="5" t="s">
        <v>72</v>
      </c>
      <c r="X4941" s="5" t="s">
        <v>72</v>
      </c>
      <c r="Y4941" s="4">
        <v>98</v>
      </c>
      <c r="Z4941" s="4">
        <v>4</v>
      </c>
      <c r="AA4941" s="4">
        <v>4</v>
      </c>
      <c r="AB4941" s="4">
        <v>1</v>
      </c>
      <c r="AC4941" s="4">
        <v>1</v>
      </c>
      <c r="AD4941" s="4">
        <v>48</v>
      </c>
      <c r="AE4941" s="4">
        <v>49</v>
      </c>
      <c r="AF4941" s="4">
        <v>0</v>
      </c>
      <c r="AG4941" s="4">
        <v>0</v>
      </c>
      <c r="AH4941" s="4">
        <v>47</v>
      </c>
      <c r="AI4941" s="4">
        <v>48</v>
      </c>
      <c r="AJ4941" s="4">
        <v>3</v>
      </c>
      <c r="AK4941" s="4">
        <v>3</v>
      </c>
      <c r="AL4941" s="4">
        <v>32</v>
      </c>
      <c r="AM4941" s="4">
        <v>32</v>
      </c>
      <c r="AN4941" s="4">
        <v>0</v>
      </c>
      <c r="AO4941" s="4">
        <v>0</v>
      </c>
      <c r="AP4941" s="4">
        <v>3</v>
      </c>
      <c r="AQ4941" s="4">
        <v>3</v>
      </c>
      <c r="AR4941" s="3" t="s">
        <v>64</v>
      </c>
      <c r="AS4941" s="3" t="s">
        <v>64</v>
      </c>
      <c r="AT4941" s="3" t="s">
        <v>64</v>
      </c>
      <c r="AU4941" s="6" t="str">
        <f>HYPERLINK("http://catalog.hathitrust.org/Record/001180371","HathiTrust Record")</f>
        <v>HathiTrust Record</v>
      </c>
      <c r="AV4941" s="6" t="str">
        <f>HYPERLINK("http://mcgill.on.worldcat.org/oclc/4687450","Catalog Record")</f>
        <v>Catalog Record</v>
      </c>
      <c r="AW4941" s="6" t="str">
        <f>HYPERLINK("http://www.worldcat.org/oclc/4687450","WorldCat Record")</f>
        <v>WorldCat Record</v>
      </c>
      <c r="AX4941" s="3" t="s">
        <v>48096</v>
      </c>
      <c r="AY4941" s="3" t="s">
        <v>48097</v>
      </c>
      <c r="AZ4941" s="3" t="s">
        <v>48098</v>
      </c>
      <c r="BA4941" s="3" t="s">
        <v>48098</v>
      </c>
      <c r="BB4941" s="3" t="s">
        <v>48099</v>
      </c>
      <c r="BC4941" s="3" t="s">
        <v>77</v>
      </c>
      <c r="BD4941" s="3" t="s">
        <v>78</v>
      </c>
      <c r="BF4941" s="3" t="s">
        <v>48099</v>
      </c>
      <c r="BG4941" s="3" t="s">
        <v>48100</v>
      </c>
      <c r="BH4941">
        <f t="shared" si="159"/>
        <v>0</v>
      </c>
    </row>
    <row r="4942" spans="1:60" ht="58" x14ac:dyDescent="0.35">
      <c r="A4942" s="2" t="s">
        <v>59</v>
      </c>
      <c r="B4942" s="2" t="s">
        <v>60</v>
      </c>
      <c r="C4942" s="2" t="s">
        <v>48101</v>
      </c>
      <c r="D4942" s="2" t="s">
        <v>48102</v>
      </c>
      <c r="E4942" s="2" t="s">
        <v>48103</v>
      </c>
      <c r="G4942" s="3" t="s">
        <v>64</v>
      </c>
      <c r="I4942" s="3" t="s">
        <v>64</v>
      </c>
      <c r="J4942" s="3" t="s">
        <v>64</v>
      </c>
      <c r="K4942" s="3" t="s">
        <v>65</v>
      </c>
      <c r="L4942" s="2" t="s">
        <v>48104</v>
      </c>
      <c r="M4942" s="2" t="s">
        <v>48105</v>
      </c>
      <c r="N4942" s="3" t="s">
        <v>1763</v>
      </c>
      <c r="P4942" s="3" t="s">
        <v>102</v>
      </c>
      <c r="R4942" s="3" t="s">
        <v>70</v>
      </c>
      <c r="S4942" s="4">
        <v>11</v>
      </c>
      <c r="T4942" s="4">
        <v>11</v>
      </c>
      <c r="U4942" s="5" t="s">
        <v>1727</v>
      </c>
      <c r="V4942" s="5" t="s">
        <v>1727</v>
      </c>
      <c r="W4942" s="5" t="s">
        <v>72</v>
      </c>
      <c r="X4942" s="5" t="s">
        <v>72</v>
      </c>
      <c r="Y4942" s="4">
        <v>320</v>
      </c>
      <c r="Z4942" s="4">
        <v>26</v>
      </c>
      <c r="AA4942" s="4">
        <v>86</v>
      </c>
      <c r="AB4942" s="4">
        <v>3</v>
      </c>
      <c r="AC4942" s="4">
        <v>14</v>
      </c>
      <c r="AD4942" s="4">
        <v>85</v>
      </c>
      <c r="AE4942" s="4">
        <v>125</v>
      </c>
      <c r="AF4942" s="4">
        <v>2</v>
      </c>
      <c r="AG4942" s="4">
        <v>8</v>
      </c>
      <c r="AH4942" s="4">
        <v>74</v>
      </c>
      <c r="AI4942" s="4">
        <v>90</v>
      </c>
      <c r="AJ4942" s="4">
        <v>16</v>
      </c>
      <c r="AK4942" s="4">
        <v>24</v>
      </c>
      <c r="AL4942" s="4">
        <v>44</v>
      </c>
      <c r="AM4942" s="4">
        <v>47</v>
      </c>
      <c r="AN4942" s="4">
        <v>0</v>
      </c>
      <c r="AO4942" s="4">
        <v>0</v>
      </c>
      <c r="AP4942" s="4">
        <v>17</v>
      </c>
      <c r="AQ4942" s="4">
        <v>43</v>
      </c>
      <c r="AR4942" s="3" t="s">
        <v>64</v>
      </c>
      <c r="AS4942" s="3" t="s">
        <v>64</v>
      </c>
      <c r="AT4942" s="3" t="s">
        <v>128</v>
      </c>
      <c r="AU4942" s="6" t="str">
        <f>HYPERLINK("http://catalog.hathitrust.org/Record/003945007","HathiTrust Record")</f>
        <v>HathiTrust Record</v>
      </c>
      <c r="AV4942" s="6" t="str">
        <f>HYPERLINK("http://mcgill.on.worldcat.org/oclc/10403852","Catalog Record")</f>
        <v>Catalog Record</v>
      </c>
      <c r="AW4942" s="6" t="str">
        <f>HYPERLINK("http://www.worldcat.org/oclc/10403852","WorldCat Record")</f>
        <v>WorldCat Record</v>
      </c>
      <c r="AX4942" s="3" t="s">
        <v>48106</v>
      </c>
      <c r="AY4942" s="3" t="s">
        <v>48107</v>
      </c>
      <c r="AZ4942" s="3" t="s">
        <v>48108</v>
      </c>
      <c r="BA4942" s="3" t="s">
        <v>48108</v>
      </c>
      <c r="BB4942" s="3" t="s">
        <v>48109</v>
      </c>
      <c r="BC4942" s="3" t="s">
        <v>77</v>
      </c>
      <c r="BD4942" s="3" t="s">
        <v>78</v>
      </c>
      <c r="BE4942" s="3" t="s">
        <v>48110</v>
      </c>
      <c r="BF4942" s="3" t="s">
        <v>48109</v>
      </c>
      <c r="BG4942" s="3" t="s">
        <v>48111</v>
      </c>
      <c r="BH4942">
        <f t="shared" si="159"/>
        <v>0</v>
      </c>
    </row>
    <row r="4943" spans="1:60" ht="58" x14ac:dyDescent="0.35">
      <c r="A4943" s="2" t="s">
        <v>59</v>
      </c>
      <c r="B4943" s="2" t="s">
        <v>60</v>
      </c>
      <c r="C4943" s="2" t="s">
        <v>48112</v>
      </c>
      <c r="D4943" s="2" t="s">
        <v>48113</v>
      </c>
      <c r="E4943" s="2" t="s">
        <v>48114</v>
      </c>
      <c r="G4943" s="3" t="s">
        <v>64</v>
      </c>
      <c r="I4943" s="3" t="s">
        <v>64</v>
      </c>
      <c r="J4943" s="3" t="s">
        <v>64</v>
      </c>
      <c r="K4943" s="3" t="s">
        <v>65</v>
      </c>
      <c r="L4943" s="2" t="s">
        <v>48115</v>
      </c>
      <c r="M4943" s="2" t="s">
        <v>48116</v>
      </c>
      <c r="N4943" s="3" t="s">
        <v>6948</v>
      </c>
      <c r="P4943" s="3" t="s">
        <v>1479</v>
      </c>
      <c r="Q4943" s="2" t="s">
        <v>48117</v>
      </c>
      <c r="R4943" s="3" t="s">
        <v>70</v>
      </c>
      <c r="S4943" s="4">
        <v>1</v>
      </c>
      <c r="T4943" s="4">
        <v>1</v>
      </c>
      <c r="U4943" s="5" t="s">
        <v>13422</v>
      </c>
      <c r="V4943" s="5" t="s">
        <v>13422</v>
      </c>
      <c r="W4943" s="5" t="s">
        <v>72</v>
      </c>
      <c r="X4943" s="5" t="s">
        <v>72</v>
      </c>
      <c r="Y4943" s="4">
        <v>105</v>
      </c>
      <c r="Z4943" s="4">
        <v>2</v>
      </c>
      <c r="AA4943" s="4">
        <v>4</v>
      </c>
      <c r="AB4943" s="4">
        <v>1</v>
      </c>
      <c r="AC4943" s="4">
        <v>1</v>
      </c>
      <c r="AD4943" s="4">
        <v>59</v>
      </c>
      <c r="AE4943" s="4">
        <v>60</v>
      </c>
      <c r="AF4943" s="4">
        <v>0</v>
      </c>
      <c r="AG4943" s="4">
        <v>0</v>
      </c>
      <c r="AH4943" s="4">
        <v>57</v>
      </c>
      <c r="AI4943" s="4">
        <v>58</v>
      </c>
      <c r="AJ4943" s="4">
        <v>1</v>
      </c>
      <c r="AK4943" s="4">
        <v>2</v>
      </c>
      <c r="AL4943" s="4">
        <v>41</v>
      </c>
      <c r="AM4943" s="4">
        <v>42</v>
      </c>
      <c r="AN4943" s="4">
        <v>0</v>
      </c>
      <c r="AO4943" s="4">
        <v>0</v>
      </c>
      <c r="AP4943" s="4">
        <v>1</v>
      </c>
      <c r="AQ4943" s="4">
        <v>2</v>
      </c>
      <c r="AR4943" s="3" t="s">
        <v>64</v>
      </c>
      <c r="AS4943" s="3" t="s">
        <v>64</v>
      </c>
      <c r="AT4943" s="3" t="s">
        <v>128</v>
      </c>
      <c r="AU4943" s="6" t="str">
        <f>HYPERLINK("http://catalog.hathitrust.org/Record/001683983","HathiTrust Record")</f>
        <v>HathiTrust Record</v>
      </c>
      <c r="AV4943" s="6" t="str">
        <f>HYPERLINK("http://mcgill.on.worldcat.org/oclc/5301662","Catalog Record")</f>
        <v>Catalog Record</v>
      </c>
      <c r="AW4943" s="6" t="str">
        <f>HYPERLINK("http://www.worldcat.org/oclc/5301662","WorldCat Record")</f>
        <v>WorldCat Record</v>
      </c>
      <c r="AX4943" s="3" t="s">
        <v>48118</v>
      </c>
      <c r="AY4943" s="3" t="s">
        <v>48119</v>
      </c>
      <c r="AZ4943" s="3" t="s">
        <v>48120</v>
      </c>
      <c r="BA4943" s="3" t="s">
        <v>48120</v>
      </c>
      <c r="BB4943" s="3" t="s">
        <v>48121</v>
      </c>
      <c r="BC4943" s="3" t="s">
        <v>77</v>
      </c>
      <c r="BD4943" s="3" t="s">
        <v>78</v>
      </c>
      <c r="BF4943" s="3" t="s">
        <v>48121</v>
      </c>
      <c r="BG4943" s="3" t="s">
        <v>48122</v>
      </c>
      <c r="BH4943">
        <f t="shared" si="159"/>
        <v>0</v>
      </c>
    </row>
    <row r="4944" spans="1:60" ht="58" x14ac:dyDescent="0.35">
      <c r="A4944" s="2" t="s">
        <v>59</v>
      </c>
      <c r="B4944" s="2" t="s">
        <v>60</v>
      </c>
      <c r="C4944" s="2" t="s">
        <v>48123</v>
      </c>
      <c r="D4944" s="2" t="s">
        <v>48124</v>
      </c>
      <c r="E4944" s="2" t="s">
        <v>48125</v>
      </c>
      <c r="G4944" s="3" t="s">
        <v>64</v>
      </c>
      <c r="I4944" s="3" t="s">
        <v>64</v>
      </c>
      <c r="J4944" s="3" t="s">
        <v>64</v>
      </c>
      <c r="K4944" s="3" t="s">
        <v>65</v>
      </c>
      <c r="L4944" s="2" t="s">
        <v>48126</v>
      </c>
      <c r="M4944" s="2" t="s">
        <v>48127</v>
      </c>
      <c r="N4944" s="3" t="s">
        <v>3126</v>
      </c>
      <c r="P4944" s="3" t="s">
        <v>1479</v>
      </c>
      <c r="Q4944" s="2" t="s">
        <v>48128</v>
      </c>
      <c r="R4944" s="3" t="s">
        <v>70</v>
      </c>
      <c r="S4944" s="4">
        <v>2</v>
      </c>
      <c r="T4944" s="4">
        <v>2</v>
      </c>
      <c r="U4944" s="5" t="s">
        <v>17811</v>
      </c>
      <c r="V4944" s="5" t="s">
        <v>17811</v>
      </c>
      <c r="W4944" s="5" t="s">
        <v>72</v>
      </c>
      <c r="X4944" s="5" t="s">
        <v>72</v>
      </c>
      <c r="Y4944" s="4">
        <v>115</v>
      </c>
      <c r="Z4944" s="4">
        <v>6</v>
      </c>
      <c r="AA4944" s="4">
        <v>6</v>
      </c>
      <c r="AB4944" s="4">
        <v>1</v>
      </c>
      <c r="AC4944" s="4">
        <v>1</v>
      </c>
      <c r="AD4944" s="4">
        <v>63</v>
      </c>
      <c r="AE4944" s="4">
        <v>64</v>
      </c>
      <c r="AF4944" s="4">
        <v>0</v>
      </c>
      <c r="AG4944" s="4">
        <v>0</v>
      </c>
      <c r="AH4944" s="4">
        <v>61</v>
      </c>
      <c r="AI4944" s="4">
        <v>62</v>
      </c>
      <c r="AJ4944" s="4">
        <v>4</v>
      </c>
      <c r="AK4944" s="4">
        <v>4</v>
      </c>
      <c r="AL4944" s="4">
        <v>39</v>
      </c>
      <c r="AM4944" s="4">
        <v>40</v>
      </c>
      <c r="AN4944" s="4">
        <v>0</v>
      </c>
      <c r="AO4944" s="4">
        <v>0</v>
      </c>
      <c r="AP4944" s="4">
        <v>4</v>
      </c>
      <c r="AQ4944" s="4">
        <v>4</v>
      </c>
      <c r="AR4944" s="3" t="s">
        <v>64</v>
      </c>
      <c r="AS4944" s="3" t="s">
        <v>64</v>
      </c>
      <c r="AT4944" s="3" t="s">
        <v>128</v>
      </c>
      <c r="AU4944" s="6" t="str">
        <f>HYPERLINK("http://catalog.hathitrust.org/Record/001052112","HathiTrust Record")</f>
        <v>HathiTrust Record</v>
      </c>
      <c r="AV4944" s="6" t="str">
        <f>HYPERLINK("http://mcgill.on.worldcat.org/oclc/1985343","Catalog Record")</f>
        <v>Catalog Record</v>
      </c>
      <c r="AW4944" s="6" t="str">
        <f>HYPERLINK("http://www.worldcat.org/oclc/1985343","WorldCat Record")</f>
        <v>WorldCat Record</v>
      </c>
      <c r="AX4944" s="3" t="s">
        <v>48129</v>
      </c>
      <c r="AY4944" s="3" t="s">
        <v>48130</v>
      </c>
      <c r="AZ4944" s="3" t="s">
        <v>48131</v>
      </c>
      <c r="BA4944" s="3" t="s">
        <v>48131</v>
      </c>
      <c r="BB4944" s="3" t="s">
        <v>48132</v>
      </c>
      <c r="BC4944" s="3" t="s">
        <v>77</v>
      </c>
      <c r="BD4944" s="3" t="s">
        <v>78</v>
      </c>
      <c r="BF4944" s="3" t="s">
        <v>48132</v>
      </c>
      <c r="BG4944" s="3" t="s">
        <v>48133</v>
      </c>
      <c r="BH4944">
        <f t="shared" si="159"/>
        <v>0</v>
      </c>
    </row>
    <row r="4945" spans="1:60" ht="58" x14ac:dyDescent="0.35">
      <c r="A4945" s="2" t="s">
        <v>59</v>
      </c>
      <c r="B4945" s="2" t="s">
        <v>60</v>
      </c>
      <c r="C4945" s="2" t="s">
        <v>48134</v>
      </c>
      <c r="D4945" s="2" t="s">
        <v>48135</v>
      </c>
      <c r="E4945" s="2" t="s">
        <v>48136</v>
      </c>
      <c r="G4945" s="3" t="s">
        <v>64</v>
      </c>
      <c r="I4945" s="3" t="s">
        <v>64</v>
      </c>
      <c r="J4945" s="3" t="s">
        <v>64</v>
      </c>
      <c r="K4945" s="3" t="s">
        <v>65</v>
      </c>
      <c r="L4945" s="2" t="s">
        <v>48137</v>
      </c>
      <c r="M4945" s="2" t="s">
        <v>48138</v>
      </c>
      <c r="N4945" s="3" t="s">
        <v>3761</v>
      </c>
      <c r="P4945" s="3" t="s">
        <v>48139</v>
      </c>
      <c r="R4945" s="3" t="s">
        <v>70</v>
      </c>
      <c r="S4945" s="4">
        <v>5</v>
      </c>
      <c r="T4945" s="4">
        <v>5</v>
      </c>
      <c r="U4945" s="5" t="s">
        <v>48140</v>
      </c>
      <c r="V4945" s="5" t="s">
        <v>48140</v>
      </c>
      <c r="W4945" s="5" t="s">
        <v>72</v>
      </c>
      <c r="X4945" s="5" t="s">
        <v>72</v>
      </c>
      <c r="Y4945" s="4">
        <v>107</v>
      </c>
      <c r="Z4945" s="4">
        <v>4</v>
      </c>
      <c r="AA4945" s="4">
        <v>5</v>
      </c>
      <c r="AB4945" s="4">
        <v>1</v>
      </c>
      <c r="AC4945" s="4">
        <v>1</v>
      </c>
      <c r="AD4945" s="4">
        <v>54</v>
      </c>
      <c r="AE4945" s="4">
        <v>55</v>
      </c>
      <c r="AF4945" s="4">
        <v>0</v>
      </c>
      <c r="AG4945" s="4">
        <v>0</v>
      </c>
      <c r="AH4945" s="4">
        <v>51</v>
      </c>
      <c r="AI4945" s="4">
        <v>52</v>
      </c>
      <c r="AJ4945" s="4">
        <v>3</v>
      </c>
      <c r="AK4945" s="4">
        <v>4</v>
      </c>
      <c r="AL4945" s="4">
        <v>35</v>
      </c>
      <c r="AM4945" s="4">
        <v>35</v>
      </c>
      <c r="AN4945" s="4">
        <v>0</v>
      </c>
      <c r="AO4945" s="4">
        <v>0</v>
      </c>
      <c r="AP4945" s="4">
        <v>3</v>
      </c>
      <c r="AQ4945" s="4">
        <v>4</v>
      </c>
      <c r="AR4945" s="3" t="s">
        <v>64</v>
      </c>
      <c r="AS4945" s="3" t="s">
        <v>64</v>
      </c>
      <c r="AT4945" s="3" t="s">
        <v>128</v>
      </c>
      <c r="AU4945" s="6" t="str">
        <f>HYPERLINK("http://catalog.hathitrust.org/Record/001767787","HathiTrust Record")</f>
        <v>HathiTrust Record</v>
      </c>
      <c r="AV4945" s="6" t="str">
        <f>HYPERLINK("http://mcgill.on.worldcat.org/oclc/1463754","Catalog Record")</f>
        <v>Catalog Record</v>
      </c>
      <c r="AW4945" s="6" t="str">
        <f>HYPERLINK("http://www.worldcat.org/oclc/1463754","WorldCat Record")</f>
        <v>WorldCat Record</v>
      </c>
      <c r="AX4945" s="3" t="s">
        <v>48141</v>
      </c>
      <c r="AY4945" s="3" t="s">
        <v>48142</v>
      </c>
      <c r="AZ4945" s="3" t="s">
        <v>48143</v>
      </c>
      <c r="BA4945" s="3" t="s">
        <v>48143</v>
      </c>
      <c r="BB4945" s="3" t="s">
        <v>48144</v>
      </c>
      <c r="BC4945" s="3" t="s">
        <v>77</v>
      </c>
      <c r="BD4945" s="3" t="s">
        <v>78</v>
      </c>
      <c r="BF4945" s="3" t="s">
        <v>48144</v>
      </c>
      <c r="BG4945" s="3" t="s">
        <v>48145</v>
      </c>
      <c r="BH4945">
        <f t="shared" si="159"/>
        <v>0</v>
      </c>
    </row>
    <row r="4946" spans="1:60" ht="58" x14ac:dyDescent="0.35">
      <c r="A4946" s="2" t="s">
        <v>59</v>
      </c>
      <c r="B4946" s="2" t="s">
        <v>60</v>
      </c>
      <c r="C4946" s="2" t="s">
        <v>48146</v>
      </c>
      <c r="D4946" s="2" t="s">
        <v>48147</v>
      </c>
      <c r="E4946" s="2" t="s">
        <v>48148</v>
      </c>
      <c r="G4946" s="3" t="s">
        <v>64</v>
      </c>
      <c r="I4946" s="3" t="s">
        <v>64</v>
      </c>
      <c r="J4946" s="3" t="s">
        <v>64</v>
      </c>
      <c r="K4946" s="3" t="s">
        <v>65</v>
      </c>
      <c r="L4946" s="2" t="s">
        <v>48149</v>
      </c>
      <c r="M4946" s="2" t="s">
        <v>48150</v>
      </c>
      <c r="N4946" s="3" t="s">
        <v>116</v>
      </c>
      <c r="P4946" s="3" t="s">
        <v>102</v>
      </c>
      <c r="R4946" s="3" t="s">
        <v>70</v>
      </c>
      <c r="S4946" s="4">
        <v>1</v>
      </c>
      <c r="T4946" s="4">
        <v>1</v>
      </c>
      <c r="U4946" s="5" t="s">
        <v>14464</v>
      </c>
      <c r="V4946" s="5" t="s">
        <v>14464</v>
      </c>
      <c r="W4946" s="5" t="s">
        <v>72</v>
      </c>
      <c r="X4946" s="5" t="s">
        <v>72</v>
      </c>
      <c r="Y4946" s="4">
        <v>64</v>
      </c>
      <c r="Z4946" s="4">
        <v>3</v>
      </c>
      <c r="AA4946" s="4">
        <v>3</v>
      </c>
      <c r="AB4946" s="4">
        <v>2</v>
      </c>
      <c r="AC4946" s="4">
        <v>2</v>
      </c>
      <c r="AD4946" s="4">
        <v>37</v>
      </c>
      <c r="AE4946" s="4">
        <v>37</v>
      </c>
      <c r="AF4946" s="4">
        <v>0</v>
      </c>
      <c r="AG4946" s="4">
        <v>0</v>
      </c>
      <c r="AH4946" s="4">
        <v>36</v>
      </c>
      <c r="AI4946" s="4">
        <v>36</v>
      </c>
      <c r="AJ4946" s="4">
        <v>1</v>
      </c>
      <c r="AK4946" s="4">
        <v>1</v>
      </c>
      <c r="AL4946" s="4">
        <v>25</v>
      </c>
      <c r="AM4946" s="4">
        <v>25</v>
      </c>
      <c r="AN4946" s="4">
        <v>0</v>
      </c>
      <c r="AO4946" s="4">
        <v>0</v>
      </c>
      <c r="AP4946" s="4">
        <v>1</v>
      </c>
      <c r="AQ4946" s="4">
        <v>1</v>
      </c>
      <c r="AR4946" s="3" t="s">
        <v>64</v>
      </c>
      <c r="AS4946" s="3" t="s">
        <v>64</v>
      </c>
      <c r="AT4946" s="3" t="s">
        <v>64</v>
      </c>
      <c r="AV4946" s="6" t="str">
        <f>HYPERLINK("http://mcgill.on.worldcat.org/oclc/46772297","Catalog Record")</f>
        <v>Catalog Record</v>
      </c>
      <c r="AW4946" s="6" t="str">
        <f>HYPERLINK("http://www.worldcat.org/oclc/46772297","WorldCat Record")</f>
        <v>WorldCat Record</v>
      </c>
      <c r="AX4946" s="3" t="s">
        <v>48151</v>
      </c>
      <c r="AY4946" s="3" t="s">
        <v>48152</v>
      </c>
      <c r="AZ4946" s="3" t="s">
        <v>48153</v>
      </c>
      <c r="BA4946" s="3" t="s">
        <v>48153</v>
      </c>
      <c r="BB4946" s="3" t="s">
        <v>48154</v>
      </c>
      <c r="BC4946" s="3" t="s">
        <v>77</v>
      </c>
      <c r="BD4946" s="3" t="s">
        <v>78</v>
      </c>
      <c r="BE4946" s="3" t="s">
        <v>48155</v>
      </c>
      <c r="BF4946" s="3" t="s">
        <v>48154</v>
      </c>
      <c r="BG4946" s="3" t="s">
        <v>48156</v>
      </c>
      <c r="BH4946">
        <f t="shared" si="159"/>
        <v>0</v>
      </c>
    </row>
    <row r="4947" spans="1:60" ht="58" x14ac:dyDescent="0.35">
      <c r="A4947" s="2" t="s">
        <v>59</v>
      </c>
      <c r="B4947" s="2" t="s">
        <v>60</v>
      </c>
      <c r="C4947" s="2" t="s">
        <v>48157</v>
      </c>
      <c r="D4947" s="2" t="s">
        <v>48158</v>
      </c>
      <c r="E4947" s="2" t="s">
        <v>48159</v>
      </c>
      <c r="G4947" s="3" t="s">
        <v>64</v>
      </c>
      <c r="I4947" s="3" t="s">
        <v>128</v>
      </c>
      <c r="J4947" s="3" t="s">
        <v>64</v>
      </c>
      <c r="K4947" s="3" t="s">
        <v>65</v>
      </c>
      <c r="L4947" s="2" t="s">
        <v>40464</v>
      </c>
      <c r="M4947" s="2" t="s">
        <v>40465</v>
      </c>
      <c r="N4947" s="3" t="s">
        <v>1763</v>
      </c>
      <c r="P4947" s="3" t="s">
        <v>102</v>
      </c>
      <c r="R4947" s="3" t="s">
        <v>70</v>
      </c>
      <c r="S4947" s="4">
        <v>1</v>
      </c>
      <c r="T4947" s="4">
        <v>3</v>
      </c>
      <c r="U4947" s="5" t="s">
        <v>48160</v>
      </c>
      <c r="V4947" s="5" t="s">
        <v>13169</v>
      </c>
      <c r="W4947" s="5" t="s">
        <v>72</v>
      </c>
      <c r="X4947" s="5" t="s">
        <v>72</v>
      </c>
      <c r="Y4947" s="4">
        <v>3</v>
      </c>
      <c r="Z4947" s="4">
        <v>1</v>
      </c>
      <c r="AA4947" s="4">
        <v>1</v>
      </c>
      <c r="AB4947" s="4">
        <v>1</v>
      </c>
      <c r="AC4947" s="4">
        <v>1</v>
      </c>
      <c r="AD4947" s="4">
        <v>0</v>
      </c>
      <c r="AE4947" s="4">
        <v>0</v>
      </c>
      <c r="AF4947" s="4">
        <v>0</v>
      </c>
      <c r="AG4947" s="4">
        <v>0</v>
      </c>
      <c r="AH4947" s="4">
        <v>0</v>
      </c>
      <c r="AI4947" s="4">
        <v>0</v>
      </c>
      <c r="AJ4947" s="4">
        <v>0</v>
      </c>
      <c r="AK4947" s="4">
        <v>0</v>
      </c>
      <c r="AL4947" s="4">
        <v>0</v>
      </c>
      <c r="AM4947" s="4">
        <v>0</v>
      </c>
      <c r="AN4947" s="4">
        <v>0</v>
      </c>
      <c r="AO4947" s="4">
        <v>0</v>
      </c>
      <c r="AP4947" s="4">
        <v>0</v>
      </c>
      <c r="AQ4947" s="4">
        <v>0</v>
      </c>
      <c r="AR4947" s="3" t="s">
        <v>128</v>
      </c>
      <c r="AS4947" s="3" t="s">
        <v>64</v>
      </c>
      <c r="AT4947" s="3" t="s">
        <v>64</v>
      </c>
      <c r="AV4947" s="6" t="str">
        <f>HYPERLINK("http://mcgill.on.worldcat.org/oclc/25971710","Catalog Record")</f>
        <v>Catalog Record</v>
      </c>
      <c r="AW4947" s="6" t="str">
        <f>HYPERLINK("http://www.worldcat.org/oclc/25971710","WorldCat Record")</f>
        <v>WorldCat Record</v>
      </c>
      <c r="AX4947" s="3" t="s">
        <v>48161</v>
      </c>
      <c r="AY4947" s="3" t="s">
        <v>48162</v>
      </c>
      <c r="AZ4947" s="3" t="s">
        <v>48163</v>
      </c>
      <c r="BA4947" s="3" t="s">
        <v>48163</v>
      </c>
      <c r="BB4947" s="3" t="s">
        <v>48164</v>
      </c>
      <c r="BC4947" s="3" t="s">
        <v>77</v>
      </c>
      <c r="BD4947" s="3" t="s">
        <v>78</v>
      </c>
      <c r="BF4947" s="3" t="s">
        <v>48164</v>
      </c>
      <c r="BG4947" s="3" t="s">
        <v>48165</v>
      </c>
      <c r="BH4947">
        <f t="shared" si="159"/>
        <v>0</v>
      </c>
    </row>
    <row r="4948" spans="1:60" ht="58" x14ac:dyDescent="0.35">
      <c r="A4948" s="2" t="s">
        <v>59</v>
      </c>
      <c r="B4948" s="2" t="s">
        <v>60</v>
      </c>
      <c r="C4948" s="2" t="s">
        <v>48166</v>
      </c>
      <c r="D4948" s="2" t="s">
        <v>48167</v>
      </c>
      <c r="E4948" s="2" t="s">
        <v>48168</v>
      </c>
      <c r="G4948" s="3" t="s">
        <v>64</v>
      </c>
      <c r="I4948" s="3" t="s">
        <v>128</v>
      </c>
      <c r="J4948" s="3" t="s">
        <v>128</v>
      </c>
      <c r="K4948" s="3" t="s">
        <v>65</v>
      </c>
      <c r="L4948" s="2" t="s">
        <v>48169</v>
      </c>
      <c r="M4948" s="2" t="s">
        <v>48170</v>
      </c>
      <c r="N4948" s="3" t="s">
        <v>4872</v>
      </c>
      <c r="P4948" s="3" t="s">
        <v>102</v>
      </c>
      <c r="R4948" s="3" t="s">
        <v>70</v>
      </c>
      <c r="S4948" s="4">
        <v>0</v>
      </c>
      <c r="T4948" s="4">
        <v>1</v>
      </c>
      <c r="V4948" s="5" t="s">
        <v>1655</v>
      </c>
      <c r="W4948" s="5" t="s">
        <v>72</v>
      </c>
      <c r="X4948" s="5" t="s">
        <v>72</v>
      </c>
      <c r="Y4948" s="4">
        <v>39</v>
      </c>
      <c r="Z4948" s="4">
        <v>3</v>
      </c>
      <c r="AA4948" s="4">
        <v>21</v>
      </c>
      <c r="AB4948" s="4">
        <v>1</v>
      </c>
      <c r="AC4948" s="4">
        <v>1</v>
      </c>
      <c r="AD4948" s="4">
        <v>4</v>
      </c>
      <c r="AE4948" s="4">
        <v>85</v>
      </c>
      <c r="AF4948" s="4">
        <v>0</v>
      </c>
      <c r="AG4948" s="4">
        <v>0</v>
      </c>
      <c r="AH4948" s="4">
        <v>4</v>
      </c>
      <c r="AI4948" s="4">
        <v>75</v>
      </c>
      <c r="AJ4948" s="4">
        <v>1</v>
      </c>
      <c r="AK4948" s="4">
        <v>13</v>
      </c>
      <c r="AL4948" s="4">
        <v>1</v>
      </c>
      <c r="AM4948" s="4">
        <v>42</v>
      </c>
      <c r="AN4948" s="4">
        <v>0</v>
      </c>
      <c r="AO4948" s="4">
        <v>0</v>
      </c>
      <c r="AP4948" s="4">
        <v>1</v>
      </c>
      <c r="AQ4948" s="4">
        <v>15</v>
      </c>
      <c r="AR4948" s="3" t="s">
        <v>64</v>
      </c>
      <c r="AS4948" s="3" t="s">
        <v>64</v>
      </c>
      <c r="AT4948" s="3" t="s">
        <v>128</v>
      </c>
      <c r="AU4948" s="6" t="str">
        <f>HYPERLINK("http://catalog.hathitrust.org/Record/006549030","HathiTrust Record")</f>
        <v>HathiTrust Record</v>
      </c>
      <c r="AV4948" s="6" t="str">
        <f>HYPERLINK("http://mcgill.on.worldcat.org/oclc/152432894","Catalog Record")</f>
        <v>Catalog Record</v>
      </c>
      <c r="AW4948" s="6" t="str">
        <f>HYPERLINK("http://www.worldcat.org/oclc/152432894","WorldCat Record")</f>
        <v>WorldCat Record</v>
      </c>
      <c r="AX4948" s="3" t="s">
        <v>48171</v>
      </c>
      <c r="AY4948" s="3" t="s">
        <v>48172</v>
      </c>
      <c r="AZ4948" s="3" t="s">
        <v>48173</v>
      </c>
      <c r="BA4948" s="3" t="s">
        <v>48173</v>
      </c>
      <c r="BB4948" s="3" t="s">
        <v>48174</v>
      </c>
      <c r="BC4948" s="3" t="s">
        <v>77</v>
      </c>
      <c r="BD4948" s="3" t="s">
        <v>78</v>
      </c>
      <c r="BF4948" s="3" t="s">
        <v>48174</v>
      </c>
      <c r="BG4948" s="3" t="s">
        <v>48175</v>
      </c>
      <c r="BH4948">
        <f t="shared" si="159"/>
        <v>0</v>
      </c>
    </row>
    <row r="4949" spans="1:60" ht="58" x14ac:dyDescent="0.35">
      <c r="A4949" s="2" t="s">
        <v>59</v>
      </c>
      <c r="B4949" s="2" t="s">
        <v>60</v>
      </c>
      <c r="C4949" s="2" t="s">
        <v>48176</v>
      </c>
      <c r="D4949" s="2" t="s">
        <v>48177</v>
      </c>
      <c r="E4949" s="2" t="s">
        <v>48178</v>
      </c>
      <c r="G4949" s="3" t="s">
        <v>64</v>
      </c>
      <c r="I4949" s="3" t="s">
        <v>128</v>
      </c>
      <c r="J4949" s="3" t="s">
        <v>64</v>
      </c>
      <c r="K4949" s="3" t="s">
        <v>65</v>
      </c>
      <c r="L4949" s="2" t="s">
        <v>48179</v>
      </c>
      <c r="M4949" s="2" t="s">
        <v>48180</v>
      </c>
      <c r="N4949" s="3" t="s">
        <v>153</v>
      </c>
      <c r="P4949" s="3" t="s">
        <v>102</v>
      </c>
      <c r="R4949" s="3" t="s">
        <v>70</v>
      </c>
      <c r="S4949" s="4">
        <v>0</v>
      </c>
      <c r="T4949" s="4">
        <v>1</v>
      </c>
      <c r="V4949" s="5" t="s">
        <v>38196</v>
      </c>
      <c r="W4949" s="5" t="s">
        <v>72</v>
      </c>
      <c r="X4949" s="5" t="s">
        <v>72</v>
      </c>
      <c r="Y4949" s="4">
        <v>139</v>
      </c>
      <c r="Z4949" s="4">
        <v>47</v>
      </c>
      <c r="AA4949" s="4">
        <v>76</v>
      </c>
      <c r="AB4949" s="4">
        <v>2</v>
      </c>
      <c r="AC4949" s="4">
        <v>9</v>
      </c>
      <c r="AD4949" s="4">
        <v>89</v>
      </c>
      <c r="AE4949" s="4">
        <v>112</v>
      </c>
      <c r="AF4949" s="4">
        <v>1</v>
      </c>
      <c r="AG4949" s="4">
        <v>3</v>
      </c>
      <c r="AH4949" s="4">
        <v>64</v>
      </c>
      <c r="AI4949" s="4">
        <v>77</v>
      </c>
      <c r="AJ4949" s="4">
        <v>23</v>
      </c>
      <c r="AK4949" s="4">
        <v>27</v>
      </c>
      <c r="AL4949" s="4">
        <v>35</v>
      </c>
      <c r="AM4949" s="4">
        <v>40</v>
      </c>
      <c r="AN4949" s="4">
        <v>0</v>
      </c>
      <c r="AO4949" s="4">
        <v>0</v>
      </c>
      <c r="AP4949" s="4">
        <v>33</v>
      </c>
      <c r="AQ4949" s="4">
        <v>44</v>
      </c>
      <c r="AR4949" s="3" t="s">
        <v>128</v>
      </c>
      <c r="AS4949" s="3" t="s">
        <v>64</v>
      </c>
      <c r="AT4949" s="3" t="s">
        <v>64</v>
      </c>
      <c r="AV4949" s="6" t="str">
        <f>HYPERLINK("http://mcgill.on.worldcat.org/oclc/39070377","Catalog Record")</f>
        <v>Catalog Record</v>
      </c>
      <c r="AW4949" s="6" t="str">
        <f>HYPERLINK("http://www.worldcat.org/oclc/39070377","WorldCat Record")</f>
        <v>WorldCat Record</v>
      </c>
      <c r="AX4949" s="3" t="s">
        <v>48181</v>
      </c>
      <c r="AY4949" s="3" t="s">
        <v>48182</v>
      </c>
      <c r="AZ4949" s="3" t="s">
        <v>48183</v>
      </c>
      <c r="BA4949" s="3" t="s">
        <v>48183</v>
      </c>
      <c r="BB4949" s="3" t="s">
        <v>48184</v>
      </c>
      <c r="BC4949" s="3" t="s">
        <v>77</v>
      </c>
      <c r="BD4949" s="3" t="s">
        <v>78</v>
      </c>
      <c r="BE4949" s="3" t="s">
        <v>48185</v>
      </c>
      <c r="BF4949" s="3" t="s">
        <v>48184</v>
      </c>
      <c r="BG4949" s="3" t="s">
        <v>48186</v>
      </c>
      <c r="BH4949">
        <f t="shared" si="159"/>
        <v>0</v>
      </c>
    </row>
    <row r="4950" spans="1:60" ht="58" x14ac:dyDescent="0.35">
      <c r="A4950" s="2" t="s">
        <v>59</v>
      </c>
      <c r="B4950" s="2" t="s">
        <v>60</v>
      </c>
      <c r="C4950" s="2" t="s">
        <v>48176</v>
      </c>
      <c r="D4950" s="2" t="s">
        <v>48177</v>
      </c>
      <c r="E4950" s="2" t="s">
        <v>48178</v>
      </c>
      <c r="G4950" s="3" t="s">
        <v>64</v>
      </c>
      <c r="I4950" s="3" t="s">
        <v>128</v>
      </c>
      <c r="J4950" s="3" t="s">
        <v>64</v>
      </c>
      <c r="K4950" s="3" t="s">
        <v>65</v>
      </c>
      <c r="L4950" s="2" t="s">
        <v>48179</v>
      </c>
      <c r="M4950" s="2" t="s">
        <v>48180</v>
      </c>
      <c r="N4950" s="3" t="s">
        <v>153</v>
      </c>
      <c r="P4950" s="3" t="s">
        <v>102</v>
      </c>
      <c r="R4950" s="3" t="s">
        <v>70</v>
      </c>
      <c r="S4950" s="4">
        <v>1</v>
      </c>
      <c r="T4950" s="4">
        <v>1</v>
      </c>
      <c r="U4950" s="5" t="s">
        <v>38196</v>
      </c>
      <c r="V4950" s="5" t="s">
        <v>38196</v>
      </c>
      <c r="W4950" s="5" t="s">
        <v>72</v>
      </c>
      <c r="X4950" s="5" t="s">
        <v>72</v>
      </c>
      <c r="Y4950" s="4">
        <v>139</v>
      </c>
      <c r="Z4950" s="4">
        <v>47</v>
      </c>
      <c r="AA4950" s="4">
        <v>76</v>
      </c>
      <c r="AB4950" s="4">
        <v>2</v>
      </c>
      <c r="AC4950" s="4">
        <v>9</v>
      </c>
      <c r="AD4950" s="4">
        <v>89</v>
      </c>
      <c r="AE4950" s="4">
        <v>112</v>
      </c>
      <c r="AF4950" s="4">
        <v>1</v>
      </c>
      <c r="AG4950" s="4">
        <v>3</v>
      </c>
      <c r="AH4950" s="4">
        <v>64</v>
      </c>
      <c r="AI4950" s="4">
        <v>77</v>
      </c>
      <c r="AJ4950" s="4">
        <v>23</v>
      </c>
      <c r="AK4950" s="4">
        <v>27</v>
      </c>
      <c r="AL4950" s="4">
        <v>35</v>
      </c>
      <c r="AM4950" s="4">
        <v>40</v>
      </c>
      <c r="AN4950" s="4">
        <v>0</v>
      </c>
      <c r="AO4950" s="4">
        <v>0</v>
      </c>
      <c r="AP4950" s="4">
        <v>33</v>
      </c>
      <c r="AQ4950" s="4">
        <v>44</v>
      </c>
      <c r="AR4950" s="3" t="s">
        <v>128</v>
      </c>
      <c r="AS4950" s="3" t="s">
        <v>64</v>
      </c>
      <c r="AT4950" s="3" t="s">
        <v>64</v>
      </c>
      <c r="AV4950" s="6" t="str">
        <f>HYPERLINK("http://mcgill.on.worldcat.org/oclc/39070377","Catalog Record")</f>
        <v>Catalog Record</v>
      </c>
      <c r="AW4950" s="6" t="str">
        <f>HYPERLINK("http://www.worldcat.org/oclc/39070377","WorldCat Record")</f>
        <v>WorldCat Record</v>
      </c>
      <c r="AX4950" s="3" t="s">
        <v>48181</v>
      </c>
      <c r="AY4950" s="3" t="s">
        <v>48182</v>
      </c>
      <c r="AZ4950" s="3" t="s">
        <v>48183</v>
      </c>
      <c r="BA4950" s="3" t="s">
        <v>48183</v>
      </c>
      <c r="BB4950" s="3" t="s">
        <v>48187</v>
      </c>
      <c r="BC4950" s="3" t="s">
        <v>77</v>
      </c>
      <c r="BD4950" s="3" t="s">
        <v>78</v>
      </c>
      <c r="BE4950" s="3" t="s">
        <v>48185</v>
      </c>
      <c r="BF4950" s="3" t="s">
        <v>48187</v>
      </c>
      <c r="BG4950" s="3" t="s">
        <v>48188</v>
      </c>
      <c r="BH4950">
        <f t="shared" si="159"/>
        <v>0</v>
      </c>
    </row>
    <row r="4951" spans="1:60" ht="58" x14ac:dyDescent="0.35">
      <c r="A4951" s="2" t="s">
        <v>59</v>
      </c>
      <c r="B4951" s="2" t="s">
        <v>60</v>
      </c>
      <c r="C4951" s="2" t="s">
        <v>48189</v>
      </c>
      <c r="D4951" s="2" t="s">
        <v>48190</v>
      </c>
      <c r="E4951" s="2" t="s">
        <v>48191</v>
      </c>
      <c r="F4951" s="3" t="s">
        <v>7062</v>
      </c>
      <c r="G4951" s="3" t="s">
        <v>64</v>
      </c>
      <c r="I4951" s="3" t="s">
        <v>64</v>
      </c>
      <c r="J4951" s="3" t="s">
        <v>64</v>
      </c>
      <c r="K4951" s="3" t="s">
        <v>65</v>
      </c>
      <c r="L4951" s="2" t="s">
        <v>48192</v>
      </c>
      <c r="M4951" s="2" t="s">
        <v>48193</v>
      </c>
      <c r="N4951" s="3" t="s">
        <v>511</v>
      </c>
      <c r="O4951" s="2" t="s">
        <v>2149</v>
      </c>
      <c r="P4951" s="3" t="s">
        <v>102</v>
      </c>
      <c r="R4951" s="3" t="s">
        <v>70</v>
      </c>
      <c r="S4951" s="4">
        <v>0</v>
      </c>
      <c r="T4951" s="4">
        <v>0</v>
      </c>
      <c r="W4951" s="5" t="s">
        <v>72</v>
      </c>
      <c r="X4951" s="5" t="s">
        <v>72</v>
      </c>
      <c r="Y4951" s="4">
        <v>128</v>
      </c>
      <c r="Z4951" s="4">
        <v>15</v>
      </c>
      <c r="AA4951" s="4">
        <v>16</v>
      </c>
      <c r="AB4951" s="4">
        <v>1</v>
      </c>
      <c r="AC4951" s="4">
        <v>1</v>
      </c>
      <c r="AD4951" s="4">
        <v>51</v>
      </c>
      <c r="AE4951" s="4">
        <v>54</v>
      </c>
      <c r="AF4951" s="4">
        <v>0</v>
      </c>
      <c r="AG4951" s="4">
        <v>0</v>
      </c>
      <c r="AH4951" s="4">
        <v>44</v>
      </c>
      <c r="AI4951" s="4">
        <v>47</v>
      </c>
      <c r="AJ4951" s="4">
        <v>9</v>
      </c>
      <c r="AK4951" s="4">
        <v>10</v>
      </c>
      <c r="AL4951" s="4">
        <v>29</v>
      </c>
      <c r="AM4951" s="4">
        <v>30</v>
      </c>
      <c r="AN4951" s="4">
        <v>0</v>
      </c>
      <c r="AO4951" s="4">
        <v>0</v>
      </c>
      <c r="AP4951" s="4">
        <v>10</v>
      </c>
      <c r="AQ4951" s="4">
        <v>11</v>
      </c>
      <c r="AR4951" s="3" t="s">
        <v>64</v>
      </c>
      <c r="AS4951" s="3" t="s">
        <v>64</v>
      </c>
      <c r="AT4951" s="3" t="s">
        <v>64</v>
      </c>
      <c r="AV4951" s="6" t="str">
        <f>HYPERLINK("http://mcgill.on.worldcat.org/oclc/468232133","Catalog Record")</f>
        <v>Catalog Record</v>
      </c>
      <c r="AW4951" s="6" t="str">
        <f>HYPERLINK("http://www.worldcat.org/oclc/468232133","WorldCat Record")</f>
        <v>WorldCat Record</v>
      </c>
      <c r="AX4951" s="3" t="s">
        <v>48194</v>
      </c>
      <c r="AY4951" s="3" t="s">
        <v>48195</v>
      </c>
      <c r="AZ4951" s="3" t="s">
        <v>48196</v>
      </c>
      <c r="BA4951" s="3" t="s">
        <v>48196</v>
      </c>
      <c r="BB4951" s="3" t="s">
        <v>48197</v>
      </c>
      <c r="BC4951" s="3" t="s">
        <v>77</v>
      </c>
      <c r="BD4951" s="3" t="s">
        <v>78</v>
      </c>
      <c r="BE4951" s="3" t="s">
        <v>48198</v>
      </c>
      <c r="BF4951" s="3" t="s">
        <v>48197</v>
      </c>
      <c r="BG4951" s="3" t="s">
        <v>48199</v>
      </c>
      <c r="BH4951">
        <f t="shared" si="159"/>
        <v>0</v>
      </c>
    </row>
    <row r="4952" spans="1:60" ht="58" x14ac:dyDescent="0.35">
      <c r="A4952" s="2" t="s">
        <v>59</v>
      </c>
      <c r="B4952" s="2" t="s">
        <v>60</v>
      </c>
      <c r="C4952" s="2" t="s">
        <v>48200</v>
      </c>
      <c r="D4952" s="2" t="s">
        <v>48201</v>
      </c>
      <c r="E4952" s="2" t="s">
        <v>48202</v>
      </c>
      <c r="G4952" s="3" t="s">
        <v>64</v>
      </c>
      <c r="I4952" s="3" t="s">
        <v>64</v>
      </c>
      <c r="J4952" s="3" t="s">
        <v>64</v>
      </c>
      <c r="K4952" s="3" t="s">
        <v>65</v>
      </c>
      <c r="L4952" s="2" t="s">
        <v>48203</v>
      </c>
      <c r="M4952" s="2" t="s">
        <v>48204</v>
      </c>
      <c r="N4952" s="3" t="s">
        <v>2067</v>
      </c>
      <c r="P4952" s="3" t="s">
        <v>944</v>
      </c>
      <c r="Q4952" s="2" t="s">
        <v>48205</v>
      </c>
      <c r="R4952" s="3" t="s">
        <v>70</v>
      </c>
      <c r="S4952" s="4">
        <v>1</v>
      </c>
      <c r="T4952" s="4">
        <v>1</v>
      </c>
      <c r="U4952" s="5" t="s">
        <v>3677</v>
      </c>
      <c r="V4952" s="5" t="s">
        <v>3677</v>
      </c>
      <c r="W4952" s="5" t="s">
        <v>72</v>
      </c>
      <c r="X4952" s="5" t="s">
        <v>72</v>
      </c>
      <c r="Y4952" s="4">
        <v>123</v>
      </c>
      <c r="Z4952" s="4">
        <v>7</v>
      </c>
      <c r="AA4952" s="4">
        <v>7</v>
      </c>
      <c r="AB4952" s="4">
        <v>1</v>
      </c>
      <c r="AC4952" s="4">
        <v>1</v>
      </c>
      <c r="AD4952" s="4">
        <v>56</v>
      </c>
      <c r="AE4952" s="4">
        <v>56</v>
      </c>
      <c r="AF4952" s="4">
        <v>0</v>
      </c>
      <c r="AG4952" s="4">
        <v>0</v>
      </c>
      <c r="AH4952" s="4">
        <v>52</v>
      </c>
      <c r="AI4952" s="4">
        <v>52</v>
      </c>
      <c r="AJ4952" s="4">
        <v>6</v>
      </c>
      <c r="AK4952" s="4">
        <v>6</v>
      </c>
      <c r="AL4952" s="4">
        <v>38</v>
      </c>
      <c r="AM4952" s="4">
        <v>38</v>
      </c>
      <c r="AN4952" s="4">
        <v>0</v>
      </c>
      <c r="AO4952" s="4">
        <v>0</v>
      </c>
      <c r="AP4952" s="4">
        <v>6</v>
      </c>
      <c r="AQ4952" s="4">
        <v>6</v>
      </c>
      <c r="AR4952" s="3" t="s">
        <v>64</v>
      </c>
      <c r="AS4952" s="3" t="s">
        <v>64</v>
      </c>
      <c r="AT4952" s="3" t="s">
        <v>64</v>
      </c>
      <c r="AV4952" s="6" t="str">
        <f>HYPERLINK("http://mcgill.on.worldcat.org/oclc/20257923","Catalog Record")</f>
        <v>Catalog Record</v>
      </c>
      <c r="AW4952" s="6" t="str">
        <f>HYPERLINK("http://www.worldcat.org/oclc/20257923","WorldCat Record")</f>
        <v>WorldCat Record</v>
      </c>
      <c r="AX4952" s="3" t="s">
        <v>48206</v>
      </c>
      <c r="AY4952" s="3" t="s">
        <v>48207</v>
      </c>
      <c r="AZ4952" s="3" t="s">
        <v>48208</v>
      </c>
      <c r="BA4952" s="3" t="s">
        <v>48208</v>
      </c>
      <c r="BB4952" s="3" t="s">
        <v>48209</v>
      </c>
      <c r="BC4952" s="3" t="s">
        <v>77</v>
      </c>
      <c r="BD4952" s="3" t="s">
        <v>78</v>
      </c>
      <c r="BF4952" s="3" t="s">
        <v>48209</v>
      </c>
      <c r="BG4952" s="3" t="s">
        <v>48210</v>
      </c>
      <c r="BH4952">
        <f t="shared" si="159"/>
        <v>0</v>
      </c>
    </row>
    <row r="4953" spans="1:60" ht="58" x14ac:dyDescent="0.35">
      <c r="A4953" s="2" t="s">
        <v>59</v>
      </c>
      <c r="B4953" s="2" t="s">
        <v>60</v>
      </c>
      <c r="C4953" s="2" t="s">
        <v>48211</v>
      </c>
      <c r="D4953" s="2" t="s">
        <v>48212</v>
      </c>
      <c r="E4953" s="2" t="s">
        <v>48213</v>
      </c>
      <c r="G4953" s="3" t="s">
        <v>64</v>
      </c>
      <c r="I4953" s="3" t="s">
        <v>64</v>
      </c>
      <c r="J4953" s="3" t="s">
        <v>64</v>
      </c>
      <c r="K4953" s="3" t="s">
        <v>65</v>
      </c>
      <c r="M4953" s="2" t="s">
        <v>48214</v>
      </c>
      <c r="N4953" s="3" t="s">
        <v>67</v>
      </c>
      <c r="P4953" s="3" t="s">
        <v>944</v>
      </c>
      <c r="Q4953" s="2" t="s">
        <v>48215</v>
      </c>
      <c r="R4953" s="3" t="s">
        <v>70</v>
      </c>
      <c r="S4953" s="4">
        <v>2</v>
      </c>
      <c r="T4953" s="4">
        <v>2</v>
      </c>
      <c r="U4953" s="5" t="s">
        <v>25160</v>
      </c>
      <c r="V4953" s="5" t="s">
        <v>25160</v>
      </c>
      <c r="W4953" s="5" t="s">
        <v>72</v>
      </c>
      <c r="X4953" s="5" t="s">
        <v>72</v>
      </c>
      <c r="Y4953" s="4">
        <v>47</v>
      </c>
      <c r="Z4953" s="4">
        <v>3</v>
      </c>
      <c r="AA4953" s="4">
        <v>3</v>
      </c>
      <c r="AB4953" s="4">
        <v>2</v>
      </c>
      <c r="AC4953" s="4">
        <v>2</v>
      </c>
      <c r="AD4953" s="4">
        <v>26</v>
      </c>
      <c r="AE4953" s="4">
        <v>26</v>
      </c>
      <c r="AF4953" s="4">
        <v>1</v>
      </c>
      <c r="AG4953" s="4">
        <v>1</v>
      </c>
      <c r="AH4953" s="4">
        <v>23</v>
      </c>
      <c r="AI4953" s="4">
        <v>23</v>
      </c>
      <c r="AJ4953" s="4">
        <v>2</v>
      </c>
      <c r="AK4953" s="4">
        <v>2</v>
      </c>
      <c r="AL4953" s="4">
        <v>20</v>
      </c>
      <c r="AM4953" s="4">
        <v>20</v>
      </c>
      <c r="AN4953" s="4">
        <v>0</v>
      </c>
      <c r="AO4953" s="4">
        <v>0</v>
      </c>
      <c r="AP4953" s="4">
        <v>2</v>
      </c>
      <c r="AQ4953" s="4">
        <v>2</v>
      </c>
      <c r="AR4953" s="3" t="s">
        <v>64</v>
      </c>
      <c r="AS4953" s="3" t="s">
        <v>64</v>
      </c>
      <c r="AT4953" s="3" t="s">
        <v>64</v>
      </c>
      <c r="AV4953" s="6" t="str">
        <f>HYPERLINK("http://mcgill.on.worldcat.org/oclc/881224231","Catalog Record")</f>
        <v>Catalog Record</v>
      </c>
      <c r="AW4953" s="6" t="str">
        <f>HYPERLINK("http://www.worldcat.org/oclc/881224231","WorldCat Record")</f>
        <v>WorldCat Record</v>
      </c>
      <c r="AX4953" s="3" t="s">
        <v>48216</v>
      </c>
      <c r="AY4953" s="3" t="s">
        <v>48217</v>
      </c>
      <c r="AZ4953" s="3" t="s">
        <v>48218</v>
      </c>
      <c r="BA4953" s="3" t="s">
        <v>48218</v>
      </c>
      <c r="BB4953" s="3" t="s">
        <v>48219</v>
      </c>
      <c r="BC4953" s="3" t="s">
        <v>77</v>
      </c>
      <c r="BD4953" s="3" t="s">
        <v>78</v>
      </c>
      <c r="BE4953" s="3" t="s">
        <v>48220</v>
      </c>
      <c r="BF4953" s="3" t="s">
        <v>48219</v>
      </c>
      <c r="BG4953" s="3" t="s">
        <v>48221</v>
      </c>
      <c r="BH4953">
        <f t="shared" si="159"/>
        <v>0</v>
      </c>
    </row>
    <row r="4954" spans="1:60" ht="58" x14ac:dyDescent="0.35">
      <c r="A4954" s="2" t="s">
        <v>59</v>
      </c>
      <c r="B4954" s="2" t="s">
        <v>60</v>
      </c>
      <c r="C4954" s="2" t="s">
        <v>48222</v>
      </c>
      <c r="D4954" s="2" t="s">
        <v>48223</v>
      </c>
      <c r="E4954" s="2" t="s">
        <v>48224</v>
      </c>
      <c r="G4954" s="3" t="s">
        <v>64</v>
      </c>
      <c r="I4954" s="3" t="s">
        <v>128</v>
      </c>
      <c r="J4954" s="3" t="s">
        <v>64</v>
      </c>
      <c r="K4954" s="3" t="s">
        <v>65</v>
      </c>
      <c r="L4954" s="2" t="s">
        <v>42082</v>
      </c>
      <c r="M4954" s="2" t="s">
        <v>48225</v>
      </c>
      <c r="N4954" s="3" t="s">
        <v>364</v>
      </c>
      <c r="P4954" s="3" t="s">
        <v>102</v>
      </c>
      <c r="R4954" s="3" t="s">
        <v>70</v>
      </c>
      <c r="S4954" s="4">
        <v>0</v>
      </c>
      <c r="T4954" s="4">
        <v>1</v>
      </c>
      <c r="V4954" s="5" t="s">
        <v>1655</v>
      </c>
      <c r="W4954" s="5" t="s">
        <v>72</v>
      </c>
      <c r="X4954" s="5" t="s">
        <v>72</v>
      </c>
      <c r="Y4954" s="4">
        <v>248</v>
      </c>
      <c r="Z4954" s="4">
        <v>11</v>
      </c>
      <c r="AA4954" s="4">
        <v>34</v>
      </c>
      <c r="AB4954" s="4">
        <v>1</v>
      </c>
      <c r="AC4954" s="4">
        <v>4</v>
      </c>
      <c r="AD4954" s="4">
        <v>72</v>
      </c>
      <c r="AE4954" s="4">
        <v>111</v>
      </c>
      <c r="AF4954" s="4">
        <v>0</v>
      </c>
      <c r="AG4954" s="4">
        <v>3</v>
      </c>
      <c r="AH4954" s="4">
        <v>64</v>
      </c>
      <c r="AI4954" s="4">
        <v>91</v>
      </c>
      <c r="AJ4954" s="4">
        <v>7</v>
      </c>
      <c r="AK4954" s="4">
        <v>23</v>
      </c>
      <c r="AL4954" s="4">
        <v>37</v>
      </c>
      <c r="AM4954" s="4">
        <v>49</v>
      </c>
      <c r="AN4954" s="4">
        <v>0</v>
      </c>
      <c r="AO4954" s="4">
        <v>0</v>
      </c>
      <c r="AP4954" s="4">
        <v>8</v>
      </c>
      <c r="AQ4954" s="4">
        <v>27</v>
      </c>
      <c r="AR4954" s="3" t="s">
        <v>64</v>
      </c>
      <c r="AS4954" s="3" t="s">
        <v>64</v>
      </c>
      <c r="AT4954" s="3" t="s">
        <v>64</v>
      </c>
      <c r="AV4954" s="6" t="str">
        <f>HYPERLINK("http://mcgill.on.worldcat.org/oclc/416933","Catalog Record")</f>
        <v>Catalog Record</v>
      </c>
      <c r="AW4954" s="6" t="str">
        <f>HYPERLINK("http://www.worldcat.org/oclc/416933","WorldCat Record")</f>
        <v>WorldCat Record</v>
      </c>
      <c r="AX4954" s="3" t="s">
        <v>48226</v>
      </c>
      <c r="AY4954" s="3" t="s">
        <v>48227</v>
      </c>
      <c r="AZ4954" s="3" t="s">
        <v>48228</v>
      </c>
      <c r="BA4954" s="3" t="s">
        <v>48228</v>
      </c>
      <c r="BB4954" s="3" t="s">
        <v>48229</v>
      </c>
      <c r="BC4954" s="3" t="s">
        <v>77</v>
      </c>
      <c r="BD4954" s="3" t="s">
        <v>78</v>
      </c>
      <c r="BE4954" s="3" t="s">
        <v>48230</v>
      </c>
      <c r="BF4954" s="3" t="s">
        <v>48229</v>
      </c>
      <c r="BG4954" s="3" t="s">
        <v>48231</v>
      </c>
      <c r="BH4954">
        <f t="shared" si="159"/>
        <v>0</v>
      </c>
    </row>
    <row r="4955" spans="1:60" ht="58" x14ac:dyDescent="0.35">
      <c r="A4955" s="2" t="s">
        <v>59</v>
      </c>
      <c r="B4955" s="2" t="s">
        <v>60</v>
      </c>
      <c r="C4955" s="2" t="s">
        <v>48232</v>
      </c>
      <c r="D4955" s="2" t="s">
        <v>48233</v>
      </c>
      <c r="E4955" s="2" t="s">
        <v>48234</v>
      </c>
      <c r="G4955" s="3" t="s">
        <v>64</v>
      </c>
      <c r="I4955" s="3" t="s">
        <v>128</v>
      </c>
      <c r="J4955" s="3" t="s">
        <v>64</v>
      </c>
      <c r="K4955" s="3" t="s">
        <v>65</v>
      </c>
      <c r="L4955" s="2" t="s">
        <v>47394</v>
      </c>
      <c r="M4955" s="2" t="s">
        <v>48235</v>
      </c>
      <c r="N4955" s="3" t="s">
        <v>153</v>
      </c>
      <c r="P4955" s="3" t="s">
        <v>102</v>
      </c>
      <c r="R4955" s="3" t="s">
        <v>70</v>
      </c>
      <c r="S4955" s="4">
        <v>1</v>
      </c>
      <c r="T4955" s="4">
        <v>1</v>
      </c>
      <c r="U4955" s="5" t="s">
        <v>6395</v>
      </c>
      <c r="V4955" s="5" t="s">
        <v>6395</v>
      </c>
      <c r="W4955" s="5" t="s">
        <v>72</v>
      </c>
      <c r="X4955" s="5" t="s">
        <v>72</v>
      </c>
      <c r="Y4955" s="4">
        <v>90</v>
      </c>
      <c r="Z4955" s="4">
        <v>38</v>
      </c>
      <c r="AA4955" s="4">
        <v>40</v>
      </c>
      <c r="AB4955" s="4">
        <v>3</v>
      </c>
      <c r="AC4955" s="4">
        <v>4</v>
      </c>
      <c r="AD4955" s="4">
        <v>58</v>
      </c>
      <c r="AE4955" s="4">
        <v>59</v>
      </c>
      <c r="AF4955" s="4">
        <v>0</v>
      </c>
      <c r="AG4955" s="4">
        <v>1</v>
      </c>
      <c r="AH4955" s="4">
        <v>43</v>
      </c>
      <c r="AI4955" s="4">
        <v>44</v>
      </c>
      <c r="AJ4955" s="4">
        <v>20</v>
      </c>
      <c r="AK4955" s="4">
        <v>21</v>
      </c>
      <c r="AL4955" s="4">
        <v>25</v>
      </c>
      <c r="AM4955" s="4">
        <v>25</v>
      </c>
      <c r="AN4955" s="4">
        <v>0</v>
      </c>
      <c r="AO4955" s="4">
        <v>0</v>
      </c>
      <c r="AP4955" s="4">
        <v>24</v>
      </c>
      <c r="AQ4955" s="4">
        <v>25</v>
      </c>
      <c r="AR4955" s="3" t="s">
        <v>128</v>
      </c>
      <c r="AS4955" s="3" t="s">
        <v>64</v>
      </c>
      <c r="AT4955" s="3" t="s">
        <v>64</v>
      </c>
      <c r="AV4955" s="6" t="str">
        <f>HYPERLINK("http://mcgill.on.worldcat.org/oclc/41662875","Catalog Record")</f>
        <v>Catalog Record</v>
      </c>
      <c r="AW4955" s="6" t="str">
        <f>HYPERLINK("http://www.worldcat.org/oclc/41662875","WorldCat Record")</f>
        <v>WorldCat Record</v>
      </c>
      <c r="AX4955" s="3" t="s">
        <v>48236</v>
      </c>
      <c r="AY4955" s="3" t="s">
        <v>48237</v>
      </c>
      <c r="AZ4955" s="3" t="s">
        <v>48238</v>
      </c>
      <c r="BA4955" s="3" t="s">
        <v>48238</v>
      </c>
      <c r="BB4955" s="3" t="s">
        <v>48239</v>
      </c>
      <c r="BC4955" s="3" t="s">
        <v>77</v>
      </c>
      <c r="BD4955" s="3" t="s">
        <v>78</v>
      </c>
      <c r="BE4955" s="3" t="s">
        <v>48240</v>
      </c>
      <c r="BF4955" s="3" t="s">
        <v>48239</v>
      </c>
      <c r="BG4955" s="3" t="s">
        <v>48241</v>
      </c>
      <c r="BH4955">
        <f t="shared" si="159"/>
        <v>0</v>
      </c>
    </row>
    <row r="4956" spans="1:60" ht="58" x14ac:dyDescent="0.35">
      <c r="A4956" s="2" t="s">
        <v>59</v>
      </c>
      <c r="B4956" s="2" t="s">
        <v>60</v>
      </c>
      <c r="C4956" s="2" t="s">
        <v>48242</v>
      </c>
      <c r="D4956" s="2" t="s">
        <v>48243</v>
      </c>
      <c r="E4956" s="2" t="s">
        <v>48244</v>
      </c>
      <c r="G4956" s="3" t="s">
        <v>64</v>
      </c>
      <c r="I4956" s="3" t="s">
        <v>64</v>
      </c>
      <c r="J4956" s="3" t="s">
        <v>64</v>
      </c>
      <c r="K4956" s="3" t="s">
        <v>65</v>
      </c>
      <c r="L4956" s="2" t="s">
        <v>48245</v>
      </c>
      <c r="M4956" s="2" t="s">
        <v>48246</v>
      </c>
      <c r="N4956" s="3" t="s">
        <v>511</v>
      </c>
      <c r="P4956" s="3" t="s">
        <v>365</v>
      </c>
      <c r="R4956" s="3" t="s">
        <v>70</v>
      </c>
      <c r="S4956" s="4">
        <v>0</v>
      </c>
      <c r="T4956" s="4">
        <v>0</v>
      </c>
      <c r="W4956" s="5" t="s">
        <v>72</v>
      </c>
      <c r="X4956" s="5" t="s">
        <v>72</v>
      </c>
      <c r="Y4956" s="4">
        <v>35</v>
      </c>
      <c r="Z4956" s="4">
        <v>5</v>
      </c>
      <c r="AA4956" s="4">
        <v>5</v>
      </c>
      <c r="AB4956" s="4">
        <v>1</v>
      </c>
      <c r="AC4956" s="4">
        <v>1</v>
      </c>
      <c r="AD4956" s="4">
        <v>26</v>
      </c>
      <c r="AE4956" s="4">
        <v>26</v>
      </c>
      <c r="AF4956" s="4">
        <v>0</v>
      </c>
      <c r="AG4956" s="4">
        <v>0</v>
      </c>
      <c r="AH4956" s="4">
        <v>25</v>
      </c>
      <c r="AI4956" s="4">
        <v>25</v>
      </c>
      <c r="AJ4956" s="4">
        <v>2</v>
      </c>
      <c r="AK4956" s="4">
        <v>2</v>
      </c>
      <c r="AL4956" s="4">
        <v>18</v>
      </c>
      <c r="AM4956" s="4">
        <v>18</v>
      </c>
      <c r="AN4956" s="4">
        <v>0</v>
      </c>
      <c r="AO4956" s="4">
        <v>0</v>
      </c>
      <c r="AP4956" s="4">
        <v>2</v>
      </c>
      <c r="AQ4956" s="4">
        <v>2</v>
      </c>
      <c r="AR4956" s="3" t="s">
        <v>64</v>
      </c>
      <c r="AS4956" s="3" t="s">
        <v>64</v>
      </c>
      <c r="AT4956" s="3" t="s">
        <v>64</v>
      </c>
      <c r="AV4956" s="6" t="str">
        <f>HYPERLINK("http://mcgill.on.worldcat.org/oclc/697263450","Catalog Record")</f>
        <v>Catalog Record</v>
      </c>
      <c r="AW4956" s="6" t="str">
        <f>HYPERLINK("http://www.worldcat.org/oclc/697263450","WorldCat Record")</f>
        <v>WorldCat Record</v>
      </c>
      <c r="AX4956" s="3" t="s">
        <v>48247</v>
      </c>
      <c r="AY4956" s="3" t="s">
        <v>48248</v>
      </c>
      <c r="AZ4956" s="3" t="s">
        <v>48249</v>
      </c>
      <c r="BA4956" s="3" t="s">
        <v>48249</v>
      </c>
      <c r="BB4956" s="3" t="s">
        <v>48250</v>
      </c>
      <c r="BC4956" s="3" t="s">
        <v>77</v>
      </c>
      <c r="BD4956" s="3" t="s">
        <v>78</v>
      </c>
      <c r="BE4956" s="3" t="s">
        <v>48251</v>
      </c>
      <c r="BF4956" s="3" t="s">
        <v>48250</v>
      </c>
      <c r="BG4956" s="3" t="s">
        <v>48252</v>
      </c>
      <c r="BH4956">
        <f t="shared" si="159"/>
        <v>0</v>
      </c>
    </row>
    <row r="4957" spans="1:60" ht="58" x14ac:dyDescent="0.35">
      <c r="A4957" s="2" t="s">
        <v>59</v>
      </c>
      <c r="B4957" s="2" t="s">
        <v>60</v>
      </c>
      <c r="C4957" s="2" t="s">
        <v>48253</v>
      </c>
      <c r="D4957" s="2" t="s">
        <v>48254</v>
      </c>
      <c r="E4957" s="2" t="s">
        <v>48255</v>
      </c>
      <c r="G4957" s="3" t="s">
        <v>64</v>
      </c>
      <c r="I4957" s="3" t="s">
        <v>128</v>
      </c>
      <c r="J4957" s="3" t="s">
        <v>64</v>
      </c>
      <c r="K4957" s="3" t="s">
        <v>65</v>
      </c>
      <c r="L4957" s="2" t="s">
        <v>48256</v>
      </c>
      <c r="M4957" s="2" t="s">
        <v>48257</v>
      </c>
      <c r="N4957" s="3" t="s">
        <v>768</v>
      </c>
      <c r="P4957" s="3" t="s">
        <v>102</v>
      </c>
      <c r="R4957" s="3" t="s">
        <v>70</v>
      </c>
      <c r="S4957" s="4">
        <v>0</v>
      </c>
      <c r="T4957" s="4">
        <v>2</v>
      </c>
      <c r="V4957" s="5" t="s">
        <v>30786</v>
      </c>
      <c r="W4957" s="5" t="s">
        <v>72</v>
      </c>
      <c r="X4957" s="5" t="s">
        <v>72</v>
      </c>
      <c r="Y4957" s="4">
        <v>325</v>
      </c>
      <c r="Z4957" s="4">
        <v>30</v>
      </c>
      <c r="AA4957" s="4">
        <v>30</v>
      </c>
      <c r="AB4957" s="4">
        <v>1</v>
      </c>
      <c r="AC4957" s="4">
        <v>1</v>
      </c>
      <c r="AD4957" s="4">
        <v>113</v>
      </c>
      <c r="AE4957" s="4">
        <v>113</v>
      </c>
      <c r="AF4957" s="4">
        <v>0</v>
      </c>
      <c r="AG4957" s="4">
        <v>0</v>
      </c>
      <c r="AH4957" s="4">
        <v>98</v>
      </c>
      <c r="AI4957" s="4">
        <v>98</v>
      </c>
      <c r="AJ4957" s="4">
        <v>20</v>
      </c>
      <c r="AK4957" s="4">
        <v>20</v>
      </c>
      <c r="AL4957" s="4">
        <v>51</v>
      </c>
      <c r="AM4957" s="4">
        <v>51</v>
      </c>
      <c r="AN4957" s="4">
        <v>0</v>
      </c>
      <c r="AO4957" s="4">
        <v>0</v>
      </c>
      <c r="AP4957" s="4">
        <v>23</v>
      </c>
      <c r="AQ4957" s="4">
        <v>23</v>
      </c>
      <c r="AR4957" s="3" t="s">
        <v>64</v>
      </c>
      <c r="AS4957" s="3" t="s">
        <v>64</v>
      </c>
      <c r="AT4957" s="3" t="s">
        <v>128</v>
      </c>
      <c r="AU4957" s="6" t="str">
        <f>HYPERLINK("http://catalog.hathitrust.org/Record/007114643","HathiTrust Record")</f>
        <v>HathiTrust Record</v>
      </c>
      <c r="AV4957" s="6" t="str">
        <f>HYPERLINK("http://mcgill.on.worldcat.org/oclc/4134350","Catalog Record")</f>
        <v>Catalog Record</v>
      </c>
      <c r="AW4957" s="6" t="str">
        <f>HYPERLINK("http://www.worldcat.org/oclc/4134350","WorldCat Record")</f>
        <v>WorldCat Record</v>
      </c>
      <c r="AX4957" s="3" t="s">
        <v>48258</v>
      </c>
      <c r="AY4957" s="3" t="s">
        <v>48259</v>
      </c>
      <c r="AZ4957" s="3" t="s">
        <v>48260</v>
      </c>
      <c r="BA4957" s="3" t="s">
        <v>48260</v>
      </c>
      <c r="BB4957" s="3" t="s">
        <v>48261</v>
      </c>
      <c r="BC4957" s="3" t="s">
        <v>77</v>
      </c>
      <c r="BD4957" s="3" t="s">
        <v>78</v>
      </c>
      <c r="BE4957" s="3" t="s">
        <v>48262</v>
      </c>
      <c r="BF4957" s="3" t="s">
        <v>48261</v>
      </c>
      <c r="BG4957" s="3" t="s">
        <v>48263</v>
      </c>
      <c r="BH4957">
        <f t="shared" si="159"/>
        <v>0</v>
      </c>
    </row>
    <row r="4958" spans="1:60" ht="58" x14ac:dyDescent="0.35">
      <c r="A4958" s="2" t="s">
        <v>59</v>
      </c>
      <c r="B4958" s="2" t="s">
        <v>60</v>
      </c>
      <c r="C4958" s="2" t="s">
        <v>48253</v>
      </c>
      <c r="D4958" s="2" t="s">
        <v>48254</v>
      </c>
      <c r="E4958" s="2" t="s">
        <v>48255</v>
      </c>
      <c r="G4958" s="3" t="s">
        <v>64</v>
      </c>
      <c r="I4958" s="3" t="s">
        <v>128</v>
      </c>
      <c r="J4958" s="3" t="s">
        <v>64</v>
      </c>
      <c r="K4958" s="3" t="s">
        <v>65</v>
      </c>
      <c r="L4958" s="2" t="s">
        <v>48256</v>
      </c>
      <c r="M4958" s="2" t="s">
        <v>48257</v>
      </c>
      <c r="N4958" s="3" t="s">
        <v>768</v>
      </c>
      <c r="P4958" s="3" t="s">
        <v>102</v>
      </c>
      <c r="R4958" s="3" t="s">
        <v>70</v>
      </c>
      <c r="S4958" s="4">
        <v>0</v>
      </c>
      <c r="T4958" s="4">
        <v>2</v>
      </c>
      <c r="V4958" s="5" t="s">
        <v>30786</v>
      </c>
      <c r="W4958" s="5" t="s">
        <v>72</v>
      </c>
      <c r="X4958" s="5" t="s">
        <v>72</v>
      </c>
      <c r="Y4958" s="4">
        <v>325</v>
      </c>
      <c r="Z4958" s="4">
        <v>30</v>
      </c>
      <c r="AA4958" s="4">
        <v>30</v>
      </c>
      <c r="AB4958" s="4">
        <v>1</v>
      </c>
      <c r="AC4958" s="4">
        <v>1</v>
      </c>
      <c r="AD4958" s="4">
        <v>113</v>
      </c>
      <c r="AE4958" s="4">
        <v>113</v>
      </c>
      <c r="AF4958" s="4">
        <v>0</v>
      </c>
      <c r="AG4958" s="4">
        <v>0</v>
      </c>
      <c r="AH4958" s="4">
        <v>98</v>
      </c>
      <c r="AI4958" s="4">
        <v>98</v>
      </c>
      <c r="AJ4958" s="4">
        <v>20</v>
      </c>
      <c r="AK4958" s="4">
        <v>20</v>
      </c>
      <c r="AL4958" s="4">
        <v>51</v>
      </c>
      <c r="AM4958" s="4">
        <v>51</v>
      </c>
      <c r="AN4958" s="4">
        <v>0</v>
      </c>
      <c r="AO4958" s="4">
        <v>0</v>
      </c>
      <c r="AP4958" s="4">
        <v>23</v>
      </c>
      <c r="AQ4958" s="4">
        <v>23</v>
      </c>
      <c r="AR4958" s="3" t="s">
        <v>64</v>
      </c>
      <c r="AS4958" s="3" t="s">
        <v>64</v>
      </c>
      <c r="AT4958" s="3" t="s">
        <v>128</v>
      </c>
      <c r="AU4958" s="6" t="str">
        <f>HYPERLINK("http://catalog.hathitrust.org/Record/007114643","HathiTrust Record")</f>
        <v>HathiTrust Record</v>
      </c>
      <c r="AV4958" s="6" t="str">
        <f>HYPERLINK("http://mcgill.on.worldcat.org/oclc/4134350","Catalog Record")</f>
        <v>Catalog Record</v>
      </c>
      <c r="AW4958" s="6" t="str">
        <f>HYPERLINK("http://www.worldcat.org/oclc/4134350","WorldCat Record")</f>
        <v>WorldCat Record</v>
      </c>
      <c r="AX4958" s="3" t="s">
        <v>48258</v>
      </c>
      <c r="AY4958" s="3" t="s">
        <v>48259</v>
      </c>
      <c r="AZ4958" s="3" t="s">
        <v>48260</v>
      </c>
      <c r="BA4958" s="3" t="s">
        <v>48260</v>
      </c>
      <c r="BB4958" s="3" t="s">
        <v>48264</v>
      </c>
      <c r="BC4958" s="3" t="s">
        <v>77</v>
      </c>
      <c r="BD4958" s="3" t="s">
        <v>78</v>
      </c>
      <c r="BE4958" s="3" t="s">
        <v>48262</v>
      </c>
      <c r="BF4958" s="3" t="s">
        <v>48264</v>
      </c>
      <c r="BG4958" s="3" t="s">
        <v>48265</v>
      </c>
      <c r="BH4958">
        <f t="shared" si="159"/>
        <v>0</v>
      </c>
    </row>
    <row r="4959" spans="1:60" ht="58" x14ac:dyDescent="0.35">
      <c r="A4959" s="2" t="s">
        <v>59</v>
      </c>
      <c r="B4959" s="2" t="s">
        <v>60</v>
      </c>
      <c r="C4959" s="2" t="s">
        <v>48266</v>
      </c>
      <c r="D4959" s="2" t="s">
        <v>48267</v>
      </c>
      <c r="E4959" s="2" t="s">
        <v>48268</v>
      </c>
      <c r="G4959" s="3" t="s">
        <v>64</v>
      </c>
      <c r="I4959" s="3" t="s">
        <v>64</v>
      </c>
      <c r="J4959" s="3" t="s">
        <v>64</v>
      </c>
      <c r="K4959" s="3" t="s">
        <v>65</v>
      </c>
      <c r="L4959" s="2" t="s">
        <v>48269</v>
      </c>
      <c r="M4959" s="2" t="s">
        <v>48270</v>
      </c>
      <c r="N4959" s="3" t="s">
        <v>1047</v>
      </c>
      <c r="P4959" s="3" t="s">
        <v>102</v>
      </c>
      <c r="Q4959" s="2" t="s">
        <v>48271</v>
      </c>
      <c r="R4959" s="3" t="s">
        <v>70</v>
      </c>
      <c r="S4959" s="4">
        <v>1</v>
      </c>
      <c r="T4959" s="4">
        <v>1</v>
      </c>
      <c r="U4959" s="5" t="s">
        <v>1264</v>
      </c>
      <c r="V4959" s="5" t="s">
        <v>1264</v>
      </c>
      <c r="W4959" s="5" t="s">
        <v>72</v>
      </c>
      <c r="X4959" s="5" t="s">
        <v>72</v>
      </c>
      <c r="Y4959" s="4">
        <v>178</v>
      </c>
      <c r="Z4959" s="4">
        <v>15</v>
      </c>
      <c r="AA4959" s="4">
        <v>15</v>
      </c>
      <c r="AB4959" s="4">
        <v>1</v>
      </c>
      <c r="AC4959" s="4">
        <v>1</v>
      </c>
      <c r="AD4959" s="4">
        <v>90</v>
      </c>
      <c r="AE4959" s="4">
        <v>90</v>
      </c>
      <c r="AF4959" s="4">
        <v>0</v>
      </c>
      <c r="AG4959" s="4">
        <v>0</v>
      </c>
      <c r="AH4959" s="4">
        <v>82</v>
      </c>
      <c r="AI4959" s="4">
        <v>82</v>
      </c>
      <c r="AJ4959" s="4">
        <v>12</v>
      </c>
      <c r="AK4959" s="4">
        <v>12</v>
      </c>
      <c r="AL4959" s="4">
        <v>48</v>
      </c>
      <c r="AM4959" s="4">
        <v>48</v>
      </c>
      <c r="AN4959" s="4">
        <v>0</v>
      </c>
      <c r="AO4959" s="4">
        <v>0</v>
      </c>
      <c r="AP4959" s="4">
        <v>13</v>
      </c>
      <c r="AQ4959" s="4">
        <v>13</v>
      </c>
      <c r="AR4959" s="3" t="s">
        <v>64</v>
      </c>
      <c r="AS4959" s="3" t="s">
        <v>64</v>
      </c>
      <c r="AT4959" s="3" t="s">
        <v>128</v>
      </c>
      <c r="AU4959" s="6" t="str">
        <f>HYPERLINK("http://catalog.hathitrust.org/Record/000308861","HathiTrust Record")</f>
        <v>HathiTrust Record</v>
      </c>
      <c r="AV4959" s="6" t="str">
        <f>HYPERLINK("http://mcgill.on.worldcat.org/oclc/8554133","Catalog Record")</f>
        <v>Catalog Record</v>
      </c>
      <c r="AW4959" s="6" t="str">
        <f>HYPERLINK("http://www.worldcat.org/oclc/8554133","WorldCat Record")</f>
        <v>WorldCat Record</v>
      </c>
      <c r="AX4959" s="3" t="s">
        <v>48272</v>
      </c>
      <c r="AY4959" s="3" t="s">
        <v>48273</v>
      </c>
      <c r="AZ4959" s="3" t="s">
        <v>48274</v>
      </c>
      <c r="BA4959" s="3" t="s">
        <v>48274</v>
      </c>
      <c r="BB4959" s="3" t="s">
        <v>48275</v>
      </c>
      <c r="BC4959" s="3" t="s">
        <v>77</v>
      </c>
      <c r="BD4959" s="3" t="s">
        <v>78</v>
      </c>
      <c r="BE4959" s="3" t="s">
        <v>48276</v>
      </c>
      <c r="BF4959" s="3" t="s">
        <v>48275</v>
      </c>
      <c r="BG4959" s="3" t="s">
        <v>48277</v>
      </c>
      <c r="BH4959">
        <f t="shared" si="159"/>
        <v>0</v>
      </c>
    </row>
    <row r="4960" spans="1:60" ht="87" x14ac:dyDescent="0.35">
      <c r="A4960" s="2" t="s">
        <v>59</v>
      </c>
      <c r="B4960" s="2" t="s">
        <v>60</v>
      </c>
      <c r="C4960" s="2" t="s">
        <v>48278</v>
      </c>
      <c r="D4960" s="2" t="s">
        <v>48279</v>
      </c>
      <c r="E4960" s="2" t="s">
        <v>48280</v>
      </c>
      <c r="F4960" s="3" t="s">
        <v>48281</v>
      </c>
      <c r="G4960" s="3" t="s">
        <v>128</v>
      </c>
      <c r="I4960" s="3" t="s">
        <v>64</v>
      </c>
      <c r="J4960" s="3" t="s">
        <v>64</v>
      </c>
      <c r="K4960" s="3" t="s">
        <v>65</v>
      </c>
      <c r="L4960" s="2" t="s">
        <v>48282</v>
      </c>
      <c r="M4960" s="2" t="s">
        <v>48283</v>
      </c>
      <c r="N4960" s="3" t="s">
        <v>10653</v>
      </c>
      <c r="P4960" s="3" t="s">
        <v>944</v>
      </c>
      <c r="R4960" s="3" t="s">
        <v>70</v>
      </c>
      <c r="S4960" s="4">
        <v>2</v>
      </c>
      <c r="T4960" s="4">
        <v>4</v>
      </c>
      <c r="U4960" s="5" t="s">
        <v>4300</v>
      </c>
      <c r="V4960" s="5" t="s">
        <v>4300</v>
      </c>
      <c r="W4960" s="5" t="s">
        <v>72</v>
      </c>
      <c r="X4960" s="5" t="s">
        <v>72</v>
      </c>
      <c r="Y4960" s="4">
        <v>26</v>
      </c>
      <c r="Z4960" s="4">
        <v>1</v>
      </c>
      <c r="AA4960" s="4">
        <v>1</v>
      </c>
      <c r="AB4960" s="4">
        <v>1</v>
      </c>
      <c r="AC4960" s="4">
        <v>1</v>
      </c>
      <c r="AD4960" s="4">
        <v>14</v>
      </c>
      <c r="AE4960" s="4">
        <v>16</v>
      </c>
      <c r="AF4960" s="4">
        <v>0</v>
      </c>
      <c r="AG4960" s="4">
        <v>0</v>
      </c>
      <c r="AH4960" s="4">
        <v>13</v>
      </c>
      <c r="AI4960" s="4">
        <v>15</v>
      </c>
      <c r="AJ4960" s="4">
        <v>0</v>
      </c>
      <c r="AK4960" s="4">
        <v>0</v>
      </c>
      <c r="AL4960" s="4">
        <v>12</v>
      </c>
      <c r="AM4960" s="4">
        <v>13</v>
      </c>
      <c r="AN4960" s="4">
        <v>0</v>
      </c>
      <c r="AO4960" s="4">
        <v>0</v>
      </c>
      <c r="AP4960" s="4">
        <v>0</v>
      </c>
      <c r="AQ4960" s="4">
        <v>0</v>
      </c>
      <c r="AR4960" s="3" t="s">
        <v>64</v>
      </c>
      <c r="AS4960" s="3" t="s">
        <v>64</v>
      </c>
      <c r="AT4960" s="3" t="s">
        <v>64</v>
      </c>
      <c r="AU4960" s="6" t="str">
        <f>HYPERLINK("http://catalog.hathitrust.org/Record/001180444","HathiTrust Record")</f>
        <v>HathiTrust Record</v>
      </c>
      <c r="AV4960" s="6" t="str">
        <f>HYPERLINK("http://mcgill.on.worldcat.org/oclc/12753887","Catalog Record")</f>
        <v>Catalog Record</v>
      </c>
      <c r="AW4960" s="6" t="str">
        <f>HYPERLINK("http://www.worldcat.org/oclc/12753887","WorldCat Record")</f>
        <v>WorldCat Record</v>
      </c>
      <c r="AX4960" s="3" t="s">
        <v>48284</v>
      </c>
      <c r="AY4960" s="3" t="s">
        <v>48285</v>
      </c>
      <c r="AZ4960" s="3" t="s">
        <v>48286</v>
      </c>
      <c r="BA4960" s="3" t="s">
        <v>48286</v>
      </c>
      <c r="BB4960" s="3" t="s">
        <v>48287</v>
      </c>
      <c r="BC4960" s="3" t="s">
        <v>77</v>
      </c>
      <c r="BD4960" s="3" t="s">
        <v>78</v>
      </c>
      <c r="BF4960" s="3" t="s">
        <v>48287</v>
      </c>
      <c r="BG4960" s="3" t="s">
        <v>48288</v>
      </c>
      <c r="BH4960">
        <f t="shared" si="159"/>
        <v>0</v>
      </c>
    </row>
    <row r="4961" spans="1:60" ht="87" x14ac:dyDescent="0.35">
      <c r="A4961" s="2" t="s">
        <v>59</v>
      </c>
      <c r="B4961" s="2" t="s">
        <v>60</v>
      </c>
      <c r="C4961" s="2" t="s">
        <v>48278</v>
      </c>
      <c r="D4961" s="2" t="s">
        <v>48279</v>
      </c>
      <c r="E4961" s="2" t="s">
        <v>48280</v>
      </c>
      <c r="F4961" s="3" t="s">
        <v>48289</v>
      </c>
      <c r="G4961" s="3" t="s">
        <v>128</v>
      </c>
      <c r="I4961" s="3" t="s">
        <v>64</v>
      </c>
      <c r="J4961" s="3" t="s">
        <v>64</v>
      </c>
      <c r="K4961" s="3" t="s">
        <v>65</v>
      </c>
      <c r="L4961" s="2" t="s">
        <v>48282</v>
      </c>
      <c r="M4961" s="2" t="s">
        <v>48283</v>
      </c>
      <c r="N4961" s="3" t="s">
        <v>10653</v>
      </c>
      <c r="P4961" s="3" t="s">
        <v>944</v>
      </c>
      <c r="R4961" s="3" t="s">
        <v>70</v>
      </c>
      <c r="S4961" s="4">
        <v>2</v>
      </c>
      <c r="T4961" s="4">
        <v>4</v>
      </c>
      <c r="U4961" s="5" t="s">
        <v>4300</v>
      </c>
      <c r="V4961" s="5" t="s">
        <v>4300</v>
      </c>
      <c r="W4961" s="5" t="s">
        <v>72</v>
      </c>
      <c r="X4961" s="5" t="s">
        <v>72</v>
      </c>
      <c r="Y4961" s="4">
        <v>26</v>
      </c>
      <c r="Z4961" s="4">
        <v>1</v>
      </c>
      <c r="AA4961" s="4">
        <v>1</v>
      </c>
      <c r="AB4961" s="4">
        <v>1</v>
      </c>
      <c r="AC4961" s="4">
        <v>1</v>
      </c>
      <c r="AD4961" s="4">
        <v>14</v>
      </c>
      <c r="AE4961" s="4">
        <v>16</v>
      </c>
      <c r="AF4961" s="4">
        <v>0</v>
      </c>
      <c r="AG4961" s="4">
        <v>0</v>
      </c>
      <c r="AH4961" s="4">
        <v>13</v>
      </c>
      <c r="AI4961" s="4">
        <v>15</v>
      </c>
      <c r="AJ4961" s="4">
        <v>0</v>
      </c>
      <c r="AK4961" s="4">
        <v>0</v>
      </c>
      <c r="AL4961" s="4">
        <v>12</v>
      </c>
      <c r="AM4961" s="4">
        <v>13</v>
      </c>
      <c r="AN4961" s="4">
        <v>0</v>
      </c>
      <c r="AO4961" s="4">
        <v>0</v>
      </c>
      <c r="AP4961" s="4">
        <v>0</v>
      </c>
      <c r="AQ4961" s="4">
        <v>0</v>
      </c>
      <c r="AR4961" s="3" t="s">
        <v>64</v>
      </c>
      <c r="AS4961" s="3" t="s">
        <v>64</v>
      </c>
      <c r="AT4961" s="3" t="s">
        <v>64</v>
      </c>
      <c r="AU4961" s="6" t="str">
        <f>HYPERLINK("http://catalog.hathitrust.org/Record/001180444","HathiTrust Record")</f>
        <v>HathiTrust Record</v>
      </c>
      <c r="AV4961" s="6" t="str">
        <f>HYPERLINK("http://mcgill.on.worldcat.org/oclc/12753887","Catalog Record")</f>
        <v>Catalog Record</v>
      </c>
      <c r="AW4961" s="6" t="str">
        <f>HYPERLINK("http://www.worldcat.org/oclc/12753887","WorldCat Record")</f>
        <v>WorldCat Record</v>
      </c>
      <c r="AX4961" s="3" t="s">
        <v>48284</v>
      </c>
      <c r="AY4961" s="3" t="s">
        <v>48285</v>
      </c>
      <c r="AZ4961" s="3" t="s">
        <v>48286</v>
      </c>
      <c r="BA4961" s="3" t="s">
        <v>48286</v>
      </c>
      <c r="BB4961" s="3" t="s">
        <v>48290</v>
      </c>
      <c r="BC4961" s="3" t="s">
        <v>77</v>
      </c>
      <c r="BD4961" s="3" t="s">
        <v>78</v>
      </c>
      <c r="BF4961" s="3" t="s">
        <v>48290</v>
      </c>
      <c r="BG4961" s="3" t="s">
        <v>48291</v>
      </c>
      <c r="BH4961">
        <f t="shared" si="159"/>
        <v>0</v>
      </c>
    </row>
    <row r="4962" spans="1:60" ht="58" x14ac:dyDescent="0.35">
      <c r="A4962" s="2" t="s">
        <v>59</v>
      </c>
      <c r="B4962" s="2" t="s">
        <v>60</v>
      </c>
      <c r="C4962" s="2" t="s">
        <v>48292</v>
      </c>
      <c r="D4962" s="2" t="s">
        <v>48293</v>
      </c>
      <c r="E4962" s="2" t="s">
        <v>48294</v>
      </c>
      <c r="G4962" s="3" t="s">
        <v>128</v>
      </c>
      <c r="I4962" s="3" t="s">
        <v>64</v>
      </c>
      <c r="J4962" s="3" t="s">
        <v>64</v>
      </c>
      <c r="K4962" s="3" t="s">
        <v>65</v>
      </c>
      <c r="L4962" s="2" t="s">
        <v>48295</v>
      </c>
      <c r="M4962" s="2" t="s">
        <v>48296</v>
      </c>
      <c r="N4962" s="3" t="s">
        <v>253</v>
      </c>
      <c r="P4962" s="3" t="s">
        <v>365</v>
      </c>
      <c r="R4962" s="3" t="s">
        <v>70</v>
      </c>
      <c r="S4962" s="4">
        <v>0</v>
      </c>
      <c r="T4962" s="4">
        <v>0</v>
      </c>
      <c r="W4962" s="5" t="s">
        <v>72</v>
      </c>
      <c r="X4962" s="5" t="s">
        <v>72</v>
      </c>
      <c r="Y4962" s="4">
        <v>23</v>
      </c>
      <c r="Z4962" s="4">
        <v>2</v>
      </c>
      <c r="AA4962" s="4">
        <v>2</v>
      </c>
      <c r="AB4962" s="4">
        <v>1</v>
      </c>
      <c r="AC4962" s="4">
        <v>1</v>
      </c>
      <c r="AD4962" s="4">
        <v>13</v>
      </c>
      <c r="AE4962" s="4">
        <v>13</v>
      </c>
      <c r="AF4962" s="4">
        <v>0</v>
      </c>
      <c r="AG4962" s="4">
        <v>0</v>
      </c>
      <c r="AH4962" s="4">
        <v>12</v>
      </c>
      <c r="AI4962" s="4">
        <v>12</v>
      </c>
      <c r="AJ4962" s="4">
        <v>1</v>
      </c>
      <c r="AK4962" s="4">
        <v>1</v>
      </c>
      <c r="AL4962" s="4">
        <v>9</v>
      </c>
      <c r="AM4962" s="4">
        <v>9</v>
      </c>
      <c r="AN4962" s="4">
        <v>0</v>
      </c>
      <c r="AO4962" s="4">
        <v>0</v>
      </c>
      <c r="AP4962" s="4">
        <v>1</v>
      </c>
      <c r="AQ4962" s="4">
        <v>1</v>
      </c>
      <c r="AR4962" s="3" t="s">
        <v>64</v>
      </c>
      <c r="AS4962" s="3" t="s">
        <v>64</v>
      </c>
      <c r="AT4962" s="3" t="s">
        <v>64</v>
      </c>
      <c r="AV4962" s="6" t="str">
        <f>HYPERLINK("http://mcgill.on.worldcat.org/oclc/1048658189","Catalog Record")</f>
        <v>Catalog Record</v>
      </c>
      <c r="AW4962" s="6" t="str">
        <f>HYPERLINK("http://www.worldcat.org/oclc/1048658189","WorldCat Record")</f>
        <v>WorldCat Record</v>
      </c>
      <c r="AX4962" s="3" t="s">
        <v>48297</v>
      </c>
      <c r="AY4962" s="3" t="s">
        <v>48298</v>
      </c>
      <c r="AZ4962" s="3" t="s">
        <v>48299</v>
      </c>
      <c r="BA4962" s="3" t="s">
        <v>48299</v>
      </c>
      <c r="BB4962" s="3" t="s">
        <v>48300</v>
      </c>
      <c r="BC4962" s="3" t="s">
        <v>77</v>
      </c>
      <c r="BD4962" s="3" t="s">
        <v>78</v>
      </c>
      <c r="BE4962" s="3" t="s">
        <v>48301</v>
      </c>
      <c r="BF4962" s="3" t="s">
        <v>48300</v>
      </c>
      <c r="BG4962" s="3" t="s">
        <v>48302</v>
      </c>
      <c r="BH4962">
        <f t="shared" si="159"/>
        <v>0</v>
      </c>
    </row>
    <row r="4963" spans="1:60" ht="58" x14ac:dyDescent="0.35">
      <c r="A4963" s="2" t="s">
        <v>59</v>
      </c>
      <c r="B4963" s="2" t="s">
        <v>60</v>
      </c>
      <c r="C4963" s="2" t="s">
        <v>48303</v>
      </c>
      <c r="D4963" s="2" t="s">
        <v>48304</v>
      </c>
      <c r="E4963" s="2" t="s">
        <v>48305</v>
      </c>
      <c r="G4963" s="3" t="s">
        <v>64</v>
      </c>
      <c r="I4963" s="3" t="s">
        <v>64</v>
      </c>
      <c r="J4963" s="3" t="s">
        <v>64</v>
      </c>
      <c r="K4963" s="3" t="s">
        <v>65</v>
      </c>
      <c r="M4963" s="2" t="s">
        <v>48306</v>
      </c>
      <c r="N4963" s="3" t="s">
        <v>1750</v>
      </c>
      <c r="P4963" s="3" t="s">
        <v>102</v>
      </c>
      <c r="R4963" s="3" t="s">
        <v>70</v>
      </c>
      <c r="S4963" s="4">
        <v>2</v>
      </c>
      <c r="T4963" s="4">
        <v>2</v>
      </c>
      <c r="U4963" s="5" t="s">
        <v>48307</v>
      </c>
      <c r="V4963" s="5" t="s">
        <v>48307</v>
      </c>
      <c r="W4963" s="5" t="s">
        <v>72</v>
      </c>
      <c r="X4963" s="5" t="s">
        <v>72</v>
      </c>
      <c r="Y4963" s="4">
        <v>100</v>
      </c>
      <c r="Z4963" s="4">
        <v>18</v>
      </c>
      <c r="AA4963" s="4">
        <v>20</v>
      </c>
      <c r="AB4963" s="4">
        <v>1</v>
      </c>
      <c r="AC4963" s="4">
        <v>1</v>
      </c>
      <c r="AD4963" s="4">
        <v>40</v>
      </c>
      <c r="AE4963" s="4">
        <v>46</v>
      </c>
      <c r="AF4963" s="4">
        <v>0</v>
      </c>
      <c r="AG4963" s="4">
        <v>0</v>
      </c>
      <c r="AH4963" s="4">
        <v>31</v>
      </c>
      <c r="AI4963" s="4">
        <v>36</v>
      </c>
      <c r="AJ4963" s="4">
        <v>8</v>
      </c>
      <c r="AK4963" s="4">
        <v>10</v>
      </c>
      <c r="AL4963" s="4">
        <v>23</v>
      </c>
      <c r="AM4963" s="4">
        <v>24</v>
      </c>
      <c r="AN4963" s="4">
        <v>0</v>
      </c>
      <c r="AO4963" s="4">
        <v>0</v>
      </c>
      <c r="AP4963" s="4">
        <v>11</v>
      </c>
      <c r="AQ4963" s="4">
        <v>13</v>
      </c>
      <c r="AR4963" s="3" t="s">
        <v>64</v>
      </c>
      <c r="AS4963" s="3" t="s">
        <v>64</v>
      </c>
      <c r="AT4963" s="3" t="s">
        <v>64</v>
      </c>
      <c r="AV4963" s="6" t="str">
        <f>HYPERLINK("http://mcgill.on.worldcat.org/oclc/2218802","Catalog Record")</f>
        <v>Catalog Record</v>
      </c>
      <c r="AW4963" s="6" t="str">
        <f>HYPERLINK("http://www.worldcat.org/oclc/2218802","WorldCat Record")</f>
        <v>WorldCat Record</v>
      </c>
      <c r="AX4963" s="3" t="s">
        <v>48308</v>
      </c>
      <c r="AY4963" s="3" t="s">
        <v>48309</v>
      </c>
      <c r="AZ4963" s="3" t="s">
        <v>48310</v>
      </c>
      <c r="BA4963" s="3" t="s">
        <v>48310</v>
      </c>
      <c r="BB4963" s="3" t="s">
        <v>48311</v>
      </c>
      <c r="BC4963" s="3" t="s">
        <v>77</v>
      </c>
      <c r="BD4963" s="3" t="s">
        <v>78</v>
      </c>
      <c r="BE4963" s="3" t="s">
        <v>48312</v>
      </c>
      <c r="BF4963" s="3" t="s">
        <v>48311</v>
      </c>
      <c r="BG4963" s="3" t="s">
        <v>48313</v>
      </c>
      <c r="BH4963">
        <f t="shared" si="159"/>
        <v>0</v>
      </c>
    </row>
    <row r="4964" spans="1:60" ht="58" x14ac:dyDescent="0.35">
      <c r="A4964" s="2" t="s">
        <v>59</v>
      </c>
      <c r="B4964" s="2" t="s">
        <v>60</v>
      </c>
      <c r="C4964" s="2" t="s">
        <v>48314</v>
      </c>
      <c r="D4964" s="2" t="s">
        <v>48315</v>
      </c>
      <c r="E4964" s="2" t="s">
        <v>48316</v>
      </c>
      <c r="G4964" s="3" t="s">
        <v>64</v>
      </c>
      <c r="I4964" s="3" t="s">
        <v>64</v>
      </c>
      <c r="J4964" s="3" t="s">
        <v>64</v>
      </c>
      <c r="K4964" s="3" t="s">
        <v>65</v>
      </c>
      <c r="L4964" s="2" t="s">
        <v>48317</v>
      </c>
      <c r="M4964" s="2" t="s">
        <v>48318</v>
      </c>
      <c r="N4964" s="3" t="s">
        <v>1004</v>
      </c>
      <c r="P4964" s="3" t="s">
        <v>102</v>
      </c>
      <c r="Q4964" s="2" t="s">
        <v>48319</v>
      </c>
      <c r="R4964" s="3" t="s">
        <v>70</v>
      </c>
      <c r="S4964" s="4">
        <v>2</v>
      </c>
      <c r="T4964" s="4">
        <v>2</v>
      </c>
      <c r="U4964" s="5" t="s">
        <v>48320</v>
      </c>
      <c r="V4964" s="5" t="s">
        <v>48320</v>
      </c>
      <c r="W4964" s="5" t="s">
        <v>72</v>
      </c>
      <c r="X4964" s="5" t="s">
        <v>72</v>
      </c>
      <c r="Y4964" s="4">
        <v>178</v>
      </c>
      <c r="Z4964" s="4">
        <v>21</v>
      </c>
      <c r="AA4964" s="4">
        <v>22</v>
      </c>
      <c r="AB4964" s="4">
        <v>1</v>
      </c>
      <c r="AC4964" s="4">
        <v>2</v>
      </c>
      <c r="AD4964" s="4">
        <v>84</v>
      </c>
      <c r="AE4964" s="4">
        <v>85</v>
      </c>
      <c r="AF4964" s="4">
        <v>0</v>
      </c>
      <c r="AG4964" s="4">
        <v>1</v>
      </c>
      <c r="AH4964" s="4">
        <v>74</v>
      </c>
      <c r="AI4964" s="4">
        <v>74</v>
      </c>
      <c r="AJ4964" s="4">
        <v>16</v>
      </c>
      <c r="AK4964" s="4">
        <v>17</v>
      </c>
      <c r="AL4964" s="4">
        <v>44</v>
      </c>
      <c r="AM4964" s="4">
        <v>44</v>
      </c>
      <c r="AN4964" s="4">
        <v>0</v>
      </c>
      <c r="AO4964" s="4">
        <v>0</v>
      </c>
      <c r="AP4964" s="4">
        <v>17</v>
      </c>
      <c r="AQ4964" s="4">
        <v>17</v>
      </c>
      <c r="AR4964" s="3" t="s">
        <v>64</v>
      </c>
      <c r="AS4964" s="3" t="s">
        <v>64</v>
      </c>
      <c r="AT4964" s="3" t="s">
        <v>128</v>
      </c>
      <c r="AU4964" s="6" t="str">
        <f>HYPERLINK("http://catalog.hathitrust.org/Record/000321735","HathiTrust Record")</f>
        <v>HathiTrust Record</v>
      </c>
      <c r="AV4964" s="6" t="str">
        <f>HYPERLINK("http://mcgill.on.worldcat.org/oclc/13702931","Catalog Record")</f>
        <v>Catalog Record</v>
      </c>
      <c r="AW4964" s="6" t="str">
        <f>HYPERLINK("http://www.worldcat.org/oclc/13702931","WorldCat Record")</f>
        <v>WorldCat Record</v>
      </c>
      <c r="AX4964" s="3" t="s">
        <v>48321</v>
      </c>
      <c r="AY4964" s="3" t="s">
        <v>48322</v>
      </c>
      <c r="AZ4964" s="3" t="s">
        <v>48323</v>
      </c>
      <c r="BA4964" s="3" t="s">
        <v>48323</v>
      </c>
      <c r="BB4964" s="3" t="s">
        <v>48324</v>
      </c>
      <c r="BC4964" s="3" t="s">
        <v>77</v>
      </c>
      <c r="BD4964" s="3" t="s">
        <v>78</v>
      </c>
      <c r="BE4964" s="3" t="s">
        <v>48325</v>
      </c>
      <c r="BF4964" s="3" t="s">
        <v>48324</v>
      </c>
      <c r="BG4964" s="3" t="s">
        <v>48326</v>
      </c>
      <c r="BH4964">
        <f t="shared" si="159"/>
        <v>0</v>
      </c>
    </row>
    <row r="4965" spans="1:60" ht="72.5" x14ac:dyDescent="0.35">
      <c r="A4965" s="2" t="s">
        <v>59</v>
      </c>
      <c r="B4965" s="2" t="s">
        <v>60</v>
      </c>
      <c r="C4965" s="2" t="s">
        <v>48327</v>
      </c>
      <c r="D4965" s="2" t="s">
        <v>48328</v>
      </c>
      <c r="E4965" s="2" t="s">
        <v>48329</v>
      </c>
      <c r="F4965" s="3" t="s">
        <v>48330</v>
      </c>
      <c r="G4965" s="3" t="s">
        <v>64</v>
      </c>
      <c r="I4965" s="3" t="s">
        <v>64</v>
      </c>
      <c r="J4965" s="3" t="s">
        <v>64</v>
      </c>
      <c r="K4965" s="3" t="s">
        <v>65</v>
      </c>
      <c r="L4965" s="2" t="s">
        <v>48331</v>
      </c>
      <c r="M4965" s="2" t="s">
        <v>48332</v>
      </c>
      <c r="N4965" s="3" t="s">
        <v>291</v>
      </c>
      <c r="P4965" s="3" t="s">
        <v>102</v>
      </c>
      <c r="Q4965" s="2" t="s">
        <v>48333</v>
      </c>
      <c r="R4965" s="3" t="s">
        <v>70</v>
      </c>
      <c r="S4965" s="4">
        <v>1</v>
      </c>
      <c r="T4965" s="4">
        <v>1</v>
      </c>
      <c r="U4965" s="5" t="s">
        <v>7890</v>
      </c>
      <c r="V4965" s="5" t="s">
        <v>7890</v>
      </c>
      <c r="W4965" s="5" t="s">
        <v>72</v>
      </c>
      <c r="X4965" s="5" t="s">
        <v>72</v>
      </c>
      <c r="Y4965" s="4">
        <v>4</v>
      </c>
      <c r="Z4965" s="4">
        <v>2</v>
      </c>
      <c r="AA4965" s="4">
        <v>11</v>
      </c>
      <c r="AB4965" s="4">
        <v>1</v>
      </c>
      <c r="AC4965" s="4">
        <v>4</v>
      </c>
      <c r="AD4965" s="4">
        <v>1</v>
      </c>
      <c r="AE4965" s="4">
        <v>40</v>
      </c>
      <c r="AF4965" s="4">
        <v>0</v>
      </c>
      <c r="AG4965" s="4">
        <v>1</v>
      </c>
      <c r="AH4965" s="4">
        <v>0</v>
      </c>
      <c r="AI4965" s="4">
        <v>36</v>
      </c>
      <c r="AJ4965" s="4">
        <v>1</v>
      </c>
      <c r="AK4965" s="4">
        <v>6</v>
      </c>
      <c r="AL4965" s="4">
        <v>0</v>
      </c>
      <c r="AM4965" s="4">
        <v>24</v>
      </c>
      <c r="AN4965" s="4">
        <v>0</v>
      </c>
      <c r="AO4965" s="4">
        <v>0</v>
      </c>
      <c r="AP4965" s="4">
        <v>1</v>
      </c>
      <c r="AQ4965" s="4">
        <v>5</v>
      </c>
      <c r="AR4965" s="3" t="s">
        <v>64</v>
      </c>
      <c r="AS4965" s="3" t="s">
        <v>64</v>
      </c>
      <c r="AT4965" s="3" t="s">
        <v>64</v>
      </c>
      <c r="AV4965" s="6" t="str">
        <f>HYPERLINK("http://mcgill.on.worldcat.org/oclc/427798900","Catalog Record")</f>
        <v>Catalog Record</v>
      </c>
      <c r="AW4965" s="6" t="str">
        <f>HYPERLINK("http://www.worldcat.org/oclc/427798900","WorldCat Record")</f>
        <v>WorldCat Record</v>
      </c>
      <c r="AX4965" s="3" t="s">
        <v>48334</v>
      </c>
      <c r="AY4965" s="3" t="s">
        <v>48335</v>
      </c>
      <c r="AZ4965" s="3" t="s">
        <v>48336</v>
      </c>
      <c r="BA4965" s="3" t="s">
        <v>48336</v>
      </c>
      <c r="BB4965" s="3" t="s">
        <v>48337</v>
      </c>
      <c r="BC4965" s="3" t="s">
        <v>77</v>
      </c>
      <c r="BD4965" s="3" t="s">
        <v>78</v>
      </c>
      <c r="BE4965" s="3" t="s">
        <v>48338</v>
      </c>
      <c r="BF4965" s="3" t="s">
        <v>48337</v>
      </c>
      <c r="BG4965" s="3" t="s">
        <v>48339</v>
      </c>
      <c r="BH4965">
        <f t="shared" si="159"/>
        <v>0</v>
      </c>
    </row>
    <row r="4966" spans="1:60" ht="58" x14ac:dyDescent="0.35">
      <c r="A4966" s="2" t="s">
        <v>59</v>
      </c>
      <c r="B4966" s="2" t="s">
        <v>60</v>
      </c>
      <c r="C4966" s="2" t="s">
        <v>48340</v>
      </c>
      <c r="D4966" s="2" t="s">
        <v>48341</v>
      </c>
      <c r="E4966" s="2" t="s">
        <v>48342</v>
      </c>
      <c r="G4966" s="3" t="s">
        <v>64</v>
      </c>
      <c r="I4966" s="3" t="s">
        <v>64</v>
      </c>
      <c r="J4966" s="3" t="s">
        <v>64</v>
      </c>
      <c r="K4966" s="3" t="s">
        <v>65</v>
      </c>
      <c r="L4966" s="2" t="s">
        <v>48343</v>
      </c>
      <c r="M4966" s="2" t="s">
        <v>48344</v>
      </c>
      <c r="N4966" s="3" t="s">
        <v>131</v>
      </c>
      <c r="P4966" s="3" t="s">
        <v>102</v>
      </c>
      <c r="Q4966" s="2" t="s">
        <v>48345</v>
      </c>
      <c r="R4966" s="3" t="s">
        <v>70</v>
      </c>
      <c r="S4966" s="4">
        <v>1</v>
      </c>
      <c r="T4966" s="4">
        <v>1</v>
      </c>
      <c r="U4966" s="5" t="s">
        <v>35087</v>
      </c>
      <c r="V4966" s="5" t="s">
        <v>35087</v>
      </c>
      <c r="W4966" s="5" t="s">
        <v>72</v>
      </c>
      <c r="X4966" s="5" t="s">
        <v>72</v>
      </c>
      <c r="Y4966" s="4">
        <v>149</v>
      </c>
      <c r="Z4966" s="4">
        <v>14</v>
      </c>
      <c r="AA4966" s="4">
        <v>16</v>
      </c>
      <c r="AB4966" s="4">
        <v>1</v>
      </c>
      <c r="AC4966" s="4">
        <v>1</v>
      </c>
      <c r="AD4966" s="4">
        <v>69</v>
      </c>
      <c r="AE4966" s="4">
        <v>72</v>
      </c>
      <c r="AF4966" s="4">
        <v>0</v>
      </c>
      <c r="AG4966" s="4">
        <v>0</v>
      </c>
      <c r="AH4966" s="4">
        <v>67</v>
      </c>
      <c r="AI4966" s="4">
        <v>70</v>
      </c>
      <c r="AJ4966" s="4">
        <v>8</v>
      </c>
      <c r="AK4966" s="4">
        <v>10</v>
      </c>
      <c r="AL4966" s="4">
        <v>40</v>
      </c>
      <c r="AM4966" s="4">
        <v>40</v>
      </c>
      <c r="AN4966" s="4">
        <v>0</v>
      </c>
      <c r="AO4966" s="4">
        <v>0</v>
      </c>
      <c r="AP4966" s="4">
        <v>8</v>
      </c>
      <c r="AQ4966" s="4">
        <v>10</v>
      </c>
      <c r="AR4966" s="3" t="s">
        <v>64</v>
      </c>
      <c r="AS4966" s="3" t="s">
        <v>64</v>
      </c>
      <c r="AT4966" s="3" t="s">
        <v>128</v>
      </c>
      <c r="AU4966" s="6" t="str">
        <f>HYPERLINK("http://catalog.hathitrust.org/Record/001669036","HathiTrust Record")</f>
        <v>HathiTrust Record</v>
      </c>
      <c r="AV4966" s="6" t="str">
        <f>HYPERLINK("http://mcgill.on.worldcat.org/oclc/1293429","Catalog Record")</f>
        <v>Catalog Record</v>
      </c>
      <c r="AW4966" s="6" t="str">
        <f>HYPERLINK("http://www.worldcat.org/oclc/1293429","WorldCat Record")</f>
        <v>WorldCat Record</v>
      </c>
      <c r="AX4966" s="3" t="s">
        <v>48346</v>
      </c>
      <c r="AY4966" s="3" t="s">
        <v>48347</v>
      </c>
      <c r="AZ4966" s="3" t="s">
        <v>48348</v>
      </c>
      <c r="BA4966" s="3" t="s">
        <v>48348</v>
      </c>
      <c r="BB4966" s="3" t="s">
        <v>48349</v>
      </c>
      <c r="BC4966" s="3" t="s">
        <v>77</v>
      </c>
      <c r="BD4966" s="3" t="s">
        <v>78</v>
      </c>
      <c r="BF4966" s="3" t="s">
        <v>48349</v>
      </c>
      <c r="BG4966" s="3" t="s">
        <v>48350</v>
      </c>
      <c r="BH4966">
        <f t="shared" si="159"/>
        <v>0</v>
      </c>
    </row>
    <row r="4967" spans="1:60" ht="58" x14ac:dyDescent="0.35">
      <c r="A4967" s="2" t="s">
        <v>59</v>
      </c>
      <c r="B4967" s="2" t="s">
        <v>60</v>
      </c>
      <c r="C4967" s="2" t="s">
        <v>48351</v>
      </c>
      <c r="D4967" s="2" t="s">
        <v>48352</v>
      </c>
      <c r="E4967" s="2" t="s">
        <v>48353</v>
      </c>
      <c r="G4967" s="3" t="s">
        <v>64</v>
      </c>
      <c r="I4967" s="3" t="s">
        <v>64</v>
      </c>
      <c r="J4967" s="3" t="s">
        <v>64</v>
      </c>
      <c r="K4967" s="3" t="s">
        <v>65</v>
      </c>
      <c r="L4967" s="2" t="s">
        <v>48354</v>
      </c>
      <c r="M4967" s="2" t="s">
        <v>48355</v>
      </c>
      <c r="N4967" s="3" t="s">
        <v>1047</v>
      </c>
      <c r="P4967" s="3" t="s">
        <v>102</v>
      </c>
      <c r="Q4967" s="2" t="s">
        <v>48356</v>
      </c>
      <c r="R4967" s="3" t="s">
        <v>70</v>
      </c>
      <c r="S4967" s="4">
        <v>1</v>
      </c>
      <c r="T4967" s="4">
        <v>1</v>
      </c>
      <c r="U4967" s="5" t="s">
        <v>48357</v>
      </c>
      <c r="V4967" s="5" t="s">
        <v>48357</v>
      </c>
      <c r="W4967" s="5" t="s">
        <v>72</v>
      </c>
      <c r="X4967" s="5" t="s">
        <v>72</v>
      </c>
      <c r="Y4967" s="4">
        <v>141</v>
      </c>
      <c r="Z4967" s="4">
        <v>11</v>
      </c>
      <c r="AA4967" s="4">
        <v>11</v>
      </c>
      <c r="AB4967" s="4">
        <v>1</v>
      </c>
      <c r="AC4967" s="4">
        <v>1</v>
      </c>
      <c r="AD4967" s="4">
        <v>52</v>
      </c>
      <c r="AE4967" s="4">
        <v>52</v>
      </c>
      <c r="AF4967" s="4">
        <v>0</v>
      </c>
      <c r="AG4967" s="4">
        <v>0</v>
      </c>
      <c r="AH4967" s="4">
        <v>50</v>
      </c>
      <c r="AI4967" s="4">
        <v>50</v>
      </c>
      <c r="AJ4967" s="4">
        <v>5</v>
      </c>
      <c r="AK4967" s="4">
        <v>5</v>
      </c>
      <c r="AL4967" s="4">
        <v>34</v>
      </c>
      <c r="AM4967" s="4">
        <v>34</v>
      </c>
      <c r="AN4967" s="4">
        <v>0</v>
      </c>
      <c r="AO4967" s="4">
        <v>0</v>
      </c>
      <c r="AP4967" s="4">
        <v>6</v>
      </c>
      <c r="AQ4967" s="4">
        <v>6</v>
      </c>
      <c r="AR4967" s="3" t="s">
        <v>64</v>
      </c>
      <c r="AS4967" s="3" t="s">
        <v>64</v>
      </c>
      <c r="AT4967" s="3" t="s">
        <v>64</v>
      </c>
      <c r="AV4967" s="6" t="str">
        <f>HYPERLINK("http://mcgill.on.worldcat.org/oclc/8374305","Catalog Record")</f>
        <v>Catalog Record</v>
      </c>
      <c r="AW4967" s="6" t="str">
        <f>HYPERLINK("http://www.worldcat.org/oclc/8374305","WorldCat Record")</f>
        <v>WorldCat Record</v>
      </c>
      <c r="AX4967" s="3" t="s">
        <v>48358</v>
      </c>
      <c r="AY4967" s="3" t="s">
        <v>48359</v>
      </c>
      <c r="AZ4967" s="3" t="s">
        <v>48360</v>
      </c>
      <c r="BA4967" s="3" t="s">
        <v>48360</v>
      </c>
      <c r="BB4967" s="3" t="s">
        <v>48361</v>
      </c>
      <c r="BC4967" s="3" t="s">
        <v>77</v>
      </c>
      <c r="BD4967" s="3" t="s">
        <v>78</v>
      </c>
      <c r="BF4967" s="3" t="s">
        <v>48361</v>
      </c>
      <c r="BG4967" s="3" t="s">
        <v>48362</v>
      </c>
      <c r="BH4967">
        <f t="shared" si="159"/>
        <v>0</v>
      </c>
    </row>
    <row r="4968" spans="1:60" ht="58" x14ac:dyDescent="0.35">
      <c r="A4968" s="2" t="s">
        <v>59</v>
      </c>
      <c r="B4968" s="2" t="s">
        <v>60</v>
      </c>
      <c r="C4968" s="2" t="s">
        <v>48363</v>
      </c>
      <c r="D4968" s="2" t="s">
        <v>48364</v>
      </c>
      <c r="E4968" s="2" t="s">
        <v>48365</v>
      </c>
      <c r="G4968" s="3" t="s">
        <v>64</v>
      </c>
      <c r="I4968" s="3" t="s">
        <v>64</v>
      </c>
      <c r="J4968" s="3" t="s">
        <v>64</v>
      </c>
      <c r="K4968" s="3" t="s">
        <v>65</v>
      </c>
      <c r="L4968" s="2" t="s">
        <v>48366</v>
      </c>
      <c r="M4968" s="2" t="s">
        <v>48367</v>
      </c>
      <c r="N4968" s="3" t="s">
        <v>3047</v>
      </c>
      <c r="P4968" s="3" t="s">
        <v>102</v>
      </c>
      <c r="R4968" s="3" t="s">
        <v>70</v>
      </c>
      <c r="S4968" s="4">
        <v>5</v>
      </c>
      <c r="T4968" s="4">
        <v>5</v>
      </c>
      <c r="U4968" s="5" t="s">
        <v>14365</v>
      </c>
      <c r="V4968" s="5" t="s">
        <v>14365</v>
      </c>
      <c r="W4968" s="5" t="s">
        <v>72</v>
      </c>
      <c r="X4968" s="5" t="s">
        <v>72</v>
      </c>
      <c r="Y4968" s="4">
        <v>352</v>
      </c>
      <c r="Z4968" s="4">
        <v>19</v>
      </c>
      <c r="AA4968" s="4">
        <v>19</v>
      </c>
      <c r="AB4968" s="4">
        <v>2</v>
      </c>
      <c r="AC4968" s="4">
        <v>2</v>
      </c>
      <c r="AD4968" s="4">
        <v>108</v>
      </c>
      <c r="AE4968" s="4">
        <v>108</v>
      </c>
      <c r="AF4968" s="4">
        <v>0</v>
      </c>
      <c r="AG4968" s="4">
        <v>0</v>
      </c>
      <c r="AH4968" s="4">
        <v>97</v>
      </c>
      <c r="AI4968" s="4">
        <v>97</v>
      </c>
      <c r="AJ4968" s="4">
        <v>13</v>
      </c>
      <c r="AK4968" s="4">
        <v>13</v>
      </c>
      <c r="AL4968" s="4">
        <v>54</v>
      </c>
      <c r="AM4968" s="4">
        <v>54</v>
      </c>
      <c r="AN4968" s="4">
        <v>0</v>
      </c>
      <c r="AO4968" s="4">
        <v>0</v>
      </c>
      <c r="AP4968" s="4">
        <v>16</v>
      </c>
      <c r="AQ4968" s="4">
        <v>16</v>
      </c>
      <c r="AR4968" s="3" t="s">
        <v>64</v>
      </c>
      <c r="AS4968" s="3" t="s">
        <v>64</v>
      </c>
      <c r="AT4968" s="3" t="s">
        <v>128</v>
      </c>
      <c r="AU4968" s="6" t="str">
        <f>HYPERLINK("http://catalog.hathitrust.org/Record/000843711","HathiTrust Record")</f>
        <v>HathiTrust Record</v>
      </c>
      <c r="AV4968" s="6" t="str">
        <f>HYPERLINK("http://mcgill.on.worldcat.org/oclc/15316207","Catalog Record")</f>
        <v>Catalog Record</v>
      </c>
      <c r="AW4968" s="6" t="str">
        <f>HYPERLINK("http://www.worldcat.org/oclc/15316207","WorldCat Record")</f>
        <v>WorldCat Record</v>
      </c>
      <c r="AX4968" s="3" t="s">
        <v>48368</v>
      </c>
      <c r="AY4968" s="3" t="s">
        <v>48369</v>
      </c>
      <c r="AZ4968" s="3" t="s">
        <v>48370</v>
      </c>
      <c r="BA4968" s="3" t="s">
        <v>48370</v>
      </c>
      <c r="BB4968" s="3" t="s">
        <v>48371</v>
      </c>
      <c r="BC4968" s="3" t="s">
        <v>77</v>
      </c>
      <c r="BD4968" s="3" t="s">
        <v>165</v>
      </c>
      <c r="BE4968" s="3" t="s">
        <v>48372</v>
      </c>
      <c r="BF4968" s="3" t="s">
        <v>48371</v>
      </c>
      <c r="BG4968" s="3" t="s">
        <v>48373</v>
      </c>
      <c r="BH4968">
        <f t="shared" si="159"/>
        <v>0</v>
      </c>
    </row>
    <row r="4969" spans="1:60" ht="58" x14ac:dyDescent="0.35">
      <c r="A4969" s="2" t="s">
        <v>59</v>
      </c>
      <c r="B4969" s="2" t="s">
        <v>60</v>
      </c>
      <c r="C4969" s="2" t="s">
        <v>48374</v>
      </c>
      <c r="D4969" s="2" t="s">
        <v>48375</v>
      </c>
      <c r="E4969" s="2" t="s">
        <v>48376</v>
      </c>
      <c r="G4969" s="3" t="s">
        <v>64</v>
      </c>
      <c r="I4969" s="3" t="s">
        <v>64</v>
      </c>
      <c r="J4969" s="3" t="s">
        <v>64</v>
      </c>
      <c r="K4969" s="3" t="s">
        <v>65</v>
      </c>
      <c r="L4969" s="2" t="s">
        <v>48377</v>
      </c>
      <c r="M4969" s="2" t="s">
        <v>16217</v>
      </c>
      <c r="N4969" s="3" t="s">
        <v>144</v>
      </c>
      <c r="P4969" s="3" t="s">
        <v>102</v>
      </c>
      <c r="Q4969" s="2" t="s">
        <v>48378</v>
      </c>
      <c r="R4969" s="3" t="s">
        <v>70</v>
      </c>
      <c r="S4969" s="4">
        <v>1</v>
      </c>
      <c r="T4969" s="4">
        <v>1</v>
      </c>
      <c r="U4969" s="5" t="s">
        <v>8446</v>
      </c>
      <c r="V4969" s="5" t="s">
        <v>8446</v>
      </c>
      <c r="W4969" s="5" t="s">
        <v>72</v>
      </c>
      <c r="X4969" s="5" t="s">
        <v>72</v>
      </c>
      <c r="Y4969" s="4">
        <v>175</v>
      </c>
      <c r="Z4969" s="4">
        <v>13</v>
      </c>
      <c r="AA4969" s="4">
        <v>13</v>
      </c>
      <c r="AB4969" s="4">
        <v>1</v>
      </c>
      <c r="AC4969" s="4">
        <v>1</v>
      </c>
      <c r="AD4969" s="4">
        <v>43</v>
      </c>
      <c r="AE4969" s="4">
        <v>43</v>
      </c>
      <c r="AF4969" s="4">
        <v>0</v>
      </c>
      <c r="AG4969" s="4">
        <v>0</v>
      </c>
      <c r="AH4969" s="4">
        <v>40</v>
      </c>
      <c r="AI4969" s="4">
        <v>40</v>
      </c>
      <c r="AJ4969" s="4">
        <v>6</v>
      </c>
      <c r="AK4969" s="4">
        <v>6</v>
      </c>
      <c r="AL4969" s="4">
        <v>25</v>
      </c>
      <c r="AM4969" s="4">
        <v>25</v>
      </c>
      <c r="AN4969" s="4">
        <v>0</v>
      </c>
      <c r="AO4969" s="4">
        <v>0</v>
      </c>
      <c r="AP4969" s="4">
        <v>6</v>
      </c>
      <c r="AQ4969" s="4">
        <v>6</v>
      </c>
      <c r="AR4969" s="3" t="s">
        <v>64</v>
      </c>
      <c r="AS4969" s="3" t="s">
        <v>64</v>
      </c>
      <c r="AT4969" s="3" t="s">
        <v>64</v>
      </c>
      <c r="AV4969" s="6" t="str">
        <f>HYPERLINK("http://mcgill.on.worldcat.org/oclc/191732307","Catalog Record")</f>
        <v>Catalog Record</v>
      </c>
      <c r="AW4969" s="6" t="str">
        <f>HYPERLINK("http://www.worldcat.org/oclc/191732307","WorldCat Record")</f>
        <v>WorldCat Record</v>
      </c>
      <c r="AX4969" s="3" t="s">
        <v>48379</v>
      </c>
      <c r="AY4969" s="3" t="s">
        <v>48380</v>
      </c>
      <c r="AZ4969" s="3" t="s">
        <v>48381</v>
      </c>
      <c r="BA4969" s="3" t="s">
        <v>48381</v>
      </c>
      <c r="BB4969" s="3" t="s">
        <v>48382</v>
      </c>
      <c r="BC4969" s="3" t="s">
        <v>77</v>
      </c>
      <c r="BD4969" s="3" t="s">
        <v>78</v>
      </c>
      <c r="BE4969" s="3" t="s">
        <v>48383</v>
      </c>
      <c r="BF4969" s="3" t="s">
        <v>48382</v>
      </c>
      <c r="BG4969" s="3" t="s">
        <v>48384</v>
      </c>
      <c r="BH4969">
        <f t="shared" si="159"/>
        <v>0</v>
      </c>
    </row>
    <row r="4970" spans="1:60" ht="58" x14ac:dyDescent="0.35">
      <c r="A4970" s="2" t="s">
        <v>59</v>
      </c>
      <c r="B4970" s="2" t="s">
        <v>60</v>
      </c>
      <c r="C4970" s="2" t="s">
        <v>48385</v>
      </c>
      <c r="D4970" s="2" t="s">
        <v>48386</v>
      </c>
      <c r="E4970" s="2" t="s">
        <v>48387</v>
      </c>
      <c r="G4970" s="3" t="s">
        <v>64</v>
      </c>
      <c r="I4970" s="3" t="s">
        <v>128</v>
      </c>
      <c r="J4970" s="3" t="s">
        <v>64</v>
      </c>
      <c r="K4970" s="3" t="s">
        <v>65</v>
      </c>
      <c r="L4970" s="2" t="s">
        <v>48388</v>
      </c>
      <c r="M4970" s="2" t="s">
        <v>48389</v>
      </c>
      <c r="N4970" s="3" t="s">
        <v>7800</v>
      </c>
      <c r="P4970" s="3" t="s">
        <v>68</v>
      </c>
      <c r="Q4970" s="2" t="s">
        <v>48390</v>
      </c>
      <c r="R4970" s="3" t="s">
        <v>70</v>
      </c>
      <c r="S4970" s="4">
        <v>1</v>
      </c>
      <c r="T4970" s="4">
        <v>4</v>
      </c>
      <c r="U4970" s="5" t="s">
        <v>48391</v>
      </c>
      <c r="V4970" s="5" t="s">
        <v>16969</v>
      </c>
      <c r="W4970" s="5" t="s">
        <v>72</v>
      </c>
      <c r="X4970" s="5" t="s">
        <v>72</v>
      </c>
      <c r="Y4970" s="4">
        <v>27</v>
      </c>
      <c r="Z4970" s="4">
        <v>14</v>
      </c>
      <c r="AA4970" s="4">
        <v>23</v>
      </c>
      <c r="AB4970" s="4">
        <v>1</v>
      </c>
      <c r="AC4970" s="4">
        <v>7</v>
      </c>
      <c r="AD4970" s="4">
        <v>18</v>
      </c>
      <c r="AE4970" s="4">
        <v>24</v>
      </c>
      <c r="AF4970" s="4">
        <v>0</v>
      </c>
      <c r="AG4970" s="4">
        <v>4</v>
      </c>
      <c r="AH4970" s="4">
        <v>15</v>
      </c>
      <c r="AI4970" s="4">
        <v>17</v>
      </c>
      <c r="AJ4970" s="4">
        <v>8</v>
      </c>
      <c r="AK4970" s="4">
        <v>14</v>
      </c>
      <c r="AL4970" s="4">
        <v>5</v>
      </c>
      <c r="AM4970" s="4">
        <v>6</v>
      </c>
      <c r="AN4970" s="4">
        <v>0</v>
      </c>
      <c r="AO4970" s="4">
        <v>0</v>
      </c>
      <c r="AP4970" s="4">
        <v>10</v>
      </c>
      <c r="AQ4970" s="4">
        <v>15</v>
      </c>
      <c r="AR4970" s="3" t="s">
        <v>128</v>
      </c>
      <c r="AS4970" s="3" t="s">
        <v>64</v>
      </c>
      <c r="AT4970" s="3" t="s">
        <v>64</v>
      </c>
      <c r="AV4970" s="6" t="str">
        <f>HYPERLINK("http://mcgill.on.worldcat.org/oclc/17746081","Catalog Record")</f>
        <v>Catalog Record</v>
      </c>
      <c r="AW4970" s="6" t="str">
        <f>HYPERLINK("http://www.worldcat.org/oclc/17746081","WorldCat Record")</f>
        <v>WorldCat Record</v>
      </c>
      <c r="AX4970" s="3" t="s">
        <v>48392</v>
      </c>
      <c r="AY4970" s="3" t="s">
        <v>48393</v>
      </c>
      <c r="AZ4970" s="3" t="s">
        <v>48394</v>
      </c>
      <c r="BA4970" s="3" t="s">
        <v>48394</v>
      </c>
      <c r="BB4970" s="3" t="s">
        <v>48395</v>
      </c>
      <c r="BC4970" s="3" t="s">
        <v>77</v>
      </c>
      <c r="BD4970" s="3" t="s">
        <v>78</v>
      </c>
      <c r="BF4970" s="3" t="s">
        <v>48395</v>
      </c>
      <c r="BG4970" s="3" t="s">
        <v>48396</v>
      </c>
      <c r="BH4970">
        <f t="shared" si="159"/>
        <v>0</v>
      </c>
    </row>
    <row r="4971" spans="1:60" ht="58" x14ac:dyDescent="0.35">
      <c r="A4971" s="2" t="s">
        <v>59</v>
      </c>
      <c r="B4971" s="2" t="s">
        <v>60</v>
      </c>
      <c r="C4971" s="2" t="s">
        <v>48397</v>
      </c>
      <c r="D4971" s="2" t="s">
        <v>48398</v>
      </c>
      <c r="E4971" s="2" t="s">
        <v>48399</v>
      </c>
      <c r="G4971" s="3" t="s">
        <v>64</v>
      </c>
      <c r="I4971" s="3" t="s">
        <v>64</v>
      </c>
      <c r="J4971" s="3" t="s">
        <v>64</v>
      </c>
      <c r="K4971" s="3" t="s">
        <v>65</v>
      </c>
      <c r="L4971" s="2" t="s">
        <v>48400</v>
      </c>
      <c r="M4971" s="2" t="s">
        <v>48401</v>
      </c>
      <c r="N4971" s="3" t="s">
        <v>3584</v>
      </c>
      <c r="P4971" s="3" t="s">
        <v>102</v>
      </c>
      <c r="Q4971" s="2" t="s">
        <v>48402</v>
      </c>
      <c r="R4971" s="3" t="s">
        <v>70</v>
      </c>
      <c r="S4971" s="4">
        <v>7</v>
      </c>
      <c r="T4971" s="4">
        <v>7</v>
      </c>
      <c r="U4971" s="5" t="s">
        <v>48403</v>
      </c>
      <c r="V4971" s="5" t="s">
        <v>48403</v>
      </c>
      <c r="W4971" s="5" t="s">
        <v>72</v>
      </c>
      <c r="X4971" s="5" t="s">
        <v>72</v>
      </c>
      <c r="Y4971" s="4">
        <v>565</v>
      </c>
      <c r="Z4971" s="4">
        <v>26</v>
      </c>
      <c r="AA4971" s="4">
        <v>27</v>
      </c>
      <c r="AB4971" s="4">
        <v>1</v>
      </c>
      <c r="AC4971" s="4">
        <v>1</v>
      </c>
      <c r="AD4971" s="4">
        <v>116</v>
      </c>
      <c r="AE4971" s="4">
        <v>117</v>
      </c>
      <c r="AF4971" s="4">
        <v>0</v>
      </c>
      <c r="AG4971" s="4">
        <v>0</v>
      </c>
      <c r="AH4971" s="4">
        <v>104</v>
      </c>
      <c r="AI4971" s="4">
        <v>104</v>
      </c>
      <c r="AJ4971" s="4">
        <v>19</v>
      </c>
      <c r="AK4971" s="4">
        <v>19</v>
      </c>
      <c r="AL4971" s="4">
        <v>57</v>
      </c>
      <c r="AM4971" s="4">
        <v>57</v>
      </c>
      <c r="AN4971" s="4">
        <v>0</v>
      </c>
      <c r="AO4971" s="4">
        <v>0</v>
      </c>
      <c r="AP4971" s="4">
        <v>20</v>
      </c>
      <c r="AQ4971" s="4">
        <v>21</v>
      </c>
      <c r="AR4971" s="3" t="s">
        <v>64</v>
      </c>
      <c r="AS4971" s="3" t="s">
        <v>64</v>
      </c>
      <c r="AT4971" s="3" t="s">
        <v>128</v>
      </c>
      <c r="AU4971" s="6" t="str">
        <f>HYPERLINK("http://catalog.hathitrust.org/Record/000738208","HathiTrust Record")</f>
        <v>HathiTrust Record</v>
      </c>
      <c r="AV4971" s="6" t="str">
        <f>HYPERLINK("http://mcgill.on.worldcat.org/oclc/2910960","Catalog Record")</f>
        <v>Catalog Record</v>
      </c>
      <c r="AW4971" s="6" t="str">
        <f>HYPERLINK("http://www.worldcat.org/oclc/2910960","WorldCat Record")</f>
        <v>WorldCat Record</v>
      </c>
      <c r="AX4971" s="3" t="s">
        <v>48404</v>
      </c>
      <c r="AY4971" s="3" t="s">
        <v>48405</v>
      </c>
      <c r="AZ4971" s="3" t="s">
        <v>48406</v>
      </c>
      <c r="BA4971" s="3" t="s">
        <v>48406</v>
      </c>
      <c r="BB4971" s="3" t="s">
        <v>48407</v>
      </c>
      <c r="BC4971" s="3" t="s">
        <v>77</v>
      </c>
      <c r="BD4971" s="3" t="s">
        <v>78</v>
      </c>
      <c r="BE4971" s="3" t="s">
        <v>48408</v>
      </c>
      <c r="BF4971" s="3" t="s">
        <v>48407</v>
      </c>
      <c r="BG4971" s="3" t="s">
        <v>48409</v>
      </c>
      <c r="BH4971">
        <f t="shared" si="159"/>
        <v>0</v>
      </c>
    </row>
    <row r="4972" spans="1:60" ht="72.5" x14ac:dyDescent="0.35">
      <c r="A4972" s="2" t="s">
        <v>59</v>
      </c>
      <c r="B4972" s="2" t="s">
        <v>60</v>
      </c>
      <c r="C4972" s="2" t="s">
        <v>48410</v>
      </c>
      <c r="D4972" s="2" t="s">
        <v>48411</v>
      </c>
      <c r="E4972" s="2" t="s">
        <v>48412</v>
      </c>
      <c r="G4972" s="3" t="s">
        <v>64</v>
      </c>
      <c r="I4972" s="3" t="s">
        <v>64</v>
      </c>
      <c r="J4972" s="3" t="s">
        <v>64</v>
      </c>
      <c r="K4972" s="3" t="s">
        <v>65</v>
      </c>
      <c r="L4972" s="2" t="s">
        <v>48413</v>
      </c>
      <c r="M4972" s="2" t="s">
        <v>48414</v>
      </c>
      <c r="N4972" s="3" t="s">
        <v>3444</v>
      </c>
      <c r="P4972" s="3" t="s">
        <v>102</v>
      </c>
      <c r="R4972" s="3" t="s">
        <v>70</v>
      </c>
      <c r="S4972" s="4">
        <v>6</v>
      </c>
      <c r="T4972" s="4">
        <v>6</v>
      </c>
      <c r="U4972" s="5" t="s">
        <v>48403</v>
      </c>
      <c r="V4972" s="5" t="s">
        <v>48403</v>
      </c>
      <c r="W4972" s="5" t="s">
        <v>72</v>
      </c>
      <c r="X4972" s="5" t="s">
        <v>72</v>
      </c>
      <c r="Y4972" s="4">
        <v>245</v>
      </c>
      <c r="Z4972" s="4">
        <v>7</v>
      </c>
      <c r="AA4972" s="4">
        <v>22</v>
      </c>
      <c r="AB4972" s="4">
        <v>1</v>
      </c>
      <c r="AC4972" s="4">
        <v>1</v>
      </c>
      <c r="AD4972" s="4">
        <v>83</v>
      </c>
      <c r="AE4972" s="4">
        <v>118</v>
      </c>
      <c r="AF4972" s="4">
        <v>0</v>
      </c>
      <c r="AG4972" s="4">
        <v>0</v>
      </c>
      <c r="AH4972" s="4">
        <v>79</v>
      </c>
      <c r="AI4972" s="4">
        <v>105</v>
      </c>
      <c r="AJ4972" s="4">
        <v>4</v>
      </c>
      <c r="AK4972" s="4">
        <v>16</v>
      </c>
      <c r="AL4972" s="4">
        <v>51</v>
      </c>
      <c r="AM4972" s="4">
        <v>58</v>
      </c>
      <c r="AN4972" s="4">
        <v>0</v>
      </c>
      <c r="AO4972" s="4">
        <v>0</v>
      </c>
      <c r="AP4972" s="4">
        <v>5</v>
      </c>
      <c r="AQ4972" s="4">
        <v>19</v>
      </c>
      <c r="AR4972" s="3" t="s">
        <v>64</v>
      </c>
      <c r="AS4972" s="3" t="s">
        <v>64</v>
      </c>
      <c r="AT4972" s="3" t="s">
        <v>64</v>
      </c>
      <c r="AU4972" s="6" t="str">
        <f>HYPERLINK("http://catalog.hathitrust.org/Record/001028905","HathiTrust Record")</f>
        <v>HathiTrust Record</v>
      </c>
      <c r="AV4972" s="6" t="str">
        <f>HYPERLINK("http://mcgill.on.worldcat.org/oclc/1238196","Catalog Record")</f>
        <v>Catalog Record</v>
      </c>
      <c r="AW4972" s="6" t="str">
        <f>HYPERLINK("http://www.worldcat.org/oclc/1238196","WorldCat Record")</f>
        <v>WorldCat Record</v>
      </c>
      <c r="AX4972" s="3" t="s">
        <v>48415</v>
      </c>
      <c r="AY4972" s="3" t="s">
        <v>48416</v>
      </c>
      <c r="AZ4972" s="3" t="s">
        <v>48417</v>
      </c>
      <c r="BA4972" s="3" t="s">
        <v>48417</v>
      </c>
      <c r="BB4972" s="3" t="s">
        <v>48418</v>
      </c>
      <c r="BC4972" s="3" t="s">
        <v>77</v>
      </c>
      <c r="BD4972" s="3" t="s">
        <v>78</v>
      </c>
      <c r="BF4972" s="3" t="s">
        <v>48418</v>
      </c>
      <c r="BG4972" s="3" t="s">
        <v>48419</v>
      </c>
      <c r="BH4972">
        <f t="shared" si="159"/>
        <v>0</v>
      </c>
    </row>
    <row r="4973" spans="1:60" ht="58" x14ac:dyDescent="0.35">
      <c r="A4973" s="2" t="s">
        <v>59</v>
      </c>
      <c r="B4973" s="2" t="s">
        <v>60</v>
      </c>
      <c r="C4973" s="2" t="s">
        <v>48420</v>
      </c>
      <c r="D4973" s="2" t="s">
        <v>48421</v>
      </c>
      <c r="E4973" s="2" t="s">
        <v>48422</v>
      </c>
      <c r="F4973" s="3" t="s">
        <v>19804</v>
      </c>
      <c r="G4973" s="3" t="s">
        <v>64</v>
      </c>
      <c r="I4973" s="3" t="s">
        <v>64</v>
      </c>
      <c r="J4973" s="3" t="s">
        <v>64</v>
      </c>
      <c r="K4973" s="3" t="s">
        <v>65</v>
      </c>
      <c r="L4973" s="2" t="s">
        <v>48423</v>
      </c>
      <c r="M4973" s="2" t="s">
        <v>47886</v>
      </c>
      <c r="N4973" s="3" t="s">
        <v>326</v>
      </c>
      <c r="O4973" s="2" t="s">
        <v>2149</v>
      </c>
      <c r="P4973" s="3" t="s">
        <v>102</v>
      </c>
      <c r="R4973" s="3" t="s">
        <v>70</v>
      </c>
      <c r="S4973" s="4">
        <v>0</v>
      </c>
      <c r="T4973" s="4">
        <v>0</v>
      </c>
      <c r="W4973" s="5" t="s">
        <v>72</v>
      </c>
      <c r="X4973" s="5" t="s">
        <v>72</v>
      </c>
      <c r="Y4973" s="4">
        <v>95</v>
      </c>
      <c r="Z4973" s="4">
        <v>8</v>
      </c>
      <c r="AA4973" s="4">
        <v>8</v>
      </c>
      <c r="AB4973" s="4">
        <v>1</v>
      </c>
      <c r="AC4973" s="4">
        <v>1</v>
      </c>
      <c r="AD4973" s="4">
        <v>43</v>
      </c>
      <c r="AE4973" s="4">
        <v>43</v>
      </c>
      <c r="AF4973" s="4">
        <v>0</v>
      </c>
      <c r="AG4973" s="4">
        <v>0</v>
      </c>
      <c r="AH4973" s="4">
        <v>40</v>
      </c>
      <c r="AI4973" s="4">
        <v>40</v>
      </c>
      <c r="AJ4973" s="4">
        <v>6</v>
      </c>
      <c r="AK4973" s="4">
        <v>6</v>
      </c>
      <c r="AL4973" s="4">
        <v>28</v>
      </c>
      <c r="AM4973" s="4">
        <v>28</v>
      </c>
      <c r="AN4973" s="4">
        <v>0</v>
      </c>
      <c r="AO4973" s="4">
        <v>0</v>
      </c>
      <c r="AP4973" s="4">
        <v>6</v>
      </c>
      <c r="AQ4973" s="4">
        <v>6</v>
      </c>
      <c r="AR4973" s="3" t="s">
        <v>64</v>
      </c>
      <c r="AS4973" s="3" t="s">
        <v>64</v>
      </c>
      <c r="AT4973" s="3" t="s">
        <v>64</v>
      </c>
      <c r="AV4973" s="6" t="str">
        <f>HYPERLINK("http://mcgill.on.worldcat.org/oclc/731952852","Catalog Record")</f>
        <v>Catalog Record</v>
      </c>
      <c r="AW4973" s="6" t="str">
        <f>HYPERLINK("http://www.worldcat.org/oclc/731952852","WorldCat Record")</f>
        <v>WorldCat Record</v>
      </c>
      <c r="AX4973" s="3" t="s">
        <v>48424</v>
      </c>
      <c r="AY4973" s="3" t="s">
        <v>48425</v>
      </c>
      <c r="AZ4973" s="3" t="s">
        <v>48426</v>
      </c>
      <c r="BA4973" s="3" t="s">
        <v>48426</v>
      </c>
      <c r="BB4973" s="3" t="s">
        <v>48427</v>
      </c>
      <c r="BC4973" s="3" t="s">
        <v>77</v>
      </c>
      <c r="BD4973" s="3" t="s">
        <v>78</v>
      </c>
      <c r="BE4973" s="3" t="s">
        <v>48428</v>
      </c>
      <c r="BF4973" s="3" t="s">
        <v>48427</v>
      </c>
      <c r="BG4973" s="3" t="s">
        <v>48429</v>
      </c>
      <c r="BH4973">
        <f t="shared" si="159"/>
        <v>0</v>
      </c>
    </row>
    <row r="4974" spans="1:60" ht="58" x14ac:dyDescent="0.35">
      <c r="A4974" s="2" t="s">
        <v>59</v>
      </c>
      <c r="B4974" s="2" t="s">
        <v>60</v>
      </c>
      <c r="C4974" s="2" t="s">
        <v>48430</v>
      </c>
      <c r="D4974" s="2" t="s">
        <v>48431</v>
      </c>
      <c r="E4974" s="2" t="s">
        <v>48432</v>
      </c>
      <c r="G4974" s="3" t="s">
        <v>64</v>
      </c>
      <c r="I4974" s="3" t="s">
        <v>64</v>
      </c>
      <c r="J4974" s="3" t="s">
        <v>64</v>
      </c>
      <c r="K4974" s="3" t="s">
        <v>65</v>
      </c>
      <c r="L4974" s="2" t="s">
        <v>48433</v>
      </c>
      <c r="M4974" s="2" t="s">
        <v>48434</v>
      </c>
      <c r="N4974" s="3" t="s">
        <v>1615</v>
      </c>
      <c r="P4974" s="3" t="s">
        <v>102</v>
      </c>
      <c r="R4974" s="3" t="s">
        <v>70</v>
      </c>
      <c r="S4974" s="4">
        <v>1</v>
      </c>
      <c r="T4974" s="4">
        <v>1</v>
      </c>
      <c r="U4974" s="5" t="s">
        <v>18028</v>
      </c>
      <c r="V4974" s="5" t="s">
        <v>18028</v>
      </c>
      <c r="W4974" s="5" t="s">
        <v>72</v>
      </c>
      <c r="X4974" s="5" t="s">
        <v>72</v>
      </c>
      <c r="Y4974" s="4">
        <v>311</v>
      </c>
      <c r="Z4974" s="4">
        <v>23</v>
      </c>
      <c r="AA4974" s="4">
        <v>24</v>
      </c>
      <c r="AB4974" s="4">
        <v>2</v>
      </c>
      <c r="AC4974" s="4">
        <v>3</v>
      </c>
      <c r="AD4974" s="4">
        <v>98</v>
      </c>
      <c r="AE4974" s="4">
        <v>99</v>
      </c>
      <c r="AF4974" s="4">
        <v>1</v>
      </c>
      <c r="AG4974" s="4">
        <v>2</v>
      </c>
      <c r="AH4974" s="4">
        <v>85</v>
      </c>
      <c r="AI4974" s="4">
        <v>86</v>
      </c>
      <c r="AJ4974" s="4">
        <v>15</v>
      </c>
      <c r="AK4974" s="4">
        <v>16</v>
      </c>
      <c r="AL4974" s="4">
        <v>50</v>
      </c>
      <c r="AM4974" s="4">
        <v>50</v>
      </c>
      <c r="AN4974" s="4">
        <v>0</v>
      </c>
      <c r="AO4974" s="4">
        <v>0</v>
      </c>
      <c r="AP4974" s="4">
        <v>19</v>
      </c>
      <c r="AQ4974" s="4">
        <v>20</v>
      </c>
      <c r="AR4974" s="3" t="s">
        <v>64</v>
      </c>
      <c r="AS4974" s="3" t="s">
        <v>64</v>
      </c>
      <c r="AT4974" s="3" t="s">
        <v>128</v>
      </c>
      <c r="AU4974" s="6" t="str">
        <f>HYPERLINK("http://catalog.hathitrust.org/Record/003087203","HathiTrust Record")</f>
        <v>HathiTrust Record</v>
      </c>
      <c r="AV4974" s="6" t="str">
        <f>HYPERLINK("http://mcgill.on.worldcat.org/oclc/33971479","Catalog Record")</f>
        <v>Catalog Record</v>
      </c>
      <c r="AW4974" s="6" t="str">
        <f>HYPERLINK("http://www.worldcat.org/oclc/33971479","WorldCat Record")</f>
        <v>WorldCat Record</v>
      </c>
      <c r="AX4974" s="3" t="s">
        <v>48435</v>
      </c>
      <c r="AY4974" s="3" t="s">
        <v>48436</v>
      </c>
      <c r="AZ4974" s="3" t="s">
        <v>48437</v>
      </c>
      <c r="BA4974" s="3" t="s">
        <v>48437</v>
      </c>
      <c r="BB4974" s="3" t="s">
        <v>48438</v>
      </c>
      <c r="BC4974" s="3" t="s">
        <v>77</v>
      </c>
      <c r="BD4974" s="3" t="s">
        <v>78</v>
      </c>
      <c r="BE4974" s="3" t="s">
        <v>48439</v>
      </c>
      <c r="BF4974" s="3" t="s">
        <v>48438</v>
      </c>
      <c r="BG4974" s="3" t="s">
        <v>48440</v>
      </c>
      <c r="BH4974">
        <f t="shared" si="159"/>
        <v>0</v>
      </c>
    </row>
    <row r="4975" spans="1:60" ht="58" x14ac:dyDescent="0.35">
      <c r="A4975" s="2" t="s">
        <v>59</v>
      </c>
      <c r="B4975" s="2" t="s">
        <v>60</v>
      </c>
      <c r="C4975" s="2" t="s">
        <v>48441</v>
      </c>
      <c r="D4975" s="2" t="s">
        <v>48442</v>
      </c>
      <c r="E4975" s="2" t="s">
        <v>48443</v>
      </c>
      <c r="G4975" s="3" t="s">
        <v>64</v>
      </c>
      <c r="I4975" s="3" t="s">
        <v>64</v>
      </c>
      <c r="J4975" s="3" t="s">
        <v>64</v>
      </c>
      <c r="K4975" s="3" t="s">
        <v>65</v>
      </c>
      <c r="M4975" s="2" t="s">
        <v>48444</v>
      </c>
      <c r="N4975" s="3" t="s">
        <v>326</v>
      </c>
      <c r="P4975" s="3" t="s">
        <v>102</v>
      </c>
      <c r="R4975" s="3" t="s">
        <v>70</v>
      </c>
      <c r="S4975" s="4">
        <v>0</v>
      </c>
      <c r="T4975" s="4">
        <v>0</v>
      </c>
      <c r="W4975" s="5" t="s">
        <v>72</v>
      </c>
      <c r="X4975" s="5" t="s">
        <v>72</v>
      </c>
      <c r="Y4975" s="4">
        <v>163</v>
      </c>
      <c r="Z4975" s="4">
        <v>16</v>
      </c>
      <c r="AA4975" s="4">
        <v>18</v>
      </c>
      <c r="AB4975" s="4">
        <v>1</v>
      </c>
      <c r="AC4975" s="4">
        <v>2</v>
      </c>
      <c r="AD4975" s="4">
        <v>65</v>
      </c>
      <c r="AE4975" s="4">
        <v>69</v>
      </c>
      <c r="AF4975" s="4">
        <v>0</v>
      </c>
      <c r="AG4975" s="4">
        <v>1</v>
      </c>
      <c r="AH4975" s="4">
        <v>59</v>
      </c>
      <c r="AI4975" s="4">
        <v>61</v>
      </c>
      <c r="AJ4975" s="4">
        <v>11</v>
      </c>
      <c r="AK4975" s="4">
        <v>12</v>
      </c>
      <c r="AL4975" s="4">
        <v>36</v>
      </c>
      <c r="AM4975" s="4">
        <v>37</v>
      </c>
      <c r="AN4975" s="4">
        <v>0</v>
      </c>
      <c r="AO4975" s="4">
        <v>0</v>
      </c>
      <c r="AP4975" s="4">
        <v>12</v>
      </c>
      <c r="AQ4975" s="4">
        <v>14</v>
      </c>
      <c r="AR4975" s="3" t="s">
        <v>64</v>
      </c>
      <c r="AS4975" s="3" t="s">
        <v>64</v>
      </c>
      <c r="AT4975" s="3" t="s">
        <v>64</v>
      </c>
      <c r="AV4975" s="6" t="str">
        <f>HYPERLINK("http://mcgill.on.worldcat.org/oclc/694831713","Catalog Record")</f>
        <v>Catalog Record</v>
      </c>
      <c r="AW4975" s="6" t="str">
        <f>HYPERLINK("http://www.worldcat.org/oclc/694831713","WorldCat Record")</f>
        <v>WorldCat Record</v>
      </c>
      <c r="AX4975" s="3" t="s">
        <v>48445</v>
      </c>
      <c r="AY4975" s="3" t="s">
        <v>48446</v>
      </c>
      <c r="AZ4975" s="3" t="s">
        <v>48447</v>
      </c>
      <c r="BA4975" s="3" t="s">
        <v>48447</v>
      </c>
      <c r="BB4975" s="3" t="s">
        <v>48448</v>
      </c>
      <c r="BC4975" s="3" t="s">
        <v>77</v>
      </c>
      <c r="BD4975" s="3" t="s">
        <v>78</v>
      </c>
      <c r="BE4975" s="3" t="s">
        <v>48449</v>
      </c>
      <c r="BF4975" s="3" t="s">
        <v>48448</v>
      </c>
      <c r="BG4975" s="3" t="s">
        <v>48450</v>
      </c>
      <c r="BH4975">
        <f t="shared" si="159"/>
        <v>0</v>
      </c>
    </row>
    <row r="4976" spans="1:60" ht="58" x14ac:dyDescent="0.35">
      <c r="A4976" s="2" t="s">
        <v>59</v>
      </c>
      <c r="B4976" s="2" t="s">
        <v>60</v>
      </c>
      <c r="C4976" s="2" t="s">
        <v>48451</v>
      </c>
      <c r="D4976" s="2" t="s">
        <v>48452</v>
      </c>
      <c r="E4976" s="2" t="s">
        <v>48453</v>
      </c>
      <c r="G4976" s="3" t="s">
        <v>64</v>
      </c>
      <c r="I4976" s="3" t="s">
        <v>64</v>
      </c>
      <c r="J4976" s="3" t="s">
        <v>64</v>
      </c>
      <c r="K4976" s="3" t="s">
        <v>65</v>
      </c>
      <c r="L4976" s="2" t="s">
        <v>48454</v>
      </c>
      <c r="M4976" s="2" t="s">
        <v>48455</v>
      </c>
      <c r="N4976" s="3" t="s">
        <v>1615</v>
      </c>
      <c r="P4976" s="3" t="s">
        <v>102</v>
      </c>
      <c r="Q4976" s="2" t="s">
        <v>47924</v>
      </c>
      <c r="R4976" s="3" t="s">
        <v>70</v>
      </c>
      <c r="S4976" s="4">
        <v>1</v>
      </c>
      <c r="T4976" s="4">
        <v>1</v>
      </c>
      <c r="U4976" s="5" t="s">
        <v>48456</v>
      </c>
      <c r="V4976" s="5" t="s">
        <v>48456</v>
      </c>
      <c r="W4976" s="5" t="s">
        <v>72</v>
      </c>
      <c r="X4976" s="5" t="s">
        <v>72</v>
      </c>
      <c r="Y4976" s="4">
        <v>343</v>
      </c>
      <c r="Z4976" s="4">
        <v>17</v>
      </c>
      <c r="AA4976" s="4">
        <v>17</v>
      </c>
      <c r="AB4976" s="4">
        <v>2</v>
      </c>
      <c r="AC4976" s="4">
        <v>2</v>
      </c>
      <c r="AD4976" s="4">
        <v>93</v>
      </c>
      <c r="AE4976" s="4">
        <v>93</v>
      </c>
      <c r="AF4976" s="4">
        <v>1</v>
      </c>
      <c r="AG4976" s="4">
        <v>1</v>
      </c>
      <c r="AH4976" s="4">
        <v>84</v>
      </c>
      <c r="AI4976" s="4">
        <v>84</v>
      </c>
      <c r="AJ4976" s="4">
        <v>12</v>
      </c>
      <c r="AK4976" s="4">
        <v>12</v>
      </c>
      <c r="AL4976" s="4">
        <v>53</v>
      </c>
      <c r="AM4976" s="4">
        <v>53</v>
      </c>
      <c r="AN4976" s="4">
        <v>0</v>
      </c>
      <c r="AO4976" s="4">
        <v>0</v>
      </c>
      <c r="AP4976" s="4">
        <v>12</v>
      </c>
      <c r="AQ4976" s="4">
        <v>12</v>
      </c>
      <c r="AR4976" s="3" t="s">
        <v>64</v>
      </c>
      <c r="AS4976" s="3" t="s">
        <v>64</v>
      </c>
      <c r="AT4976" s="3" t="s">
        <v>128</v>
      </c>
      <c r="AU4976" s="6" t="str">
        <f>HYPERLINK("http://catalog.hathitrust.org/Record/003103951","HathiTrust Record")</f>
        <v>HathiTrust Record</v>
      </c>
      <c r="AV4976" s="6" t="str">
        <f>HYPERLINK("http://mcgill.on.worldcat.org/oclc/34150476","Catalog Record")</f>
        <v>Catalog Record</v>
      </c>
      <c r="AW4976" s="6" t="str">
        <f>HYPERLINK("http://www.worldcat.org/oclc/34150476","WorldCat Record")</f>
        <v>WorldCat Record</v>
      </c>
      <c r="AX4976" s="3" t="s">
        <v>48457</v>
      </c>
      <c r="AY4976" s="3" t="s">
        <v>48458</v>
      </c>
      <c r="AZ4976" s="3" t="s">
        <v>48459</v>
      </c>
      <c r="BA4976" s="3" t="s">
        <v>48459</v>
      </c>
      <c r="BB4976" s="3" t="s">
        <v>48460</v>
      </c>
      <c r="BC4976" s="3" t="s">
        <v>77</v>
      </c>
      <c r="BD4976" s="3" t="s">
        <v>78</v>
      </c>
      <c r="BE4976" s="3" t="s">
        <v>48461</v>
      </c>
      <c r="BF4976" s="3" t="s">
        <v>48460</v>
      </c>
      <c r="BG4976" s="3" t="s">
        <v>48462</v>
      </c>
      <c r="BH4976">
        <f t="shared" si="159"/>
        <v>0</v>
      </c>
    </row>
    <row r="4977" spans="1:60" ht="58" x14ac:dyDescent="0.35">
      <c r="A4977" s="2" t="s">
        <v>59</v>
      </c>
      <c r="B4977" s="2" t="s">
        <v>60</v>
      </c>
      <c r="C4977" s="2" t="s">
        <v>48463</v>
      </c>
      <c r="D4977" s="2" t="s">
        <v>48464</v>
      </c>
      <c r="E4977" s="2" t="s">
        <v>48465</v>
      </c>
      <c r="G4977" s="3" t="s">
        <v>64</v>
      </c>
      <c r="I4977" s="3" t="s">
        <v>64</v>
      </c>
      <c r="J4977" s="3" t="s">
        <v>64</v>
      </c>
      <c r="K4977" s="3" t="s">
        <v>65</v>
      </c>
      <c r="M4977" s="2" t="s">
        <v>48466</v>
      </c>
      <c r="N4977" s="3" t="s">
        <v>86</v>
      </c>
      <c r="O4977" s="2" t="s">
        <v>48467</v>
      </c>
      <c r="P4977" s="3" t="s">
        <v>365</v>
      </c>
      <c r="Q4977" s="2" t="s">
        <v>48468</v>
      </c>
      <c r="R4977" s="3" t="s">
        <v>70</v>
      </c>
      <c r="S4977" s="4">
        <v>0</v>
      </c>
      <c r="T4977" s="4">
        <v>0</v>
      </c>
      <c r="W4977" s="5" t="s">
        <v>72</v>
      </c>
      <c r="X4977" s="5" t="s">
        <v>72</v>
      </c>
      <c r="Y4977" s="4">
        <v>32</v>
      </c>
      <c r="Z4977" s="4">
        <v>3</v>
      </c>
      <c r="AA4977" s="4">
        <v>3</v>
      </c>
      <c r="AB4977" s="4">
        <v>1</v>
      </c>
      <c r="AC4977" s="4">
        <v>1</v>
      </c>
      <c r="AD4977" s="4">
        <v>15</v>
      </c>
      <c r="AE4977" s="4">
        <v>15</v>
      </c>
      <c r="AF4977" s="4">
        <v>0</v>
      </c>
      <c r="AG4977" s="4">
        <v>0</v>
      </c>
      <c r="AH4977" s="4">
        <v>15</v>
      </c>
      <c r="AI4977" s="4">
        <v>15</v>
      </c>
      <c r="AJ4977" s="4">
        <v>1</v>
      </c>
      <c r="AK4977" s="4">
        <v>1</v>
      </c>
      <c r="AL4977" s="4">
        <v>13</v>
      </c>
      <c r="AM4977" s="4">
        <v>13</v>
      </c>
      <c r="AN4977" s="4">
        <v>0</v>
      </c>
      <c r="AO4977" s="4">
        <v>0</v>
      </c>
      <c r="AP4977" s="4">
        <v>1</v>
      </c>
      <c r="AQ4977" s="4">
        <v>1</v>
      </c>
      <c r="AR4977" s="3" t="s">
        <v>64</v>
      </c>
      <c r="AS4977" s="3" t="s">
        <v>64</v>
      </c>
      <c r="AT4977" s="3" t="s">
        <v>64</v>
      </c>
      <c r="AV4977" s="6" t="str">
        <f>HYPERLINK("http://mcgill.on.worldcat.org/oclc/872110709","Catalog Record")</f>
        <v>Catalog Record</v>
      </c>
      <c r="AW4977" s="6" t="str">
        <f>HYPERLINK("http://www.worldcat.org/oclc/872110709","WorldCat Record")</f>
        <v>WorldCat Record</v>
      </c>
      <c r="AX4977" s="3" t="s">
        <v>48469</v>
      </c>
      <c r="AY4977" s="3" t="s">
        <v>48470</v>
      </c>
      <c r="AZ4977" s="3" t="s">
        <v>48471</v>
      </c>
      <c r="BA4977" s="3" t="s">
        <v>48471</v>
      </c>
      <c r="BB4977" s="3" t="s">
        <v>48472</v>
      </c>
      <c r="BC4977" s="3" t="s">
        <v>77</v>
      </c>
      <c r="BD4977" s="3" t="s">
        <v>78</v>
      </c>
      <c r="BE4977" s="3" t="s">
        <v>48473</v>
      </c>
      <c r="BF4977" s="3" t="s">
        <v>48472</v>
      </c>
      <c r="BG4977" s="3" t="s">
        <v>48474</v>
      </c>
      <c r="BH4977">
        <f t="shared" si="159"/>
        <v>0</v>
      </c>
    </row>
    <row r="4978" spans="1:60" ht="58" x14ac:dyDescent="0.35">
      <c r="A4978" s="2" t="s">
        <v>59</v>
      </c>
      <c r="B4978" s="2" t="s">
        <v>60</v>
      </c>
      <c r="C4978" s="2" t="s">
        <v>48475</v>
      </c>
      <c r="D4978" s="2" t="s">
        <v>48476</v>
      </c>
      <c r="E4978" s="2" t="s">
        <v>48477</v>
      </c>
      <c r="G4978" s="3" t="s">
        <v>64</v>
      </c>
      <c r="I4978" s="3" t="s">
        <v>64</v>
      </c>
      <c r="J4978" s="3" t="s">
        <v>64</v>
      </c>
      <c r="K4978" s="3" t="s">
        <v>65</v>
      </c>
      <c r="L4978" s="2" t="s">
        <v>48478</v>
      </c>
      <c r="M4978" s="2" t="s">
        <v>48479</v>
      </c>
      <c r="N4978" s="3" t="s">
        <v>378</v>
      </c>
      <c r="P4978" s="3" t="s">
        <v>102</v>
      </c>
      <c r="Q4978" s="2" t="s">
        <v>48480</v>
      </c>
      <c r="R4978" s="3" t="s">
        <v>70</v>
      </c>
      <c r="S4978" s="4">
        <v>1</v>
      </c>
      <c r="T4978" s="4">
        <v>1</v>
      </c>
      <c r="U4978" s="5" t="s">
        <v>19257</v>
      </c>
      <c r="V4978" s="5" t="s">
        <v>19257</v>
      </c>
      <c r="W4978" s="5" t="s">
        <v>72</v>
      </c>
      <c r="X4978" s="5" t="s">
        <v>72</v>
      </c>
      <c r="Y4978" s="4">
        <v>99</v>
      </c>
      <c r="Z4978" s="4">
        <v>36</v>
      </c>
      <c r="AA4978" s="4">
        <v>37</v>
      </c>
      <c r="AB4978" s="4">
        <v>1</v>
      </c>
      <c r="AC4978" s="4">
        <v>2</v>
      </c>
      <c r="AD4978" s="4">
        <v>63</v>
      </c>
      <c r="AE4978" s="4">
        <v>64</v>
      </c>
      <c r="AF4978" s="4">
        <v>0</v>
      </c>
      <c r="AG4978" s="4">
        <v>1</v>
      </c>
      <c r="AH4978" s="4">
        <v>47</v>
      </c>
      <c r="AI4978" s="4">
        <v>48</v>
      </c>
      <c r="AJ4978" s="4">
        <v>20</v>
      </c>
      <c r="AK4978" s="4">
        <v>21</v>
      </c>
      <c r="AL4978" s="4">
        <v>26</v>
      </c>
      <c r="AM4978" s="4">
        <v>26</v>
      </c>
      <c r="AN4978" s="4">
        <v>0</v>
      </c>
      <c r="AO4978" s="4">
        <v>0</v>
      </c>
      <c r="AP4978" s="4">
        <v>27</v>
      </c>
      <c r="AQ4978" s="4">
        <v>28</v>
      </c>
      <c r="AR4978" s="3" t="s">
        <v>128</v>
      </c>
      <c r="AS4978" s="3" t="s">
        <v>64</v>
      </c>
      <c r="AT4978" s="3" t="s">
        <v>64</v>
      </c>
      <c r="AV4978" s="6" t="str">
        <f>HYPERLINK("http://mcgill.on.worldcat.org/oclc/14931884","Catalog Record")</f>
        <v>Catalog Record</v>
      </c>
      <c r="AW4978" s="6" t="str">
        <f>HYPERLINK("http://www.worldcat.org/oclc/14931884","WorldCat Record")</f>
        <v>WorldCat Record</v>
      </c>
      <c r="AX4978" s="3" t="s">
        <v>48481</v>
      </c>
      <c r="AY4978" s="3" t="s">
        <v>48482</v>
      </c>
      <c r="AZ4978" s="3" t="s">
        <v>48483</v>
      </c>
      <c r="BA4978" s="3" t="s">
        <v>48483</v>
      </c>
      <c r="BB4978" s="3" t="s">
        <v>48484</v>
      </c>
      <c r="BC4978" s="3" t="s">
        <v>77</v>
      </c>
      <c r="BD4978" s="3" t="s">
        <v>78</v>
      </c>
      <c r="BE4978" s="3" t="s">
        <v>48485</v>
      </c>
      <c r="BF4978" s="3" t="s">
        <v>48484</v>
      </c>
      <c r="BG4978" s="3" t="s">
        <v>48486</v>
      </c>
      <c r="BH4978">
        <f t="shared" si="159"/>
        <v>0</v>
      </c>
    </row>
    <row r="4979" spans="1:60" ht="58" x14ac:dyDescent="0.35">
      <c r="A4979" s="2" t="s">
        <v>59</v>
      </c>
      <c r="B4979" s="2" t="s">
        <v>60</v>
      </c>
      <c r="C4979" s="2" t="s">
        <v>48487</v>
      </c>
      <c r="D4979" s="2" t="s">
        <v>48488</v>
      </c>
      <c r="E4979" s="2" t="s">
        <v>48489</v>
      </c>
      <c r="G4979" s="3" t="s">
        <v>64</v>
      </c>
      <c r="I4979" s="3" t="s">
        <v>64</v>
      </c>
      <c r="J4979" s="3" t="s">
        <v>64</v>
      </c>
      <c r="K4979" s="3" t="s">
        <v>65</v>
      </c>
      <c r="L4979" s="2" t="s">
        <v>48490</v>
      </c>
      <c r="M4979" s="2" t="s">
        <v>21618</v>
      </c>
      <c r="N4979" s="3" t="s">
        <v>3428</v>
      </c>
      <c r="P4979" s="3" t="s">
        <v>102</v>
      </c>
      <c r="R4979" s="3" t="s">
        <v>70</v>
      </c>
      <c r="S4979" s="4">
        <v>5</v>
      </c>
      <c r="T4979" s="4">
        <v>5</v>
      </c>
      <c r="U4979" s="5" t="s">
        <v>3019</v>
      </c>
      <c r="V4979" s="5" t="s">
        <v>3019</v>
      </c>
      <c r="W4979" s="5" t="s">
        <v>72</v>
      </c>
      <c r="X4979" s="5" t="s">
        <v>72</v>
      </c>
      <c r="Y4979" s="4">
        <v>375</v>
      </c>
      <c r="Z4979" s="4">
        <v>18</v>
      </c>
      <c r="AA4979" s="4">
        <v>18</v>
      </c>
      <c r="AB4979" s="4">
        <v>2</v>
      </c>
      <c r="AC4979" s="4">
        <v>2</v>
      </c>
      <c r="AD4979" s="4">
        <v>112</v>
      </c>
      <c r="AE4979" s="4">
        <v>112</v>
      </c>
      <c r="AF4979" s="4">
        <v>1</v>
      </c>
      <c r="AG4979" s="4">
        <v>1</v>
      </c>
      <c r="AH4979" s="4">
        <v>101</v>
      </c>
      <c r="AI4979" s="4">
        <v>101</v>
      </c>
      <c r="AJ4979" s="4">
        <v>14</v>
      </c>
      <c r="AK4979" s="4">
        <v>14</v>
      </c>
      <c r="AL4979" s="4">
        <v>59</v>
      </c>
      <c r="AM4979" s="4">
        <v>59</v>
      </c>
      <c r="AN4979" s="4">
        <v>0</v>
      </c>
      <c r="AO4979" s="4">
        <v>0</v>
      </c>
      <c r="AP4979" s="4">
        <v>16</v>
      </c>
      <c r="AQ4979" s="4">
        <v>16</v>
      </c>
      <c r="AR4979" s="3" t="s">
        <v>64</v>
      </c>
      <c r="AS4979" s="3" t="s">
        <v>64</v>
      </c>
      <c r="AT4979" s="3" t="s">
        <v>64</v>
      </c>
      <c r="AV4979" s="6" t="str">
        <f>HYPERLINK("http://mcgill.on.worldcat.org/oclc/32508803","Catalog Record")</f>
        <v>Catalog Record</v>
      </c>
      <c r="AW4979" s="6" t="str">
        <f>HYPERLINK("http://www.worldcat.org/oclc/32508803","WorldCat Record")</f>
        <v>WorldCat Record</v>
      </c>
      <c r="AX4979" s="3" t="s">
        <v>48491</v>
      </c>
      <c r="AY4979" s="3" t="s">
        <v>48492</v>
      </c>
      <c r="AZ4979" s="3" t="s">
        <v>48493</v>
      </c>
      <c r="BA4979" s="3" t="s">
        <v>48493</v>
      </c>
      <c r="BB4979" s="3" t="s">
        <v>48494</v>
      </c>
      <c r="BC4979" s="3" t="s">
        <v>77</v>
      </c>
      <c r="BD4979" s="3" t="s">
        <v>165</v>
      </c>
      <c r="BE4979" s="3" t="s">
        <v>48495</v>
      </c>
      <c r="BF4979" s="3" t="s">
        <v>48494</v>
      </c>
      <c r="BG4979" s="3" t="s">
        <v>48496</v>
      </c>
      <c r="BH4979">
        <f t="shared" si="159"/>
        <v>0</v>
      </c>
    </row>
    <row r="4980" spans="1:60" ht="58" x14ac:dyDescent="0.35">
      <c r="A4980" s="2" t="s">
        <v>59</v>
      </c>
      <c r="B4980" s="2" t="s">
        <v>7607</v>
      </c>
      <c r="C4980" s="2" t="s">
        <v>48497</v>
      </c>
      <c r="D4980" s="2" t="s">
        <v>48498</v>
      </c>
      <c r="E4980" s="2" t="s">
        <v>48499</v>
      </c>
      <c r="G4980" s="3" t="s">
        <v>64</v>
      </c>
      <c r="I4980" s="3" t="s">
        <v>128</v>
      </c>
      <c r="J4980" s="3" t="s">
        <v>128</v>
      </c>
      <c r="K4980" s="3" t="s">
        <v>65</v>
      </c>
      <c r="L4980" s="2" t="s">
        <v>48500</v>
      </c>
      <c r="M4980" s="2" t="s">
        <v>48501</v>
      </c>
      <c r="N4980" s="3" t="s">
        <v>674</v>
      </c>
      <c r="O4980" s="2" t="s">
        <v>48502</v>
      </c>
      <c r="P4980" s="3" t="s">
        <v>102</v>
      </c>
      <c r="R4980" s="3" t="s">
        <v>70</v>
      </c>
      <c r="S4980" s="4">
        <v>0</v>
      </c>
      <c r="T4980" s="4">
        <v>4</v>
      </c>
      <c r="V4980" s="5" t="s">
        <v>1375</v>
      </c>
      <c r="W4980" s="5" t="s">
        <v>72</v>
      </c>
      <c r="X4980" s="5" t="s">
        <v>72</v>
      </c>
      <c r="Y4980" s="4">
        <v>117</v>
      </c>
      <c r="Z4980" s="4">
        <v>13</v>
      </c>
      <c r="AA4980" s="4">
        <v>23</v>
      </c>
      <c r="AB4980" s="4">
        <v>1</v>
      </c>
      <c r="AC4980" s="4">
        <v>4</v>
      </c>
      <c r="AD4980" s="4">
        <v>59</v>
      </c>
      <c r="AE4980" s="4">
        <v>67</v>
      </c>
      <c r="AF4980" s="4">
        <v>0</v>
      </c>
      <c r="AG4980" s="4">
        <v>1</v>
      </c>
      <c r="AH4980" s="4">
        <v>55</v>
      </c>
      <c r="AI4980" s="4">
        <v>60</v>
      </c>
      <c r="AJ4980" s="4">
        <v>9</v>
      </c>
      <c r="AK4980" s="4">
        <v>16</v>
      </c>
      <c r="AL4980" s="4">
        <v>33</v>
      </c>
      <c r="AM4980" s="4">
        <v>33</v>
      </c>
      <c r="AN4980" s="4">
        <v>0</v>
      </c>
      <c r="AO4980" s="4">
        <v>0</v>
      </c>
      <c r="AP4980" s="4">
        <v>9</v>
      </c>
      <c r="AQ4980" s="4">
        <v>14</v>
      </c>
      <c r="AR4980" s="3" t="s">
        <v>128</v>
      </c>
      <c r="AS4980" s="3" t="s">
        <v>64</v>
      </c>
      <c r="AT4980" s="3" t="s">
        <v>64</v>
      </c>
      <c r="AU4980" s="6" t="str">
        <f>HYPERLINK("http://catalog.hathitrust.org/Record/001576174","HathiTrust Record")</f>
        <v>HathiTrust Record</v>
      </c>
      <c r="AV4980" s="6" t="str">
        <f>HYPERLINK("http://mcgill.on.worldcat.org/oclc/3041089","Catalog Record")</f>
        <v>Catalog Record</v>
      </c>
      <c r="AW4980" s="6" t="str">
        <f>HYPERLINK("http://www.worldcat.org/oclc/3041089","WorldCat Record")</f>
        <v>WorldCat Record</v>
      </c>
      <c r="AX4980" s="3" t="s">
        <v>48503</v>
      </c>
      <c r="AY4980" s="3" t="s">
        <v>48504</v>
      </c>
      <c r="AZ4980" s="3" t="s">
        <v>48505</v>
      </c>
      <c r="BA4980" s="3" t="s">
        <v>48505</v>
      </c>
      <c r="BB4980" s="3" t="s">
        <v>48506</v>
      </c>
      <c r="BC4980" s="3" t="s">
        <v>77</v>
      </c>
      <c r="BD4980" s="3" t="s">
        <v>78</v>
      </c>
      <c r="BF4980" s="3" t="s">
        <v>48506</v>
      </c>
      <c r="BG4980" s="3" t="s">
        <v>48507</v>
      </c>
      <c r="BH4980">
        <f t="shared" si="159"/>
        <v>0</v>
      </c>
    </row>
    <row r="4981" spans="1:60" ht="58" x14ac:dyDescent="0.35">
      <c r="A4981" s="2" t="s">
        <v>59</v>
      </c>
      <c r="B4981" s="2" t="s">
        <v>7607</v>
      </c>
      <c r="C4981" s="2" t="s">
        <v>48508</v>
      </c>
      <c r="D4981" s="2" t="s">
        <v>48509</v>
      </c>
      <c r="E4981" s="2" t="s">
        <v>48510</v>
      </c>
      <c r="G4981" s="3" t="s">
        <v>64</v>
      </c>
      <c r="I4981" s="3" t="s">
        <v>128</v>
      </c>
      <c r="J4981" s="3" t="s">
        <v>64</v>
      </c>
      <c r="K4981" s="3" t="s">
        <v>65</v>
      </c>
      <c r="L4981" s="2" t="s">
        <v>48511</v>
      </c>
      <c r="M4981" s="2" t="s">
        <v>48512</v>
      </c>
      <c r="N4981" s="3" t="s">
        <v>38454</v>
      </c>
      <c r="O4981" s="2" t="s">
        <v>48513</v>
      </c>
      <c r="P4981" s="3" t="s">
        <v>102</v>
      </c>
      <c r="R4981" s="3" t="s">
        <v>70</v>
      </c>
      <c r="S4981" s="4">
        <v>0</v>
      </c>
      <c r="T4981" s="4">
        <v>1</v>
      </c>
      <c r="V4981" s="5" t="s">
        <v>1375</v>
      </c>
      <c r="W4981" s="5" t="s">
        <v>17763</v>
      </c>
      <c r="X4981" s="5" t="s">
        <v>17763</v>
      </c>
      <c r="Y4981" s="4">
        <v>96</v>
      </c>
      <c r="Z4981" s="4">
        <v>7</v>
      </c>
      <c r="AA4981" s="4">
        <v>9</v>
      </c>
      <c r="AB4981" s="4">
        <v>1</v>
      </c>
      <c r="AC4981" s="4">
        <v>2</v>
      </c>
      <c r="AD4981" s="4">
        <v>55</v>
      </c>
      <c r="AE4981" s="4">
        <v>57</v>
      </c>
      <c r="AF4981" s="4">
        <v>0</v>
      </c>
      <c r="AG4981" s="4">
        <v>1</v>
      </c>
      <c r="AH4981" s="4">
        <v>51</v>
      </c>
      <c r="AI4981" s="4">
        <v>53</v>
      </c>
      <c r="AJ4981" s="4">
        <v>5</v>
      </c>
      <c r="AK4981" s="4">
        <v>7</v>
      </c>
      <c r="AL4981" s="4">
        <v>34</v>
      </c>
      <c r="AM4981" s="4">
        <v>34</v>
      </c>
      <c r="AN4981" s="4">
        <v>0</v>
      </c>
      <c r="AO4981" s="4">
        <v>0</v>
      </c>
      <c r="AP4981" s="4">
        <v>4</v>
      </c>
      <c r="AQ4981" s="4">
        <v>6</v>
      </c>
      <c r="AR4981" s="3" t="s">
        <v>64</v>
      </c>
      <c r="AS4981" s="3" t="s">
        <v>128</v>
      </c>
      <c r="AT4981" s="3" t="s">
        <v>64</v>
      </c>
      <c r="AU4981" s="6" t="str">
        <f>HYPERLINK("http://catalog.hathitrust.org/Record/001576175","HathiTrust Record")</f>
        <v>HathiTrust Record</v>
      </c>
      <c r="AV4981" s="6" t="str">
        <f>HYPERLINK("http://mcgill.on.worldcat.org/oclc/4371735","Catalog Record")</f>
        <v>Catalog Record</v>
      </c>
      <c r="AW4981" s="6" t="str">
        <f>HYPERLINK("http://www.worldcat.org/oclc/4371735","WorldCat Record")</f>
        <v>WorldCat Record</v>
      </c>
      <c r="AX4981" s="3" t="s">
        <v>48514</v>
      </c>
      <c r="AY4981" s="3" t="s">
        <v>48515</v>
      </c>
      <c r="AZ4981" s="3" t="s">
        <v>48516</v>
      </c>
      <c r="BA4981" s="3" t="s">
        <v>48516</v>
      </c>
      <c r="BB4981" s="3" t="s">
        <v>48517</v>
      </c>
      <c r="BC4981" s="3" t="s">
        <v>77</v>
      </c>
      <c r="BD4981" s="3" t="s">
        <v>78</v>
      </c>
      <c r="BF4981" s="3" t="s">
        <v>48517</v>
      </c>
      <c r="BG4981" s="3" t="s">
        <v>48518</v>
      </c>
      <c r="BH4981">
        <f t="shared" si="159"/>
        <v>0</v>
      </c>
    </row>
    <row r="4982" spans="1:60" ht="58" x14ac:dyDescent="0.35">
      <c r="A4982" s="2" t="s">
        <v>59</v>
      </c>
      <c r="B4982" s="2" t="s">
        <v>60</v>
      </c>
      <c r="C4982" s="2" t="s">
        <v>48519</v>
      </c>
      <c r="D4982" s="2" t="s">
        <v>48520</v>
      </c>
      <c r="E4982" s="2" t="s">
        <v>48521</v>
      </c>
      <c r="G4982" s="3" t="s">
        <v>64</v>
      </c>
      <c r="I4982" s="3" t="s">
        <v>64</v>
      </c>
      <c r="J4982" s="3" t="s">
        <v>64</v>
      </c>
      <c r="K4982" s="3" t="s">
        <v>65</v>
      </c>
      <c r="L4982" s="2" t="s">
        <v>48522</v>
      </c>
      <c r="M4982" s="2" t="s">
        <v>48523</v>
      </c>
      <c r="N4982" s="3" t="s">
        <v>979</v>
      </c>
      <c r="P4982" s="3" t="s">
        <v>102</v>
      </c>
      <c r="Q4982" s="2" t="s">
        <v>48524</v>
      </c>
      <c r="R4982" s="3" t="s">
        <v>70</v>
      </c>
      <c r="S4982" s="4">
        <v>5</v>
      </c>
      <c r="T4982" s="4">
        <v>5</v>
      </c>
      <c r="U4982" s="5" t="s">
        <v>6057</v>
      </c>
      <c r="V4982" s="5" t="s">
        <v>6057</v>
      </c>
      <c r="W4982" s="5" t="s">
        <v>72</v>
      </c>
      <c r="X4982" s="5" t="s">
        <v>72</v>
      </c>
      <c r="Y4982" s="4">
        <v>89</v>
      </c>
      <c r="Z4982" s="4">
        <v>8</v>
      </c>
      <c r="AA4982" s="4">
        <v>9</v>
      </c>
      <c r="AB4982" s="4">
        <v>1</v>
      </c>
      <c r="AC4982" s="4">
        <v>2</v>
      </c>
      <c r="AD4982" s="4">
        <v>50</v>
      </c>
      <c r="AE4982" s="4">
        <v>52</v>
      </c>
      <c r="AF4982" s="4">
        <v>0</v>
      </c>
      <c r="AG4982" s="4">
        <v>1</v>
      </c>
      <c r="AH4982" s="4">
        <v>48</v>
      </c>
      <c r="AI4982" s="4">
        <v>50</v>
      </c>
      <c r="AJ4982" s="4">
        <v>4</v>
      </c>
      <c r="AK4982" s="4">
        <v>5</v>
      </c>
      <c r="AL4982" s="4">
        <v>38</v>
      </c>
      <c r="AM4982" s="4">
        <v>39</v>
      </c>
      <c r="AN4982" s="4">
        <v>0</v>
      </c>
      <c r="AO4982" s="4">
        <v>0</v>
      </c>
      <c r="AP4982" s="4">
        <v>4</v>
      </c>
      <c r="AQ4982" s="4">
        <v>5</v>
      </c>
      <c r="AR4982" s="3" t="s">
        <v>64</v>
      </c>
      <c r="AS4982" s="3" t="s">
        <v>64</v>
      </c>
      <c r="AT4982" s="3" t="s">
        <v>64</v>
      </c>
      <c r="AV4982" s="6" t="str">
        <f>HYPERLINK("http://mcgill.on.worldcat.org/oclc/45136957","Catalog Record")</f>
        <v>Catalog Record</v>
      </c>
      <c r="AW4982" s="6" t="str">
        <f>HYPERLINK("http://www.worldcat.org/oclc/45136957","WorldCat Record")</f>
        <v>WorldCat Record</v>
      </c>
      <c r="AX4982" s="3" t="s">
        <v>48525</v>
      </c>
      <c r="AY4982" s="3" t="s">
        <v>48526</v>
      </c>
      <c r="AZ4982" s="3" t="s">
        <v>48527</v>
      </c>
      <c r="BA4982" s="3" t="s">
        <v>48527</v>
      </c>
      <c r="BB4982" s="3" t="s">
        <v>48528</v>
      </c>
      <c r="BC4982" s="3" t="s">
        <v>77</v>
      </c>
      <c r="BD4982" s="3" t="s">
        <v>78</v>
      </c>
      <c r="BE4982" s="3" t="s">
        <v>48529</v>
      </c>
      <c r="BF4982" s="3" t="s">
        <v>48528</v>
      </c>
      <c r="BG4982" s="3" t="s">
        <v>48530</v>
      </c>
      <c r="BH4982">
        <f t="shared" si="159"/>
        <v>0</v>
      </c>
    </row>
    <row r="4983" spans="1:60" ht="58" x14ac:dyDescent="0.35">
      <c r="A4983" s="2" t="s">
        <v>59</v>
      </c>
      <c r="B4983" s="2" t="s">
        <v>7607</v>
      </c>
      <c r="C4983" s="2" t="s">
        <v>48531</v>
      </c>
      <c r="D4983" s="2" t="s">
        <v>48532</v>
      </c>
      <c r="E4983" s="2" t="s">
        <v>48533</v>
      </c>
      <c r="G4983" s="3" t="s">
        <v>64</v>
      </c>
      <c r="I4983" s="3" t="s">
        <v>64</v>
      </c>
      <c r="J4983" s="3" t="s">
        <v>64</v>
      </c>
      <c r="K4983" s="3" t="s">
        <v>65</v>
      </c>
      <c r="L4983" s="2" t="s">
        <v>48534</v>
      </c>
      <c r="M4983" s="2" t="s">
        <v>48535</v>
      </c>
      <c r="N4983" s="3" t="s">
        <v>326</v>
      </c>
      <c r="P4983" s="3" t="s">
        <v>102</v>
      </c>
      <c r="Q4983" s="2" t="s">
        <v>48536</v>
      </c>
      <c r="R4983" s="3" t="s">
        <v>70</v>
      </c>
      <c r="S4983" s="4">
        <v>0</v>
      </c>
      <c r="T4983" s="4">
        <v>0</v>
      </c>
      <c r="W4983" s="5" t="s">
        <v>72</v>
      </c>
      <c r="X4983" s="5" t="s">
        <v>72</v>
      </c>
      <c r="Y4983" s="4">
        <v>52</v>
      </c>
      <c r="Z4983" s="4">
        <v>2</v>
      </c>
      <c r="AA4983" s="4">
        <v>2</v>
      </c>
      <c r="AB4983" s="4">
        <v>1</v>
      </c>
      <c r="AC4983" s="4">
        <v>1</v>
      </c>
      <c r="AD4983" s="4">
        <v>27</v>
      </c>
      <c r="AE4983" s="4">
        <v>27</v>
      </c>
      <c r="AF4983" s="4">
        <v>0</v>
      </c>
      <c r="AG4983" s="4">
        <v>0</v>
      </c>
      <c r="AH4983" s="4">
        <v>27</v>
      </c>
      <c r="AI4983" s="4">
        <v>27</v>
      </c>
      <c r="AJ4983" s="4">
        <v>1</v>
      </c>
      <c r="AK4983" s="4">
        <v>1</v>
      </c>
      <c r="AL4983" s="4">
        <v>19</v>
      </c>
      <c r="AM4983" s="4">
        <v>19</v>
      </c>
      <c r="AN4983" s="4">
        <v>0</v>
      </c>
      <c r="AO4983" s="4">
        <v>0</v>
      </c>
      <c r="AP4983" s="4">
        <v>1</v>
      </c>
      <c r="AQ4983" s="4">
        <v>1</v>
      </c>
      <c r="AR4983" s="3" t="s">
        <v>64</v>
      </c>
      <c r="AS4983" s="3" t="s">
        <v>64</v>
      </c>
      <c r="AT4983" s="3" t="s">
        <v>64</v>
      </c>
      <c r="AV4983" s="6" t="str">
        <f>HYPERLINK("http://mcgill.on.worldcat.org/oclc/690088610","Catalog Record")</f>
        <v>Catalog Record</v>
      </c>
      <c r="AW4983" s="6" t="str">
        <f>HYPERLINK("http://www.worldcat.org/oclc/690088610","WorldCat Record")</f>
        <v>WorldCat Record</v>
      </c>
      <c r="AX4983" s="3" t="s">
        <v>48537</v>
      </c>
      <c r="AY4983" s="3" t="s">
        <v>48538</v>
      </c>
      <c r="AZ4983" s="3" t="s">
        <v>48539</v>
      </c>
      <c r="BA4983" s="3" t="s">
        <v>48539</v>
      </c>
      <c r="BB4983" s="3" t="s">
        <v>48540</v>
      </c>
      <c r="BC4983" s="3" t="s">
        <v>77</v>
      </c>
      <c r="BD4983" s="3" t="s">
        <v>78</v>
      </c>
      <c r="BE4983" s="3" t="s">
        <v>48541</v>
      </c>
      <c r="BF4983" s="3" t="s">
        <v>48540</v>
      </c>
      <c r="BG4983" s="3" t="s">
        <v>48542</v>
      </c>
      <c r="BH4983">
        <f t="shared" si="159"/>
        <v>0</v>
      </c>
    </row>
    <row r="4984" spans="1:60" ht="58" x14ac:dyDescent="0.35">
      <c r="A4984" s="2" t="s">
        <v>59</v>
      </c>
      <c r="B4984" s="2" t="s">
        <v>60</v>
      </c>
      <c r="C4984" s="2" t="s">
        <v>48543</v>
      </c>
      <c r="D4984" s="2" t="s">
        <v>48544</v>
      </c>
      <c r="E4984" s="2" t="s">
        <v>48545</v>
      </c>
      <c r="G4984" s="3" t="s">
        <v>64</v>
      </c>
      <c r="I4984" s="3" t="s">
        <v>64</v>
      </c>
      <c r="J4984" s="3" t="s">
        <v>64</v>
      </c>
      <c r="K4984" s="3" t="s">
        <v>65</v>
      </c>
      <c r="L4984" s="2" t="s">
        <v>48546</v>
      </c>
      <c r="M4984" s="2" t="s">
        <v>22127</v>
      </c>
      <c r="N4984" s="3" t="s">
        <v>86</v>
      </c>
      <c r="P4984" s="3" t="s">
        <v>102</v>
      </c>
      <c r="R4984" s="3" t="s">
        <v>70</v>
      </c>
      <c r="S4984" s="4">
        <v>8</v>
      </c>
      <c r="T4984" s="4">
        <v>8</v>
      </c>
      <c r="U4984" s="5" t="s">
        <v>11334</v>
      </c>
      <c r="V4984" s="5" t="s">
        <v>11334</v>
      </c>
      <c r="W4984" s="5" t="s">
        <v>72</v>
      </c>
      <c r="X4984" s="5" t="s">
        <v>72</v>
      </c>
      <c r="Y4984" s="4">
        <v>73</v>
      </c>
      <c r="Z4984" s="4">
        <v>8</v>
      </c>
      <c r="AA4984" s="4">
        <v>13</v>
      </c>
      <c r="AB4984" s="4">
        <v>1</v>
      </c>
      <c r="AC4984" s="4">
        <v>4</v>
      </c>
      <c r="AD4984" s="4">
        <v>36</v>
      </c>
      <c r="AE4984" s="4">
        <v>41</v>
      </c>
      <c r="AF4984" s="4">
        <v>0</v>
      </c>
      <c r="AG4984" s="4">
        <v>0</v>
      </c>
      <c r="AH4984" s="4">
        <v>34</v>
      </c>
      <c r="AI4984" s="4">
        <v>39</v>
      </c>
      <c r="AJ4984" s="4">
        <v>5</v>
      </c>
      <c r="AK4984" s="4">
        <v>7</v>
      </c>
      <c r="AL4984" s="4">
        <v>22</v>
      </c>
      <c r="AM4984" s="4">
        <v>24</v>
      </c>
      <c r="AN4984" s="4">
        <v>0</v>
      </c>
      <c r="AO4984" s="4">
        <v>0</v>
      </c>
      <c r="AP4984" s="4">
        <v>5</v>
      </c>
      <c r="AQ4984" s="4">
        <v>7</v>
      </c>
      <c r="AR4984" s="3" t="s">
        <v>64</v>
      </c>
      <c r="AS4984" s="3" t="s">
        <v>64</v>
      </c>
      <c r="AT4984" s="3" t="s">
        <v>64</v>
      </c>
      <c r="AV4984" s="6" t="str">
        <f>HYPERLINK("http://mcgill.on.worldcat.org/oclc/755213348","Catalog Record")</f>
        <v>Catalog Record</v>
      </c>
      <c r="AW4984" s="6" t="str">
        <f>HYPERLINK("http://www.worldcat.org/oclc/755213348","WorldCat Record")</f>
        <v>WorldCat Record</v>
      </c>
      <c r="AX4984" s="3" t="s">
        <v>48547</v>
      </c>
      <c r="AY4984" s="3" t="s">
        <v>48548</v>
      </c>
      <c r="AZ4984" s="3" t="s">
        <v>48549</v>
      </c>
      <c r="BA4984" s="3" t="s">
        <v>48549</v>
      </c>
      <c r="BB4984" s="3" t="s">
        <v>48550</v>
      </c>
      <c r="BC4984" s="3" t="s">
        <v>77</v>
      </c>
      <c r="BD4984" s="3" t="s">
        <v>78</v>
      </c>
      <c r="BE4984" s="3" t="s">
        <v>48551</v>
      </c>
      <c r="BF4984" s="3" t="s">
        <v>48550</v>
      </c>
      <c r="BG4984" s="3" t="s">
        <v>48552</v>
      </c>
      <c r="BH4984">
        <f t="shared" si="159"/>
        <v>0</v>
      </c>
    </row>
    <row r="4985" spans="1:60" ht="72.5" x14ac:dyDescent="0.35">
      <c r="A4985" s="2" t="s">
        <v>59</v>
      </c>
      <c r="B4985" s="2" t="s">
        <v>60</v>
      </c>
      <c r="C4985" s="2" t="s">
        <v>48553</v>
      </c>
      <c r="D4985" s="2" t="s">
        <v>48554</v>
      </c>
      <c r="E4985" s="2" t="s">
        <v>48555</v>
      </c>
      <c r="G4985" s="3" t="s">
        <v>64</v>
      </c>
      <c r="I4985" s="3" t="s">
        <v>64</v>
      </c>
      <c r="J4985" s="3" t="s">
        <v>64</v>
      </c>
      <c r="K4985" s="3" t="s">
        <v>183</v>
      </c>
      <c r="L4985" s="2" t="s">
        <v>48556</v>
      </c>
      <c r="M4985" s="2" t="s">
        <v>2678</v>
      </c>
      <c r="N4985" s="3" t="s">
        <v>86</v>
      </c>
      <c r="P4985" s="3" t="s">
        <v>102</v>
      </c>
      <c r="Q4985" s="2" t="s">
        <v>48557</v>
      </c>
      <c r="R4985" s="3" t="s">
        <v>70</v>
      </c>
      <c r="S4985" s="4">
        <v>0</v>
      </c>
      <c r="T4985" s="4">
        <v>0</v>
      </c>
      <c r="W4985" s="5" t="s">
        <v>72</v>
      </c>
      <c r="X4985" s="5" t="s">
        <v>72</v>
      </c>
      <c r="Y4985" s="4">
        <v>105</v>
      </c>
      <c r="Z4985" s="4">
        <v>10</v>
      </c>
      <c r="AA4985" s="4">
        <v>48</v>
      </c>
      <c r="AB4985" s="4">
        <v>1</v>
      </c>
      <c r="AC4985" s="4">
        <v>8</v>
      </c>
      <c r="AD4985" s="4">
        <v>36</v>
      </c>
      <c r="AE4985" s="4">
        <v>97</v>
      </c>
      <c r="AF4985" s="4">
        <v>0</v>
      </c>
      <c r="AG4985" s="4">
        <v>2</v>
      </c>
      <c r="AH4985" s="4">
        <v>34</v>
      </c>
      <c r="AI4985" s="4">
        <v>77</v>
      </c>
      <c r="AJ4985" s="4">
        <v>6</v>
      </c>
      <c r="AK4985" s="4">
        <v>16</v>
      </c>
      <c r="AL4985" s="4">
        <v>23</v>
      </c>
      <c r="AM4985" s="4">
        <v>41</v>
      </c>
      <c r="AN4985" s="4">
        <v>0</v>
      </c>
      <c r="AO4985" s="4">
        <v>0</v>
      </c>
      <c r="AP4985" s="4">
        <v>6</v>
      </c>
      <c r="AQ4985" s="4">
        <v>29</v>
      </c>
      <c r="AR4985" s="3" t="s">
        <v>64</v>
      </c>
      <c r="AS4985" s="3" t="s">
        <v>64</v>
      </c>
      <c r="AT4985" s="3" t="s">
        <v>64</v>
      </c>
      <c r="AV4985" s="6" t="str">
        <f>HYPERLINK("http://mcgill.on.worldcat.org/oclc/747385719","Catalog Record")</f>
        <v>Catalog Record</v>
      </c>
      <c r="AW4985" s="6" t="str">
        <f>HYPERLINK("http://www.worldcat.org/oclc/747385719","WorldCat Record")</f>
        <v>WorldCat Record</v>
      </c>
      <c r="AX4985" s="3" t="s">
        <v>48558</v>
      </c>
      <c r="AY4985" s="3" t="s">
        <v>48559</v>
      </c>
      <c r="AZ4985" s="3" t="s">
        <v>48560</v>
      </c>
      <c r="BA4985" s="3" t="s">
        <v>48560</v>
      </c>
      <c r="BB4985" s="3" t="s">
        <v>48561</v>
      </c>
      <c r="BC4985" s="3" t="s">
        <v>77</v>
      </c>
      <c r="BD4985" s="3" t="s">
        <v>78</v>
      </c>
      <c r="BE4985" s="3" t="s">
        <v>48562</v>
      </c>
      <c r="BF4985" s="3" t="s">
        <v>48561</v>
      </c>
      <c r="BG4985" s="3" t="s">
        <v>48563</v>
      </c>
      <c r="BH4985">
        <f t="shared" si="159"/>
        <v>0</v>
      </c>
    </row>
    <row r="4986" spans="1:60" ht="87" x14ac:dyDescent="0.35">
      <c r="A4986" s="2" t="s">
        <v>59</v>
      </c>
      <c r="B4986" s="2" t="s">
        <v>60</v>
      </c>
      <c r="C4986" s="2" t="s">
        <v>48564</v>
      </c>
      <c r="D4986" s="2" t="s">
        <v>48565</v>
      </c>
      <c r="E4986" s="2" t="s">
        <v>48566</v>
      </c>
      <c r="G4986" s="3" t="s">
        <v>64</v>
      </c>
      <c r="I4986" s="3" t="s">
        <v>64</v>
      </c>
      <c r="J4986" s="3" t="s">
        <v>64</v>
      </c>
      <c r="K4986" s="3" t="s">
        <v>65</v>
      </c>
      <c r="L4986" s="2" t="s">
        <v>48567</v>
      </c>
      <c r="M4986" s="2" t="s">
        <v>48568</v>
      </c>
      <c r="N4986" s="3" t="s">
        <v>1075</v>
      </c>
      <c r="P4986" s="3" t="s">
        <v>102</v>
      </c>
      <c r="R4986" s="3" t="s">
        <v>70</v>
      </c>
      <c r="S4986" s="4">
        <v>0</v>
      </c>
      <c r="T4986" s="4">
        <v>0</v>
      </c>
      <c r="U4986" s="5" t="s">
        <v>20537</v>
      </c>
      <c r="V4986" s="5" t="s">
        <v>20537</v>
      </c>
      <c r="W4986" s="5" t="s">
        <v>72</v>
      </c>
      <c r="X4986" s="5" t="s">
        <v>72</v>
      </c>
      <c r="Y4986" s="4">
        <v>8</v>
      </c>
      <c r="Z4986" s="4">
        <v>2</v>
      </c>
      <c r="AA4986" s="4">
        <v>2</v>
      </c>
      <c r="AB4986" s="4">
        <v>1</v>
      </c>
      <c r="AC4986" s="4">
        <v>1</v>
      </c>
      <c r="AD4986" s="4">
        <v>3</v>
      </c>
      <c r="AE4986" s="4">
        <v>3</v>
      </c>
      <c r="AF4986" s="4">
        <v>0</v>
      </c>
      <c r="AG4986" s="4">
        <v>0</v>
      </c>
      <c r="AH4986" s="4">
        <v>2</v>
      </c>
      <c r="AI4986" s="4">
        <v>2</v>
      </c>
      <c r="AJ4986" s="4">
        <v>1</v>
      </c>
      <c r="AK4986" s="4">
        <v>1</v>
      </c>
      <c r="AL4986" s="4">
        <v>1</v>
      </c>
      <c r="AM4986" s="4">
        <v>1</v>
      </c>
      <c r="AN4986" s="4">
        <v>0</v>
      </c>
      <c r="AO4986" s="4">
        <v>0</v>
      </c>
      <c r="AP4986" s="4">
        <v>0</v>
      </c>
      <c r="AQ4986" s="4">
        <v>0</v>
      </c>
      <c r="AR4986" s="3" t="s">
        <v>128</v>
      </c>
      <c r="AS4986" s="3" t="s">
        <v>64</v>
      </c>
      <c r="AT4986" s="3" t="s">
        <v>64</v>
      </c>
      <c r="AV4986" s="6" t="str">
        <f>HYPERLINK("http://mcgill.on.worldcat.org/oclc/822646267","Catalog Record")</f>
        <v>Catalog Record</v>
      </c>
      <c r="AW4986" s="6" t="str">
        <f>HYPERLINK("http://www.worldcat.org/oclc/822646267","WorldCat Record")</f>
        <v>WorldCat Record</v>
      </c>
      <c r="AX4986" s="3" t="s">
        <v>48569</v>
      </c>
      <c r="AY4986" s="3" t="s">
        <v>48570</v>
      </c>
      <c r="AZ4986" s="3" t="s">
        <v>48571</v>
      </c>
      <c r="BA4986" s="3" t="s">
        <v>48571</v>
      </c>
      <c r="BB4986" s="3" t="s">
        <v>48572</v>
      </c>
      <c r="BC4986" s="3" t="s">
        <v>77</v>
      </c>
      <c r="BD4986" s="3" t="s">
        <v>78</v>
      </c>
      <c r="BE4986" s="3" t="s">
        <v>48573</v>
      </c>
      <c r="BF4986" s="3" t="s">
        <v>48572</v>
      </c>
      <c r="BG4986" s="3" t="s">
        <v>48574</v>
      </c>
      <c r="BH4986">
        <f t="shared" si="159"/>
        <v>0</v>
      </c>
    </row>
    <row r="4987" spans="1:60" ht="58" x14ac:dyDescent="0.35">
      <c r="A4987" s="2" t="s">
        <v>59</v>
      </c>
      <c r="B4987" s="2" t="s">
        <v>60</v>
      </c>
      <c r="C4987" s="2" t="s">
        <v>48575</v>
      </c>
      <c r="D4987" s="2" t="s">
        <v>48576</v>
      </c>
      <c r="E4987" s="2" t="s">
        <v>48577</v>
      </c>
      <c r="G4987" s="3" t="s">
        <v>64</v>
      </c>
      <c r="I4987" s="3" t="s">
        <v>64</v>
      </c>
      <c r="J4987" s="3" t="s">
        <v>64</v>
      </c>
      <c r="K4987" s="3" t="s">
        <v>65</v>
      </c>
      <c r="M4987" s="2" t="s">
        <v>48578</v>
      </c>
      <c r="N4987" s="3" t="s">
        <v>1087</v>
      </c>
      <c r="P4987" s="3" t="s">
        <v>102</v>
      </c>
      <c r="Q4987" s="2" t="s">
        <v>48579</v>
      </c>
      <c r="R4987" s="3" t="s">
        <v>70</v>
      </c>
      <c r="S4987" s="4">
        <v>1</v>
      </c>
      <c r="T4987" s="4">
        <v>1</v>
      </c>
      <c r="U4987" s="5" t="s">
        <v>33800</v>
      </c>
      <c r="V4987" s="5" t="s">
        <v>33800</v>
      </c>
      <c r="W4987" s="5" t="s">
        <v>72</v>
      </c>
      <c r="X4987" s="5" t="s">
        <v>72</v>
      </c>
      <c r="Y4987" s="4">
        <v>72</v>
      </c>
      <c r="Z4987" s="4">
        <v>10</v>
      </c>
      <c r="AA4987" s="4">
        <v>12</v>
      </c>
      <c r="AB4987" s="4">
        <v>1</v>
      </c>
      <c r="AC4987" s="4">
        <v>3</v>
      </c>
      <c r="AD4987" s="4">
        <v>45</v>
      </c>
      <c r="AE4987" s="4">
        <v>47</v>
      </c>
      <c r="AF4987" s="4">
        <v>0</v>
      </c>
      <c r="AG4987" s="4">
        <v>2</v>
      </c>
      <c r="AH4987" s="4">
        <v>40</v>
      </c>
      <c r="AI4987" s="4">
        <v>41</v>
      </c>
      <c r="AJ4987" s="4">
        <v>7</v>
      </c>
      <c r="AK4987" s="4">
        <v>9</v>
      </c>
      <c r="AL4987" s="4">
        <v>29</v>
      </c>
      <c r="AM4987" s="4">
        <v>29</v>
      </c>
      <c r="AN4987" s="4">
        <v>0</v>
      </c>
      <c r="AO4987" s="4">
        <v>0</v>
      </c>
      <c r="AP4987" s="4">
        <v>6</v>
      </c>
      <c r="AQ4987" s="4">
        <v>8</v>
      </c>
      <c r="AR4987" s="3" t="s">
        <v>64</v>
      </c>
      <c r="AS4987" s="3" t="s">
        <v>64</v>
      </c>
      <c r="AT4987" s="3" t="s">
        <v>64</v>
      </c>
      <c r="AV4987" s="6" t="str">
        <f>HYPERLINK("http://mcgill.on.worldcat.org/oclc/24793874","Catalog Record")</f>
        <v>Catalog Record</v>
      </c>
      <c r="AW4987" s="6" t="str">
        <f>HYPERLINK("http://www.worldcat.org/oclc/24793874","WorldCat Record")</f>
        <v>WorldCat Record</v>
      </c>
      <c r="AX4987" s="3" t="s">
        <v>48580</v>
      </c>
      <c r="AY4987" s="3" t="s">
        <v>48581</v>
      </c>
      <c r="AZ4987" s="3" t="s">
        <v>48582</v>
      </c>
      <c r="BA4987" s="3" t="s">
        <v>48582</v>
      </c>
      <c r="BB4987" s="3" t="s">
        <v>48583</v>
      </c>
      <c r="BC4987" s="3" t="s">
        <v>77</v>
      </c>
      <c r="BD4987" s="3" t="s">
        <v>78</v>
      </c>
      <c r="BE4987" s="3" t="s">
        <v>48584</v>
      </c>
      <c r="BF4987" s="3" t="s">
        <v>48583</v>
      </c>
      <c r="BG4987" s="3" t="s">
        <v>48585</v>
      </c>
      <c r="BH4987">
        <f t="shared" si="159"/>
        <v>0</v>
      </c>
    </row>
    <row r="4988" spans="1:60" ht="58" x14ac:dyDescent="0.35">
      <c r="A4988" s="2" t="s">
        <v>59</v>
      </c>
      <c r="B4988" s="2" t="s">
        <v>60</v>
      </c>
      <c r="C4988" s="2" t="s">
        <v>48586</v>
      </c>
      <c r="D4988" s="2" t="s">
        <v>48587</v>
      </c>
      <c r="E4988" s="2" t="s">
        <v>48588</v>
      </c>
      <c r="G4988" s="3" t="s">
        <v>64</v>
      </c>
      <c r="I4988" s="3" t="s">
        <v>64</v>
      </c>
      <c r="J4988" s="3" t="s">
        <v>64</v>
      </c>
      <c r="K4988" s="3" t="s">
        <v>65</v>
      </c>
      <c r="L4988" s="2" t="s">
        <v>48589</v>
      </c>
      <c r="M4988" s="2" t="s">
        <v>48590</v>
      </c>
      <c r="N4988" s="3" t="s">
        <v>1004</v>
      </c>
      <c r="P4988" s="3" t="s">
        <v>102</v>
      </c>
      <c r="Q4988" s="2" t="s">
        <v>48591</v>
      </c>
      <c r="R4988" s="3" t="s">
        <v>70</v>
      </c>
      <c r="S4988" s="4">
        <v>1</v>
      </c>
      <c r="T4988" s="4">
        <v>1</v>
      </c>
      <c r="U4988" s="5" t="s">
        <v>48592</v>
      </c>
      <c r="V4988" s="5" t="s">
        <v>48592</v>
      </c>
      <c r="W4988" s="5" t="s">
        <v>72</v>
      </c>
      <c r="X4988" s="5" t="s">
        <v>72</v>
      </c>
      <c r="Y4988" s="4">
        <v>452</v>
      </c>
      <c r="Z4988" s="4">
        <v>28</v>
      </c>
      <c r="AA4988" s="4">
        <v>28</v>
      </c>
      <c r="AB4988" s="4">
        <v>1</v>
      </c>
      <c r="AC4988" s="4">
        <v>1</v>
      </c>
      <c r="AD4988" s="4">
        <v>117</v>
      </c>
      <c r="AE4988" s="4">
        <v>117</v>
      </c>
      <c r="AF4988" s="4">
        <v>0</v>
      </c>
      <c r="AG4988" s="4">
        <v>0</v>
      </c>
      <c r="AH4988" s="4">
        <v>103</v>
      </c>
      <c r="AI4988" s="4">
        <v>103</v>
      </c>
      <c r="AJ4988" s="4">
        <v>18</v>
      </c>
      <c r="AK4988" s="4">
        <v>18</v>
      </c>
      <c r="AL4988" s="4">
        <v>55</v>
      </c>
      <c r="AM4988" s="4">
        <v>55</v>
      </c>
      <c r="AN4988" s="4">
        <v>0</v>
      </c>
      <c r="AO4988" s="4">
        <v>0</v>
      </c>
      <c r="AP4988" s="4">
        <v>21</v>
      </c>
      <c r="AQ4988" s="4">
        <v>21</v>
      </c>
      <c r="AR4988" s="3" t="s">
        <v>64</v>
      </c>
      <c r="AS4988" s="3" t="s">
        <v>64</v>
      </c>
      <c r="AT4988" s="3" t="s">
        <v>64</v>
      </c>
      <c r="AV4988" s="6" t="str">
        <f>HYPERLINK("http://mcgill.on.worldcat.org/oclc/8763170","Catalog Record")</f>
        <v>Catalog Record</v>
      </c>
      <c r="AW4988" s="6" t="str">
        <f>HYPERLINK("http://www.worldcat.org/oclc/8763170","WorldCat Record")</f>
        <v>WorldCat Record</v>
      </c>
      <c r="AX4988" s="3" t="s">
        <v>48593</v>
      </c>
      <c r="AY4988" s="3" t="s">
        <v>48594</v>
      </c>
      <c r="AZ4988" s="3" t="s">
        <v>48595</v>
      </c>
      <c r="BA4988" s="3" t="s">
        <v>48595</v>
      </c>
      <c r="BB4988" s="3" t="s">
        <v>48596</v>
      </c>
      <c r="BC4988" s="3" t="s">
        <v>77</v>
      </c>
      <c r="BD4988" s="3" t="s">
        <v>78</v>
      </c>
      <c r="BE4988" s="3" t="s">
        <v>48597</v>
      </c>
      <c r="BF4988" s="3" t="s">
        <v>48596</v>
      </c>
      <c r="BG4988" s="3" t="s">
        <v>48598</v>
      </c>
      <c r="BH4988">
        <f t="shared" si="159"/>
        <v>0</v>
      </c>
    </row>
    <row r="4989" spans="1:60" ht="58" x14ac:dyDescent="0.35">
      <c r="A4989" s="2" t="s">
        <v>59</v>
      </c>
      <c r="B4989" s="2" t="s">
        <v>60</v>
      </c>
      <c r="C4989" s="2" t="s">
        <v>48599</v>
      </c>
      <c r="D4989" s="2" t="s">
        <v>48600</v>
      </c>
      <c r="E4989" s="2" t="s">
        <v>48601</v>
      </c>
      <c r="G4989" s="3" t="s">
        <v>64</v>
      </c>
      <c r="I4989" s="3" t="s">
        <v>64</v>
      </c>
      <c r="J4989" s="3" t="s">
        <v>64</v>
      </c>
      <c r="K4989" s="3" t="s">
        <v>65</v>
      </c>
      <c r="L4989" s="2" t="s">
        <v>47651</v>
      </c>
      <c r="M4989" s="2" t="s">
        <v>48602</v>
      </c>
      <c r="N4989" s="3" t="s">
        <v>378</v>
      </c>
      <c r="P4989" s="3" t="s">
        <v>102</v>
      </c>
      <c r="Q4989" s="2" t="s">
        <v>48603</v>
      </c>
      <c r="R4989" s="3" t="s">
        <v>70</v>
      </c>
      <c r="S4989" s="4">
        <v>1</v>
      </c>
      <c r="T4989" s="4">
        <v>1</v>
      </c>
      <c r="U4989" s="5" t="s">
        <v>33800</v>
      </c>
      <c r="V4989" s="5" t="s">
        <v>33800</v>
      </c>
      <c r="W4989" s="5" t="s">
        <v>72</v>
      </c>
      <c r="X4989" s="5" t="s">
        <v>72</v>
      </c>
      <c r="Y4989" s="4">
        <v>341</v>
      </c>
      <c r="Z4989" s="4">
        <v>21</v>
      </c>
      <c r="AA4989" s="4">
        <v>22</v>
      </c>
      <c r="AB4989" s="4">
        <v>1</v>
      </c>
      <c r="AC4989" s="4">
        <v>2</v>
      </c>
      <c r="AD4989" s="4">
        <v>106</v>
      </c>
      <c r="AE4989" s="4">
        <v>107</v>
      </c>
      <c r="AF4989" s="4">
        <v>0</v>
      </c>
      <c r="AG4989" s="4">
        <v>1</v>
      </c>
      <c r="AH4989" s="4">
        <v>97</v>
      </c>
      <c r="AI4989" s="4">
        <v>97</v>
      </c>
      <c r="AJ4989" s="4">
        <v>11</v>
      </c>
      <c r="AK4989" s="4">
        <v>12</v>
      </c>
      <c r="AL4989" s="4">
        <v>55</v>
      </c>
      <c r="AM4989" s="4">
        <v>55</v>
      </c>
      <c r="AN4989" s="4">
        <v>0</v>
      </c>
      <c r="AO4989" s="4">
        <v>0</v>
      </c>
      <c r="AP4989" s="4">
        <v>14</v>
      </c>
      <c r="AQ4989" s="4">
        <v>14</v>
      </c>
      <c r="AR4989" s="3" t="s">
        <v>64</v>
      </c>
      <c r="AS4989" s="3" t="s">
        <v>64</v>
      </c>
      <c r="AT4989" s="3" t="s">
        <v>128</v>
      </c>
      <c r="AU4989" s="6" t="str">
        <f>HYPERLINK("http://catalog.hathitrust.org/Record/000875825","HathiTrust Record")</f>
        <v>HathiTrust Record</v>
      </c>
      <c r="AV4989" s="6" t="str">
        <f>HYPERLINK("http://mcgill.on.worldcat.org/oclc/12749759","Catalog Record")</f>
        <v>Catalog Record</v>
      </c>
      <c r="AW4989" s="6" t="str">
        <f>HYPERLINK("http://www.worldcat.org/oclc/12749759","WorldCat Record")</f>
        <v>WorldCat Record</v>
      </c>
      <c r="AX4989" s="3" t="s">
        <v>48604</v>
      </c>
      <c r="AY4989" s="3" t="s">
        <v>48605</v>
      </c>
      <c r="AZ4989" s="3" t="s">
        <v>48606</v>
      </c>
      <c r="BA4989" s="3" t="s">
        <v>48606</v>
      </c>
      <c r="BB4989" s="3" t="s">
        <v>48607</v>
      </c>
      <c r="BC4989" s="3" t="s">
        <v>77</v>
      </c>
      <c r="BD4989" s="3" t="s">
        <v>78</v>
      </c>
      <c r="BE4989" s="3" t="s">
        <v>48608</v>
      </c>
      <c r="BF4989" s="3" t="s">
        <v>48607</v>
      </c>
      <c r="BG4989" s="3" t="s">
        <v>48609</v>
      </c>
      <c r="BH4989">
        <f t="shared" si="159"/>
        <v>0</v>
      </c>
    </row>
    <row r="4990" spans="1:60" ht="58" x14ac:dyDescent="0.35">
      <c r="A4990" s="2" t="s">
        <v>59</v>
      </c>
      <c r="B4990" s="2" t="s">
        <v>60</v>
      </c>
      <c r="C4990" s="2" t="s">
        <v>48610</v>
      </c>
      <c r="D4990" s="2" t="s">
        <v>48611</v>
      </c>
      <c r="E4990" s="2" t="s">
        <v>48612</v>
      </c>
      <c r="G4990" s="3" t="s">
        <v>64</v>
      </c>
      <c r="I4990" s="3" t="s">
        <v>64</v>
      </c>
      <c r="J4990" s="3" t="s">
        <v>64</v>
      </c>
      <c r="K4990" s="3" t="s">
        <v>65</v>
      </c>
      <c r="L4990" s="2" t="s">
        <v>48613</v>
      </c>
      <c r="M4990" s="2" t="s">
        <v>48614</v>
      </c>
      <c r="N4990" s="3" t="s">
        <v>326</v>
      </c>
      <c r="P4990" s="3" t="s">
        <v>4873</v>
      </c>
      <c r="Q4990" s="2" t="s">
        <v>48615</v>
      </c>
      <c r="R4990" s="3" t="s">
        <v>70</v>
      </c>
      <c r="S4990" s="4">
        <v>0</v>
      </c>
      <c r="T4990" s="4">
        <v>0</v>
      </c>
      <c r="W4990" s="5" t="s">
        <v>72</v>
      </c>
      <c r="X4990" s="5" t="s">
        <v>72</v>
      </c>
      <c r="Y4990" s="4">
        <v>32</v>
      </c>
      <c r="Z4990" s="4">
        <v>4</v>
      </c>
      <c r="AA4990" s="4">
        <v>4</v>
      </c>
      <c r="AB4990" s="4">
        <v>1</v>
      </c>
      <c r="AC4990" s="4">
        <v>1</v>
      </c>
      <c r="AD4990" s="4">
        <v>22</v>
      </c>
      <c r="AE4990" s="4">
        <v>22</v>
      </c>
      <c r="AF4990" s="4">
        <v>0</v>
      </c>
      <c r="AG4990" s="4">
        <v>0</v>
      </c>
      <c r="AH4990" s="4">
        <v>21</v>
      </c>
      <c r="AI4990" s="4">
        <v>21</v>
      </c>
      <c r="AJ4990" s="4">
        <v>2</v>
      </c>
      <c r="AK4990" s="4">
        <v>2</v>
      </c>
      <c r="AL4990" s="4">
        <v>18</v>
      </c>
      <c r="AM4990" s="4">
        <v>18</v>
      </c>
      <c r="AN4990" s="4">
        <v>0</v>
      </c>
      <c r="AO4990" s="4">
        <v>0</v>
      </c>
      <c r="AP4990" s="4">
        <v>2</v>
      </c>
      <c r="AQ4990" s="4">
        <v>2</v>
      </c>
      <c r="AR4990" s="3" t="s">
        <v>64</v>
      </c>
      <c r="AS4990" s="3" t="s">
        <v>64</v>
      </c>
      <c r="AT4990" s="3" t="s">
        <v>64</v>
      </c>
      <c r="AV4990" s="6" t="str">
        <f>HYPERLINK("http://mcgill.on.worldcat.org/oclc/711744134","Catalog Record")</f>
        <v>Catalog Record</v>
      </c>
      <c r="AW4990" s="6" t="str">
        <f>HYPERLINK("http://www.worldcat.org/oclc/711744134","WorldCat Record")</f>
        <v>WorldCat Record</v>
      </c>
      <c r="AX4990" s="3" t="s">
        <v>48616</v>
      </c>
      <c r="AY4990" s="3" t="s">
        <v>48617</v>
      </c>
      <c r="AZ4990" s="3" t="s">
        <v>48618</v>
      </c>
      <c r="BA4990" s="3" t="s">
        <v>48618</v>
      </c>
      <c r="BB4990" s="3" t="s">
        <v>48619</v>
      </c>
      <c r="BC4990" s="3" t="s">
        <v>77</v>
      </c>
      <c r="BD4990" s="3" t="s">
        <v>78</v>
      </c>
      <c r="BE4990" s="3" t="s">
        <v>48620</v>
      </c>
      <c r="BF4990" s="3" t="s">
        <v>48619</v>
      </c>
      <c r="BG4990" s="3" t="s">
        <v>48621</v>
      </c>
      <c r="BH4990">
        <f t="shared" si="159"/>
        <v>0</v>
      </c>
    </row>
    <row r="4991" spans="1:60" ht="58" x14ac:dyDescent="0.35">
      <c r="A4991" s="2" t="s">
        <v>59</v>
      </c>
      <c r="B4991" s="2" t="s">
        <v>60</v>
      </c>
      <c r="C4991" s="2" t="s">
        <v>48622</v>
      </c>
      <c r="D4991" s="2" t="s">
        <v>48623</v>
      </c>
      <c r="E4991" s="2" t="s">
        <v>48624</v>
      </c>
      <c r="G4991" s="3" t="s">
        <v>64</v>
      </c>
      <c r="I4991" s="3" t="s">
        <v>64</v>
      </c>
      <c r="J4991" s="3" t="s">
        <v>64</v>
      </c>
      <c r="K4991" s="3" t="s">
        <v>65</v>
      </c>
      <c r="L4991" s="2" t="s">
        <v>48625</v>
      </c>
      <c r="M4991" s="2" t="s">
        <v>48626</v>
      </c>
      <c r="N4991" s="3" t="s">
        <v>1750</v>
      </c>
      <c r="P4991" s="3" t="s">
        <v>102</v>
      </c>
      <c r="R4991" s="3" t="s">
        <v>70</v>
      </c>
      <c r="S4991" s="4">
        <v>1</v>
      </c>
      <c r="T4991" s="4">
        <v>1</v>
      </c>
      <c r="U4991" s="5" t="s">
        <v>48627</v>
      </c>
      <c r="V4991" s="5" t="s">
        <v>48627</v>
      </c>
      <c r="W4991" s="5" t="s">
        <v>72</v>
      </c>
      <c r="X4991" s="5" t="s">
        <v>72</v>
      </c>
      <c r="Y4991" s="4">
        <v>42</v>
      </c>
      <c r="Z4991" s="4">
        <v>8</v>
      </c>
      <c r="AA4991" s="4">
        <v>8</v>
      </c>
      <c r="AB4991" s="4">
        <v>1</v>
      </c>
      <c r="AC4991" s="4">
        <v>1</v>
      </c>
      <c r="AD4991" s="4">
        <v>32</v>
      </c>
      <c r="AE4991" s="4">
        <v>32</v>
      </c>
      <c r="AF4991" s="4">
        <v>0</v>
      </c>
      <c r="AG4991" s="4">
        <v>0</v>
      </c>
      <c r="AH4991" s="4">
        <v>30</v>
      </c>
      <c r="AI4991" s="4">
        <v>30</v>
      </c>
      <c r="AJ4991" s="4">
        <v>6</v>
      </c>
      <c r="AK4991" s="4">
        <v>6</v>
      </c>
      <c r="AL4991" s="4">
        <v>22</v>
      </c>
      <c r="AM4991" s="4">
        <v>22</v>
      </c>
      <c r="AN4991" s="4">
        <v>0</v>
      </c>
      <c r="AO4991" s="4">
        <v>0</v>
      </c>
      <c r="AP4991" s="4">
        <v>5</v>
      </c>
      <c r="AQ4991" s="4">
        <v>5</v>
      </c>
      <c r="AR4991" s="3" t="s">
        <v>64</v>
      </c>
      <c r="AS4991" s="3" t="s">
        <v>64</v>
      </c>
      <c r="AT4991" s="3" t="s">
        <v>128</v>
      </c>
      <c r="AU4991" s="6" t="str">
        <f>HYPERLINK("http://catalog.hathitrust.org/Record/000736483","HathiTrust Record")</f>
        <v>HathiTrust Record</v>
      </c>
      <c r="AV4991" s="6" t="str">
        <f>HYPERLINK("http://mcgill.on.worldcat.org/oclc/2387904","Catalog Record")</f>
        <v>Catalog Record</v>
      </c>
      <c r="AW4991" s="6" t="str">
        <f>HYPERLINK("http://www.worldcat.org/oclc/2387904","WorldCat Record")</f>
        <v>WorldCat Record</v>
      </c>
      <c r="AX4991" s="3" t="s">
        <v>48628</v>
      </c>
      <c r="AY4991" s="3" t="s">
        <v>48629</v>
      </c>
      <c r="AZ4991" s="3" t="s">
        <v>48630</v>
      </c>
      <c r="BA4991" s="3" t="s">
        <v>48630</v>
      </c>
      <c r="BB4991" s="3" t="s">
        <v>48631</v>
      </c>
      <c r="BC4991" s="3" t="s">
        <v>77</v>
      </c>
      <c r="BD4991" s="3" t="s">
        <v>78</v>
      </c>
      <c r="BF4991" s="3" t="s">
        <v>48631</v>
      </c>
      <c r="BG4991" s="3" t="s">
        <v>48632</v>
      </c>
      <c r="BH4991">
        <f t="shared" si="159"/>
        <v>0</v>
      </c>
    </row>
    <row r="4992" spans="1:60" ht="58" x14ac:dyDescent="0.35">
      <c r="A4992" s="2" t="s">
        <v>59</v>
      </c>
      <c r="B4992" s="2" t="s">
        <v>60</v>
      </c>
      <c r="C4992" s="2" t="s">
        <v>48633</v>
      </c>
      <c r="D4992" s="2" t="s">
        <v>48634</v>
      </c>
      <c r="E4992" s="2" t="s">
        <v>48635</v>
      </c>
      <c r="G4992" s="3" t="s">
        <v>64</v>
      </c>
      <c r="I4992" s="3" t="s">
        <v>64</v>
      </c>
      <c r="J4992" s="3" t="s">
        <v>64</v>
      </c>
      <c r="K4992" s="3" t="s">
        <v>65</v>
      </c>
      <c r="L4992" s="2" t="s">
        <v>48636</v>
      </c>
      <c r="M4992" s="2" t="s">
        <v>48637</v>
      </c>
      <c r="N4992" s="3" t="s">
        <v>511</v>
      </c>
      <c r="P4992" s="3" t="s">
        <v>365</v>
      </c>
      <c r="Q4992" s="2" t="s">
        <v>48638</v>
      </c>
      <c r="R4992" s="3" t="s">
        <v>70</v>
      </c>
      <c r="S4992" s="4">
        <v>0</v>
      </c>
      <c r="T4992" s="4">
        <v>0</v>
      </c>
      <c r="W4992" s="5" t="s">
        <v>72</v>
      </c>
      <c r="X4992" s="5" t="s">
        <v>72</v>
      </c>
      <c r="Y4992" s="4">
        <v>44</v>
      </c>
      <c r="Z4992" s="4">
        <v>3</v>
      </c>
      <c r="AA4992" s="4">
        <v>3</v>
      </c>
      <c r="AB4992" s="4">
        <v>1</v>
      </c>
      <c r="AC4992" s="4">
        <v>1</v>
      </c>
      <c r="AD4992" s="4">
        <v>23</v>
      </c>
      <c r="AE4992" s="4">
        <v>23</v>
      </c>
      <c r="AF4992" s="4">
        <v>0</v>
      </c>
      <c r="AG4992" s="4">
        <v>0</v>
      </c>
      <c r="AH4992" s="4">
        <v>22</v>
      </c>
      <c r="AI4992" s="4">
        <v>22</v>
      </c>
      <c r="AJ4992" s="4">
        <v>1</v>
      </c>
      <c r="AK4992" s="4">
        <v>1</v>
      </c>
      <c r="AL4992" s="4">
        <v>19</v>
      </c>
      <c r="AM4992" s="4">
        <v>19</v>
      </c>
      <c r="AN4992" s="4">
        <v>0</v>
      </c>
      <c r="AO4992" s="4">
        <v>0</v>
      </c>
      <c r="AP4992" s="4">
        <v>1</v>
      </c>
      <c r="AQ4992" s="4">
        <v>1</v>
      </c>
      <c r="AR4992" s="3" t="s">
        <v>64</v>
      </c>
      <c r="AS4992" s="3" t="s">
        <v>64</v>
      </c>
      <c r="AT4992" s="3" t="s">
        <v>64</v>
      </c>
      <c r="AV4992" s="6" t="str">
        <f>HYPERLINK("http://mcgill.on.worldcat.org/oclc/566929855","Catalog Record")</f>
        <v>Catalog Record</v>
      </c>
      <c r="AW4992" s="6" t="str">
        <f>HYPERLINK("http://www.worldcat.org/oclc/566929855","WorldCat Record")</f>
        <v>WorldCat Record</v>
      </c>
      <c r="AX4992" s="3" t="s">
        <v>48639</v>
      </c>
      <c r="AY4992" s="3" t="s">
        <v>48640</v>
      </c>
      <c r="AZ4992" s="3" t="s">
        <v>48641</v>
      </c>
      <c r="BA4992" s="3" t="s">
        <v>48641</v>
      </c>
      <c r="BB4992" s="3" t="s">
        <v>48642</v>
      </c>
      <c r="BC4992" s="3" t="s">
        <v>77</v>
      </c>
      <c r="BD4992" s="3" t="s">
        <v>78</v>
      </c>
      <c r="BE4992" s="3" t="s">
        <v>48643</v>
      </c>
      <c r="BF4992" s="3" t="s">
        <v>48642</v>
      </c>
      <c r="BG4992" s="3" t="s">
        <v>48644</v>
      </c>
      <c r="BH4992">
        <f t="shared" si="159"/>
        <v>0</v>
      </c>
    </row>
    <row r="4993" spans="1:60" ht="58" x14ac:dyDescent="0.35">
      <c r="A4993" s="2" t="s">
        <v>59</v>
      </c>
      <c r="B4993" s="2" t="s">
        <v>60</v>
      </c>
      <c r="C4993" s="2" t="s">
        <v>48645</v>
      </c>
      <c r="D4993" s="2" t="s">
        <v>48646</v>
      </c>
      <c r="E4993" s="2" t="s">
        <v>48647</v>
      </c>
      <c r="G4993" s="3" t="s">
        <v>64</v>
      </c>
      <c r="I4993" s="3" t="s">
        <v>64</v>
      </c>
      <c r="J4993" s="3" t="s">
        <v>64</v>
      </c>
      <c r="K4993" s="3" t="s">
        <v>65</v>
      </c>
      <c r="L4993" s="2" t="s">
        <v>48648</v>
      </c>
      <c r="M4993" s="2" t="s">
        <v>48649</v>
      </c>
      <c r="N4993" s="3" t="s">
        <v>5986</v>
      </c>
      <c r="P4993" s="3" t="s">
        <v>102</v>
      </c>
      <c r="Q4993" s="2" t="s">
        <v>48650</v>
      </c>
      <c r="R4993" s="3" t="s">
        <v>70</v>
      </c>
      <c r="S4993" s="4">
        <v>9</v>
      </c>
      <c r="T4993" s="4">
        <v>9</v>
      </c>
      <c r="U4993" s="5" t="s">
        <v>4036</v>
      </c>
      <c r="V4993" s="5" t="s">
        <v>4036</v>
      </c>
      <c r="W4993" s="5" t="s">
        <v>72</v>
      </c>
      <c r="X4993" s="5" t="s">
        <v>72</v>
      </c>
      <c r="Y4993" s="4">
        <v>11</v>
      </c>
      <c r="Z4993" s="4">
        <v>4</v>
      </c>
      <c r="AA4993" s="4">
        <v>26</v>
      </c>
      <c r="AB4993" s="4">
        <v>1</v>
      </c>
      <c r="AC4993" s="4">
        <v>1</v>
      </c>
      <c r="AD4993" s="4">
        <v>4</v>
      </c>
      <c r="AE4993" s="4">
        <v>109</v>
      </c>
      <c r="AF4993" s="4">
        <v>0</v>
      </c>
      <c r="AG4993" s="4">
        <v>0</v>
      </c>
      <c r="AH4993" s="4">
        <v>3</v>
      </c>
      <c r="AI4993" s="4">
        <v>95</v>
      </c>
      <c r="AJ4993" s="4">
        <v>3</v>
      </c>
      <c r="AK4993" s="4">
        <v>15</v>
      </c>
      <c r="AL4993" s="4">
        <v>1</v>
      </c>
      <c r="AM4993" s="4">
        <v>51</v>
      </c>
      <c r="AN4993" s="4">
        <v>0</v>
      </c>
      <c r="AO4993" s="4">
        <v>0</v>
      </c>
      <c r="AP4993" s="4">
        <v>3</v>
      </c>
      <c r="AQ4993" s="4">
        <v>20</v>
      </c>
      <c r="AR4993" s="3" t="s">
        <v>64</v>
      </c>
      <c r="AS4993" s="3" t="s">
        <v>64</v>
      </c>
      <c r="AT4993" s="3" t="s">
        <v>64</v>
      </c>
      <c r="AV4993" s="6" t="str">
        <f>HYPERLINK("http://mcgill.on.worldcat.org/oclc/221225288","Catalog Record")</f>
        <v>Catalog Record</v>
      </c>
      <c r="AW4993" s="6" t="str">
        <f>HYPERLINK("http://www.worldcat.org/oclc/221225288","WorldCat Record")</f>
        <v>WorldCat Record</v>
      </c>
      <c r="AX4993" s="3" t="s">
        <v>48651</v>
      </c>
      <c r="AY4993" s="3" t="s">
        <v>48652</v>
      </c>
      <c r="AZ4993" s="3" t="s">
        <v>48653</v>
      </c>
      <c r="BA4993" s="3" t="s">
        <v>48653</v>
      </c>
      <c r="BB4993" s="3" t="s">
        <v>48654</v>
      </c>
      <c r="BC4993" s="3" t="s">
        <v>77</v>
      </c>
      <c r="BD4993" s="3" t="s">
        <v>78</v>
      </c>
      <c r="BF4993" s="3" t="s">
        <v>48654</v>
      </c>
      <c r="BG4993" s="3" t="s">
        <v>48655</v>
      </c>
      <c r="BH4993">
        <f t="shared" si="159"/>
        <v>0</v>
      </c>
    </row>
    <row r="4994" spans="1:60" ht="58" x14ac:dyDescent="0.35">
      <c r="A4994" s="2" t="s">
        <v>59</v>
      </c>
      <c r="B4994" s="2" t="s">
        <v>7607</v>
      </c>
      <c r="C4994" s="2" t="s">
        <v>48656</v>
      </c>
      <c r="D4994" s="2" t="s">
        <v>48657</v>
      </c>
      <c r="E4994" s="2" t="s">
        <v>48658</v>
      </c>
      <c r="G4994" s="3" t="s">
        <v>64</v>
      </c>
      <c r="I4994" s="3" t="s">
        <v>64</v>
      </c>
      <c r="J4994" s="3" t="s">
        <v>64</v>
      </c>
      <c r="K4994" s="3" t="s">
        <v>65</v>
      </c>
      <c r="L4994" s="2" t="s">
        <v>48659</v>
      </c>
      <c r="M4994" s="2" t="s">
        <v>47886</v>
      </c>
      <c r="N4994" s="3" t="s">
        <v>326</v>
      </c>
      <c r="O4994" s="2" t="s">
        <v>2149</v>
      </c>
      <c r="P4994" s="3" t="s">
        <v>102</v>
      </c>
      <c r="R4994" s="3" t="s">
        <v>70</v>
      </c>
      <c r="S4994" s="4">
        <v>0</v>
      </c>
      <c r="T4994" s="4">
        <v>0</v>
      </c>
      <c r="W4994" s="5" t="s">
        <v>72</v>
      </c>
      <c r="X4994" s="5" t="s">
        <v>72</v>
      </c>
      <c r="Y4994" s="4">
        <v>114</v>
      </c>
      <c r="Z4994" s="4">
        <v>15</v>
      </c>
      <c r="AA4994" s="4">
        <v>15</v>
      </c>
      <c r="AB4994" s="4">
        <v>1</v>
      </c>
      <c r="AC4994" s="4">
        <v>1</v>
      </c>
      <c r="AD4994" s="4">
        <v>61</v>
      </c>
      <c r="AE4994" s="4">
        <v>61</v>
      </c>
      <c r="AF4994" s="4">
        <v>0</v>
      </c>
      <c r="AG4994" s="4">
        <v>0</v>
      </c>
      <c r="AH4994" s="4">
        <v>55</v>
      </c>
      <c r="AI4994" s="4">
        <v>55</v>
      </c>
      <c r="AJ4994" s="4">
        <v>10</v>
      </c>
      <c r="AK4994" s="4">
        <v>10</v>
      </c>
      <c r="AL4994" s="4">
        <v>32</v>
      </c>
      <c r="AM4994" s="4">
        <v>32</v>
      </c>
      <c r="AN4994" s="4">
        <v>0</v>
      </c>
      <c r="AO4994" s="4">
        <v>0</v>
      </c>
      <c r="AP4994" s="4">
        <v>12</v>
      </c>
      <c r="AQ4994" s="4">
        <v>12</v>
      </c>
      <c r="AR4994" s="3" t="s">
        <v>64</v>
      </c>
      <c r="AS4994" s="3" t="s">
        <v>64</v>
      </c>
      <c r="AT4994" s="3" t="s">
        <v>64</v>
      </c>
      <c r="AV4994" s="6" t="str">
        <f>HYPERLINK("http://mcgill.on.worldcat.org/oclc/699379081","Catalog Record")</f>
        <v>Catalog Record</v>
      </c>
      <c r="AW4994" s="6" t="str">
        <f>HYPERLINK("http://www.worldcat.org/oclc/699379081","WorldCat Record")</f>
        <v>WorldCat Record</v>
      </c>
      <c r="AX4994" s="3" t="s">
        <v>48660</v>
      </c>
      <c r="AY4994" s="3" t="s">
        <v>48661</v>
      </c>
      <c r="AZ4994" s="3" t="s">
        <v>48662</v>
      </c>
      <c r="BA4994" s="3" t="s">
        <v>48662</v>
      </c>
      <c r="BB4994" s="3" t="s">
        <v>48663</v>
      </c>
      <c r="BC4994" s="3" t="s">
        <v>77</v>
      </c>
      <c r="BD4994" s="3" t="s">
        <v>78</v>
      </c>
      <c r="BE4994" s="3" t="s">
        <v>48664</v>
      </c>
      <c r="BF4994" s="3" t="s">
        <v>48663</v>
      </c>
      <c r="BG4994" s="3" t="s">
        <v>48665</v>
      </c>
      <c r="BH4994">
        <f t="shared" ref="BH4994:BH5057" si="160">IF(COUNTIF($BF$1:$BF$5431,BF4994)=1,0,1)</f>
        <v>0</v>
      </c>
    </row>
    <row r="4995" spans="1:60" ht="58" x14ac:dyDescent="0.35">
      <c r="A4995" s="2" t="s">
        <v>59</v>
      </c>
      <c r="B4995" s="2" t="s">
        <v>60</v>
      </c>
      <c r="C4995" s="2" t="s">
        <v>48666</v>
      </c>
      <c r="D4995" s="2" t="s">
        <v>48667</v>
      </c>
      <c r="E4995" s="2" t="s">
        <v>48668</v>
      </c>
      <c r="G4995" s="3" t="s">
        <v>64</v>
      </c>
      <c r="I4995" s="3" t="s">
        <v>64</v>
      </c>
      <c r="J4995" s="3" t="s">
        <v>64</v>
      </c>
      <c r="K4995" s="3" t="s">
        <v>65</v>
      </c>
      <c r="L4995" s="2" t="s">
        <v>48669</v>
      </c>
      <c r="M4995" s="2" t="s">
        <v>48670</v>
      </c>
      <c r="N4995" s="3" t="s">
        <v>578</v>
      </c>
      <c r="P4995" s="3" t="s">
        <v>944</v>
      </c>
      <c r="Q4995" s="2" t="s">
        <v>48671</v>
      </c>
      <c r="R4995" s="3" t="s">
        <v>70</v>
      </c>
      <c r="S4995" s="4">
        <v>0</v>
      </c>
      <c r="T4995" s="4">
        <v>0</v>
      </c>
      <c r="W4995" s="5" t="s">
        <v>72</v>
      </c>
      <c r="X4995" s="5" t="s">
        <v>72</v>
      </c>
      <c r="Y4995" s="4">
        <v>14</v>
      </c>
      <c r="Z4995" s="4">
        <v>2</v>
      </c>
      <c r="AA4995" s="4">
        <v>2</v>
      </c>
      <c r="AB4995" s="4">
        <v>1</v>
      </c>
      <c r="AC4995" s="4">
        <v>1</v>
      </c>
      <c r="AD4995" s="4">
        <v>12</v>
      </c>
      <c r="AE4995" s="4">
        <v>12</v>
      </c>
      <c r="AF4995" s="4">
        <v>0</v>
      </c>
      <c r="AG4995" s="4">
        <v>0</v>
      </c>
      <c r="AH4995" s="4">
        <v>12</v>
      </c>
      <c r="AI4995" s="4">
        <v>12</v>
      </c>
      <c r="AJ4995" s="4">
        <v>1</v>
      </c>
      <c r="AK4995" s="4">
        <v>1</v>
      </c>
      <c r="AL4995" s="4">
        <v>9</v>
      </c>
      <c r="AM4995" s="4">
        <v>9</v>
      </c>
      <c r="AN4995" s="4">
        <v>0</v>
      </c>
      <c r="AO4995" s="4">
        <v>0</v>
      </c>
      <c r="AP4995" s="4">
        <v>1</v>
      </c>
      <c r="AQ4995" s="4">
        <v>1</v>
      </c>
      <c r="AR4995" s="3" t="s">
        <v>64</v>
      </c>
      <c r="AS4995" s="3" t="s">
        <v>64</v>
      </c>
      <c r="AT4995" s="3" t="s">
        <v>64</v>
      </c>
      <c r="AV4995" s="6" t="str">
        <f>HYPERLINK("http://mcgill.on.worldcat.org/oclc/1018368213","Catalog Record")</f>
        <v>Catalog Record</v>
      </c>
      <c r="AW4995" s="6" t="str">
        <f>HYPERLINK("http://www.worldcat.org/oclc/1018368213","WorldCat Record")</f>
        <v>WorldCat Record</v>
      </c>
      <c r="AX4995" s="3" t="s">
        <v>48672</v>
      </c>
      <c r="AY4995" s="3" t="s">
        <v>48673</v>
      </c>
      <c r="AZ4995" s="3" t="s">
        <v>48674</v>
      </c>
      <c r="BA4995" s="3" t="s">
        <v>48674</v>
      </c>
      <c r="BB4995" s="3" t="s">
        <v>48675</v>
      </c>
      <c r="BC4995" s="3" t="s">
        <v>77</v>
      </c>
      <c r="BD4995" s="3" t="s">
        <v>78</v>
      </c>
      <c r="BE4995" s="3" t="s">
        <v>48676</v>
      </c>
      <c r="BF4995" s="3" t="s">
        <v>48675</v>
      </c>
      <c r="BG4995" s="3" t="s">
        <v>48677</v>
      </c>
      <c r="BH4995">
        <f t="shared" si="160"/>
        <v>0</v>
      </c>
    </row>
    <row r="4996" spans="1:60" ht="58" x14ac:dyDescent="0.35">
      <c r="A4996" s="2" t="s">
        <v>59</v>
      </c>
      <c r="B4996" s="2" t="s">
        <v>60</v>
      </c>
      <c r="C4996" s="2" t="s">
        <v>48678</v>
      </c>
      <c r="D4996" s="2" t="s">
        <v>48679</v>
      </c>
      <c r="E4996" s="2" t="s">
        <v>48680</v>
      </c>
      <c r="F4996" s="3" t="s">
        <v>509</v>
      </c>
      <c r="G4996" s="3" t="s">
        <v>128</v>
      </c>
      <c r="I4996" s="3" t="s">
        <v>64</v>
      </c>
      <c r="J4996" s="3" t="s">
        <v>64</v>
      </c>
      <c r="K4996" s="3" t="s">
        <v>65</v>
      </c>
      <c r="L4996" s="2" t="s">
        <v>48681</v>
      </c>
      <c r="M4996" s="2" t="s">
        <v>48682</v>
      </c>
      <c r="N4996" s="3" t="s">
        <v>253</v>
      </c>
      <c r="P4996" s="3" t="s">
        <v>68</v>
      </c>
      <c r="R4996" s="3" t="s">
        <v>70</v>
      </c>
      <c r="S4996" s="4">
        <v>0</v>
      </c>
      <c r="T4996" s="4">
        <v>0</v>
      </c>
      <c r="W4996" s="5" t="s">
        <v>72</v>
      </c>
      <c r="X4996" s="5" t="s">
        <v>72</v>
      </c>
      <c r="Y4996" s="4">
        <v>20</v>
      </c>
      <c r="Z4996" s="4">
        <v>2</v>
      </c>
      <c r="AA4996" s="4">
        <v>4</v>
      </c>
      <c r="AB4996" s="4">
        <v>1</v>
      </c>
      <c r="AC4996" s="4">
        <v>2</v>
      </c>
      <c r="AD4996" s="4">
        <v>17</v>
      </c>
      <c r="AE4996" s="4">
        <v>20</v>
      </c>
      <c r="AF4996" s="4">
        <v>0</v>
      </c>
      <c r="AG4996" s="4">
        <v>1</v>
      </c>
      <c r="AH4996" s="4">
        <v>16</v>
      </c>
      <c r="AI4996" s="4">
        <v>19</v>
      </c>
      <c r="AJ4996" s="4">
        <v>1</v>
      </c>
      <c r="AK4996" s="4">
        <v>3</v>
      </c>
      <c r="AL4996" s="4">
        <v>12</v>
      </c>
      <c r="AM4996" s="4">
        <v>13</v>
      </c>
      <c r="AN4996" s="4">
        <v>0</v>
      </c>
      <c r="AO4996" s="4">
        <v>0</v>
      </c>
      <c r="AP4996" s="4">
        <v>1</v>
      </c>
      <c r="AQ4996" s="4">
        <v>3</v>
      </c>
      <c r="AR4996" s="3" t="s">
        <v>64</v>
      </c>
      <c r="AS4996" s="3" t="s">
        <v>64</v>
      </c>
      <c r="AT4996" s="3" t="s">
        <v>64</v>
      </c>
      <c r="AV4996" s="6" t="str">
        <f>HYPERLINK("http://mcgill.on.worldcat.org/oclc/1017570523","Catalog Record")</f>
        <v>Catalog Record</v>
      </c>
      <c r="AW4996" s="6" t="str">
        <f>HYPERLINK("http://www.worldcat.org/oclc/1017570523","WorldCat Record")</f>
        <v>WorldCat Record</v>
      </c>
      <c r="AX4996" s="3" t="s">
        <v>48683</v>
      </c>
      <c r="AY4996" s="3" t="s">
        <v>48684</v>
      </c>
      <c r="AZ4996" s="3" t="s">
        <v>48685</v>
      </c>
      <c r="BA4996" s="3" t="s">
        <v>48685</v>
      </c>
      <c r="BB4996" s="3" t="s">
        <v>48686</v>
      </c>
      <c r="BC4996" s="3" t="s">
        <v>77</v>
      </c>
      <c r="BD4996" s="3" t="s">
        <v>78</v>
      </c>
      <c r="BE4996" s="3" t="s">
        <v>48687</v>
      </c>
      <c r="BF4996" s="3" t="s">
        <v>48686</v>
      </c>
      <c r="BG4996" s="3" t="s">
        <v>48688</v>
      </c>
      <c r="BH4996">
        <f t="shared" si="160"/>
        <v>0</v>
      </c>
    </row>
    <row r="4997" spans="1:60" ht="58" x14ac:dyDescent="0.35">
      <c r="A4997" s="2" t="s">
        <v>59</v>
      </c>
      <c r="B4997" s="2" t="s">
        <v>60</v>
      </c>
      <c r="C4997" s="2" t="s">
        <v>48678</v>
      </c>
      <c r="D4997" s="2" t="s">
        <v>48679</v>
      </c>
      <c r="E4997" s="2" t="s">
        <v>48680</v>
      </c>
      <c r="F4997" s="3" t="s">
        <v>522</v>
      </c>
      <c r="G4997" s="3" t="s">
        <v>128</v>
      </c>
      <c r="I4997" s="3" t="s">
        <v>64</v>
      </c>
      <c r="J4997" s="3" t="s">
        <v>64</v>
      </c>
      <c r="K4997" s="3" t="s">
        <v>65</v>
      </c>
      <c r="L4997" s="2" t="s">
        <v>48681</v>
      </c>
      <c r="M4997" s="2" t="s">
        <v>48682</v>
      </c>
      <c r="N4997" s="3" t="s">
        <v>253</v>
      </c>
      <c r="P4997" s="3" t="s">
        <v>68</v>
      </c>
      <c r="R4997" s="3" t="s">
        <v>70</v>
      </c>
      <c r="S4997" s="4">
        <v>0</v>
      </c>
      <c r="T4997" s="4">
        <v>0</v>
      </c>
      <c r="W4997" s="5" t="s">
        <v>72</v>
      </c>
      <c r="X4997" s="5" t="s">
        <v>72</v>
      </c>
      <c r="Y4997" s="4">
        <v>20</v>
      </c>
      <c r="Z4997" s="4">
        <v>2</v>
      </c>
      <c r="AA4997" s="4">
        <v>4</v>
      </c>
      <c r="AB4997" s="4">
        <v>1</v>
      </c>
      <c r="AC4997" s="4">
        <v>2</v>
      </c>
      <c r="AD4997" s="4">
        <v>17</v>
      </c>
      <c r="AE4997" s="4">
        <v>20</v>
      </c>
      <c r="AF4997" s="4">
        <v>0</v>
      </c>
      <c r="AG4997" s="4">
        <v>1</v>
      </c>
      <c r="AH4997" s="4">
        <v>16</v>
      </c>
      <c r="AI4997" s="4">
        <v>19</v>
      </c>
      <c r="AJ4997" s="4">
        <v>1</v>
      </c>
      <c r="AK4997" s="4">
        <v>3</v>
      </c>
      <c r="AL4997" s="4">
        <v>12</v>
      </c>
      <c r="AM4997" s="4">
        <v>13</v>
      </c>
      <c r="AN4997" s="4">
        <v>0</v>
      </c>
      <c r="AO4997" s="4">
        <v>0</v>
      </c>
      <c r="AP4997" s="4">
        <v>1</v>
      </c>
      <c r="AQ4997" s="4">
        <v>3</v>
      </c>
      <c r="AR4997" s="3" t="s">
        <v>64</v>
      </c>
      <c r="AS4997" s="3" t="s">
        <v>64</v>
      </c>
      <c r="AT4997" s="3" t="s">
        <v>64</v>
      </c>
      <c r="AV4997" s="6" t="str">
        <f>HYPERLINK("http://mcgill.on.worldcat.org/oclc/1017570523","Catalog Record")</f>
        <v>Catalog Record</v>
      </c>
      <c r="AW4997" s="6" t="str">
        <f>HYPERLINK("http://www.worldcat.org/oclc/1017570523","WorldCat Record")</f>
        <v>WorldCat Record</v>
      </c>
      <c r="AX4997" s="3" t="s">
        <v>48683</v>
      </c>
      <c r="AY4997" s="3" t="s">
        <v>48684</v>
      </c>
      <c r="AZ4997" s="3" t="s">
        <v>48685</v>
      </c>
      <c r="BA4997" s="3" t="s">
        <v>48685</v>
      </c>
      <c r="BB4997" s="3" t="s">
        <v>48689</v>
      </c>
      <c r="BC4997" s="3" t="s">
        <v>77</v>
      </c>
      <c r="BD4997" s="3" t="s">
        <v>78</v>
      </c>
      <c r="BE4997" s="3" t="s">
        <v>48687</v>
      </c>
      <c r="BF4997" s="3" t="s">
        <v>48689</v>
      </c>
      <c r="BG4997" s="3" t="s">
        <v>48690</v>
      </c>
      <c r="BH4997">
        <f t="shared" si="160"/>
        <v>0</v>
      </c>
    </row>
    <row r="4998" spans="1:60" ht="58" x14ac:dyDescent="0.35">
      <c r="A4998" s="2" t="s">
        <v>59</v>
      </c>
      <c r="B4998" s="2" t="s">
        <v>60</v>
      </c>
      <c r="C4998" s="2" t="s">
        <v>48678</v>
      </c>
      <c r="D4998" s="2" t="s">
        <v>48679</v>
      </c>
      <c r="E4998" s="2" t="s">
        <v>48680</v>
      </c>
      <c r="F4998" s="3" t="s">
        <v>519</v>
      </c>
      <c r="G4998" s="3" t="s">
        <v>128</v>
      </c>
      <c r="I4998" s="3" t="s">
        <v>64</v>
      </c>
      <c r="J4998" s="3" t="s">
        <v>64</v>
      </c>
      <c r="K4998" s="3" t="s">
        <v>65</v>
      </c>
      <c r="L4998" s="2" t="s">
        <v>48681</v>
      </c>
      <c r="M4998" s="2" t="s">
        <v>48682</v>
      </c>
      <c r="N4998" s="3" t="s">
        <v>253</v>
      </c>
      <c r="P4998" s="3" t="s">
        <v>68</v>
      </c>
      <c r="R4998" s="3" t="s">
        <v>70</v>
      </c>
      <c r="S4998" s="4">
        <v>0</v>
      </c>
      <c r="T4998" s="4">
        <v>0</v>
      </c>
      <c r="W4998" s="5" t="s">
        <v>72</v>
      </c>
      <c r="X4998" s="5" t="s">
        <v>72</v>
      </c>
      <c r="Y4998" s="4">
        <v>20</v>
      </c>
      <c r="Z4998" s="4">
        <v>2</v>
      </c>
      <c r="AA4998" s="4">
        <v>4</v>
      </c>
      <c r="AB4998" s="4">
        <v>1</v>
      </c>
      <c r="AC4998" s="4">
        <v>2</v>
      </c>
      <c r="AD4998" s="4">
        <v>17</v>
      </c>
      <c r="AE4998" s="4">
        <v>20</v>
      </c>
      <c r="AF4998" s="4">
        <v>0</v>
      </c>
      <c r="AG4998" s="4">
        <v>1</v>
      </c>
      <c r="AH4998" s="4">
        <v>16</v>
      </c>
      <c r="AI4998" s="4">
        <v>19</v>
      </c>
      <c r="AJ4998" s="4">
        <v>1</v>
      </c>
      <c r="AK4998" s="4">
        <v>3</v>
      </c>
      <c r="AL4998" s="4">
        <v>12</v>
      </c>
      <c r="AM4998" s="4">
        <v>13</v>
      </c>
      <c r="AN4998" s="4">
        <v>0</v>
      </c>
      <c r="AO4998" s="4">
        <v>0</v>
      </c>
      <c r="AP4998" s="4">
        <v>1</v>
      </c>
      <c r="AQ4998" s="4">
        <v>3</v>
      </c>
      <c r="AR4998" s="3" t="s">
        <v>64</v>
      </c>
      <c r="AS4998" s="3" t="s">
        <v>64</v>
      </c>
      <c r="AT4998" s="3" t="s">
        <v>64</v>
      </c>
      <c r="AV4998" s="6" t="str">
        <f>HYPERLINK("http://mcgill.on.worldcat.org/oclc/1017570523","Catalog Record")</f>
        <v>Catalog Record</v>
      </c>
      <c r="AW4998" s="6" t="str">
        <f>HYPERLINK("http://www.worldcat.org/oclc/1017570523","WorldCat Record")</f>
        <v>WorldCat Record</v>
      </c>
      <c r="AX4998" s="3" t="s">
        <v>48683</v>
      </c>
      <c r="AY4998" s="3" t="s">
        <v>48684</v>
      </c>
      <c r="AZ4998" s="3" t="s">
        <v>48685</v>
      </c>
      <c r="BA4998" s="3" t="s">
        <v>48685</v>
      </c>
      <c r="BB4998" s="3" t="s">
        <v>48691</v>
      </c>
      <c r="BC4998" s="3" t="s">
        <v>77</v>
      </c>
      <c r="BD4998" s="3" t="s">
        <v>78</v>
      </c>
      <c r="BE4998" s="3" t="s">
        <v>48687</v>
      </c>
      <c r="BF4998" s="3" t="s">
        <v>48691</v>
      </c>
      <c r="BG4998" s="3" t="s">
        <v>48692</v>
      </c>
      <c r="BH4998">
        <f t="shared" si="160"/>
        <v>0</v>
      </c>
    </row>
    <row r="4999" spans="1:60" ht="58" x14ac:dyDescent="0.35">
      <c r="A4999" s="2" t="s">
        <v>59</v>
      </c>
      <c r="B4999" s="2" t="s">
        <v>60</v>
      </c>
      <c r="C4999" s="2" t="s">
        <v>48678</v>
      </c>
      <c r="D4999" s="2" t="s">
        <v>48679</v>
      </c>
      <c r="E4999" s="2" t="s">
        <v>48680</v>
      </c>
      <c r="F4999" s="3" t="s">
        <v>525</v>
      </c>
      <c r="G4999" s="3" t="s">
        <v>128</v>
      </c>
      <c r="I4999" s="3" t="s">
        <v>64</v>
      </c>
      <c r="J4999" s="3" t="s">
        <v>64</v>
      </c>
      <c r="K4999" s="3" t="s">
        <v>65</v>
      </c>
      <c r="L4999" s="2" t="s">
        <v>48681</v>
      </c>
      <c r="M4999" s="2" t="s">
        <v>48682</v>
      </c>
      <c r="N4999" s="3" t="s">
        <v>253</v>
      </c>
      <c r="P4999" s="3" t="s">
        <v>68</v>
      </c>
      <c r="R4999" s="3" t="s">
        <v>70</v>
      </c>
      <c r="S4999" s="4">
        <v>0</v>
      </c>
      <c r="T4999" s="4">
        <v>0</v>
      </c>
      <c r="W4999" s="5" t="s">
        <v>72</v>
      </c>
      <c r="X4999" s="5" t="s">
        <v>72</v>
      </c>
      <c r="Y4999" s="4">
        <v>20</v>
      </c>
      <c r="Z4999" s="4">
        <v>2</v>
      </c>
      <c r="AA4999" s="4">
        <v>4</v>
      </c>
      <c r="AB4999" s="4">
        <v>1</v>
      </c>
      <c r="AC4999" s="4">
        <v>2</v>
      </c>
      <c r="AD4999" s="4">
        <v>17</v>
      </c>
      <c r="AE4999" s="4">
        <v>20</v>
      </c>
      <c r="AF4999" s="4">
        <v>0</v>
      </c>
      <c r="AG4999" s="4">
        <v>1</v>
      </c>
      <c r="AH4999" s="4">
        <v>16</v>
      </c>
      <c r="AI4999" s="4">
        <v>19</v>
      </c>
      <c r="AJ4999" s="4">
        <v>1</v>
      </c>
      <c r="AK4999" s="4">
        <v>3</v>
      </c>
      <c r="AL4999" s="4">
        <v>12</v>
      </c>
      <c r="AM4999" s="4">
        <v>13</v>
      </c>
      <c r="AN4999" s="4">
        <v>0</v>
      </c>
      <c r="AO4999" s="4">
        <v>0</v>
      </c>
      <c r="AP4999" s="4">
        <v>1</v>
      </c>
      <c r="AQ4999" s="4">
        <v>3</v>
      </c>
      <c r="AR4999" s="3" t="s">
        <v>64</v>
      </c>
      <c r="AS4999" s="3" t="s">
        <v>64</v>
      </c>
      <c r="AT4999" s="3" t="s">
        <v>64</v>
      </c>
      <c r="AV4999" s="6" t="str">
        <f>HYPERLINK("http://mcgill.on.worldcat.org/oclc/1017570523","Catalog Record")</f>
        <v>Catalog Record</v>
      </c>
      <c r="AW4999" s="6" t="str">
        <f>HYPERLINK("http://www.worldcat.org/oclc/1017570523","WorldCat Record")</f>
        <v>WorldCat Record</v>
      </c>
      <c r="AX4999" s="3" t="s">
        <v>48683</v>
      </c>
      <c r="AY4999" s="3" t="s">
        <v>48684</v>
      </c>
      <c r="AZ4999" s="3" t="s">
        <v>48685</v>
      </c>
      <c r="BA4999" s="3" t="s">
        <v>48685</v>
      </c>
      <c r="BB4999" s="3" t="s">
        <v>48693</v>
      </c>
      <c r="BC4999" s="3" t="s">
        <v>77</v>
      </c>
      <c r="BD4999" s="3" t="s">
        <v>78</v>
      </c>
      <c r="BE4999" s="3" t="s">
        <v>48687</v>
      </c>
      <c r="BF4999" s="3" t="s">
        <v>48693</v>
      </c>
      <c r="BG4999" s="3" t="s">
        <v>48694</v>
      </c>
      <c r="BH4999">
        <f t="shared" si="160"/>
        <v>0</v>
      </c>
    </row>
    <row r="5000" spans="1:60" ht="58" x14ac:dyDescent="0.35">
      <c r="A5000" s="2" t="s">
        <v>59</v>
      </c>
      <c r="B5000" s="2" t="s">
        <v>60</v>
      </c>
      <c r="C5000" s="2" t="s">
        <v>48678</v>
      </c>
      <c r="D5000" s="2" t="s">
        <v>48679</v>
      </c>
      <c r="E5000" s="2" t="s">
        <v>48680</v>
      </c>
      <c r="F5000" s="3" t="s">
        <v>529</v>
      </c>
      <c r="G5000" s="3" t="s">
        <v>128</v>
      </c>
      <c r="I5000" s="3" t="s">
        <v>64</v>
      </c>
      <c r="J5000" s="3" t="s">
        <v>64</v>
      </c>
      <c r="K5000" s="3" t="s">
        <v>65</v>
      </c>
      <c r="L5000" s="2" t="s">
        <v>48681</v>
      </c>
      <c r="M5000" s="2" t="s">
        <v>48682</v>
      </c>
      <c r="N5000" s="3" t="s">
        <v>253</v>
      </c>
      <c r="P5000" s="3" t="s">
        <v>68</v>
      </c>
      <c r="R5000" s="3" t="s">
        <v>70</v>
      </c>
      <c r="S5000" s="4">
        <v>0</v>
      </c>
      <c r="T5000" s="4">
        <v>0</v>
      </c>
      <c r="W5000" s="5" t="s">
        <v>72</v>
      </c>
      <c r="X5000" s="5" t="s">
        <v>72</v>
      </c>
      <c r="Y5000" s="4">
        <v>20</v>
      </c>
      <c r="Z5000" s="4">
        <v>2</v>
      </c>
      <c r="AA5000" s="4">
        <v>4</v>
      </c>
      <c r="AB5000" s="4">
        <v>1</v>
      </c>
      <c r="AC5000" s="4">
        <v>2</v>
      </c>
      <c r="AD5000" s="4">
        <v>17</v>
      </c>
      <c r="AE5000" s="4">
        <v>20</v>
      </c>
      <c r="AF5000" s="4">
        <v>0</v>
      </c>
      <c r="AG5000" s="4">
        <v>1</v>
      </c>
      <c r="AH5000" s="4">
        <v>16</v>
      </c>
      <c r="AI5000" s="4">
        <v>19</v>
      </c>
      <c r="AJ5000" s="4">
        <v>1</v>
      </c>
      <c r="AK5000" s="4">
        <v>3</v>
      </c>
      <c r="AL5000" s="4">
        <v>12</v>
      </c>
      <c r="AM5000" s="4">
        <v>13</v>
      </c>
      <c r="AN5000" s="4">
        <v>0</v>
      </c>
      <c r="AO5000" s="4">
        <v>0</v>
      </c>
      <c r="AP5000" s="4">
        <v>1</v>
      </c>
      <c r="AQ5000" s="4">
        <v>3</v>
      </c>
      <c r="AR5000" s="3" t="s">
        <v>64</v>
      </c>
      <c r="AS5000" s="3" t="s">
        <v>64</v>
      </c>
      <c r="AT5000" s="3" t="s">
        <v>64</v>
      </c>
      <c r="AV5000" s="6" t="str">
        <f>HYPERLINK("http://mcgill.on.worldcat.org/oclc/1017570523","Catalog Record")</f>
        <v>Catalog Record</v>
      </c>
      <c r="AW5000" s="6" t="str">
        <f>HYPERLINK("http://www.worldcat.org/oclc/1017570523","WorldCat Record")</f>
        <v>WorldCat Record</v>
      </c>
      <c r="AX5000" s="3" t="s">
        <v>48683</v>
      </c>
      <c r="AY5000" s="3" t="s">
        <v>48684</v>
      </c>
      <c r="AZ5000" s="3" t="s">
        <v>48685</v>
      </c>
      <c r="BA5000" s="3" t="s">
        <v>48685</v>
      </c>
      <c r="BB5000" s="3" t="s">
        <v>48695</v>
      </c>
      <c r="BC5000" s="3" t="s">
        <v>77</v>
      </c>
      <c r="BD5000" s="3" t="s">
        <v>78</v>
      </c>
      <c r="BE5000" s="3" t="s">
        <v>48687</v>
      </c>
      <c r="BF5000" s="3" t="s">
        <v>48695</v>
      </c>
      <c r="BG5000" s="3" t="s">
        <v>48696</v>
      </c>
      <c r="BH5000">
        <f t="shared" si="160"/>
        <v>0</v>
      </c>
    </row>
    <row r="5001" spans="1:60" ht="58" x14ac:dyDescent="0.35">
      <c r="A5001" s="2" t="s">
        <v>59</v>
      </c>
      <c r="B5001" s="2" t="s">
        <v>60</v>
      </c>
      <c r="C5001" s="2" t="s">
        <v>48697</v>
      </c>
      <c r="D5001" s="2" t="s">
        <v>48698</v>
      </c>
      <c r="E5001" s="2" t="s">
        <v>48699</v>
      </c>
      <c r="G5001" s="3" t="s">
        <v>64</v>
      </c>
      <c r="I5001" s="3" t="s">
        <v>128</v>
      </c>
      <c r="J5001" s="3" t="s">
        <v>64</v>
      </c>
      <c r="K5001" s="3" t="s">
        <v>65</v>
      </c>
      <c r="L5001" s="2" t="s">
        <v>41246</v>
      </c>
      <c r="M5001" s="2" t="s">
        <v>5870</v>
      </c>
      <c r="N5001" s="3" t="s">
        <v>874</v>
      </c>
      <c r="P5001" s="3" t="s">
        <v>68</v>
      </c>
      <c r="Q5001" s="2" t="s">
        <v>48700</v>
      </c>
      <c r="R5001" s="3" t="s">
        <v>70</v>
      </c>
      <c r="S5001" s="4">
        <v>1</v>
      </c>
      <c r="T5001" s="4">
        <v>1</v>
      </c>
      <c r="U5001" s="5" t="s">
        <v>48701</v>
      </c>
      <c r="V5001" s="5" t="s">
        <v>48701</v>
      </c>
      <c r="W5001" s="5" t="s">
        <v>72</v>
      </c>
      <c r="X5001" s="5" t="s">
        <v>72</v>
      </c>
      <c r="Y5001" s="4">
        <v>172</v>
      </c>
      <c r="Z5001" s="4">
        <v>23</v>
      </c>
      <c r="AA5001" s="4">
        <v>27</v>
      </c>
      <c r="AB5001" s="4">
        <v>1</v>
      </c>
      <c r="AC5001" s="4">
        <v>4</v>
      </c>
      <c r="AD5001" s="4">
        <v>85</v>
      </c>
      <c r="AE5001" s="4">
        <v>89</v>
      </c>
      <c r="AF5001" s="4">
        <v>0</v>
      </c>
      <c r="AG5001" s="4">
        <v>3</v>
      </c>
      <c r="AH5001" s="4">
        <v>75</v>
      </c>
      <c r="AI5001" s="4">
        <v>76</v>
      </c>
      <c r="AJ5001" s="4">
        <v>18</v>
      </c>
      <c r="AK5001" s="4">
        <v>22</v>
      </c>
      <c r="AL5001" s="4">
        <v>45</v>
      </c>
      <c r="AM5001" s="4">
        <v>45</v>
      </c>
      <c r="AN5001" s="4">
        <v>0</v>
      </c>
      <c r="AO5001" s="4">
        <v>0</v>
      </c>
      <c r="AP5001" s="4">
        <v>19</v>
      </c>
      <c r="AQ5001" s="4">
        <v>22</v>
      </c>
      <c r="AR5001" s="3" t="s">
        <v>64</v>
      </c>
      <c r="AS5001" s="3" t="s">
        <v>64</v>
      </c>
      <c r="AT5001" s="3" t="s">
        <v>128</v>
      </c>
      <c r="AU5001" s="6" t="str">
        <f>HYPERLINK("http://catalog.hathitrust.org/Record/000272346","HathiTrust Record")</f>
        <v>HathiTrust Record</v>
      </c>
      <c r="AV5001" s="6" t="str">
        <f>HYPERLINK("http://mcgill.on.worldcat.org/oclc/8100919","Catalog Record")</f>
        <v>Catalog Record</v>
      </c>
      <c r="AW5001" s="6" t="str">
        <f>HYPERLINK("http://www.worldcat.org/oclc/8100919","WorldCat Record")</f>
        <v>WorldCat Record</v>
      </c>
      <c r="AX5001" s="3" t="s">
        <v>48702</v>
      </c>
      <c r="AY5001" s="3" t="s">
        <v>48703</v>
      </c>
      <c r="AZ5001" s="3" t="s">
        <v>48704</v>
      </c>
      <c r="BA5001" s="3" t="s">
        <v>48704</v>
      </c>
      <c r="BB5001" s="3" t="s">
        <v>48705</v>
      </c>
      <c r="BC5001" s="3" t="s">
        <v>77</v>
      </c>
      <c r="BD5001" s="3" t="s">
        <v>78</v>
      </c>
      <c r="BF5001" s="3" t="s">
        <v>48705</v>
      </c>
      <c r="BG5001" s="3" t="s">
        <v>48706</v>
      </c>
      <c r="BH5001">
        <f t="shared" si="160"/>
        <v>0</v>
      </c>
    </row>
    <row r="5002" spans="1:60" ht="58" x14ac:dyDescent="0.35">
      <c r="A5002" s="2" t="s">
        <v>59</v>
      </c>
      <c r="B5002" s="2" t="s">
        <v>60</v>
      </c>
      <c r="C5002" s="2" t="s">
        <v>48707</v>
      </c>
      <c r="D5002" s="2" t="s">
        <v>48708</v>
      </c>
      <c r="E5002" s="2" t="s">
        <v>48709</v>
      </c>
      <c r="G5002" s="3" t="s">
        <v>64</v>
      </c>
      <c r="I5002" s="3" t="s">
        <v>64</v>
      </c>
      <c r="J5002" s="3" t="s">
        <v>64</v>
      </c>
      <c r="K5002" s="3" t="s">
        <v>65</v>
      </c>
      <c r="L5002" s="2" t="s">
        <v>48710</v>
      </c>
      <c r="M5002" s="2" t="s">
        <v>48711</v>
      </c>
      <c r="N5002" s="3" t="s">
        <v>253</v>
      </c>
      <c r="P5002" s="3" t="s">
        <v>102</v>
      </c>
      <c r="R5002" s="3" t="s">
        <v>70</v>
      </c>
      <c r="S5002" s="4">
        <v>4</v>
      </c>
      <c r="T5002" s="4">
        <v>4</v>
      </c>
      <c r="U5002" s="5" t="s">
        <v>43173</v>
      </c>
      <c r="V5002" s="5" t="s">
        <v>43173</v>
      </c>
      <c r="W5002" s="5" t="s">
        <v>72</v>
      </c>
      <c r="X5002" s="5" t="s">
        <v>72</v>
      </c>
      <c r="Y5002" s="4">
        <v>122</v>
      </c>
      <c r="Z5002" s="4">
        <v>8</v>
      </c>
      <c r="AA5002" s="4">
        <v>11</v>
      </c>
      <c r="AB5002" s="4">
        <v>1</v>
      </c>
      <c r="AC5002" s="4">
        <v>3</v>
      </c>
      <c r="AD5002" s="4">
        <v>33</v>
      </c>
      <c r="AE5002" s="4">
        <v>35</v>
      </c>
      <c r="AF5002" s="4">
        <v>0</v>
      </c>
      <c r="AG5002" s="4">
        <v>0</v>
      </c>
      <c r="AH5002" s="4">
        <v>29</v>
      </c>
      <c r="AI5002" s="4">
        <v>31</v>
      </c>
      <c r="AJ5002" s="4">
        <v>5</v>
      </c>
      <c r="AK5002" s="4">
        <v>6</v>
      </c>
      <c r="AL5002" s="4">
        <v>17</v>
      </c>
      <c r="AM5002" s="4">
        <v>18</v>
      </c>
      <c r="AN5002" s="4">
        <v>0</v>
      </c>
      <c r="AO5002" s="4">
        <v>0</v>
      </c>
      <c r="AP5002" s="4">
        <v>6</v>
      </c>
      <c r="AQ5002" s="4">
        <v>7</v>
      </c>
      <c r="AR5002" s="3" t="s">
        <v>64</v>
      </c>
      <c r="AS5002" s="3" t="s">
        <v>64</v>
      </c>
      <c r="AT5002" s="3" t="s">
        <v>64</v>
      </c>
      <c r="AV5002" s="6" t="str">
        <f>HYPERLINK("http://mcgill.on.worldcat.org/oclc/868038008","Catalog Record")</f>
        <v>Catalog Record</v>
      </c>
      <c r="AW5002" s="6" t="str">
        <f>HYPERLINK("http://www.worldcat.org/oclc/868038008","WorldCat Record")</f>
        <v>WorldCat Record</v>
      </c>
      <c r="AX5002" s="3" t="s">
        <v>48712</v>
      </c>
      <c r="AY5002" s="3" t="s">
        <v>48713</v>
      </c>
      <c r="AZ5002" s="3" t="s">
        <v>48714</v>
      </c>
      <c r="BA5002" s="3" t="s">
        <v>48714</v>
      </c>
      <c r="BB5002" s="3" t="s">
        <v>48715</v>
      </c>
      <c r="BC5002" s="3" t="s">
        <v>77</v>
      </c>
      <c r="BD5002" s="3" t="s">
        <v>78</v>
      </c>
      <c r="BE5002" s="3" t="s">
        <v>48716</v>
      </c>
      <c r="BF5002" s="3" t="s">
        <v>48715</v>
      </c>
      <c r="BG5002" s="3" t="s">
        <v>48717</v>
      </c>
      <c r="BH5002">
        <f t="shared" si="160"/>
        <v>0</v>
      </c>
    </row>
    <row r="5003" spans="1:60" ht="72.5" x14ac:dyDescent="0.35">
      <c r="A5003" s="2" t="s">
        <v>59</v>
      </c>
      <c r="B5003" s="2" t="s">
        <v>60</v>
      </c>
      <c r="C5003" s="2" t="s">
        <v>48718</v>
      </c>
      <c r="D5003" s="2" t="s">
        <v>48719</v>
      </c>
      <c r="E5003" s="2" t="s">
        <v>48720</v>
      </c>
      <c r="G5003" s="3" t="s">
        <v>64</v>
      </c>
      <c r="I5003" s="3" t="s">
        <v>64</v>
      </c>
      <c r="J5003" s="3" t="s">
        <v>64</v>
      </c>
      <c r="K5003" s="3" t="s">
        <v>65</v>
      </c>
      <c r="L5003" s="2" t="s">
        <v>48721</v>
      </c>
      <c r="M5003" s="2" t="s">
        <v>48722</v>
      </c>
      <c r="N5003" s="3" t="s">
        <v>326</v>
      </c>
      <c r="P5003" s="3" t="s">
        <v>365</v>
      </c>
      <c r="Q5003" s="2" t="s">
        <v>48723</v>
      </c>
      <c r="R5003" s="3" t="s">
        <v>70</v>
      </c>
      <c r="S5003" s="4">
        <v>0</v>
      </c>
      <c r="T5003" s="4">
        <v>0</v>
      </c>
      <c r="W5003" s="5" t="s">
        <v>72</v>
      </c>
      <c r="X5003" s="5" t="s">
        <v>72</v>
      </c>
      <c r="Y5003" s="4">
        <v>25</v>
      </c>
      <c r="Z5003" s="4">
        <v>3</v>
      </c>
      <c r="AA5003" s="4">
        <v>3</v>
      </c>
      <c r="AB5003" s="4">
        <v>1</v>
      </c>
      <c r="AC5003" s="4">
        <v>1</v>
      </c>
      <c r="AD5003" s="4">
        <v>6</v>
      </c>
      <c r="AE5003" s="4">
        <v>6</v>
      </c>
      <c r="AF5003" s="4">
        <v>0</v>
      </c>
      <c r="AG5003" s="4">
        <v>0</v>
      </c>
      <c r="AH5003" s="4">
        <v>5</v>
      </c>
      <c r="AI5003" s="4">
        <v>5</v>
      </c>
      <c r="AJ5003" s="4">
        <v>1</v>
      </c>
      <c r="AK5003" s="4">
        <v>1</v>
      </c>
      <c r="AL5003" s="4">
        <v>4</v>
      </c>
      <c r="AM5003" s="4">
        <v>4</v>
      </c>
      <c r="AN5003" s="4">
        <v>0</v>
      </c>
      <c r="AO5003" s="4">
        <v>0</v>
      </c>
      <c r="AP5003" s="4">
        <v>1</v>
      </c>
      <c r="AQ5003" s="4">
        <v>1</v>
      </c>
      <c r="AR5003" s="3" t="s">
        <v>64</v>
      </c>
      <c r="AS5003" s="3" t="s">
        <v>64</v>
      </c>
      <c r="AT5003" s="3" t="s">
        <v>64</v>
      </c>
      <c r="AV5003" s="6" t="str">
        <f>HYPERLINK("http://mcgill.on.worldcat.org/oclc/767734812","Catalog Record")</f>
        <v>Catalog Record</v>
      </c>
      <c r="AW5003" s="6" t="str">
        <f>HYPERLINK("http://www.worldcat.org/oclc/767734812","WorldCat Record")</f>
        <v>WorldCat Record</v>
      </c>
      <c r="AX5003" s="3" t="s">
        <v>48724</v>
      </c>
      <c r="AY5003" s="3" t="s">
        <v>48725</v>
      </c>
      <c r="AZ5003" s="3" t="s">
        <v>48726</v>
      </c>
      <c r="BA5003" s="3" t="s">
        <v>48726</v>
      </c>
      <c r="BB5003" s="3" t="s">
        <v>48727</v>
      </c>
      <c r="BC5003" s="3" t="s">
        <v>77</v>
      </c>
      <c r="BD5003" s="3" t="s">
        <v>78</v>
      </c>
      <c r="BE5003" s="3" t="s">
        <v>48728</v>
      </c>
      <c r="BF5003" s="3" t="s">
        <v>48727</v>
      </c>
      <c r="BG5003" s="3" t="s">
        <v>48729</v>
      </c>
      <c r="BH5003">
        <f t="shared" si="160"/>
        <v>0</v>
      </c>
    </row>
    <row r="5004" spans="1:60" ht="58" x14ac:dyDescent="0.35">
      <c r="A5004" s="2" t="s">
        <v>59</v>
      </c>
      <c r="B5004" s="2" t="s">
        <v>60</v>
      </c>
      <c r="C5004" s="2" t="s">
        <v>48730</v>
      </c>
      <c r="D5004" s="2" t="s">
        <v>48731</v>
      </c>
      <c r="E5004" s="2" t="s">
        <v>48732</v>
      </c>
      <c r="G5004" s="3" t="s">
        <v>64</v>
      </c>
      <c r="I5004" s="3" t="s">
        <v>64</v>
      </c>
      <c r="J5004" s="3" t="s">
        <v>64</v>
      </c>
      <c r="K5004" s="3" t="s">
        <v>65</v>
      </c>
      <c r="L5004" s="2" t="s">
        <v>48733</v>
      </c>
      <c r="M5004" s="2" t="s">
        <v>48734</v>
      </c>
      <c r="N5004" s="3" t="s">
        <v>3584</v>
      </c>
      <c r="P5004" s="3" t="s">
        <v>102</v>
      </c>
      <c r="Q5004" s="2" t="s">
        <v>48735</v>
      </c>
      <c r="R5004" s="3" t="s">
        <v>70</v>
      </c>
      <c r="S5004" s="4">
        <v>3</v>
      </c>
      <c r="T5004" s="4">
        <v>3</v>
      </c>
      <c r="U5004" s="5" t="s">
        <v>12169</v>
      </c>
      <c r="V5004" s="5" t="s">
        <v>12169</v>
      </c>
      <c r="W5004" s="5" t="s">
        <v>72</v>
      </c>
      <c r="X5004" s="5" t="s">
        <v>72</v>
      </c>
      <c r="Y5004" s="4">
        <v>399</v>
      </c>
      <c r="Z5004" s="4">
        <v>24</v>
      </c>
      <c r="AA5004" s="4">
        <v>24</v>
      </c>
      <c r="AB5004" s="4">
        <v>1</v>
      </c>
      <c r="AC5004" s="4">
        <v>1</v>
      </c>
      <c r="AD5004" s="4">
        <v>100</v>
      </c>
      <c r="AE5004" s="4">
        <v>100</v>
      </c>
      <c r="AF5004" s="4">
        <v>0</v>
      </c>
      <c r="AG5004" s="4">
        <v>0</v>
      </c>
      <c r="AH5004" s="4">
        <v>88</v>
      </c>
      <c r="AI5004" s="4">
        <v>88</v>
      </c>
      <c r="AJ5004" s="4">
        <v>13</v>
      </c>
      <c r="AK5004" s="4">
        <v>13</v>
      </c>
      <c r="AL5004" s="4">
        <v>48</v>
      </c>
      <c r="AM5004" s="4">
        <v>48</v>
      </c>
      <c r="AN5004" s="4">
        <v>0</v>
      </c>
      <c r="AO5004" s="4">
        <v>0</v>
      </c>
      <c r="AP5004" s="4">
        <v>19</v>
      </c>
      <c r="AQ5004" s="4">
        <v>19</v>
      </c>
      <c r="AR5004" s="3" t="s">
        <v>64</v>
      </c>
      <c r="AS5004" s="3" t="s">
        <v>64</v>
      </c>
      <c r="AT5004" s="3" t="s">
        <v>128</v>
      </c>
      <c r="AU5004" s="6" t="str">
        <f>HYPERLINK("http://catalog.hathitrust.org/Record/000170845","HathiTrust Record")</f>
        <v>HathiTrust Record</v>
      </c>
      <c r="AV5004" s="6" t="str">
        <f>HYPERLINK("http://mcgill.on.worldcat.org/oclc/2695081","Catalog Record")</f>
        <v>Catalog Record</v>
      </c>
      <c r="AW5004" s="6" t="str">
        <f>HYPERLINK("http://www.worldcat.org/oclc/2695081","WorldCat Record")</f>
        <v>WorldCat Record</v>
      </c>
      <c r="AX5004" s="3" t="s">
        <v>48736</v>
      </c>
      <c r="AY5004" s="3" t="s">
        <v>48737</v>
      </c>
      <c r="AZ5004" s="3" t="s">
        <v>48738</v>
      </c>
      <c r="BA5004" s="3" t="s">
        <v>48738</v>
      </c>
      <c r="BB5004" s="3" t="s">
        <v>48739</v>
      </c>
      <c r="BC5004" s="3" t="s">
        <v>77</v>
      </c>
      <c r="BD5004" s="3" t="s">
        <v>78</v>
      </c>
      <c r="BE5004" s="3" t="s">
        <v>48740</v>
      </c>
      <c r="BF5004" s="3" t="s">
        <v>48739</v>
      </c>
      <c r="BG5004" s="3" t="s">
        <v>48741</v>
      </c>
      <c r="BH5004">
        <f t="shared" si="160"/>
        <v>0</v>
      </c>
    </row>
    <row r="5005" spans="1:60" ht="58" x14ac:dyDescent="0.35">
      <c r="A5005" s="2" t="s">
        <v>59</v>
      </c>
      <c r="B5005" s="2" t="s">
        <v>60</v>
      </c>
      <c r="C5005" s="2" t="s">
        <v>48742</v>
      </c>
      <c r="D5005" s="2" t="s">
        <v>48743</v>
      </c>
      <c r="E5005" s="2" t="s">
        <v>48744</v>
      </c>
      <c r="G5005" s="3" t="s">
        <v>64</v>
      </c>
      <c r="I5005" s="3" t="s">
        <v>64</v>
      </c>
      <c r="J5005" s="3" t="s">
        <v>64</v>
      </c>
      <c r="K5005" s="3" t="s">
        <v>65</v>
      </c>
      <c r="L5005" s="2" t="s">
        <v>48745</v>
      </c>
      <c r="M5005" s="2" t="s">
        <v>48746</v>
      </c>
      <c r="N5005" s="3" t="s">
        <v>1047</v>
      </c>
      <c r="P5005" s="3" t="s">
        <v>102</v>
      </c>
      <c r="Q5005" s="2" t="s">
        <v>40900</v>
      </c>
      <c r="R5005" s="3" t="s">
        <v>70</v>
      </c>
      <c r="S5005" s="4">
        <v>1</v>
      </c>
      <c r="T5005" s="4">
        <v>1</v>
      </c>
      <c r="U5005" s="5" t="s">
        <v>48747</v>
      </c>
      <c r="V5005" s="5" t="s">
        <v>48747</v>
      </c>
      <c r="W5005" s="5" t="s">
        <v>72</v>
      </c>
      <c r="X5005" s="5" t="s">
        <v>72</v>
      </c>
      <c r="Y5005" s="4">
        <v>382</v>
      </c>
      <c r="Z5005" s="4">
        <v>23</v>
      </c>
      <c r="AA5005" s="4">
        <v>24</v>
      </c>
      <c r="AB5005" s="4">
        <v>1</v>
      </c>
      <c r="AC5005" s="4">
        <v>2</v>
      </c>
      <c r="AD5005" s="4">
        <v>101</v>
      </c>
      <c r="AE5005" s="4">
        <v>102</v>
      </c>
      <c r="AF5005" s="4">
        <v>0</v>
      </c>
      <c r="AG5005" s="4">
        <v>1</v>
      </c>
      <c r="AH5005" s="4">
        <v>92</v>
      </c>
      <c r="AI5005" s="4">
        <v>92</v>
      </c>
      <c r="AJ5005" s="4">
        <v>14</v>
      </c>
      <c r="AK5005" s="4">
        <v>15</v>
      </c>
      <c r="AL5005" s="4">
        <v>49</v>
      </c>
      <c r="AM5005" s="4">
        <v>49</v>
      </c>
      <c r="AN5005" s="4">
        <v>0</v>
      </c>
      <c r="AO5005" s="4">
        <v>0</v>
      </c>
      <c r="AP5005" s="4">
        <v>16</v>
      </c>
      <c r="AQ5005" s="4">
        <v>17</v>
      </c>
      <c r="AR5005" s="3" t="s">
        <v>64</v>
      </c>
      <c r="AS5005" s="3" t="s">
        <v>64</v>
      </c>
      <c r="AT5005" s="3" t="s">
        <v>128</v>
      </c>
      <c r="AU5005" s="6" t="str">
        <f>HYPERLINK("http://catalog.hathitrust.org/Record/000265337","HathiTrust Record")</f>
        <v>HathiTrust Record</v>
      </c>
      <c r="AV5005" s="6" t="str">
        <f>HYPERLINK("http://mcgill.on.worldcat.org/oclc/7737883","Catalog Record")</f>
        <v>Catalog Record</v>
      </c>
      <c r="AW5005" s="6" t="str">
        <f>HYPERLINK("http://www.worldcat.org/oclc/7737883","WorldCat Record")</f>
        <v>WorldCat Record</v>
      </c>
      <c r="AX5005" s="3" t="s">
        <v>48748</v>
      </c>
      <c r="AY5005" s="3" t="s">
        <v>48749</v>
      </c>
      <c r="AZ5005" s="3" t="s">
        <v>48750</v>
      </c>
      <c r="BA5005" s="3" t="s">
        <v>48750</v>
      </c>
      <c r="BB5005" s="3" t="s">
        <v>48751</v>
      </c>
      <c r="BC5005" s="3" t="s">
        <v>77</v>
      </c>
      <c r="BD5005" s="3" t="s">
        <v>78</v>
      </c>
      <c r="BE5005" s="3" t="s">
        <v>48752</v>
      </c>
      <c r="BF5005" s="3" t="s">
        <v>48751</v>
      </c>
      <c r="BG5005" s="3" t="s">
        <v>48753</v>
      </c>
      <c r="BH5005">
        <f t="shared" si="160"/>
        <v>0</v>
      </c>
    </row>
    <row r="5006" spans="1:60" ht="58" x14ac:dyDescent="0.35">
      <c r="A5006" s="2" t="s">
        <v>59</v>
      </c>
      <c r="B5006" s="2" t="s">
        <v>60</v>
      </c>
      <c r="C5006" s="2" t="s">
        <v>48754</v>
      </c>
      <c r="D5006" s="2" t="s">
        <v>48755</v>
      </c>
      <c r="E5006" s="2" t="s">
        <v>48756</v>
      </c>
      <c r="G5006" s="3" t="s">
        <v>64</v>
      </c>
      <c r="I5006" s="3" t="s">
        <v>64</v>
      </c>
      <c r="J5006" s="3" t="s">
        <v>64</v>
      </c>
      <c r="K5006" s="3" t="s">
        <v>65</v>
      </c>
      <c r="L5006" s="2" t="s">
        <v>48757</v>
      </c>
      <c r="M5006" s="2" t="s">
        <v>48758</v>
      </c>
      <c r="N5006" s="3" t="s">
        <v>339</v>
      </c>
      <c r="P5006" s="3" t="s">
        <v>102</v>
      </c>
      <c r="R5006" s="3" t="s">
        <v>70</v>
      </c>
      <c r="S5006" s="4">
        <v>4</v>
      </c>
      <c r="T5006" s="4">
        <v>4</v>
      </c>
      <c r="U5006" s="5" t="s">
        <v>10295</v>
      </c>
      <c r="V5006" s="5" t="s">
        <v>10295</v>
      </c>
      <c r="W5006" s="5" t="s">
        <v>72</v>
      </c>
      <c r="X5006" s="5" t="s">
        <v>72</v>
      </c>
      <c r="Y5006" s="4">
        <v>8</v>
      </c>
      <c r="Z5006" s="4">
        <v>2</v>
      </c>
      <c r="AA5006" s="4">
        <v>29</v>
      </c>
      <c r="AB5006" s="4">
        <v>1</v>
      </c>
      <c r="AC5006" s="4">
        <v>2</v>
      </c>
      <c r="AD5006" s="4">
        <v>1</v>
      </c>
      <c r="AE5006" s="4">
        <v>117</v>
      </c>
      <c r="AF5006" s="4">
        <v>0</v>
      </c>
      <c r="AG5006" s="4">
        <v>1</v>
      </c>
      <c r="AH5006" s="4">
        <v>1</v>
      </c>
      <c r="AI5006" s="4">
        <v>98</v>
      </c>
      <c r="AJ5006" s="4">
        <v>1</v>
      </c>
      <c r="AK5006" s="4">
        <v>20</v>
      </c>
      <c r="AL5006" s="4">
        <v>0</v>
      </c>
      <c r="AM5006" s="4">
        <v>56</v>
      </c>
      <c r="AN5006" s="4">
        <v>0</v>
      </c>
      <c r="AO5006" s="4">
        <v>0</v>
      </c>
      <c r="AP5006" s="4">
        <v>1</v>
      </c>
      <c r="AQ5006" s="4">
        <v>27</v>
      </c>
      <c r="AR5006" s="3" t="s">
        <v>64</v>
      </c>
      <c r="AS5006" s="3" t="s">
        <v>64</v>
      </c>
      <c r="AT5006" s="3" t="s">
        <v>64</v>
      </c>
      <c r="AV5006" s="6" t="str">
        <f>HYPERLINK("http://mcgill.on.worldcat.org/oclc/181804548","Catalog Record")</f>
        <v>Catalog Record</v>
      </c>
      <c r="AW5006" s="6" t="str">
        <f>HYPERLINK("http://www.worldcat.org/oclc/181804548","WorldCat Record")</f>
        <v>WorldCat Record</v>
      </c>
      <c r="AX5006" s="3" t="s">
        <v>48759</v>
      </c>
      <c r="AY5006" s="3" t="s">
        <v>48760</v>
      </c>
      <c r="AZ5006" s="3" t="s">
        <v>48761</v>
      </c>
      <c r="BA5006" s="3" t="s">
        <v>48761</v>
      </c>
      <c r="BB5006" s="3" t="s">
        <v>48762</v>
      </c>
      <c r="BC5006" s="3" t="s">
        <v>77</v>
      </c>
      <c r="BD5006" s="3" t="s">
        <v>165</v>
      </c>
      <c r="BF5006" s="3" t="s">
        <v>48762</v>
      </c>
      <c r="BG5006" s="3" t="s">
        <v>48763</v>
      </c>
      <c r="BH5006">
        <f t="shared" si="160"/>
        <v>0</v>
      </c>
    </row>
    <row r="5007" spans="1:60" ht="58" x14ac:dyDescent="0.35">
      <c r="A5007" s="2" t="s">
        <v>59</v>
      </c>
      <c r="B5007" s="2" t="s">
        <v>60</v>
      </c>
      <c r="C5007" s="2" t="s">
        <v>48764</v>
      </c>
      <c r="D5007" s="2" t="s">
        <v>48765</v>
      </c>
      <c r="E5007" s="2" t="s">
        <v>48766</v>
      </c>
      <c r="G5007" s="3" t="s">
        <v>64</v>
      </c>
      <c r="I5007" s="3" t="s">
        <v>128</v>
      </c>
      <c r="J5007" s="3" t="s">
        <v>64</v>
      </c>
      <c r="K5007" s="3" t="s">
        <v>65</v>
      </c>
      <c r="L5007" s="2" t="s">
        <v>36073</v>
      </c>
      <c r="M5007" s="2" t="s">
        <v>46972</v>
      </c>
      <c r="N5007" s="3" t="s">
        <v>4972</v>
      </c>
      <c r="P5007" s="3" t="s">
        <v>102</v>
      </c>
      <c r="R5007" s="3" t="s">
        <v>70</v>
      </c>
      <c r="S5007" s="4">
        <v>9</v>
      </c>
      <c r="T5007" s="4">
        <v>9</v>
      </c>
      <c r="U5007" s="5" t="s">
        <v>11310</v>
      </c>
      <c r="V5007" s="5" t="s">
        <v>11310</v>
      </c>
      <c r="W5007" s="5" t="s">
        <v>72</v>
      </c>
      <c r="X5007" s="5" t="s">
        <v>72</v>
      </c>
      <c r="Y5007" s="4">
        <v>761</v>
      </c>
      <c r="Z5007" s="4">
        <v>43</v>
      </c>
      <c r="AA5007" s="4">
        <v>43</v>
      </c>
      <c r="AB5007" s="4">
        <v>4</v>
      </c>
      <c r="AC5007" s="4">
        <v>4</v>
      </c>
      <c r="AD5007" s="4">
        <v>122</v>
      </c>
      <c r="AE5007" s="4">
        <v>122</v>
      </c>
      <c r="AF5007" s="4">
        <v>2</v>
      </c>
      <c r="AG5007" s="4">
        <v>2</v>
      </c>
      <c r="AH5007" s="4">
        <v>98</v>
      </c>
      <c r="AI5007" s="4">
        <v>98</v>
      </c>
      <c r="AJ5007" s="4">
        <v>23</v>
      </c>
      <c r="AK5007" s="4">
        <v>23</v>
      </c>
      <c r="AL5007" s="4">
        <v>53</v>
      </c>
      <c r="AM5007" s="4">
        <v>53</v>
      </c>
      <c r="AN5007" s="4">
        <v>0</v>
      </c>
      <c r="AO5007" s="4">
        <v>0</v>
      </c>
      <c r="AP5007" s="4">
        <v>32</v>
      </c>
      <c r="AQ5007" s="4">
        <v>32</v>
      </c>
      <c r="AR5007" s="3" t="s">
        <v>64</v>
      </c>
      <c r="AS5007" s="3" t="s">
        <v>64</v>
      </c>
      <c r="AT5007" s="3" t="s">
        <v>128</v>
      </c>
      <c r="AU5007" s="6" t="str">
        <f>HYPERLINK("http://catalog.hathitrust.org/Record/001112059","HathiTrust Record")</f>
        <v>HathiTrust Record</v>
      </c>
      <c r="AV5007" s="6" t="str">
        <f>HYPERLINK("http://mcgill.on.worldcat.org/oclc/580880","Catalog Record")</f>
        <v>Catalog Record</v>
      </c>
      <c r="AW5007" s="6" t="str">
        <f>HYPERLINK("http://www.worldcat.org/oclc/580880","WorldCat Record")</f>
        <v>WorldCat Record</v>
      </c>
      <c r="AX5007" s="3" t="s">
        <v>48767</v>
      </c>
      <c r="AY5007" s="3" t="s">
        <v>48768</v>
      </c>
      <c r="AZ5007" s="3" t="s">
        <v>48769</v>
      </c>
      <c r="BA5007" s="3" t="s">
        <v>48769</v>
      </c>
      <c r="BB5007" s="3" t="s">
        <v>48770</v>
      </c>
      <c r="BC5007" s="3" t="s">
        <v>77</v>
      </c>
      <c r="BD5007" s="3" t="s">
        <v>78</v>
      </c>
      <c r="BF5007" s="3" t="s">
        <v>48770</v>
      </c>
      <c r="BG5007" s="3" t="s">
        <v>48771</v>
      </c>
      <c r="BH5007">
        <f t="shared" si="160"/>
        <v>0</v>
      </c>
    </row>
    <row r="5008" spans="1:60" ht="58" x14ac:dyDescent="0.35">
      <c r="A5008" s="2" t="s">
        <v>59</v>
      </c>
      <c r="B5008" s="2" t="s">
        <v>60</v>
      </c>
      <c r="C5008" s="2" t="s">
        <v>48772</v>
      </c>
      <c r="D5008" s="2" t="s">
        <v>48773</v>
      </c>
      <c r="E5008" s="2" t="s">
        <v>48774</v>
      </c>
      <c r="G5008" s="3" t="s">
        <v>64</v>
      </c>
      <c r="I5008" s="3" t="s">
        <v>64</v>
      </c>
      <c r="J5008" s="3" t="s">
        <v>64</v>
      </c>
      <c r="K5008" s="3" t="s">
        <v>65</v>
      </c>
      <c r="L5008" s="2" t="s">
        <v>48775</v>
      </c>
      <c r="M5008" s="2" t="s">
        <v>48776</v>
      </c>
      <c r="N5008" s="3" t="s">
        <v>537</v>
      </c>
      <c r="P5008" s="3" t="s">
        <v>102</v>
      </c>
      <c r="R5008" s="3" t="s">
        <v>70</v>
      </c>
      <c r="S5008" s="4">
        <v>2</v>
      </c>
      <c r="T5008" s="4">
        <v>2</v>
      </c>
      <c r="U5008" s="5" t="s">
        <v>10295</v>
      </c>
      <c r="V5008" s="5" t="s">
        <v>10295</v>
      </c>
      <c r="W5008" s="5" t="s">
        <v>72</v>
      </c>
      <c r="X5008" s="5" t="s">
        <v>72</v>
      </c>
      <c r="Y5008" s="4">
        <v>179</v>
      </c>
      <c r="Z5008" s="4">
        <v>11</v>
      </c>
      <c r="AA5008" s="4">
        <v>44</v>
      </c>
      <c r="AB5008" s="4">
        <v>1</v>
      </c>
      <c r="AC5008" s="4">
        <v>5</v>
      </c>
      <c r="AD5008" s="4">
        <v>74</v>
      </c>
      <c r="AE5008" s="4">
        <v>89</v>
      </c>
      <c r="AF5008" s="4">
        <v>0</v>
      </c>
      <c r="AG5008" s="4">
        <v>2</v>
      </c>
      <c r="AH5008" s="4">
        <v>68</v>
      </c>
      <c r="AI5008" s="4">
        <v>73</v>
      </c>
      <c r="AJ5008" s="4">
        <v>5</v>
      </c>
      <c r="AK5008" s="4">
        <v>12</v>
      </c>
      <c r="AL5008" s="4">
        <v>46</v>
      </c>
      <c r="AM5008" s="4">
        <v>49</v>
      </c>
      <c r="AN5008" s="4">
        <v>0</v>
      </c>
      <c r="AO5008" s="4">
        <v>0</v>
      </c>
      <c r="AP5008" s="4">
        <v>7</v>
      </c>
      <c r="AQ5008" s="4">
        <v>17</v>
      </c>
      <c r="AR5008" s="3" t="s">
        <v>64</v>
      </c>
      <c r="AS5008" s="3" t="s">
        <v>64</v>
      </c>
      <c r="AT5008" s="3" t="s">
        <v>64</v>
      </c>
      <c r="AV5008" s="6" t="str">
        <f>HYPERLINK("http://mcgill.on.worldcat.org/oclc/921310704","Catalog Record")</f>
        <v>Catalog Record</v>
      </c>
      <c r="AW5008" s="6" t="str">
        <f>HYPERLINK("http://www.worldcat.org/oclc/921310704","WorldCat Record")</f>
        <v>WorldCat Record</v>
      </c>
      <c r="AX5008" s="3" t="s">
        <v>48777</v>
      </c>
      <c r="AY5008" s="3" t="s">
        <v>48778</v>
      </c>
      <c r="AZ5008" s="3" t="s">
        <v>48779</v>
      </c>
      <c r="BA5008" s="3" t="s">
        <v>48779</v>
      </c>
      <c r="BB5008" s="3" t="s">
        <v>48780</v>
      </c>
      <c r="BC5008" s="3" t="s">
        <v>77</v>
      </c>
      <c r="BD5008" s="3" t="s">
        <v>78</v>
      </c>
      <c r="BE5008" s="3" t="s">
        <v>48781</v>
      </c>
      <c r="BF5008" s="3" t="s">
        <v>48780</v>
      </c>
      <c r="BG5008" s="3" t="s">
        <v>48782</v>
      </c>
      <c r="BH5008">
        <f t="shared" si="160"/>
        <v>0</v>
      </c>
    </row>
    <row r="5009" spans="1:60" ht="58" x14ac:dyDescent="0.35">
      <c r="A5009" s="2" t="s">
        <v>59</v>
      </c>
      <c r="B5009" s="2" t="s">
        <v>60</v>
      </c>
      <c r="C5009" s="2" t="s">
        <v>48783</v>
      </c>
      <c r="D5009" s="2" t="s">
        <v>48784</v>
      </c>
      <c r="E5009" s="2" t="s">
        <v>40828</v>
      </c>
      <c r="G5009" s="3" t="s">
        <v>64</v>
      </c>
      <c r="I5009" s="3" t="s">
        <v>64</v>
      </c>
      <c r="J5009" s="3" t="s">
        <v>64</v>
      </c>
      <c r="K5009" s="3" t="s">
        <v>65</v>
      </c>
      <c r="L5009" s="2" t="s">
        <v>40830</v>
      </c>
      <c r="M5009" s="2" t="s">
        <v>48785</v>
      </c>
      <c r="N5009" s="3" t="s">
        <v>979</v>
      </c>
      <c r="O5009" s="2" t="s">
        <v>48786</v>
      </c>
      <c r="P5009" s="3" t="s">
        <v>102</v>
      </c>
      <c r="R5009" s="3" t="s">
        <v>70</v>
      </c>
      <c r="S5009" s="4">
        <v>1</v>
      </c>
      <c r="T5009" s="4">
        <v>1</v>
      </c>
      <c r="U5009" s="5" t="s">
        <v>11310</v>
      </c>
      <c r="V5009" s="5" t="s">
        <v>11310</v>
      </c>
      <c r="W5009" s="5" t="s">
        <v>72</v>
      </c>
      <c r="X5009" s="5" t="s">
        <v>72</v>
      </c>
      <c r="Y5009" s="4">
        <v>225</v>
      </c>
      <c r="Z5009" s="4">
        <v>12</v>
      </c>
      <c r="AA5009" s="4">
        <v>14</v>
      </c>
      <c r="AB5009" s="4">
        <v>2</v>
      </c>
      <c r="AC5009" s="4">
        <v>3</v>
      </c>
      <c r="AD5009" s="4">
        <v>46</v>
      </c>
      <c r="AE5009" s="4">
        <v>48</v>
      </c>
      <c r="AF5009" s="4">
        <v>1</v>
      </c>
      <c r="AG5009" s="4">
        <v>2</v>
      </c>
      <c r="AH5009" s="4">
        <v>40</v>
      </c>
      <c r="AI5009" s="4">
        <v>42</v>
      </c>
      <c r="AJ5009" s="4">
        <v>7</v>
      </c>
      <c r="AK5009" s="4">
        <v>9</v>
      </c>
      <c r="AL5009" s="4">
        <v>29</v>
      </c>
      <c r="AM5009" s="4">
        <v>29</v>
      </c>
      <c r="AN5009" s="4">
        <v>0</v>
      </c>
      <c r="AO5009" s="4">
        <v>0</v>
      </c>
      <c r="AP5009" s="4">
        <v>9</v>
      </c>
      <c r="AQ5009" s="4">
        <v>11</v>
      </c>
      <c r="AR5009" s="3" t="s">
        <v>64</v>
      </c>
      <c r="AS5009" s="3" t="s">
        <v>64</v>
      </c>
      <c r="AT5009" s="3" t="s">
        <v>128</v>
      </c>
      <c r="AU5009" s="6" t="str">
        <f>HYPERLINK("http://catalog.hathitrust.org/Record/008311333","HathiTrust Record")</f>
        <v>HathiTrust Record</v>
      </c>
      <c r="AV5009" s="6" t="str">
        <f>HYPERLINK("http://mcgill.on.worldcat.org/oclc/43569207","Catalog Record")</f>
        <v>Catalog Record</v>
      </c>
      <c r="AW5009" s="6" t="str">
        <f>HYPERLINK("http://www.worldcat.org/oclc/43569207","WorldCat Record")</f>
        <v>WorldCat Record</v>
      </c>
      <c r="AX5009" s="3" t="s">
        <v>48787</v>
      </c>
      <c r="AY5009" s="3" t="s">
        <v>48788</v>
      </c>
      <c r="AZ5009" s="3" t="s">
        <v>48789</v>
      </c>
      <c r="BA5009" s="3" t="s">
        <v>48789</v>
      </c>
      <c r="BB5009" s="3" t="s">
        <v>48790</v>
      </c>
      <c r="BC5009" s="3" t="s">
        <v>77</v>
      </c>
      <c r="BD5009" s="3" t="s">
        <v>78</v>
      </c>
      <c r="BE5009" s="3" t="s">
        <v>48791</v>
      </c>
      <c r="BF5009" s="3" t="s">
        <v>48790</v>
      </c>
      <c r="BG5009" s="3" t="s">
        <v>48792</v>
      </c>
      <c r="BH5009">
        <f t="shared" si="160"/>
        <v>0</v>
      </c>
    </row>
    <row r="5010" spans="1:60" ht="58" x14ac:dyDescent="0.35">
      <c r="A5010" s="2" t="s">
        <v>59</v>
      </c>
      <c r="B5010" s="2" t="s">
        <v>60</v>
      </c>
      <c r="C5010" s="2" t="s">
        <v>48793</v>
      </c>
      <c r="D5010" s="2" t="s">
        <v>48794</v>
      </c>
      <c r="E5010" s="2" t="s">
        <v>48795</v>
      </c>
      <c r="G5010" s="3" t="s">
        <v>64</v>
      </c>
      <c r="I5010" s="3" t="s">
        <v>64</v>
      </c>
      <c r="J5010" s="3" t="s">
        <v>64</v>
      </c>
      <c r="K5010" s="3" t="s">
        <v>65</v>
      </c>
      <c r="L5010" s="2" t="s">
        <v>48796</v>
      </c>
      <c r="M5010" s="2" t="s">
        <v>48797</v>
      </c>
      <c r="N5010" s="3" t="s">
        <v>4972</v>
      </c>
      <c r="P5010" s="3" t="s">
        <v>102</v>
      </c>
      <c r="Q5010" s="2" t="s">
        <v>48798</v>
      </c>
      <c r="R5010" s="3" t="s">
        <v>70</v>
      </c>
      <c r="S5010" s="4">
        <v>1</v>
      </c>
      <c r="T5010" s="4">
        <v>1</v>
      </c>
      <c r="U5010" s="5" t="s">
        <v>33988</v>
      </c>
      <c r="V5010" s="5" t="s">
        <v>33988</v>
      </c>
      <c r="W5010" s="5" t="s">
        <v>72</v>
      </c>
      <c r="X5010" s="5" t="s">
        <v>72</v>
      </c>
      <c r="Y5010" s="4">
        <v>245</v>
      </c>
      <c r="Z5010" s="4">
        <v>17</v>
      </c>
      <c r="AA5010" s="4">
        <v>17</v>
      </c>
      <c r="AB5010" s="4">
        <v>1</v>
      </c>
      <c r="AC5010" s="4">
        <v>1</v>
      </c>
      <c r="AD5010" s="4">
        <v>89</v>
      </c>
      <c r="AE5010" s="4">
        <v>91</v>
      </c>
      <c r="AF5010" s="4">
        <v>0</v>
      </c>
      <c r="AG5010" s="4">
        <v>0</v>
      </c>
      <c r="AH5010" s="4">
        <v>80</v>
      </c>
      <c r="AI5010" s="4">
        <v>82</v>
      </c>
      <c r="AJ5010" s="4">
        <v>12</v>
      </c>
      <c r="AK5010" s="4">
        <v>12</v>
      </c>
      <c r="AL5010" s="4">
        <v>46</v>
      </c>
      <c r="AM5010" s="4">
        <v>47</v>
      </c>
      <c r="AN5010" s="4">
        <v>0</v>
      </c>
      <c r="AO5010" s="4">
        <v>0</v>
      </c>
      <c r="AP5010" s="4">
        <v>14</v>
      </c>
      <c r="AQ5010" s="4">
        <v>14</v>
      </c>
      <c r="AR5010" s="3" t="s">
        <v>64</v>
      </c>
      <c r="AS5010" s="3" t="s">
        <v>128</v>
      </c>
      <c r="AT5010" s="3" t="s">
        <v>64</v>
      </c>
      <c r="AU5010" s="6" t="str">
        <f>HYPERLINK("http://catalog.hathitrust.org/Record/001018167","HathiTrust Record")</f>
        <v>HathiTrust Record</v>
      </c>
      <c r="AV5010" s="6" t="str">
        <f>HYPERLINK("http://mcgill.on.worldcat.org/oclc/239496","Catalog Record")</f>
        <v>Catalog Record</v>
      </c>
      <c r="AW5010" s="6" t="str">
        <f>HYPERLINK("http://www.worldcat.org/oclc/239496","WorldCat Record")</f>
        <v>WorldCat Record</v>
      </c>
      <c r="AX5010" s="3" t="s">
        <v>48799</v>
      </c>
      <c r="AY5010" s="3" t="s">
        <v>48800</v>
      </c>
      <c r="AZ5010" s="3" t="s">
        <v>48801</v>
      </c>
      <c r="BA5010" s="3" t="s">
        <v>48801</v>
      </c>
      <c r="BB5010" s="3" t="s">
        <v>48802</v>
      </c>
      <c r="BC5010" s="3" t="s">
        <v>77</v>
      </c>
      <c r="BD5010" s="3" t="s">
        <v>78</v>
      </c>
      <c r="BF5010" s="3" t="s">
        <v>48802</v>
      </c>
      <c r="BG5010" s="3" t="s">
        <v>48803</v>
      </c>
      <c r="BH5010">
        <f t="shared" si="160"/>
        <v>0</v>
      </c>
    </row>
    <row r="5011" spans="1:60" ht="58" x14ac:dyDescent="0.35">
      <c r="A5011" s="2" t="s">
        <v>59</v>
      </c>
      <c r="B5011" s="2" t="s">
        <v>60</v>
      </c>
      <c r="C5011" s="2" t="s">
        <v>48804</v>
      </c>
      <c r="D5011" s="2" t="s">
        <v>48805</v>
      </c>
      <c r="E5011" s="2" t="s">
        <v>48806</v>
      </c>
      <c r="G5011" s="3" t="s">
        <v>64</v>
      </c>
      <c r="I5011" s="3" t="s">
        <v>64</v>
      </c>
      <c r="J5011" s="3" t="s">
        <v>128</v>
      </c>
      <c r="K5011" s="3" t="s">
        <v>65</v>
      </c>
      <c r="M5011" s="2" t="s">
        <v>48807</v>
      </c>
      <c r="N5011" s="3" t="s">
        <v>1938</v>
      </c>
      <c r="O5011" s="2" t="s">
        <v>6660</v>
      </c>
      <c r="P5011" s="3" t="s">
        <v>102</v>
      </c>
      <c r="R5011" s="3" t="s">
        <v>70</v>
      </c>
      <c r="S5011" s="4">
        <v>1</v>
      </c>
      <c r="T5011" s="4">
        <v>1</v>
      </c>
      <c r="U5011" s="5" t="s">
        <v>1005</v>
      </c>
      <c r="V5011" s="5" t="s">
        <v>1005</v>
      </c>
      <c r="W5011" s="5" t="s">
        <v>72</v>
      </c>
      <c r="X5011" s="5" t="s">
        <v>72</v>
      </c>
      <c r="Y5011" s="4">
        <v>712</v>
      </c>
      <c r="Z5011" s="4">
        <v>35</v>
      </c>
      <c r="AA5011" s="4">
        <v>54</v>
      </c>
      <c r="AB5011" s="4">
        <v>2</v>
      </c>
      <c r="AC5011" s="4">
        <v>6</v>
      </c>
      <c r="AD5011" s="4">
        <v>120</v>
      </c>
      <c r="AE5011" s="4">
        <v>141</v>
      </c>
      <c r="AF5011" s="4">
        <v>1</v>
      </c>
      <c r="AG5011" s="4">
        <v>4</v>
      </c>
      <c r="AH5011" s="4">
        <v>101</v>
      </c>
      <c r="AI5011" s="4">
        <v>111</v>
      </c>
      <c r="AJ5011" s="4">
        <v>18</v>
      </c>
      <c r="AK5011" s="4">
        <v>27</v>
      </c>
      <c r="AL5011" s="4">
        <v>58</v>
      </c>
      <c r="AM5011" s="4">
        <v>61</v>
      </c>
      <c r="AN5011" s="4">
        <v>0</v>
      </c>
      <c r="AO5011" s="4">
        <v>2</v>
      </c>
      <c r="AP5011" s="4">
        <v>26</v>
      </c>
      <c r="AQ5011" s="4">
        <v>36</v>
      </c>
      <c r="AR5011" s="3" t="s">
        <v>64</v>
      </c>
      <c r="AS5011" s="3" t="s">
        <v>64</v>
      </c>
      <c r="AT5011" s="3" t="s">
        <v>128</v>
      </c>
      <c r="AU5011" s="6" t="str">
        <f>HYPERLINK("http://catalog.hathitrust.org/Record/002210132","HathiTrust Record")</f>
        <v>HathiTrust Record</v>
      </c>
      <c r="AV5011" s="6" t="str">
        <f>HYPERLINK("http://mcgill.on.worldcat.org/oclc/20853040","Catalog Record")</f>
        <v>Catalog Record</v>
      </c>
      <c r="AW5011" s="6" t="str">
        <f>HYPERLINK("http://www.worldcat.org/oclc/20853040","WorldCat Record")</f>
        <v>WorldCat Record</v>
      </c>
      <c r="AX5011" s="3" t="s">
        <v>48808</v>
      </c>
      <c r="AY5011" s="3" t="s">
        <v>48809</v>
      </c>
      <c r="AZ5011" s="3" t="s">
        <v>48810</v>
      </c>
      <c r="BA5011" s="3" t="s">
        <v>48810</v>
      </c>
      <c r="BB5011" s="3" t="s">
        <v>48811</v>
      </c>
      <c r="BC5011" s="3" t="s">
        <v>77</v>
      </c>
      <c r="BD5011" s="3" t="s">
        <v>78</v>
      </c>
      <c r="BE5011" s="3" t="s">
        <v>48812</v>
      </c>
      <c r="BF5011" s="3" t="s">
        <v>48811</v>
      </c>
      <c r="BG5011" s="3" t="s">
        <v>48813</v>
      </c>
      <c r="BH5011">
        <f t="shared" si="160"/>
        <v>0</v>
      </c>
    </row>
    <row r="5012" spans="1:60" ht="58" x14ac:dyDescent="0.35">
      <c r="A5012" s="2" t="s">
        <v>59</v>
      </c>
      <c r="B5012" s="2" t="s">
        <v>60</v>
      </c>
      <c r="C5012" s="2" t="s">
        <v>48814</v>
      </c>
      <c r="D5012" s="2" t="s">
        <v>48815</v>
      </c>
      <c r="E5012" s="2" t="s">
        <v>48816</v>
      </c>
      <c r="G5012" s="3" t="s">
        <v>64</v>
      </c>
      <c r="I5012" s="3" t="s">
        <v>64</v>
      </c>
      <c r="J5012" s="3" t="s">
        <v>64</v>
      </c>
      <c r="K5012" s="3" t="s">
        <v>65</v>
      </c>
      <c r="M5012" s="2" t="s">
        <v>37493</v>
      </c>
      <c r="N5012" s="3" t="s">
        <v>1075</v>
      </c>
      <c r="O5012" s="2" t="s">
        <v>2149</v>
      </c>
      <c r="P5012" s="3" t="s">
        <v>102</v>
      </c>
      <c r="Q5012" s="2" t="s">
        <v>351</v>
      </c>
      <c r="R5012" s="3" t="s">
        <v>70</v>
      </c>
      <c r="S5012" s="4">
        <v>4</v>
      </c>
      <c r="T5012" s="4">
        <v>4</v>
      </c>
      <c r="U5012" s="5" t="s">
        <v>3129</v>
      </c>
      <c r="V5012" s="5" t="s">
        <v>3129</v>
      </c>
      <c r="W5012" s="5" t="s">
        <v>72</v>
      </c>
      <c r="X5012" s="5" t="s">
        <v>72</v>
      </c>
      <c r="Y5012" s="4">
        <v>141</v>
      </c>
      <c r="Z5012" s="4">
        <v>14</v>
      </c>
      <c r="AA5012" s="4">
        <v>33</v>
      </c>
      <c r="AB5012" s="4">
        <v>1</v>
      </c>
      <c r="AC5012" s="4">
        <v>6</v>
      </c>
      <c r="AD5012" s="4">
        <v>54</v>
      </c>
      <c r="AE5012" s="4">
        <v>99</v>
      </c>
      <c r="AF5012" s="4">
        <v>0</v>
      </c>
      <c r="AG5012" s="4">
        <v>2</v>
      </c>
      <c r="AH5012" s="4">
        <v>50</v>
      </c>
      <c r="AI5012" s="4">
        <v>84</v>
      </c>
      <c r="AJ5012" s="4">
        <v>10</v>
      </c>
      <c r="AK5012" s="4">
        <v>15</v>
      </c>
      <c r="AL5012" s="4">
        <v>33</v>
      </c>
      <c r="AM5012" s="4">
        <v>51</v>
      </c>
      <c r="AN5012" s="4">
        <v>0</v>
      </c>
      <c r="AO5012" s="4">
        <v>0</v>
      </c>
      <c r="AP5012" s="4">
        <v>12</v>
      </c>
      <c r="AQ5012" s="4">
        <v>23</v>
      </c>
      <c r="AR5012" s="3" t="s">
        <v>64</v>
      </c>
      <c r="AS5012" s="3" t="s">
        <v>64</v>
      </c>
      <c r="AT5012" s="3" t="s">
        <v>64</v>
      </c>
      <c r="AV5012" s="6" t="str">
        <f>HYPERLINK("http://mcgill.on.worldcat.org/oclc/785870972","Catalog Record")</f>
        <v>Catalog Record</v>
      </c>
      <c r="AW5012" s="6" t="str">
        <f>HYPERLINK("http://www.worldcat.org/oclc/785870972","WorldCat Record")</f>
        <v>WorldCat Record</v>
      </c>
      <c r="AX5012" s="3" t="s">
        <v>48817</v>
      </c>
      <c r="AY5012" s="3" t="s">
        <v>48818</v>
      </c>
      <c r="AZ5012" s="3" t="s">
        <v>48819</v>
      </c>
      <c r="BA5012" s="3" t="s">
        <v>48819</v>
      </c>
      <c r="BB5012" s="3" t="s">
        <v>48820</v>
      </c>
      <c r="BC5012" s="3" t="s">
        <v>77</v>
      </c>
      <c r="BD5012" s="3" t="s">
        <v>78</v>
      </c>
      <c r="BE5012" s="3" t="s">
        <v>48821</v>
      </c>
      <c r="BF5012" s="3" t="s">
        <v>48820</v>
      </c>
      <c r="BG5012" s="3" t="s">
        <v>48822</v>
      </c>
      <c r="BH5012">
        <f t="shared" si="160"/>
        <v>0</v>
      </c>
    </row>
    <row r="5013" spans="1:60" ht="58" x14ac:dyDescent="0.35">
      <c r="A5013" s="2" t="s">
        <v>59</v>
      </c>
      <c r="B5013" s="2" t="s">
        <v>60</v>
      </c>
      <c r="C5013" s="2" t="s">
        <v>48823</v>
      </c>
      <c r="D5013" s="2" t="s">
        <v>48824</v>
      </c>
      <c r="E5013" s="2" t="s">
        <v>48825</v>
      </c>
      <c r="G5013" s="3" t="s">
        <v>64</v>
      </c>
      <c r="I5013" s="3" t="s">
        <v>64</v>
      </c>
      <c r="J5013" s="3" t="s">
        <v>64</v>
      </c>
      <c r="K5013" s="3" t="s">
        <v>65</v>
      </c>
      <c r="L5013" s="2" t="s">
        <v>48826</v>
      </c>
      <c r="M5013" s="2" t="s">
        <v>48827</v>
      </c>
      <c r="N5013" s="3" t="s">
        <v>5986</v>
      </c>
      <c r="P5013" s="3" t="s">
        <v>102</v>
      </c>
      <c r="R5013" s="3" t="s">
        <v>70</v>
      </c>
      <c r="S5013" s="4">
        <v>2</v>
      </c>
      <c r="T5013" s="4">
        <v>2</v>
      </c>
      <c r="U5013" s="5" t="s">
        <v>3129</v>
      </c>
      <c r="V5013" s="5" t="s">
        <v>3129</v>
      </c>
      <c r="W5013" s="5" t="s">
        <v>72</v>
      </c>
      <c r="X5013" s="5" t="s">
        <v>72</v>
      </c>
      <c r="Y5013" s="4">
        <v>37</v>
      </c>
      <c r="Z5013" s="4">
        <v>6</v>
      </c>
      <c r="AA5013" s="4">
        <v>6</v>
      </c>
      <c r="AB5013" s="4">
        <v>1</v>
      </c>
      <c r="AC5013" s="4">
        <v>1</v>
      </c>
      <c r="AD5013" s="4">
        <v>18</v>
      </c>
      <c r="AE5013" s="4">
        <v>18</v>
      </c>
      <c r="AF5013" s="4">
        <v>0</v>
      </c>
      <c r="AG5013" s="4">
        <v>0</v>
      </c>
      <c r="AH5013" s="4">
        <v>17</v>
      </c>
      <c r="AI5013" s="4">
        <v>17</v>
      </c>
      <c r="AJ5013" s="4">
        <v>3</v>
      </c>
      <c r="AK5013" s="4">
        <v>3</v>
      </c>
      <c r="AL5013" s="4">
        <v>12</v>
      </c>
      <c r="AM5013" s="4">
        <v>12</v>
      </c>
      <c r="AN5013" s="4">
        <v>0</v>
      </c>
      <c r="AO5013" s="4">
        <v>0</v>
      </c>
      <c r="AP5013" s="4">
        <v>3</v>
      </c>
      <c r="AQ5013" s="4">
        <v>3</v>
      </c>
      <c r="AR5013" s="3" t="s">
        <v>64</v>
      </c>
      <c r="AS5013" s="3" t="s">
        <v>64</v>
      </c>
      <c r="AT5013" s="3" t="s">
        <v>64</v>
      </c>
      <c r="AV5013" s="6" t="str">
        <f>HYPERLINK("http://mcgill.on.worldcat.org/oclc/2109737","Catalog Record")</f>
        <v>Catalog Record</v>
      </c>
      <c r="AW5013" s="6" t="str">
        <f>HYPERLINK("http://www.worldcat.org/oclc/2109737","WorldCat Record")</f>
        <v>WorldCat Record</v>
      </c>
      <c r="AX5013" s="3" t="s">
        <v>48828</v>
      </c>
      <c r="AY5013" s="3" t="s">
        <v>48829</v>
      </c>
      <c r="AZ5013" s="3" t="s">
        <v>48830</v>
      </c>
      <c r="BA5013" s="3" t="s">
        <v>48830</v>
      </c>
      <c r="BB5013" s="3" t="s">
        <v>48831</v>
      </c>
      <c r="BC5013" s="3" t="s">
        <v>77</v>
      </c>
      <c r="BD5013" s="3" t="s">
        <v>78</v>
      </c>
      <c r="BF5013" s="3" t="s">
        <v>48831</v>
      </c>
      <c r="BG5013" s="3" t="s">
        <v>48832</v>
      </c>
      <c r="BH5013">
        <f t="shared" si="160"/>
        <v>0</v>
      </c>
    </row>
    <row r="5014" spans="1:60" ht="58" x14ac:dyDescent="0.35">
      <c r="A5014" s="2" t="s">
        <v>59</v>
      </c>
      <c r="B5014" s="2" t="s">
        <v>60</v>
      </c>
      <c r="C5014" s="2" t="s">
        <v>48833</v>
      </c>
      <c r="D5014" s="2" t="s">
        <v>48834</v>
      </c>
      <c r="E5014" s="2" t="s">
        <v>48835</v>
      </c>
      <c r="G5014" s="3" t="s">
        <v>64</v>
      </c>
      <c r="I5014" s="3" t="s">
        <v>64</v>
      </c>
      <c r="J5014" s="3" t="s">
        <v>64</v>
      </c>
      <c r="K5014" s="3" t="s">
        <v>65</v>
      </c>
      <c r="L5014" s="2" t="s">
        <v>48836</v>
      </c>
      <c r="M5014" s="2" t="s">
        <v>48837</v>
      </c>
      <c r="N5014" s="3" t="s">
        <v>551</v>
      </c>
      <c r="P5014" s="3" t="s">
        <v>102</v>
      </c>
      <c r="R5014" s="3" t="s">
        <v>70</v>
      </c>
      <c r="S5014" s="4">
        <v>5</v>
      </c>
      <c r="T5014" s="4">
        <v>5</v>
      </c>
      <c r="U5014" s="5" t="s">
        <v>4697</v>
      </c>
      <c r="V5014" s="5" t="s">
        <v>4697</v>
      </c>
      <c r="W5014" s="5" t="s">
        <v>72</v>
      </c>
      <c r="X5014" s="5" t="s">
        <v>72</v>
      </c>
      <c r="Y5014" s="4">
        <v>788</v>
      </c>
      <c r="Z5014" s="4">
        <v>32</v>
      </c>
      <c r="AA5014" s="4">
        <v>34</v>
      </c>
      <c r="AB5014" s="4">
        <v>3</v>
      </c>
      <c r="AC5014" s="4">
        <v>4</v>
      </c>
      <c r="AD5014" s="4">
        <v>83</v>
      </c>
      <c r="AE5014" s="4">
        <v>85</v>
      </c>
      <c r="AF5014" s="4">
        <v>0</v>
      </c>
      <c r="AG5014" s="4">
        <v>0</v>
      </c>
      <c r="AH5014" s="4">
        <v>77</v>
      </c>
      <c r="AI5014" s="4">
        <v>79</v>
      </c>
      <c r="AJ5014" s="4">
        <v>10</v>
      </c>
      <c r="AK5014" s="4">
        <v>10</v>
      </c>
      <c r="AL5014" s="4">
        <v>47</v>
      </c>
      <c r="AM5014" s="4">
        <v>47</v>
      </c>
      <c r="AN5014" s="4">
        <v>0</v>
      </c>
      <c r="AO5014" s="4">
        <v>0</v>
      </c>
      <c r="AP5014" s="4">
        <v>13</v>
      </c>
      <c r="AQ5014" s="4">
        <v>13</v>
      </c>
      <c r="AR5014" s="3" t="s">
        <v>64</v>
      </c>
      <c r="AS5014" s="3" t="s">
        <v>64</v>
      </c>
      <c r="AT5014" s="3" t="s">
        <v>64</v>
      </c>
      <c r="AV5014" s="6" t="str">
        <f>HYPERLINK("http://mcgill.on.worldcat.org/oclc/310224906","Catalog Record")</f>
        <v>Catalog Record</v>
      </c>
      <c r="AW5014" s="6" t="str">
        <f>HYPERLINK("http://www.worldcat.org/oclc/310224906","WorldCat Record")</f>
        <v>WorldCat Record</v>
      </c>
      <c r="AX5014" s="3" t="s">
        <v>48838</v>
      </c>
      <c r="AY5014" s="3" t="s">
        <v>48839</v>
      </c>
      <c r="AZ5014" s="3" t="s">
        <v>48840</v>
      </c>
      <c r="BA5014" s="3" t="s">
        <v>48840</v>
      </c>
      <c r="BB5014" s="3" t="s">
        <v>48841</v>
      </c>
      <c r="BC5014" s="3" t="s">
        <v>77</v>
      </c>
      <c r="BD5014" s="3" t="s">
        <v>78</v>
      </c>
      <c r="BE5014" s="3" t="s">
        <v>48842</v>
      </c>
      <c r="BF5014" s="3" t="s">
        <v>48841</v>
      </c>
      <c r="BG5014" s="3" t="s">
        <v>48843</v>
      </c>
      <c r="BH5014">
        <f t="shared" si="160"/>
        <v>0</v>
      </c>
    </row>
    <row r="5015" spans="1:60" ht="58" x14ac:dyDescent="0.35">
      <c r="A5015" s="2" t="s">
        <v>59</v>
      </c>
      <c r="B5015" s="2" t="s">
        <v>60</v>
      </c>
      <c r="C5015" s="2" t="s">
        <v>48844</v>
      </c>
      <c r="D5015" s="2" t="s">
        <v>48845</v>
      </c>
      <c r="E5015" s="2" t="s">
        <v>48846</v>
      </c>
      <c r="F5015" s="3" t="s">
        <v>525</v>
      </c>
      <c r="G5015" s="3" t="s">
        <v>128</v>
      </c>
      <c r="I5015" s="3" t="s">
        <v>64</v>
      </c>
      <c r="J5015" s="3" t="s">
        <v>64</v>
      </c>
      <c r="K5015" s="3" t="s">
        <v>65</v>
      </c>
      <c r="L5015" s="2" t="s">
        <v>48847</v>
      </c>
      <c r="M5015" s="2" t="s">
        <v>48848</v>
      </c>
      <c r="N5015" s="3" t="s">
        <v>116</v>
      </c>
      <c r="P5015" s="3" t="s">
        <v>102</v>
      </c>
      <c r="R5015" s="3" t="s">
        <v>70</v>
      </c>
      <c r="S5015" s="4">
        <v>3</v>
      </c>
      <c r="T5015" s="4">
        <v>3</v>
      </c>
      <c r="U5015" s="5" t="s">
        <v>1102</v>
      </c>
      <c r="V5015" s="5" t="s">
        <v>1102</v>
      </c>
      <c r="W5015" s="5" t="s">
        <v>72</v>
      </c>
      <c r="X5015" s="5" t="s">
        <v>72</v>
      </c>
      <c r="Y5015" s="4">
        <v>318</v>
      </c>
      <c r="Z5015" s="4">
        <v>15</v>
      </c>
      <c r="AA5015" s="4">
        <v>26</v>
      </c>
      <c r="AB5015" s="4">
        <v>2</v>
      </c>
      <c r="AC5015" s="4">
        <v>2</v>
      </c>
      <c r="AD5015" s="4">
        <v>100</v>
      </c>
      <c r="AE5015" s="4">
        <v>110</v>
      </c>
      <c r="AF5015" s="4">
        <v>0</v>
      </c>
      <c r="AG5015" s="4">
        <v>0</v>
      </c>
      <c r="AH5015" s="4">
        <v>89</v>
      </c>
      <c r="AI5015" s="4">
        <v>96</v>
      </c>
      <c r="AJ5015" s="4">
        <v>10</v>
      </c>
      <c r="AK5015" s="4">
        <v>17</v>
      </c>
      <c r="AL5015" s="4">
        <v>55</v>
      </c>
      <c r="AM5015" s="4">
        <v>57</v>
      </c>
      <c r="AN5015" s="4">
        <v>0</v>
      </c>
      <c r="AO5015" s="4">
        <v>0</v>
      </c>
      <c r="AP5015" s="4">
        <v>13</v>
      </c>
      <c r="AQ5015" s="4">
        <v>20</v>
      </c>
      <c r="AR5015" s="3" t="s">
        <v>64</v>
      </c>
      <c r="AS5015" s="3" t="s">
        <v>64</v>
      </c>
      <c r="AT5015" s="3" t="s">
        <v>64</v>
      </c>
      <c r="AV5015" s="6" t="str">
        <f>HYPERLINK("http://mcgill.on.worldcat.org/oclc/45505940","Catalog Record")</f>
        <v>Catalog Record</v>
      </c>
      <c r="AW5015" s="6" t="str">
        <f>HYPERLINK("http://www.worldcat.org/oclc/45505940","WorldCat Record")</f>
        <v>WorldCat Record</v>
      </c>
      <c r="AX5015" s="3" t="s">
        <v>48849</v>
      </c>
      <c r="AY5015" s="3" t="s">
        <v>48850</v>
      </c>
      <c r="AZ5015" s="3" t="s">
        <v>48851</v>
      </c>
      <c r="BA5015" s="3" t="s">
        <v>48851</v>
      </c>
      <c r="BB5015" s="3" t="s">
        <v>48852</v>
      </c>
      <c r="BC5015" s="3" t="s">
        <v>77</v>
      </c>
      <c r="BD5015" s="3" t="s">
        <v>78</v>
      </c>
      <c r="BE5015" s="3" t="s">
        <v>48853</v>
      </c>
      <c r="BF5015" s="3" t="s">
        <v>48852</v>
      </c>
      <c r="BG5015" s="3" t="s">
        <v>48854</v>
      </c>
      <c r="BH5015">
        <f t="shared" si="160"/>
        <v>0</v>
      </c>
    </row>
    <row r="5016" spans="1:60" ht="72.5" x14ac:dyDescent="0.35">
      <c r="A5016" s="2" t="s">
        <v>59</v>
      </c>
      <c r="B5016" s="2" t="s">
        <v>60</v>
      </c>
      <c r="C5016" s="2" t="s">
        <v>48855</v>
      </c>
      <c r="D5016" s="2" t="s">
        <v>48856</v>
      </c>
      <c r="E5016" s="2" t="s">
        <v>48857</v>
      </c>
      <c r="G5016" s="3" t="s">
        <v>64</v>
      </c>
      <c r="I5016" s="3" t="s">
        <v>64</v>
      </c>
      <c r="J5016" s="3" t="s">
        <v>64</v>
      </c>
      <c r="K5016" s="3" t="s">
        <v>65</v>
      </c>
      <c r="L5016" s="2" t="s">
        <v>48858</v>
      </c>
      <c r="M5016" s="2" t="s">
        <v>48859</v>
      </c>
      <c r="N5016" s="3" t="s">
        <v>511</v>
      </c>
      <c r="P5016" s="3" t="s">
        <v>68</v>
      </c>
      <c r="R5016" s="3" t="s">
        <v>70</v>
      </c>
      <c r="S5016" s="4">
        <v>0</v>
      </c>
      <c r="T5016" s="4">
        <v>0</v>
      </c>
      <c r="W5016" s="5" t="s">
        <v>72</v>
      </c>
      <c r="X5016" s="5" t="s">
        <v>72</v>
      </c>
      <c r="Y5016" s="4">
        <v>12</v>
      </c>
      <c r="Z5016" s="4">
        <v>1</v>
      </c>
      <c r="AA5016" s="4">
        <v>1</v>
      </c>
      <c r="AB5016" s="4">
        <v>1</v>
      </c>
      <c r="AC5016" s="4">
        <v>1</v>
      </c>
      <c r="AD5016" s="4">
        <v>6</v>
      </c>
      <c r="AE5016" s="4">
        <v>6</v>
      </c>
      <c r="AF5016" s="4">
        <v>0</v>
      </c>
      <c r="AG5016" s="4">
        <v>0</v>
      </c>
      <c r="AH5016" s="4">
        <v>6</v>
      </c>
      <c r="AI5016" s="4">
        <v>6</v>
      </c>
      <c r="AJ5016" s="4">
        <v>0</v>
      </c>
      <c r="AK5016" s="4">
        <v>0</v>
      </c>
      <c r="AL5016" s="4">
        <v>4</v>
      </c>
      <c r="AM5016" s="4">
        <v>4</v>
      </c>
      <c r="AN5016" s="4">
        <v>0</v>
      </c>
      <c r="AO5016" s="4">
        <v>0</v>
      </c>
      <c r="AP5016" s="4">
        <v>0</v>
      </c>
      <c r="AQ5016" s="4">
        <v>0</v>
      </c>
      <c r="AR5016" s="3" t="s">
        <v>64</v>
      </c>
      <c r="AS5016" s="3" t="s">
        <v>64</v>
      </c>
      <c r="AT5016" s="3" t="s">
        <v>64</v>
      </c>
      <c r="AV5016" s="6" t="str">
        <f>HYPERLINK("http://mcgill.on.worldcat.org/oclc/691853373","Catalog Record")</f>
        <v>Catalog Record</v>
      </c>
      <c r="AW5016" s="6" t="str">
        <f>HYPERLINK("http://www.worldcat.org/oclc/691853373","WorldCat Record")</f>
        <v>WorldCat Record</v>
      </c>
      <c r="AX5016" s="3" t="s">
        <v>48860</v>
      </c>
      <c r="AY5016" s="3" t="s">
        <v>48861</v>
      </c>
      <c r="AZ5016" s="3" t="s">
        <v>48862</v>
      </c>
      <c r="BA5016" s="3" t="s">
        <v>48862</v>
      </c>
      <c r="BB5016" s="3" t="s">
        <v>48863</v>
      </c>
      <c r="BC5016" s="3" t="s">
        <v>77</v>
      </c>
      <c r="BD5016" s="3" t="s">
        <v>78</v>
      </c>
      <c r="BF5016" s="3" t="s">
        <v>48863</v>
      </c>
      <c r="BG5016" s="3" t="s">
        <v>48864</v>
      </c>
      <c r="BH5016">
        <f t="shared" si="160"/>
        <v>0</v>
      </c>
    </row>
    <row r="5017" spans="1:60" ht="58" x14ac:dyDescent="0.35">
      <c r="A5017" s="2" t="s">
        <v>59</v>
      </c>
      <c r="B5017" s="2" t="s">
        <v>60</v>
      </c>
      <c r="C5017" s="2" t="s">
        <v>48865</v>
      </c>
      <c r="D5017" s="2" t="s">
        <v>48866</v>
      </c>
      <c r="E5017" s="2" t="s">
        <v>48867</v>
      </c>
      <c r="G5017" s="3" t="s">
        <v>64</v>
      </c>
      <c r="I5017" s="3" t="s">
        <v>64</v>
      </c>
      <c r="J5017" s="3" t="s">
        <v>64</v>
      </c>
      <c r="K5017" s="3" t="s">
        <v>65</v>
      </c>
      <c r="M5017" s="2" t="s">
        <v>48868</v>
      </c>
      <c r="N5017" s="3" t="s">
        <v>159</v>
      </c>
      <c r="P5017" s="3" t="s">
        <v>102</v>
      </c>
      <c r="R5017" s="3" t="s">
        <v>70</v>
      </c>
      <c r="S5017" s="4">
        <v>2</v>
      </c>
      <c r="T5017" s="4">
        <v>2</v>
      </c>
      <c r="U5017" s="5" t="s">
        <v>11603</v>
      </c>
      <c r="V5017" s="5" t="s">
        <v>11603</v>
      </c>
      <c r="W5017" s="5" t="s">
        <v>72</v>
      </c>
      <c r="X5017" s="5" t="s">
        <v>72</v>
      </c>
      <c r="Y5017" s="4">
        <v>94</v>
      </c>
      <c r="Z5017" s="4">
        <v>6</v>
      </c>
      <c r="AA5017" s="4">
        <v>73</v>
      </c>
      <c r="AB5017" s="4">
        <v>1</v>
      </c>
      <c r="AC5017" s="4">
        <v>15</v>
      </c>
      <c r="AD5017" s="4">
        <v>37</v>
      </c>
      <c r="AE5017" s="4">
        <v>97</v>
      </c>
      <c r="AF5017" s="4">
        <v>0</v>
      </c>
      <c r="AG5017" s="4">
        <v>8</v>
      </c>
      <c r="AH5017" s="4">
        <v>35</v>
      </c>
      <c r="AI5017" s="4">
        <v>68</v>
      </c>
      <c r="AJ5017" s="4">
        <v>4</v>
      </c>
      <c r="AK5017" s="4">
        <v>20</v>
      </c>
      <c r="AL5017" s="4">
        <v>23</v>
      </c>
      <c r="AM5017" s="4">
        <v>34</v>
      </c>
      <c r="AN5017" s="4">
        <v>0</v>
      </c>
      <c r="AO5017" s="4">
        <v>0</v>
      </c>
      <c r="AP5017" s="4">
        <v>4</v>
      </c>
      <c r="AQ5017" s="4">
        <v>37</v>
      </c>
      <c r="AR5017" s="3" t="s">
        <v>64</v>
      </c>
      <c r="AS5017" s="3" t="s">
        <v>64</v>
      </c>
      <c r="AT5017" s="3" t="s">
        <v>64</v>
      </c>
      <c r="AV5017" s="6" t="str">
        <f>HYPERLINK("http://mcgill.on.worldcat.org/oclc/47863239","Catalog Record")</f>
        <v>Catalog Record</v>
      </c>
      <c r="AW5017" s="6" t="str">
        <f>HYPERLINK("http://www.worldcat.org/oclc/47863239","WorldCat Record")</f>
        <v>WorldCat Record</v>
      </c>
      <c r="AX5017" s="3" t="s">
        <v>48869</v>
      </c>
      <c r="AY5017" s="3" t="s">
        <v>48870</v>
      </c>
      <c r="AZ5017" s="3" t="s">
        <v>48871</v>
      </c>
      <c r="BA5017" s="3" t="s">
        <v>48871</v>
      </c>
      <c r="BB5017" s="3" t="s">
        <v>48872</v>
      </c>
      <c r="BC5017" s="3" t="s">
        <v>77</v>
      </c>
      <c r="BD5017" s="3" t="s">
        <v>78</v>
      </c>
      <c r="BE5017" s="3" t="s">
        <v>48873</v>
      </c>
      <c r="BF5017" s="3" t="s">
        <v>48872</v>
      </c>
      <c r="BG5017" s="3" t="s">
        <v>48874</v>
      </c>
      <c r="BH5017">
        <f t="shared" si="160"/>
        <v>0</v>
      </c>
    </row>
    <row r="5018" spans="1:60" ht="58" x14ac:dyDescent="0.35">
      <c r="A5018" s="2" t="s">
        <v>59</v>
      </c>
      <c r="B5018" s="2" t="s">
        <v>60</v>
      </c>
      <c r="C5018" s="2" t="s">
        <v>48875</v>
      </c>
      <c r="D5018" s="2" t="s">
        <v>48876</v>
      </c>
      <c r="E5018" s="2" t="s">
        <v>48877</v>
      </c>
      <c r="F5018" s="3" t="s">
        <v>19804</v>
      </c>
      <c r="G5018" s="3" t="s">
        <v>64</v>
      </c>
      <c r="I5018" s="3" t="s">
        <v>64</v>
      </c>
      <c r="J5018" s="3" t="s">
        <v>64</v>
      </c>
      <c r="K5018" s="3" t="s">
        <v>65</v>
      </c>
      <c r="L5018" s="2" t="s">
        <v>48878</v>
      </c>
      <c r="M5018" s="2" t="s">
        <v>38751</v>
      </c>
      <c r="N5018" s="3" t="s">
        <v>511</v>
      </c>
      <c r="P5018" s="3" t="s">
        <v>102</v>
      </c>
      <c r="R5018" s="3" t="s">
        <v>70</v>
      </c>
      <c r="S5018" s="4">
        <v>0</v>
      </c>
      <c r="T5018" s="4">
        <v>0</v>
      </c>
      <c r="W5018" s="5" t="s">
        <v>72</v>
      </c>
      <c r="X5018" s="5" t="s">
        <v>72</v>
      </c>
      <c r="Y5018" s="4">
        <v>154</v>
      </c>
      <c r="Z5018" s="4">
        <v>17</v>
      </c>
      <c r="AA5018" s="4">
        <v>18</v>
      </c>
      <c r="AB5018" s="4">
        <v>1</v>
      </c>
      <c r="AC5018" s="4">
        <v>2</v>
      </c>
      <c r="AD5018" s="4">
        <v>63</v>
      </c>
      <c r="AE5018" s="4">
        <v>64</v>
      </c>
      <c r="AF5018" s="4">
        <v>0</v>
      </c>
      <c r="AG5018" s="4">
        <v>1</v>
      </c>
      <c r="AH5018" s="4">
        <v>54</v>
      </c>
      <c r="AI5018" s="4">
        <v>54</v>
      </c>
      <c r="AJ5018" s="4">
        <v>11</v>
      </c>
      <c r="AK5018" s="4">
        <v>12</v>
      </c>
      <c r="AL5018" s="4">
        <v>37</v>
      </c>
      <c r="AM5018" s="4">
        <v>37</v>
      </c>
      <c r="AN5018" s="4">
        <v>0</v>
      </c>
      <c r="AO5018" s="4">
        <v>0</v>
      </c>
      <c r="AP5018" s="4">
        <v>13</v>
      </c>
      <c r="AQ5018" s="4">
        <v>14</v>
      </c>
      <c r="AR5018" s="3" t="s">
        <v>64</v>
      </c>
      <c r="AS5018" s="3" t="s">
        <v>64</v>
      </c>
      <c r="AT5018" s="3" t="s">
        <v>64</v>
      </c>
      <c r="AV5018" s="6" t="str">
        <f>HYPERLINK("http://mcgill.on.worldcat.org/oclc/694238159","Catalog Record")</f>
        <v>Catalog Record</v>
      </c>
      <c r="AW5018" s="6" t="str">
        <f>HYPERLINK("http://www.worldcat.org/oclc/694238159","WorldCat Record")</f>
        <v>WorldCat Record</v>
      </c>
      <c r="AX5018" s="3" t="s">
        <v>48879</v>
      </c>
      <c r="AY5018" s="3" t="s">
        <v>48880</v>
      </c>
      <c r="AZ5018" s="3" t="s">
        <v>48881</v>
      </c>
      <c r="BA5018" s="3" t="s">
        <v>48881</v>
      </c>
      <c r="BB5018" s="3" t="s">
        <v>48882</v>
      </c>
      <c r="BC5018" s="3" t="s">
        <v>77</v>
      </c>
      <c r="BD5018" s="3" t="s">
        <v>78</v>
      </c>
      <c r="BE5018" s="3" t="s">
        <v>48883</v>
      </c>
      <c r="BF5018" s="3" t="s">
        <v>48882</v>
      </c>
      <c r="BG5018" s="3" t="s">
        <v>48884</v>
      </c>
      <c r="BH5018">
        <f t="shared" si="160"/>
        <v>0</v>
      </c>
    </row>
    <row r="5019" spans="1:60" ht="58" x14ac:dyDescent="0.35">
      <c r="A5019" s="2" t="s">
        <v>59</v>
      </c>
      <c r="B5019" s="2" t="s">
        <v>60</v>
      </c>
      <c r="C5019" s="2" t="s">
        <v>48885</v>
      </c>
      <c r="D5019" s="2" t="s">
        <v>48886</v>
      </c>
      <c r="E5019" s="2" t="s">
        <v>48887</v>
      </c>
      <c r="G5019" s="3" t="s">
        <v>64</v>
      </c>
      <c r="I5019" s="3" t="s">
        <v>64</v>
      </c>
      <c r="J5019" s="3" t="s">
        <v>64</v>
      </c>
      <c r="K5019" s="3" t="s">
        <v>65</v>
      </c>
      <c r="L5019" s="2" t="s">
        <v>48888</v>
      </c>
      <c r="M5019" s="2" t="s">
        <v>48889</v>
      </c>
      <c r="N5019" s="3" t="s">
        <v>481</v>
      </c>
      <c r="P5019" s="3" t="s">
        <v>102</v>
      </c>
      <c r="Q5019" s="2" t="s">
        <v>48890</v>
      </c>
      <c r="R5019" s="3" t="s">
        <v>70</v>
      </c>
      <c r="S5019" s="4">
        <v>1</v>
      </c>
      <c r="T5019" s="4">
        <v>1</v>
      </c>
      <c r="U5019" s="5" t="s">
        <v>45620</v>
      </c>
      <c r="V5019" s="5" t="s">
        <v>45620</v>
      </c>
      <c r="W5019" s="5" t="s">
        <v>72</v>
      </c>
      <c r="X5019" s="5" t="s">
        <v>72</v>
      </c>
      <c r="Y5019" s="4">
        <v>461</v>
      </c>
      <c r="Z5019" s="4">
        <v>21</v>
      </c>
      <c r="AA5019" s="4">
        <v>24</v>
      </c>
      <c r="AB5019" s="4">
        <v>2</v>
      </c>
      <c r="AC5019" s="4">
        <v>2</v>
      </c>
      <c r="AD5019" s="4">
        <v>111</v>
      </c>
      <c r="AE5019" s="4">
        <v>116</v>
      </c>
      <c r="AF5019" s="4">
        <v>1</v>
      </c>
      <c r="AG5019" s="4">
        <v>1</v>
      </c>
      <c r="AH5019" s="4">
        <v>97</v>
      </c>
      <c r="AI5019" s="4">
        <v>101</v>
      </c>
      <c r="AJ5019" s="4">
        <v>16</v>
      </c>
      <c r="AK5019" s="4">
        <v>18</v>
      </c>
      <c r="AL5019" s="4">
        <v>55</v>
      </c>
      <c r="AM5019" s="4">
        <v>57</v>
      </c>
      <c r="AN5019" s="4">
        <v>2</v>
      </c>
      <c r="AO5019" s="4">
        <v>2</v>
      </c>
      <c r="AP5019" s="4">
        <v>19</v>
      </c>
      <c r="AQ5019" s="4">
        <v>21</v>
      </c>
      <c r="AR5019" s="3" t="s">
        <v>64</v>
      </c>
      <c r="AS5019" s="3" t="s">
        <v>64</v>
      </c>
      <c r="AT5019" s="3" t="s">
        <v>128</v>
      </c>
      <c r="AU5019" s="6" t="str">
        <f>HYPERLINK("http://catalog.hathitrust.org/Record/001194701","HathiTrust Record")</f>
        <v>HathiTrust Record</v>
      </c>
      <c r="AV5019" s="6" t="str">
        <f>HYPERLINK("http://mcgill.on.worldcat.org/oclc/1165004","Catalog Record")</f>
        <v>Catalog Record</v>
      </c>
      <c r="AW5019" s="6" t="str">
        <f>HYPERLINK("http://www.worldcat.org/oclc/1165004","WorldCat Record")</f>
        <v>WorldCat Record</v>
      </c>
      <c r="AX5019" s="3" t="s">
        <v>48891</v>
      </c>
      <c r="AY5019" s="3" t="s">
        <v>48892</v>
      </c>
      <c r="AZ5019" s="3" t="s">
        <v>48893</v>
      </c>
      <c r="BA5019" s="3" t="s">
        <v>48893</v>
      </c>
      <c r="BB5019" s="3" t="s">
        <v>48894</v>
      </c>
      <c r="BC5019" s="3" t="s">
        <v>77</v>
      </c>
      <c r="BD5019" s="3" t="s">
        <v>78</v>
      </c>
      <c r="BF5019" s="3" t="s">
        <v>48894</v>
      </c>
      <c r="BG5019" s="3" t="s">
        <v>48895</v>
      </c>
      <c r="BH5019">
        <f t="shared" si="160"/>
        <v>0</v>
      </c>
    </row>
    <row r="5020" spans="1:60" ht="58" x14ac:dyDescent="0.35">
      <c r="A5020" s="2" t="s">
        <v>1040</v>
      </c>
      <c r="B5020" s="2" t="s">
        <v>60</v>
      </c>
      <c r="C5020" s="2" t="s">
        <v>48896</v>
      </c>
      <c r="D5020" s="2" t="s">
        <v>48897</v>
      </c>
      <c r="E5020" s="2" t="s">
        <v>48898</v>
      </c>
      <c r="G5020" s="3" t="s">
        <v>64</v>
      </c>
      <c r="I5020" s="3" t="s">
        <v>64</v>
      </c>
      <c r="J5020" s="3" t="s">
        <v>64</v>
      </c>
      <c r="K5020" s="3" t="s">
        <v>65</v>
      </c>
      <c r="L5020" s="2" t="s">
        <v>48899</v>
      </c>
      <c r="M5020" s="2" t="s">
        <v>48900</v>
      </c>
      <c r="N5020" s="3" t="s">
        <v>3721</v>
      </c>
      <c r="P5020" s="3" t="s">
        <v>102</v>
      </c>
      <c r="R5020" s="3" t="s">
        <v>70</v>
      </c>
      <c r="S5020" s="4">
        <v>11</v>
      </c>
      <c r="T5020" s="4">
        <v>11</v>
      </c>
      <c r="U5020" s="5" t="s">
        <v>6727</v>
      </c>
      <c r="V5020" s="5" t="s">
        <v>6727</v>
      </c>
      <c r="W5020" s="5" t="s">
        <v>72</v>
      </c>
      <c r="X5020" s="5" t="s">
        <v>72</v>
      </c>
      <c r="Y5020" s="4">
        <v>127</v>
      </c>
      <c r="Z5020" s="4">
        <v>12</v>
      </c>
      <c r="AA5020" s="4">
        <v>13</v>
      </c>
      <c r="AB5020" s="4">
        <v>1</v>
      </c>
      <c r="AC5020" s="4">
        <v>1</v>
      </c>
      <c r="AD5020" s="4">
        <v>45</v>
      </c>
      <c r="AE5020" s="4">
        <v>46</v>
      </c>
      <c r="AF5020" s="4">
        <v>0</v>
      </c>
      <c r="AG5020" s="4">
        <v>0</v>
      </c>
      <c r="AH5020" s="4">
        <v>42</v>
      </c>
      <c r="AI5020" s="4">
        <v>42</v>
      </c>
      <c r="AJ5020" s="4">
        <v>6</v>
      </c>
      <c r="AK5020" s="4">
        <v>7</v>
      </c>
      <c r="AL5020" s="4">
        <v>26</v>
      </c>
      <c r="AM5020" s="4">
        <v>26</v>
      </c>
      <c r="AN5020" s="4">
        <v>0</v>
      </c>
      <c r="AO5020" s="4">
        <v>0</v>
      </c>
      <c r="AP5020" s="4">
        <v>7</v>
      </c>
      <c r="AQ5020" s="4">
        <v>8</v>
      </c>
      <c r="AR5020" s="3" t="s">
        <v>64</v>
      </c>
      <c r="AS5020" s="3" t="s">
        <v>64</v>
      </c>
      <c r="AT5020" s="3" t="s">
        <v>64</v>
      </c>
      <c r="AV5020" s="6" t="str">
        <f>HYPERLINK("http://mcgill.on.worldcat.org/oclc/5661579","Catalog Record")</f>
        <v>Catalog Record</v>
      </c>
      <c r="AW5020" s="6" t="str">
        <f>HYPERLINK("http://www.worldcat.org/oclc/5661579","WorldCat Record")</f>
        <v>WorldCat Record</v>
      </c>
      <c r="AX5020" s="3" t="s">
        <v>48901</v>
      </c>
      <c r="AY5020" s="3" t="s">
        <v>48902</v>
      </c>
      <c r="AZ5020" s="3" t="s">
        <v>48903</v>
      </c>
      <c r="BA5020" s="3" t="s">
        <v>48903</v>
      </c>
      <c r="BB5020" s="3" t="s">
        <v>48904</v>
      </c>
      <c r="BC5020" s="3" t="s">
        <v>77</v>
      </c>
      <c r="BD5020" s="3" t="s">
        <v>78</v>
      </c>
      <c r="BE5020" s="3" t="s">
        <v>48905</v>
      </c>
      <c r="BF5020" s="3" t="s">
        <v>48904</v>
      </c>
      <c r="BG5020" s="3" t="s">
        <v>48906</v>
      </c>
      <c r="BH5020">
        <f t="shared" si="160"/>
        <v>0</v>
      </c>
    </row>
    <row r="5021" spans="1:60" ht="58" x14ac:dyDescent="0.35">
      <c r="A5021" s="2" t="s">
        <v>59</v>
      </c>
      <c r="B5021" s="2" t="s">
        <v>60</v>
      </c>
      <c r="C5021" s="2" t="s">
        <v>48907</v>
      </c>
      <c r="D5021" s="2" t="s">
        <v>48908</v>
      </c>
      <c r="E5021" s="2" t="s">
        <v>48909</v>
      </c>
      <c r="G5021" s="3" t="s">
        <v>64</v>
      </c>
      <c r="I5021" s="3" t="s">
        <v>64</v>
      </c>
      <c r="J5021" s="3" t="s">
        <v>64</v>
      </c>
      <c r="K5021" s="3" t="s">
        <v>65</v>
      </c>
      <c r="M5021" s="2" t="s">
        <v>48910</v>
      </c>
      <c r="N5021" s="3" t="s">
        <v>392</v>
      </c>
      <c r="P5021" s="3" t="s">
        <v>4873</v>
      </c>
      <c r="R5021" s="3" t="s">
        <v>70</v>
      </c>
      <c r="S5021" s="4">
        <v>2</v>
      </c>
      <c r="T5021" s="4">
        <v>2</v>
      </c>
      <c r="U5021" s="5" t="s">
        <v>40150</v>
      </c>
      <c r="V5021" s="5" t="s">
        <v>40150</v>
      </c>
      <c r="W5021" s="5" t="s">
        <v>72</v>
      </c>
      <c r="X5021" s="5" t="s">
        <v>72</v>
      </c>
      <c r="Y5021" s="4">
        <v>53</v>
      </c>
      <c r="Z5021" s="4">
        <v>2</v>
      </c>
      <c r="AA5021" s="4">
        <v>2</v>
      </c>
      <c r="AB5021" s="4">
        <v>1</v>
      </c>
      <c r="AC5021" s="4">
        <v>1</v>
      </c>
      <c r="AD5021" s="4">
        <v>36</v>
      </c>
      <c r="AE5021" s="4">
        <v>36</v>
      </c>
      <c r="AF5021" s="4">
        <v>0</v>
      </c>
      <c r="AG5021" s="4">
        <v>0</v>
      </c>
      <c r="AH5021" s="4">
        <v>35</v>
      </c>
      <c r="AI5021" s="4">
        <v>35</v>
      </c>
      <c r="AJ5021" s="4">
        <v>1</v>
      </c>
      <c r="AK5021" s="4">
        <v>1</v>
      </c>
      <c r="AL5021" s="4">
        <v>27</v>
      </c>
      <c r="AM5021" s="4">
        <v>27</v>
      </c>
      <c r="AN5021" s="4">
        <v>0</v>
      </c>
      <c r="AO5021" s="4">
        <v>0</v>
      </c>
      <c r="AP5021" s="4">
        <v>1</v>
      </c>
      <c r="AQ5021" s="4">
        <v>1</v>
      </c>
      <c r="AR5021" s="3" t="s">
        <v>64</v>
      </c>
      <c r="AS5021" s="3" t="s">
        <v>64</v>
      </c>
      <c r="AT5021" s="3" t="s">
        <v>64</v>
      </c>
      <c r="AV5021" s="6" t="str">
        <f>HYPERLINK("http://mcgill.on.worldcat.org/oclc/43746197","Catalog Record")</f>
        <v>Catalog Record</v>
      </c>
      <c r="AW5021" s="6" t="str">
        <f>HYPERLINK("http://www.worldcat.org/oclc/43746197","WorldCat Record")</f>
        <v>WorldCat Record</v>
      </c>
      <c r="AX5021" s="3" t="s">
        <v>48911</v>
      </c>
      <c r="AY5021" s="3" t="s">
        <v>48912</v>
      </c>
      <c r="AZ5021" s="3" t="s">
        <v>48913</v>
      </c>
      <c r="BA5021" s="3" t="s">
        <v>48913</v>
      </c>
      <c r="BB5021" s="3" t="s">
        <v>48914</v>
      </c>
      <c r="BC5021" s="3" t="s">
        <v>77</v>
      </c>
      <c r="BD5021" s="3" t="s">
        <v>78</v>
      </c>
      <c r="BE5021" s="3" t="s">
        <v>48915</v>
      </c>
      <c r="BF5021" s="3" t="s">
        <v>48914</v>
      </c>
      <c r="BG5021" s="3" t="s">
        <v>48916</v>
      </c>
      <c r="BH5021">
        <f t="shared" si="160"/>
        <v>0</v>
      </c>
    </row>
    <row r="5022" spans="1:60" ht="58" x14ac:dyDescent="0.35">
      <c r="A5022" s="2" t="s">
        <v>59</v>
      </c>
      <c r="B5022" s="2" t="s">
        <v>60</v>
      </c>
      <c r="C5022" s="2" t="s">
        <v>48917</v>
      </c>
      <c r="D5022" s="2" t="s">
        <v>48918</v>
      </c>
      <c r="E5022" s="2" t="s">
        <v>48919</v>
      </c>
      <c r="G5022" s="3" t="s">
        <v>64</v>
      </c>
      <c r="I5022" s="3" t="s">
        <v>64</v>
      </c>
      <c r="J5022" s="3" t="s">
        <v>64</v>
      </c>
      <c r="K5022" s="3" t="s">
        <v>65</v>
      </c>
      <c r="M5022" s="2" t="s">
        <v>48920</v>
      </c>
      <c r="N5022" s="3" t="s">
        <v>1938</v>
      </c>
      <c r="P5022" s="3" t="s">
        <v>4873</v>
      </c>
      <c r="R5022" s="3" t="s">
        <v>70</v>
      </c>
      <c r="S5022" s="4">
        <v>2</v>
      </c>
      <c r="T5022" s="4">
        <v>2</v>
      </c>
      <c r="U5022" s="5" t="s">
        <v>40150</v>
      </c>
      <c r="V5022" s="5" t="s">
        <v>40150</v>
      </c>
      <c r="W5022" s="5" t="s">
        <v>72</v>
      </c>
      <c r="X5022" s="5" t="s">
        <v>72</v>
      </c>
      <c r="Y5022" s="4">
        <v>43</v>
      </c>
      <c r="Z5022" s="4">
        <v>4</v>
      </c>
      <c r="AA5022" s="4">
        <v>4</v>
      </c>
      <c r="AB5022" s="4">
        <v>1</v>
      </c>
      <c r="AC5022" s="4">
        <v>1</v>
      </c>
      <c r="AD5022" s="4">
        <v>30</v>
      </c>
      <c r="AE5022" s="4">
        <v>30</v>
      </c>
      <c r="AF5022" s="4">
        <v>0</v>
      </c>
      <c r="AG5022" s="4">
        <v>0</v>
      </c>
      <c r="AH5022" s="4">
        <v>30</v>
      </c>
      <c r="AI5022" s="4">
        <v>30</v>
      </c>
      <c r="AJ5022" s="4">
        <v>3</v>
      </c>
      <c r="AK5022" s="4">
        <v>3</v>
      </c>
      <c r="AL5022" s="4">
        <v>21</v>
      </c>
      <c r="AM5022" s="4">
        <v>21</v>
      </c>
      <c r="AN5022" s="4">
        <v>0</v>
      </c>
      <c r="AO5022" s="4">
        <v>0</v>
      </c>
      <c r="AP5022" s="4">
        <v>3</v>
      </c>
      <c r="AQ5022" s="4">
        <v>3</v>
      </c>
      <c r="AR5022" s="3" t="s">
        <v>64</v>
      </c>
      <c r="AS5022" s="3" t="s">
        <v>64</v>
      </c>
      <c r="AT5022" s="3" t="s">
        <v>128</v>
      </c>
      <c r="AU5022" s="6" t="str">
        <f>HYPERLINK("http://catalog.hathitrust.org/Record/007016474","HathiTrust Record")</f>
        <v>HathiTrust Record</v>
      </c>
      <c r="AV5022" s="6" t="str">
        <f>HYPERLINK("http://mcgill.on.worldcat.org/oclc/28687803","Catalog Record")</f>
        <v>Catalog Record</v>
      </c>
      <c r="AW5022" s="6" t="str">
        <f>HYPERLINK("http://www.worldcat.org/oclc/28687803","WorldCat Record")</f>
        <v>WorldCat Record</v>
      </c>
      <c r="AX5022" s="3" t="s">
        <v>48921</v>
      </c>
      <c r="AY5022" s="3" t="s">
        <v>48922</v>
      </c>
      <c r="AZ5022" s="3" t="s">
        <v>48923</v>
      </c>
      <c r="BA5022" s="3" t="s">
        <v>48923</v>
      </c>
      <c r="BB5022" s="3" t="s">
        <v>48924</v>
      </c>
      <c r="BC5022" s="3" t="s">
        <v>77</v>
      </c>
      <c r="BD5022" s="3" t="s">
        <v>78</v>
      </c>
      <c r="BF5022" s="3" t="s">
        <v>48924</v>
      </c>
      <c r="BG5022" s="3" t="s">
        <v>48925</v>
      </c>
      <c r="BH5022">
        <f t="shared" si="160"/>
        <v>0</v>
      </c>
    </row>
    <row r="5023" spans="1:60" ht="58" x14ac:dyDescent="0.35">
      <c r="A5023" s="2" t="s">
        <v>59</v>
      </c>
      <c r="B5023" s="2" t="s">
        <v>60</v>
      </c>
      <c r="C5023" s="2" t="s">
        <v>48926</v>
      </c>
      <c r="D5023" s="2" t="s">
        <v>48927</v>
      </c>
      <c r="E5023" s="2" t="s">
        <v>48928</v>
      </c>
      <c r="G5023" s="3" t="s">
        <v>64</v>
      </c>
      <c r="I5023" s="3" t="s">
        <v>64</v>
      </c>
      <c r="J5023" s="3" t="s">
        <v>64</v>
      </c>
      <c r="K5023" s="3" t="s">
        <v>65</v>
      </c>
      <c r="L5023" s="2" t="s">
        <v>48929</v>
      </c>
      <c r="M5023" s="2" t="s">
        <v>14033</v>
      </c>
      <c r="N5023" s="3" t="s">
        <v>434</v>
      </c>
      <c r="P5023" s="3" t="s">
        <v>102</v>
      </c>
      <c r="R5023" s="3" t="s">
        <v>70</v>
      </c>
      <c r="S5023" s="4">
        <v>4</v>
      </c>
      <c r="T5023" s="4">
        <v>4</v>
      </c>
      <c r="U5023" s="5" t="s">
        <v>40150</v>
      </c>
      <c r="V5023" s="5" t="s">
        <v>40150</v>
      </c>
      <c r="W5023" s="5" t="s">
        <v>72</v>
      </c>
      <c r="X5023" s="5" t="s">
        <v>72</v>
      </c>
      <c r="Y5023" s="4">
        <v>200</v>
      </c>
      <c r="Z5023" s="4">
        <v>16</v>
      </c>
      <c r="AA5023" s="4">
        <v>17</v>
      </c>
      <c r="AB5023" s="4">
        <v>1</v>
      </c>
      <c r="AC5023" s="4">
        <v>2</v>
      </c>
      <c r="AD5023" s="4">
        <v>75</v>
      </c>
      <c r="AE5023" s="4">
        <v>76</v>
      </c>
      <c r="AF5023" s="4">
        <v>0</v>
      </c>
      <c r="AG5023" s="4">
        <v>1</v>
      </c>
      <c r="AH5023" s="4">
        <v>70</v>
      </c>
      <c r="AI5023" s="4">
        <v>70</v>
      </c>
      <c r="AJ5023" s="4">
        <v>11</v>
      </c>
      <c r="AK5023" s="4">
        <v>12</v>
      </c>
      <c r="AL5023" s="4">
        <v>45</v>
      </c>
      <c r="AM5023" s="4">
        <v>45</v>
      </c>
      <c r="AN5023" s="4">
        <v>0</v>
      </c>
      <c r="AO5023" s="4">
        <v>0</v>
      </c>
      <c r="AP5023" s="4">
        <v>12</v>
      </c>
      <c r="AQ5023" s="4">
        <v>12</v>
      </c>
      <c r="AR5023" s="3" t="s">
        <v>64</v>
      </c>
      <c r="AS5023" s="3" t="s">
        <v>64</v>
      </c>
      <c r="AT5023" s="3" t="s">
        <v>128</v>
      </c>
      <c r="AU5023" s="6" t="str">
        <f>HYPERLINK("http://catalog.hathitrust.org/Record/008311351","HathiTrust Record")</f>
        <v>HathiTrust Record</v>
      </c>
      <c r="AV5023" s="6" t="str">
        <f>HYPERLINK("http://mcgill.on.worldcat.org/oclc/56608005","Catalog Record")</f>
        <v>Catalog Record</v>
      </c>
      <c r="AW5023" s="6" t="str">
        <f>HYPERLINK("http://www.worldcat.org/oclc/56608005","WorldCat Record")</f>
        <v>WorldCat Record</v>
      </c>
      <c r="AX5023" s="3" t="s">
        <v>48930</v>
      </c>
      <c r="AY5023" s="3" t="s">
        <v>48931</v>
      </c>
      <c r="AZ5023" s="3" t="s">
        <v>48932</v>
      </c>
      <c r="BA5023" s="3" t="s">
        <v>48932</v>
      </c>
      <c r="BB5023" s="3" t="s">
        <v>48933</v>
      </c>
      <c r="BC5023" s="3" t="s">
        <v>77</v>
      </c>
      <c r="BD5023" s="3" t="s">
        <v>78</v>
      </c>
      <c r="BE5023" s="3" t="s">
        <v>48934</v>
      </c>
      <c r="BF5023" s="3" t="s">
        <v>48933</v>
      </c>
      <c r="BG5023" s="3" t="s">
        <v>48935</v>
      </c>
      <c r="BH5023">
        <f t="shared" si="160"/>
        <v>0</v>
      </c>
    </row>
    <row r="5024" spans="1:60" ht="58" x14ac:dyDescent="0.35">
      <c r="A5024" s="2" t="s">
        <v>59</v>
      </c>
      <c r="B5024" s="2" t="s">
        <v>60</v>
      </c>
      <c r="C5024" s="2" t="s">
        <v>48936</v>
      </c>
      <c r="D5024" s="2" t="s">
        <v>48937</v>
      </c>
      <c r="E5024" s="2" t="s">
        <v>48938</v>
      </c>
      <c r="G5024" s="3" t="s">
        <v>64</v>
      </c>
      <c r="I5024" s="3" t="s">
        <v>64</v>
      </c>
      <c r="J5024" s="3" t="s">
        <v>64</v>
      </c>
      <c r="K5024" s="3" t="s">
        <v>65</v>
      </c>
      <c r="L5024" s="2" t="s">
        <v>48929</v>
      </c>
      <c r="M5024" s="2" t="s">
        <v>35108</v>
      </c>
      <c r="N5024" s="3" t="s">
        <v>3721</v>
      </c>
      <c r="P5024" s="3" t="s">
        <v>102</v>
      </c>
      <c r="Q5024" s="2" t="s">
        <v>48939</v>
      </c>
      <c r="R5024" s="3" t="s">
        <v>70</v>
      </c>
      <c r="S5024" s="4">
        <v>2</v>
      </c>
      <c r="T5024" s="4">
        <v>2</v>
      </c>
      <c r="U5024" s="5" t="s">
        <v>40150</v>
      </c>
      <c r="V5024" s="5" t="s">
        <v>40150</v>
      </c>
      <c r="W5024" s="5" t="s">
        <v>72</v>
      </c>
      <c r="X5024" s="5" t="s">
        <v>72</v>
      </c>
      <c r="Y5024" s="4">
        <v>548</v>
      </c>
      <c r="Z5024" s="4">
        <v>28</v>
      </c>
      <c r="AA5024" s="4">
        <v>30</v>
      </c>
      <c r="AB5024" s="4">
        <v>2</v>
      </c>
      <c r="AC5024" s="4">
        <v>4</v>
      </c>
      <c r="AD5024" s="4">
        <v>117</v>
      </c>
      <c r="AE5024" s="4">
        <v>118</v>
      </c>
      <c r="AF5024" s="4">
        <v>1</v>
      </c>
      <c r="AG5024" s="4">
        <v>2</v>
      </c>
      <c r="AH5024" s="4">
        <v>103</v>
      </c>
      <c r="AI5024" s="4">
        <v>104</v>
      </c>
      <c r="AJ5024" s="4">
        <v>19</v>
      </c>
      <c r="AK5024" s="4">
        <v>20</v>
      </c>
      <c r="AL5024" s="4">
        <v>54</v>
      </c>
      <c r="AM5024" s="4">
        <v>54</v>
      </c>
      <c r="AN5024" s="4">
        <v>0</v>
      </c>
      <c r="AO5024" s="4">
        <v>0</v>
      </c>
      <c r="AP5024" s="4">
        <v>22</v>
      </c>
      <c r="AQ5024" s="4">
        <v>23</v>
      </c>
      <c r="AR5024" s="3" t="s">
        <v>64</v>
      </c>
      <c r="AS5024" s="3" t="s">
        <v>64</v>
      </c>
      <c r="AT5024" s="3" t="s">
        <v>128</v>
      </c>
      <c r="AU5024" s="6" t="str">
        <f>HYPERLINK("http://catalog.hathitrust.org/Record/000754638","HathiTrust Record")</f>
        <v>HathiTrust Record</v>
      </c>
      <c r="AV5024" s="6" t="str">
        <f>HYPERLINK("http://mcgill.on.worldcat.org/oclc/5171591","Catalog Record")</f>
        <v>Catalog Record</v>
      </c>
      <c r="AW5024" s="6" t="str">
        <f>HYPERLINK("http://www.worldcat.org/oclc/5171591","WorldCat Record")</f>
        <v>WorldCat Record</v>
      </c>
      <c r="AX5024" s="3" t="s">
        <v>48940</v>
      </c>
      <c r="AY5024" s="3" t="s">
        <v>48941</v>
      </c>
      <c r="AZ5024" s="3" t="s">
        <v>48942</v>
      </c>
      <c r="BA5024" s="3" t="s">
        <v>48942</v>
      </c>
      <c r="BB5024" s="3" t="s">
        <v>48943</v>
      </c>
      <c r="BC5024" s="3" t="s">
        <v>77</v>
      </c>
      <c r="BD5024" s="3" t="s">
        <v>78</v>
      </c>
      <c r="BE5024" s="3" t="s">
        <v>48944</v>
      </c>
      <c r="BF5024" s="3" t="s">
        <v>48943</v>
      </c>
      <c r="BG5024" s="3" t="s">
        <v>48945</v>
      </c>
      <c r="BH5024">
        <f t="shared" si="160"/>
        <v>0</v>
      </c>
    </row>
    <row r="5025" spans="1:60" ht="58" x14ac:dyDescent="0.35">
      <c r="A5025" s="2" t="s">
        <v>59</v>
      </c>
      <c r="B5025" s="2" t="s">
        <v>60</v>
      </c>
      <c r="C5025" s="2" t="s">
        <v>48946</v>
      </c>
      <c r="D5025" s="2" t="s">
        <v>48947</v>
      </c>
      <c r="E5025" s="2" t="s">
        <v>48948</v>
      </c>
      <c r="F5025" s="3" t="s">
        <v>41264</v>
      </c>
      <c r="G5025" s="3" t="s">
        <v>128</v>
      </c>
      <c r="I5025" s="3" t="s">
        <v>64</v>
      </c>
      <c r="J5025" s="3" t="s">
        <v>64</v>
      </c>
      <c r="K5025" s="3" t="s">
        <v>65</v>
      </c>
      <c r="L5025" s="2" t="s">
        <v>48949</v>
      </c>
      <c r="N5025" s="3" t="s">
        <v>3761</v>
      </c>
      <c r="P5025" s="3" t="s">
        <v>4873</v>
      </c>
      <c r="R5025" s="3" t="s">
        <v>70</v>
      </c>
      <c r="S5025" s="4">
        <v>2</v>
      </c>
      <c r="T5025" s="4">
        <v>4</v>
      </c>
      <c r="U5025" s="5" t="s">
        <v>40150</v>
      </c>
      <c r="V5025" s="5" t="s">
        <v>40150</v>
      </c>
      <c r="W5025" s="5" t="s">
        <v>72</v>
      </c>
      <c r="X5025" s="5" t="s">
        <v>72</v>
      </c>
      <c r="Y5025" s="4">
        <v>2</v>
      </c>
      <c r="Z5025" s="4">
        <v>2</v>
      </c>
      <c r="AA5025" s="4">
        <v>2</v>
      </c>
      <c r="AB5025" s="4">
        <v>1</v>
      </c>
      <c r="AC5025" s="4">
        <v>1</v>
      </c>
      <c r="AD5025" s="4">
        <v>1</v>
      </c>
      <c r="AE5025" s="4">
        <v>1</v>
      </c>
      <c r="AF5025" s="4">
        <v>0</v>
      </c>
      <c r="AG5025" s="4">
        <v>0</v>
      </c>
      <c r="AH5025" s="4">
        <v>1</v>
      </c>
      <c r="AI5025" s="4">
        <v>1</v>
      </c>
      <c r="AJ5025" s="4">
        <v>1</v>
      </c>
      <c r="AK5025" s="4">
        <v>1</v>
      </c>
      <c r="AL5025" s="4">
        <v>0</v>
      </c>
      <c r="AM5025" s="4">
        <v>0</v>
      </c>
      <c r="AN5025" s="4">
        <v>0</v>
      </c>
      <c r="AO5025" s="4">
        <v>0</v>
      </c>
      <c r="AP5025" s="4">
        <v>1</v>
      </c>
      <c r="AQ5025" s="4">
        <v>1</v>
      </c>
      <c r="AR5025" s="3" t="s">
        <v>64</v>
      </c>
      <c r="AS5025" s="3" t="s">
        <v>64</v>
      </c>
      <c r="AT5025" s="3" t="s">
        <v>128</v>
      </c>
      <c r="AU5025" s="6" t="str">
        <f>HYPERLINK("http://catalog.hathitrust.org/Record/000048079","HathiTrust Record")</f>
        <v>HathiTrust Record</v>
      </c>
      <c r="AV5025" s="6" t="str">
        <f>HYPERLINK("http://mcgill.on.worldcat.org/oclc/427373524","Catalog Record")</f>
        <v>Catalog Record</v>
      </c>
      <c r="AW5025" s="6" t="str">
        <f>HYPERLINK("http://www.worldcat.org/oclc/427373524","WorldCat Record")</f>
        <v>WorldCat Record</v>
      </c>
      <c r="AX5025" s="3" t="s">
        <v>48950</v>
      </c>
      <c r="AY5025" s="3" t="s">
        <v>48951</v>
      </c>
      <c r="AZ5025" s="3" t="s">
        <v>48952</v>
      </c>
      <c r="BA5025" s="3" t="s">
        <v>48952</v>
      </c>
      <c r="BB5025" s="3" t="s">
        <v>48953</v>
      </c>
      <c r="BC5025" s="3" t="s">
        <v>77</v>
      </c>
      <c r="BD5025" s="3" t="s">
        <v>78</v>
      </c>
      <c r="BF5025" s="3" t="s">
        <v>48953</v>
      </c>
      <c r="BG5025" s="3" t="s">
        <v>48954</v>
      </c>
      <c r="BH5025">
        <f t="shared" si="160"/>
        <v>0</v>
      </c>
    </row>
    <row r="5026" spans="1:60" ht="58" x14ac:dyDescent="0.35">
      <c r="A5026" s="2" t="s">
        <v>59</v>
      </c>
      <c r="B5026" s="2" t="s">
        <v>60</v>
      </c>
      <c r="C5026" s="2" t="s">
        <v>48946</v>
      </c>
      <c r="D5026" s="2" t="s">
        <v>48947</v>
      </c>
      <c r="E5026" s="2" t="s">
        <v>48948</v>
      </c>
      <c r="F5026" s="3" t="s">
        <v>35337</v>
      </c>
      <c r="G5026" s="3" t="s">
        <v>128</v>
      </c>
      <c r="I5026" s="3" t="s">
        <v>64</v>
      </c>
      <c r="J5026" s="3" t="s">
        <v>64</v>
      </c>
      <c r="K5026" s="3" t="s">
        <v>65</v>
      </c>
      <c r="L5026" s="2" t="s">
        <v>48949</v>
      </c>
      <c r="N5026" s="3" t="s">
        <v>3761</v>
      </c>
      <c r="P5026" s="3" t="s">
        <v>4873</v>
      </c>
      <c r="R5026" s="3" t="s">
        <v>70</v>
      </c>
      <c r="S5026" s="4">
        <v>2</v>
      </c>
      <c r="T5026" s="4">
        <v>4</v>
      </c>
      <c r="U5026" s="5" t="s">
        <v>40150</v>
      </c>
      <c r="V5026" s="5" t="s">
        <v>40150</v>
      </c>
      <c r="W5026" s="5" t="s">
        <v>72</v>
      </c>
      <c r="X5026" s="5" t="s">
        <v>72</v>
      </c>
      <c r="Y5026" s="4">
        <v>2</v>
      </c>
      <c r="Z5026" s="4">
        <v>2</v>
      </c>
      <c r="AA5026" s="4">
        <v>2</v>
      </c>
      <c r="AB5026" s="4">
        <v>1</v>
      </c>
      <c r="AC5026" s="4">
        <v>1</v>
      </c>
      <c r="AD5026" s="4">
        <v>1</v>
      </c>
      <c r="AE5026" s="4">
        <v>1</v>
      </c>
      <c r="AF5026" s="4">
        <v>0</v>
      </c>
      <c r="AG5026" s="4">
        <v>0</v>
      </c>
      <c r="AH5026" s="4">
        <v>1</v>
      </c>
      <c r="AI5026" s="4">
        <v>1</v>
      </c>
      <c r="AJ5026" s="4">
        <v>1</v>
      </c>
      <c r="AK5026" s="4">
        <v>1</v>
      </c>
      <c r="AL5026" s="4">
        <v>0</v>
      </c>
      <c r="AM5026" s="4">
        <v>0</v>
      </c>
      <c r="AN5026" s="4">
        <v>0</v>
      </c>
      <c r="AO5026" s="4">
        <v>0</v>
      </c>
      <c r="AP5026" s="4">
        <v>1</v>
      </c>
      <c r="AQ5026" s="4">
        <v>1</v>
      </c>
      <c r="AR5026" s="3" t="s">
        <v>64</v>
      </c>
      <c r="AS5026" s="3" t="s">
        <v>64</v>
      </c>
      <c r="AT5026" s="3" t="s">
        <v>128</v>
      </c>
      <c r="AU5026" s="6" t="str">
        <f>HYPERLINK("http://catalog.hathitrust.org/Record/000048079","HathiTrust Record")</f>
        <v>HathiTrust Record</v>
      </c>
      <c r="AV5026" s="6" t="str">
        <f>HYPERLINK("http://mcgill.on.worldcat.org/oclc/427373524","Catalog Record")</f>
        <v>Catalog Record</v>
      </c>
      <c r="AW5026" s="6" t="str">
        <f>HYPERLINK("http://www.worldcat.org/oclc/427373524","WorldCat Record")</f>
        <v>WorldCat Record</v>
      </c>
      <c r="AX5026" s="3" t="s">
        <v>48950</v>
      </c>
      <c r="AY5026" s="3" t="s">
        <v>48951</v>
      </c>
      <c r="AZ5026" s="3" t="s">
        <v>48952</v>
      </c>
      <c r="BA5026" s="3" t="s">
        <v>48952</v>
      </c>
      <c r="BB5026" s="3" t="s">
        <v>48955</v>
      </c>
      <c r="BC5026" s="3" t="s">
        <v>77</v>
      </c>
      <c r="BD5026" s="3" t="s">
        <v>78</v>
      </c>
      <c r="BF5026" s="3" t="s">
        <v>48955</v>
      </c>
      <c r="BG5026" s="3" t="s">
        <v>48956</v>
      </c>
      <c r="BH5026">
        <f t="shared" si="160"/>
        <v>0</v>
      </c>
    </row>
    <row r="5027" spans="1:60" ht="58" x14ac:dyDescent="0.35">
      <c r="A5027" s="2" t="s">
        <v>59</v>
      </c>
      <c r="B5027" s="2" t="s">
        <v>60</v>
      </c>
      <c r="C5027" s="2" t="s">
        <v>48957</v>
      </c>
      <c r="D5027" s="2" t="s">
        <v>48958</v>
      </c>
      <c r="E5027" s="2" t="s">
        <v>48959</v>
      </c>
      <c r="G5027" s="3" t="s">
        <v>64</v>
      </c>
      <c r="I5027" s="3" t="s">
        <v>64</v>
      </c>
      <c r="J5027" s="3" t="s">
        <v>64</v>
      </c>
      <c r="K5027" s="3" t="s">
        <v>65</v>
      </c>
      <c r="L5027" s="2" t="s">
        <v>48960</v>
      </c>
      <c r="M5027" s="2" t="s">
        <v>48961</v>
      </c>
      <c r="N5027" s="3" t="s">
        <v>456</v>
      </c>
      <c r="P5027" s="3" t="s">
        <v>4873</v>
      </c>
      <c r="R5027" s="3" t="s">
        <v>70</v>
      </c>
      <c r="S5027" s="4">
        <v>1</v>
      </c>
      <c r="T5027" s="4">
        <v>1</v>
      </c>
      <c r="U5027" s="5" t="s">
        <v>44359</v>
      </c>
      <c r="V5027" s="5" t="s">
        <v>44359</v>
      </c>
      <c r="W5027" s="5" t="s">
        <v>72</v>
      </c>
      <c r="X5027" s="5" t="s">
        <v>72</v>
      </c>
      <c r="Y5027" s="4">
        <v>4</v>
      </c>
      <c r="Z5027" s="4">
        <v>3</v>
      </c>
      <c r="AA5027" s="4">
        <v>3</v>
      </c>
      <c r="AB5027" s="4">
        <v>1</v>
      </c>
      <c r="AC5027" s="4">
        <v>1</v>
      </c>
      <c r="AD5027" s="4">
        <v>1</v>
      </c>
      <c r="AE5027" s="4">
        <v>1</v>
      </c>
      <c r="AF5027" s="4">
        <v>0</v>
      </c>
      <c r="AG5027" s="4">
        <v>0</v>
      </c>
      <c r="AH5027" s="4">
        <v>1</v>
      </c>
      <c r="AI5027" s="4">
        <v>1</v>
      </c>
      <c r="AJ5027" s="4">
        <v>1</v>
      </c>
      <c r="AK5027" s="4">
        <v>1</v>
      </c>
      <c r="AL5027" s="4">
        <v>1</v>
      </c>
      <c r="AM5027" s="4">
        <v>1</v>
      </c>
      <c r="AN5027" s="4">
        <v>0</v>
      </c>
      <c r="AO5027" s="4">
        <v>0</v>
      </c>
      <c r="AP5027" s="4">
        <v>1</v>
      </c>
      <c r="AQ5027" s="4">
        <v>1</v>
      </c>
      <c r="AR5027" s="3" t="s">
        <v>64</v>
      </c>
      <c r="AS5027" s="3" t="s">
        <v>64</v>
      </c>
      <c r="AT5027" s="3" t="s">
        <v>128</v>
      </c>
      <c r="AU5027" s="6" t="str">
        <f>HYPERLINK("http://catalog.hathitrust.org/Record/007128927","HathiTrust Record")</f>
        <v>HathiTrust Record</v>
      </c>
      <c r="AV5027" s="6" t="str">
        <f>HYPERLINK("http://mcgill.on.worldcat.org/oclc/61573409","Catalog Record")</f>
        <v>Catalog Record</v>
      </c>
      <c r="AW5027" s="6" t="str">
        <f>HYPERLINK("http://www.worldcat.org/oclc/61573409","WorldCat Record")</f>
        <v>WorldCat Record</v>
      </c>
      <c r="AX5027" s="3" t="s">
        <v>48962</v>
      </c>
      <c r="AY5027" s="3" t="s">
        <v>48963</v>
      </c>
      <c r="AZ5027" s="3" t="s">
        <v>48964</v>
      </c>
      <c r="BA5027" s="3" t="s">
        <v>48964</v>
      </c>
      <c r="BB5027" s="3" t="s">
        <v>48965</v>
      </c>
      <c r="BC5027" s="3" t="s">
        <v>77</v>
      </c>
      <c r="BD5027" s="3" t="s">
        <v>78</v>
      </c>
      <c r="BF5027" s="3" t="s">
        <v>48965</v>
      </c>
      <c r="BG5027" s="3" t="s">
        <v>48966</v>
      </c>
      <c r="BH5027">
        <f t="shared" si="160"/>
        <v>0</v>
      </c>
    </row>
    <row r="5028" spans="1:60" ht="58" x14ac:dyDescent="0.35">
      <c r="A5028" s="2" t="s">
        <v>59</v>
      </c>
      <c r="B5028" s="2" t="s">
        <v>60</v>
      </c>
      <c r="C5028" s="2" t="s">
        <v>48967</v>
      </c>
      <c r="D5028" s="2" t="s">
        <v>48968</v>
      </c>
      <c r="E5028" s="2" t="s">
        <v>48969</v>
      </c>
      <c r="G5028" s="3" t="s">
        <v>64</v>
      </c>
      <c r="I5028" s="3" t="s">
        <v>64</v>
      </c>
      <c r="J5028" s="3" t="s">
        <v>64</v>
      </c>
      <c r="K5028" s="3" t="s">
        <v>65</v>
      </c>
      <c r="L5028" s="2" t="s">
        <v>48970</v>
      </c>
      <c r="M5028" s="2" t="s">
        <v>48971</v>
      </c>
      <c r="N5028" s="3" t="s">
        <v>922</v>
      </c>
      <c r="P5028" s="3" t="s">
        <v>4873</v>
      </c>
      <c r="R5028" s="3" t="s">
        <v>70</v>
      </c>
      <c r="S5028" s="4">
        <v>2</v>
      </c>
      <c r="T5028" s="4">
        <v>2</v>
      </c>
      <c r="U5028" s="5" t="s">
        <v>40150</v>
      </c>
      <c r="V5028" s="5" t="s">
        <v>40150</v>
      </c>
      <c r="W5028" s="5" t="s">
        <v>72</v>
      </c>
      <c r="X5028" s="5" t="s">
        <v>72</v>
      </c>
      <c r="Y5028" s="4">
        <v>49</v>
      </c>
      <c r="Z5028" s="4">
        <v>5</v>
      </c>
      <c r="AA5028" s="4">
        <v>5</v>
      </c>
      <c r="AB5028" s="4">
        <v>1</v>
      </c>
      <c r="AC5028" s="4">
        <v>1</v>
      </c>
      <c r="AD5028" s="4">
        <v>29</v>
      </c>
      <c r="AE5028" s="4">
        <v>29</v>
      </c>
      <c r="AF5028" s="4">
        <v>0</v>
      </c>
      <c r="AG5028" s="4">
        <v>0</v>
      </c>
      <c r="AH5028" s="4">
        <v>27</v>
      </c>
      <c r="AI5028" s="4">
        <v>27</v>
      </c>
      <c r="AJ5028" s="4">
        <v>4</v>
      </c>
      <c r="AK5028" s="4">
        <v>4</v>
      </c>
      <c r="AL5028" s="4">
        <v>15</v>
      </c>
      <c r="AM5028" s="4">
        <v>15</v>
      </c>
      <c r="AN5028" s="4">
        <v>0</v>
      </c>
      <c r="AO5028" s="4">
        <v>0</v>
      </c>
      <c r="AP5028" s="4">
        <v>4</v>
      </c>
      <c r="AQ5028" s="4">
        <v>4</v>
      </c>
      <c r="AR5028" s="3" t="s">
        <v>64</v>
      </c>
      <c r="AS5028" s="3" t="s">
        <v>64</v>
      </c>
      <c r="AT5028" s="3" t="s">
        <v>128</v>
      </c>
      <c r="AU5028" s="6" t="str">
        <f>HYPERLINK("http://catalog.hathitrust.org/Record/007501099","HathiTrust Record")</f>
        <v>HathiTrust Record</v>
      </c>
      <c r="AV5028" s="6" t="str">
        <f>HYPERLINK("http://mcgill.on.worldcat.org/oclc/1951966","Catalog Record")</f>
        <v>Catalog Record</v>
      </c>
      <c r="AW5028" s="6" t="str">
        <f>HYPERLINK("http://www.worldcat.org/oclc/1951966","WorldCat Record")</f>
        <v>WorldCat Record</v>
      </c>
      <c r="AX5028" s="3" t="s">
        <v>48972</v>
      </c>
      <c r="AY5028" s="3" t="s">
        <v>48973</v>
      </c>
      <c r="AZ5028" s="3" t="s">
        <v>48974</v>
      </c>
      <c r="BA5028" s="3" t="s">
        <v>48974</v>
      </c>
      <c r="BB5028" s="3" t="s">
        <v>48975</v>
      </c>
      <c r="BC5028" s="3" t="s">
        <v>77</v>
      </c>
      <c r="BD5028" s="3" t="s">
        <v>78</v>
      </c>
      <c r="BF5028" s="3" t="s">
        <v>48975</v>
      </c>
      <c r="BG5028" s="3" t="s">
        <v>48976</v>
      </c>
      <c r="BH5028">
        <f t="shared" si="160"/>
        <v>0</v>
      </c>
    </row>
    <row r="5029" spans="1:60" ht="58" x14ac:dyDescent="0.35">
      <c r="A5029" s="2" t="s">
        <v>59</v>
      </c>
      <c r="B5029" s="2" t="s">
        <v>60</v>
      </c>
      <c r="C5029" s="2" t="s">
        <v>48977</v>
      </c>
      <c r="D5029" s="2" t="s">
        <v>48978</v>
      </c>
      <c r="E5029" s="2" t="s">
        <v>48979</v>
      </c>
      <c r="G5029" s="3" t="s">
        <v>64</v>
      </c>
      <c r="I5029" s="3" t="s">
        <v>64</v>
      </c>
      <c r="J5029" s="3" t="s">
        <v>64</v>
      </c>
      <c r="K5029" s="3" t="s">
        <v>65</v>
      </c>
      <c r="L5029" s="2" t="s">
        <v>48980</v>
      </c>
      <c r="M5029" s="2" t="s">
        <v>48981</v>
      </c>
      <c r="N5029" s="3" t="s">
        <v>3721</v>
      </c>
      <c r="P5029" s="3" t="s">
        <v>102</v>
      </c>
      <c r="R5029" s="3" t="s">
        <v>70</v>
      </c>
      <c r="S5029" s="4">
        <v>3</v>
      </c>
      <c r="T5029" s="4">
        <v>3</v>
      </c>
      <c r="U5029" s="5" t="s">
        <v>2222</v>
      </c>
      <c r="V5029" s="5" t="s">
        <v>2222</v>
      </c>
      <c r="W5029" s="5" t="s">
        <v>72</v>
      </c>
      <c r="X5029" s="5" t="s">
        <v>72</v>
      </c>
      <c r="Y5029" s="4">
        <v>92</v>
      </c>
      <c r="Z5029" s="4">
        <v>3</v>
      </c>
      <c r="AA5029" s="4">
        <v>10</v>
      </c>
      <c r="AB5029" s="4">
        <v>1</v>
      </c>
      <c r="AC5029" s="4">
        <v>2</v>
      </c>
      <c r="AD5029" s="4">
        <v>49</v>
      </c>
      <c r="AE5029" s="4">
        <v>56</v>
      </c>
      <c r="AF5029" s="4">
        <v>0</v>
      </c>
      <c r="AG5029" s="4">
        <v>1</v>
      </c>
      <c r="AH5029" s="4">
        <v>47</v>
      </c>
      <c r="AI5029" s="4">
        <v>53</v>
      </c>
      <c r="AJ5029" s="4">
        <v>2</v>
      </c>
      <c r="AK5029" s="4">
        <v>7</v>
      </c>
      <c r="AL5029" s="4">
        <v>34</v>
      </c>
      <c r="AM5029" s="4">
        <v>37</v>
      </c>
      <c r="AN5029" s="4">
        <v>2</v>
      </c>
      <c r="AO5029" s="4">
        <v>2</v>
      </c>
      <c r="AP5029" s="4">
        <v>2</v>
      </c>
      <c r="AQ5029" s="4">
        <v>6</v>
      </c>
      <c r="AR5029" s="3" t="s">
        <v>64</v>
      </c>
      <c r="AS5029" s="3" t="s">
        <v>64</v>
      </c>
      <c r="AT5029" s="3" t="s">
        <v>128</v>
      </c>
      <c r="AU5029" s="6" t="str">
        <f>HYPERLINK("http://catalog.hathitrust.org/Record/006761822","HathiTrust Record")</f>
        <v>HathiTrust Record</v>
      </c>
      <c r="AV5029" s="6" t="str">
        <f>HYPERLINK("http://mcgill.on.worldcat.org/oclc/6917110","Catalog Record")</f>
        <v>Catalog Record</v>
      </c>
      <c r="AW5029" s="6" t="str">
        <f>HYPERLINK("http://www.worldcat.org/oclc/6917110","WorldCat Record")</f>
        <v>WorldCat Record</v>
      </c>
      <c r="AX5029" s="3" t="s">
        <v>48982</v>
      </c>
      <c r="AY5029" s="3" t="s">
        <v>48983</v>
      </c>
      <c r="AZ5029" s="3" t="s">
        <v>48984</v>
      </c>
      <c r="BA5029" s="3" t="s">
        <v>48984</v>
      </c>
      <c r="BB5029" s="3" t="s">
        <v>48985</v>
      </c>
      <c r="BC5029" s="3" t="s">
        <v>77</v>
      </c>
      <c r="BD5029" s="3" t="s">
        <v>78</v>
      </c>
      <c r="BF5029" s="3" t="s">
        <v>48985</v>
      </c>
      <c r="BG5029" s="3" t="s">
        <v>48986</v>
      </c>
      <c r="BH5029">
        <f t="shared" si="160"/>
        <v>0</v>
      </c>
    </row>
    <row r="5030" spans="1:60" ht="58" x14ac:dyDescent="0.35">
      <c r="A5030" s="2" t="s">
        <v>59</v>
      </c>
      <c r="B5030" s="2" t="s">
        <v>60</v>
      </c>
      <c r="C5030" s="2" t="s">
        <v>48987</v>
      </c>
      <c r="D5030" s="2" t="s">
        <v>48988</v>
      </c>
      <c r="E5030" s="2" t="s">
        <v>48989</v>
      </c>
      <c r="G5030" s="3" t="s">
        <v>64</v>
      </c>
      <c r="I5030" s="3" t="s">
        <v>64</v>
      </c>
      <c r="J5030" s="3" t="s">
        <v>64</v>
      </c>
      <c r="K5030" s="3" t="s">
        <v>65</v>
      </c>
      <c r="L5030" s="2" t="s">
        <v>48980</v>
      </c>
      <c r="M5030" s="2" t="s">
        <v>48990</v>
      </c>
      <c r="N5030" s="3" t="s">
        <v>1047</v>
      </c>
      <c r="P5030" s="3" t="s">
        <v>1190</v>
      </c>
      <c r="R5030" s="3" t="s">
        <v>70</v>
      </c>
      <c r="S5030" s="4">
        <v>2</v>
      </c>
      <c r="T5030" s="4">
        <v>2</v>
      </c>
      <c r="U5030" s="5" t="s">
        <v>8585</v>
      </c>
      <c r="V5030" s="5" t="s">
        <v>8585</v>
      </c>
      <c r="W5030" s="5" t="s">
        <v>72</v>
      </c>
      <c r="X5030" s="5" t="s">
        <v>72</v>
      </c>
      <c r="Y5030" s="4">
        <v>57</v>
      </c>
      <c r="Z5030" s="4">
        <v>5</v>
      </c>
      <c r="AA5030" s="4">
        <v>5</v>
      </c>
      <c r="AB5030" s="4">
        <v>1</v>
      </c>
      <c r="AC5030" s="4">
        <v>1</v>
      </c>
      <c r="AD5030" s="4">
        <v>40</v>
      </c>
      <c r="AE5030" s="4">
        <v>40</v>
      </c>
      <c r="AF5030" s="4">
        <v>0</v>
      </c>
      <c r="AG5030" s="4">
        <v>0</v>
      </c>
      <c r="AH5030" s="4">
        <v>38</v>
      </c>
      <c r="AI5030" s="4">
        <v>38</v>
      </c>
      <c r="AJ5030" s="4">
        <v>3</v>
      </c>
      <c r="AK5030" s="4">
        <v>3</v>
      </c>
      <c r="AL5030" s="4">
        <v>33</v>
      </c>
      <c r="AM5030" s="4">
        <v>33</v>
      </c>
      <c r="AN5030" s="4">
        <v>0</v>
      </c>
      <c r="AO5030" s="4">
        <v>0</v>
      </c>
      <c r="AP5030" s="4">
        <v>3</v>
      </c>
      <c r="AQ5030" s="4">
        <v>3</v>
      </c>
      <c r="AR5030" s="3" t="s">
        <v>64</v>
      </c>
      <c r="AS5030" s="3" t="s">
        <v>64</v>
      </c>
      <c r="AT5030" s="3" t="s">
        <v>64</v>
      </c>
      <c r="AV5030" s="6" t="str">
        <f>HYPERLINK("http://mcgill.on.worldcat.org/oclc/9830106","Catalog Record")</f>
        <v>Catalog Record</v>
      </c>
      <c r="AW5030" s="6" t="str">
        <f>HYPERLINK("http://www.worldcat.org/oclc/9830106","WorldCat Record")</f>
        <v>WorldCat Record</v>
      </c>
      <c r="AX5030" s="3" t="s">
        <v>48991</v>
      </c>
      <c r="AY5030" s="3" t="s">
        <v>48992</v>
      </c>
      <c r="AZ5030" s="3" t="s">
        <v>48993</v>
      </c>
      <c r="BA5030" s="3" t="s">
        <v>48993</v>
      </c>
      <c r="BB5030" s="3" t="s">
        <v>48994</v>
      </c>
      <c r="BC5030" s="3" t="s">
        <v>77</v>
      </c>
      <c r="BD5030" s="3" t="s">
        <v>165</v>
      </c>
      <c r="BF5030" s="3" t="s">
        <v>48994</v>
      </c>
      <c r="BG5030" s="3" t="s">
        <v>48995</v>
      </c>
      <c r="BH5030">
        <f t="shared" si="160"/>
        <v>0</v>
      </c>
    </row>
    <row r="5031" spans="1:60" ht="58" x14ac:dyDescent="0.35">
      <c r="A5031" s="2" t="s">
        <v>59</v>
      </c>
      <c r="B5031" s="2" t="s">
        <v>60</v>
      </c>
      <c r="C5031" s="2" t="s">
        <v>48996</v>
      </c>
      <c r="D5031" s="2" t="s">
        <v>48997</v>
      </c>
      <c r="E5031" s="2" t="s">
        <v>48998</v>
      </c>
      <c r="G5031" s="3" t="s">
        <v>64</v>
      </c>
      <c r="I5031" s="3" t="s">
        <v>64</v>
      </c>
      <c r="J5031" s="3" t="s">
        <v>64</v>
      </c>
      <c r="K5031" s="3" t="s">
        <v>65</v>
      </c>
      <c r="M5031" s="2" t="s">
        <v>48999</v>
      </c>
      <c r="N5031" s="3" t="s">
        <v>1075</v>
      </c>
      <c r="P5031" s="3" t="s">
        <v>4873</v>
      </c>
      <c r="R5031" s="3" t="s">
        <v>70</v>
      </c>
      <c r="S5031" s="4">
        <v>0</v>
      </c>
      <c r="T5031" s="4">
        <v>0</v>
      </c>
      <c r="W5031" s="5" t="s">
        <v>72</v>
      </c>
      <c r="X5031" s="5" t="s">
        <v>72</v>
      </c>
      <c r="Y5031" s="4">
        <v>27</v>
      </c>
      <c r="Z5031" s="4">
        <v>4</v>
      </c>
      <c r="AA5031" s="4">
        <v>4</v>
      </c>
      <c r="AB5031" s="4">
        <v>1</v>
      </c>
      <c r="AC5031" s="4">
        <v>1</v>
      </c>
      <c r="AD5031" s="4">
        <v>21</v>
      </c>
      <c r="AE5031" s="4">
        <v>21</v>
      </c>
      <c r="AF5031" s="4">
        <v>0</v>
      </c>
      <c r="AG5031" s="4">
        <v>0</v>
      </c>
      <c r="AH5031" s="4">
        <v>20</v>
      </c>
      <c r="AI5031" s="4">
        <v>20</v>
      </c>
      <c r="AJ5031" s="4">
        <v>2</v>
      </c>
      <c r="AK5031" s="4">
        <v>2</v>
      </c>
      <c r="AL5031" s="4">
        <v>16</v>
      </c>
      <c r="AM5031" s="4">
        <v>16</v>
      </c>
      <c r="AN5031" s="4">
        <v>0</v>
      </c>
      <c r="AO5031" s="4">
        <v>0</v>
      </c>
      <c r="AP5031" s="4">
        <v>2</v>
      </c>
      <c r="AQ5031" s="4">
        <v>2</v>
      </c>
      <c r="AR5031" s="3" t="s">
        <v>64</v>
      </c>
      <c r="AS5031" s="3" t="s">
        <v>64</v>
      </c>
      <c r="AT5031" s="3" t="s">
        <v>64</v>
      </c>
      <c r="AV5031" s="6" t="str">
        <f>HYPERLINK("http://mcgill.on.worldcat.org/oclc/879321219","Catalog Record")</f>
        <v>Catalog Record</v>
      </c>
      <c r="AW5031" s="6" t="str">
        <f>HYPERLINK("http://www.worldcat.org/oclc/879321219","WorldCat Record")</f>
        <v>WorldCat Record</v>
      </c>
      <c r="AX5031" s="3" t="s">
        <v>49000</v>
      </c>
      <c r="AY5031" s="3" t="s">
        <v>49001</v>
      </c>
      <c r="AZ5031" s="3" t="s">
        <v>49002</v>
      </c>
      <c r="BA5031" s="3" t="s">
        <v>49002</v>
      </c>
      <c r="BB5031" s="3" t="s">
        <v>49003</v>
      </c>
      <c r="BC5031" s="3" t="s">
        <v>77</v>
      </c>
      <c r="BD5031" s="3" t="s">
        <v>78</v>
      </c>
      <c r="BE5031" s="3" t="s">
        <v>49004</v>
      </c>
      <c r="BF5031" s="3" t="s">
        <v>49003</v>
      </c>
      <c r="BG5031" s="3" t="s">
        <v>49005</v>
      </c>
      <c r="BH5031">
        <f t="shared" si="160"/>
        <v>0</v>
      </c>
    </row>
    <row r="5032" spans="1:60" ht="58" x14ac:dyDescent="0.35">
      <c r="A5032" s="2" t="s">
        <v>59</v>
      </c>
      <c r="B5032" s="2" t="s">
        <v>60</v>
      </c>
      <c r="C5032" s="2" t="s">
        <v>49006</v>
      </c>
      <c r="D5032" s="2" t="s">
        <v>49007</v>
      </c>
      <c r="E5032" s="2" t="s">
        <v>49008</v>
      </c>
      <c r="F5032" s="3" t="s">
        <v>525</v>
      </c>
      <c r="G5032" s="3" t="s">
        <v>128</v>
      </c>
      <c r="I5032" s="3" t="s">
        <v>64</v>
      </c>
      <c r="J5032" s="3" t="s">
        <v>64</v>
      </c>
      <c r="K5032" s="3" t="s">
        <v>65</v>
      </c>
      <c r="M5032" s="2" t="s">
        <v>49009</v>
      </c>
      <c r="N5032" s="3" t="s">
        <v>1087</v>
      </c>
      <c r="P5032" s="3" t="s">
        <v>102</v>
      </c>
      <c r="R5032" s="3" t="s">
        <v>70</v>
      </c>
      <c r="S5032" s="4">
        <v>2</v>
      </c>
      <c r="T5032" s="4">
        <v>5</v>
      </c>
      <c r="U5032" s="5" t="s">
        <v>15722</v>
      </c>
      <c r="V5032" s="5" t="s">
        <v>15722</v>
      </c>
      <c r="W5032" s="5" t="s">
        <v>72</v>
      </c>
      <c r="X5032" s="5" t="s">
        <v>72</v>
      </c>
      <c r="Y5032" s="4">
        <v>63</v>
      </c>
      <c r="Z5032" s="4">
        <v>9</v>
      </c>
      <c r="AA5032" s="4">
        <v>9</v>
      </c>
      <c r="AB5032" s="4">
        <v>2</v>
      </c>
      <c r="AC5032" s="4">
        <v>2</v>
      </c>
      <c r="AD5032" s="4">
        <v>38</v>
      </c>
      <c r="AE5032" s="4">
        <v>38</v>
      </c>
      <c r="AF5032" s="4">
        <v>1</v>
      </c>
      <c r="AG5032" s="4">
        <v>1</v>
      </c>
      <c r="AH5032" s="4">
        <v>35</v>
      </c>
      <c r="AI5032" s="4">
        <v>35</v>
      </c>
      <c r="AJ5032" s="4">
        <v>7</v>
      </c>
      <c r="AK5032" s="4">
        <v>7</v>
      </c>
      <c r="AL5032" s="4">
        <v>26</v>
      </c>
      <c r="AM5032" s="4">
        <v>26</v>
      </c>
      <c r="AN5032" s="4">
        <v>0</v>
      </c>
      <c r="AO5032" s="4">
        <v>0</v>
      </c>
      <c r="AP5032" s="4">
        <v>7</v>
      </c>
      <c r="AQ5032" s="4">
        <v>7</v>
      </c>
      <c r="AR5032" s="3" t="s">
        <v>64</v>
      </c>
      <c r="AS5032" s="3" t="s">
        <v>64</v>
      </c>
      <c r="AT5032" s="3" t="s">
        <v>128</v>
      </c>
      <c r="AU5032" s="6" t="str">
        <f>HYPERLINK("http://catalog.hathitrust.org/Record/002633313","HathiTrust Record")</f>
        <v>HathiTrust Record</v>
      </c>
      <c r="AV5032" s="6" t="str">
        <f>HYPERLINK("http://mcgill.on.worldcat.org/oclc/26917096","Catalog Record")</f>
        <v>Catalog Record</v>
      </c>
      <c r="AW5032" s="6" t="str">
        <f>HYPERLINK("http://www.worldcat.org/oclc/26917096","WorldCat Record")</f>
        <v>WorldCat Record</v>
      </c>
      <c r="AX5032" s="3" t="s">
        <v>49010</v>
      </c>
      <c r="AY5032" s="3" t="s">
        <v>49011</v>
      </c>
      <c r="AZ5032" s="3" t="s">
        <v>49012</v>
      </c>
      <c r="BA5032" s="3" t="s">
        <v>49012</v>
      </c>
      <c r="BB5032" s="3" t="s">
        <v>49013</v>
      </c>
      <c r="BC5032" s="3" t="s">
        <v>77</v>
      </c>
      <c r="BD5032" s="3" t="s">
        <v>78</v>
      </c>
      <c r="BE5032" s="3" t="s">
        <v>49014</v>
      </c>
      <c r="BF5032" s="3" t="s">
        <v>49013</v>
      </c>
      <c r="BG5032" s="3" t="s">
        <v>49015</v>
      </c>
      <c r="BH5032">
        <f t="shared" si="160"/>
        <v>0</v>
      </c>
    </row>
    <row r="5033" spans="1:60" ht="58" x14ac:dyDescent="0.35">
      <c r="A5033" s="2" t="s">
        <v>59</v>
      </c>
      <c r="B5033" s="2" t="s">
        <v>60</v>
      </c>
      <c r="C5033" s="2" t="s">
        <v>49006</v>
      </c>
      <c r="D5033" s="2" t="s">
        <v>49007</v>
      </c>
      <c r="E5033" s="2" t="s">
        <v>49008</v>
      </c>
      <c r="F5033" s="3" t="s">
        <v>529</v>
      </c>
      <c r="G5033" s="3" t="s">
        <v>128</v>
      </c>
      <c r="I5033" s="3" t="s">
        <v>64</v>
      </c>
      <c r="J5033" s="3" t="s">
        <v>64</v>
      </c>
      <c r="K5033" s="3" t="s">
        <v>65</v>
      </c>
      <c r="M5033" s="2" t="s">
        <v>49009</v>
      </c>
      <c r="N5033" s="3" t="s">
        <v>1087</v>
      </c>
      <c r="P5033" s="3" t="s">
        <v>102</v>
      </c>
      <c r="R5033" s="3" t="s">
        <v>70</v>
      </c>
      <c r="S5033" s="4">
        <v>3</v>
      </c>
      <c r="T5033" s="4">
        <v>5</v>
      </c>
      <c r="U5033" s="5" t="s">
        <v>15722</v>
      </c>
      <c r="V5033" s="5" t="s">
        <v>15722</v>
      </c>
      <c r="W5033" s="5" t="s">
        <v>72</v>
      </c>
      <c r="X5033" s="5" t="s">
        <v>72</v>
      </c>
      <c r="Y5033" s="4">
        <v>63</v>
      </c>
      <c r="Z5033" s="4">
        <v>9</v>
      </c>
      <c r="AA5033" s="4">
        <v>9</v>
      </c>
      <c r="AB5033" s="4">
        <v>2</v>
      </c>
      <c r="AC5033" s="4">
        <v>2</v>
      </c>
      <c r="AD5033" s="4">
        <v>38</v>
      </c>
      <c r="AE5033" s="4">
        <v>38</v>
      </c>
      <c r="AF5033" s="4">
        <v>1</v>
      </c>
      <c r="AG5033" s="4">
        <v>1</v>
      </c>
      <c r="AH5033" s="4">
        <v>35</v>
      </c>
      <c r="AI5033" s="4">
        <v>35</v>
      </c>
      <c r="AJ5033" s="4">
        <v>7</v>
      </c>
      <c r="AK5033" s="4">
        <v>7</v>
      </c>
      <c r="AL5033" s="4">
        <v>26</v>
      </c>
      <c r="AM5033" s="4">
        <v>26</v>
      </c>
      <c r="AN5033" s="4">
        <v>0</v>
      </c>
      <c r="AO5033" s="4">
        <v>0</v>
      </c>
      <c r="AP5033" s="4">
        <v>7</v>
      </c>
      <c r="AQ5033" s="4">
        <v>7</v>
      </c>
      <c r="AR5033" s="3" t="s">
        <v>64</v>
      </c>
      <c r="AS5033" s="3" t="s">
        <v>64</v>
      </c>
      <c r="AT5033" s="3" t="s">
        <v>128</v>
      </c>
      <c r="AU5033" s="6" t="str">
        <f>HYPERLINK("http://catalog.hathitrust.org/Record/002633313","HathiTrust Record")</f>
        <v>HathiTrust Record</v>
      </c>
      <c r="AV5033" s="6" t="str">
        <f>HYPERLINK("http://mcgill.on.worldcat.org/oclc/26917096","Catalog Record")</f>
        <v>Catalog Record</v>
      </c>
      <c r="AW5033" s="6" t="str">
        <f>HYPERLINK("http://www.worldcat.org/oclc/26917096","WorldCat Record")</f>
        <v>WorldCat Record</v>
      </c>
      <c r="AX5033" s="3" t="s">
        <v>49010</v>
      </c>
      <c r="AY5033" s="3" t="s">
        <v>49011</v>
      </c>
      <c r="AZ5033" s="3" t="s">
        <v>49012</v>
      </c>
      <c r="BA5033" s="3" t="s">
        <v>49012</v>
      </c>
      <c r="BB5033" s="3" t="s">
        <v>49016</v>
      </c>
      <c r="BC5033" s="3" t="s">
        <v>77</v>
      </c>
      <c r="BD5033" s="3" t="s">
        <v>78</v>
      </c>
      <c r="BE5033" s="3" t="s">
        <v>49014</v>
      </c>
      <c r="BF5033" s="3" t="s">
        <v>49016</v>
      </c>
      <c r="BG5033" s="3" t="s">
        <v>49017</v>
      </c>
      <c r="BH5033">
        <f t="shared" si="160"/>
        <v>0</v>
      </c>
    </row>
    <row r="5034" spans="1:60" ht="58" x14ac:dyDescent="0.35">
      <c r="A5034" s="2" t="s">
        <v>59</v>
      </c>
      <c r="B5034" s="2" t="s">
        <v>60</v>
      </c>
      <c r="C5034" s="2" t="s">
        <v>49018</v>
      </c>
      <c r="D5034" s="2" t="s">
        <v>49019</v>
      </c>
      <c r="E5034" s="2" t="s">
        <v>49020</v>
      </c>
      <c r="G5034" s="3" t="s">
        <v>64</v>
      </c>
      <c r="I5034" s="3" t="s">
        <v>64</v>
      </c>
      <c r="J5034" s="3" t="s">
        <v>64</v>
      </c>
      <c r="K5034" s="3" t="s">
        <v>65</v>
      </c>
      <c r="L5034" s="2" t="s">
        <v>49021</v>
      </c>
      <c r="M5034" s="2" t="s">
        <v>48466</v>
      </c>
      <c r="N5034" s="3" t="s">
        <v>86</v>
      </c>
      <c r="O5034" s="2" t="s">
        <v>48467</v>
      </c>
      <c r="P5034" s="3" t="s">
        <v>365</v>
      </c>
      <c r="Q5034" s="2" t="s">
        <v>49022</v>
      </c>
      <c r="R5034" s="3" t="s">
        <v>70</v>
      </c>
      <c r="S5034" s="4">
        <v>0</v>
      </c>
      <c r="T5034" s="4">
        <v>0</v>
      </c>
      <c r="W5034" s="5" t="s">
        <v>72</v>
      </c>
      <c r="X5034" s="5" t="s">
        <v>72</v>
      </c>
      <c r="Y5034" s="4">
        <v>23</v>
      </c>
      <c r="Z5034" s="4">
        <v>3</v>
      </c>
      <c r="AA5034" s="4">
        <v>3</v>
      </c>
      <c r="AB5034" s="4">
        <v>1</v>
      </c>
      <c r="AC5034" s="4">
        <v>1</v>
      </c>
      <c r="AD5034" s="4">
        <v>14</v>
      </c>
      <c r="AE5034" s="4">
        <v>14</v>
      </c>
      <c r="AF5034" s="4">
        <v>0</v>
      </c>
      <c r="AG5034" s="4">
        <v>0</v>
      </c>
      <c r="AH5034" s="4">
        <v>13</v>
      </c>
      <c r="AI5034" s="4">
        <v>13</v>
      </c>
      <c r="AJ5034" s="4">
        <v>1</v>
      </c>
      <c r="AK5034" s="4">
        <v>1</v>
      </c>
      <c r="AL5034" s="4">
        <v>12</v>
      </c>
      <c r="AM5034" s="4">
        <v>12</v>
      </c>
      <c r="AN5034" s="4">
        <v>0</v>
      </c>
      <c r="AO5034" s="4">
        <v>0</v>
      </c>
      <c r="AP5034" s="4">
        <v>1</v>
      </c>
      <c r="AQ5034" s="4">
        <v>1</v>
      </c>
      <c r="AR5034" s="3" t="s">
        <v>64</v>
      </c>
      <c r="AS5034" s="3" t="s">
        <v>64</v>
      </c>
      <c r="AT5034" s="3" t="s">
        <v>64</v>
      </c>
      <c r="AV5034" s="6" t="str">
        <f>HYPERLINK("http://mcgill.on.worldcat.org/oclc/794703364","Catalog Record")</f>
        <v>Catalog Record</v>
      </c>
      <c r="AW5034" s="6" t="str">
        <f>HYPERLINK("http://www.worldcat.org/oclc/794703364","WorldCat Record")</f>
        <v>WorldCat Record</v>
      </c>
      <c r="AX5034" s="3" t="s">
        <v>49023</v>
      </c>
      <c r="AY5034" s="3" t="s">
        <v>49024</v>
      </c>
      <c r="AZ5034" s="3" t="s">
        <v>49025</v>
      </c>
      <c r="BA5034" s="3" t="s">
        <v>49025</v>
      </c>
      <c r="BB5034" s="3" t="s">
        <v>49026</v>
      </c>
      <c r="BC5034" s="3" t="s">
        <v>77</v>
      </c>
      <c r="BD5034" s="3" t="s">
        <v>78</v>
      </c>
      <c r="BE5034" s="3" t="s">
        <v>49027</v>
      </c>
      <c r="BF5034" s="3" t="s">
        <v>49026</v>
      </c>
      <c r="BG5034" s="3" t="s">
        <v>49028</v>
      </c>
      <c r="BH5034">
        <f t="shared" si="160"/>
        <v>0</v>
      </c>
    </row>
    <row r="5035" spans="1:60" ht="58" x14ac:dyDescent="0.35">
      <c r="A5035" s="2" t="s">
        <v>59</v>
      </c>
      <c r="B5035" s="2" t="s">
        <v>35724</v>
      </c>
      <c r="C5035" s="2" t="s">
        <v>49029</v>
      </c>
      <c r="D5035" s="2" t="s">
        <v>49030</v>
      </c>
      <c r="E5035" s="2" t="s">
        <v>49031</v>
      </c>
      <c r="G5035" s="3" t="s">
        <v>64</v>
      </c>
      <c r="I5035" s="3" t="s">
        <v>64</v>
      </c>
      <c r="J5035" s="3" t="s">
        <v>64</v>
      </c>
      <c r="K5035" s="3" t="s">
        <v>65</v>
      </c>
      <c r="L5035" s="2" t="s">
        <v>49032</v>
      </c>
      <c r="M5035" s="2" t="s">
        <v>49033</v>
      </c>
      <c r="N5035" s="3" t="s">
        <v>86</v>
      </c>
      <c r="P5035" s="3" t="s">
        <v>102</v>
      </c>
      <c r="R5035" s="3" t="s">
        <v>70</v>
      </c>
      <c r="S5035" s="4">
        <v>0</v>
      </c>
      <c r="T5035" s="4">
        <v>0</v>
      </c>
      <c r="W5035" s="5" t="s">
        <v>72</v>
      </c>
      <c r="X5035" s="5" t="s">
        <v>72</v>
      </c>
      <c r="Y5035" s="4">
        <v>78</v>
      </c>
      <c r="Z5035" s="4">
        <v>7</v>
      </c>
      <c r="AA5035" s="4">
        <v>9</v>
      </c>
      <c r="AB5035" s="4">
        <v>1</v>
      </c>
      <c r="AC5035" s="4">
        <v>3</v>
      </c>
      <c r="AD5035" s="4">
        <v>43</v>
      </c>
      <c r="AE5035" s="4">
        <v>44</v>
      </c>
      <c r="AF5035" s="4">
        <v>0</v>
      </c>
      <c r="AG5035" s="4">
        <v>0</v>
      </c>
      <c r="AH5035" s="4">
        <v>40</v>
      </c>
      <c r="AI5035" s="4">
        <v>41</v>
      </c>
      <c r="AJ5035" s="4">
        <v>5</v>
      </c>
      <c r="AK5035" s="4">
        <v>5</v>
      </c>
      <c r="AL5035" s="4">
        <v>26</v>
      </c>
      <c r="AM5035" s="4">
        <v>26</v>
      </c>
      <c r="AN5035" s="4">
        <v>0</v>
      </c>
      <c r="AO5035" s="4">
        <v>0</v>
      </c>
      <c r="AP5035" s="4">
        <v>5</v>
      </c>
      <c r="AQ5035" s="4">
        <v>5</v>
      </c>
      <c r="AR5035" s="3" t="s">
        <v>64</v>
      </c>
      <c r="AS5035" s="3" t="s">
        <v>64</v>
      </c>
      <c r="AT5035" s="3" t="s">
        <v>64</v>
      </c>
      <c r="AV5035" s="6" t="str">
        <f>HYPERLINK("http://mcgill.on.worldcat.org/oclc/742512313","Catalog Record")</f>
        <v>Catalog Record</v>
      </c>
      <c r="AW5035" s="6" t="str">
        <f>HYPERLINK("http://www.worldcat.org/oclc/742512313","WorldCat Record")</f>
        <v>WorldCat Record</v>
      </c>
      <c r="AX5035" s="3" t="s">
        <v>49034</v>
      </c>
      <c r="AY5035" s="3" t="s">
        <v>49035</v>
      </c>
      <c r="AZ5035" s="3" t="s">
        <v>49036</v>
      </c>
      <c r="BA5035" s="3" t="s">
        <v>49036</v>
      </c>
      <c r="BB5035" s="3" t="s">
        <v>49037</v>
      </c>
      <c r="BC5035" s="3" t="s">
        <v>77</v>
      </c>
      <c r="BD5035" s="3" t="s">
        <v>78</v>
      </c>
      <c r="BE5035" s="3" t="s">
        <v>49038</v>
      </c>
      <c r="BF5035" s="3" t="s">
        <v>49037</v>
      </c>
      <c r="BG5035" s="3" t="s">
        <v>49039</v>
      </c>
      <c r="BH5035">
        <f t="shared" si="160"/>
        <v>0</v>
      </c>
    </row>
    <row r="5036" spans="1:60" ht="58" x14ac:dyDescent="0.35">
      <c r="A5036" s="2" t="s">
        <v>59</v>
      </c>
      <c r="B5036" s="2" t="s">
        <v>60</v>
      </c>
      <c r="C5036" s="2" t="s">
        <v>49040</v>
      </c>
      <c r="D5036" s="2" t="s">
        <v>49041</v>
      </c>
      <c r="E5036" s="2" t="s">
        <v>49042</v>
      </c>
      <c r="G5036" s="3" t="s">
        <v>64</v>
      </c>
      <c r="I5036" s="3" t="s">
        <v>64</v>
      </c>
      <c r="J5036" s="3" t="s">
        <v>128</v>
      </c>
      <c r="K5036" s="3" t="s">
        <v>65</v>
      </c>
      <c r="L5036" s="2" t="s">
        <v>49043</v>
      </c>
      <c r="M5036" s="2" t="s">
        <v>49044</v>
      </c>
      <c r="N5036" s="3" t="s">
        <v>131</v>
      </c>
      <c r="P5036" s="3" t="s">
        <v>102</v>
      </c>
      <c r="R5036" s="3" t="s">
        <v>70</v>
      </c>
      <c r="S5036" s="4">
        <v>1</v>
      </c>
      <c r="T5036" s="4">
        <v>1</v>
      </c>
      <c r="U5036" s="5" t="s">
        <v>2091</v>
      </c>
      <c r="V5036" s="5" t="s">
        <v>2091</v>
      </c>
      <c r="W5036" s="5" t="s">
        <v>72</v>
      </c>
      <c r="X5036" s="5" t="s">
        <v>72</v>
      </c>
      <c r="Y5036" s="4">
        <v>79</v>
      </c>
      <c r="Z5036" s="4">
        <v>8</v>
      </c>
      <c r="AA5036" s="4">
        <v>8</v>
      </c>
      <c r="AB5036" s="4">
        <v>1</v>
      </c>
      <c r="AC5036" s="4">
        <v>1</v>
      </c>
      <c r="AD5036" s="4">
        <v>43</v>
      </c>
      <c r="AE5036" s="4">
        <v>49</v>
      </c>
      <c r="AF5036" s="4">
        <v>0</v>
      </c>
      <c r="AG5036" s="4">
        <v>0</v>
      </c>
      <c r="AH5036" s="4">
        <v>41</v>
      </c>
      <c r="AI5036" s="4">
        <v>47</v>
      </c>
      <c r="AJ5036" s="4">
        <v>6</v>
      </c>
      <c r="AK5036" s="4">
        <v>6</v>
      </c>
      <c r="AL5036" s="4">
        <v>26</v>
      </c>
      <c r="AM5036" s="4">
        <v>31</v>
      </c>
      <c r="AN5036" s="4">
        <v>0</v>
      </c>
      <c r="AO5036" s="4">
        <v>0</v>
      </c>
      <c r="AP5036" s="4">
        <v>6</v>
      </c>
      <c r="AQ5036" s="4">
        <v>6</v>
      </c>
      <c r="AR5036" s="3" t="s">
        <v>64</v>
      </c>
      <c r="AS5036" s="3" t="s">
        <v>64</v>
      </c>
      <c r="AT5036" s="3" t="s">
        <v>128</v>
      </c>
      <c r="AU5036" s="6" t="str">
        <f>HYPERLINK("http://catalog.hathitrust.org/Record/009448829","HathiTrust Record")</f>
        <v>HathiTrust Record</v>
      </c>
      <c r="AV5036" s="6" t="str">
        <f>HYPERLINK("http://mcgill.on.worldcat.org/oclc/3023787","Catalog Record")</f>
        <v>Catalog Record</v>
      </c>
      <c r="AW5036" s="6" t="str">
        <f>HYPERLINK("http://www.worldcat.org/oclc/3023787","WorldCat Record")</f>
        <v>WorldCat Record</v>
      </c>
      <c r="AX5036" s="3" t="s">
        <v>49045</v>
      </c>
      <c r="AY5036" s="3" t="s">
        <v>49046</v>
      </c>
      <c r="AZ5036" s="3" t="s">
        <v>49047</v>
      </c>
      <c r="BA5036" s="3" t="s">
        <v>49047</v>
      </c>
      <c r="BB5036" s="3" t="s">
        <v>49048</v>
      </c>
      <c r="BC5036" s="3" t="s">
        <v>77</v>
      </c>
      <c r="BD5036" s="3" t="s">
        <v>78</v>
      </c>
      <c r="BF5036" s="3" t="s">
        <v>49048</v>
      </c>
      <c r="BG5036" s="3" t="s">
        <v>49049</v>
      </c>
      <c r="BH5036">
        <f t="shared" si="160"/>
        <v>0</v>
      </c>
    </row>
    <row r="5037" spans="1:60" ht="58" x14ac:dyDescent="0.35">
      <c r="A5037" s="2" t="s">
        <v>59</v>
      </c>
      <c r="B5037" s="2" t="s">
        <v>60</v>
      </c>
      <c r="C5037" s="2" t="s">
        <v>49040</v>
      </c>
      <c r="D5037" s="2" t="s">
        <v>49041</v>
      </c>
      <c r="E5037" s="2" t="s">
        <v>49050</v>
      </c>
      <c r="G5037" s="3" t="s">
        <v>64</v>
      </c>
      <c r="I5037" s="3" t="s">
        <v>64</v>
      </c>
      <c r="J5037" s="3" t="s">
        <v>128</v>
      </c>
      <c r="K5037" s="3" t="s">
        <v>65</v>
      </c>
      <c r="L5037" s="2" t="s">
        <v>49043</v>
      </c>
      <c r="M5037" s="2" t="s">
        <v>49051</v>
      </c>
      <c r="N5037" s="3" t="s">
        <v>3527</v>
      </c>
      <c r="P5037" s="3" t="s">
        <v>102</v>
      </c>
      <c r="R5037" s="3" t="s">
        <v>70</v>
      </c>
      <c r="S5037" s="4">
        <v>2</v>
      </c>
      <c r="T5037" s="4">
        <v>2</v>
      </c>
      <c r="U5037" s="5" t="s">
        <v>2091</v>
      </c>
      <c r="V5037" s="5" t="s">
        <v>2091</v>
      </c>
      <c r="W5037" s="5" t="s">
        <v>72</v>
      </c>
      <c r="X5037" s="5" t="s">
        <v>72</v>
      </c>
      <c r="Y5037" s="4">
        <v>7</v>
      </c>
      <c r="Z5037" s="4">
        <v>1</v>
      </c>
      <c r="AA5037" s="4">
        <v>8</v>
      </c>
      <c r="AB5037" s="4">
        <v>1</v>
      </c>
      <c r="AC5037" s="4">
        <v>1</v>
      </c>
      <c r="AD5037" s="4">
        <v>3</v>
      </c>
      <c r="AE5037" s="4">
        <v>49</v>
      </c>
      <c r="AF5037" s="4">
        <v>0</v>
      </c>
      <c r="AG5037" s="4">
        <v>0</v>
      </c>
      <c r="AH5037" s="4">
        <v>3</v>
      </c>
      <c r="AI5037" s="4">
        <v>47</v>
      </c>
      <c r="AJ5037" s="4">
        <v>0</v>
      </c>
      <c r="AK5037" s="4">
        <v>6</v>
      </c>
      <c r="AL5037" s="4">
        <v>2</v>
      </c>
      <c r="AM5037" s="4">
        <v>31</v>
      </c>
      <c r="AN5037" s="4">
        <v>0</v>
      </c>
      <c r="AO5037" s="4">
        <v>0</v>
      </c>
      <c r="AP5037" s="4">
        <v>0</v>
      </c>
      <c r="AQ5037" s="4">
        <v>6</v>
      </c>
      <c r="AR5037" s="3" t="s">
        <v>64</v>
      </c>
      <c r="AS5037" s="3" t="s">
        <v>64</v>
      </c>
      <c r="AT5037" s="3" t="s">
        <v>64</v>
      </c>
      <c r="AV5037" s="6" t="str">
        <f>HYPERLINK("http://mcgill.on.worldcat.org/oclc/9856184","Catalog Record")</f>
        <v>Catalog Record</v>
      </c>
      <c r="AW5037" s="6" t="str">
        <f>HYPERLINK("http://www.worldcat.org/oclc/9856184","WorldCat Record")</f>
        <v>WorldCat Record</v>
      </c>
      <c r="AX5037" s="3" t="s">
        <v>49045</v>
      </c>
      <c r="AY5037" s="3" t="s">
        <v>49052</v>
      </c>
      <c r="AZ5037" s="3" t="s">
        <v>49053</v>
      </c>
      <c r="BA5037" s="3" t="s">
        <v>49053</v>
      </c>
      <c r="BB5037" s="3" t="s">
        <v>49054</v>
      </c>
      <c r="BC5037" s="3" t="s">
        <v>77</v>
      </c>
      <c r="BD5037" s="3" t="s">
        <v>78</v>
      </c>
      <c r="BF5037" s="3" t="s">
        <v>49054</v>
      </c>
      <c r="BG5037" s="3" t="s">
        <v>49055</v>
      </c>
      <c r="BH5037">
        <f t="shared" si="160"/>
        <v>0</v>
      </c>
    </row>
    <row r="5038" spans="1:60" ht="58" x14ac:dyDescent="0.35">
      <c r="A5038" s="2" t="s">
        <v>59</v>
      </c>
      <c r="B5038" s="2" t="s">
        <v>60</v>
      </c>
      <c r="C5038" s="2" t="s">
        <v>49056</v>
      </c>
      <c r="D5038" s="2" t="s">
        <v>49057</v>
      </c>
      <c r="E5038" s="2" t="s">
        <v>49058</v>
      </c>
      <c r="G5038" s="3" t="s">
        <v>64</v>
      </c>
      <c r="I5038" s="3" t="s">
        <v>64</v>
      </c>
      <c r="J5038" s="3" t="s">
        <v>64</v>
      </c>
      <c r="K5038" s="3" t="s">
        <v>65</v>
      </c>
      <c r="L5038" s="2" t="s">
        <v>49059</v>
      </c>
      <c r="M5038" s="2" t="s">
        <v>49060</v>
      </c>
      <c r="N5038" s="3" t="s">
        <v>11182</v>
      </c>
      <c r="P5038" s="3" t="s">
        <v>102</v>
      </c>
      <c r="R5038" s="3" t="s">
        <v>70</v>
      </c>
      <c r="S5038" s="4">
        <v>2</v>
      </c>
      <c r="T5038" s="4">
        <v>2</v>
      </c>
      <c r="U5038" s="5" t="s">
        <v>7771</v>
      </c>
      <c r="V5038" s="5" t="s">
        <v>7771</v>
      </c>
      <c r="W5038" s="5" t="s">
        <v>72</v>
      </c>
      <c r="X5038" s="5" t="s">
        <v>72</v>
      </c>
      <c r="Y5038" s="4">
        <v>294</v>
      </c>
      <c r="Z5038" s="4">
        <v>15</v>
      </c>
      <c r="AA5038" s="4">
        <v>32</v>
      </c>
      <c r="AB5038" s="4">
        <v>1</v>
      </c>
      <c r="AC5038" s="4">
        <v>4</v>
      </c>
      <c r="AD5038" s="4">
        <v>94</v>
      </c>
      <c r="AE5038" s="4">
        <v>112</v>
      </c>
      <c r="AF5038" s="4">
        <v>0</v>
      </c>
      <c r="AG5038" s="4">
        <v>1</v>
      </c>
      <c r="AH5038" s="4">
        <v>85</v>
      </c>
      <c r="AI5038" s="4">
        <v>95</v>
      </c>
      <c r="AJ5038" s="4">
        <v>12</v>
      </c>
      <c r="AK5038" s="4">
        <v>20</v>
      </c>
      <c r="AL5038" s="4">
        <v>54</v>
      </c>
      <c r="AM5038" s="4">
        <v>54</v>
      </c>
      <c r="AN5038" s="4">
        <v>0</v>
      </c>
      <c r="AO5038" s="4">
        <v>0</v>
      </c>
      <c r="AP5038" s="4">
        <v>11</v>
      </c>
      <c r="AQ5038" s="4">
        <v>24</v>
      </c>
      <c r="AR5038" s="3" t="s">
        <v>64</v>
      </c>
      <c r="AS5038" s="3" t="s">
        <v>64</v>
      </c>
      <c r="AT5038" s="3" t="s">
        <v>128</v>
      </c>
      <c r="AU5038" s="6" t="str">
        <f>HYPERLINK("http://catalog.hathitrust.org/Record/001022991","HathiTrust Record")</f>
        <v>HathiTrust Record</v>
      </c>
      <c r="AV5038" s="6" t="str">
        <f>HYPERLINK("http://mcgill.on.worldcat.org/oclc/1242356","Catalog Record")</f>
        <v>Catalog Record</v>
      </c>
      <c r="AW5038" s="6" t="str">
        <f>HYPERLINK("http://www.worldcat.org/oclc/1242356","WorldCat Record")</f>
        <v>WorldCat Record</v>
      </c>
      <c r="AX5038" s="3" t="s">
        <v>49061</v>
      </c>
      <c r="AY5038" s="3" t="s">
        <v>49062</v>
      </c>
      <c r="AZ5038" s="3" t="s">
        <v>49063</v>
      </c>
      <c r="BA5038" s="3" t="s">
        <v>49063</v>
      </c>
      <c r="BB5038" s="3" t="s">
        <v>49064</v>
      </c>
      <c r="BC5038" s="3" t="s">
        <v>77</v>
      </c>
      <c r="BD5038" s="3" t="s">
        <v>78</v>
      </c>
      <c r="BE5038" s="3" t="s">
        <v>49065</v>
      </c>
      <c r="BF5038" s="3" t="s">
        <v>49064</v>
      </c>
      <c r="BG5038" s="3" t="s">
        <v>49066</v>
      </c>
      <c r="BH5038">
        <f t="shared" si="160"/>
        <v>0</v>
      </c>
    </row>
    <row r="5039" spans="1:60" ht="58" x14ac:dyDescent="0.35">
      <c r="A5039" s="2" t="s">
        <v>59</v>
      </c>
      <c r="B5039" s="2" t="s">
        <v>60</v>
      </c>
      <c r="C5039" s="2" t="s">
        <v>49067</v>
      </c>
      <c r="D5039" s="2" t="s">
        <v>49068</v>
      </c>
      <c r="E5039" s="2" t="s">
        <v>49069</v>
      </c>
      <c r="G5039" s="3" t="s">
        <v>64</v>
      </c>
      <c r="I5039" s="3" t="s">
        <v>64</v>
      </c>
      <c r="J5039" s="3" t="s">
        <v>64</v>
      </c>
      <c r="K5039" s="3" t="s">
        <v>65</v>
      </c>
      <c r="L5039" s="2" t="s">
        <v>49070</v>
      </c>
      <c r="M5039" s="2" t="s">
        <v>49071</v>
      </c>
      <c r="N5039" s="3" t="s">
        <v>1763</v>
      </c>
      <c r="P5039" s="3" t="s">
        <v>102</v>
      </c>
      <c r="Q5039" s="2" t="s">
        <v>47473</v>
      </c>
      <c r="R5039" s="3" t="s">
        <v>70</v>
      </c>
      <c r="S5039" s="4">
        <v>4</v>
      </c>
      <c r="T5039" s="4">
        <v>4</v>
      </c>
      <c r="U5039" s="5" t="s">
        <v>4072</v>
      </c>
      <c r="V5039" s="5" t="s">
        <v>4072</v>
      </c>
      <c r="W5039" s="5" t="s">
        <v>72</v>
      </c>
      <c r="X5039" s="5" t="s">
        <v>72</v>
      </c>
      <c r="Y5039" s="4">
        <v>298</v>
      </c>
      <c r="Z5039" s="4">
        <v>25</v>
      </c>
      <c r="AA5039" s="4">
        <v>27</v>
      </c>
      <c r="AB5039" s="4">
        <v>2</v>
      </c>
      <c r="AC5039" s="4">
        <v>4</v>
      </c>
      <c r="AD5039" s="4">
        <v>105</v>
      </c>
      <c r="AE5039" s="4">
        <v>107</v>
      </c>
      <c r="AF5039" s="4">
        <v>0</v>
      </c>
      <c r="AG5039" s="4">
        <v>2</v>
      </c>
      <c r="AH5039" s="4">
        <v>93</v>
      </c>
      <c r="AI5039" s="4">
        <v>94</v>
      </c>
      <c r="AJ5039" s="4">
        <v>16</v>
      </c>
      <c r="AK5039" s="4">
        <v>18</v>
      </c>
      <c r="AL5039" s="4">
        <v>49</v>
      </c>
      <c r="AM5039" s="4">
        <v>49</v>
      </c>
      <c r="AN5039" s="4">
        <v>0</v>
      </c>
      <c r="AO5039" s="4">
        <v>0</v>
      </c>
      <c r="AP5039" s="4">
        <v>20</v>
      </c>
      <c r="AQ5039" s="4">
        <v>21</v>
      </c>
      <c r="AR5039" s="3" t="s">
        <v>64</v>
      </c>
      <c r="AS5039" s="3" t="s">
        <v>64</v>
      </c>
      <c r="AT5039" s="3" t="s">
        <v>64</v>
      </c>
      <c r="AV5039" s="6" t="str">
        <f>HYPERLINK("http://mcgill.on.worldcat.org/oclc/10727176","Catalog Record")</f>
        <v>Catalog Record</v>
      </c>
      <c r="AW5039" s="6" t="str">
        <f>HYPERLINK("http://www.worldcat.org/oclc/10727176","WorldCat Record")</f>
        <v>WorldCat Record</v>
      </c>
      <c r="AX5039" s="3" t="s">
        <v>49072</v>
      </c>
      <c r="AY5039" s="3" t="s">
        <v>49073</v>
      </c>
      <c r="AZ5039" s="3" t="s">
        <v>49074</v>
      </c>
      <c r="BA5039" s="3" t="s">
        <v>49074</v>
      </c>
      <c r="BB5039" s="3" t="s">
        <v>49075</v>
      </c>
      <c r="BC5039" s="3" t="s">
        <v>77</v>
      </c>
      <c r="BD5039" s="3" t="s">
        <v>78</v>
      </c>
      <c r="BE5039" s="3" t="s">
        <v>49076</v>
      </c>
      <c r="BF5039" s="3" t="s">
        <v>49075</v>
      </c>
      <c r="BG5039" s="3" t="s">
        <v>49077</v>
      </c>
      <c r="BH5039">
        <f t="shared" si="160"/>
        <v>0</v>
      </c>
    </row>
    <row r="5040" spans="1:60" ht="58" x14ac:dyDescent="0.35">
      <c r="A5040" s="2" t="s">
        <v>59</v>
      </c>
      <c r="B5040" s="2" t="s">
        <v>60</v>
      </c>
      <c r="C5040" s="2" t="s">
        <v>49078</v>
      </c>
      <c r="D5040" s="2" t="s">
        <v>49079</v>
      </c>
      <c r="E5040" s="2" t="s">
        <v>49080</v>
      </c>
      <c r="G5040" s="3" t="s">
        <v>64</v>
      </c>
      <c r="I5040" s="3" t="s">
        <v>64</v>
      </c>
      <c r="J5040" s="3" t="s">
        <v>64</v>
      </c>
      <c r="K5040" s="3" t="s">
        <v>65</v>
      </c>
      <c r="L5040" s="2" t="s">
        <v>49081</v>
      </c>
      <c r="M5040" s="2" t="s">
        <v>49082</v>
      </c>
      <c r="N5040" s="3" t="s">
        <v>253</v>
      </c>
      <c r="P5040" s="3" t="s">
        <v>944</v>
      </c>
      <c r="R5040" s="3" t="s">
        <v>70</v>
      </c>
      <c r="S5040" s="4">
        <v>0</v>
      </c>
      <c r="T5040" s="4">
        <v>0</v>
      </c>
      <c r="W5040" s="5" t="s">
        <v>72</v>
      </c>
      <c r="X5040" s="5" t="s">
        <v>72</v>
      </c>
      <c r="Y5040" s="4">
        <v>41</v>
      </c>
      <c r="Z5040" s="4">
        <v>5</v>
      </c>
      <c r="AA5040" s="4">
        <v>8</v>
      </c>
      <c r="AB5040" s="4">
        <v>1</v>
      </c>
      <c r="AC5040" s="4">
        <v>3</v>
      </c>
      <c r="AD5040" s="4">
        <v>29</v>
      </c>
      <c r="AE5040" s="4">
        <v>33</v>
      </c>
      <c r="AF5040" s="4">
        <v>0</v>
      </c>
      <c r="AG5040" s="4">
        <v>0</v>
      </c>
      <c r="AH5040" s="4">
        <v>26</v>
      </c>
      <c r="AI5040" s="4">
        <v>30</v>
      </c>
      <c r="AJ5040" s="4">
        <v>3</v>
      </c>
      <c r="AK5040" s="4">
        <v>4</v>
      </c>
      <c r="AL5040" s="4">
        <v>19</v>
      </c>
      <c r="AM5040" s="4">
        <v>21</v>
      </c>
      <c r="AN5040" s="4">
        <v>0</v>
      </c>
      <c r="AO5040" s="4">
        <v>0</v>
      </c>
      <c r="AP5040" s="4">
        <v>3</v>
      </c>
      <c r="AQ5040" s="4">
        <v>4</v>
      </c>
      <c r="AR5040" s="3" t="s">
        <v>64</v>
      </c>
      <c r="AS5040" s="3" t="s">
        <v>64</v>
      </c>
      <c r="AT5040" s="3" t="s">
        <v>64</v>
      </c>
      <c r="AV5040" s="6" t="str">
        <f>HYPERLINK("http://mcgill.on.worldcat.org/oclc/922970110","Catalog Record")</f>
        <v>Catalog Record</v>
      </c>
      <c r="AW5040" s="6" t="str">
        <f>HYPERLINK("http://www.worldcat.org/oclc/922970110","WorldCat Record")</f>
        <v>WorldCat Record</v>
      </c>
      <c r="AX5040" s="3" t="s">
        <v>49083</v>
      </c>
      <c r="AY5040" s="3" t="s">
        <v>49084</v>
      </c>
      <c r="AZ5040" s="3" t="s">
        <v>49085</v>
      </c>
      <c r="BA5040" s="3" t="s">
        <v>49085</v>
      </c>
      <c r="BB5040" s="3" t="s">
        <v>49086</v>
      </c>
      <c r="BC5040" s="3" t="s">
        <v>77</v>
      </c>
      <c r="BD5040" s="3" t="s">
        <v>78</v>
      </c>
      <c r="BE5040" s="3" t="s">
        <v>49087</v>
      </c>
      <c r="BF5040" s="3" t="s">
        <v>49086</v>
      </c>
      <c r="BG5040" s="3" t="s">
        <v>49088</v>
      </c>
      <c r="BH5040">
        <f t="shared" si="160"/>
        <v>0</v>
      </c>
    </row>
    <row r="5041" spans="1:60" ht="58" x14ac:dyDescent="0.35">
      <c r="A5041" s="2" t="s">
        <v>59</v>
      </c>
      <c r="B5041" s="2" t="s">
        <v>60</v>
      </c>
      <c r="C5041" s="2" t="s">
        <v>49089</v>
      </c>
      <c r="D5041" s="2" t="s">
        <v>49090</v>
      </c>
      <c r="E5041" s="2" t="s">
        <v>49091</v>
      </c>
      <c r="G5041" s="3" t="s">
        <v>64</v>
      </c>
      <c r="I5041" s="3" t="s">
        <v>64</v>
      </c>
      <c r="J5041" s="3" t="s">
        <v>64</v>
      </c>
      <c r="K5041" s="3" t="s">
        <v>65</v>
      </c>
      <c r="L5041" s="2" t="s">
        <v>49092</v>
      </c>
      <c r="M5041" s="2" t="s">
        <v>49093</v>
      </c>
      <c r="N5041" s="3" t="s">
        <v>86</v>
      </c>
      <c r="P5041" s="3" t="s">
        <v>102</v>
      </c>
      <c r="R5041" s="3" t="s">
        <v>70</v>
      </c>
      <c r="S5041" s="4">
        <v>0</v>
      </c>
      <c r="T5041" s="4">
        <v>0</v>
      </c>
      <c r="W5041" s="5" t="s">
        <v>72</v>
      </c>
      <c r="X5041" s="5" t="s">
        <v>72</v>
      </c>
      <c r="Y5041" s="4">
        <v>22</v>
      </c>
      <c r="Z5041" s="4">
        <v>4</v>
      </c>
      <c r="AA5041" s="4">
        <v>4</v>
      </c>
      <c r="AB5041" s="4">
        <v>1</v>
      </c>
      <c r="AC5041" s="4">
        <v>1</v>
      </c>
      <c r="AD5041" s="4">
        <v>12</v>
      </c>
      <c r="AE5041" s="4">
        <v>12</v>
      </c>
      <c r="AF5041" s="4">
        <v>0</v>
      </c>
      <c r="AG5041" s="4">
        <v>0</v>
      </c>
      <c r="AH5041" s="4">
        <v>12</v>
      </c>
      <c r="AI5041" s="4">
        <v>12</v>
      </c>
      <c r="AJ5041" s="4">
        <v>2</v>
      </c>
      <c r="AK5041" s="4">
        <v>2</v>
      </c>
      <c r="AL5041" s="4">
        <v>9</v>
      </c>
      <c r="AM5041" s="4">
        <v>9</v>
      </c>
      <c r="AN5041" s="4">
        <v>0</v>
      </c>
      <c r="AO5041" s="4">
        <v>0</v>
      </c>
      <c r="AP5041" s="4">
        <v>2</v>
      </c>
      <c r="AQ5041" s="4">
        <v>2</v>
      </c>
      <c r="AR5041" s="3" t="s">
        <v>64</v>
      </c>
      <c r="AS5041" s="3" t="s">
        <v>64</v>
      </c>
      <c r="AT5041" s="3" t="s">
        <v>64</v>
      </c>
      <c r="AV5041" s="6" t="str">
        <f>HYPERLINK("http://mcgill.on.worldcat.org/oclc/802323668","Catalog Record")</f>
        <v>Catalog Record</v>
      </c>
      <c r="AW5041" s="6" t="str">
        <f>HYPERLINK("http://www.worldcat.org/oclc/802323668","WorldCat Record")</f>
        <v>WorldCat Record</v>
      </c>
      <c r="AX5041" s="3" t="s">
        <v>49094</v>
      </c>
      <c r="AY5041" s="3" t="s">
        <v>49095</v>
      </c>
      <c r="AZ5041" s="3" t="s">
        <v>49096</v>
      </c>
      <c r="BA5041" s="3" t="s">
        <v>49096</v>
      </c>
      <c r="BB5041" s="3" t="s">
        <v>49097</v>
      </c>
      <c r="BC5041" s="3" t="s">
        <v>77</v>
      </c>
      <c r="BD5041" s="3" t="s">
        <v>78</v>
      </c>
      <c r="BE5041" s="3" t="s">
        <v>49098</v>
      </c>
      <c r="BF5041" s="3" t="s">
        <v>49097</v>
      </c>
      <c r="BG5041" s="3" t="s">
        <v>49099</v>
      </c>
      <c r="BH5041">
        <f t="shared" si="160"/>
        <v>0</v>
      </c>
    </row>
    <row r="5042" spans="1:60" ht="72.5" x14ac:dyDescent="0.35">
      <c r="A5042" s="2" t="s">
        <v>59</v>
      </c>
      <c r="B5042" s="2" t="s">
        <v>60</v>
      </c>
      <c r="C5042" s="2" t="s">
        <v>49100</v>
      </c>
      <c r="D5042" s="2" t="s">
        <v>49101</v>
      </c>
      <c r="E5042" s="2" t="s">
        <v>49102</v>
      </c>
      <c r="F5042" s="3" t="s">
        <v>6565</v>
      </c>
      <c r="G5042" s="3" t="s">
        <v>64</v>
      </c>
      <c r="I5042" s="3" t="s">
        <v>64</v>
      </c>
      <c r="J5042" s="3" t="s">
        <v>64</v>
      </c>
      <c r="K5042" s="3" t="s">
        <v>65</v>
      </c>
      <c r="L5042" s="2" t="s">
        <v>49103</v>
      </c>
      <c r="M5042" s="2" t="s">
        <v>49104</v>
      </c>
      <c r="N5042" s="3" t="s">
        <v>326</v>
      </c>
      <c r="P5042" s="3" t="s">
        <v>102</v>
      </c>
      <c r="Q5042" s="2" t="s">
        <v>49105</v>
      </c>
      <c r="R5042" s="3" t="s">
        <v>70</v>
      </c>
      <c r="S5042" s="4">
        <v>0</v>
      </c>
      <c r="T5042" s="4">
        <v>0</v>
      </c>
      <c r="W5042" s="5" t="s">
        <v>72</v>
      </c>
      <c r="X5042" s="5" t="s">
        <v>72</v>
      </c>
      <c r="Y5042" s="4">
        <v>104</v>
      </c>
      <c r="Z5042" s="4">
        <v>5</v>
      </c>
      <c r="AA5042" s="4">
        <v>91</v>
      </c>
      <c r="AB5042" s="4">
        <v>1</v>
      </c>
      <c r="AC5042" s="4">
        <v>18</v>
      </c>
      <c r="AD5042" s="4">
        <v>54</v>
      </c>
      <c r="AE5042" s="4">
        <v>123</v>
      </c>
      <c r="AF5042" s="4">
        <v>0</v>
      </c>
      <c r="AG5042" s="4">
        <v>8</v>
      </c>
      <c r="AH5042" s="4">
        <v>51</v>
      </c>
      <c r="AI5042" s="4">
        <v>88</v>
      </c>
      <c r="AJ5042" s="4">
        <v>3</v>
      </c>
      <c r="AK5042" s="4">
        <v>20</v>
      </c>
      <c r="AL5042" s="4">
        <v>37</v>
      </c>
      <c r="AM5042" s="4">
        <v>49</v>
      </c>
      <c r="AN5042" s="4">
        <v>0</v>
      </c>
      <c r="AO5042" s="4">
        <v>0</v>
      </c>
      <c r="AP5042" s="4">
        <v>3</v>
      </c>
      <c r="AQ5042" s="4">
        <v>41</v>
      </c>
      <c r="AR5042" s="3" t="s">
        <v>64</v>
      </c>
      <c r="AS5042" s="3" t="s">
        <v>64</v>
      </c>
      <c r="AT5042" s="3" t="s">
        <v>64</v>
      </c>
      <c r="AV5042" s="6" t="str">
        <f>HYPERLINK("http://mcgill.on.worldcat.org/oclc/667873342","Catalog Record")</f>
        <v>Catalog Record</v>
      </c>
      <c r="AW5042" s="6" t="str">
        <f>HYPERLINK("http://www.worldcat.org/oclc/667873342","WorldCat Record")</f>
        <v>WorldCat Record</v>
      </c>
      <c r="AX5042" s="3" t="s">
        <v>49106</v>
      </c>
      <c r="AY5042" s="3" t="s">
        <v>49107</v>
      </c>
      <c r="AZ5042" s="3" t="s">
        <v>49108</v>
      </c>
      <c r="BA5042" s="3" t="s">
        <v>49108</v>
      </c>
      <c r="BB5042" s="3" t="s">
        <v>49109</v>
      </c>
      <c r="BC5042" s="3" t="s">
        <v>77</v>
      </c>
      <c r="BD5042" s="3" t="s">
        <v>78</v>
      </c>
      <c r="BE5042" s="3" t="s">
        <v>49110</v>
      </c>
      <c r="BF5042" s="3" t="s">
        <v>49109</v>
      </c>
      <c r="BG5042" s="3" t="s">
        <v>49111</v>
      </c>
      <c r="BH5042">
        <f t="shared" si="160"/>
        <v>0</v>
      </c>
    </row>
    <row r="5043" spans="1:60" ht="101.5" x14ac:dyDescent="0.35">
      <c r="A5043" s="2" t="s">
        <v>59</v>
      </c>
      <c r="B5043" s="2" t="s">
        <v>60</v>
      </c>
      <c r="C5043" s="2" t="s">
        <v>49112</v>
      </c>
      <c r="D5043" s="2" t="s">
        <v>49113</v>
      </c>
      <c r="E5043" s="2" t="s">
        <v>49114</v>
      </c>
      <c r="G5043" s="3" t="s">
        <v>64</v>
      </c>
      <c r="I5043" s="3" t="s">
        <v>64</v>
      </c>
      <c r="J5043" s="3" t="s">
        <v>64</v>
      </c>
      <c r="K5043" s="3" t="s">
        <v>65</v>
      </c>
      <c r="M5043" s="2" t="s">
        <v>49115</v>
      </c>
      <c r="P5043" s="3" t="s">
        <v>102</v>
      </c>
      <c r="Q5043" s="2" t="s">
        <v>49116</v>
      </c>
      <c r="R5043" s="3" t="s">
        <v>70</v>
      </c>
      <c r="S5043" s="4">
        <v>2</v>
      </c>
      <c r="T5043" s="4">
        <v>2</v>
      </c>
      <c r="U5043" s="5" t="s">
        <v>37930</v>
      </c>
      <c r="V5043" s="5" t="s">
        <v>37930</v>
      </c>
      <c r="W5043" s="5" t="s">
        <v>72</v>
      </c>
      <c r="X5043" s="5" t="s">
        <v>72</v>
      </c>
      <c r="Y5043" s="4">
        <v>103</v>
      </c>
      <c r="Z5043" s="4">
        <v>7</v>
      </c>
      <c r="AA5043" s="4">
        <v>18</v>
      </c>
      <c r="AB5043" s="4">
        <v>2</v>
      </c>
      <c r="AC5043" s="4">
        <v>2</v>
      </c>
      <c r="AD5043" s="4">
        <v>46</v>
      </c>
      <c r="AE5043" s="4">
        <v>50</v>
      </c>
      <c r="AF5043" s="4">
        <v>0</v>
      </c>
      <c r="AG5043" s="4">
        <v>0</v>
      </c>
      <c r="AH5043" s="4">
        <v>42</v>
      </c>
      <c r="AI5043" s="4">
        <v>43</v>
      </c>
      <c r="AJ5043" s="4">
        <v>3</v>
      </c>
      <c r="AK5043" s="4">
        <v>4</v>
      </c>
      <c r="AL5043" s="4">
        <v>32</v>
      </c>
      <c r="AM5043" s="4">
        <v>32</v>
      </c>
      <c r="AN5043" s="4">
        <v>0</v>
      </c>
      <c r="AO5043" s="4">
        <v>0</v>
      </c>
      <c r="AP5043" s="4">
        <v>3</v>
      </c>
      <c r="AQ5043" s="4">
        <v>7</v>
      </c>
      <c r="AR5043" s="3" t="s">
        <v>64</v>
      </c>
      <c r="AS5043" s="3" t="s">
        <v>64</v>
      </c>
      <c r="AT5043" s="3" t="s">
        <v>128</v>
      </c>
      <c r="AU5043" s="6" t="str">
        <f>HYPERLINK("http://catalog.hathitrust.org/Record/008885172","HathiTrust Record")</f>
        <v>HathiTrust Record</v>
      </c>
      <c r="AV5043" s="6" t="str">
        <f>HYPERLINK("http://mcgill.on.worldcat.org/oclc/602941","Catalog Record")</f>
        <v>Catalog Record</v>
      </c>
      <c r="AW5043" s="6" t="str">
        <f>HYPERLINK("http://www.worldcat.org/oclc/602941","WorldCat Record")</f>
        <v>WorldCat Record</v>
      </c>
      <c r="AX5043" s="3" t="s">
        <v>49117</v>
      </c>
      <c r="AY5043" s="3" t="s">
        <v>49118</v>
      </c>
      <c r="AZ5043" s="3" t="s">
        <v>49119</v>
      </c>
      <c r="BA5043" s="3" t="s">
        <v>49119</v>
      </c>
      <c r="BB5043" s="3" t="s">
        <v>49120</v>
      </c>
      <c r="BC5043" s="3" t="s">
        <v>77</v>
      </c>
      <c r="BD5043" s="3" t="s">
        <v>78</v>
      </c>
      <c r="BF5043" s="3" t="s">
        <v>49120</v>
      </c>
      <c r="BG5043" s="3" t="s">
        <v>49121</v>
      </c>
      <c r="BH5043">
        <f t="shared" si="160"/>
        <v>0</v>
      </c>
    </row>
    <row r="5044" spans="1:60" ht="58" x14ac:dyDescent="0.35">
      <c r="A5044" s="2" t="s">
        <v>59</v>
      </c>
      <c r="B5044" s="2" t="s">
        <v>60</v>
      </c>
      <c r="C5044" s="2" t="s">
        <v>49122</v>
      </c>
      <c r="D5044" s="2" t="s">
        <v>49123</v>
      </c>
      <c r="E5044" s="2" t="s">
        <v>49124</v>
      </c>
      <c r="G5044" s="3" t="s">
        <v>64</v>
      </c>
      <c r="I5044" s="3" t="s">
        <v>64</v>
      </c>
      <c r="J5044" s="3" t="s">
        <v>64</v>
      </c>
      <c r="K5044" s="3" t="s">
        <v>65</v>
      </c>
      <c r="L5044" s="2" t="s">
        <v>49125</v>
      </c>
      <c r="M5044" s="2" t="s">
        <v>49126</v>
      </c>
      <c r="N5044" s="3" t="s">
        <v>253</v>
      </c>
      <c r="O5044" s="2" t="s">
        <v>14853</v>
      </c>
      <c r="P5044" s="3" t="s">
        <v>102</v>
      </c>
      <c r="Q5044" s="2" t="s">
        <v>49127</v>
      </c>
      <c r="R5044" s="3" t="s">
        <v>70</v>
      </c>
      <c r="S5044" s="4">
        <v>0</v>
      </c>
      <c r="T5044" s="4">
        <v>0</v>
      </c>
      <c r="W5044" s="5" t="s">
        <v>72</v>
      </c>
      <c r="X5044" s="5" t="s">
        <v>72</v>
      </c>
      <c r="Y5044" s="4">
        <v>5</v>
      </c>
      <c r="Z5044" s="4">
        <v>1</v>
      </c>
      <c r="AA5044" s="4">
        <v>1</v>
      </c>
      <c r="AB5044" s="4">
        <v>1</v>
      </c>
      <c r="AC5044" s="4">
        <v>1</v>
      </c>
      <c r="AD5044" s="4">
        <v>2</v>
      </c>
      <c r="AE5044" s="4">
        <v>2</v>
      </c>
      <c r="AF5044" s="4">
        <v>0</v>
      </c>
      <c r="AG5044" s="4">
        <v>0</v>
      </c>
      <c r="AH5044" s="4">
        <v>2</v>
      </c>
      <c r="AI5044" s="4">
        <v>2</v>
      </c>
      <c r="AJ5044" s="4">
        <v>0</v>
      </c>
      <c r="AK5044" s="4">
        <v>0</v>
      </c>
      <c r="AL5044" s="4">
        <v>2</v>
      </c>
      <c r="AM5044" s="4">
        <v>2</v>
      </c>
      <c r="AN5044" s="4">
        <v>0</v>
      </c>
      <c r="AO5044" s="4">
        <v>0</v>
      </c>
      <c r="AP5044" s="4">
        <v>0</v>
      </c>
      <c r="AQ5044" s="4">
        <v>0</v>
      </c>
      <c r="AR5044" s="3" t="s">
        <v>64</v>
      </c>
      <c r="AS5044" s="3" t="s">
        <v>64</v>
      </c>
      <c r="AT5044" s="3" t="s">
        <v>64</v>
      </c>
      <c r="AV5044" s="6" t="str">
        <f>HYPERLINK("http://mcgill.on.worldcat.org/oclc/905518009","Catalog Record")</f>
        <v>Catalog Record</v>
      </c>
      <c r="AW5044" s="6" t="str">
        <f>HYPERLINK("http://www.worldcat.org/oclc/905518009","WorldCat Record")</f>
        <v>WorldCat Record</v>
      </c>
      <c r="AX5044" s="3" t="s">
        <v>49128</v>
      </c>
      <c r="AY5044" s="3" t="s">
        <v>49129</v>
      </c>
      <c r="AZ5044" s="3" t="s">
        <v>49130</v>
      </c>
      <c r="BA5044" s="3" t="s">
        <v>49130</v>
      </c>
      <c r="BB5044" s="3" t="s">
        <v>49131</v>
      </c>
      <c r="BC5044" s="3" t="s">
        <v>77</v>
      </c>
      <c r="BD5044" s="3" t="s">
        <v>78</v>
      </c>
      <c r="BE5044" s="3" t="s">
        <v>49132</v>
      </c>
      <c r="BF5044" s="3" t="s">
        <v>49131</v>
      </c>
      <c r="BG5044" s="3" t="s">
        <v>49133</v>
      </c>
      <c r="BH5044">
        <f t="shared" si="160"/>
        <v>0</v>
      </c>
    </row>
    <row r="5045" spans="1:60" ht="58" x14ac:dyDescent="0.35">
      <c r="A5045" s="2" t="s">
        <v>59</v>
      </c>
      <c r="B5045" s="2" t="s">
        <v>60</v>
      </c>
      <c r="C5045" s="2" t="s">
        <v>49134</v>
      </c>
      <c r="D5045" s="2" t="s">
        <v>49135</v>
      </c>
      <c r="E5045" s="2" t="s">
        <v>49136</v>
      </c>
      <c r="G5045" s="3" t="s">
        <v>64</v>
      </c>
      <c r="I5045" s="3" t="s">
        <v>64</v>
      </c>
      <c r="J5045" s="3" t="s">
        <v>128</v>
      </c>
      <c r="K5045" s="3" t="s">
        <v>65</v>
      </c>
      <c r="L5045" s="2" t="s">
        <v>49137</v>
      </c>
      <c r="M5045" s="2" t="s">
        <v>49138</v>
      </c>
      <c r="N5045" s="3" t="s">
        <v>1075</v>
      </c>
      <c r="P5045" s="3" t="s">
        <v>102</v>
      </c>
      <c r="Q5045" s="2" t="s">
        <v>49139</v>
      </c>
      <c r="R5045" s="3" t="s">
        <v>70</v>
      </c>
      <c r="S5045" s="4">
        <v>0</v>
      </c>
      <c r="T5045" s="4">
        <v>0</v>
      </c>
      <c r="W5045" s="5" t="s">
        <v>72</v>
      </c>
      <c r="X5045" s="5" t="s">
        <v>72</v>
      </c>
      <c r="Y5045" s="4">
        <v>12</v>
      </c>
      <c r="Z5045" s="4">
        <v>1</v>
      </c>
      <c r="AA5045" s="4">
        <v>34</v>
      </c>
      <c r="AB5045" s="4">
        <v>1</v>
      </c>
      <c r="AC5045" s="4">
        <v>6</v>
      </c>
      <c r="AD5045" s="4">
        <v>0</v>
      </c>
      <c r="AE5045" s="4">
        <v>123</v>
      </c>
      <c r="AF5045" s="4">
        <v>0</v>
      </c>
      <c r="AG5045" s="4">
        <v>2</v>
      </c>
      <c r="AH5045" s="4">
        <v>0</v>
      </c>
      <c r="AI5045" s="4">
        <v>104</v>
      </c>
      <c r="AJ5045" s="4">
        <v>0</v>
      </c>
      <c r="AK5045" s="4">
        <v>21</v>
      </c>
      <c r="AL5045" s="4">
        <v>0</v>
      </c>
      <c r="AM5045" s="4">
        <v>55</v>
      </c>
      <c r="AN5045" s="4">
        <v>0</v>
      </c>
      <c r="AO5045" s="4">
        <v>0</v>
      </c>
      <c r="AP5045" s="4">
        <v>0</v>
      </c>
      <c r="AQ5045" s="4">
        <v>27</v>
      </c>
      <c r="AR5045" s="3" t="s">
        <v>64</v>
      </c>
      <c r="AS5045" s="3" t="s">
        <v>64</v>
      </c>
      <c r="AT5045" s="3" t="s">
        <v>64</v>
      </c>
      <c r="AV5045" s="6" t="str">
        <f>HYPERLINK("http://mcgill.on.worldcat.org/oclc/829721397","Catalog Record")</f>
        <v>Catalog Record</v>
      </c>
      <c r="AW5045" s="6" t="str">
        <f>HYPERLINK("http://www.worldcat.org/oclc/829721397","WorldCat Record")</f>
        <v>WorldCat Record</v>
      </c>
      <c r="AX5045" s="3" t="s">
        <v>49140</v>
      </c>
      <c r="AY5045" s="3" t="s">
        <v>49141</v>
      </c>
      <c r="AZ5045" s="3" t="s">
        <v>49142</v>
      </c>
      <c r="BA5045" s="3" t="s">
        <v>49142</v>
      </c>
      <c r="BB5045" s="3" t="s">
        <v>49143</v>
      </c>
      <c r="BC5045" s="3" t="s">
        <v>77</v>
      </c>
      <c r="BD5045" s="3" t="s">
        <v>78</v>
      </c>
      <c r="BE5045" s="3" t="s">
        <v>49144</v>
      </c>
      <c r="BF5045" s="3" t="s">
        <v>49143</v>
      </c>
      <c r="BG5045" s="3" t="s">
        <v>49145</v>
      </c>
      <c r="BH5045">
        <f t="shared" si="160"/>
        <v>0</v>
      </c>
    </row>
    <row r="5046" spans="1:60" ht="58" x14ac:dyDescent="0.35">
      <c r="A5046" s="2" t="s">
        <v>59</v>
      </c>
      <c r="B5046" s="2" t="s">
        <v>60</v>
      </c>
      <c r="C5046" s="2" t="s">
        <v>49146</v>
      </c>
      <c r="D5046" s="2" t="s">
        <v>49147</v>
      </c>
      <c r="E5046" s="2" t="s">
        <v>49148</v>
      </c>
      <c r="G5046" s="3" t="s">
        <v>64</v>
      </c>
      <c r="I5046" s="3" t="s">
        <v>128</v>
      </c>
      <c r="J5046" s="3" t="s">
        <v>64</v>
      </c>
      <c r="K5046" s="3" t="s">
        <v>65</v>
      </c>
      <c r="L5046" s="2" t="s">
        <v>49149</v>
      </c>
      <c r="M5046" s="2" t="s">
        <v>49150</v>
      </c>
      <c r="N5046" s="3" t="s">
        <v>874</v>
      </c>
      <c r="P5046" s="3" t="s">
        <v>102</v>
      </c>
      <c r="Q5046" s="2" t="s">
        <v>49151</v>
      </c>
      <c r="R5046" s="3" t="s">
        <v>70</v>
      </c>
      <c r="S5046" s="4">
        <v>4</v>
      </c>
      <c r="T5046" s="4">
        <v>12</v>
      </c>
      <c r="U5046" s="5" t="s">
        <v>6010</v>
      </c>
      <c r="V5046" s="5" t="s">
        <v>269</v>
      </c>
      <c r="W5046" s="5" t="s">
        <v>72</v>
      </c>
      <c r="X5046" s="5" t="s">
        <v>72</v>
      </c>
      <c r="Y5046" s="4">
        <v>33</v>
      </c>
      <c r="Z5046" s="4">
        <v>10</v>
      </c>
      <c r="AA5046" s="4">
        <v>10</v>
      </c>
      <c r="AB5046" s="4">
        <v>1</v>
      </c>
      <c r="AC5046" s="4">
        <v>1</v>
      </c>
      <c r="AD5046" s="4">
        <v>22</v>
      </c>
      <c r="AE5046" s="4">
        <v>22</v>
      </c>
      <c r="AF5046" s="4">
        <v>0</v>
      </c>
      <c r="AG5046" s="4">
        <v>0</v>
      </c>
      <c r="AH5046" s="4">
        <v>19</v>
      </c>
      <c r="AI5046" s="4">
        <v>19</v>
      </c>
      <c r="AJ5046" s="4">
        <v>5</v>
      </c>
      <c r="AK5046" s="4">
        <v>5</v>
      </c>
      <c r="AL5046" s="4">
        <v>17</v>
      </c>
      <c r="AM5046" s="4">
        <v>17</v>
      </c>
      <c r="AN5046" s="4">
        <v>0</v>
      </c>
      <c r="AO5046" s="4">
        <v>0</v>
      </c>
      <c r="AP5046" s="4">
        <v>4</v>
      </c>
      <c r="AQ5046" s="4">
        <v>4</v>
      </c>
      <c r="AR5046" s="3" t="s">
        <v>128</v>
      </c>
      <c r="AS5046" s="3" t="s">
        <v>64</v>
      </c>
      <c r="AT5046" s="3" t="s">
        <v>64</v>
      </c>
      <c r="AV5046" s="6" t="str">
        <f>HYPERLINK("http://mcgill.on.worldcat.org/oclc/8049006","Catalog Record")</f>
        <v>Catalog Record</v>
      </c>
      <c r="AW5046" s="6" t="str">
        <f>HYPERLINK("http://www.worldcat.org/oclc/8049006","WorldCat Record")</f>
        <v>WorldCat Record</v>
      </c>
      <c r="AX5046" s="3" t="s">
        <v>49152</v>
      </c>
      <c r="AY5046" s="3" t="s">
        <v>49153</v>
      </c>
      <c r="AZ5046" s="3" t="s">
        <v>49154</v>
      </c>
      <c r="BA5046" s="3" t="s">
        <v>49154</v>
      </c>
      <c r="BB5046" s="3" t="s">
        <v>49155</v>
      </c>
      <c r="BC5046" s="3" t="s">
        <v>77</v>
      </c>
      <c r="BD5046" s="3" t="s">
        <v>165</v>
      </c>
      <c r="BF5046" s="3" t="s">
        <v>49155</v>
      </c>
      <c r="BG5046" s="3" t="s">
        <v>49156</v>
      </c>
      <c r="BH5046">
        <f t="shared" si="160"/>
        <v>0</v>
      </c>
    </row>
    <row r="5047" spans="1:60" ht="58" x14ac:dyDescent="0.35">
      <c r="A5047" s="2" t="s">
        <v>59</v>
      </c>
      <c r="B5047" s="2" t="s">
        <v>60</v>
      </c>
      <c r="C5047" s="2" t="s">
        <v>49146</v>
      </c>
      <c r="D5047" s="2" t="s">
        <v>49147</v>
      </c>
      <c r="E5047" s="2" t="s">
        <v>49148</v>
      </c>
      <c r="G5047" s="3" t="s">
        <v>64</v>
      </c>
      <c r="I5047" s="3" t="s">
        <v>128</v>
      </c>
      <c r="J5047" s="3" t="s">
        <v>64</v>
      </c>
      <c r="K5047" s="3" t="s">
        <v>65</v>
      </c>
      <c r="L5047" s="2" t="s">
        <v>49149</v>
      </c>
      <c r="M5047" s="2" t="s">
        <v>49150</v>
      </c>
      <c r="N5047" s="3" t="s">
        <v>874</v>
      </c>
      <c r="P5047" s="3" t="s">
        <v>102</v>
      </c>
      <c r="Q5047" s="2" t="s">
        <v>49151</v>
      </c>
      <c r="R5047" s="3" t="s">
        <v>70</v>
      </c>
      <c r="S5047" s="4">
        <v>3</v>
      </c>
      <c r="T5047" s="4">
        <v>12</v>
      </c>
      <c r="U5047" s="5" t="s">
        <v>49157</v>
      </c>
      <c r="V5047" s="5" t="s">
        <v>269</v>
      </c>
      <c r="W5047" s="5" t="s">
        <v>72</v>
      </c>
      <c r="X5047" s="5" t="s">
        <v>72</v>
      </c>
      <c r="Y5047" s="4">
        <v>33</v>
      </c>
      <c r="Z5047" s="4">
        <v>10</v>
      </c>
      <c r="AA5047" s="4">
        <v>10</v>
      </c>
      <c r="AB5047" s="4">
        <v>1</v>
      </c>
      <c r="AC5047" s="4">
        <v>1</v>
      </c>
      <c r="AD5047" s="4">
        <v>22</v>
      </c>
      <c r="AE5047" s="4">
        <v>22</v>
      </c>
      <c r="AF5047" s="4">
        <v>0</v>
      </c>
      <c r="AG5047" s="4">
        <v>0</v>
      </c>
      <c r="AH5047" s="4">
        <v>19</v>
      </c>
      <c r="AI5047" s="4">
        <v>19</v>
      </c>
      <c r="AJ5047" s="4">
        <v>5</v>
      </c>
      <c r="AK5047" s="4">
        <v>5</v>
      </c>
      <c r="AL5047" s="4">
        <v>17</v>
      </c>
      <c r="AM5047" s="4">
        <v>17</v>
      </c>
      <c r="AN5047" s="4">
        <v>0</v>
      </c>
      <c r="AO5047" s="4">
        <v>0</v>
      </c>
      <c r="AP5047" s="4">
        <v>4</v>
      </c>
      <c r="AQ5047" s="4">
        <v>4</v>
      </c>
      <c r="AR5047" s="3" t="s">
        <v>128</v>
      </c>
      <c r="AS5047" s="3" t="s">
        <v>64</v>
      </c>
      <c r="AT5047" s="3" t="s">
        <v>64</v>
      </c>
      <c r="AV5047" s="6" t="str">
        <f>HYPERLINK("http://mcgill.on.worldcat.org/oclc/8049006","Catalog Record")</f>
        <v>Catalog Record</v>
      </c>
      <c r="AW5047" s="6" t="str">
        <f>HYPERLINK("http://www.worldcat.org/oclc/8049006","WorldCat Record")</f>
        <v>WorldCat Record</v>
      </c>
      <c r="AX5047" s="3" t="s">
        <v>49152</v>
      </c>
      <c r="AY5047" s="3" t="s">
        <v>49153</v>
      </c>
      <c r="AZ5047" s="3" t="s">
        <v>49154</v>
      </c>
      <c r="BA5047" s="3" t="s">
        <v>49154</v>
      </c>
      <c r="BB5047" s="3" t="s">
        <v>49158</v>
      </c>
      <c r="BC5047" s="3" t="s">
        <v>77</v>
      </c>
      <c r="BD5047" s="3" t="s">
        <v>78</v>
      </c>
      <c r="BF5047" s="3" t="s">
        <v>49158</v>
      </c>
      <c r="BG5047" s="3" t="s">
        <v>49159</v>
      </c>
      <c r="BH5047">
        <f t="shared" si="160"/>
        <v>0</v>
      </c>
    </row>
    <row r="5048" spans="1:60" ht="58" x14ac:dyDescent="0.35">
      <c r="A5048" s="2" t="s">
        <v>1040</v>
      </c>
      <c r="B5048" s="2" t="s">
        <v>60</v>
      </c>
      <c r="C5048" s="2" t="s">
        <v>49146</v>
      </c>
      <c r="D5048" s="2" t="s">
        <v>49147</v>
      </c>
      <c r="E5048" s="2" t="s">
        <v>49148</v>
      </c>
      <c r="G5048" s="3" t="s">
        <v>64</v>
      </c>
      <c r="I5048" s="3" t="s">
        <v>128</v>
      </c>
      <c r="J5048" s="3" t="s">
        <v>64</v>
      </c>
      <c r="K5048" s="3" t="s">
        <v>65</v>
      </c>
      <c r="L5048" s="2" t="s">
        <v>49149</v>
      </c>
      <c r="M5048" s="2" t="s">
        <v>49150</v>
      </c>
      <c r="N5048" s="3" t="s">
        <v>874</v>
      </c>
      <c r="P5048" s="3" t="s">
        <v>102</v>
      </c>
      <c r="Q5048" s="2" t="s">
        <v>49151</v>
      </c>
      <c r="R5048" s="3" t="s">
        <v>70</v>
      </c>
      <c r="S5048" s="4">
        <v>2</v>
      </c>
      <c r="T5048" s="4">
        <v>12</v>
      </c>
      <c r="V5048" s="5" t="s">
        <v>269</v>
      </c>
      <c r="W5048" s="5" t="s">
        <v>72</v>
      </c>
      <c r="X5048" s="5" t="s">
        <v>72</v>
      </c>
      <c r="Y5048" s="4">
        <v>33</v>
      </c>
      <c r="Z5048" s="4">
        <v>10</v>
      </c>
      <c r="AA5048" s="4">
        <v>10</v>
      </c>
      <c r="AB5048" s="4">
        <v>1</v>
      </c>
      <c r="AC5048" s="4">
        <v>1</v>
      </c>
      <c r="AD5048" s="4">
        <v>22</v>
      </c>
      <c r="AE5048" s="4">
        <v>22</v>
      </c>
      <c r="AF5048" s="4">
        <v>0</v>
      </c>
      <c r="AG5048" s="4">
        <v>0</v>
      </c>
      <c r="AH5048" s="4">
        <v>19</v>
      </c>
      <c r="AI5048" s="4">
        <v>19</v>
      </c>
      <c r="AJ5048" s="4">
        <v>5</v>
      </c>
      <c r="AK5048" s="4">
        <v>5</v>
      </c>
      <c r="AL5048" s="4">
        <v>17</v>
      </c>
      <c r="AM5048" s="4">
        <v>17</v>
      </c>
      <c r="AN5048" s="4">
        <v>0</v>
      </c>
      <c r="AO5048" s="4">
        <v>0</v>
      </c>
      <c r="AP5048" s="4">
        <v>4</v>
      </c>
      <c r="AQ5048" s="4">
        <v>4</v>
      </c>
      <c r="AR5048" s="3" t="s">
        <v>128</v>
      </c>
      <c r="AS5048" s="3" t="s">
        <v>64</v>
      </c>
      <c r="AT5048" s="3" t="s">
        <v>64</v>
      </c>
      <c r="AV5048" s="6" t="str">
        <f>HYPERLINK("http://mcgill.on.worldcat.org/oclc/8049006","Catalog Record")</f>
        <v>Catalog Record</v>
      </c>
      <c r="AW5048" s="6" t="str">
        <f>HYPERLINK("http://www.worldcat.org/oclc/8049006","WorldCat Record")</f>
        <v>WorldCat Record</v>
      </c>
      <c r="AX5048" s="3" t="s">
        <v>49152</v>
      </c>
      <c r="AY5048" s="3" t="s">
        <v>49153</v>
      </c>
      <c r="AZ5048" s="3" t="s">
        <v>49154</v>
      </c>
      <c r="BA5048" s="3" t="s">
        <v>49154</v>
      </c>
      <c r="BB5048" s="3" t="s">
        <v>49160</v>
      </c>
      <c r="BC5048" s="3" t="s">
        <v>77</v>
      </c>
      <c r="BD5048" s="3" t="s">
        <v>165</v>
      </c>
      <c r="BF5048" s="3" t="s">
        <v>49160</v>
      </c>
      <c r="BG5048" s="3" t="s">
        <v>49161</v>
      </c>
      <c r="BH5048">
        <f t="shared" si="160"/>
        <v>0</v>
      </c>
    </row>
    <row r="5049" spans="1:60" ht="58" x14ac:dyDescent="0.35">
      <c r="A5049" s="2" t="s">
        <v>59</v>
      </c>
      <c r="B5049" s="2" t="s">
        <v>60</v>
      </c>
      <c r="C5049" s="2" t="s">
        <v>49162</v>
      </c>
      <c r="D5049" s="2" t="s">
        <v>49163</v>
      </c>
      <c r="E5049" s="2" t="s">
        <v>49164</v>
      </c>
      <c r="F5049" s="3" t="s">
        <v>525</v>
      </c>
      <c r="G5049" s="3" t="s">
        <v>128</v>
      </c>
      <c r="I5049" s="3" t="s">
        <v>64</v>
      </c>
      <c r="J5049" s="3" t="s">
        <v>64</v>
      </c>
      <c r="K5049" s="3" t="s">
        <v>65</v>
      </c>
      <c r="L5049" s="2" t="s">
        <v>49165</v>
      </c>
      <c r="M5049" s="2" t="s">
        <v>10804</v>
      </c>
      <c r="N5049" s="3" t="s">
        <v>1075</v>
      </c>
      <c r="P5049" s="3" t="s">
        <v>102</v>
      </c>
      <c r="R5049" s="3" t="s">
        <v>70</v>
      </c>
      <c r="S5049" s="4">
        <v>0</v>
      </c>
      <c r="T5049" s="4">
        <v>0</v>
      </c>
      <c r="W5049" s="5" t="s">
        <v>72</v>
      </c>
      <c r="X5049" s="5" t="s">
        <v>72</v>
      </c>
      <c r="Y5049" s="4">
        <v>114</v>
      </c>
      <c r="Z5049" s="4">
        <v>13</v>
      </c>
      <c r="AA5049" s="4">
        <v>17</v>
      </c>
      <c r="AB5049" s="4">
        <v>1</v>
      </c>
      <c r="AC5049" s="4">
        <v>3</v>
      </c>
      <c r="AD5049" s="4">
        <v>55</v>
      </c>
      <c r="AE5049" s="4">
        <v>59</v>
      </c>
      <c r="AF5049" s="4">
        <v>0</v>
      </c>
      <c r="AG5049" s="4">
        <v>1</v>
      </c>
      <c r="AH5049" s="4">
        <v>51</v>
      </c>
      <c r="AI5049" s="4">
        <v>54</v>
      </c>
      <c r="AJ5049" s="4">
        <v>10</v>
      </c>
      <c r="AK5049" s="4">
        <v>13</v>
      </c>
      <c r="AL5049" s="4">
        <v>31</v>
      </c>
      <c r="AM5049" s="4">
        <v>32</v>
      </c>
      <c r="AN5049" s="4">
        <v>0</v>
      </c>
      <c r="AO5049" s="4">
        <v>0</v>
      </c>
      <c r="AP5049" s="4">
        <v>10</v>
      </c>
      <c r="AQ5049" s="4">
        <v>12</v>
      </c>
      <c r="AR5049" s="3" t="s">
        <v>64</v>
      </c>
      <c r="AS5049" s="3" t="s">
        <v>64</v>
      </c>
      <c r="AT5049" s="3" t="s">
        <v>64</v>
      </c>
      <c r="AV5049" s="6" t="str">
        <f>HYPERLINK("http://mcgill.on.worldcat.org/oclc/812067588","Catalog Record")</f>
        <v>Catalog Record</v>
      </c>
      <c r="AW5049" s="6" t="str">
        <f>HYPERLINK("http://www.worldcat.org/oclc/812067588","WorldCat Record")</f>
        <v>WorldCat Record</v>
      </c>
      <c r="AX5049" s="3" t="s">
        <v>49166</v>
      </c>
      <c r="AY5049" s="3" t="s">
        <v>49167</v>
      </c>
      <c r="AZ5049" s="3" t="s">
        <v>49168</v>
      </c>
      <c r="BA5049" s="3" t="s">
        <v>49168</v>
      </c>
      <c r="BB5049" s="3" t="s">
        <v>49169</v>
      </c>
      <c r="BC5049" s="3" t="s">
        <v>77</v>
      </c>
      <c r="BD5049" s="3" t="s">
        <v>78</v>
      </c>
      <c r="BE5049" s="3" t="s">
        <v>49170</v>
      </c>
      <c r="BF5049" s="3" t="s">
        <v>49169</v>
      </c>
      <c r="BG5049" s="3" t="s">
        <v>49171</v>
      </c>
      <c r="BH5049">
        <f t="shared" si="160"/>
        <v>0</v>
      </c>
    </row>
    <row r="5050" spans="1:60" ht="58" x14ac:dyDescent="0.35">
      <c r="A5050" s="2" t="s">
        <v>59</v>
      </c>
      <c r="B5050" s="2" t="s">
        <v>60</v>
      </c>
      <c r="C5050" s="2" t="s">
        <v>49162</v>
      </c>
      <c r="D5050" s="2" t="s">
        <v>49163</v>
      </c>
      <c r="E5050" s="2" t="s">
        <v>49164</v>
      </c>
      <c r="F5050" s="3" t="s">
        <v>529</v>
      </c>
      <c r="G5050" s="3" t="s">
        <v>128</v>
      </c>
      <c r="I5050" s="3" t="s">
        <v>64</v>
      </c>
      <c r="J5050" s="3" t="s">
        <v>64</v>
      </c>
      <c r="K5050" s="3" t="s">
        <v>65</v>
      </c>
      <c r="L5050" s="2" t="s">
        <v>49165</v>
      </c>
      <c r="M5050" s="2" t="s">
        <v>10804</v>
      </c>
      <c r="N5050" s="3" t="s">
        <v>1075</v>
      </c>
      <c r="P5050" s="3" t="s">
        <v>102</v>
      </c>
      <c r="R5050" s="3" t="s">
        <v>70</v>
      </c>
      <c r="S5050" s="4">
        <v>0</v>
      </c>
      <c r="T5050" s="4">
        <v>0</v>
      </c>
      <c r="W5050" s="5" t="s">
        <v>72</v>
      </c>
      <c r="X5050" s="5" t="s">
        <v>72</v>
      </c>
      <c r="Y5050" s="4">
        <v>114</v>
      </c>
      <c r="Z5050" s="4">
        <v>13</v>
      </c>
      <c r="AA5050" s="4">
        <v>17</v>
      </c>
      <c r="AB5050" s="4">
        <v>1</v>
      </c>
      <c r="AC5050" s="4">
        <v>3</v>
      </c>
      <c r="AD5050" s="4">
        <v>55</v>
      </c>
      <c r="AE5050" s="4">
        <v>59</v>
      </c>
      <c r="AF5050" s="4">
        <v>0</v>
      </c>
      <c r="AG5050" s="4">
        <v>1</v>
      </c>
      <c r="AH5050" s="4">
        <v>51</v>
      </c>
      <c r="AI5050" s="4">
        <v>54</v>
      </c>
      <c r="AJ5050" s="4">
        <v>10</v>
      </c>
      <c r="AK5050" s="4">
        <v>13</v>
      </c>
      <c r="AL5050" s="4">
        <v>31</v>
      </c>
      <c r="AM5050" s="4">
        <v>32</v>
      </c>
      <c r="AN5050" s="4">
        <v>0</v>
      </c>
      <c r="AO5050" s="4">
        <v>0</v>
      </c>
      <c r="AP5050" s="4">
        <v>10</v>
      </c>
      <c r="AQ5050" s="4">
        <v>12</v>
      </c>
      <c r="AR5050" s="3" t="s">
        <v>64</v>
      </c>
      <c r="AS5050" s="3" t="s">
        <v>64</v>
      </c>
      <c r="AT5050" s="3" t="s">
        <v>64</v>
      </c>
      <c r="AV5050" s="6" t="str">
        <f>HYPERLINK("http://mcgill.on.worldcat.org/oclc/812067588","Catalog Record")</f>
        <v>Catalog Record</v>
      </c>
      <c r="AW5050" s="6" t="str">
        <f>HYPERLINK("http://www.worldcat.org/oclc/812067588","WorldCat Record")</f>
        <v>WorldCat Record</v>
      </c>
      <c r="AX5050" s="3" t="s">
        <v>49166</v>
      </c>
      <c r="AY5050" s="3" t="s">
        <v>49167</v>
      </c>
      <c r="AZ5050" s="3" t="s">
        <v>49168</v>
      </c>
      <c r="BA5050" s="3" t="s">
        <v>49168</v>
      </c>
      <c r="BB5050" s="3" t="s">
        <v>49172</v>
      </c>
      <c r="BC5050" s="3" t="s">
        <v>77</v>
      </c>
      <c r="BD5050" s="3" t="s">
        <v>78</v>
      </c>
      <c r="BE5050" s="3" t="s">
        <v>49170</v>
      </c>
      <c r="BF5050" s="3" t="s">
        <v>49172</v>
      </c>
      <c r="BG5050" s="3" t="s">
        <v>49173</v>
      </c>
      <c r="BH5050">
        <f t="shared" si="160"/>
        <v>0</v>
      </c>
    </row>
    <row r="5051" spans="1:60" ht="58" x14ac:dyDescent="0.35">
      <c r="A5051" s="2" t="s">
        <v>59</v>
      </c>
      <c r="B5051" s="2" t="s">
        <v>60</v>
      </c>
      <c r="C5051" s="2" t="s">
        <v>49174</v>
      </c>
      <c r="D5051" s="2" t="s">
        <v>49175</v>
      </c>
      <c r="E5051" s="2" t="s">
        <v>49176</v>
      </c>
      <c r="G5051" s="3" t="s">
        <v>64</v>
      </c>
      <c r="I5051" s="3" t="s">
        <v>64</v>
      </c>
      <c r="J5051" s="3" t="s">
        <v>64</v>
      </c>
      <c r="K5051" s="3" t="s">
        <v>65</v>
      </c>
      <c r="L5051" s="2" t="s">
        <v>49177</v>
      </c>
      <c r="M5051" s="2" t="s">
        <v>16093</v>
      </c>
      <c r="N5051" s="3" t="s">
        <v>511</v>
      </c>
      <c r="O5051" s="2" t="s">
        <v>172</v>
      </c>
      <c r="P5051" s="3" t="s">
        <v>102</v>
      </c>
      <c r="R5051" s="3" t="s">
        <v>49178</v>
      </c>
      <c r="S5051" s="4">
        <v>0</v>
      </c>
      <c r="T5051" s="4">
        <v>0</v>
      </c>
      <c r="W5051" s="5" t="s">
        <v>72</v>
      </c>
      <c r="X5051" s="5" t="s">
        <v>72</v>
      </c>
      <c r="Y5051" s="4">
        <v>118</v>
      </c>
      <c r="Z5051" s="4">
        <v>9</v>
      </c>
      <c r="AA5051" s="4">
        <v>42</v>
      </c>
      <c r="AB5051" s="4">
        <v>1</v>
      </c>
      <c r="AC5051" s="4">
        <v>7</v>
      </c>
      <c r="AD5051" s="4">
        <v>18</v>
      </c>
      <c r="AE5051" s="4">
        <v>58</v>
      </c>
      <c r="AF5051" s="4">
        <v>0</v>
      </c>
      <c r="AG5051" s="4">
        <v>1</v>
      </c>
      <c r="AH5051" s="4">
        <v>17</v>
      </c>
      <c r="AI5051" s="4">
        <v>53</v>
      </c>
      <c r="AJ5051" s="4">
        <v>3</v>
      </c>
      <c r="AK5051" s="4">
        <v>5</v>
      </c>
      <c r="AL5051" s="4">
        <v>12</v>
      </c>
      <c r="AM5051" s="4">
        <v>25</v>
      </c>
      <c r="AN5051" s="4">
        <v>0</v>
      </c>
      <c r="AO5051" s="4">
        <v>0</v>
      </c>
      <c r="AP5051" s="4">
        <v>4</v>
      </c>
      <c r="AQ5051" s="4">
        <v>7</v>
      </c>
      <c r="AR5051" s="3" t="s">
        <v>64</v>
      </c>
      <c r="AS5051" s="3" t="s">
        <v>64</v>
      </c>
      <c r="AT5051" s="3" t="s">
        <v>64</v>
      </c>
      <c r="AV5051" s="6" t="str">
        <f>HYPERLINK("http://mcgill.on.worldcat.org/oclc/548555627","Catalog Record")</f>
        <v>Catalog Record</v>
      </c>
      <c r="AW5051" s="6" t="str">
        <f>HYPERLINK("http://www.worldcat.org/oclc/548555627","WorldCat Record")</f>
        <v>WorldCat Record</v>
      </c>
      <c r="AX5051" s="3" t="s">
        <v>49179</v>
      </c>
      <c r="AY5051" s="3" t="s">
        <v>49180</v>
      </c>
      <c r="AZ5051" s="3" t="s">
        <v>49181</v>
      </c>
      <c r="BA5051" s="3" t="s">
        <v>49181</v>
      </c>
      <c r="BB5051" s="3" t="s">
        <v>49182</v>
      </c>
      <c r="BC5051" s="3" t="s">
        <v>77</v>
      </c>
      <c r="BD5051" s="3" t="s">
        <v>78</v>
      </c>
      <c r="BE5051" s="3" t="s">
        <v>49183</v>
      </c>
      <c r="BF5051" s="3" t="s">
        <v>49182</v>
      </c>
      <c r="BG5051" s="3" t="s">
        <v>49184</v>
      </c>
      <c r="BH5051">
        <f t="shared" si="160"/>
        <v>0</v>
      </c>
    </row>
    <row r="5052" spans="1:60" ht="58" x14ac:dyDescent="0.35">
      <c r="A5052" s="2" t="s">
        <v>59</v>
      </c>
      <c r="B5052" s="2" t="s">
        <v>60</v>
      </c>
      <c r="C5052" s="2" t="s">
        <v>49185</v>
      </c>
      <c r="D5052" s="2" t="s">
        <v>49186</v>
      </c>
      <c r="E5052" s="2" t="s">
        <v>49187</v>
      </c>
      <c r="G5052" s="3" t="s">
        <v>64</v>
      </c>
      <c r="I5052" s="3" t="s">
        <v>64</v>
      </c>
      <c r="J5052" s="3" t="s">
        <v>64</v>
      </c>
      <c r="K5052" s="3" t="s">
        <v>65</v>
      </c>
      <c r="L5052" s="2" t="s">
        <v>49188</v>
      </c>
      <c r="M5052" s="2" t="s">
        <v>13931</v>
      </c>
      <c r="N5052" s="3" t="s">
        <v>144</v>
      </c>
      <c r="P5052" s="3" t="s">
        <v>102</v>
      </c>
      <c r="R5052" s="3" t="s">
        <v>49178</v>
      </c>
      <c r="S5052" s="4">
        <v>9</v>
      </c>
      <c r="T5052" s="4">
        <v>9</v>
      </c>
      <c r="U5052" s="5" t="s">
        <v>7206</v>
      </c>
      <c r="V5052" s="5" t="s">
        <v>7206</v>
      </c>
      <c r="W5052" s="5" t="s">
        <v>72</v>
      </c>
      <c r="X5052" s="5" t="s">
        <v>72</v>
      </c>
      <c r="Y5052" s="4">
        <v>215</v>
      </c>
      <c r="Z5052" s="4">
        <v>21</v>
      </c>
      <c r="AA5052" s="4">
        <v>23</v>
      </c>
      <c r="AB5052" s="4">
        <v>2</v>
      </c>
      <c r="AC5052" s="4">
        <v>4</v>
      </c>
      <c r="AD5052" s="4">
        <v>62</v>
      </c>
      <c r="AE5052" s="4">
        <v>63</v>
      </c>
      <c r="AF5052" s="4">
        <v>0</v>
      </c>
      <c r="AG5052" s="4">
        <v>1</v>
      </c>
      <c r="AH5052" s="4">
        <v>55</v>
      </c>
      <c r="AI5052" s="4">
        <v>55</v>
      </c>
      <c r="AJ5052" s="4">
        <v>10</v>
      </c>
      <c r="AK5052" s="4">
        <v>11</v>
      </c>
      <c r="AL5052" s="4">
        <v>33</v>
      </c>
      <c r="AM5052" s="4">
        <v>33</v>
      </c>
      <c r="AN5052" s="4">
        <v>0</v>
      </c>
      <c r="AO5052" s="4">
        <v>0</v>
      </c>
      <c r="AP5052" s="4">
        <v>13</v>
      </c>
      <c r="AQ5052" s="4">
        <v>13</v>
      </c>
      <c r="AR5052" s="3" t="s">
        <v>64</v>
      </c>
      <c r="AS5052" s="3" t="s">
        <v>64</v>
      </c>
      <c r="AT5052" s="3" t="s">
        <v>128</v>
      </c>
      <c r="AU5052" s="6" t="str">
        <f>HYPERLINK("http://catalog.hathitrust.org/Record/005898786","HathiTrust Record")</f>
        <v>HathiTrust Record</v>
      </c>
      <c r="AV5052" s="6" t="str">
        <f>HYPERLINK("http://mcgill.on.worldcat.org/oclc/230729402","Catalog Record")</f>
        <v>Catalog Record</v>
      </c>
      <c r="AW5052" s="6" t="str">
        <f>HYPERLINK("http://www.worldcat.org/oclc/230729402","WorldCat Record")</f>
        <v>WorldCat Record</v>
      </c>
      <c r="AX5052" s="3" t="s">
        <v>49189</v>
      </c>
      <c r="AY5052" s="3" t="s">
        <v>49190</v>
      </c>
      <c r="AZ5052" s="3" t="s">
        <v>49191</v>
      </c>
      <c r="BA5052" s="3" t="s">
        <v>49191</v>
      </c>
      <c r="BB5052" s="3" t="s">
        <v>49192</v>
      </c>
      <c r="BC5052" s="3" t="s">
        <v>77</v>
      </c>
      <c r="BD5052" s="3" t="s">
        <v>78</v>
      </c>
      <c r="BE5052" s="3" t="s">
        <v>49193</v>
      </c>
      <c r="BF5052" s="3" t="s">
        <v>49192</v>
      </c>
      <c r="BG5052" s="3" t="s">
        <v>49194</v>
      </c>
      <c r="BH5052">
        <f t="shared" si="160"/>
        <v>0</v>
      </c>
    </row>
    <row r="5053" spans="1:60" ht="58" x14ac:dyDescent="0.35">
      <c r="A5053" s="2" t="s">
        <v>59</v>
      </c>
      <c r="B5053" s="2" t="s">
        <v>60</v>
      </c>
      <c r="C5053" s="2" t="s">
        <v>49195</v>
      </c>
      <c r="D5053" s="2" t="s">
        <v>49196</v>
      </c>
      <c r="E5053" s="2" t="s">
        <v>49197</v>
      </c>
      <c r="G5053" s="3" t="s">
        <v>64</v>
      </c>
      <c r="I5053" s="3" t="s">
        <v>64</v>
      </c>
      <c r="J5053" s="3" t="s">
        <v>64</v>
      </c>
      <c r="K5053" s="3" t="s">
        <v>65</v>
      </c>
      <c r="L5053" s="2" t="s">
        <v>49198</v>
      </c>
      <c r="M5053" s="2" t="s">
        <v>14860</v>
      </c>
      <c r="N5053" s="3" t="s">
        <v>537</v>
      </c>
      <c r="P5053" s="3" t="s">
        <v>102</v>
      </c>
      <c r="R5053" s="3" t="s">
        <v>49178</v>
      </c>
      <c r="S5053" s="4">
        <v>2</v>
      </c>
      <c r="T5053" s="4">
        <v>2</v>
      </c>
      <c r="U5053" s="5" t="s">
        <v>29837</v>
      </c>
      <c r="V5053" s="5" t="s">
        <v>29837</v>
      </c>
      <c r="W5053" s="5" t="s">
        <v>72</v>
      </c>
      <c r="X5053" s="5" t="s">
        <v>72</v>
      </c>
      <c r="Y5053" s="4">
        <v>271</v>
      </c>
      <c r="Z5053" s="4">
        <v>18</v>
      </c>
      <c r="AA5053" s="4">
        <v>83</v>
      </c>
      <c r="AB5053" s="4">
        <v>1</v>
      </c>
      <c r="AC5053" s="4">
        <v>15</v>
      </c>
      <c r="AD5053" s="4">
        <v>41</v>
      </c>
      <c r="AE5053" s="4">
        <v>97</v>
      </c>
      <c r="AF5053" s="4">
        <v>0</v>
      </c>
      <c r="AG5053" s="4">
        <v>8</v>
      </c>
      <c r="AH5053" s="4">
        <v>34</v>
      </c>
      <c r="AI5053" s="4">
        <v>61</v>
      </c>
      <c r="AJ5053" s="4">
        <v>6</v>
      </c>
      <c r="AK5053" s="4">
        <v>21</v>
      </c>
      <c r="AL5053" s="4">
        <v>18</v>
      </c>
      <c r="AM5053" s="4">
        <v>31</v>
      </c>
      <c r="AN5053" s="4">
        <v>0</v>
      </c>
      <c r="AO5053" s="4">
        <v>0</v>
      </c>
      <c r="AP5053" s="4">
        <v>10</v>
      </c>
      <c r="AQ5053" s="4">
        <v>43</v>
      </c>
      <c r="AR5053" s="3" t="s">
        <v>64</v>
      </c>
      <c r="AS5053" s="3" t="s">
        <v>64</v>
      </c>
      <c r="AT5053" s="3" t="s">
        <v>64</v>
      </c>
      <c r="AV5053" s="6" t="str">
        <f>HYPERLINK("http://mcgill.on.worldcat.org/oclc/922728761","Catalog Record")</f>
        <v>Catalog Record</v>
      </c>
      <c r="AW5053" s="6" t="str">
        <f>HYPERLINK("http://www.worldcat.org/oclc/922728761","WorldCat Record")</f>
        <v>WorldCat Record</v>
      </c>
      <c r="AX5053" s="3" t="s">
        <v>49199</v>
      </c>
      <c r="AY5053" s="3" t="s">
        <v>49200</v>
      </c>
      <c r="AZ5053" s="3" t="s">
        <v>49201</v>
      </c>
      <c r="BA5053" s="3" t="s">
        <v>49201</v>
      </c>
      <c r="BB5053" s="3" t="s">
        <v>49202</v>
      </c>
      <c r="BC5053" s="3" t="s">
        <v>77</v>
      </c>
      <c r="BD5053" s="3" t="s">
        <v>78</v>
      </c>
      <c r="BE5053" s="3" t="s">
        <v>49203</v>
      </c>
      <c r="BF5053" s="3" t="s">
        <v>49202</v>
      </c>
      <c r="BG5053" s="3" t="s">
        <v>49204</v>
      </c>
      <c r="BH5053">
        <f t="shared" si="160"/>
        <v>0</v>
      </c>
    </row>
    <row r="5054" spans="1:60" ht="58" x14ac:dyDescent="0.35">
      <c r="A5054" s="2" t="s">
        <v>59</v>
      </c>
      <c r="B5054" s="2" t="s">
        <v>60</v>
      </c>
      <c r="C5054" s="2" t="s">
        <v>49205</v>
      </c>
      <c r="D5054" s="2" t="s">
        <v>49206</v>
      </c>
      <c r="E5054" s="2" t="s">
        <v>49207</v>
      </c>
      <c r="G5054" s="3" t="s">
        <v>64</v>
      </c>
      <c r="I5054" s="3" t="s">
        <v>64</v>
      </c>
      <c r="J5054" s="3" t="s">
        <v>64</v>
      </c>
      <c r="K5054" s="3" t="s">
        <v>65</v>
      </c>
      <c r="L5054" s="2" t="s">
        <v>49208</v>
      </c>
      <c r="M5054" s="2" t="s">
        <v>49209</v>
      </c>
      <c r="N5054" s="3" t="s">
        <v>190</v>
      </c>
      <c r="P5054" s="3" t="s">
        <v>102</v>
      </c>
      <c r="Q5054" s="2" t="s">
        <v>49210</v>
      </c>
      <c r="R5054" s="3" t="s">
        <v>49178</v>
      </c>
      <c r="S5054" s="4">
        <v>3</v>
      </c>
      <c r="T5054" s="4">
        <v>3</v>
      </c>
      <c r="U5054" s="5" t="s">
        <v>539</v>
      </c>
      <c r="V5054" s="5" t="s">
        <v>539</v>
      </c>
      <c r="W5054" s="5" t="s">
        <v>72</v>
      </c>
      <c r="X5054" s="5" t="s">
        <v>72</v>
      </c>
      <c r="Y5054" s="4">
        <v>27</v>
      </c>
      <c r="Z5054" s="4">
        <v>2</v>
      </c>
      <c r="AA5054" s="4">
        <v>12</v>
      </c>
      <c r="AB5054" s="4">
        <v>1</v>
      </c>
      <c r="AC5054" s="4">
        <v>6</v>
      </c>
      <c r="AD5054" s="4">
        <v>12</v>
      </c>
      <c r="AE5054" s="4">
        <v>35</v>
      </c>
      <c r="AF5054" s="4">
        <v>0</v>
      </c>
      <c r="AG5054" s="4">
        <v>3</v>
      </c>
      <c r="AH5054" s="4">
        <v>11</v>
      </c>
      <c r="AI5054" s="4">
        <v>28</v>
      </c>
      <c r="AJ5054" s="4">
        <v>1</v>
      </c>
      <c r="AK5054" s="4">
        <v>9</v>
      </c>
      <c r="AL5054" s="4">
        <v>7</v>
      </c>
      <c r="AM5054" s="4">
        <v>20</v>
      </c>
      <c r="AN5054" s="4">
        <v>0</v>
      </c>
      <c r="AO5054" s="4">
        <v>0</v>
      </c>
      <c r="AP5054" s="4">
        <v>1</v>
      </c>
      <c r="AQ5054" s="4">
        <v>8</v>
      </c>
      <c r="AR5054" s="3" t="s">
        <v>64</v>
      </c>
      <c r="AS5054" s="3" t="s">
        <v>64</v>
      </c>
      <c r="AT5054" s="3" t="s">
        <v>64</v>
      </c>
      <c r="AV5054" s="6" t="str">
        <f>HYPERLINK("http://mcgill.on.worldcat.org/oclc/1020804246","Catalog Record")</f>
        <v>Catalog Record</v>
      </c>
      <c r="AW5054" s="6" t="str">
        <f>HYPERLINK("http://www.worldcat.org/oclc/1020804246","WorldCat Record")</f>
        <v>WorldCat Record</v>
      </c>
      <c r="AX5054" s="3" t="s">
        <v>49211</v>
      </c>
      <c r="AY5054" s="3" t="s">
        <v>49212</v>
      </c>
      <c r="AZ5054" s="3" t="s">
        <v>49213</v>
      </c>
      <c r="BA5054" s="3" t="s">
        <v>49213</v>
      </c>
      <c r="BB5054" s="3" t="s">
        <v>49214</v>
      </c>
      <c r="BC5054" s="3" t="s">
        <v>77</v>
      </c>
      <c r="BD5054" s="3" t="s">
        <v>78</v>
      </c>
      <c r="BE5054" s="3" t="s">
        <v>49215</v>
      </c>
      <c r="BF5054" s="3" t="s">
        <v>49214</v>
      </c>
      <c r="BG5054" s="3" t="s">
        <v>49216</v>
      </c>
      <c r="BH5054">
        <f t="shared" si="160"/>
        <v>0</v>
      </c>
    </row>
    <row r="5055" spans="1:60" ht="58" x14ac:dyDescent="0.35">
      <c r="A5055" s="2" t="s">
        <v>59</v>
      </c>
      <c r="B5055" s="2" t="s">
        <v>60</v>
      </c>
      <c r="C5055" s="2" t="s">
        <v>49217</v>
      </c>
      <c r="D5055" s="2" t="s">
        <v>49218</v>
      </c>
      <c r="E5055" s="2" t="s">
        <v>49219</v>
      </c>
      <c r="G5055" s="3" t="s">
        <v>64</v>
      </c>
      <c r="I5055" s="3" t="s">
        <v>64</v>
      </c>
      <c r="J5055" s="3" t="s">
        <v>64</v>
      </c>
      <c r="K5055" s="3" t="s">
        <v>65</v>
      </c>
      <c r="M5055" s="2" t="s">
        <v>18589</v>
      </c>
      <c r="N5055" s="3" t="s">
        <v>101</v>
      </c>
      <c r="P5055" s="3" t="s">
        <v>102</v>
      </c>
      <c r="R5055" s="3" t="s">
        <v>49178</v>
      </c>
      <c r="S5055" s="4">
        <v>17</v>
      </c>
      <c r="T5055" s="4">
        <v>17</v>
      </c>
      <c r="U5055" s="5" t="s">
        <v>29415</v>
      </c>
      <c r="V5055" s="5" t="s">
        <v>29415</v>
      </c>
      <c r="W5055" s="5" t="s">
        <v>72</v>
      </c>
      <c r="X5055" s="5" t="s">
        <v>72</v>
      </c>
      <c r="Y5055" s="4">
        <v>794</v>
      </c>
      <c r="Z5055" s="4">
        <v>37</v>
      </c>
      <c r="AA5055" s="4">
        <v>39</v>
      </c>
      <c r="AB5055" s="4">
        <v>2</v>
      </c>
      <c r="AC5055" s="4">
        <v>4</v>
      </c>
      <c r="AD5055" s="4">
        <v>93</v>
      </c>
      <c r="AE5055" s="4">
        <v>95</v>
      </c>
      <c r="AF5055" s="4">
        <v>1</v>
      </c>
      <c r="AG5055" s="4">
        <v>3</v>
      </c>
      <c r="AH5055" s="4">
        <v>75</v>
      </c>
      <c r="AI5055" s="4">
        <v>75</v>
      </c>
      <c r="AJ5055" s="4">
        <v>15</v>
      </c>
      <c r="AK5055" s="4">
        <v>16</v>
      </c>
      <c r="AL5055" s="4">
        <v>41</v>
      </c>
      <c r="AM5055" s="4">
        <v>41</v>
      </c>
      <c r="AN5055" s="4">
        <v>0</v>
      </c>
      <c r="AO5055" s="4">
        <v>0</v>
      </c>
      <c r="AP5055" s="4">
        <v>25</v>
      </c>
      <c r="AQ5055" s="4">
        <v>26</v>
      </c>
      <c r="AR5055" s="3" t="s">
        <v>64</v>
      </c>
      <c r="AS5055" s="3" t="s">
        <v>64</v>
      </c>
      <c r="AT5055" s="3" t="s">
        <v>64</v>
      </c>
      <c r="AV5055" s="6" t="str">
        <f>HYPERLINK("http://mcgill.on.worldcat.org/oclc/53215729","Catalog Record")</f>
        <v>Catalog Record</v>
      </c>
      <c r="AW5055" s="6" t="str">
        <f>HYPERLINK("http://www.worldcat.org/oclc/53215729","WorldCat Record")</f>
        <v>WorldCat Record</v>
      </c>
      <c r="AX5055" s="3" t="s">
        <v>49220</v>
      </c>
      <c r="AY5055" s="3" t="s">
        <v>49221</v>
      </c>
      <c r="AZ5055" s="3" t="s">
        <v>49222</v>
      </c>
      <c r="BA5055" s="3" t="s">
        <v>49222</v>
      </c>
      <c r="BB5055" s="3" t="s">
        <v>49223</v>
      </c>
      <c r="BC5055" s="3" t="s">
        <v>77</v>
      </c>
      <c r="BD5055" s="3" t="s">
        <v>78</v>
      </c>
      <c r="BE5055" s="3" t="s">
        <v>49224</v>
      </c>
      <c r="BF5055" s="3" t="s">
        <v>49223</v>
      </c>
      <c r="BG5055" s="3" t="s">
        <v>49225</v>
      </c>
      <c r="BH5055">
        <f t="shared" si="160"/>
        <v>0</v>
      </c>
    </row>
    <row r="5056" spans="1:60" ht="58" x14ac:dyDescent="0.35">
      <c r="A5056" s="2" t="s">
        <v>1040</v>
      </c>
      <c r="B5056" s="2" t="s">
        <v>60</v>
      </c>
      <c r="C5056" s="2" t="s">
        <v>49226</v>
      </c>
      <c r="D5056" s="2" t="s">
        <v>49227</v>
      </c>
      <c r="E5056" s="2" t="s">
        <v>49228</v>
      </c>
      <c r="G5056" s="3" t="s">
        <v>64</v>
      </c>
      <c r="I5056" s="3" t="s">
        <v>64</v>
      </c>
      <c r="J5056" s="3" t="s">
        <v>64</v>
      </c>
      <c r="K5056" s="3" t="s">
        <v>65</v>
      </c>
      <c r="L5056" s="2" t="s">
        <v>15374</v>
      </c>
      <c r="M5056" s="2" t="s">
        <v>49229</v>
      </c>
      <c r="N5056" s="3" t="s">
        <v>326</v>
      </c>
      <c r="O5056" s="2" t="s">
        <v>3787</v>
      </c>
      <c r="P5056" s="3" t="s">
        <v>102</v>
      </c>
      <c r="R5056" s="3" t="s">
        <v>49178</v>
      </c>
      <c r="S5056" s="4">
        <v>2</v>
      </c>
      <c r="T5056" s="4">
        <v>2</v>
      </c>
      <c r="W5056" s="5" t="s">
        <v>72</v>
      </c>
      <c r="X5056" s="5" t="s">
        <v>72</v>
      </c>
      <c r="Y5056" s="4">
        <v>209</v>
      </c>
      <c r="Z5056" s="4">
        <v>13</v>
      </c>
      <c r="AA5056" s="4">
        <v>19</v>
      </c>
      <c r="AB5056" s="4">
        <v>1</v>
      </c>
      <c r="AC5056" s="4">
        <v>5</v>
      </c>
      <c r="AD5056" s="4">
        <v>32</v>
      </c>
      <c r="AE5056" s="4">
        <v>37</v>
      </c>
      <c r="AF5056" s="4">
        <v>0</v>
      </c>
      <c r="AG5056" s="4">
        <v>4</v>
      </c>
      <c r="AH5056" s="4">
        <v>25</v>
      </c>
      <c r="AI5056" s="4">
        <v>27</v>
      </c>
      <c r="AJ5056" s="4">
        <v>6</v>
      </c>
      <c r="AK5056" s="4">
        <v>11</v>
      </c>
      <c r="AL5056" s="4">
        <v>10</v>
      </c>
      <c r="AM5056" s="4">
        <v>11</v>
      </c>
      <c r="AN5056" s="4">
        <v>0</v>
      </c>
      <c r="AO5056" s="4">
        <v>0</v>
      </c>
      <c r="AP5056" s="4">
        <v>9</v>
      </c>
      <c r="AQ5056" s="4">
        <v>13</v>
      </c>
      <c r="AR5056" s="3" t="s">
        <v>64</v>
      </c>
      <c r="AS5056" s="3" t="s">
        <v>64</v>
      </c>
      <c r="AT5056" s="3" t="s">
        <v>64</v>
      </c>
      <c r="AV5056" s="6" t="str">
        <f>HYPERLINK("http://mcgill.on.worldcat.org/oclc/683591535","Catalog Record")</f>
        <v>Catalog Record</v>
      </c>
      <c r="AW5056" s="6" t="str">
        <f>HYPERLINK("http://www.worldcat.org/oclc/683591535","WorldCat Record")</f>
        <v>WorldCat Record</v>
      </c>
      <c r="AX5056" s="3" t="s">
        <v>49230</v>
      </c>
      <c r="AY5056" s="3" t="s">
        <v>49231</v>
      </c>
      <c r="AZ5056" s="3" t="s">
        <v>49232</v>
      </c>
      <c r="BA5056" s="3" t="s">
        <v>49232</v>
      </c>
      <c r="BB5056" s="3" t="s">
        <v>49233</v>
      </c>
      <c r="BC5056" s="3" t="s">
        <v>77</v>
      </c>
      <c r="BD5056" s="3" t="s">
        <v>165</v>
      </c>
      <c r="BE5056" s="3" t="s">
        <v>49234</v>
      </c>
      <c r="BF5056" s="3" t="s">
        <v>49233</v>
      </c>
      <c r="BG5056" s="3" t="s">
        <v>49235</v>
      </c>
      <c r="BH5056">
        <f t="shared" si="160"/>
        <v>0</v>
      </c>
    </row>
    <row r="5057" spans="1:60" ht="58" x14ac:dyDescent="0.35">
      <c r="A5057" s="2" t="s">
        <v>59</v>
      </c>
      <c r="B5057" s="2" t="s">
        <v>60</v>
      </c>
      <c r="C5057" s="2" t="s">
        <v>49236</v>
      </c>
      <c r="D5057" s="2" t="s">
        <v>49237</v>
      </c>
      <c r="E5057" s="2" t="s">
        <v>49238</v>
      </c>
      <c r="G5057" s="3" t="s">
        <v>64</v>
      </c>
      <c r="I5057" s="3" t="s">
        <v>64</v>
      </c>
      <c r="J5057" s="3" t="s">
        <v>64</v>
      </c>
      <c r="K5057" s="3" t="s">
        <v>65</v>
      </c>
      <c r="L5057" s="2" t="s">
        <v>49239</v>
      </c>
      <c r="M5057" s="2" t="s">
        <v>15259</v>
      </c>
      <c r="N5057" s="3" t="s">
        <v>171</v>
      </c>
      <c r="P5057" s="3" t="s">
        <v>102</v>
      </c>
      <c r="R5057" s="3" t="s">
        <v>49178</v>
      </c>
      <c r="S5057" s="4">
        <v>13</v>
      </c>
      <c r="T5057" s="4">
        <v>13</v>
      </c>
      <c r="U5057" s="5" t="s">
        <v>12344</v>
      </c>
      <c r="V5057" s="5" t="s">
        <v>12344</v>
      </c>
      <c r="W5057" s="5" t="s">
        <v>72</v>
      </c>
      <c r="X5057" s="5" t="s">
        <v>72</v>
      </c>
      <c r="Y5057" s="4">
        <v>418</v>
      </c>
      <c r="Z5057" s="4">
        <v>34</v>
      </c>
      <c r="AA5057" s="4">
        <v>67</v>
      </c>
      <c r="AB5057" s="4">
        <v>3</v>
      </c>
      <c r="AC5057" s="4">
        <v>8</v>
      </c>
      <c r="AD5057" s="4">
        <v>66</v>
      </c>
      <c r="AE5057" s="4">
        <v>76</v>
      </c>
      <c r="AF5057" s="4">
        <v>1</v>
      </c>
      <c r="AG5057" s="4">
        <v>2</v>
      </c>
      <c r="AH5057" s="4">
        <v>58</v>
      </c>
      <c r="AI5057" s="4">
        <v>64</v>
      </c>
      <c r="AJ5057" s="4">
        <v>14</v>
      </c>
      <c r="AK5057" s="4">
        <v>15</v>
      </c>
      <c r="AL5057" s="4">
        <v>24</v>
      </c>
      <c r="AM5057" s="4">
        <v>27</v>
      </c>
      <c r="AN5057" s="4">
        <v>0</v>
      </c>
      <c r="AO5057" s="4">
        <v>0</v>
      </c>
      <c r="AP5057" s="4">
        <v>17</v>
      </c>
      <c r="AQ5057" s="4">
        <v>21</v>
      </c>
      <c r="AR5057" s="3" t="s">
        <v>64</v>
      </c>
      <c r="AS5057" s="3" t="s">
        <v>64</v>
      </c>
      <c r="AT5057" s="3" t="s">
        <v>64</v>
      </c>
      <c r="AV5057" s="6" t="str">
        <f>HYPERLINK("http://mcgill.on.worldcat.org/oclc/63692613","Catalog Record")</f>
        <v>Catalog Record</v>
      </c>
      <c r="AW5057" s="6" t="str">
        <f>HYPERLINK("http://www.worldcat.org/oclc/63692613","WorldCat Record")</f>
        <v>WorldCat Record</v>
      </c>
      <c r="AX5057" s="3" t="s">
        <v>49240</v>
      </c>
      <c r="AY5057" s="3" t="s">
        <v>49241</v>
      </c>
      <c r="AZ5057" s="3" t="s">
        <v>49242</v>
      </c>
      <c r="BA5057" s="3" t="s">
        <v>49242</v>
      </c>
      <c r="BB5057" s="3" t="s">
        <v>49243</v>
      </c>
      <c r="BC5057" s="3" t="s">
        <v>77</v>
      </c>
      <c r="BD5057" s="3" t="s">
        <v>78</v>
      </c>
      <c r="BE5057" s="3" t="s">
        <v>49244</v>
      </c>
      <c r="BF5057" s="3" t="s">
        <v>49243</v>
      </c>
      <c r="BG5057" s="3" t="s">
        <v>49245</v>
      </c>
      <c r="BH5057">
        <f t="shared" si="160"/>
        <v>0</v>
      </c>
    </row>
    <row r="5058" spans="1:60" ht="58" x14ac:dyDescent="0.35">
      <c r="A5058" s="2" t="s">
        <v>59</v>
      </c>
      <c r="B5058" s="2" t="s">
        <v>60</v>
      </c>
      <c r="C5058" s="2" t="s">
        <v>49246</v>
      </c>
      <c r="D5058" s="2" t="s">
        <v>49247</v>
      </c>
      <c r="E5058" s="2" t="s">
        <v>49248</v>
      </c>
      <c r="G5058" s="3" t="s">
        <v>64</v>
      </c>
      <c r="I5058" s="3" t="s">
        <v>64</v>
      </c>
      <c r="J5058" s="3" t="s">
        <v>64</v>
      </c>
      <c r="K5058" s="3" t="s">
        <v>65</v>
      </c>
      <c r="L5058" s="2" t="s">
        <v>49249</v>
      </c>
      <c r="M5058" s="2" t="s">
        <v>13017</v>
      </c>
      <c r="N5058" s="3" t="s">
        <v>86</v>
      </c>
      <c r="P5058" s="3" t="s">
        <v>102</v>
      </c>
      <c r="R5058" s="3" t="s">
        <v>49178</v>
      </c>
      <c r="S5058" s="4">
        <v>10</v>
      </c>
      <c r="T5058" s="4">
        <v>10</v>
      </c>
      <c r="U5058" s="5" t="s">
        <v>17014</v>
      </c>
      <c r="V5058" s="5" t="s">
        <v>17014</v>
      </c>
      <c r="W5058" s="5" t="s">
        <v>72</v>
      </c>
      <c r="X5058" s="5" t="s">
        <v>72</v>
      </c>
      <c r="Y5058" s="4">
        <v>348</v>
      </c>
      <c r="Z5058" s="4">
        <v>21</v>
      </c>
      <c r="AA5058" s="4">
        <v>82</v>
      </c>
      <c r="AB5058" s="4">
        <v>1</v>
      </c>
      <c r="AC5058" s="4">
        <v>14</v>
      </c>
      <c r="AD5058" s="4">
        <v>47</v>
      </c>
      <c r="AE5058" s="4">
        <v>99</v>
      </c>
      <c r="AF5058" s="4">
        <v>0</v>
      </c>
      <c r="AG5058" s="4">
        <v>8</v>
      </c>
      <c r="AH5058" s="4">
        <v>41</v>
      </c>
      <c r="AI5058" s="4">
        <v>65</v>
      </c>
      <c r="AJ5058" s="4">
        <v>10</v>
      </c>
      <c r="AK5058" s="4">
        <v>20</v>
      </c>
      <c r="AL5058" s="4">
        <v>20</v>
      </c>
      <c r="AM5058" s="4">
        <v>32</v>
      </c>
      <c r="AN5058" s="4">
        <v>0</v>
      </c>
      <c r="AO5058" s="4">
        <v>0</v>
      </c>
      <c r="AP5058" s="4">
        <v>14</v>
      </c>
      <c r="AQ5058" s="4">
        <v>43</v>
      </c>
      <c r="AR5058" s="3" t="s">
        <v>64</v>
      </c>
      <c r="AS5058" s="3" t="s">
        <v>64</v>
      </c>
      <c r="AT5058" s="3" t="s">
        <v>64</v>
      </c>
      <c r="AV5058" s="6" t="str">
        <f>HYPERLINK("http://mcgill.on.worldcat.org/oclc/759939002","Catalog Record")</f>
        <v>Catalog Record</v>
      </c>
      <c r="AW5058" s="6" t="str">
        <f>HYPERLINK("http://www.worldcat.org/oclc/759939002","WorldCat Record")</f>
        <v>WorldCat Record</v>
      </c>
      <c r="AX5058" s="3" t="s">
        <v>49250</v>
      </c>
      <c r="AY5058" s="3" t="s">
        <v>49251</v>
      </c>
      <c r="AZ5058" s="3" t="s">
        <v>49252</v>
      </c>
      <c r="BA5058" s="3" t="s">
        <v>49252</v>
      </c>
      <c r="BB5058" s="3" t="s">
        <v>49253</v>
      </c>
      <c r="BC5058" s="3" t="s">
        <v>77</v>
      </c>
      <c r="BD5058" s="3" t="s">
        <v>78</v>
      </c>
      <c r="BE5058" s="3" t="s">
        <v>49254</v>
      </c>
      <c r="BF5058" s="3" t="s">
        <v>49253</v>
      </c>
      <c r="BG5058" s="3" t="s">
        <v>49255</v>
      </c>
      <c r="BH5058">
        <f t="shared" ref="BH5058:BH5121" si="161">IF(COUNTIF($BF$1:$BF$5431,BF5058)=1,0,1)</f>
        <v>0</v>
      </c>
    </row>
    <row r="5059" spans="1:60" ht="58" x14ac:dyDescent="0.35">
      <c r="A5059" s="2" t="s">
        <v>59</v>
      </c>
      <c r="B5059" s="2" t="s">
        <v>60</v>
      </c>
      <c r="C5059" s="2" t="s">
        <v>49256</v>
      </c>
      <c r="D5059" s="2" t="s">
        <v>49257</v>
      </c>
      <c r="E5059" s="2" t="s">
        <v>49258</v>
      </c>
      <c r="G5059" s="3" t="s">
        <v>64</v>
      </c>
      <c r="I5059" s="3" t="s">
        <v>64</v>
      </c>
      <c r="J5059" s="3" t="s">
        <v>64</v>
      </c>
      <c r="K5059" s="3" t="s">
        <v>65</v>
      </c>
      <c r="L5059" s="2" t="s">
        <v>49259</v>
      </c>
      <c r="M5059" s="2" t="s">
        <v>15422</v>
      </c>
      <c r="N5059" s="3" t="s">
        <v>511</v>
      </c>
      <c r="P5059" s="3" t="s">
        <v>102</v>
      </c>
      <c r="Q5059" s="2" t="s">
        <v>49260</v>
      </c>
      <c r="R5059" s="3" t="s">
        <v>49178</v>
      </c>
      <c r="S5059" s="4">
        <v>0</v>
      </c>
      <c r="T5059" s="4">
        <v>0</v>
      </c>
      <c r="W5059" s="5" t="s">
        <v>72</v>
      </c>
      <c r="X5059" s="5" t="s">
        <v>72</v>
      </c>
      <c r="Y5059" s="4">
        <v>133</v>
      </c>
      <c r="Z5059" s="4">
        <v>11</v>
      </c>
      <c r="AA5059" s="4">
        <v>33</v>
      </c>
      <c r="AB5059" s="4">
        <v>2</v>
      </c>
      <c r="AC5059" s="4">
        <v>8</v>
      </c>
      <c r="AD5059" s="4">
        <v>30</v>
      </c>
      <c r="AE5059" s="4">
        <v>74</v>
      </c>
      <c r="AF5059" s="4">
        <v>1</v>
      </c>
      <c r="AG5059" s="4">
        <v>4</v>
      </c>
      <c r="AH5059" s="4">
        <v>26</v>
      </c>
      <c r="AI5059" s="4">
        <v>60</v>
      </c>
      <c r="AJ5059" s="4">
        <v>5</v>
      </c>
      <c r="AK5059" s="4">
        <v>17</v>
      </c>
      <c r="AL5059" s="4">
        <v>16</v>
      </c>
      <c r="AM5059" s="4">
        <v>33</v>
      </c>
      <c r="AN5059" s="4">
        <v>0</v>
      </c>
      <c r="AO5059" s="4">
        <v>0</v>
      </c>
      <c r="AP5059" s="4">
        <v>8</v>
      </c>
      <c r="AQ5059" s="4">
        <v>23</v>
      </c>
      <c r="AR5059" s="3" t="s">
        <v>64</v>
      </c>
      <c r="AS5059" s="3" t="s">
        <v>64</v>
      </c>
      <c r="AT5059" s="3" t="s">
        <v>64</v>
      </c>
      <c r="AV5059" s="6" t="str">
        <f>HYPERLINK("http://mcgill.on.worldcat.org/oclc/317467173","Catalog Record")</f>
        <v>Catalog Record</v>
      </c>
      <c r="AW5059" s="6" t="str">
        <f>HYPERLINK("http://www.worldcat.org/oclc/317467173","WorldCat Record")</f>
        <v>WorldCat Record</v>
      </c>
      <c r="AX5059" s="3" t="s">
        <v>49261</v>
      </c>
      <c r="AY5059" s="3" t="s">
        <v>49262</v>
      </c>
      <c r="AZ5059" s="3" t="s">
        <v>49263</v>
      </c>
      <c r="BA5059" s="3" t="s">
        <v>49263</v>
      </c>
      <c r="BB5059" s="3" t="s">
        <v>49264</v>
      </c>
      <c r="BC5059" s="3" t="s">
        <v>77</v>
      </c>
      <c r="BD5059" s="3" t="s">
        <v>78</v>
      </c>
      <c r="BE5059" s="3" t="s">
        <v>49265</v>
      </c>
      <c r="BF5059" s="3" t="s">
        <v>49264</v>
      </c>
      <c r="BG5059" s="3" t="s">
        <v>49266</v>
      </c>
      <c r="BH5059">
        <f t="shared" si="161"/>
        <v>0</v>
      </c>
    </row>
    <row r="5060" spans="1:60" ht="58" x14ac:dyDescent="0.35">
      <c r="A5060" s="2" t="s">
        <v>59</v>
      </c>
      <c r="B5060" s="2" t="s">
        <v>60</v>
      </c>
      <c r="C5060" s="2" t="s">
        <v>49267</v>
      </c>
      <c r="D5060" s="2" t="s">
        <v>49268</v>
      </c>
      <c r="E5060" s="2" t="s">
        <v>49269</v>
      </c>
      <c r="G5060" s="3" t="s">
        <v>64</v>
      </c>
      <c r="I5060" s="3" t="s">
        <v>64</v>
      </c>
      <c r="J5060" s="3" t="s">
        <v>64</v>
      </c>
      <c r="K5060" s="3" t="s">
        <v>65</v>
      </c>
      <c r="L5060" s="2" t="s">
        <v>49270</v>
      </c>
      <c r="M5060" s="2" t="s">
        <v>49271</v>
      </c>
      <c r="N5060" s="3" t="s">
        <v>537</v>
      </c>
      <c r="P5060" s="3" t="s">
        <v>102</v>
      </c>
      <c r="Q5060" s="2" t="s">
        <v>11620</v>
      </c>
      <c r="R5060" s="3" t="s">
        <v>49178</v>
      </c>
      <c r="S5060" s="4">
        <v>1</v>
      </c>
      <c r="T5060" s="4">
        <v>1</v>
      </c>
      <c r="U5060" s="5" t="s">
        <v>8992</v>
      </c>
      <c r="V5060" s="5" t="s">
        <v>8992</v>
      </c>
      <c r="W5060" s="5" t="s">
        <v>72</v>
      </c>
      <c r="X5060" s="5" t="s">
        <v>72</v>
      </c>
      <c r="Y5060" s="4">
        <v>535</v>
      </c>
      <c r="Z5060" s="4">
        <v>21</v>
      </c>
      <c r="AA5060" s="4">
        <v>32</v>
      </c>
      <c r="AB5060" s="4">
        <v>1</v>
      </c>
      <c r="AC5060" s="4">
        <v>6</v>
      </c>
      <c r="AD5060" s="4">
        <v>50</v>
      </c>
      <c r="AE5060" s="4">
        <v>67</v>
      </c>
      <c r="AF5060" s="4">
        <v>0</v>
      </c>
      <c r="AG5060" s="4">
        <v>2</v>
      </c>
      <c r="AH5060" s="4">
        <v>42</v>
      </c>
      <c r="AI5060" s="4">
        <v>53</v>
      </c>
      <c r="AJ5060" s="4">
        <v>5</v>
      </c>
      <c r="AK5060" s="4">
        <v>9</v>
      </c>
      <c r="AL5060" s="4">
        <v>27</v>
      </c>
      <c r="AM5060" s="4">
        <v>31</v>
      </c>
      <c r="AN5060" s="4">
        <v>0</v>
      </c>
      <c r="AO5060" s="4">
        <v>0</v>
      </c>
      <c r="AP5060" s="4">
        <v>10</v>
      </c>
      <c r="AQ5060" s="4">
        <v>17</v>
      </c>
      <c r="AR5060" s="3" t="s">
        <v>64</v>
      </c>
      <c r="AS5060" s="3" t="s">
        <v>64</v>
      </c>
      <c r="AT5060" s="3" t="s">
        <v>64</v>
      </c>
      <c r="AV5060" s="6" t="str">
        <f>HYPERLINK("http://mcgill.on.worldcat.org/oclc/944087564","Catalog Record")</f>
        <v>Catalog Record</v>
      </c>
      <c r="AW5060" s="6" t="str">
        <f>HYPERLINK("http://www.worldcat.org/oclc/944087564","WorldCat Record")</f>
        <v>WorldCat Record</v>
      </c>
      <c r="AX5060" s="3" t="s">
        <v>49272</v>
      </c>
      <c r="AY5060" s="3" t="s">
        <v>49273</v>
      </c>
      <c r="AZ5060" s="3" t="s">
        <v>49274</v>
      </c>
      <c r="BA5060" s="3" t="s">
        <v>49274</v>
      </c>
      <c r="BB5060" s="3" t="s">
        <v>49275</v>
      </c>
      <c r="BC5060" s="3" t="s">
        <v>77</v>
      </c>
      <c r="BD5060" s="3" t="s">
        <v>78</v>
      </c>
      <c r="BE5060" s="3" t="s">
        <v>49276</v>
      </c>
      <c r="BF5060" s="3" t="s">
        <v>49275</v>
      </c>
      <c r="BG5060" s="3" t="s">
        <v>49277</v>
      </c>
      <c r="BH5060">
        <f t="shared" si="161"/>
        <v>0</v>
      </c>
    </row>
    <row r="5061" spans="1:60" ht="72.5" x14ac:dyDescent="0.35">
      <c r="A5061" s="2" t="s">
        <v>59</v>
      </c>
      <c r="B5061" s="2" t="s">
        <v>1025</v>
      </c>
      <c r="C5061" s="2" t="s">
        <v>49278</v>
      </c>
      <c r="D5061" s="2" t="s">
        <v>49279</v>
      </c>
      <c r="E5061" s="2" t="s">
        <v>49280</v>
      </c>
      <c r="G5061" s="3" t="s">
        <v>64</v>
      </c>
      <c r="I5061" s="3" t="s">
        <v>64</v>
      </c>
      <c r="J5061" s="3" t="s">
        <v>64</v>
      </c>
      <c r="K5061" s="3" t="s">
        <v>65</v>
      </c>
      <c r="L5061" s="2" t="s">
        <v>49281</v>
      </c>
      <c r="M5061" s="2" t="s">
        <v>24032</v>
      </c>
      <c r="N5061" s="3" t="s">
        <v>537</v>
      </c>
      <c r="P5061" s="3" t="s">
        <v>102</v>
      </c>
      <c r="R5061" s="3" t="s">
        <v>49178</v>
      </c>
      <c r="S5061" s="4">
        <v>1</v>
      </c>
      <c r="T5061" s="4">
        <v>1</v>
      </c>
      <c r="U5061" s="5" t="s">
        <v>7374</v>
      </c>
      <c r="V5061" s="5" t="s">
        <v>7374</v>
      </c>
      <c r="W5061" s="5" t="s">
        <v>72</v>
      </c>
      <c r="X5061" s="5" t="s">
        <v>72</v>
      </c>
      <c r="Y5061" s="4">
        <v>443</v>
      </c>
      <c r="Z5061" s="4">
        <v>23</v>
      </c>
      <c r="AA5061" s="4">
        <v>25</v>
      </c>
      <c r="AB5061" s="4">
        <v>2</v>
      </c>
      <c r="AC5061" s="4">
        <v>4</v>
      </c>
      <c r="AD5061" s="4">
        <v>83</v>
      </c>
      <c r="AE5061" s="4">
        <v>84</v>
      </c>
      <c r="AF5061" s="4">
        <v>1</v>
      </c>
      <c r="AG5061" s="4">
        <v>2</v>
      </c>
      <c r="AH5061" s="4">
        <v>73</v>
      </c>
      <c r="AI5061" s="4">
        <v>73</v>
      </c>
      <c r="AJ5061" s="4">
        <v>8</v>
      </c>
      <c r="AK5061" s="4">
        <v>9</v>
      </c>
      <c r="AL5061" s="4">
        <v>43</v>
      </c>
      <c r="AM5061" s="4">
        <v>43</v>
      </c>
      <c r="AN5061" s="4">
        <v>0</v>
      </c>
      <c r="AO5061" s="4">
        <v>0</v>
      </c>
      <c r="AP5061" s="4">
        <v>13</v>
      </c>
      <c r="AQ5061" s="4">
        <v>13</v>
      </c>
      <c r="AR5061" s="3" t="s">
        <v>64</v>
      </c>
      <c r="AS5061" s="3" t="s">
        <v>64</v>
      </c>
      <c r="AT5061" s="3" t="s">
        <v>64</v>
      </c>
      <c r="AV5061" s="6" t="str">
        <f>HYPERLINK("http://mcgill.on.worldcat.org/oclc/932003502","Catalog Record")</f>
        <v>Catalog Record</v>
      </c>
      <c r="AW5061" s="6" t="str">
        <f>HYPERLINK("http://www.worldcat.org/oclc/932003502","WorldCat Record")</f>
        <v>WorldCat Record</v>
      </c>
      <c r="AX5061" s="3" t="s">
        <v>49282</v>
      </c>
      <c r="AY5061" s="3" t="s">
        <v>49283</v>
      </c>
      <c r="AZ5061" s="3" t="s">
        <v>49284</v>
      </c>
      <c r="BA5061" s="3" t="s">
        <v>49284</v>
      </c>
      <c r="BB5061" s="3" t="s">
        <v>49285</v>
      </c>
      <c r="BC5061" s="3" t="s">
        <v>77</v>
      </c>
      <c r="BD5061" s="3" t="s">
        <v>78</v>
      </c>
      <c r="BE5061" s="3" t="s">
        <v>49286</v>
      </c>
      <c r="BF5061" s="3" t="s">
        <v>49285</v>
      </c>
      <c r="BG5061" s="3" t="s">
        <v>49287</v>
      </c>
      <c r="BH5061">
        <f t="shared" si="161"/>
        <v>0</v>
      </c>
    </row>
    <row r="5062" spans="1:60" ht="58" x14ac:dyDescent="0.35">
      <c r="A5062" s="2" t="s">
        <v>59</v>
      </c>
      <c r="B5062" s="2" t="s">
        <v>60</v>
      </c>
      <c r="C5062" s="2" t="s">
        <v>49288</v>
      </c>
      <c r="D5062" s="2" t="s">
        <v>49289</v>
      </c>
      <c r="E5062" s="2" t="s">
        <v>49290</v>
      </c>
      <c r="F5062" s="3" t="s">
        <v>26723</v>
      </c>
      <c r="G5062" s="3" t="s">
        <v>64</v>
      </c>
      <c r="I5062" s="3" t="s">
        <v>64</v>
      </c>
      <c r="J5062" s="3" t="s">
        <v>64</v>
      </c>
      <c r="K5062" s="3" t="s">
        <v>65</v>
      </c>
      <c r="L5062" s="2" t="s">
        <v>49291</v>
      </c>
      <c r="M5062" s="2" t="s">
        <v>49292</v>
      </c>
      <c r="N5062" s="3" t="s">
        <v>434</v>
      </c>
      <c r="P5062" s="3" t="s">
        <v>102</v>
      </c>
      <c r="Q5062" s="2" t="s">
        <v>49293</v>
      </c>
      <c r="R5062" s="3" t="s">
        <v>49178</v>
      </c>
      <c r="S5062" s="4">
        <v>19</v>
      </c>
      <c r="T5062" s="4">
        <v>19</v>
      </c>
      <c r="U5062" s="5" t="s">
        <v>47257</v>
      </c>
      <c r="V5062" s="5" t="s">
        <v>47257</v>
      </c>
      <c r="W5062" s="5" t="s">
        <v>72</v>
      </c>
      <c r="X5062" s="5" t="s">
        <v>72</v>
      </c>
      <c r="Y5062" s="4">
        <v>619</v>
      </c>
      <c r="Z5062" s="4">
        <v>29</v>
      </c>
      <c r="AA5062" s="4">
        <v>30</v>
      </c>
      <c r="AB5062" s="4">
        <v>2</v>
      </c>
      <c r="AC5062" s="4">
        <v>3</v>
      </c>
      <c r="AD5062" s="4">
        <v>74</v>
      </c>
      <c r="AE5062" s="4">
        <v>75</v>
      </c>
      <c r="AF5062" s="4">
        <v>0</v>
      </c>
      <c r="AG5062" s="4">
        <v>1</v>
      </c>
      <c r="AH5062" s="4">
        <v>65</v>
      </c>
      <c r="AI5062" s="4">
        <v>65</v>
      </c>
      <c r="AJ5062" s="4">
        <v>14</v>
      </c>
      <c r="AK5062" s="4">
        <v>15</v>
      </c>
      <c r="AL5062" s="4">
        <v>31</v>
      </c>
      <c r="AM5062" s="4">
        <v>31</v>
      </c>
      <c r="AN5062" s="4">
        <v>0</v>
      </c>
      <c r="AO5062" s="4">
        <v>0</v>
      </c>
      <c r="AP5062" s="4">
        <v>17</v>
      </c>
      <c r="AQ5062" s="4">
        <v>17</v>
      </c>
      <c r="AR5062" s="3" t="s">
        <v>64</v>
      </c>
      <c r="AS5062" s="3" t="s">
        <v>64</v>
      </c>
      <c r="AT5062" s="3" t="s">
        <v>128</v>
      </c>
      <c r="AU5062" s="6" t="str">
        <f>HYPERLINK("http://catalog.hathitrust.org/Record/005235710","HathiTrust Record")</f>
        <v>HathiTrust Record</v>
      </c>
      <c r="AV5062" s="6" t="str">
        <f>HYPERLINK("http://mcgill.on.worldcat.org/oclc/60393425","Catalog Record")</f>
        <v>Catalog Record</v>
      </c>
      <c r="AW5062" s="6" t="str">
        <f>HYPERLINK("http://www.worldcat.org/oclc/60393425","WorldCat Record")</f>
        <v>WorldCat Record</v>
      </c>
      <c r="AX5062" s="3" t="s">
        <v>49294</v>
      </c>
      <c r="AY5062" s="3" t="s">
        <v>49295</v>
      </c>
      <c r="AZ5062" s="3" t="s">
        <v>49296</v>
      </c>
      <c r="BA5062" s="3" t="s">
        <v>49296</v>
      </c>
      <c r="BB5062" s="3" t="s">
        <v>49297</v>
      </c>
      <c r="BC5062" s="3" t="s">
        <v>77</v>
      </c>
      <c r="BD5062" s="3" t="s">
        <v>78</v>
      </c>
      <c r="BE5062" s="3" t="s">
        <v>49298</v>
      </c>
      <c r="BF5062" s="3" t="s">
        <v>49297</v>
      </c>
      <c r="BG5062" s="3" t="s">
        <v>49299</v>
      </c>
      <c r="BH5062">
        <f t="shared" si="161"/>
        <v>0</v>
      </c>
    </row>
    <row r="5063" spans="1:60" ht="58" x14ac:dyDescent="0.35">
      <c r="A5063" s="2" t="s">
        <v>59</v>
      </c>
      <c r="B5063" s="2" t="s">
        <v>60</v>
      </c>
      <c r="C5063" s="2" t="s">
        <v>49300</v>
      </c>
      <c r="D5063" s="2" t="s">
        <v>49301</v>
      </c>
      <c r="E5063" s="2" t="s">
        <v>49302</v>
      </c>
      <c r="G5063" s="3" t="s">
        <v>64</v>
      </c>
      <c r="I5063" s="3" t="s">
        <v>64</v>
      </c>
      <c r="J5063" s="3" t="s">
        <v>64</v>
      </c>
      <c r="K5063" s="3" t="s">
        <v>65</v>
      </c>
      <c r="L5063" s="2" t="s">
        <v>49291</v>
      </c>
      <c r="M5063" s="2" t="s">
        <v>22037</v>
      </c>
      <c r="N5063" s="3" t="s">
        <v>101</v>
      </c>
      <c r="P5063" s="3" t="s">
        <v>102</v>
      </c>
      <c r="R5063" s="3" t="s">
        <v>49178</v>
      </c>
      <c r="S5063" s="4">
        <v>22</v>
      </c>
      <c r="T5063" s="4">
        <v>22</v>
      </c>
      <c r="U5063" s="5" t="s">
        <v>12344</v>
      </c>
      <c r="V5063" s="5" t="s">
        <v>12344</v>
      </c>
      <c r="W5063" s="5" t="s">
        <v>72</v>
      </c>
      <c r="X5063" s="5" t="s">
        <v>72</v>
      </c>
      <c r="Y5063" s="4">
        <v>1239</v>
      </c>
      <c r="Z5063" s="4">
        <v>56</v>
      </c>
      <c r="AA5063" s="4">
        <v>74</v>
      </c>
      <c r="AB5063" s="4">
        <v>6</v>
      </c>
      <c r="AC5063" s="4">
        <v>9</v>
      </c>
      <c r="AD5063" s="4">
        <v>116</v>
      </c>
      <c r="AE5063" s="4">
        <v>130</v>
      </c>
      <c r="AF5063" s="4">
        <v>2</v>
      </c>
      <c r="AG5063" s="4">
        <v>4</v>
      </c>
      <c r="AH5063" s="4">
        <v>94</v>
      </c>
      <c r="AI5063" s="4">
        <v>100</v>
      </c>
      <c r="AJ5063" s="4">
        <v>19</v>
      </c>
      <c r="AK5063" s="4">
        <v>20</v>
      </c>
      <c r="AL5063" s="4">
        <v>47</v>
      </c>
      <c r="AM5063" s="4">
        <v>54</v>
      </c>
      <c r="AN5063" s="4">
        <v>0</v>
      </c>
      <c r="AO5063" s="4">
        <v>0</v>
      </c>
      <c r="AP5063" s="4">
        <v>32</v>
      </c>
      <c r="AQ5063" s="4">
        <v>37</v>
      </c>
      <c r="AR5063" s="3" t="s">
        <v>64</v>
      </c>
      <c r="AS5063" s="3" t="s">
        <v>64</v>
      </c>
      <c r="AT5063" s="3" t="s">
        <v>64</v>
      </c>
      <c r="AV5063" s="6" t="str">
        <f>HYPERLINK("http://mcgill.on.worldcat.org/oclc/51983487","Catalog Record")</f>
        <v>Catalog Record</v>
      </c>
      <c r="AW5063" s="6" t="str">
        <f>HYPERLINK("http://www.worldcat.org/oclc/51983487","WorldCat Record")</f>
        <v>WorldCat Record</v>
      </c>
      <c r="AX5063" s="3" t="s">
        <v>49303</v>
      </c>
      <c r="AY5063" s="3" t="s">
        <v>49304</v>
      </c>
      <c r="AZ5063" s="3" t="s">
        <v>49305</v>
      </c>
      <c r="BA5063" s="3" t="s">
        <v>49305</v>
      </c>
      <c r="BB5063" s="3" t="s">
        <v>49306</v>
      </c>
      <c r="BC5063" s="3" t="s">
        <v>77</v>
      </c>
      <c r="BD5063" s="3" t="s">
        <v>78</v>
      </c>
      <c r="BE5063" s="3" t="s">
        <v>49307</v>
      </c>
      <c r="BF5063" s="3" t="s">
        <v>49306</v>
      </c>
      <c r="BG5063" s="3" t="s">
        <v>49308</v>
      </c>
      <c r="BH5063">
        <f t="shared" si="161"/>
        <v>0</v>
      </c>
    </row>
    <row r="5064" spans="1:60" ht="58" x14ac:dyDescent="0.35">
      <c r="A5064" s="2" t="s">
        <v>59</v>
      </c>
      <c r="B5064" s="2" t="s">
        <v>60</v>
      </c>
      <c r="C5064" s="2" t="s">
        <v>49309</v>
      </c>
      <c r="D5064" s="2" t="s">
        <v>49310</v>
      </c>
      <c r="E5064" s="2" t="s">
        <v>49311</v>
      </c>
      <c r="G5064" s="3" t="s">
        <v>64</v>
      </c>
      <c r="I5064" s="3" t="s">
        <v>64</v>
      </c>
      <c r="J5064" s="3" t="s">
        <v>64</v>
      </c>
      <c r="K5064" s="3" t="s">
        <v>65</v>
      </c>
      <c r="L5064" s="2" t="s">
        <v>49291</v>
      </c>
      <c r="M5064" s="2" t="s">
        <v>14235</v>
      </c>
      <c r="N5064" s="3" t="s">
        <v>511</v>
      </c>
      <c r="O5064" s="2" t="s">
        <v>172</v>
      </c>
      <c r="P5064" s="3" t="s">
        <v>102</v>
      </c>
      <c r="R5064" s="3" t="s">
        <v>49178</v>
      </c>
      <c r="S5064" s="4">
        <v>18</v>
      </c>
      <c r="T5064" s="4">
        <v>18</v>
      </c>
      <c r="U5064" s="5" t="s">
        <v>49312</v>
      </c>
      <c r="V5064" s="5" t="s">
        <v>49312</v>
      </c>
      <c r="W5064" s="5" t="s">
        <v>72</v>
      </c>
      <c r="X5064" s="5" t="s">
        <v>72</v>
      </c>
      <c r="Y5064" s="4">
        <v>1212</v>
      </c>
      <c r="Z5064" s="4">
        <v>51</v>
      </c>
      <c r="AA5064" s="4">
        <v>85</v>
      </c>
      <c r="AB5064" s="4">
        <v>1</v>
      </c>
      <c r="AC5064" s="4">
        <v>11</v>
      </c>
      <c r="AD5064" s="4">
        <v>106</v>
      </c>
      <c r="AE5064" s="4">
        <v>120</v>
      </c>
      <c r="AF5064" s="4">
        <v>0</v>
      </c>
      <c r="AG5064" s="4">
        <v>4</v>
      </c>
      <c r="AH5064" s="4">
        <v>88</v>
      </c>
      <c r="AI5064" s="4">
        <v>97</v>
      </c>
      <c r="AJ5064" s="4">
        <v>14</v>
      </c>
      <c r="AK5064" s="4">
        <v>18</v>
      </c>
      <c r="AL5064" s="4">
        <v>44</v>
      </c>
      <c r="AM5064" s="4">
        <v>44</v>
      </c>
      <c r="AN5064" s="4">
        <v>0</v>
      </c>
      <c r="AO5064" s="4">
        <v>0</v>
      </c>
      <c r="AP5064" s="4">
        <v>28</v>
      </c>
      <c r="AQ5064" s="4">
        <v>34</v>
      </c>
      <c r="AR5064" s="3" t="s">
        <v>64</v>
      </c>
      <c r="AS5064" s="3" t="s">
        <v>64</v>
      </c>
      <c r="AT5064" s="3" t="s">
        <v>64</v>
      </c>
      <c r="AV5064" s="6" t="str">
        <f>HYPERLINK("http://mcgill.on.worldcat.org/oclc/461324399","Catalog Record")</f>
        <v>Catalog Record</v>
      </c>
      <c r="AW5064" s="6" t="str">
        <f>HYPERLINK("http://www.worldcat.org/oclc/461324399","WorldCat Record")</f>
        <v>WorldCat Record</v>
      </c>
      <c r="AX5064" s="3" t="s">
        <v>49313</v>
      </c>
      <c r="AY5064" s="3" t="s">
        <v>49314</v>
      </c>
      <c r="AZ5064" s="3" t="s">
        <v>49315</v>
      </c>
      <c r="BA5064" s="3" t="s">
        <v>49315</v>
      </c>
      <c r="BB5064" s="3" t="s">
        <v>49316</v>
      </c>
      <c r="BC5064" s="3" t="s">
        <v>77</v>
      </c>
      <c r="BD5064" s="3" t="s">
        <v>78</v>
      </c>
      <c r="BE5064" s="3" t="s">
        <v>49317</v>
      </c>
      <c r="BF5064" s="3" t="s">
        <v>49316</v>
      </c>
      <c r="BG5064" s="3" t="s">
        <v>49318</v>
      </c>
      <c r="BH5064">
        <f t="shared" si="161"/>
        <v>0</v>
      </c>
    </row>
    <row r="5065" spans="1:60" ht="58" x14ac:dyDescent="0.35">
      <c r="A5065" s="2" t="s">
        <v>59</v>
      </c>
      <c r="B5065" s="2" t="s">
        <v>60</v>
      </c>
      <c r="C5065" s="2" t="s">
        <v>49319</v>
      </c>
      <c r="D5065" s="2" t="s">
        <v>49320</v>
      </c>
      <c r="E5065" s="2" t="s">
        <v>49321</v>
      </c>
      <c r="G5065" s="3" t="s">
        <v>64</v>
      </c>
      <c r="I5065" s="3" t="s">
        <v>64</v>
      </c>
      <c r="J5065" s="3" t="s">
        <v>64</v>
      </c>
      <c r="K5065" s="3" t="s">
        <v>65</v>
      </c>
      <c r="L5065" s="2" t="s">
        <v>49322</v>
      </c>
      <c r="M5065" s="2" t="s">
        <v>49323</v>
      </c>
      <c r="N5065" s="3" t="s">
        <v>537</v>
      </c>
      <c r="P5065" s="3" t="s">
        <v>102</v>
      </c>
      <c r="R5065" s="3" t="s">
        <v>49178</v>
      </c>
      <c r="S5065" s="4">
        <v>14</v>
      </c>
      <c r="T5065" s="4">
        <v>14</v>
      </c>
      <c r="U5065" s="5" t="s">
        <v>15249</v>
      </c>
      <c r="V5065" s="5" t="s">
        <v>15249</v>
      </c>
      <c r="W5065" s="5" t="s">
        <v>72</v>
      </c>
      <c r="X5065" s="5" t="s">
        <v>72</v>
      </c>
      <c r="Y5065" s="4">
        <v>825</v>
      </c>
      <c r="Z5065" s="4">
        <v>34</v>
      </c>
      <c r="AA5065" s="4">
        <v>99</v>
      </c>
      <c r="AB5065" s="4">
        <v>1</v>
      </c>
      <c r="AC5065" s="4">
        <v>21</v>
      </c>
      <c r="AD5065" s="4">
        <v>85</v>
      </c>
      <c r="AE5065" s="4">
        <v>128</v>
      </c>
      <c r="AF5065" s="4">
        <v>0</v>
      </c>
      <c r="AG5065" s="4">
        <v>9</v>
      </c>
      <c r="AH5065" s="4">
        <v>72</v>
      </c>
      <c r="AI5065" s="4">
        <v>88</v>
      </c>
      <c r="AJ5065" s="4">
        <v>13</v>
      </c>
      <c r="AK5065" s="4">
        <v>24</v>
      </c>
      <c r="AL5065" s="4">
        <v>36</v>
      </c>
      <c r="AM5065" s="4">
        <v>45</v>
      </c>
      <c r="AN5065" s="4">
        <v>0</v>
      </c>
      <c r="AO5065" s="4">
        <v>0</v>
      </c>
      <c r="AP5065" s="4">
        <v>21</v>
      </c>
      <c r="AQ5065" s="4">
        <v>49</v>
      </c>
      <c r="AR5065" s="3" t="s">
        <v>64</v>
      </c>
      <c r="AS5065" s="3" t="s">
        <v>64</v>
      </c>
      <c r="AT5065" s="3" t="s">
        <v>64</v>
      </c>
      <c r="AV5065" s="6" t="str">
        <f>HYPERLINK("http://mcgill.on.worldcat.org/oclc/945483314","Catalog Record")</f>
        <v>Catalog Record</v>
      </c>
      <c r="AW5065" s="6" t="str">
        <f>HYPERLINK("http://www.worldcat.org/oclc/945483314","WorldCat Record")</f>
        <v>WorldCat Record</v>
      </c>
      <c r="AX5065" s="3" t="s">
        <v>49324</v>
      </c>
      <c r="AY5065" s="3" t="s">
        <v>49325</v>
      </c>
      <c r="AZ5065" s="3" t="s">
        <v>49326</v>
      </c>
      <c r="BA5065" s="3" t="s">
        <v>49326</v>
      </c>
      <c r="BB5065" s="3" t="s">
        <v>49327</v>
      </c>
      <c r="BC5065" s="3" t="s">
        <v>77</v>
      </c>
      <c r="BD5065" s="3" t="s">
        <v>78</v>
      </c>
      <c r="BE5065" s="3" t="s">
        <v>49328</v>
      </c>
      <c r="BF5065" s="3" t="s">
        <v>49327</v>
      </c>
      <c r="BG5065" s="3" t="s">
        <v>49329</v>
      </c>
      <c r="BH5065">
        <f t="shared" si="161"/>
        <v>0</v>
      </c>
    </row>
    <row r="5066" spans="1:60" ht="58" x14ac:dyDescent="0.35">
      <c r="A5066" s="2" t="s">
        <v>1040</v>
      </c>
      <c r="B5066" s="2" t="s">
        <v>60</v>
      </c>
      <c r="C5066" s="2" t="s">
        <v>49330</v>
      </c>
      <c r="D5066" s="2" t="s">
        <v>49331</v>
      </c>
      <c r="E5066" s="2" t="s">
        <v>49332</v>
      </c>
      <c r="G5066" s="3" t="s">
        <v>64</v>
      </c>
      <c r="I5066" s="3" t="s">
        <v>128</v>
      </c>
      <c r="J5066" s="3" t="s">
        <v>128</v>
      </c>
      <c r="K5066" s="3" t="s">
        <v>65</v>
      </c>
      <c r="L5066" s="2" t="s">
        <v>49333</v>
      </c>
      <c r="M5066" s="2" t="s">
        <v>29341</v>
      </c>
      <c r="N5066" s="3" t="s">
        <v>159</v>
      </c>
      <c r="P5066" s="3" t="s">
        <v>102</v>
      </c>
      <c r="Q5066" s="2" t="s">
        <v>14685</v>
      </c>
      <c r="R5066" s="3" t="s">
        <v>49178</v>
      </c>
      <c r="S5066" s="4">
        <v>14</v>
      </c>
      <c r="T5066" s="4">
        <v>53</v>
      </c>
      <c r="U5066" s="5" t="s">
        <v>49334</v>
      </c>
      <c r="V5066" s="5" t="s">
        <v>49334</v>
      </c>
      <c r="W5066" s="5" t="s">
        <v>72</v>
      </c>
      <c r="X5066" s="5" t="s">
        <v>72</v>
      </c>
      <c r="Y5066" s="4">
        <v>377</v>
      </c>
      <c r="Z5066" s="4">
        <v>25</v>
      </c>
      <c r="AA5066" s="4">
        <v>92</v>
      </c>
      <c r="AB5066" s="4">
        <v>3</v>
      </c>
      <c r="AC5066" s="4">
        <v>17</v>
      </c>
      <c r="AD5066" s="4">
        <v>94</v>
      </c>
      <c r="AE5066" s="4">
        <v>144</v>
      </c>
      <c r="AF5066" s="4">
        <v>1</v>
      </c>
      <c r="AG5066" s="4">
        <v>8</v>
      </c>
      <c r="AH5066" s="4">
        <v>85</v>
      </c>
      <c r="AI5066" s="4">
        <v>108</v>
      </c>
      <c r="AJ5066" s="4">
        <v>17</v>
      </c>
      <c r="AK5066" s="4">
        <v>25</v>
      </c>
      <c r="AL5066" s="4">
        <v>47</v>
      </c>
      <c r="AM5066" s="4">
        <v>56</v>
      </c>
      <c r="AN5066" s="4">
        <v>0</v>
      </c>
      <c r="AO5066" s="4">
        <v>0</v>
      </c>
      <c r="AP5066" s="4">
        <v>18</v>
      </c>
      <c r="AQ5066" s="4">
        <v>46</v>
      </c>
      <c r="AR5066" s="3" t="s">
        <v>64</v>
      </c>
      <c r="AS5066" s="3" t="s">
        <v>64</v>
      </c>
      <c r="AT5066" s="3" t="s">
        <v>64</v>
      </c>
      <c r="AV5066" s="6" t="str">
        <f>HYPERLINK("http://mcgill.on.worldcat.org/oclc/49883211","Catalog Record")</f>
        <v>Catalog Record</v>
      </c>
      <c r="AW5066" s="6" t="str">
        <f>HYPERLINK("http://www.worldcat.org/oclc/49883211","WorldCat Record")</f>
        <v>WorldCat Record</v>
      </c>
      <c r="AX5066" s="3" t="s">
        <v>49335</v>
      </c>
      <c r="AY5066" s="3" t="s">
        <v>49336</v>
      </c>
      <c r="AZ5066" s="3" t="s">
        <v>49337</v>
      </c>
      <c r="BA5066" s="3" t="s">
        <v>49337</v>
      </c>
      <c r="BB5066" s="3" t="s">
        <v>49338</v>
      </c>
      <c r="BC5066" s="3" t="s">
        <v>77</v>
      </c>
      <c r="BD5066" s="3" t="s">
        <v>78</v>
      </c>
      <c r="BE5066" s="3" t="s">
        <v>49339</v>
      </c>
      <c r="BF5066" s="3" t="s">
        <v>49338</v>
      </c>
      <c r="BG5066" s="3" t="s">
        <v>49340</v>
      </c>
      <c r="BH5066">
        <f t="shared" si="161"/>
        <v>0</v>
      </c>
    </row>
    <row r="5067" spans="1:60" ht="58" x14ac:dyDescent="0.35">
      <c r="A5067" s="2" t="s">
        <v>59</v>
      </c>
      <c r="B5067" s="2" t="s">
        <v>60</v>
      </c>
      <c r="C5067" s="2" t="s">
        <v>49341</v>
      </c>
      <c r="D5067" s="2" t="s">
        <v>49342</v>
      </c>
      <c r="E5067" s="2" t="s">
        <v>49343</v>
      </c>
      <c r="G5067" s="3" t="s">
        <v>64</v>
      </c>
      <c r="I5067" s="3" t="s">
        <v>64</v>
      </c>
      <c r="J5067" s="3" t="s">
        <v>64</v>
      </c>
      <c r="K5067" s="3" t="s">
        <v>65</v>
      </c>
      <c r="L5067" s="2" t="s">
        <v>49344</v>
      </c>
      <c r="M5067" s="2" t="s">
        <v>49345</v>
      </c>
      <c r="N5067" s="3" t="s">
        <v>551</v>
      </c>
      <c r="P5067" s="3" t="s">
        <v>102</v>
      </c>
      <c r="R5067" s="3" t="s">
        <v>49178</v>
      </c>
      <c r="S5067" s="4">
        <v>13</v>
      </c>
      <c r="T5067" s="4">
        <v>13</v>
      </c>
      <c r="U5067" s="5" t="s">
        <v>1786</v>
      </c>
      <c r="V5067" s="5" t="s">
        <v>1786</v>
      </c>
      <c r="W5067" s="5" t="s">
        <v>72</v>
      </c>
      <c r="X5067" s="5" t="s">
        <v>72</v>
      </c>
      <c r="Y5067" s="4">
        <v>299</v>
      </c>
      <c r="Z5067" s="4">
        <v>17</v>
      </c>
      <c r="AA5067" s="4">
        <v>78</v>
      </c>
      <c r="AB5067" s="4">
        <v>4</v>
      </c>
      <c r="AC5067" s="4">
        <v>16</v>
      </c>
      <c r="AD5067" s="4">
        <v>56</v>
      </c>
      <c r="AE5067" s="4">
        <v>106</v>
      </c>
      <c r="AF5067" s="4">
        <v>1</v>
      </c>
      <c r="AG5067" s="4">
        <v>8</v>
      </c>
      <c r="AH5067" s="4">
        <v>53</v>
      </c>
      <c r="AI5067" s="4">
        <v>75</v>
      </c>
      <c r="AJ5067" s="4">
        <v>8</v>
      </c>
      <c r="AK5067" s="4">
        <v>19</v>
      </c>
      <c r="AL5067" s="4">
        <v>24</v>
      </c>
      <c r="AM5067" s="4">
        <v>37</v>
      </c>
      <c r="AN5067" s="4">
        <v>0</v>
      </c>
      <c r="AO5067" s="4">
        <v>0</v>
      </c>
      <c r="AP5067" s="4">
        <v>9</v>
      </c>
      <c r="AQ5067" s="4">
        <v>39</v>
      </c>
      <c r="AR5067" s="3" t="s">
        <v>64</v>
      </c>
      <c r="AS5067" s="3" t="s">
        <v>64</v>
      </c>
      <c r="AT5067" s="3" t="s">
        <v>64</v>
      </c>
      <c r="AV5067" s="6" t="str">
        <f>HYPERLINK("http://mcgill.on.worldcat.org/oclc/234260080","Catalog Record")</f>
        <v>Catalog Record</v>
      </c>
      <c r="AW5067" s="6" t="str">
        <f>HYPERLINK("http://www.worldcat.org/oclc/234260080","WorldCat Record")</f>
        <v>WorldCat Record</v>
      </c>
      <c r="AX5067" s="3" t="s">
        <v>49346</v>
      </c>
      <c r="AY5067" s="3" t="s">
        <v>49347</v>
      </c>
      <c r="AZ5067" s="3" t="s">
        <v>49348</v>
      </c>
      <c r="BA5067" s="3" t="s">
        <v>49348</v>
      </c>
      <c r="BB5067" s="3" t="s">
        <v>49349</v>
      </c>
      <c r="BC5067" s="3" t="s">
        <v>77</v>
      </c>
      <c r="BD5067" s="3" t="s">
        <v>78</v>
      </c>
      <c r="BE5067" s="3" t="s">
        <v>49350</v>
      </c>
      <c r="BF5067" s="3" t="s">
        <v>49349</v>
      </c>
      <c r="BG5067" s="3" t="s">
        <v>49351</v>
      </c>
      <c r="BH5067">
        <f t="shared" si="161"/>
        <v>0</v>
      </c>
    </row>
    <row r="5068" spans="1:60" ht="58" x14ac:dyDescent="0.35">
      <c r="A5068" s="2" t="s">
        <v>59</v>
      </c>
      <c r="B5068" s="2" t="s">
        <v>60</v>
      </c>
      <c r="C5068" s="2" t="s">
        <v>49352</v>
      </c>
      <c r="D5068" s="2" t="s">
        <v>49353</v>
      </c>
      <c r="E5068" s="2" t="s">
        <v>49332</v>
      </c>
      <c r="G5068" s="3" t="s">
        <v>64</v>
      </c>
      <c r="I5068" s="3" t="s">
        <v>128</v>
      </c>
      <c r="J5068" s="3" t="s">
        <v>128</v>
      </c>
      <c r="K5068" s="3" t="s">
        <v>65</v>
      </c>
      <c r="L5068" s="2" t="s">
        <v>49333</v>
      </c>
      <c r="M5068" s="2" t="s">
        <v>29341</v>
      </c>
      <c r="N5068" s="3" t="s">
        <v>159</v>
      </c>
      <c r="P5068" s="3" t="s">
        <v>102</v>
      </c>
      <c r="Q5068" s="2" t="s">
        <v>14685</v>
      </c>
      <c r="R5068" s="3" t="s">
        <v>49178</v>
      </c>
      <c r="S5068" s="4">
        <v>39</v>
      </c>
      <c r="T5068" s="4">
        <v>53</v>
      </c>
      <c r="U5068" s="5" t="s">
        <v>49354</v>
      </c>
      <c r="V5068" s="5" t="s">
        <v>49334</v>
      </c>
      <c r="W5068" s="5" t="s">
        <v>72</v>
      </c>
      <c r="X5068" s="5" t="s">
        <v>72</v>
      </c>
      <c r="Y5068" s="4">
        <v>377</v>
      </c>
      <c r="Z5068" s="4">
        <v>25</v>
      </c>
      <c r="AA5068" s="4">
        <v>92</v>
      </c>
      <c r="AB5068" s="4">
        <v>3</v>
      </c>
      <c r="AC5068" s="4">
        <v>17</v>
      </c>
      <c r="AD5068" s="4">
        <v>94</v>
      </c>
      <c r="AE5068" s="4">
        <v>144</v>
      </c>
      <c r="AF5068" s="4">
        <v>1</v>
      </c>
      <c r="AG5068" s="4">
        <v>8</v>
      </c>
      <c r="AH5068" s="4">
        <v>85</v>
      </c>
      <c r="AI5068" s="4">
        <v>108</v>
      </c>
      <c r="AJ5068" s="4">
        <v>17</v>
      </c>
      <c r="AK5068" s="4">
        <v>25</v>
      </c>
      <c r="AL5068" s="4">
        <v>47</v>
      </c>
      <c r="AM5068" s="4">
        <v>56</v>
      </c>
      <c r="AN5068" s="4">
        <v>0</v>
      </c>
      <c r="AO5068" s="4">
        <v>0</v>
      </c>
      <c r="AP5068" s="4">
        <v>18</v>
      </c>
      <c r="AQ5068" s="4">
        <v>46</v>
      </c>
      <c r="AR5068" s="3" t="s">
        <v>64</v>
      </c>
      <c r="AS5068" s="3" t="s">
        <v>64</v>
      </c>
      <c r="AT5068" s="3" t="s">
        <v>64</v>
      </c>
      <c r="AV5068" s="6" t="str">
        <f>HYPERLINK("http://mcgill.on.worldcat.org/oclc/49883211","Catalog Record")</f>
        <v>Catalog Record</v>
      </c>
      <c r="AW5068" s="6" t="str">
        <f>HYPERLINK("http://www.worldcat.org/oclc/49883211","WorldCat Record")</f>
        <v>WorldCat Record</v>
      </c>
      <c r="AX5068" s="3" t="s">
        <v>49335</v>
      </c>
      <c r="AY5068" s="3" t="s">
        <v>49336</v>
      </c>
      <c r="AZ5068" s="3" t="s">
        <v>49337</v>
      </c>
      <c r="BA5068" s="3" t="s">
        <v>49337</v>
      </c>
      <c r="BB5068" s="3" t="s">
        <v>49355</v>
      </c>
      <c r="BC5068" s="3" t="s">
        <v>77</v>
      </c>
      <c r="BD5068" s="3" t="s">
        <v>78</v>
      </c>
      <c r="BE5068" s="3" t="s">
        <v>49339</v>
      </c>
      <c r="BF5068" s="3" t="s">
        <v>49355</v>
      </c>
      <c r="BG5068" s="3" t="s">
        <v>49356</v>
      </c>
      <c r="BH5068">
        <f t="shared" si="161"/>
        <v>0</v>
      </c>
    </row>
    <row r="5069" spans="1:60" ht="58" x14ac:dyDescent="0.35">
      <c r="A5069" s="2" t="s">
        <v>59</v>
      </c>
      <c r="B5069" s="2" t="s">
        <v>60</v>
      </c>
      <c r="C5069" s="2" t="s">
        <v>49357</v>
      </c>
      <c r="D5069" s="2" t="s">
        <v>49358</v>
      </c>
      <c r="E5069" s="2" t="s">
        <v>49332</v>
      </c>
      <c r="G5069" s="3" t="s">
        <v>64</v>
      </c>
      <c r="I5069" s="3" t="s">
        <v>64</v>
      </c>
      <c r="J5069" s="3" t="s">
        <v>128</v>
      </c>
      <c r="K5069" s="3" t="s">
        <v>65</v>
      </c>
      <c r="L5069" s="2" t="s">
        <v>49333</v>
      </c>
      <c r="M5069" s="2" t="s">
        <v>49359</v>
      </c>
      <c r="N5069" s="3" t="s">
        <v>291</v>
      </c>
      <c r="O5069" s="2" t="s">
        <v>172</v>
      </c>
      <c r="P5069" s="3" t="s">
        <v>102</v>
      </c>
      <c r="Q5069" s="2" t="s">
        <v>14685</v>
      </c>
      <c r="R5069" s="3" t="s">
        <v>49178</v>
      </c>
      <c r="S5069" s="4">
        <v>28</v>
      </c>
      <c r="T5069" s="4">
        <v>28</v>
      </c>
      <c r="U5069" s="5" t="s">
        <v>37796</v>
      </c>
      <c r="V5069" s="5" t="s">
        <v>37796</v>
      </c>
      <c r="W5069" s="5" t="s">
        <v>72</v>
      </c>
      <c r="X5069" s="5" t="s">
        <v>72</v>
      </c>
      <c r="Y5069" s="4">
        <v>200</v>
      </c>
      <c r="Z5069" s="4">
        <v>11</v>
      </c>
      <c r="AA5069" s="4">
        <v>92</v>
      </c>
      <c r="AB5069" s="4">
        <v>2</v>
      </c>
      <c r="AC5069" s="4">
        <v>17</v>
      </c>
      <c r="AD5069" s="4">
        <v>56</v>
      </c>
      <c r="AE5069" s="4">
        <v>144</v>
      </c>
      <c r="AF5069" s="4">
        <v>0</v>
      </c>
      <c r="AG5069" s="4">
        <v>8</v>
      </c>
      <c r="AH5069" s="4">
        <v>54</v>
      </c>
      <c r="AI5069" s="4">
        <v>108</v>
      </c>
      <c r="AJ5069" s="4">
        <v>5</v>
      </c>
      <c r="AK5069" s="4">
        <v>25</v>
      </c>
      <c r="AL5069" s="4">
        <v>30</v>
      </c>
      <c r="AM5069" s="4">
        <v>56</v>
      </c>
      <c r="AN5069" s="4">
        <v>0</v>
      </c>
      <c r="AO5069" s="4">
        <v>0</v>
      </c>
      <c r="AP5069" s="4">
        <v>6</v>
      </c>
      <c r="AQ5069" s="4">
        <v>46</v>
      </c>
      <c r="AR5069" s="3" t="s">
        <v>64</v>
      </c>
      <c r="AS5069" s="3" t="s">
        <v>64</v>
      </c>
      <c r="AT5069" s="3" t="s">
        <v>64</v>
      </c>
      <c r="AV5069" s="6" t="str">
        <f>HYPERLINK("http://mcgill.on.worldcat.org/oclc/71951939","Catalog Record")</f>
        <v>Catalog Record</v>
      </c>
      <c r="AW5069" s="6" t="str">
        <f>HYPERLINK("http://www.worldcat.org/oclc/71951939","WorldCat Record")</f>
        <v>WorldCat Record</v>
      </c>
      <c r="AX5069" s="3" t="s">
        <v>49335</v>
      </c>
      <c r="AY5069" s="3" t="s">
        <v>49360</v>
      </c>
      <c r="AZ5069" s="3" t="s">
        <v>49361</v>
      </c>
      <c r="BA5069" s="3" t="s">
        <v>49361</v>
      </c>
      <c r="BB5069" s="3" t="s">
        <v>49362</v>
      </c>
      <c r="BC5069" s="3" t="s">
        <v>77</v>
      </c>
      <c r="BD5069" s="3" t="s">
        <v>78</v>
      </c>
      <c r="BE5069" s="3" t="s">
        <v>49363</v>
      </c>
      <c r="BF5069" s="3" t="s">
        <v>49362</v>
      </c>
      <c r="BG5069" s="3" t="s">
        <v>49364</v>
      </c>
      <c r="BH5069">
        <f t="shared" si="161"/>
        <v>0</v>
      </c>
    </row>
    <row r="5070" spans="1:60" ht="72.5" x14ac:dyDescent="0.35">
      <c r="A5070" s="2" t="s">
        <v>59</v>
      </c>
      <c r="B5070" s="2" t="s">
        <v>60</v>
      </c>
      <c r="C5070" s="2" t="s">
        <v>49365</v>
      </c>
      <c r="D5070" s="2" t="s">
        <v>49366</v>
      </c>
      <c r="E5070" s="2" t="s">
        <v>49367</v>
      </c>
      <c r="G5070" s="3" t="s">
        <v>64</v>
      </c>
      <c r="I5070" s="3" t="s">
        <v>128</v>
      </c>
      <c r="J5070" s="3" t="s">
        <v>128</v>
      </c>
      <c r="K5070" s="3" t="s">
        <v>65</v>
      </c>
      <c r="L5070" s="2" t="s">
        <v>49368</v>
      </c>
      <c r="M5070" s="2" t="s">
        <v>49369</v>
      </c>
      <c r="N5070" s="3" t="s">
        <v>537</v>
      </c>
      <c r="O5070" s="2" t="s">
        <v>14853</v>
      </c>
      <c r="P5070" s="3" t="s">
        <v>102</v>
      </c>
      <c r="Q5070" s="2" t="s">
        <v>15754</v>
      </c>
      <c r="R5070" s="3" t="s">
        <v>49178</v>
      </c>
      <c r="S5070" s="4">
        <v>7</v>
      </c>
      <c r="T5070" s="4">
        <v>12</v>
      </c>
      <c r="U5070" s="5" t="s">
        <v>49370</v>
      </c>
      <c r="V5070" s="5" t="s">
        <v>1441</v>
      </c>
      <c r="W5070" s="5" t="s">
        <v>72</v>
      </c>
      <c r="X5070" s="5" t="s">
        <v>72</v>
      </c>
      <c r="Y5070" s="4">
        <v>133</v>
      </c>
      <c r="Z5070" s="4">
        <v>12</v>
      </c>
      <c r="AA5070" s="4">
        <v>92</v>
      </c>
      <c r="AB5070" s="4">
        <v>1</v>
      </c>
      <c r="AC5070" s="4">
        <v>17</v>
      </c>
      <c r="AD5070" s="4">
        <v>37</v>
      </c>
      <c r="AE5070" s="4">
        <v>144</v>
      </c>
      <c r="AF5070" s="4">
        <v>0</v>
      </c>
      <c r="AG5070" s="4">
        <v>8</v>
      </c>
      <c r="AH5070" s="4">
        <v>32</v>
      </c>
      <c r="AI5070" s="4">
        <v>108</v>
      </c>
      <c r="AJ5070" s="4">
        <v>9</v>
      </c>
      <c r="AK5070" s="4">
        <v>25</v>
      </c>
      <c r="AL5070" s="4">
        <v>21</v>
      </c>
      <c r="AM5070" s="4">
        <v>56</v>
      </c>
      <c r="AN5070" s="4">
        <v>0</v>
      </c>
      <c r="AO5070" s="4">
        <v>0</v>
      </c>
      <c r="AP5070" s="4">
        <v>9</v>
      </c>
      <c r="AQ5070" s="4">
        <v>46</v>
      </c>
      <c r="AR5070" s="3" t="s">
        <v>64</v>
      </c>
      <c r="AS5070" s="3" t="s">
        <v>64</v>
      </c>
      <c r="AT5070" s="3" t="s">
        <v>64</v>
      </c>
      <c r="AV5070" s="6" t="str">
        <f>HYPERLINK("http://mcgill.on.worldcat.org/oclc/923550250","Catalog Record")</f>
        <v>Catalog Record</v>
      </c>
      <c r="AW5070" s="6" t="str">
        <f>HYPERLINK("http://www.worldcat.org/oclc/923550250","WorldCat Record")</f>
        <v>WorldCat Record</v>
      </c>
      <c r="AX5070" s="3" t="s">
        <v>49335</v>
      </c>
      <c r="AY5070" s="3" t="s">
        <v>49371</v>
      </c>
      <c r="AZ5070" s="3" t="s">
        <v>49372</v>
      </c>
      <c r="BA5070" s="3" t="s">
        <v>49372</v>
      </c>
      <c r="BB5070" s="3" t="s">
        <v>49373</v>
      </c>
      <c r="BC5070" s="3" t="s">
        <v>77</v>
      </c>
      <c r="BD5070" s="3" t="s">
        <v>78</v>
      </c>
      <c r="BE5070" s="3" t="s">
        <v>49374</v>
      </c>
      <c r="BF5070" s="3" t="s">
        <v>49373</v>
      </c>
      <c r="BG5070" s="3" t="s">
        <v>49375</v>
      </c>
      <c r="BH5070">
        <f t="shared" si="161"/>
        <v>0</v>
      </c>
    </row>
    <row r="5071" spans="1:60" ht="72.5" x14ac:dyDescent="0.35">
      <c r="A5071" s="2" t="s">
        <v>59</v>
      </c>
      <c r="B5071" s="2" t="s">
        <v>60</v>
      </c>
      <c r="C5071" s="2" t="s">
        <v>49365</v>
      </c>
      <c r="D5071" s="2" t="s">
        <v>49366</v>
      </c>
      <c r="E5071" s="2" t="s">
        <v>49367</v>
      </c>
      <c r="G5071" s="3" t="s">
        <v>64</v>
      </c>
      <c r="I5071" s="3" t="s">
        <v>128</v>
      </c>
      <c r="J5071" s="3" t="s">
        <v>128</v>
      </c>
      <c r="K5071" s="3" t="s">
        <v>65</v>
      </c>
      <c r="L5071" s="2" t="s">
        <v>49368</v>
      </c>
      <c r="M5071" s="2" t="s">
        <v>49369</v>
      </c>
      <c r="N5071" s="3" t="s">
        <v>537</v>
      </c>
      <c r="O5071" s="2" t="s">
        <v>14853</v>
      </c>
      <c r="P5071" s="3" t="s">
        <v>102</v>
      </c>
      <c r="Q5071" s="2" t="s">
        <v>15754</v>
      </c>
      <c r="R5071" s="3" t="s">
        <v>49178</v>
      </c>
      <c r="S5071" s="4">
        <v>5</v>
      </c>
      <c r="T5071" s="4">
        <v>12</v>
      </c>
      <c r="U5071" s="5" t="s">
        <v>1441</v>
      </c>
      <c r="V5071" s="5" t="s">
        <v>1441</v>
      </c>
      <c r="W5071" s="5" t="s">
        <v>72</v>
      </c>
      <c r="X5071" s="5" t="s">
        <v>72</v>
      </c>
      <c r="Y5071" s="4">
        <v>133</v>
      </c>
      <c r="Z5071" s="4">
        <v>12</v>
      </c>
      <c r="AA5071" s="4">
        <v>92</v>
      </c>
      <c r="AB5071" s="4">
        <v>1</v>
      </c>
      <c r="AC5071" s="4">
        <v>17</v>
      </c>
      <c r="AD5071" s="4">
        <v>37</v>
      </c>
      <c r="AE5071" s="4">
        <v>144</v>
      </c>
      <c r="AF5071" s="4">
        <v>0</v>
      </c>
      <c r="AG5071" s="4">
        <v>8</v>
      </c>
      <c r="AH5071" s="4">
        <v>32</v>
      </c>
      <c r="AI5071" s="4">
        <v>108</v>
      </c>
      <c r="AJ5071" s="4">
        <v>9</v>
      </c>
      <c r="AK5071" s="4">
        <v>25</v>
      </c>
      <c r="AL5071" s="4">
        <v>21</v>
      </c>
      <c r="AM5071" s="4">
        <v>56</v>
      </c>
      <c r="AN5071" s="4">
        <v>0</v>
      </c>
      <c r="AO5071" s="4">
        <v>0</v>
      </c>
      <c r="AP5071" s="4">
        <v>9</v>
      </c>
      <c r="AQ5071" s="4">
        <v>46</v>
      </c>
      <c r="AR5071" s="3" t="s">
        <v>64</v>
      </c>
      <c r="AS5071" s="3" t="s">
        <v>64</v>
      </c>
      <c r="AT5071" s="3" t="s">
        <v>64</v>
      </c>
      <c r="AV5071" s="6" t="str">
        <f>HYPERLINK("http://mcgill.on.worldcat.org/oclc/923550250","Catalog Record")</f>
        <v>Catalog Record</v>
      </c>
      <c r="AW5071" s="6" t="str">
        <f>HYPERLINK("http://www.worldcat.org/oclc/923550250","WorldCat Record")</f>
        <v>WorldCat Record</v>
      </c>
      <c r="AX5071" s="3" t="s">
        <v>49335</v>
      </c>
      <c r="AY5071" s="3" t="s">
        <v>49371</v>
      </c>
      <c r="AZ5071" s="3" t="s">
        <v>49372</v>
      </c>
      <c r="BA5071" s="3" t="s">
        <v>49372</v>
      </c>
      <c r="BB5071" s="3" t="s">
        <v>49376</v>
      </c>
      <c r="BC5071" s="3" t="s">
        <v>77</v>
      </c>
      <c r="BD5071" s="3" t="s">
        <v>165</v>
      </c>
      <c r="BE5071" s="3" t="s">
        <v>49374</v>
      </c>
      <c r="BF5071" s="3" t="s">
        <v>49376</v>
      </c>
      <c r="BG5071" s="3" t="s">
        <v>49377</v>
      </c>
      <c r="BH5071">
        <f t="shared" si="161"/>
        <v>0</v>
      </c>
    </row>
    <row r="5072" spans="1:60" ht="58" x14ac:dyDescent="0.35">
      <c r="A5072" s="2" t="s">
        <v>59</v>
      </c>
      <c r="B5072" s="2" t="s">
        <v>60</v>
      </c>
      <c r="C5072" s="2" t="s">
        <v>49378</v>
      </c>
      <c r="D5072" s="2" t="s">
        <v>49379</v>
      </c>
      <c r="E5072" s="2" t="s">
        <v>49380</v>
      </c>
      <c r="G5072" s="3" t="s">
        <v>64</v>
      </c>
      <c r="I5072" s="3" t="s">
        <v>64</v>
      </c>
      <c r="J5072" s="3" t="s">
        <v>64</v>
      </c>
      <c r="K5072" s="3" t="s">
        <v>65</v>
      </c>
      <c r="L5072" s="2" t="s">
        <v>49381</v>
      </c>
      <c r="M5072" s="2" t="s">
        <v>49382</v>
      </c>
      <c r="N5072" s="3" t="s">
        <v>101</v>
      </c>
      <c r="P5072" s="3" t="s">
        <v>102</v>
      </c>
      <c r="R5072" s="3" t="s">
        <v>49178</v>
      </c>
      <c r="S5072" s="4">
        <v>4</v>
      </c>
      <c r="T5072" s="4">
        <v>4</v>
      </c>
      <c r="U5072" s="5" t="s">
        <v>49383</v>
      </c>
      <c r="V5072" s="5" t="s">
        <v>49383</v>
      </c>
      <c r="W5072" s="5" t="s">
        <v>72</v>
      </c>
      <c r="X5072" s="5" t="s">
        <v>72</v>
      </c>
      <c r="Y5072" s="4">
        <v>16</v>
      </c>
      <c r="Z5072" s="4">
        <v>2</v>
      </c>
      <c r="AA5072" s="4">
        <v>2</v>
      </c>
      <c r="AB5072" s="4">
        <v>1</v>
      </c>
      <c r="AC5072" s="4">
        <v>1</v>
      </c>
      <c r="AD5072" s="4">
        <v>1</v>
      </c>
      <c r="AE5072" s="4">
        <v>1</v>
      </c>
      <c r="AF5072" s="4">
        <v>0</v>
      </c>
      <c r="AG5072" s="4">
        <v>0</v>
      </c>
      <c r="AH5072" s="4">
        <v>1</v>
      </c>
      <c r="AI5072" s="4">
        <v>1</v>
      </c>
      <c r="AJ5072" s="4">
        <v>1</v>
      </c>
      <c r="AK5072" s="4">
        <v>1</v>
      </c>
      <c r="AL5072" s="4">
        <v>0</v>
      </c>
      <c r="AM5072" s="4">
        <v>0</v>
      </c>
      <c r="AN5072" s="4">
        <v>0</v>
      </c>
      <c r="AO5072" s="4">
        <v>0</v>
      </c>
      <c r="AP5072" s="4">
        <v>1</v>
      </c>
      <c r="AQ5072" s="4">
        <v>1</v>
      </c>
      <c r="AR5072" s="3" t="s">
        <v>64</v>
      </c>
      <c r="AS5072" s="3" t="s">
        <v>64</v>
      </c>
      <c r="AT5072" s="3" t="s">
        <v>64</v>
      </c>
      <c r="AV5072" s="6" t="str">
        <f>HYPERLINK("http://mcgill.on.worldcat.org/oclc/62538681","Catalog Record")</f>
        <v>Catalog Record</v>
      </c>
      <c r="AW5072" s="6" t="str">
        <f>HYPERLINK("http://www.worldcat.org/oclc/62538681","WorldCat Record")</f>
        <v>WorldCat Record</v>
      </c>
      <c r="AX5072" s="3" t="s">
        <v>49384</v>
      </c>
      <c r="AY5072" s="3" t="s">
        <v>49385</v>
      </c>
      <c r="AZ5072" s="3" t="s">
        <v>49386</v>
      </c>
      <c r="BA5072" s="3" t="s">
        <v>49386</v>
      </c>
      <c r="BB5072" s="3" t="s">
        <v>49387</v>
      </c>
      <c r="BC5072" s="3" t="s">
        <v>77</v>
      </c>
      <c r="BD5072" s="3" t="s">
        <v>78</v>
      </c>
      <c r="BE5072" s="3" t="s">
        <v>49388</v>
      </c>
      <c r="BF5072" s="3" t="s">
        <v>49387</v>
      </c>
      <c r="BG5072" s="3" t="s">
        <v>49389</v>
      </c>
      <c r="BH5072">
        <f t="shared" si="161"/>
        <v>0</v>
      </c>
    </row>
    <row r="5073" spans="1:60" ht="58" x14ac:dyDescent="0.35">
      <c r="A5073" s="2" t="s">
        <v>59</v>
      </c>
      <c r="B5073" s="2" t="s">
        <v>60</v>
      </c>
      <c r="C5073" s="2" t="s">
        <v>49390</v>
      </c>
      <c r="D5073" s="2" t="s">
        <v>49391</v>
      </c>
      <c r="E5073" s="2" t="s">
        <v>49392</v>
      </c>
      <c r="G5073" s="3" t="s">
        <v>64</v>
      </c>
      <c r="I5073" s="3" t="s">
        <v>64</v>
      </c>
      <c r="J5073" s="3" t="s">
        <v>64</v>
      </c>
      <c r="K5073" s="3" t="s">
        <v>65</v>
      </c>
      <c r="L5073" s="2" t="s">
        <v>14224</v>
      </c>
      <c r="M5073" s="2" t="s">
        <v>49393</v>
      </c>
      <c r="N5073" s="3" t="s">
        <v>326</v>
      </c>
      <c r="P5073" s="3" t="s">
        <v>102</v>
      </c>
      <c r="R5073" s="3" t="s">
        <v>49178</v>
      </c>
      <c r="S5073" s="4">
        <v>7</v>
      </c>
      <c r="T5073" s="4">
        <v>7</v>
      </c>
      <c r="U5073" s="5" t="s">
        <v>8870</v>
      </c>
      <c r="V5073" s="5" t="s">
        <v>8870</v>
      </c>
      <c r="W5073" s="5" t="s">
        <v>72</v>
      </c>
      <c r="X5073" s="5" t="s">
        <v>72</v>
      </c>
      <c r="Y5073" s="4">
        <v>85</v>
      </c>
      <c r="Z5073" s="4">
        <v>4</v>
      </c>
      <c r="AA5073" s="4">
        <v>83</v>
      </c>
      <c r="AB5073" s="4">
        <v>1</v>
      </c>
      <c r="AC5073" s="4">
        <v>15</v>
      </c>
      <c r="AD5073" s="4">
        <v>3</v>
      </c>
      <c r="AE5073" s="4">
        <v>114</v>
      </c>
      <c r="AF5073" s="4">
        <v>0</v>
      </c>
      <c r="AG5073" s="4">
        <v>8</v>
      </c>
      <c r="AH5073" s="4">
        <v>3</v>
      </c>
      <c r="AI5073" s="4">
        <v>82</v>
      </c>
      <c r="AJ5073" s="4">
        <v>2</v>
      </c>
      <c r="AK5073" s="4">
        <v>20</v>
      </c>
      <c r="AL5073" s="4">
        <v>2</v>
      </c>
      <c r="AM5073" s="4">
        <v>45</v>
      </c>
      <c r="AN5073" s="4">
        <v>0</v>
      </c>
      <c r="AO5073" s="4">
        <v>0</v>
      </c>
      <c r="AP5073" s="4">
        <v>2</v>
      </c>
      <c r="AQ5073" s="4">
        <v>40</v>
      </c>
      <c r="AR5073" s="3" t="s">
        <v>64</v>
      </c>
      <c r="AS5073" s="3" t="s">
        <v>64</v>
      </c>
      <c r="AT5073" s="3" t="s">
        <v>64</v>
      </c>
      <c r="AV5073" s="6" t="str">
        <f>HYPERLINK("http://mcgill.on.worldcat.org/oclc/85898435","Catalog Record")</f>
        <v>Catalog Record</v>
      </c>
      <c r="AW5073" s="6" t="str">
        <f>HYPERLINK("http://www.worldcat.org/oclc/85898435","WorldCat Record")</f>
        <v>WorldCat Record</v>
      </c>
      <c r="AX5073" s="3" t="s">
        <v>49394</v>
      </c>
      <c r="AY5073" s="3" t="s">
        <v>49395</v>
      </c>
      <c r="AZ5073" s="3" t="s">
        <v>49396</v>
      </c>
      <c r="BA5073" s="3" t="s">
        <v>49396</v>
      </c>
      <c r="BB5073" s="3" t="s">
        <v>49397</v>
      </c>
      <c r="BC5073" s="3" t="s">
        <v>77</v>
      </c>
      <c r="BD5073" s="3" t="s">
        <v>165</v>
      </c>
      <c r="BE5073" s="3" t="s">
        <v>49398</v>
      </c>
      <c r="BF5073" s="3" t="s">
        <v>49397</v>
      </c>
      <c r="BG5073" s="3" t="s">
        <v>49399</v>
      </c>
      <c r="BH5073">
        <f t="shared" si="161"/>
        <v>0</v>
      </c>
    </row>
    <row r="5074" spans="1:60" ht="58" x14ac:dyDescent="0.35">
      <c r="A5074" s="2" t="s">
        <v>59</v>
      </c>
      <c r="B5074" s="2" t="s">
        <v>60</v>
      </c>
      <c r="C5074" s="2" t="s">
        <v>49400</v>
      </c>
      <c r="D5074" s="2" t="s">
        <v>49401</v>
      </c>
      <c r="E5074" s="2" t="s">
        <v>49402</v>
      </c>
      <c r="G5074" s="3" t="s">
        <v>64</v>
      </c>
      <c r="I5074" s="3" t="s">
        <v>128</v>
      </c>
      <c r="J5074" s="3" t="s">
        <v>128</v>
      </c>
      <c r="K5074" s="3" t="s">
        <v>65</v>
      </c>
      <c r="L5074" s="2" t="s">
        <v>14224</v>
      </c>
      <c r="M5074" s="2" t="s">
        <v>27633</v>
      </c>
      <c r="N5074" s="3" t="s">
        <v>511</v>
      </c>
      <c r="O5074" s="2" t="s">
        <v>2994</v>
      </c>
      <c r="P5074" s="3" t="s">
        <v>102</v>
      </c>
      <c r="R5074" s="3" t="s">
        <v>49178</v>
      </c>
      <c r="S5074" s="4">
        <v>107</v>
      </c>
      <c r="T5074" s="4">
        <v>131</v>
      </c>
      <c r="U5074" s="5" t="s">
        <v>6672</v>
      </c>
      <c r="V5074" s="5" t="s">
        <v>6672</v>
      </c>
      <c r="W5074" s="5" t="s">
        <v>72</v>
      </c>
      <c r="X5074" s="5" t="s">
        <v>72</v>
      </c>
      <c r="Y5074" s="4">
        <v>91</v>
      </c>
      <c r="Z5074" s="4">
        <v>2</v>
      </c>
      <c r="AA5074" s="4">
        <v>14</v>
      </c>
      <c r="AB5074" s="4">
        <v>1</v>
      </c>
      <c r="AC5074" s="4">
        <v>4</v>
      </c>
      <c r="AD5074" s="4">
        <v>5</v>
      </c>
      <c r="AE5074" s="4">
        <v>63</v>
      </c>
      <c r="AF5074" s="4">
        <v>0</v>
      </c>
      <c r="AG5074" s="4">
        <v>2</v>
      </c>
      <c r="AH5074" s="4">
        <v>5</v>
      </c>
      <c r="AI5074" s="4">
        <v>57</v>
      </c>
      <c r="AJ5074" s="4">
        <v>1</v>
      </c>
      <c r="AK5074" s="4">
        <v>7</v>
      </c>
      <c r="AL5074" s="4">
        <v>2</v>
      </c>
      <c r="AM5074" s="4">
        <v>37</v>
      </c>
      <c r="AN5074" s="4">
        <v>0</v>
      </c>
      <c r="AO5074" s="4">
        <v>0</v>
      </c>
      <c r="AP5074" s="4">
        <v>1</v>
      </c>
      <c r="AQ5074" s="4">
        <v>7</v>
      </c>
      <c r="AR5074" s="3" t="s">
        <v>64</v>
      </c>
      <c r="AS5074" s="3" t="s">
        <v>64</v>
      </c>
      <c r="AT5074" s="3" t="s">
        <v>64</v>
      </c>
      <c r="AV5074" s="6" t="str">
        <f>HYPERLINK("http://mcgill.on.worldcat.org/oclc/663849665","Catalog Record")</f>
        <v>Catalog Record</v>
      </c>
      <c r="AW5074" s="6" t="str">
        <f>HYPERLINK("http://www.worldcat.org/oclc/663849665","WorldCat Record")</f>
        <v>WorldCat Record</v>
      </c>
      <c r="AX5074" s="3" t="s">
        <v>49403</v>
      </c>
      <c r="AY5074" s="3" t="s">
        <v>49404</v>
      </c>
      <c r="AZ5074" s="3" t="s">
        <v>49405</v>
      </c>
      <c r="BA5074" s="3" t="s">
        <v>49405</v>
      </c>
      <c r="BB5074" s="3" t="s">
        <v>49406</v>
      </c>
      <c r="BC5074" s="3" t="s">
        <v>77</v>
      </c>
      <c r="BD5074" s="3" t="s">
        <v>165</v>
      </c>
      <c r="BE5074" s="3" t="s">
        <v>49407</v>
      </c>
      <c r="BF5074" s="3" t="s">
        <v>49406</v>
      </c>
      <c r="BG5074" s="3" t="s">
        <v>49408</v>
      </c>
      <c r="BH5074">
        <f t="shared" si="161"/>
        <v>0</v>
      </c>
    </row>
    <row r="5075" spans="1:60" ht="58" x14ac:dyDescent="0.35">
      <c r="A5075" s="2" t="s">
        <v>59</v>
      </c>
      <c r="B5075" s="2" t="s">
        <v>60</v>
      </c>
      <c r="C5075" s="2" t="s">
        <v>49400</v>
      </c>
      <c r="D5075" s="2" t="s">
        <v>49401</v>
      </c>
      <c r="E5075" s="2" t="s">
        <v>49402</v>
      </c>
      <c r="G5075" s="3" t="s">
        <v>64</v>
      </c>
      <c r="I5075" s="3" t="s">
        <v>128</v>
      </c>
      <c r="J5075" s="3" t="s">
        <v>128</v>
      </c>
      <c r="K5075" s="3" t="s">
        <v>65</v>
      </c>
      <c r="L5075" s="2" t="s">
        <v>14224</v>
      </c>
      <c r="M5075" s="2" t="s">
        <v>27633</v>
      </c>
      <c r="N5075" s="3" t="s">
        <v>511</v>
      </c>
      <c r="O5075" s="2" t="s">
        <v>2994</v>
      </c>
      <c r="P5075" s="3" t="s">
        <v>102</v>
      </c>
      <c r="R5075" s="3" t="s">
        <v>49178</v>
      </c>
      <c r="S5075" s="4">
        <v>24</v>
      </c>
      <c r="T5075" s="4">
        <v>131</v>
      </c>
      <c r="U5075" s="5" t="s">
        <v>7052</v>
      </c>
      <c r="V5075" s="5" t="s">
        <v>6672</v>
      </c>
      <c r="W5075" s="5" t="s">
        <v>72</v>
      </c>
      <c r="X5075" s="5" t="s">
        <v>72</v>
      </c>
      <c r="Y5075" s="4">
        <v>91</v>
      </c>
      <c r="Z5075" s="4">
        <v>2</v>
      </c>
      <c r="AA5075" s="4">
        <v>14</v>
      </c>
      <c r="AB5075" s="4">
        <v>1</v>
      </c>
      <c r="AC5075" s="4">
        <v>4</v>
      </c>
      <c r="AD5075" s="4">
        <v>5</v>
      </c>
      <c r="AE5075" s="4">
        <v>63</v>
      </c>
      <c r="AF5075" s="4">
        <v>0</v>
      </c>
      <c r="AG5075" s="4">
        <v>2</v>
      </c>
      <c r="AH5075" s="4">
        <v>5</v>
      </c>
      <c r="AI5075" s="4">
        <v>57</v>
      </c>
      <c r="AJ5075" s="4">
        <v>1</v>
      </c>
      <c r="AK5075" s="4">
        <v>7</v>
      </c>
      <c r="AL5075" s="4">
        <v>2</v>
      </c>
      <c r="AM5075" s="4">
        <v>37</v>
      </c>
      <c r="AN5075" s="4">
        <v>0</v>
      </c>
      <c r="AO5075" s="4">
        <v>0</v>
      </c>
      <c r="AP5075" s="4">
        <v>1</v>
      </c>
      <c r="AQ5075" s="4">
        <v>7</v>
      </c>
      <c r="AR5075" s="3" t="s">
        <v>64</v>
      </c>
      <c r="AS5075" s="3" t="s">
        <v>64</v>
      </c>
      <c r="AT5075" s="3" t="s">
        <v>64</v>
      </c>
      <c r="AV5075" s="6" t="str">
        <f>HYPERLINK("http://mcgill.on.worldcat.org/oclc/663849665","Catalog Record")</f>
        <v>Catalog Record</v>
      </c>
      <c r="AW5075" s="6" t="str">
        <f>HYPERLINK("http://www.worldcat.org/oclc/663849665","WorldCat Record")</f>
        <v>WorldCat Record</v>
      </c>
      <c r="AX5075" s="3" t="s">
        <v>49403</v>
      </c>
      <c r="AY5075" s="3" t="s">
        <v>49404</v>
      </c>
      <c r="AZ5075" s="3" t="s">
        <v>49405</v>
      </c>
      <c r="BA5075" s="3" t="s">
        <v>49405</v>
      </c>
      <c r="BB5075" s="3" t="s">
        <v>49409</v>
      </c>
      <c r="BC5075" s="3" t="s">
        <v>77</v>
      </c>
      <c r="BD5075" s="3" t="s">
        <v>78</v>
      </c>
      <c r="BE5075" s="3" t="s">
        <v>49407</v>
      </c>
      <c r="BF5075" s="3" t="s">
        <v>49409</v>
      </c>
      <c r="BG5075" s="3" t="s">
        <v>49410</v>
      </c>
      <c r="BH5075">
        <f t="shared" si="161"/>
        <v>0</v>
      </c>
    </row>
    <row r="5076" spans="1:60" ht="58" x14ac:dyDescent="0.35">
      <c r="A5076" s="2" t="s">
        <v>59</v>
      </c>
      <c r="B5076" s="2" t="s">
        <v>60</v>
      </c>
      <c r="C5076" s="2" t="s">
        <v>49411</v>
      </c>
      <c r="D5076" s="2" t="s">
        <v>49412</v>
      </c>
      <c r="E5076" s="2" t="s">
        <v>49413</v>
      </c>
      <c r="G5076" s="3" t="s">
        <v>64</v>
      </c>
      <c r="I5076" s="3" t="s">
        <v>64</v>
      </c>
      <c r="J5076" s="3" t="s">
        <v>64</v>
      </c>
      <c r="K5076" s="3" t="s">
        <v>65</v>
      </c>
      <c r="L5076" s="2" t="s">
        <v>49414</v>
      </c>
      <c r="M5076" s="2" t="s">
        <v>15399</v>
      </c>
      <c r="N5076" s="3" t="s">
        <v>86</v>
      </c>
      <c r="P5076" s="3" t="s">
        <v>102</v>
      </c>
      <c r="Q5076" s="2" t="s">
        <v>15400</v>
      </c>
      <c r="R5076" s="3" t="s">
        <v>49178</v>
      </c>
      <c r="S5076" s="4">
        <v>14</v>
      </c>
      <c r="T5076" s="4">
        <v>14</v>
      </c>
      <c r="U5076" s="5" t="s">
        <v>49415</v>
      </c>
      <c r="V5076" s="5" t="s">
        <v>49415</v>
      </c>
      <c r="W5076" s="5" t="s">
        <v>72</v>
      </c>
      <c r="X5076" s="5" t="s">
        <v>72</v>
      </c>
      <c r="Y5076" s="4">
        <v>139</v>
      </c>
      <c r="Z5076" s="4">
        <v>14</v>
      </c>
      <c r="AA5076" s="4">
        <v>18</v>
      </c>
      <c r="AB5076" s="4">
        <v>1</v>
      </c>
      <c r="AC5076" s="4">
        <v>5</v>
      </c>
      <c r="AD5076" s="4">
        <v>46</v>
      </c>
      <c r="AE5076" s="4">
        <v>48</v>
      </c>
      <c r="AF5076" s="4">
        <v>0</v>
      </c>
      <c r="AG5076" s="4">
        <v>2</v>
      </c>
      <c r="AH5076" s="4">
        <v>42</v>
      </c>
      <c r="AI5076" s="4">
        <v>42</v>
      </c>
      <c r="AJ5076" s="4">
        <v>7</v>
      </c>
      <c r="AK5076" s="4">
        <v>8</v>
      </c>
      <c r="AL5076" s="4">
        <v>24</v>
      </c>
      <c r="AM5076" s="4">
        <v>24</v>
      </c>
      <c r="AN5076" s="4">
        <v>0</v>
      </c>
      <c r="AO5076" s="4">
        <v>0</v>
      </c>
      <c r="AP5076" s="4">
        <v>10</v>
      </c>
      <c r="AQ5076" s="4">
        <v>11</v>
      </c>
      <c r="AR5076" s="3" t="s">
        <v>64</v>
      </c>
      <c r="AS5076" s="3" t="s">
        <v>64</v>
      </c>
      <c r="AT5076" s="3" t="s">
        <v>64</v>
      </c>
      <c r="AV5076" s="6" t="str">
        <f>HYPERLINK("http://mcgill.on.worldcat.org/oclc/772525869","Catalog Record")</f>
        <v>Catalog Record</v>
      </c>
      <c r="AW5076" s="6" t="str">
        <f>HYPERLINK("http://www.worldcat.org/oclc/772525869","WorldCat Record")</f>
        <v>WorldCat Record</v>
      </c>
      <c r="AX5076" s="3" t="s">
        <v>49416</v>
      </c>
      <c r="AY5076" s="3" t="s">
        <v>49417</v>
      </c>
      <c r="AZ5076" s="3" t="s">
        <v>49418</v>
      </c>
      <c r="BA5076" s="3" t="s">
        <v>49418</v>
      </c>
      <c r="BB5076" s="3" t="s">
        <v>49419</v>
      </c>
      <c r="BC5076" s="3" t="s">
        <v>77</v>
      </c>
      <c r="BD5076" s="3" t="s">
        <v>78</v>
      </c>
      <c r="BE5076" s="3" t="s">
        <v>49420</v>
      </c>
      <c r="BF5076" s="3" t="s">
        <v>49419</v>
      </c>
      <c r="BG5076" s="3" t="s">
        <v>49421</v>
      </c>
      <c r="BH5076">
        <f t="shared" si="161"/>
        <v>0</v>
      </c>
    </row>
    <row r="5077" spans="1:60" ht="58" x14ac:dyDescent="0.35">
      <c r="A5077" s="2" t="s">
        <v>59</v>
      </c>
      <c r="B5077" s="2" t="s">
        <v>60</v>
      </c>
      <c r="C5077" s="2" t="s">
        <v>49422</v>
      </c>
      <c r="D5077" s="2" t="s">
        <v>49423</v>
      </c>
      <c r="E5077" s="2" t="s">
        <v>49424</v>
      </c>
      <c r="G5077" s="3" t="s">
        <v>64</v>
      </c>
      <c r="I5077" s="3" t="s">
        <v>64</v>
      </c>
      <c r="J5077" s="3" t="s">
        <v>64</v>
      </c>
      <c r="K5077" s="3" t="s">
        <v>65</v>
      </c>
      <c r="M5077" s="2" t="s">
        <v>13968</v>
      </c>
      <c r="N5077" s="3" t="s">
        <v>511</v>
      </c>
      <c r="P5077" s="3" t="s">
        <v>102</v>
      </c>
      <c r="R5077" s="3" t="s">
        <v>49178</v>
      </c>
      <c r="S5077" s="4">
        <v>4</v>
      </c>
      <c r="T5077" s="4">
        <v>4</v>
      </c>
      <c r="U5077" s="5" t="s">
        <v>19222</v>
      </c>
      <c r="V5077" s="5" t="s">
        <v>19222</v>
      </c>
      <c r="W5077" s="5" t="s">
        <v>72</v>
      </c>
      <c r="X5077" s="5" t="s">
        <v>72</v>
      </c>
      <c r="Y5077" s="4">
        <v>114</v>
      </c>
      <c r="Z5077" s="4">
        <v>2</v>
      </c>
      <c r="AA5077" s="4">
        <v>30</v>
      </c>
      <c r="AB5077" s="4">
        <v>1</v>
      </c>
      <c r="AC5077" s="4">
        <v>5</v>
      </c>
      <c r="AD5077" s="4">
        <v>5</v>
      </c>
      <c r="AE5077" s="4">
        <v>81</v>
      </c>
      <c r="AF5077" s="4">
        <v>0</v>
      </c>
      <c r="AG5077" s="4">
        <v>4</v>
      </c>
      <c r="AH5077" s="4">
        <v>4</v>
      </c>
      <c r="AI5077" s="4">
        <v>68</v>
      </c>
      <c r="AJ5077" s="4">
        <v>1</v>
      </c>
      <c r="AK5077" s="4">
        <v>17</v>
      </c>
      <c r="AL5077" s="4">
        <v>3</v>
      </c>
      <c r="AM5077" s="4">
        <v>32</v>
      </c>
      <c r="AN5077" s="4">
        <v>0</v>
      </c>
      <c r="AO5077" s="4">
        <v>0</v>
      </c>
      <c r="AP5077" s="4">
        <v>1</v>
      </c>
      <c r="AQ5077" s="4">
        <v>22</v>
      </c>
      <c r="AR5077" s="3" t="s">
        <v>64</v>
      </c>
      <c r="AS5077" s="3" t="s">
        <v>64</v>
      </c>
      <c r="AT5077" s="3" t="s">
        <v>64</v>
      </c>
      <c r="AV5077" s="6" t="str">
        <f>HYPERLINK("http://mcgill.on.worldcat.org/oclc/519248921","Catalog Record")</f>
        <v>Catalog Record</v>
      </c>
      <c r="AW5077" s="6" t="str">
        <f>HYPERLINK("http://www.worldcat.org/oclc/519248921","WorldCat Record")</f>
        <v>WorldCat Record</v>
      </c>
      <c r="AX5077" s="3" t="s">
        <v>49425</v>
      </c>
      <c r="AY5077" s="3" t="s">
        <v>49426</v>
      </c>
      <c r="AZ5077" s="3" t="s">
        <v>49427</v>
      </c>
      <c r="BA5077" s="3" t="s">
        <v>49427</v>
      </c>
      <c r="BB5077" s="3" t="s">
        <v>49428</v>
      </c>
      <c r="BC5077" s="3" t="s">
        <v>77</v>
      </c>
      <c r="BD5077" s="3" t="s">
        <v>78</v>
      </c>
      <c r="BE5077" s="3" t="s">
        <v>49429</v>
      </c>
      <c r="BF5077" s="3" t="s">
        <v>49428</v>
      </c>
      <c r="BG5077" s="3" t="s">
        <v>49430</v>
      </c>
      <c r="BH5077">
        <f t="shared" si="161"/>
        <v>0</v>
      </c>
    </row>
    <row r="5078" spans="1:60" ht="58" x14ac:dyDescent="0.35">
      <c r="A5078" s="2" t="s">
        <v>59</v>
      </c>
      <c r="B5078" s="2" t="s">
        <v>60</v>
      </c>
      <c r="C5078" s="2" t="s">
        <v>49431</v>
      </c>
      <c r="D5078" s="2" t="s">
        <v>49432</v>
      </c>
      <c r="E5078" s="2" t="s">
        <v>49433</v>
      </c>
      <c r="G5078" s="3" t="s">
        <v>64</v>
      </c>
      <c r="I5078" s="3" t="s">
        <v>64</v>
      </c>
      <c r="J5078" s="3" t="s">
        <v>64</v>
      </c>
      <c r="K5078" s="3" t="s">
        <v>65</v>
      </c>
      <c r="M5078" s="2" t="s">
        <v>49434</v>
      </c>
      <c r="N5078" s="3" t="s">
        <v>511</v>
      </c>
      <c r="P5078" s="3" t="s">
        <v>102</v>
      </c>
      <c r="R5078" s="3" t="s">
        <v>49178</v>
      </c>
      <c r="S5078" s="4">
        <v>8</v>
      </c>
      <c r="T5078" s="4">
        <v>8</v>
      </c>
      <c r="U5078" s="5" t="s">
        <v>16608</v>
      </c>
      <c r="V5078" s="5" t="s">
        <v>16608</v>
      </c>
      <c r="W5078" s="5" t="s">
        <v>72</v>
      </c>
      <c r="X5078" s="5" t="s">
        <v>72</v>
      </c>
      <c r="Y5078" s="4">
        <v>61</v>
      </c>
      <c r="Z5078" s="4">
        <v>8</v>
      </c>
      <c r="AA5078" s="4">
        <v>15</v>
      </c>
      <c r="AB5078" s="4">
        <v>1</v>
      </c>
      <c r="AC5078" s="4">
        <v>4</v>
      </c>
      <c r="AD5078" s="4">
        <v>19</v>
      </c>
      <c r="AE5078" s="4">
        <v>34</v>
      </c>
      <c r="AF5078" s="4">
        <v>0</v>
      </c>
      <c r="AG5078" s="4">
        <v>1</v>
      </c>
      <c r="AH5078" s="4">
        <v>17</v>
      </c>
      <c r="AI5078" s="4">
        <v>28</v>
      </c>
      <c r="AJ5078" s="4">
        <v>7</v>
      </c>
      <c r="AK5078" s="4">
        <v>10</v>
      </c>
      <c r="AL5078" s="4">
        <v>9</v>
      </c>
      <c r="AM5078" s="4">
        <v>16</v>
      </c>
      <c r="AN5078" s="4">
        <v>0</v>
      </c>
      <c r="AO5078" s="4">
        <v>0</v>
      </c>
      <c r="AP5078" s="4">
        <v>7</v>
      </c>
      <c r="AQ5078" s="4">
        <v>11</v>
      </c>
      <c r="AR5078" s="3" t="s">
        <v>64</v>
      </c>
      <c r="AS5078" s="3" t="s">
        <v>64</v>
      </c>
      <c r="AT5078" s="3" t="s">
        <v>64</v>
      </c>
      <c r="AV5078" s="6" t="str">
        <f>HYPERLINK("http://mcgill.on.worldcat.org/oclc/458889084","Catalog Record")</f>
        <v>Catalog Record</v>
      </c>
      <c r="AW5078" s="6" t="str">
        <f>HYPERLINK("http://www.worldcat.org/oclc/458889084","WorldCat Record")</f>
        <v>WorldCat Record</v>
      </c>
      <c r="AX5078" s="3" t="s">
        <v>49435</v>
      </c>
      <c r="AY5078" s="3" t="s">
        <v>49436</v>
      </c>
      <c r="AZ5078" s="3" t="s">
        <v>49437</v>
      </c>
      <c r="BA5078" s="3" t="s">
        <v>49437</v>
      </c>
      <c r="BB5078" s="3" t="s">
        <v>49438</v>
      </c>
      <c r="BC5078" s="3" t="s">
        <v>77</v>
      </c>
      <c r="BD5078" s="3" t="s">
        <v>78</v>
      </c>
      <c r="BE5078" s="3" t="s">
        <v>49439</v>
      </c>
      <c r="BF5078" s="3" t="s">
        <v>49438</v>
      </c>
      <c r="BG5078" s="3" t="s">
        <v>49440</v>
      </c>
      <c r="BH5078">
        <f t="shared" si="161"/>
        <v>0</v>
      </c>
    </row>
    <row r="5079" spans="1:60" ht="58" x14ac:dyDescent="0.35">
      <c r="A5079" s="2" t="s">
        <v>59</v>
      </c>
      <c r="B5079" s="2" t="s">
        <v>60</v>
      </c>
      <c r="C5079" s="2" t="s">
        <v>49441</v>
      </c>
      <c r="D5079" s="2" t="s">
        <v>49442</v>
      </c>
      <c r="E5079" s="2" t="s">
        <v>49443</v>
      </c>
      <c r="G5079" s="3" t="s">
        <v>64</v>
      </c>
      <c r="I5079" s="3" t="s">
        <v>64</v>
      </c>
      <c r="J5079" s="3" t="s">
        <v>64</v>
      </c>
      <c r="K5079" s="3" t="s">
        <v>65</v>
      </c>
      <c r="M5079" s="2" t="s">
        <v>30562</v>
      </c>
      <c r="N5079" s="3" t="s">
        <v>326</v>
      </c>
      <c r="P5079" s="3" t="s">
        <v>102</v>
      </c>
      <c r="R5079" s="3" t="s">
        <v>49178</v>
      </c>
      <c r="S5079" s="4">
        <v>3</v>
      </c>
      <c r="T5079" s="4">
        <v>3</v>
      </c>
      <c r="U5079" s="5" t="s">
        <v>16608</v>
      </c>
      <c r="V5079" s="5" t="s">
        <v>16608</v>
      </c>
      <c r="W5079" s="5" t="s">
        <v>72</v>
      </c>
      <c r="X5079" s="5" t="s">
        <v>72</v>
      </c>
      <c r="Y5079" s="4">
        <v>47</v>
      </c>
      <c r="Z5079" s="4">
        <v>5</v>
      </c>
      <c r="AA5079" s="4">
        <v>10</v>
      </c>
      <c r="AB5079" s="4">
        <v>1</v>
      </c>
      <c r="AC5079" s="4">
        <v>3</v>
      </c>
      <c r="AD5079" s="4">
        <v>16</v>
      </c>
      <c r="AE5079" s="4">
        <v>21</v>
      </c>
      <c r="AF5079" s="4">
        <v>0</v>
      </c>
      <c r="AG5079" s="4">
        <v>0</v>
      </c>
      <c r="AH5079" s="4">
        <v>15</v>
      </c>
      <c r="AI5079" s="4">
        <v>17</v>
      </c>
      <c r="AJ5079" s="4">
        <v>4</v>
      </c>
      <c r="AK5079" s="4">
        <v>6</v>
      </c>
      <c r="AL5079" s="4">
        <v>10</v>
      </c>
      <c r="AM5079" s="4">
        <v>11</v>
      </c>
      <c r="AN5079" s="4">
        <v>0</v>
      </c>
      <c r="AO5079" s="4">
        <v>0</v>
      </c>
      <c r="AP5079" s="4">
        <v>4</v>
      </c>
      <c r="AQ5079" s="4">
        <v>7</v>
      </c>
      <c r="AR5079" s="3" t="s">
        <v>64</v>
      </c>
      <c r="AS5079" s="3" t="s">
        <v>64</v>
      </c>
      <c r="AT5079" s="3" t="s">
        <v>64</v>
      </c>
      <c r="AV5079" s="6" t="str">
        <f>HYPERLINK("http://mcgill.on.worldcat.org/oclc/474869192","Catalog Record")</f>
        <v>Catalog Record</v>
      </c>
      <c r="AW5079" s="6" t="str">
        <f>HYPERLINK("http://www.worldcat.org/oclc/474869192","WorldCat Record")</f>
        <v>WorldCat Record</v>
      </c>
      <c r="AX5079" s="3" t="s">
        <v>49444</v>
      </c>
      <c r="AY5079" s="3" t="s">
        <v>49445</v>
      </c>
      <c r="AZ5079" s="3" t="s">
        <v>49446</v>
      </c>
      <c r="BA5079" s="3" t="s">
        <v>49446</v>
      </c>
      <c r="BB5079" s="3" t="s">
        <v>49447</v>
      </c>
      <c r="BC5079" s="3" t="s">
        <v>77</v>
      </c>
      <c r="BD5079" s="3" t="s">
        <v>78</v>
      </c>
      <c r="BE5079" s="3" t="s">
        <v>49448</v>
      </c>
      <c r="BF5079" s="3" t="s">
        <v>49447</v>
      </c>
      <c r="BG5079" s="3" t="s">
        <v>49449</v>
      </c>
      <c r="BH5079">
        <f t="shared" si="161"/>
        <v>0</v>
      </c>
    </row>
    <row r="5080" spans="1:60" ht="58" x14ac:dyDescent="0.35">
      <c r="A5080" s="2" t="s">
        <v>59</v>
      </c>
      <c r="B5080" s="2" t="s">
        <v>60</v>
      </c>
      <c r="C5080" s="2" t="s">
        <v>49450</v>
      </c>
      <c r="D5080" s="2" t="s">
        <v>49451</v>
      </c>
      <c r="E5080" s="2" t="s">
        <v>49452</v>
      </c>
      <c r="G5080" s="3" t="s">
        <v>64</v>
      </c>
      <c r="I5080" s="3" t="s">
        <v>64</v>
      </c>
      <c r="J5080" s="3" t="s">
        <v>64</v>
      </c>
      <c r="K5080" s="3" t="s">
        <v>65</v>
      </c>
      <c r="M5080" s="2" t="s">
        <v>15555</v>
      </c>
      <c r="N5080" s="3" t="s">
        <v>1075</v>
      </c>
      <c r="P5080" s="3" t="s">
        <v>102</v>
      </c>
      <c r="R5080" s="3" t="s">
        <v>49178</v>
      </c>
      <c r="S5080" s="4">
        <v>4</v>
      </c>
      <c r="T5080" s="4">
        <v>4</v>
      </c>
      <c r="U5080" s="5" t="s">
        <v>39227</v>
      </c>
      <c r="V5080" s="5" t="s">
        <v>39227</v>
      </c>
      <c r="W5080" s="5" t="s">
        <v>72</v>
      </c>
      <c r="X5080" s="5" t="s">
        <v>72</v>
      </c>
      <c r="Y5080" s="4">
        <v>331</v>
      </c>
      <c r="Z5080" s="4">
        <v>24</v>
      </c>
      <c r="AA5080" s="4">
        <v>30</v>
      </c>
      <c r="AB5080" s="4">
        <v>2</v>
      </c>
      <c r="AC5080" s="4">
        <v>7</v>
      </c>
      <c r="AD5080" s="4">
        <v>83</v>
      </c>
      <c r="AE5080" s="4">
        <v>85</v>
      </c>
      <c r="AF5080" s="4">
        <v>1</v>
      </c>
      <c r="AG5080" s="4">
        <v>2</v>
      </c>
      <c r="AH5080" s="4">
        <v>74</v>
      </c>
      <c r="AI5080" s="4">
        <v>75</v>
      </c>
      <c r="AJ5080" s="4">
        <v>16</v>
      </c>
      <c r="AK5080" s="4">
        <v>17</v>
      </c>
      <c r="AL5080" s="4">
        <v>39</v>
      </c>
      <c r="AM5080" s="4">
        <v>40</v>
      </c>
      <c r="AN5080" s="4">
        <v>0</v>
      </c>
      <c r="AO5080" s="4">
        <v>0</v>
      </c>
      <c r="AP5080" s="4">
        <v>20</v>
      </c>
      <c r="AQ5080" s="4">
        <v>20</v>
      </c>
      <c r="AR5080" s="3" t="s">
        <v>64</v>
      </c>
      <c r="AS5080" s="3" t="s">
        <v>64</v>
      </c>
      <c r="AT5080" s="3" t="s">
        <v>64</v>
      </c>
      <c r="AV5080" s="6" t="str">
        <f>HYPERLINK("http://mcgill.on.worldcat.org/oclc/827780177","Catalog Record")</f>
        <v>Catalog Record</v>
      </c>
      <c r="AW5080" s="6" t="str">
        <f>HYPERLINK("http://www.worldcat.org/oclc/827780177","WorldCat Record")</f>
        <v>WorldCat Record</v>
      </c>
      <c r="AX5080" s="3" t="s">
        <v>49453</v>
      </c>
      <c r="AY5080" s="3" t="s">
        <v>49454</v>
      </c>
      <c r="AZ5080" s="3" t="s">
        <v>49455</v>
      </c>
      <c r="BA5080" s="3" t="s">
        <v>49455</v>
      </c>
      <c r="BB5080" s="3" t="s">
        <v>49456</v>
      </c>
      <c r="BC5080" s="3" t="s">
        <v>77</v>
      </c>
      <c r="BD5080" s="3" t="s">
        <v>78</v>
      </c>
      <c r="BE5080" s="3" t="s">
        <v>49457</v>
      </c>
      <c r="BF5080" s="3" t="s">
        <v>49456</v>
      </c>
      <c r="BG5080" s="3" t="s">
        <v>49458</v>
      </c>
      <c r="BH5080">
        <f t="shared" si="161"/>
        <v>0</v>
      </c>
    </row>
    <row r="5081" spans="1:60" ht="58" x14ac:dyDescent="0.35">
      <c r="A5081" s="2" t="s">
        <v>59</v>
      </c>
      <c r="B5081" s="2" t="s">
        <v>60</v>
      </c>
      <c r="C5081" s="2" t="s">
        <v>49459</v>
      </c>
      <c r="D5081" s="2" t="s">
        <v>49460</v>
      </c>
      <c r="E5081" s="2" t="s">
        <v>49461</v>
      </c>
      <c r="G5081" s="3" t="s">
        <v>64</v>
      </c>
      <c r="I5081" s="3" t="s">
        <v>64</v>
      </c>
      <c r="J5081" s="3" t="s">
        <v>64</v>
      </c>
      <c r="K5081" s="3" t="s">
        <v>65</v>
      </c>
      <c r="L5081" s="2" t="s">
        <v>49462</v>
      </c>
      <c r="M5081" s="2" t="s">
        <v>16229</v>
      </c>
      <c r="N5081" s="3" t="s">
        <v>190</v>
      </c>
      <c r="P5081" s="3" t="s">
        <v>102</v>
      </c>
      <c r="Q5081" s="2" t="s">
        <v>25907</v>
      </c>
      <c r="R5081" s="3" t="s">
        <v>49178</v>
      </c>
      <c r="S5081" s="4">
        <v>1</v>
      </c>
      <c r="T5081" s="4">
        <v>1</v>
      </c>
      <c r="W5081" s="5" t="s">
        <v>72</v>
      </c>
      <c r="X5081" s="5" t="s">
        <v>72</v>
      </c>
      <c r="Y5081" s="4">
        <v>547</v>
      </c>
      <c r="Z5081" s="4">
        <v>20</v>
      </c>
      <c r="AA5081" s="4">
        <v>77</v>
      </c>
      <c r="AB5081" s="4">
        <v>1</v>
      </c>
      <c r="AC5081" s="4">
        <v>14</v>
      </c>
      <c r="AD5081" s="4">
        <v>72</v>
      </c>
      <c r="AE5081" s="4">
        <v>114</v>
      </c>
      <c r="AF5081" s="4">
        <v>0</v>
      </c>
      <c r="AG5081" s="4">
        <v>8</v>
      </c>
      <c r="AH5081" s="4">
        <v>63</v>
      </c>
      <c r="AI5081" s="4">
        <v>80</v>
      </c>
      <c r="AJ5081" s="4">
        <v>7</v>
      </c>
      <c r="AK5081" s="4">
        <v>20</v>
      </c>
      <c r="AL5081" s="4">
        <v>33</v>
      </c>
      <c r="AM5081" s="4">
        <v>42</v>
      </c>
      <c r="AN5081" s="4">
        <v>0</v>
      </c>
      <c r="AO5081" s="4">
        <v>0</v>
      </c>
      <c r="AP5081" s="4">
        <v>13</v>
      </c>
      <c r="AQ5081" s="4">
        <v>40</v>
      </c>
      <c r="AR5081" s="3" t="s">
        <v>64</v>
      </c>
      <c r="AS5081" s="3" t="s">
        <v>64</v>
      </c>
      <c r="AT5081" s="3" t="s">
        <v>64</v>
      </c>
      <c r="AV5081" s="6" t="str">
        <f>HYPERLINK("http://mcgill.on.worldcat.org/oclc/1030445054","Catalog Record")</f>
        <v>Catalog Record</v>
      </c>
      <c r="AW5081" s="6" t="str">
        <f>HYPERLINK("http://www.worldcat.org/oclc/1030445054","WorldCat Record")</f>
        <v>WorldCat Record</v>
      </c>
      <c r="AX5081" s="3" t="s">
        <v>49463</v>
      </c>
      <c r="AY5081" s="3" t="s">
        <v>49464</v>
      </c>
      <c r="AZ5081" s="3" t="s">
        <v>49465</v>
      </c>
      <c r="BA5081" s="3" t="s">
        <v>49465</v>
      </c>
      <c r="BB5081" s="3" t="s">
        <v>49466</v>
      </c>
      <c r="BC5081" s="3" t="s">
        <v>77</v>
      </c>
      <c r="BD5081" s="3" t="s">
        <v>165</v>
      </c>
      <c r="BE5081" s="3" t="s">
        <v>49467</v>
      </c>
      <c r="BF5081" s="3" t="s">
        <v>49466</v>
      </c>
      <c r="BG5081" s="3" t="s">
        <v>49468</v>
      </c>
      <c r="BH5081">
        <f t="shared" si="161"/>
        <v>0</v>
      </c>
    </row>
    <row r="5082" spans="1:60" ht="58" x14ac:dyDescent="0.35">
      <c r="A5082" s="2" t="s">
        <v>59</v>
      </c>
      <c r="B5082" s="2" t="s">
        <v>60</v>
      </c>
      <c r="C5082" s="2" t="s">
        <v>49469</v>
      </c>
      <c r="D5082" s="2" t="s">
        <v>49470</v>
      </c>
      <c r="E5082" s="2" t="s">
        <v>49471</v>
      </c>
      <c r="G5082" s="3" t="s">
        <v>64</v>
      </c>
      <c r="H5082" s="3" t="s">
        <v>183</v>
      </c>
      <c r="I5082" s="3" t="s">
        <v>64</v>
      </c>
      <c r="J5082" s="3" t="s">
        <v>64</v>
      </c>
      <c r="K5082" s="3" t="s">
        <v>65</v>
      </c>
      <c r="M5082" s="2" t="s">
        <v>49472</v>
      </c>
      <c r="N5082" s="3" t="s">
        <v>578</v>
      </c>
      <c r="P5082" s="3" t="s">
        <v>102</v>
      </c>
      <c r="R5082" s="3" t="s">
        <v>49178</v>
      </c>
      <c r="S5082" s="4">
        <v>1</v>
      </c>
      <c r="T5082" s="4">
        <v>1</v>
      </c>
      <c r="W5082" s="5" t="s">
        <v>28591</v>
      </c>
      <c r="X5082" s="5" t="s">
        <v>28591</v>
      </c>
      <c r="Y5082" s="4">
        <v>51</v>
      </c>
      <c r="Z5082" s="4">
        <v>6</v>
      </c>
      <c r="AA5082" s="4">
        <v>6</v>
      </c>
      <c r="AB5082" s="4">
        <v>1</v>
      </c>
      <c r="AC5082" s="4">
        <v>1</v>
      </c>
      <c r="AD5082" s="4">
        <v>17</v>
      </c>
      <c r="AE5082" s="4">
        <v>24</v>
      </c>
      <c r="AF5082" s="4">
        <v>0</v>
      </c>
      <c r="AG5082" s="4">
        <v>0</v>
      </c>
      <c r="AH5082" s="4">
        <v>14</v>
      </c>
      <c r="AI5082" s="4">
        <v>21</v>
      </c>
      <c r="AJ5082" s="4">
        <v>3</v>
      </c>
      <c r="AK5082" s="4">
        <v>3</v>
      </c>
      <c r="AL5082" s="4">
        <v>11</v>
      </c>
      <c r="AM5082" s="4">
        <v>14</v>
      </c>
      <c r="AN5082" s="4">
        <v>0</v>
      </c>
      <c r="AO5082" s="4">
        <v>0</v>
      </c>
      <c r="AP5082" s="4">
        <v>4</v>
      </c>
      <c r="AQ5082" s="4">
        <v>4</v>
      </c>
      <c r="AR5082" s="3" t="s">
        <v>64</v>
      </c>
      <c r="AS5082" s="3" t="s">
        <v>64</v>
      </c>
      <c r="AT5082" s="3" t="s">
        <v>64</v>
      </c>
      <c r="AV5082" s="6" t="str">
        <f>HYPERLINK("http://mcgill.on.worldcat.org/oclc/1024217668","Catalog Record")</f>
        <v>Catalog Record</v>
      </c>
      <c r="AW5082" s="6" t="str">
        <f>HYPERLINK("http://www.worldcat.org/oclc/1024217668","WorldCat Record")</f>
        <v>WorldCat Record</v>
      </c>
      <c r="AX5082" s="3" t="s">
        <v>49473</v>
      </c>
      <c r="AY5082" s="3" t="s">
        <v>49474</v>
      </c>
      <c r="AZ5082" s="3" t="s">
        <v>49475</v>
      </c>
      <c r="BA5082" s="3" t="s">
        <v>49475</v>
      </c>
      <c r="BB5082" s="3" t="s">
        <v>49476</v>
      </c>
      <c r="BC5082" s="3" t="s">
        <v>77</v>
      </c>
      <c r="BD5082" s="3" t="s">
        <v>165</v>
      </c>
      <c r="BE5082" s="3" t="s">
        <v>49477</v>
      </c>
      <c r="BF5082" s="3" t="s">
        <v>49476</v>
      </c>
      <c r="BG5082" s="3" t="s">
        <v>49478</v>
      </c>
      <c r="BH5082">
        <f t="shared" si="161"/>
        <v>0</v>
      </c>
    </row>
    <row r="5083" spans="1:60" ht="58" x14ac:dyDescent="0.35">
      <c r="A5083" s="2" t="s">
        <v>59</v>
      </c>
      <c r="B5083" s="2" t="s">
        <v>60</v>
      </c>
      <c r="C5083" s="2" t="s">
        <v>49479</v>
      </c>
      <c r="D5083" s="2" t="s">
        <v>49480</v>
      </c>
      <c r="E5083" s="2" t="s">
        <v>49481</v>
      </c>
      <c r="G5083" s="3" t="s">
        <v>64</v>
      </c>
      <c r="I5083" s="3" t="s">
        <v>64</v>
      </c>
      <c r="J5083" s="3" t="s">
        <v>64</v>
      </c>
      <c r="K5083" s="3" t="s">
        <v>65</v>
      </c>
      <c r="L5083" s="2" t="s">
        <v>49482</v>
      </c>
      <c r="M5083" s="2" t="s">
        <v>49483</v>
      </c>
      <c r="N5083" s="3" t="s">
        <v>86</v>
      </c>
      <c r="P5083" s="3" t="s">
        <v>102</v>
      </c>
      <c r="R5083" s="3" t="s">
        <v>49178</v>
      </c>
      <c r="S5083" s="4">
        <v>2</v>
      </c>
      <c r="T5083" s="4">
        <v>2</v>
      </c>
      <c r="U5083" s="5" t="s">
        <v>49484</v>
      </c>
      <c r="V5083" s="5" t="s">
        <v>49484</v>
      </c>
      <c r="W5083" s="5" t="s">
        <v>72</v>
      </c>
      <c r="X5083" s="5" t="s">
        <v>72</v>
      </c>
      <c r="Y5083" s="4">
        <v>123</v>
      </c>
      <c r="Z5083" s="4">
        <v>7</v>
      </c>
      <c r="AA5083" s="4">
        <v>75</v>
      </c>
      <c r="AB5083" s="4">
        <v>1</v>
      </c>
      <c r="AC5083" s="4">
        <v>14</v>
      </c>
      <c r="AD5083" s="4">
        <v>16</v>
      </c>
      <c r="AE5083" s="4">
        <v>84</v>
      </c>
      <c r="AF5083" s="4">
        <v>0</v>
      </c>
      <c r="AG5083" s="4">
        <v>8</v>
      </c>
      <c r="AH5083" s="4">
        <v>14</v>
      </c>
      <c r="AI5083" s="4">
        <v>51</v>
      </c>
      <c r="AJ5083" s="4">
        <v>5</v>
      </c>
      <c r="AK5083" s="4">
        <v>18</v>
      </c>
      <c r="AL5083" s="4">
        <v>11</v>
      </c>
      <c r="AM5083" s="4">
        <v>26</v>
      </c>
      <c r="AN5083" s="4">
        <v>0</v>
      </c>
      <c r="AO5083" s="4">
        <v>0</v>
      </c>
      <c r="AP5083" s="4">
        <v>5</v>
      </c>
      <c r="AQ5083" s="4">
        <v>39</v>
      </c>
      <c r="AR5083" s="3" t="s">
        <v>64</v>
      </c>
      <c r="AS5083" s="3" t="s">
        <v>64</v>
      </c>
      <c r="AT5083" s="3" t="s">
        <v>64</v>
      </c>
      <c r="AV5083" s="6" t="str">
        <f>HYPERLINK("http://mcgill.on.worldcat.org/oclc/767726839","Catalog Record")</f>
        <v>Catalog Record</v>
      </c>
      <c r="AW5083" s="6" t="str">
        <f>HYPERLINK("http://www.worldcat.org/oclc/767726839","WorldCat Record")</f>
        <v>WorldCat Record</v>
      </c>
      <c r="AX5083" s="3" t="s">
        <v>49485</v>
      </c>
      <c r="AY5083" s="3" t="s">
        <v>49486</v>
      </c>
      <c r="AZ5083" s="3" t="s">
        <v>49487</v>
      </c>
      <c r="BA5083" s="3" t="s">
        <v>49487</v>
      </c>
      <c r="BB5083" s="3" t="s">
        <v>49488</v>
      </c>
      <c r="BC5083" s="3" t="s">
        <v>77</v>
      </c>
      <c r="BD5083" s="3" t="s">
        <v>78</v>
      </c>
      <c r="BE5083" s="3" t="s">
        <v>49489</v>
      </c>
      <c r="BF5083" s="3" t="s">
        <v>49488</v>
      </c>
      <c r="BG5083" s="3" t="s">
        <v>49490</v>
      </c>
      <c r="BH5083">
        <f t="shared" si="161"/>
        <v>0</v>
      </c>
    </row>
    <row r="5084" spans="1:60" ht="58" x14ac:dyDescent="0.35">
      <c r="A5084" s="2" t="s">
        <v>59</v>
      </c>
      <c r="B5084" s="2" t="s">
        <v>60</v>
      </c>
      <c r="C5084" s="2" t="s">
        <v>49491</v>
      </c>
      <c r="D5084" s="2" t="s">
        <v>49492</v>
      </c>
      <c r="E5084" s="2" t="s">
        <v>49493</v>
      </c>
      <c r="G5084" s="3" t="s">
        <v>64</v>
      </c>
      <c r="I5084" s="3" t="s">
        <v>64</v>
      </c>
      <c r="J5084" s="3" t="s">
        <v>64</v>
      </c>
      <c r="K5084" s="3" t="s">
        <v>65</v>
      </c>
      <c r="M5084" s="2" t="s">
        <v>49494</v>
      </c>
      <c r="N5084" s="3" t="s">
        <v>1075</v>
      </c>
      <c r="P5084" s="3" t="s">
        <v>102</v>
      </c>
      <c r="R5084" s="3" t="s">
        <v>49178</v>
      </c>
      <c r="S5084" s="4">
        <v>0</v>
      </c>
      <c r="T5084" s="4">
        <v>0</v>
      </c>
      <c r="W5084" s="5" t="s">
        <v>72</v>
      </c>
      <c r="X5084" s="5" t="s">
        <v>72</v>
      </c>
      <c r="Y5084" s="4">
        <v>31</v>
      </c>
      <c r="Z5084" s="4">
        <v>3</v>
      </c>
      <c r="AA5084" s="4">
        <v>10</v>
      </c>
      <c r="AB5084" s="4">
        <v>1</v>
      </c>
      <c r="AC5084" s="4">
        <v>5</v>
      </c>
      <c r="AD5084" s="4">
        <v>9</v>
      </c>
      <c r="AE5084" s="4">
        <v>19</v>
      </c>
      <c r="AF5084" s="4">
        <v>0</v>
      </c>
      <c r="AG5084" s="4">
        <v>1</v>
      </c>
      <c r="AH5084" s="4">
        <v>8</v>
      </c>
      <c r="AI5084" s="4">
        <v>15</v>
      </c>
      <c r="AJ5084" s="4">
        <v>2</v>
      </c>
      <c r="AK5084" s="4">
        <v>5</v>
      </c>
      <c r="AL5084" s="4">
        <v>3</v>
      </c>
      <c r="AM5084" s="4">
        <v>7</v>
      </c>
      <c r="AN5084" s="4">
        <v>0</v>
      </c>
      <c r="AO5084" s="4">
        <v>0</v>
      </c>
      <c r="AP5084" s="4">
        <v>2</v>
      </c>
      <c r="AQ5084" s="4">
        <v>5</v>
      </c>
      <c r="AR5084" s="3" t="s">
        <v>64</v>
      </c>
      <c r="AS5084" s="3" t="s">
        <v>64</v>
      </c>
      <c r="AT5084" s="3" t="s">
        <v>64</v>
      </c>
      <c r="AV5084" s="6" t="str">
        <f>HYPERLINK("http://mcgill.on.worldcat.org/oclc/781684084","Catalog Record")</f>
        <v>Catalog Record</v>
      </c>
      <c r="AW5084" s="6" t="str">
        <f>HYPERLINK("http://www.worldcat.org/oclc/781684084","WorldCat Record")</f>
        <v>WorldCat Record</v>
      </c>
      <c r="AX5084" s="3" t="s">
        <v>49495</v>
      </c>
      <c r="AY5084" s="3" t="s">
        <v>49496</v>
      </c>
      <c r="AZ5084" s="3" t="s">
        <v>49497</v>
      </c>
      <c r="BA5084" s="3" t="s">
        <v>49497</v>
      </c>
      <c r="BB5084" s="3" t="s">
        <v>49498</v>
      </c>
      <c r="BC5084" s="3" t="s">
        <v>77</v>
      </c>
      <c r="BD5084" s="3" t="s">
        <v>78</v>
      </c>
      <c r="BE5084" s="3" t="s">
        <v>49499</v>
      </c>
      <c r="BF5084" s="3" t="s">
        <v>49498</v>
      </c>
      <c r="BG5084" s="3" t="s">
        <v>49500</v>
      </c>
      <c r="BH5084">
        <f t="shared" si="161"/>
        <v>0</v>
      </c>
    </row>
    <row r="5085" spans="1:60" ht="58" x14ac:dyDescent="0.35">
      <c r="A5085" s="2" t="s">
        <v>59</v>
      </c>
      <c r="B5085" s="2" t="s">
        <v>60</v>
      </c>
      <c r="C5085" s="2" t="s">
        <v>49501</v>
      </c>
      <c r="D5085" s="2" t="s">
        <v>49502</v>
      </c>
      <c r="E5085" s="2" t="s">
        <v>49503</v>
      </c>
      <c r="G5085" s="3" t="s">
        <v>64</v>
      </c>
      <c r="I5085" s="3" t="s">
        <v>64</v>
      </c>
      <c r="J5085" s="3" t="s">
        <v>64</v>
      </c>
      <c r="K5085" s="3" t="s">
        <v>65</v>
      </c>
      <c r="M5085" s="2" t="s">
        <v>49504</v>
      </c>
      <c r="N5085" s="3" t="s">
        <v>1075</v>
      </c>
      <c r="O5085" s="2" t="s">
        <v>117</v>
      </c>
      <c r="P5085" s="3" t="s">
        <v>102</v>
      </c>
      <c r="Q5085" s="2" t="s">
        <v>14685</v>
      </c>
      <c r="R5085" s="3" t="s">
        <v>49178</v>
      </c>
      <c r="S5085" s="4">
        <v>2</v>
      </c>
      <c r="T5085" s="4">
        <v>2</v>
      </c>
      <c r="U5085" s="5" t="s">
        <v>12425</v>
      </c>
      <c r="V5085" s="5" t="s">
        <v>12425</v>
      </c>
      <c r="W5085" s="5" t="s">
        <v>72</v>
      </c>
      <c r="X5085" s="5" t="s">
        <v>72</v>
      </c>
      <c r="Y5085" s="4">
        <v>74</v>
      </c>
      <c r="Z5085" s="4">
        <v>10</v>
      </c>
      <c r="AA5085" s="4">
        <v>85</v>
      </c>
      <c r="AB5085" s="4">
        <v>1</v>
      </c>
      <c r="AC5085" s="4">
        <v>14</v>
      </c>
      <c r="AD5085" s="4">
        <v>23</v>
      </c>
      <c r="AE5085" s="4">
        <v>107</v>
      </c>
      <c r="AF5085" s="4">
        <v>0</v>
      </c>
      <c r="AG5085" s="4">
        <v>8</v>
      </c>
      <c r="AH5085" s="4">
        <v>20</v>
      </c>
      <c r="AI5085" s="4">
        <v>71</v>
      </c>
      <c r="AJ5085" s="4">
        <v>6</v>
      </c>
      <c r="AK5085" s="4">
        <v>21</v>
      </c>
      <c r="AL5085" s="4">
        <v>12</v>
      </c>
      <c r="AM5085" s="4">
        <v>33</v>
      </c>
      <c r="AN5085" s="4">
        <v>0</v>
      </c>
      <c r="AO5085" s="4">
        <v>0</v>
      </c>
      <c r="AP5085" s="4">
        <v>7</v>
      </c>
      <c r="AQ5085" s="4">
        <v>44</v>
      </c>
      <c r="AR5085" s="3" t="s">
        <v>64</v>
      </c>
      <c r="AS5085" s="3" t="s">
        <v>64</v>
      </c>
      <c r="AT5085" s="3" t="s">
        <v>64</v>
      </c>
      <c r="AV5085" s="6" t="str">
        <f>HYPERLINK("http://mcgill.on.worldcat.org/oclc/841673212","Catalog Record")</f>
        <v>Catalog Record</v>
      </c>
      <c r="AW5085" s="6" t="str">
        <f>HYPERLINK("http://www.worldcat.org/oclc/841673212","WorldCat Record")</f>
        <v>WorldCat Record</v>
      </c>
      <c r="AX5085" s="3" t="s">
        <v>49505</v>
      </c>
      <c r="AY5085" s="3" t="s">
        <v>49506</v>
      </c>
      <c r="AZ5085" s="3" t="s">
        <v>49507</v>
      </c>
      <c r="BA5085" s="3" t="s">
        <v>49507</v>
      </c>
      <c r="BB5085" s="3" t="s">
        <v>49508</v>
      </c>
      <c r="BC5085" s="3" t="s">
        <v>77</v>
      </c>
      <c r="BD5085" s="3" t="s">
        <v>78</v>
      </c>
      <c r="BE5085" s="3" t="s">
        <v>49509</v>
      </c>
      <c r="BF5085" s="3" t="s">
        <v>49508</v>
      </c>
      <c r="BG5085" s="3" t="s">
        <v>49510</v>
      </c>
      <c r="BH5085">
        <f t="shared" si="161"/>
        <v>0</v>
      </c>
    </row>
    <row r="5086" spans="1:60" ht="58" x14ac:dyDescent="0.35">
      <c r="A5086" s="2" t="s">
        <v>59</v>
      </c>
      <c r="B5086" s="2" t="s">
        <v>60</v>
      </c>
      <c r="C5086" s="2" t="s">
        <v>49511</v>
      </c>
      <c r="D5086" s="2" t="s">
        <v>49512</v>
      </c>
      <c r="E5086" s="2" t="s">
        <v>49513</v>
      </c>
      <c r="G5086" s="3" t="s">
        <v>64</v>
      </c>
      <c r="I5086" s="3" t="s">
        <v>64</v>
      </c>
      <c r="J5086" s="3" t="s">
        <v>64</v>
      </c>
      <c r="K5086" s="3" t="s">
        <v>65</v>
      </c>
      <c r="M5086" s="2" t="s">
        <v>28883</v>
      </c>
      <c r="N5086" s="3" t="s">
        <v>171</v>
      </c>
      <c r="P5086" s="3" t="s">
        <v>102</v>
      </c>
      <c r="R5086" s="3" t="s">
        <v>49178</v>
      </c>
      <c r="S5086" s="4">
        <v>1</v>
      </c>
      <c r="T5086" s="4">
        <v>1</v>
      </c>
      <c r="U5086" s="5" t="s">
        <v>49514</v>
      </c>
      <c r="V5086" s="5" t="s">
        <v>49514</v>
      </c>
      <c r="W5086" s="5" t="s">
        <v>72</v>
      </c>
      <c r="X5086" s="5" t="s">
        <v>72</v>
      </c>
      <c r="Y5086" s="4">
        <v>257</v>
      </c>
      <c r="Z5086" s="4">
        <v>20</v>
      </c>
      <c r="AA5086" s="4">
        <v>82</v>
      </c>
      <c r="AB5086" s="4">
        <v>4</v>
      </c>
      <c r="AC5086" s="4">
        <v>16</v>
      </c>
      <c r="AD5086" s="4">
        <v>60</v>
      </c>
      <c r="AE5086" s="4">
        <v>107</v>
      </c>
      <c r="AF5086" s="4">
        <v>1</v>
      </c>
      <c r="AG5086" s="4">
        <v>8</v>
      </c>
      <c r="AH5086" s="4">
        <v>54</v>
      </c>
      <c r="AI5086" s="4">
        <v>75</v>
      </c>
      <c r="AJ5086" s="4">
        <v>14</v>
      </c>
      <c r="AK5086" s="4">
        <v>21</v>
      </c>
      <c r="AL5086" s="4">
        <v>28</v>
      </c>
      <c r="AM5086" s="4">
        <v>37</v>
      </c>
      <c r="AN5086" s="4">
        <v>0</v>
      </c>
      <c r="AO5086" s="4">
        <v>0</v>
      </c>
      <c r="AP5086" s="4">
        <v>15</v>
      </c>
      <c r="AQ5086" s="4">
        <v>41</v>
      </c>
      <c r="AR5086" s="3" t="s">
        <v>64</v>
      </c>
      <c r="AS5086" s="3" t="s">
        <v>64</v>
      </c>
      <c r="AT5086" s="3" t="s">
        <v>128</v>
      </c>
      <c r="AU5086" s="6" t="str">
        <f>HYPERLINK("http://catalog.hathitrust.org/Record/005345102","HathiTrust Record")</f>
        <v>HathiTrust Record</v>
      </c>
      <c r="AV5086" s="6" t="str">
        <f>HYPERLINK("http://mcgill.on.worldcat.org/oclc/62890119","Catalog Record")</f>
        <v>Catalog Record</v>
      </c>
      <c r="AW5086" s="6" t="str">
        <f>HYPERLINK("http://www.worldcat.org/oclc/62890119","WorldCat Record")</f>
        <v>WorldCat Record</v>
      </c>
      <c r="AX5086" s="3" t="s">
        <v>49515</v>
      </c>
      <c r="AY5086" s="3" t="s">
        <v>49516</v>
      </c>
      <c r="AZ5086" s="3" t="s">
        <v>49517</v>
      </c>
      <c r="BA5086" s="3" t="s">
        <v>49517</v>
      </c>
      <c r="BB5086" s="3" t="s">
        <v>49518</v>
      </c>
      <c r="BC5086" s="3" t="s">
        <v>77</v>
      </c>
      <c r="BD5086" s="3" t="s">
        <v>78</v>
      </c>
      <c r="BE5086" s="3" t="s">
        <v>49519</v>
      </c>
      <c r="BF5086" s="3" t="s">
        <v>49518</v>
      </c>
      <c r="BG5086" s="3" t="s">
        <v>49520</v>
      </c>
      <c r="BH5086">
        <f t="shared" si="161"/>
        <v>0</v>
      </c>
    </row>
    <row r="5087" spans="1:60" ht="58" x14ac:dyDescent="0.35">
      <c r="A5087" s="2" t="s">
        <v>59</v>
      </c>
      <c r="B5087" s="2" t="s">
        <v>60</v>
      </c>
      <c r="C5087" s="2" t="s">
        <v>49521</v>
      </c>
      <c r="D5087" s="2" t="s">
        <v>49522</v>
      </c>
      <c r="E5087" s="2" t="s">
        <v>49523</v>
      </c>
      <c r="G5087" s="3" t="s">
        <v>64</v>
      </c>
      <c r="I5087" s="3" t="s">
        <v>64</v>
      </c>
      <c r="J5087" s="3" t="s">
        <v>64</v>
      </c>
      <c r="K5087" s="3" t="s">
        <v>65</v>
      </c>
      <c r="L5087" s="2" t="s">
        <v>49524</v>
      </c>
      <c r="M5087" s="2" t="s">
        <v>49525</v>
      </c>
      <c r="N5087" s="3" t="s">
        <v>67</v>
      </c>
      <c r="P5087" s="3" t="s">
        <v>102</v>
      </c>
      <c r="Q5087" s="2" t="s">
        <v>49526</v>
      </c>
      <c r="R5087" s="3" t="s">
        <v>49178</v>
      </c>
      <c r="S5087" s="4">
        <v>0</v>
      </c>
      <c r="T5087" s="4">
        <v>0</v>
      </c>
      <c r="W5087" s="5" t="s">
        <v>72</v>
      </c>
      <c r="X5087" s="5" t="s">
        <v>72</v>
      </c>
      <c r="Y5087" s="4">
        <v>53</v>
      </c>
      <c r="Z5087" s="4">
        <v>6</v>
      </c>
      <c r="AA5087" s="4">
        <v>39</v>
      </c>
      <c r="AB5087" s="4">
        <v>1</v>
      </c>
      <c r="AC5087" s="4">
        <v>9</v>
      </c>
      <c r="AD5087" s="4">
        <v>20</v>
      </c>
      <c r="AE5087" s="4">
        <v>74</v>
      </c>
      <c r="AF5087" s="4">
        <v>0</v>
      </c>
      <c r="AG5087" s="4">
        <v>5</v>
      </c>
      <c r="AH5087" s="4">
        <v>20</v>
      </c>
      <c r="AI5087" s="4">
        <v>58</v>
      </c>
      <c r="AJ5087" s="4">
        <v>4</v>
      </c>
      <c r="AK5087" s="4">
        <v>14</v>
      </c>
      <c r="AL5087" s="4">
        <v>13</v>
      </c>
      <c r="AM5087" s="4">
        <v>34</v>
      </c>
      <c r="AN5087" s="4">
        <v>0</v>
      </c>
      <c r="AO5087" s="4">
        <v>0</v>
      </c>
      <c r="AP5087" s="4">
        <v>4</v>
      </c>
      <c r="AQ5087" s="4">
        <v>20</v>
      </c>
      <c r="AR5087" s="3" t="s">
        <v>64</v>
      </c>
      <c r="AS5087" s="3" t="s">
        <v>64</v>
      </c>
      <c r="AT5087" s="3" t="s">
        <v>64</v>
      </c>
      <c r="AV5087" s="6" t="str">
        <f>HYPERLINK("http://mcgill.on.worldcat.org/oclc/887925259","Catalog Record")</f>
        <v>Catalog Record</v>
      </c>
      <c r="AW5087" s="6" t="str">
        <f>HYPERLINK("http://www.worldcat.org/oclc/887925259","WorldCat Record")</f>
        <v>WorldCat Record</v>
      </c>
      <c r="AX5087" s="3" t="s">
        <v>49527</v>
      </c>
      <c r="AY5087" s="3" t="s">
        <v>49528</v>
      </c>
      <c r="AZ5087" s="3" t="s">
        <v>49529</v>
      </c>
      <c r="BA5087" s="3" t="s">
        <v>49529</v>
      </c>
      <c r="BB5087" s="3" t="s">
        <v>49530</v>
      </c>
      <c r="BC5087" s="3" t="s">
        <v>77</v>
      </c>
      <c r="BD5087" s="3" t="s">
        <v>78</v>
      </c>
      <c r="BE5087" s="3" t="s">
        <v>49531</v>
      </c>
      <c r="BF5087" s="3" t="s">
        <v>49530</v>
      </c>
      <c r="BG5087" s="3" t="s">
        <v>49532</v>
      </c>
      <c r="BH5087">
        <f t="shared" si="161"/>
        <v>0</v>
      </c>
    </row>
    <row r="5088" spans="1:60" ht="72.5" x14ac:dyDescent="0.35">
      <c r="A5088" s="2" t="s">
        <v>59</v>
      </c>
      <c r="B5088" s="2" t="s">
        <v>60</v>
      </c>
      <c r="C5088" s="2" t="s">
        <v>49533</v>
      </c>
      <c r="D5088" s="2" t="s">
        <v>49534</v>
      </c>
      <c r="E5088" s="2" t="s">
        <v>49535</v>
      </c>
      <c r="G5088" s="3" t="s">
        <v>64</v>
      </c>
      <c r="I5088" s="3" t="s">
        <v>64</v>
      </c>
      <c r="J5088" s="3" t="s">
        <v>64</v>
      </c>
      <c r="K5088" s="3" t="s">
        <v>65</v>
      </c>
      <c r="L5088" s="2" t="s">
        <v>49536</v>
      </c>
      <c r="M5088" s="2" t="s">
        <v>49537</v>
      </c>
      <c r="N5088" s="3" t="s">
        <v>86</v>
      </c>
      <c r="P5088" s="3" t="s">
        <v>102</v>
      </c>
      <c r="Q5088" s="2" t="s">
        <v>49538</v>
      </c>
      <c r="R5088" s="3" t="s">
        <v>49178</v>
      </c>
      <c r="S5088" s="4">
        <v>4</v>
      </c>
      <c r="T5088" s="4">
        <v>4</v>
      </c>
      <c r="U5088" s="5" t="s">
        <v>11358</v>
      </c>
      <c r="V5088" s="5" t="s">
        <v>11358</v>
      </c>
      <c r="W5088" s="5" t="s">
        <v>72</v>
      </c>
      <c r="X5088" s="5" t="s">
        <v>72</v>
      </c>
      <c r="Y5088" s="4">
        <v>153</v>
      </c>
      <c r="Z5088" s="4">
        <v>16</v>
      </c>
      <c r="AA5088" s="4">
        <v>21</v>
      </c>
      <c r="AB5088" s="4">
        <v>1</v>
      </c>
      <c r="AC5088" s="4">
        <v>3</v>
      </c>
      <c r="AD5088" s="4">
        <v>35</v>
      </c>
      <c r="AE5088" s="4">
        <v>38</v>
      </c>
      <c r="AF5088" s="4">
        <v>0</v>
      </c>
      <c r="AG5088" s="4">
        <v>2</v>
      </c>
      <c r="AH5088" s="4">
        <v>29</v>
      </c>
      <c r="AI5088" s="4">
        <v>29</v>
      </c>
      <c r="AJ5088" s="4">
        <v>10</v>
      </c>
      <c r="AK5088" s="4">
        <v>11</v>
      </c>
      <c r="AL5088" s="4">
        <v>11</v>
      </c>
      <c r="AM5088" s="4">
        <v>11</v>
      </c>
      <c r="AN5088" s="4">
        <v>0</v>
      </c>
      <c r="AO5088" s="4">
        <v>0</v>
      </c>
      <c r="AP5088" s="4">
        <v>13</v>
      </c>
      <c r="AQ5088" s="4">
        <v>15</v>
      </c>
      <c r="AR5088" s="3" t="s">
        <v>64</v>
      </c>
      <c r="AS5088" s="3" t="s">
        <v>64</v>
      </c>
      <c r="AT5088" s="3" t="s">
        <v>64</v>
      </c>
      <c r="AV5088" s="6" t="str">
        <f>HYPERLINK("http://mcgill.on.worldcat.org/oclc/752470942","Catalog Record")</f>
        <v>Catalog Record</v>
      </c>
      <c r="AW5088" s="6" t="str">
        <f>HYPERLINK("http://www.worldcat.org/oclc/752470942","WorldCat Record")</f>
        <v>WorldCat Record</v>
      </c>
      <c r="AX5088" s="3" t="s">
        <v>49539</v>
      </c>
      <c r="AY5088" s="3" t="s">
        <v>49540</v>
      </c>
      <c r="AZ5088" s="3" t="s">
        <v>49541</v>
      </c>
      <c r="BA5088" s="3" t="s">
        <v>49541</v>
      </c>
      <c r="BB5088" s="3" t="s">
        <v>49542</v>
      </c>
      <c r="BC5088" s="3" t="s">
        <v>77</v>
      </c>
      <c r="BD5088" s="3" t="s">
        <v>165</v>
      </c>
      <c r="BE5088" s="3" t="s">
        <v>49543</v>
      </c>
      <c r="BF5088" s="3" t="s">
        <v>49542</v>
      </c>
      <c r="BG5088" s="3" t="s">
        <v>49544</v>
      </c>
      <c r="BH5088">
        <f t="shared" si="161"/>
        <v>0</v>
      </c>
    </row>
    <row r="5089" spans="1:60" ht="58" x14ac:dyDescent="0.35">
      <c r="A5089" s="2" t="s">
        <v>59</v>
      </c>
      <c r="B5089" s="2" t="s">
        <v>60</v>
      </c>
      <c r="C5089" s="2" t="s">
        <v>49545</v>
      </c>
      <c r="D5089" s="2" t="s">
        <v>49546</v>
      </c>
      <c r="E5089" s="2" t="s">
        <v>49547</v>
      </c>
      <c r="G5089" s="3" t="s">
        <v>64</v>
      </c>
      <c r="I5089" s="3" t="s">
        <v>64</v>
      </c>
      <c r="J5089" s="3" t="s">
        <v>64</v>
      </c>
      <c r="K5089" s="3" t="s">
        <v>65</v>
      </c>
      <c r="L5089" s="2" t="s">
        <v>49548</v>
      </c>
      <c r="M5089" s="2" t="s">
        <v>16814</v>
      </c>
      <c r="N5089" s="3" t="s">
        <v>326</v>
      </c>
      <c r="P5089" s="3" t="s">
        <v>102</v>
      </c>
      <c r="R5089" s="3" t="s">
        <v>49178</v>
      </c>
      <c r="S5089" s="4">
        <v>1</v>
      </c>
      <c r="T5089" s="4">
        <v>1</v>
      </c>
      <c r="U5089" s="5" t="s">
        <v>11436</v>
      </c>
      <c r="V5089" s="5" t="s">
        <v>11436</v>
      </c>
      <c r="W5089" s="5" t="s">
        <v>72</v>
      </c>
      <c r="X5089" s="5" t="s">
        <v>72</v>
      </c>
      <c r="Y5089" s="4">
        <v>34</v>
      </c>
      <c r="Z5089" s="4">
        <v>1</v>
      </c>
      <c r="AA5089" s="4">
        <v>21</v>
      </c>
      <c r="AB5089" s="4">
        <v>1</v>
      </c>
      <c r="AC5089" s="4">
        <v>5</v>
      </c>
      <c r="AD5089" s="4">
        <v>12</v>
      </c>
      <c r="AE5089" s="4">
        <v>29</v>
      </c>
      <c r="AF5089" s="4">
        <v>0</v>
      </c>
      <c r="AG5089" s="4">
        <v>0</v>
      </c>
      <c r="AH5089" s="4">
        <v>12</v>
      </c>
      <c r="AI5089" s="4">
        <v>27</v>
      </c>
      <c r="AJ5089" s="4">
        <v>0</v>
      </c>
      <c r="AK5089" s="4">
        <v>0</v>
      </c>
      <c r="AL5089" s="4">
        <v>7</v>
      </c>
      <c r="AM5089" s="4">
        <v>13</v>
      </c>
      <c r="AN5089" s="4">
        <v>0</v>
      </c>
      <c r="AO5089" s="4">
        <v>0</v>
      </c>
      <c r="AP5089" s="4">
        <v>0</v>
      </c>
      <c r="AQ5089" s="4">
        <v>2</v>
      </c>
      <c r="AR5089" s="3" t="s">
        <v>64</v>
      </c>
      <c r="AS5089" s="3" t="s">
        <v>64</v>
      </c>
      <c r="AT5089" s="3" t="s">
        <v>64</v>
      </c>
      <c r="AV5089" s="6" t="str">
        <f>HYPERLINK("http://mcgill.on.worldcat.org/oclc/664114849","Catalog Record")</f>
        <v>Catalog Record</v>
      </c>
      <c r="AW5089" s="6" t="str">
        <f>HYPERLINK("http://www.worldcat.org/oclc/664114849","WorldCat Record")</f>
        <v>WorldCat Record</v>
      </c>
      <c r="AX5089" s="3" t="s">
        <v>49549</v>
      </c>
      <c r="AY5089" s="3" t="s">
        <v>49550</v>
      </c>
      <c r="AZ5089" s="3" t="s">
        <v>49551</v>
      </c>
      <c r="BA5089" s="3" t="s">
        <v>49551</v>
      </c>
      <c r="BB5089" s="3" t="s">
        <v>49552</v>
      </c>
      <c r="BC5089" s="3" t="s">
        <v>77</v>
      </c>
      <c r="BD5089" s="3" t="s">
        <v>78</v>
      </c>
      <c r="BE5089" s="3" t="s">
        <v>49553</v>
      </c>
      <c r="BF5089" s="3" t="s">
        <v>49552</v>
      </c>
      <c r="BG5089" s="3" t="s">
        <v>49554</v>
      </c>
      <c r="BH5089">
        <f t="shared" si="161"/>
        <v>0</v>
      </c>
    </row>
    <row r="5090" spans="1:60" ht="58" x14ac:dyDescent="0.35">
      <c r="A5090" s="2" t="s">
        <v>59</v>
      </c>
      <c r="B5090" s="2" t="s">
        <v>60</v>
      </c>
      <c r="C5090" s="2" t="s">
        <v>49555</v>
      </c>
      <c r="D5090" s="2" t="s">
        <v>49556</v>
      </c>
      <c r="E5090" s="2" t="s">
        <v>49557</v>
      </c>
      <c r="G5090" s="3" t="s">
        <v>64</v>
      </c>
      <c r="I5090" s="3" t="s">
        <v>64</v>
      </c>
      <c r="J5090" s="3" t="s">
        <v>64</v>
      </c>
      <c r="K5090" s="3" t="s">
        <v>65</v>
      </c>
      <c r="M5090" s="2" t="s">
        <v>49558</v>
      </c>
      <c r="N5090" s="3" t="s">
        <v>511</v>
      </c>
      <c r="P5090" s="3" t="s">
        <v>68</v>
      </c>
      <c r="Q5090" s="2" t="s">
        <v>49559</v>
      </c>
      <c r="R5090" s="3" t="s">
        <v>49178</v>
      </c>
      <c r="S5090" s="4">
        <v>0</v>
      </c>
      <c r="T5090" s="4">
        <v>0</v>
      </c>
      <c r="W5090" s="5" t="s">
        <v>72</v>
      </c>
      <c r="X5090" s="5" t="s">
        <v>72</v>
      </c>
      <c r="Y5090" s="4">
        <v>7</v>
      </c>
      <c r="Z5090" s="4">
        <v>2</v>
      </c>
      <c r="AA5090" s="4">
        <v>23</v>
      </c>
      <c r="AB5090" s="4">
        <v>2</v>
      </c>
      <c r="AC5090" s="4">
        <v>17</v>
      </c>
      <c r="AD5090" s="4">
        <v>1</v>
      </c>
      <c r="AE5090" s="4">
        <v>17</v>
      </c>
      <c r="AF5090" s="4">
        <v>0</v>
      </c>
      <c r="AG5090" s="4">
        <v>6</v>
      </c>
      <c r="AH5090" s="4">
        <v>1</v>
      </c>
      <c r="AI5090" s="4">
        <v>8</v>
      </c>
      <c r="AJ5090" s="4">
        <v>0</v>
      </c>
      <c r="AK5090" s="4">
        <v>7</v>
      </c>
      <c r="AL5090" s="4">
        <v>1</v>
      </c>
      <c r="AM5090" s="4">
        <v>5</v>
      </c>
      <c r="AN5090" s="4">
        <v>0</v>
      </c>
      <c r="AO5090" s="4">
        <v>0</v>
      </c>
      <c r="AP5090" s="4">
        <v>0</v>
      </c>
      <c r="AQ5090" s="4">
        <v>8</v>
      </c>
      <c r="AR5090" s="3" t="s">
        <v>64</v>
      </c>
      <c r="AS5090" s="3" t="s">
        <v>64</v>
      </c>
      <c r="AT5090" s="3" t="s">
        <v>64</v>
      </c>
      <c r="AV5090" s="6" t="str">
        <f>HYPERLINK("http://mcgill.on.worldcat.org/oclc/611406645","Catalog Record")</f>
        <v>Catalog Record</v>
      </c>
      <c r="AW5090" s="6" t="str">
        <f>HYPERLINK("http://www.worldcat.org/oclc/611406645","WorldCat Record")</f>
        <v>WorldCat Record</v>
      </c>
      <c r="AX5090" s="3" t="s">
        <v>49560</v>
      </c>
      <c r="AY5090" s="3" t="s">
        <v>49561</v>
      </c>
      <c r="AZ5090" s="3" t="s">
        <v>49562</v>
      </c>
      <c r="BA5090" s="3" t="s">
        <v>49562</v>
      </c>
      <c r="BB5090" s="3" t="s">
        <v>49563</v>
      </c>
      <c r="BC5090" s="3" t="s">
        <v>77</v>
      </c>
      <c r="BD5090" s="3" t="s">
        <v>78</v>
      </c>
      <c r="BE5090" s="3" t="s">
        <v>49564</v>
      </c>
      <c r="BF5090" s="3" t="s">
        <v>49563</v>
      </c>
      <c r="BG5090" s="3" t="s">
        <v>49565</v>
      </c>
      <c r="BH5090">
        <f t="shared" si="161"/>
        <v>0</v>
      </c>
    </row>
    <row r="5091" spans="1:60" ht="58" x14ac:dyDescent="0.35">
      <c r="A5091" s="2" t="s">
        <v>59</v>
      </c>
      <c r="B5091" s="2" t="s">
        <v>60</v>
      </c>
      <c r="C5091" s="2" t="s">
        <v>49566</v>
      </c>
      <c r="D5091" s="2" t="s">
        <v>49567</v>
      </c>
      <c r="E5091" s="2" t="s">
        <v>49568</v>
      </c>
      <c r="G5091" s="3" t="s">
        <v>64</v>
      </c>
      <c r="I5091" s="3" t="s">
        <v>64</v>
      </c>
      <c r="J5091" s="3" t="s">
        <v>64</v>
      </c>
      <c r="K5091" s="3" t="s">
        <v>65</v>
      </c>
      <c r="L5091" s="2" t="s">
        <v>49569</v>
      </c>
      <c r="M5091" s="2" t="s">
        <v>32021</v>
      </c>
      <c r="N5091" s="3" t="s">
        <v>1275</v>
      </c>
      <c r="O5091" s="2" t="s">
        <v>172</v>
      </c>
      <c r="P5091" s="3" t="s">
        <v>102</v>
      </c>
      <c r="R5091" s="3" t="s">
        <v>49178</v>
      </c>
      <c r="S5091" s="4">
        <v>43</v>
      </c>
      <c r="T5091" s="4">
        <v>43</v>
      </c>
      <c r="U5091" s="5" t="s">
        <v>3831</v>
      </c>
      <c r="V5091" s="5" t="s">
        <v>3831</v>
      </c>
      <c r="W5091" s="5" t="s">
        <v>72</v>
      </c>
      <c r="X5091" s="5" t="s">
        <v>72</v>
      </c>
      <c r="Y5091" s="4">
        <v>961</v>
      </c>
      <c r="Z5091" s="4">
        <v>43</v>
      </c>
      <c r="AA5091" s="4">
        <v>55</v>
      </c>
      <c r="AB5091" s="4">
        <v>3</v>
      </c>
      <c r="AC5091" s="4">
        <v>7</v>
      </c>
      <c r="AD5091" s="4">
        <v>106</v>
      </c>
      <c r="AE5091" s="4">
        <v>129</v>
      </c>
      <c r="AF5091" s="4">
        <v>1</v>
      </c>
      <c r="AG5091" s="4">
        <v>5</v>
      </c>
      <c r="AH5091" s="4">
        <v>87</v>
      </c>
      <c r="AI5091" s="4">
        <v>102</v>
      </c>
      <c r="AJ5091" s="4">
        <v>17</v>
      </c>
      <c r="AK5091" s="4">
        <v>22</v>
      </c>
      <c r="AL5091" s="4">
        <v>42</v>
      </c>
      <c r="AM5091" s="4">
        <v>51</v>
      </c>
      <c r="AN5091" s="4">
        <v>0</v>
      </c>
      <c r="AO5091" s="4">
        <v>0</v>
      </c>
      <c r="AP5091" s="4">
        <v>29</v>
      </c>
      <c r="AQ5091" s="4">
        <v>36</v>
      </c>
      <c r="AR5091" s="3" t="s">
        <v>64</v>
      </c>
      <c r="AS5091" s="3" t="s">
        <v>64</v>
      </c>
      <c r="AT5091" s="3" t="s">
        <v>128</v>
      </c>
      <c r="AU5091" s="6" t="str">
        <f>HYPERLINK("http://catalog.hathitrust.org/Record/005556257","HathiTrust Record")</f>
        <v>HathiTrust Record</v>
      </c>
      <c r="AV5091" s="6" t="str">
        <f>HYPERLINK("http://mcgill.on.worldcat.org/oclc/53059361","Catalog Record")</f>
        <v>Catalog Record</v>
      </c>
      <c r="AW5091" s="6" t="str">
        <f>HYPERLINK("http://www.worldcat.org/oclc/53059361","WorldCat Record")</f>
        <v>WorldCat Record</v>
      </c>
      <c r="AX5091" s="3" t="s">
        <v>49570</v>
      </c>
      <c r="AY5091" s="3" t="s">
        <v>49571</v>
      </c>
      <c r="AZ5091" s="3" t="s">
        <v>49572</v>
      </c>
      <c r="BA5091" s="3" t="s">
        <v>49572</v>
      </c>
      <c r="BB5091" s="3" t="s">
        <v>49573</v>
      </c>
      <c r="BC5091" s="3" t="s">
        <v>77</v>
      </c>
      <c r="BD5091" s="3" t="s">
        <v>165</v>
      </c>
      <c r="BE5091" s="3" t="s">
        <v>49574</v>
      </c>
      <c r="BF5091" s="3" t="s">
        <v>49573</v>
      </c>
      <c r="BG5091" s="3" t="s">
        <v>49575</v>
      </c>
      <c r="BH5091">
        <f t="shared" si="161"/>
        <v>0</v>
      </c>
    </row>
    <row r="5092" spans="1:60" ht="58" x14ac:dyDescent="0.35">
      <c r="A5092" s="2" t="s">
        <v>1040</v>
      </c>
      <c r="B5092" s="2" t="s">
        <v>60</v>
      </c>
      <c r="C5092" s="2" t="s">
        <v>49576</v>
      </c>
      <c r="D5092" s="2" t="s">
        <v>49577</v>
      </c>
      <c r="E5092" s="2" t="s">
        <v>49578</v>
      </c>
      <c r="G5092" s="3" t="s">
        <v>64</v>
      </c>
      <c r="I5092" s="3" t="s">
        <v>64</v>
      </c>
      <c r="J5092" s="3" t="s">
        <v>64</v>
      </c>
      <c r="K5092" s="3" t="s">
        <v>65</v>
      </c>
      <c r="M5092" s="2" t="s">
        <v>25600</v>
      </c>
      <c r="N5092" s="3" t="s">
        <v>326</v>
      </c>
      <c r="P5092" s="3" t="s">
        <v>102</v>
      </c>
      <c r="R5092" s="3" t="s">
        <v>49178</v>
      </c>
      <c r="S5092" s="4">
        <v>2</v>
      </c>
      <c r="T5092" s="4">
        <v>2</v>
      </c>
      <c r="U5092" s="5" t="s">
        <v>15298</v>
      </c>
      <c r="V5092" s="5" t="s">
        <v>15298</v>
      </c>
      <c r="W5092" s="5" t="s">
        <v>72</v>
      </c>
      <c r="X5092" s="5" t="s">
        <v>72</v>
      </c>
      <c r="Y5092" s="4">
        <v>348</v>
      </c>
      <c r="Z5092" s="4">
        <v>20</v>
      </c>
      <c r="AA5092" s="4">
        <v>101</v>
      </c>
      <c r="AB5092" s="4">
        <v>2</v>
      </c>
      <c r="AC5092" s="4">
        <v>19</v>
      </c>
      <c r="AD5092" s="4">
        <v>83</v>
      </c>
      <c r="AE5092" s="4">
        <v>143</v>
      </c>
      <c r="AF5092" s="4">
        <v>0</v>
      </c>
      <c r="AG5092" s="4">
        <v>8</v>
      </c>
      <c r="AH5092" s="4">
        <v>74</v>
      </c>
      <c r="AI5092" s="4">
        <v>101</v>
      </c>
      <c r="AJ5092" s="4">
        <v>11</v>
      </c>
      <c r="AK5092" s="4">
        <v>25</v>
      </c>
      <c r="AL5092" s="4">
        <v>45</v>
      </c>
      <c r="AM5092" s="4">
        <v>56</v>
      </c>
      <c r="AN5092" s="4">
        <v>0</v>
      </c>
      <c r="AO5092" s="4">
        <v>0</v>
      </c>
      <c r="AP5092" s="4">
        <v>15</v>
      </c>
      <c r="AQ5092" s="4">
        <v>49</v>
      </c>
      <c r="AR5092" s="3" t="s">
        <v>64</v>
      </c>
      <c r="AS5092" s="3" t="s">
        <v>64</v>
      </c>
      <c r="AT5092" s="3" t="s">
        <v>64</v>
      </c>
      <c r="AV5092" s="6" t="str">
        <f>HYPERLINK("http://mcgill.on.worldcat.org/oclc/631747597","Catalog Record")</f>
        <v>Catalog Record</v>
      </c>
      <c r="AW5092" s="6" t="str">
        <f>HYPERLINK("http://www.worldcat.org/oclc/631747597","WorldCat Record")</f>
        <v>WorldCat Record</v>
      </c>
      <c r="AX5092" s="3" t="s">
        <v>49579</v>
      </c>
      <c r="AY5092" s="3" t="s">
        <v>49580</v>
      </c>
      <c r="AZ5092" s="3" t="s">
        <v>49581</v>
      </c>
      <c r="BA5092" s="3" t="s">
        <v>49581</v>
      </c>
      <c r="BB5092" s="3" t="s">
        <v>49582</v>
      </c>
      <c r="BC5092" s="3" t="s">
        <v>77</v>
      </c>
      <c r="BD5092" s="3" t="s">
        <v>78</v>
      </c>
      <c r="BE5092" s="3" t="s">
        <v>49583</v>
      </c>
      <c r="BF5092" s="3" t="s">
        <v>49582</v>
      </c>
      <c r="BG5092" s="3" t="s">
        <v>49584</v>
      </c>
      <c r="BH5092">
        <f t="shared" si="161"/>
        <v>0</v>
      </c>
    </row>
    <row r="5093" spans="1:60" ht="58" x14ac:dyDescent="0.35">
      <c r="A5093" s="2" t="s">
        <v>59</v>
      </c>
      <c r="B5093" s="2" t="s">
        <v>60</v>
      </c>
      <c r="C5093" s="2" t="s">
        <v>49585</v>
      </c>
      <c r="D5093" s="2" t="s">
        <v>49586</v>
      </c>
      <c r="E5093" s="2" t="s">
        <v>49587</v>
      </c>
      <c r="G5093" s="3" t="s">
        <v>64</v>
      </c>
      <c r="I5093" s="3" t="s">
        <v>64</v>
      </c>
      <c r="J5093" s="3" t="s">
        <v>64</v>
      </c>
      <c r="K5093" s="3" t="s">
        <v>65</v>
      </c>
      <c r="L5093" s="2" t="s">
        <v>23524</v>
      </c>
      <c r="M5093" s="2" t="s">
        <v>16217</v>
      </c>
      <c r="N5093" s="3" t="s">
        <v>144</v>
      </c>
      <c r="P5093" s="3" t="s">
        <v>102</v>
      </c>
      <c r="R5093" s="3" t="s">
        <v>49178</v>
      </c>
      <c r="S5093" s="4">
        <v>15</v>
      </c>
      <c r="T5093" s="4">
        <v>15</v>
      </c>
      <c r="U5093" s="5" t="s">
        <v>3284</v>
      </c>
      <c r="V5093" s="5" t="s">
        <v>3284</v>
      </c>
      <c r="W5093" s="5" t="s">
        <v>72</v>
      </c>
      <c r="X5093" s="5" t="s">
        <v>72</v>
      </c>
      <c r="Y5093" s="4">
        <v>342</v>
      </c>
      <c r="Z5093" s="4">
        <v>22</v>
      </c>
      <c r="AA5093" s="4">
        <v>80</v>
      </c>
      <c r="AB5093" s="4">
        <v>3</v>
      </c>
      <c r="AC5093" s="4">
        <v>15</v>
      </c>
      <c r="AD5093" s="4">
        <v>56</v>
      </c>
      <c r="AE5093" s="4">
        <v>101</v>
      </c>
      <c r="AF5093" s="4">
        <v>1</v>
      </c>
      <c r="AG5093" s="4">
        <v>8</v>
      </c>
      <c r="AH5093" s="4">
        <v>48</v>
      </c>
      <c r="AI5093" s="4">
        <v>67</v>
      </c>
      <c r="AJ5093" s="4">
        <v>12</v>
      </c>
      <c r="AK5093" s="4">
        <v>20</v>
      </c>
      <c r="AL5093" s="4">
        <v>25</v>
      </c>
      <c r="AM5093" s="4">
        <v>33</v>
      </c>
      <c r="AN5093" s="4">
        <v>0</v>
      </c>
      <c r="AO5093" s="4">
        <v>0</v>
      </c>
      <c r="AP5093" s="4">
        <v>16</v>
      </c>
      <c r="AQ5093" s="4">
        <v>42</v>
      </c>
      <c r="AR5093" s="3" t="s">
        <v>64</v>
      </c>
      <c r="AS5093" s="3" t="s">
        <v>64</v>
      </c>
      <c r="AT5093" s="3" t="s">
        <v>64</v>
      </c>
      <c r="AV5093" s="6" t="str">
        <f>HYPERLINK("http://mcgill.on.worldcat.org/oclc/156994406","Catalog Record")</f>
        <v>Catalog Record</v>
      </c>
      <c r="AW5093" s="6" t="str">
        <f>HYPERLINK("http://www.worldcat.org/oclc/156994406","WorldCat Record")</f>
        <v>WorldCat Record</v>
      </c>
      <c r="AX5093" s="3" t="s">
        <v>49588</v>
      </c>
      <c r="AY5093" s="3" t="s">
        <v>49589</v>
      </c>
      <c r="AZ5093" s="3" t="s">
        <v>49590</v>
      </c>
      <c r="BA5093" s="3" t="s">
        <v>49590</v>
      </c>
      <c r="BB5093" s="3" t="s">
        <v>49591</v>
      </c>
      <c r="BC5093" s="3" t="s">
        <v>77</v>
      </c>
      <c r="BD5093" s="3" t="s">
        <v>78</v>
      </c>
      <c r="BE5093" s="3" t="s">
        <v>49592</v>
      </c>
      <c r="BF5093" s="3" t="s">
        <v>49591</v>
      </c>
      <c r="BG5093" s="3" t="s">
        <v>49593</v>
      </c>
      <c r="BH5093">
        <f t="shared" si="161"/>
        <v>0</v>
      </c>
    </row>
    <row r="5094" spans="1:60" ht="58" x14ac:dyDescent="0.35">
      <c r="A5094" s="2" t="s">
        <v>59</v>
      </c>
      <c r="B5094" s="2" t="s">
        <v>60</v>
      </c>
      <c r="C5094" s="2" t="s">
        <v>49594</v>
      </c>
      <c r="D5094" s="2" t="s">
        <v>49595</v>
      </c>
      <c r="E5094" s="2" t="s">
        <v>49596</v>
      </c>
      <c r="G5094" s="3" t="s">
        <v>64</v>
      </c>
      <c r="I5094" s="3" t="s">
        <v>64</v>
      </c>
      <c r="J5094" s="3" t="s">
        <v>64</v>
      </c>
      <c r="K5094" s="3" t="s">
        <v>65</v>
      </c>
      <c r="L5094" s="2" t="s">
        <v>23524</v>
      </c>
      <c r="M5094" s="2" t="s">
        <v>17762</v>
      </c>
      <c r="N5094" s="3" t="s">
        <v>326</v>
      </c>
      <c r="P5094" s="3" t="s">
        <v>102</v>
      </c>
      <c r="R5094" s="3" t="s">
        <v>49178</v>
      </c>
      <c r="S5094" s="4">
        <v>5</v>
      </c>
      <c r="T5094" s="4">
        <v>5</v>
      </c>
      <c r="U5094" s="5" t="s">
        <v>3284</v>
      </c>
      <c r="V5094" s="5" t="s">
        <v>3284</v>
      </c>
      <c r="W5094" s="5" t="s">
        <v>72</v>
      </c>
      <c r="X5094" s="5" t="s">
        <v>72</v>
      </c>
      <c r="Y5094" s="4">
        <v>420</v>
      </c>
      <c r="Z5094" s="4">
        <v>29</v>
      </c>
      <c r="AA5094" s="4">
        <v>32</v>
      </c>
      <c r="AB5094" s="4">
        <v>2</v>
      </c>
      <c r="AC5094" s="4">
        <v>5</v>
      </c>
      <c r="AD5094" s="4">
        <v>80</v>
      </c>
      <c r="AE5094" s="4">
        <v>83</v>
      </c>
      <c r="AF5094" s="4">
        <v>1</v>
      </c>
      <c r="AG5094" s="4">
        <v>4</v>
      </c>
      <c r="AH5094" s="4">
        <v>68</v>
      </c>
      <c r="AI5094" s="4">
        <v>68</v>
      </c>
      <c r="AJ5094" s="4">
        <v>14</v>
      </c>
      <c r="AK5094" s="4">
        <v>16</v>
      </c>
      <c r="AL5094" s="4">
        <v>32</v>
      </c>
      <c r="AM5094" s="4">
        <v>32</v>
      </c>
      <c r="AN5094" s="4">
        <v>0</v>
      </c>
      <c r="AO5094" s="4">
        <v>0</v>
      </c>
      <c r="AP5094" s="4">
        <v>21</v>
      </c>
      <c r="AQ5094" s="4">
        <v>23</v>
      </c>
      <c r="AR5094" s="3" t="s">
        <v>64</v>
      </c>
      <c r="AS5094" s="3" t="s">
        <v>64</v>
      </c>
      <c r="AT5094" s="3" t="s">
        <v>64</v>
      </c>
      <c r="AV5094" s="6" t="str">
        <f>HYPERLINK("http://mcgill.on.worldcat.org/oclc/707962822","Catalog Record")</f>
        <v>Catalog Record</v>
      </c>
      <c r="AW5094" s="6" t="str">
        <f>HYPERLINK("http://www.worldcat.org/oclc/707962822","WorldCat Record")</f>
        <v>WorldCat Record</v>
      </c>
      <c r="AX5094" s="3" t="s">
        <v>49597</v>
      </c>
      <c r="AY5094" s="3" t="s">
        <v>49598</v>
      </c>
      <c r="AZ5094" s="3" t="s">
        <v>49599</v>
      </c>
      <c r="BA5094" s="3" t="s">
        <v>49599</v>
      </c>
      <c r="BB5094" s="3" t="s">
        <v>49600</v>
      </c>
      <c r="BC5094" s="3" t="s">
        <v>77</v>
      </c>
      <c r="BD5094" s="3" t="s">
        <v>78</v>
      </c>
      <c r="BE5094" s="3" t="s">
        <v>49601</v>
      </c>
      <c r="BF5094" s="3" t="s">
        <v>49600</v>
      </c>
      <c r="BG5094" s="3" t="s">
        <v>49602</v>
      </c>
      <c r="BH5094">
        <f t="shared" si="161"/>
        <v>0</v>
      </c>
    </row>
    <row r="5095" spans="1:60" ht="58" x14ac:dyDescent="0.35">
      <c r="A5095" s="2" t="s">
        <v>59</v>
      </c>
      <c r="B5095" s="2" t="s">
        <v>60</v>
      </c>
      <c r="C5095" s="2" t="s">
        <v>49603</v>
      </c>
      <c r="D5095" s="2" t="s">
        <v>49604</v>
      </c>
      <c r="E5095" s="2" t="s">
        <v>49605</v>
      </c>
      <c r="G5095" s="3" t="s">
        <v>64</v>
      </c>
      <c r="I5095" s="3" t="s">
        <v>64</v>
      </c>
      <c r="J5095" s="3" t="s">
        <v>64</v>
      </c>
      <c r="K5095" s="3" t="s">
        <v>65</v>
      </c>
      <c r="L5095" s="2" t="s">
        <v>23524</v>
      </c>
      <c r="M5095" s="2" t="s">
        <v>49606</v>
      </c>
      <c r="N5095" s="3" t="s">
        <v>434</v>
      </c>
      <c r="P5095" s="3" t="s">
        <v>102</v>
      </c>
      <c r="R5095" s="3" t="s">
        <v>49178</v>
      </c>
      <c r="S5095" s="4">
        <v>6</v>
      </c>
      <c r="T5095" s="4">
        <v>6</v>
      </c>
      <c r="U5095" s="5" t="s">
        <v>6126</v>
      </c>
      <c r="V5095" s="5" t="s">
        <v>6126</v>
      </c>
      <c r="W5095" s="5" t="s">
        <v>72</v>
      </c>
      <c r="X5095" s="5" t="s">
        <v>72</v>
      </c>
      <c r="Y5095" s="4">
        <v>156</v>
      </c>
      <c r="Z5095" s="4">
        <v>19</v>
      </c>
      <c r="AA5095" s="4">
        <v>21</v>
      </c>
      <c r="AB5095" s="4">
        <v>2</v>
      </c>
      <c r="AC5095" s="4">
        <v>4</v>
      </c>
      <c r="AD5095" s="4">
        <v>55</v>
      </c>
      <c r="AE5095" s="4">
        <v>55</v>
      </c>
      <c r="AF5095" s="4">
        <v>1</v>
      </c>
      <c r="AG5095" s="4">
        <v>1</v>
      </c>
      <c r="AH5095" s="4">
        <v>49</v>
      </c>
      <c r="AI5095" s="4">
        <v>49</v>
      </c>
      <c r="AJ5095" s="4">
        <v>11</v>
      </c>
      <c r="AK5095" s="4">
        <v>11</v>
      </c>
      <c r="AL5095" s="4">
        <v>23</v>
      </c>
      <c r="AM5095" s="4">
        <v>23</v>
      </c>
      <c r="AN5095" s="4">
        <v>0</v>
      </c>
      <c r="AO5095" s="4">
        <v>0</v>
      </c>
      <c r="AP5095" s="4">
        <v>13</v>
      </c>
      <c r="AQ5095" s="4">
        <v>13</v>
      </c>
      <c r="AR5095" s="3" t="s">
        <v>64</v>
      </c>
      <c r="AS5095" s="3" t="s">
        <v>64</v>
      </c>
      <c r="AT5095" s="3" t="s">
        <v>128</v>
      </c>
      <c r="AU5095" s="6" t="str">
        <f>HYPERLINK("http://catalog.hathitrust.org/Record/005082668","HathiTrust Record")</f>
        <v>HathiTrust Record</v>
      </c>
      <c r="AV5095" s="6" t="str">
        <f>HYPERLINK("http://mcgill.on.worldcat.org/oclc/61362031","Catalog Record")</f>
        <v>Catalog Record</v>
      </c>
      <c r="AW5095" s="6" t="str">
        <f>HYPERLINK("http://www.worldcat.org/oclc/61362031","WorldCat Record")</f>
        <v>WorldCat Record</v>
      </c>
      <c r="AX5095" s="3" t="s">
        <v>49607</v>
      </c>
      <c r="AY5095" s="3" t="s">
        <v>49608</v>
      </c>
      <c r="AZ5095" s="3" t="s">
        <v>49609</v>
      </c>
      <c r="BA5095" s="3" t="s">
        <v>49609</v>
      </c>
      <c r="BB5095" s="3" t="s">
        <v>49610</v>
      </c>
      <c r="BC5095" s="3" t="s">
        <v>77</v>
      </c>
      <c r="BD5095" s="3" t="s">
        <v>78</v>
      </c>
      <c r="BE5095" s="3" t="s">
        <v>49611</v>
      </c>
      <c r="BF5095" s="3" t="s">
        <v>49610</v>
      </c>
      <c r="BG5095" s="3" t="s">
        <v>49612</v>
      </c>
      <c r="BH5095">
        <f t="shared" si="161"/>
        <v>0</v>
      </c>
    </row>
    <row r="5096" spans="1:60" ht="58" x14ac:dyDescent="0.35">
      <c r="A5096" s="2" t="s">
        <v>59</v>
      </c>
      <c r="B5096" s="2" t="s">
        <v>60</v>
      </c>
      <c r="C5096" s="2" t="s">
        <v>49613</v>
      </c>
      <c r="D5096" s="2" t="s">
        <v>49614</v>
      </c>
      <c r="E5096" s="2" t="s">
        <v>49615</v>
      </c>
      <c r="G5096" s="3" t="s">
        <v>64</v>
      </c>
      <c r="I5096" s="3" t="s">
        <v>64</v>
      </c>
      <c r="J5096" s="3" t="s">
        <v>64</v>
      </c>
      <c r="K5096" s="3" t="s">
        <v>65</v>
      </c>
      <c r="L5096" s="2" t="s">
        <v>23524</v>
      </c>
      <c r="M5096" s="2" t="s">
        <v>49616</v>
      </c>
      <c r="N5096" s="3" t="s">
        <v>326</v>
      </c>
      <c r="P5096" s="3" t="s">
        <v>102</v>
      </c>
      <c r="Q5096" s="2" t="s">
        <v>49617</v>
      </c>
      <c r="R5096" s="3" t="s">
        <v>49178</v>
      </c>
      <c r="S5096" s="4">
        <v>0</v>
      </c>
      <c r="T5096" s="4">
        <v>0</v>
      </c>
      <c r="W5096" s="5" t="s">
        <v>72</v>
      </c>
      <c r="X5096" s="5" t="s">
        <v>72</v>
      </c>
      <c r="Y5096" s="4">
        <v>6</v>
      </c>
      <c r="Z5096" s="4">
        <v>2</v>
      </c>
      <c r="AA5096" s="4">
        <v>5</v>
      </c>
      <c r="AB5096" s="4">
        <v>1</v>
      </c>
      <c r="AC5096" s="4">
        <v>1</v>
      </c>
      <c r="AD5096" s="4">
        <v>2</v>
      </c>
      <c r="AE5096" s="4">
        <v>4</v>
      </c>
      <c r="AF5096" s="4">
        <v>0</v>
      </c>
      <c r="AG5096" s="4">
        <v>0</v>
      </c>
      <c r="AH5096" s="4">
        <v>2</v>
      </c>
      <c r="AI5096" s="4">
        <v>3</v>
      </c>
      <c r="AJ5096" s="4">
        <v>0</v>
      </c>
      <c r="AK5096" s="4">
        <v>2</v>
      </c>
      <c r="AL5096" s="4">
        <v>2</v>
      </c>
      <c r="AM5096" s="4">
        <v>3</v>
      </c>
      <c r="AN5096" s="4">
        <v>0</v>
      </c>
      <c r="AO5096" s="4">
        <v>0</v>
      </c>
      <c r="AP5096" s="4">
        <v>0</v>
      </c>
      <c r="AQ5096" s="4">
        <v>1</v>
      </c>
      <c r="AR5096" s="3" t="s">
        <v>64</v>
      </c>
      <c r="AS5096" s="3" t="s">
        <v>64</v>
      </c>
      <c r="AT5096" s="3" t="s">
        <v>64</v>
      </c>
      <c r="AV5096" s="6" t="str">
        <f>HYPERLINK("http://mcgill.on.worldcat.org/oclc/712650158","Catalog Record")</f>
        <v>Catalog Record</v>
      </c>
      <c r="AW5096" s="6" t="str">
        <f>HYPERLINK("http://www.worldcat.org/oclc/712650158","WorldCat Record")</f>
        <v>WorldCat Record</v>
      </c>
      <c r="AX5096" s="3" t="s">
        <v>49618</v>
      </c>
      <c r="AY5096" s="3" t="s">
        <v>49619</v>
      </c>
      <c r="AZ5096" s="3" t="s">
        <v>49620</v>
      </c>
      <c r="BA5096" s="3" t="s">
        <v>49620</v>
      </c>
      <c r="BB5096" s="3" t="s">
        <v>49621</v>
      </c>
      <c r="BC5096" s="3" t="s">
        <v>77</v>
      </c>
      <c r="BD5096" s="3" t="s">
        <v>78</v>
      </c>
      <c r="BE5096" s="3" t="s">
        <v>49622</v>
      </c>
      <c r="BF5096" s="3" t="s">
        <v>49621</v>
      </c>
      <c r="BG5096" s="3" t="s">
        <v>49623</v>
      </c>
      <c r="BH5096">
        <f t="shared" si="161"/>
        <v>0</v>
      </c>
    </row>
    <row r="5097" spans="1:60" ht="58" x14ac:dyDescent="0.35">
      <c r="A5097" s="2" t="s">
        <v>59</v>
      </c>
      <c r="B5097" s="2" t="s">
        <v>60</v>
      </c>
      <c r="C5097" s="2" t="s">
        <v>49624</v>
      </c>
      <c r="D5097" s="2" t="s">
        <v>49625</v>
      </c>
      <c r="E5097" s="2" t="s">
        <v>49626</v>
      </c>
      <c r="G5097" s="3" t="s">
        <v>64</v>
      </c>
      <c r="I5097" s="3" t="s">
        <v>64</v>
      </c>
      <c r="J5097" s="3" t="s">
        <v>64</v>
      </c>
      <c r="K5097" s="3" t="s">
        <v>65</v>
      </c>
      <c r="L5097" s="2" t="s">
        <v>18066</v>
      </c>
      <c r="M5097" s="2" t="s">
        <v>49627</v>
      </c>
      <c r="N5097" s="3" t="s">
        <v>326</v>
      </c>
      <c r="P5097" s="3" t="s">
        <v>49628</v>
      </c>
      <c r="Q5097" s="2" t="s">
        <v>49629</v>
      </c>
      <c r="R5097" s="3" t="s">
        <v>49178</v>
      </c>
      <c r="S5097" s="4">
        <v>0</v>
      </c>
      <c r="T5097" s="4">
        <v>0</v>
      </c>
      <c r="W5097" s="5" t="s">
        <v>72</v>
      </c>
      <c r="X5097" s="5" t="s">
        <v>72</v>
      </c>
      <c r="Y5097" s="4">
        <v>1</v>
      </c>
      <c r="Z5097" s="4">
        <v>1</v>
      </c>
      <c r="AA5097" s="4">
        <v>1</v>
      </c>
      <c r="AB5097" s="4">
        <v>1</v>
      </c>
      <c r="AC5097" s="4">
        <v>1</v>
      </c>
      <c r="AD5097" s="4">
        <v>0</v>
      </c>
      <c r="AE5097" s="4">
        <v>0</v>
      </c>
      <c r="AF5097" s="4">
        <v>0</v>
      </c>
      <c r="AG5097" s="4">
        <v>0</v>
      </c>
      <c r="AH5097" s="4">
        <v>0</v>
      </c>
      <c r="AI5097" s="4">
        <v>0</v>
      </c>
      <c r="AJ5097" s="4">
        <v>0</v>
      </c>
      <c r="AK5097" s="4">
        <v>0</v>
      </c>
      <c r="AL5097" s="4">
        <v>0</v>
      </c>
      <c r="AM5097" s="4">
        <v>0</v>
      </c>
      <c r="AN5097" s="4">
        <v>0</v>
      </c>
      <c r="AO5097" s="4">
        <v>0</v>
      </c>
      <c r="AP5097" s="4">
        <v>0</v>
      </c>
      <c r="AQ5097" s="4">
        <v>0</v>
      </c>
      <c r="AR5097" s="3" t="s">
        <v>64</v>
      </c>
      <c r="AS5097" s="3" t="s">
        <v>64</v>
      </c>
      <c r="AT5097" s="3" t="s">
        <v>64</v>
      </c>
      <c r="AV5097" s="6" t="str">
        <f>HYPERLINK("http://mcgill.on.worldcat.org/oclc/871253341","Catalog Record")</f>
        <v>Catalog Record</v>
      </c>
      <c r="AW5097" s="6" t="str">
        <f>HYPERLINK("http://www.worldcat.org/oclc/871253341","WorldCat Record")</f>
        <v>WorldCat Record</v>
      </c>
      <c r="AX5097" s="3" t="s">
        <v>49630</v>
      </c>
      <c r="AY5097" s="3" t="s">
        <v>49631</v>
      </c>
      <c r="AZ5097" s="3" t="s">
        <v>49632</v>
      </c>
      <c r="BA5097" s="3" t="s">
        <v>49632</v>
      </c>
      <c r="BB5097" s="3" t="s">
        <v>49633</v>
      </c>
      <c r="BC5097" s="3" t="s">
        <v>77</v>
      </c>
      <c r="BD5097" s="3" t="s">
        <v>78</v>
      </c>
      <c r="BE5097" s="3" t="s">
        <v>49634</v>
      </c>
      <c r="BF5097" s="3" t="s">
        <v>49633</v>
      </c>
      <c r="BG5097" s="3" t="s">
        <v>49635</v>
      </c>
      <c r="BH5097">
        <f t="shared" si="161"/>
        <v>0</v>
      </c>
    </row>
    <row r="5098" spans="1:60" ht="116" x14ac:dyDescent="0.35">
      <c r="A5098" s="2" t="s">
        <v>59</v>
      </c>
      <c r="B5098" s="2" t="s">
        <v>1183</v>
      </c>
      <c r="C5098" s="2" t="s">
        <v>49636</v>
      </c>
      <c r="D5098" s="2" t="s">
        <v>49637</v>
      </c>
      <c r="E5098" s="2" t="s">
        <v>49638</v>
      </c>
      <c r="G5098" s="3" t="s">
        <v>64</v>
      </c>
      <c r="I5098" s="3" t="s">
        <v>64</v>
      </c>
      <c r="J5098" s="3" t="s">
        <v>64</v>
      </c>
      <c r="K5098" s="3" t="s">
        <v>65</v>
      </c>
      <c r="L5098" s="2" t="s">
        <v>23524</v>
      </c>
      <c r="M5098" s="2" t="s">
        <v>49639</v>
      </c>
      <c r="N5098" s="3" t="s">
        <v>326</v>
      </c>
      <c r="P5098" s="3" t="s">
        <v>1190</v>
      </c>
      <c r="Q5098" s="2" t="s">
        <v>49640</v>
      </c>
      <c r="R5098" s="3" t="s">
        <v>49178</v>
      </c>
      <c r="S5098" s="4">
        <v>0</v>
      </c>
      <c r="T5098" s="4">
        <v>0</v>
      </c>
      <c r="W5098" s="5" t="s">
        <v>72</v>
      </c>
      <c r="X5098" s="5" t="s">
        <v>72</v>
      </c>
      <c r="Y5098" s="4">
        <v>1</v>
      </c>
      <c r="Z5098" s="4">
        <v>1</v>
      </c>
      <c r="AA5098" s="4">
        <v>1</v>
      </c>
      <c r="AB5098" s="4">
        <v>1</v>
      </c>
      <c r="AC5098" s="4">
        <v>1</v>
      </c>
      <c r="AD5098" s="4">
        <v>0</v>
      </c>
      <c r="AE5098" s="4">
        <v>0</v>
      </c>
      <c r="AF5098" s="4">
        <v>0</v>
      </c>
      <c r="AG5098" s="4">
        <v>0</v>
      </c>
      <c r="AH5098" s="4">
        <v>0</v>
      </c>
      <c r="AI5098" s="4">
        <v>0</v>
      </c>
      <c r="AJ5098" s="4">
        <v>0</v>
      </c>
      <c r="AK5098" s="4">
        <v>0</v>
      </c>
      <c r="AL5098" s="4">
        <v>0</v>
      </c>
      <c r="AM5098" s="4">
        <v>0</v>
      </c>
      <c r="AN5098" s="4">
        <v>0</v>
      </c>
      <c r="AO5098" s="4">
        <v>0</v>
      </c>
      <c r="AP5098" s="4">
        <v>0</v>
      </c>
      <c r="AQ5098" s="4">
        <v>0</v>
      </c>
      <c r="AR5098" s="3" t="s">
        <v>64</v>
      </c>
      <c r="AS5098" s="3" t="s">
        <v>64</v>
      </c>
      <c r="AT5098" s="3" t="s">
        <v>64</v>
      </c>
      <c r="AV5098" s="6" t="str">
        <f>HYPERLINK("http://mcgill.on.worldcat.org/oclc/813846764","Catalog Record")</f>
        <v>Catalog Record</v>
      </c>
      <c r="AW5098" s="6" t="str">
        <f>HYPERLINK("http://www.worldcat.org/oclc/813846764","WorldCat Record")</f>
        <v>WorldCat Record</v>
      </c>
      <c r="AX5098" s="3" t="s">
        <v>49641</v>
      </c>
      <c r="AY5098" s="3" t="s">
        <v>49642</v>
      </c>
      <c r="AZ5098" s="3" t="s">
        <v>49643</v>
      </c>
      <c r="BA5098" s="3" t="s">
        <v>49643</v>
      </c>
      <c r="BB5098" s="3" t="s">
        <v>49644</v>
      </c>
      <c r="BC5098" s="3" t="s">
        <v>77</v>
      </c>
      <c r="BD5098" s="3" t="s">
        <v>78</v>
      </c>
      <c r="BE5098" s="3" t="s">
        <v>49645</v>
      </c>
      <c r="BF5098" s="3" t="s">
        <v>49644</v>
      </c>
      <c r="BG5098" s="3" t="s">
        <v>49646</v>
      </c>
      <c r="BH5098">
        <f t="shared" si="161"/>
        <v>0</v>
      </c>
    </row>
    <row r="5099" spans="1:60" ht="72.5" x14ac:dyDescent="0.35">
      <c r="A5099" s="2" t="s">
        <v>59</v>
      </c>
      <c r="B5099" s="2" t="s">
        <v>60</v>
      </c>
      <c r="C5099" s="2" t="s">
        <v>49647</v>
      </c>
      <c r="D5099" s="2" t="s">
        <v>49648</v>
      </c>
      <c r="E5099" s="2" t="s">
        <v>49649</v>
      </c>
      <c r="G5099" s="3" t="s">
        <v>64</v>
      </c>
      <c r="I5099" s="3" t="s">
        <v>64</v>
      </c>
      <c r="J5099" s="3" t="s">
        <v>64</v>
      </c>
      <c r="K5099" s="3" t="s">
        <v>65</v>
      </c>
      <c r="L5099" s="2" t="s">
        <v>18066</v>
      </c>
      <c r="M5099" s="2" t="s">
        <v>49639</v>
      </c>
      <c r="N5099" s="3" t="s">
        <v>326</v>
      </c>
      <c r="P5099" s="3" t="s">
        <v>68</v>
      </c>
      <c r="Q5099" s="2" t="s">
        <v>49650</v>
      </c>
      <c r="R5099" s="3" t="s">
        <v>49178</v>
      </c>
      <c r="S5099" s="4">
        <v>0</v>
      </c>
      <c r="T5099" s="4">
        <v>0</v>
      </c>
      <c r="W5099" s="5" t="s">
        <v>72</v>
      </c>
      <c r="X5099" s="5" t="s">
        <v>72</v>
      </c>
      <c r="Y5099" s="4">
        <v>2</v>
      </c>
      <c r="Z5099" s="4">
        <v>1</v>
      </c>
      <c r="AA5099" s="4">
        <v>1</v>
      </c>
      <c r="AB5099" s="4">
        <v>1</v>
      </c>
      <c r="AC5099" s="4">
        <v>1</v>
      </c>
      <c r="AD5099" s="4">
        <v>0</v>
      </c>
      <c r="AE5099" s="4">
        <v>0</v>
      </c>
      <c r="AF5099" s="4">
        <v>0</v>
      </c>
      <c r="AG5099" s="4">
        <v>0</v>
      </c>
      <c r="AH5099" s="4">
        <v>0</v>
      </c>
      <c r="AI5099" s="4">
        <v>0</v>
      </c>
      <c r="AJ5099" s="4">
        <v>0</v>
      </c>
      <c r="AK5099" s="4">
        <v>0</v>
      </c>
      <c r="AL5099" s="4">
        <v>0</v>
      </c>
      <c r="AM5099" s="4">
        <v>0</v>
      </c>
      <c r="AN5099" s="4">
        <v>0</v>
      </c>
      <c r="AO5099" s="4">
        <v>0</v>
      </c>
      <c r="AP5099" s="4">
        <v>0</v>
      </c>
      <c r="AQ5099" s="4">
        <v>0</v>
      </c>
      <c r="AR5099" s="3" t="s">
        <v>64</v>
      </c>
      <c r="AS5099" s="3" t="s">
        <v>64</v>
      </c>
      <c r="AT5099" s="3" t="s">
        <v>64</v>
      </c>
      <c r="AV5099" s="6" t="str">
        <f>HYPERLINK("http://mcgill.on.worldcat.org/oclc/864890402","Catalog Record")</f>
        <v>Catalog Record</v>
      </c>
      <c r="AW5099" s="6" t="str">
        <f>HYPERLINK("http://www.worldcat.org/oclc/864890402","WorldCat Record")</f>
        <v>WorldCat Record</v>
      </c>
      <c r="AX5099" s="3" t="s">
        <v>49651</v>
      </c>
      <c r="AY5099" s="3" t="s">
        <v>49652</v>
      </c>
      <c r="AZ5099" s="3" t="s">
        <v>49653</v>
      </c>
      <c r="BA5099" s="3" t="s">
        <v>49653</v>
      </c>
      <c r="BB5099" s="3" t="s">
        <v>49654</v>
      </c>
      <c r="BC5099" s="3" t="s">
        <v>77</v>
      </c>
      <c r="BD5099" s="3" t="s">
        <v>78</v>
      </c>
      <c r="BE5099" s="3" t="s">
        <v>49655</v>
      </c>
      <c r="BF5099" s="3" t="s">
        <v>49654</v>
      </c>
      <c r="BG5099" s="3" t="s">
        <v>49656</v>
      </c>
      <c r="BH5099">
        <f t="shared" si="161"/>
        <v>0</v>
      </c>
    </row>
    <row r="5100" spans="1:60" ht="72.5" x14ac:dyDescent="0.35">
      <c r="A5100" s="2" t="s">
        <v>59</v>
      </c>
      <c r="B5100" s="2" t="s">
        <v>60</v>
      </c>
      <c r="C5100" s="2" t="s">
        <v>49657</v>
      </c>
      <c r="D5100" s="2" t="s">
        <v>49658</v>
      </c>
      <c r="E5100" s="2" t="s">
        <v>49659</v>
      </c>
      <c r="G5100" s="3" t="s">
        <v>64</v>
      </c>
      <c r="I5100" s="3" t="s">
        <v>64</v>
      </c>
      <c r="J5100" s="3" t="s">
        <v>64</v>
      </c>
      <c r="K5100" s="3" t="s">
        <v>65</v>
      </c>
      <c r="L5100" s="2" t="s">
        <v>18066</v>
      </c>
      <c r="M5100" s="2" t="s">
        <v>49660</v>
      </c>
      <c r="N5100" s="3" t="s">
        <v>326</v>
      </c>
      <c r="P5100" s="3" t="s">
        <v>944</v>
      </c>
      <c r="Q5100" s="2" t="s">
        <v>49661</v>
      </c>
      <c r="R5100" s="3" t="s">
        <v>49178</v>
      </c>
      <c r="S5100" s="4">
        <v>0</v>
      </c>
      <c r="T5100" s="4">
        <v>0</v>
      </c>
      <c r="W5100" s="5" t="s">
        <v>72</v>
      </c>
      <c r="X5100" s="5" t="s">
        <v>72</v>
      </c>
      <c r="Y5100" s="4">
        <v>1</v>
      </c>
      <c r="Z5100" s="4">
        <v>1</v>
      </c>
      <c r="AA5100" s="4">
        <v>1</v>
      </c>
      <c r="AB5100" s="4">
        <v>1</v>
      </c>
      <c r="AC5100" s="4">
        <v>1</v>
      </c>
      <c r="AD5100" s="4">
        <v>0</v>
      </c>
      <c r="AE5100" s="4">
        <v>0</v>
      </c>
      <c r="AF5100" s="4">
        <v>0</v>
      </c>
      <c r="AG5100" s="4">
        <v>0</v>
      </c>
      <c r="AH5100" s="4">
        <v>0</v>
      </c>
      <c r="AI5100" s="4">
        <v>0</v>
      </c>
      <c r="AJ5100" s="4">
        <v>0</v>
      </c>
      <c r="AK5100" s="4">
        <v>0</v>
      </c>
      <c r="AL5100" s="4">
        <v>0</v>
      </c>
      <c r="AM5100" s="4">
        <v>0</v>
      </c>
      <c r="AN5100" s="4">
        <v>0</v>
      </c>
      <c r="AO5100" s="4">
        <v>0</v>
      </c>
      <c r="AP5100" s="4">
        <v>0</v>
      </c>
      <c r="AQ5100" s="4">
        <v>0</v>
      </c>
      <c r="AR5100" s="3" t="s">
        <v>64</v>
      </c>
      <c r="AS5100" s="3" t="s">
        <v>64</v>
      </c>
      <c r="AT5100" s="3" t="s">
        <v>64</v>
      </c>
      <c r="AV5100" s="6" t="str">
        <f>HYPERLINK("http://mcgill.on.worldcat.org/oclc/865748110","Catalog Record")</f>
        <v>Catalog Record</v>
      </c>
      <c r="AW5100" s="6" t="str">
        <f>HYPERLINK("http://www.worldcat.org/oclc/865748110","WorldCat Record")</f>
        <v>WorldCat Record</v>
      </c>
      <c r="AX5100" s="3" t="s">
        <v>49662</v>
      </c>
      <c r="AY5100" s="3" t="s">
        <v>49663</v>
      </c>
      <c r="AZ5100" s="3" t="s">
        <v>49664</v>
      </c>
      <c r="BA5100" s="3" t="s">
        <v>49664</v>
      </c>
      <c r="BB5100" s="3" t="s">
        <v>49665</v>
      </c>
      <c r="BC5100" s="3" t="s">
        <v>77</v>
      </c>
      <c r="BD5100" s="3" t="s">
        <v>78</v>
      </c>
      <c r="BE5100" s="3" t="s">
        <v>49666</v>
      </c>
      <c r="BF5100" s="3" t="s">
        <v>49665</v>
      </c>
      <c r="BG5100" s="3" t="s">
        <v>49667</v>
      </c>
      <c r="BH5100">
        <f t="shared" si="161"/>
        <v>0</v>
      </c>
    </row>
    <row r="5101" spans="1:60" ht="58" x14ac:dyDescent="0.35">
      <c r="A5101" s="2" t="s">
        <v>59</v>
      </c>
      <c r="B5101" s="2" t="s">
        <v>60</v>
      </c>
      <c r="C5101" s="2" t="s">
        <v>49668</v>
      </c>
      <c r="D5101" s="2" t="s">
        <v>49669</v>
      </c>
      <c r="E5101" s="2" t="s">
        <v>49670</v>
      </c>
      <c r="G5101" s="3" t="s">
        <v>64</v>
      </c>
      <c r="I5101" s="3" t="s">
        <v>64</v>
      </c>
      <c r="J5101" s="3" t="s">
        <v>64</v>
      </c>
      <c r="K5101" s="3" t="s">
        <v>65</v>
      </c>
      <c r="L5101" s="2" t="s">
        <v>18066</v>
      </c>
      <c r="M5101" s="2" t="s">
        <v>49671</v>
      </c>
      <c r="N5101" s="3" t="s">
        <v>326</v>
      </c>
      <c r="P5101" s="3" t="s">
        <v>1479</v>
      </c>
      <c r="Q5101" s="2" t="s">
        <v>49672</v>
      </c>
      <c r="R5101" s="3" t="s">
        <v>49178</v>
      </c>
      <c r="S5101" s="4">
        <v>0</v>
      </c>
      <c r="T5101" s="4">
        <v>0</v>
      </c>
      <c r="W5101" s="5" t="s">
        <v>72</v>
      </c>
      <c r="X5101" s="5" t="s">
        <v>72</v>
      </c>
      <c r="Y5101" s="4">
        <v>1</v>
      </c>
      <c r="Z5101" s="4">
        <v>1</v>
      </c>
      <c r="AA5101" s="4">
        <v>1</v>
      </c>
      <c r="AB5101" s="4">
        <v>1</v>
      </c>
      <c r="AC5101" s="4">
        <v>1</v>
      </c>
      <c r="AD5101" s="4">
        <v>0</v>
      </c>
      <c r="AE5101" s="4">
        <v>0</v>
      </c>
      <c r="AF5101" s="4">
        <v>0</v>
      </c>
      <c r="AG5101" s="4">
        <v>0</v>
      </c>
      <c r="AH5101" s="4">
        <v>0</v>
      </c>
      <c r="AI5101" s="4">
        <v>0</v>
      </c>
      <c r="AJ5101" s="4">
        <v>0</v>
      </c>
      <c r="AK5101" s="4">
        <v>0</v>
      </c>
      <c r="AL5101" s="4">
        <v>0</v>
      </c>
      <c r="AM5101" s="4">
        <v>0</v>
      </c>
      <c r="AN5101" s="4">
        <v>0</v>
      </c>
      <c r="AO5101" s="4">
        <v>0</v>
      </c>
      <c r="AP5101" s="4">
        <v>0</v>
      </c>
      <c r="AQ5101" s="4">
        <v>0</v>
      </c>
      <c r="AR5101" s="3" t="s">
        <v>64</v>
      </c>
      <c r="AS5101" s="3" t="s">
        <v>64</v>
      </c>
      <c r="AT5101" s="3" t="s">
        <v>64</v>
      </c>
      <c r="AV5101" s="6" t="str">
        <f>HYPERLINK("http://mcgill.on.worldcat.org/oclc/864892879","Catalog Record")</f>
        <v>Catalog Record</v>
      </c>
      <c r="AW5101" s="6" t="str">
        <f>HYPERLINK("http://www.worldcat.org/oclc/864892879","WorldCat Record")</f>
        <v>WorldCat Record</v>
      </c>
      <c r="AX5101" s="3" t="s">
        <v>49673</v>
      </c>
      <c r="AY5101" s="3" t="s">
        <v>49674</v>
      </c>
      <c r="AZ5101" s="3" t="s">
        <v>49675</v>
      </c>
      <c r="BA5101" s="3" t="s">
        <v>49675</v>
      </c>
      <c r="BB5101" s="3" t="s">
        <v>49676</v>
      </c>
      <c r="BC5101" s="3" t="s">
        <v>77</v>
      </c>
      <c r="BD5101" s="3" t="s">
        <v>78</v>
      </c>
      <c r="BE5101" s="3" t="s">
        <v>49677</v>
      </c>
      <c r="BF5101" s="3" t="s">
        <v>49676</v>
      </c>
      <c r="BG5101" s="3" t="s">
        <v>49678</v>
      </c>
      <c r="BH5101">
        <f t="shared" si="161"/>
        <v>0</v>
      </c>
    </row>
    <row r="5102" spans="1:60" ht="58" x14ac:dyDescent="0.35">
      <c r="A5102" s="2" t="s">
        <v>59</v>
      </c>
      <c r="B5102" s="2" t="s">
        <v>60</v>
      </c>
      <c r="C5102" s="2" t="s">
        <v>49679</v>
      </c>
      <c r="D5102" s="2" t="s">
        <v>49680</v>
      </c>
      <c r="E5102" s="2" t="s">
        <v>49681</v>
      </c>
      <c r="G5102" s="3" t="s">
        <v>64</v>
      </c>
      <c r="I5102" s="3" t="s">
        <v>64</v>
      </c>
      <c r="J5102" s="3" t="s">
        <v>64</v>
      </c>
      <c r="K5102" s="3" t="s">
        <v>65</v>
      </c>
      <c r="L5102" s="2" t="s">
        <v>49682</v>
      </c>
      <c r="M5102" s="2" t="s">
        <v>15674</v>
      </c>
      <c r="N5102" s="3" t="s">
        <v>253</v>
      </c>
      <c r="P5102" s="3" t="s">
        <v>102</v>
      </c>
      <c r="R5102" s="3" t="s">
        <v>49178</v>
      </c>
      <c r="S5102" s="4">
        <v>6</v>
      </c>
      <c r="T5102" s="4">
        <v>6</v>
      </c>
      <c r="U5102" s="5" t="s">
        <v>8491</v>
      </c>
      <c r="V5102" s="5" t="s">
        <v>8491</v>
      </c>
      <c r="W5102" s="5" t="s">
        <v>72</v>
      </c>
      <c r="X5102" s="5" t="s">
        <v>72</v>
      </c>
      <c r="Y5102" s="4">
        <v>163</v>
      </c>
      <c r="Z5102" s="4">
        <v>12</v>
      </c>
      <c r="AA5102" s="4">
        <v>75</v>
      </c>
      <c r="AB5102" s="4">
        <v>1</v>
      </c>
      <c r="AC5102" s="4">
        <v>15</v>
      </c>
      <c r="AD5102" s="4">
        <v>35</v>
      </c>
      <c r="AE5102" s="4">
        <v>93</v>
      </c>
      <c r="AF5102" s="4">
        <v>0</v>
      </c>
      <c r="AG5102" s="4">
        <v>8</v>
      </c>
      <c r="AH5102" s="4">
        <v>31</v>
      </c>
      <c r="AI5102" s="4">
        <v>61</v>
      </c>
      <c r="AJ5102" s="4">
        <v>8</v>
      </c>
      <c r="AK5102" s="4">
        <v>19</v>
      </c>
      <c r="AL5102" s="4">
        <v>22</v>
      </c>
      <c r="AM5102" s="4">
        <v>36</v>
      </c>
      <c r="AN5102" s="4">
        <v>0</v>
      </c>
      <c r="AO5102" s="4">
        <v>0</v>
      </c>
      <c r="AP5102" s="4">
        <v>8</v>
      </c>
      <c r="AQ5102" s="4">
        <v>38</v>
      </c>
      <c r="AR5102" s="3" t="s">
        <v>64</v>
      </c>
      <c r="AS5102" s="3" t="s">
        <v>64</v>
      </c>
      <c r="AT5102" s="3" t="s">
        <v>64</v>
      </c>
      <c r="AV5102" s="6" t="str">
        <f>HYPERLINK("http://mcgill.on.worldcat.org/oclc/919338254","Catalog Record")</f>
        <v>Catalog Record</v>
      </c>
      <c r="AW5102" s="6" t="str">
        <f>HYPERLINK("http://www.worldcat.org/oclc/919338254","WorldCat Record")</f>
        <v>WorldCat Record</v>
      </c>
      <c r="AX5102" s="3" t="s">
        <v>49683</v>
      </c>
      <c r="AY5102" s="3" t="s">
        <v>49684</v>
      </c>
      <c r="AZ5102" s="3" t="s">
        <v>49685</v>
      </c>
      <c r="BA5102" s="3" t="s">
        <v>49685</v>
      </c>
      <c r="BB5102" s="3" t="s">
        <v>49686</v>
      </c>
      <c r="BC5102" s="3" t="s">
        <v>77</v>
      </c>
      <c r="BD5102" s="3" t="s">
        <v>165</v>
      </c>
      <c r="BE5102" s="3" t="s">
        <v>49687</v>
      </c>
      <c r="BF5102" s="3" t="s">
        <v>49686</v>
      </c>
      <c r="BG5102" s="3" t="s">
        <v>49688</v>
      </c>
      <c r="BH5102">
        <f t="shared" si="161"/>
        <v>0</v>
      </c>
    </row>
    <row r="5103" spans="1:60" ht="58" x14ac:dyDescent="0.35">
      <c r="A5103" s="2" t="s">
        <v>59</v>
      </c>
      <c r="B5103" s="2" t="s">
        <v>60</v>
      </c>
      <c r="C5103" s="2" t="s">
        <v>49689</v>
      </c>
      <c r="D5103" s="2" t="s">
        <v>49690</v>
      </c>
      <c r="E5103" s="2" t="s">
        <v>49691</v>
      </c>
      <c r="G5103" s="3" t="s">
        <v>64</v>
      </c>
      <c r="I5103" s="3" t="s">
        <v>64</v>
      </c>
      <c r="J5103" s="3" t="s">
        <v>64</v>
      </c>
      <c r="K5103" s="3" t="s">
        <v>65</v>
      </c>
      <c r="L5103" s="2" t="s">
        <v>49692</v>
      </c>
      <c r="M5103" s="2" t="s">
        <v>40196</v>
      </c>
      <c r="N5103" s="3" t="s">
        <v>511</v>
      </c>
      <c r="P5103" s="3" t="s">
        <v>102</v>
      </c>
      <c r="R5103" s="3" t="s">
        <v>49178</v>
      </c>
      <c r="S5103" s="4">
        <v>2</v>
      </c>
      <c r="T5103" s="4">
        <v>2</v>
      </c>
      <c r="U5103" s="5" t="s">
        <v>33994</v>
      </c>
      <c r="V5103" s="5" t="s">
        <v>33994</v>
      </c>
      <c r="W5103" s="5" t="s">
        <v>72</v>
      </c>
      <c r="X5103" s="5" t="s">
        <v>72</v>
      </c>
      <c r="Y5103" s="4">
        <v>251</v>
      </c>
      <c r="Z5103" s="4">
        <v>12</v>
      </c>
      <c r="AA5103" s="4">
        <v>19</v>
      </c>
      <c r="AB5103" s="4">
        <v>1</v>
      </c>
      <c r="AC5103" s="4">
        <v>5</v>
      </c>
      <c r="AD5103" s="4">
        <v>36</v>
      </c>
      <c r="AE5103" s="4">
        <v>47</v>
      </c>
      <c r="AF5103" s="4">
        <v>0</v>
      </c>
      <c r="AG5103" s="4">
        <v>2</v>
      </c>
      <c r="AH5103" s="4">
        <v>34</v>
      </c>
      <c r="AI5103" s="4">
        <v>42</v>
      </c>
      <c r="AJ5103" s="4">
        <v>5</v>
      </c>
      <c r="AK5103" s="4">
        <v>10</v>
      </c>
      <c r="AL5103" s="4">
        <v>17</v>
      </c>
      <c r="AM5103" s="4">
        <v>21</v>
      </c>
      <c r="AN5103" s="4">
        <v>0</v>
      </c>
      <c r="AO5103" s="4">
        <v>0</v>
      </c>
      <c r="AP5103" s="4">
        <v>7</v>
      </c>
      <c r="AQ5103" s="4">
        <v>11</v>
      </c>
      <c r="AR5103" s="3" t="s">
        <v>64</v>
      </c>
      <c r="AS5103" s="3" t="s">
        <v>64</v>
      </c>
      <c r="AT5103" s="3" t="s">
        <v>64</v>
      </c>
      <c r="AV5103" s="6" t="str">
        <f>HYPERLINK("http://mcgill.on.worldcat.org/oclc/468232748","Catalog Record")</f>
        <v>Catalog Record</v>
      </c>
      <c r="AW5103" s="6" t="str">
        <f>HYPERLINK("http://www.worldcat.org/oclc/468232748","WorldCat Record")</f>
        <v>WorldCat Record</v>
      </c>
      <c r="AX5103" s="3" t="s">
        <v>49693</v>
      </c>
      <c r="AY5103" s="3" t="s">
        <v>49694</v>
      </c>
      <c r="AZ5103" s="3" t="s">
        <v>49695</v>
      </c>
      <c r="BA5103" s="3" t="s">
        <v>49695</v>
      </c>
      <c r="BB5103" s="3" t="s">
        <v>49696</v>
      </c>
      <c r="BC5103" s="3" t="s">
        <v>77</v>
      </c>
      <c r="BD5103" s="3" t="s">
        <v>78</v>
      </c>
      <c r="BE5103" s="3" t="s">
        <v>49697</v>
      </c>
      <c r="BF5103" s="3" t="s">
        <v>49696</v>
      </c>
      <c r="BG5103" s="3" t="s">
        <v>49698</v>
      </c>
      <c r="BH5103">
        <f t="shared" si="161"/>
        <v>0</v>
      </c>
    </row>
    <row r="5104" spans="1:60" ht="58" x14ac:dyDescent="0.35">
      <c r="A5104" s="2" t="s">
        <v>59</v>
      </c>
      <c r="B5104" s="2" t="s">
        <v>60</v>
      </c>
      <c r="C5104" s="2" t="s">
        <v>49699</v>
      </c>
      <c r="D5104" s="2" t="s">
        <v>49700</v>
      </c>
      <c r="E5104" s="2" t="s">
        <v>49701</v>
      </c>
      <c r="G5104" s="3" t="s">
        <v>64</v>
      </c>
      <c r="I5104" s="3" t="s">
        <v>64</v>
      </c>
      <c r="J5104" s="3" t="s">
        <v>64</v>
      </c>
      <c r="K5104" s="3" t="s">
        <v>65</v>
      </c>
      <c r="L5104" s="2" t="s">
        <v>49702</v>
      </c>
      <c r="M5104" s="2" t="s">
        <v>16217</v>
      </c>
      <c r="N5104" s="3" t="s">
        <v>144</v>
      </c>
      <c r="P5104" s="3" t="s">
        <v>102</v>
      </c>
      <c r="R5104" s="3" t="s">
        <v>49178</v>
      </c>
      <c r="S5104" s="4">
        <v>16</v>
      </c>
      <c r="T5104" s="4">
        <v>16</v>
      </c>
      <c r="U5104" s="5" t="s">
        <v>2091</v>
      </c>
      <c r="V5104" s="5" t="s">
        <v>2091</v>
      </c>
      <c r="W5104" s="5" t="s">
        <v>72</v>
      </c>
      <c r="X5104" s="5" t="s">
        <v>72</v>
      </c>
      <c r="Y5104" s="4">
        <v>539</v>
      </c>
      <c r="Z5104" s="4">
        <v>25</v>
      </c>
      <c r="AA5104" s="4">
        <v>25</v>
      </c>
      <c r="AB5104" s="4">
        <v>2</v>
      </c>
      <c r="AC5104" s="4">
        <v>2</v>
      </c>
      <c r="AD5104" s="4">
        <v>76</v>
      </c>
      <c r="AE5104" s="4">
        <v>77</v>
      </c>
      <c r="AF5104" s="4">
        <v>1</v>
      </c>
      <c r="AG5104" s="4">
        <v>1</v>
      </c>
      <c r="AH5104" s="4">
        <v>65</v>
      </c>
      <c r="AI5104" s="4">
        <v>66</v>
      </c>
      <c r="AJ5104" s="4">
        <v>12</v>
      </c>
      <c r="AK5104" s="4">
        <v>12</v>
      </c>
      <c r="AL5104" s="4">
        <v>29</v>
      </c>
      <c r="AM5104" s="4">
        <v>30</v>
      </c>
      <c r="AN5104" s="4">
        <v>0</v>
      </c>
      <c r="AO5104" s="4">
        <v>0</v>
      </c>
      <c r="AP5104" s="4">
        <v>19</v>
      </c>
      <c r="AQ5104" s="4">
        <v>19</v>
      </c>
      <c r="AR5104" s="3" t="s">
        <v>64</v>
      </c>
      <c r="AS5104" s="3" t="s">
        <v>64</v>
      </c>
      <c r="AT5104" s="3" t="s">
        <v>64</v>
      </c>
      <c r="AV5104" s="6" t="str">
        <f>HYPERLINK("http://mcgill.on.worldcat.org/oclc/123968252","Catalog Record")</f>
        <v>Catalog Record</v>
      </c>
      <c r="AW5104" s="6" t="str">
        <f>HYPERLINK("http://www.worldcat.org/oclc/123968252","WorldCat Record")</f>
        <v>WorldCat Record</v>
      </c>
      <c r="AX5104" s="3" t="s">
        <v>49703</v>
      </c>
      <c r="AY5104" s="3" t="s">
        <v>49704</v>
      </c>
      <c r="AZ5104" s="3" t="s">
        <v>49705</v>
      </c>
      <c r="BA5104" s="3" t="s">
        <v>49705</v>
      </c>
      <c r="BB5104" s="3" t="s">
        <v>49706</v>
      </c>
      <c r="BC5104" s="3" t="s">
        <v>77</v>
      </c>
      <c r="BD5104" s="3" t="s">
        <v>78</v>
      </c>
      <c r="BE5104" s="3" t="s">
        <v>49707</v>
      </c>
      <c r="BF5104" s="3" t="s">
        <v>49706</v>
      </c>
      <c r="BG5104" s="3" t="s">
        <v>49708</v>
      </c>
      <c r="BH5104">
        <f t="shared" si="161"/>
        <v>0</v>
      </c>
    </row>
    <row r="5105" spans="1:60" ht="58" x14ac:dyDescent="0.35">
      <c r="A5105" s="2" t="s">
        <v>59</v>
      </c>
      <c r="B5105" s="2" t="s">
        <v>60</v>
      </c>
      <c r="C5105" s="2" t="s">
        <v>49709</v>
      </c>
      <c r="D5105" s="2" t="s">
        <v>49710</v>
      </c>
      <c r="E5105" s="2" t="s">
        <v>49711</v>
      </c>
      <c r="F5105" s="3" t="s">
        <v>49712</v>
      </c>
      <c r="G5105" s="3" t="s">
        <v>64</v>
      </c>
      <c r="I5105" s="3" t="s">
        <v>64</v>
      </c>
      <c r="J5105" s="3" t="s">
        <v>128</v>
      </c>
      <c r="K5105" s="3" t="s">
        <v>65</v>
      </c>
      <c r="L5105" s="2" t="s">
        <v>29517</v>
      </c>
      <c r="M5105" s="2" t="s">
        <v>49713</v>
      </c>
      <c r="N5105" s="3" t="s">
        <v>116</v>
      </c>
      <c r="P5105" s="3" t="s">
        <v>102</v>
      </c>
      <c r="Q5105" s="2" t="s">
        <v>29518</v>
      </c>
      <c r="R5105" s="3" t="s">
        <v>49178</v>
      </c>
      <c r="S5105" s="4">
        <v>126</v>
      </c>
      <c r="T5105" s="4">
        <v>126</v>
      </c>
      <c r="U5105" s="5" t="s">
        <v>173</v>
      </c>
      <c r="V5105" s="5" t="s">
        <v>173</v>
      </c>
      <c r="W5105" s="5" t="s">
        <v>72</v>
      </c>
      <c r="X5105" s="5" t="s">
        <v>72</v>
      </c>
      <c r="Y5105" s="4">
        <v>889</v>
      </c>
      <c r="Z5105" s="4">
        <v>39</v>
      </c>
      <c r="AA5105" s="4">
        <v>61</v>
      </c>
      <c r="AB5105" s="4">
        <v>5</v>
      </c>
      <c r="AC5105" s="4">
        <v>8</v>
      </c>
      <c r="AD5105" s="4">
        <v>109</v>
      </c>
      <c r="AE5105" s="4">
        <v>129</v>
      </c>
      <c r="AF5105" s="4">
        <v>2</v>
      </c>
      <c r="AG5105" s="4">
        <v>5</v>
      </c>
      <c r="AH5105" s="4">
        <v>88</v>
      </c>
      <c r="AI5105" s="4">
        <v>99</v>
      </c>
      <c r="AJ5105" s="4">
        <v>18</v>
      </c>
      <c r="AK5105" s="4">
        <v>23</v>
      </c>
      <c r="AL5105" s="4">
        <v>47</v>
      </c>
      <c r="AM5105" s="4">
        <v>53</v>
      </c>
      <c r="AN5105" s="4">
        <v>0</v>
      </c>
      <c r="AO5105" s="4">
        <v>0</v>
      </c>
      <c r="AP5105" s="4">
        <v>27</v>
      </c>
      <c r="AQ5105" s="4">
        <v>37</v>
      </c>
      <c r="AR5105" s="3" t="s">
        <v>64</v>
      </c>
      <c r="AS5105" s="3" t="s">
        <v>64</v>
      </c>
      <c r="AT5105" s="3" t="s">
        <v>64</v>
      </c>
      <c r="AV5105" s="6" t="str">
        <f>HYPERLINK("http://mcgill.on.worldcat.org/oclc/45575553","Catalog Record")</f>
        <v>Catalog Record</v>
      </c>
      <c r="AW5105" s="6" t="str">
        <f>HYPERLINK("http://www.worldcat.org/oclc/45575553","WorldCat Record")</f>
        <v>WorldCat Record</v>
      </c>
      <c r="AX5105" s="3" t="s">
        <v>49714</v>
      </c>
      <c r="AY5105" s="3" t="s">
        <v>49715</v>
      </c>
      <c r="AZ5105" s="3" t="s">
        <v>49716</v>
      </c>
      <c r="BA5105" s="3" t="s">
        <v>49716</v>
      </c>
      <c r="BB5105" s="3" t="s">
        <v>49717</v>
      </c>
      <c r="BC5105" s="3" t="s">
        <v>77</v>
      </c>
      <c r="BD5105" s="3" t="s">
        <v>78</v>
      </c>
      <c r="BE5105" s="3" t="s">
        <v>49718</v>
      </c>
      <c r="BF5105" s="3" t="s">
        <v>49717</v>
      </c>
      <c r="BG5105" s="3" t="s">
        <v>49719</v>
      </c>
      <c r="BH5105">
        <f t="shared" si="161"/>
        <v>0</v>
      </c>
    </row>
    <row r="5106" spans="1:60" ht="58" x14ac:dyDescent="0.35">
      <c r="A5106" s="2" t="s">
        <v>59</v>
      </c>
      <c r="B5106" s="2" t="s">
        <v>60</v>
      </c>
      <c r="C5106" s="2" t="s">
        <v>49720</v>
      </c>
      <c r="D5106" s="2" t="s">
        <v>49721</v>
      </c>
      <c r="E5106" s="2" t="s">
        <v>49711</v>
      </c>
      <c r="F5106" s="3" t="s">
        <v>20707</v>
      </c>
      <c r="G5106" s="3" t="s">
        <v>128</v>
      </c>
      <c r="I5106" s="3" t="s">
        <v>64</v>
      </c>
      <c r="J5106" s="3" t="s">
        <v>128</v>
      </c>
      <c r="K5106" s="3" t="s">
        <v>65</v>
      </c>
      <c r="L5106" s="2" t="s">
        <v>49722</v>
      </c>
      <c r="M5106" s="2" t="s">
        <v>49723</v>
      </c>
      <c r="N5106" s="3" t="s">
        <v>551</v>
      </c>
      <c r="O5106" s="2" t="s">
        <v>3787</v>
      </c>
      <c r="P5106" s="3" t="s">
        <v>102</v>
      </c>
      <c r="Q5106" s="2" t="s">
        <v>29518</v>
      </c>
      <c r="R5106" s="3" t="s">
        <v>49178</v>
      </c>
      <c r="S5106" s="4">
        <v>26</v>
      </c>
      <c r="T5106" s="4">
        <v>96</v>
      </c>
      <c r="U5106" s="5" t="s">
        <v>49724</v>
      </c>
      <c r="V5106" s="5" t="s">
        <v>49724</v>
      </c>
      <c r="W5106" s="5" t="s">
        <v>72</v>
      </c>
      <c r="X5106" s="5" t="s">
        <v>72</v>
      </c>
      <c r="Y5106" s="4">
        <v>591</v>
      </c>
      <c r="Z5106" s="4">
        <v>35</v>
      </c>
      <c r="AA5106" s="4">
        <v>61</v>
      </c>
      <c r="AB5106" s="4">
        <v>3</v>
      </c>
      <c r="AC5106" s="4">
        <v>8</v>
      </c>
      <c r="AD5106" s="4">
        <v>76</v>
      </c>
      <c r="AE5106" s="4">
        <v>129</v>
      </c>
      <c r="AF5106" s="4">
        <v>1</v>
      </c>
      <c r="AG5106" s="4">
        <v>5</v>
      </c>
      <c r="AH5106" s="4">
        <v>63</v>
      </c>
      <c r="AI5106" s="4">
        <v>99</v>
      </c>
      <c r="AJ5106" s="4">
        <v>15</v>
      </c>
      <c r="AK5106" s="4">
        <v>23</v>
      </c>
      <c r="AL5106" s="4">
        <v>30</v>
      </c>
      <c r="AM5106" s="4">
        <v>53</v>
      </c>
      <c r="AN5106" s="4">
        <v>0</v>
      </c>
      <c r="AO5106" s="4">
        <v>0</v>
      </c>
      <c r="AP5106" s="4">
        <v>21</v>
      </c>
      <c r="AQ5106" s="4">
        <v>37</v>
      </c>
      <c r="AR5106" s="3" t="s">
        <v>64</v>
      </c>
      <c r="AS5106" s="3" t="s">
        <v>64</v>
      </c>
      <c r="AT5106" s="3" t="s">
        <v>128</v>
      </c>
      <c r="AU5106" s="6" t="str">
        <f>HYPERLINK("http://catalog.hathitrust.org/Record/006964457","HathiTrust Record")</f>
        <v>HathiTrust Record</v>
      </c>
      <c r="AV5106" s="6" t="str">
        <f>HYPERLINK("http://mcgill.on.worldcat.org/oclc/391414131","Catalog Record")</f>
        <v>Catalog Record</v>
      </c>
      <c r="AW5106" s="6" t="str">
        <f>HYPERLINK("http://www.worldcat.org/oclc/391414131","WorldCat Record")</f>
        <v>WorldCat Record</v>
      </c>
      <c r="AX5106" s="3" t="s">
        <v>49714</v>
      </c>
      <c r="AY5106" s="3" t="s">
        <v>49725</v>
      </c>
      <c r="AZ5106" s="3" t="s">
        <v>49726</v>
      </c>
      <c r="BA5106" s="3" t="s">
        <v>49726</v>
      </c>
      <c r="BB5106" s="3" t="s">
        <v>49727</v>
      </c>
      <c r="BC5106" s="3" t="s">
        <v>77</v>
      </c>
      <c r="BD5106" s="3" t="s">
        <v>78</v>
      </c>
      <c r="BE5106" s="3" t="s">
        <v>49728</v>
      </c>
      <c r="BF5106" s="3" t="s">
        <v>49727</v>
      </c>
      <c r="BG5106" s="3" t="s">
        <v>49729</v>
      </c>
      <c r="BH5106">
        <f t="shared" si="161"/>
        <v>0</v>
      </c>
    </row>
    <row r="5107" spans="1:60" ht="58" x14ac:dyDescent="0.35">
      <c r="A5107" s="2" t="s">
        <v>59</v>
      </c>
      <c r="B5107" s="2" t="s">
        <v>60</v>
      </c>
      <c r="C5107" s="2" t="s">
        <v>49720</v>
      </c>
      <c r="D5107" s="2" t="s">
        <v>49721</v>
      </c>
      <c r="E5107" s="2" t="s">
        <v>49711</v>
      </c>
      <c r="F5107" s="3" t="s">
        <v>7062</v>
      </c>
      <c r="G5107" s="3" t="s">
        <v>128</v>
      </c>
      <c r="I5107" s="3" t="s">
        <v>64</v>
      </c>
      <c r="J5107" s="3" t="s">
        <v>128</v>
      </c>
      <c r="K5107" s="3" t="s">
        <v>65</v>
      </c>
      <c r="L5107" s="2" t="s">
        <v>49722</v>
      </c>
      <c r="M5107" s="2" t="s">
        <v>49723</v>
      </c>
      <c r="N5107" s="3" t="s">
        <v>551</v>
      </c>
      <c r="O5107" s="2" t="s">
        <v>3787</v>
      </c>
      <c r="P5107" s="3" t="s">
        <v>102</v>
      </c>
      <c r="Q5107" s="2" t="s">
        <v>29518</v>
      </c>
      <c r="R5107" s="3" t="s">
        <v>49178</v>
      </c>
      <c r="S5107" s="4">
        <v>70</v>
      </c>
      <c r="T5107" s="4">
        <v>96</v>
      </c>
      <c r="U5107" s="5" t="s">
        <v>306</v>
      </c>
      <c r="V5107" s="5" t="s">
        <v>49724</v>
      </c>
      <c r="W5107" s="5" t="s">
        <v>72</v>
      </c>
      <c r="X5107" s="5" t="s">
        <v>72</v>
      </c>
      <c r="Y5107" s="4">
        <v>591</v>
      </c>
      <c r="Z5107" s="4">
        <v>35</v>
      </c>
      <c r="AA5107" s="4">
        <v>61</v>
      </c>
      <c r="AB5107" s="4">
        <v>3</v>
      </c>
      <c r="AC5107" s="4">
        <v>8</v>
      </c>
      <c r="AD5107" s="4">
        <v>76</v>
      </c>
      <c r="AE5107" s="4">
        <v>129</v>
      </c>
      <c r="AF5107" s="4">
        <v>1</v>
      </c>
      <c r="AG5107" s="4">
        <v>5</v>
      </c>
      <c r="AH5107" s="4">
        <v>63</v>
      </c>
      <c r="AI5107" s="4">
        <v>99</v>
      </c>
      <c r="AJ5107" s="4">
        <v>15</v>
      </c>
      <c r="AK5107" s="4">
        <v>23</v>
      </c>
      <c r="AL5107" s="4">
        <v>30</v>
      </c>
      <c r="AM5107" s="4">
        <v>53</v>
      </c>
      <c r="AN5107" s="4">
        <v>0</v>
      </c>
      <c r="AO5107" s="4">
        <v>0</v>
      </c>
      <c r="AP5107" s="4">
        <v>21</v>
      </c>
      <c r="AQ5107" s="4">
        <v>37</v>
      </c>
      <c r="AR5107" s="3" t="s">
        <v>64</v>
      </c>
      <c r="AS5107" s="3" t="s">
        <v>64</v>
      </c>
      <c r="AT5107" s="3" t="s">
        <v>128</v>
      </c>
      <c r="AU5107" s="6" t="str">
        <f>HYPERLINK("http://catalog.hathitrust.org/Record/006964457","HathiTrust Record")</f>
        <v>HathiTrust Record</v>
      </c>
      <c r="AV5107" s="6" t="str">
        <f>HYPERLINK("http://mcgill.on.worldcat.org/oclc/391414131","Catalog Record")</f>
        <v>Catalog Record</v>
      </c>
      <c r="AW5107" s="6" t="str">
        <f>HYPERLINK("http://www.worldcat.org/oclc/391414131","WorldCat Record")</f>
        <v>WorldCat Record</v>
      </c>
      <c r="AX5107" s="3" t="s">
        <v>49714</v>
      </c>
      <c r="AY5107" s="3" t="s">
        <v>49725</v>
      </c>
      <c r="AZ5107" s="3" t="s">
        <v>49726</v>
      </c>
      <c r="BA5107" s="3" t="s">
        <v>49726</v>
      </c>
      <c r="BB5107" s="3" t="s">
        <v>49730</v>
      </c>
      <c r="BC5107" s="3" t="s">
        <v>77</v>
      </c>
      <c r="BD5107" s="3" t="s">
        <v>78</v>
      </c>
      <c r="BE5107" s="3" t="s">
        <v>49728</v>
      </c>
      <c r="BF5107" s="3" t="s">
        <v>49730</v>
      </c>
      <c r="BG5107" s="3" t="s">
        <v>49731</v>
      </c>
      <c r="BH5107">
        <f t="shared" si="161"/>
        <v>0</v>
      </c>
    </row>
    <row r="5108" spans="1:60" ht="58" x14ac:dyDescent="0.35">
      <c r="A5108" s="2" t="s">
        <v>59</v>
      </c>
      <c r="B5108" s="2" t="s">
        <v>60</v>
      </c>
      <c r="C5108" s="2" t="s">
        <v>49732</v>
      </c>
      <c r="D5108" s="2" t="s">
        <v>49733</v>
      </c>
      <c r="E5108" s="2" t="s">
        <v>49734</v>
      </c>
      <c r="G5108" s="3" t="s">
        <v>64</v>
      </c>
      <c r="I5108" s="3" t="s">
        <v>64</v>
      </c>
      <c r="J5108" s="3" t="s">
        <v>64</v>
      </c>
      <c r="K5108" s="3" t="s">
        <v>65</v>
      </c>
      <c r="L5108" s="2" t="s">
        <v>49735</v>
      </c>
      <c r="M5108" s="2" t="s">
        <v>49736</v>
      </c>
      <c r="N5108" s="3" t="s">
        <v>144</v>
      </c>
      <c r="P5108" s="3" t="s">
        <v>102</v>
      </c>
      <c r="R5108" s="3" t="s">
        <v>49178</v>
      </c>
      <c r="S5108" s="4">
        <v>10</v>
      </c>
      <c r="T5108" s="4">
        <v>10</v>
      </c>
      <c r="U5108" s="5" t="s">
        <v>43950</v>
      </c>
      <c r="V5108" s="5" t="s">
        <v>43950</v>
      </c>
      <c r="W5108" s="5" t="s">
        <v>72</v>
      </c>
      <c r="X5108" s="5" t="s">
        <v>72</v>
      </c>
      <c r="Y5108" s="4">
        <v>127</v>
      </c>
      <c r="Z5108" s="4">
        <v>8</v>
      </c>
      <c r="AA5108" s="4">
        <v>10</v>
      </c>
      <c r="AB5108" s="4">
        <v>1</v>
      </c>
      <c r="AC5108" s="4">
        <v>3</v>
      </c>
      <c r="AD5108" s="4">
        <v>25</v>
      </c>
      <c r="AE5108" s="4">
        <v>25</v>
      </c>
      <c r="AF5108" s="4">
        <v>0</v>
      </c>
      <c r="AG5108" s="4">
        <v>0</v>
      </c>
      <c r="AH5108" s="4">
        <v>23</v>
      </c>
      <c r="AI5108" s="4">
        <v>23</v>
      </c>
      <c r="AJ5108" s="4">
        <v>4</v>
      </c>
      <c r="AK5108" s="4">
        <v>4</v>
      </c>
      <c r="AL5108" s="4">
        <v>10</v>
      </c>
      <c r="AM5108" s="4">
        <v>10</v>
      </c>
      <c r="AN5108" s="4">
        <v>0</v>
      </c>
      <c r="AO5108" s="4">
        <v>0</v>
      </c>
      <c r="AP5108" s="4">
        <v>5</v>
      </c>
      <c r="AQ5108" s="4">
        <v>5</v>
      </c>
      <c r="AR5108" s="3" t="s">
        <v>64</v>
      </c>
      <c r="AS5108" s="3" t="s">
        <v>64</v>
      </c>
      <c r="AT5108" s="3" t="s">
        <v>128</v>
      </c>
      <c r="AU5108" s="6" t="str">
        <f>HYPERLINK("http://catalog.hathitrust.org/Record/005957199","HathiTrust Record")</f>
        <v>HathiTrust Record</v>
      </c>
      <c r="AV5108" s="6" t="str">
        <f>HYPERLINK("http://mcgill.on.worldcat.org/oclc/212847527","Catalog Record")</f>
        <v>Catalog Record</v>
      </c>
      <c r="AW5108" s="6" t="str">
        <f>HYPERLINK("http://www.worldcat.org/oclc/212847527","WorldCat Record")</f>
        <v>WorldCat Record</v>
      </c>
      <c r="AX5108" s="3" t="s">
        <v>49737</v>
      </c>
      <c r="AY5108" s="3" t="s">
        <v>49738</v>
      </c>
      <c r="AZ5108" s="3" t="s">
        <v>49739</v>
      </c>
      <c r="BA5108" s="3" t="s">
        <v>49739</v>
      </c>
      <c r="BB5108" s="3" t="s">
        <v>49740</v>
      </c>
      <c r="BC5108" s="3" t="s">
        <v>77</v>
      </c>
      <c r="BD5108" s="3" t="s">
        <v>78</v>
      </c>
      <c r="BE5108" s="3" t="s">
        <v>49741</v>
      </c>
      <c r="BF5108" s="3" t="s">
        <v>49740</v>
      </c>
      <c r="BG5108" s="3" t="s">
        <v>49742</v>
      </c>
      <c r="BH5108">
        <f t="shared" si="161"/>
        <v>0</v>
      </c>
    </row>
    <row r="5109" spans="1:60" ht="58" x14ac:dyDescent="0.35">
      <c r="A5109" s="2" t="s">
        <v>59</v>
      </c>
      <c r="B5109" s="2" t="s">
        <v>60</v>
      </c>
      <c r="C5109" s="2" t="s">
        <v>49743</v>
      </c>
      <c r="D5109" s="2" t="s">
        <v>49744</v>
      </c>
      <c r="E5109" s="2" t="s">
        <v>49745</v>
      </c>
      <c r="G5109" s="3" t="s">
        <v>64</v>
      </c>
      <c r="I5109" s="3" t="s">
        <v>64</v>
      </c>
      <c r="J5109" s="3" t="s">
        <v>64</v>
      </c>
      <c r="K5109" s="3" t="s">
        <v>65</v>
      </c>
      <c r="L5109" s="2" t="s">
        <v>49746</v>
      </c>
      <c r="M5109" s="2" t="s">
        <v>49747</v>
      </c>
      <c r="N5109" s="3" t="s">
        <v>511</v>
      </c>
      <c r="P5109" s="3" t="s">
        <v>102</v>
      </c>
      <c r="Q5109" s="2" t="s">
        <v>49748</v>
      </c>
      <c r="R5109" s="3" t="s">
        <v>49178</v>
      </c>
      <c r="S5109" s="4">
        <v>2</v>
      </c>
      <c r="T5109" s="4">
        <v>2</v>
      </c>
      <c r="U5109" s="5" t="s">
        <v>49749</v>
      </c>
      <c r="V5109" s="5" t="s">
        <v>49749</v>
      </c>
      <c r="W5109" s="5" t="s">
        <v>72</v>
      </c>
      <c r="X5109" s="5" t="s">
        <v>72</v>
      </c>
      <c r="Y5109" s="4">
        <v>293</v>
      </c>
      <c r="Z5109" s="4">
        <v>16</v>
      </c>
      <c r="AA5109" s="4">
        <v>22</v>
      </c>
      <c r="AB5109" s="4">
        <v>2</v>
      </c>
      <c r="AC5109" s="4">
        <v>7</v>
      </c>
      <c r="AD5109" s="4">
        <v>29</v>
      </c>
      <c r="AE5109" s="4">
        <v>34</v>
      </c>
      <c r="AF5109" s="4">
        <v>0</v>
      </c>
      <c r="AG5109" s="4">
        <v>3</v>
      </c>
      <c r="AH5109" s="4">
        <v>25</v>
      </c>
      <c r="AI5109" s="4">
        <v>28</v>
      </c>
      <c r="AJ5109" s="4">
        <v>6</v>
      </c>
      <c r="AK5109" s="4">
        <v>8</v>
      </c>
      <c r="AL5109" s="4">
        <v>17</v>
      </c>
      <c r="AM5109" s="4">
        <v>18</v>
      </c>
      <c r="AN5109" s="4">
        <v>0</v>
      </c>
      <c r="AO5109" s="4">
        <v>0</v>
      </c>
      <c r="AP5109" s="4">
        <v>7</v>
      </c>
      <c r="AQ5109" s="4">
        <v>11</v>
      </c>
      <c r="AR5109" s="3" t="s">
        <v>64</v>
      </c>
      <c r="AS5109" s="3" t="s">
        <v>64</v>
      </c>
      <c r="AT5109" s="3" t="s">
        <v>64</v>
      </c>
      <c r="AV5109" s="6" t="str">
        <f>HYPERLINK("http://mcgill.on.worldcat.org/oclc/671491649","Catalog Record")</f>
        <v>Catalog Record</v>
      </c>
      <c r="AW5109" s="6" t="str">
        <f>HYPERLINK("http://www.worldcat.org/oclc/671491649","WorldCat Record")</f>
        <v>WorldCat Record</v>
      </c>
      <c r="AX5109" s="3" t="s">
        <v>49750</v>
      </c>
      <c r="AY5109" s="3" t="s">
        <v>49751</v>
      </c>
      <c r="AZ5109" s="3" t="s">
        <v>49752</v>
      </c>
      <c r="BA5109" s="3" t="s">
        <v>49752</v>
      </c>
      <c r="BB5109" s="3" t="s">
        <v>49753</v>
      </c>
      <c r="BC5109" s="3" t="s">
        <v>77</v>
      </c>
      <c r="BD5109" s="3" t="s">
        <v>78</v>
      </c>
      <c r="BE5109" s="3" t="s">
        <v>49754</v>
      </c>
      <c r="BF5109" s="3" t="s">
        <v>49753</v>
      </c>
      <c r="BG5109" s="3" t="s">
        <v>49755</v>
      </c>
      <c r="BH5109">
        <f t="shared" si="161"/>
        <v>0</v>
      </c>
    </row>
    <row r="5110" spans="1:60" ht="58" x14ac:dyDescent="0.35">
      <c r="A5110" s="2" t="s">
        <v>59</v>
      </c>
      <c r="B5110" s="2" t="s">
        <v>60</v>
      </c>
      <c r="C5110" s="2" t="s">
        <v>49756</v>
      </c>
      <c r="D5110" s="2" t="s">
        <v>49757</v>
      </c>
      <c r="E5110" s="2" t="s">
        <v>49758</v>
      </c>
      <c r="G5110" s="3" t="s">
        <v>64</v>
      </c>
      <c r="I5110" s="3" t="s">
        <v>64</v>
      </c>
      <c r="J5110" s="3" t="s">
        <v>64</v>
      </c>
      <c r="K5110" s="3" t="s">
        <v>65</v>
      </c>
      <c r="L5110" s="2" t="s">
        <v>49759</v>
      </c>
      <c r="M5110" s="2" t="s">
        <v>15938</v>
      </c>
      <c r="N5110" s="3" t="s">
        <v>551</v>
      </c>
      <c r="P5110" s="3" t="s">
        <v>102</v>
      </c>
      <c r="Q5110" s="2" t="s">
        <v>8981</v>
      </c>
      <c r="R5110" s="3" t="s">
        <v>49178</v>
      </c>
      <c r="S5110" s="4">
        <v>4</v>
      </c>
      <c r="T5110" s="4">
        <v>4</v>
      </c>
      <c r="U5110" s="5" t="s">
        <v>16597</v>
      </c>
      <c r="V5110" s="5" t="s">
        <v>16597</v>
      </c>
      <c r="W5110" s="5" t="s">
        <v>72</v>
      </c>
      <c r="X5110" s="5" t="s">
        <v>72</v>
      </c>
      <c r="Y5110" s="4">
        <v>256</v>
      </c>
      <c r="Z5110" s="4">
        <v>27</v>
      </c>
      <c r="AA5110" s="4">
        <v>32</v>
      </c>
      <c r="AB5110" s="4">
        <v>2</v>
      </c>
      <c r="AC5110" s="4">
        <v>5</v>
      </c>
      <c r="AD5110" s="4">
        <v>62</v>
      </c>
      <c r="AE5110" s="4">
        <v>68</v>
      </c>
      <c r="AF5110" s="4">
        <v>0</v>
      </c>
      <c r="AG5110" s="4">
        <v>1</v>
      </c>
      <c r="AH5110" s="4">
        <v>52</v>
      </c>
      <c r="AI5110" s="4">
        <v>57</v>
      </c>
      <c r="AJ5110" s="4">
        <v>15</v>
      </c>
      <c r="AK5110" s="4">
        <v>15</v>
      </c>
      <c r="AL5110" s="4">
        <v>31</v>
      </c>
      <c r="AM5110" s="4">
        <v>32</v>
      </c>
      <c r="AN5110" s="4">
        <v>0</v>
      </c>
      <c r="AO5110" s="4">
        <v>0</v>
      </c>
      <c r="AP5110" s="4">
        <v>19</v>
      </c>
      <c r="AQ5110" s="4">
        <v>20</v>
      </c>
      <c r="AR5110" s="3" t="s">
        <v>64</v>
      </c>
      <c r="AS5110" s="3" t="s">
        <v>64</v>
      </c>
      <c r="AT5110" s="3" t="s">
        <v>64</v>
      </c>
      <c r="AV5110" s="6" t="str">
        <f>HYPERLINK("http://mcgill.on.worldcat.org/oclc/404718175","Catalog Record")</f>
        <v>Catalog Record</v>
      </c>
      <c r="AW5110" s="6" t="str">
        <f>HYPERLINK("http://www.worldcat.org/oclc/404718175","WorldCat Record")</f>
        <v>WorldCat Record</v>
      </c>
      <c r="AX5110" s="3" t="s">
        <v>49760</v>
      </c>
      <c r="AY5110" s="3" t="s">
        <v>49761</v>
      </c>
      <c r="AZ5110" s="3" t="s">
        <v>49762</v>
      </c>
      <c r="BA5110" s="3" t="s">
        <v>49762</v>
      </c>
      <c r="BB5110" s="3" t="s">
        <v>49763</v>
      </c>
      <c r="BC5110" s="3" t="s">
        <v>77</v>
      </c>
      <c r="BD5110" s="3" t="s">
        <v>78</v>
      </c>
      <c r="BE5110" s="3" t="s">
        <v>49764</v>
      </c>
      <c r="BF5110" s="3" t="s">
        <v>49763</v>
      </c>
      <c r="BG5110" s="3" t="s">
        <v>49765</v>
      </c>
      <c r="BH5110">
        <f t="shared" si="161"/>
        <v>0</v>
      </c>
    </row>
    <row r="5111" spans="1:60" ht="58" x14ac:dyDescent="0.35">
      <c r="A5111" s="2" t="s">
        <v>59</v>
      </c>
      <c r="B5111" s="2" t="s">
        <v>60</v>
      </c>
      <c r="C5111" s="2" t="s">
        <v>49766</v>
      </c>
      <c r="D5111" s="2" t="s">
        <v>49767</v>
      </c>
      <c r="E5111" s="2" t="s">
        <v>49768</v>
      </c>
      <c r="G5111" s="3" t="s">
        <v>64</v>
      </c>
      <c r="I5111" s="3" t="s">
        <v>64</v>
      </c>
      <c r="J5111" s="3" t="s">
        <v>64</v>
      </c>
      <c r="K5111" s="3" t="s">
        <v>65</v>
      </c>
      <c r="L5111" s="2" t="s">
        <v>49769</v>
      </c>
      <c r="M5111" s="2" t="s">
        <v>49770</v>
      </c>
      <c r="N5111" s="3" t="s">
        <v>326</v>
      </c>
      <c r="P5111" s="3" t="s">
        <v>102</v>
      </c>
      <c r="Q5111" s="2" t="s">
        <v>49771</v>
      </c>
      <c r="R5111" s="3" t="s">
        <v>49178</v>
      </c>
      <c r="S5111" s="4">
        <v>4</v>
      </c>
      <c r="T5111" s="4">
        <v>4</v>
      </c>
      <c r="U5111" s="5" t="s">
        <v>49484</v>
      </c>
      <c r="V5111" s="5" t="s">
        <v>49484</v>
      </c>
      <c r="W5111" s="5" t="s">
        <v>72</v>
      </c>
      <c r="X5111" s="5" t="s">
        <v>72</v>
      </c>
      <c r="Y5111" s="4">
        <v>51</v>
      </c>
      <c r="Z5111" s="4">
        <v>3</v>
      </c>
      <c r="AA5111" s="4">
        <v>23</v>
      </c>
      <c r="AB5111" s="4">
        <v>1</v>
      </c>
      <c r="AC5111" s="4">
        <v>8</v>
      </c>
      <c r="AD5111" s="4">
        <v>16</v>
      </c>
      <c r="AE5111" s="4">
        <v>58</v>
      </c>
      <c r="AF5111" s="4">
        <v>0</v>
      </c>
      <c r="AG5111" s="4">
        <v>4</v>
      </c>
      <c r="AH5111" s="4">
        <v>14</v>
      </c>
      <c r="AI5111" s="4">
        <v>47</v>
      </c>
      <c r="AJ5111" s="4">
        <v>2</v>
      </c>
      <c r="AK5111" s="4">
        <v>16</v>
      </c>
      <c r="AL5111" s="4">
        <v>10</v>
      </c>
      <c r="AM5111" s="4">
        <v>26</v>
      </c>
      <c r="AN5111" s="4">
        <v>0</v>
      </c>
      <c r="AO5111" s="4">
        <v>0</v>
      </c>
      <c r="AP5111" s="4">
        <v>2</v>
      </c>
      <c r="AQ5111" s="4">
        <v>18</v>
      </c>
      <c r="AR5111" s="3" t="s">
        <v>64</v>
      </c>
      <c r="AS5111" s="3" t="s">
        <v>64</v>
      </c>
      <c r="AT5111" s="3" t="s">
        <v>64</v>
      </c>
      <c r="AV5111" s="6" t="str">
        <f>HYPERLINK("http://mcgill.on.worldcat.org/oclc/299691951","Catalog Record")</f>
        <v>Catalog Record</v>
      </c>
      <c r="AW5111" s="6" t="str">
        <f>HYPERLINK("http://www.worldcat.org/oclc/299691951","WorldCat Record")</f>
        <v>WorldCat Record</v>
      </c>
      <c r="AX5111" s="3" t="s">
        <v>49772</v>
      </c>
      <c r="AY5111" s="3" t="s">
        <v>49773</v>
      </c>
      <c r="AZ5111" s="3" t="s">
        <v>49774</v>
      </c>
      <c r="BA5111" s="3" t="s">
        <v>49774</v>
      </c>
      <c r="BB5111" s="3" t="s">
        <v>49775</v>
      </c>
      <c r="BC5111" s="3" t="s">
        <v>77</v>
      </c>
      <c r="BD5111" s="3" t="s">
        <v>78</v>
      </c>
      <c r="BE5111" s="3" t="s">
        <v>49776</v>
      </c>
      <c r="BF5111" s="3" t="s">
        <v>49775</v>
      </c>
      <c r="BG5111" s="3" t="s">
        <v>49777</v>
      </c>
      <c r="BH5111">
        <f t="shared" si="161"/>
        <v>0</v>
      </c>
    </row>
    <row r="5112" spans="1:60" ht="58" x14ac:dyDescent="0.35">
      <c r="A5112" s="2" t="s">
        <v>59</v>
      </c>
      <c r="B5112" s="2" t="s">
        <v>60</v>
      </c>
      <c r="C5112" s="2" t="s">
        <v>49778</v>
      </c>
      <c r="D5112" s="2" t="s">
        <v>49779</v>
      </c>
      <c r="E5112" s="2" t="s">
        <v>49780</v>
      </c>
      <c r="G5112" s="3" t="s">
        <v>64</v>
      </c>
      <c r="I5112" s="3" t="s">
        <v>64</v>
      </c>
      <c r="J5112" s="3" t="s">
        <v>64</v>
      </c>
      <c r="K5112" s="3" t="s">
        <v>65</v>
      </c>
      <c r="L5112" s="2" t="s">
        <v>49781</v>
      </c>
      <c r="M5112" s="2" t="s">
        <v>9226</v>
      </c>
      <c r="N5112" s="3" t="s">
        <v>511</v>
      </c>
      <c r="P5112" s="3" t="s">
        <v>102</v>
      </c>
      <c r="Q5112" s="2" t="s">
        <v>8981</v>
      </c>
      <c r="R5112" s="3" t="s">
        <v>49178</v>
      </c>
      <c r="S5112" s="4">
        <v>9</v>
      </c>
      <c r="T5112" s="4">
        <v>9</v>
      </c>
      <c r="U5112" s="5" t="s">
        <v>15128</v>
      </c>
      <c r="V5112" s="5" t="s">
        <v>15128</v>
      </c>
      <c r="W5112" s="5" t="s">
        <v>72</v>
      </c>
      <c r="X5112" s="5" t="s">
        <v>72</v>
      </c>
      <c r="Y5112" s="4">
        <v>83</v>
      </c>
      <c r="Z5112" s="4">
        <v>4</v>
      </c>
      <c r="AA5112" s="4">
        <v>24</v>
      </c>
      <c r="AB5112" s="4">
        <v>1</v>
      </c>
      <c r="AC5112" s="4">
        <v>6</v>
      </c>
      <c r="AD5112" s="4">
        <v>30</v>
      </c>
      <c r="AE5112" s="4">
        <v>56</v>
      </c>
      <c r="AF5112" s="4">
        <v>0</v>
      </c>
      <c r="AG5112" s="4">
        <v>3</v>
      </c>
      <c r="AH5112" s="4">
        <v>29</v>
      </c>
      <c r="AI5112" s="4">
        <v>48</v>
      </c>
      <c r="AJ5112" s="4">
        <v>2</v>
      </c>
      <c r="AK5112" s="4">
        <v>11</v>
      </c>
      <c r="AL5112" s="4">
        <v>23</v>
      </c>
      <c r="AM5112" s="4">
        <v>30</v>
      </c>
      <c r="AN5112" s="4">
        <v>0</v>
      </c>
      <c r="AO5112" s="4">
        <v>0</v>
      </c>
      <c r="AP5112" s="4">
        <v>2</v>
      </c>
      <c r="AQ5112" s="4">
        <v>11</v>
      </c>
      <c r="AR5112" s="3" t="s">
        <v>64</v>
      </c>
      <c r="AS5112" s="3" t="s">
        <v>64</v>
      </c>
      <c r="AT5112" s="3" t="s">
        <v>64</v>
      </c>
      <c r="AV5112" s="6" t="str">
        <f>HYPERLINK("http://mcgill.on.worldcat.org/oclc/455821571","Catalog Record")</f>
        <v>Catalog Record</v>
      </c>
      <c r="AW5112" s="6" t="str">
        <f>HYPERLINK("http://www.worldcat.org/oclc/455821571","WorldCat Record")</f>
        <v>WorldCat Record</v>
      </c>
      <c r="AX5112" s="3" t="s">
        <v>49782</v>
      </c>
      <c r="AY5112" s="3" t="s">
        <v>49783</v>
      </c>
      <c r="AZ5112" s="3" t="s">
        <v>49784</v>
      </c>
      <c r="BA5112" s="3" t="s">
        <v>49784</v>
      </c>
      <c r="BB5112" s="3" t="s">
        <v>49785</v>
      </c>
      <c r="BC5112" s="3" t="s">
        <v>77</v>
      </c>
      <c r="BD5112" s="3" t="s">
        <v>78</v>
      </c>
      <c r="BE5112" s="3" t="s">
        <v>49786</v>
      </c>
      <c r="BF5112" s="3" t="s">
        <v>49785</v>
      </c>
      <c r="BG5112" s="3" t="s">
        <v>49787</v>
      </c>
      <c r="BH5112">
        <f t="shared" si="161"/>
        <v>0</v>
      </c>
    </row>
    <row r="5113" spans="1:60" ht="58" x14ac:dyDescent="0.35">
      <c r="A5113" s="2" t="s">
        <v>59</v>
      </c>
      <c r="B5113" s="2" t="s">
        <v>60</v>
      </c>
      <c r="C5113" s="2" t="s">
        <v>49788</v>
      </c>
      <c r="D5113" s="2" t="s">
        <v>49789</v>
      </c>
      <c r="E5113" s="2" t="s">
        <v>49790</v>
      </c>
      <c r="G5113" s="3" t="s">
        <v>64</v>
      </c>
      <c r="I5113" s="3" t="s">
        <v>64</v>
      </c>
      <c r="J5113" s="3" t="s">
        <v>64</v>
      </c>
      <c r="K5113" s="3" t="s">
        <v>65</v>
      </c>
      <c r="L5113" s="2" t="s">
        <v>49791</v>
      </c>
      <c r="M5113" s="2" t="s">
        <v>49393</v>
      </c>
      <c r="N5113" s="3" t="s">
        <v>326</v>
      </c>
      <c r="P5113" s="3" t="s">
        <v>102</v>
      </c>
      <c r="R5113" s="3" t="s">
        <v>49178</v>
      </c>
      <c r="S5113" s="4">
        <v>3</v>
      </c>
      <c r="T5113" s="4">
        <v>3</v>
      </c>
      <c r="U5113" s="5" t="s">
        <v>49792</v>
      </c>
      <c r="V5113" s="5" t="s">
        <v>49792</v>
      </c>
      <c r="W5113" s="5" t="s">
        <v>72</v>
      </c>
      <c r="X5113" s="5" t="s">
        <v>72</v>
      </c>
      <c r="Y5113" s="4">
        <v>193</v>
      </c>
      <c r="Z5113" s="4">
        <v>17</v>
      </c>
      <c r="AA5113" s="4">
        <v>30</v>
      </c>
      <c r="AB5113" s="4">
        <v>2</v>
      </c>
      <c r="AC5113" s="4">
        <v>6</v>
      </c>
      <c r="AD5113" s="4">
        <v>25</v>
      </c>
      <c r="AE5113" s="4">
        <v>35</v>
      </c>
      <c r="AF5113" s="4">
        <v>1</v>
      </c>
      <c r="AG5113" s="4">
        <v>3</v>
      </c>
      <c r="AH5113" s="4">
        <v>20</v>
      </c>
      <c r="AI5113" s="4">
        <v>25</v>
      </c>
      <c r="AJ5113" s="4">
        <v>8</v>
      </c>
      <c r="AK5113" s="4">
        <v>11</v>
      </c>
      <c r="AL5113" s="4">
        <v>9</v>
      </c>
      <c r="AM5113" s="4">
        <v>13</v>
      </c>
      <c r="AN5113" s="4">
        <v>0</v>
      </c>
      <c r="AO5113" s="4">
        <v>0</v>
      </c>
      <c r="AP5113" s="4">
        <v>11</v>
      </c>
      <c r="AQ5113" s="4">
        <v>15</v>
      </c>
      <c r="AR5113" s="3" t="s">
        <v>64</v>
      </c>
      <c r="AS5113" s="3" t="s">
        <v>64</v>
      </c>
      <c r="AT5113" s="3" t="s">
        <v>64</v>
      </c>
      <c r="AV5113" s="6" t="str">
        <f>HYPERLINK("http://mcgill.on.worldcat.org/oclc/692612273","Catalog Record")</f>
        <v>Catalog Record</v>
      </c>
      <c r="AW5113" s="6" t="str">
        <f>HYPERLINK("http://www.worldcat.org/oclc/692612273","WorldCat Record")</f>
        <v>WorldCat Record</v>
      </c>
      <c r="AX5113" s="3" t="s">
        <v>49793</v>
      </c>
      <c r="AY5113" s="3" t="s">
        <v>49794</v>
      </c>
      <c r="AZ5113" s="3" t="s">
        <v>49795</v>
      </c>
      <c r="BA5113" s="3" t="s">
        <v>49795</v>
      </c>
      <c r="BB5113" s="3" t="s">
        <v>49796</v>
      </c>
      <c r="BC5113" s="3" t="s">
        <v>77</v>
      </c>
      <c r="BD5113" s="3" t="s">
        <v>78</v>
      </c>
      <c r="BE5113" s="3" t="s">
        <v>49797</v>
      </c>
      <c r="BF5113" s="3" t="s">
        <v>49796</v>
      </c>
      <c r="BG5113" s="3" t="s">
        <v>49798</v>
      </c>
      <c r="BH5113">
        <f t="shared" si="161"/>
        <v>0</v>
      </c>
    </row>
    <row r="5114" spans="1:60" ht="58" x14ac:dyDescent="0.35">
      <c r="A5114" s="2" t="s">
        <v>59</v>
      </c>
      <c r="B5114" s="2" t="s">
        <v>60</v>
      </c>
      <c r="C5114" s="2" t="s">
        <v>49799</v>
      </c>
      <c r="D5114" s="2" t="s">
        <v>49800</v>
      </c>
      <c r="E5114" s="2" t="s">
        <v>49801</v>
      </c>
      <c r="F5114" s="3" t="s">
        <v>49802</v>
      </c>
      <c r="G5114" s="3" t="s">
        <v>64</v>
      </c>
      <c r="I5114" s="3" t="s">
        <v>64</v>
      </c>
      <c r="J5114" s="3" t="s">
        <v>64</v>
      </c>
      <c r="K5114" s="3" t="s">
        <v>65</v>
      </c>
      <c r="L5114" s="2" t="s">
        <v>49803</v>
      </c>
      <c r="M5114" s="2" t="s">
        <v>17071</v>
      </c>
      <c r="N5114" s="3" t="s">
        <v>144</v>
      </c>
      <c r="P5114" s="3" t="s">
        <v>102</v>
      </c>
      <c r="R5114" s="3" t="s">
        <v>49178</v>
      </c>
      <c r="S5114" s="4">
        <v>14</v>
      </c>
      <c r="T5114" s="4">
        <v>14</v>
      </c>
      <c r="U5114" s="5" t="s">
        <v>5273</v>
      </c>
      <c r="V5114" s="5" t="s">
        <v>5273</v>
      </c>
      <c r="W5114" s="5" t="s">
        <v>72</v>
      </c>
      <c r="X5114" s="5" t="s">
        <v>72</v>
      </c>
      <c r="Y5114" s="4">
        <v>347</v>
      </c>
      <c r="Z5114" s="4">
        <v>13</v>
      </c>
      <c r="AA5114" s="4">
        <v>15</v>
      </c>
      <c r="AB5114" s="4">
        <v>2</v>
      </c>
      <c r="AC5114" s="4">
        <v>4</v>
      </c>
      <c r="AD5114" s="4">
        <v>40</v>
      </c>
      <c r="AE5114" s="4">
        <v>41</v>
      </c>
      <c r="AF5114" s="4">
        <v>0</v>
      </c>
      <c r="AG5114" s="4">
        <v>1</v>
      </c>
      <c r="AH5114" s="4">
        <v>38</v>
      </c>
      <c r="AI5114" s="4">
        <v>38</v>
      </c>
      <c r="AJ5114" s="4">
        <v>5</v>
      </c>
      <c r="AK5114" s="4">
        <v>5</v>
      </c>
      <c r="AL5114" s="4">
        <v>20</v>
      </c>
      <c r="AM5114" s="4">
        <v>20</v>
      </c>
      <c r="AN5114" s="4">
        <v>0</v>
      </c>
      <c r="AO5114" s="4">
        <v>0</v>
      </c>
      <c r="AP5114" s="4">
        <v>7</v>
      </c>
      <c r="AQ5114" s="4">
        <v>8</v>
      </c>
      <c r="AR5114" s="3" t="s">
        <v>64</v>
      </c>
      <c r="AS5114" s="3" t="s">
        <v>64</v>
      </c>
      <c r="AT5114" s="3" t="s">
        <v>128</v>
      </c>
      <c r="AU5114" s="6" t="str">
        <f>HYPERLINK("http://catalog.hathitrust.org/Record/006804245","HathiTrust Record")</f>
        <v>HathiTrust Record</v>
      </c>
      <c r="AV5114" s="6" t="str">
        <f>HYPERLINK("http://mcgill.on.worldcat.org/oclc/244567183","Catalog Record")</f>
        <v>Catalog Record</v>
      </c>
      <c r="AW5114" s="6" t="str">
        <f>HYPERLINK("http://www.worldcat.org/oclc/244567183","WorldCat Record")</f>
        <v>WorldCat Record</v>
      </c>
      <c r="AX5114" s="3" t="s">
        <v>49804</v>
      </c>
      <c r="AY5114" s="3" t="s">
        <v>49805</v>
      </c>
      <c r="AZ5114" s="3" t="s">
        <v>49806</v>
      </c>
      <c r="BA5114" s="3" t="s">
        <v>49806</v>
      </c>
      <c r="BB5114" s="3" t="s">
        <v>49807</v>
      </c>
      <c r="BC5114" s="3" t="s">
        <v>77</v>
      </c>
      <c r="BD5114" s="3" t="s">
        <v>78</v>
      </c>
      <c r="BE5114" s="3" t="s">
        <v>49808</v>
      </c>
      <c r="BF5114" s="3" t="s">
        <v>49807</v>
      </c>
      <c r="BG5114" s="3" t="s">
        <v>49809</v>
      </c>
      <c r="BH5114">
        <f t="shared" si="161"/>
        <v>0</v>
      </c>
    </row>
    <row r="5115" spans="1:60" ht="58" x14ac:dyDescent="0.35">
      <c r="A5115" s="2" t="s">
        <v>59</v>
      </c>
      <c r="B5115" s="2" t="s">
        <v>60</v>
      </c>
      <c r="C5115" s="2" t="s">
        <v>49810</v>
      </c>
      <c r="D5115" s="2" t="s">
        <v>49811</v>
      </c>
      <c r="E5115" s="2" t="s">
        <v>49812</v>
      </c>
      <c r="G5115" s="3" t="s">
        <v>64</v>
      </c>
      <c r="I5115" s="3" t="s">
        <v>64</v>
      </c>
      <c r="J5115" s="3" t="s">
        <v>64</v>
      </c>
      <c r="K5115" s="3" t="s">
        <v>65</v>
      </c>
      <c r="M5115" s="2" t="s">
        <v>19623</v>
      </c>
      <c r="N5115" s="3" t="s">
        <v>291</v>
      </c>
      <c r="P5115" s="3" t="s">
        <v>102</v>
      </c>
      <c r="Q5115" s="2" t="s">
        <v>15400</v>
      </c>
      <c r="R5115" s="3" t="s">
        <v>49178</v>
      </c>
      <c r="S5115" s="4">
        <v>19</v>
      </c>
      <c r="T5115" s="4">
        <v>19</v>
      </c>
      <c r="U5115" s="5" t="s">
        <v>49813</v>
      </c>
      <c r="V5115" s="5" t="s">
        <v>49813</v>
      </c>
      <c r="W5115" s="5" t="s">
        <v>72</v>
      </c>
      <c r="X5115" s="5" t="s">
        <v>72</v>
      </c>
      <c r="Y5115" s="4">
        <v>201</v>
      </c>
      <c r="Z5115" s="4">
        <v>12</v>
      </c>
      <c r="AA5115" s="4">
        <v>13</v>
      </c>
      <c r="AB5115" s="4">
        <v>1</v>
      </c>
      <c r="AC5115" s="4">
        <v>2</v>
      </c>
      <c r="AD5115" s="4">
        <v>56</v>
      </c>
      <c r="AE5115" s="4">
        <v>57</v>
      </c>
      <c r="AF5115" s="4">
        <v>0</v>
      </c>
      <c r="AG5115" s="4">
        <v>1</v>
      </c>
      <c r="AH5115" s="4">
        <v>51</v>
      </c>
      <c r="AI5115" s="4">
        <v>51</v>
      </c>
      <c r="AJ5115" s="4">
        <v>7</v>
      </c>
      <c r="AK5115" s="4">
        <v>8</v>
      </c>
      <c r="AL5115" s="4">
        <v>28</v>
      </c>
      <c r="AM5115" s="4">
        <v>28</v>
      </c>
      <c r="AN5115" s="4">
        <v>0</v>
      </c>
      <c r="AO5115" s="4">
        <v>0</v>
      </c>
      <c r="AP5115" s="4">
        <v>9</v>
      </c>
      <c r="AQ5115" s="4">
        <v>9</v>
      </c>
      <c r="AR5115" s="3" t="s">
        <v>64</v>
      </c>
      <c r="AS5115" s="3" t="s">
        <v>64</v>
      </c>
      <c r="AT5115" s="3" t="s">
        <v>64</v>
      </c>
      <c r="AV5115" s="6" t="str">
        <f>HYPERLINK("http://mcgill.on.worldcat.org/oclc/163593073","Catalog Record")</f>
        <v>Catalog Record</v>
      </c>
      <c r="AW5115" s="6" t="str">
        <f>HYPERLINK("http://www.worldcat.org/oclc/163593073","WorldCat Record")</f>
        <v>WorldCat Record</v>
      </c>
      <c r="AX5115" s="3" t="s">
        <v>49814</v>
      </c>
      <c r="AY5115" s="3" t="s">
        <v>49815</v>
      </c>
      <c r="AZ5115" s="3" t="s">
        <v>49816</v>
      </c>
      <c r="BA5115" s="3" t="s">
        <v>49816</v>
      </c>
      <c r="BB5115" s="3" t="s">
        <v>49817</v>
      </c>
      <c r="BC5115" s="3" t="s">
        <v>77</v>
      </c>
      <c r="BD5115" s="3" t="s">
        <v>78</v>
      </c>
      <c r="BE5115" s="3" t="s">
        <v>49818</v>
      </c>
      <c r="BF5115" s="3" t="s">
        <v>49817</v>
      </c>
      <c r="BG5115" s="3" t="s">
        <v>49819</v>
      </c>
      <c r="BH5115">
        <f t="shared" si="161"/>
        <v>0</v>
      </c>
    </row>
    <row r="5116" spans="1:60" ht="58" x14ac:dyDescent="0.35">
      <c r="A5116" s="2" t="s">
        <v>59</v>
      </c>
      <c r="B5116" s="2" t="s">
        <v>60</v>
      </c>
      <c r="C5116" s="2" t="s">
        <v>49820</v>
      </c>
      <c r="D5116" s="2" t="s">
        <v>49821</v>
      </c>
      <c r="E5116" s="2" t="s">
        <v>49822</v>
      </c>
      <c r="G5116" s="3" t="s">
        <v>64</v>
      </c>
      <c r="I5116" s="3" t="s">
        <v>64</v>
      </c>
      <c r="J5116" s="3" t="s">
        <v>64</v>
      </c>
      <c r="K5116" s="3" t="s">
        <v>65</v>
      </c>
      <c r="M5116" s="2" t="s">
        <v>30352</v>
      </c>
      <c r="N5116" s="3" t="s">
        <v>1075</v>
      </c>
      <c r="P5116" s="3" t="s">
        <v>102</v>
      </c>
      <c r="R5116" s="3" t="s">
        <v>49178</v>
      </c>
      <c r="S5116" s="4">
        <v>17</v>
      </c>
      <c r="T5116" s="4">
        <v>17</v>
      </c>
      <c r="U5116" s="5" t="s">
        <v>14057</v>
      </c>
      <c r="V5116" s="5" t="s">
        <v>14057</v>
      </c>
      <c r="W5116" s="5" t="s">
        <v>72</v>
      </c>
      <c r="X5116" s="5" t="s">
        <v>72</v>
      </c>
      <c r="Y5116" s="4">
        <v>285</v>
      </c>
      <c r="Z5116" s="4">
        <v>20</v>
      </c>
      <c r="AA5116" s="4">
        <v>74</v>
      </c>
      <c r="AB5116" s="4">
        <v>2</v>
      </c>
      <c r="AC5116" s="4">
        <v>14</v>
      </c>
      <c r="AD5116" s="4">
        <v>56</v>
      </c>
      <c r="AE5116" s="4">
        <v>106</v>
      </c>
      <c r="AF5116" s="4">
        <v>1</v>
      </c>
      <c r="AG5116" s="4">
        <v>8</v>
      </c>
      <c r="AH5116" s="4">
        <v>47</v>
      </c>
      <c r="AI5116" s="4">
        <v>74</v>
      </c>
      <c r="AJ5116" s="4">
        <v>8</v>
      </c>
      <c r="AK5116" s="4">
        <v>19</v>
      </c>
      <c r="AL5116" s="4">
        <v>32</v>
      </c>
      <c r="AM5116" s="4">
        <v>42</v>
      </c>
      <c r="AN5116" s="4">
        <v>0</v>
      </c>
      <c r="AO5116" s="4">
        <v>0</v>
      </c>
      <c r="AP5116" s="4">
        <v>13</v>
      </c>
      <c r="AQ5116" s="4">
        <v>37</v>
      </c>
      <c r="AR5116" s="3" t="s">
        <v>64</v>
      </c>
      <c r="AS5116" s="3" t="s">
        <v>64</v>
      </c>
      <c r="AT5116" s="3" t="s">
        <v>64</v>
      </c>
      <c r="AV5116" s="6" t="str">
        <f>HYPERLINK("http://mcgill.on.worldcat.org/oclc/798132807","Catalog Record")</f>
        <v>Catalog Record</v>
      </c>
      <c r="AW5116" s="6" t="str">
        <f>HYPERLINK("http://www.worldcat.org/oclc/798132807","WorldCat Record")</f>
        <v>WorldCat Record</v>
      </c>
      <c r="AX5116" s="3" t="s">
        <v>49823</v>
      </c>
      <c r="AY5116" s="3" t="s">
        <v>49824</v>
      </c>
      <c r="AZ5116" s="3" t="s">
        <v>49825</v>
      </c>
      <c r="BA5116" s="3" t="s">
        <v>49825</v>
      </c>
      <c r="BB5116" s="3" t="s">
        <v>49826</v>
      </c>
      <c r="BC5116" s="3" t="s">
        <v>77</v>
      </c>
      <c r="BD5116" s="3" t="s">
        <v>78</v>
      </c>
      <c r="BE5116" s="3" t="s">
        <v>49827</v>
      </c>
      <c r="BF5116" s="3" t="s">
        <v>49826</v>
      </c>
      <c r="BG5116" s="3" t="s">
        <v>49828</v>
      </c>
      <c r="BH5116">
        <f t="shared" si="161"/>
        <v>0</v>
      </c>
    </row>
    <row r="5117" spans="1:60" ht="58" x14ac:dyDescent="0.35">
      <c r="A5117" s="2" t="s">
        <v>59</v>
      </c>
      <c r="B5117" s="2" t="s">
        <v>60</v>
      </c>
      <c r="C5117" s="2" t="s">
        <v>49829</v>
      </c>
      <c r="D5117" s="2" t="s">
        <v>49830</v>
      </c>
      <c r="E5117" s="2" t="s">
        <v>49831</v>
      </c>
      <c r="G5117" s="3" t="s">
        <v>64</v>
      </c>
      <c r="I5117" s="3" t="s">
        <v>64</v>
      </c>
      <c r="J5117" s="3" t="s">
        <v>64</v>
      </c>
      <c r="K5117" s="3" t="s">
        <v>65</v>
      </c>
      <c r="M5117" s="2" t="s">
        <v>49832</v>
      </c>
      <c r="N5117" s="3" t="s">
        <v>1075</v>
      </c>
      <c r="P5117" s="3" t="s">
        <v>102</v>
      </c>
      <c r="R5117" s="3" t="s">
        <v>49178</v>
      </c>
      <c r="S5117" s="4">
        <v>3</v>
      </c>
      <c r="T5117" s="4">
        <v>3</v>
      </c>
      <c r="U5117" s="5" t="s">
        <v>3842</v>
      </c>
      <c r="V5117" s="5" t="s">
        <v>3842</v>
      </c>
      <c r="W5117" s="5" t="s">
        <v>72</v>
      </c>
      <c r="X5117" s="5" t="s">
        <v>72</v>
      </c>
      <c r="Y5117" s="4">
        <v>255</v>
      </c>
      <c r="Z5117" s="4">
        <v>23</v>
      </c>
      <c r="AA5117" s="4">
        <v>48</v>
      </c>
      <c r="AB5117" s="4">
        <v>1</v>
      </c>
      <c r="AC5117" s="4">
        <v>5</v>
      </c>
      <c r="AD5117" s="4">
        <v>70</v>
      </c>
      <c r="AE5117" s="4">
        <v>96</v>
      </c>
      <c r="AF5117" s="4">
        <v>0</v>
      </c>
      <c r="AG5117" s="4">
        <v>1</v>
      </c>
      <c r="AH5117" s="4">
        <v>59</v>
      </c>
      <c r="AI5117" s="4">
        <v>74</v>
      </c>
      <c r="AJ5117" s="4">
        <v>14</v>
      </c>
      <c r="AK5117" s="4">
        <v>17</v>
      </c>
      <c r="AL5117" s="4">
        <v>36</v>
      </c>
      <c r="AM5117" s="4">
        <v>42</v>
      </c>
      <c r="AN5117" s="4">
        <v>0</v>
      </c>
      <c r="AO5117" s="4">
        <v>0</v>
      </c>
      <c r="AP5117" s="4">
        <v>18</v>
      </c>
      <c r="AQ5117" s="4">
        <v>27</v>
      </c>
      <c r="AR5117" s="3" t="s">
        <v>64</v>
      </c>
      <c r="AS5117" s="3" t="s">
        <v>64</v>
      </c>
      <c r="AT5117" s="3" t="s">
        <v>64</v>
      </c>
      <c r="AV5117" s="6" t="str">
        <f>HYPERLINK("http://mcgill.on.worldcat.org/oclc/843124185","Catalog Record")</f>
        <v>Catalog Record</v>
      </c>
      <c r="AW5117" s="6" t="str">
        <f>HYPERLINK("http://www.worldcat.org/oclc/843124185","WorldCat Record")</f>
        <v>WorldCat Record</v>
      </c>
      <c r="AX5117" s="3" t="s">
        <v>49833</v>
      </c>
      <c r="AY5117" s="3" t="s">
        <v>49834</v>
      </c>
      <c r="AZ5117" s="3" t="s">
        <v>49835</v>
      </c>
      <c r="BA5117" s="3" t="s">
        <v>49835</v>
      </c>
      <c r="BB5117" s="3" t="s">
        <v>49836</v>
      </c>
      <c r="BC5117" s="3" t="s">
        <v>77</v>
      </c>
      <c r="BD5117" s="3" t="s">
        <v>78</v>
      </c>
      <c r="BE5117" s="3" t="s">
        <v>49837</v>
      </c>
      <c r="BF5117" s="3" t="s">
        <v>49836</v>
      </c>
      <c r="BG5117" s="3" t="s">
        <v>49838</v>
      </c>
      <c r="BH5117">
        <f t="shared" si="161"/>
        <v>0</v>
      </c>
    </row>
    <row r="5118" spans="1:60" ht="58" x14ac:dyDescent="0.35">
      <c r="A5118" s="2" t="s">
        <v>59</v>
      </c>
      <c r="B5118" s="2" t="s">
        <v>60</v>
      </c>
      <c r="C5118" s="2" t="s">
        <v>49839</v>
      </c>
      <c r="D5118" s="2" t="s">
        <v>49840</v>
      </c>
      <c r="E5118" s="2" t="s">
        <v>49841</v>
      </c>
      <c r="G5118" s="3" t="s">
        <v>64</v>
      </c>
      <c r="I5118" s="3" t="s">
        <v>64</v>
      </c>
      <c r="J5118" s="3" t="s">
        <v>64</v>
      </c>
      <c r="K5118" s="3" t="s">
        <v>65</v>
      </c>
      <c r="M5118" s="2" t="s">
        <v>27208</v>
      </c>
      <c r="N5118" s="3" t="s">
        <v>291</v>
      </c>
      <c r="P5118" s="3" t="s">
        <v>102</v>
      </c>
      <c r="R5118" s="3" t="s">
        <v>49178</v>
      </c>
      <c r="S5118" s="4">
        <v>9</v>
      </c>
      <c r="T5118" s="4">
        <v>9</v>
      </c>
      <c r="U5118" s="5" t="s">
        <v>14996</v>
      </c>
      <c r="V5118" s="5" t="s">
        <v>14996</v>
      </c>
      <c r="W5118" s="5" t="s">
        <v>72</v>
      </c>
      <c r="X5118" s="5" t="s">
        <v>72</v>
      </c>
      <c r="Y5118" s="4">
        <v>20</v>
      </c>
      <c r="Z5118" s="4">
        <v>1</v>
      </c>
      <c r="AA5118" s="4">
        <v>29</v>
      </c>
      <c r="AB5118" s="4">
        <v>1</v>
      </c>
      <c r="AC5118" s="4">
        <v>5</v>
      </c>
      <c r="AD5118" s="4">
        <v>2</v>
      </c>
      <c r="AE5118" s="4">
        <v>43</v>
      </c>
      <c r="AF5118" s="4">
        <v>0</v>
      </c>
      <c r="AG5118" s="4">
        <v>1</v>
      </c>
      <c r="AH5118" s="4">
        <v>2</v>
      </c>
      <c r="AI5118" s="4">
        <v>35</v>
      </c>
      <c r="AJ5118" s="4">
        <v>0</v>
      </c>
      <c r="AK5118" s="4">
        <v>11</v>
      </c>
      <c r="AL5118" s="4">
        <v>2</v>
      </c>
      <c r="AM5118" s="4">
        <v>17</v>
      </c>
      <c r="AN5118" s="4">
        <v>0</v>
      </c>
      <c r="AO5118" s="4">
        <v>0</v>
      </c>
      <c r="AP5118" s="4">
        <v>0</v>
      </c>
      <c r="AQ5118" s="4">
        <v>14</v>
      </c>
      <c r="AR5118" s="3" t="s">
        <v>64</v>
      </c>
      <c r="AS5118" s="3" t="s">
        <v>64</v>
      </c>
      <c r="AT5118" s="3" t="s">
        <v>128</v>
      </c>
      <c r="AU5118" s="6" t="str">
        <f>HYPERLINK("http://catalog.hathitrust.org/Record/005599517","HathiTrust Record")</f>
        <v>HathiTrust Record</v>
      </c>
      <c r="AV5118" s="6" t="str">
        <f>HYPERLINK("http://mcgill.on.worldcat.org/oclc/171529377","Catalog Record")</f>
        <v>Catalog Record</v>
      </c>
      <c r="AW5118" s="6" t="str">
        <f>HYPERLINK("http://www.worldcat.org/oclc/171529377","WorldCat Record")</f>
        <v>WorldCat Record</v>
      </c>
      <c r="AX5118" s="3" t="s">
        <v>49842</v>
      </c>
      <c r="AY5118" s="3" t="s">
        <v>49843</v>
      </c>
      <c r="AZ5118" s="3" t="s">
        <v>49844</v>
      </c>
      <c r="BA5118" s="3" t="s">
        <v>49844</v>
      </c>
      <c r="BB5118" s="3" t="s">
        <v>49845</v>
      </c>
      <c r="BC5118" s="3" t="s">
        <v>77</v>
      </c>
      <c r="BD5118" s="3" t="s">
        <v>78</v>
      </c>
      <c r="BE5118" s="3" t="s">
        <v>49846</v>
      </c>
      <c r="BF5118" s="3" t="s">
        <v>49845</v>
      </c>
      <c r="BG5118" s="3" t="s">
        <v>49847</v>
      </c>
      <c r="BH5118">
        <f t="shared" si="161"/>
        <v>0</v>
      </c>
    </row>
    <row r="5119" spans="1:60" ht="58" x14ac:dyDescent="0.35">
      <c r="A5119" s="2" t="s">
        <v>59</v>
      </c>
      <c r="B5119" s="2" t="s">
        <v>60</v>
      </c>
      <c r="C5119" s="2" t="s">
        <v>49848</v>
      </c>
      <c r="D5119" s="2" t="s">
        <v>49849</v>
      </c>
      <c r="E5119" s="2" t="s">
        <v>49850</v>
      </c>
      <c r="G5119" s="3" t="s">
        <v>64</v>
      </c>
      <c r="I5119" s="3" t="s">
        <v>64</v>
      </c>
      <c r="J5119" s="3" t="s">
        <v>64</v>
      </c>
      <c r="K5119" s="3" t="s">
        <v>65</v>
      </c>
      <c r="M5119" s="2" t="s">
        <v>16410</v>
      </c>
      <c r="N5119" s="3" t="s">
        <v>144</v>
      </c>
      <c r="P5119" s="3" t="s">
        <v>102</v>
      </c>
      <c r="R5119" s="3" t="s">
        <v>49178</v>
      </c>
      <c r="S5119" s="4">
        <v>22</v>
      </c>
      <c r="T5119" s="4">
        <v>22</v>
      </c>
      <c r="U5119" s="5" t="s">
        <v>47936</v>
      </c>
      <c r="V5119" s="5" t="s">
        <v>47936</v>
      </c>
      <c r="W5119" s="5" t="s">
        <v>72</v>
      </c>
      <c r="X5119" s="5" t="s">
        <v>72</v>
      </c>
      <c r="Y5119" s="4">
        <v>798</v>
      </c>
      <c r="Z5119" s="4">
        <v>41</v>
      </c>
      <c r="AA5119" s="4">
        <v>48</v>
      </c>
      <c r="AB5119" s="4">
        <v>2</v>
      </c>
      <c r="AC5119" s="4">
        <v>8</v>
      </c>
      <c r="AD5119" s="4">
        <v>94</v>
      </c>
      <c r="AE5119" s="4">
        <v>99</v>
      </c>
      <c r="AF5119" s="4">
        <v>1</v>
      </c>
      <c r="AG5119" s="4">
        <v>4</v>
      </c>
      <c r="AH5119" s="4">
        <v>78</v>
      </c>
      <c r="AI5119" s="4">
        <v>79</v>
      </c>
      <c r="AJ5119" s="4">
        <v>17</v>
      </c>
      <c r="AK5119" s="4">
        <v>18</v>
      </c>
      <c r="AL5119" s="4">
        <v>38</v>
      </c>
      <c r="AM5119" s="4">
        <v>39</v>
      </c>
      <c r="AN5119" s="4">
        <v>0</v>
      </c>
      <c r="AO5119" s="4">
        <v>0</v>
      </c>
      <c r="AP5119" s="4">
        <v>26</v>
      </c>
      <c r="AQ5119" s="4">
        <v>29</v>
      </c>
      <c r="AR5119" s="3" t="s">
        <v>64</v>
      </c>
      <c r="AS5119" s="3" t="s">
        <v>64</v>
      </c>
      <c r="AT5119" s="3" t="s">
        <v>64</v>
      </c>
      <c r="AV5119" s="6" t="str">
        <f>HYPERLINK("http://mcgill.on.worldcat.org/oclc/191881975","Catalog Record")</f>
        <v>Catalog Record</v>
      </c>
      <c r="AW5119" s="6" t="str">
        <f>HYPERLINK("http://www.worldcat.org/oclc/191881975","WorldCat Record")</f>
        <v>WorldCat Record</v>
      </c>
      <c r="AX5119" s="3" t="s">
        <v>49851</v>
      </c>
      <c r="AY5119" s="3" t="s">
        <v>49852</v>
      </c>
      <c r="AZ5119" s="3" t="s">
        <v>49853</v>
      </c>
      <c r="BA5119" s="3" t="s">
        <v>49853</v>
      </c>
      <c r="BB5119" s="3" t="s">
        <v>49854</v>
      </c>
      <c r="BC5119" s="3" t="s">
        <v>77</v>
      </c>
      <c r="BD5119" s="3" t="s">
        <v>78</v>
      </c>
      <c r="BE5119" s="3" t="s">
        <v>49855</v>
      </c>
      <c r="BF5119" s="3" t="s">
        <v>49854</v>
      </c>
      <c r="BG5119" s="3" t="s">
        <v>49856</v>
      </c>
      <c r="BH5119">
        <f t="shared" si="161"/>
        <v>0</v>
      </c>
    </row>
    <row r="5120" spans="1:60" ht="58" x14ac:dyDescent="0.35">
      <c r="A5120" s="2" t="s">
        <v>59</v>
      </c>
      <c r="B5120" s="2" t="s">
        <v>60</v>
      </c>
      <c r="C5120" s="2" t="s">
        <v>49857</v>
      </c>
      <c r="D5120" s="2" t="s">
        <v>49858</v>
      </c>
      <c r="E5120" s="2" t="s">
        <v>49859</v>
      </c>
      <c r="G5120" s="3" t="s">
        <v>64</v>
      </c>
      <c r="I5120" s="3" t="s">
        <v>64</v>
      </c>
      <c r="J5120" s="3" t="s">
        <v>128</v>
      </c>
      <c r="K5120" s="3" t="s">
        <v>65</v>
      </c>
      <c r="M5120" s="2" t="s">
        <v>14793</v>
      </c>
      <c r="N5120" s="3" t="s">
        <v>1075</v>
      </c>
      <c r="O5120" s="2" t="s">
        <v>3787</v>
      </c>
      <c r="P5120" s="3" t="s">
        <v>102</v>
      </c>
      <c r="R5120" s="3" t="s">
        <v>49178</v>
      </c>
      <c r="S5120" s="4">
        <v>6</v>
      </c>
      <c r="T5120" s="4">
        <v>6</v>
      </c>
      <c r="U5120" s="5" t="s">
        <v>17014</v>
      </c>
      <c r="V5120" s="5" t="s">
        <v>17014</v>
      </c>
      <c r="W5120" s="5" t="s">
        <v>72</v>
      </c>
      <c r="X5120" s="5" t="s">
        <v>72</v>
      </c>
      <c r="Y5120" s="4">
        <v>580</v>
      </c>
      <c r="Z5120" s="4">
        <v>30</v>
      </c>
      <c r="AA5120" s="4">
        <v>127</v>
      </c>
      <c r="AB5120" s="4">
        <v>2</v>
      </c>
      <c r="AC5120" s="4">
        <v>19</v>
      </c>
      <c r="AD5120" s="4">
        <v>80</v>
      </c>
      <c r="AE5120" s="4">
        <v>152</v>
      </c>
      <c r="AF5120" s="4">
        <v>1</v>
      </c>
      <c r="AG5120" s="4">
        <v>10</v>
      </c>
      <c r="AH5120" s="4">
        <v>69</v>
      </c>
      <c r="AI5120" s="4">
        <v>104</v>
      </c>
      <c r="AJ5120" s="4">
        <v>12</v>
      </c>
      <c r="AK5120" s="4">
        <v>26</v>
      </c>
      <c r="AL5120" s="4">
        <v>28</v>
      </c>
      <c r="AM5120" s="4">
        <v>53</v>
      </c>
      <c r="AN5120" s="4">
        <v>0</v>
      </c>
      <c r="AO5120" s="4">
        <v>0</v>
      </c>
      <c r="AP5120" s="4">
        <v>20</v>
      </c>
      <c r="AQ5120" s="4">
        <v>55</v>
      </c>
      <c r="AR5120" s="3" t="s">
        <v>64</v>
      </c>
      <c r="AS5120" s="3" t="s">
        <v>64</v>
      </c>
      <c r="AT5120" s="3" t="s">
        <v>64</v>
      </c>
      <c r="AV5120" s="6" t="str">
        <f>HYPERLINK("http://mcgill.on.worldcat.org/oclc/841199102","Catalog Record")</f>
        <v>Catalog Record</v>
      </c>
      <c r="AW5120" s="6" t="str">
        <f>HYPERLINK("http://www.worldcat.org/oclc/841199102","WorldCat Record")</f>
        <v>WorldCat Record</v>
      </c>
      <c r="AX5120" s="3" t="s">
        <v>49860</v>
      </c>
      <c r="AY5120" s="3" t="s">
        <v>49861</v>
      </c>
      <c r="AZ5120" s="3" t="s">
        <v>49862</v>
      </c>
      <c r="BA5120" s="3" t="s">
        <v>49862</v>
      </c>
      <c r="BB5120" s="3" t="s">
        <v>49863</v>
      </c>
      <c r="BC5120" s="3" t="s">
        <v>77</v>
      </c>
      <c r="BD5120" s="3" t="s">
        <v>78</v>
      </c>
      <c r="BE5120" s="3" t="s">
        <v>49864</v>
      </c>
      <c r="BF5120" s="3" t="s">
        <v>49863</v>
      </c>
      <c r="BG5120" s="3" t="s">
        <v>49865</v>
      </c>
      <c r="BH5120">
        <f t="shared" si="161"/>
        <v>0</v>
      </c>
    </row>
    <row r="5121" spans="1:60" ht="58" x14ac:dyDescent="0.35">
      <c r="A5121" s="2" t="s">
        <v>59</v>
      </c>
      <c r="B5121" s="2" t="s">
        <v>60</v>
      </c>
      <c r="C5121" s="2" t="s">
        <v>49866</v>
      </c>
      <c r="D5121" s="2" t="s">
        <v>49867</v>
      </c>
      <c r="E5121" s="2" t="s">
        <v>49868</v>
      </c>
      <c r="G5121" s="3" t="s">
        <v>64</v>
      </c>
      <c r="I5121" s="3" t="s">
        <v>64</v>
      </c>
      <c r="J5121" s="3" t="s">
        <v>64</v>
      </c>
      <c r="K5121" s="3" t="s">
        <v>65</v>
      </c>
      <c r="M5121" s="2" t="s">
        <v>15765</v>
      </c>
      <c r="N5121" s="3" t="s">
        <v>326</v>
      </c>
      <c r="P5121" s="3" t="s">
        <v>102</v>
      </c>
      <c r="Q5121" s="2" t="s">
        <v>8981</v>
      </c>
      <c r="R5121" s="3" t="s">
        <v>49178</v>
      </c>
      <c r="S5121" s="4">
        <v>2</v>
      </c>
      <c r="T5121" s="4">
        <v>2</v>
      </c>
      <c r="U5121" s="5" t="s">
        <v>49869</v>
      </c>
      <c r="V5121" s="5" t="s">
        <v>49869</v>
      </c>
      <c r="W5121" s="5" t="s">
        <v>72</v>
      </c>
      <c r="X5121" s="5" t="s">
        <v>72</v>
      </c>
      <c r="Y5121" s="4">
        <v>153</v>
      </c>
      <c r="Z5121" s="4">
        <v>14</v>
      </c>
      <c r="AA5121" s="4">
        <v>26</v>
      </c>
      <c r="AB5121" s="4">
        <v>2</v>
      </c>
      <c r="AC5121" s="4">
        <v>6</v>
      </c>
      <c r="AD5121" s="4">
        <v>41</v>
      </c>
      <c r="AE5121" s="4">
        <v>67</v>
      </c>
      <c r="AF5121" s="4">
        <v>1</v>
      </c>
      <c r="AG5121" s="4">
        <v>3</v>
      </c>
      <c r="AH5121" s="4">
        <v>34</v>
      </c>
      <c r="AI5121" s="4">
        <v>55</v>
      </c>
      <c r="AJ5121" s="4">
        <v>10</v>
      </c>
      <c r="AK5121" s="4">
        <v>15</v>
      </c>
      <c r="AL5121" s="4">
        <v>22</v>
      </c>
      <c r="AM5121" s="4">
        <v>32</v>
      </c>
      <c r="AN5121" s="4">
        <v>0</v>
      </c>
      <c r="AO5121" s="4">
        <v>0</v>
      </c>
      <c r="AP5121" s="4">
        <v>12</v>
      </c>
      <c r="AQ5121" s="4">
        <v>18</v>
      </c>
      <c r="AR5121" s="3" t="s">
        <v>64</v>
      </c>
      <c r="AS5121" s="3" t="s">
        <v>64</v>
      </c>
      <c r="AT5121" s="3" t="s">
        <v>64</v>
      </c>
      <c r="AV5121" s="6" t="str">
        <f>HYPERLINK("http://mcgill.on.worldcat.org/oclc/748328525","Catalog Record")</f>
        <v>Catalog Record</v>
      </c>
      <c r="AW5121" s="6" t="str">
        <f>HYPERLINK("http://www.worldcat.org/oclc/748328525","WorldCat Record")</f>
        <v>WorldCat Record</v>
      </c>
      <c r="AX5121" s="3" t="s">
        <v>49870</v>
      </c>
      <c r="AY5121" s="3" t="s">
        <v>49871</v>
      </c>
      <c r="AZ5121" s="3" t="s">
        <v>49872</v>
      </c>
      <c r="BA5121" s="3" t="s">
        <v>49872</v>
      </c>
      <c r="BB5121" s="3" t="s">
        <v>49873</v>
      </c>
      <c r="BC5121" s="3" t="s">
        <v>77</v>
      </c>
      <c r="BD5121" s="3" t="s">
        <v>78</v>
      </c>
      <c r="BE5121" s="3" t="s">
        <v>49874</v>
      </c>
      <c r="BF5121" s="3" t="s">
        <v>49873</v>
      </c>
      <c r="BG5121" s="3" t="s">
        <v>49875</v>
      </c>
      <c r="BH5121">
        <f t="shared" si="161"/>
        <v>0</v>
      </c>
    </row>
    <row r="5122" spans="1:60" ht="58" x14ac:dyDescent="0.35">
      <c r="A5122" s="2" t="s">
        <v>59</v>
      </c>
      <c r="B5122" s="2" t="s">
        <v>60</v>
      </c>
      <c r="C5122" s="2" t="s">
        <v>49876</v>
      </c>
      <c r="D5122" s="2" t="s">
        <v>49877</v>
      </c>
      <c r="E5122" s="2" t="s">
        <v>49878</v>
      </c>
      <c r="G5122" s="3" t="s">
        <v>64</v>
      </c>
      <c r="I5122" s="3" t="s">
        <v>64</v>
      </c>
      <c r="J5122" s="3" t="s">
        <v>64</v>
      </c>
      <c r="K5122" s="3" t="s">
        <v>65</v>
      </c>
      <c r="M5122" s="2" t="s">
        <v>49879</v>
      </c>
      <c r="N5122" s="3" t="s">
        <v>67</v>
      </c>
      <c r="O5122" s="2" t="s">
        <v>117</v>
      </c>
      <c r="P5122" s="3" t="s">
        <v>102</v>
      </c>
      <c r="Q5122" s="2" t="s">
        <v>49880</v>
      </c>
      <c r="R5122" s="3" t="s">
        <v>49178</v>
      </c>
      <c r="S5122" s="4">
        <v>5</v>
      </c>
      <c r="T5122" s="4">
        <v>5</v>
      </c>
      <c r="U5122" s="5" t="s">
        <v>14927</v>
      </c>
      <c r="V5122" s="5" t="s">
        <v>14927</v>
      </c>
      <c r="W5122" s="5" t="s">
        <v>72</v>
      </c>
      <c r="X5122" s="5" t="s">
        <v>72</v>
      </c>
      <c r="Y5122" s="4">
        <v>65</v>
      </c>
      <c r="Z5122" s="4">
        <v>6</v>
      </c>
      <c r="AA5122" s="4">
        <v>78</v>
      </c>
      <c r="AB5122" s="4">
        <v>1</v>
      </c>
      <c r="AC5122" s="4">
        <v>14</v>
      </c>
      <c r="AD5122" s="4">
        <v>18</v>
      </c>
      <c r="AE5122" s="4">
        <v>93</v>
      </c>
      <c r="AF5122" s="4">
        <v>0</v>
      </c>
      <c r="AG5122" s="4">
        <v>8</v>
      </c>
      <c r="AH5122" s="4">
        <v>15</v>
      </c>
      <c r="AI5122" s="4">
        <v>58</v>
      </c>
      <c r="AJ5122" s="4">
        <v>3</v>
      </c>
      <c r="AK5122" s="4">
        <v>19</v>
      </c>
      <c r="AL5122" s="4">
        <v>11</v>
      </c>
      <c r="AM5122" s="4">
        <v>30</v>
      </c>
      <c r="AN5122" s="4">
        <v>0</v>
      </c>
      <c r="AO5122" s="4">
        <v>0</v>
      </c>
      <c r="AP5122" s="4">
        <v>4</v>
      </c>
      <c r="AQ5122" s="4">
        <v>42</v>
      </c>
      <c r="AR5122" s="3" t="s">
        <v>64</v>
      </c>
      <c r="AS5122" s="3" t="s">
        <v>64</v>
      </c>
      <c r="AT5122" s="3" t="s">
        <v>64</v>
      </c>
      <c r="AV5122" s="6" t="str">
        <f>HYPERLINK("http://mcgill.on.worldcat.org/oclc/889726465","Catalog Record")</f>
        <v>Catalog Record</v>
      </c>
      <c r="AW5122" s="6" t="str">
        <f>HYPERLINK("http://www.worldcat.org/oclc/889726465","WorldCat Record")</f>
        <v>WorldCat Record</v>
      </c>
      <c r="AX5122" s="3" t="s">
        <v>49881</v>
      </c>
      <c r="AY5122" s="3" t="s">
        <v>49882</v>
      </c>
      <c r="AZ5122" s="3" t="s">
        <v>49883</v>
      </c>
      <c r="BA5122" s="3" t="s">
        <v>49883</v>
      </c>
      <c r="BB5122" s="3" t="s">
        <v>49884</v>
      </c>
      <c r="BC5122" s="3" t="s">
        <v>77</v>
      </c>
      <c r="BD5122" s="3" t="s">
        <v>78</v>
      </c>
      <c r="BE5122" s="3" t="s">
        <v>49885</v>
      </c>
      <c r="BF5122" s="3" t="s">
        <v>49884</v>
      </c>
      <c r="BG5122" s="3" t="s">
        <v>49886</v>
      </c>
      <c r="BH5122">
        <f t="shared" ref="BH5122:BH5185" si="162">IF(COUNTIF($BF$1:$BF$5431,BF5122)=1,0,1)</f>
        <v>0</v>
      </c>
    </row>
    <row r="5123" spans="1:60" ht="58" x14ac:dyDescent="0.35">
      <c r="A5123" s="2" t="s">
        <v>59</v>
      </c>
      <c r="B5123" s="2" t="s">
        <v>60</v>
      </c>
      <c r="C5123" s="2" t="s">
        <v>49887</v>
      </c>
      <c r="D5123" s="2" t="s">
        <v>49888</v>
      </c>
      <c r="E5123" s="2" t="s">
        <v>49889</v>
      </c>
      <c r="G5123" s="3" t="s">
        <v>64</v>
      </c>
      <c r="I5123" s="3" t="s">
        <v>64</v>
      </c>
      <c r="J5123" s="3" t="s">
        <v>64</v>
      </c>
      <c r="K5123" s="3" t="s">
        <v>65</v>
      </c>
      <c r="M5123" s="2" t="s">
        <v>13017</v>
      </c>
      <c r="N5123" s="3" t="s">
        <v>86</v>
      </c>
      <c r="P5123" s="3" t="s">
        <v>102</v>
      </c>
      <c r="R5123" s="3" t="s">
        <v>49178</v>
      </c>
      <c r="S5123" s="4">
        <v>2</v>
      </c>
      <c r="T5123" s="4">
        <v>2</v>
      </c>
      <c r="U5123" s="5" t="s">
        <v>49890</v>
      </c>
      <c r="V5123" s="5" t="s">
        <v>49890</v>
      </c>
      <c r="W5123" s="5" t="s">
        <v>72</v>
      </c>
      <c r="X5123" s="5" t="s">
        <v>72</v>
      </c>
      <c r="Y5123" s="4">
        <v>277</v>
      </c>
      <c r="Z5123" s="4">
        <v>18</v>
      </c>
      <c r="AA5123" s="4">
        <v>86</v>
      </c>
      <c r="AB5123" s="4">
        <v>1</v>
      </c>
      <c r="AC5123" s="4">
        <v>16</v>
      </c>
      <c r="AD5123" s="4">
        <v>46</v>
      </c>
      <c r="AE5123" s="4">
        <v>104</v>
      </c>
      <c r="AF5123" s="4">
        <v>0</v>
      </c>
      <c r="AG5123" s="4">
        <v>8</v>
      </c>
      <c r="AH5123" s="4">
        <v>41</v>
      </c>
      <c r="AI5123" s="4">
        <v>72</v>
      </c>
      <c r="AJ5123" s="4">
        <v>7</v>
      </c>
      <c r="AK5123" s="4">
        <v>20</v>
      </c>
      <c r="AL5123" s="4">
        <v>22</v>
      </c>
      <c r="AM5123" s="4">
        <v>35</v>
      </c>
      <c r="AN5123" s="4">
        <v>0</v>
      </c>
      <c r="AO5123" s="4">
        <v>0</v>
      </c>
      <c r="AP5123" s="4">
        <v>10</v>
      </c>
      <c r="AQ5123" s="4">
        <v>41</v>
      </c>
      <c r="AR5123" s="3" t="s">
        <v>64</v>
      </c>
      <c r="AS5123" s="3" t="s">
        <v>64</v>
      </c>
      <c r="AT5123" s="3" t="s">
        <v>64</v>
      </c>
      <c r="AV5123" s="6" t="str">
        <f>HYPERLINK("http://mcgill.on.worldcat.org/oclc/778274955","Catalog Record")</f>
        <v>Catalog Record</v>
      </c>
      <c r="AW5123" s="6" t="str">
        <f>HYPERLINK("http://www.worldcat.org/oclc/778274955","WorldCat Record")</f>
        <v>WorldCat Record</v>
      </c>
      <c r="AX5123" s="3" t="s">
        <v>49891</v>
      </c>
      <c r="AY5123" s="3" t="s">
        <v>49892</v>
      </c>
      <c r="AZ5123" s="3" t="s">
        <v>49893</v>
      </c>
      <c r="BA5123" s="3" t="s">
        <v>49893</v>
      </c>
      <c r="BB5123" s="3" t="s">
        <v>49894</v>
      </c>
      <c r="BC5123" s="3" t="s">
        <v>77</v>
      </c>
      <c r="BD5123" s="3" t="s">
        <v>78</v>
      </c>
      <c r="BE5123" s="3" t="s">
        <v>49895</v>
      </c>
      <c r="BF5123" s="3" t="s">
        <v>49894</v>
      </c>
      <c r="BG5123" s="3" t="s">
        <v>49896</v>
      </c>
      <c r="BH5123">
        <f t="shared" si="162"/>
        <v>0</v>
      </c>
    </row>
    <row r="5124" spans="1:60" ht="58" x14ac:dyDescent="0.35">
      <c r="A5124" s="2" t="s">
        <v>59</v>
      </c>
      <c r="B5124" s="2" t="s">
        <v>60</v>
      </c>
      <c r="C5124" s="2" t="s">
        <v>49897</v>
      </c>
      <c r="D5124" s="2" t="s">
        <v>49898</v>
      </c>
      <c r="E5124" s="2" t="s">
        <v>49899</v>
      </c>
      <c r="F5124" s="3" t="s">
        <v>529</v>
      </c>
      <c r="G5124" s="3" t="s">
        <v>128</v>
      </c>
      <c r="I5124" s="3" t="s">
        <v>64</v>
      </c>
      <c r="J5124" s="3" t="s">
        <v>64</v>
      </c>
      <c r="K5124" s="3" t="s">
        <v>65</v>
      </c>
      <c r="M5124" s="2" t="s">
        <v>49900</v>
      </c>
      <c r="N5124" s="3" t="s">
        <v>551</v>
      </c>
      <c r="P5124" s="3" t="s">
        <v>102</v>
      </c>
      <c r="R5124" s="3" t="s">
        <v>49178</v>
      </c>
      <c r="S5124" s="4">
        <v>4</v>
      </c>
      <c r="T5124" s="4">
        <v>8</v>
      </c>
      <c r="U5124" s="5" t="s">
        <v>49514</v>
      </c>
      <c r="V5124" s="5" t="s">
        <v>49514</v>
      </c>
      <c r="W5124" s="5" t="s">
        <v>72</v>
      </c>
      <c r="X5124" s="5" t="s">
        <v>72</v>
      </c>
      <c r="Y5124" s="4">
        <v>18</v>
      </c>
      <c r="Z5124" s="4">
        <v>1</v>
      </c>
      <c r="AA5124" s="4">
        <v>1</v>
      </c>
      <c r="AB5124" s="4">
        <v>1</v>
      </c>
      <c r="AC5124" s="4">
        <v>1</v>
      </c>
      <c r="AD5124" s="4">
        <v>0</v>
      </c>
      <c r="AE5124" s="4">
        <v>0</v>
      </c>
      <c r="AF5124" s="4">
        <v>0</v>
      </c>
      <c r="AG5124" s="4">
        <v>0</v>
      </c>
      <c r="AH5124" s="4">
        <v>0</v>
      </c>
      <c r="AI5124" s="4">
        <v>0</v>
      </c>
      <c r="AJ5124" s="4">
        <v>0</v>
      </c>
      <c r="AK5124" s="4">
        <v>0</v>
      </c>
      <c r="AL5124" s="4">
        <v>0</v>
      </c>
      <c r="AM5124" s="4">
        <v>0</v>
      </c>
      <c r="AN5124" s="4">
        <v>0</v>
      </c>
      <c r="AO5124" s="4">
        <v>0</v>
      </c>
      <c r="AP5124" s="4">
        <v>0</v>
      </c>
      <c r="AQ5124" s="4">
        <v>0</v>
      </c>
      <c r="AR5124" s="3" t="s">
        <v>64</v>
      </c>
      <c r="AS5124" s="3" t="s">
        <v>64</v>
      </c>
      <c r="AT5124" s="3" t="s">
        <v>64</v>
      </c>
      <c r="AV5124" s="6" t="str">
        <f>HYPERLINK("http://mcgill.on.worldcat.org/oclc/430027239","Catalog Record")</f>
        <v>Catalog Record</v>
      </c>
      <c r="AW5124" s="6" t="str">
        <f>HYPERLINK("http://www.worldcat.org/oclc/430027239","WorldCat Record")</f>
        <v>WorldCat Record</v>
      </c>
      <c r="AX5124" s="3" t="s">
        <v>49901</v>
      </c>
      <c r="AY5124" s="3" t="s">
        <v>49902</v>
      </c>
      <c r="AZ5124" s="3" t="s">
        <v>49903</v>
      </c>
      <c r="BA5124" s="3" t="s">
        <v>49903</v>
      </c>
      <c r="BB5124" s="3" t="s">
        <v>49904</v>
      </c>
      <c r="BC5124" s="3" t="s">
        <v>77</v>
      </c>
      <c r="BD5124" s="3" t="s">
        <v>78</v>
      </c>
      <c r="BE5124" s="3" t="s">
        <v>49905</v>
      </c>
      <c r="BF5124" s="3" t="s">
        <v>49904</v>
      </c>
      <c r="BG5124" s="3" t="s">
        <v>49906</v>
      </c>
      <c r="BH5124">
        <f t="shared" si="162"/>
        <v>0</v>
      </c>
    </row>
    <row r="5125" spans="1:60" ht="58" x14ac:dyDescent="0.35">
      <c r="A5125" s="2" t="s">
        <v>59</v>
      </c>
      <c r="B5125" s="2" t="s">
        <v>60</v>
      </c>
      <c r="C5125" s="2" t="s">
        <v>49897</v>
      </c>
      <c r="D5125" s="2" t="s">
        <v>49898</v>
      </c>
      <c r="E5125" s="2" t="s">
        <v>49899</v>
      </c>
      <c r="F5125" s="3" t="s">
        <v>525</v>
      </c>
      <c r="G5125" s="3" t="s">
        <v>128</v>
      </c>
      <c r="I5125" s="3" t="s">
        <v>64</v>
      </c>
      <c r="J5125" s="3" t="s">
        <v>64</v>
      </c>
      <c r="K5125" s="3" t="s">
        <v>65</v>
      </c>
      <c r="M5125" s="2" t="s">
        <v>49900</v>
      </c>
      <c r="N5125" s="3" t="s">
        <v>551</v>
      </c>
      <c r="P5125" s="3" t="s">
        <v>102</v>
      </c>
      <c r="R5125" s="3" t="s">
        <v>49178</v>
      </c>
      <c r="S5125" s="4">
        <v>4</v>
      </c>
      <c r="T5125" s="4">
        <v>8</v>
      </c>
      <c r="U5125" s="5" t="s">
        <v>24769</v>
      </c>
      <c r="V5125" s="5" t="s">
        <v>49514</v>
      </c>
      <c r="W5125" s="5" t="s">
        <v>72</v>
      </c>
      <c r="X5125" s="5" t="s">
        <v>72</v>
      </c>
      <c r="Y5125" s="4">
        <v>18</v>
      </c>
      <c r="Z5125" s="4">
        <v>1</v>
      </c>
      <c r="AA5125" s="4">
        <v>1</v>
      </c>
      <c r="AB5125" s="4">
        <v>1</v>
      </c>
      <c r="AC5125" s="4">
        <v>1</v>
      </c>
      <c r="AD5125" s="4">
        <v>0</v>
      </c>
      <c r="AE5125" s="4">
        <v>0</v>
      </c>
      <c r="AF5125" s="4">
        <v>0</v>
      </c>
      <c r="AG5125" s="4">
        <v>0</v>
      </c>
      <c r="AH5125" s="4">
        <v>0</v>
      </c>
      <c r="AI5125" s="4">
        <v>0</v>
      </c>
      <c r="AJ5125" s="4">
        <v>0</v>
      </c>
      <c r="AK5125" s="4">
        <v>0</v>
      </c>
      <c r="AL5125" s="4">
        <v>0</v>
      </c>
      <c r="AM5125" s="4">
        <v>0</v>
      </c>
      <c r="AN5125" s="4">
        <v>0</v>
      </c>
      <c r="AO5125" s="4">
        <v>0</v>
      </c>
      <c r="AP5125" s="4">
        <v>0</v>
      </c>
      <c r="AQ5125" s="4">
        <v>0</v>
      </c>
      <c r="AR5125" s="3" t="s">
        <v>64</v>
      </c>
      <c r="AS5125" s="3" t="s">
        <v>64</v>
      </c>
      <c r="AT5125" s="3" t="s">
        <v>64</v>
      </c>
      <c r="AV5125" s="6" t="str">
        <f>HYPERLINK("http://mcgill.on.worldcat.org/oclc/430027239","Catalog Record")</f>
        <v>Catalog Record</v>
      </c>
      <c r="AW5125" s="6" t="str">
        <f>HYPERLINK("http://www.worldcat.org/oclc/430027239","WorldCat Record")</f>
        <v>WorldCat Record</v>
      </c>
      <c r="AX5125" s="3" t="s">
        <v>49901</v>
      </c>
      <c r="AY5125" s="3" t="s">
        <v>49902</v>
      </c>
      <c r="AZ5125" s="3" t="s">
        <v>49903</v>
      </c>
      <c r="BA5125" s="3" t="s">
        <v>49903</v>
      </c>
      <c r="BB5125" s="3" t="s">
        <v>49907</v>
      </c>
      <c r="BC5125" s="3" t="s">
        <v>77</v>
      </c>
      <c r="BD5125" s="3" t="s">
        <v>78</v>
      </c>
      <c r="BE5125" s="3" t="s">
        <v>49905</v>
      </c>
      <c r="BF5125" s="3" t="s">
        <v>49907</v>
      </c>
      <c r="BG5125" s="3" t="s">
        <v>49908</v>
      </c>
      <c r="BH5125">
        <f t="shared" si="162"/>
        <v>0</v>
      </c>
    </row>
    <row r="5126" spans="1:60" ht="58" x14ac:dyDescent="0.35">
      <c r="A5126" s="2" t="s">
        <v>59</v>
      </c>
      <c r="B5126" s="2" t="s">
        <v>60</v>
      </c>
      <c r="C5126" s="2" t="s">
        <v>49909</v>
      </c>
      <c r="D5126" s="2" t="s">
        <v>49910</v>
      </c>
      <c r="E5126" s="2" t="s">
        <v>49911</v>
      </c>
      <c r="G5126" s="3" t="s">
        <v>64</v>
      </c>
      <c r="I5126" s="3" t="s">
        <v>64</v>
      </c>
      <c r="J5126" s="3" t="s">
        <v>64</v>
      </c>
      <c r="K5126" s="3" t="s">
        <v>65</v>
      </c>
      <c r="L5126" s="2" t="s">
        <v>49912</v>
      </c>
      <c r="M5126" s="2" t="s">
        <v>19139</v>
      </c>
      <c r="N5126" s="3" t="s">
        <v>86</v>
      </c>
      <c r="O5126" s="2" t="s">
        <v>16653</v>
      </c>
      <c r="P5126" s="3" t="s">
        <v>102</v>
      </c>
      <c r="R5126" s="3" t="s">
        <v>49178</v>
      </c>
      <c r="S5126" s="4">
        <v>10</v>
      </c>
      <c r="T5126" s="4">
        <v>10</v>
      </c>
      <c r="U5126" s="5" t="s">
        <v>39117</v>
      </c>
      <c r="V5126" s="5" t="s">
        <v>39117</v>
      </c>
      <c r="W5126" s="5" t="s">
        <v>72</v>
      </c>
      <c r="X5126" s="5" t="s">
        <v>72</v>
      </c>
      <c r="Y5126" s="4">
        <v>65</v>
      </c>
      <c r="Z5126" s="4">
        <v>5</v>
      </c>
      <c r="AA5126" s="4">
        <v>7</v>
      </c>
      <c r="AB5126" s="4">
        <v>1</v>
      </c>
      <c r="AC5126" s="4">
        <v>1</v>
      </c>
      <c r="AD5126" s="4">
        <v>5</v>
      </c>
      <c r="AE5126" s="4">
        <v>6</v>
      </c>
      <c r="AF5126" s="4">
        <v>0</v>
      </c>
      <c r="AG5126" s="4">
        <v>0</v>
      </c>
      <c r="AH5126" s="4">
        <v>5</v>
      </c>
      <c r="AI5126" s="4">
        <v>6</v>
      </c>
      <c r="AJ5126" s="4">
        <v>3</v>
      </c>
      <c r="AK5126" s="4">
        <v>4</v>
      </c>
      <c r="AL5126" s="4">
        <v>2</v>
      </c>
      <c r="AM5126" s="4">
        <v>3</v>
      </c>
      <c r="AN5126" s="4">
        <v>0</v>
      </c>
      <c r="AO5126" s="4">
        <v>0</v>
      </c>
      <c r="AP5126" s="4">
        <v>3</v>
      </c>
      <c r="AQ5126" s="4">
        <v>4</v>
      </c>
      <c r="AR5126" s="3" t="s">
        <v>64</v>
      </c>
      <c r="AS5126" s="3" t="s">
        <v>64</v>
      </c>
      <c r="AT5126" s="3" t="s">
        <v>64</v>
      </c>
      <c r="AV5126" s="6" t="str">
        <f>HYPERLINK("http://mcgill.on.worldcat.org/oclc/773014820","Catalog Record")</f>
        <v>Catalog Record</v>
      </c>
      <c r="AW5126" s="6" t="str">
        <f>HYPERLINK("http://www.worldcat.org/oclc/773014820","WorldCat Record")</f>
        <v>WorldCat Record</v>
      </c>
      <c r="AX5126" s="3" t="s">
        <v>49913</v>
      </c>
      <c r="AY5126" s="3" t="s">
        <v>49914</v>
      </c>
      <c r="AZ5126" s="3" t="s">
        <v>49915</v>
      </c>
      <c r="BA5126" s="3" t="s">
        <v>49915</v>
      </c>
      <c r="BB5126" s="3" t="s">
        <v>49916</v>
      </c>
      <c r="BC5126" s="3" t="s">
        <v>77</v>
      </c>
      <c r="BD5126" s="3" t="s">
        <v>165</v>
      </c>
      <c r="BE5126" s="3" t="s">
        <v>49917</v>
      </c>
      <c r="BF5126" s="3" t="s">
        <v>49916</v>
      </c>
      <c r="BG5126" s="3" t="s">
        <v>49918</v>
      </c>
      <c r="BH5126">
        <f t="shared" si="162"/>
        <v>0</v>
      </c>
    </row>
    <row r="5127" spans="1:60" ht="58" x14ac:dyDescent="0.35">
      <c r="A5127" s="2" t="s">
        <v>59</v>
      </c>
      <c r="B5127" s="2" t="s">
        <v>60</v>
      </c>
      <c r="C5127" s="2" t="s">
        <v>49919</v>
      </c>
      <c r="D5127" s="2" t="s">
        <v>49920</v>
      </c>
      <c r="E5127" s="2" t="s">
        <v>49921</v>
      </c>
      <c r="G5127" s="3" t="s">
        <v>64</v>
      </c>
      <c r="I5127" s="3" t="s">
        <v>64</v>
      </c>
      <c r="J5127" s="3" t="s">
        <v>64</v>
      </c>
      <c r="K5127" s="3" t="s">
        <v>65</v>
      </c>
      <c r="L5127" s="2" t="s">
        <v>49922</v>
      </c>
      <c r="M5127" s="2" t="s">
        <v>49923</v>
      </c>
      <c r="N5127" s="3" t="s">
        <v>144</v>
      </c>
      <c r="P5127" s="3" t="s">
        <v>102</v>
      </c>
      <c r="R5127" s="3" t="s">
        <v>49178</v>
      </c>
      <c r="S5127" s="4">
        <v>4</v>
      </c>
      <c r="T5127" s="4">
        <v>4</v>
      </c>
      <c r="U5127" s="5" t="s">
        <v>47874</v>
      </c>
      <c r="V5127" s="5" t="s">
        <v>47874</v>
      </c>
      <c r="W5127" s="5" t="s">
        <v>72</v>
      </c>
      <c r="X5127" s="5" t="s">
        <v>72</v>
      </c>
      <c r="Y5127" s="4">
        <v>57</v>
      </c>
      <c r="Z5127" s="4">
        <v>19</v>
      </c>
      <c r="AA5127" s="4">
        <v>35</v>
      </c>
      <c r="AB5127" s="4">
        <v>2</v>
      </c>
      <c r="AC5127" s="4">
        <v>6</v>
      </c>
      <c r="AD5127" s="4">
        <v>14</v>
      </c>
      <c r="AE5127" s="4">
        <v>23</v>
      </c>
      <c r="AF5127" s="4">
        <v>0</v>
      </c>
      <c r="AG5127" s="4">
        <v>2</v>
      </c>
      <c r="AH5127" s="4">
        <v>11</v>
      </c>
      <c r="AI5127" s="4">
        <v>12</v>
      </c>
      <c r="AJ5127" s="4">
        <v>8</v>
      </c>
      <c r="AK5127" s="4">
        <v>11</v>
      </c>
      <c r="AL5127" s="4">
        <v>4</v>
      </c>
      <c r="AM5127" s="4">
        <v>4</v>
      </c>
      <c r="AN5127" s="4">
        <v>0</v>
      </c>
      <c r="AO5127" s="4">
        <v>0</v>
      </c>
      <c r="AP5127" s="4">
        <v>8</v>
      </c>
      <c r="AQ5127" s="4">
        <v>17</v>
      </c>
      <c r="AR5127" s="3" t="s">
        <v>128</v>
      </c>
      <c r="AS5127" s="3" t="s">
        <v>64</v>
      </c>
      <c r="AT5127" s="3" t="s">
        <v>64</v>
      </c>
      <c r="AV5127" s="6" t="str">
        <f>HYPERLINK("http://mcgill.on.worldcat.org/oclc/233522131","Catalog Record")</f>
        <v>Catalog Record</v>
      </c>
      <c r="AW5127" s="6" t="str">
        <f>HYPERLINK("http://www.worldcat.org/oclc/233522131","WorldCat Record")</f>
        <v>WorldCat Record</v>
      </c>
      <c r="AX5127" s="3" t="s">
        <v>49924</v>
      </c>
      <c r="AY5127" s="3" t="s">
        <v>49925</v>
      </c>
      <c r="AZ5127" s="3" t="s">
        <v>49926</v>
      </c>
      <c r="BA5127" s="3" t="s">
        <v>49926</v>
      </c>
      <c r="BB5127" s="3" t="s">
        <v>49927</v>
      </c>
      <c r="BC5127" s="3" t="s">
        <v>77</v>
      </c>
      <c r="BD5127" s="3" t="s">
        <v>78</v>
      </c>
      <c r="BE5127" s="3" t="s">
        <v>49928</v>
      </c>
      <c r="BF5127" s="3" t="s">
        <v>49927</v>
      </c>
      <c r="BG5127" s="3" t="s">
        <v>49929</v>
      </c>
      <c r="BH5127">
        <f t="shared" si="162"/>
        <v>0</v>
      </c>
    </row>
    <row r="5128" spans="1:60" ht="58" x14ac:dyDescent="0.35">
      <c r="A5128" s="2" t="s">
        <v>59</v>
      </c>
      <c r="B5128" s="2" t="s">
        <v>60</v>
      </c>
      <c r="C5128" s="2" t="s">
        <v>49930</v>
      </c>
      <c r="D5128" s="2" t="s">
        <v>49931</v>
      </c>
      <c r="E5128" s="2" t="s">
        <v>49932</v>
      </c>
      <c r="G5128" s="3" t="s">
        <v>64</v>
      </c>
      <c r="I5128" s="3" t="s">
        <v>64</v>
      </c>
      <c r="J5128" s="3" t="s">
        <v>128</v>
      </c>
      <c r="K5128" s="3" t="s">
        <v>65</v>
      </c>
      <c r="L5128" s="2" t="s">
        <v>49933</v>
      </c>
      <c r="M5128" s="2" t="s">
        <v>49934</v>
      </c>
      <c r="N5128" s="3" t="s">
        <v>511</v>
      </c>
      <c r="O5128" s="2" t="s">
        <v>172</v>
      </c>
      <c r="P5128" s="3" t="s">
        <v>102</v>
      </c>
      <c r="Q5128" s="2" t="s">
        <v>49935</v>
      </c>
      <c r="R5128" s="3" t="s">
        <v>49178</v>
      </c>
      <c r="S5128" s="4">
        <v>2</v>
      </c>
      <c r="T5128" s="4">
        <v>2</v>
      </c>
      <c r="U5128" s="5" t="s">
        <v>14927</v>
      </c>
      <c r="V5128" s="5" t="s">
        <v>14927</v>
      </c>
      <c r="W5128" s="5" t="s">
        <v>72</v>
      </c>
      <c r="X5128" s="5" t="s">
        <v>72</v>
      </c>
      <c r="Y5128" s="4">
        <v>257</v>
      </c>
      <c r="Z5128" s="4">
        <v>8</v>
      </c>
      <c r="AA5128" s="4">
        <v>19</v>
      </c>
      <c r="AB5128" s="4">
        <v>1</v>
      </c>
      <c r="AC5128" s="4">
        <v>3</v>
      </c>
      <c r="AD5128" s="4">
        <v>17</v>
      </c>
      <c r="AE5128" s="4">
        <v>53</v>
      </c>
      <c r="AF5128" s="4">
        <v>0</v>
      </c>
      <c r="AG5128" s="4">
        <v>0</v>
      </c>
      <c r="AH5128" s="4">
        <v>14</v>
      </c>
      <c r="AI5128" s="4">
        <v>46</v>
      </c>
      <c r="AJ5128" s="4">
        <v>4</v>
      </c>
      <c r="AK5128" s="4">
        <v>6</v>
      </c>
      <c r="AL5128" s="4">
        <v>5</v>
      </c>
      <c r="AM5128" s="4">
        <v>23</v>
      </c>
      <c r="AN5128" s="4">
        <v>0</v>
      </c>
      <c r="AO5128" s="4">
        <v>0</v>
      </c>
      <c r="AP5128" s="4">
        <v>5</v>
      </c>
      <c r="AQ5128" s="4">
        <v>9</v>
      </c>
      <c r="AR5128" s="3" t="s">
        <v>64</v>
      </c>
      <c r="AS5128" s="3" t="s">
        <v>64</v>
      </c>
      <c r="AT5128" s="3" t="s">
        <v>64</v>
      </c>
      <c r="AV5128" s="6" t="str">
        <f>HYPERLINK("http://mcgill.on.worldcat.org/oclc/460053345","Catalog Record")</f>
        <v>Catalog Record</v>
      </c>
      <c r="AW5128" s="6" t="str">
        <f>HYPERLINK("http://www.worldcat.org/oclc/460053345","WorldCat Record")</f>
        <v>WorldCat Record</v>
      </c>
      <c r="AX5128" s="3" t="s">
        <v>49936</v>
      </c>
      <c r="AY5128" s="3" t="s">
        <v>49937</v>
      </c>
      <c r="AZ5128" s="3" t="s">
        <v>49938</v>
      </c>
      <c r="BA5128" s="3" t="s">
        <v>49938</v>
      </c>
      <c r="BB5128" s="3" t="s">
        <v>49939</v>
      </c>
      <c r="BC5128" s="3" t="s">
        <v>77</v>
      </c>
      <c r="BD5128" s="3" t="s">
        <v>78</v>
      </c>
      <c r="BE5128" s="3" t="s">
        <v>49940</v>
      </c>
      <c r="BF5128" s="3" t="s">
        <v>49939</v>
      </c>
      <c r="BG5128" s="3" t="s">
        <v>49941</v>
      </c>
      <c r="BH5128">
        <f t="shared" si="162"/>
        <v>0</v>
      </c>
    </row>
    <row r="5129" spans="1:60" ht="58" x14ac:dyDescent="0.35">
      <c r="A5129" s="2" t="s">
        <v>59</v>
      </c>
      <c r="B5129" s="2" t="s">
        <v>60</v>
      </c>
      <c r="C5129" s="2" t="s">
        <v>49942</v>
      </c>
      <c r="D5129" s="2" t="s">
        <v>49943</v>
      </c>
      <c r="E5129" s="2" t="s">
        <v>49944</v>
      </c>
      <c r="G5129" s="3" t="s">
        <v>64</v>
      </c>
      <c r="I5129" s="3" t="s">
        <v>64</v>
      </c>
      <c r="J5129" s="3" t="s">
        <v>64</v>
      </c>
      <c r="K5129" s="3" t="s">
        <v>65</v>
      </c>
      <c r="M5129" s="2" t="s">
        <v>17762</v>
      </c>
      <c r="N5129" s="3" t="s">
        <v>326</v>
      </c>
      <c r="P5129" s="3" t="s">
        <v>102</v>
      </c>
      <c r="R5129" s="3" t="s">
        <v>49178</v>
      </c>
      <c r="S5129" s="4">
        <v>17</v>
      </c>
      <c r="T5129" s="4">
        <v>17</v>
      </c>
      <c r="U5129" s="5" t="s">
        <v>1786</v>
      </c>
      <c r="V5129" s="5" t="s">
        <v>1786</v>
      </c>
      <c r="W5129" s="5" t="s">
        <v>72</v>
      </c>
      <c r="X5129" s="5" t="s">
        <v>72</v>
      </c>
      <c r="Y5129" s="4">
        <v>477</v>
      </c>
      <c r="Z5129" s="4">
        <v>21</v>
      </c>
      <c r="AA5129" s="4">
        <v>25</v>
      </c>
      <c r="AB5129" s="4">
        <v>2</v>
      </c>
      <c r="AC5129" s="4">
        <v>6</v>
      </c>
      <c r="AD5129" s="4">
        <v>57</v>
      </c>
      <c r="AE5129" s="4">
        <v>60</v>
      </c>
      <c r="AF5129" s="4">
        <v>1</v>
      </c>
      <c r="AG5129" s="4">
        <v>4</v>
      </c>
      <c r="AH5129" s="4">
        <v>51</v>
      </c>
      <c r="AI5129" s="4">
        <v>52</v>
      </c>
      <c r="AJ5129" s="4">
        <v>9</v>
      </c>
      <c r="AK5129" s="4">
        <v>12</v>
      </c>
      <c r="AL5129" s="4">
        <v>26</v>
      </c>
      <c r="AM5129" s="4">
        <v>26</v>
      </c>
      <c r="AN5129" s="4">
        <v>0</v>
      </c>
      <c r="AO5129" s="4">
        <v>0</v>
      </c>
      <c r="AP5129" s="4">
        <v>13</v>
      </c>
      <c r="AQ5129" s="4">
        <v>15</v>
      </c>
      <c r="AR5129" s="3" t="s">
        <v>64</v>
      </c>
      <c r="AS5129" s="3" t="s">
        <v>64</v>
      </c>
      <c r="AT5129" s="3" t="s">
        <v>64</v>
      </c>
      <c r="AV5129" s="6" t="str">
        <f>HYPERLINK("http://mcgill.on.worldcat.org/oclc/726620637","Catalog Record")</f>
        <v>Catalog Record</v>
      </c>
      <c r="AW5129" s="6" t="str">
        <f>HYPERLINK("http://www.worldcat.org/oclc/726620637","WorldCat Record")</f>
        <v>WorldCat Record</v>
      </c>
      <c r="AX5129" s="3" t="s">
        <v>49945</v>
      </c>
      <c r="AY5129" s="3" t="s">
        <v>49946</v>
      </c>
      <c r="AZ5129" s="3" t="s">
        <v>49947</v>
      </c>
      <c r="BA5129" s="3" t="s">
        <v>49947</v>
      </c>
      <c r="BB5129" s="3" t="s">
        <v>49948</v>
      </c>
      <c r="BC5129" s="3" t="s">
        <v>77</v>
      </c>
      <c r="BD5129" s="3" t="s">
        <v>165</v>
      </c>
      <c r="BE5129" s="3" t="s">
        <v>49949</v>
      </c>
      <c r="BF5129" s="3" t="s">
        <v>49948</v>
      </c>
      <c r="BG5129" s="3" t="s">
        <v>49950</v>
      </c>
      <c r="BH5129">
        <f t="shared" si="162"/>
        <v>0</v>
      </c>
    </row>
    <row r="5130" spans="1:60" ht="58" x14ac:dyDescent="0.35">
      <c r="A5130" s="2" t="s">
        <v>59</v>
      </c>
      <c r="B5130" s="2" t="s">
        <v>60</v>
      </c>
      <c r="C5130" s="2" t="s">
        <v>49951</v>
      </c>
      <c r="D5130" s="2" t="s">
        <v>49952</v>
      </c>
      <c r="E5130" s="2" t="s">
        <v>49953</v>
      </c>
      <c r="G5130" s="3" t="s">
        <v>64</v>
      </c>
      <c r="I5130" s="3" t="s">
        <v>64</v>
      </c>
      <c r="J5130" s="3" t="s">
        <v>64</v>
      </c>
      <c r="K5130" s="3" t="s">
        <v>65</v>
      </c>
      <c r="L5130" s="2" t="s">
        <v>49954</v>
      </c>
      <c r="M5130" s="2" t="s">
        <v>22397</v>
      </c>
      <c r="N5130" s="3" t="s">
        <v>511</v>
      </c>
      <c r="P5130" s="3" t="s">
        <v>102</v>
      </c>
      <c r="Q5130" s="2" t="s">
        <v>8981</v>
      </c>
      <c r="R5130" s="3" t="s">
        <v>49178</v>
      </c>
      <c r="S5130" s="4">
        <v>11</v>
      </c>
      <c r="T5130" s="4">
        <v>11</v>
      </c>
      <c r="U5130" s="5" t="s">
        <v>14927</v>
      </c>
      <c r="V5130" s="5" t="s">
        <v>14927</v>
      </c>
      <c r="W5130" s="5" t="s">
        <v>72</v>
      </c>
      <c r="X5130" s="5" t="s">
        <v>72</v>
      </c>
      <c r="Y5130" s="4">
        <v>217</v>
      </c>
      <c r="Z5130" s="4">
        <v>18</v>
      </c>
      <c r="AA5130" s="4">
        <v>30</v>
      </c>
      <c r="AB5130" s="4">
        <v>2</v>
      </c>
      <c r="AC5130" s="4">
        <v>5</v>
      </c>
      <c r="AD5130" s="4">
        <v>50</v>
      </c>
      <c r="AE5130" s="4">
        <v>71</v>
      </c>
      <c r="AF5130" s="4">
        <v>1</v>
      </c>
      <c r="AG5130" s="4">
        <v>2</v>
      </c>
      <c r="AH5130" s="4">
        <v>44</v>
      </c>
      <c r="AI5130" s="4">
        <v>60</v>
      </c>
      <c r="AJ5130" s="4">
        <v>10</v>
      </c>
      <c r="AK5130" s="4">
        <v>13</v>
      </c>
      <c r="AL5130" s="4">
        <v>25</v>
      </c>
      <c r="AM5130" s="4">
        <v>32</v>
      </c>
      <c r="AN5130" s="4">
        <v>0</v>
      </c>
      <c r="AO5130" s="4">
        <v>0</v>
      </c>
      <c r="AP5130" s="4">
        <v>13</v>
      </c>
      <c r="AQ5130" s="4">
        <v>18</v>
      </c>
      <c r="AR5130" s="3" t="s">
        <v>64</v>
      </c>
      <c r="AS5130" s="3" t="s">
        <v>64</v>
      </c>
      <c r="AT5130" s="3" t="s">
        <v>64</v>
      </c>
      <c r="AV5130" s="6" t="str">
        <f>HYPERLINK("http://mcgill.on.worldcat.org/oclc/317253832","Catalog Record")</f>
        <v>Catalog Record</v>
      </c>
      <c r="AW5130" s="6" t="str">
        <f>HYPERLINK("http://www.worldcat.org/oclc/317253832","WorldCat Record")</f>
        <v>WorldCat Record</v>
      </c>
      <c r="AX5130" s="3" t="s">
        <v>49955</v>
      </c>
      <c r="AY5130" s="3" t="s">
        <v>49956</v>
      </c>
      <c r="AZ5130" s="3" t="s">
        <v>49957</v>
      </c>
      <c r="BA5130" s="3" t="s">
        <v>49957</v>
      </c>
      <c r="BB5130" s="3" t="s">
        <v>49958</v>
      </c>
      <c r="BC5130" s="3" t="s">
        <v>77</v>
      </c>
      <c r="BD5130" s="3" t="s">
        <v>78</v>
      </c>
      <c r="BE5130" s="3" t="s">
        <v>49959</v>
      </c>
      <c r="BF5130" s="3" t="s">
        <v>49958</v>
      </c>
      <c r="BG5130" s="3" t="s">
        <v>49960</v>
      </c>
      <c r="BH5130">
        <f t="shared" si="162"/>
        <v>0</v>
      </c>
    </row>
    <row r="5131" spans="1:60" ht="58" x14ac:dyDescent="0.35">
      <c r="A5131" s="2" t="s">
        <v>59</v>
      </c>
      <c r="B5131" s="2" t="s">
        <v>60</v>
      </c>
      <c r="C5131" s="2" t="s">
        <v>49961</v>
      </c>
      <c r="D5131" s="2" t="s">
        <v>49962</v>
      </c>
      <c r="E5131" s="2" t="s">
        <v>49963</v>
      </c>
      <c r="G5131" s="3" t="s">
        <v>64</v>
      </c>
      <c r="I5131" s="3" t="s">
        <v>64</v>
      </c>
      <c r="J5131" s="3" t="s">
        <v>64</v>
      </c>
      <c r="K5131" s="3" t="s">
        <v>65</v>
      </c>
      <c r="L5131" s="2" t="s">
        <v>49964</v>
      </c>
      <c r="M5131" s="2" t="s">
        <v>49965</v>
      </c>
      <c r="N5131" s="3" t="s">
        <v>144</v>
      </c>
      <c r="O5131" s="2" t="s">
        <v>7660</v>
      </c>
      <c r="P5131" s="3" t="s">
        <v>102</v>
      </c>
      <c r="R5131" s="3" t="s">
        <v>49178</v>
      </c>
      <c r="S5131" s="4">
        <v>2</v>
      </c>
      <c r="T5131" s="4">
        <v>2</v>
      </c>
      <c r="U5131" s="5" t="s">
        <v>43702</v>
      </c>
      <c r="V5131" s="5" t="s">
        <v>43702</v>
      </c>
      <c r="W5131" s="5" t="s">
        <v>72</v>
      </c>
      <c r="X5131" s="5" t="s">
        <v>72</v>
      </c>
      <c r="Y5131" s="4">
        <v>41</v>
      </c>
      <c r="Z5131" s="4">
        <v>3</v>
      </c>
      <c r="AA5131" s="4">
        <v>7</v>
      </c>
      <c r="AB5131" s="4">
        <v>1</v>
      </c>
      <c r="AC5131" s="4">
        <v>2</v>
      </c>
      <c r="AD5131" s="4">
        <v>4</v>
      </c>
      <c r="AE5131" s="4">
        <v>9</v>
      </c>
      <c r="AF5131" s="4">
        <v>0</v>
      </c>
      <c r="AG5131" s="4">
        <v>1</v>
      </c>
      <c r="AH5131" s="4">
        <v>4</v>
      </c>
      <c r="AI5131" s="4">
        <v>8</v>
      </c>
      <c r="AJ5131" s="4">
        <v>1</v>
      </c>
      <c r="AK5131" s="4">
        <v>2</v>
      </c>
      <c r="AL5131" s="4">
        <v>3</v>
      </c>
      <c r="AM5131" s="4">
        <v>5</v>
      </c>
      <c r="AN5131" s="4">
        <v>0</v>
      </c>
      <c r="AO5131" s="4">
        <v>5</v>
      </c>
      <c r="AP5131" s="4">
        <v>1</v>
      </c>
      <c r="AQ5131" s="4">
        <v>2</v>
      </c>
      <c r="AR5131" s="3" t="s">
        <v>64</v>
      </c>
      <c r="AS5131" s="3" t="s">
        <v>64</v>
      </c>
      <c r="AT5131" s="3" t="s">
        <v>64</v>
      </c>
      <c r="AV5131" s="6" t="str">
        <f>HYPERLINK("http://mcgill.on.worldcat.org/oclc/196733856","Catalog Record")</f>
        <v>Catalog Record</v>
      </c>
      <c r="AW5131" s="6" t="str">
        <f>HYPERLINK("http://www.worldcat.org/oclc/196733856","WorldCat Record")</f>
        <v>WorldCat Record</v>
      </c>
      <c r="AX5131" s="3" t="s">
        <v>49966</v>
      </c>
      <c r="AY5131" s="3" t="s">
        <v>49967</v>
      </c>
      <c r="AZ5131" s="3" t="s">
        <v>49968</v>
      </c>
      <c r="BA5131" s="3" t="s">
        <v>49968</v>
      </c>
      <c r="BB5131" s="3" t="s">
        <v>49969</v>
      </c>
      <c r="BC5131" s="3" t="s">
        <v>77</v>
      </c>
      <c r="BD5131" s="3" t="s">
        <v>78</v>
      </c>
      <c r="BE5131" s="3" t="s">
        <v>49970</v>
      </c>
      <c r="BF5131" s="3" t="s">
        <v>49969</v>
      </c>
      <c r="BG5131" s="3" t="s">
        <v>49971</v>
      </c>
      <c r="BH5131">
        <f t="shared" si="162"/>
        <v>0</v>
      </c>
    </row>
    <row r="5132" spans="1:60" ht="58" x14ac:dyDescent="0.35">
      <c r="A5132" s="2" t="s">
        <v>59</v>
      </c>
      <c r="B5132" s="2" t="s">
        <v>60</v>
      </c>
      <c r="C5132" s="2" t="s">
        <v>49972</v>
      </c>
      <c r="D5132" s="2" t="s">
        <v>49973</v>
      </c>
      <c r="E5132" s="2" t="s">
        <v>49974</v>
      </c>
      <c r="G5132" s="3" t="s">
        <v>64</v>
      </c>
      <c r="I5132" s="3" t="s">
        <v>64</v>
      </c>
      <c r="J5132" s="3" t="s">
        <v>64</v>
      </c>
      <c r="K5132" s="3" t="s">
        <v>65</v>
      </c>
      <c r="L5132" s="2" t="s">
        <v>49975</v>
      </c>
      <c r="M5132" s="2" t="s">
        <v>8980</v>
      </c>
      <c r="N5132" s="3" t="s">
        <v>511</v>
      </c>
      <c r="P5132" s="3" t="s">
        <v>102</v>
      </c>
      <c r="Q5132" s="2" t="s">
        <v>8981</v>
      </c>
      <c r="R5132" s="3" t="s">
        <v>49178</v>
      </c>
      <c r="S5132" s="4">
        <v>7</v>
      </c>
      <c r="T5132" s="4">
        <v>7</v>
      </c>
      <c r="U5132" s="5" t="s">
        <v>1101</v>
      </c>
      <c r="V5132" s="5" t="s">
        <v>1101</v>
      </c>
      <c r="W5132" s="5" t="s">
        <v>72</v>
      </c>
      <c r="X5132" s="5" t="s">
        <v>72</v>
      </c>
      <c r="Y5132" s="4">
        <v>108</v>
      </c>
      <c r="Z5132" s="4">
        <v>11</v>
      </c>
      <c r="AA5132" s="4">
        <v>28</v>
      </c>
      <c r="AB5132" s="4">
        <v>1</v>
      </c>
      <c r="AC5132" s="4">
        <v>7</v>
      </c>
      <c r="AD5132" s="4">
        <v>32</v>
      </c>
      <c r="AE5132" s="4">
        <v>64</v>
      </c>
      <c r="AF5132" s="4">
        <v>0</v>
      </c>
      <c r="AG5132" s="4">
        <v>4</v>
      </c>
      <c r="AH5132" s="4">
        <v>29</v>
      </c>
      <c r="AI5132" s="4">
        <v>51</v>
      </c>
      <c r="AJ5132" s="4">
        <v>5</v>
      </c>
      <c r="AK5132" s="4">
        <v>12</v>
      </c>
      <c r="AL5132" s="4">
        <v>19</v>
      </c>
      <c r="AM5132" s="4">
        <v>28</v>
      </c>
      <c r="AN5132" s="4">
        <v>0</v>
      </c>
      <c r="AO5132" s="4">
        <v>0</v>
      </c>
      <c r="AP5132" s="4">
        <v>8</v>
      </c>
      <c r="AQ5132" s="4">
        <v>18</v>
      </c>
      <c r="AR5132" s="3" t="s">
        <v>64</v>
      </c>
      <c r="AS5132" s="3" t="s">
        <v>64</v>
      </c>
      <c r="AT5132" s="3" t="s">
        <v>64</v>
      </c>
      <c r="AV5132" s="6" t="str">
        <f>HYPERLINK("http://mcgill.on.worldcat.org/oclc/608618567","Catalog Record")</f>
        <v>Catalog Record</v>
      </c>
      <c r="AW5132" s="6" t="str">
        <f>HYPERLINK("http://www.worldcat.org/oclc/608618567","WorldCat Record")</f>
        <v>WorldCat Record</v>
      </c>
      <c r="AX5132" s="3" t="s">
        <v>49976</v>
      </c>
      <c r="AY5132" s="3" t="s">
        <v>49977</v>
      </c>
      <c r="AZ5132" s="3" t="s">
        <v>49978</v>
      </c>
      <c r="BA5132" s="3" t="s">
        <v>49978</v>
      </c>
      <c r="BB5132" s="3" t="s">
        <v>49979</v>
      </c>
      <c r="BC5132" s="3" t="s">
        <v>77</v>
      </c>
      <c r="BD5132" s="3" t="s">
        <v>78</v>
      </c>
      <c r="BE5132" s="3" t="s">
        <v>49980</v>
      </c>
      <c r="BF5132" s="3" t="s">
        <v>49979</v>
      </c>
      <c r="BG5132" s="3" t="s">
        <v>49981</v>
      </c>
      <c r="BH5132">
        <f t="shared" si="162"/>
        <v>0</v>
      </c>
    </row>
    <row r="5133" spans="1:60" ht="58" x14ac:dyDescent="0.35">
      <c r="A5133" s="2" t="s">
        <v>59</v>
      </c>
      <c r="B5133" s="2" t="s">
        <v>60</v>
      </c>
      <c r="C5133" s="2" t="s">
        <v>49982</v>
      </c>
      <c r="D5133" s="2" t="s">
        <v>49983</v>
      </c>
      <c r="E5133" s="2" t="s">
        <v>49984</v>
      </c>
      <c r="G5133" s="3" t="s">
        <v>64</v>
      </c>
      <c r="I5133" s="3" t="s">
        <v>64</v>
      </c>
      <c r="J5133" s="3" t="s">
        <v>128</v>
      </c>
      <c r="K5133" s="3" t="s">
        <v>65</v>
      </c>
      <c r="M5133" s="2" t="s">
        <v>49985</v>
      </c>
      <c r="N5133" s="3" t="s">
        <v>86</v>
      </c>
      <c r="O5133" s="2" t="s">
        <v>2994</v>
      </c>
      <c r="P5133" s="3" t="s">
        <v>102</v>
      </c>
      <c r="Q5133" s="2" t="s">
        <v>14727</v>
      </c>
      <c r="R5133" s="3" t="s">
        <v>49178</v>
      </c>
      <c r="S5133" s="4">
        <v>24</v>
      </c>
      <c r="T5133" s="4">
        <v>24</v>
      </c>
      <c r="U5133" s="5" t="s">
        <v>512</v>
      </c>
      <c r="V5133" s="5" t="s">
        <v>512</v>
      </c>
      <c r="W5133" s="5" t="s">
        <v>72</v>
      </c>
      <c r="X5133" s="5" t="s">
        <v>72</v>
      </c>
      <c r="Y5133" s="4">
        <v>248</v>
      </c>
      <c r="Z5133" s="4">
        <v>15</v>
      </c>
      <c r="AA5133" s="4">
        <v>92</v>
      </c>
      <c r="AB5133" s="4">
        <v>1</v>
      </c>
      <c r="AC5133" s="4">
        <v>17</v>
      </c>
      <c r="AD5133" s="4">
        <v>54</v>
      </c>
      <c r="AE5133" s="4">
        <v>144</v>
      </c>
      <c r="AF5133" s="4">
        <v>0</v>
      </c>
      <c r="AG5133" s="4">
        <v>8</v>
      </c>
      <c r="AH5133" s="4">
        <v>48</v>
      </c>
      <c r="AI5133" s="4">
        <v>108</v>
      </c>
      <c r="AJ5133" s="4">
        <v>10</v>
      </c>
      <c r="AK5133" s="4">
        <v>25</v>
      </c>
      <c r="AL5133" s="4">
        <v>26</v>
      </c>
      <c r="AM5133" s="4">
        <v>56</v>
      </c>
      <c r="AN5133" s="4">
        <v>0</v>
      </c>
      <c r="AO5133" s="4">
        <v>0</v>
      </c>
      <c r="AP5133" s="4">
        <v>13</v>
      </c>
      <c r="AQ5133" s="4">
        <v>46</v>
      </c>
      <c r="AR5133" s="3" t="s">
        <v>64</v>
      </c>
      <c r="AS5133" s="3" t="s">
        <v>64</v>
      </c>
      <c r="AT5133" s="3" t="s">
        <v>64</v>
      </c>
      <c r="AV5133" s="6" t="str">
        <f>HYPERLINK("http://mcgill.on.worldcat.org/oclc/759908110","Catalog Record")</f>
        <v>Catalog Record</v>
      </c>
      <c r="AW5133" s="6" t="str">
        <f>HYPERLINK("http://www.worldcat.org/oclc/759908110","WorldCat Record")</f>
        <v>WorldCat Record</v>
      </c>
      <c r="AX5133" s="3" t="s">
        <v>49335</v>
      </c>
      <c r="AY5133" s="3" t="s">
        <v>49986</v>
      </c>
      <c r="AZ5133" s="3" t="s">
        <v>49987</v>
      </c>
      <c r="BA5133" s="3" t="s">
        <v>49987</v>
      </c>
      <c r="BB5133" s="3" t="s">
        <v>49988</v>
      </c>
      <c r="BC5133" s="3" t="s">
        <v>77</v>
      </c>
      <c r="BD5133" s="3" t="s">
        <v>78</v>
      </c>
      <c r="BE5133" s="3" t="s">
        <v>49989</v>
      </c>
      <c r="BF5133" s="3" t="s">
        <v>49988</v>
      </c>
      <c r="BG5133" s="3" t="s">
        <v>49990</v>
      </c>
      <c r="BH5133">
        <f t="shared" si="162"/>
        <v>0</v>
      </c>
    </row>
    <row r="5134" spans="1:60" ht="58" x14ac:dyDescent="0.35">
      <c r="A5134" s="2" t="s">
        <v>59</v>
      </c>
      <c r="B5134" s="2" t="s">
        <v>60</v>
      </c>
      <c r="C5134" s="2" t="s">
        <v>49991</v>
      </c>
      <c r="D5134" s="2" t="s">
        <v>49992</v>
      </c>
      <c r="E5134" s="2" t="s">
        <v>49993</v>
      </c>
      <c r="G5134" s="3" t="s">
        <v>64</v>
      </c>
      <c r="I5134" s="3" t="s">
        <v>64</v>
      </c>
      <c r="J5134" s="3" t="s">
        <v>64</v>
      </c>
      <c r="K5134" s="3" t="s">
        <v>65</v>
      </c>
      <c r="L5134" s="2" t="s">
        <v>49994</v>
      </c>
      <c r="M5134" s="2" t="s">
        <v>15333</v>
      </c>
      <c r="N5134" s="3" t="s">
        <v>67</v>
      </c>
      <c r="P5134" s="3" t="s">
        <v>102</v>
      </c>
      <c r="R5134" s="3" t="s">
        <v>49178</v>
      </c>
      <c r="S5134" s="4">
        <v>6</v>
      </c>
      <c r="T5134" s="4">
        <v>6</v>
      </c>
      <c r="U5134" s="5" t="s">
        <v>1101</v>
      </c>
      <c r="V5134" s="5" t="s">
        <v>1101</v>
      </c>
      <c r="W5134" s="5" t="s">
        <v>72</v>
      </c>
      <c r="X5134" s="5" t="s">
        <v>72</v>
      </c>
      <c r="Y5134" s="4">
        <v>99</v>
      </c>
      <c r="Z5134" s="4">
        <v>5</v>
      </c>
      <c r="AA5134" s="4">
        <v>50</v>
      </c>
      <c r="AB5134" s="4">
        <v>1</v>
      </c>
      <c r="AC5134" s="4">
        <v>8</v>
      </c>
      <c r="AD5134" s="4">
        <v>7</v>
      </c>
      <c r="AE5134" s="4">
        <v>105</v>
      </c>
      <c r="AF5134" s="4">
        <v>0</v>
      </c>
      <c r="AG5134" s="4">
        <v>4</v>
      </c>
      <c r="AH5134" s="4">
        <v>5</v>
      </c>
      <c r="AI5134" s="4">
        <v>82</v>
      </c>
      <c r="AJ5134" s="4">
        <v>2</v>
      </c>
      <c r="AK5134" s="4">
        <v>20</v>
      </c>
      <c r="AL5134" s="4">
        <v>3</v>
      </c>
      <c r="AM5134" s="4">
        <v>41</v>
      </c>
      <c r="AN5134" s="4">
        <v>0</v>
      </c>
      <c r="AO5134" s="4">
        <v>0</v>
      </c>
      <c r="AP5134" s="4">
        <v>3</v>
      </c>
      <c r="AQ5134" s="4">
        <v>31</v>
      </c>
      <c r="AR5134" s="3" t="s">
        <v>64</v>
      </c>
      <c r="AS5134" s="3" t="s">
        <v>64</v>
      </c>
      <c r="AT5134" s="3" t="s">
        <v>64</v>
      </c>
      <c r="AV5134" s="6" t="str">
        <f>HYPERLINK("http://mcgill.on.worldcat.org/oclc/881671128","Catalog Record")</f>
        <v>Catalog Record</v>
      </c>
      <c r="AW5134" s="6" t="str">
        <f>HYPERLINK("http://www.worldcat.org/oclc/881671128","WorldCat Record")</f>
        <v>WorldCat Record</v>
      </c>
      <c r="AX5134" s="3" t="s">
        <v>49995</v>
      </c>
      <c r="AY5134" s="3" t="s">
        <v>49996</v>
      </c>
      <c r="AZ5134" s="3" t="s">
        <v>49997</v>
      </c>
      <c r="BA5134" s="3" t="s">
        <v>49997</v>
      </c>
      <c r="BB5134" s="3" t="s">
        <v>49998</v>
      </c>
      <c r="BC5134" s="3" t="s">
        <v>77</v>
      </c>
      <c r="BD5134" s="3" t="s">
        <v>78</v>
      </c>
      <c r="BE5134" s="3" t="s">
        <v>49999</v>
      </c>
      <c r="BF5134" s="3" t="s">
        <v>49998</v>
      </c>
      <c r="BG5134" s="3" t="s">
        <v>50000</v>
      </c>
      <c r="BH5134">
        <f t="shared" si="162"/>
        <v>0</v>
      </c>
    </row>
    <row r="5135" spans="1:60" ht="58" x14ac:dyDescent="0.35">
      <c r="A5135" s="2" t="s">
        <v>59</v>
      </c>
      <c r="B5135" s="2" t="s">
        <v>60</v>
      </c>
      <c r="C5135" s="2" t="s">
        <v>50001</v>
      </c>
      <c r="D5135" s="2" t="s">
        <v>50002</v>
      </c>
      <c r="E5135" s="2" t="s">
        <v>50003</v>
      </c>
      <c r="G5135" s="3" t="s">
        <v>64</v>
      </c>
      <c r="I5135" s="3" t="s">
        <v>64</v>
      </c>
      <c r="J5135" s="3" t="s">
        <v>64</v>
      </c>
      <c r="K5135" s="3" t="s">
        <v>65</v>
      </c>
      <c r="L5135" s="2" t="s">
        <v>50004</v>
      </c>
      <c r="M5135" s="2" t="s">
        <v>49209</v>
      </c>
      <c r="N5135" s="3" t="s">
        <v>190</v>
      </c>
      <c r="P5135" s="3" t="s">
        <v>102</v>
      </c>
      <c r="Q5135" s="2" t="s">
        <v>50005</v>
      </c>
      <c r="R5135" s="3" t="s">
        <v>49178</v>
      </c>
      <c r="S5135" s="4">
        <v>1</v>
      </c>
      <c r="T5135" s="4">
        <v>1</v>
      </c>
      <c r="U5135" s="5" t="s">
        <v>15836</v>
      </c>
      <c r="V5135" s="5" t="s">
        <v>15836</v>
      </c>
      <c r="W5135" s="5" t="s">
        <v>72</v>
      </c>
      <c r="X5135" s="5" t="s">
        <v>72</v>
      </c>
      <c r="Y5135" s="4">
        <v>23</v>
      </c>
      <c r="Z5135" s="4">
        <v>2</v>
      </c>
      <c r="AA5135" s="4">
        <v>15</v>
      </c>
      <c r="AB5135" s="4">
        <v>1</v>
      </c>
      <c r="AC5135" s="4">
        <v>5</v>
      </c>
      <c r="AD5135" s="4">
        <v>13</v>
      </c>
      <c r="AE5135" s="4">
        <v>38</v>
      </c>
      <c r="AF5135" s="4">
        <v>0</v>
      </c>
      <c r="AG5135" s="4">
        <v>2</v>
      </c>
      <c r="AH5135" s="4">
        <v>12</v>
      </c>
      <c r="AI5135" s="4">
        <v>31</v>
      </c>
      <c r="AJ5135" s="4">
        <v>1</v>
      </c>
      <c r="AK5135" s="4">
        <v>11</v>
      </c>
      <c r="AL5135" s="4">
        <v>8</v>
      </c>
      <c r="AM5135" s="4">
        <v>19</v>
      </c>
      <c r="AN5135" s="4">
        <v>0</v>
      </c>
      <c r="AO5135" s="4">
        <v>0</v>
      </c>
      <c r="AP5135" s="4">
        <v>1</v>
      </c>
      <c r="AQ5135" s="4">
        <v>11</v>
      </c>
      <c r="AR5135" s="3" t="s">
        <v>64</v>
      </c>
      <c r="AS5135" s="3" t="s">
        <v>64</v>
      </c>
      <c r="AT5135" s="3" t="s">
        <v>64</v>
      </c>
      <c r="AV5135" s="6" t="str">
        <f>HYPERLINK("http://mcgill.on.worldcat.org/oclc/1005466200","Catalog Record")</f>
        <v>Catalog Record</v>
      </c>
      <c r="AW5135" s="6" t="str">
        <f>HYPERLINK("http://www.worldcat.org/oclc/1005466200","WorldCat Record")</f>
        <v>WorldCat Record</v>
      </c>
      <c r="AX5135" s="3" t="s">
        <v>50006</v>
      </c>
      <c r="AY5135" s="3" t="s">
        <v>50007</v>
      </c>
      <c r="AZ5135" s="3" t="s">
        <v>50008</v>
      </c>
      <c r="BA5135" s="3" t="s">
        <v>50008</v>
      </c>
      <c r="BB5135" s="3" t="s">
        <v>50009</v>
      </c>
      <c r="BC5135" s="3" t="s">
        <v>77</v>
      </c>
      <c r="BD5135" s="3" t="s">
        <v>78</v>
      </c>
      <c r="BE5135" s="3" t="s">
        <v>50010</v>
      </c>
      <c r="BF5135" s="3" t="s">
        <v>50009</v>
      </c>
      <c r="BG5135" s="3" t="s">
        <v>50011</v>
      </c>
      <c r="BH5135">
        <f t="shared" si="162"/>
        <v>0</v>
      </c>
    </row>
    <row r="5136" spans="1:60" ht="58" x14ac:dyDescent="0.35">
      <c r="A5136" s="2" t="s">
        <v>59</v>
      </c>
      <c r="B5136" s="2" t="s">
        <v>60</v>
      </c>
      <c r="C5136" s="2" t="s">
        <v>50012</v>
      </c>
      <c r="D5136" s="2" t="s">
        <v>50013</v>
      </c>
      <c r="E5136" s="2" t="s">
        <v>50014</v>
      </c>
      <c r="G5136" s="3" t="s">
        <v>64</v>
      </c>
      <c r="I5136" s="3" t="s">
        <v>64</v>
      </c>
      <c r="J5136" s="3" t="s">
        <v>64</v>
      </c>
      <c r="K5136" s="3" t="s">
        <v>65</v>
      </c>
      <c r="L5136" s="2" t="s">
        <v>50015</v>
      </c>
      <c r="M5136" s="2" t="s">
        <v>50016</v>
      </c>
      <c r="N5136" s="3" t="s">
        <v>67</v>
      </c>
      <c r="P5136" s="3" t="s">
        <v>102</v>
      </c>
      <c r="Q5136" s="2" t="s">
        <v>50017</v>
      </c>
      <c r="R5136" s="3" t="s">
        <v>49178</v>
      </c>
      <c r="S5136" s="4">
        <v>1</v>
      </c>
      <c r="T5136" s="4">
        <v>1</v>
      </c>
      <c r="U5136" s="5" t="s">
        <v>27680</v>
      </c>
      <c r="V5136" s="5" t="s">
        <v>27680</v>
      </c>
      <c r="W5136" s="5" t="s">
        <v>72</v>
      </c>
      <c r="X5136" s="5" t="s">
        <v>72</v>
      </c>
      <c r="Y5136" s="4">
        <v>61</v>
      </c>
      <c r="Z5136" s="4">
        <v>9</v>
      </c>
      <c r="AA5136" s="4">
        <v>50</v>
      </c>
      <c r="AB5136" s="4">
        <v>1</v>
      </c>
      <c r="AC5136" s="4">
        <v>5</v>
      </c>
      <c r="AD5136" s="4">
        <v>34</v>
      </c>
      <c r="AE5136" s="4">
        <v>54</v>
      </c>
      <c r="AF5136" s="4">
        <v>0</v>
      </c>
      <c r="AG5136" s="4">
        <v>2</v>
      </c>
      <c r="AH5136" s="4">
        <v>30</v>
      </c>
      <c r="AI5136" s="4">
        <v>39</v>
      </c>
      <c r="AJ5136" s="4">
        <v>6</v>
      </c>
      <c r="AK5136" s="4">
        <v>10</v>
      </c>
      <c r="AL5136" s="4">
        <v>20</v>
      </c>
      <c r="AM5136" s="4">
        <v>23</v>
      </c>
      <c r="AN5136" s="4">
        <v>0</v>
      </c>
      <c r="AO5136" s="4">
        <v>0</v>
      </c>
      <c r="AP5136" s="4">
        <v>7</v>
      </c>
      <c r="AQ5136" s="4">
        <v>18</v>
      </c>
      <c r="AR5136" s="3" t="s">
        <v>64</v>
      </c>
      <c r="AS5136" s="3" t="s">
        <v>64</v>
      </c>
      <c r="AT5136" s="3" t="s">
        <v>64</v>
      </c>
      <c r="AV5136" s="6" t="str">
        <f>HYPERLINK("http://mcgill.on.worldcat.org/oclc/843124146","Catalog Record")</f>
        <v>Catalog Record</v>
      </c>
      <c r="AW5136" s="6" t="str">
        <f>HYPERLINK("http://www.worldcat.org/oclc/843124146","WorldCat Record")</f>
        <v>WorldCat Record</v>
      </c>
      <c r="AX5136" s="3" t="s">
        <v>50018</v>
      </c>
      <c r="AY5136" s="3" t="s">
        <v>50019</v>
      </c>
      <c r="AZ5136" s="3" t="s">
        <v>50020</v>
      </c>
      <c r="BA5136" s="3" t="s">
        <v>50020</v>
      </c>
      <c r="BB5136" s="3" t="s">
        <v>50021</v>
      </c>
      <c r="BC5136" s="3" t="s">
        <v>77</v>
      </c>
      <c r="BD5136" s="3" t="s">
        <v>78</v>
      </c>
      <c r="BE5136" s="3" t="s">
        <v>50022</v>
      </c>
      <c r="BF5136" s="3" t="s">
        <v>50021</v>
      </c>
      <c r="BG5136" s="3" t="s">
        <v>50023</v>
      </c>
      <c r="BH5136">
        <f t="shared" si="162"/>
        <v>0</v>
      </c>
    </row>
    <row r="5137" spans="1:60" ht="58" x14ac:dyDescent="0.35">
      <c r="A5137" s="2" t="s">
        <v>59</v>
      </c>
      <c r="B5137" s="2" t="s">
        <v>60</v>
      </c>
      <c r="C5137" s="2" t="s">
        <v>50024</v>
      </c>
      <c r="D5137" s="2" t="s">
        <v>50025</v>
      </c>
      <c r="E5137" s="2" t="s">
        <v>50026</v>
      </c>
      <c r="G5137" s="3" t="s">
        <v>64</v>
      </c>
      <c r="I5137" s="3" t="s">
        <v>64</v>
      </c>
      <c r="J5137" s="3" t="s">
        <v>64</v>
      </c>
      <c r="K5137" s="3" t="s">
        <v>65</v>
      </c>
      <c r="L5137" s="2" t="s">
        <v>50027</v>
      </c>
      <c r="M5137" s="2" t="s">
        <v>50028</v>
      </c>
      <c r="N5137" s="3" t="s">
        <v>253</v>
      </c>
      <c r="P5137" s="3" t="s">
        <v>102</v>
      </c>
      <c r="R5137" s="3" t="s">
        <v>49178</v>
      </c>
      <c r="S5137" s="4">
        <v>7</v>
      </c>
      <c r="T5137" s="4">
        <v>7</v>
      </c>
      <c r="U5137" s="5" t="s">
        <v>7591</v>
      </c>
      <c r="V5137" s="5" t="s">
        <v>7591</v>
      </c>
      <c r="W5137" s="5" t="s">
        <v>72</v>
      </c>
      <c r="X5137" s="5" t="s">
        <v>72</v>
      </c>
      <c r="Y5137" s="4">
        <v>622</v>
      </c>
      <c r="Z5137" s="4">
        <v>23</v>
      </c>
      <c r="AA5137" s="4">
        <v>25</v>
      </c>
      <c r="AB5137" s="4">
        <v>1</v>
      </c>
      <c r="AC5137" s="4">
        <v>3</v>
      </c>
      <c r="AD5137" s="4">
        <v>56</v>
      </c>
      <c r="AE5137" s="4">
        <v>57</v>
      </c>
      <c r="AF5137" s="4">
        <v>0</v>
      </c>
      <c r="AG5137" s="4">
        <v>1</v>
      </c>
      <c r="AH5137" s="4">
        <v>52</v>
      </c>
      <c r="AI5137" s="4">
        <v>52</v>
      </c>
      <c r="AJ5137" s="4">
        <v>5</v>
      </c>
      <c r="AK5137" s="4">
        <v>6</v>
      </c>
      <c r="AL5137" s="4">
        <v>27</v>
      </c>
      <c r="AM5137" s="4">
        <v>27</v>
      </c>
      <c r="AN5137" s="4">
        <v>0</v>
      </c>
      <c r="AO5137" s="4">
        <v>0</v>
      </c>
      <c r="AP5137" s="4">
        <v>7</v>
      </c>
      <c r="AQ5137" s="4">
        <v>8</v>
      </c>
      <c r="AR5137" s="3" t="s">
        <v>64</v>
      </c>
      <c r="AS5137" s="3" t="s">
        <v>64</v>
      </c>
      <c r="AT5137" s="3" t="s">
        <v>64</v>
      </c>
      <c r="AV5137" s="6" t="str">
        <f>HYPERLINK("http://mcgill.on.worldcat.org/oclc/912140484","Catalog Record")</f>
        <v>Catalog Record</v>
      </c>
      <c r="AW5137" s="6" t="str">
        <f>HYPERLINK("http://www.worldcat.org/oclc/912140484","WorldCat Record")</f>
        <v>WorldCat Record</v>
      </c>
      <c r="AX5137" s="3" t="s">
        <v>50029</v>
      </c>
      <c r="AY5137" s="3" t="s">
        <v>50030</v>
      </c>
      <c r="AZ5137" s="3" t="s">
        <v>50031</v>
      </c>
      <c r="BA5137" s="3" t="s">
        <v>50031</v>
      </c>
      <c r="BB5137" s="3" t="s">
        <v>50032</v>
      </c>
      <c r="BC5137" s="3" t="s">
        <v>77</v>
      </c>
      <c r="BD5137" s="3" t="s">
        <v>78</v>
      </c>
      <c r="BE5137" s="3" t="s">
        <v>50033</v>
      </c>
      <c r="BF5137" s="3" t="s">
        <v>50032</v>
      </c>
      <c r="BG5137" s="3" t="s">
        <v>50034</v>
      </c>
      <c r="BH5137">
        <f t="shared" si="162"/>
        <v>0</v>
      </c>
    </row>
    <row r="5138" spans="1:60" ht="58" x14ac:dyDescent="0.35">
      <c r="A5138" s="2" t="s">
        <v>59</v>
      </c>
      <c r="B5138" s="2" t="s">
        <v>60</v>
      </c>
      <c r="C5138" s="2" t="s">
        <v>50035</v>
      </c>
      <c r="D5138" s="2" t="s">
        <v>50036</v>
      </c>
      <c r="E5138" s="2" t="s">
        <v>50037</v>
      </c>
      <c r="G5138" s="3" t="s">
        <v>64</v>
      </c>
      <c r="I5138" s="3" t="s">
        <v>64</v>
      </c>
      <c r="J5138" s="3" t="s">
        <v>64</v>
      </c>
      <c r="K5138" s="3" t="s">
        <v>65</v>
      </c>
      <c r="L5138" s="2" t="s">
        <v>16423</v>
      </c>
      <c r="M5138" s="2" t="s">
        <v>50038</v>
      </c>
      <c r="N5138" s="3" t="s">
        <v>86</v>
      </c>
      <c r="P5138" s="3" t="s">
        <v>102</v>
      </c>
      <c r="Q5138" s="2" t="s">
        <v>50039</v>
      </c>
      <c r="R5138" s="3" t="s">
        <v>49178</v>
      </c>
      <c r="S5138" s="4">
        <v>1</v>
      </c>
      <c r="T5138" s="4">
        <v>1</v>
      </c>
      <c r="U5138" s="5" t="s">
        <v>50040</v>
      </c>
      <c r="V5138" s="5" t="s">
        <v>50040</v>
      </c>
      <c r="W5138" s="5" t="s">
        <v>72</v>
      </c>
      <c r="X5138" s="5" t="s">
        <v>72</v>
      </c>
      <c r="Y5138" s="4">
        <v>155</v>
      </c>
      <c r="Z5138" s="4">
        <v>15</v>
      </c>
      <c r="AA5138" s="4">
        <v>86</v>
      </c>
      <c r="AB5138" s="4">
        <v>2</v>
      </c>
      <c r="AC5138" s="4">
        <v>16</v>
      </c>
      <c r="AD5138" s="4">
        <v>42</v>
      </c>
      <c r="AE5138" s="4">
        <v>115</v>
      </c>
      <c r="AF5138" s="4">
        <v>1</v>
      </c>
      <c r="AG5138" s="4">
        <v>8</v>
      </c>
      <c r="AH5138" s="4">
        <v>37</v>
      </c>
      <c r="AI5138" s="4">
        <v>80</v>
      </c>
      <c r="AJ5138" s="4">
        <v>9</v>
      </c>
      <c r="AK5138" s="4">
        <v>22</v>
      </c>
      <c r="AL5138" s="4">
        <v>18</v>
      </c>
      <c r="AM5138" s="4">
        <v>37</v>
      </c>
      <c r="AN5138" s="4">
        <v>0</v>
      </c>
      <c r="AO5138" s="4">
        <v>0</v>
      </c>
      <c r="AP5138" s="4">
        <v>11</v>
      </c>
      <c r="AQ5138" s="4">
        <v>43</v>
      </c>
      <c r="AR5138" s="3" t="s">
        <v>64</v>
      </c>
      <c r="AS5138" s="3" t="s">
        <v>64</v>
      </c>
      <c r="AT5138" s="3" t="s">
        <v>64</v>
      </c>
      <c r="AV5138" s="6" t="str">
        <f>HYPERLINK("http://mcgill.on.worldcat.org/oclc/815515009","Catalog Record")</f>
        <v>Catalog Record</v>
      </c>
      <c r="AW5138" s="6" t="str">
        <f>HYPERLINK("http://www.worldcat.org/oclc/815515009","WorldCat Record")</f>
        <v>WorldCat Record</v>
      </c>
      <c r="AX5138" s="3" t="s">
        <v>50041</v>
      </c>
      <c r="AY5138" s="3" t="s">
        <v>50042</v>
      </c>
      <c r="AZ5138" s="3" t="s">
        <v>50043</v>
      </c>
      <c r="BA5138" s="3" t="s">
        <v>50043</v>
      </c>
      <c r="BB5138" s="3" t="s">
        <v>50044</v>
      </c>
      <c r="BC5138" s="3" t="s">
        <v>77</v>
      </c>
      <c r="BD5138" s="3" t="s">
        <v>78</v>
      </c>
      <c r="BE5138" s="3" t="s">
        <v>50045</v>
      </c>
      <c r="BF5138" s="3" t="s">
        <v>50044</v>
      </c>
      <c r="BG5138" s="3" t="s">
        <v>50046</v>
      </c>
      <c r="BH5138">
        <f t="shared" si="162"/>
        <v>0</v>
      </c>
    </row>
    <row r="5139" spans="1:60" ht="58" x14ac:dyDescent="0.35">
      <c r="A5139" s="2" t="s">
        <v>59</v>
      </c>
      <c r="B5139" s="2" t="s">
        <v>60</v>
      </c>
      <c r="C5139" s="2" t="s">
        <v>50047</v>
      </c>
      <c r="D5139" s="2" t="s">
        <v>50048</v>
      </c>
      <c r="E5139" s="2" t="s">
        <v>50049</v>
      </c>
      <c r="G5139" s="3" t="s">
        <v>64</v>
      </c>
      <c r="I5139" s="3" t="s">
        <v>64</v>
      </c>
      <c r="J5139" s="3" t="s">
        <v>64</v>
      </c>
      <c r="K5139" s="3" t="s">
        <v>65</v>
      </c>
      <c r="M5139" s="2" t="s">
        <v>14860</v>
      </c>
      <c r="N5139" s="3" t="s">
        <v>537</v>
      </c>
      <c r="O5139" s="2" t="s">
        <v>16641</v>
      </c>
      <c r="P5139" s="3" t="s">
        <v>102</v>
      </c>
      <c r="R5139" s="3" t="s">
        <v>49178</v>
      </c>
      <c r="S5139" s="4">
        <v>2</v>
      </c>
      <c r="T5139" s="4">
        <v>2</v>
      </c>
      <c r="U5139" s="5" t="s">
        <v>50050</v>
      </c>
      <c r="V5139" s="5" t="s">
        <v>50050</v>
      </c>
      <c r="W5139" s="5" t="s">
        <v>72</v>
      </c>
      <c r="X5139" s="5" t="s">
        <v>72</v>
      </c>
      <c r="Y5139" s="4">
        <v>37</v>
      </c>
      <c r="Z5139" s="4">
        <v>1</v>
      </c>
      <c r="AA5139" s="4">
        <v>83</v>
      </c>
      <c r="AB5139" s="4">
        <v>1</v>
      </c>
      <c r="AC5139" s="4">
        <v>17</v>
      </c>
      <c r="AD5139" s="4">
        <v>1</v>
      </c>
      <c r="AE5139" s="4">
        <v>121</v>
      </c>
      <c r="AF5139" s="4">
        <v>0</v>
      </c>
      <c r="AG5139" s="4">
        <v>9</v>
      </c>
      <c r="AH5139" s="4">
        <v>0</v>
      </c>
      <c r="AI5139" s="4">
        <v>86</v>
      </c>
      <c r="AJ5139" s="4">
        <v>0</v>
      </c>
      <c r="AK5139" s="4">
        <v>21</v>
      </c>
      <c r="AL5139" s="4">
        <v>1</v>
      </c>
      <c r="AM5139" s="4">
        <v>44</v>
      </c>
      <c r="AN5139" s="4">
        <v>0</v>
      </c>
      <c r="AO5139" s="4">
        <v>0</v>
      </c>
      <c r="AP5139" s="4">
        <v>0</v>
      </c>
      <c r="AQ5139" s="4">
        <v>42</v>
      </c>
      <c r="AR5139" s="3" t="s">
        <v>64</v>
      </c>
      <c r="AS5139" s="3" t="s">
        <v>64</v>
      </c>
      <c r="AT5139" s="3" t="s">
        <v>64</v>
      </c>
      <c r="AV5139" s="6" t="str">
        <f>HYPERLINK("http://mcgill.on.worldcat.org/oclc/938790818","Catalog Record")</f>
        <v>Catalog Record</v>
      </c>
      <c r="AW5139" s="6" t="str">
        <f>HYPERLINK("http://www.worldcat.org/oclc/938790818","WorldCat Record")</f>
        <v>WorldCat Record</v>
      </c>
      <c r="AX5139" s="3" t="s">
        <v>50051</v>
      </c>
      <c r="AY5139" s="3" t="s">
        <v>50052</v>
      </c>
      <c r="AZ5139" s="3" t="s">
        <v>50053</v>
      </c>
      <c r="BA5139" s="3" t="s">
        <v>50053</v>
      </c>
      <c r="BB5139" s="3" t="s">
        <v>50054</v>
      </c>
      <c r="BC5139" s="3" t="s">
        <v>77</v>
      </c>
      <c r="BD5139" s="3" t="s">
        <v>78</v>
      </c>
      <c r="BE5139" s="3" t="s">
        <v>50055</v>
      </c>
      <c r="BF5139" s="3" t="s">
        <v>50054</v>
      </c>
      <c r="BG5139" s="3" t="s">
        <v>50056</v>
      </c>
      <c r="BH5139">
        <f t="shared" si="162"/>
        <v>0</v>
      </c>
    </row>
    <row r="5140" spans="1:60" ht="58" x14ac:dyDescent="0.35">
      <c r="A5140" s="2" t="s">
        <v>59</v>
      </c>
      <c r="B5140" s="2" t="s">
        <v>60</v>
      </c>
      <c r="C5140" s="2" t="s">
        <v>50057</v>
      </c>
      <c r="D5140" s="2" t="s">
        <v>50058</v>
      </c>
      <c r="E5140" s="2" t="s">
        <v>50059</v>
      </c>
      <c r="G5140" s="3" t="s">
        <v>64</v>
      </c>
      <c r="I5140" s="3" t="s">
        <v>64</v>
      </c>
      <c r="J5140" s="3" t="s">
        <v>64</v>
      </c>
      <c r="K5140" s="3" t="s">
        <v>65</v>
      </c>
      <c r="M5140" s="2" t="s">
        <v>50060</v>
      </c>
      <c r="N5140" s="3" t="s">
        <v>1492</v>
      </c>
      <c r="P5140" s="3" t="s">
        <v>102</v>
      </c>
      <c r="R5140" s="3" t="s">
        <v>49178</v>
      </c>
      <c r="S5140" s="4">
        <v>1</v>
      </c>
      <c r="T5140" s="4">
        <v>1</v>
      </c>
      <c r="U5140" s="5" t="s">
        <v>50061</v>
      </c>
      <c r="V5140" s="5" t="s">
        <v>50061</v>
      </c>
      <c r="W5140" s="5" t="s">
        <v>21705</v>
      </c>
      <c r="X5140" s="5" t="s">
        <v>21705</v>
      </c>
      <c r="Y5140" s="4">
        <v>224</v>
      </c>
      <c r="Z5140" s="4">
        <v>8</v>
      </c>
      <c r="AA5140" s="4">
        <v>66</v>
      </c>
      <c r="AB5140" s="4">
        <v>2</v>
      </c>
      <c r="AC5140" s="4">
        <v>15</v>
      </c>
      <c r="AD5140" s="4">
        <v>45</v>
      </c>
      <c r="AE5140" s="4">
        <v>94</v>
      </c>
      <c r="AF5140" s="4">
        <v>0</v>
      </c>
      <c r="AG5140" s="4">
        <v>8</v>
      </c>
      <c r="AH5140" s="4">
        <v>41</v>
      </c>
      <c r="AI5140" s="4">
        <v>67</v>
      </c>
      <c r="AJ5140" s="4">
        <v>5</v>
      </c>
      <c r="AK5140" s="4">
        <v>16</v>
      </c>
      <c r="AL5140" s="4">
        <v>22</v>
      </c>
      <c r="AM5140" s="4">
        <v>33</v>
      </c>
      <c r="AN5140" s="4">
        <v>0</v>
      </c>
      <c r="AO5140" s="4">
        <v>0</v>
      </c>
      <c r="AP5140" s="4">
        <v>6</v>
      </c>
      <c r="AQ5140" s="4">
        <v>33</v>
      </c>
      <c r="AR5140" s="3" t="s">
        <v>64</v>
      </c>
      <c r="AS5140" s="3" t="s">
        <v>64</v>
      </c>
      <c r="AT5140" s="3" t="s">
        <v>64</v>
      </c>
      <c r="AV5140" s="6" t="str">
        <f>HYPERLINK("http://mcgill.on.worldcat.org/oclc/1051042845","Catalog Record")</f>
        <v>Catalog Record</v>
      </c>
      <c r="AW5140" s="6" t="str">
        <f>HYPERLINK("http://www.worldcat.org/oclc/1051042845","WorldCat Record")</f>
        <v>WorldCat Record</v>
      </c>
      <c r="AX5140" s="3" t="s">
        <v>50062</v>
      </c>
      <c r="AY5140" s="3" t="s">
        <v>50063</v>
      </c>
      <c r="AZ5140" s="3" t="s">
        <v>50064</v>
      </c>
      <c r="BA5140" s="3" t="s">
        <v>50064</v>
      </c>
      <c r="BB5140" s="3" t="s">
        <v>50065</v>
      </c>
      <c r="BC5140" s="3" t="s">
        <v>77</v>
      </c>
      <c r="BD5140" s="3" t="s">
        <v>78</v>
      </c>
      <c r="BE5140" s="3" t="s">
        <v>50066</v>
      </c>
      <c r="BF5140" s="3" t="s">
        <v>50065</v>
      </c>
      <c r="BG5140" s="3" t="s">
        <v>50067</v>
      </c>
      <c r="BH5140">
        <f t="shared" si="162"/>
        <v>0</v>
      </c>
    </row>
    <row r="5141" spans="1:60" ht="58" x14ac:dyDescent="0.35">
      <c r="A5141" s="2" t="s">
        <v>59</v>
      </c>
      <c r="B5141" s="2" t="s">
        <v>60</v>
      </c>
      <c r="C5141" s="2" t="s">
        <v>50068</v>
      </c>
      <c r="D5141" s="2" t="s">
        <v>50069</v>
      </c>
      <c r="E5141" s="2" t="s">
        <v>50070</v>
      </c>
      <c r="G5141" s="3" t="s">
        <v>64</v>
      </c>
      <c r="I5141" s="3" t="s">
        <v>64</v>
      </c>
      <c r="J5141" s="3" t="s">
        <v>64</v>
      </c>
      <c r="K5141" s="3" t="s">
        <v>65</v>
      </c>
      <c r="L5141" s="2" t="s">
        <v>50071</v>
      </c>
      <c r="M5141" s="2" t="s">
        <v>50072</v>
      </c>
      <c r="N5141" s="3" t="s">
        <v>159</v>
      </c>
      <c r="P5141" s="3" t="s">
        <v>102</v>
      </c>
      <c r="R5141" s="3" t="s">
        <v>49178</v>
      </c>
      <c r="S5141" s="4">
        <v>10</v>
      </c>
      <c r="T5141" s="4">
        <v>10</v>
      </c>
      <c r="U5141" s="5" t="s">
        <v>14996</v>
      </c>
      <c r="V5141" s="5" t="s">
        <v>14996</v>
      </c>
      <c r="W5141" s="5" t="s">
        <v>72</v>
      </c>
      <c r="X5141" s="5" t="s">
        <v>72</v>
      </c>
      <c r="Y5141" s="4">
        <v>94</v>
      </c>
      <c r="Z5141" s="4">
        <v>4</v>
      </c>
      <c r="AA5141" s="4">
        <v>6</v>
      </c>
      <c r="AB5141" s="4">
        <v>1</v>
      </c>
      <c r="AC5141" s="4">
        <v>1</v>
      </c>
      <c r="AD5141" s="4">
        <v>16</v>
      </c>
      <c r="AE5141" s="4">
        <v>19</v>
      </c>
      <c r="AF5141" s="4">
        <v>0</v>
      </c>
      <c r="AG5141" s="4">
        <v>0</v>
      </c>
      <c r="AH5141" s="4">
        <v>16</v>
      </c>
      <c r="AI5141" s="4">
        <v>18</v>
      </c>
      <c r="AJ5141" s="4">
        <v>2</v>
      </c>
      <c r="AK5141" s="4">
        <v>4</v>
      </c>
      <c r="AL5141" s="4">
        <v>6</v>
      </c>
      <c r="AM5141" s="4">
        <v>6</v>
      </c>
      <c r="AN5141" s="4">
        <v>0</v>
      </c>
      <c r="AO5141" s="4">
        <v>0</v>
      </c>
      <c r="AP5141" s="4">
        <v>2</v>
      </c>
      <c r="AQ5141" s="4">
        <v>4</v>
      </c>
      <c r="AR5141" s="3" t="s">
        <v>64</v>
      </c>
      <c r="AS5141" s="3" t="s">
        <v>64</v>
      </c>
      <c r="AT5141" s="3" t="s">
        <v>64</v>
      </c>
      <c r="AV5141" s="6" t="str">
        <f>HYPERLINK("http://mcgill.on.worldcat.org/oclc/48045762","Catalog Record")</f>
        <v>Catalog Record</v>
      </c>
      <c r="AW5141" s="6" t="str">
        <f>HYPERLINK("http://www.worldcat.org/oclc/48045762","WorldCat Record")</f>
        <v>WorldCat Record</v>
      </c>
      <c r="AX5141" s="3" t="s">
        <v>50073</v>
      </c>
      <c r="AY5141" s="3" t="s">
        <v>50074</v>
      </c>
      <c r="AZ5141" s="3" t="s">
        <v>50075</v>
      </c>
      <c r="BA5141" s="3" t="s">
        <v>50075</v>
      </c>
      <c r="BB5141" s="3" t="s">
        <v>50076</v>
      </c>
      <c r="BC5141" s="3" t="s">
        <v>77</v>
      </c>
      <c r="BD5141" s="3" t="s">
        <v>78</v>
      </c>
      <c r="BE5141" s="3" t="s">
        <v>50077</v>
      </c>
      <c r="BF5141" s="3" t="s">
        <v>50076</v>
      </c>
      <c r="BG5141" s="3" t="s">
        <v>50078</v>
      </c>
      <c r="BH5141">
        <f t="shared" si="162"/>
        <v>0</v>
      </c>
    </row>
    <row r="5142" spans="1:60" ht="58" x14ac:dyDescent="0.35">
      <c r="A5142" s="2" t="s">
        <v>59</v>
      </c>
      <c r="B5142" s="2" t="s">
        <v>60</v>
      </c>
      <c r="C5142" s="2" t="s">
        <v>50079</v>
      </c>
      <c r="D5142" s="2" t="s">
        <v>50080</v>
      </c>
      <c r="E5142" s="2" t="s">
        <v>50081</v>
      </c>
      <c r="G5142" s="3" t="s">
        <v>64</v>
      </c>
      <c r="I5142" s="3" t="s">
        <v>64</v>
      </c>
      <c r="J5142" s="3" t="s">
        <v>64</v>
      </c>
      <c r="K5142" s="3" t="s">
        <v>65</v>
      </c>
      <c r="L5142" s="2" t="s">
        <v>50082</v>
      </c>
      <c r="M5142" s="2" t="s">
        <v>14882</v>
      </c>
      <c r="N5142" s="3" t="s">
        <v>171</v>
      </c>
      <c r="P5142" s="3" t="s">
        <v>102</v>
      </c>
      <c r="R5142" s="3" t="s">
        <v>49178</v>
      </c>
      <c r="S5142" s="4">
        <v>11</v>
      </c>
      <c r="T5142" s="4">
        <v>11</v>
      </c>
      <c r="U5142" s="5" t="s">
        <v>44202</v>
      </c>
      <c r="V5142" s="5" t="s">
        <v>44202</v>
      </c>
      <c r="W5142" s="5" t="s">
        <v>72</v>
      </c>
      <c r="X5142" s="5" t="s">
        <v>72</v>
      </c>
      <c r="Y5142" s="4">
        <v>1171</v>
      </c>
      <c r="Z5142" s="4">
        <v>50</v>
      </c>
      <c r="AA5142" s="4">
        <v>121</v>
      </c>
      <c r="AB5142" s="4">
        <v>5</v>
      </c>
      <c r="AC5142" s="4">
        <v>18</v>
      </c>
      <c r="AD5142" s="4">
        <v>120</v>
      </c>
      <c r="AE5142" s="4">
        <v>155</v>
      </c>
      <c r="AF5142" s="4">
        <v>2</v>
      </c>
      <c r="AG5142" s="4">
        <v>8</v>
      </c>
      <c r="AH5142" s="4">
        <v>97</v>
      </c>
      <c r="AI5142" s="4">
        <v>109</v>
      </c>
      <c r="AJ5142" s="4">
        <v>19</v>
      </c>
      <c r="AK5142" s="4">
        <v>26</v>
      </c>
      <c r="AL5142" s="4">
        <v>49</v>
      </c>
      <c r="AM5142" s="4">
        <v>58</v>
      </c>
      <c r="AN5142" s="4">
        <v>0</v>
      </c>
      <c r="AO5142" s="4">
        <v>0</v>
      </c>
      <c r="AP5142" s="4">
        <v>31</v>
      </c>
      <c r="AQ5142" s="4">
        <v>54</v>
      </c>
      <c r="AR5142" s="3" t="s">
        <v>64</v>
      </c>
      <c r="AS5142" s="3" t="s">
        <v>64</v>
      </c>
      <c r="AT5142" s="3" t="s">
        <v>64</v>
      </c>
      <c r="AV5142" s="6" t="str">
        <f>HYPERLINK("http://mcgill.on.worldcat.org/oclc/62738604","Catalog Record")</f>
        <v>Catalog Record</v>
      </c>
      <c r="AW5142" s="6" t="str">
        <f>HYPERLINK("http://www.worldcat.org/oclc/62738604","WorldCat Record")</f>
        <v>WorldCat Record</v>
      </c>
      <c r="AX5142" s="3" t="s">
        <v>50083</v>
      </c>
      <c r="AY5142" s="3" t="s">
        <v>50084</v>
      </c>
      <c r="AZ5142" s="3" t="s">
        <v>50085</v>
      </c>
      <c r="BA5142" s="3" t="s">
        <v>50085</v>
      </c>
      <c r="BB5142" s="3" t="s">
        <v>50086</v>
      </c>
      <c r="BC5142" s="3" t="s">
        <v>77</v>
      </c>
      <c r="BD5142" s="3" t="s">
        <v>78</v>
      </c>
      <c r="BE5142" s="3" t="s">
        <v>50087</v>
      </c>
      <c r="BF5142" s="3" t="s">
        <v>50086</v>
      </c>
      <c r="BG5142" s="3" t="s">
        <v>50088</v>
      </c>
      <c r="BH5142">
        <f t="shared" si="162"/>
        <v>0</v>
      </c>
    </row>
    <row r="5143" spans="1:60" ht="58" x14ac:dyDescent="0.35">
      <c r="A5143" s="2" t="s">
        <v>59</v>
      </c>
      <c r="B5143" s="2" t="s">
        <v>60</v>
      </c>
      <c r="C5143" s="2" t="s">
        <v>50089</v>
      </c>
      <c r="D5143" s="2" t="s">
        <v>50090</v>
      </c>
      <c r="E5143" s="2" t="s">
        <v>50091</v>
      </c>
      <c r="G5143" s="3" t="s">
        <v>64</v>
      </c>
      <c r="I5143" s="3" t="s">
        <v>64</v>
      </c>
      <c r="J5143" s="3" t="s">
        <v>64</v>
      </c>
      <c r="K5143" s="3" t="s">
        <v>65</v>
      </c>
      <c r="L5143" s="2" t="s">
        <v>50092</v>
      </c>
      <c r="M5143" s="2" t="s">
        <v>24363</v>
      </c>
      <c r="N5143" s="3" t="s">
        <v>159</v>
      </c>
      <c r="P5143" s="3" t="s">
        <v>102</v>
      </c>
      <c r="R5143" s="3" t="s">
        <v>49178</v>
      </c>
      <c r="S5143" s="4">
        <v>15</v>
      </c>
      <c r="T5143" s="4">
        <v>15</v>
      </c>
      <c r="U5143" s="5" t="s">
        <v>12425</v>
      </c>
      <c r="V5143" s="5" t="s">
        <v>12425</v>
      </c>
      <c r="W5143" s="5" t="s">
        <v>72</v>
      </c>
      <c r="X5143" s="5" t="s">
        <v>72</v>
      </c>
      <c r="Y5143" s="4">
        <v>301</v>
      </c>
      <c r="Z5143" s="4">
        <v>25</v>
      </c>
      <c r="AA5143" s="4">
        <v>26</v>
      </c>
      <c r="AB5143" s="4">
        <v>3</v>
      </c>
      <c r="AC5143" s="4">
        <v>4</v>
      </c>
      <c r="AD5143" s="4">
        <v>85</v>
      </c>
      <c r="AE5143" s="4">
        <v>86</v>
      </c>
      <c r="AF5143" s="4">
        <v>1</v>
      </c>
      <c r="AG5143" s="4">
        <v>2</v>
      </c>
      <c r="AH5143" s="4">
        <v>73</v>
      </c>
      <c r="AI5143" s="4">
        <v>73</v>
      </c>
      <c r="AJ5143" s="4">
        <v>13</v>
      </c>
      <c r="AK5143" s="4">
        <v>14</v>
      </c>
      <c r="AL5143" s="4">
        <v>37</v>
      </c>
      <c r="AM5143" s="4">
        <v>37</v>
      </c>
      <c r="AN5143" s="4">
        <v>0</v>
      </c>
      <c r="AO5143" s="4">
        <v>0</v>
      </c>
      <c r="AP5143" s="4">
        <v>19</v>
      </c>
      <c r="AQ5143" s="4">
        <v>19</v>
      </c>
      <c r="AR5143" s="3" t="s">
        <v>64</v>
      </c>
      <c r="AS5143" s="3" t="s">
        <v>64</v>
      </c>
      <c r="AT5143" s="3" t="s">
        <v>128</v>
      </c>
      <c r="AU5143" s="6" t="str">
        <f>HYPERLINK("http://catalog.hathitrust.org/Record/004247231","HathiTrust Record")</f>
        <v>HathiTrust Record</v>
      </c>
      <c r="AV5143" s="6" t="str">
        <f>HYPERLINK("http://mcgill.on.worldcat.org/oclc/49805695","Catalog Record")</f>
        <v>Catalog Record</v>
      </c>
      <c r="AW5143" s="6" t="str">
        <f>HYPERLINK("http://www.worldcat.org/oclc/49805695","WorldCat Record")</f>
        <v>WorldCat Record</v>
      </c>
      <c r="AX5143" s="3" t="s">
        <v>50093</v>
      </c>
      <c r="AY5143" s="3" t="s">
        <v>50094</v>
      </c>
      <c r="AZ5143" s="3" t="s">
        <v>50095</v>
      </c>
      <c r="BA5143" s="3" t="s">
        <v>50095</v>
      </c>
      <c r="BB5143" s="3" t="s">
        <v>50096</v>
      </c>
      <c r="BC5143" s="3" t="s">
        <v>77</v>
      </c>
      <c r="BD5143" s="3" t="s">
        <v>78</v>
      </c>
      <c r="BE5143" s="3" t="s">
        <v>50097</v>
      </c>
      <c r="BF5143" s="3" t="s">
        <v>50096</v>
      </c>
      <c r="BG5143" s="3" t="s">
        <v>50098</v>
      </c>
      <c r="BH5143">
        <f t="shared" si="162"/>
        <v>0</v>
      </c>
    </row>
    <row r="5144" spans="1:60" ht="58" x14ac:dyDescent="0.35">
      <c r="A5144" s="2" t="s">
        <v>59</v>
      </c>
      <c r="B5144" s="2" t="s">
        <v>60</v>
      </c>
      <c r="C5144" s="2" t="s">
        <v>50099</v>
      </c>
      <c r="D5144" s="2" t="s">
        <v>50100</v>
      </c>
      <c r="E5144" s="2" t="s">
        <v>50101</v>
      </c>
      <c r="G5144" s="3" t="s">
        <v>64</v>
      </c>
      <c r="I5144" s="3" t="s">
        <v>64</v>
      </c>
      <c r="J5144" s="3" t="s">
        <v>64</v>
      </c>
      <c r="K5144" s="3" t="s">
        <v>65</v>
      </c>
      <c r="M5144" s="2" t="s">
        <v>50102</v>
      </c>
      <c r="N5144" s="3" t="s">
        <v>434</v>
      </c>
      <c r="P5144" s="3" t="s">
        <v>102</v>
      </c>
      <c r="Q5144" s="2" t="s">
        <v>50103</v>
      </c>
      <c r="R5144" s="3" t="s">
        <v>49178</v>
      </c>
      <c r="S5144" s="4">
        <v>17</v>
      </c>
      <c r="T5144" s="4">
        <v>17</v>
      </c>
      <c r="U5144" s="5" t="s">
        <v>15836</v>
      </c>
      <c r="V5144" s="5" t="s">
        <v>15836</v>
      </c>
      <c r="W5144" s="5" t="s">
        <v>72</v>
      </c>
      <c r="X5144" s="5" t="s">
        <v>72</v>
      </c>
      <c r="Y5144" s="4">
        <v>129</v>
      </c>
      <c r="Z5144" s="4">
        <v>13</v>
      </c>
      <c r="AA5144" s="4">
        <v>49</v>
      </c>
      <c r="AB5144" s="4">
        <v>2</v>
      </c>
      <c r="AC5144" s="4">
        <v>15</v>
      </c>
      <c r="AD5144" s="4">
        <v>50</v>
      </c>
      <c r="AE5144" s="4">
        <v>109</v>
      </c>
      <c r="AF5144" s="4">
        <v>1</v>
      </c>
      <c r="AG5144" s="4">
        <v>8</v>
      </c>
      <c r="AH5144" s="4">
        <v>44</v>
      </c>
      <c r="AI5144" s="4">
        <v>80</v>
      </c>
      <c r="AJ5144" s="4">
        <v>10</v>
      </c>
      <c r="AK5144" s="4">
        <v>23</v>
      </c>
      <c r="AL5144" s="4">
        <v>26</v>
      </c>
      <c r="AM5144" s="4">
        <v>40</v>
      </c>
      <c r="AN5144" s="4">
        <v>0</v>
      </c>
      <c r="AO5144" s="4">
        <v>0</v>
      </c>
      <c r="AP5144" s="4">
        <v>9</v>
      </c>
      <c r="AQ5144" s="4">
        <v>37</v>
      </c>
      <c r="AR5144" s="3" t="s">
        <v>64</v>
      </c>
      <c r="AS5144" s="3" t="s">
        <v>64</v>
      </c>
      <c r="AT5144" s="3" t="s">
        <v>64</v>
      </c>
      <c r="AV5144" s="6" t="str">
        <f>HYPERLINK("http://mcgill.on.worldcat.org/oclc/63182723","Catalog Record")</f>
        <v>Catalog Record</v>
      </c>
      <c r="AW5144" s="6" t="str">
        <f>HYPERLINK("http://www.worldcat.org/oclc/63182723","WorldCat Record")</f>
        <v>WorldCat Record</v>
      </c>
      <c r="AX5144" s="3" t="s">
        <v>50104</v>
      </c>
      <c r="AY5144" s="3" t="s">
        <v>50105</v>
      </c>
      <c r="AZ5144" s="3" t="s">
        <v>50106</v>
      </c>
      <c r="BA5144" s="3" t="s">
        <v>50106</v>
      </c>
      <c r="BB5144" s="3" t="s">
        <v>50107</v>
      </c>
      <c r="BC5144" s="3" t="s">
        <v>77</v>
      </c>
      <c r="BD5144" s="3" t="s">
        <v>78</v>
      </c>
      <c r="BE5144" s="3" t="s">
        <v>50108</v>
      </c>
      <c r="BF5144" s="3" t="s">
        <v>50107</v>
      </c>
      <c r="BG5144" s="3" t="s">
        <v>50109</v>
      </c>
      <c r="BH5144">
        <f t="shared" si="162"/>
        <v>0</v>
      </c>
    </row>
    <row r="5145" spans="1:60" ht="58" x14ac:dyDescent="0.35">
      <c r="A5145" s="2" t="s">
        <v>59</v>
      </c>
      <c r="B5145" s="2" t="s">
        <v>60</v>
      </c>
      <c r="C5145" s="2" t="s">
        <v>50110</v>
      </c>
      <c r="D5145" s="2" t="s">
        <v>50111</v>
      </c>
      <c r="E5145" s="2" t="s">
        <v>50112</v>
      </c>
      <c r="G5145" s="3" t="s">
        <v>64</v>
      </c>
      <c r="I5145" s="3" t="s">
        <v>64</v>
      </c>
      <c r="J5145" s="3" t="s">
        <v>64</v>
      </c>
      <c r="K5145" s="3" t="s">
        <v>65</v>
      </c>
      <c r="M5145" s="2" t="s">
        <v>50113</v>
      </c>
      <c r="N5145" s="3" t="s">
        <v>67</v>
      </c>
      <c r="P5145" s="3" t="s">
        <v>102</v>
      </c>
      <c r="Q5145" s="2" t="s">
        <v>14685</v>
      </c>
      <c r="R5145" s="3" t="s">
        <v>49178</v>
      </c>
      <c r="S5145" s="4">
        <v>5</v>
      </c>
      <c r="T5145" s="4">
        <v>5</v>
      </c>
      <c r="U5145" s="5" t="s">
        <v>15836</v>
      </c>
      <c r="V5145" s="5" t="s">
        <v>15836</v>
      </c>
      <c r="W5145" s="5" t="s">
        <v>72</v>
      </c>
      <c r="X5145" s="5" t="s">
        <v>72</v>
      </c>
      <c r="Y5145" s="4">
        <v>43</v>
      </c>
      <c r="Z5145" s="4">
        <v>2</v>
      </c>
      <c r="AA5145" s="4">
        <v>75</v>
      </c>
      <c r="AB5145" s="4">
        <v>1</v>
      </c>
      <c r="AC5145" s="4">
        <v>15</v>
      </c>
      <c r="AD5145" s="4">
        <v>10</v>
      </c>
      <c r="AE5145" s="4">
        <v>84</v>
      </c>
      <c r="AF5145" s="4">
        <v>0</v>
      </c>
      <c r="AG5145" s="4">
        <v>8</v>
      </c>
      <c r="AH5145" s="4">
        <v>9</v>
      </c>
      <c r="AI5145" s="4">
        <v>52</v>
      </c>
      <c r="AJ5145" s="4">
        <v>1</v>
      </c>
      <c r="AK5145" s="4">
        <v>16</v>
      </c>
      <c r="AL5145" s="4">
        <v>7</v>
      </c>
      <c r="AM5145" s="4">
        <v>26</v>
      </c>
      <c r="AN5145" s="4">
        <v>0</v>
      </c>
      <c r="AO5145" s="4">
        <v>0</v>
      </c>
      <c r="AP5145" s="4">
        <v>1</v>
      </c>
      <c r="AQ5145" s="4">
        <v>38</v>
      </c>
      <c r="AR5145" s="3" t="s">
        <v>64</v>
      </c>
      <c r="AS5145" s="3" t="s">
        <v>64</v>
      </c>
      <c r="AT5145" s="3" t="s">
        <v>64</v>
      </c>
      <c r="AV5145" s="6" t="str">
        <f>HYPERLINK("http://mcgill.on.worldcat.org/oclc/866620502","Catalog Record")</f>
        <v>Catalog Record</v>
      </c>
      <c r="AW5145" s="6" t="str">
        <f>HYPERLINK("http://www.worldcat.org/oclc/866620502","WorldCat Record")</f>
        <v>WorldCat Record</v>
      </c>
      <c r="AX5145" s="3" t="s">
        <v>50114</v>
      </c>
      <c r="AY5145" s="3" t="s">
        <v>50115</v>
      </c>
      <c r="AZ5145" s="3" t="s">
        <v>50116</v>
      </c>
      <c r="BA5145" s="3" t="s">
        <v>50116</v>
      </c>
      <c r="BB5145" s="3" t="s">
        <v>50117</v>
      </c>
      <c r="BC5145" s="3" t="s">
        <v>77</v>
      </c>
      <c r="BD5145" s="3" t="s">
        <v>78</v>
      </c>
      <c r="BE5145" s="3" t="s">
        <v>50118</v>
      </c>
      <c r="BF5145" s="3" t="s">
        <v>50117</v>
      </c>
      <c r="BG5145" s="3" t="s">
        <v>50119</v>
      </c>
      <c r="BH5145">
        <f t="shared" si="162"/>
        <v>0</v>
      </c>
    </row>
    <row r="5146" spans="1:60" ht="58" x14ac:dyDescent="0.35">
      <c r="A5146" s="2" t="s">
        <v>59</v>
      </c>
      <c r="B5146" s="2" t="s">
        <v>60</v>
      </c>
      <c r="C5146" s="2" t="s">
        <v>50120</v>
      </c>
      <c r="D5146" s="2" t="s">
        <v>50121</v>
      </c>
      <c r="E5146" s="2" t="s">
        <v>50122</v>
      </c>
      <c r="G5146" s="3" t="s">
        <v>64</v>
      </c>
      <c r="I5146" s="3" t="s">
        <v>64</v>
      </c>
      <c r="J5146" s="3" t="s">
        <v>64</v>
      </c>
      <c r="K5146" s="3" t="s">
        <v>65</v>
      </c>
      <c r="M5146" s="2" t="s">
        <v>50123</v>
      </c>
      <c r="N5146" s="3" t="s">
        <v>171</v>
      </c>
      <c r="P5146" s="3" t="s">
        <v>102</v>
      </c>
      <c r="Q5146" s="2" t="s">
        <v>50124</v>
      </c>
      <c r="R5146" s="3" t="s">
        <v>49178</v>
      </c>
      <c r="S5146" s="4">
        <v>20</v>
      </c>
      <c r="T5146" s="4">
        <v>20</v>
      </c>
      <c r="U5146" s="5" t="s">
        <v>19257</v>
      </c>
      <c r="V5146" s="5" t="s">
        <v>19257</v>
      </c>
      <c r="W5146" s="5" t="s">
        <v>72</v>
      </c>
      <c r="X5146" s="5" t="s">
        <v>72</v>
      </c>
      <c r="Y5146" s="4">
        <v>176</v>
      </c>
      <c r="Z5146" s="4">
        <v>13</v>
      </c>
      <c r="AA5146" s="4">
        <v>47</v>
      </c>
      <c r="AB5146" s="4">
        <v>1</v>
      </c>
      <c r="AC5146" s="4">
        <v>13</v>
      </c>
      <c r="AD5146" s="4">
        <v>65</v>
      </c>
      <c r="AE5146" s="4">
        <v>114</v>
      </c>
      <c r="AF5146" s="4">
        <v>0</v>
      </c>
      <c r="AG5146" s="4">
        <v>7</v>
      </c>
      <c r="AH5146" s="4">
        <v>61</v>
      </c>
      <c r="AI5146" s="4">
        <v>87</v>
      </c>
      <c r="AJ5146" s="4">
        <v>8</v>
      </c>
      <c r="AK5146" s="4">
        <v>21</v>
      </c>
      <c r="AL5146" s="4">
        <v>34</v>
      </c>
      <c r="AM5146" s="4">
        <v>45</v>
      </c>
      <c r="AN5146" s="4">
        <v>0</v>
      </c>
      <c r="AO5146" s="4">
        <v>0</v>
      </c>
      <c r="AP5146" s="4">
        <v>9</v>
      </c>
      <c r="AQ5146" s="4">
        <v>36</v>
      </c>
      <c r="AR5146" s="3" t="s">
        <v>64</v>
      </c>
      <c r="AS5146" s="3" t="s">
        <v>64</v>
      </c>
      <c r="AT5146" s="3" t="s">
        <v>64</v>
      </c>
      <c r="AV5146" s="6" t="str">
        <f>HYPERLINK("http://mcgill.on.worldcat.org/oclc/65166654","Catalog Record")</f>
        <v>Catalog Record</v>
      </c>
      <c r="AW5146" s="6" t="str">
        <f>HYPERLINK("http://www.worldcat.org/oclc/65166654","WorldCat Record")</f>
        <v>WorldCat Record</v>
      </c>
      <c r="AX5146" s="3" t="s">
        <v>50125</v>
      </c>
      <c r="AY5146" s="3" t="s">
        <v>50126</v>
      </c>
      <c r="AZ5146" s="3" t="s">
        <v>50127</v>
      </c>
      <c r="BA5146" s="3" t="s">
        <v>50127</v>
      </c>
      <c r="BB5146" s="3" t="s">
        <v>50128</v>
      </c>
      <c r="BC5146" s="3" t="s">
        <v>77</v>
      </c>
      <c r="BD5146" s="3" t="s">
        <v>78</v>
      </c>
      <c r="BE5146" s="3" t="s">
        <v>50129</v>
      </c>
      <c r="BF5146" s="3" t="s">
        <v>50128</v>
      </c>
      <c r="BG5146" s="3" t="s">
        <v>50130</v>
      </c>
      <c r="BH5146">
        <f t="shared" si="162"/>
        <v>0</v>
      </c>
    </row>
    <row r="5147" spans="1:60" ht="58" x14ac:dyDescent="0.35">
      <c r="A5147" s="2" t="s">
        <v>1040</v>
      </c>
      <c r="B5147" s="2" t="s">
        <v>60</v>
      </c>
      <c r="C5147" s="2" t="s">
        <v>50131</v>
      </c>
      <c r="D5147" s="2" t="s">
        <v>50132</v>
      </c>
      <c r="E5147" s="2" t="s">
        <v>50133</v>
      </c>
      <c r="G5147" s="3" t="s">
        <v>64</v>
      </c>
      <c r="I5147" s="3" t="s">
        <v>64</v>
      </c>
      <c r="J5147" s="3" t="s">
        <v>64</v>
      </c>
      <c r="K5147" s="3" t="s">
        <v>65</v>
      </c>
      <c r="L5147" s="2" t="s">
        <v>50134</v>
      </c>
      <c r="M5147" s="2" t="s">
        <v>50135</v>
      </c>
      <c r="N5147" s="3" t="s">
        <v>291</v>
      </c>
      <c r="P5147" s="3" t="s">
        <v>102</v>
      </c>
      <c r="Q5147" s="2" t="s">
        <v>50136</v>
      </c>
      <c r="R5147" s="3" t="s">
        <v>49178</v>
      </c>
      <c r="S5147" s="4">
        <v>11</v>
      </c>
      <c r="T5147" s="4">
        <v>11</v>
      </c>
      <c r="U5147" s="5" t="s">
        <v>1005</v>
      </c>
      <c r="V5147" s="5" t="s">
        <v>1005</v>
      </c>
      <c r="W5147" s="5" t="s">
        <v>72</v>
      </c>
      <c r="X5147" s="5" t="s">
        <v>72</v>
      </c>
      <c r="Y5147" s="4">
        <v>264</v>
      </c>
      <c r="Z5147" s="4">
        <v>24</v>
      </c>
      <c r="AA5147" s="4">
        <v>66</v>
      </c>
      <c r="AB5147" s="4">
        <v>2</v>
      </c>
      <c r="AC5147" s="4">
        <v>17</v>
      </c>
      <c r="AD5147" s="4">
        <v>76</v>
      </c>
      <c r="AE5147" s="4">
        <v>117</v>
      </c>
      <c r="AF5147" s="4">
        <v>0</v>
      </c>
      <c r="AG5147" s="4">
        <v>7</v>
      </c>
      <c r="AH5147" s="4">
        <v>66</v>
      </c>
      <c r="AI5147" s="4">
        <v>77</v>
      </c>
      <c r="AJ5147" s="4">
        <v>14</v>
      </c>
      <c r="AK5147" s="4">
        <v>23</v>
      </c>
      <c r="AL5147" s="4">
        <v>39</v>
      </c>
      <c r="AM5147" s="4">
        <v>43</v>
      </c>
      <c r="AN5147" s="4">
        <v>0</v>
      </c>
      <c r="AO5147" s="4">
        <v>0</v>
      </c>
      <c r="AP5147" s="4">
        <v>17</v>
      </c>
      <c r="AQ5147" s="4">
        <v>46</v>
      </c>
      <c r="AR5147" s="3" t="s">
        <v>64</v>
      </c>
      <c r="AS5147" s="3" t="s">
        <v>64</v>
      </c>
      <c r="AT5147" s="3" t="s">
        <v>64</v>
      </c>
      <c r="AV5147" s="6" t="str">
        <f>HYPERLINK("http://mcgill.on.worldcat.org/oclc/70334982","Catalog Record")</f>
        <v>Catalog Record</v>
      </c>
      <c r="AW5147" s="6" t="str">
        <f>HYPERLINK("http://www.worldcat.org/oclc/70334982","WorldCat Record")</f>
        <v>WorldCat Record</v>
      </c>
      <c r="AX5147" s="3" t="s">
        <v>50137</v>
      </c>
      <c r="AY5147" s="3" t="s">
        <v>50138</v>
      </c>
      <c r="AZ5147" s="3" t="s">
        <v>50139</v>
      </c>
      <c r="BA5147" s="3" t="s">
        <v>50139</v>
      </c>
      <c r="BB5147" s="3" t="s">
        <v>50140</v>
      </c>
      <c r="BC5147" s="3" t="s">
        <v>77</v>
      </c>
      <c r="BD5147" s="3" t="s">
        <v>78</v>
      </c>
      <c r="BE5147" s="3" t="s">
        <v>50141</v>
      </c>
      <c r="BF5147" s="3" t="s">
        <v>50140</v>
      </c>
      <c r="BG5147" s="3" t="s">
        <v>50142</v>
      </c>
      <c r="BH5147">
        <f t="shared" si="162"/>
        <v>0</v>
      </c>
    </row>
    <row r="5148" spans="1:60" ht="58" x14ac:dyDescent="0.35">
      <c r="A5148" s="2" t="s">
        <v>59</v>
      </c>
      <c r="B5148" s="2" t="s">
        <v>60</v>
      </c>
      <c r="C5148" s="2" t="s">
        <v>50143</v>
      </c>
      <c r="D5148" s="2" t="s">
        <v>50144</v>
      </c>
      <c r="E5148" s="2" t="s">
        <v>50145</v>
      </c>
      <c r="G5148" s="3" t="s">
        <v>64</v>
      </c>
      <c r="I5148" s="3" t="s">
        <v>64</v>
      </c>
      <c r="J5148" s="3" t="s">
        <v>64</v>
      </c>
      <c r="K5148" s="3" t="s">
        <v>65</v>
      </c>
      <c r="M5148" s="2" t="s">
        <v>15272</v>
      </c>
      <c r="N5148" s="3" t="s">
        <v>291</v>
      </c>
      <c r="P5148" s="3" t="s">
        <v>102</v>
      </c>
      <c r="R5148" s="3" t="s">
        <v>49178</v>
      </c>
      <c r="S5148" s="4">
        <v>8</v>
      </c>
      <c r="T5148" s="4">
        <v>8</v>
      </c>
      <c r="U5148" s="5" t="s">
        <v>29415</v>
      </c>
      <c r="V5148" s="5" t="s">
        <v>29415</v>
      </c>
      <c r="W5148" s="5" t="s">
        <v>72</v>
      </c>
      <c r="X5148" s="5" t="s">
        <v>72</v>
      </c>
      <c r="Y5148" s="4">
        <v>803</v>
      </c>
      <c r="Z5148" s="4">
        <v>40</v>
      </c>
      <c r="AA5148" s="4">
        <v>72</v>
      </c>
      <c r="AB5148" s="4">
        <v>4</v>
      </c>
      <c r="AC5148" s="4">
        <v>13</v>
      </c>
      <c r="AD5148" s="4">
        <v>99</v>
      </c>
      <c r="AE5148" s="4">
        <v>107</v>
      </c>
      <c r="AF5148" s="4">
        <v>1</v>
      </c>
      <c r="AG5148" s="4">
        <v>5</v>
      </c>
      <c r="AH5148" s="4">
        <v>84</v>
      </c>
      <c r="AI5148" s="4">
        <v>87</v>
      </c>
      <c r="AJ5148" s="4">
        <v>17</v>
      </c>
      <c r="AK5148" s="4">
        <v>20</v>
      </c>
      <c r="AL5148" s="4">
        <v>38</v>
      </c>
      <c r="AM5148" s="4">
        <v>39</v>
      </c>
      <c r="AN5148" s="4">
        <v>0</v>
      </c>
      <c r="AO5148" s="4">
        <v>0</v>
      </c>
      <c r="AP5148" s="4">
        <v>26</v>
      </c>
      <c r="AQ5148" s="4">
        <v>32</v>
      </c>
      <c r="AR5148" s="3" t="s">
        <v>64</v>
      </c>
      <c r="AS5148" s="3" t="s">
        <v>64</v>
      </c>
      <c r="AT5148" s="3" t="s">
        <v>64</v>
      </c>
      <c r="AV5148" s="6" t="str">
        <f>HYPERLINK("http://mcgill.on.worldcat.org/oclc/85829987","Catalog Record")</f>
        <v>Catalog Record</v>
      </c>
      <c r="AW5148" s="6" t="str">
        <f>HYPERLINK("http://www.worldcat.org/oclc/85829987","WorldCat Record")</f>
        <v>WorldCat Record</v>
      </c>
      <c r="AX5148" s="3" t="s">
        <v>50146</v>
      </c>
      <c r="AY5148" s="3" t="s">
        <v>50147</v>
      </c>
      <c r="AZ5148" s="3" t="s">
        <v>50148</v>
      </c>
      <c r="BA5148" s="3" t="s">
        <v>50148</v>
      </c>
      <c r="BB5148" s="3" t="s">
        <v>50149</v>
      </c>
      <c r="BC5148" s="3" t="s">
        <v>77</v>
      </c>
      <c r="BD5148" s="3" t="s">
        <v>78</v>
      </c>
      <c r="BE5148" s="3" t="s">
        <v>50150</v>
      </c>
      <c r="BF5148" s="3" t="s">
        <v>50149</v>
      </c>
      <c r="BG5148" s="3" t="s">
        <v>50151</v>
      </c>
      <c r="BH5148">
        <f t="shared" si="162"/>
        <v>0</v>
      </c>
    </row>
    <row r="5149" spans="1:60" ht="58" x14ac:dyDescent="0.35">
      <c r="A5149" s="2" t="s">
        <v>59</v>
      </c>
      <c r="B5149" s="2" t="s">
        <v>60</v>
      </c>
      <c r="C5149" s="2" t="s">
        <v>50152</v>
      </c>
      <c r="D5149" s="2" t="s">
        <v>50153</v>
      </c>
      <c r="E5149" s="2" t="s">
        <v>50154</v>
      </c>
      <c r="G5149" s="3" t="s">
        <v>64</v>
      </c>
      <c r="I5149" s="3" t="s">
        <v>64</v>
      </c>
      <c r="J5149" s="3" t="s">
        <v>64</v>
      </c>
      <c r="K5149" s="3" t="s">
        <v>65</v>
      </c>
      <c r="M5149" s="2" t="s">
        <v>19709</v>
      </c>
      <c r="N5149" s="3" t="s">
        <v>291</v>
      </c>
      <c r="P5149" s="3" t="s">
        <v>102</v>
      </c>
      <c r="R5149" s="3" t="s">
        <v>49178</v>
      </c>
      <c r="S5149" s="4">
        <v>15</v>
      </c>
      <c r="T5149" s="4">
        <v>15</v>
      </c>
      <c r="U5149" s="5" t="s">
        <v>44202</v>
      </c>
      <c r="V5149" s="5" t="s">
        <v>44202</v>
      </c>
      <c r="W5149" s="5" t="s">
        <v>72</v>
      </c>
      <c r="X5149" s="5" t="s">
        <v>72</v>
      </c>
      <c r="Y5149" s="4">
        <v>363</v>
      </c>
      <c r="Z5149" s="4">
        <v>20</v>
      </c>
      <c r="AA5149" s="4">
        <v>22</v>
      </c>
      <c r="AB5149" s="4">
        <v>3</v>
      </c>
      <c r="AC5149" s="4">
        <v>5</v>
      </c>
      <c r="AD5149" s="4">
        <v>63</v>
      </c>
      <c r="AE5149" s="4">
        <v>64</v>
      </c>
      <c r="AF5149" s="4">
        <v>1</v>
      </c>
      <c r="AG5149" s="4">
        <v>2</v>
      </c>
      <c r="AH5149" s="4">
        <v>59</v>
      </c>
      <c r="AI5149" s="4">
        <v>59</v>
      </c>
      <c r="AJ5149" s="4">
        <v>9</v>
      </c>
      <c r="AK5149" s="4">
        <v>9</v>
      </c>
      <c r="AL5149" s="4">
        <v>29</v>
      </c>
      <c r="AM5149" s="4">
        <v>29</v>
      </c>
      <c r="AN5149" s="4">
        <v>0</v>
      </c>
      <c r="AO5149" s="4">
        <v>0</v>
      </c>
      <c r="AP5149" s="4">
        <v>12</v>
      </c>
      <c r="AQ5149" s="4">
        <v>13</v>
      </c>
      <c r="AR5149" s="3" t="s">
        <v>64</v>
      </c>
      <c r="AS5149" s="3" t="s">
        <v>64</v>
      </c>
      <c r="AT5149" s="3" t="s">
        <v>128</v>
      </c>
      <c r="AU5149" s="6" t="str">
        <f>HYPERLINK("http://catalog.hathitrust.org/Record/005618823","HathiTrust Record")</f>
        <v>HathiTrust Record</v>
      </c>
      <c r="AV5149" s="6" t="str">
        <f>HYPERLINK("http://mcgill.on.worldcat.org/oclc/122701481","Catalog Record")</f>
        <v>Catalog Record</v>
      </c>
      <c r="AW5149" s="6" t="str">
        <f>HYPERLINK("http://www.worldcat.org/oclc/122701481","WorldCat Record")</f>
        <v>WorldCat Record</v>
      </c>
      <c r="AX5149" s="3" t="s">
        <v>50155</v>
      </c>
      <c r="AY5149" s="3" t="s">
        <v>50156</v>
      </c>
      <c r="AZ5149" s="3" t="s">
        <v>50157</v>
      </c>
      <c r="BA5149" s="3" t="s">
        <v>50157</v>
      </c>
      <c r="BB5149" s="3" t="s">
        <v>50158</v>
      </c>
      <c r="BC5149" s="3" t="s">
        <v>77</v>
      </c>
      <c r="BD5149" s="3" t="s">
        <v>78</v>
      </c>
      <c r="BE5149" s="3" t="s">
        <v>50159</v>
      </c>
      <c r="BF5149" s="3" t="s">
        <v>50158</v>
      </c>
      <c r="BG5149" s="3" t="s">
        <v>50160</v>
      </c>
      <c r="BH5149">
        <f t="shared" si="162"/>
        <v>0</v>
      </c>
    </row>
    <row r="5150" spans="1:60" ht="58" x14ac:dyDescent="0.35">
      <c r="A5150" s="2" t="s">
        <v>59</v>
      </c>
      <c r="B5150" s="2" t="s">
        <v>60</v>
      </c>
      <c r="C5150" s="2" t="s">
        <v>50161</v>
      </c>
      <c r="D5150" s="2" t="s">
        <v>50162</v>
      </c>
      <c r="E5150" s="2" t="s">
        <v>50163</v>
      </c>
      <c r="G5150" s="3" t="s">
        <v>64</v>
      </c>
      <c r="I5150" s="3" t="s">
        <v>64</v>
      </c>
      <c r="J5150" s="3" t="s">
        <v>64</v>
      </c>
      <c r="K5150" s="3" t="s">
        <v>65</v>
      </c>
      <c r="M5150" s="2" t="s">
        <v>50164</v>
      </c>
      <c r="N5150" s="3" t="s">
        <v>1075</v>
      </c>
      <c r="P5150" s="3" t="s">
        <v>68</v>
      </c>
      <c r="Q5150" s="2" t="s">
        <v>50165</v>
      </c>
      <c r="R5150" s="3" t="s">
        <v>49178</v>
      </c>
      <c r="S5150" s="4">
        <v>0</v>
      </c>
      <c r="T5150" s="4">
        <v>0</v>
      </c>
      <c r="W5150" s="5" t="s">
        <v>72</v>
      </c>
      <c r="X5150" s="5" t="s">
        <v>72</v>
      </c>
      <c r="Y5150" s="4">
        <v>2</v>
      </c>
      <c r="Z5150" s="4">
        <v>1</v>
      </c>
      <c r="AA5150" s="4">
        <v>3</v>
      </c>
      <c r="AB5150" s="4">
        <v>1</v>
      </c>
      <c r="AC5150" s="4">
        <v>2</v>
      </c>
      <c r="AD5150" s="4">
        <v>0</v>
      </c>
      <c r="AE5150" s="4">
        <v>1</v>
      </c>
      <c r="AF5150" s="4">
        <v>0</v>
      </c>
      <c r="AG5150" s="4">
        <v>1</v>
      </c>
      <c r="AH5150" s="4">
        <v>0</v>
      </c>
      <c r="AI5150" s="4">
        <v>0</v>
      </c>
      <c r="AJ5150" s="4">
        <v>0</v>
      </c>
      <c r="AK5150" s="4">
        <v>1</v>
      </c>
      <c r="AL5150" s="4">
        <v>0</v>
      </c>
      <c r="AM5150" s="4">
        <v>0</v>
      </c>
      <c r="AN5150" s="4">
        <v>0</v>
      </c>
      <c r="AO5150" s="4">
        <v>0</v>
      </c>
      <c r="AP5150" s="4">
        <v>0</v>
      </c>
      <c r="AQ5150" s="4">
        <v>1</v>
      </c>
      <c r="AR5150" s="3" t="s">
        <v>64</v>
      </c>
      <c r="AS5150" s="3" t="s">
        <v>64</v>
      </c>
      <c r="AT5150" s="3" t="s">
        <v>64</v>
      </c>
      <c r="AV5150" s="6" t="str">
        <f>HYPERLINK("http://mcgill.on.worldcat.org/oclc/959842792","Catalog Record")</f>
        <v>Catalog Record</v>
      </c>
      <c r="AW5150" s="6" t="str">
        <f>HYPERLINK("http://www.worldcat.org/oclc/959842792","WorldCat Record")</f>
        <v>WorldCat Record</v>
      </c>
      <c r="AX5150" s="3" t="s">
        <v>50166</v>
      </c>
      <c r="AY5150" s="3" t="s">
        <v>50167</v>
      </c>
      <c r="AZ5150" s="3" t="s">
        <v>50168</v>
      </c>
      <c r="BA5150" s="3" t="s">
        <v>50168</v>
      </c>
      <c r="BB5150" s="3" t="s">
        <v>50169</v>
      </c>
      <c r="BC5150" s="3" t="s">
        <v>77</v>
      </c>
      <c r="BD5150" s="3" t="s">
        <v>78</v>
      </c>
      <c r="BE5150" s="3" t="s">
        <v>50170</v>
      </c>
      <c r="BF5150" s="3" t="s">
        <v>50169</v>
      </c>
      <c r="BG5150" s="3" t="s">
        <v>50171</v>
      </c>
      <c r="BH5150">
        <f t="shared" si="162"/>
        <v>0</v>
      </c>
    </row>
    <row r="5151" spans="1:60" ht="58" x14ac:dyDescent="0.35">
      <c r="A5151" s="2" t="s">
        <v>59</v>
      </c>
      <c r="B5151" s="2" t="s">
        <v>60</v>
      </c>
      <c r="C5151" s="2" t="s">
        <v>50172</v>
      </c>
      <c r="D5151" s="2" t="s">
        <v>50173</v>
      </c>
      <c r="E5151" s="2" t="s">
        <v>50174</v>
      </c>
      <c r="G5151" s="3" t="s">
        <v>64</v>
      </c>
      <c r="I5151" s="3" t="s">
        <v>64</v>
      </c>
      <c r="J5151" s="3" t="s">
        <v>64</v>
      </c>
      <c r="K5151" s="3" t="s">
        <v>65</v>
      </c>
      <c r="M5151" s="2" t="s">
        <v>50175</v>
      </c>
      <c r="N5151" s="3" t="s">
        <v>171</v>
      </c>
      <c r="P5151" s="3" t="s">
        <v>102</v>
      </c>
      <c r="R5151" s="3" t="s">
        <v>49178</v>
      </c>
      <c r="S5151" s="4">
        <v>16</v>
      </c>
      <c r="T5151" s="4">
        <v>16</v>
      </c>
      <c r="U5151" s="5" t="s">
        <v>14996</v>
      </c>
      <c r="V5151" s="5" t="s">
        <v>14996</v>
      </c>
      <c r="W5151" s="5" t="s">
        <v>72</v>
      </c>
      <c r="X5151" s="5" t="s">
        <v>72</v>
      </c>
      <c r="Y5151" s="4">
        <v>264</v>
      </c>
      <c r="Z5151" s="4">
        <v>57</v>
      </c>
      <c r="AA5151" s="4">
        <v>57</v>
      </c>
      <c r="AB5151" s="4">
        <v>2</v>
      </c>
      <c r="AC5151" s="4">
        <v>2</v>
      </c>
      <c r="AD5151" s="4">
        <v>29</v>
      </c>
      <c r="AE5151" s="4">
        <v>29</v>
      </c>
      <c r="AF5151" s="4">
        <v>0</v>
      </c>
      <c r="AG5151" s="4">
        <v>0</v>
      </c>
      <c r="AH5151" s="4">
        <v>21</v>
      </c>
      <c r="AI5151" s="4">
        <v>21</v>
      </c>
      <c r="AJ5151" s="4">
        <v>11</v>
      </c>
      <c r="AK5151" s="4">
        <v>11</v>
      </c>
      <c r="AL5151" s="4">
        <v>11</v>
      </c>
      <c r="AM5151" s="4">
        <v>11</v>
      </c>
      <c r="AN5151" s="4">
        <v>0</v>
      </c>
      <c r="AO5151" s="4">
        <v>0</v>
      </c>
      <c r="AP5151" s="4">
        <v>14</v>
      </c>
      <c r="AQ5151" s="4">
        <v>14</v>
      </c>
      <c r="AR5151" s="3" t="s">
        <v>128</v>
      </c>
      <c r="AS5151" s="3" t="s">
        <v>64</v>
      </c>
      <c r="AT5151" s="3" t="s">
        <v>64</v>
      </c>
      <c r="AV5151" s="6" t="str">
        <f>HYPERLINK("http://mcgill.on.worldcat.org/oclc/62894604","Catalog Record")</f>
        <v>Catalog Record</v>
      </c>
      <c r="AW5151" s="6" t="str">
        <f>HYPERLINK("http://www.worldcat.org/oclc/62894604","WorldCat Record")</f>
        <v>WorldCat Record</v>
      </c>
      <c r="AX5151" s="3" t="s">
        <v>50176</v>
      </c>
      <c r="AY5151" s="3" t="s">
        <v>50177</v>
      </c>
      <c r="AZ5151" s="3" t="s">
        <v>50178</v>
      </c>
      <c r="BA5151" s="3" t="s">
        <v>50178</v>
      </c>
      <c r="BB5151" s="3" t="s">
        <v>50179</v>
      </c>
      <c r="BC5151" s="3" t="s">
        <v>77</v>
      </c>
      <c r="BD5151" s="3" t="s">
        <v>78</v>
      </c>
      <c r="BE5151" s="3" t="s">
        <v>50180</v>
      </c>
      <c r="BF5151" s="3" t="s">
        <v>50179</v>
      </c>
      <c r="BG5151" s="3" t="s">
        <v>50181</v>
      </c>
      <c r="BH5151">
        <f t="shared" si="162"/>
        <v>0</v>
      </c>
    </row>
    <row r="5152" spans="1:60" ht="58" x14ac:dyDescent="0.35">
      <c r="A5152" s="2" t="s">
        <v>59</v>
      </c>
      <c r="B5152" s="2" t="s">
        <v>60</v>
      </c>
      <c r="C5152" s="2" t="s">
        <v>50182</v>
      </c>
      <c r="D5152" s="2" t="s">
        <v>50183</v>
      </c>
      <c r="E5152" s="2" t="s">
        <v>50184</v>
      </c>
      <c r="G5152" s="3" t="s">
        <v>64</v>
      </c>
      <c r="I5152" s="3" t="s">
        <v>64</v>
      </c>
      <c r="J5152" s="3" t="s">
        <v>64</v>
      </c>
      <c r="K5152" s="3" t="s">
        <v>65</v>
      </c>
      <c r="M5152" s="2" t="s">
        <v>9037</v>
      </c>
      <c r="N5152" s="3" t="s">
        <v>1075</v>
      </c>
      <c r="P5152" s="3" t="s">
        <v>102</v>
      </c>
      <c r="R5152" s="3" t="s">
        <v>49178</v>
      </c>
      <c r="S5152" s="4">
        <v>7</v>
      </c>
      <c r="T5152" s="4">
        <v>7</v>
      </c>
      <c r="U5152" s="5" t="s">
        <v>8870</v>
      </c>
      <c r="V5152" s="5" t="s">
        <v>8870</v>
      </c>
      <c r="W5152" s="5" t="s">
        <v>72</v>
      </c>
      <c r="X5152" s="5" t="s">
        <v>72</v>
      </c>
      <c r="Y5152" s="4">
        <v>161</v>
      </c>
      <c r="Z5152" s="4">
        <v>10</v>
      </c>
      <c r="AA5152" s="4">
        <v>78</v>
      </c>
      <c r="AB5152" s="4">
        <v>1</v>
      </c>
      <c r="AC5152" s="4">
        <v>15</v>
      </c>
      <c r="AD5152" s="4">
        <v>27</v>
      </c>
      <c r="AE5152" s="4">
        <v>87</v>
      </c>
      <c r="AF5152" s="4">
        <v>0</v>
      </c>
      <c r="AG5152" s="4">
        <v>8</v>
      </c>
      <c r="AH5152" s="4">
        <v>25</v>
      </c>
      <c r="AI5152" s="4">
        <v>57</v>
      </c>
      <c r="AJ5152" s="4">
        <v>5</v>
      </c>
      <c r="AK5152" s="4">
        <v>17</v>
      </c>
      <c r="AL5152" s="4">
        <v>16</v>
      </c>
      <c r="AM5152" s="4">
        <v>31</v>
      </c>
      <c r="AN5152" s="4">
        <v>5</v>
      </c>
      <c r="AO5152" s="4">
        <v>5</v>
      </c>
      <c r="AP5152" s="4">
        <v>6</v>
      </c>
      <c r="AQ5152" s="4">
        <v>36</v>
      </c>
      <c r="AR5152" s="3" t="s">
        <v>64</v>
      </c>
      <c r="AS5152" s="3" t="s">
        <v>64</v>
      </c>
      <c r="AT5152" s="3" t="s">
        <v>128</v>
      </c>
      <c r="AU5152" s="6" t="str">
        <f>HYPERLINK("http://catalog.hathitrust.org/Record/102154621","HathiTrust Record")</f>
        <v>HathiTrust Record</v>
      </c>
      <c r="AV5152" s="6" t="str">
        <f>HYPERLINK("http://mcgill.on.worldcat.org/oclc/844731163","Catalog Record")</f>
        <v>Catalog Record</v>
      </c>
      <c r="AW5152" s="6" t="str">
        <f>HYPERLINK("http://www.worldcat.org/oclc/844731163","WorldCat Record")</f>
        <v>WorldCat Record</v>
      </c>
      <c r="AX5152" s="3" t="s">
        <v>50185</v>
      </c>
      <c r="AY5152" s="3" t="s">
        <v>50186</v>
      </c>
      <c r="AZ5152" s="3" t="s">
        <v>50187</v>
      </c>
      <c r="BA5152" s="3" t="s">
        <v>50187</v>
      </c>
      <c r="BB5152" s="3" t="s">
        <v>50188</v>
      </c>
      <c r="BC5152" s="3" t="s">
        <v>77</v>
      </c>
      <c r="BD5152" s="3" t="s">
        <v>165</v>
      </c>
      <c r="BE5152" s="3" t="s">
        <v>50189</v>
      </c>
      <c r="BF5152" s="3" t="s">
        <v>50188</v>
      </c>
      <c r="BG5152" s="3" t="s">
        <v>50190</v>
      </c>
      <c r="BH5152">
        <f t="shared" si="162"/>
        <v>0</v>
      </c>
    </row>
    <row r="5153" spans="1:60" ht="58" x14ac:dyDescent="0.35">
      <c r="A5153" s="2" t="s">
        <v>59</v>
      </c>
      <c r="B5153" s="2" t="s">
        <v>60</v>
      </c>
      <c r="C5153" s="2" t="s">
        <v>50191</v>
      </c>
      <c r="D5153" s="2" t="s">
        <v>50192</v>
      </c>
      <c r="E5153" s="2" t="s">
        <v>50193</v>
      </c>
      <c r="G5153" s="3" t="s">
        <v>64</v>
      </c>
      <c r="I5153" s="3" t="s">
        <v>64</v>
      </c>
      <c r="J5153" s="3" t="s">
        <v>64</v>
      </c>
      <c r="K5153" s="3" t="s">
        <v>65</v>
      </c>
      <c r="M5153" s="2" t="s">
        <v>17691</v>
      </c>
      <c r="N5153" s="3" t="s">
        <v>86</v>
      </c>
      <c r="P5153" s="3" t="s">
        <v>102</v>
      </c>
      <c r="R5153" s="3" t="s">
        <v>49178</v>
      </c>
      <c r="S5153" s="4">
        <v>2</v>
      </c>
      <c r="T5153" s="4">
        <v>2</v>
      </c>
      <c r="U5153" s="5" t="s">
        <v>19593</v>
      </c>
      <c r="V5153" s="5" t="s">
        <v>19593</v>
      </c>
      <c r="W5153" s="5" t="s">
        <v>72</v>
      </c>
      <c r="X5153" s="5" t="s">
        <v>72</v>
      </c>
      <c r="Y5153" s="4">
        <v>30</v>
      </c>
      <c r="Z5153" s="4">
        <v>2</v>
      </c>
      <c r="AA5153" s="4">
        <v>2</v>
      </c>
      <c r="AB5153" s="4">
        <v>1</v>
      </c>
      <c r="AC5153" s="4">
        <v>1</v>
      </c>
      <c r="AD5153" s="4">
        <v>3</v>
      </c>
      <c r="AE5153" s="4">
        <v>3</v>
      </c>
      <c r="AF5153" s="4">
        <v>0</v>
      </c>
      <c r="AG5153" s="4">
        <v>0</v>
      </c>
      <c r="AH5153" s="4">
        <v>2</v>
      </c>
      <c r="AI5153" s="4">
        <v>2</v>
      </c>
      <c r="AJ5153" s="4">
        <v>0</v>
      </c>
      <c r="AK5153" s="4">
        <v>0</v>
      </c>
      <c r="AL5153" s="4">
        <v>2</v>
      </c>
      <c r="AM5153" s="4">
        <v>2</v>
      </c>
      <c r="AN5153" s="4">
        <v>0</v>
      </c>
      <c r="AO5153" s="4">
        <v>0</v>
      </c>
      <c r="AP5153" s="4">
        <v>1</v>
      </c>
      <c r="AQ5153" s="4">
        <v>1</v>
      </c>
      <c r="AR5153" s="3" t="s">
        <v>64</v>
      </c>
      <c r="AS5153" s="3" t="s">
        <v>64</v>
      </c>
      <c r="AT5153" s="3" t="s">
        <v>64</v>
      </c>
      <c r="AV5153" s="6" t="str">
        <f>HYPERLINK("http://mcgill.on.worldcat.org/oclc/806494823","Catalog Record")</f>
        <v>Catalog Record</v>
      </c>
      <c r="AW5153" s="6" t="str">
        <f>HYPERLINK("http://www.worldcat.org/oclc/806494823","WorldCat Record")</f>
        <v>WorldCat Record</v>
      </c>
      <c r="AX5153" s="3" t="s">
        <v>50194</v>
      </c>
      <c r="AY5153" s="3" t="s">
        <v>50195</v>
      </c>
      <c r="AZ5153" s="3" t="s">
        <v>50196</v>
      </c>
      <c r="BA5153" s="3" t="s">
        <v>50196</v>
      </c>
      <c r="BB5153" s="3" t="s">
        <v>50197</v>
      </c>
      <c r="BC5153" s="3" t="s">
        <v>77</v>
      </c>
      <c r="BD5153" s="3" t="s">
        <v>78</v>
      </c>
      <c r="BE5153" s="3" t="s">
        <v>50198</v>
      </c>
      <c r="BF5153" s="3" t="s">
        <v>50197</v>
      </c>
      <c r="BG5153" s="3" t="s">
        <v>50199</v>
      </c>
      <c r="BH5153">
        <f t="shared" si="162"/>
        <v>0</v>
      </c>
    </row>
    <row r="5154" spans="1:60" ht="58" x14ac:dyDescent="0.35">
      <c r="A5154" s="2" t="s">
        <v>59</v>
      </c>
      <c r="B5154" s="2" t="s">
        <v>60</v>
      </c>
      <c r="C5154" s="2" t="s">
        <v>50200</v>
      </c>
      <c r="D5154" s="2" t="s">
        <v>50201</v>
      </c>
      <c r="E5154" s="2" t="s">
        <v>50202</v>
      </c>
      <c r="G5154" s="3" t="s">
        <v>64</v>
      </c>
      <c r="I5154" s="3" t="s">
        <v>64</v>
      </c>
      <c r="J5154" s="3" t="s">
        <v>64</v>
      </c>
      <c r="K5154" s="3" t="s">
        <v>65</v>
      </c>
      <c r="L5154" s="2" t="s">
        <v>50203</v>
      </c>
      <c r="M5154" s="2" t="s">
        <v>21716</v>
      </c>
      <c r="N5154" s="3" t="s">
        <v>159</v>
      </c>
      <c r="P5154" s="3" t="s">
        <v>102</v>
      </c>
      <c r="R5154" s="3" t="s">
        <v>49178</v>
      </c>
      <c r="S5154" s="4">
        <v>23</v>
      </c>
      <c r="T5154" s="4">
        <v>23</v>
      </c>
      <c r="U5154" s="5" t="s">
        <v>37506</v>
      </c>
      <c r="V5154" s="5" t="s">
        <v>37506</v>
      </c>
      <c r="W5154" s="5" t="s">
        <v>72</v>
      </c>
      <c r="X5154" s="5" t="s">
        <v>72</v>
      </c>
      <c r="Y5154" s="4">
        <v>368</v>
      </c>
      <c r="Z5154" s="4">
        <v>17</v>
      </c>
      <c r="AA5154" s="4">
        <v>31</v>
      </c>
      <c r="AB5154" s="4">
        <v>1</v>
      </c>
      <c r="AC5154" s="4">
        <v>4</v>
      </c>
      <c r="AD5154" s="4">
        <v>45</v>
      </c>
      <c r="AE5154" s="4">
        <v>66</v>
      </c>
      <c r="AF5154" s="4">
        <v>0</v>
      </c>
      <c r="AG5154" s="4">
        <v>2</v>
      </c>
      <c r="AH5154" s="4">
        <v>35</v>
      </c>
      <c r="AI5154" s="4">
        <v>51</v>
      </c>
      <c r="AJ5154" s="4">
        <v>5</v>
      </c>
      <c r="AK5154" s="4">
        <v>13</v>
      </c>
      <c r="AL5154" s="4">
        <v>18</v>
      </c>
      <c r="AM5154" s="4">
        <v>23</v>
      </c>
      <c r="AN5154" s="4">
        <v>0</v>
      </c>
      <c r="AO5154" s="4">
        <v>0</v>
      </c>
      <c r="AP5154" s="4">
        <v>10</v>
      </c>
      <c r="AQ5154" s="4">
        <v>19</v>
      </c>
      <c r="AR5154" s="3" t="s">
        <v>64</v>
      </c>
      <c r="AS5154" s="3" t="s">
        <v>64</v>
      </c>
      <c r="AT5154" s="3" t="s">
        <v>64</v>
      </c>
      <c r="AV5154" s="6" t="str">
        <f>HYPERLINK("http://mcgill.on.worldcat.org/oclc/50204131","Catalog Record")</f>
        <v>Catalog Record</v>
      </c>
      <c r="AW5154" s="6" t="str">
        <f>HYPERLINK("http://www.worldcat.org/oclc/50204131","WorldCat Record")</f>
        <v>WorldCat Record</v>
      </c>
      <c r="AX5154" s="3" t="s">
        <v>50204</v>
      </c>
      <c r="AY5154" s="3" t="s">
        <v>50205</v>
      </c>
      <c r="AZ5154" s="3" t="s">
        <v>50206</v>
      </c>
      <c r="BA5154" s="3" t="s">
        <v>50206</v>
      </c>
      <c r="BB5154" s="3" t="s">
        <v>50207</v>
      </c>
      <c r="BC5154" s="3" t="s">
        <v>77</v>
      </c>
      <c r="BD5154" s="3" t="s">
        <v>78</v>
      </c>
      <c r="BE5154" s="3" t="s">
        <v>50208</v>
      </c>
      <c r="BF5154" s="3" t="s">
        <v>50207</v>
      </c>
      <c r="BG5154" s="3" t="s">
        <v>50209</v>
      </c>
      <c r="BH5154">
        <f t="shared" si="162"/>
        <v>0</v>
      </c>
    </row>
    <row r="5155" spans="1:60" ht="58" x14ac:dyDescent="0.35">
      <c r="A5155" s="2" t="s">
        <v>59</v>
      </c>
      <c r="B5155" s="2" t="s">
        <v>60</v>
      </c>
      <c r="C5155" s="2" t="s">
        <v>50210</v>
      </c>
      <c r="D5155" s="2" t="s">
        <v>50211</v>
      </c>
      <c r="E5155" s="2" t="s">
        <v>50212</v>
      </c>
      <c r="G5155" s="3" t="s">
        <v>64</v>
      </c>
      <c r="I5155" s="3" t="s">
        <v>64</v>
      </c>
      <c r="J5155" s="3" t="s">
        <v>64</v>
      </c>
      <c r="K5155" s="3" t="s">
        <v>65</v>
      </c>
      <c r="M5155" s="2" t="s">
        <v>20846</v>
      </c>
      <c r="N5155" s="3" t="s">
        <v>326</v>
      </c>
      <c r="P5155" s="3" t="s">
        <v>102</v>
      </c>
      <c r="R5155" s="3" t="s">
        <v>49178</v>
      </c>
      <c r="S5155" s="4">
        <v>11</v>
      </c>
      <c r="T5155" s="4">
        <v>11</v>
      </c>
      <c r="U5155" s="5" t="s">
        <v>14674</v>
      </c>
      <c r="V5155" s="5" t="s">
        <v>14674</v>
      </c>
      <c r="W5155" s="5" t="s">
        <v>72</v>
      </c>
      <c r="X5155" s="5" t="s">
        <v>72</v>
      </c>
      <c r="Y5155" s="4">
        <v>170</v>
      </c>
      <c r="Z5155" s="4">
        <v>17</v>
      </c>
      <c r="AA5155" s="4">
        <v>82</v>
      </c>
      <c r="AB5155" s="4">
        <v>1</v>
      </c>
      <c r="AC5155" s="4">
        <v>14</v>
      </c>
      <c r="AD5155" s="4">
        <v>49</v>
      </c>
      <c r="AE5155" s="4">
        <v>103</v>
      </c>
      <c r="AF5155" s="4">
        <v>0</v>
      </c>
      <c r="AG5155" s="4">
        <v>8</v>
      </c>
      <c r="AH5155" s="4">
        <v>42</v>
      </c>
      <c r="AI5155" s="4">
        <v>69</v>
      </c>
      <c r="AJ5155" s="4">
        <v>13</v>
      </c>
      <c r="AK5155" s="4">
        <v>23</v>
      </c>
      <c r="AL5155" s="4">
        <v>23</v>
      </c>
      <c r="AM5155" s="4">
        <v>36</v>
      </c>
      <c r="AN5155" s="4">
        <v>0</v>
      </c>
      <c r="AO5155" s="4">
        <v>0</v>
      </c>
      <c r="AP5155" s="4">
        <v>14</v>
      </c>
      <c r="AQ5155" s="4">
        <v>43</v>
      </c>
      <c r="AR5155" s="3" t="s">
        <v>64</v>
      </c>
      <c r="AS5155" s="3" t="s">
        <v>64</v>
      </c>
      <c r="AT5155" s="3" t="s">
        <v>64</v>
      </c>
      <c r="AV5155" s="6" t="str">
        <f>HYPERLINK("http://mcgill.on.worldcat.org/oclc/755065979","Catalog Record")</f>
        <v>Catalog Record</v>
      </c>
      <c r="AW5155" s="6" t="str">
        <f>HYPERLINK("http://www.worldcat.org/oclc/755065979","WorldCat Record")</f>
        <v>WorldCat Record</v>
      </c>
      <c r="AX5155" s="3" t="s">
        <v>50213</v>
      </c>
      <c r="AY5155" s="3" t="s">
        <v>50214</v>
      </c>
      <c r="AZ5155" s="3" t="s">
        <v>50215</v>
      </c>
      <c r="BA5155" s="3" t="s">
        <v>50215</v>
      </c>
      <c r="BB5155" s="3" t="s">
        <v>50216</v>
      </c>
      <c r="BC5155" s="3" t="s">
        <v>77</v>
      </c>
      <c r="BD5155" s="3" t="s">
        <v>78</v>
      </c>
      <c r="BE5155" s="3" t="s">
        <v>50217</v>
      </c>
      <c r="BF5155" s="3" t="s">
        <v>50216</v>
      </c>
      <c r="BG5155" s="3" t="s">
        <v>50218</v>
      </c>
      <c r="BH5155">
        <f t="shared" si="162"/>
        <v>0</v>
      </c>
    </row>
    <row r="5156" spans="1:60" ht="58" x14ac:dyDescent="0.35">
      <c r="A5156" s="2" t="s">
        <v>59</v>
      </c>
      <c r="B5156" s="2" t="s">
        <v>60</v>
      </c>
      <c r="C5156" s="2" t="s">
        <v>50219</v>
      </c>
      <c r="D5156" s="2" t="s">
        <v>50220</v>
      </c>
      <c r="E5156" s="2" t="s">
        <v>50221</v>
      </c>
      <c r="G5156" s="3" t="s">
        <v>64</v>
      </c>
      <c r="I5156" s="3" t="s">
        <v>128</v>
      </c>
      <c r="J5156" s="3" t="s">
        <v>64</v>
      </c>
      <c r="K5156" s="3" t="s">
        <v>65</v>
      </c>
      <c r="L5156" s="2" t="s">
        <v>50222</v>
      </c>
      <c r="M5156" s="2" t="s">
        <v>16217</v>
      </c>
      <c r="N5156" s="3" t="s">
        <v>144</v>
      </c>
      <c r="P5156" s="3" t="s">
        <v>102</v>
      </c>
      <c r="R5156" s="3" t="s">
        <v>49178</v>
      </c>
      <c r="S5156" s="4">
        <v>3</v>
      </c>
      <c r="T5156" s="4">
        <v>25</v>
      </c>
      <c r="U5156" s="5" t="s">
        <v>22752</v>
      </c>
      <c r="V5156" s="5" t="s">
        <v>8870</v>
      </c>
      <c r="W5156" s="5" t="s">
        <v>72</v>
      </c>
      <c r="X5156" s="5" t="s">
        <v>72</v>
      </c>
      <c r="Y5156" s="4">
        <v>249</v>
      </c>
      <c r="Z5156" s="4">
        <v>17</v>
      </c>
      <c r="AA5156" s="4">
        <v>19</v>
      </c>
      <c r="AB5156" s="4">
        <v>1</v>
      </c>
      <c r="AC5156" s="4">
        <v>3</v>
      </c>
      <c r="AD5156" s="4">
        <v>63</v>
      </c>
      <c r="AE5156" s="4">
        <v>65</v>
      </c>
      <c r="AF5156" s="4">
        <v>0</v>
      </c>
      <c r="AG5156" s="4">
        <v>2</v>
      </c>
      <c r="AH5156" s="4">
        <v>56</v>
      </c>
      <c r="AI5156" s="4">
        <v>56</v>
      </c>
      <c r="AJ5156" s="4">
        <v>9</v>
      </c>
      <c r="AK5156" s="4">
        <v>11</v>
      </c>
      <c r="AL5156" s="4">
        <v>34</v>
      </c>
      <c r="AM5156" s="4">
        <v>34</v>
      </c>
      <c r="AN5156" s="4">
        <v>0</v>
      </c>
      <c r="AO5156" s="4">
        <v>0</v>
      </c>
      <c r="AP5156" s="4">
        <v>13</v>
      </c>
      <c r="AQ5156" s="4">
        <v>14</v>
      </c>
      <c r="AR5156" s="3" t="s">
        <v>64</v>
      </c>
      <c r="AS5156" s="3" t="s">
        <v>64</v>
      </c>
      <c r="AT5156" s="3" t="s">
        <v>64</v>
      </c>
      <c r="AV5156" s="6" t="str">
        <f>HYPERLINK("http://mcgill.on.worldcat.org/oclc/185026532","Catalog Record")</f>
        <v>Catalog Record</v>
      </c>
      <c r="AW5156" s="6" t="str">
        <f>HYPERLINK("http://www.worldcat.org/oclc/185026532","WorldCat Record")</f>
        <v>WorldCat Record</v>
      </c>
      <c r="AX5156" s="3" t="s">
        <v>50223</v>
      </c>
      <c r="AY5156" s="3" t="s">
        <v>50224</v>
      </c>
      <c r="AZ5156" s="3" t="s">
        <v>50225</v>
      </c>
      <c r="BA5156" s="3" t="s">
        <v>50225</v>
      </c>
      <c r="BB5156" s="3" t="s">
        <v>50226</v>
      </c>
      <c r="BC5156" s="3" t="s">
        <v>77</v>
      </c>
      <c r="BD5156" s="3" t="s">
        <v>78</v>
      </c>
      <c r="BE5156" s="3" t="s">
        <v>50227</v>
      </c>
      <c r="BF5156" s="3" t="s">
        <v>50226</v>
      </c>
      <c r="BG5156" s="3" t="s">
        <v>50228</v>
      </c>
      <c r="BH5156">
        <f t="shared" si="162"/>
        <v>0</v>
      </c>
    </row>
    <row r="5157" spans="1:60" ht="58" x14ac:dyDescent="0.35">
      <c r="A5157" s="2" t="s">
        <v>59</v>
      </c>
      <c r="B5157" s="2" t="s">
        <v>60</v>
      </c>
      <c r="C5157" s="2" t="s">
        <v>50219</v>
      </c>
      <c r="D5157" s="2" t="s">
        <v>50220</v>
      </c>
      <c r="E5157" s="2" t="s">
        <v>50221</v>
      </c>
      <c r="G5157" s="3" t="s">
        <v>64</v>
      </c>
      <c r="I5157" s="3" t="s">
        <v>128</v>
      </c>
      <c r="J5157" s="3" t="s">
        <v>64</v>
      </c>
      <c r="K5157" s="3" t="s">
        <v>65</v>
      </c>
      <c r="L5157" s="2" t="s">
        <v>50222</v>
      </c>
      <c r="M5157" s="2" t="s">
        <v>16217</v>
      </c>
      <c r="N5157" s="3" t="s">
        <v>144</v>
      </c>
      <c r="P5157" s="3" t="s">
        <v>102</v>
      </c>
      <c r="R5157" s="3" t="s">
        <v>49178</v>
      </c>
      <c r="S5157" s="4">
        <v>22</v>
      </c>
      <c r="T5157" s="4">
        <v>25</v>
      </c>
      <c r="U5157" s="5" t="s">
        <v>8870</v>
      </c>
      <c r="V5157" s="5" t="s">
        <v>8870</v>
      </c>
      <c r="W5157" s="5" t="s">
        <v>72</v>
      </c>
      <c r="X5157" s="5" t="s">
        <v>72</v>
      </c>
      <c r="Y5157" s="4">
        <v>249</v>
      </c>
      <c r="Z5157" s="4">
        <v>17</v>
      </c>
      <c r="AA5157" s="4">
        <v>19</v>
      </c>
      <c r="AB5157" s="4">
        <v>1</v>
      </c>
      <c r="AC5157" s="4">
        <v>3</v>
      </c>
      <c r="AD5157" s="4">
        <v>63</v>
      </c>
      <c r="AE5157" s="4">
        <v>65</v>
      </c>
      <c r="AF5157" s="4">
        <v>0</v>
      </c>
      <c r="AG5157" s="4">
        <v>2</v>
      </c>
      <c r="AH5157" s="4">
        <v>56</v>
      </c>
      <c r="AI5157" s="4">
        <v>56</v>
      </c>
      <c r="AJ5157" s="4">
        <v>9</v>
      </c>
      <c r="AK5157" s="4">
        <v>11</v>
      </c>
      <c r="AL5157" s="4">
        <v>34</v>
      </c>
      <c r="AM5157" s="4">
        <v>34</v>
      </c>
      <c r="AN5157" s="4">
        <v>0</v>
      </c>
      <c r="AO5157" s="4">
        <v>0</v>
      </c>
      <c r="AP5157" s="4">
        <v>13</v>
      </c>
      <c r="AQ5157" s="4">
        <v>14</v>
      </c>
      <c r="AR5157" s="3" t="s">
        <v>64</v>
      </c>
      <c r="AS5157" s="3" t="s">
        <v>64</v>
      </c>
      <c r="AT5157" s="3" t="s">
        <v>64</v>
      </c>
      <c r="AV5157" s="6" t="str">
        <f>HYPERLINK("http://mcgill.on.worldcat.org/oclc/185026532","Catalog Record")</f>
        <v>Catalog Record</v>
      </c>
      <c r="AW5157" s="6" t="str">
        <f>HYPERLINK("http://www.worldcat.org/oclc/185026532","WorldCat Record")</f>
        <v>WorldCat Record</v>
      </c>
      <c r="AX5157" s="3" t="s">
        <v>50223</v>
      </c>
      <c r="AY5157" s="3" t="s">
        <v>50224</v>
      </c>
      <c r="AZ5157" s="3" t="s">
        <v>50225</v>
      </c>
      <c r="BA5157" s="3" t="s">
        <v>50225</v>
      </c>
      <c r="BB5157" s="3" t="s">
        <v>50229</v>
      </c>
      <c r="BC5157" s="3" t="s">
        <v>77</v>
      </c>
      <c r="BD5157" s="3" t="s">
        <v>165</v>
      </c>
      <c r="BE5157" s="3" t="s">
        <v>50227</v>
      </c>
      <c r="BF5157" s="3" t="s">
        <v>50229</v>
      </c>
      <c r="BG5157" s="3" t="s">
        <v>50230</v>
      </c>
      <c r="BH5157">
        <f t="shared" si="162"/>
        <v>0</v>
      </c>
    </row>
    <row r="5158" spans="1:60" ht="58" x14ac:dyDescent="0.35">
      <c r="A5158" s="2" t="s">
        <v>59</v>
      </c>
      <c r="B5158" s="2" t="s">
        <v>60</v>
      </c>
      <c r="C5158" s="2" t="s">
        <v>50231</v>
      </c>
      <c r="D5158" s="2" t="s">
        <v>50232</v>
      </c>
      <c r="E5158" s="2" t="s">
        <v>50233</v>
      </c>
      <c r="G5158" s="3" t="s">
        <v>64</v>
      </c>
      <c r="I5158" s="3" t="s">
        <v>64</v>
      </c>
      <c r="J5158" s="3" t="s">
        <v>64</v>
      </c>
      <c r="K5158" s="3" t="s">
        <v>65</v>
      </c>
      <c r="L5158" s="2" t="s">
        <v>50234</v>
      </c>
      <c r="M5158" s="2" t="s">
        <v>15272</v>
      </c>
      <c r="N5158" s="3" t="s">
        <v>291</v>
      </c>
      <c r="P5158" s="3" t="s">
        <v>102</v>
      </c>
      <c r="Q5158" s="2" t="s">
        <v>50235</v>
      </c>
      <c r="R5158" s="3" t="s">
        <v>49178</v>
      </c>
      <c r="S5158" s="4">
        <v>1</v>
      </c>
      <c r="T5158" s="4">
        <v>1</v>
      </c>
      <c r="U5158" s="5" t="s">
        <v>37506</v>
      </c>
      <c r="V5158" s="5" t="s">
        <v>37506</v>
      </c>
      <c r="W5158" s="5" t="s">
        <v>72</v>
      </c>
      <c r="X5158" s="5" t="s">
        <v>72</v>
      </c>
      <c r="Y5158" s="4">
        <v>148</v>
      </c>
      <c r="Z5158" s="4">
        <v>20</v>
      </c>
      <c r="AA5158" s="4">
        <v>46</v>
      </c>
      <c r="AB5158" s="4">
        <v>3</v>
      </c>
      <c r="AC5158" s="4">
        <v>8</v>
      </c>
      <c r="AD5158" s="4">
        <v>41</v>
      </c>
      <c r="AE5158" s="4">
        <v>47</v>
      </c>
      <c r="AF5158" s="4">
        <v>0</v>
      </c>
      <c r="AG5158" s="4">
        <v>1</v>
      </c>
      <c r="AH5158" s="4">
        <v>38</v>
      </c>
      <c r="AI5158" s="4">
        <v>41</v>
      </c>
      <c r="AJ5158" s="4">
        <v>10</v>
      </c>
      <c r="AK5158" s="4">
        <v>11</v>
      </c>
      <c r="AL5158" s="4">
        <v>16</v>
      </c>
      <c r="AM5158" s="4">
        <v>17</v>
      </c>
      <c r="AN5158" s="4">
        <v>0</v>
      </c>
      <c r="AO5158" s="4">
        <v>0</v>
      </c>
      <c r="AP5158" s="4">
        <v>11</v>
      </c>
      <c r="AQ5158" s="4">
        <v>13</v>
      </c>
      <c r="AR5158" s="3" t="s">
        <v>64</v>
      </c>
      <c r="AS5158" s="3" t="s">
        <v>64</v>
      </c>
      <c r="AT5158" s="3" t="s">
        <v>64</v>
      </c>
      <c r="AV5158" s="6" t="str">
        <f>HYPERLINK("http://mcgill.on.worldcat.org/oclc/86109765","Catalog Record")</f>
        <v>Catalog Record</v>
      </c>
      <c r="AW5158" s="6" t="str">
        <f>HYPERLINK("http://www.worldcat.org/oclc/86109765","WorldCat Record")</f>
        <v>WorldCat Record</v>
      </c>
      <c r="AX5158" s="3" t="s">
        <v>50236</v>
      </c>
      <c r="AY5158" s="3" t="s">
        <v>50237</v>
      </c>
      <c r="AZ5158" s="3" t="s">
        <v>50238</v>
      </c>
      <c r="BA5158" s="3" t="s">
        <v>50238</v>
      </c>
      <c r="BB5158" s="3" t="s">
        <v>50239</v>
      </c>
      <c r="BC5158" s="3" t="s">
        <v>77</v>
      </c>
      <c r="BD5158" s="3" t="s">
        <v>78</v>
      </c>
      <c r="BE5158" s="3" t="s">
        <v>50240</v>
      </c>
      <c r="BF5158" s="3" t="s">
        <v>50239</v>
      </c>
      <c r="BG5158" s="3" t="s">
        <v>50241</v>
      </c>
      <c r="BH5158">
        <f t="shared" si="162"/>
        <v>0</v>
      </c>
    </row>
    <row r="5159" spans="1:60" ht="58" x14ac:dyDescent="0.35">
      <c r="A5159" s="2" t="s">
        <v>59</v>
      </c>
      <c r="B5159" s="2" t="s">
        <v>60</v>
      </c>
      <c r="C5159" s="2" t="s">
        <v>50242</v>
      </c>
      <c r="D5159" s="2" t="s">
        <v>50243</v>
      </c>
      <c r="E5159" s="2" t="s">
        <v>50244</v>
      </c>
      <c r="G5159" s="3" t="s">
        <v>64</v>
      </c>
      <c r="I5159" s="3" t="s">
        <v>64</v>
      </c>
      <c r="J5159" s="3" t="s">
        <v>64</v>
      </c>
      <c r="K5159" s="3" t="s">
        <v>65</v>
      </c>
      <c r="L5159" s="2" t="s">
        <v>50245</v>
      </c>
      <c r="M5159" s="2" t="s">
        <v>50246</v>
      </c>
      <c r="N5159" s="3" t="s">
        <v>434</v>
      </c>
      <c r="P5159" s="3" t="s">
        <v>102</v>
      </c>
      <c r="R5159" s="3" t="s">
        <v>49178</v>
      </c>
      <c r="S5159" s="4">
        <v>19</v>
      </c>
      <c r="T5159" s="4">
        <v>19</v>
      </c>
      <c r="U5159" s="5" t="s">
        <v>37506</v>
      </c>
      <c r="V5159" s="5" t="s">
        <v>37506</v>
      </c>
      <c r="W5159" s="5" t="s">
        <v>72</v>
      </c>
      <c r="X5159" s="5" t="s">
        <v>72</v>
      </c>
      <c r="Y5159" s="4">
        <v>173</v>
      </c>
      <c r="Z5159" s="4">
        <v>18</v>
      </c>
      <c r="AA5159" s="4">
        <v>19</v>
      </c>
      <c r="AB5159" s="4">
        <v>3</v>
      </c>
      <c r="AC5159" s="4">
        <v>4</v>
      </c>
      <c r="AD5159" s="4">
        <v>26</v>
      </c>
      <c r="AE5159" s="4">
        <v>27</v>
      </c>
      <c r="AF5159" s="4">
        <v>1</v>
      </c>
      <c r="AG5159" s="4">
        <v>2</v>
      </c>
      <c r="AH5159" s="4">
        <v>23</v>
      </c>
      <c r="AI5159" s="4">
        <v>23</v>
      </c>
      <c r="AJ5159" s="4">
        <v>8</v>
      </c>
      <c r="AK5159" s="4">
        <v>9</v>
      </c>
      <c r="AL5159" s="4">
        <v>7</v>
      </c>
      <c r="AM5159" s="4">
        <v>7</v>
      </c>
      <c r="AN5159" s="4">
        <v>0</v>
      </c>
      <c r="AO5159" s="4">
        <v>0</v>
      </c>
      <c r="AP5159" s="4">
        <v>10</v>
      </c>
      <c r="AQ5159" s="4">
        <v>11</v>
      </c>
      <c r="AR5159" s="3" t="s">
        <v>64</v>
      </c>
      <c r="AS5159" s="3" t="s">
        <v>64</v>
      </c>
      <c r="AT5159" s="3" t="s">
        <v>128</v>
      </c>
      <c r="AU5159" s="6" t="str">
        <f>HYPERLINK("http://catalog.hathitrust.org/Record/005953610","HathiTrust Record")</f>
        <v>HathiTrust Record</v>
      </c>
      <c r="AV5159" s="6" t="str">
        <f>HYPERLINK("http://mcgill.on.worldcat.org/oclc/57069360","Catalog Record")</f>
        <v>Catalog Record</v>
      </c>
      <c r="AW5159" s="6" t="str">
        <f>HYPERLINK("http://www.worldcat.org/oclc/57069360","WorldCat Record")</f>
        <v>WorldCat Record</v>
      </c>
      <c r="AX5159" s="3" t="s">
        <v>50247</v>
      </c>
      <c r="AY5159" s="3" t="s">
        <v>50248</v>
      </c>
      <c r="AZ5159" s="3" t="s">
        <v>50249</v>
      </c>
      <c r="BA5159" s="3" t="s">
        <v>50249</v>
      </c>
      <c r="BB5159" s="3" t="s">
        <v>50250</v>
      </c>
      <c r="BC5159" s="3" t="s">
        <v>77</v>
      </c>
      <c r="BD5159" s="3" t="s">
        <v>78</v>
      </c>
      <c r="BE5159" s="3" t="s">
        <v>50251</v>
      </c>
      <c r="BF5159" s="3" t="s">
        <v>50250</v>
      </c>
      <c r="BG5159" s="3" t="s">
        <v>50252</v>
      </c>
      <c r="BH5159">
        <f t="shared" si="162"/>
        <v>0</v>
      </c>
    </row>
    <row r="5160" spans="1:60" ht="58" x14ac:dyDescent="0.35">
      <c r="A5160" s="2" t="s">
        <v>59</v>
      </c>
      <c r="B5160" s="2" t="s">
        <v>60</v>
      </c>
      <c r="C5160" s="2" t="s">
        <v>50253</v>
      </c>
      <c r="D5160" s="2" t="s">
        <v>50254</v>
      </c>
      <c r="E5160" s="2" t="s">
        <v>50255</v>
      </c>
      <c r="G5160" s="3" t="s">
        <v>64</v>
      </c>
      <c r="I5160" s="3" t="s">
        <v>64</v>
      </c>
      <c r="J5160" s="3" t="s">
        <v>64</v>
      </c>
      <c r="K5160" s="3" t="s">
        <v>65</v>
      </c>
      <c r="L5160" s="2" t="s">
        <v>50256</v>
      </c>
      <c r="M5160" s="2" t="s">
        <v>15180</v>
      </c>
      <c r="N5160" s="3" t="s">
        <v>86</v>
      </c>
      <c r="P5160" s="3" t="s">
        <v>102</v>
      </c>
      <c r="R5160" s="3" t="s">
        <v>49178</v>
      </c>
      <c r="S5160" s="4">
        <v>4</v>
      </c>
      <c r="T5160" s="4">
        <v>4</v>
      </c>
      <c r="U5160" s="5" t="s">
        <v>14996</v>
      </c>
      <c r="V5160" s="5" t="s">
        <v>14996</v>
      </c>
      <c r="W5160" s="5" t="s">
        <v>72</v>
      </c>
      <c r="X5160" s="5" t="s">
        <v>72</v>
      </c>
      <c r="Y5160" s="4">
        <v>233</v>
      </c>
      <c r="Z5160" s="4">
        <v>15</v>
      </c>
      <c r="AA5160" s="4">
        <v>31</v>
      </c>
      <c r="AB5160" s="4">
        <v>1</v>
      </c>
      <c r="AC5160" s="4">
        <v>5</v>
      </c>
      <c r="AD5160" s="4">
        <v>35</v>
      </c>
      <c r="AE5160" s="4">
        <v>53</v>
      </c>
      <c r="AF5160" s="4">
        <v>0</v>
      </c>
      <c r="AG5160" s="4">
        <v>1</v>
      </c>
      <c r="AH5160" s="4">
        <v>33</v>
      </c>
      <c r="AI5160" s="4">
        <v>46</v>
      </c>
      <c r="AJ5160" s="4">
        <v>7</v>
      </c>
      <c r="AK5160" s="4">
        <v>10</v>
      </c>
      <c r="AL5160" s="4">
        <v>16</v>
      </c>
      <c r="AM5160" s="4">
        <v>22</v>
      </c>
      <c r="AN5160" s="4">
        <v>0</v>
      </c>
      <c r="AO5160" s="4">
        <v>0</v>
      </c>
      <c r="AP5160" s="4">
        <v>8</v>
      </c>
      <c r="AQ5160" s="4">
        <v>12</v>
      </c>
      <c r="AR5160" s="3" t="s">
        <v>64</v>
      </c>
      <c r="AS5160" s="3" t="s">
        <v>64</v>
      </c>
      <c r="AT5160" s="3" t="s">
        <v>64</v>
      </c>
      <c r="AV5160" s="6" t="str">
        <f>HYPERLINK("http://mcgill.on.worldcat.org/oclc/756576983","Catalog Record")</f>
        <v>Catalog Record</v>
      </c>
      <c r="AW5160" s="6" t="str">
        <f>HYPERLINK("http://www.worldcat.org/oclc/756576983","WorldCat Record")</f>
        <v>WorldCat Record</v>
      </c>
      <c r="AX5160" s="3" t="s">
        <v>50257</v>
      </c>
      <c r="AY5160" s="3" t="s">
        <v>50258</v>
      </c>
      <c r="AZ5160" s="3" t="s">
        <v>50259</v>
      </c>
      <c r="BA5160" s="3" t="s">
        <v>50259</v>
      </c>
      <c r="BB5160" s="3" t="s">
        <v>50260</v>
      </c>
      <c r="BC5160" s="3" t="s">
        <v>77</v>
      </c>
      <c r="BD5160" s="3" t="s">
        <v>78</v>
      </c>
      <c r="BE5160" s="3" t="s">
        <v>50261</v>
      </c>
      <c r="BF5160" s="3" t="s">
        <v>50260</v>
      </c>
      <c r="BG5160" s="3" t="s">
        <v>50262</v>
      </c>
      <c r="BH5160">
        <f t="shared" si="162"/>
        <v>0</v>
      </c>
    </row>
    <row r="5161" spans="1:60" ht="58" x14ac:dyDescent="0.35">
      <c r="A5161" s="2" t="s">
        <v>59</v>
      </c>
      <c r="B5161" s="2" t="s">
        <v>60</v>
      </c>
      <c r="C5161" s="2" t="s">
        <v>50263</v>
      </c>
      <c r="D5161" s="2" t="s">
        <v>50264</v>
      </c>
      <c r="E5161" s="2" t="s">
        <v>50265</v>
      </c>
      <c r="G5161" s="3" t="s">
        <v>64</v>
      </c>
      <c r="I5161" s="3" t="s">
        <v>64</v>
      </c>
      <c r="J5161" s="3" t="s">
        <v>64</v>
      </c>
      <c r="K5161" s="3" t="s">
        <v>65</v>
      </c>
      <c r="M5161" s="2" t="s">
        <v>16130</v>
      </c>
      <c r="N5161" s="3" t="s">
        <v>511</v>
      </c>
      <c r="P5161" s="3" t="s">
        <v>102</v>
      </c>
      <c r="R5161" s="3" t="s">
        <v>49178</v>
      </c>
      <c r="S5161" s="4">
        <v>1</v>
      </c>
      <c r="T5161" s="4">
        <v>1</v>
      </c>
      <c r="U5161" s="5" t="s">
        <v>50266</v>
      </c>
      <c r="V5161" s="5" t="s">
        <v>50266</v>
      </c>
      <c r="W5161" s="5" t="s">
        <v>72</v>
      </c>
      <c r="X5161" s="5" t="s">
        <v>72</v>
      </c>
      <c r="Y5161" s="4">
        <v>59</v>
      </c>
      <c r="Z5161" s="4">
        <v>12</v>
      </c>
      <c r="AA5161" s="4">
        <v>13</v>
      </c>
      <c r="AB5161" s="4">
        <v>1</v>
      </c>
      <c r="AC5161" s="4">
        <v>1</v>
      </c>
      <c r="AD5161" s="4">
        <v>28</v>
      </c>
      <c r="AE5161" s="4">
        <v>29</v>
      </c>
      <c r="AF5161" s="4">
        <v>0</v>
      </c>
      <c r="AG5161" s="4">
        <v>0</v>
      </c>
      <c r="AH5161" s="4">
        <v>23</v>
      </c>
      <c r="AI5161" s="4">
        <v>23</v>
      </c>
      <c r="AJ5161" s="4">
        <v>7</v>
      </c>
      <c r="AK5161" s="4">
        <v>7</v>
      </c>
      <c r="AL5161" s="4">
        <v>15</v>
      </c>
      <c r="AM5161" s="4">
        <v>15</v>
      </c>
      <c r="AN5161" s="4">
        <v>0</v>
      </c>
      <c r="AO5161" s="4">
        <v>0</v>
      </c>
      <c r="AP5161" s="4">
        <v>10</v>
      </c>
      <c r="AQ5161" s="4">
        <v>11</v>
      </c>
      <c r="AR5161" s="3" t="s">
        <v>64</v>
      </c>
      <c r="AS5161" s="3" t="s">
        <v>64</v>
      </c>
      <c r="AT5161" s="3" t="s">
        <v>64</v>
      </c>
      <c r="AV5161" s="6" t="str">
        <f>HYPERLINK("http://mcgill.on.worldcat.org/oclc/645099185","Catalog Record")</f>
        <v>Catalog Record</v>
      </c>
      <c r="AW5161" s="6" t="str">
        <f>HYPERLINK("http://www.worldcat.org/oclc/645099185","WorldCat Record")</f>
        <v>WorldCat Record</v>
      </c>
      <c r="AX5161" s="3" t="s">
        <v>50267</v>
      </c>
      <c r="AY5161" s="3" t="s">
        <v>50268</v>
      </c>
      <c r="AZ5161" s="3" t="s">
        <v>50269</v>
      </c>
      <c r="BA5161" s="3" t="s">
        <v>50269</v>
      </c>
      <c r="BB5161" s="3" t="s">
        <v>50270</v>
      </c>
      <c r="BC5161" s="3" t="s">
        <v>77</v>
      </c>
      <c r="BD5161" s="3" t="s">
        <v>78</v>
      </c>
      <c r="BE5161" s="3" t="s">
        <v>50271</v>
      </c>
      <c r="BF5161" s="3" t="s">
        <v>50270</v>
      </c>
      <c r="BG5161" s="3" t="s">
        <v>50272</v>
      </c>
      <c r="BH5161">
        <f t="shared" si="162"/>
        <v>0</v>
      </c>
    </row>
    <row r="5162" spans="1:60" ht="58" x14ac:dyDescent="0.35">
      <c r="A5162" s="2" t="s">
        <v>59</v>
      </c>
      <c r="B5162" s="2" t="s">
        <v>60</v>
      </c>
      <c r="C5162" s="2" t="s">
        <v>50273</v>
      </c>
      <c r="D5162" s="2" t="s">
        <v>50274</v>
      </c>
      <c r="E5162" s="2" t="s">
        <v>50275</v>
      </c>
      <c r="G5162" s="3" t="s">
        <v>64</v>
      </c>
      <c r="I5162" s="3" t="s">
        <v>64</v>
      </c>
      <c r="J5162" s="3" t="s">
        <v>64</v>
      </c>
      <c r="K5162" s="3" t="s">
        <v>65</v>
      </c>
      <c r="M5162" s="2" t="s">
        <v>20347</v>
      </c>
      <c r="N5162" s="3" t="s">
        <v>67</v>
      </c>
      <c r="P5162" s="3" t="s">
        <v>102</v>
      </c>
      <c r="R5162" s="3" t="s">
        <v>49178</v>
      </c>
      <c r="S5162" s="4">
        <v>2</v>
      </c>
      <c r="T5162" s="4">
        <v>2</v>
      </c>
      <c r="U5162" s="5" t="s">
        <v>2411</v>
      </c>
      <c r="V5162" s="5" t="s">
        <v>2411</v>
      </c>
      <c r="W5162" s="5" t="s">
        <v>72</v>
      </c>
      <c r="X5162" s="5" t="s">
        <v>72</v>
      </c>
      <c r="Y5162" s="4">
        <v>46</v>
      </c>
      <c r="Z5162" s="4">
        <v>4</v>
      </c>
      <c r="AA5162" s="4">
        <v>5</v>
      </c>
      <c r="AB5162" s="4">
        <v>1</v>
      </c>
      <c r="AC5162" s="4">
        <v>2</v>
      </c>
      <c r="AD5162" s="4">
        <v>13</v>
      </c>
      <c r="AE5162" s="4">
        <v>13</v>
      </c>
      <c r="AF5162" s="4">
        <v>0</v>
      </c>
      <c r="AG5162" s="4">
        <v>0</v>
      </c>
      <c r="AH5162" s="4">
        <v>11</v>
      </c>
      <c r="AI5162" s="4">
        <v>11</v>
      </c>
      <c r="AJ5162" s="4">
        <v>3</v>
      </c>
      <c r="AK5162" s="4">
        <v>3</v>
      </c>
      <c r="AL5162" s="4">
        <v>6</v>
      </c>
      <c r="AM5162" s="4">
        <v>6</v>
      </c>
      <c r="AN5162" s="4">
        <v>0</v>
      </c>
      <c r="AO5162" s="4">
        <v>0</v>
      </c>
      <c r="AP5162" s="4">
        <v>3</v>
      </c>
      <c r="AQ5162" s="4">
        <v>3</v>
      </c>
      <c r="AR5162" s="3" t="s">
        <v>64</v>
      </c>
      <c r="AS5162" s="3" t="s">
        <v>64</v>
      </c>
      <c r="AT5162" s="3" t="s">
        <v>64</v>
      </c>
      <c r="AV5162" s="6" t="str">
        <f>HYPERLINK("http://mcgill.on.worldcat.org/oclc/887860794","Catalog Record")</f>
        <v>Catalog Record</v>
      </c>
      <c r="AW5162" s="6" t="str">
        <f>HYPERLINK("http://www.worldcat.org/oclc/887860794","WorldCat Record")</f>
        <v>WorldCat Record</v>
      </c>
      <c r="AX5162" s="3" t="s">
        <v>50276</v>
      </c>
      <c r="AY5162" s="3" t="s">
        <v>50277</v>
      </c>
      <c r="AZ5162" s="3" t="s">
        <v>50278</v>
      </c>
      <c r="BA5162" s="3" t="s">
        <v>50278</v>
      </c>
      <c r="BB5162" s="3" t="s">
        <v>50279</v>
      </c>
      <c r="BC5162" s="3" t="s">
        <v>77</v>
      </c>
      <c r="BD5162" s="3" t="s">
        <v>165</v>
      </c>
      <c r="BE5162" s="3" t="s">
        <v>50280</v>
      </c>
      <c r="BF5162" s="3" t="s">
        <v>50279</v>
      </c>
      <c r="BG5162" s="3" t="s">
        <v>50281</v>
      </c>
      <c r="BH5162">
        <f t="shared" si="162"/>
        <v>0</v>
      </c>
    </row>
    <row r="5163" spans="1:60" ht="58" x14ac:dyDescent="0.35">
      <c r="A5163" s="2" t="s">
        <v>59</v>
      </c>
      <c r="B5163" s="2" t="s">
        <v>60</v>
      </c>
      <c r="C5163" s="2" t="s">
        <v>50282</v>
      </c>
      <c r="D5163" s="2" t="s">
        <v>50283</v>
      </c>
      <c r="E5163" s="2" t="s">
        <v>50284</v>
      </c>
      <c r="G5163" s="3" t="s">
        <v>64</v>
      </c>
      <c r="I5163" s="3" t="s">
        <v>64</v>
      </c>
      <c r="J5163" s="3" t="s">
        <v>64</v>
      </c>
      <c r="K5163" s="3" t="s">
        <v>65</v>
      </c>
      <c r="L5163" s="2" t="s">
        <v>50285</v>
      </c>
      <c r="M5163" s="2" t="s">
        <v>50286</v>
      </c>
      <c r="N5163" s="3" t="s">
        <v>291</v>
      </c>
      <c r="P5163" s="3" t="s">
        <v>102</v>
      </c>
      <c r="R5163" s="3" t="s">
        <v>49178</v>
      </c>
      <c r="S5163" s="4">
        <v>13</v>
      </c>
      <c r="T5163" s="4">
        <v>13</v>
      </c>
      <c r="U5163" s="5" t="s">
        <v>12344</v>
      </c>
      <c r="V5163" s="5" t="s">
        <v>12344</v>
      </c>
      <c r="W5163" s="5" t="s">
        <v>72</v>
      </c>
      <c r="X5163" s="5" t="s">
        <v>72</v>
      </c>
      <c r="Y5163" s="4">
        <v>486</v>
      </c>
      <c r="Z5163" s="4">
        <v>18</v>
      </c>
      <c r="AA5163" s="4">
        <v>27</v>
      </c>
      <c r="AB5163" s="4">
        <v>1</v>
      </c>
      <c r="AC5163" s="4">
        <v>3</v>
      </c>
      <c r="AD5163" s="4">
        <v>31</v>
      </c>
      <c r="AE5163" s="4">
        <v>43</v>
      </c>
      <c r="AF5163" s="4">
        <v>0</v>
      </c>
      <c r="AG5163" s="4">
        <v>1</v>
      </c>
      <c r="AH5163" s="4">
        <v>28</v>
      </c>
      <c r="AI5163" s="4">
        <v>37</v>
      </c>
      <c r="AJ5163" s="4">
        <v>5</v>
      </c>
      <c r="AK5163" s="4">
        <v>7</v>
      </c>
      <c r="AL5163" s="4">
        <v>11</v>
      </c>
      <c r="AM5163" s="4">
        <v>14</v>
      </c>
      <c r="AN5163" s="4">
        <v>0</v>
      </c>
      <c r="AO5163" s="4">
        <v>0</v>
      </c>
      <c r="AP5163" s="4">
        <v>8</v>
      </c>
      <c r="AQ5163" s="4">
        <v>11</v>
      </c>
      <c r="AR5163" s="3" t="s">
        <v>64</v>
      </c>
      <c r="AS5163" s="3" t="s">
        <v>64</v>
      </c>
      <c r="AT5163" s="3" t="s">
        <v>64</v>
      </c>
      <c r="AV5163" s="6" t="str">
        <f>HYPERLINK("http://mcgill.on.worldcat.org/oclc/85851454","Catalog Record")</f>
        <v>Catalog Record</v>
      </c>
      <c r="AW5163" s="6" t="str">
        <f>HYPERLINK("http://www.worldcat.org/oclc/85851454","WorldCat Record")</f>
        <v>WorldCat Record</v>
      </c>
      <c r="AX5163" s="3" t="s">
        <v>50287</v>
      </c>
      <c r="AY5163" s="3" t="s">
        <v>50288</v>
      </c>
      <c r="AZ5163" s="3" t="s">
        <v>50289</v>
      </c>
      <c r="BA5163" s="3" t="s">
        <v>50289</v>
      </c>
      <c r="BB5163" s="3" t="s">
        <v>50290</v>
      </c>
      <c r="BC5163" s="3" t="s">
        <v>77</v>
      </c>
      <c r="BD5163" s="3" t="s">
        <v>78</v>
      </c>
      <c r="BE5163" s="3" t="s">
        <v>50291</v>
      </c>
      <c r="BF5163" s="3" t="s">
        <v>50290</v>
      </c>
      <c r="BG5163" s="3" t="s">
        <v>50292</v>
      </c>
      <c r="BH5163">
        <f t="shared" si="162"/>
        <v>0</v>
      </c>
    </row>
    <row r="5164" spans="1:60" ht="58" x14ac:dyDescent="0.35">
      <c r="A5164" s="2" t="s">
        <v>59</v>
      </c>
      <c r="B5164" s="2" t="s">
        <v>60</v>
      </c>
      <c r="C5164" s="2" t="s">
        <v>50293</v>
      </c>
      <c r="D5164" s="2" t="s">
        <v>50294</v>
      </c>
      <c r="E5164" s="2" t="s">
        <v>50295</v>
      </c>
      <c r="G5164" s="3" t="s">
        <v>64</v>
      </c>
      <c r="I5164" s="3" t="s">
        <v>64</v>
      </c>
      <c r="J5164" s="3" t="s">
        <v>64</v>
      </c>
      <c r="K5164" s="3" t="s">
        <v>65</v>
      </c>
      <c r="M5164" s="2" t="s">
        <v>32132</v>
      </c>
      <c r="N5164" s="3" t="s">
        <v>86</v>
      </c>
      <c r="P5164" s="3" t="s">
        <v>102</v>
      </c>
      <c r="R5164" s="3" t="s">
        <v>49178</v>
      </c>
      <c r="S5164" s="4">
        <v>9</v>
      </c>
      <c r="T5164" s="4">
        <v>9</v>
      </c>
      <c r="U5164" s="5" t="s">
        <v>50296</v>
      </c>
      <c r="V5164" s="5" t="s">
        <v>50296</v>
      </c>
      <c r="W5164" s="5" t="s">
        <v>72</v>
      </c>
      <c r="X5164" s="5" t="s">
        <v>72</v>
      </c>
      <c r="Y5164" s="4">
        <v>125</v>
      </c>
      <c r="Z5164" s="4">
        <v>10</v>
      </c>
      <c r="AA5164" s="4">
        <v>13</v>
      </c>
      <c r="AB5164" s="4">
        <v>1</v>
      </c>
      <c r="AC5164" s="4">
        <v>4</v>
      </c>
      <c r="AD5164" s="4">
        <v>32</v>
      </c>
      <c r="AE5164" s="4">
        <v>35</v>
      </c>
      <c r="AF5164" s="4">
        <v>0</v>
      </c>
      <c r="AG5164" s="4">
        <v>3</v>
      </c>
      <c r="AH5164" s="4">
        <v>30</v>
      </c>
      <c r="AI5164" s="4">
        <v>30</v>
      </c>
      <c r="AJ5164" s="4">
        <v>6</v>
      </c>
      <c r="AK5164" s="4">
        <v>8</v>
      </c>
      <c r="AL5164" s="4">
        <v>16</v>
      </c>
      <c r="AM5164" s="4">
        <v>16</v>
      </c>
      <c r="AN5164" s="4">
        <v>0</v>
      </c>
      <c r="AO5164" s="4">
        <v>0</v>
      </c>
      <c r="AP5164" s="4">
        <v>7</v>
      </c>
      <c r="AQ5164" s="4">
        <v>9</v>
      </c>
      <c r="AR5164" s="3" t="s">
        <v>64</v>
      </c>
      <c r="AS5164" s="3" t="s">
        <v>64</v>
      </c>
      <c r="AT5164" s="3" t="s">
        <v>64</v>
      </c>
      <c r="AV5164" s="6" t="str">
        <f>HYPERLINK("http://mcgill.on.worldcat.org/oclc/751780485","Catalog Record")</f>
        <v>Catalog Record</v>
      </c>
      <c r="AW5164" s="6" t="str">
        <f>HYPERLINK("http://www.worldcat.org/oclc/751780485","WorldCat Record")</f>
        <v>WorldCat Record</v>
      </c>
      <c r="AX5164" s="3" t="s">
        <v>50297</v>
      </c>
      <c r="AY5164" s="3" t="s">
        <v>50298</v>
      </c>
      <c r="AZ5164" s="3" t="s">
        <v>50299</v>
      </c>
      <c r="BA5164" s="3" t="s">
        <v>50299</v>
      </c>
      <c r="BB5164" s="3" t="s">
        <v>50300</v>
      </c>
      <c r="BC5164" s="3" t="s">
        <v>77</v>
      </c>
      <c r="BD5164" s="3" t="s">
        <v>78</v>
      </c>
      <c r="BE5164" s="3" t="s">
        <v>50301</v>
      </c>
      <c r="BF5164" s="3" t="s">
        <v>50300</v>
      </c>
      <c r="BG5164" s="3" t="s">
        <v>50302</v>
      </c>
      <c r="BH5164">
        <f t="shared" si="162"/>
        <v>0</v>
      </c>
    </row>
    <row r="5165" spans="1:60" ht="58" x14ac:dyDescent="0.35">
      <c r="A5165" s="2" t="s">
        <v>59</v>
      </c>
      <c r="B5165" s="2" t="s">
        <v>60</v>
      </c>
      <c r="C5165" s="2" t="s">
        <v>50303</v>
      </c>
      <c r="D5165" s="2" t="s">
        <v>50304</v>
      </c>
      <c r="E5165" s="2" t="s">
        <v>50305</v>
      </c>
      <c r="G5165" s="3" t="s">
        <v>64</v>
      </c>
      <c r="I5165" s="3" t="s">
        <v>64</v>
      </c>
      <c r="J5165" s="3" t="s">
        <v>64</v>
      </c>
      <c r="K5165" s="3" t="s">
        <v>65</v>
      </c>
      <c r="M5165" s="2" t="s">
        <v>20846</v>
      </c>
      <c r="N5165" s="3" t="s">
        <v>326</v>
      </c>
      <c r="P5165" s="3" t="s">
        <v>102</v>
      </c>
      <c r="R5165" s="3" t="s">
        <v>49178</v>
      </c>
      <c r="S5165" s="4">
        <v>8</v>
      </c>
      <c r="T5165" s="4">
        <v>8</v>
      </c>
      <c r="U5165" s="5" t="s">
        <v>12344</v>
      </c>
      <c r="V5165" s="5" t="s">
        <v>12344</v>
      </c>
      <c r="W5165" s="5" t="s">
        <v>72</v>
      </c>
      <c r="X5165" s="5" t="s">
        <v>72</v>
      </c>
      <c r="Y5165" s="4">
        <v>97</v>
      </c>
      <c r="Z5165" s="4">
        <v>4</v>
      </c>
      <c r="AA5165" s="4">
        <v>30</v>
      </c>
      <c r="AB5165" s="4">
        <v>1</v>
      </c>
      <c r="AC5165" s="4">
        <v>7</v>
      </c>
      <c r="AD5165" s="4">
        <v>6</v>
      </c>
      <c r="AE5165" s="4">
        <v>78</v>
      </c>
      <c r="AF5165" s="4">
        <v>0</v>
      </c>
      <c r="AG5165" s="4">
        <v>5</v>
      </c>
      <c r="AH5165" s="4">
        <v>5</v>
      </c>
      <c r="AI5165" s="4">
        <v>65</v>
      </c>
      <c r="AJ5165" s="4">
        <v>2</v>
      </c>
      <c r="AK5165" s="4">
        <v>14</v>
      </c>
      <c r="AL5165" s="4">
        <v>3</v>
      </c>
      <c r="AM5165" s="4">
        <v>32</v>
      </c>
      <c r="AN5165" s="4">
        <v>0</v>
      </c>
      <c r="AO5165" s="4">
        <v>5</v>
      </c>
      <c r="AP5165" s="4">
        <v>2</v>
      </c>
      <c r="AQ5165" s="4">
        <v>19</v>
      </c>
      <c r="AR5165" s="3" t="s">
        <v>64</v>
      </c>
      <c r="AS5165" s="3" t="s">
        <v>64</v>
      </c>
      <c r="AT5165" s="3" t="s">
        <v>64</v>
      </c>
      <c r="AV5165" s="6" t="str">
        <f>HYPERLINK("http://mcgill.on.worldcat.org/oclc/715142974","Catalog Record")</f>
        <v>Catalog Record</v>
      </c>
      <c r="AW5165" s="6" t="str">
        <f>HYPERLINK("http://www.worldcat.org/oclc/715142974","WorldCat Record")</f>
        <v>WorldCat Record</v>
      </c>
      <c r="AX5165" s="3" t="s">
        <v>50306</v>
      </c>
      <c r="AY5165" s="3" t="s">
        <v>50307</v>
      </c>
      <c r="AZ5165" s="3" t="s">
        <v>50308</v>
      </c>
      <c r="BA5165" s="3" t="s">
        <v>50308</v>
      </c>
      <c r="BB5165" s="3" t="s">
        <v>50309</v>
      </c>
      <c r="BC5165" s="3" t="s">
        <v>77</v>
      </c>
      <c r="BD5165" s="3" t="s">
        <v>78</v>
      </c>
      <c r="BE5165" s="3" t="s">
        <v>50310</v>
      </c>
      <c r="BF5165" s="3" t="s">
        <v>50309</v>
      </c>
      <c r="BG5165" s="3" t="s">
        <v>50311</v>
      </c>
      <c r="BH5165">
        <f t="shared" si="162"/>
        <v>0</v>
      </c>
    </row>
    <row r="5166" spans="1:60" ht="58" x14ac:dyDescent="0.35">
      <c r="A5166" s="2" t="s">
        <v>59</v>
      </c>
      <c r="B5166" s="2" t="s">
        <v>60</v>
      </c>
      <c r="C5166" s="2" t="s">
        <v>50312</v>
      </c>
      <c r="D5166" s="2" t="s">
        <v>50313</v>
      </c>
      <c r="E5166" s="2" t="s">
        <v>50314</v>
      </c>
      <c r="G5166" s="3" t="s">
        <v>64</v>
      </c>
      <c r="I5166" s="3" t="s">
        <v>64</v>
      </c>
      <c r="J5166" s="3" t="s">
        <v>64</v>
      </c>
      <c r="K5166" s="3" t="s">
        <v>65</v>
      </c>
      <c r="M5166" s="2" t="s">
        <v>50315</v>
      </c>
      <c r="N5166" s="3" t="s">
        <v>171</v>
      </c>
      <c r="P5166" s="3" t="s">
        <v>102</v>
      </c>
      <c r="R5166" s="3" t="s">
        <v>49178</v>
      </c>
      <c r="S5166" s="4">
        <v>9</v>
      </c>
      <c r="T5166" s="4">
        <v>9</v>
      </c>
      <c r="U5166" s="5" t="s">
        <v>50316</v>
      </c>
      <c r="V5166" s="5" t="s">
        <v>50316</v>
      </c>
      <c r="W5166" s="5" t="s">
        <v>72</v>
      </c>
      <c r="X5166" s="5" t="s">
        <v>72</v>
      </c>
      <c r="Y5166" s="4">
        <v>488</v>
      </c>
      <c r="Z5166" s="4">
        <v>39</v>
      </c>
      <c r="AA5166" s="4">
        <v>42</v>
      </c>
      <c r="AB5166" s="4">
        <v>4</v>
      </c>
      <c r="AC5166" s="4">
        <v>7</v>
      </c>
      <c r="AD5166" s="4">
        <v>97</v>
      </c>
      <c r="AE5166" s="4">
        <v>98</v>
      </c>
      <c r="AF5166" s="4">
        <v>2</v>
      </c>
      <c r="AG5166" s="4">
        <v>3</v>
      </c>
      <c r="AH5166" s="4">
        <v>77</v>
      </c>
      <c r="AI5166" s="4">
        <v>77</v>
      </c>
      <c r="AJ5166" s="4">
        <v>18</v>
      </c>
      <c r="AK5166" s="4">
        <v>19</v>
      </c>
      <c r="AL5166" s="4">
        <v>38</v>
      </c>
      <c r="AM5166" s="4">
        <v>38</v>
      </c>
      <c r="AN5166" s="4">
        <v>0</v>
      </c>
      <c r="AO5166" s="4">
        <v>0</v>
      </c>
      <c r="AP5166" s="4">
        <v>29</v>
      </c>
      <c r="AQ5166" s="4">
        <v>30</v>
      </c>
      <c r="AR5166" s="3" t="s">
        <v>64</v>
      </c>
      <c r="AS5166" s="3" t="s">
        <v>64</v>
      </c>
      <c r="AT5166" s="3" t="s">
        <v>64</v>
      </c>
      <c r="AV5166" s="6" t="str">
        <f>HYPERLINK("http://mcgill.on.worldcat.org/oclc/70176819","Catalog Record")</f>
        <v>Catalog Record</v>
      </c>
      <c r="AW5166" s="6" t="str">
        <f>HYPERLINK("http://www.worldcat.org/oclc/70176819","WorldCat Record")</f>
        <v>WorldCat Record</v>
      </c>
      <c r="AX5166" s="3" t="s">
        <v>50317</v>
      </c>
      <c r="AY5166" s="3" t="s">
        <v>50318</v>
      </c>
      <c r="AZ5166" s="3" t="s">
        <v>50319</v>
      </c>
      <c r="BA5166" s="3" t="s">
        <v>50319</v>
      </c>
      <c r="BB5166" s="3" t="s">
        <v>50320</v>
      </c>
      <c r="BC5166" s="3" t="s">
        <v>77</v>
      </c>
      <c r="BD5166" s="3" t="s">
        <v>78</v>
      </c>
      <c r="BE5166" s="3" t="s">
        <v>50321</v>
      </c>
      <c r="BF5166" s="3" t="s">
        <v>50320</v>
      </c>
      <c r="BG5166" s="3" t="s">
        <v>50322</v>
      </c>
      <c r="BH5166">
        <f t="shared" si="162"/>
        <v>0</v>
      </c>
    </row>
    <row r="5167" spans="1:60" ht="58" x14ac:dyDescent="0.35">
      <c r="A5167" s="2" t="s">
        <v>59</v>
      </c>
      <c r="B5167" s="2" t="s">
        <v>60</v>
      </c>
      <c r="C5167" s="2" t="s">
        <v>50323</v>
      </c>
      <c r="D5167" s="2" t="s">
        <v>50324</v>
      </c>
      <c r="E5167" s="2" t="s">
        <v>50325</v>
      </c>
      <c r="G5167" s="3" t="s">
        <v>64</v>
      </c>
      <c r="I5167" s="3" t="s">
        <v>64</v>
      </c>
      <c r="J5167" s="3" t="s">
        <v>64</v>
      </c>
      <c r="K5167" s="3" t="s">
        <v>65</v>
      </c>
      <c r="M5167" s="2" t="s">
        <v>18784</v>
      </c>
      <c r="N5167" s="3" t="s">
        <v>253</v>
      </c>
      <c r="P5167" s="3" t="s">
        <v>102</v>
      </c>
      <c r="R5167" s="3" t="s">
        <v>49178</v>
      </c>
      <c r="S5167" s="4">
        <v>1</v>
      </c>
      <c r="T5167" s="4">
        <v>1</v>
      </c>
      <c r="U5167" s="5" t="s">
        <v>50326</v>
      </c>
      <c r="V5167" s="5" t="s">
        <v>50326</v>
      </c>
      <c r="W5167" s="5" t="s">
        <v>72</v>
      </c>
      <c r="X5167" s="5" t="s">
        <v>72</v>
      </c>
      <c r="Y5167" s="4">
        <v>970</v>
      </c>
      <c r="Z5167" s="4">
        <v>50</v>
      </c>
      <c r="AA5167" s="4">
        <v>64</v>
      </c>
      <c r="AB5167" s="4">
        <v>5</v>
      </c>
      <c r="AC5167" s="4">
        <v>17</v>
      </c>
      <c r="AD5167" s="4">
        <v>103</v>
      </c>
      <c r="AE5167" s="4">
        <v>115</v>
      </c>
      <c r="AF5167" s="4">
        <v>2</v>
      </c>
      <c r="AG5167" s="4">
        <v>7</v>
      </c>
      <c r="AH5167" s="4">
        <v>83</v>
      </c>
      <c r="AI5167" s="4">
        <v>90</v>
      </c>
      <c r="AJ5167" s="4">
        <v>19</v>
      </c>
      <c r="AK5167" s="4">
        <v>22</v>
      </c>
      <c r="AL5167" s="4">
        <v>43</v>
      </c>
      <c r="AM5167" s="4">
        <v>49</v>
      </c>
      <c r="AN5167" s="4">
        <v>0</v>
      </c>
      <c r="AO5167" s="4">
        <v>0</v>
      </c>
      <c r="AP5167" s="4">
        <v>28</v>
      </c>
      <c r="AQ5167" s="4">
        <v>33</v>
      </c>
      <c r="AR5167" s="3" t="s">
        <v>64</v>
      </c>
      <c r="AS5167" s="3" t="s">
        <v>64</v>
      </c>
      <c r="AT5167" s="3" t="s">
        <v>64</v>
      </c>
      <c r="AV5167" s="6" t="str">
        <f>HYPERLINK("http://mcgill.on.worldcat.org/oclc/908448271","Catalog Record")</f>
        <v>Catalog Record</v>
      </c>
      <c r="AW5167" s="6" t="str">
        <f>HYPERLINK("http://www.worldcat.org/oclc/908448271","WorldCat Record")</f>
        <v>WorldCat Record</v>
      </c>
      <c r="AX5167" s="3" t="s">
        <v>50327</v>
      </c>
      <c r="AY5167" s="3" t="s">
        <v>50328</v>
      </c>
      <c r="AZ5167" s="3" t="s">
        <v>50329</v>
      </c>
      <c r="BA5167" s="3" t="s">
        <v>50329</v>
      </c>
      <c r="BB5167" s="3" t="s">
        <v>50330</v>
      </c>
      <c r="BC5167" s="3" t="s">
        <v>77</v>
      </c>
      <c r="BD5167" s="3" t="s">
        <v>78</v>
      </c>
      <c r="BE5167" s="3" t="s">
        <v>50331</v>
      </c>
      <c r="BF5167" s="3" t="s">
        <v>50330</v>
      </c>
      <c r="BG5167" s="3" t="s">
        <v>50332</v>
      </c>
      <c r="BH5167">
        <f t="shared" si="162"/>
        <v>0</v>
      </c>
    </row>
    <row r="5168" spans="1:60" ht="58" x14ac:dyDescent="0.35">
      <c r="A5168" s="2" t="s">
        <v>59</v>
      </c>
      <c r="B5168" s="2" t="s">
        <v>60</v>
      </c>
      <c r="C5168" s="2" t="s">
        <v>50333</v>
      </c>
      <c r="D5168" s="2" t="s">
        <v>50334</v>
      </c>
      <c r="E5168" s="2" t="s">
        <v>50335</v>
      </c>
      <c r="G5168" s="3" t="s">
        <v>64</v>
      </c>
      <c r="I5168" s="3" t="s">
        <v>64</v>
      </c>
      <c r="J5168" s="3" t="s">
        <v>64</v>
      </c>
      <c r="K5168" s="3" t="s">
        <v>65</v>
      </c>
      <c r="M5168" s="2" t="s">
        <v>50336</v>
      </c>
      <c r="N5168" s="3" t="s">
        <v>291</v>
      </c>
      <c r="P5168" s="3" t="s">
        <v>102</v>
      </c>
      <c r="Q5168" s="2" t="s">
        <v>50337</v>
      </c>
      <c r="R5168" s="3" t="s">
        <v>49178</v>
      </c>
      <c r="S5168" s="4">
        <v>10</v>
      </c>
      <c r="T5168" s="4">
        <v>10</v>
      </c>
      <c r="U5168" s="5" t="s">
        <v>50338</v>
      </c>
      <c r="V5168" s="5" t="s">
        <v>50338</v>
      </c>
      <c r="W5168" s="5" t="s">
        <v>72</v>
      </c>
      <c r="X5168" s="5" t="s">
        <v>72</v>
      </c>
      <c r="Y5168" s="4">
        <v>180</v>
      </c>
      <c r="Z5168" s="4">
        <v>11</v>
      </c>
      <c r="AA5168" s="4">
        <v>24</v>
      </c>
      <c r="AB5168" s="4">
        <v>1</v>
      </c>
      <c r="AC5168" s="4">
        <v>8</v>
      </c>
      <c r="AD5168" s="4">
        <v>27</v>
      </c>
      <c r="AE5168" s="4">
        <v>38</v>
      </c>
      <c r="AF5168" s="4">
        <v>0</v>
      </c>
      <c r="AG5168" s="4">
        <v>3</v>
      </c>
      <c r="AH5168" s="4">
        <v>24</v>
      </c>
      <c r="AI5168" s="4">
        <v>31</v>
      </c>
      <c r="AJ5168" s="4">
        <v>6</v>
      </c>
      <c r="AK5168" s="4">
        <v>10</v>
      </c>
      <c r="AL5168" s="4">
        <v>13</v>
      </c>
      <c r="AM5168" s="4">
        <v>17</v>
      </c>
      <c r="AN5168" s="4">
        <v>0</v>
      </c>
      <c r="AO5168" s="4">
        <v>0</v>
      </c>
      <c r="AP5168" s="4">
        <v>8</v>
      </c>
      <c r="AQ5168" s="4">
        <v>14</v>
      </c>
      <c r="AR5168" s="3" t="s">
        <v>64</v>
      </c>
      <c r="AS5168" s="3" t="s">
        <v>64</v>
      </c>
      <c r="AT5168" s="3" t="s">
        <v>64</v>
      </c>
      <c r="AV5168" s="6" t="str">
        <f>HYPERLINK("http://mcgill.on.worldcat.org/oclc/171111764","Catalog Record")</f>
        <v>Catalog Record</v>
      </c>
      <c r="AW5168" s="6" t="str">
        <f>HYPERLINK("http://www.worldcat.org/oclc/171111764","WorldCat Record")</f>
        <v>WorldCat Record</v>
      </c>
      <c r="AX5168" s="3" t="s">
        <v>50339</v>
      </c>
      <c r="AY5168" s="3" t="s">
        <v>50340</v>
      </c>
      <c r="AZ5168" s="3" t="s">
        <v>50341</v>
      </c>
      <c r="BA5168" s="3" t="s">
        <v>50341</v>
      </c>
      <c r="BB5168" s="3" t="s">
        <v>50342</v>
      </c>
      <c r="BC5168" s="3" t="s">
        <v>77</v>
      </c>
      <c r="BD5168" s="3" t="s">
        <v>78</v>
      </c>
      <c r="BE5168" s="3" t="s">
        <v>50343</v>
      </c>
      <c r="BF5168" s="3" t="s">
        <v>50342</v>
      </c>
      <c r="BG5168" s="3" t="s">
        <v>50344</v>
      </c>
      <c r="BH5168">
        <f t="shared" si="162"/>
        <v>0</v>
      </c>
    </row>
    <row r="5169" spans="1:60" ht="58" x14ac:dyDescent="0.35">
      <c r="A5169" s="2" t="s">
        <v>59</v>
      </c>
      <c r="B5169" s="2" t="s">
        <v>60</v>
      </c>
      <c r="C5169" s="2" t="s">
        <v>50345</v>
      </c>
      <c r="D5169" s="2" t="s">
        <v>50346</v>
      </c>
      <c r="E5169" s="2" t="s">
        <v>50347</v>
      </c>
      <c r="G5169" s="3" t="s">
        <v>64</v>
      </c>
      <c r="I5169" s="3" t="s">
        <v>64</v>
      </c>
      <c r="J5169" s="3" t="s">
        <v>64</v>
      </c>
      <c r="K5169" s="3" t="s">
        <v>65</v>
      </c>
      <c r="M5169" s="2" t="s">
        <v>28486</v>
      </c>
      <c r="N5169" s="3" t="s">
        <v>537</v>
      </c>
      <c r="P5169" s="3" t="s">
        <v>102</v>
      </c>
      <c r="Q5169" s="2" t="s">
        <v>26423</v>
      </c>
      <c r="R5169" s="3" t="s">
        <v>49178</v>
      </c>
      <c r="S5169" s="4">
        <v>0</v>
      </c>
      <c r="T5169" s="4">
        <v>0</v>
      </c>
      <c r="W5169" s="5" t="s">
        <v>72</v>
      </c>
      <c r="X5169" s="5" t="s">
        <v>72</v>
      </c>
      <c r="Y5169" s="4">
        <v>217</v>
      </c>
      <c r="Z5169" s="4">
        <v>8</v>
      </c>
      <c r="AA5169" s="4">
        <v>8</v>
      </c>
      <c r="AB5169" s="4">
        <v>2</v>
      </c>
      <c r="AC5169" s="4">
        <v>2</v>
      </c>
      <c r="AD5169" s="4">
        <v>47</v>
      </c>
      <c r="AE5169" s="4">
        <v>47</v>
      </c>
      <c r="AF5169" s="4">
        <v>0</v>
      </c>
      <c r="AG5169" s="4">
        <v>0</v>
      </c>
      <c r="AH5169" s="4">
        <v>44</v>
      </c>
      <c r="AI5169" s="4">
        <v>44</v>
      </c>
      <c r="AJ5169" s="4">
        <v>3</v>
      </c>
      <c r="AK5169" s="4">
        <v>3</v>
      </c>
      <c r="AL5169" s="4">
        <v>26</v>
      </c>
      <c r="AM5169" s="4">
        <v>26</v>
      </c>
      <c r="AN5169" s="4">
        <v>0</v>
      </c>
      <c r="AO5169" s="4">
        <v>0</v>
      </c>
      <c r="AP5169" s="4">
        <v>5</v>
      </c>
      <c r="AQ5169" s="4">
        <v>5</v>
      </c>
      <c r="AR5169" s="3" t="s">
        <v>64</v>
      </c>
      <c r="AS5169" s="3" t="s">
        <v>64</v>
      </c>
      <c r="AT5169" s="3" t="s">
        <v>64</v>
      </c>
      <c r="AV5169" s="6" t="str">
        <f>HYPERLINK("http://mcgill.on.worldcat.org/oclc/953877130","Catalog Record")</f>
        <v>Catalog Record</v>
      </c>
      <c r="AW5169" s="6" t="str">
        <f>HYPERLINK("http://www.worldcat.org/oclc/953877130","WorldCat Record")</f>
        <v>WorldCat Record</v>
      </c>
      <c r="AX5169" s="3" t="s">
        <v>50348</v>
      </c>
      <c r="AY5169" s="3" t="s">
        <v>50349</v>
      </c>
      <c r="AZ5169" s="3" t="s">
        <v>50350</v>
      </c>
      <c r="BA5169" s="3" t="s">
        <v>50350</v>
      </c>
      <c r="BB5169" s="3" t="s">
        <v>50351</v>
      </c>
      <c r="BC5169" s="3" t="s">
        <v>77</v>
      </c>
      <c r="BD5169" s="3" t="s">
        <v>78</v>
      </c>
      <c r="BE5169" s="3" t="s">
        <v>50352</v>
      </c>
      <c r="BF5169" s="3" t="s">
        <v>50351</v>
      </c>
      <c r="BG5169" s="3" t="s">
        <v>50353</v>
      </c>
      <c r="BH5169">
        <f t="shared" si="162"/>
        <v>0</v>
      </c>
    </row>
    <row r="5170" spans="1:60" ht="58" x14ac:dyDescent="0.35">
      <c r="A5170" s="2" t="s">
        <v>59</v>
      </c>
      <c r="B5170" s="2" t="s">
        <v>60</v>
      </c>
      <c r="C5170" s="2" t="s">
        <v>50354</v>
      </c>
      <c r="D5170" s="2" t="s">
        <v>50355</v>
      </c>
      <c r="E5170" s="2" t="s">
        <v>50356</v>
      </c>
      <c r="G5170" s="3" t="s">
        <v>64</v>
      </c>
      <c r="I5170" s="3" t="s">
        <v>64</v>
      </c>
      <c r="J5170" s="3" t="s">
        <v>64</v>
      </c>
      <c r="K5170" s="3" t="s">
        <v>65</v>
      </c>
      <c r="L5170" s="2" t="s">
        <v>50357</v>
      </c>
      <c r="M5170" s="2" t="s">
        <v>50358</v>
      </c>
      <c r="N5170" s="3" t="s">
        <v>551</v>
      </c>
      <c r="O5170" s="2" t="s">
        <v>50359</v>
      </c>
      <c r="P5170" s="3" t="s">
        <v>102</v>
      </c>
      <c r="R5170" s="3" t="s">
        <v>49178</v>
      </c>
      <c r="S5170" s="4">
        <v>4</v>
      </c>
      <c r="T5170" s="4">
        <v>4</v>
      </c>
      <c r="U5170" s="5" t="s">
        <v>14996</v>
      </c>
      <c r="V5170" s="5" t="s">
        <v>14996</v>
      </c>
      <c r="W5170" s="5" t="s">
        <v>72</v>
      </c>
      <c r="X5170" s="5" t="s">
        <v>72</v>
      </c>
      <c r="Y5170" s="4">
        <v>19</v>
      </c>
      <c r="Z5170" s="4">
        <v>13</v>
      </c>
      <c r="AA5170" s="4">
        <v>15</v>
      </c>
      <c r="AB5170" s="4">
        <v>1</v>
      </c>
      <c r="AC5170" s="4">
        <v>1</v>
      </c>
      <c r="AD5170" s="4">
        <v>6</v>
      </c>
      <c r="AE5170" s="4">
        <v>8</v>
      </c>
      <c r="AF5170" s="4">
        <v>0</v>
      </c>
      <c r="AG5170" s="4">
        <v>0</v>
      </c>
      <c r="AH5170" s="4">
        <v>3</v>
      </c>
      <c r="AI5170" s="4">
        <v>4</v>
      </c>
      <c r="AJ5170" s="4">
        <v>5</v>
      </c>
      <c r="AK5170" s="4">
        <v>7</v>
      </c>
      <c r="AL5170" s="4">
        <v>0</v>
      </c>
      <c r="AM5170" s="4">
        <v>0</v>
      </c>
      <c r="AN5170" s="4">
        <v>0</v>
      </c>
      <c r="AO5170" s="4">
        <v>0</v>
      </c>
      <c r="AP5170" s="4">
        <v>5</v>
      </c>
      <c r="AQ5170" s="4">
        <v>7</v>
      </c>
      <c r="AR5170" s="3" t="s">
        <v>128</v>
      </c>
      <c r="AS5170" s="3" t="s">
        <v>64</v>
      </c>
      <c r="AT5170" s="3" t="s">
        <v>64</v>
      </c>
      <c r="AV5170" s="6" t="str">
        <f>HYPERLINK("http://mcgill.on.worldcat.org/oclc/298593325","Catalog Record")</f>
        <v>Catalog Record</v>
      </c>
      <c r="AW5170" s="6" t="str">
        <f>HYPERLINK("http://www.worldcat.org/oclc/298593325","WorldCat Record")</f>
        <v>WorldCat Record</v>
      </c>
      <c r="AX5170" s="3" t="s">
        <v>50360</v>
      </c>
      <c r="AY5170" s="3" t="s">
        <v>50361</v>
      </c>
      <c r="AZ5170" s="3" t="s">
        <v>50362</v>
      </c>
      <c r="BA5170" s="3" t="s">
        <v>50362</v>
      </c>
      <c r="BB5170" s="3" t="s">
        <v>50363</v>
      </c>
      <c r="BC5170" s="3" t="s">
        <v>77</v>
      </c>
      <c r="BD5170" s="3" t="s">
        <v>78</v>
      </c>
      <c r="BE5170" s="3" t="s">
        <v>50364</v>
      </c>
      <c r="BF5170" s="3" t="s">
        <v>50363</v>
      </c>
      <c r="BG5170" s="3" t="s">
        <v>50365</v>
      </c>
      <c r="BH5170">
        <f t="shared" si="162"/>
        <v>0</v>
      </c>
    </row>
    <row r="5171" spans="1:60" ht="58" x14ac:dyDescent="0.35">
      <c r="A5171" s="2" t="s">
        <v>59</v>
      </c>
      <c r="B5171" s="2" t="s">
        <v>60</v>
      </c>
      <c r="C5171" s="2" t="s">
        <v>50366</v>
      </c>
      <c r="D5171" s="2" t="s">
        <v>50367</v>
      </c>
      <c r="E5171" s="2" t="s">
        <v>50368</v>
      </c>
      <c r="G5171" s="3" t="s">
        <v>64</v>
      </c>
      <c r="I5171" s="3" t="s">
        <v>64</v>
      </c>
      <c r="J5171" s="3" t="s">
        <v>128</v>
      </c>
      <c r="K5171" s="3" t="s">
        <v>65</v>
      </c>
      <c r="L5171" s="2" t="s">
        <v>50357</v>
      </c>
      <c r="M5171" s="2" t="s">
        <v>50369</v>
      </c>
      <c r="N5171" s="3" t="s">
        <v>291</v>
      </c>
      <c r="O5171" s="2" t="s">
        <v>172</v>
      </c>
      <c r="P5171" s="3" t="s">
        <v>102</v>
      </c>
      <c r="R5171" s="3" t="s">
        <v>49178</v>
      </c>
      <c r="S5171" s="4">
        <v>6</v>
      </c>
      <c r="T5171" s="4">
        <v>6</v>
      </c>
      <c r="U5171" s="5" t="s">
        <v>14861</v>
      </c>
      <c r="V5171" s="5" t="s">
        <v>14861</v>
      </c>
      <c r="W5171" s="5" t="s">
        <v>72</v>
      </c>
      <c r="X5171" s="5" t="s">
        <v>72</v>
      </c>
      <c r="Y5171" s="4">
        <v>142</v>
      </c>
      <c r="Z5171" s="4">
        <v>10</v>
      </c>
      <c r="AA5171" s="4">
        <v>30</v>
      </c>
      <c r="AB5171" s="4">
        <v>1</v>
      </c>
      <c r="AC5171" s="4">
        <v>4</v>
      </c>
      <c r="AD5171" s="4">
        <v>22</v>
      </c>
      <c r="AE5171" s="4">
        <v>55</v>
      </c>
      <c r="AF5171" s="4">
        <v>0</v>
      </c>
      <c r="AG5171" s="4">
        <v>2</v>
      </c>
      <c r="AH5171" s="4">
        <v>19</v>
      </c>
      <c r="AI5171" s="4">
        <v>44</v>
      </c>
      <c r="AJ5171" s="4">
        <v>2</v>
      </c>
      <c r="AK5171" s="4">
        <v>11</v>
      </c>
      <c r="AL5171" s="4">
        <v>12</v>
      </c>
      <c r="AM5171" s="4">
        <v>25</v>
      </c>
      <c r="AN5171" s="4">
        <v>0</v>
      </c>
      <c r="AO5171" s="4">
        <v>0</v>
      </c>
      <c r="AP5171" s="4">
        <v>4</v>
      </c>
      <c r="AQ5171" s="4">
        <v>17</v>
      </c>
      <c r="AR5171" s="3" t="s">
        <v>64</v>
      </c>
      <c r="AS5171" s="3" t="s">
        <v>64</v>
      </c>
      <c r="AT5171" s="3" t="s">
        <v>64</v>
      </c>
      <c r="AV5171" s="6" t="str">
        <f>HYPERLINK("http://mcgill.on.worldcat.org/oclc/70865793","Catalog Record")</f>
        <v>Catalog Record</v>
      </c>
      <c r="AW5171" s="6" t="str">
        <f>HYPERLINK("http://www.worldcat.org/oclc/70865793","WorldCat Record")</f>
        <v>WorldCat Record</v>
      </c>
      <c r="AX5171" s="3" t="s">
        <v>50370</v>
      </c>
      <c r="AY5171" s="3" t="s">
        <v>50371</v>
      </c>
      <c r="AZ5171" s="3" t="s">
        <v>50372</v>
      </c>
      <c r="BA5171" s="3" t="s">
        <v>50372</v>
      </c>
      <c r="BB5171" s="3" t="s">
        <v>50373</v>
      </c>
      <c r="BC5171" s="3" t="s">
        <v>77</v>
      </c>
      <c r="BD5171" s="3" t="s">
        <v>78</v>
      </c>
      <c r="BE5171" s="3" t="s">
        <v>50374</v>
      </c>
      <c r="BF5171" s="3" t="s">
        <v>50373</v>
      </c>
      <c r="BG5171" s="3" t="s">
        <v>50375</v>
      </c>
      <c r="BH5171">
        <f t="shared" si="162"/>
        <v>0</v>
      </c>
    </row>
    <row r="5172" spans="1:60" ht="58" x14ac:dyDescent="0.35">
      <c r="A5172" s="2" t="s">
        <v>59</v>
      </c>
      <c r="B5172" s="2" t="s">
        <v>60</v>
      </c>
      <c r="C5172" s="2" t="s">
        <v>50376</v>
      </c>
      <c r="D5172" s="2" t="s">
        <v>50377</v>
      </c>
      <c r="E5172" s="2" t="s">
        <v>50368</v>
      </c>
      <c r="G5172" s="3" t="s">
        <v>64</v>
      </c>
      <c r="I5172" s="3" t="s">
        <v>64</v>
      </c>
      <c r="J5172" s="3" t="s">
        <v>128</v>
      </c>
      <c r="K5172" s="3" t="s">
        <v>65</v>
      </c>
      <c r="L5172" s="2" t="s">
        <v>50357</v>
      </c>
      <c r="M5172" s="2" t="s">
        <v>50378</v>
      </c>
      <c r="N5172" s="3" t="s">
        <v>1075</v>
      </c>
      <c r="O5172" s="2" t="s">
        <v>7660</v>
      </c>
      <c r="P5172" s="3" t="s">
        <v>102</v>
      </c>
      <c r="R5172" s="3" t="s">
        <v>49178</v>
      </c>
      <c r="S5172" s="4">
        <v>1</v>
      </c>
      <c r="T5172" s="4">
        <v>1</v>
      </c>
      <c r="U5172" s="5" t="s">
        <v>14861</v>
      </c>
      <c r="V5172" s="5" t="s">
        <v>14861</v>
      </c>
      <c r="W5172" s="5" t="s">
        <v>72</v>
      </c>
      <c r="X5172" s="5" t="s">
        <v>72</v>
      </c>
      <c r="Y5172" s="4">
        <v>97</v>
      </c>
      <c r="Z5172" s="4">
        <v>11</v>
      </c>
      <c r="AA5172" s="4">
        <v>30</v>
      </c>
      <c r="AB5172" s="4">
        <v>1</v>
      </c>
      <c r="AC5172" s="4">
        <v>4</v>
      </c>
      <c r="AD5172" s="4">
        <v>16</v>
      </c>
      <c r="AE5172" s="4">
        <v>55</v>
      </c>
      <c r="AF5172" s="4">
        <v>0</v>
      </c>
      <c r="AG5172" s="4">
        <v>2</v>
      </c>
      <c r="AH5172" s="4">
        <v>13</v>
      </c>
      <c r="AI5172" s="4">
        <v>44</v>
      </c>
      <c r="AJ5172" s="4">
        <v>6</v>
      </c>
      <c r="AK5172" s="4">
        <v>11</v>
      </c>
      <c r="AL5172" s="4">
        <v>6</v>
      </c>
      <c r="AM5172" s="4">
        <v>25</v>
      </c>
      <c r="AN5172" s="4">
        <v>0</v>
      </c>
      <c r="AO5172" s="4">
        <v>0</v>
      </c>
      <c r="AP5172" s="4">
        <v>7</v>
      </c>
      <c r="AQ5172" s="4">
        <v>17</v>
      </c>
      <c r="AR5172" s="3" t="s">
        <v>64</v>
      </c>
      <c r="AS5172" s="3" t="s">
        <v>64</v>
      </c>
      <c r="AT5172" s="3" t="s">
        <v>64</v>
      </c>
      <c r="AV5172" s="6" t="str">
        <f>HYPERLINK("http://mcgill.on.worldcat.org/oclc/773610432","Catalog Record")</f>
        <v>Catalog Record</v>
      </c>
      <c r="AW5172" s="6" t="str">
        <f>HYPERLINK("http://www.worldcat.org/oclc/773610432","WorldCat Record")</f>
        <v>WorldCat Record</v>
      </c>
      <c r="AX5172" s="3" t="s">
        <v>50370</v>
      </c>
      <c r="AY5172" s="3" t="s">
        <v>50379</v>
      </c>
      <c r="AZ5172" s="3" t="s">
        <v>50380</v>
      </c>
      <c r="BA5172" s="3" t="s">
        <v>50380</v>
      </c>
      <c r="BB5172" s="3" t="s">
        <v>50381</v>
      </c>
      <c r="BC5172" s="3" t="s">
        <v>77</v>
      </c>
      <c r="BD5172" s="3" t="s">
        <v>78</v>
      </c>
      <c r="BE5172" s="3" t="s">
        <v>50382</v>
      </c>
      <c r="BF5172" s="3" t="s">
        <v>50381</v>
      </c>
      <c r="BG5172" s="3" t="s">
        <v>50383</v>
      </c>
      <c r="BH5172">
        <f t="shared" si="162"/>
        <v>0</v>
      </c>
    </row>
    <row r="5173" spans="1:60" ht="58" x14ac:dyDescent="0.35">
      <c r="A5173" s="2" t="s">
        <v>59</v>
      </c>
      <c r="B5173" s="2" t="s">
        <v>60</v>
      </c>
      <c r="C5173" s="2" t="s">
        <v>50384</v>
      </c>
      <c r="D5173" s="2" t="s">
        <v>50385</v>
      </c>
      <c r="E5173" s="2" t="s">
        <v>50386</v>
      </c>
      <c r="G5173" s="3" t="s">
        <v>64</v>
      </c>
      <c r="I5173" s="3" t="s">
        <v>64</v>
      </c>
      <c r="J5173" s="3" t="s">
        <v>64</v>
      </c>
      <c r="K5173" s="3" t="s">
        <v>65</v>
      </c>
      <c r="M5173" s="2" t="s">
        <v>50387</v>
      </c>
      <c r="N5173" s="3" t="s">
        <v>434</v>
      </c>
      <c r="P5173" s="3" t="s">
        <v>102</v>
      </c>
      <c r="Q5173" s="2" t="s">
        <v>9205</v>
      </c>
      <c r="R5173" s="3" t="s">
        <v>49178</v>
      </c>
      <c r="S5173" s="4">
        <v>89</v>
      </c>
      <c r="T5173" s="4">
        <v>89</v>
      </c>
      <c r="U5173" s="5" t="s">
        <v>445</v>
      </c>
      <c r="V5173" s="5" t="s">
        <v>445</v>
      </c>
      <c r="W5173" s="5" t="s">
        <v>72</v>
      </c>
      <c r="X5173" s="5" t="s">
        <v>72</v>
      </c>
      <c r="Y5173" s="4">
        <v>451</v>
      </c>
      <c r="Z5173" s="4">
        <v>29</v>
      </c>
      <c r="AA5173" s="4">
        <v>31</v>
      </c>
      <c r="AB5173" s="4">
        <v>1</v>
      </c>
      <c r="AC5173" s="4">
        <v>3</v>
      </c>
      <c r="AD5173" s="4">
        <v>99</v>
      </c>
      <c r="AE5173" s="4">
        <v>101</v>
      </c>
      <c r="AF5173" s="4">
        <v>0</v>
      </c>
      <c r="AG5173" s="4">
        <v>2</v>
      </c>
      <c r="AH5173" s="4">
        <v>85</v>
      </c>
      <c r="AI5173" s="4">
        <v>86</v>
      </c>
      <c r="AJ5173" s="4">
        <v>15</v>
      </c>
      <c r="AK5173" s="4">
        <v>17</v>
      </c>
      <c r="AL5173" s="4">
        <v>46</v>
      </c>
      <c r="AM5173" s="4">
        <v>46</v>
      </c>
      <c r="AN5173" s="4">
        <v>0</v>
      </c>
      <c r="AO5173" s="4">
        <v>0</v>
      </c>
      <c r="AP5173" s="4">
        <v>22</v>
      </c>
      <c r="AQ5173" s="4">
        <v>23</v>
      </c>
      <c r="AR5173" s="3" t="s">
        <v>64</v>
      </c>
      <c r="AS5173" s="3" t="s">
        <v>64</v>
      </c>
      <c r="AT5173" s="3" t="s">
        <v>64</v>
      </c>
      <c r="AV5173" s="6" t="str">
        <f>HYPERLINK("http://mcgill.on.worldcat.org/oclc/59818630","Catalog Record")</f>
        <v>Catalog Record</v>
      </c>
      <c r="AW5173" s="6" t="str">
        <f>HYPERLINK("http://www.worldcat.org/oclc/59818630","WorldCat Record")</f>
        <v>WorldCat Record</v>
      </c>
      <c r="AX5173" s="3" t="s">
        <v>50388</v>
      </c>
      <c r="AY5173" s="3" t="s">
        <v>50389</v>
      </c>
      <c r="AZ5173" s="3" t="s">
        <v>50390</v>
      </c>
      <c r="BA5173" s="3" t="s">
        <v>50390</v>
      </c>
      <c r="BB5173" s="3" t="s">
        <v>50391</v>
      </c>
      <c r="BC5173" s="3" t="s">
        <v>77</v>
      </c>
      <c r="BD5173" s="3" t="s">
        <v>78</v>
      </c>
      <c r="BE5173" s="3" t="s">
        <v>50392</v>
      </c>
      <c r="BF5173" s="3" t="s">
        <v>50391</v>
      </c>
      <c r="BG5173" s="3" t="s">
        <v>50393</v>
      </c>
      <c r="BH5173">
        <f t="shared" si="162"/>
        <v>0</v>
      </c>
    </row>
    <row r="5174" spans="1:60" ht="58" x14ac:dyDescent="0.35">
      <c r="A5174" s="2" t="s">
        <v>59</v>
      </c>
      <c r="B5174" s="2" t="s">
        <v>60</v>
      </c>
      <c r="C5174" s="2" t="s">
        <v>50394</v>
      </c>
      <c r="D5174" s="2" t="s">
        <v>50395</v>
      </c>
      <c r="E5174" s="2" t="s">
        <v>50396</v>
      </c>
      <c r="G5174" s="3" t="s">
        <v>64</v>
      </c>
      <c r="I5174" s="3" t="s">
        <v>64</v>
      </c>
      <c r="J5174" s="3" t="s">
        <v>64</v>
      </c>
      <c r="K5174" s="3" t="s">
        <v>65</v>
      </c>
      <c r="M5174" s="2" t="s">
        <v>50397</v>
      </c>
      <c r="N5174" s="3" t="s">
        <v>1075</v>
      </c>
      <c r="P5174" s="3" t="s">
        <v>102</v>
      </c>
      <c r="R5174" s="3" t="s">
        <v>49178</v>
      </c>
      <c r="S5174" s="4">
        <v>0</v>
      </c>
      <c r="T5174" s="4">
        <v>0</v>
      </c>
      <c r="W5174" s="5" t="s">
        <v>72</v>
      </c>
      <c r="X5174" s="5" t="s">
        <v>72</v>
      </c>
      <c r="Y5174" s="4">
        <v>47</v>
      </c>
      <c r="Z5174" s="4">
        <v>6</v>
      </c>
      <c r="AA5174" s="4">
        <v>7</v>
      </c>
      <c r="AB5174" s="4">
        <v>1</v>
      </c>
      <c r="AC5174" s="4">
        <v>2</v>
      </c>
      <c r="AD5174" s="4">
        <v>14</v>
      </c>
      <c r="AE5174" s="4">
        <v>14</v>
      </c>
      <c r="AF5174" s="4">
        <v>0</v>
      </c>
      <c r="AG5174" s="4">
        <v>0</v>
      </c>
      <c r="AH5174" s="4">
        <v>11</v>
      </c>
      <c r="AI5174" s="4">
        <v>11</v>
      </c>
      <c r="AJ5174" s="4">
        <v>4</v>
      </c>
      <c r="AK5174" s="4">
        <v>4</v>
      </c>
      <c r="AL5174" s="4">
        <v>5</v>
      </c>
      <c r="AM5174" s="4">
        <v>5</v>
      </c>
      <c r="AN5174" s="4">
        <v>0</v>
      </c>
      <c r="AO5174" s="4">
        <v>0</v>
      </c>
      <c r="AP5174" s="4">
        <v>5</v>
      </c>
      <c r="AQ5174" s="4">
        <v>5</v>
      </c>
      <c r="AR5174" s="3" t="s">
        <v>64</v>
      </c>
      <c r="AS5174" s="3" t="s">
        <v>64</v>
      </c>
      <c r="AT5174" s="3" t="s">
        <v>64</v>
      </c>
      <c r="AV5174" s="6" t="str">
        <f>HYPERLINK("http://mcgill.on.worldcat.org/oclc/856054961","Catalog Record")</f>
        <v>Catalog Record</v>
      </c>
      <c r="AW5174" s="6" t="str">
        <f>HYPERLINK("http://www.worldcat.org/oclc/856054961","WorldCat Record")</f>
        <v>WorldCat Record</v>
      </c>
      <c r="AX5174" s="3" t="s">
        <v>50398</v>
      </c>
      <c r="AY5174" s="3" t="s">
        <v>50399</v>
      </c>
      <c r="AZ5174" s="3" t="s">
        <v>50400</v>
      </c>
      <c r="BA5174" s="3" t="s">
        <v>50400</v>
      </c>
      <c r="BB5174" s="3" t="s">
        <v>50401</v>
      </c>
      <c r="BC5174" s="3" t="s">
        <v>77</v>
      </c>
      <c r="BD5174" s="3" t="s">
        <v>78</v>
      </c>
      <c r="BE5174" s="3" t="s">
        <v>50402</v>
      </c>
      <c r="BF5174" s="3" t="s">
        <v>50401</v>
      </c>
      <c r="BG5174" s="3" t="s">
        <v>50403</v>
      </c>
      <c r="BH5174">
        <f t="shared" si="162"/>
        <v>0</v>
      </c>
    </row>
    <row r="5175" spans="1:60" ht="58" x14ac:dyDescent="0.35">
      <c r="A5175" s="2" t="s">
        <v>59</v>
      </c>
      <c r="B5175" s="2" t="s">
        <v>60</v>
      </c>
      <c r="C5175" s="2" t="s">
        <v>50404</v>
      </c>
      <c r="D5175" s="2" t="s">
        <v>50405</v>
      </c>
      <c r="E5175" s="2" t="s">
        <v>50406</v>
      </c>
      <c r="G5175" s="3" t="s">
        <v>64</v>
      </c>
      <c r="I5175" s="3" t="s">
        <v>64</v>
      </c>
      <c r="J5175" s="3" t="s">
        <v>64</v>
      </c>
      <c r="K5175" s="3" t="s">
        <v>65</v>
      </c>
      <c r="L5175" s="2" t="s">
        <v>50407</v>
      </c>
      <c r="M5175" s="2" t="s">
        <v>50408</v>
      </c>
      <c r="N5175" s="3" t="s">
        <v>253</v>
      </c>
      <c r="P5175" s="3" t="s">
        <v>102</v>
      </c>
      <c r="R5175" s="3" t="s">
        <v>49178</v>
      </c>
      <c r="S5175" s="4">
        <v>2</v>
      </c>
      <c r="T5175" s="4">
        <v>2</v>
      </c>
      <c r="U5175" s="5" t="s">
        <v>9183</v>
      </c>
      <c r="V5175" s="5" t="s">
        <v>9183</v>
      </c>
      <c r="W5175" s="5" t="s">
        <v>72</v>
      </c>
      <c r="X5175" s="5" t="s">
        <v>72</v>
      </c>
      <c r="Y5175" s="4">
        <v>648</v>
      </c>
      <c r="Z5175" s="4">
        <v>26</v>
      </c>
      <c r="AA5175" s="4">
        <v>29</v>
      </c>
      <c r="AB5175" s="4">
        <v>1</v>
      </c>
      <c r="AC5175" s="4">
        <v>3</v>
      </c>
      <c r="AD5175" s="4">
        <v>57</v>
      </c>
      <c r="AE5175" s="4">
        <v>60</v>
      </c>
      <c r="AF5175" s="4">
        <v>0</v>
      </c>
      <c r="AG5175" s="4">
        <v>1</v>
      </c>
      <c r="AH5175" s="4">
        <v>50</v>
      </c>
      <c r="AI5175" s="4">
        <v>51</v>
      </c>
      <c r="AJ5175" s="4">
        <v>10</v>
      </c>
      <c r="AK5175" s="4">
        <v>11</v>
      </c>
      <c r="AL5175" s="4">
        <v>28</v>
      </c>
      <c r="AM5175" s="4">
        <v>28</v>
      </c>
      <c r="AN5175" s="4">
        <v>0</v>
      </c>
      <c r="AO5175" s="4">
        <v>0</v>
      </c>
      <c r="AP5175" s="4">
        <v>13</v>
      </c>
      <c r="AQ5175" s="4">
        <v>14</v>
      </c>
      <c r="AR5175" s="3" t="s">
        <v>64</v>
      </c>
      <c r="AS5175" s="3" t="s">
        <v>64</v>
      </c>
      <c r="AT5175" s="3" t="s">
        <v>64</v>
      </c>
      <c r="AV5175" s="6" t="str">
        <f>HYPERLINK("http://mcgill.on.worldcat.org/oclc/900333000","Catalog Record")</f>
        <v>Catalog Record</v>
      </c>
      <c r="AW5175" s="6" t="str">
        <f>HYPERLINK("http://www.worldcat.org/oclc/900333000","WorldCat Record")</f>
        <v>WorldCat Record</v>
      </c>
      <c r="AX5175" s="3" t="s">
        <v>50409</v>
      </c>
      <c r="AY5175" s="3" t="s">
        <v>50410</v>
      </c>
      <c r="AZ5175" s="3" t="s">
        <v>50411</v>
      </c>
      <c r="BA5175" s="3" t="s">
        <v>50411</v>
      </c>
      <c r="BB5175" s="3" t="s">
        <v>50412</v>
      </c>
      <c r="BC5175" s="3" t="s">
        <v>77</v>
      </c>
      <c r="BD5175" s="3" t="s">
        <v>78</v>
      </c>
      <c r="BE5175" s="3" t="s">
        <v>50413</v>
      </c>
      <c r="BF5175" s="3" t="s">
        <v>50412</v>
      </c>
      <c r="BG5175" s="3" t="s">
        <v>50414</v>
      </c>
      <c r="BH5175">
        <f t="shared" si="162"/>
        <v>0</v>
      </c>
    </row>
    <row r="5176" spans="1:60" ht="58" x14ac:dyDescent="0.35">
      <c r="A5176" s="2" t="s">
        <v>59</v>
      </c>
      <c r="B5176" s="2" t="s">
        <v>60</v>
      </c>
      <c r="C5176" s="2" t="s">
        <v>50415</v>
      </c>
      <c r="D5176" s="2" t="s">
        <v>50416</v>
      </c>
      <c r="E5176" s="2" t="s">
        <v>50417</v>
      </c>
      <c r="G5176" s="3" t="s">
        <v>64</v>
      </c>
      <c r="I5176" s="3" t="s">
        <v>64</v>
      </c>
      <c r="J5176" s="3" t="s">
        <v>64</v>
      </c>
      <c r="K5176" s="3" t="s">
        <v>65</v>
      </c>
      <c r="L5176" s="2" t="s">
        <v>50418</v>
      </c>
      <c r="M5176" s="2" t="s">
        <v>16814</v>
      </c>
      <c r="N5176" s="3" t="s">
        <v>326</v>
      </c>
      <c r="P5176" s="3" t="s">
        <v>102</v>
      </c>
      <c r="R5176" s="3" t="s">
        <v>49178</v>
      </c>
      <c r="S5176" s="4">
        <v>7</v>
      </c>
      <c r="T5176" s="4">
        <v>7</v>
      </c>
      <c r="U5176" s="5" t="s">
        <v>50419</v>
      </c>
      <c r="V5176" s="5" t="s">
        <v>50419</v>
      </c>
      <c r="W5176" s="5" t="s">
        <v>72</v>
      </c>
      <c r="X5176" s="5" t="s">
        <v>72</v>
      </c>
      <c r="Y5176" s="4">
        <v>322</v>
      </c>
      <c r="Z5176" s="4">
        <v>10</v>
      </c>
      <c r="AA5176" s="4">
        <v>21</v>
      </c>
      <c r="AB5176" s="4">
        <v>1</v>
      </c>
      <c r="AC5176" s="4">
        <v>7</v>
      </c>
      <c r="AD5176" s="4">
        <v>35</v>
      </c>
      <c r="AE5176" s="4">
        <v>56</v>
      </c>
      <c r="AF5176" s="4">
        <v>0</v>
      </c>
      <c r="AG5176" s="4">
        <v>3</v>
      </c>
      <c r="AH5176" s="4">
        <v>33</v>
      </c>
      <c r="AI5176" s="4">
        <v>51</v>
      </c>
      <c r="AJ5176" s="4">
        <v>4</v>
      </c>
      <c r="AK5176" s="4">
        <v>11</v>
      </c>
      <c r="AL5176" s="4">
        <v>16</v>
      </c>
      <c r="AM5176" s="4">
        <v>22</v>
      </c>
      <c r="AN5176" s="4">
        <v>0</v>
      </c>
      <c r="AO5176" s="4">
        <v>0</v>
      </c>
      <c r="AP5176" s="4">
        <v>6</v>
      </c>
      <c r="AQ5176" s="4">
        <v>12</v>
      </c>
      <c r="AR5176" s="3" t="s">
        <v>64</v>
      </c>
      <c r="AS5176" s="3" t="s">
        <v>64</v>
      </c>
      <c r="AT5176" s="3" t="s">
        <v>64</v>
      </c>
      <c r="AV5176" s="6" t="str">
        <f>HYPERLINK("http://mcgill.on.worldcat.org/oclc/712115048","Catalog Record")</f>
        <v>Catalog Record</v>
      </c>
      <c r="AW5176" s="6" t="str">
        <f>HYPERLINK("http://www.worldcat.org/oclc/712115048","WorldCat Record")</f>
        <v>WorldCat Record</v>
      </c>
      <c r="AX5176" s="3" t="s">
        <v>50420</v>
      </c>
      <c r="AY5176" s="3" t="s">
        <v>50421</v>
      </c>
      <c r="AZ5176" s="3" t="s">
        <v>50422</v>
      </c>
      <c r="BA5176" s="3" t="s">
        <v>50422</v>
      </c>
      <c r="BB5176" s="3" t="s">
        <v>50423</v>
      </c>
      <c r="BC5176" s="3" t="s">
        <v>77</v>
      </c>
      <c r="BD5176" s="3" t="s">
        <v>78</v>
      </c>
      <c r="BE5176" s="3" t="s">
        <v>50424</v>
      </c>
      <c r="BF5176" s="3" t="s">
        <v>50423</v>
      </c>
      <c r="BG5176" s="3" t="s">
        <v>50425</v>
      </c>
      <c r="BH5176">
        <f t="shared" si="162"/>
        <v>0</v>
      </c>
    </row>
    <row r="5177" spans="1:60" ht="58" x14ac:dyDescent="0.35">
      <c r="A5177" s="2" t="s">
        <v>59</v>
      </c>
      <c r="B5177" s="2" t="s">
        <v>60</v>
      </c>
      <c r="C5177" s="2" t="s">
        <v>50426</v>
      </c>
      <c r="D5177" s="2" t="s">
        <v>50427</v>
      </c>
      <c r="E5177" s="2" t="s">
        <v>50428</v>
      </c>
      <c r="G5177" s="3" t="s">
        <v>64</v>
      </c>
      <c r="I5177" s="3" t="s">
        <v>64</v>
      </c>
      <c r="J5177" s="3" t="s">
        <v>64</v>
      </c>
      <c r="K5177" s="3" t="s">
        <v>65</v>
      </c>
      <c r="L5177" s="2" t="s">
        <v>50429</v>
      </c>
      <c r="M5177" s="2" t="s">
        <v>15765</v>
      </c>
      <c r="N5177" s="3" t="s">
        <v>326</v>
      </c>
      <c r="P5177" s="3" t="s">
        <v>102</v>
      </c>
      <c r="Q5177" s="2" t="s">
        <v>8981</v>
      </c>
      <c r="R5177" s="3" t="s">
        <v>49178</v>
      </c>
      <c r="S5177" s="4">
        <v>6</v>
      </c>
      <c r="T5177" s="4">
        <v>6</v>
      </c>
      <c r="U5177" s="5" t="s">
        <v>26202</v>
      </c>
      <c r="V5177" s="5" t="s">
        <v>26202</v>
      </c>
      <c r="W5177" s="5" t="s">
        <v>72</v>
      </c>
      <c r="X5177" s="5" t="s">
        <v>72</v>
      </c>
      <c r="Y5177" s="4">
        <v>146</v>
      </c>
      <c r="Z5177" s="4">
        <v>15</v>
      </c>
      <c r="AA5177" s="4">
        <v>29</v>
      </c>
      <c r="AB5177" s="4">
        <v>2</v>
      </c>
      <c r="AC5177" s="4">
        <v>8</v>
      </c>
      <c r="AD5177" s="4">
        <v>32</v>
      </c>
      <c r="AE5177" s="4">
        <v>58</v>
      </c>
      <c r="AF5177" s="4">
        <v>1</v>
      </c>
      <c r="AG5177" s="4">
        <v>4</v>
      </c>
      <c r="AH5177" s="4">
        <v>27</v>
      </c>
      <c r="AI5177" s="4">
        <v>47</v>
      </c>
      <c r="AJ5177" s="4">
        <v>9</v>
      </c>
      <c r="AK5177" s="4">
        <v>13</v>
      </c>
      <c r="AL5177" s="4">
        <v>13</v>
      </c>
      <c r="AM5177" s="4">
        <v>23</v>
      </c>
      <c r="AN5177" s="4">
        <v>0</v>
      </c>
      <c r="AO5177" s="4">
        <v>0</v>
      </c>
      <c r="AP5177" s="4">
        <v>11</v>
      </c>
      <c r="AQ5177" s="4">
        <v>16</v>
      </c>
      <c r="AR5177" s="3" t="s">
        <v>64</v>
      </c>
      <c r="AS5177" s="3" t="s">
        <v>64</v>
      </c>
      <c r="AT5177" s="3" t="s">
        <v>64</v>
      </c>
      <c r="AV5177" s="6" t="str">
        <f>HYPERLINK("http://mcgill.on.worldcat.org/oclc/701799172","Catalog Record")</f>
        <v>Catalog Record</v>
      </c>
      <c r="AW5177" s="6" t="str">
        <f>HYPERLINK("http://www.worldcat.org/oclc/701799172","WorldCat Record")</f>
        <v>WorldCat Record</v>
      </c>
      <c r="AX5177" s="3" t="s">
        <v>50430</v>
      </c>
      <c r="AY5177" s="3" t="s">
        <v>50431</v>
      </c>
      <c r="AZ5177" s="3" t="s">
        <v>50432</v>
      </c>
      <c r="BA5177" s="3" t="s">
        <v>50432</v>
      </c>
      <c r="BB5177" s="3" t="s">
        <v>50433</v>
      </c>
      <c r="BC5177" s="3" t="s">
        <v>77</v>
      </c>
      <c r="BD5177" s="3" t="s">
        <v>78</v>
      </c>
      <c r="BE5177" s="3" t="s">
        <v>50434</v>
      </c>
      <c r="BF5177" s="3" t="s">
        <v>50433</v>
      </c>
      <c r="BG5177" s="3" t="s">
        <v>50435</v>
      </c>
      <c r="BH5177">
        <f t="shared" si="162"/>
        <v>0</v>
      </c>
    </row>
    <row r="5178" spans="1:60" ht="58" x14ac:dyDescent="0.35">
      <c r="A5178" s="2" t="s">
        <v>59</v>
      </c>
      <c r="B5178" s="2" t="s">
        <v>60</v>
      </c>
      <c r="C5178" s="2" t="s">
        <v>50436</v>
      </c>
      <c r="D5178" s="2" t="s">
        <v>50437</v>
      </c>
      <c r="E5178" s="2" t="s">
        <v>50438</v>
      </c>
      <c r="G5178" s="3" t="s">
        <v>64</v>
      </c>
      <c r="I5178" s="3" t="s">
        <v>64</v>
      </c>
      <c r="J5178" s="3" t="s">
        <v>64</v>
      </c>
      <c r="K5178" s="3" t="s">
        <v>65</v>
      </c>
      <c r="L5178" s="2" t="s">
        <v>50439</v>
      </c>
      <c r="M5178" s="2" t="s">
        <v>13931</v>
      </c>
      <c r="N5178" s="3" t="s">
        <v>144</v>
      </c>
      <c r="P5178" s="3" t="s">
        <v>102</v>
      </c>
      <c r="R5178" s="3" t="s">
        <v>49178</v>
      </c>
      <c r="S5178" s="4">
        <v>9</v>
      </c>
      <c r="T5178" s="4">
        <v>9</v>
      </c>
      <c r="U5178" s="5" t="s">
        <v>50440</v>
      </c>
      <c r="V5178" s="5" t="s">
        <v>50440</v>
      </c>
      <c r="W5178" s="5" t="s">
        <v>72</v>
      </c>
      <c r="X5178" s="5" t="s">
        <v>72</v>
      </c>
      <c r="Y5178" s="4">
        <v>435</v>
      </c>
      <c r="Z5178" s="4">
        <v>27</v>
      </c>
      <c r="AA5178" s="4">
        <v>56</v>
      </c>
      <c r="AB5178" s="4">
        <v>2</v>
      </c>
      <c r="AC5178" s="4">
        <v>8</v>
      </c>
      <c r="AD5178" s="4">
        <v>74</v>
      </c>
      <c r="AE5178" s="4">
        <v>84</v>
      </c>
      <c r="AF5178" s="4">
        <v>1</v>
      </c>
      <c r="AG5178" s="4">
        <v>2</v>
      </c>
      <c r="AH5178" s="4">
        <v>64</v>
      </c>
      <c r="AI5178" s="4">
        <v>70</v>
      </c>
      <c r="AJ5178" s="4">
        <v>16</v>
      </c>
      <c r="AK5178" s="4">
        <v>17</v>
      </c>
      <c r="AL5178" s="4">
        <v>31</v>
      </c>
      <c r="AM5178" s="4">
        <v>33</v>
      </c>
      <c r="AN5178" s="4">
        <v>0</v>
      </c>
      <c r="AO5178" s="4">
        <v>0</v>
      </c>
      <c r="AP5178" s="4">
        <v>20</v>
      </c>
      <c r="AQ5178" s="4">
        <v>23</v>
      </c>
      <c r="AR5178" s="3" t="s">
        <v>64</v>
      </c>
      <c r="AS5178" s="3" t="s">
        <v>64</v>
      </c>
      <c r="AT5178" s="3" t="s">
        <v>128</v>
      </c>
      <c r="AU5178" s="6" t="str">
        <f>HYPERLINK("http://catalog.hathitrust.org/Record/005839259","HathiTrust Record")</f>
        <v>HathiTrust Record</v>
      </c>
      <c r="AV5178" s="6" t="str">
        <f>HYPERLINK("http://mcgill.on.worldcat.org/oclc/191846886","Catalog Record")</f>
        <v>Catalog Record</v>
      </c>
      <c r="AW5178" s="6" t="str">
        <f>HYPERLINK("http://www.worldcat.org/oclc/191846886","WorldCat Record")</f>
        <v>WorldCat Record</v>
      </c>
      <c r="AX5178" s="3" t="s">
        <v>50441</v>
      </c>
      <c r="AY5178" s="3" t="s">
        <v>50442</v>
      </c>
      <c r="AZ5178" s="3" t="s">
        <v>50443</v>
      </c>
      <c r="BA5178" s="3" t="s">
        <v>50443</v>
      </c>
      <c r="BB5178" s="3" t="s">
        <v>50444</v>
      </c>
      <c r="BC5178" s="3" t="s">
        <v>77</v>
      </c>
      <c r="BD5178" s="3" t="s">
        <v>78</v>
      </c>
      <c r="BE5178" s="3" t="s">
        <v>50445</v>
      </c>
      <c r="BF5178" s="3" t="s">
        <v>50444</v>
      </c>
      <c r="BG5178" s="3" t="s">
        <v>50446</v>
      </c>
      <c r="BH5178">
        <f t="shared" si="162"/>
        <v>0</v>
      </c>
    </row>
    <row r="5179" spans="1:60" ht="58" x14ac:dyDescent="0.35">
      <c r="A5179" s="2" t="s">
        <v>1040</v>
      </c>
      <c r="B5179" s="2" t="s">
        <v>60</v>
      </c>
      <c r="C5179" s="2" t="s">
        <v>50447</v>
      </c>
      <c r="D5179" s="2" t="s">
        <v>50448</v>
      </c>
      <c r="E5179" s="2" t="s">
        <v>50449</v>
      </c>
      <c r="G5179" s="3" t="s">
        <v>64</v>
      </c>
      <c r="I5179" s="3" t="s">
        <v>64</v>
      </c>
      <c r="J5179" s="3" t="s">
        <v>64</v>
      </c>
      <c r="K5179" s="3" t="s">
        <v>65</v>
      </c>
      <c r="L5179" s="2" t="s">
        <v>50450</v>
      </c>
      <c r="M5179" s="2" t="s">
        <v>50451</v>
      </c>
      <c r="N5179" s="3" t="s">
        <v>511</v>
      </c>
      <c r="P5179" s="3" t="s">
        <v>102</v>
      </c>
      <c r="Q5179" s="2" t="s">
        <v>25601</v>
      </c>
      <c r="R5179" s="3" t="s">
        <v>49178</v>
      </c>
      <c r="S5179" s="4">
        <v>7</v>
      </c>
      <c r="T5179" s="4">
        <v>7</v>
      </c>
      <c r="U5179" s="5" t="s">
        <v>50452</v>
      </c>
      <c r="V5179" s="5" t="s">
        <v>50452</v>
      </c>
      <c r="W5179" s="5" t="s">
        <v>72</v>
      </c>
      <c r="X5179" s="5" t="s">
        <v>72</v>
      </c>
      <c r="Y5179" s="4">
        <v>194</v>
      </c>
      <c r="Z5179" s="4">
        <v>17</v>
      </c>
      <c r="AA5179" s="4">
        <v>101</v>
      </c>
      <c r="AB5179" s="4">
        <v>2</v>
      </c>
      <c r="AC5179" s="4">
        <v>18</v>
      </c>
      <c r="AD5179" s="4">
        <v>62</v>
      </c>
      <c r="AE5179" s="4">
        <v>125</v>
      </c>
      <c r="AF5179" s="4">
        <v>0</v>
      </c>
      <c r="AG5179" s="4">
        <v>8</v>
      </c>
      <c r="AH5179" s="4">
        <v>56</v>
      </c>
      <c r="AI5179" s="4">
        <v>84</v>
      </c>
      <c r="AJ5179" s="4">
        <v>9</v>
      </c>
      <c r="AK5179" s="4">
        <v>21</v>
      </c>
      <c r="AL5179" s="4">
        <v>31</v>
      </c>
      <c r="AM5179" s="4">
        <v>44</v>
      </c>
      <c r="AN5179" s="4">
        <v>0</v>
      </c>
      <c r="AO5179" s="4">
        <v>0</v>
      </c>
      <c r="AP5179" s="4">
        <v>12</v>
      </c>
      <c r="AQ5179" s="4">
        <v>47</v>
      </c>
      <c r="AR5179" s="3" t="s">
        <v>64</v>
      </c>
      <c r="AS5179" s="3" t="s">
        <v>64</v>
      </c>
      <c r="AT5179" s="3" t="s">
        <v>64</v>
      </c>
      <c r="AV5179" s="6" t="str">
        <f>HYPERLINK("http://mcgill.on.worldcat.org/oclc/317777892","Catalog Record")</f>
        <v>Catalog Record</v>
      </c>
      <c r="AW5179" s="6" t="str">
        <f>HYPERLINK("http://www.worldcat.org/oclc/317777892","WorldCat Record")</f>
        <v>WorldCat Record</v>
      </c>
      <c r="AX5179" s="3" t="s">
        <v>50453</v>
      </c>
      <c r="AY5179" s="3" t="s">
        <v>50454</v>
      </c>
      <c r="AZ5179" s="3" t="s">
        <v>50455</v>
      </c>
      <c r="BA5179" s="3" t="s">
        <v>50455</v>
      </c>
      <c r="BB5179" s="3" t="s">
        <v>50456</v>
      </c>
      <c r="BC5179" s="3" t="s">
        <v>77</v>
      </c>
      <c r="BD5179" s="3" t="s">
        <v>78</v>
      </c>
      <c r="BE5179" s="3" t="s">
        <v>50457</v>
      </c>
      <c r="BF5179" s="3" t="s">
        <v>50456</v>
      </c>
      <c r="BG5179" s="3" t="s">
        <v>50458</v>
      </c>
      <c r="BH5179">
        <f t="shared" si="162"/>
        <v>0</v>
      </c>
    </row>
    <row r="5180" spans="1:60" ht="58" x14ac:dyDescent="0.35">
      <c r="A5180" s="2" t="s">
        <v>59</v>
      </c>
      <c r="B5180" s="2" t="s">
        <v>60</v>
      </c>
      <c r="C5180" s="2" t="s">
        <v>50459</v>
      </c>
      <c r="D5180" s="2" t="s">
        <v>50460</v>
      </c>
      <c r="E5180" s="2" t="s">
        <v>50461</v>
      </c>
      <c r="G5180" s="3" t="s">
        <v>64</v>
      </c>
      <c r="I5180" s="3" t="s">
        <v>64</v>
      </c>
      <c r="J5180" s="3" t="s">
        <v>64</v>
      </c>
      <c r="K5180" s="3" t="s">
        <v>65</v>
      </c>
      <c r="L5180" s="2" t="s">
        <v>50462</v>
      </c>
      <c r="M5180" s="2" t="s">
        <v>50463</v>
      </c>
      <c r="N5180" s="3" t="s">
        <v>578</v>
      </c>
      <c r="P5180" s="3" t="s">
        <v>102</v>
      </c>
      <c r="Q5180" s="2" t="s">
        <v>50464</v>
      </c>
      <c r="R5180" s="3" t="s">
        <v>49178</v>
      </c>
      <c r="S5180" s="4">
        <v>0</v>
      </c>
      <c r="T5180" s="4">
        <v>0</v>
      </c>
      <c r="W5180" s="5" t="s">
        <v>72</v>
      </c>
      <c r="X5180" s="5" t="s">
        <v>72</v>
      </c>
      <c r="Y5180" s="4">
        <v>80</v>
      </c>
      <c r="Z5180" s="4">
        <v>6</v>
      </c>
      <c r="AA5180" s="4">
        <v>6</v>
      </c>
      <c r="AB5180" s="4">
        <v>1</v>
      </c>
      <c r="AC5180" s="4">
        <v>1</v>
      </c>
      <c r="AD5180" s="4">
        <v>34</v>
      </c>
      <c r="AE5180" s="4">
        <v>34</v>
      </c>
      <c r="AF5180" s="4">
        <v>0</v>
      </c>
      <c r="AG5180" s="4">
        <v>0</v>
      </c>
      <c r="AH5180" s="4">
        <v>32</v>
      </c>
      <c r="AI5180" s="4">
        <v>32</v>
      </c>
      <c r="AJ5180" s="4">
        <v>4</v>
      </c>
      <c r="AK5180" s="4">
        <v>4</v>
      </c>
      <c r="AL5180" s="4">
        <v>22</v>
      </c>
      <c r="AM5180" s="4">
        <v>22</v>
      </c>
      <c r="AN5180" s="4">
        <v>0</v>
      </c>
      <c r="AO5180" s="4">
        <v>0</v>
      </c>
      <c r="AP5180" s="4">
        <v>5</v>
      </c>
      <c r="AQ5180" s="4">
        <v>5</v>
      </c>
      <c r="AR5180" s="3" t="s">
        <v>64</v>
      </c>
      <c r="AS5180" s="3" t="s">
        <v>64</v>
      </c>
      <c r="AT5180" s="3" t="s">
        <v>64</v>
      </c>
      <c r="AV5180" s="6" t="str">
        <f>HYPERLINK("http://mcgill.on.worldcat.org/oclc/1002185233","Catalog Record")</f>
        <v>Catalog Record</v>
      </c>
      <c r="AW5180" s="6" t="str">
        <f>HYPERLINK("http://www.worldcat.org/oclc/1002185233","WorldCat Record")</f>
        <v>WorldCat Record</v>
      </c>
      <c r="AX5180" s="3" t="s">
        <v>50465</v>
      </c>
      <c r="AY5180" s="3" t="s">
        <v>50466</v>
      </c>
      <c r="AZ5180" s="3" t="s">
        <v>50467</v>
      </c>
      <c r="BA5180" s="3" t="s">
        <v>50467</v>
      </c>
      <c r="BB5180" s="3" t="s">
        <v>50468</v>
      </c>
      <c r="BC5180" s="3" t="s">
        <v>77</v>
      </c>
      <c r="BD5180" s="3" t="s">
        <v>78</v>
      </c>
      <c r="BE5180" s="3" t="s">
        <v>50469</v>
      </c>
      <c r="BF5180" s="3" t="s">
        <v>50468</v>
      </c>
      <c r="BG5180" s="3" t="s">
        <v>50470</v>
      </c>
      <c r="BH5180">
        <f t="shared" si="162"/>
        <v>0</v>
      </c>
    </row>
    <row r="5181" spans="1:60" ht="58" x14ac:dyDescent="0.35">
      <c r="A5181" s="2" t="s">
        <v>59</v>
      </c>
      <c r="B5181" s="2" t="s">
        <v>60</v>
      </c>
      <c r="C5181" s="2" t="s">
        <v>50471</v>
      </c>
      <c r="D5181" s="2" t="s">
        <v>50472</v>
      </c>
      <c r="E5181" s="2" t="s">
        <v>50473</v>
      </c>
      <c r="G5181" s="3" t="s">
        <v>64</v>
      </c>
      <c r="I5181" s="3" t="s">
        <v>64</v>
      </c>
      <c r="J5181" s="3" t="s">
        <v>64</v>
      </c>
      <c r="K5181" s="3" t="s">
        <v>65</v>
      </c>
      <c r="M5181" s="2" t="s">
        <v>15333</v>
      </c>
      <c r="N5181" s="3" t="s">
        <v>67</v>
      </c>
      <c r="P5181" s="3" t="s">
        <v>102</v>
      </c>
      <c r="R5181" s="3" t="s">
        <v>49178</v>
      </c>
      <c r="S5181" s="4">
        <v>7</v>
      </c>
      <c r="T5181" s="4">
        <v>7</v>
      </c>
      <c r="U5181" s="5" t="s">
        <v>1238</v>
      </c>
      <c r="V5181" s="5" t="s">
        <v>1238</v>
      </c>
      <c r="W5181" s="5" t="s">
        <v>72</v>
      </c>
      <c r="X5181" s="5" t="s">
        <v>72</v>
      </c>
      <c r="Y5181" s="4">
        <v>221</v>
      </c>
      <c r="Z5181" s="4">
        <v>16</v>
      </c>
      <c r="AA5181" s="4">
        <v>83</v>
      </c>
      <c r="AB5181" s="4">
        <v>1</v>
      </c>
      <c r="AC5181" s="4">
        <v>16</v>
      </c>
      <c r="AD5181" s="4">
        <v>54</v>
      </c>
      <c r="AE5181" s="4">
        <v>112</v>
      </c>
      <c r="AF5181" s="4">
        <v>0</v>
      </c>
      <c r="AG5181" s="4">
        <v>9</v>
      </c>
      <c r="AH5181" s="4">
        <v>46</v>
      </c>
      <c r="AI5181" s="4">
        <v>74</v>
      </c>
      <c r="AJ5181" s="4">
        <v>9</v>
      </c>
      <c r="AK5181" s="4">
        <v>23</v>
      </c>
      <c r="AL5181" s="4">
        <v>25</v>
      </c>
      <c r="AM5181" s="4">
        <v>39</v>
      </c>
      <c r="AN5181" s="4">
        <v>0</v>
      </c>
      <c r="AO5181" s="4">
        <v>0</v>
      </c>
      <c r="AP5181" s="4">
        <v>14</v>
      </c>
      <c r="AQ5181" s="4">
        <v>46</v>
      </c>
      <c r="AR5181" s="3" t="s">
        <v>64</v>
      </c>
      <c r="AS5181" s="3" t="s">
        <v>64</v>
      </c>
      <c r="AT5181" s="3" t="s">
        <v>64</v>
      </c>
      <c r="AV5181" s="6" t="str">
        <f>HYPERLINK("http://mcgill.on.worldcat.org/oclc/868665029","Catalog Record")</f>
        <v>Catalog Record</v>
      </c>
      <c r="AW5181" s="6" t="str">
        <f>HYPERLINK("http://www.worldcat.org/oclc/868665029","WorldCat Record")</f>
        <v>WorldCat Record</v>
      </c>
      <c r="AX5181" s="3" t="s">
        <v>50474</v>
      </c>
      <c r="AY5181" s="3" t="s">
        <v>50475</v>
      </c>
      <c r="AZ5181" s="3" t="s">
        <v>50476</v>
      </c>
      <c r="BA5181" s="3" t="s">
        <v>50476</v>
      </c>
      <c r="BB5181" s="3" t="s">
        <v>50477</v>
      </c>
      <c r="BC5181" s="3" t="s">
        <v>77</v>
      </c>
      <c r="BD5181" s="3" t="s">
        <v>78</v>
      </c>
      <c r="BE5181" s="3" t="s">
        <v>50478</v>
      </c>
      <c r="BF5181" s="3" t="s">
        <v>50477</v>
      </c>
      <c r="BG5181" s="3" t="s">
        <v>50479</v>
      </c>
      <c r="BH5181">
        <f t="shared" si="162"/>
        <v>0</v>
      </c>
    </row>
    <row r="5182" spans="1:60" ht="58" x14ac:dyDescent="0.35">
      <c r="A5182" s="2" t="s">
        <v>59</v>
      </c>
      <c r="B5182" s="2" t="s">
        <v>60</v>
      </c>
      <c r="C5182" s="2" t="s">
        <v>50480</v>
      </c>
      <c r="D5182" s="2" t="s">
        <v>50481</v>
      </c>
      <c r="E5182" s="2" t="s">
        <v>50482</v>
      </c>
      <c r="G5182" s="3" t="s">
        <v>64</v>
      </c>
      <c r="I5182" s="3" t="s">
        <v>64</v>
      </c>
      <c r="J5182" s="3" t="s">
        <v>128</v>
      </c>
      <c r="K5182" s="3" t="s">
        <v>65</v>
      </c>
      <c r="L5182" s="2" t="s">
        <v>50483</v>
      </c>
      <c r="M5182" s="2" t="s">
        <v>17691</v>
      </c>
      <c r="N5182" s="3" t="s">
        <v>86</v>
      </c>
      <c r="P5182" s="3" t="s">
        <v>102</v>
      </c>
      <c r="R5182" s="3" t="s">
        <v>49178</v>
      </c>
      <c r="S5182" s="4">
        <v>3</v>
      </c>
      <c r="T5182" s="4">
        <v>3</v>
      </c>
      <c r="U5182" s="5" t="s">
        <v>12425</v>
      </c>
      <c r="V5182" s="5" t="s">
        <v>12425</v>
      </c>
      <c r="W5182" s="5" t="s">
        <v>72</v>
      </c>
      <c r="X5182" s="5" t="s">
        <v>72</v>
      </c>
      <c r="Y5182" s="4">
        <v>149</v>
      </c>
      <c r="Z5182" s="4">
        <v>14</v>
      </c>
      <c r="AA5182" s="4">
        <v>80</v>
      </c>
      <c r="AB5182" s="4">
        <v>1</v>
      </c>
      <c r="AC5182" s="4">
        <v>16</v>
      </c>
      <c r="AD5182" s="4">
        <v>24</v>
      </c>
      <c r="AE5182" s="4">
        <v>92</v>
      </c>
      <c r="AF5182" s="4">
        <v>0</v>
      </c>
      <c r="AG5182" s="4">
        <v>8</v>
      </c>
      <c r="AH5182" s="4">
        <v>21</v>
      </c>
      <c r="AI5182" s="4">
        <v>60</v>
      </c>
      <c r="AJ5182" s="4">
        <v>7</v>
      </c>
      <c r="AK5182" s="4">
        <v>19</v>
      </c>
      <c r="AL5182" s="4">
        <v>14</v>
      </c>
      <c r="AM5182" s="4">
        <v>31</v>
      </c>
      <c r="AN5182" s="4">
        <v>0</v>
      </c>
      <c r="AO5182" s="4">
        <v>0</v>
      </c>
      <c r="AP5182" s="4">
        <v>9</v>
      </c>
      <c r="AQ5182" s="4">
        <v>40</v>
      </c>
      <c r="AR5182" s="3" t="s">
        <v>64</v>
      </c>
      <c r="AS5182" s="3" t="s">
        <v>64</v>
      </c>
      <c r="AT5182" s="3" t="s">
        <v>64</v>
      </c>
      <c r="AV5182" s="6" t="str">
        <f>HYPERLINK("http://mcgill.on.worldcat.org/oclc/778274954","Catalog Record")</f>
        <v>Catalog Record</v>
      </c>
      <c r="AW5182" s="6" t="str">
        <f>HYPERLINK("http://www.worldcat.org/oclc/778274954","WorldCat Record")</f>
        <v>WorldCat Record</v>
      </c>
      <c r="AX5182" s="3" t="s">
        <v>50484</v>
      </c>
      <c r="AY5182" s="3" t="s">
        <v>50485</v>
      </c>
      <c r="AZ5182" s="3" t="s">
        <v>50486</v>
      </c>
      <c r="BA5182" s="3" t="s">
        <v>50486</v>
      </c>
      <c r="BB5182" s="3" t="s">
        <v>50487</v>
      </c>
      <c r="BC5182" s="3" t="s">
        <v>77</v>
      </c>
      <c r="BD5182" s="3" t="s">
        <v>78</v>
      </c>
      <c r="BE5182" s="3" t="s">
        <v>50488</v>
      </c>
      <c r="BF5182" s="3" t="s">
        <v>50487</v>
      </c>
      <c r="BG5182" s="3" t="s">
        <v>50489</v>
      </c>
      <c r="BH5182">
        <f t="shared" si="162"/>
        <v>0</v>
      </c>
    </row>
    <row r="5183" spans="1:60" ht="58" x14ac:dyDescent="0.35">
      <c r="A5183" s="2" t="s">
        <v>59</v>
      </c>
      <c r="B5183" s="2" t="s">
        <v>60</v>
      </c>
      <c r="C5183" s="2" t="s">
        <v>50490</v>
      </c>
      <c r="D5183" s="2" t="s">
        <v>50491</v>
      </c>
      <c r="E5183" s="2" t="s">
        <v>50482</v>
      </c>
      <c r="G5183" s="3" t="s">
        <v>64</v>
      </c>
      <c r="I5183" s="3" t="s">
        <v>64</v>
      </c>
      <c r="J5183" s="3" t="s">
        <v>128</v>
      </c>
      <c r="K5183" s="3" t="s">
        <v>65</v>
      </c>
      <c r="L5183" s="2" t="s">
        <v>50492</v>
      </c>
      <c r="M5183" s="2" t="s">
        <v>15674</v>
      </c>
      <c r="N5183" s="3" t="s">
        <v>253</v>
      </c>
      <c r="O5183" s="2" t="s">
        <v>3787</v>
      </c>
      <c r="P5183" s="3" t="s">
        <v>102</v>
      </c>
      <c r="R5183" s="3" t="s">
        <v>49178</v>
      </c>
      <c r="S5183" s="4">
        <v>3</v>
      </c>
      <c r="T5183" s="4">
        <v>3</v>
      </c>
      <c r="U5183" s="5" t="s">
        <v>14927</v>
      </c>
      <c r="V5183" s="5" t="s">
        <v>14927</v>
      </c>
      <c r="W5183" s="5" t="s">
        <v>72</v>
      </c>
      <c r="X5183" s="5" t="s">
        <v>72</v>
      </c>
      <c r="Y5183" s="4">
        <v>93</v>
      </c>
      <c r="Z5183" s="4">
        <v>7</v>
      </c>
      <c r="AA5183" s="4">
        <v>80</v>
      </c>
      <c r="AB5183" s="4">
        <v>1</v>
      </c>
      <c r="AC5183" s="4">
        <v>16</v>
      </c>
      <c r="AD5183" s="4">
        <v>16</v>
      </c>
      <c r="AE5183" s="4">
        <v>92</v>
      </c>
      <c r="AF5183" s="4">
        <v>0</v>
      </c>
      <c r="AG5183" s="4">
        <v>8</v>
      </c>
      <c r="AH5183" s="4">
        <v>13</v>
      </c>
      <c r="AI5183" s="4">
        <v>60</v>
      </c>
      <c r="AJ5183" s="4">
        <v>4</v>
      </c>
      <c r="AK5183" s="4">
        <v>19</v>
      </c>
      <c r="AL5183" s="4">
        <v>7</v>
      </c>
      <c r="AM5183" s="4">
        <v>31</v>
      </c>
      <c r="AN5183" s="4">
        <v>0</v>
      </c>
      <c r="AO5183" s="4">
        <v>0</v>
      </c>
      <c r="AP5183" s="4">
        <v>5</v>
      </c>
      <c r="AQ5183" s="4">
        <v>40</v>
      </c>
      <c r="AR5183" s="3" t="s">
        <v>64</v>
      </c>
      <c r="AS5183" s="3" t="s">
        <v>64</v>
      </c>
      <c r="AT5183" s="3" t="s">
        <v>64</v>
      </c>
      <c r="AV5183" s="6" t="str">
        <f>HYPERLINK("http://mcgill.on.worldcat.org/oclc/910239918","Catalog Record")</f>
        <v>Catalog Record</v>
      </c>
      <c r="AW5183" s="6" t="str">
        <f>HYPERLINK("http://www.worldcat.org/oclc/910239918","WorldCat Record")</f>
        <v>WorldCat Record</v>
      </c>
      <c r="AX5183" s="3" t="s">
        <v>50484</v>
      </c>
      <c r="AY5183" s="3" t="s">
        <v>50493</v>
      </c>
      <c r="AZ5183" s="3" t="s">
        <v>50494</v>
      </c>
      <c r="BA5183" s="3" t="s">
        <v>50494</v>
      </c>
      <c r="BB5183" s="3" t="s">
        <v>50495</v>
      </c>
      <c r="BC5183" s="3" t="s">
        <v>77</v>
      </c>
      <c r="BD5183" s="3" t="s">
        <v>78</v>
      </c>
      <c r="BE5183" s="3" t="s">
        <v>50496</v>
      </c>
      <c r="BF5183" s="3" t="s">
        <v>50495</v>
      </c>
      <c r="BG5183" s="3" t="s">
        <v>50497</v>
      </c>
      <c r="BH5183">
        <f t="shared" si="162"/>
        <v>0</v>
      </c>
    </row>
    <row r="5184" spans="1:60" ht="72.5" x14ac:dyDescent="0.35">
      <c r="A5184" s="2" t="s">
        <v>59</v>
      </c>
      <c r="B5184" s="2" t="s">
        <v>60</v>
      </c>
      <c r="C5184" s="2" t="s">
        <v>50498</v>
      </c>
      <c r="D5184" s="2" t="s">
        <v>50499</v>
      </c>
      <c r="E5184" s="2" t="s">
        <v>50500</v>
      </c>
      <c r="G5184" s="3" t="s">
        <v>64</v>
      </c>
      <c r="I5184" s="3" t="s">
        <v>64</v>
      </c>
      <c r="J5184" s="3" t="s">
        <v>64</v>
      </c>
      <c r="K5184" s="3" t="s">
        <v>65</v>
      </c>
      <c r="M5184" s="2" t="s">
        <v>50501</v>
      </c>
      <c r="N5184" s="3" t="s">
        <v>511</v>
      </c>
      <c r="P5184" s="3" t="s">
        <v>68</v>
      </c>
      <c r="R5184" s="3" t="s">
        <v>49178</v>
      </c>
      <c r="S5184" s="4">
        <v>5</v>
      </c>
      <c r="T5184" s="4">
        <v>5</v>
      </c>
      <c r="U5184" s="5" t="s">
        <v>33903</v>
      </c>
      <c r="V5184" s="5" t="s">
        <v>33903</v>
      </c>
      <c r="W5184" s="5" t="s">
        <v>72</v>
      </c>
      <c r="X5184" s="5" t="s">
        <v>72</v>
      </c>
      <c r="Y5184" s="4">
        <v>37</v>
      </c>
      <c r="Z5184" s="4">
        <v>27</v>
      </c>
      <c r="AA5184" s="4">
        <v>30</v>
      </c>
      <c r="AB5184" s="4">
        <v>23</v>
      </c>
      <c r="AC5184" s="4">
        <v>23</v>
      </c>
      <c r="AD5184" s="4">
        <v>11</v>
      </c>
      <c r="AE5184" s="4">
        <v>16</v>
      </c>
      <c r="AF5184" s="4">
        <v>7</v>
      </c>
      <c r="AG5184" s="4">
        <v>7</v>
      </c>
      <c r="AH5184" s="4">
        <v>3</v>
      </c>
      <c r="AI5184" s="4">
        <v>8</v>
      </c>
      <c r="AJ5184" s="4">
        <v>7</v>
      </c>
      <c r="AK5184" s="4">
        <v>9</v>
      </c>
      <c r="AL5184" s="4">
        <v>0</v>
      </c>
      <c r="AM5184" s="4">
        <v>3</v>
      </c>
      <c r="AN5184" s="4">
        <v>0</v>
      </c>
      <c r="AO5184" s="4">
        <v>0</v>
      </c>
      <c r="AP5184" s="4">
        <v>9</v>
      </c>
      <c r="AQ5184" s="4">
        <v>11</v>
      </c>
      <c r="AR5184" s="3" t="s">
        <v>128</v>
      </c>
      <c r="AS5184" s="3" t="s">
        <v>64</v>
      </c>
      <c r="AT5184" s="3" t="s">
        <v>64</v>
      </c>
      <c r="AV5184" s="6" t="str">
        <f>HYPERLINK("http://mcgill.on.worldcat.org/oclc/473378153","Catalog Record")</f>
        <v>Catalog Record</v>
      </c>
      <c r="AW5184" s="6" t="str">
        <f>HYPERLINK("http://www.worldcat.org/oclc/473378153","WorldCat Record")</f>
        <v>WorldCat Record</v>
      </c>
      <c r="AX5184" s="3" t="s">
        <v>50502</v>
      </c>
      <c r="AY5184" s="3" t="s">
        <v>50503</v>
      </c>
      <c r="AZ5184" s="3" t="s">
        <v>50504</v>
      </c>
      <c r="BA5184" s="3" t="s">
        <v>50504</v>
      </c>
      <c r="BB5184" s="3" t="s">
        <v>50505</v>
      </c>
      <c r="BC5184" s="3" t="s">
        <v>77</v>
      </c>
      <c r="BD5184" s="3" t="s">
        <v>78</v>
      </c>
      <c r="BE5184" s="3" t="s">
        <v>50506</v>
      </c>
      <c r="BF5184" s="3" t="s">
        <v>50505</v>
      </c>
      <c r="BG5184" s="3" t="s">
        <v>50507</v>
      </c>
      <c r="BH5184">
        <f t="shared" si="162"/>
        <v>0</v>
      </c>
    </row>
    <row r="5185" spans="1:60" ht="58" x14ac:dyDescent="0.35">
      <c r="A5185" s="2" t="s">
        <v>59</v>
      </c>
      <c r="B5185" s="2" t="s">
        <v>60</v>
      </c>
      <c r="C5185" s="2" t="s">
        <v>50508</v>
      </c>
      <c r="D5185" s="2" t="s">
        <v>50509</v>
      </c>
      <c r="E5185" s="2" t="s">
        <v>50510</v>
      </c>
      <c r="G5185" s="3" t="s">
        <v>64</v>
      </c>
      <c r="I5185" s="3" t="s">
        <v>64</v>
      </c>
      <c r="J5185" s="3" t="s">
        <v>64</v>
      </c>
      <c r="K5185" s="3" t="s">
        <v>65</v>
      </c>
      <c r="L5185" s="2" t="s">
        <v>50511</v>
      </c>
      <c r="M5185" s="2" t="s">
        <v>15674</v>
      </c>
      <c r="N5185" s="3" t="s">
        <v>253</v>
      </c>
      <c r="P5185" s="3" t="s">
        <v>102</v>
      </c>
      <c r="R5185" s="3" t="s">
        <v>49178</v>
      </c>
      <c r="S5185" s="4">
        <v>6</v>
      </c>
      <c r="T5185" s="4">
        <v>6</v>
      </c>
      <c r="U5185" s="5" t="s">
        <v>14927</v>
      </c>
      <c r="V5185" s="5" t="s">
        <v>14927</v>
      </c>
      <c r="W5185" s="5" t="s">
        <v>72</v>
      </c>
      <c r="X5185" s="5" t="s">
        <v>72</v>
      </c>
      <c r="Y5185" s="4">
        <v>156</v>
      </c>
      <c r="Z5185" s="4">
        <v>9</v>
      </c>
      <c r="AA5185" s="4">
        <v>75</v>
      </c>
      <c r="AB5185" s="4">
        <v>1</v>
      </c>
      <c r="AC5185" s="4">
        <v>14</v>
      </c>
      <c r="AD5185" s="4">
        <v>23</v>
      </c>
      <c r="AE5185" s="4">
        <v>79</v>
      </c>
      <c r="AF5185" s="4">
        <v>0</v>
      </c>
      <c r="AG5185" s="4">
        <v>8</v>
      </c>
      <c r="AH5185" s="4">
        <v>17</v>
      </c>
      <c r="AI5185" s="4">
        <v>49</v>
      </c>
      <c r="AJ5185" s="4">
        <v>4</v>
      </c>
      <c r="AK5185" s="4">
        <v>16</v>
      </c>
      <c r="AL5185" s="4">
        <v>10</v>
      </c>
      <c r="AM5185" s="4">
        <v>25</v>
      </c>
      <c r="AN5185" s="4">
        <v>0</v>
      </c>
      <c r="AO5185" s="4">
        <v>0</v>
      </c>
      <c r="AP5185" s="4">
        <v>7</v>
      </c>
      <c r="AQ5185" s="4">
        <v>36</v>
      </c>
      <c r="AR5185" s="3" t="s">
        <v>64</v>
      </c>
      <c r="AS5185" s="3" t="s">
        <v>64</v>
      </c>
      <c r="AT5185" s="3" t="s">
        <v>64</v>
      </c>
      <c r="AV5185" s="6" t="str">
        <f>HYPERLINK("http://mcgill.on.worldcat.org/oclc/900082672","Catalog Record")</f>
        <v>Catalog Record</v>
      </c>
      <c r="AW5185" s="6" t="str">
        <f>HYPERLINK("http://www.worldcat.org/oclc/900082672","WorldCat Record")</f>
        <v>WorldCat Record</v>
      </c>
      <c r="AX5185" s="3" t="s">
        <v>50512</v>
      </c>
      <c r="AY5185" s="3" t="s">
        <v>50513</v>
      </c>
      <c r="AZ5185" s="3" t="s">
        <v>50514</v>
      </c>
      <c r="BA5185" s="3" t="s">
        <v>50514</v>
      </c>
      <c r="BB5185" s="3" t="s">
        <v>50515</v>
      </c>
      <c r="BC5185" s="3" t="s">
        <v>77</v>
      </c>
      <c r="BD5185" s="3" t="s">
        <v>78</v>
      </c>
      <c r="BE5185" s="3" t="s">
        <v>50516</v>
      </c>
      <c r="BF5185" s="3" t="s">
        <v>50515</v>
      </c>
      <c r="BG5185" s="3" t="s">
        <v>50517</v>
      </c>
      <c r="BH5185">
        <f t="shared" si="162"/>
        <v>0</v>
      </c>
    </row>
    <row r="5186" spans="1:60" ht="58" x14ac:dyDescent="0.35">
      <c r="A5186" s="2" t="s">
        <v>59</v>
      </c>
      <c r="B5186" s="2" t="s">
        <v>60</v>
      </c>
      <c r="C5186" s="2" t="s">
        <v>50518</v>
      </c>
      <c r="D5186" s="2" t="s">
        <v>50519</v>
      </c>
      <c r="E5186" s="2" t="s">
        <v>50520</v>
      </c>
      <c r="G5186" s="3" t="s">
        <v>64</v>
      </c>
      <c r="I5186" s="3" t="s">
        <v>64</v>
      </c>
      <c r="J5186" s="3" t="s">
        <v>64</v>
      </c>
      <c r="K5186" s="3" t="s">
        <v>65</v>
      </c>
      <c r="L5186" s="2" t="s">
        <v>50521</v>
      </c>
      <c r="M5186" s="2" t="s">
        <v>50522</v>
      </c>
      <c r="N5186" s="3" t="s">
        <v>144</v>
      </c>
      <c r="P5186" s="3" t="s">
        <v>68</v>
      </c>
      <c r="R5186" s="3" t="s">
        <v>49178</v>
      </c>
      <c r="S5186" s="4">
        <v>11</v>
      </c>
      <c r="T5186" s="4">
        <v>11</v>
      </c>
      <c r="U5186" s="5" t="s">
        <v>9096</v>
      </c>
      <c r="V5186" s="5" t="s">
        <v>9096</v>
      </c>
      <c r="W5186" s="5" t="s">
        <v>72</v>
      </c>
      <c r="X5186" s="5" t="s">
        <v>72</v>
      </c>
      <c r="Y5186" s="4">
        <v>65</v>
      </c>
      <c r="Z5186" s="4">
        <v>39</v>
      </c>
      <c r="AA5186" s="4">
        <v>39</v>
      </c>
      <c r="AB5186" s="4">
        <v>29</v>
      </c>
      <c r="AC5186" s="4">
        <v>29</v>
      </c>
      <c r="AD5186" s="4">
        <v>14</v>
      </c>
      <c r="AE5186" s="4">
        <v>14</v>
      </c>
      <c r="AF5186" s="4">
        <v>8</v>
      </c>
      <c r="AG5186" s="4">
        <v>8</v>
      </c>
      <c r="AH5186" s="4">
        <v>5</v>
      </c>
      <c r="AI5186" s="4">
        <v>5</v>
      </c>
      <c r="AJ5186" s="4">
        <v>8</v>
      </c>
      <c r="AK5186" s="4">
        <v>8</v>
      </c>
      <c r="AL5186" s="4">
        <v>2</v>
      </c>
      <c r="AM5186" s="4">
        <v>2</v>
      </c>
      <c r="AN5186" s="4">
        <v>0</v>
      </c>
      <c r="AO5186" s="4">
        <v>0</v>
      </c>
      <c r="AP5186" s="4">
        <v>11</v>
      </c>
      <c r="AQ5186" s="4">
        <v>11</v>
      </c>
      <c r="AR5186" s="3" t="s">
        <v>128</v>
      </c>
      <c r="AS5186" s="3" t="s">
        <v>64</v>
      </c>
      <c r="AT5186" s="3" t="s">
        <v>64</v>
      </c>
      <c r="AV5186" s="6" t="str">
        <f>HYPERLINK("http://mcgill.on.worldcat.org/oclc/166688403","Catalog Record")</f>
        <v>Catalog Record</v>
      </c>
      <c r="AW5186" s="6" t="str">
        <f>HYPERLINK("http://www.worldcat.org/oclc/166688403","WorldCat Record")</f>
        <v>WorldCat Record</v>
      </c>
      <c r="AX5186" s="3" t="s">
        <v>50523</v>
      </c>
      <c r="AY5186" s="3" t="s">
        <v>50524</v>
      </c>
      <c r="AZ5186" s="3" t="s">
        <v>50525</v>
      </c>
      <c r="BA5186" s="3" t="s">
        <v>50525</v>
      </c>
      <c r="BB5186" s="3" t="s">
        <v>50526</v>
      </c>
      <c r="BC5186" s="3" t="s">
        <v>77</v>
      </c>
      <c r="BD5186" s="3" t="s">
        <v>78</v>
      </c>
      <c r="BE5186" s="3" t="s">
        <v>50527</v>
      </c>
      <c r="BF5186" s="3" t="s">
        <v>50526</v>
      </c>
      <c r="BG5186" s="3" t="s">
        <v>50528</v>
      </c>
      <c r="BH5186">
        <f t="shared" ref="BH5186:BH5249" si="163">IF(COUNTIF($BF$1:$BF$5431,BF5186)=1,0,1)</f>
        <v>0</v>
      </c>
    </row>
    <row r="5187" spans="1:60" ht="58" x14ac:dyDescent="0.35">
      <c r="A5187" s="2" t="s">
        <v>59</v>
      </c>
      <c r="B5187" s="2" t="s">
        <v>60</v>
      </c>
      <c r="C5187" s="2" t="s">
        <v>50529</v>
      </c>
      <c r="D5187" s="2" t="s">
        <v>50530</v>
      </c>
      <c r="E5187" s="2" t="s">
        <v>50531</v>
      </c>
      <c r="G5187" s="3" t="s">
        <v>64</v>
      </c>
      <c r="I5187" s="3" t="s">
        <v>128</v>
      </c>
      <c r="J5187" s="3" t="s">
        <v>64</v>
      </c>
      <c r="K5187" s="3" t="s">
        <v>65</v>
      </c>
      <c r="L5187" s="2" t="s">
        <v>50532</v>
      </c>
      <c r="M5187" s="2" t="s">
        <v>14033</v>
      </c>
      <c r="N5187" s="3" t="s">
        <v>434</v>
      </c>
      <c r="P5187" s="3" t="s">
        <v>102</v>
      </c>
      <c r="R5187" s="3" t="s">
        <v>49178</v>
      </c>
      <c r="S5187" s="4">
        <v>2</v>
      </c>
      <c r="T5187" s="4">
        <v>9</v>
      </c>
      <c r="U5187" s="5" t="s">
        <v>14927</v>
      </c>
      <c r="V5187" s="5" t="s">
        <v>14927</v>
      </c>
      <c r="W5187" s="5" t="s">
        <v>72</v>
      </c>
      <c r="X5187" s="5" t="s">
        <v>72</v>
      </c>
      <c r="Y5187" s="4">
        <v>192</v>
      </c>
      <c r="Z5187" s="4">
        <v>14</v>
      </c>
      <c r="AA5187" s="4">
        <v>15</v>
      </c>
      <c r="AB5187" s="4">
        <v>1</v>
      </c>
      <c r="AC5187" s="4">
        <v>2</v>
      </c>
      <c r="AD5187" s="4">
        <v>61</v>
      </c>
      <c r="AE5187" s="4">
        <v>62</v>
      </c>
      <c r="AF5187" s="4">
        <v>0</v>
      </c>
      <c r="AG5187" s="4">
        <v>1</v>
      </c>
      <c r="AH5187" s="4">
        <v>60</v>
      </c>
      <c r="AI5187" s="4">
        <v>60</v>
      </c>
      <c r="AJ5187" s="4">
        <v>8</v>
      </c>
      <c r="AK5187" s="4">
        <v>9</v>
      </c>
      <c r="AL5187" s="4">
        <v>30</v>
      </c>
      <c r="AM5187" s="4">
        <v>30</v>
      </c>
      <c r="AN5187" s="4">
        <v>0</v>
      </c>
      <c r="AO5187" s="4">
        <v>0</v>
      </c>
      <c r="AP5187" s="4">
        <v>9</v>
      </c>
      <c r="AQ5187" s="4">
        <v>9</v>
      </c>
      <c r="AR5187" s="3" t="s">
        <v>64</v>
      </c>
      <c r="AS5187" s="3" t="s">
        <v>64</v>
      </c>
      <c r="AT5187" s="3" t="s">
        <v>64</v>
      </c>
      <c r="AV5187" s="6" t="str">
        <f>HYPERLINK("http://mcgill.on.worldcat.org/oclc/56194896","Catalog Record")</f>
        <v>Catalog Record</v>
      </c>
      <c r="AW5187" s="6" t="str">
        <f>HYPERLINK("http://www.worldcat.org/oclc/56194896","WorldCat Record")</f>
        <v>WorldCat Record</v>
      </c>
      <c r="AX5187" s="3" t="s">
        <v>50533</v>
      </c>
      <c r="AY5187" s="3" t="s">
        <v>50534</v>
      </c>
      <c r="AZ5187" s="3" t="s">
        <v>50535</v>
      </c>
      <c r="BA5187" s="3" t="s">
        <v>50535</v>
      </c>
      <c r="BB5187" s="3" t="s">
        <v>50536</v>
      </c>
      <c r="BC5187" s="3" t="s">
        <v>77</v>
      </c>
      <c r="BD5187" s="3" t="s">
        <v>78</v>
      </c>
      <c r="BE5187" s="3" t="s">
        <v>50537</v>
      </c>
      <c r="BF5187" s="3" t="s">
        <v>50536</v>
      </c>
      <c r="BG5187" s="3" t="s">
        <v>50538</v>
      </c>
      <c r="BH5187">
        <f t="shared" si="163"/>
        <v>0</v>
      </c>
    </row>
    <row r="5188" spans="1:60" ht="58" x14ac:dyDescent="0.35">
      <c r="A5188" s="2" t="s">
        <v>59</v>
      </c>
      <c r="B5188" s="2" t="s">
        <v>60</v>
      </c>
      <c r="C5188" s="2" t="s">
        <v>50529</v>
      </c>
      <c r="D5188" s="2" t="s">
        <v>50530</v>
      </c>
      <c r="E5188" s="2" t="s">
        <v>50531</v>
      </c>
      <c r="G5188" s="3" t="s">
        <v>64</v>
      </c>
      <c r="I5188" s="3" t="s">
        <v>128</v>
      </c>
      <c r="J5188" s="3" t="s">
        <v>64</v>
      </c>
      <c r="K5188" s="3" t="s">
        <v>65</v>
      </c>
      <c r="L5188" s="2" t="s">
        <v>50532</v>
      </c>
      <c r="M5188" s="2" t="s">
        <v>14033</v>
      </c>
      <c r="N5188" s="3" t="s">
        <v>434</v>
      </c>
      <c r="P5188" s="3" t="s">
        <v>102</v>
      </c>
      <c r="R5188" s="3" t="s">
        <v>49178</v>
      </c>
      <c r="S5188" s="4">
        <v>7</v>
      </c>
      <c r="T5188" s="4">
        <v>9</v>
      </c>
      <c r="U5188" s="5" t="s">
        <v>50539</v>
      </c>
      <c r="V5188" s="5" t="s">
        <v>14927</v>
      </c>
      <c r="W5188" s="5" t="s">
        <v>72</v>
      </c>
      <c r="X5188" s="5" t="s">
        <v>72</v>
      </c>
      <c r="Y5188" s="4">
        <v>192</v>
      </c>
      <c r="Z5188" s="4">
        <v>14</v>
      </c>
      <c r="AA5188" s="4">
        <v>15</v>
      </c>
      <c r="AB5188" s="4">
        <v>1</v>
      </c>
      <c r="AC5188" s="4">
        <v>2</v>
      </c>
      <c r="AD5188" s="4">
        <v>61</v>
      </c>
      <c r="AE5188" s="4">
        <v>62</v>
      </c>
      <c r="AF5188" s="4">
        <v>0</v>
      </c>
      <c r="AG5188" s="4">
        <v>1</v>
      </c>
      <c r="AH5188" s="4">
        <v>60</v>
      </c>
      <c r="AI5188" s="4">
        <v>60</v>
      </c>
      <c r="AJ5188" s="4">
        <v>8</v>
      </c>
      <c r="AK5188" s="4">
        <v>9</v>
      </c>
      <c r="AL5188" s="4">
        <v>30</v>
      </c>
      <c r="AM5188" s="4">
        <v>30</v>
      </c>
      <c r="AN5188" s="4">
        <v>0</v>
      </c>
      <c r="AO5188" s="4">
        <v>0</v>
      </c>
      <c r="AP5188" s="4">
        <v>9</v>
      </c>
      <c r="AQ5188" s="4">
        <v>9</v>
      </c>
      <c r="AR5188" s="3" t="s">
        <v>64</v>
      </c>
      <c r="AS5188" s="3" t="s">
        <v>64</v>
      </c>
      <c r="AT5188" s="3" t="s">
        <v>64</v>
      </c>
      <c r="AV5188" s="6" t="str">
        <f>HYPERLINK("http://mcgill.on.worldcat.org/oclc/56194896","Catalog Record")</f>
        <v>Catalog Record</v>
      </c>
      <c r="AW5188" s="6" t="str">
        <f>HYPERLINK("http://www.worldcat.org/oclc/56194896","WorldCat Record")</f>
        <v>WorldCat Record</v>
      </c>
      <c r="AX5188" s="3" t="s">
        <v>50533</v>
      </c>
      <c r="AY5188" s="3" t="s">
        <v>50534</v>
      </c>
      <c r="AZ5188" s="3" t="s">
        <v>50535</v>
      </c>
      <c r="BA5188" s="3" t="s">
        <v>50535</v>
      </c>
      <c r="BB5188" s="3" t="s">
        <v>50540</v>
      </c>
      <c r="BC5188" s="3" t="s">
        <v>77</v>
      </c>
      <c r="BD5188" s="3" t="s">
        <v>78</v>
      </c>
      <c r="BE5188" s="3" t="s">
        <v>50537</v>
      </c>
      <c r="BF5188" s="3" t="s">
        <v>50540</v>
      </c>
      <c r="BG5188" s="3" t="s">
        <v>50541</v>
      </c>
      <c r="BH5188">
        <f t="shared" si="163"/>
        <v>0</v>
      </c>
    </row>
    <row r="5189" spans="1:60" ht="58" x14ac:dyDescent="0.35">
      <c r="A5189" s="2" t="s">
        <v>59</v>
      </c>
      <c r="B5189" s="2" t="s">
        <v>60</v>
      </c>
      <c r="C5189" s="2" t="s">
        <v>50542</v>
      </c>
      <c r="D5189" s="2" t="s">
        <v>50543</v>
      </c>
      <c r="E5189" s="2" t="s">
        <v>50544</v>
      </c>
      <c r="G5189" s="3" t="s">
        <v>64</v>
      </c>
      <c r="I5189" s="3" t="s">
        <v>64</v>
      </c>
      <c r="J5189" s="3" t="s">
        <v>64</v>
      </c>
      <c r="K5189" s="3" t="s">
        <v>65</v>
      </c>
      <c r="L5189" s="2" t="s">
        <v>50545</v>
      </c>
      <c r="M5189" s="2" t="s">
        <v>26818</v>
      </c>
      <c r="N5189" s="3" t="s">
        <v>116</v>
      </c>
      <c r="P5189" s="3" t="s">
        <v>102</v>
      </c>
      <c r="Q5189" s="2" t="s">
        <v>50546</v>
      </c>
      <c r="R5189" s="3" t="s">
        <v>49178</v>
      </c>
      <c r="S5189" s="4">
        <v>13</v>
      </c>
      <c r="T5189" s="4">
        <v>13</v>
      </c>
      <c r="U5189" s="5" t="s">
        <v>48307</v>
      </c>
      <c r="V5189" s="5" t="s">
        <v>48307</v>
      </c>
      <c r="W5189" s="5" t="s">
        <v>72</v>
      </c>
      <c r="X5189" s="5" t="s">
        <v>72</v>
      </c>
      <c r="Y5189" s="4">
        <v>204</v>
      </c>
      <c r="Z5189" s="4">
        <v>18</v>
      </c>
      <c r="AA5189" s="4">
        <v>92</v>
      </c>
      <c r="AB5189" s="4">
        <v>4</v>
      </c>
      <c r="AC5189" s="4">
        <v>17</v>
      </c>
      <c r="AD5189" s="4">
        <v>26</v>
      </c>
      <c r="AE5189" s="4">
        <v>102</v>
      </c>
      <c r="AF5189" s="4">
        <v>0</v>
      </c>
      <c r="AG5189" s="4">
        <v>8</v>
      </c>
      <c r="AH5189" s="4">
        <v>22</v>
      </c>
      <c r="AI5189" s="4">
        <v>66</v>
      </c>
      <c r="AJ5189" s="4">
        <v>7</v>
      </c>
      <c r="AK5189" s="4">
        <v>22</v>
      </c>
      <c r="AL5189" s="4">
        <v>12</v>
      </c>
      <c r="AM5189" s="4">
        <v>32</v>
      </c>
      <c r="AN5189" s="4">
        <v>0</v>
      </c>
      <c r="AO5189" s="4">
        <v>0</v>
      </c>
      <c r="AP5189" s="4">
        <v>7</v>
      </c>
      <c r="AQ5189" s="4">
        <v>42</v>
      </c>
      <c r="AR5189" s="3" t="s">
        <v>64</v>
      </c>
      <c r="AS5189" s="3" t="s">
        <v>64</v>
      </c>
      <c r="AT5189" s="3" t="s">
        <v>128</v>
      </c>
      <c r="AU5189" s="6" t="str">
        <f>HYPERLINK("http://catalog.hathitrust.org/Record/004196939","HathiTrust Record")</f>
        <v>HathiTrust Record</v>
      </c>
      <c r="AV5189" s="6" t="str">
        <f>HYPERLINK("http://mcgill.on.worldcat.org/oclc/47242582","Catalog Record")</f>
        <v>Catalog Record</v>
      </c>
      <c r="AW5189" s="6" t="str">
        <f>HYPERLINK("http://www.worldcat.org/oclc/47242582","WorldCat Record")</f>
        <v>WorldCat Record</v>
      </c>
      <c r="AX5189" s="3" t="s">
        <v>50547</v>
      </c>
      <c r="AY5189" s="3" t="s">
        <v>50548</v>
      </c>
      <c r="AZ5189" s="3" t="s">
        <v>50549</v>
      </c>
      <c r="BA5189" s="3" t="s">
        <v>50549</v>
      </c>
      <c r="BB5189" s="3" t="s">
        <v>50550</v>
      </c>
      <c r="BC5189" s="3" t="s">
        <v>77</v>
      </c>
      <c r="BD5189" s="3" t="s">
        <v>78</v>
      </c>
      <c r="BE5189" s="3" t="s">
        <v>50551</v>
      </c>
      <c r="BF5189" s="3" t="s">
        <v>50550</v>
      </c>
      <c r="BG5189" s="3" t="s">
        <v>50552</v>
      </c>
      <c r="BH5189">
        <f t="shared" si="163"/>
        <v>0</v>
      </c>
    </row>
    <row r="5190" spans="1:60" ht="87" x14ac:dyDescent="0.35">
      <c r="A5190" s="2" t="s">
        <v>59</v>
      </c>
      <c r="B5190" s="2" t="s">
        <v>60</v>
      </c>
      <c r="C5190" s="2" t="s">
        <v>50553</v>
      </c>
      <c r="D5190" s="2" t="s">
        <v>50554</v>
      </c>
      <c r="E5190" s="2" t="s">
        <v>50555</v>
      </c>
      <c r="G5190" s="3" t="s">
        <v>64</v>
      </c>
      <c r="I5190" s="3" t="s">
        <v>64</v>
      </c>
      <c r="J5190" s="3" t="s">
        <v>64</v>
      </c>
      <c r="K5190" s="3" t="s">
        <v>65</v>
      </c>
      <c r="M5190" s="2" t="s">
        <v>50556</v>
      </c>
      <c r="N5190" s="3" t="s">
        <v>67</v>
      </c>
      <c r="P5190" s="3" t="s">
        <v>102</v>
      </c>
      <c r="R5190" s="3" t="s">
        <v>49178</v>
      </c>
      <c r="S5190" s="4">
        <v>0</v>
      </c>
      <c r="T5190" s="4">
        <v>0</v>
      </c>
      <c r="W5190" s="5" t="s">
        <v>72</v>
      </c>
      <c r="X5190" s="5" t="s">
        <v>72</v>
      </c>
      <c r="Y5190" s="4">
        <v>62</v>
      </c>
      <c r="Z5190" s="4">
        <v>5</v>
      </c>
      <c r="AA5190" s="4">
        <v>79</v>
      </c>
      <c r="AB5190" s="4">
        <v>1</v>
      </c>
      <c r="AC5190" s="4">
        <v>15</v>
      </c>
      <c r="AD5190" s="4">
        <v>15</v>
      </c>
      <c r="AE5190" s="4">
        <v>96</v>
      </c>
      <c r="AF5190" s="4">
        <v>0</v>
      </c>
      <c r="AG5190" s="4">
        <v>8</v>
      </c>
      <c r="AH5190" s="4">
        <v>14</v>
      </c>
      <c r="AI5190" s="4">
        <v>66</v>
      </c>
      <c r="AJ5190" s="4">
        <v>3</v>
      </c>
      <c r="AK5190" s="4">
        <v>19</v>
      </c>
      <c r="AL5190" s="4">
        <v>12</v>
      </c>
      <c r="AM5190" s="4">
        <v>35</v>
      </c>
      <c r="AN5190" s="4">
        <v>0</v>
      </c>
      <c r="AO5190" s="4">
        <v>0</v>
      </c>
      <c r="AP5190" s="4">
        <v>3</v>
      </c>
      <c r="AQ5190" s="4">
        <v>36</v>
      </c>
      <c r="AR5190" s="3" t="s">
        <v>64</v>
      </c>
      <c r="AS5190" s="3" t="s">
        <v>64</v>
      </c>
      <c r="AT5190" s="3" t="s">
        <v>64</v>
      </c>
      <c r="AV5190" s="6" t="str">
        <f>HYPERLINK("http://mcgill.on.worldcat.org/oclc/858246312","Catalog Record")</f>
        <v>Catalog Record</v>
      </c>
      <c r="AW5190" s="6" t="str">
        <f>HYPERLINK("http://www.worldcat.org/oclc/858246312","WorldCat Record")</f>
        <v>WorldCat Record</v>
      </c>
      <c r="AX5190" s="3" t="s">
        <v>50557</v>
      </c>
      <c r="AY5190" s="3" t="s">
        <v>50558</v>
      </c>
      <c r="AZ5190" s="3" t="s">
        <v>50559</v>
      </c>
      <c r="BA5190" s="3" t="s">
        <v>50559</v>
      </c>
      <c r="BB5190" s="3" t="s">
        <v>50560</v>
      </c>
      <c r="BC5190" s="3" t="s">
        <v>77</v>
      </c>
      <c r="BD5190" s="3" t="s">
        <v>78</v>
      </c>
      <c r="BE5190" s="3" t="s">
        <v>50561</v>
      </c>
      <c r="BF5190" s="3" t="s">
        <v>50560</v>
      </c>
      <c r="BG5190" s="3" t="s">
        <v>50562</v>
      </c>
      <c r="BH5190">
        <f t="shared" si="163"/>
        <v>0</v>
      </c>
    </row>
    <row r="5191" spans="1:60" ht="58" x14ac:dyDescent="0.35">
      <c r="A5191" s="2" t="s">
        <v>59</v>
      </c>
      <c r="B5191" s="2" t="s">
        <v>60</v>
      </c>
      <c r="C5191" s="2" t="s">
        <v>50563</v>
      </c>
      <c r="D5191" s="2" t="s">
        <v>50564</v>
      </c>
      <c r="E5191" s="2" t="s">
        <v>50565</v>
      </c>
      <c r="G5191" s="3" t="s">
        <v>64</v>
      </c>
      <c r="I5191" s="3" t="s">
        <v>64</v>
      </c>
      <c r="J5191" s="3" t="s">
        <v>64</v>
      </c>
      <c r="K5191" s="3" t="s">
        <v>65</v>
      </c>
      <c r="L5191" s="2" t="s">
        <v>20216</v>
      </c>
      <c r="M5191" s="2" t="s">
        <v>50566</v>
      </c>
      <c r="N5191" s="3" t="s">
        <v>153</v>
      </c>
      <c r="P5191" s="3" t="s">
        <v>102</v>
      </c>
      <c r="Q5191" s="2" t="s">
        <v>30908</v>
      </c>
      <c r="R5191" s="3" t="s">
        <v>49178</v>
      </c>
      <c r="S5191" s="4">
        <v>4</v>
      </c>
      <c r="T5191" s="4">
        <v>4</v>
      </c>
      <c r="U5191" s="5" t="s">
        <v>25047</v>
      </c>
      <c r="V5191" s="5" t="s">
        <v>25047</v>
      </c>
      <c r="W5191" s="5" t="s">
        <v>72</v>
      </c>
      <c r="X5191" s="5" t="s">
        <v>72</v>
      </c>
      <c r="Y5191" s="4">
        <v>137</v>
      </c>
      <c r="Z5191" s="4">
        <v>9</v>
      </c>
      <c r="AA5191" s="4">
        <v>9</v>
      </c>
      <c r="AB5191" s="4">
        <v>1</v>
      </c>
      <c r="AC5191" s="4">
        <v>1</v>
      </c>
      <c r="AD5191" s="4">
        <v>18</v>
      </c>
      <c r="AE5191" s="4">
        <v>18</v>
      </c>
      <c r="AF5191" s="4">
        <v>0</v>
      </c>
      <c r="AG5191" s="4">
        <v>0</v>
      </c>
      <c r="AH5191" s="4">
        <v>16</v>
      </c>
      <c r="AI5191" s="4">
        <v>16</v>
      </c>
      <c r="AJ5191" s="4">
        <v>5</v>
      </c>
      <c r="AK5191" s="4">
        <v>5</v>
      </c>
      <c r="AL5191" s="4">
        <v>9</v>
      </c>
      <c r="AM5191" s="4">
        <v>9</v>
      </c>
      <c r="AN5191" s="4">
        <v>0</v>
      </c>
      <c r="AO5191" s="4">
        <v>0</v>
      </c>
      <c r="AP5191" s="4">
        <v>5</v>
      </c>
      <c r="AQ5191" s="4">
        <v>5</v>
      </c>
      <c r="AR5191" s="3" t="s">
        <v>64</v>
      </c>
      <c r="AS5191" s="3" t="s">
        <v>64</v>
      </c>
      <c r="AT5191" s="3" t="s">
        <v>64</v>
      </c>
      <c r="AV5191" s="6" t="str">
        <f>HYPERLINK("http://mcgill.on.worldcat.org/oclc/40412035","Catalog Record")</f>
        <v>Catalog Record</v>
      </c>
      <c r="AW5191" s="6" t="str">
        <f>HYPERLINK("http://www.worldcat.org/oclc/40412035","WorldCat Record")</f>
        <v>WorldCat Record</v>
      </c>
      <c r="AX5191" s="3" t="s">
        <v>50567</v>
      </c>
      <c r="AY5191" s="3" t="s">
        <v>50568</v>
      </c>
      <c r="AZ5191" s="3" t="s">
        <v>50569</v>
      </c>
      <c r="BA5191" s="3" t="s">
        <v>50569</v>
      </c>
      <c r="BB5191" s="3" t="s">
        <v>50570</v>
      </c>
      <c r="BC5191" s="3" t="s">
        <v>77</v>
      </c>
      <c r="BD5191" s="3" t="s">
        <v>78</v>
      </c>
      <c r="BE5191" s="3" t="s">
        <v>50571</v>
      </c>
      <c r="BF5191" s="3" t="s">
        <v>50570</v>
      </c>
      <c r="BG5191" s="3" t="s">
        <v>50572</v>
      </c>
      <c r="BH5191">
        <f t="shared" si="163"/>
        <v>0</v>
      </c>
    </row>
    <row r="5192" spans="1:60" ht="58" x14ac:dyDescent="0.35">
      <c r="A5192" s="2" t="s">
        <v>59</v>
      </c>
      <c r="B5192" s="2" t="s">
        <v>60</v>
      </c>
      <c r="C5192" s="2" t="s">
        <v>50573</v>
      </c>
      <c r="D5192" s="2" t="s">
        <v>50574</v>
      </c>
      <c r="E5192" s="2" t="s">
        <v>50575</v>
      </c>
      <c r="G5192" s="3" t="s">
        <v>64</v>
      </c>
      <c r="I5192" s="3" t="s">
        <v>64</v>
      </c>
      <c r="J5192" s="3" t="s">
        <v>64</v>
      </c>
      <c r="K5192" s="3" t="s">
        <v>65</v>
      </c>
      <c r="L5192" s="2" t="s">
        <v>15028</v>
      </c>
      <c r="M5192" s="2" t="s">
        <v>27889</v>
      </c>
      <c r="N5192" s="3" t="s">
        <v>326</v>
      </c>
      <c r="P5192" s="3" t="s">
        <v>102</v>
      </c>
      <c r="R5192" s="3" t="s">
        <v>49178</v>
      </c>
      <c r="S5192" s="4">
        <v>1</v>
      </c>
      <c r="T5192" s="4">
        <v>1</v>
      </c>
      <c r="U5192" s="5" t="s">
        <v>37506</v>
      </c>
      <c r="V5192" s="5" t="s">
        <v>37506</v>
      </c>
      <c r="W5192" s="5" t="s">
        <v>72</v>
      </c>
      <c r="X5192" s="5" t="s">
        <v>72</v>
      </c>
      <c r="Y5192" s="4">
        <v>158</v>
      </c>
      <c r="Z5192" s="4">
        <v>11</v>
      </c>
      <c r="AA5192" s="4">
        <v>75</v>
      </c>
      <c r="AB5192" s="4">
        <v>1</v>
      </c>
      <c r="AC5192" s="4">
        <v>14</v>
      </c>
      <c r="AD5192" s="4">
        <v>28</v>
      </c>
      <c r="AE5192" s="4">
        <v>89</v>
      </c>
      <c r="AF5192" s="4">
        <v>0</v>
      </c>
      <c r="AG5192" s="4">
        <v>8</v>
      </c>
      <c r="AH5192" s="4">
        <v>26</v>
      </c>
      <c r="AI5192" s="4">
        <v>58</v>
      </c>
      <c r="AJ5192" s="4">
        <v>7</v>
      </c>
      <c r="AK5192" s="4">
        <v>18</v>
      </c>
      <c r="AL5192" s="4">
        <v>14</v>
      </c>
      <c r="AM5192" s="4">
        <v>29</v>
      </c>
      <c r="AN5192" s="4">
        <v>0</v>
      </c>
      <c r="AO5192" s="4">
        <v>0</v>
      </c>
      <c r="AP5192" s="4">
        <v>8</v>
      </c>
      <c r="AQ5192" s="4">
        <v>38</v>
      </c>
      <c r="AR5192" s="3" t="s">
        <v>64</v>
      </c>
      <c r="AS5192" s="3" t="s">
        <v>64</v>
      </c>
      <c r="AT5192" s="3" t="s">
        <v>64</v>
      </c>
      <c r="AV5192" s="6" t="str">
        <f>HYPERLINK("http://mcgill.on.worldcat.org/oclc/695570130","Catalog Record")</f>
        <v>Catalog Record</v>
      </c>
      <c r="AW5192" s="6" t="str">
        <f>HYPERLINK("http://www.worldcat.org/oclc/695570130","WorldCat Record")</f>
        <v>WorldCat Record</v>
      </c>
      <c r="AX5192" s="3" t="s">
        <v>50576</v>
      </c>
      <c r="AY5192" s="3" t="s">
        <v>50577</v>
      </c>
      <c r="AZ5192" s="3" t="s">
        <v>50578</v>
      </c>
      <c r="BA5192" s="3" t="s">
        <v>50578</v>
      </c>
      <c r="BB5192" s="3" t="s">
        <v>50579</v>
      </c>
      <c r="BC5192" s="3" t="s">
        <v>77</v>
      </c>
      <c r="BD5192" s="3" t="s">
        <v>78</v>
      </c>
      <c r="BE5192" s="3" t="s">
        <v>50580</v>
      </c>
      <c r="BF5192" s="3" t="s">
        <v>50579</v>
      </c>
      <c r="BG5192" s="3" t="s">
        <v>50581</v>
      </c>
      <c r="BH5192">
        <f t="shared" si="163"/>
        <v>0</v>
      </c>
    </row>
    <row r="5193" spans="1:60" ht="58" x14ac:dyDescent="0.35">
      <c r="A5193" s="2" t="s">
        <v>59</v>
      </c>
      <c r="B5193" s="2" t="s">
        <v>60</v>
      </c>
      <c r="C5193" s="2" t="s">
        <v>50582</v>
      </c>
      <c r="D5193" s="2" t="s">
        <v>50583</v>
      </c>
      <c r="E5193" s="2" t="s">
        <v>50584</v>
      </c>
      <c r="G5193" s="3" t="s">
        <v>64</v>
      </c>
      <c r="I5193" s="3" t="s">
        <v>64</v>
      </c>
      <c r="J5193" s="3" t="s">
        <v>64</v>
      </c>
      <c r="K5193" s="3" t="s">
        <v>65</v>
      </c>
      <c r="L5193" s="2" t="s">
        <v>50585</v>
      </c>
      <c r="M5193" s="2" t="s">
        <v>50586</v>
      </c>
      <c r="N5193" s="3" t="s">
        <v>86</v>
      </c>
      <c r="P5193" s="3" t="s">
        <v>102</v>
      </c>
      <c r="Q5193" s="2" t="s">
        <v>50587</v>
      </c>
      <c r="R5193" s="3" t="s">
        <v>49178</v>
      </c>
      <c r="S5193" s="4">
        <v>4</v>
      </c>
      <c r="T5193" s="4">
        <v>4</v>
      </c>
      <c r="U5193" s="5" t="s">
        <v>9239</v>
      </c>
      <c r="V5193" s="5" t="s">
        <v>9239</v>
      </c>
      <c r="W5193" s="5" t="s">
        <v>72</v>
      </c>
      <c r="X5193" s="5" t="s">
        <v>72</v>
      </c>
      <c r="Y5193" s="4">
        <v>55</v>
      </c>
      <c r="Z5193" s="4">
        <v>7</v>
      </c>
      <c r="AA5193" s="4">
        <v>12</v>
      </c>
      <c r="AB5193" s="4">
        <v>1</v>
      </c>
      <c r="AC5193" s="4">
        <v>5</v>
      </c>
      <c r="AD5193" s="4">
        <v>13</v>
      </c>
      <c r="AE5193" s="4">
        <v>19</v>
      </c>
      <c r="AF5193" s="4">
        <v>0</v>
      </c>
      <c r="AG5193" s="4">
        <v>1</v>
      </c>
      <c r="AH5193" s="4">
        <v>12</v>
      </c>
      <c r="AI5193" s="4">
        <v>17</v>
      </c>
      <c r="AJ5193" s="4">
        <v>4</v>
      </c>
      <c r="AK5193" s="4">
        <v>6</v>
      </c>
      <c r="AL5193" s="4">
        <v>7</v>
      </c>
      <c r="AM5193" s="4">
        <v>9</v>
      </c>
      <c r="AN5193" s="4">
        <v>0</v>
      </c>
      <c r="AO5193" s="4">
        <v>0</v>
      </c>
      <c r="AP5193" s="4">
        <v>4</v>
      </c>
      <c r="AQ5193" s="4">
        <v>5</v>
      </c>
      <c r="AR5193" s="3" t="s">
        <v>64</v>
      </c>
      <c r="AS5193" s="3" t="s">
        <v>64</v>
      </c>
      <c r="AT5193" s="3" t="s">
        <v>64</v>
      </c>
      <c r="AV5193" s="6" t="str">
        <f>HYPERLINK("http://mcgill.on.worldcat.org/oclc/730114662","Catalog Record")</f>
        <v>Catalog Record</v>
      </c>
      <c r="AW5193" s="6" t="str">
        <f>HYPERLINK("http://www.worldcat.org/oclc/730114662","WorldCat Record")</f>
        <v>WorldCat Record</v>
      </c>
      <c r="AX5193" s="3" t="s">
        <v>50588</v>
      </c>
      <c r="AY5193" s="3" t="s">
        <v>50589</v>
      </c>
      <c r="AZ5193" s="3" t="s">
        <v>50590</v>
      </c>
      <c r="BA5193" s="3" t="s">
        <v>50590</v>
      </c>
      <c r="BB5193" s="3" t="s">
        <v>50591</v>
      </c>
      <c r="BC5193" s="3" t="s">
        <v>77</v>
      </c>
      <c r="BD5193" s="3" t="s">
        <v>78</v>
      </c>
      <c r="BE5193" s="3" t="s">
        <v>50592</v>
      </c>
      <c r="BF5193" s="3" t="s">
        <v>50591</v>
      </c>
      <c r="BG5193" s="3" t="s">
        <v>50593</v>
      </c>
      <c r="BH5193">
        <f t="shared" si="163"/>
        <v>0</v>
      </c>
    </row>
    <row r="5194" spans="1:60" ht="58" x14ac:dyDescent="0.35">
      <c r="A5194" s="2" t="s">
        <v>59</v>
      </c>
      <c r="B5194" s="2" t="s">
        <v>60</v>
      </c>
      <c r="C5194" s="2" t="s">
        <v>50594</v>
      </c>
      <c r="D5194" s="2" t="s">
        <v>50595</v>
      </c>
      <c r="E5194" s="2" t="s">
        <v>50596</v>
      </c>
      <c r="G5194" s="3" t="s">
        <v>64</v>
      </c>
      <c r="I5194" s="3" t="s">
        <v>64</v>
      </c>
      <c r="J5194" s="3" t="s">
        <v>64</v>
      </c>
      <c r="K5194" s="3" t="s">
        <v>65</v>
      </c>
      <c r="L5194" s="2" t="s">
        <v>21403</v>
      </c>
      <c r="M5194" s="2" t="s">
        <v>50597</v>
      </c>
      <c r="N5194" s="3" t="s">
        <v>291</v>
      </c>
      <c r="P5194" s="3" t="s">
        <v>102</v>
      </c>
      <c r="R5194" s="3" t="s">
        <v>49178</v>
      </c>
      <c r="S5194" s="4">
        <v>9</v>
      </c>
      <c r="T5194" s="4">
        <v>9</v>
      </c>
      <c r="U5194" s="5" t="s">
        <v>19593</v>
      </c>
      <c r="V5194" s="5" t="s">
        <v>19593</v>
      </c>
      <c r="W5194" s="5" t="s">
        <v>72</v>
      </c>
      <c r="X5194" s="5" t="s">
        <v>72</v>
      </c>
      <c r="Y5194" s="4">
        <v>118</v>
      </c>
      <c r="Z5194" s="4">
        <v>9</v>
      </c>
      <c r="AA5194" s="4">
        <v>101</v>
      </c>
      <c r="AB5194" s="4">
        <v>2</v>
      </c>
      <c r="AC5194" s="4">
        <v>19</v>
      </c>
      <c r="AD5194" s="4">
        <v>39</v>
      </c>
      <c r="AE5194" s="4">
        <v>107</v>
      </c>
      <c r="AF5194" s="4">
        <v>0</v>
      </c>
      <c r="AG5194" s="4">
        <v>8</v>
      </c>
      <c r="AH5194" s="4">
        <v>39</v>
      </c>
      <c r="AI5194" s="4">
        <v>71</v>
      </c>
      <c r="AJ5194" s="4">
        <v>5</v>
      </c>
      <c r="AK5194" s="4">
        <v>20</v>
      </c>
      <c r="AL5194" s="4">
        <v>23</v>
      </c>
      <c r="AM5194" s="4">
        <v>36</v>
      </c>
      <c r="AN5194" s="4">
        <v>0</v>
      </c>
      <c r="AO5194" s="4">
        <v>0</v>
      </c>
      <c r="AP5194" s="4">
        <v>6</v>
      </c>
      <c r="AQ5194" s="4">
        <v>42</v>
      </c>
      <c r="AR5194" s="3" t="s">
        <v>64</v>
      </c>
      <c r="AS5194" s="3" t="s">
        <v>64</v>
      </c>
      <c r="AT5194" s="3" t="s">
        <v>64</v>
      </c>
      <c r="AV5194" s="6" t="str">
        <f>HYPERLINK("http://mcgill.on.worldcat.org/oclc/74492027","Catalog Record")</f>
        <v>Catalog Record</v>
      </c>
      <c r="AW5194" s="6" t="str">
        <f>HYPERLINK("http://www.worldcat.org/oclc/74492027","WorldCat Record")</f>
        <v>WorldCat Record</v>
      </c>
      <c r="AX5194" s="3" t="s">
        <v>50598</v>
      </c>
      <c r="AY5194" s="3" t="s">
        <v>50599</v>
      </c>
      <c r="AZ5194" s="3" t="s">
        <v>50600</v>
      </c>
      <c r="BA5194" s="3" t="s">
        <v>50600</v>
      </c>
      <c r="BB5194" s="3" t="s">
        <v>50601</v>
      </c>
      <c r="BC5194" s="3" t="s">
        <v>77</v>
      </c>
      <c r="BD5194" s="3" t="s">
        <v>78</v>
      </c>
      <c r="BE5194" s="3" t="s">
        <v>50602</v>
      </c>
      <c r="BF5194" s="3" t="s">
        <v>50601</v>
      </c>
      <c r="BG5194" s="3" t="s">
        <v>50603</v>
      </c>
      <c r="BH5194">
        <f t="shared" si="163"/>
        <v>0</v>
      </c>
    </row>
    <row r="5195" spans="1:60" ht="58" x14ac:dyDescent="0.35">
      <c r="A5195" s="2" t="s">
        <v>59</v>
      </c>
      <c r="B5195" s="2" t="s">
        <v>60</v>
      </c>
      <c r="C5195" s="2" t="s">
        <v>50604</v>
      </c>
      <c r="D5195" s="2" t="s">
        <v>50605</v>
      </c>
      <c r="E5195" s="2" t="s">
        <v>50606</v>
      </c>
      <c r="G5195" s="3" t="s">
        <v>64</v>
      </c>
      <c r="I5195" s="3" t="s">
        <v>64</v>
      </c>
      <c r="J5195" s="3" t="s">
        <v>64</v>
      </c>
      <c r="K5195" s="3" t="s">
        <v>65</v>
      </c>
      <c r="L5195" s="2" t="s">
        <v>50607</v>
      </c>
      <c r="M5195" s="2" t="s">
        <v>50608</v>
      </c>
      <c r="N5195" s="3" t="s">
        <v>326</v>
      </c>
      <c r="P5195" s="3" t="s">
        <v>102</v>
      </c>
      <c r="Q5195" s="2" t="s">
        <v>50609</v>
      </c>
      <c r="R5195" s="3" t="s">
        <v>49178</v>
      </c>
      <c r="S5195" s="4">
        <v>1</v>
      </c>
      <c r="T5195" s="4">
        <v>1</v>
      </c>
      <c r="U5195" s="5" t="s">
        <v>50610</v>
      </c>
      <c r="V5195" s="5" t="s">
        <v>50610</v>
      </c>
      <c r="W5195" s="5" t="s">
        <v>72</v>
      </c>
      <c r="X5195" s="5" t="s">
        <v>72</v>
      </c>
      <c r="Y5195" s="4">
        <v>49</v>
      </c>
      <c r="Z5195" s="4">
        <v>1</v>
      </c>
      <c r="AA5195" s="4">
        <v>13</v>
      </c>
      <c r="AB5195" s="4">
        <v>1</v>
      </c>
      <c r="AC5195" s="4">
        <v>3</v>
      </c>
      <c r="AD5195" s="4">
        <v>19</v>
      </c>
      <c r="AE5195" s="4">
        <v>24</v>
      </c>
      <c r="AF5195" s="4">
        <v>0</v>
      </c>
      <c r="AG5195" s="4">
        <v>0</v>
      </c>
      <c r="AH5195" s="4">
        <v>19</v>
      </c>
      <c r="AI5195" s="4">
        <v>22</v>
      </c>
      <c r="AJ5195" s="4">
        <v>0</v>
      </c>
      <c r="AK5195" s="4">
        <v>2</v>
      </c>
      <c r="AL5195" s="4">
        <v>10</v>
      </c>
      <c r="AM5195" s="4">
        <v>12</v>
      </c>
      <c r="AN5195" s="4">
        <v>0</v>
      </c>
      <c r="AO5195" s="4">
        <v>0</v>
      </c>
      <c r="AP5195" s="4">
        <v>0</v>
      </c>
      <c r="AQ5195" s="4">
        <v>2</v>
      </c>
      <c r="AR5195" s="3" t="s">
        <v>64</v>
      </c>
      <c r="AS5195" s="3" t="s">
        <v>64</v>
      </c>
      <c r="AT5195" s="3" t="s">
        <v>64</v>
      </c>
      <c r="AV5195" s="6" t="str">
        <f>HYPERLINK("http://mcgill.on.worldcat.org/oclc/752068919","Catalog Record")</f>
        <v>Catalog Record</v>
      </c>
      <c r="AW5195" s="6" t="str">
        <f>HYPERLINK("http://www.worldcat.org/oclc/752068919","WorldCat Record")</f>
        <v>WorldCat Record</v>
      </c>
      <c r="AX5195" s="3" t="s">
        <v>50611</v>
      </c>
      <c r="AY5195" s="3" t="s">
        <v>50612</v>
      </c>
      <c r="AZ5195" s="3" t="s">
        <v>50613</v>
      </c>
      <c r="BA5195" s="3" t="s">
        <v>50613</v>
      </c>
      <c r="BB5195" s="3" t="s">
        <v>50614</v>
      </c>
      <c r="BC5195" s="3" t="s">
        <v>77</v>
      </c>
      <c r="BD5195" s="3" t="s">
        <v>78</v>
      </c>
      <c r="BE5195" s="3" t="s">
        <v>50615</v>
      </c>
      <c r="BF5195" s="3" t="s">
        <v>50614</v>
      </c>
      <c r="BG5195" s="3" t="s">
        <v>50616</v>
      </c>
      <c r="BH5195">
        <f t="shared" si="163"/>
        <v>0</v>
      </c>
    </row>
    <row r="5196" spans="1:60" ht="58" x14ac:dyDescent="0.35">
      <c r="A5196" s="2" t="s">
        <v>59</v>
      </c>
      <c r="B5196" s="2" t="s">
        <v>60</v>
      </c>
      <c r="C5196" s="2" t="s">
        <v>50617</v>
      </c>
      <c r="D5196" s="2" t="s">
        <v>50618</v>
      </c>
      <c r="E5196" s="2" t="s">
        <v>50619</v>
      </c>
      <c r="G5196" s="3" t="s">
        <v>64</v>
      </c>
      <c r="I5196" s="3" t="s">
        <v>128</v>
      </c>
      <c r="J5196" s="3" t="s">
        <v>128</v>
      </c>
      <c r="K5196" s="3" t="s">
        <v>65</v>
      </c>
      <c r="L5196" s="2" t="s">
        <v>50620</v>
      </c>
      <c r="M5196" s="2" t="s">
        <v>50621</v>
      </c>
      <c r="N5196" s="3" t="s">
        <v>392</v>
      </c>
      <c r="P5196" s="3" t="s">
        <v>102</v>
      </c>
      <c r="R5196" s="3" t="s">
        <v>49178</v>
      </c>
      <c r="S5196" s="4">
        <v>51</v>
      </c>
      <c r="T5196" s="4">
        <v>63</v>
      </c>
      <c r="U5196" s="5" t="s">
        <v>234</v>
      </c>
      <c r="V5196" s="5" t="s">
        <v>234</v>
      </c>
      <c r="W5196" s="5" t="s">
        <v>72</v>
      </c>
      <c r="X5196" s="5" t="s">
        <v>72</v>
      </c>
      <c r="Y5196" s="4">
        <v>1183</v>
      </c>
      <c r="Z5196" s="4">
        <v>49</v>
      </c>
      <c r="AA5196" s="4">
        <v>91</v>
      </c>
      <c r="AB5196" s="4">
        <v>3</v>
      </c>
      <c r="AC5196" s="4">
        <v>15</v>
      </c>
      <c r="AD5196" s="4">
        <v>129</v>
      </c>
      <c r="AE5196" s="4">
        <v>150</v>
      </c>
      <c r="AF5196" s="4">
        <v>1</v>
      </c>
      <c r="AG5196" s="4">
        <v>6</v>
      </c>
      <c r="AH5196" s="4">
        <v>106</v>
      </c>
      <c r="AI5196" s="4">
        <v>116</v>
      </c>
      <c r="AJ5196" s="4">
        <v>17</v>
      </c>
      <c r="AK5196" s="4">
        <v>24</v>
      </c>
      <c r="AL5196" s="4">
        <v>61</v>
      </c>
      <c r="AM5196" s="4">
        <v>64</v>
      </c>
      <c r="AN5196" s="4">
        <v>5</v>
      </c>
      <c r="AO5196" s="4">
        <v>5</v>
      </c>
      <c r="AP5196" s="4">
        <v>27</v>
      </c>
      <c r="AQ5196" s="4">
        <v>38</v>
      </c>
      <c r="AR5196" s="3" t="s">
        <v>64</v>
      </c>
      <c r="AS5196" s="3" t="s">
        <v>64</v>
      </c>
      <c r="AT5196" s="3" t="s">
        <v>128</v>
      </c>
      <c r="AU5196" s="6" t="str">
        <f>HYPERLINK("http://catalog.hathitrust.org/Record/004063027","HathiTrust Record")</f>
        <v>HathiTrust Record</v>
      </c>
      <c r="AV5196" s="6" t="str">
        <f>HYPERLINK("http://mcgill.on.worldcat.org/oclc/43836713","Catalog Record")</f>
        <v>Catalog Record</v>
      </c>
      <c r="AW5196" s="6" t="str">
        <f>HYPERLINK("http://www.worldcat.org/oclc/43836713","WorldCat Record")</f>
        <v>WorldCat Record</v>
      </c>
      <c r="AX5196" s="3" t="s">
        <v>50622</v>
      </c>
      <c r="AY5196" s="3" t="s">
        <v>50623</v>
      </c>
      <c r="AZ5196" s="3" t="s">
        <v>50624</v>
      </c>
      <c r="BA5196" s="3" t="s">
        <v>50624</v>
      </c>
      <c r="BB5196" s="3" t="s">
        <v>50625</v>
      </c>
      <c r="BC5196" s="3" t="s">
        <v>77</v>
      </c>
      <c r="BD5196" s="3" t="s">
        <v>78</v>
      </c>
      <c r="BE5196" s="3" t="s">
        <v>50626</v>
      </c>
      <c r="BF5196" s="3" t="s">
        <v>50625</v>
      </c>
      <c r="BG5196" s="3" t="s">
        <v>50627</v>
      </c>
      <c r="BH5196">
        <f t="shared" si="163"/>
        <v>0</v>
      </c>
    </row>
    <row r="5197" spans="1:60" ht="58" x14ac:dyDescent="0.35">
      <c r="A5197" s="2" t="s">
        <v>59</v>
      </c>
      <c r="B5197" s="2" t="s">
        <v>60</v>
      </c>
      <c r="C5197" s="2" t="s">
        <v>50617</v>
      </c>
      <c r="D5197" s="2" t="s">
        <v>50618</v>
      </c>
      <c r="E5197" s="2" t="s">
        <v>50619</v>
      </c>
      <c r="G5197" s="3" t="s">
        <v>64</v>
      </c>
      <c r="I5197" s="3" t="s">
        <v>128</v>
      </c>
      <c r="J5197" s="3" t="s">
        <v>128</v>
      </c>
      <c r="K5197" s="3" t="s">
        <v>65</v>
      </c>
      <c r="L5197" s="2" t="s">
        <v>50620</v>
      </c>
      <c r="M5197" s="2" t="s">
        <v>50621</v>
      </c>
      <c r="N5197" s="3" t="s">
        <v>392</v>
      </c>
      <c r="P5197" s="3" t="s">
        <v>102</v>
      </c>
      <c r="R5197" s="3" t="s">
        <v>49178</v>
      </c>
      <c r="S5197" s="4">
        <v>12</v>
      </c>
      <c r="T5197" s="4">
        <v>63</v>
      </c>
      <c r="U5197" s="5" t="s">
        <v>7814</v>
      </c>
      <c r="V5197" s="5" t="s">
        <v>234</v>
      </c>
      <c r="W5197" s="5" t="s">
        <v>72</v>
      </c>
      <c r="X5197" s="5" t="s">
        <v>72</v>
      </c>
      <c r="Y5197" s="4">
        <v>1183</v>
      </c>
      <c r="Z5197" s="4">
        <v>49</v>
      </c>
      <c r="AA5197" s="4">
        <v>91</v>
      </c>
      <c r="AB5197" s="4">
        <v>3</v>
      </c>
      <c r="AC5197" s="4">
        <v>15</v>
      </c>
      <c r="AD5197" s="4">
        <v>129</v>
      </c>
      <c r="AE5197" s="4">
        <v>150</v>
      </c>
      <c r="AF5197" s="4">
        <v>1</v>
      </c>
      <c r="AG5197" s="4">
        <v>6</v>
      </c>
      <c r="AH5197" s="4">
        <v>106</v>
      </c>
      <c r="AI5197" s="4">
        <v>116</v>
      </c>
      <c r="AJ5197" s="4">
        <v>17</v>
      </c>
      <c r="AK5197" s="4">
        <v>24</v>
      </c>
      <c r="AL5197" s="4">
        <v>61</v>
      </c>
      <c r="AM5197" s="4">
        <v>64</v>
      </c>
      <c r="AN5197" s="4">
        <v>5</v>
      </c>
      <c r="AO5197" s="4">
        <v>5</v>
      </c>
      <c r="AP5197" s="4">
        <v>27</v>
      </c>
      <c r="AQ5197" s="4">
        <v>38</v>
      </c>
      <c r="AR5197" s="3" t="s">
        <v>64</v>
      </c>
      <c r="AS5197" s="3" t="s">
        <v>64</v>
      </c>
      <c r="AT5197" s="3" t="s">
        <v>128</v>
      </c>
      <c r="AU5197" s="6" t="str">
        <f>HYPERLINK("http://catalog.hathitrust.org/Record/004063027","HathiTrust Record")</f>
        <v>HathiTrust Record</v>
      </c>
      <c r="AV5197" s="6" t="str">
        <f>HYPERLINK("http://mcgill.on.worldcat.org/oclc/43836713","Catalog Record")</f>
        <v>Catalog Record</v>
      </c>
      <c r="AW5197" s="6" t="str">
        <f>HYPERLINK("http://www.worldcat.org/oclc/43836713","WorldCat Record")</f>
        <v>WorldCat Record</v>
      </c>
      <c r="AX5197" s="3" t="s">
        <v>50622</v>
      </c>
      <c r="AY5197" s="3" t="s">
        <v>50623</v>
      </c>
      <c r="AZ5197" s="3" t="s">
        <v>50624</v>
      </c>
      <c r="BA5197" s="3" t="s">
        <v>50624</v>
      </c>
      <c r="BB5197" s="3" t="s">
        <v>50628</v>
      </c>
      <c r="BC5197" s="3" t="s">
        <v>77</v>
      </c>
      <c r="BD5197" s="3" t="s">
        <v>78</v>
      </c>
      <c r="BE5197" s="3" t="s">
        <v>50626</v>
      </c>
      <c r="BF5197" s="3" t="s">
        <v>50628</v>
      </c>
      <c r="BG5197" s="3" t="s">
        <v>50629</v>
      </c>
      <c r="BH5197">
        <f t="shared" si="163"/>
        <v>0</v>
      </c>
    </row>
    <row r="5198" spans="1:60" ht="58" x14ac:dyDescent="0.35">
      <c r="A5198" s="2" t="s">
        <v>59</v>
      </c>
      <c r="B5198" s="2" t="s">
        <v>60</v>
      </c>
      <c r="C5198" s="2" t="s">
        <v>50630</v>
      </c>
      <c r="D5198" s="2" t="s">
        <v>50631</v>
      </c>
      <c r="E5198" s="2" t="s">
        <v>50632</v>
      </c>
      <c r="F5198" s="3" t="s">
        <v>50633</v>
      </c>
      <c r="G5198" s="3" t="s">
        <v>64</v>
      </c>
      <c r="I5198" s="3" t="s">
        <v>64</v>
      </c>
      <c r="J5198" s="3" t="s">
        <v>128</v>
      </c>
      <c r="K5198" s="3" t="s">
        <v>65</v>
      </c>
      <c r="L5198" s="2" t="s">
        <v>50634</v>
      </c>
      <c r="M5198" s="2" t="s">
        <v>50635</v>
      </c>
      <c r="N5198" s="3" t="s">
        <v>1615</v>
      </c>
      <c r="O5198" s="2" t="s">
        <v>50636</v>
      </c>
      <c r="P5198" s="3" t="s">
        <v>102</v>
      </c>
      <c r="R5198" s="3" t="s">
        <v>49178</v>
      </c>
      <c r="S5198" s="4">
        <v>13</v>
      </c>
      <c r="T5198" s="4">
        <v>13</v>
      </c>
      <c r="U5198" s="5" t="s">
        <v>3677</v>
      </c>
      <c r="V5198" s="5" t="s">
        <v>3677</v>
      </c>
      <c r="W5198" s="5" t="s">
        <v>72</v>
      </c>
      <c r="X5198" s="5" t="s">
        <v>72</v>
      </c>
      <c r="Y5198" s="4">
        <v>475</v>
      </c>
      <c r="Z5198" s="4">
        <v>15</v>
      </c>
      <c r="AA5198" s="4">
        <v>120</v>
      </c>
      <c r="AB5198" s="4">
        <v>1</v>
      </c>
      <c r="AC5198" s="4">
        <v>7</v>
      </c>
      <c r="AD5198" s="4">
        <v>51</v>
      </c>
      <c r="AE5198" s="4">
        <v>142</v>
      </c>
      <c r="AF5198" s="4">
        <v>0</v>
      </c>
      <c r="AG5198" s="4">
        <v>2</v>
      </c>
      <c r="AH5198" s="4">
        <v>47</v>
      </c>
      <c r="AI5198" s="4">
        <v>114</v>
      </c>
      <c r="AJ5198" s="4">
        <v>5</v>
      </c>
      <c r="AK5198" s="4">
        <v>22</v>
      </c>
      <c r="AL5198" s="4">
        <v>24</v>
      </c>
      <c r="AM5198" s="4">
        <v>58</v>
      </c>
      <c r="AN5198" s="4">
        <v>0</v>
      </c>
      <c r="AO5198" s="4">
        <v>0</v>
      </c>
      <c r="AP5198" s="4">
        <v>5</v>
      </c>
      <c r="AQ5198" s="4">
        <v>38</v>
      </c>
      <c r="AR5198" s="3" t="s">
        <v>64</v>
      </c>
      <c r="AS5198" s="3" t="s">
        <v>64</v>
      </c>
      <c r="AT5198" s="3" t="s">
        <v>128</v>
      </c>
      <c r="AU5198" s="6" t="str">
        <f>HYPERLINK("http://catalog.hathitrust.org/Record/003260620","HathiTrust Record")</f>
        <v>HathiTrust Record</v>
      </c>
      <c r="AV5198" s="6" t="str">
        <f>HYPERLINK("http://mcgill.on.worldcat.org/oclc/35908629","Catalog Record")</f>
        <v>Catalog Record</v>
      </c>
      <c r="AW5198" s="6" t="str">
        <f>HYPERLINK("http://www.worldcat.org/oclc/35908629","WorldCat Record")</f>
        <v>WorldCat Record</v>
      </c>
      <c r="AX5198" s="3" t="s">
        <v>50637</v>
      </c>
      <c r="AY5198" s="3" t="s">
        <v>50638</v>
      </c>
      <c r="AZ5198" s="3" t="s">
        <v>50639</v>
      </c>
      <c r="BA5198" s="3" t="s">
        <v>50639</v>
      </c>
      <c r="BB5198" s="3" t="s">
        <v>50640</v>
      </c>
      <c r="BC5198" s="3" t="s">
        <v>77</v>
      </c>
      <c r="BD5198" s="3" t="s">
        <v>78</v>
      </c>
      <c r="BE5198" s="3" t="s">
        <v>50641</v>
      </c>
      <c r="BF5198" s="3" t="s">
        <v>50640</v>
      </c>
      <c r="BG5198" s="3" t="s">
        <v>50642</v>
      </c>
      <c r="BH5198">
        <f t="shared" si="163"/>
        <v>0</v>
      </c>
    </row>
    <row r="5199" spans="1:60" ht="58" x14ac:dyDescent="0.35">
      <c r="A5199" s="2" t="s">
        <v>59</v>
      </c>
      <c r="B5199" s="2" t="s">
        <v>60</v>
      </c>
      <c r="C5199" s="2" t="s">
        <v>50643</v>
      </c>
      <c r="D5199" s="2" t="s">
        <v>50644</v>
      </c>
      <c r="E5199" s="2" t="s">
        <v>50645</v>
      </c>
      <c r="G5199" s="3" t="s">
        <v>64</v>
      </c>
      <c r="I5199" s="3" t="s">
        <v>64</v>
      </c>
      <c r="J5199" s="3" t="s">
        <v>64</v>
      </c>
      <c r="K5199" s="3" t="s">
        <v>65</v>
      </c>
      <c r="L5199" s="2" t="s">
        <v>50646</v>
      </c>
      <c r="M5199" s="2" t="s">
        <v>15158</v>
      </c>
      <c r="N5199" s="3" t="s">
        <v>144</v>
      </c>
      <c r="P5199" s="3" t="s">
        <v>102</v>
      </c>
      <c r="R5199" s="3" t="s">
        <v>49178</v>
      </c>
      <c r="S5199" s="4">
        <v>3</v>
      </c>
      <c r="T5199" s="4">
        <v>3</v>
      </c>
      <c r="U5199" s="5" t="s">
        <v>50647</v>
      </c>
      <c r="V5199" s="5" t="s">
        <v>50647</v>
      </c>
      <c r="W5199" s="5" t="s">
        <v>72</v>
      </c>
      <c r="X5199" s="5" t="s">
        <v>72</v>
      </c>
      <c r="Y5199" s="4">
        <v>804</v>
      </c>
      <c r="Z5199" s="4">
        <v>59</v>
      </c>
      <c r="AA5199" s="4">
        <v>122</v>
      </c>
      <c r="AB5199" s="4">
        <v>4</v>
      </c>
      <c r="AC5199" s="4">
        <v>17</v>
      </c>
      <c r="AD5199" s="4">
        <v>99</v>
      </c>
      <c r="AE5199" s="4">
        <v>133</v>
      </c>
      <c r="AF5199" s="4">
        <v>2</v>
      </c>
      <c r="AG5199" s="4">
        <v>8</v>
      </c>
      <c r="AH5199" s="4">
        <v>80</v>
      </c>
      <c r="AI5199" s="4">
        <v>94</v>
      </c>
      <c r="AJ5199" s="4">
        <v>13</v>
      </c>
      <c r="AK5199" s="4">
        <v>21</v>
      </c>
      <c r="AL5199" s="4">
        <v>41</v>
      </c>
      <c r="AM5199" s="4">
        <v>48</v>
      </c>
      <c r="AN5199" s="4">
        <v>0</v>
      </c>
      <c r="AO5199" s="4">
        <v>0</v>
      </c>
      <c r="AP5199" s="4">
        <v>24</v>
      </c>
      <c r="AQ5199" s="4">
        <v>46</v>
      </c>
      <c r="AR5199" s="3" t="s">
        <v>64</v>
      </c>
      <c r="AS5199" s="3" t="s">
        <v>64</v>
      </c>
      <c r="AT5199" s="3" t="s">
        <v>128</v>
      </c>
      <c r="AU5199" s="6" t="str">
        <f>HYPERLINK("http://catalog.hathitrust.org/Record/005679881","HathiTrust Record")</f>
        <v>HathiTrust Record</v>
      </c>
      <c r="AV5199" s="6" t="str">
        <f>HYPERLINK("http://mcgill.on.worldcat.org/oclc/174112635","Catalog Record")</f>
        <v>Catalog Record</v>
      </c>
      <c r="AW5199" s="6" t="str">
        <f>HYPERLINK("http://www.worldcat.org/oclc/174112635","WorldCat Record")</f>
        <v>WorldCat Record</v>
      </c>
      <c r="AX5199" s="3" t="s">
        <v>50648</v>
      </c>
      <c r="AY5199" s="3" t="s">
        <v>50649</v>
      </c>
      <c r="AZ5199" s="3" t="s">
        <v>50650</v>
      </c>
      <c r="BA5199" s="3" t="s">
        <v>50650</v>
      </c>
      <c r="BB5199" s="3" t="s">
        <v>50651</v>
      </c>
      <c r="BC5199" s="3" t="s">
        <v>77</v>
      </c>
      <c r="BD5199" s="3" t="s">
        <v>78</v>
      </c>
      <c r="BE5199" s="3" t="s">
        <v>50652</v>
      </c>
      <c r="BF5199" s="3" t="s">
        <v>50651</v>
      </c>
      <c r="BG5199" s="3" t="s">
        <v>50653</v>
      </c>
      <c r="BH5199">
        <f t="shared" si="163"/>
        <v>0</v>
      </c>
    </row>
    <row r="5200" spans="1:60" ht="58" x14ac:dyDescent="0.35">
      <c r="A5200" s="2" t="s">
        <v>59</v>
      </c>
      <c r="B5200" s="2" t="s">
        <v>60</v>
      </c>
      <c r="C5200" s="2" t="s">
        <v>50654</v>
      </c>
      <c r="D5200" s="2" t="s">
        <v>50655</v>
      </c>
      <c r="E5200" s="2" t="s">
        <v>50656</v>
      </c>
      <c r="F5200" s="3" t="s">
        <v>26723</v>
      </c>
      <c r="G5200" s="3" t="s">
        <v>64</v>
      </c>
      <c r="I5200" s="3" t="s">
        <v>64</v>
      </c>
      <c r="J5200" s="3" t="s">
        <v>64</v>
      </c>
      <c r="K5200" s="3" t="s">
        <v>65</v>
      </c>
      <c r="L5200" s="2" t="s">
        <v>50657</v>
      </c>
      <c r="M5200" s="2" t="s">
        <v>50658</v>
      </c>
      <c r="N5200" s="3" t="s">
        <v>171</v>
      </c>
      <c r="P5200" s="3" t="s">
        <v>102</v>
      </c>
      <c r="R5200" s="3" t="s">
        <v>49178</v>
      </c>
      <c r="S5200" s="4">
        <v>3</v>
      </c>
      <c r="T5200" s="4">
        <v>3</v>
      </c>
      <c r="U5200" s="5" t="s">
        <v>133</v>
      </c>
      <c r="V5200" s="5" t="s">
        <v>133</v>
      </c>
      <c r="W5200" s="5" t="s">
        <v>72</v>
      </c>
      <c r="X5200" s="5" t="s">
        <v>72</v>
      </c>
      <c r="Y5200" s="4">
        <v>606</v>
      </c>
      <c r="Z5200" s="4">
        <v>35</v>
      </c>
      <c r="AA5200" s="4">
        <v>39</v>
      </c>
      <c r="AB5200" s="4">
        <v>2</v>
      </c>
      <c r="AC5200" s="4">
        <v>6</v>
      </c>
      <c r="AD5200" s="4">
        <v>91</v>
      </c>
      <c r="AE5200" s="4">
        <v>94</v>
      </c>
      <c r="AF5200" s="4">
        <v>1</v>
      </c>
      <c r="AG5200" s="4">
        <v>4</v>
      </c>
      <c r="AH5200" s="4">
        <v>80</v>
      </c>
      <c r="AI5200" s="4">
        <v>80</v>
      </c>
      <c r="AJ5200" s="4">
        <v>15</v>
      </c>
      <c r="AK5200" s="4">
        <v>17</v>
      </c>
      <c r="AL5200" s="4">
        <v>37</v>
      </c>
      <c r="AM5200" s="4">
        <v>37</v>
      </c>
      <c r="AN5200" s="4">
        <v>0</v>
      </c>
      <c r="AO5200" s="4">
        <v>0</v>
      </c>
      <c r="AP5200" s="4">
        <v>21</v>
      </c>
      <c r="AQ5200" s="4">
        <v>23</v>
      </c>
      <c r="AR5200" s="3" t="s">
        <v>64</v>
      </c>
      <c r="AS5200" s="3" t="s">
        <v>64</v>
      </c>
      <c r="AT5200" s="3" t="s">
        <v>128</v>
      </c>
      <c r="AU5200" s="6" t="str">
        <f>HYPERLINK("http://catalog.hathitrust.org/Record/005237593","HathiTrust Record")</f>
        <v>HathiTrust Record</v>
      </c>
      <c r="AV5200" s="6" t="str">
        <f>HYPERLINK("http://mcgill.on.worldcat.org/oclc/71312660","Catalog Record")</f>
        <v>Catalog Record</v>
      </c>
      <c r="AW5200" s="6" t="str">
        <f>HYPERLINK("http://www.worldcat.org/oclc/71312660","WorldCat Record")</f>
        <v>WorldCat Record</v>
      </c>
      <c r="AX5200" s="3" t="s">
        <v>50659</v>
      </c>
      <c r="AY5200" s="3" t="s">
        <v>50660</v>
      </c>
      <c r="AZ5200" s="3" t="s">
        <v>50661</v>
      </c>
      <c r="BA5200" s="3" t="s">
        <v>50661</v>
      </c>
      <c r="BB5200" s="3" t="s">
        <v>50662</v>
      </c>
      <c r="BC5200" s="3" t="s">
        <v>77</v>
      </c>
      <c r="BD5200" s="3" t="s">
        <v>78</v>
      </c>
      <c r="BE5200" s="3" t="s">
        <v>50663</v>
      </c>
      <c r="BF5200" s="3" t="s">
        <v>50662</v>
      </c>
      <c r="BG5200" s="3" t="s">
        <v>50664</v>
      </c>
      <c r="BH5200">
        <f t="shared" si="163"/>
        <v>0</v>
      </c>
    </row>
    <row r="5201" spans="1:60" ht="58" x14ac:dyDescent="0.35">
      <c r="A5201" s="2" t="s">
        <v>59</v>
      </c>
      <c r="B5201" s="2" t="s">
        <v>60</v>
      </c>
      <c r="C5201" s="2" t="s">
        <v>50665</v>
      </c>
      <c r="D5201" s="2" t="s">
        <v>50666</v>
      </c>
      <c r="E5201" s="2" t="s">
        <v>50667</v>
      </c>
      <c r="G5201" s="3" t="s">
        <v>64</v>
      </c>
      <c r="I5201" s="3" t="s">
        <v>64</v>
      </c>
      <c r="J5201" s="3" t="s">
        <v>64</v>
      </c>
      <c r="K5201" s="3" t="s">
        <v>65</v>
      </c>
      <c r="M5201" s="2" t="s">
        <v>50668</v>
      </c>
      <c r="N5201" s="3" t="s">
        <v>551</v>
      </c>
      <c r="P5201" s="3" t="s">
        <v>102</v>
      </c>
      <c r="R5201" s="3" t="s">
        <v>49178</v>
      </c>
      <c r="S5201" s="4">
        <v>4</v>
      </c>
      <c r="T5201" s="4">
        <v>4</v>
      </c>
      <c r="U5201" s="5" t="s">
        <v>133</v>
      </c>
      <c r="V5201" s="5" t="s">
        <v>133</v>
      </c>
      <c r="W5201" s="5" t="s">
        <v>72</v>
      </c>
      <c r="X5201" s="5" t="s">
        <v>72</v>
      </c>
      <c r="Y5201" s="4">
        <v>430</v>
      </c>
      <c r="Z5201" s="4">
        <v>22</v>
      </c>
      <c r="AA5201" s="4">
        <v>26</v>
      </c>
      <c r="AB5201" s="4">
        <v>3</v>
      </c>
      <c r="AC5201" s="4">
        <v>6</v>
      </c>
      <c r="AD5201" s="4">
        <v>74</v>
      </c>
      <c r="AE5201" s="4">
        <v>80</v>
      </c>
      <c r="AF5201" s="4">
        <v>1</v>
      </c>
      <c r="AG5201" s="4">
        <v>2</v>
      </c>
      <c r="AH5201" s="4">
        <v>66</v>
      </c>
      <c r="AI5201" s="4">
        <v>71</v>
      </c>
      <c r="AJ5201" s="4">
        <v>10</v>
      </c>
      <c r="AK5201" s="4">
        <v>11</v>
      </c>
      <c r="AL5201" s="4">
        <v>33</v>
      </c>
      <c r="AM5201" s="4">
        <v>37</v>
      </c>
      <c r="AN5201" s="4">
        <v>0</v>
      </c>
      <c r="AO5201" s="4">
        <v>0</v>
      </c>
      <c r="AP5201" s="4">
        <v>13</v>
      </c>
      <c r="AQ5201" s="4">
        <v>13</v>
      </c>
      <c r="AR5201" s="3" t="s">
        <v>64</v>
      </c>
      <c r="AS5201" s="3" t="s">
        <v>64</v>
      </c>
      <c r="AT5201" s="3" t="s">
        <v>64</v>
      </c>
      <c r="AV5201" s="6" t="str">
        <f>HYPERLINK("http://mcgill.on.worldcat.org/oclc/253634660","Catalog Record")</f>
        <v>Catalog Record</v>
      </c>
      <c r="AW5201" s="6" t="str">
        <f>HYPERLINK("http://www.worldcat.org/oclc/253634660","WorldCat Record")</f>
        <v>WorldCat Record</v>
      </c>
      <c r="AX5201" s="3" t="s">
        <v>50669</v>
      </c>
      <c r="AY5201" s="3" t="s">
        <v>50670</v>
      </c>
      <c r="AZ5201" s="3" t="s">
        <v>50671</v>
      </c>
      <c r="BA5201" s="3" t="s">
        <v>50671</v>
      </c>
      <c r="BB5201" s="3" t="s">
        <v>50672</v>
      </c>
      <c r="BC5201" s="3" t="s">
        <v>77</v>
      </c>
      <c r="BD5201" s="3" t="s">
        <v>78</v>
      </c>
      <c r="BE5201" s="3" t="s">
        <v>50673</v>
      </c>
      <c r="BF5201" s="3" t="s">
        <v>50672</v>
      </c>
      <c r="BG5201" s="3" t="s">
        <v>50674</v>
      </c>
      <c r="BH5201">
        <f t="shared" si="163"/>
        <v>0</v>
      </c>
    </row>
    <row r="5202" spans="1:60" ht="58" x14ac:dyDescent="0.35">
      <c r="A5202" s="2" t="s">
        <v>59</v>
      </c>
      <c r="B5202" s="2" t="s">
        <v>60</v>
      </c>
      <c r="C5202" s="2" t="s">
        <v>50675</v>
      </c>
      <c r="D5202" s="2" t="s">
        <v>50676</v>
      </c>
      <c r="E5202" s="2" t="s">
        <v>50677</v>
      </c>
      <c r="G5202" s="3" t="s">
        <v>64</v>
      </c>
      <c r="I5202" s="3" t="s">
        <v>64</v>
      </c>
      <c r="J5202" s="3" t="s">
        <v>64</v>
      </c>
      <c r="K5202" s="3" t="s">
        <v>65</v>
      </c>
      <c r="L5202" s="2" t="s">
        <v>50678</v>
      </c>
      <c r="M5202" s="2" t="s">
        <v>50679</v>
      </c>
      <c r="N5202" s="3" t="s">
        <v>511</v>
      </c>
      <c r="O5202" s="2" t="s">
        <v>2149</v>
      </c>
      <c r="P5202" s="3" t="s">
        <v>102</v>
      </c>
      <c r="R5202" s="3" t="s">
        <v>49178</v>
      </c>
      <c r="S5202" s="4">
        <v>7</v>
      </c>
      <c r="T5202" s="4">
        <v>7</v>
      </c>
      <c r="U5202" s="5" t="s">
        <v>133</v>
      </c>
      <c r="V5202" s="5" t="s">
        <v>133</v>
      </c>
      <c r="W5202" s="5" t="s">
        <v>72</v>
      </c>
      <c r="X5202" s="5" t="s">
        <v>72</v>
      </c>
      <c r="Y5202" s="4">
        <v>960</v>
      </c>
      <c r="Z5202" s="4">
        <v>39</v>
      </c>
      <c r="AA5202" s="4">
        <v>47</v>
      </c>
      <c r="AB5202" s="4">
        <v>3</v>
      </c>
      <c r="AC5202" s="4">
        <v>5</v>
      </c>
      <c r="AD5202" s="4">
        <v>113</v>
      </c>
      <c r="AE5202" s="4">
        <v>118</v>
      </c>
      <c r="AF5202" s="4">
        <v>1</v>
      </c>
      <c r="AG5202" s="4">
        <v>2</v>
      </c>
      <c r="AH5202" s="4">
        <v>95</v>
      </c>
      <c r="AI5202" s="4">
        <v>97</v>
      </c>
      <c r="AJ5202" s="4">
        <v>14</v>
      </c>
      <c r="AK5202" s="4">
        <v>17</v>
      </c>
      <c r="AL5202" s="4">
        <v>55</v>
      </c>
      <c r="AM5202" s="4">
        <v>55</v>
      </c>
      <c r="AN5202" s="4">
        <v>0</v>
      </c>
      <c r="AO5202" s="4">
        <v>0</v>
      </c>
      <c r="AP5202" s="4">
        <v>20</v>
      </c>
      <c r="AQ5202" s="4">
        <v>25</v>
      </c>
      <c r="AR5202" s="3" t="s">
        <v>64</v>
      </c>
      <c r="AS5202" s="3" t="s">
        <v>64</v>
      </c>
      <c r="AT5202" s="3" t="s">
        <v>64</v>
      </c>
      <c r="AV5202" s="6" t="str">
        <f>HYPERLINK("http://mcgill.on.worldcat.org/oclc/456171442","Catalog Record")</f>
        <v>Catalog Record</v>
      </c>
      <c r="AW5202" s="6" t="str">
        <f>HYPERLINK("http://www.worldcat.org/oclc/456171442","WorldCat Record")</f>
        <v>WorldCat Record</v>
      </c>
      <c r="AX5202" s="3" t="s">
        <v>50680</v>
      </c>
      <c r="AY5202" s="3" t="s">
        <v>50681</v>
      </c>
      <c r="AZ5202" s="3" t="s">
        <v>50682</v>
      </c>
      <c r="BA5202" s="3" t="s">
        <v>50682</v>
      </c>
      <c r="BB5202" s="3" t="s">
        <v>50683</v>
      </c>
      <c r="BC5202" s="3" t="s">
        <v>77</v>
      </c>
      <c r="BD5202" s="3" t="s">
        <v>78</v>
      </c>
      <c r="BE5202" s="3" t="s">
        <v>50684</v>
      </c>
      <c r="BF5202" s="3" t="s">
        <v>50683</v>
      </c>
      <c r="BG5202" s="3" t="s">
        <v>50685</v>
      </c>
      <c r="BH5202">
        <f t="shared" si="163"/>
        <v>0</v>
      </c>
    </row>
    <row r="5203" spans="1:60" ht="58" x14ac:dyDescent="0.35">
      <c r="A5203" s="2" t="s">
        <v>59</v>
      </c>
      <c r="B5203" s="2" t="s">
        <v>60</v>
      </c>
      <c r="C5203" s="2" t="s">
        <v>50686</v>
      </c>
      <c r="D5203" s="2" t="s">
        <v>50687</v>
      </c>
      <c r="E5203" s="2" t="s">
        <v>50688</v>
      </c>
      <c r="G5203" s="3" t="s">
        <v>64</v>
      </c>
      <c r="I5203" s="3" t="s">
        <v>64</v>
      </c>
      <c r="J5203" s="3" t="s">
        <v>64</v>
      </c>
      <c r="K5203" s="3" t="s">
        <v>65</v>
      </c>
      <c r="M5203" s="2" t="s">
        <v>8509</v>
      </c>
      <c r="N5203" s="3" t="s">
        <v>144</v>
      </c>
      <c r="P5203" s="3" t="s">
        <v>102</v>
      </c>
      <c r="Q5203" s="2" t="s">
        <v>8981</v>
      </c>
      <c r="R5203" s="3" t="s">
        <v>49178</v>
      </c>
      <c r="S5203" s="4">
        <v>4</v>
      </c>
      <c r="T5203" s="4">
        <v>4</v>
      </c>
      <c r="U5203" s="5" t="s">
        <v>133</v>
      </c>
      <c r="V5203" s="5" t="s">
        <v>133</v>
      </c>
      <c r="W5203" s="5" t="s">
        <v>72</v>
      </c>
      <c r="X5203" s="5" t="s">
        <v>72</v>
      </c>
      <c r="Y5203" s="4">
        <v>299</v>
      </c>
      <c r="Z5203" s="4">
        <v>31</v>
      </c>
      <c r="AA5203" s="4">
        <v>42</v>
      </c>
      <c r="AB5203" s="4">
        <v>4</v>
      </c>
      <c r="AC5203" s="4">
        <v>8</v>
      </c>
      <c r="AD5203" s="4">
        <v>68</v>
      </c>
      <c r="AE5203" s="4">
        <v>78</v>
      </c>
      <c r="AF5203" s="4">
        <v>2</v>
      </c>
      <c r="AG5203" s="4">
        <v>4</v>
      </c>
      <c r="AH5203" s="4">
        <v>54</v>
      </c>
      <c r="AI5203" s="4">
        <v>61</v>
      </c>
      <c r="AJ5203" s="4">
        <v>14</v>
      </c>
      <c r="AK5203" s="4">
        <v>16</v>
      </c>
      <c r="AL5203" s="4">
        <v>32</v>
      </c>
      <c r="AM5203" s="4">
        <v>34</v>
      </c>
      <c r="AN5203" s="4">
        <v>0</v>
      </c>
      <c r="AO5203" s="4">
        <v>0</v>
      </c>
      <c r="AP5203" s="4">
        <v>21</v>
      </c>
      <c r="AQ5203" s="4">
        <v>24</v>
      </c>
      <c r="AR5203" s="3" t="s">
        <v>64</v>
      </c>
      <c r="AS5203" s="3" t="s">
        <v>64</v>
      </c>
      <c r="AT5203" s="3" t="s">
        <v>64</v>
      </c>
      <c r="AV5203" s="6" t="str">
        <f>HYPERLINK("http://mcgill.on.worldcat.org/oclc/148313886","Catalog Record")</f>
        <v>Catalog Record</v>
      </c>
      <c r="AW5203" s="6" t="str">
        <f>HYPERLINK("http://www.worldcat.org/oclc/148313886","WorldCat Record")</f>
        <v>WorldCat Record</v>
      </c>
      <c r="AX5203" s="3" t="s">
        <v>50689</v>
      </c>
      <c r="AY5203" s="3" t="s">
        <v>50690</v>
      </c>
      <c r="AZ5203" s="3" t="s">
        <v>50691</v>
      </c>
      <c r="BA5203" s="3" t="s">
        <v>50691</v>
      </c>
      <c r="BB5203" s="3" t="s">
        <v>50692</v>
      </c>
      <c r="BC5203" s="3" t="s">
        <v>77</v>
      </c>
      <c r="BD5203" s="3" t="s">
        <v>78</v>
      </c>
      <c r="BE5203" s="3" t="s">
        <v>50693</v>
      </c>
      <c r="BF5203" s="3" t="s">
        <v>50692</v>
      </c>
      <c r="BG5203" s="3" t="s">
        <v>50694</v>
      </c>
      <c r="BH5203">
        <f t="shared" si="163"/>
        <v>0</v>
      </c>
    </row>
    <row r="5204" spans="1:60" ht="58" x14ac:dyDescent="0.35">
      <c r="A5204" s="2" t="s">
        <v>59</v>
      </c>
      <c r="B5204" s="2" t="s">
        <v>60</v>
      </c>
      <c r="C5204" s="2" t="s">
        <v>50695</v>
      </c>
      <c r="D5204" s="2" t="s">
        <v>50696</v>
      </c>
      <c r="E5204" s="2" t="s">
        <v>50697</v>
      </c>
      <c r="G5204" s="3" t="s">
        <v>64</v>
      </c>
      <c r="I5204" s="3" t="s">
        <v>64</v>
      </c>
      <c r="J5204" s="3" t="s">
        <v>64</v>
      </c>
      <c r="K5204" s="3" t="s">
        <v>65</v>
      </c>
      <c r="M5204" s="2" t="s">
        <v>50698</v>
      </c>
      <c r="N5204" s="3" t="s">
        <v>253</v>
      </c>
      <c r="P5204" s="3" t="s">
        <v>102</v>
      </c>
      <c r="R5204" s="3" t="s">
        <v>49178</v>
      </c>
      <c r="S5204" s="4">
        <v>1</v>
      </c>
      <c r="T5204" s="4">
        <v>1</v>
      </c>
      <c r="U5204" s="5" t="s">
        <v>133</v>
      </c>
      <c r="V5204" s="5" t="s">
        <v>133</v>
      </c>
      <c r="W5204" s="5" t="s">
        <v>72</v>
      </c>
      <c r="X5204" s="5" t="s">
        <v>72</v>
      </c>
      <c r="Y5204" s="4">
        <v>59</v>
      </c>
      <c r="Z5204" s="4">
        <v>7</v>
      </c>
      <c r="AA5204" s="4">
        <v>69</v>
      </c>
      <c r="AB5204" s="4">
        <v>1</v>
      </c>
      <c r="AC5204" s="4">
        <v>14</v>
      </c>
      <c r="AD5204" s="4">
        <v>17</v>
      </c>
      <c r="AE5204" s="4">
        <v>84</v>
      </c>
      <c r="AF5204" s="4">
        <v>0</v>
      </c>
      <c r="AG5204" s="4">
        <v>8</v>
      </c>
      <c r="AH5204" s="4">
        <v>16</v>
      </c>
      <c r="AI5204" s="4">
        <v>54</v>
      </c>
      <c r="AJ5204" s="4">
        <v>4</v>
      </c>
      <c r="AK5204" s="4">
        <v>17</v>
      </c>
      <c r="AL5204" s="4">
        <v>8</v>
      </c>
      <c r="AM5204" s="4">
        <v>27</v>
      </c>
      <c r="AN5204" s="4">
        <v>0</v>
      </c>
      <c r="AO5204" s="4">
        <v>0</v>
      </c>
      <c r="AP5204" s="4">
        <v>4</v>
      </c>
      <c r="AQ5204" s="4">
        <v>36</v>
      </c>
      <c r="AR5204" s="3" t="s">
        <v>64</v>
      </c>
      <c r="AS5204" s="3" t="s">
        <v>64</v>
      </c>
      <c r="AT5204" s="3" t="s">
        <v>64</v>
      </c>
      <c r="AV5204" s="6" t="str">
        <f>HYPERLINK("http://mcgill.on.worldcat.org/oclc/913831900","Catalog Record")</f>
        <v>Catalog Record</v>
      </c>
      <c r="AW5204" s="6" t="str">
        <f>HYPERLINK("http://www.worldcat.org/oclc/913831900","WorldCat Record")</f>
        <v>WorldCat Record</v>
      </c>
      <c r="AX5204" s="3" t="s">
        <v>50699</v>
      </c>
      <c r="AY5204" s="3" t="s">
        <v>50700</v>
      </c>
      <c r="AZ5204" s="3" t="s">
        <v>50701</v>
      </c>
      <c r="BA5204" s="3" t="s">
        <v>50701</v>
      </c>
      <c r="BB5204" s="3" t="s">
        <v>50702</v>
      </c>
      <c r="BC5204" s="3" t="s">
        <v>77</v>
      </c>
      <c r="BD5204" s="3" t="s">
        <v>78</v>
      </c>
      <c r="BE5204" s="3" t="s">
        <v>50703</v>
      </c>
      <c r="BF5204" s="3" t="s">
        <v>50702</v>
      </c>
      <c r="BG5204" s="3" t="s">
        <v>50704</v>
      </c>
      <c r="BH5204">
        <f t="shared" si="163"/>
        <v>0</v>
      </c>
    </row>
    <row r="5205" spans="1:60" ht="58" x14ac:dyDescent="0.35">
      <c r="A5205" s="2" t="s">
        <v>59</v>
      </c>
      <c r="B5205" s="2" t="s">
        <v>60</v>
      </c>
      <c r="C5205" s="2" t="s">
        <v>50705</v>
      </c>
      <c r="D5205" s="2" t="s">
        <v>50706</v>
      </c>
      <c r="E5205" s="2" t="s">
        <v>50707</v>
      </c>
      <c r="G5205" s="3" t="s">
        <v>64</v>
      </c>
      <c r="I5205" s="3" t="s">
        <v>64</v>
      </c>
      <c r="J5205" s="3" t="s">
        <v>64</v>
      </c>
      <c r="K5205" s="3" t="s">
        <v>65</v>
      </c>
      <c r="L5205" s="2" t="s">
        <v>50708</v>
      </c>
      <c r="M5205" s="2" t="s">
        <v>50709</v>
      </c>
      <c r="N5205" s="3" t="s">
        <v>537</v>
      </c>
      <c r="O5205" s="2" t="s">
        <v>50710</v>
      </c>
      <c r="P5205" s="3" t="s">
        <v>102</v>
      </c>
      <c r="R5205" s="3" t="s">
        <v>49178</v>
      </c>
      <c r="S5205" s="4">
        <v>2</v>
      </c>
      <c r="T5205" s="4">
        <v>2</v>
      </c>
      <c r="U5205" s="5" t="s">
        <v>3677</v>
      </c>
      <c r="V5205" s="5" t="s">
        <v>3677</v>
      </c>
      <c r="W5205" s="5" t="s">
        <v>72</v>
      </c>
      <c r="X5205" s="5" t="s">
        <v>72</v>
      </c>
      <c r="Y5205" s="4">
        <v>812</v>
      </c>
      <c r="Z5205" s="4">
        <v>23</v>
      </c>
      <c r="AA5205" s="4">
        <v>32</v>
      </c>
      <c r="AB5205" s="4">
        <v>1</v>
      </c>
      <c r="AC5205" s="4">
        <v>4</v>
      </c>
      <c r="AD5205" s="4">
        <v>72</v>
      </c>
      <c r="AE5205" s="4">
        <v>76</v>
      </c>
      <c r="AF5205" s="4">
        <v>0</v>
      </c>
      <c r="AG5205" s="4">
        <v>0</v>
      </c>
      <c r="AH5205" s="4">
        <v>66</v>
      </c>
      <c r="AI5205" s="4">
        <v>67</v>
      </c>
      <c r="AJ5205" s="4">
        <v>7</v>
      </c>
      <c r="AK5205" s="4">
        <v>7</v>
      </c>
      <c r="AL5205" s="4">
        <v>43</v>
      </c>
      <c r="AM5205" s="4">
        <v>43</v>
      </c>
      <c r="AN5205" s="4">
        <v>0</v>
      </c>
      <c r="AO5205" s="4">
        <v>0</v>
      </c>
      <c r="AP5205" s="4">
        <v>8</v>
      </c>
      <c r="AQ5205" s="4">
        <v>11</v>
      </c>
      <c r="AR5205" s="3" t="s">
        <v>64</v>
      </c>
      <c r="AS5205" s="3" t="s">
        <v>64</v>
      </c>
      <c r="AT5205" s="3" t="s">
        <v>64</v>
      </c>
      <c r="AV5205" s="6" t="str">
        <f>HYPERLINK("http://mcgill.on.worldcat.org/oclc/932463247","Catalog Record")</f>
        <v>Catalog Record</v>
      </c>
      <c r="AW5205" s="6" t="str">
        <f>HYPERLINK("http://www.worldcat.org/oclc/932463247","WorldCat Record")</f>
        <v>WorldCat Record</v>
      </c>
      <c r="AX5205" s="3" t="s">
        <v>50711</v>
      </c>
      <c r="AY5205" s="3" t="s">
        <v>50712</v>
      </c>
      <c r="AZ5205" s="3" t="s">
        <v>50713</v>
      </c>
      <c r="BA5205" s="3" t="s">
        <v>50713</v>
      </c>
      <c r="BB5205" s="3" t="s">
        <v>50714</v>
      </c>
      <c r="BC5205" s="3" t="s">
        <v>77</v>
      </c>
      <c r="BD5205" s="3" t="s">
        <v>78</v>
      </c>
      <c r="BE5205" s="3" t="s">
        <v>50715</v>
      </c>
      <c r="BF5205" s="3" t="s">
        <v>50714</v>
      </c>
      <c r="BG5205" s="3" t="s">
        <v>50716</v>
      </c>
      <c r="BH5205">
        <f t="shared" si="163"/>
        <v>0</v>
      </c>
    </row>
    <row r="5206" spans="1:60" ht="58" x14ac:dyDescent="0.35">
      <c r="A5206" s="2" t="s">
        <v>59</v>
      </c>
      <c r="B5206" s="2" t="s">
        <v>60</v>
      </c>
      <c r="C5206" s="2" t="s">
        <v>50717</v>
      </c>
      <c r="D5206" s="2" t="s">
        <v>50718</v>
      </c>
      <c r="E5206" s="2" t="s">
        <v>50719</v>
      </c>
      <c r="G5206" s="3" t="s">
        <v>64</v>
      </c>
      <c r="I5206" s="3" t="s">
        <v>64</v>
      </c>
      <c r="J5206" s="3" t="s">
        <v>64</v>
      </c>
      <c r="K5206" s="3" t="s">
        <v>65</v>
      </c>
      <c r="L5206" s="2" t="s">
        <v>50720</v>
      </c>
      <c r="M5206" s="2" t="s">
        <v>50721</v>
      </c>
      <c r="N5206" s="3" t="s">
        <v>253</v>
      </c>
      <c r="P5206" s="3" t="s">
        <v>102</v>
      </c>
      <c r="Q5206" s="2" t="s">
        <v>50722</v>
      </c>
      <c r="R5206" s="3" t="s">
        <v>49178</v>
      </c>
      <c r="S5206" s="4">
        <v>4</v>
      </c>
      <c r="T5206" s="4">
        <v>4</v>
      </c>
      <c r="U5206" s="5" t="s">
        <v>14927</v>
      </c>
      <c r="V5206" s="5" t="s">
        <v>14927</v>
      </c>
      <c r="W5206" s="5" t="s">
        <v>72</v>
      </c>
      <c r="X5206" s="5" t="s">
        <v>72</v>
      </c>
      <c r="Y5206" s="4">
        <v>60</v>
      </c>
      <c r="Z5206" s="4">
        <v>9</v>
      </c>
      <c r="AA5206" s="4">
        <v>9</v>
      </c>
      <c r="AB5206" s="4">
        <v>1</v>
      </c>
      <c r="AC5206" s="4">
        <v>1</v>
      </c>
      <c r="AD5206" s="4">
        <v>32</v>
      </c>
      <c r="AE5206" s="4">
        <v>32</v>
      </c>
      <c r="AF5206" s="4">
        <v>0</v>
      </c>
      <c r="AG5206" s="4">
        <v>0</v>
      </c>
      <c r="AH5206" s="4">
        <v>30</v>
      </c>
      <c r="AI5206" s="4">
        <v>30</v>
      </c>
      <c r="AJ5206" s="4">
        <v>7</v>
      </c>
      <c r="AK5206" s="4">
        <v>7</v>
      </c>
      <c r="AL5206" s="4">
        <v>17</v>
      </c>
      <c r="AM5206" s="4">
        <v>17</v>
      </c>
      <c r="AN5206" s="4">
        <v>0</v>
      </c>
      <c r="AO5206" s="4">
        <v>0</v>
      </c>
      <c r="AP5206" s="4">
        <v>7</v>
      </c>
      <c r="AQ5206" s="4">
        <v>7</v>
      </c>
      <c r="AR5206" s="3" t="s">
        <v>64</v>
      </c>
      <c r="AS5206" s="3" t="s">
        <v>64</v>
      </c>
      <c r="AT5206" s="3" t="s">
        <v>64</v>
      </c>
      <c r="AV5206" s="6" t="str">
        <f>HYPERLINK("http://mcgill.on.worldcat.org/oclc/914156955","Catalog Record")</f>
        <v>Catalog Record</v>
      </c>
      <c r="AW5206" s="6" t="str">
        <f>HYPERLINK("http://www.worldcat.org/oclc/914156955","WorldCat Record")</f>
        <v>WorldCat Record</v>
      </c>
      <c r="AX5206" s="3" t="s">
        <v>50723</v>
      </c>
      <c r="AY5206" s="3" t="s">
        <v>50724</v>
      </c>
      <c r="AZ5206" s="3" t="s">
        <v>50725</v>
      </c>
      <c r="BA5206" s="3" t="s">
        <v>50725</v>
      </c>
      <c r="BB5206" s="3" t="s">
        <v>50726</v>
      </c>
      <c r="BC5206" s="3" t="s">
        <v>77</v>
      </c>
      <c r="BD5206" s="3" t="s">
        <v>78</v>
      </c>
      <c r="BE5206" s="3" t="s">
        <v>50727</v>
      </c>
      <c r="BF5206" s="3" t="s">
        <v>50726</v>
      </c>
      <c r="BG5206" s="3" t="s">
        <v>50728</v>
      </c>
      <c r="BH5206">
        <f t="shared" si="163"/>
        <v>0</v>
      </c>
    </row>
    <row r="5207" spans="1:60" ht="58" x14ac:dyDescent="0.35">
      <c r="A5207" s="2" t="s">
        <v>59</v>
      </c>
      <c r="B5207" s="2" t="s">
        <v>60</v>
      </c>
      <c r="C5207" s="2" t="s">
        <v>50729</v>
      </c>
      <c r="D5207" s="2" t="s">
        <v>50730</v>
      </c>
      <c r="E5207" s="2" t="s">
        <v>50731</v>
      </c>
      <c r="G5207" s="3" t="s">
        <v>64</v>
      </c>
      <c r="I5207" s="3" t="s">
        <v>64</v>
      </c>
      <c r="J5207" s="3" t="s">
        <v>64</v>
      </c>
      <c r="K5207" s="3" t="s">
        <v>65</v>
      </c>
      <c r="L5207" s="2" t="s">
        <v>50732</v>
      </c>
      <c r="M5207" s="2" t="s">
        <v>15333</v>
      </c>
      <c r="N5207" s="3" t="s">
        <v>67</v>
      </c>
      <c r="P5207" s="3" t="s">
        <v>102</v>
      </c>
      <c r="R5207" s="3" t="s">
        <v>49178</v>
      </c>
      <c r="S5207" s="4">
        <v>2</v>
      </c>
      <c r="T5207" s="4">
        <v>2</v>
      </c>
      <c r="U5207" s="5" t="s">
        <v>133</v>
      </c>
      <c r="V5207" s="5" t="s">
        <v>133</v>
      </c>
      <c r="W5207" s="5" t="s">
        <v>72</v>
      </c>
      <c r="X5207" s="5" t="s">
        <v>72</v>
      </c>
      <c r="Y5207" s="4">
        <v>154</v>
      </c>
      <c r="Z5207" s="4">
        <v>12</v>
      </c>
      <c r="AA5207" s="4">
        <v>78</v>
      </c>
      <c r="AB5207" s="4">
        <v>1</v>
      </c>
      <c r="AC5207" s="4">
        <v>15</v>
      </c>
      <c r="AD5207" s="4">
        <v>43</v>
      </c>
      <c r="AE5207" s="4">
        <v>100</v>
      </c>
      <c r="AF5207" s="4">
        <v>0</v>
      </c>
      <c r="AG5207" s="4">
        <v>8</v>
      </c>
      <c r="AH5207" s="4">
        <v>38</v>
      </c>
      <c r="AI5207" s="4">
        <v>66</v>
      </c>
      <c r="AJ5207" s="4">
        <v>8</v>
      </c>
      <c r="AK5207" s="4">
        <v>19</v>
      </c>
      <c r="AL5207" s="4">
        <v>25</v>
      </c>
      <c r="AM5207" s="4">
        <v>37</v>
      </c>
      <c r="AN5207" s="4">
        <v>0</v>
      </c>
      <c r="AO5207" s="4">
        <v>0</v>
      </c>
      <c r="AP5207" s="4">
        <v>9</v>
      </c>
      <c r="AQ5207" s="4">
        <v>40</v>
      </c>
      <c r="AR5207" s="3" t="s">
        <v>64</v>
      </c>
      <c r="AS5207" s="3" t="s">
        <v>64</v>
      </c>
      <c r="AT5207" s="3" t="s">
        <v>64</v>
      </c>
      <c r="AV5207" s="6" t="str">
        <f>HYPERLINK("http://mcgill.on.worldcat.org/oclc/890934005","Catalog Record")</f>
        <v>Catalog Record</v>
      </c>
      <c r="AW5207" s="6" t="str">
        <f>HYPERLINK("http://www.worldcat.org/oclc/890934005","WorldCat Record")</f>
        <v>WorldCat Record</v>
      </c>
      <c r="AX5207" s="3" t="s">
        <v>50733</v>
      </c>
      <c r="AY5207" s="3" t="s">
        <v>50734</v>
      </c>
      <c r="AZ5207" s="3" t="s">
        <v>50735</v>
      </c>
      <c r="BA5207" s="3" t="s">
        <v>50735</v>
      </c>
      <c r="BB5207" s="3" t="s">
        <v>50736</v>
      </c>
      <c r="BC5207" s="3" t="s">
        <v>77</v>
      </c>
      <c r="BD5207" s="3" t="s">
        <v>165</v>
      </c>
      <c r="BE5207" s="3" t="s">
        <v>50737</v>
      </c>
      <c r="BF5207" s="3" t="s">
        <v>50736</v>
      </c>
      <c r="BG5207" s="3" t="s">
        <v>50738</v>
      </c>
      <c r="BH5207">
        <f t="shared" si="163"/>
        <v>0</v>
      </c>
    </row>
    <row r="5208" spans="1:60" ht="58" x14ac:dyDescent="0.35">
      <c r="A5208" s="2" t="s">
        <v>59</v>
      </c>
      <c r="B5208" s="2" t="s">
        <v>60</v>
      </c>
      <c r="C5208" s="2" t="s">
        <v>50739</v>
      </c>
      <c r="D5208" s="2" t="s">
        <v>50740</v>
      </c>
      <c r="E5208" s="2" t="s">
        <v>50741</v>
      </c>
      <c r="G5208" s="3" t="s">
        <v>64</v>
      </c>
      <c r="I5208" s="3" t="s">
        <v>64</v>
      </c>
      <c r="J5208" s="3" t="s">
        <v>64</v>
      </c>
      <c r="K5208" s="3" t="s">
        <v>65</v>
      </c>
      <c r="M5208" s="2" t="s">
        <v>50742</v>
      </c>
      <c r="N5208" s="3" t="s">
        <v>326</v>
      </c>
      <c r="P5208" s="3" t="s">
        <v>102</v>
      </c>
      <c r="R5208" s="3" t="s">
        <v>49178</v>
      </c>
      <c r="S5208" s="4">
        <v>11</v>
      </c>
      <c r="T5208" s="4">
        <v>11</v>
      </c>
      <c r="U5208" s="5" t="s">
        <v>11802</v>
      </c>
      <c r="V5208" s="5" t="s">
        <v>11802</v>
      </c>
      <c r="W5208" s="5" t="s">
        <v>72</v>
      </c>
      <c r="X5208" s="5" t="s">
        <v>72</v>
      </c>
      <c r="Y5208" s="4">
        <v>176</v>
      </c>
      <c r="Z5208" s="4">
        <v>15</v>
      </c>
      <c r="AA5208" s="4">
        <v>23</v>
      </c>
      <c r="AB5208" s="4">
        <v>2</v>
      </c>
      <c r="AC5208" s="4">
        <v>4</v>
      </c>
      <c r="AD5208" s="4">
        <v>40</v>
      </c>
      <c r="AE5208" s="4">
        <v>56</v>
      </c>
      <c r="AF5208" s="4">
        <v>1</v>
      </c>
      <c r="AG5208" s="4">
        <v>1</v>
      </c>
      <c r="AH5208" s="4">
        <v>36</v>
      </c>
      <c r="AI5208" s="4">
        <v>50</v>
      </c>
      <c r="AJ5208" s="4">
        <v>9</v>
      </c>
      <c r="AK5208" s="4">
        <v>13</v>
      </c>
      <c r="AL5208" s="4">
        <v>24</v>
      </c>
      <c r="AM5208" s="4">
        <v>31</v>
      </c>
      <c r="AN5208" s="4">
        <v>0</v>
      </c>
      <c r="AO5208" s="4">
        <v>0</v>
      </c>
      <c r="AP5208" s="4">
        <v>9</v>
      </c>
      <c r="AQ5208" s="4">
        <v>13</v>
      </c>
      <c r="AR5208" s="3" t="s">
        <v>64</v>
      </c>
      <c r="AS5208" s="3" t="s">
        <v>64</v>
      </c>
      <c r="AT5208" s="3" t="s">
        <v>64</v>
      </c>
      <c r="AV5208" s="6" t="str">
        <f>HYPERLINK("http://mcgill.on.worldcat.org/oclc/724673922","Catalog Record")</f>
        <v>Catalog Record</v>
      </c>
      <c r="AW5208" s="6" t="str">
        <f>HYPERLINK("http://www.worldcat.org/oclc/724673922","WorldCat Record")</f>
        <v>WorldCat Record</v>
      </c>
      <c r="AX5208" s="3" t="s">
        <v>50743</v>
      </c>
      <c r="AY5208" s="3" t="s">
        <v>50744</v>
      </c>
      <c r="AZ5208" s="3" t="s">
        <v>50745</v>
      </c>
      <c r="BA5208" s="3" t="s">
        <v>50745</v>
      </c>
      <c r="BB5208" s="3" t="s">
        <v>50746</v>
      </c>
      <c r="BC5208" s="3" t="s">
        <v>77</v>
      </c>
      <c r="BD5208" s="3" t="s">
        <v>78</v>
      </c>
      <c r="BE5208" s="3" t="s">
        <v>50747</v>
      </c>
      <c r="BF5208" s="3" t="s">
        <v>50746</v>
      </c>
      <c r="BG5208" s="3" t="s">
        <v>50748</v>
      </c>
      <c r="BH5208">
        <f t="shared" si="163"/>
        <v>0</v>
      </c>
    </row>
    <row r="5209" spans="1:60" ht="58" x14ac:dyDescent="0.35">
      <c r="A5209" s="2" t="s">
        <v>59</v>
      </c>
      <c r="B5209" s="2" t="s">
        <v>60</v>
      </c>
      <c r="C5209" s="2" t="s">
        <v>50749</v>
      </c>
      <c r="D5209" s="2" t="s">
        <v>50750</v>
      </c>
      <c r="E5209" s="2" t="s">
        <v>50751</v>
      </c>
      <c r="G5209" s="3" t="s">
        <v>64</v>
      </c>
      <c r="I5209" s="3" t="s">
        <v>64</v>
      </c>
      <c r="J5209" s="3" t="s">
        <v>64</v>
      </c>
      <c r="K5209" s="3" t="s">
        <v>65</v>
      </c>
      <c r="M5209" s="2" t="s">
        <v>50408</v>
      </c>
      <c r="N5209" s="3" t="s">
        <v>253</v>
      </c>
      <c r="P5209" s="3" t="s">
        <v>102</v>
      </c>
      <c r="Q5209" s="2" t="s">
        <v>50752</v>
      </c>
      <c r="R5209" s="3" t="s">
        <v>49178</v>
      </c>
      <c r="S5209" s="4">
        <v>1</v>
      </c>
      <c r="T5209" s="4">
        <v>1</v>
      </c>
      <c r="U5209" s="5" t="s">
        <v>50753</v>
      </c>
      <c r="V5209" s="5" t="s">
        <v>50753</v>
      </c>
      <c r="W5209" s="5" t="s">
        <v>72</v>
      </c>
      <c r="X5209" s="5" t="s">
        <v>72</v>
      </c>
      <c r="Y5209" s="4">
        <v>160</v>
      </c>
      <c r="Z5209" s="4">
        <v>10</v>
      </c>
      <c r="AA5209" s="4">
        <v>41</v>
      </c>
      <c r="AB5209" s="4">
        <v>1</v>
      </c>
      <c r="AC5209" s="4">
        <v>3</v>
      </c>
      <c r="AD5209" s="4">
        <v>45</v>
      </c>
      <c r="AE5209" s="4">
        <v>62</v>
      </c>
      <c r="AF5209" s="4">
        <v>0</v>
      </c>
      <c r="AG5209" s="4">
        <v>0</v>
      </c>
      <c r="AH5209" s="4">
        <v>40</v>
      </c>
      <c r="AI5209" s="4">
        <v>49</v>
      </c>
      <c r="AJ5209" s="4">
        <v>8</v>
      </c>
      <c r="AK5209" s="4">
        <v>11</v>
      </c>
      <c r="AL5209" s="4">
        <v>26</v>
      </c>
      <c r="AM5209" s="4">
        <v>29</v>
      </c>
      <c r="AN5209" s="4">
        <v>0</v>
      </c>
      <c r="AO5209" s="4">
        <v>0</v>
      </c>
      <c r="AP5209" s="4">
        <v>9</v>
      </c>
      <c r="AQ5209" s="4">
        <v>17</v>
      </c>
      <c r="AR5209" s="3" t="s">
        <v>64</v>
      </c>
      <c r="AS5209" s="3" t="s">
        <v>64</v>
      </c>
      <c r="AT5209" s="3" t="s">
        <v>64</v>
      </c>
      <c r="AV5209" s="6" t="str">
        <f>HYPERLINK("http://mcgill.on.worldcat.org/oclc/891001556","Catalog Record")</f>
        <v>Catalog Record</v>
      </c>
      <c r="AW5209" s="6" t="str">
        <f>HYPERLINK("http://www.worldcat.org/oclc/891001556","WorldCat Record")</f>
        <v>WorldCat Record</v>
      </c>
      <c r="AX5209" s="3" t="s">
        <v>50754</v>
      </c>
      <c r="AY5209" s="3" t="s">
        <v>50755</v>
      </c>
      <c r="AZ5209" s="3" t="s">
        <v>50756</v>
      </c>
      <c r="BA5209" s="3" t="s">
        <v>50756</v>
      </c>
      <c r="BB5209" s="3" t="s">
        <v>50757</v>
      </c>
      <c r="BC5209" s="3" t="s">
        <v>77</v>
      </c>
      <c r="BD5209" s="3" t="s">
        <v>78</v>
      </c>
      <c r="BE5209" s="3" t="s">
        <v>50758</v>
      </c>
      <c r="BF5209" s="3" t="s">
        <v>50757</v>
      </c>
      <c r="BG5209" s="3" t="s">
        <v>50759</v>
      </c>
      <c r="BH5209">
        <f t="shared" si="163"/>
        <v>0</v>
      </c>
    </row>
    <row r="5210" spans="1:60" ht="58" x14ac:dyDescent="0.35">
      <c r="A5210" s="2" t="s">
        <v>59</v>
      </c>
      <c r="B5210" s="2" t="s">
        <v>60</v>
      </c>
      <c r="C5210" s="2" t="s">
        <v>50760</v>
      </c>
      <c r="D5210" s="2" t="s">
        <v>50761</v>
      </c>
      <c r="E5210" s="2" t="s">
        <v>50762</v>
      </c>
      <c r="G5210" s="3" t="s">
        <v>64</v>
      </c>
      <c r="I5210" s="3" t="s">
        <v>64</v>
      </c>
      <c r="J5210" s="3" t="s">
        <v>64</v>
      </c>
      <c r="K5210" s="3" t="s">
        <v>65</v>
      </c>
      <c r="M5210" s="2" t="s">
        <v>50763</v>
      </c>
      <c r="N5210" s="3" t="s">
        <v>511</v>
      </c>
      <c r="P5210" s="3" t="s">
        <v>102</v>
      </c>
      <c r="Q5210" s="2" t="s">
        <v>50764</v>
      </c>
      <c r="R5210" s="3" t="s">
        <v>49178</v>
      </c>
      <c r="S5210" s="4">
        <v>0</v>
      </c>
      <c r="T5210" s="4">
        <v>0</v>
      </c>
      <c r="W5210" s="5" t="s">
        <v>72</v>
      </c>
      <c r="X5210" s="5" t="s">
        <v>72</v>
      </c>
      <c r="Y5210" s="4">
        <v>253</v>
      </c>
      <c r="Z5210" s="4">
        <v>16</v>
      </c>
      <c r="AA5210" s="4">
        <v>19</v>
      </c>
      <c r="AB5210" s="4">
        <v>1</v>
      </c>
      <c r="AC5210" s="4">
        <v>3</v>
      </c>
      <c r="AD5210" s="4">
        <v>87</v>
      </c>
      <c r="AE5210" s="4">
        <v>96</v>
      </c>
      <c r="AF5210" s="4">
        <v>0</v>
      </c>
      <c r="AG5210" s="4">
        <v>2</v>
      </c>
      <c r="AH5210" s="4">
        <v>81</v>
      </c>
      <c r="AI5210" s="4">
        <v>87</v>
      </c>
      <c r="AJ5210" s="4">
        <v>11</v>
      </c>
      <c r="AK5210" s="4">
        <v>13</v>
      </c>
      <c r="AL5210" s="4">
        <v>40</v>
      </c>
      <c r="AM5210" s="4">
        <v>45</v>
      </c>
      <c r="AN5210" s="4">
        <v>0</v>
      </c>
      <c r="AO5210" s="4">
        <v>0</v>
      </c>
      <c r="AP5210" s="4">
        <v>14</v>
      </c>
      <c r="AQ5210" s="4">
        <v>16</v>
      </c>
      <c r="AR5210" s="3" t="s">
        <v>64</v>
      </c>
      <c r="AS5210" s="3" t="s">
        <v>64</v>
      </c>
      <c r="AT5210" s="3" t="s">
        <v>64</v>
      </c>
      <c r="AV5210" s="6" t="str">
        <f>HYPERLINK("http://mcgill.on.worldcat.org/oclc/645458141","Catalog Record")</f>
        <v>Catalog Record</v>
      </c>
      <c r="AW5210" s="6" t="str">
        <f>HYPERLINK("http://www.worldcat.org/oclc/645458141","WorldCat Record")</f>
        <v>WorldCat Record</v>
      </c>
      <c r="AX5210" s="3" t="s">
        <v>50765</v>
      </c>
      <c r="AY5210" s="3" t="s">
        <v>50766</v>
      </c>
      <c r="AZ5210" s="3" t="s">
        <v>50767</v>
      </c>
      <c r="BA5210" s="3" t="s">
        <v>50767</v>
      </c>
      <c r="BB5210" s="3" t="s">
        <v>50768</v>
      </c>
      <c r="BC5210" s="3" t="s">
        <v>77</v>
      </c>
      <c r="BD5210" s="3" t="s">
        <v>78</v>
      </c>
      <c r="BE5210" s="3" t="s">
        <v>50769</v>
      </c>
      <c r="BF5210" s="3" t="s">
        <v>50768</v>
      </c>
      <c r="BG5210" s="3" t="s">
        <v>50770</v>
      </c>
      <c r="BH5210">
        <f t="shared" si="163"/>
        <v>0</v>
      </c>
    </row>
    <row r="5211" spans="1:60" ht="58" x14ac:dyDescent="0.35">
      <c r="A5211" s="2" t="s">
        <v>59</v>
      </c>
      <c r="B5211" s="2" t="s">
        <v>60</v>
      </c>
      <c r="C5211" s="2" t="s">
        <v>50771</v>
      </c>
      <c r="D5211" s="2" t="s">
        <v>50772</v>
      </c>
      <c r="E5211" s="2" t="s">
        <v>50773</v>
      </c>
      <c r="G5211" s="3" t="s">
        <v>64</v>
      </c>
      <c r="I5211" s="3" t="s">
        <v>64</v>
      </c>
      <c r="J5211" s="3" t="s">
        <v>64</v>
      </c>
      <c r="K5211" s="3" t="s">
        <v>65</v>
      </c>
      <c r="L5211" s="2" t="s">
        <v>50774</v>
      </c>
      <c r="M5211" s="2" t="s">
        <v>50775</v>
      </c>
      <c r="N5211" s="3" t="s">
        <v>421</v>
      </c>
      <c r="P5211" s="3" t="s">
        <v>102</v>
      </c>
      <c r="Q5211" s="2" t="s">
        <v>14110</v>
      </c>
      <c r="R5211" s="3" t="s">
        <v>49178</v>
      </c>
      <c r="S5211" s="4">
        <v>8</v>
      </c>
      <c r="T5211" s="4">
        <v>8</v>
      </c>
      <c r="U5211" s="5" t="s">
        <v>37506</v>
      </c>
      <c r="V5211" s="5" t="s">
        <v>37506</v>
      </c>
      <c r="W5211" s="5" t="s">
        <v>72</v>
      </c>
      <c r="X5211" s="5" t="s">
        <v>72</v>
      </c>
      <c r="Y5211" s="4">
        <v>177</v>
      </c>
      <c r="Z5211" s="4">
        <v>10</v>
      </c>
      <c r="AA5211" s="4">
        <v>11</v>
      </c>
      <c r="AB5211" s="4">
        <v>1</v>
      </c>
      <c r="AC5211" s="4">
        <v>2</v>
      </c>
      <c r="AD5211" s="4">
        <v>66</v>
      </c>
      <c r="AE5211" s="4">
        <v>67</v>
      </c>
      <c r="AF5211" s="4">
        <v>0</v>
      </c>
      <c r="AG5211" s="4">
        <v>1</v>
      </c>
      <c r="AH5211" s="4">
        <v>61</v>
      </c>
      <c r="AI5211" s="4">
        <v>61</v>
      </c>
      <c r="AJ5211" s="4">
        <v>7</v>
      </c>
      <c r="AK5211" s="4">
        <v>8</v>
      </c>
      <c r="AL5211" s="4">
        <v>36</v>
      </c>
      <c r="AM5211" s="4">
        <v>36</v>
      </c>
      <c r="AN5211" s="4">
        <v>0</v>
      </c>
      <c r="AO5211" s="4">
        <v>0</v>
      </c>
      <c r="AP5211" s="4">
        <v>8</v>
      </c>
      <c r="AQ5211" s="4">
        <v>8</v>
      </c>
      <c r="AR5211" s="3" t="s">
        <v>64</v>
      </c>
      <c r="AS5211" s="3" t="s">
        <v>64</v>
      </c>
      <c r="AT5211" s="3" t="s">
        <v>64</v>
      </c>
      <c r="AV5211" s="6" t="str">
        <f>HYPERLINK("http://mcgill.on.worldcat.org/oclc/36865628","Catalog Record")</f>
        <v>Catalog Record</v>
      </c>
      <c r="AW5211" s="6" t="str">
        <f>HYPERLINK("http://www.worldcat.org/oclc/36865628","WorldCat Record")</f>
        <v>WorldCat Record</v>
      </c>
      <c r="AX5211" s="3" t="s">
        <v>50776</v>
      </c>
      <c r="AY5211" s="3" t="s">
        <v>50777</v>
      </c>
      <c r="AZ5211" s="3" t="s">
        <v>50778</v>
      </c>
      <c r="BA5211" s="3" t="s">
        <v>50778</v>
      </c>
      <c r="BB5211" s="3" t="s">
        <v>50779</v>
      </c>
      <c r="BC5211" s="3" t="s">
        <v>77</v>
      </c>
      <c r="BD5211" s="3" t="s">
        <v>78</v>
      </c>
      <c r="BE5211" s="3" t="s">
        <v>50780</v>
      </c>
      <c r="BF5211" s="3" t="s">
        <v>50779</v>
      </c>
      <c r="BG5211" s="3" t="s">
        <v>50781</v>
      </c>
      <c r="BH5211">
        <f t="shared" si="163"/>
        <v>0</v>
      </c>
    </row>
    <row r="5212" spans="1:60" ht="101.5" x14ac:dyDescent="0.35">
      <c r="A5212" s="2" t="s">
        <v>59</v>
      </c>
      <c r="B5212" s="2" t="s">
        <v>60</v>
      </c>
      <c r="C5212" s="2" t="s">
        <v>50782</v>
      </c>
      <c r="D5212" s="2" t="s">
        <v>50783</v>
      </c>
      <c r="E5212" s="2" t="s">
        <v>50784</v>
      </c>
      <c r="G5212" s="3" t="s">
        <v>64</v>
      </c>
      <c r="I5212" s="3" t="s">
        <v>64</v>
      </c>
      <c r="J5212" s="3" t="s">
        <v>64</v>
      </c>
      <c r="K5212" s="3" t="s">
        <v>65</v>
      </c>
      <c r="M5212" s="2" t="s">
        <v>50785</v>
      </c>
      <c r="N5212" s="3" t="s">
        <v>511</v>
      </c>
      <c r="P5212" s="3" t="s">
        <v>68</v>
      </c>
      <c r="Q5212" s="2" t="s">
        <v>50786</v>
      </c>
      <c r="R5212" s="3" t="s">
        <v>49178</v>
      </c>
      <c r="S5212" s="4">
        <v>0</v>
      </c>
      <c r="T5212" s="4">
        <v>0</v>
      </c>
      <c r="W5212" s="5" t="s">
        <v>72</v>
      </c>
      <c r="X5212" s="5" t="s">
        <v>72</v>
      </c>
      <c r="Y5212" s="4">
        <v>4</v>
      </c>
      <c r="Z5212" s="4">
        <v>1</v>
      </c>
      <c r="AA5212" s="4">
        <v>4</v>
      </c>
      <c r="AB5212" s="4">
        <v>1</v>
      </c>
      <c r="AC5212" s="4">
        <v>3</v>
      </c>
      <c r="AD5212" s="4">
        <v>2</v>
      </c>
      <c r="AE5212" s="4">
        <v>5</v>
      </c>
      <c r="AF5212" s="4">
        <v>0</v>
      </c>
      <c r="AG5212" s="4">
        <v>1</v>
      </c>
      <c r="AH5212" s="4">
        <v>2</v>
      </c>
      <c r="AI5212" s="4">
        <v>4</v>
      </c>
      <c r="AJ5212" s="4">
        <v>0</v>
      </c>
      <c r="AK5212" s="4">
        <v>2</v>
      </c>
      <c r="AL5212" s="4">
        <v>1</v>
      </c>
      <c r="AM5212" s="4">
        <v>2</v>
      </c>
      <c r="AN5212" s="4">
        <v>0</v>
      </c>
      <c r="AO5212" s="4">
        <v>0</v>
      </c>
      <c r="AP5212" s="4">
        <v>0</v>
      </c>
      <c r="AQ5212" s="4">
        <v>1</v>
      </c>
      <c r="AR5212" s="3" t="s">
        <v>64</v>
      </c>
      <c r="AS5212" s="3" t="s">
        <v>64</v>
      </c>
      <c r="AT5212" s="3" t="s">
        <v>64</v>
      </c>
      <c r="AV5212" s="6" t="str">
        <f>HYPERLINK("http://mcgill.on.worldcat.org/oclc/727511880","Catalog Record")</f>
        <v>Catalog Record</v>
      </c>
      <c r="AW5212" s="6" t="str">
        <f>HYPERLINK("http://www.worldcat.org/oclc/727511880","WorldCat Record")</f>
        <v>WorldCat Record</v>
      </c>
      <c r="AX5212" s="3" t="s">
        <v>50787</v>
      </c>
      <c r="AY5212" s="3" t="s">
        <v>50788</v>
      </c>
      <c r="AZ5212" s="3" t="s">
        <v>50789</v>
      </c>
      <c r="BA5212" s="3" t="s">
        <v>50789</v>
      </c>
      <c r="BB5212" s="3" t="s">
        <v>50790</v>
      </c>
      <c r="BC5212" s="3" t="s">
        <v>77</v>
      </c>
      <c r="BD5212" s="3" t="s">
        <v>78</v>
      </c>
      <c r="BE5212" s="3" t="s">
        <v>50791</v>
      </c>
      <c r="BF5212" s="3" t="s">
        <v>50790</v>
      </c>
      <c r="BG5212" s="3" t="s">
        <v>50792</v>
      </c>
      <c r="BH5212">
        <f t="shared" si="163"/>
        <v>0</v>
      </c>
    </row>
    <row r="5213" spans="1:60" ht="58" x14ac:dyDescent="0.35">
      <c r="A5213" s="2" t="s">
        <v>59</v>
      </c>
      <c r="B5213" s="2" t="s">
        <v>60</v>
      </c>
      <c r="C5213" s="2" t="s">
        <v>50793</v>
      </c>
      <c r="D5213" s="2" t="s">
        <v>50794</v>
      </c>
      <c r="E5213" s="2" t="s">
        <v>50795</v>
      </c>
      <c r="G5213" s="3" t="s">
        <v>64</v>
      </c>
      <c r="I5213" s="3" t="s">
        <v>64</v>
      </c>
      <c r="J5213" s="3" t="s">
        <v>64</v>
      </c>
      <c r="K5213" s="3" t="s">
        <v>65</v>
      </c>
      <c r="L5213" s="2" t="s">
        <v>50796</v>
      </c>
      <c r="M5213" s="2" t="s">
        <v>27633</v>
      </c>
      <c r="N5213" s="3" t="s">
        <v>511</v>
      </c>
      <c r="P5213" s="3" t="s">
        <v>102</v>
      </c>
      <c r="R5213" s="3" t="s">
        <v>49178</v>
      </c>
      <c r="S5213" s="4">
        <v>1</v>
      </c>
      <c r="T5213" s="4">
        <v>1</v>
      </c>
      <c r="U5213" s="5" t="s">
        <v>50797</v>
      </c>
      <c r="V5213" s="5" t="s">
        <v>50797</v>
      </c>
      <c r="W5213" s="5" t="s">
        <v>72</v>
      </c>
      <c r="X5213" s="5" t="s">
        <v>72</v>
      </c>
      <c r="Y5213" s="4">
        <v>216</v>
      </c>
      <c r="Z5213" s="4">
        <v>14</v>
      </c>
      <c r="AA5213" s="4">
        <v>21</v>
      </c>
      <c r="AB5213" s="4">
        <v>2</v>
      </c>
      <c r="AC5213" s="4">
        <v>7</v>
      </c>
      <c r="AD5213" s="4">
        <v>40</v>
      </c>
      <c r="AE5213" s="4">
        <v>44</v>
      </c>
      <c r="AF5213" s="4">
        <v>0</v>
      </c>
      <c r="AG5213" s="4">
        <v>3</v>
      </c>
      <c r="AH5213" s="4">
        <v>35</v>
      </c>
      <c r="AI5213" s="4">
        <v>37</v>
      </c>
      <c r="AJ5213" s="4">
        <v>7</v>
      </c>
      <c r="AK5213" s="4">
        <v>9</v>
      </c>
      <c r="AL5213" s="4">
        <v>22</v>
      </c>
      <c r="AM5213" s="4">
        <v>23</v>
      </c>
      <c r="AN5213" s="4">
        <v>0</v>
      </c>
      <c r="AO5213" s="4">
        <v>0</v>
      </c>
      <c r="AP5213" s="4">
        <v>9</v>
      </c>
      <c r="AQ5213" s="4">
        <v>11</v>
      </c>
      <c r="AR5213" s="3" t="s">
        <v>64</v>
      </c>
      <c r="AS5213" s="3" t="s">
        <v>64</v>
      </c>
      <c r="AT5213" s="3" t="s">
        <v>64</v>
      </c>
      <c r="AV5213" s="6" t="str">
        <f>HYPERLINK("http://mcgill.on.worldcat.org/oclc/426030628","Catalog Record")</f>
        <v>Catalog Record</v>
      </c>
      <c r="AW5213" s="6" t="str">
        <f>HYPERLINK("http://www.worldcat.org/oclc/426030628","WorldCat Record")</f>
        <v>WorldCat Record</v>
      </c>
      <c r="AX5213" s="3" t="s">
        <v>50798</v>
      </c>
      <c r="AY5213" s="3" t="s">
        <v>50799</v>
      </c>
      <c r="AZ5213" s="3" t="s">
        <v>50800</v>
      </c>
      <c r="BA5213" s="3" t="s">
        <v>50800</v>
      </c>
      <c r="BB5213" s="3" t="s">
        <v>50801</v>
      </c>
      <c r="BC5213" s="3" t="s">
        <v>77</v>
      </c>
      <c r="BD5213" s="3" t="s">
        <v>78</v>
      </c>
      <c r="BE5213" s="3" t="s">
        <v>50802</v>
      </c>
      <c r="BF5213" s="3" t="s">
        <v>50801</v>
      </c>
      <c r="BG5213" s="3" t="s">
        <v>50803</v>
      </c>
      <c r="BH5213">
        <f t="shared" si="163"/>
        <v>0</v>
      </c>
    </row>
    <row r="5214" spans="1:60" ht="58" x14ac:dyDescent="0.35">
      <c r="A5214" s="2" t="s">
        <v>59</v>
      </c>
      <c r="B5214" s="2" t="s">
        <v>60</v>
      </c>
      <c r="C5214" s="2" t="s">
        <v>50804</v>
      </c>
      <c r="D5214" s="2" t="s">
        <v>50805</v>
      </c>
      <c r="E5214" s="2" t="s">
        <v>50806</v>
      </c>
      <c r="G5214" s="3" t="s">
        <v>64</v>
      </c>
      <c r="I5214" s="3" t="s">
        <v>64</v>
      </c>
      <c r="J5214" s="3" t="s">
        <v>64</v>
      </c>
      <c r="K5214" s="3" t="s">
        <v>65</v>
      </c>
      <c r="L5214" s="2" t="s">
        <v>50807</v>
      </c>
      <c r="M5214" s="2" t="s">
        <v>15674</v>
      </c>
      <c r="N5214" s="3" t="s">
        <v>253</v>
      </c>
      <c r="P5214" s="3" t="s">
        <v>102</v>
      </c>
      <c r="R5214" s="3" t="s">
        <v>49178</v>
      </c>
      <c r="S5214" s="4">
        <v>0</v>
      </c>
      <c r="T5214" s="4">
        <v>0</v>
      </c>
      <c r="W5214" s="5" t="s">
        <v>72</v>
      </c>
      <c r="X5214" s="5" t="s">
        <v>72</v>
      </c>
      <c r="Y5214" s="4">
        <v>75</v>
      </c>
      <c r="Z5214" s="4">
        <v>7</v>
      </c>
      <c r="AA5214" s="4">
        <v>72</v>
      </c>
      <c r="AB5214" s="4">
        <v>1</v>
      </c>
      <c r="AC5214" s="4">
        <v>15</v>
      </c>
      <c r="AD5214" s="4">
        <v>8</v>
      </c>
      <c r="AE5214" s="4">
        <v>76</v>
      </c>
      <c r="AF5214" s="4">
        <v>0</v>
      </c>
      <c r="AG5214" s="4">
        <v>8</v>
      </c>
      <c r="AH5214" s="4">
        <v>7</v>
      </c>
      <c r="AI5214" s="4">
        <v>45</v>
      </c>
      <c r="AJ5214" s="4">
        <v>3</v>
      </c>
      <c r="AK5214" s="4">
        <v>18</v>
      </c>
      <c r="AL5214" s="4">
        <v>4</v>
      </c>
      <c r="AM5214" s="4">
        <v>22</v>
      </c>
      <c r="AN5214" s="4">
        <v>0</v>
      </c>
      <c r="AO5214" s="4">
        <v>0</v>
      </c>
      <c r="AP5214" s="4">
        <v>4</v>
      </c>
      <c r="AQ5214" s="4">
        <v>37</v>
      </c>
      <c r="AR5214" s="3" t="s">
        <v>64</v>
      </c>
      <c r="AS5214" s="3" t="s">
        <v>64</v>
      </c>
      <c r="AT5214" s="3" t="s">
        <v>64</v>
      </c>
      <c r="AV5214" s="6" t="str">
        <f>HYPERLINK("http://mcgill.on.worldcat.org/oclc/910626659","Catalog Record")</f>
        <v>Catalog Record</v>
      </c>
      <c r="AW5214" s="6" t="str">
        <f>HYPERLINK("http://www.worldcat.org/oclc/910626659","WorldCat Record")</f>
        <v>WorldCat Record</v>
      </c>
      <c r="AX5214" s="3" t="s">
        <v>50808</v>
      </c>
      <c r="AY5214" s="3" t="s">
        <v>50809</v>
      </c>
      <c r="AZ5214" s="3" t="s">
        <v>50810</v>
      </c>
      <c r="BA5214" s="3" t="s">
        <v>50810</v>
      </c>
      <c r="BB5214" s="3" t="s">
        <v>50811</v>
      </c>
      <c r="BC5214" s="3" t="s">
        <v>77</v>
      </c>
      <c r="BD5214" s="3" t="s">
        <v>78</v>
      </c>
      <c r="BE5214" s="3" t="s">
        <v>50812</v>
      </c>
      <c r="BF5214" s="3" t="s">
        <v>50811</v>
      </c>
      <c r="BG5214" s="3" t="s">
        <v>50813</v>
      </c>
      <c r="BH5214">
        <f t="shared" si="163"/>
        <v>0</v>
      </c>
    </row>
    <row r="5215" spans="1:60" ht="58" x14ac:dyDescent="0.35">
      <c r="A5215" s="2" t="s">
        <v>59</v>
      </c>
      <c r="B5215" s="2" t="s">
        <v>60</v>
      </c>
      <c r="C5215" s="2" t="s">
        <v>50814</v>
      </c>
      <c r="D5215" s="2" t="s">
        <v>50815</v>
      </c>
      <c r="E5215" s="2" t="s">
        <v>50816</v>
      </c>
      <c r="G5215" s="3" t="s">
        <v>64</v>
      </c>
      <c r="I5215" s="3" t="s">
        <v>64</v>
      </c>
      <c r="J5215" s="3" t="s">
        <v>64</v>
      </c>
      <c r="K5215" s="3" t="s">
        <v>65</v>
      </c>
      <c r="L5215" s="2" t="s">
        <v>50817</v>
      </c>
      <c r="M5215" s="2" t="s">
        <v>9037</v>
      </c>
      <c r="N5215" s="3" t="s">
        <v>1075</v>
      </c>
      <c r="P5215" s="3" t="s">
        <v>102</v>
      </c>
      <c r="R5215" s="3" t="s">
        <v>49178</v>
      </c>
      <c r="S5215" s="4">
        <v>5</v>
      </c>
      <c r="T5215" s="4">
        <v>5</v>
      </c>
      <c r="U5215" s="5" t="s">
        <v>12623</v>
      </c>
      <c r="V5215" s="5" t="s">
        <v>12623</v>
      </c>
      <c r="W5215" s="5" t="s">
        <v>72</v>
      </c>
      <c r="X5215" s="5" t="s">
        <v>72</v>
      </c>
      <c r="Y5215" s="4">
        <v>119</v>
      </c>
      <c r="Z5215" s="4">
        <v>9</v>
      </c>
      <c r="AA5215" s="4">
        <v>77</v>
      </c>
      <c r="AB5215" s="4">
        <v>1</v>
      </c>
      <c r="AC5215" s="4">
        <v>16</v>
      </c>
      <c r="AD5215" s="4">
        <v>17</v>
      </c>
      <c r="AE5215" s="4">
        <v>81</v>
      </c>
      <c r="AF5215" s="4">
        <v>0</v>
      </c>
      <c r="AG5215" s="4">
        <v>8</v>
      </c>
      <c r="AH5215" s="4">
        <v>16</v>
      </c>
      <c r="AI5215" s="4">
        <v>51</v>
      </c>
      <c r="AJ5215" s="4">
        <v>6</v>
      </c>
      <c r="AK5215" s="4">
        <v>17</v>
      </c>
      <c r="AL5215" s="4">
        <v>9</v>
      </c>
      <c r="AM5215" s="4">
        <v>26</v>
      </c>
      <c r="AN5215" s="4">
        <v>0</v>
      </c>
      <c r="AO5215" s="4">
        <v>0</v>
      </c>
      <c r="AP5215" s="4">
        <v>6</v>
      </c>
      <c r="AQ5215" s="4">
        <v>37</v>
      </c>
      <c r="AR5215" s="3" t="s">
        <v>64</v>
      </c>
      <c r="AS5215" s="3" t="s">
        <v>64</v>
      </c>
      <c r="AT5215" s="3" t="s">
        <v>64</v>
      </c>
      <c r="AV5215" s="6" t="str">
        <f>HYPERLINK("http://mcgill.on.worldcat.org/oclc/861119768","Catalog Record")</f>
        <v>Catalog Record</v>
      </c>
      <c r="AW5215" s="6" t="str">
        <f>HYPERLINK("http://www.worldcat.org/oclc/861119768","WorldCat Record")</f>
        <v>WorldCat Record</v>
      </c>
      <c r="AX5215" s="3" t="s">
        <v>50818</v>
      </c>
      <c r="AY5215" s="3" t="s">
        <v>50819</v>
      </c>
      <c r="AZ5215" s="3" t="s">
        <v>50820</v>
      </c>
      <c r="BA5215" s="3" t="s">
        <v>50820</v>
      </c>
      <c r="BB5215" s="3" t="s">
        <v>50821</v>
      </c>
      <c r="BC5215" s="3" t="s">
        <v>77</v>
      </c>
      <c r="BD5215" s="3" t="s">
        <v>165</v>
      </c>
      <c r="BE5215" s="3" t="s">
        <v>50822</v>
      </c>
      <c r="BF5215" s="3" t="s">
        <v>50821</v>
      </c>
      <c r="BG5215" s="3" t="s">
        <v>50823</v>
      </c>
      <c r="BH5215">
        <f t="shared" si="163"/>
        <v>0</v>
      </c>
    </row>
    <row r="5216" spans="1:60" ht="58" x14ac:dyDescent="0.35">
      <c r="A5216" s="2" t="s">
        <v>59</v>
      </c>
      <c r="B5216" s="2" t="s">
        <v>60</v>
      </c>
      <c r="C5216" s="2" t="s">
        <v>50824</v>
      </c>
      <c r="D5216" s="2" t="s">
        <v>50825</v>
      </c>
      <c r="E5216" s="2" t="s">
        <v>50826</v>
      </c>
      <c r="G5216" s="3" t="s">
        <v>64</v>
      </c>
      <c r="I5216" s="3" t="s">
        <v>64</v>
      </c>
      <c r="J5216" s="3" t="s">
        <v>64</v>
      </c>
      <c r="K5216" s="3" t="s">
        <v>65</v>
      </c>
      <c r="M5216" s="2" t="s">
        <v>13017</v>
      </c>
      <c r="N5216" s="3" t="s">
        <v>86</v>
      </c>
      <c r="P5216" s="3" t="s">
        <v>102</v>
      </c>
      <c r="R5216" s="3" t="s">
        <v>49178</v>
      </c>
      <c r="S5216" s="4">
        <v>1</v>
      </c>
      <c r="T5216" s="4">
        <v>1</v>
      </c>
      <c r="U5216" s="5" t="s">
        <v>33995</v>
      </c>
      <c r="V5216" s="5" t="s">
        <v>33995</v>
      </c>
      <c r="W5216" s="5" t="s">
        <v>72</v>
      </c>
      <c r="X5216" s="5" t="s">
        <v>72</v>
      </c>
      <c r="Y5216" s="4">
        <v>164</v>
      </c>
      <c r="Z5216" s="4">
        <v>15</v>
      </c>
      <c r="AA5216" s="4">
        <v>83</v>
      </c>
      <c r="AB5216" s="4">
        <v>2</v>
      </c>
      <c r="AC5216" s="4">
        <v>16</v>
      </c>
      <c r="AD5216" s="4">
        <v>27</v>
      </c>
      <c r="AE5216" s="4">
        <v>84</v>
      </c>
      <c r="AF5216" s="4">
        <v>1</v>
      </c>
      <c r="AG5216" s="4">
        <v>8</v>
      </c>
      <c r="AH5216" s="4">
        <v>22</v>
      </c>
      <c r="AI5216" s="4">
        <v>53</v>
      </c>
      <c r="AJ5216" s="4">
        <v>9</v>
      </c>
      <c r="AK5216" s="4">
        <v>19</v>
      </c>
      <c r="AL5216" s="4">
        <v>14</v>
      </c>
      <c r="AM5216" s="4">
        <v>28</v>
      </c>
      <c r="AN5216" s="4">
        <v>0</v>
      </c>
      <c r="AO5216" s="4">
        <v>0</v>
      </c>
      <c r="AP5216" s="4">
        <v>10</v>
      </c>
      <c r="AQ5216" s="4">
        <v>38</v>
      </c>
      <c r="AR5216" s="3" t="s">
        <v>64</v>
      </c>
      <c r="AS5216" s="3" t="s">
        <v>64</v>
      </c>
      <c r="AT5216" s="3" t="s">
        <v>64</v>
      </c>
      <c r="AV5216" s="6" t="str">
        <f>HYPERLINK("http://mcgill.on.worldcat.org/oclc/707962667","Catalog Record")</f>
        <v>Catalog Record</v>
      </c>
      <c r="AW5216" s="6" t="str">
        <f>HYPERLINK("http://www.worldcat.org/oclc/707962667","WorldCat Record")</f>
        <v>WorldCat Record</v>
      </c>
      <c r="AX5216" s="3" t="s">
        <v>50827</v>
      </c>
      <c r="AY5216" s="3" t="s">
        <v>50828</v>
      </c>
      <c r="AZ5216" s="3" t="s">
        <v>50829</v>
      </c>
      <c r="BA5216" s="3" t="s">
        <v>50829</v>
      </c>
      <c r="BB5216" s="3" t="s">
        <v>50830</v>
      </c>
      <c r="BC5216" s="3" t="s">
        <v>77</v>
      </c>
      <c r="BD5216" s="3" t="s">
        <v>78</v>
      </c>
      <c r="BE5216" s="3" t="s">
        <v>50831</v>
      </c>
      <c r="BF5216" s="3" t="s">
        <v>50830</v>
      </c>
      <c r="BG5216" s="3" t="s">
        <v>50832</v>
      </c>
      <c r="BH5216">
        <f t="shared" si="163"/>
        <v>0</v>
      </c>
    </row>
    <row r="5217" spans="1:60" ht="58" x14ac:dyDescent="0.35">
      <c r="A5217" s="2" t="s">
        <v>59</v>
      </c>
      <c r="B5217" s="2" t="s">
        <v>60</v>
      </c>
      <c r="C5217" s="2" t="s">
        <v>50833</v>
      </c>
      <c r="D5217" s="2" t="s">
        <v>50834</v>
      </c>
      <c r="E5217" s="2" t="s">
        <v>50835</v>
      </c>
      <c r="G5217" s="3" t="s">
        <v>64</v>
      </c>
      <c r="I5217" s="3" t="s">
        <v>64</v>
      </c>
      <c r="J5217" s="3" t="s">
        <v>64</v>
      </c>
      <c r="K5217" s="3" t="s">
        <v>65</v>
      </c>
      <c r="L5217" s="2" t="s">
        <v>50836</v>
      </c>
      <c r="M5217" s="2" t="s">
        <v>23875</v>
      </c>
      <c r="N5217" s="3" t="s">
        <v>421</v>
      </c>
      <c r="P5217" s="3" t="s">
        <v>102</v>
      </c>
      <c r="Q5217" s="2" t="s">
        <v>50837</v>
      </c>
      <c r="R5217" s="3" t="s">
        <v>49178</v>
      </c>
      <c r="S5217" s="4">
        <v>12</v>
      </c>
      <c r="T5217" s="4">
        <v>12</v>
      </c>
      <c r="U5217" s="5" t="s">
        <v>44202</v>
      </c>
      <c r="V5217" s="5" t="s">
        <v>44202</v>
      </c>
      <c r="W5217" s="5" t="s">
        <v>72</v>
      </c>
      <c r="X5217" s="5" t="s">
        <v>72</v>
      </c>
      <c r="Y5217" s="4">
        <v>243</v>
      </c>
      <c r="Z5217" s="4">
        <v>10</v>
      </c>
      <c r="AA5217" s="4">
        <v>36</v>
      </c>
      <c r="AB5217" s="4">
        <v>1</v>
      </c>
      <c r="AC5217" s="4">
        <v>7</v>
      </c>
      <c r="AD5217" s="4">
        <v>56</v>
      </c>
      <c r="AE5217" s="4">
        <v>63</v>
      </c>
      <c r="AF5217" s="4">
        <v>0</v>
      </c>
      <c r="AG5217" s="4">
        <v>1</v>
      </c>
      <c r="AH5217" s="4">
        <v>52</v>
      </c>
      <c r="AI5217" s="4">
        <v>56</v>
      </c>
      <c r="AJ5217" s="4">
        <v>7</v>
      </c>
      <c r="AK5217" s="4">
        <v>9</v>
      </c>
      <c r="AL5217" s="4">
        <v>25</v>
      </c>
      <c r="AM5217" s="4">
        <v>27</v>
      </c>
      <c r="AN5217" s="4">
        <v>0</v>
      </c>
      <c r="AO5217" s="4">
        <v>0</v>
      </c>
      <c r="AP5217" s="4">
        <v>7</v>
      </c>
      <c r="AQ5217" s="4">
        <v>10</v>
      </c>
      <c r="AR5217" s="3" t="s">
        <v>64</v>
      </c>
      <c r="AS5217" s="3" t="s">
        <v>64</v>
      </c>
      <c r="AT5217" s="3" t="s">
        <v>64</v>
      </c>
      <c r="AV5217" s="6" t="str">
        <f>HYPERLINK("http://mcgill.on.worldcat.org/oclc/36469576","Catalog Record")</f>
        <v>Catalog Record</v>
      </c>
      <c r="AW5217" s="6" t="str">
        <f>HYPERLINK("http://www.worldcat.org/oclc/36469576","WorldCat Record")</f>
        <v>WorldCat Record</v>
      </c>
      <c r="AX5217" s="3" t="s">
        <v>50838</v>
      </c>
      <c r="AY5217" s="3" t="s">
        <v>50839</v>
      </c>
      <c r="AZ5217" s="3" t="s">
        <v>50840</v>
      </c>
      <c r="BA5217" s="3" t="s">
        <v>50840</v>
      </c>
      <c r="BB5217" s="3" t="s">
        <v>50841</v>
      </c>
      <c r="BC5217" s="3" t="s">
        <v>77</v>
      </c>
      <c r="BD5217" s="3" t="s">
        <v>78</v>
      </c>
      <c r="BE5217" s="3" t="s">
        <v>50842</v>
      </c>
      <c r="BF5217" s="3" t="s">
        <v>50841</v>
      </c>
      <c r="BG5217" s="3" t="s">
        <v>50843</v>
      </c>
      <c r="BH5217">
        <f t="shared" si="163"/>
        <v>0</v>
      </c>
    </row>
    <row r="5218" spans="1:60" ht="58" x14ac:dyDescent="0.35">
      <c r="A5218" s="2" t="s">
        <v>59</v>
      </c>
      <c r="B5218" s="2" t="s">
        <v>60</v>
      </c>
      <c r="C5218" s="2" t="s">
        <v>50844</v>
      </c>
      <c r="D5218" s="2" t="s">
        <v>50845</v>
      </c>
      <c r="E5218" s="2" t="s">
        <v>50846</v>
      </c>
      <c r="G5218" s="3" t="s">
        <v>64</v>
      </c>
      <c r="I5218" s="3" t="s">
        <v>64</v>
      </c>
      <c r="J5218" s="3" t="s">
        <v>64</v>
      </c>
      <c r="K5218" s="3" t="s">
        <v>65</v>
      </c>
      <c r="M5218" s="2" t="s">
        <v>13968</v>
      </c>
      <c r="N5218" s="3" t="s">
        <v>511</v>
      </c>
      <c r="P5218" s="3" t="s">
        <v>102</v>
      </c>
      <c r="R5218" s="3" t="s">
        <v>49178</v>
      </c>
      <c r="S5218" s="4">
        <v>4</v>
      </c>
      <c r="T5218" s="4">
        <v>4</v>
      </c>
      <c r="U5218" s="5" t="s">
        <v>539</v>
      </c>
      <c r="V5218" s="5" t="s">
        <v>539</v>
      </c>
      <c r="W5218" s="5" t="s">
        <v>72</v>
      </c>
      <c r="X5218" s="5" t="s">
        <v>72</v>
      </c>
      <c r="Y5218" s="4">
        <v>272</v>
      </c>
      <c r="Z5218" s="4">
        <v>27</v>
      </c>
      <c r="AA5218" s="4">
        <v>87</v>
      </c>
      <c r="AB5218" s="4">
        <v>2</v>
      </c>
      <c r="AC5218" s="4">
        <v>14</v>
      </c>
      <c r="AD5218" s="4">
        <v>67</v>
      </c>
      <c r="AE5218" s="4">
        <v>112</v>
      </c>
      <c r="AF5218" s="4">
        <v>1</v>
      </c>
      <c r="AG5218" s="4">
        <v>8</v>
      </c>
      <c r="AH5218" s="4">
        <v>53</v>
      </c>
      <c r="AI5218" s="4">
        <v>74</v>
      </c>
      <c r="AJ5218" s="4">
        <v>13</v>
      </c>
      <c r="AK5218" s="4">
        <v>21</v>
      </c>
      <c r="AL5218" s="4">
        <v>29</v>
      </c>
      <c r="AM5218" s="4">
        <v>38</v>
      </c>
      <c r="AN5218" s="4">
        <v>0</v>
      </c>
      <c r="AO5218" s="4">
        <v>0</v>
      </c>
      <c r="AP5218" s="4">
        <v>21</v>
      </c>
      <c r="AQ5218" s="4">
        <v>46</v>
      </c>
      <c r="AR5218" s="3" t="s">
        <v>64</v>
      </c>
      <c r="AS5218" s="3" t="s">
        <v>64</v>
      </c>
      <c r="AT5218" s="3" t="s">
        <v>64</v>
      </c>
      <c r="AV5218" s="6" t="str">
        <f>HYPERLINK("http://mcgill.on.worldcat.org/oclc/320315314","Catalog Record")</f>
        <v>Catalog Record</v>
      </c>
      <c r="AW5218" s="6" t="str">
        <f>HYPERLINK("http://www.worldcat.org/oclc/320315314","WorldCat Record")</f>
        <v>WorldCat Record</v>
      </c>
      <c r="AX5218" s="3" t="s">
        <v>50847</v>
      </c>
      <c r="AY5218" s="3" t="s">
        <v>50848</v>
      </c>
      <c r="AZ5218" s="3" t="s">
        <v>50849</v>
      </c>
      <c r="BA5218" s="3" t="s">
        <v>50849</v>
      </c>
      <c r="BB5218" s="3" t="s">
        <v>50850</v>
      </c>
      <c r="BC5218" s="3" t="s">
        <v>77</v>
      </c>
      <c r="BD5218" s="3" t="s">
        <v>78</v>
      </c>
      <c r="BE5218" s="3" t="s">
        <v>50851</v>
      </c>
      <c r="BF5218" s="3" t="s">
        <v>50850</v>
      </c>
      <c r="BG5218" s="3" t="s">
        <v>50852</v>
      </c>
      <c r="BH5218">
        <f t="shared" si="163"/>
        <v>0</v>
      </c>
    </row>
    <row r="5219" spans="1:60" ht="58" x14ac:dyDescent="0.35">
      <c r="A5219" s="2" t="s">
        <v>59</v>
      </c>
      <c r="B5219" s="2" t="s">
        <v>60</v>
      </c>
      <c r="C5219" s="2" t="s">
        <v>50853</v>
      </c>
      <c r="D5219" s="2" t="s">
        <v>50854</v>
      </c>
      <c r="E5219" s="2" t="s">
        <v>50855</v>
      </c>
      <c r="G5219" s="3" t="s">
        <v>64</v>
      </c>
      <c r="I5219" s="3" t="s">
        <v>64</v>
      </c>
      <c r="J5219" s="3" t="s">
        <v>64</v>
      </c>
      <c r="K5219" s="3" t="s">
        <v>65</v>
      </c>
      <c r="L5219" s="2" t="s">
        <v>50856</v>
      </c>
      <c r="M5219" s="2" t="s">
        <v>15938</v>
      </c>
      <c r="N5219" s="3" t="s">
        <v>551</v>
      </c>
      <c r="P5219" s="3" t="s">
        <v>102</v>
      </c>
      <c r="Q5219" s="2" t="s">
        <v>8981</v>
      </c>
      <c r="R5219" s="3" t="s">
        <v>49178</v>
      </c>
      <c r="S5219" s="4">
        <v>7</v>
      </c>
      <c r="T5219" s="4">
        <v>7</v>
      </c>
      <c r="U5219" s="5" t="s">
        <v>3284</v>
      </c>
      <c r="V5219" s="5" t="s">
        <v>3284</v>
      </c>
      <c r="W5219" s="5" t="s">
        <v>72</v>
      </c>
      <c r="X5219" s="5" t="s">
        <v>72</v>
      </c>
      <c r="Y5219" s="4">
        <v>243</v>
      </c>
      <c r="Z5219" s="4">
        <v>17</v>
      </c>
      <c r="AA5219" s="4">
        <v>23</v>
      </c>
      <c r="AB5219" s="4">
        <v>2</v>
      </c>
      <c r="AC5219" s="4">
        <v>5</v>
      </c>
      <c r="AD5219" s="4">
        <v>45</v>
      </c>
      <c r="AE5219" s="4">
        <v>53</v>
      </c>
      <c r="AF5219" s="4">
        <v>0</v>
      </c>
      <c r="AG5219" s="4">
        <v>1</v>
      </c>
      <c r="AH5219" s="4">
        <v>37</v>
      </c>
      <c r="AI5219" s="4">
        <v>44</v>
      </c>
      <c r="AJ5219" s="4">
        <v>11</v>
      </c>
      <c r="AK5219" s="4">
        <v>13</v>
      </c>
      <c r="AL5219" s="4">
        <v>21</v>
      </c>
      <c r="AM5219" s="4">
        <v>25</v>
      </c>
      <c r="AN5219" s="4">
        <v>0</v>
      </c>
      <c r="AO5219" s="4">
        <v>0</v>
      </c>
      <c r="AP5219" s="4">
        <v>15</v>
      </c>
      <c r="AQ5219" s="4">
        <v>16</v>
      </c>
      <c r="AR5219" s="3" t="s">
        <v>64</v>
      </c>
      <c r="AS5219" s="3" t="s">
        <v>64</v>
      </c>
      <c r="AT5219" s="3" t="s">
        <v>64</v>
      </c>
      <c r="AV5219" s="6" t="str">
        <f>HYPERLINK("http://mcgill.on.worldcat.org/oclc/462916696","Catalog Record")</f>
        <v>Catalog Record</v>
      </c>
      <c r="AW5219" s="6" t="str">
        <f>HYPERLINK("http://www.worldcat.org/oclc/462916696","WorldCat Record")</f>
        <v>WorldCat Record</v>
      </c>
      <c r="AX5219" s="3" t="s">
        <v>50857</v>
      </c>
      <c r="AY5219" s="3" t="s">
        <v>50858</v>
      </c>
      <c r="AZ5219" s="3" t="s">
        <v>50859</v>
      </c>
      <c r="BA5219" s="3" t="s">
        <v>50859</v>
      </c>
      <c r="BB5219" s="3" t="s">
        <v>50860</v>
      </c>
      <c r="BC5219" s="3" t="s">
        <v>77</v>
      </c>
      <c r="BD5219" s="3" t="s">
        <v>78</v>
      </c>
      <c r="BE5219" s="3" t="s">
        <v>50861</v>
      </c>
      <c r="BF5219" s="3" t="s">
        <v>50860</v>
      </c>
      <c r="BG5219" s="3" t="s">
        <v>50862</v>
      </c>
      <c r="BH5219">
        <f t="shared" si="163"/>
        <v>0</v>
      </c>
    </row>
    <row r="5220" spans="1:60" ht="58" x14ac:dyDescent="0.35">
      <c r="A5220" s="2" t="s">
        <v>59</v>
      </c>
      <c r="B5220" s="2" t="s">
        <v>60</v>
      </c>
      <c r="C5220" s="2" t="s">
        <v>50863</v>
      </c>
      <c r="D5220" s="2" t="s">
        <v>50864</v>
      </c>
      <c r="E5220" s="2" t="s">
        <v>50865</v>
      </c>
      <c r="G5220" s="3" t="s">
        <v>64</v>
      </c>
      <c r="I5220" s="3" t="s">
        <v>64</v>
      </c>
      <c r="J5220" s="3" t="s">
        <v>64</v>
      </c>
      <c r="K5220" s="3" t="s">
        <v>65</v>
      </c>
      <c r="M5220" s="2" t="s">
        <v>19423</v>
      </c>
      <c r="N5220" s="3" t="s">
        <v>1075</v>
      </c>
      <c r="P5220" s="3" t="s">
        <v>102</v>
      </c>
      <c r="R5220" s="3" t="s">
        <v>49178</v>
      </c>
      <c r="S5220" s="4">
        <v>0</v>
      </c>
      <c r="T5220" s="4">
        <v>0</v>
      </c>
      <c r="W5220" s="5" t="s">
        <v>72</v>
      </c>
      <c r="X5220" s="5" t="s">
        <v>72</v>
      </c>
      <c r="Y5220" s="4">
        <v>83</v>
      </c>
      <c r="Z5220" s="4">
        <v>8</v>
      </c>
      <c r="AA5220" s="4">
        <v>9</v>
      </c>
      <c r="AB5220" s="4">
        <v>1</v>
      </c>
      <c r="AC5220" s="4">
        <v>2</v>
      </c>
      <c r="AD5220" s="4">
        <v>26</v>
      </c>
      <c r="AE5220" s="4">
        <v>26</v>
      </c>
      <c r="AF5220" s="4">
        <v>0</v>
      </c>
      <c r="AG5220" s="4">
        <v>0</v>
      </c>
      <c r="AH5220" s="4">
        <v>22</v>
      </c>
      <c r="AI5220" s="4">
        <v>22</v>
      </c>
      <c r="AJ5220" s="4">
        <v>5</v>
      </c>
      <c r="AK5220" s="4">
        <v>5</v>
      </c>
      <c r="AL5220" s="4">
        <v>11</v>
      </c>
      <c r="AM5220" s="4">
        <v>11</v>
      </c>
      <c r="AN5220" s="4">
        <v>0</v>
      </c>
      <c r="AO5220" s="4">
        <v>0</v>
      </c>
      <c r="AP5220" s="4">
        <v>7</v>
      </c>
      <c r="AQ5220" s="4">
        <v>7</v>
      </c>
      <c r="AR5220" s="3" t="s">
        <v>64</v>
      </c>
      <c r="AS5220" s="3" t="s">
        <v>64</v>
      </c>
      <c r="AT5220" s="3" t="s">
        <v>64</v>
      </c>
      <c r="AV5220" s="6" t="str">
        <f>HYPERLINK("http://mcgill.on.worldcat.org/oclc/859038514","Catalog Record")</f>
        <v>Catalog Record</v>
      </c>
      <c r="AW5220" s="6" t="str">
        <f>HYPERLINK("http://www.worldcat.org/oclc/859038514","WorldCat Record")</f>
        <v>WorldCat Record</v>
      </c>
      <c r="AX5220" s="3" t="s">
        <v>50866</v>
      </c>
      <c r="AY5220" s="3" t="s">
        <v>50867</v>
      </c>
      <c r="AZ5220" s="3" t="s">
        <v>50868</v>
      </c>
      <c r="BA5220" s="3" t="s">
        <v>50868</v>
      </c>
      <c r="BB5220" s="3" t="s">
        <v>50869</v>
      </c>
      <c r="BC5220" s="3" t="s">
        <v>77</v>
      </c>
      <c r="BD5220" s="3" t="s">
        <v>78</v>
      </c>
      <c r="BE5220" s="3" t="s">
        <v>50870</v>
      </c>
      <c r="BF5220" s="3" t="s">
        <v>50869</v>
      </c>
      <c r="BG5220" s="3" t="s">
        <v>50871</v>
      </c>
      <c r="BH5220">
        <f t="shared" si="163"/>
        <v>0</v>
      </c>
    </row>
    <row r="5221" spans="1:60" ht="58" x14ac:dyDescent="0.35">
      <c r="A5221" s="2" t="s">
        <v>59</v>
      </c>
      <c r="B5221" s="2" t="s">
        <v>60</v>
      </c>
      <c r="C5221" s="2" t="s">
        <v>50872</v>
      </c>
      <c r="D5221" s="2" t="s">
        <v>50873</v>
      </c>
      <c r="E5221" s="2" t="s">
        <v>50874</v>
      </c>
      <c r="G5221" s="3" t="s">
        <v>64</v>
      </c>
      <c r="I5221" s="3" t="s">
        <v>64</v>
      </c>
      <c r="J5221" s="3" t="s">
        <v>64</v>
      </c>
      <c r="K5221" s="3" t="s">
        <v>65</v>
      </c>
      <c r="M5221" s="2" t="s">
        <v>50875</v>
      </c>
      <c r="N5221" s="3" t="s">
        <v>511</v>
      </c>
      <c r="P5221" s="3" t="s">
        <v>102</v>
      </c>
      <c r="Q5221" s="2" t="s">
        <v>50876</v>
      </c>
      <c r="R5221" s="3" t="s">
        <v>49178</v>
      </c>
      <c r="S5221" s="4">
        <v>0</v>
      </c>
      <c r="T5221" s="4">
        <v>0</v>
      </c>
      <c r="W5221" s="5" t="s">
        <v>72</v>
      </c>
      <c r="X5221" s="5" t="s">
        <v>72</v>
      </c>
      <c r="Y5221" s="4">
        <v>396</v>
      </c>
      <c r="Z5221" s="4">
        <v>19</v>
      </c>
      <c r="AA5221" s="4">
        <v>21</v>
      </c>
      <c r="AB5221" s="4">
        <v>1</v>
      </c>
      <c r="AC5221" s="4">
        <v>3</v>
      </c>
      <c r="AD5221" s="4">
        <v>72</v>
      </c>
      <c r="AE5221" s="4">
        <v>74</v>
      </c>
      <c r="AF5221" s="4">
        <v>0</v>
      </c>
      <c r="AG5221" s="4">
        <v>2</v>
      </c>
      <c r="AH5221" s="4">
        <v>66</v>
      </c>
      <c r="AI5221" s="4">
        <v>67</v>
      </c>
      <c r="AJ5221" s="4">
        <v>9</v>
      </c>
      <c r="AK5221" s="4">
        <v>11</v>
      </c>
      <c r="AL5221" s="4">
        <v>33</v>
      </c>
      <c r="AM5221" s="4">
        <v>33</v>
      </c>
      <c r="AN5221" s="4">
        <v>0</v>
      </c>
      <c r="AO5221" s="4">
        <v>0</v>
      </c>
      <c r="AP5221" s="4">
        <v>13</v>
      </c>
      <c r="AQ5221" s="4">
        <v>14</v>
      </c>
      <c r="AR5221" s="3" t="s">
        <v>64</v>
      </c>
      <c r="AS5221" s="3" t="s">
        <v>64</v>
      </c>
      <c r="AT5221" s="3" t="s">
        <v>64</v>
      </c>
      <c r="AV5221" s="6" t="str">
        <f>HYPERLINK("http://mcgill.on.worldcat.org/oclc/656213185","Catalog Record")</f>
        <v>Catalog Record</v>
      </c>
      <c r="AW5221" s="6" t="str">
        <f>HYPERLINK("http://www.worldcat.org/oclc/656213185","WorldCat Record")</f>
        <v>WorldCat Record</v>
      </c>
      <c r="AX5221" s="3" t="s">
        <v>50877</v>
      </c>
      <c r="AY5221" s="3" t="s">
        <v>50878</v>
      </c>
      <c r="AZ5221" s="3" t="s">
        <v>50879</v>
      </c>
      <c r="BA5221" s="3" t="s">
        <v>50879</v>
      </c>
      <c r="BB5221" s="3" t="s">
        <v>50880</v>
      </c>
      <c r="BC5221" s="3" t="s">
        <v>77</v>
      </c>
      <c r="BD5221" s="3" t="s">
        <v>78</v>
      </c>
      <c r="BE5221" s="3" t="s">
        <v>50881</v>
      </c>
      <c r="BF5221" s="3" t="s">
        <v>50880</v>
      </c>
      <c r="BG5221" s="3" t="s">
        <v>50882</v>
      </c>
      <c r="BH5221">
        <f t="shared" si="163"/>
        <v>0</v>
      </c>
    </row>
    <row r="5222" spans="1:60" ht="58" x14ac:dyDescent="0.35">
      <c r="A5222" s="2" t="s">
        <v>59</v>
      </c>
      <c r="B5222" s="2" t="s">
        <v>60</v>
      </c>
      <c r="C5222" s="2" t="s">
        <v>50883</v>
      </c>
      <c r="D5222" s="2" t="s">
        <v>50884</v>
      </c>
      <c r="E5222" s="2" t="s">
        <v>50885</v>
      </c>
      <c r="G5222" s="3" t="s">
        <v>64</v>
      </c>
      <c r="I5222" s="3" t="s">
        <v>64</v>
      </c>
      <c r="J5222" s="3" t="s">
        <v>64</v>
      </c>
      <c r="K5222" s="3" t="s">
        <v>65</v>
      </c>
      <c r="L5222" s="2" t="s">
        <v>50886</v>
      </c>
      <c r="M5222" s="2" t="s">
        <v>50887</v>
      </c>
      <c r="N5222" s="3" t="s">
        <v>190</v>
      </c>
      <c r="P5222" s="3" t="s">
        <v>102</v>
      </c>
      <c r="Q5222" s="2" t="s">
        <v>50888</v>
      </c>
      <c r="R5222" s="3" t="s">
        <v>49178</v>
      </c>
      <c r="S5222" s="4">
        <v>3</v>
      </c>
      <c r="T5222" s="4">
        <v>3</v>
      </c>
      <c r="U5222" s="5" t="s">
        <v>9939</v>
      </c>
      <c r="V5222" s="5" t="s">
        <v>9939</v>
      </c>
      <c r="W5222" s="5" t="s">
        <v>72</v>
      </c>
      <c r="X5222" s="5" t="s">
        <v>72</v>
      </c>
      <c r="Y5222" s="4">
        <v>22</v>
      </c>
      <c r="Z5222" s="4">
        <v>2</v>
      </c>
      <c r="AA5222" s="4">
        <v>12</v>
      </c>
      <c r="AB5222" s="4">
        <v>1</v>
      </c>
      <c r="AC5222" s="4">
        <v>8</v>
      </c>
      <c r="AD5222" s="4">
        <v>8</v>
      </c>
      <c r="AE5222" s="4">
        <v>34</v>
      </c>
      <c r="AF5222" s="4">
        <v>0</v>
      </c>
      <c r="AG5222" s="4">
        <v>4</v>
      </c>
      <c r="AH5222" s="4">
        <v>8</v>
      </c>
      <c r="AI5222" s="4">
        <v>30</v>
      </c>
      <c r="AJ5222" s="4">
        <v>1</v>
      </c>
      <c r="AK5222" s="4">
        <v>7</v>
      </c>
      <c r="AL5222" s="4">
        <v>4</v>
      </c>
      <c r="AM5222" s="4">
        <v>18</v>
      </c>
      <c r="AN5222" s="4">
        <v>0</v>
      </c>
      <c r="AO5222" s="4">
        <v>0</v>
      </c>
      <c r="AP5222" s="4">
        <v>1</v>
      </c>
      <c r="AQ5222" s="4">
        <v>7</v>
      </c>
      <c r="AR5222" s="3" t="s">
        <v>64</v>
      </c>
      <c r="AS5222" s="3" t="s">
        <v>64</v>
      </c>
      <c r="AT5222" s="3" t="s">
        <v>64</v>
      </c>
      <c r="AV5222" s="6" t="str">
        <f>HYPERLINK("http://mcgill.on.worldcat.org/oclc/1011022349","Catalog Record")</f>
        <v>Catalog Record</v>
      </c>
      <c r="AW5222" s="6" t="str">
        <f>HYPERLINK("http://www.worldcat.org/oclc/1011022349","WorldCat Record")</f>
        <v>WorldCat Record</v>
      </c>
      <c r="AX5222" s="3" t="s">
        <v>50889</v>
      </c>
      <c r="AY5222" s="3" t="s">
        <v>50890</v>
      </c>
      <c r="AZ5222" s="3" t="s">
        <v>50891</v>
      </c>
      <c r="BA5222" s="3" t="s">
        <v>50891</v>
      </c>
      <c r="BB5222" s="3" t="s">
        <v>50892</v>
      </c>
      <c r="BC5222" s="3" t="s">
        <v>77</v>
      </c>
      <c r="BD5222" s="3" t="s">
        <v>165</v>
      </c>
      <c r="BE5222" s="3" t="s">
        <v>50893</v>
      </c>
      <c r="BF5222" s="3" t="s">
        <v>50892</v>
      </c>
      <c r="BG5222" s="3" t="s">
        <v>50894</v>
      </c>
      <c r="BH5222">
        <f t="shared" si="163"/>
        <v>0</v>
      </c>
    </row>
    <row r="5223" spans="1:60" ht="58" x14ac:dyDescent="0.35">
      <c r="A5223" s="2" t="s">
        <v>59</v>
      </c>
      <c r="B5223" s="2" t="s">
        <v>60</v>
      </c>
      <c r="C5223" s="2" t="s">
        <v>50895</v>
      </c>
      <c r="D5223" s="2" t="s">
        <v>50896</v>
      </c>
      <c r="E5223" s="2" t="s">
        <v>50897</v>
      </c>
      <c r="G5223" s="3" t="s">
        <v>64</v>
      </c>
      <c r="I5223" s="3" t="s">
        <v>64</v>
      </c>
      <c r="J5223" s="3" t="s">
        <v>128</v>
      </c>
      <c r="K5223" s="3" t="s">
        <v>65</v>
      </c>
      <c r="L5223" s="2" t="s">
        <v>50898</v>
      </c>
      <c r="M5223" s="2" t="s">
        <v>50060</v>
      </c>
      <c r="N5223" s="3" t="s">
        <v>1492</v>
      </c>
      <c r="O5223" s="2" t="s">
        <v>3787</v>
      </c>
      <c r="P5223" s="3" t="s">
        <v>102</v>
      </c>
      <c r="Q5223" s="2" t="s">
        <v>50899</v>
      </c>
      <c r="R5223" s="3" t="s">
        <v>49178</v>
      </c>
      <c r="S5223" s="4">
        <v>1</v>
      </c>
      <c r="T5223" s="4">
        <v>1</v>
      </c>
      <c r="U5223" s="5" t="s">
        <v>14260</v>
      </c>
      <c r="V5223" s="5" t="s">
        <v>14260</v>
      </c>
      <c r="W5223" s="5" t="s">
        <v>72</v>
      </c>
      <c r="X5223" s="5" t="s">
        <v>72</v>
      </c>
      <c r="Y5223" s="4">
        <v>206</v>
      </c>
      <c r="Z5223" s="4">
        <v>10</v>
      </c>
      <c r="AA5223" s="4">
        <v>86</v>
      </c>
      <c r="AB5223" s="4">
        <v>2</v>
      </c>
      <c r="AC5223" s="4">
        <v>16</v>
      </c>
      <c r="AD5223" s="4">
        <v>33</v>
      </c>
      <c r="AE5223" s="4">
        <v>134</v>
      </c>
      <c r="AF5223" s="4">
        <v>1</v>
      </c>
      <c r="AG5223" s="4">
        <v>9</v>
      </c>
      <c r="AH5223" s="4">
        <v>29</v>
      </c>
      <c r="AI5223" s="4">
        <v>99</v>
      </c>
      <c r="AJ5223" s="4">
        <v>5</v>
      </c>
      <c r="AK5223" s="4">
        <v>21</v>
      </c>
      <c r="AL5223" s="4">
        <v>12</v>
      </c>
      <c r="AM5223" s="4">
        <v>49</v>
      </c>
      <c r="AN5223" s="4">
        <v>0</v>
      </c>
      <c r="AO5223" s="4">
        <v>1</v>
      </c>
      <c r="AP5223" s="4">
        <v>5</v>
      </c>
      <c r="AQ5223" s="4">
        <v>43</v>
      </c>
      <c r="AR5223" s="3" t="s">
        <v>64</v>
      </c>
      <c r="AS5223" s="3" t="s">
        <v>64</v>
      </c>
      <c r="AT5223" s="3" t="s">
        <v>64</v>
      </c>
      <c r="AV5223" s="6" t="str">
        <f>HYPERLINK("http://mcgill.on.worldcat.org/oclc/1048015209","Catalog Record")</f>
        <v>Catalog Record</v>
      </c>
      <c r="AW5223" s="6" t="str">
        <f>HYPERLINK("http://www.worldcat.org/oclc/1048015209","WorldCat Record")</f>
        <v>WorldCat Record</v>
      </c>
      <c r="AX5223" s="3" t="s">
        <v>50900</v>
      </c>
      <c r="AY5223" s="3" t="s">
        <v>50901</v>
      </c>
      <c r="AZ5223" s="3" t="s">
        <v>50902</v>
      </c>
      <c r="BA5223" s="3" t="s">
        <v>50902</v>
      </c>
      <c r="BB5223" s="3" t="s">
        <v>50903</v>
      </c>
      <c r="BC5223" s="3" t="s">
        <v>77</v>
      </c>
      <c r="BD5223" s="3" t="s">
        <v>78</v>
      </c>
      <c r="BE5223" s="3" t="s">
        <v>50904</v>
      </c>
      <c r="BF5223" s="3" t="s">
        <v>50903</v>
      </c>
      <c r="BG5223" s="3" t="s">
        <v>50905</v>
      </c>
      <c r="BH5223">
        <f t="shared" si="163"/>
        <v>0</v>
      </c>
    </row>
    <row r="5224" spans="1:60" ht="87" x14ac:dyDescent="0.35">
      <c r="A5224" s="2" t="s">
        <v>59</v>
      </c>
      <c r="B5224" s="2" t="s">
        <v>60</v>
      </c>
      <c r="C5224" s="2" t="s">
        <v>50906</v>
      </c>
      <c r="D5224" s="2" t="s">
        <v>50907</v>
      </c>
      <c r="E5224" s="2" t="s">
        <v>50908</v>
      </c>
      <c r="G5224" s="3" t="s">
        <v>64</v>
      </c>
      <c r="I5224" s="3" t="s">
        <v>64</v>
      </c>
      <c r="J5224" s="3" t="s">
        <v>64</v>
      </c>
      <c r="K5224" s="3" t="s">
        <v>65</v>
      </c>
      <c r="M5224" s="2" t="s">
        <v>50909</v>
      </c>
      <c r="N5224" s="3" t="s">
        <v>326</v>
      </c>
      <c r="P5224" s="3" t="s">
        <v>102</v>
      </c>
      <c r="Q5224" s="2" t="s">
        <v>50910</v>
      </c>
      <c r="R5224" s="3" t="s">
        <v>49178</v>
      </c>
      <c r="S5224" s="4">
        <v>1</v>
      </c>
      <c r="T5224" s="4">
        <v>1</v>
      </c>
      <c r="U5224" s="5" t="s">
        <v>19981</v>
      </c>
      <c r="V5224" s="5" t="s">
        <v>19981</v>
      </c>
      <c r="W5224" s="5" t="s">
        <v>72</v>
      </c>
      <c r="X5224" s="5" t="s">
        <v>72</v>
      </c>
      <c r="Y5224" s="4">
        <v>16</v>
      </c>
      <c r="Z5224" s="4">
        <v>1</v>
      </c>
      <c r="AA5224" s="4">
        <v>3</v>
      </c>
      <c r="AB5224" s="4">
        <v>1</v>
      </c>
      <c r="AC5224" s="4">
        <v>1</v>
      </c>
      <c r="AD5224" s="4">
        <v>6</v>
      </c>
      <c r="AE5224" s="4">
        <v>7</v>
      </c>
      <c r="AF5224" s="4">
        <v>0</v>
      </c>
      <c r="AG5224" s="4">
        <v>0</v>
      </c>
      <c r="AH5224" s="4">
        <v>6</v>
      </c>
      <c r="AI5224" s="4">
        <v>7</v>
      </c>
      <c r="AJ5224" s="4">
        <v>0</v>
      </c>
      <c r="AK5224" s="4">
        <v>1</v>
      </c>
      <c r="AL5224" s="4">
        <v>6</v>
      </c>
      <c r="AM5224" s="4">
        <v>7</v>
      </c>
      <c r="AN5224" s="4">
        <v>0</v>
      </c>
      <c r="AO5224" s="4">
        <v>0</v>
      </c>
      <c r="AP5224" s="4">
        <v>0</v>
      </c>
      <c r="AQ5224" s="4">
        <v>1</v>
      </c>
      <c r="AR5224" s="3" t="s">
        <v>64</v>
      </c>
      <c r="AS5224" s="3" t="s">
        <v>64</v>
      </c>
      <c r="AT5224" s="3" t="s">
        <v>64</v>
      </c>
      <c r="AV5224" s="6" t="str">
        <f>HYPERLINK("http://mcgill.on.worldcat.org/oclc/778628043","Catalog Record")</f>
        <v>Catalog Record</v>
      </c>
      <c r="AW5224" s="6" t="str">
        <f>HYPERLINK("http://www.worldcat.org/oclc/778628043","WorldCat Record")</f>
        <v>WorldCat Record</v>
      </c>
      <c r="AX5224" s="3" t="s">
        <v>50911</v>
      </c>
      <c r="AY5224" s="3" t="s">
        <v>50912</v>
      </c>
      <c r="AZ5224" s="3" t="s">
        <v>50913</v>
      </c>
      <c r="BA5224" s="3" t="s">
        <v>50913</v>
      </c>
      <c r="BB5224" s="3" t="s">
        <v>50914</v>
      </c>
      <c r="BC5224" s="3" t="s">
        <v>77</v>
      </c>
      <c r="BD5224" s="3" t="s">
        <v>78</v>
      </c>
      <c r="BE5224" s="3" t="s">
        <v>50915</v>
      </c>
      <c r="BF5224" s="3" t="s">
        <v>50914</v>
      </c>
      <c r="BG5224" s="3" t="s">
        <v>50916</v>
      </c>
      <c r="BH5224">
        <f t="shared" si="163"/>
        <v>0</v>
      </c>
    </row>
    <row r="5225" spans="1:60" ht="58" x14ac:dyDescent="0.35">
      <c r="A5225" s="2" t="s">
        <v>59</v>
      </c>
      <c r="B5225" s="2" t="s">
        <v>60</v>
      </c>
      <c r="C5225" s="2" t="s">
        <v>50917</v>
      </c>
      <c r="D5225" s="2" t="s">
        <v>50918</v>
      </c>
      <c r="E5225" s="2" t="s">
        <v>50919</v>
      </c>
      <c r="G5225" s="3" t="s">
        <v>64</v>
      </c>
      <c r="I5225" s="3" t="s">
        <v>64</v>
      </c>
      <c r="J5225" s="3" t="s">
        <v>64</v>
      </c>
      <c r="K5225" s="3" t="s">
        <v>65</v>
      </c>
      <c r="L5225" s="2" t="s">
        <v>50920</v>
      </c>
      <c r="M5225" s="2" t="s">
        <v>50921</v>
      </c>
      <c r="N5225" s="3" t="s">
        <v>511</v>
      </c>
      <c r="P5225" s="3" t="s">
        <v>102</v>
      </c>
      <c r="Q5225" s="2" t="s">
        <v>8981</v>
      </c>
      <c r="R5225" s="3" t="s">
        <v>49178</v>
      </c>
      <c r="S5225" s="4">
        <v>2</v>
      </c>
      <c r="T5225" s="4">
        <v>2</v>
      </c>
      <c r="U5225" s="5" t="s">
        <v>50922</v>
      </c>
      <c r="V5225" s="5" t="s">
        <v>50922</v>
      </c>
      <c r="W5225" s="5" t="s">
        <v>72</v>
      </c>
      <c r="X5225" s="5" t="s">
        <v>72</v>
      </c>
      <c r="Y5225" s="4">
        <v>197</v>
      </c>
      <c r="Z5225" s="4">
        <v>19</v>
      </c>
      <c r="AA5225" s="4">
        <v>34</v>
      </c>
      <c r="AB5225" s="4">
        <v>2</v>
      </c>
      <c r="AC5225" s="4">
        <v>7</v>
      </c>
      <c r="AD5225" s="4">
        <v>51</v>
      </c>
      <c r="AE5225" s="4">
        <v>77</v>
      </c>
      <c r="AF5225" s="4">
        <v>1</v>
      </c>
      <c r="AG5225" s="4">
        <v>3</v>
      </c>
      <c r="AH5225" s="4">
        <v>43</v>
      </c>
      <c r="AI5225" s="4">
        <v>63</v>
      </c>
      <c r="AJ5225" s="4">
        <v>12</v>
      </c>
      <c r="AK5225" s="4">
        <v>17</v>
      </c>
      <c r="AL5225" s="4">
        <v>21</v>
      </c>
      <c r="AM5225" s="4">
        <v>29</v>
      </c>
      <c r="AN5225" s="4">
        <v>0</v>
      </c>
      <c r="AO5225" s="4">
        <v>0</v>
      </c>
      <c r="AP5225" s="4">
        <v>16</v>
      </c>
      <c r="AQ5225" s="4">
        <v>21</v>
      </c>
      <c r="AR5225" s="3" t="s">
        <v>64</v>
      </c>
      <c r="AS5225" s="3" t="s">
        <v>64</v>
      </c>
      <c r="AT5225" s="3" t="s">
        <v>64</v>
      </c>
      <c r="AV5225" s="6" t="str">
        <f>HYPERLINK("http://mcgill.on.worldcat.org/oclc/665042800","Catalog Record")</f>
        <v>Catalog Record</v>
      </c>
      <c r="AW5225" s="6" t="str">
        <f>HYPERLINK("http://www.worldcat.org/oclc/665042800","WorldCat Record")</f>
        <v>WorldCat Record</v>
      </c>
      <c r="AX5225" s="3" t="s">
        <v>50923</v>
      </c>
      <c r="AY5225" s="3" t="s">
        <v>50924</v>
      </c>
      <c r="AZ5225" s="3" t="s">
        <v>50925</v>
      </c>
      <c r="BA5225" s="3" t="s">
        <v>50925</v>
      </c>
      <c r="BB5225" s="3" t="s">
        <v>50926</v>
      </c>
      <c r="BC5225" s="3" t="s">
        <v>77</v>
      </c>
      <c r="BD5225" s="3" t="s">
        <v>78</v>
      </c>
      <c r="BE5225" s="3" t="s">
        <v>50927</v>
      </c>
      <c r="BF5225" s="3" t="s">
        <v>50926</v>
      </c>
      <c r="BG5225" s="3" t="s">
        <v>50928</v>
      </c>
      <c r="BH5225">
        <f t="shared" si="163"/>
        <v>0</v>
      </c>
    </row>
    <row r="5226" spans="1:60" ht="58" x14ac:dyDescent="0.35">
      <c r="A5226" s="2" t="s">
        <v>59</v>
      </c>
      <c r="B5226" s="2" t="s">
        <v>60</v>
      </c>
      <c r="C5226" s="2" t="s">
        <v>50929</v>
      </c>
      <c r="D5226" s="2" t="s">
        <v>50930</v>
      </c>
      <c r="E5226" s="2" t="s">
        <v>50931</v>
      </c>
      <c r="G5226" s="3" t="s">
        <v>64</v>
      </c>
      <c r="I5226" s="3" t="s">
        <v>64</v>
      </c>
      <c r="J5226" s="3" t="s">
        <v>64</v>
      </c>
      <c r="K5226" s="3" t="s">
        <v>65</v>
      </c>
      <c r="L5226" s="2" t="s">
        <v>50932</v>
      </c>
      <c r="M5226" s="2" t="s">
        <v>50933</v>
      </c>
      <c r="N5226" s="3" t="s">
        <v>159</v>
      </c>
      <c r="P5226" s="3" t="s">
        <v>102</v>
      </c>
      <c r="R5226" s="3" t="s">
        <v>49178</v>
      </c>
      <c r="S5226" s="4">
        <v>57</v>
      </c>
      <c r="T5226" s="4">
        <v>57</v>
      </c>
      <c r="U5226" s="5" t="s">
        <v>9239</v>
      </c>
      <c r="V5226" s="5" t="s">
        <v>9239</v>
      </c>
      <c r="W5226" s="5" t="s">
        <v>72</v>
      </c>
      <c r="X5226" s="5" t="s">
        <v>72</v>
      </c>
      <c r="Y5226" s="4">
        <v>106</v>
      </c>
      <c r="Z5226" s="4">
        <v>4</v>
      </c>
      <c r="AA5226" s="4">
        <v>25</v>
      </c>
      <c r="AB5226" s="4">
        <v>2</v>
      </c>
      <c r="AC5226" s="4">
        <v>6</v>
      </c>
      <c r="AD5226" s="4">
        <v>15</v>
      </c>
      <c r="AE5226" s="4">
        <v>99</v>
      </c>
      <c r="AF5226" s="4">
        <v>0</v>
      </c>
      <c r="AG5226" s="4">
        <v>3</v>
      </c>
      <c r="AH5226" s="4">
        <v>15</v>
      </c>
      <c r="AI5226" s="4">
        <v>89</v>
      </c>
      <c r="AJ5226" s="4">
        <v>2</v>
      </c>
      <c r="AK5226" s="4">
        <v>14</v>
      </c>
      <c r="AL5226" s="4">
        <v>10</v>
      </c>
      <c r="AM5226" s="4">
        <v>49</v>
      </c>
      <c r="AN5226" s="4">
        <v>0</v>
      </c>
      <c r="AO5226" s="4">
        <v>0</v>
      </c>
      <c r="AP5226" s="4">
        <v>2</v>
      </c>
      <c r="AQ5226" s="4">
        <v>14</v>
      </c>
      <c r="AR5226" s="3" t="s">
        <v>64</v>
      </c>
      <c r="AS5226" s="3" t="s">
        <v>64</v>
      </c>
      <c r="AT5226" s="3" t="s">
        <v>64</v>
      </c>
      <c r="AV5226" s="6" t="str">
        <f>HYPERLINK("http://mcgill.on.worldcat.org/oclc/48883771","Catalog Record")</f>
        <v>Catalog Record</v>
      </c>
      <c r="AW5226" s="6" t="str">
        <f>HYPERLINK("http://www.worldcat.org/oclc/48883771","WorldCat Record")</f>
        <v>WorldCat Record</v>
      </c>
      <c r="AX5226" s="3" t="s">
        <v>50934</v>
      </c>
      <c r="AY5226" s="3" t="s">
        <v>50935</v>
      </c>
      <c r="AZ5226" s="3" t="s">
        <v>50936</v>
      </c>
      <c r="BA5226" s="3" t="s">
        <v>50936</v>
      </c>
      <c r="BB5226" s="3" t="s">
        <v>50937</v>
      </c>
      <c r="BC5226" s="3" t="s">
        <v>77</v>
      </c>
      <c r="BD5226" s="3" t="s">
        <v>78</v>
      </c>
      <c r="BE5226" s="3" t="s">
        <v>50938</v>
      </c>
      <c r="BF5226" s="3" t="s">
        <v>50937</v>
      </c>
      <c r="BG5226" s="3" t="s">
        <v>50939</v>
      </c>
      <c r="BH5226">
        <f t="shared" si="163"/>
        <v>0</v>
      </c>
    </row>
    <row r="5227" spans="1:60" ht="58" x14ac:dyDescent="0.35">
      <c r="A5227" s="2" t="s">
        <v>59</v>
      </c>
      <c r="B5227" s="2" t="s">
        <v>60</v>
      </c>
      <c r="C5227" s="2" t="s">
        <v>50940</v>
      </c>
      <c r="D5227" s="2" t="s">
        <v>50941</v>
      </c>
      <c r="E5227" s="2" t="s">
        <v>50942</v>
      </c>
      <c r="G5227" s="3" t="s">
        <v>64</v>
      </c>
      <c r="I5227" s="3" t="s">
        <v>64</v>
      </c>
      <c r="J5227" s="3" t="s">
        <v>64</v>
      </c>
      <c r="K5227" s="3" t="s">
        <v>65</v>
      </c>
      <c r="M5227" s="2" t="s">
        <v>50943</v>
      </c>
      <c r="N5227" s="3" t="s">
        <v>144</v>
      </c>
      <c r="P5227" s="3" t="s">
        <v>102</v>
      </c>
      <c r="R5227" s="3" t="s">
        <v>49178</v>
      </c>
      <c r="S5227" s="4">
        <v>11</v>
      </c>
      <c r="T5227" s="4">
        <v>11</v>
      </c>
      <c r="U5227" s="5" t="s">
        <v>19011</v>
      </c>
      <c r="V5227" s="5" t="s">
        <v>19011</v>
      </c>
      <c r="W5227" s="5" t="s">
        <v>72</v>
      </c>
      <c r="X5227" s="5" t="s">
        <v>72</v>
      </c>
      <c r="Y5227" s="4">
        <v>94</v>
      </c>
      <c r="Z5227" s="4">
        <v>5</v>
      </c>
      <c r="AA5227" s="4">
        <v>17</v>
      </c>
      <c r="AB5227" s="4">
        <v>2</v>
      </c>
      <c r="AC5227" s="4">
        <v>12</v>
      </c>
      <c r="AD5227" s="4">
        <v>25</v>
      </c>
      <c r="AE5227" s="4">
        <v>46</v>
      </c>
      <c r="AF5227" s="4">
        <v>1</v>
      </c>
      <c r="AG5227" s="4">
        <v>7</v>
      </c>
      <c r="AH5227" s="4">
        <v>23</v>
      </c>
      <c r="AI5227" s="4">
        <v>36</v>
      </c>
      <c r="AJ5227" s="4">
        <v>4</v>
      </c>
      <c r="AK5227" s="4">
        <v>9</v>
      </c>
      <c r="AL5227" s="4">
        <v>17</v>
      </c>
      <c r="AM5227" s="4">
        <v>29</v>
      </c>
      <c r="AN5227" s="4">
        <v>0</v>
      </c>
      <c r="AO5227" s="4">
        <v>0</v>
      </c>
      <c r="AP5227" s="4">
        <v>4</v>
      </c>
      <c r="AQ5227" s="4">
        <v>11</v>
      </c>
      <c r="AR5227" s="3" t="s">
        <v>64</v>
      </c>
      <c r="AS5227" s="3" t="s">
        <v>64</v>
      </c>
      <c r="AT5227" s="3" t="s">
        <v>64</v>
      </c>
      <c r="AV5227" s="6" t="str">
        <f>HYPERLINK("http://mcgill.on.worldcat.org/oclc/191881991","Catalog Record")</f>
        <v>Catalog Record</v>
      </c>
      <c r="AW5227" s="6" t="str">
        <f>HYPERLINK("http://www.worldcat.org/oclc/191881991","WorldCat Record")</f>
        <v>WorldCat Record</v>
      </c>
      <c r="AX5227" s="3" t="s">
        <v>50944</v>
      </c>
      <c r="AY5227" s="3" t="s">
        <v>50945</v>
      </c>
      <c r="AZ5227" s="3" t="s">
        <v>50946</v>
      </c>
      <c r="BA5227" s="3" t="s">
        <v>50946</v>
      </c>
      <c r="BB5227" s="3" t="s">
        <v>50947</v>
      </c>
      <c r="BC5227" s="3" t="s">
        <v>77</v>
      </c>
      <c r="BD5227" s="3" t="s">
        <v>78</v>
      </c>
      <c r="BE5227" s="3" t="s">
        <v>50948</v>
      </c>
      <c r="BF5227" s="3" t="s">
        <v>50947</v>
      </c>
      <c r="BG5227" s="3" t="s">
        <v>50949</v>
      </c>
      <c r="BH5227">
        <f t="shared" si="163"/>
        <v>0</v>
      </c>
    </row>
    <row r="5228" spans="1:60" ht="58" x14ac:dyDescent="0.35">
      <c r="A5228" s="2" t="s">
        <v>59</v>
      </c>
      <c r="B5228" s="2" t="s">
        <v>60</v>
      </c>
      <c r="C5228" s="2" t="s">
        <v>50950</v>
      </c>
      <c r="D5228" s="2" t="s">
        <v>50951</v>
      </c>
      <c r="E5228" s="2" t="s">
        <v>50952</v>
      </c>
      <c r="G5228" s="3" t="s">
        <v>64</v>
      </c>
      <c r="I5228" s="3" t="s">
        <v>64</v>
      </c>
      <c r="J5228" s="3" t="s">
        <v>64</v>
      </c>
      <c r="K5228" s="3" t="s">
        <v>65</v>
      </c>
      <c r="M5228" s="2" t="s">
        <v>9095</v>
      </c>
      <c r="N5228" s="3" t="s">
        <v>551</v>
      </c>
      <c r="P5228" s="3" t="s">
        <v>102</v>
      </c>
      <c r="Q5228" s="2" t="s">
        <v>8981</v>
      </c>
      <c r="R5228" s="3" t="s">
        <v>49178</v>
      </c>
      <c r="S5228" s="4">
        <v>4</v>
      </c>
      <c r="T5228" s="4">
        <v>4</v>
      </c>
      <c r="U5228" s="5" t="s">
        <v>4397</v>
      </c>
      <c r="V5228" s="5" t="s">
        <v>4397</v>
      </c>
      <c r="W5228" s="5" t="s">
        <v>72</v>
      </c>
      <c r="X5228" s="5" t="s">
        <v>72</v>
      </c>
      <c r="Y5228" s="4">
        <v>152</v>
      </c>
      <c r="Z5228" s="4">
        <v>16</v>
      </c>
      <c r="AA5228" s="4">
        <v>20</v>
      </c>
      <c r="AB5228" s="4">
        <v>2</v>
      </c>
      <c r="AC5228" s="4">
        <v>4</v>
      </c>
      <c r="AD5228" s="4">
        <v>49</v>
      </c>
      <c r="AE5228" s="4">
        <v>55</v>
      </c>
      <c r="AF5228" s="4">
        <v>0</v>
      </c>
      <c r="AG5228" s="4">
        <v>0</v>
      </c>
      <c r="AH5228" s="4">
        <v>44</v>
      </c>
      <c r="AI5228" s="4">
        <v>49</v>
      </c>
      <c r="AJ5228" s="4">
        <v>11</v>
      </c>
      <c r="AK5228" s="4">
        <v>11</v>
      </c>
      <c r="AL5228" s="4">
        <v>28</v>
      </c>
      <c r="AM5228" s="4">
        <v>30</v>
      </c>
      <c r="AN5228" s="4">
        <v>1</v>
      </c>
      <c r="AO5228" s="4">
        <v>1</v>
      </c>
      <c r="AP5228" s="4">
        <v>11</v>
      </c>
      <c r="AQ5228" s="4">
        <v>12</v>
      </c>
      <c r="AR5228" s="3" t="s">
        <v>64</v>
      </c>
      <c r="AS5228" s="3" t="s">
        <v>64</v>
      </c>
      <c r="AT5228" s="3" t="s">
        <v>128</v>
      </c>
      <c r="AU5228" s="6" t="str">
        <f>HYPERLINK("http://catalog.hathitrust.org/Record/006836374","HathiTrust Record")</f>
        <v>HathiTrust Record</v>
      </c>
      <c r="AV5228" s="6" t="str">
        <f>HYPERLINK("http://mcgill.on.worldcat.org/oclc/435418341","Catalog Record")</f>
        <v>Catalog Record</v>
      </c>
      <c r="AW5228" s="6" t="str">
        <f>HYPERLINK("http://www.worldcat.org/oclc/435418341","WorldCat Record")</f>
        <v>WorldCat Record</v>
      </c>
      <c r="AX5228" s="3" t="s">
        <v>50953</v>
      </c>
      <c r="AY5228" s="3" t="s">
        <v>50954</v>
      </c>
      <c r="AZ5228" s="3" t="s">
        <v>50955</v>
      </c>
      <c r="BA5228" s="3" t="s">
        <v>50955</v>
      </c>
      <c r="BB5228" s="3" t="s">
        <v>50956</v>
      </c>
      <c r="BC5228" s="3" t="s">
        <v>77</v>
      </c>
      <c r="BD5228" s="3" t="s">
        <v>78</v>
      </c>
      <c r="BE5228" s="3" t="s">
        <v>50957</v>
      </c>
      <c r="BF5228" s="3" t="s">
        <v>50956</v>
      </c>
      <c r="BG5228" s="3" t="s">
        <v>50958</v>
      </c>
      <c r="BH5228">
        <f t="shared" si="163"/>
        <v>0</v>
      </c>
    </row>
    <row r="5229" spans="1:60" ht="58" x14ac:dyDescent="0.35">
      <c r="A5229" s="2" t="s">
        <v>59</v>
      </c>
      <c r="B5229" s="2" t="s">
        <v>60</v>
      </c>
      <c r="C5229" s="2" t="s">
        <v>50959</v>
      </c>
      <c r="D5229" s="2" t="s">
        <v>50960</v>
      </c>
      <c r="E5229" s="2" t="s">
        <v>50961</v>
      </c>
      <c r="G5229" s="3" t="s">
        <v>64</v>
      </c>
      <c r="I5229" s="3" t="s">
        <v>64</v>
      </c>
      <c r="J5229" s="3" t="s">
        <v>64</v>
      </c>
      <c r="K5229" s="3" t="s">
        <v>65</v>
      </c>
      <c r="M5229" s="2" t="s">
        <v>50962</v>
      </c>
      <c r="N5229" s="3" t="s">
        <v>86</v>
      </c>
      <c r="P5229" s="3" t="s">
        <v>102</v>
      </c>
      <c r="R5229" s="3" t="s">
        <v>49178</v>
      </c>
      <c r="S5229" s="4">
        <v>4</v>
      </c>
      <c r="T5229" s="4">
        <v>4</v>
      </c>
      <c r="U5229" s="5" t="s">
        <v>50963</v>
      </c>
      <c r="V5229" s="5" t="s">
        <v>50963</v>
      </c>
      <c r="W5229" s="5" t="s">
        <v>72</v>
      </c>
      <c r="X5229" s="5" t="s">
        <v>72</v>
      </c>
      <c r="Y5229" s="4">
        <v>95</v>
      </c>
      <c r="Z5229" s="4">
        <v>6</v>
      </c>
      <c r="AA5229" s="4">
        <v>80</v>
      </c>
      <c r="AB5229" s="4">
        <v>1</v>
      </c>
      <c r="AC5229" s="4">
        <v>16</v>
      </c>
      <c r="AD5229" s="4">
        <v>10</v>
      </c>
      <c r="AE5229" s="4">
        <v>97</v>
      </c>
      <c r="AF5229" s="4">
        <v>0</v>
      </c>
      <c r="AG5229" s="4">
        <v>8</v>
      </c>
      <c r="AH5229" s="4">
        <v>10</v>
      </c>
      <c r="AI5229" s="4">
        <v>66</v>
      </c>
      <c r="AJ5229" s="4">
        <v>4</v>
      </c>
      <c r="AK5229" s="4">
        <v>19</v>
      </c>
      <c r="AL5229" s="4">
        <v>7</v>
      </c>
      <c r="AM5229" s="4">
        <v>34</v>
      </c>
      <c r="AN5229" s="4">
        <v>0</v>
      </c>
      <c r="AO5229" s="4">
        <v>0</v>
      </c>
      <c r="AP5229" s="4">
        <v>4</v>
      </c>
      <c r="AQ5229" s="4">
        <v>39</v>
      </c>
      <c r="AR5229" s="3" t="s">
        <v>64</v>
      </c>
      <c r="AS5229" s="3" t="s">
        <v>64</v>
      </c>
      <c r="AT5229" s="3" t="s">
        <v>64</v>
      </c>
      <c r="AV5229" s="6" t="str">
        <f>HYPERLINK("http://mcgill.on.worldcat.org/oclc/780335314","Catalog Record")</f>
        <v>Catalog Record</v>
      </c>
      <c r="AW5229" s="6" t="str">
        <f>HYPERLINK("http://www.worldcat.org/oclc/780335314","WorldCat Record")</f>
        <v>WorldCat Record</v>
      </c>
      <c r="AX5229" s="3" t="s">
        <v>50964</v>
      </c>
      <c r="AY5229" s="3" t="s">
        <v>50965</v>
      </c>
      <c r="AZ5229" s="3" t="s">
        <v>50966</v>
      </c>
      <c r="BA5229" s="3" t="s">
        <v>50966</v>
      </c>
      <c r="BB5229" s="3" t="s">
        <v>50967</v>
      </c>
      <c r="BC5229" s="3" t="s">
        <v>77</v>
      </c>
      <c r="BD5229" s="3" t="s">
        <v>78</v>
      </c>
      <c r="BE5229" s="3" t="s">
        <v>50968</v>
      </c>
      <c r="BF5229" s="3" t="s">
        <v>50967</v>
      </c>
      <c r="BG5229" s="3" t="s">
        <v>50969</v>
      </c>
      <c r="BH5229">
        <f t="shared" si="163"/>
        <v>0</v>
      </c>
    </row>
    <row r="5230" spans="1:60" ht="58" x14ac:dyDescent="0.35">
      <c r="A5230" s="2" t="s">
        <v>59</v>
      </c>
      <c r="B5230" s="2" t="s">
        <v>60</v>
      </c>
      <c r="C5230" s="2" t="s">
        <v>50970</v>
      </c>
      <c r="D5230" s="2" t="s">
        <v>50971</v>
      </c>
      <c r="E5230" s="2" t="s">
        <v>50972</v>
      </c>
      <c r="G5230" s="3" t="s">
        <v>64</v>
      </c>
      <c r="I5230" s="3" t="s">
        <v>64</v>
      </c>
      <c r="J5230" s="3" t="s">
        <v>64</v>
      </c>
      <c r="K5230" s="3" t="s">
        <v>65</v>
      </c>
      <c r="L5230" s="2" t="s">
        <v>50973</v>
      </c>
      <c r="M5230" s="2" t="s">
        <v>50974</v>
      </c>
      <c r="N5230" s="3" t="s">
        <v>511</v>
      </c>
      <c r="P5230" s="3" t="s">
        <v>102</v>
      </c>
      <c r="Q5230" s="2" t="s">
        <v>50975</v>
      </c>
      <c r="R5230" s="3" t="s">
        <v>49178</v>
      </c>
      <c r="S5230" s="4">
        <v>4</v>
      </c>
      <c r="T5230" s="4">
        <v>4</v>
      </c>
      <c r="U5230" s="5" t="s">
        <v>50976</v>
      </c>
      <c r="V5230" s="5" t="s">
        <v>50976</v>
      </c>
      <c r="W5230" s="5" t="s">
        <v>72</v>
      </c>
      <c r="X5230" s="5" t="s">
        <v>72</v>
      </c>
      <c r="Y5230" s="4">
        <v>152</v>
      </c>
      <c r="Z5230" s="4">
        <v>10</v>
      </c>
      <c r="AA5230" s="4">
        <v>96</v>
      </c>
      <c r="AB5230" s="4">
        <v>3</v>
      </c>
      <c r="AC5230" s="4">
        <v>19</v>
      </c>
      <c r="AD5230" s="4">
        <v>44</v>
      </c>
      <c r="AE5230" s="4">
        <v>122</v>
      </c>
      <c r="AF5230" s="4">
        <v>0</v>
      </c>
      <c r="AG5230" s="4">
        <v>8</v>
      </c>
      <c r="AH5230" s="4">
        <v>40</v>
      </c>
      <c r="AI5230" s="4">
        <v>84</v>
      </c>
      <c r="AJ5230" s="4">
        <v>5</v>
      </c>
      <c r="AK5230" s="4">
        <v>24</v>
      </c>
      <c r="AL5230" s="4">
        <v>27</v>
      </c>
      <c r="AM5230" s="4">
        <v>42</v>
      </c>
      <c r="AN5230" s="4">
        <v>0</v>
      </c>
      <c r="AO5230" s="4">
        <v>0</v>
      </c>
      <c r="AP5230" s="4">
        <v>7</v>
      </c>
      <c r="AQ5230" s="4">
        <v>44</v>
      </c>
      <c r="AR5230" s="3" t="s">
        <v>64</v>
      </c>
      <c r="AS5230" s="3" t="s">
        <v>64</v>
      </c>
      <c r="AT5230" s="3" t="s">
        <v>64</v>
      </c>
      <c r="AV5230" s="6" t="str">
        <f>HYPERLINK("http://mcgill.on.worldcat.org/oclc/610832080","Catalog Record")</f>
        <v>Catalog Record</v>
      </c>
      <c r="AW5230" s="6" t="str">
        <f>HYPERLINK("http://www.worldcat.org/oclc/610832080","WorldCat Record")</f>
        <v>WorldCat Record</v>
      </c>
      <c r="AX5230" s="3" t="s">
        <v>50977</v>
      </c>
      <c r="AY5230" s="3" t="s">
        <v>50978</v>
      </c>
      <c r="AZ5230" s="3" t="s">
        <v>50979</v>
      </c>
      <c r="BA5230" s="3" t="s">
        <v>50979</v>
      </c>
      <c r="BB5230" s="3" t="s">
        <v>50980</v>
      </c>
      <c r="BC5230" s="3" t="s">
        <v>77</v>
      </c>
      <c r="BD5230" s="3" t="s">
        <v>78</v>
      </c>
      <c r="BE5230" s="3" t="s">
        <v>50981</v>
      </c>
      <c r="BF5230" s="3" t="s">
        <v>50980</v>
      </c>
      <c r="BG5230" s="3" t="s">
        <v>50982</v>
      </c>
      <c r="BH5230">
        <f t="shared" si="163"/>
        <v>0</v>
      </c>
    </row>
    <row r="5231" spans="1:60" ht="58" x14ac:dyDescent="0.35">
      <c r="A5231" s="2" t="s">
        <v>59</v>
      </c>
      <c r="B5231" s="2" t="s">
        <v>60</v>
      </c>
      <c r="C5231" s="2" t="s">
        <v>50983</v>
      </c>
      <c r="D5231" s="2" t="s">
        <v>50984</v>
      </c>
      <c r="E5231" s="2" t="s">
        <v>50985</v>
      </c>
      <c r="G5231" s="3" t="s">
        <v>64</v>
      </c>
      <c r="I5231" s="3" t="s">
        <v>64</v>
      </c>
      <c r="J5231" s="3" t="s">
        <v>64</v>
      </c>
      <c r="K5231" s="3" t="s">
        <v>65</v>
      </c>
      <c r="M5231" s="2" t="s">
        <v>50986</v>
      </c>
      <c r="N5231" s="3" t="s">
        <v>101</v>
      </c>
      <c r="P5231" s="3" t="s">
        <v>102</v>
      </c>
      <c r="Q5231" s="2" t="s">
        <v>9015</v>
      </c>
      <c r="R5231" s="3" t="s">
        <v>49178</v>
      </c>
      <c r="S5231" s="4">
        <v>14</v>
      </c>
      <c r="T5231" s="4">
        <v>14</v>
      </c>
      <c r="U5231" s="5" t="s">
        <v>30342</v>
      </c>
      <c r="V5231" s="5" t="s">
        <v>30342</v>
      </c>
      <c r="W5231" s="5" t="s">
        <v>72</v>
      </c>
      <c r="X5231" s="5" t="s">
        <v>72</v>
      </c>
      <c r="Y5231" s="4">
        <v>359</v>
      </c>
      <c r="Z5231" s="4">
        <v>31</v>
      </c>
      <c r="AA5231" s="4">
        <v>112</v>
      </c>
      <c r="AB5231" s="4">
        <v>2</v>
      </c>
      <c r="AC5231" s="4">
        <v>17</v>
      </c>
      <c r="AD5231" s="4">
        <v>104</v>
      </c>
      <c r="AE5231" s="4">
        <v>152</v>
      </c>
      <c r="AF5231" s="4">
        <v>1</v>
      </c>
      <c r="AG5231" s="4">
        <v>8</v>
      </c>
      <c r="AH5231" s="4">
        <v>86</v>
      </c>
      <c r="AI5231" s="4">
        <v>107</v>
      </c>
      <c r="AJ5231" s="4">
        <v>16</v>
      </c>
      <c r="AK5231" s="4">
        <v>26</v>
      </c>
      <c r="AL5231" s="4">
        <v>52</v>
      </c>
      <c r="AM5231" s="4">
        <v>57</v>
      </c>
      <c r="AN5231" s="4">
        <v>0</v>
      </c>
      <c r="AO5231" s="4">
        <v>0</v>
      </c>
      <c r="AP5231" s="4">
        <v>22</v>
      </c>
      <c r="AQ5231" s="4">
        <v>51</v>
      </c>
      <c r="AR5231" s="3" t="s">
        <v>64</v>
      </c>
      <c r="AS5231" s="3" t="s">
        <v>64</v>
      </c>
      <c r="AT5231" s="3" t="s">
        <v>64</v>
      </c>
      <c r="AV5231" s="6" t="str">
        <f>HYPERLINK("http://mcgill.on.worldcat.org/oclc/51389233","Catalog Record")</f>
        <v>Catalog Record</v>
      </c>
      <c r="AW5231" s="6" t="str">
        <f>HYPERLINK("http://www.worldcat.org/oclc/51389233","WorldCat Record")</f>
        <v>WorldCat Record</v>
      </c>
      <c r="AX5231" s="3" t="s">
        <v>50987</v>
      </c>
      <c r="AY5231" s="3" t="s">
        <v>50988</v>
      </c>
      <c r="AZ5231" s="3" t="s">
        <v>50989</v>
      </c>
      <c r="BA5231" s="3" t="s">
        <v>50989</v>
      </c>
      <c r="BB5231" s="3" t="s">
        <v>50990</v>
      </c>
      <c r="BC5231" s="3" t="s">
        <v>77</v>
      </c>
      <c r="BD5231" s="3" t="s">
        <v>165</v>
      </c>
      <c r="BE5231" s="3" t="s">
        <v>50991</v>
      </c>
      <c r="BF5231" s="3" t="s">
        <v>50990</v>
      </c>
      <c r="BG5231" s="3" t="s">
        <v>50992</v>
      </c>
      <c r="BH5231">
        <f t="shared" si="163"/>
        <v>0</v>
      </c>
    </row>
    <row r="5232" spans="1:60" ht="58" x14ac:dyDescent="0.35">
      <c r="A5232" s="2" t="s">
        <v>59</v>
      </c>
      <c r="B5232" s="2" t="s">
        <v>60</v>
      </c>
      <c r="C5232" s="2" t="s">
        <v>50993</v>
      </c>
      <c r="D5232" s="2" t="s">
        <v>50994</v>
      </c>
      <c r="E5232" s="2" t="s">
        <v>50995</v>
      </c>
      <c r="G5232" s="3" t="s">
        <v>64</v>
      </c>
      <c r="I5232" s="3" t="s">
        <v>64</v>
      </c>
      <c r="J5232" s="3" t="s">
        <v>64</v>
      </c>
      <c r="K5232" s="3" t="s">
        <v>65</v>
      </c>
      <c r="M5232" s="2" t="s">
        <v>50996</v>
      </c>
      <c r="N5232" s="3" t="s">
        <v>326</v>
      </c>
      <c r="P5232" s="3" t="s">
        <v>944</v>
      </c>
      <c r="Q5232" s="2" t="s">
        <v>50997</v>
      </c>
      <c r="R5232" s="3" t="s">
        <v>49178</v>
      </c>
      <c r="S5232" s="4">
        <v>0</v>
      </c>
      <c r="T5232" s="4">
        <v>0</v>
      </c>
      <c r="W5232" s="5" t="s">
        <v>72</v>
      </c>
      <c r="X5232" s="5" t="s">
        <v>72</v>
      </c>
      <c r="Y5232" s="4">
        <v>6</v>
      </c>
      <c r="Z5232" s="4">
        <v>1</v>
      </c>
      <c r="AA5232" s="4">
        <v>1</v>
      </c>
      <c r="AB5232" s="4">
        <v>1</v>
      </c>
      <c r="AC5232" s="4">
        <v>1</v>
      </c>
      <c r="AD5232" s="4">
        <v>3</v>
      </c>
      <c r="AE5232" s="4">
        <v>3</v>
      </c>
      <c r="AF5232" s="4">
        <v>0</v>
      </c>
      <c r="AG5232" s="4">
        <v>0</v>
      </c>
      <c r="AH5232" s="4">
        <v>2</v>
      </c>
      <c r="AI5232" s="4">
        <v>2</v>
      </c>
      <c r="AJ5232" s="4">
        <v>0</v>
      </c>
      <c r="AK5232" s="4">
        <v>0</v>
      </c>
      <c r="AL5232" s="4">
        <v>3</v>
      </c>
      <c r="AM5232" s="4">
        <v>3</v>
      </c>
      <c r="AN5232" s="4">
        <v>0</v>
      </c>
      <c r="AO5232" s="4">
        <v>0</v>
      </c>
      <c r="AP5232" s="4">
        <v>0</v>
      </c>
      <c r="AQ5232" s="4">
        <v>0</v>
      </c>
      <c r="AR5232" s="3" t="s">
        <v>64</v>
      </c>
      <c r="AS5232" s="3" t="s">
        <v>64</v>
      </c>
      <c r="AT5232" s="3" t="s">
        <v>64</v>
      </c>
      <c r="AV5232" s="6" t="str">
        <f>HYPERLINK("http://mcgill.on.worldcat.org/oclc/792939760","Catalog Record")</f>
        <v>Catalog Record</v>
      </c>
      <c r="AW5232" s="6" t="str">
        <f>HYPERLINK("http://www.worldcat.org/oclc/792939760","WorldCat Record")</f>
        <v>WorldCat Record</v>
      </c>
      <c r="AX5232" s="3" t="s">
        <v>50998</v>
      </c>
      <c r="AY5232" s="3" t="s">
        <v>50999</v>
      </c>
      <c r="AZ5232" s="3" t="s">
        <v>51000</v>
      </c>
      <c r="BA5232" s="3" t="s">
        <v>51000</v>
      </c>
      <c r="BB5232" s="3" t="s">
        <v>51001</v>
      </c>
      <c r="BC5232" s="3" t="s">
        <v>77</v>
      </c>
      <c r="BD5232" s="3" t="s">
        <v>78</v>
      </c>
      <c r="BE5232" s="3" t="s">
        <v>51002</v>
      </c>
      <c r="BF5232" s="3" t="s">
        <v>51001</v>
      </c>
      <c r="BG5232" s="3" t="s">
        <v>51003</v>
      </c>
      <c r="BH5232">
        <f t="shared" si="163"/>
        <v>0</v>
      </c>
    </row>
    <row r="5233" spans="1:60" ht="58" x14ac:dyDescent="0.35">
      <c r="A5233" s="2" t="s">
        <v>59</v>
      </c>
      <c r="B5233" s="2" t="s">
        <v>60</v>
      </c>
      <c r="C5233" s="2" t="s">
        <v>51004</v>
      </c>
      <c r="D5233" s="2" t="s">
        <v>51005</v>
      </c>
      <c r="E5233" s="2" t="s">
        <v>51006</v>
      </c>
      <c r="G5233" s="3" t="s">
        <v>64</v>
      </c>
      <c r="I5233" s="3" t="s">
        <v>64</v>
      </c>
      <c r="J5233" s="3" t="s">
        <v>64</v>
      </c>
      <c r="K5233" s="3" t="s">
        <v>65</v>
      </c>
      <c r="M5233" s="2" t="s">
        <v>9095</v>
      </c>
      <c r="N5233" s="3" t="s">
        <v>551</v>
      </c>
      <c r="P5233" s="3" t="s">
        <v>102</v>
      </c>
      <c r="Q5233" s="2" t="s">
        <v>8981</v>
      </c>
      <c r="R5233" s="3" t="s">
        <v>49178</v>
      </c>
      <c r="S5233" s="4">
        <v>20</v>
      </c>
      <c r="T5233" s="4">
        <v>20</v>
      </c>
      <c r="U5233" s="5" t="s">
        <v>19011</v>
      </c>
      <c r="V5233" s="5" t="s">
        <v>19011</v>
      </c>
      <c r="W5233" s="5" t="s">
        <v>72</v>
      </c>
      <c r="X5233" s="5" t="s">
        <v>72</v>
      </c>
      <c r="Y5233" s="4">
        <v>136</v>
      </c>
      <c r="Z5233" s="4">
        <v>14</v>
      </c>
      <c r="AA5233" s="4">
        <v>19</v>
      </c>
      <c r="AB5233" s="4">
        <v>2</v>
      </c>
      <c r="AC5233" s="4">
        <v>5</v>
      </c>
      <c r="AD5233" s="4">
        <v>27</v>
      </c>
      <c r="AE5233" s="4">
        <v>37</v>
      </c>
      <c r="AF5233" s="4">
        <v>0</v>
      </c>
      <c r="AG5233" s="4">
        <v>1</v>
      </c>
      <c r="AH5233" s="4">
        <v>25</v>
      </c>
      <c r="AI5233" s="4">
        <v>33</v>
      </c>
      <c r="AJ5233" s="4">
        <v>9</v>
      </c>
      <c r="AK5233" s="4">
        <v>10</v>
      </c>
      <c r="AL5233" s="4">
        <v>15</v>
      </c>
      <c r="AM5233" s="4">
        <v>19</v>
      </c>
      <c r="AN5233" s="4">
        <v>0</v>
      </c>
      <c r="AO5233" s="4">
        <v>0</v>
      </c>
      <c r="AP5233" s="4">
        <v>9</v>
      </c>
      <c r="AQ5233" s="4">
        <v>10</v>
      </c>
      <c r="AR5233" s="3" t="s">
        <v>64</v>
      </c>
      <c r="AS5233" s="3" t="s">
        <v>64</v>
      </c>
      <c r="AT5233" s="3" t="s">
        <v>64</v>
      </c>
      <c r="AV5233" s="6" t="str">
        <f>HYPERLINK("http://mcgill.on.worldcat.org/oclc/280426556","Catalog Record")</f>
        <v>Catalog Record</v>
      </c>
      <c r="AW5233" s="6" t="str">
        <f>HYPERLINK("http://www.worldcat.org/oclc/280426556","WorldCat Record")</f>
        <v>WorldCat Record</v>
      </c>
      <c r="AX5233" s="3" t="s">
        <v>51007</v>
      </c>
      <c r="AY5233" s="3" t="s">
        <v>51008</v>
      </c>
      <c r="AZ5233" s="3" t="s">
        <v>51009</v>
      </c>
      <c r="BA5233" s="3" t="s">
        <v>51009</v>
      </c>
      <c r="BB5233" s="3" t="s">
        <v>51010</v>
      </c>
      <c r="BC5233" s="3" t="s">
        <v>77</v>
      </c>
      <c r="BD5233" s="3" t="s">
        <v>78</v>
      </c>
      <c r="BE5233" s="3" t="s">
        <v>51011</v>
      </c>
      <c r="BF5233" s="3" t="s">
        <v>51010</v>
      </c>
      <c r="BG5233" s="3" t="s">
        <v>51012</v>
      </c>
      <c r="BH5233">
        <f t="shared" si="163"/>
        <v>0</v>
      </c>
    </row>
    <row r="5234" spans="1:60" ht="58" x14ac:dyDescent="0.35">
      <c r="A5234" s="2" t="s">
        <v>59</v>
      </c>
      <c r="B5234" s="2" t="s">
        <v>60</v>
      </c>
      <c r="C5234" s="2" t="s">
        <v>51013</v>
      </c>
      <c r="D5234" s="2" t="s">
        <v>51014</v>
      </c>
      <c r="E5234" s="2" t="s">
        <v>51015</v>
      </c>
      <c r="G5234" s="3" t="s">
        <v>64</v>
      </c>
      <c r="I5234" s="3" t="s">
        <v>64</v>
      </c>
      <c r="J5234" s="3" t="s">
        <v>64</v>
      </c>
      <c r="K5234" s="3" t="s">
        <v>65</v>
      </c>
      <c r="L5234" s="2" t="s">
        <v>51016</v>
      </c>
      <c r="M5234" s="2" t="s">
        <v>51017</v>
      </c>
      <c r="N5234" s="3" t="s">
        <v>511</v>
      </c>
      <c r="P5234" s="3" t="s">
        <v>102</v>
      </c>
      <c r="Q5234" s="2" t="s">
        <v>51018</v>
      </c>
      <c r="R5234" s="3" t="s">
        <v>49178</v>
      </c>
      <c r="S5234" s="4">
        <v>0</v>
      </c>
      <c r="T5234" s="4">
        <v>0</v>
      </c>
      <c r="W5234" s="5" t="s">
        <v>72</v>
      </c>
      <c r="X5234" s="5" t="s">
        <v>72</v>
      </c>
      <c r="Y5234" s="4">
        <v>107</v>
      </c>
      <c r="Z5234" s="4">
        <v>10</v>
      </c>
      <c r="AA5234" s="4">
        <v>12</v>
      </c>
      <c r="AB5234" s="4">
        <v>1</v>
      </c>
      <c r="AC5234" s="4">
        <v>1</v>
      </c>
      <c r="AD5234" s="4">
        <v>14</v>
      </c>
      <c r="AE5234" s="4">
        <v>15</v>
      </c>
      <c r="AF5234" s="4">
        <v>0</v>
      </c>
      <c r="AG5234" s="4">
        <v>0</v>
      </c>
      <c r="AH5234" s="4">
        <v>11</v>
      </c>
      <c r="AI5234" s="4">
        <v>11</v>
      </c>
      <c r="AJ5234" s="4">
        <v>0</v>
      </c>
      <c r="AK5234" s="4">
        <v>1</v>
      </c>
      <c r="AL5234" s="4">
        <v>7</v>
      </c>
      <c r="AM5234" s="4">
        <v>7</v>
      </c>
      <c r="AN5234" s="4">
        <v>0</v>
      </c>
      <c r="AO5234" s="4">
        <v>0</v>
      </c>
      <c r="AP5234" s="4">
        <v>4</v>
      </c>
      <c r="AQ5234" s="4">
        <v>5</v>
      </c>
      <c r="AR5234" s="3" t="s">
        <v>64</v>
      </c>
      <c r="AS5234" s="3" t="s">
        <v>64</v>
      </c>
      <c r="AT5234" s="3" t="s">
        <v>64</v>
      </c>
      <c r="AV5234" s="6" t="str">
        <f>HYPERLINK("http://mcgill.on.worldcat.org/oclc/660187915","Catalog Record")</f>
        <v>Catalog Record</v>
      </c>
      <c r="AW5234" s="6" t="str">
        <f>HYPERLINK("http://www.worldcat.org/oclc/660187915","WorldCat Record")</f>
        <v>WorldCat Record</v>
      </c>
      <c r="AX5234" s="3" t="s">
        <v>51019</v>
      </c>
      <c r="AY5234" s="3" t="s">
        <v>51020</v>
      </c>
      <c r="AZ5234" s="3" t="s">
        <v>51021</v>
      </c>
      <c r="BA5234" s="3" t="s">
        <v>51021</v>
      </c>
      <c r="BB5234" s="3" t="s">
        <v>51022</v>
      </c>
      <c r="BC5234" s="3" t="s">
        <v>77</v>
      </c>
      <c r="BD5234" s="3" t="s">
        <v>78</v>
      </c>
      <c r="BE5234" s="3" t="s">
        <v>51023</v>
      </c>
      <c r="BF5234" s="3" t="s">
        <v>51022</v>
      </c>
      <c r="BG5234" s="3" t="s">
        <v>51024</v>
      </c>
      <c r="BH5234">
        <f t="shared" si="163"/>
        <v>0</v>
      </c>
    </row>
    <row r="5235" spans="1:60" ht="58" x14ac:dyDescent="0.35">
      <c r="A5235" s="2" t="s">
        <v>59</v>
      </c>
      <c r="B5235" s="2" t="s">
        <v>60</v>
      </c>
      <c r="C5235" s="2" t="s">
        <v>51025</v>
      </c>
      <c r="D5235" s="2" t="s">
        <v>51026</v>
      </c>
      <c r="E5235" s="2" t="s">
        <v>51027</v>
      </c>
      <c r="G5235" s="3" t="s">
        <v>64</v>
      </c>
      <c r="I5235" s="3" t="s">
        <v>64</v>
      </c>
      <c r="J5235" s="3" t="s">
        <v>64</v>
      </c>
      <c r="K5235" s="3" t="s">
        <v>65</v>
      </c>
      <c r="L5235" s="2" t="s">
        <v>51028</v>
      </c>
      <c r="M5235" s="2" t="s">
        <v>51029</v>
      </c>
      <c r="N5235" s="3" t="s">
        <v>86</v>
      </c>
      <c r="P5235" s="3" t="s">
        <v>102</v>
      </c>
      <c r="Q5235" s="2" t="s">
        <v>51030</v>
      </c>
      <c r="R5235" s="3" t="s">
        <v>49178</v>
      </c>
      <c r="S5235" s="4">
        <v>0</v>
      </c>
      <c r="T5235" s="4">
        <v>0</v>
      </c>
      <c r="W5235" s="5" t="s">
        <v>72</v>
      </c>
      <c r="X5235" s="5" t="s">
        <v>72</v>
      </c>
      <c r="Y5235" s="4">
        <v>27</v>
      </c>
      <c r="Z5235" s="4">
        <v>2</v>
      </c>
      <c r="AA5235" s="4">
        <v>16</v>
      </c>
      <c r="AB5235" s="4">
        <v>1</v>
      </c>
      <c r="AC5235" s="4">
        <v>7</v>
      </c>
      <c r="AD5235" s="4">
        <v>11</v>
      </c>
      <c r="AE5235" s="4">
        <v>47</v>
      </c>
      <c r="AF5235" s="4">
        <v>0</v>
      </c>
      <c r="AG5235" s="4">
        <v>3</v>
      </c>
      <c r="AH5235" s="4">
        <v>10</v>
      </c>
      <c r="AI5235" s="4">
        <v>40</v>
      </c>
      <c r="AJ5235" s="4">
        <v>1</v>
      </c>
      <c r="AK5235" s="4">
        <v>9</v>
      </c>
      <c r="AL5235" s="4">
        <v>9</v>
      </c>
      <c r="AM5235" s="4">
        <v>23</v>
      </c>
      <c r="AN5235" s="4">
        <v>0</v>
      </c>
      <c r="AO5235" s="4">
        <v>0</v>
      </c>
      <c r="AP5235" s="4">
        <v>1</v>
      </c>
      <c r="AQ5235" s="4">
        <v>11</v>
      </c>
      <c r="AR5235" s="3" t="s">
        <v>64</v>
      </c>
      <c r="AS5235" s="3" t="s">
        <v>64</v>
      </c>
      <c r="AT5235" s="3" t="s">
        <v>64</v>
      </c>
      <c r="AV5235" s="6" t="str">
        <f>HYPERLINK("http://mcgill.on.worldcat.org/oclc/798611501","Catalog Record")</f>
        <v>Catalog Record</v>
      </c>
      <c r="AW5235" s="6" t="str">
        <f>HYPERLINK("http://www.worldcat.org/oclc/798611501","WorldCat Record")</f>
        <v>WorldCat Record</v>
      </c>
      <c r="AX5235" s="3" t="s">
        <v>51031</v>
      </c>
      <c r="AY5235" s="3" t="s">
        <v>51032</v>
      </c>
      <c r="AZ5235" s="3" t="s">
        <v>51033</v>
      </c>
      <c r="BA5235" s="3" t="s">
        <v>51033</v>
      </c>
      <c r="BB5235" s="3" t="s">
        <v>51034</v>
      </c>
      <c r="BC5235" s="3" t="s">
        <v>77</v>
      </c>
      <c r="BD5235" s="3" t="s">
        <v>78</v>
      </c>
      <c r="BE5235" s="3" t="s">
        <v>51035</v>
      </c>
      <c r="BF5235" s="3" t="s">
        <v>51034</v>
      </c>
      <c r="BG5235" s="3" t="s">
        <v>51036</v>
      </c>
      <c r="BH5235">
        <f t="shared" si="163"/>
        <v>0</v>
      </c>
    </row>
    <row r="5236" spans="1:60" ht="58" x14ac:dyDescent="0.35">
      <c r="A5236" s="2" t="s">
        <v>59</v>
      </c>
      <c r="B5236" s="2" t="s">
        <v>60</v>
      </c>
      <c r="C5236" s="2" t="s">
        <v>51037</v>
      </c>
      <c r="D5236" s="2" t="s">
        <v>51038</v>
      </c>
      <c r="E5236" s="2" t="s">
        <v>51039</v>
      </c>
      <c r="G5236" s="3" t="s">
        <v>64</v>
      </c>
      <c r="I5236" s="3" t="s">
        <v>64</v>
      </c>
      <c r="J5236" s="3" t="s">
        <v>64</v>
      </c>
      <c r="K5236" s="3" t="s">
        <v>65</v>
      </c>
      <c r="M5236" s="2" t="s">
        <v>23847</v>
      </c>
      <c r="N5236" s="3" t="s">
        <v>116</v>
      </c>
      <c r="P5236" s="3" t="s">
        <v>102</v>
      </c>
      <c r="Q5236" s="2" t="s">
        <v>51040</v>
      </c>
      <c r="R5236" s="3" t="s">
        <v>49178</v>
      </c>
      <c r="S5236" s="4">
        <v>17</v>
      </c>
      <c r="T5236" s="4">
        <v>17</v>
      </c>
      <c r="U5236" s="5" t="s">
        <v>38196</v>
      </c>
      <c r="V5236" s="5" t="s">
        <v>38196</v>
      </c>
      <c r="W5236" s="5" t="s">
        <v>72</v>
      </c>
      <c r="X5236" s="5" t="s">
        <v>72</v>
      </c>
      <c r="Y5236" s="4">
        <v>85</v>
      </c>
      <c r="Z5236" s="4">
        <v>6</v>
      </c>
      <c r="AA5236" s="4">
        <v>9</v>
      </c>
      <c r="AB5236" s="4">
        <v>1</v>
      </c>
      <c r="AC5236" s="4">
        <v>2</v>
      </c>
      <c r="AD5236" s="4">
        <v>15</v>
      </c>
      <c r="AE5236" s="4">
        <v>40</v>
      </c>
      <c r="AF5236" s="4">
        <v>0</v>
      </c>
      <c r="AG5236" s="4">
        <v>1</v>
      </c>
      <c r="AH5236" s="4">
        <v>15</v>
      </c>
      <c r="AI5236" s="4">
        <v>38</v>
      </c>
      <c r="AJ5236" s="4">
        <v>4</v>
      </c>
      <c r="AK5236" s="4">
        <v>7</v>
      </c>
      <c r="AL5236" s="4">
        <v>8</v>
      </c>
      <c r="AM5236" s="4">
        <v>21</v>
      </c>
      <c r="AN5236" s="4">
        <v>0</v>
      </c>
      <c r="AO5236" s="4">
        <v>0</v>
      </c>
      <c r="AP5236" s="4">
        <v>4</v>
      </c>
      <c r="AQ5236" s="4">
        <v>6</v>
      </c>
      <c r="AR5236" s="3" t="s">
        <v>64</v>
      </c>
      <c r="AS5236" s="3" t="s">
        <v>64</v>
      </c>
      <c r="AT5236" s="3" t="s">
        <v>64</v>
      </c>
      <c r="AV5236" s="6" t="str">
        <f>HYPERLINK("http://mcgill.on.worldcat.org/oclc/48589189","Catalog Record")</f>
        <v>Catalog Record</v>
      </c>
      <c r="AW5236" s="6" t="str">
        <f>HYPERLINK("http://www.worldcat.org/oclc/48589189","WorldCat Record")</f>
        <v>WorldCat Record</v>
      </c>
      <c r="AX5236" s="3" t="s">
        <v>51041</v>
      </c>
      <c r="AY5236" s="3" t="s">
        <v>51042</v>
      </c>
      <c r="AZ5236" s="3" t="s">
        <v>51043</v>
      </c>
      <c r="BA5236" s="3" t="s">
        <v>51043</v>
      </c>
      <c r="BB5236" s="3" t="s">
        <v>51044</v>
      </c>
      <c r="BC5236" s="3" t="s">
        <v>77</v>
      </c>
      <c r="BD5236" s="3" t="s">
        <v>78</v>
      </c>
      <c r="BE5236" s="3" t="s">
        <v>51045</v>
      </c>
      <c r="BF5236" s="3" t="s">
        <v>51044</v>
      </c>
      <c r="BG5236" s="3" t="s">
        <v>51046</v>
      </c>
      <c r="BH5236">
        <f t="shared" si="163"/>
        <v>0</v>
      </c>
    </row>
    <row r="5237" spans="1:60" ht="72.5" x14ac:dyDescent="0.35">
      <c r="A5237" s="2" t="s">
        <v>59</v>
      </c>
      <c r="B5237" s="2" t="s">
        <v>60</v>
      </c>
      <c r="C5237" s="2" t="s">
        <v>51047</v>
      </c>
      <c r="D5237" s="2" t="s">
        <v>51048</v>
      </c>
      <c r="E5237" s="2" t="s">
        <v>51049</v>
      </c>
      <c r="G5237" s="3" t="s">
        <v>64</v>
      </c>
      <c r="I5237" s="3" t="s">
        <v>64</v>
      </c>
      <c r="J5237" s="3" t="s">
        <v>64</v>
      </c>
      <c r="K5237" s="3" t="s">
        <v>65</v>
      </c>
      <c r="M5237" s="2" t="s">
        <v>15674</v>
      </c>
      <c r="N5237" s="3" t="s">
        <v>253</v>
      </c>
      <c r="P5237" s="3" t="s">
        <v>102</v>
      </c>
      <c r="R5237" s="3" t="s">
        <v>49178</v>
      </c>
      <c r="S5237" s="4">
        <v>2</v>
      </c>
      <c r="T5237" s="4">
        <v>2</v>
      </c>
      <c r="U5237" s="5" t="s">
        <v>15018</v>
      </c>
      <c r="V5237" s="5" t="s">
        <v>15018</v>
      </c>
      <c r="W5237" s="5" t="s">
        <v>72</v>
      </c>
      <c r="X5237" s="5" t="s">
        <v>72</v>
      </c>
      <c r="Y5237" s="4">
        <v>204</v>
      </c>
      <c r="Z5237" s="4">
        <v>16</v>
      </c>
      <c r="AA5237" s="4">
        <v>85</v>
      </c>
      <c r="AB5237" s="4">
        <v>1</v>
      </c>
      <c r="AC5237" s="4">
        <v>16</v>
      </c>
      <c r="AD5237" s="4">
        <v>39</v>
      </c>
      <c r="AE5237" s="4">
        <v>94</v>
      </c>
      <c r="AF5237" s="4">
        <v>0</v>
      </c>
      <c r="AG5237" s="4">
        <v>8</v>
      </c>
      <c r="AH5237" s="4">
        <v>34</v>
      </c>
      <c r="AI5237" s="4">
        <v>61</v>
      </c>
      <c r="AJ5237" s="4">
        <v>5</v>
      </c>
      <c r="AK5237" s="4">
        <v>18</v>
      </c>
      <c r="AL5237" s="4">
        <v>26</v>
      </c>
      <c r="AM5237" s="4">
        <v>34</v>
      </c>
      <c r="AN5237" s="4">
        <v>0</v>
      </c>
      <c r="AO5237" s="4">
        <v>0</v>
      </c>
      <c r="AP5237" s="4">
        <v>7</v>
      </c>
      <c r="AQ5237" s="4">
        <v>38</v>
      </c>
      <c r="AR5237" s="3" t="s">
        <v>64</v>
      </c>
      <c r="AS5237" s="3" t="s">
        <v>64</v>
      </c>
      <c r="AT5237" s="3" t="s">
        <v>64</v>
      </c>
      <c r="AV5237" s="6" t="str">
        <f>HYPERLINK("http://mcgill.on.worldcat.org/oclc/894201347","Catalog Record")</f>
        <v>Catalog Record</v>
      </c>
      <c r="AW5237" s="6" t="str">
        <f>HYPERLINK("http://www.worldcat.org/oclc/894201347","WorldCat Record")</f>
        <v>WorldCat Record</v>
      </c>
      <c r="AX5237" s="3" t="s">
        <v>51050</v>
      </c>
      <c r="AY5237" s="3" t="s">
        <v>51051</v>
      </c>
      <c r="AZ5237" s="3" t="s">
        <v>51052</v>
      </c>
      <c r="BA5237" s="3" t="s">
        <v>51052</v>
      </c>
      <c r="BB5237" s="3" t="s">
        <v>51053</v>
      </c>
      <c r="BC5237" s="3" t="s">
        <v>77</v>
      </c>
      <c r="BD5237" s="3" t="s">
        <v>78</v>
      </c>
      <c r="BE5237" s="3" t="s">
        <v>51054</v>
      </c>
      <c r="BF5237" s="3" t="s">
        <v>51053</v>
      </c>
      <c r="BG5237" s="3" t="s">
        <v>51055</v>
      </c>
      <c r="BH5237">
        <f t="shared" si="163"/>
        <v>0</v>
      </c>
    </row>
    <row r="5238" spans="1:60" ht="58" x14ac:dyDescent="0.35">
      <c r="A5238" s="2" t="s">
        <v>59</v>
      </c>
      <c r="B5238" s="2" t="s">
        <v>60</v>
      </c>
      <c r="C5238" s="2" t="s">
        <v>51056</v>
      </c>
      <c r="D5238" s="2" t="s">
        <v>51057</v>
      </c>
      <c r="E5238" s="2" t="s">
        <v>51058</v>
      </c>
      <c r="G5238" s="3" t="s">
        <v>64</v>
      </c>
      <c r="I5238" s="3" t="s">
        <v>64</v>
      </c>
      <c r="J5238" s="3" t="s">
        <v>64</v>
      </c>
      <c r="K5238" s="3" t="s">
        <v>65</v>
      </c>
      <c r="L5238" s="2" t="s">
        <v>51059</v>
      </c>
      <c r="M5238" s="2" t="s">
        <v>51060</v>
      </c>
      <c r="N5238" s="3" t="s">
        <v>434</v>
      </c>
      <c r="O5238" s="2" t="s">
        <v>2149</v>
      </c>
      <c r="P5238" s="3" t="s">
        <v>102</v>
      </c>
      <c r="Q5238" s="2" t="s">
        <v>51061</v>
      </c>
      <c r="R5238" s="3" t="s">
        <v>49178</v>
      </c>
      <c r="S5238" s="4">
        <v>9</v>
      </c>
      <c r="T5238" s="4">
        <v>9</v>
      </c>
      <c r="U5238" s="5" t="s">
        <v>3048</v>
      </c>
      <c r="V5238" s="5" t="s">
        <v>3048</v>
      </c>
      <c r="W5238" s="5" t="s">
        <v>72</v>
      </c>
      <c r="X5238" s="5" t="s">
        <v>72</v>
      </c>
      <c r="Y5238" s="4">
        <v>563</v>
      </c>
      <c r="Z5238" s="4">
        <v>42</v>
      </c>
      <c r="AA5238" s="4">
        <v>54</v>
      </c>
      <c r="AB5238" s="4">
        <v>1</v>
      </c>
      <c r="AC5238" s="4">
        <v>10</v>
      </c>
      <c r="AD5238" s="4">
        <v>86</v>
      </c>
      <c r="AE5238" s="4">
        <v>93</v>
      </c>
      <c r="AF5238" s="4">
        <v>0</v>
      </c>
      <c r="AG5238" s="4">
        <v>5</v>
      </c>
      <c r="AH5238" s="4">
        <v>69</v>
      </c>
      <c r="AI5238" s="4">
        <v>70</v>
      </c>
      <c r="AJ5238" s="4">
        <v>16</v>
      </c>
      <c r="AK5238" s="4">
        <v>19</v>
      </c>
      <c r="AL5238" s="4">
        <v>31</v>
      </c>
      <c r="AM5238" s="4">
        <v>31</v>
      </c>
      <c r="AN5238" s="4">
        <v>0</v>
      </c>
      <c r="AO5238" s="4">
        <v>0</v>
      </c>
      <c r="AP5238" s="4">
        <v>26</v>
      </c>
      <c r="AQ5238" s="4">
        <v>32</v>
      </c>
      <c r="AR5238" s="3" t="s">
        <v>64</v>
      </c>
      <c r="AS5238" s="3" t="s">
        <v>64</v>
      </c>
      <c r="AT5238" s="3" t="s">
        <v>128</v>
      </c>
      <c r="AU5238" s="6" t="str">
        <f>HYPERLINK("http://catalog.hathitrust.org/Record/005038129","HathiTrust Record")</f>
        <v>HathiTrust Record</v>
      </c>
      <c r="AV5238" s="6" t="str">
        <f>HYPERLINK("http://mcgill.on.worldcat.org/oclc/58830555","Catalog Record")</f>
        <v>Catalog Record</v>
      </c>
      <c r="AW5238" s="6" t="str">
        <f>HYPERLINK("http://www.worldcat.org/oclc/58830555","WorldCat Record")</f>
        <v>WorldCat Record</v>
      </c>
      <c r="AX5238" s="3" t="s">
        <v>51062</v>
      </c>
      <c r="AY5238" s="3" t="s">
        <v>51063</v>
      </c>
      <c r="AZ5238" s="3" t="s">
        <v>51064</v>
      </c>
      <c r="BA5238" s="3" t="s">
        <v>51064</v>
      </c>
      <c r="BB5238" s="3" t="s">
        <v>51065</v>
      </c>
      <c r="BC5238" s="3" t="s">
        <v>77</v>
      </c>
      <c r="BD5238" s="3" t="s">
        <v>78</v>
      </c>
      <c r="BE5238" s="3" t="s">
        <v>51066</v>
      </c>
      <c r="BF5238" s="3" t="s">
        <v>51065</v>
      </c>
      <c r="BG5238" s="3" t="s">
        <v>51067</v>
      </c>
      <c r="BH5238">
        <f t="shared" si="163"/>
        <v>0</v>
      </c>
    </row>
    <row r="5239" spans="1:60" ht="58" x14ac:dyDescent="0.35">
      <c r="A5239" s="2" t="s">
        <v>59</v>
      </c>
      <c r="B5239" s="2" t="s">
        <v>60</v>
      </c>
      <c r="C5239" s="2" t="s">
        <v>51068</v>
      </c>
      <c r="D5239" s="2" t="s">
        <v>51069</v>
      </c>
      <c r="E5239" s="2" t="s">
        <v>51070</v>
      </c>
      <c r="G5239" s="3" t="s">
        <v>64</v>
      </c>
      <c r="I5239" s="3" t="s">
        <v>64</v>
      </c>
      <c r="J5239" s="3" t="s">
        <v>64</v>
      </c>
      <c r="K5239" s="3" t="s">
        <v>65</v>
      </c>
      <c r="L5239" s="2" t="s">
        <v>51071</v>
      </c>
      <c r="M5239" s="2" t="s">
        <v>8991</v>
      </c>
      <c r="N5239" s="3" t="s">
        <v>171</v>
      </c>
      <c r="P5239" s="3" t="s">
        <v>102</v>
      </c>
      <c r="Q5239" s="2" t="s">
        <v>8981</v>
      </c>
      <c r="R5239" s="3" t="s">
        <v>49178</v>
      </c>
      <c r="S5239" s="4">
        <v>9</v>
      </c>
      <c r="T5239" s="4">
        <v>9</v>
      </c>
      <c r="U5239" s="5" t="s">
        <v>11203</v>
      </c>
      <c r="V5239" s="5" t="s">
        <v>11203</v>
      </c>
      <c r="W5239" s="5" t="s">
        <v>72</v>
      </c>
      <c r="X5239" s="5" t="s">
        <v>72</v>
      </c>
      <c r="Y5239" s="4">
        <v>230</v>
      </c>
      <c r="Z5239" s="4">
        <v>35</v>
      </c>
      <c r="AA5239" s="4">
        <v>44</v>
      </c>
      <c r="AB5239" s="4">
        <v>4</v>
      </c>
      <c r="AC5239" s="4">
        <v>8</v>
      </c>
      <c r="AD5239" s="4">
        <v>56</v>
      </c>
      <c r="AE5239" s="4">
        <v>66</v>
      </c>
      <c r="AF5239" s="4">
        <v>1</v>
      </c>
      <c r="AG5239" s="4">
        <v>3</v>
      </c>
      <c r="AH5239" s="4">
        <v>41</v>
      </c>
      <c r="AI5239" s="4">
        <v>48</v>
      </c>
      <c r="AJ5239" s="4">
        <v>16</v>
      </c>
      <c r="AK5239" s="4">
        <v>20</v>
      </c>
      <c r="AL5239" s="4">
        <v>19</v>
      </c>
      <c r="AM5239" s="4">
        <v>23</v>
      </c>
      <c r="AN5239" s="4">
        <v>0</v>
      </c>
      <c r="AO5239" s="4">
        <v>0</v>
      </c>
      <c r="AP5239" s="4">
        <v>21</v>
      </c>
      <c r="AQ5239" s="4">
        <v>25</v>
      </c>
      <c r="AR5239" s="3" t="s">
        <v>64</v>
      </c>
      <c r="AS5239" s="3" t="s">
        <v>64</v>
      </c>
      <c r="AT5239" s="3" t="s">
        <v>128</v>
      </c>
      <c r="AU5239" s="6" t="str">
        <f>HYPERLINK("http://catalog.hathitrust.org/Record/005376011","HathiTrust Record")</f>
        <v>HathiTrust Record</v>
      </c>
      <c r="AV5239" s="6" t="str">
        <f>HYPERLINK("http://mcgill.on.worldcat.org/oclc/69022549","Catalog Record")</f>
        <v>Catalog Record</v>
      </c>
      <c r="AW5239" s="6" t="str">
        <f>HYPERLINK("http://www.worldcat.org/oclc/69022549","WorldCat Record")</f>
        <v>WorldCat Record</v>
      </c>
      <c r="AX5239" s="3" t="s">
        <v>51072</v>
      </c>
      <c r="AY5239" s="3" t="s">
        <v>51073</v>
      </c>
      <c r="AZ5239" s="3" t="s">
        <v>51074</v>
      </c>
      <c r="BA5239" s="3" t="s">
        <v>51074</v>
      </c>
      <c r="BB5239" s="3" t="s">
        <v>51075</v>
      </c>
      <c r="BC5239" s="3" t="s">
        <v>77</v>
      </c>
      <c r="BD5239" s="3" t="s">
        <v>78</v>
      </c>
      <c r="BE5239" s="3" t="s">
        <v>51076</v>
      </c>
      <c r="BF5239" s="3" t="s">
        <v>51075</v>
      </c>
      <c r="BG5239" s="3" t="s">
        <v>51077</v>
      </c>
      <c r="BH5239">
        <f t="shared" si="163"/>
        <v>0</v>
      </c>
    </row>
    <row r="5240" spans="1:60" ht="58" x14ac:dyDescent="0.35">
      <c r="A5240" s="2" t="s">
        <v>59</v>
      </c>
      <c r="B5240" s="2" t="s">
        <v>60</v>
      </c>
      <c r="C5240" s="2" t="s">
        <v>51078</v>
      </c>
      <c r="D5240" s="2" t="s">
        <v>51079</v>
      </c>
      <c r="E5240" s="2" t="s">
        <v>51080</v>
      </c>
      <c r="G5240" s="3" t="s">
        <v>64</v>
      </c>
      <c r="I5240" s="3" t="s">
        <v>64</v>
      </c>
      <c r="J5240" s="3" t="s">
        <v>64</v>
      </c>
      <c r="K5240" s="3" t="s">
        <v>65</v>
      </c>
      <c r="L5240" s="2" t="s">
        <v>51081</v>
      </c>
      <c r="M5240" s="2" t="s">
        <v>51082</v>
      </c>
      <c r="N5240" s="3" t="s">
        <v>159</v>
      </c>
      <c r="P5240" s="3" t="s">
        <v>102</v>
      </c>
      <c r="R5240" s="3" t="s">
        <v>49178</v>
      </c>
      <c r="S5240" s="4">
        <v>11</v>
      </c>
      <c r="T5240" s="4">
        <v>11</v>
      </c>
      <c r="U5240" s="5" t="s">
        <v>41691</v>
      </c>
      <c r="V5240" s="5" t="s">
        <v>41691</v>
      </c>
      <c r="W5240" s="5" t="s">
        <v>72</v>
      </c>
      <c r="X5240" s="5" t="s">
        <v>72</v>
      </c>
      <c r="Y5240" s="4">
        <v>173</v>
      </c>
      <c r="Z5240" s="4">
        <v>12</v>
      </c>
      <c r="AA5240" s="4">
        <v>26</v>
      </c>
      <c r="AB5240" s="4">
        <v>2</v>
      </c>
      <c r="AC5240" s="4">
        <v>8</v>
      </c>
      <c r="AD5240" s="4">
        <v>24</v>
      </c>
      <c r="AE5240" s="4">
        <v>56</v>
      </c>
      <c r="AF5240" s="4">
        <v>0</v>
      </c>
      <c r="AG5240" s="4">
        <v>4</v>
      </c>
      <c r="AH5240" s="4">
        <v>20</v>
      </c>
      <c r="AI5240" s="4">
        <v>45</v>
      </c>
      <c r="AJ5240" s="4">
        <v>9</v>
      </c>
      <c r="AK5240" s="4">
        <v>16</v>
      </c>
      <c r="AL5240" s="4">
        <v>9</v>
      </c>
      <c r="AM5240" s="4">
        <v>18</v>
      </c>
      <c r="AN5240" s="4">
        <v>0</v>
      </c>
      <c r="AO5240" s="4">
        <v>0</v>
      </c>
      <c r="AP5240" s="4">
        <v>8</v>
      </c>
      <c r="AQ5240" s="4">
        <v>16</v>
      </c>
      <c r="AR5240" s="3" t="s">
        <v>64</v>
      </c>
      <c r="AS5240" s="3" t="s">
        <v>64</v>
      </c>
      <c r="AT5240" s="3" t="s">
        <v>128</v>
      </c>
      <c r="AU5240" s="6" t="str">
        <f>HYPERLINK("http://catalog.hathitrust.org/Record/004307232","HathiTrust Record")</f>
        <v>HathiTrust Record</v>
      </c>
      <c r="AV5240" s="6" t="str">
        <f>HYPERLINK("http://mcgill.on.worldcat.org/oclc/48417693","Catalog Record")</f>
        <v>Catalog Record</v>
      </c>
      <c r="AW5240" s="6" t="str">
        <f>HYPERLINK("http://www.worldcat.org/oclc/48417693","WorldCat Record")</f>
        <v>WorldCat Record</v>
      </c>
      <c r="AX5240" s="3" t="s">
        <v>51083</v>
      </c>
      <c r="AY5240" s="3" t="s">
        <v>51084</v>
      </c>
      <c r="AZ5240" s="3" t="s">
        <v>51085</v>
      </c>
      <c r="BA5240" s="3" t="s">
        <v>51085</v>
      </c>
      <c r="BB5240" s="3" t="s">
        <v>51086</v>
      </c>
      <c r="BC5240" s="3" t="s">
        <v>77</v>
      </c>
      <c r="BD5240" s="3" t="s">
        <v>78</v>
      </c>
      <c r="BE5240" s="3" t="s">
        <v>51087</v>
      </c>
      <c r="BF5240" s="3" t="s">
        <v>51086</v>
      </c>
      <c r="BG5240" s="3" t="s">
        <v>51088</v>
      </c>
      <c r="BH5240">
        <f t="shared" si="163"/>
        <v>0</v>
      </c>
    </row>
    <row r="5241" spans="1:60" ht="58" x14ac:dyDescent="0.35">
      <c r="A5241" s="2" t="s">
        <v>59</v>
      </c>
      <c r="B5241" s="2" t="s">
        <v>60</v>
      </c>
      <c r="C5241" s="2" t="s">
        <v>51089</v>
      </c>
      <c r="D5241" s="2" t="s">
        <v>51090</v>
      </c>
      <c r="E5241" s="2" t="s">
        <v>51091</v>
      </c>
      <c r="G5241" s="3" t="s">
        <v>64</v>
      </c>
      <c r="I5241" s="3" t="s">
        <v>128</v>
      </c>
      <c r="J5241" s="3" t="s">
        <v>64</v>
      </c>
      <c r="K5241" s="3" t="s">
        <v>65</v>
      </c>
      <c r="L5241" s="2" t="s">
        <v>51081</v>
      </c>
      <c r="M5241" s="2" t="s">
        <v>51092</v>
      </c>
      <c r="N5241" s="3" t="s">
        <v>159</v>
      </c>
      <c r="P5241" s="3" t="s">
        <v>102</v>
      </c>
      <c r="R5241" s="3" t="s">
        <v>49178</v>
      </c>
      <c r="S5241" s="4">
        <v>11</v>
      </c>
      <c r="T5241" s="4">
        <v>11</v>
      </c>
      <c r="U5241" s="5" t="s">
        <v>41691</v>
      </c>
      <c r="V5241" s="5" t="s">
        <v>41691</v>
      </c>
      <c r="W5241" s="5" t="s">
        <v>72</v>
      </c>
      <c r="X5241" s="5" t="s">
        <v>72</v>
      </c>
      <c r="Y5241" s="4">
        <v>424</v>
      </c>
      <c r="Z5241" s="4">
        <v>16</v>
      </c>
      <c r="AA5241" s="4">
        <v>18</v>
      </c>
      <c r="AB5241" s="4">
        <v>2</v>
      </c>
      <c r="AC5241" s="4">
        <v>4</v>
      </c>
      <c r="AD5241" s="4">
        <v>82</v>
      </c>
      <c r="AE5241" s="4">
        <v>84</v>
      </c>
      <c r="AF5241" s="4">
        <v>1</v>
      </c>
      <c r="AG5241" s="4">
        <v>2</v>
      </c>
      <c r="AH5241" s="4">
        <v>74</v>
      </c>
      <c r="AI5241" s="4">
        <v>75</v>
      </c>
      <c r="AJ5241" s="4">
        <v>10</v>
      </c>
      <c r="AK5241" s="4">
        <v>11</v>
      </c>
      <c r="AL5241" s="4">
        <v>34</v>
      </c>
      <c r="AM5241" s="4">
        <v>34</v>
      </c>
      <c r="AN5241" s="4">
        <v>0</v>
      </c>
      <c r="AO5241" s="4">
        <v>0</v>
      </c>
      <c r="AP5241" s="4">
        <v>11</v>
      </c>
      <c r="AQ5241" s="4">
        <v>11</v>
      </c>
      <c r="AR5241" s="3" t="s">
        <v>64</v>
      </c>
      <c r="AS5241" s="3" t="s">
        <v>64</v>
      </c>
      <c r="AT5241" s="3" t="s">
        <v>128</v>
      </c>
      <c r="AU5241" s="6" t="str">
        <f>HYPERLINK("http://catalog.hathitrust.org/Record/004249826","HathiTrust Record")</f>
        <v>HathiTrust Record</v>
      </c>
      <c r="AV5241" s="6" t="str">
        <f>HYPERLINK("http://mcgill.on.worldcat.org/oclc/49407078","Catalog Record")</f>
        <v>Catalog Record</v>
      </c>
      <c r="AW5241" s="6" t="str">
        <f>HYPERLINK("http://www.worldcat.org/oclc/49407078","WorldCat Record")</f>
        <v>WorldCat Record</v>
      </c>
      <c r="AX5241" s="3" t="s">
        <v>51093</v>
      </c>
      <c r="AY5241" s="3" t="s">
        <v>51094</v>
      </c>
      <c r="AZ5241" s="3" t="s">
        <v>51095</v>
      </c>
      <c r="BA5241" s="3" t="s">
        <v>51095</v>
      </c>
      <c r="BB5241" s="3" t="s">
        <v>51096</v>
      </c>
      <c r="BC5241" s="3" t="s">
        <v>77</v>
      </c>
      <c r="BD5241" s="3" t="s">
        <v>78</v>
      </c>
      <c r="BE5241" s="3" t="s">
        <v>51097</v>
      </c>
      <c r="BF5241" s="3" t="s">
        <v>51096</v>
      </c>
      <c r="BG5241" s="3" t="s">
        <v>51098</v>
      </c>
      <c r="BH5241">
        <f t="shared" si="163"/>
        <v>0</v>
      </c>
    </row>
    <row r="5242" spans="1:60" ht="58" x14ac:dyDescent="0.35">
      <c r="A5242" s="2" t="s">
        <v>59</v>
      </c>
      <c r="B5242" s="2" t="s">
        <v>60</v>
      </c>
      <c r="C5242" s="2" t="s">
        <v>51089</v>
      </c>
      <c r="D5242" s="2" t="s">
        <v>51090</v>
      </c>
      <c r="E5242" s="2" t="s">
        <v>51091</v>
      </c>
      <c r="G5242" s="3" t="s">
        <v>64</v>
      </c>
      <c r="I5242" s="3" t="s">
        <v>128</v>
      </c>
      <c r="J5242" s="3" t="s">
        <v>64</v>
      </c>
      <c r="K5242" s="3" t="s">
        <v>65</v>
      </c>
      <c r="L5242" s="2" t="s">
        <v>51081</v>
      </c>
      <c r="M5242" s="2" t="s">
        <v>51092</v>
      </c>
      <c r="N5242" s="3" t="s">
        <v>159</v>
      </c>
      <c r="P5242" s="3" t="s">
        <v>102</v>
      </c>
      <c r="R5242" s="3" t="s">
        <v>49178</v>
      </c>
      <c r="S5242" s="4">
        <v>0</v>
      </c>
      <c r="T5242" s="4">
        <v>11</v>
      </c>
      <c r="V5242" s="5" t="s">
        <v>41691</v>
      </c>
      <c r="W5242" s="5" t="s">
        <v>72</v>
      </c>
      <c r="X5242" s="5" t="s">
        <v>72</v>
      </c>
      <c r="Y5242" s="4">
        <v>424</v>
      </c>
      <c r="Z5242" s="4">
        <v>16</v>
      </c>
      <c r="AA5242" s="4">
        <v>18</v>
      </c>
      <c r="AB5242" s="4">
        <v>2</v>
      </c>
      <c r="AC5242" s="4">
        <v>4</v>
      </c>
      <c r="AD5242" s="4">
        <v>82</v>
      </c>
      <c r="AE5242" s="4">
        <v>84</v>
      </c>
      <c r="AF5242" s="4">
        <v>1</v>
      </c>
      <c r="AG5242" s="4">
        <v>2</v>
      </c>
      <c r="AH5242" s="4">
        <v>74</v>
      </c>
      <c r="AI5242" s="4">
        <v>75</v>
      </c>
      <c r="AJ5242" s="4">
        <v>10</v>
      </c>
      <c r="AK5242" s="4">
        <v>11</v>
      </c>
      <c r="AL5242" s="4">
        <v>34</v>
      </c>
      <c r="AM5242" s="4">
        <v>34</v>
      </c>
      <c r="AN5242" s="4">
        <v>0</v>
      </c>
      <c r="AO5242" s="4">
        <v>0</v>
      </c>
      <c r="AP5242" s="4">
        <v>11</v>
      </c>
      <c r="AQ5242" s="4">
        <v>11</v>
      </c>
      <c r="AR5242" s="3" t="s">
        <v>64</v>
      </c>
      <c r="AS5242" s="3" t="s">
        <v>64</v>
      </c>
      <c r="AT5242" s="3" t="s">
        <v>128</v>
      </c>
      <c r="AU5242" s="6" t="str">
        <f>HYPERLINK("http://catalog.hathitrust.org/Record/004249826","HathiTrust Record")</f>
        <v>HathiTrust Record</v>
      </c>
      <c r="AV5242" s="6" t="str">
        <f>HYPERLINK("http://mcgill.on.worldcat.org/oclc/49407078","Catalog Record")</f>
        <v>Catalog Record</v>
      </c>
      <c r="AW5242" s="6" t="str">
        <f>HYPERLINK("http://www.worldcat.org/oclc/49407078","WorldCat Record")</f>
        <v>WorldCat Record</v>
      </c>
      <c r="AX5242" s="3" t="s">
        <v>51093</v>
      </c>
      <c r="AY5242" s="3" t="s">
        <v>51094</v>
      </c>
      <c r="AZ5242" s="3" t="s">
        <v>51095</v>
      </c>
      <c r="BA5242" s="3" t="s">
        <v>51095</v>
      </c>
      <c r="BB5242" s="3" t="s">
        <v>51099</v>
      </c>
      <c r="BC5242" s="3" t="s">
        <v>77</v>
      </c>
      <c r="BD5242" s="3" t="s">
        <v>78</v>
      </c>
      <c r="BE5242" s="3" t="s">
        <v>51097</v>
      </c>
      <c r="BF5242" s="3" t="s">
        <v>51099</v>
      </c>
      <c r="BG5242" s="3" t="s">
        <v>51100</v>
      </c>
      <c r="BH5242">
        <f t="shared" si="163"/>
        <v>0</v>
      </c>
    </row>
    <row r="5243" spans="1:60" ht="58" x14ac:dyDescent="0.35">
      <c r="A5243" s="2" t="s">
        <v>59</v>
      </c>
      <c r="B5243" s="2" t="s">
        <v>60</v>
      </c>
      <c r="C5243" s="2" t="s">
        <v>51101</v>
      </c>
      <c r="D5243" s="2" t="s">
        <v>51102</v>
      </c>
      <c r="E5243" s="2" t="s">
        <v>51103</v>
      </c>
      <c r="G5243" s="3" t="s">
        <v>64</v>
      </c>
      <c r="I5243" s="3" t="s">
        <v>64</v>
      </c>
      <c r="J5243" s="3" t="s">
        <v>64</v>
      </c>
      <c r="K5243" s="3" t="s">
        <v>65</v>
      </c>
      <c r="L5243" s="2" t="s">
        <v>32956</v>
      </c>
      <c r="M5243" s="2" t="s">
        <v>14626</v>
      </c>
      <c r="N5243" s="3" t="s">
        <v>434</v>
      </c>
      <c r="P5243" s="3" t="s">
        <v>102</v>
      </c>
      <c r="R5243" s="3" t="s">
        <v>49178</v>
      </c>
      <c r="S5243" s="4">
        <v>3</v>
      </c>
      <c r="T5243" s="4">
        <v>3</v>
      </c>
      <c r="U5243" s="5" t="s">
        <v>30342</v>
      </c>
      <c r="V5243" s="5" t="s">
        <v>30342</v>
      </c>
      <c r="W5243" s="5" t="s">
        <v>72</v>
      </c>
      <c r="X5243" s="5" t="s">
        <v>72</v>
      </c>
      <c r="Y5243" s="4">
        <v>110</v>
      </c>
      <c r="Z5243" s="4">
        <v>6</v>
      </c>
      <c r="AA5243" s="4">
        <v>7</v>
      </c>
      <c r="AB5243" s="4">
        <v>1</v>
      </c>
      <c r="AC5243" s="4">
        <v>2</v>
      </c>
      <c r="AD5243" s="4">
        <v>14</v>
      </c>
      <c r="AE5243" s="4">
        <v>15</v>
      </c>
      <c r="AF5243" s="4">
        <v>0</v>
      </c>
      <c r="AG5243" s="4">
        <v>1</v>
      </c>
      <c r="AH5243" s="4">
        <v>13</v>
      </c>
      <c r="AI5243" s="4">
        <v>13</v>
      </c>
      <c r="AJ5243" s="4">
        <v>3</v>
      </c>
      <c r="AK5243" s="4">
        <v>4</v>
      </c>
      <c r="AL5243" s="4">
        <v>7</v>
      </c>
      <c r="AM5243" s="4">
        <v>7</v>
      </c>
      <c r="AN5243" s="4">
        <v>0</v>
      </c>
      <c r="AO5243" s="4">
        <v>0</v>
      </c>
      <c r="AP5243" s="4">
        <v>4</v>
      </c>
      <c r="AQ5243" s="4">
        <v>4</v>
      </c>
      <c r="AR5243" s="3" t="s">
        <v>64</v>
      </c>
      <c r="AS5243" s="3" t="s">
        <v>64</v>
      </c>
      <c r="AT5243" s="3" t="s">
        <v>128</v>
      </c>
      <c r="AU5243" s="6" t="str">
        <f>HYPERLINK("http://catalog.hathitrust.org/Record/005071878","HathiTrust Record")</f>
        <v>HathiTrust Record</v>
      </c>
      <c r="AV5243" s="6" t="str">
        <f>HYPERLINK("http://mcgill.on.worldcat.org/oclc/58830603","Catalog Record")</f>
        <v>Catalog Record</v>
      </c>
      <c r="AW5243" s="6" t="str">
        <f>HYPERLINK("http://www.worldcat.org/oclc/58830603","WorldCat Record")</f>
        <v>WorldCat Record</v>
      </c>
      <c r="AX5243" s="3" t="s">
        <v>51104</v>
      </c>
      <c r="AY5243" s="3" t="s">
        <v>51105</v>
      </c>
      <c r="AZ5243" s="3" t="s">
        <v>51106</v>
      </c>
      <c r="BA5243" s="3" t="s">
        <v>51106</v>
      </c>
      <c r="BB5243" s="3" t="s">
        <v>51107</v>
      </c>
      <c r="BC5243" s="3" t="s">
        <v>77</v>
      </c>
      <c r="BD5243" s="3" t="s">
        <v>78</v>
      </c>
      <c r="BE5243" s="3" t="s">
        <v>51108</v>
      </c>
      <c r="BF5243" s="3" t="s">
        <v>51107</v>
      </c>
      <c r="BG5243" s="3" t="s">
        <v>51109</v>
      </c>
      <c r="BH5243">
        <f t="shared" si="163"/>
        <v>0</v>
      </c>
    </row>
    <row r="5244" spans="1:60" ht="58" x14ac:dyDescent="0.35">
      <c r="A5244" s="2" t="s">
        <v>59</v>
      </c>
      <c r="B5244" s="2" t="s">
        <v>60</v>
      </c>
      <c r="C5244" s="2" t="s">
        <v>51110</v>
      </c>
      <c r="D5244" s="2" t="s">
        <v>51111</v>
      </c>
      <c r="E5244" s="2" t="s">
        <v>51112</v>
      </c>
      <c r="G5244" s="3" t="s">
        <v>64</v>
      </c>
      <c r="I5244" s="3" t="s">
        <v>64</v>
      </c>
      <c r="J5244" s="3" t="s">
        <v>64</v>
      </c>
      <c r="K5244" s="3" t="s">
        <v>65</v>
      </c>
      <c r="M5244" s="2" t="s">
        <v>19189</v>
      </c>
      <c r="N5244" s="3" t="s">
        <v>86</v>
      </c>
      <c r="P5244" s="3" t="s">
        <v>102</v>
      </c>
      <c r="Q5244" s="2" t="s">
        <v>51113</v>
      </c>
      <c r="R5244" s="3" t="s">
        <v>49178</v>
      </c>
      <c r="S5244" s="4">
        <v>7</v>
      </c>
      <c r="T5244" s="4">
        <v>7</v>
      </c>
      <c r="U5244" s="5" t="s">
        <v>36676</v>
      </c>
      <c r="V5244" s="5" t="s">
        <v>36676</v>
      </c>
      <c r="W5244" s="5" t="s">
        <v>72</v>
      </c>
      <c r="X5244" s="5" t="s">
        <v>72</v>
      </c>
      <c r="Y5244" s="4">
        <v>182</v>
      </c>
      <c r="Z5244" s="4">
        <v>13</v>
      </c>
      <c r="AA5244" s="4">
        <v>16</v>
      </c>
      <c r="AB5244" s="4">
        <v>1</v>
      </c>
      <c r="AC5244" s="4">
        <v>3</v>
      </c>
      <c r="AD5244" s="4">
        <v>61</v>
      </c>
      <c r="AE5244" s="4">
        <v>76</v>
      </c>
      <c r="AF5244" s="4">
        <v>0</v>
      </c>
      <c r="AG5244" s="4">
        <v>1</v>
      </c>
      <c r="AH5244" s="4">
        <v>54</v>
      </c>
      <c r="AI5244" s="4">
        <v>68</v>
      </c>
      <c r="AJ5244" s="4">
        <v>9</v>
      </c>
      <c r="AK5244" s="4">
        <v>11</v>
      </c>
      <c r="AL5244" s="4">
        <v>28</v>
      </c>
      <c r="AM5244" s="4">
        <v>36</v>
      </c>
      <c r="AN5244" s="4">
        <v>0</v>
      </c>
      <c r="AO5244" s="4">
        <v>0</v>
      </c>
      <c r="AP5244" s="4">
        <v>11</v>
      </c>
      <c r="AQ5244" s="4">
        <v>12</v>
      </c>
      <c r="AR5244" s="3" t="s">
        <v>64</v>
      </c>
      <c r="AS5244" s="3" t="s">
        <v>64</v>
      </c>
      <c r="AT5244" s="3" t="s">
        <v>64</v>
      </c>
      <c r="AV5244" s="6" t="str">
        <f>HYPERLINK("http://mcgill.on.worldcat.org/oclc/810089119","Catalog Record")</f>
        <v>Catalog Record</v>
      </c>
      <c r="AW5244" s="6" t="str">
        <f>HYPERLINK("http://www.worldcat.org/oclc/810089119","WorldCat Record")</f>
        <v>WorldCat Record</v>
      </c>
      <c r="AX5244" s="3" t="s">
        <v>51114</v>
      </c>
      <c r="AY5244" s="3" t="s">
        <v>51115</v>
      </c>
      <c r="AZ5244" s="3" t="s">
        <v>51116</v>
      </c>
      <c r="BA5244" s="3" t="s">
        <v>51116</v>
      </c>
      <c r="BB5244" s="3" t="s">
        <v>51117</v>
      </c>
      <c r="BC5244" s="3" t="s">
        <v>77</v>
      </c>
      <c r="BD5244" s="3" t="s">
        <v>78</v>
      </c>
      <c r="BE5244" s="3" t="s">
        <v>51118</v>
      </c>
      <c r="BF5244" s="3" t="s">
        <v>51117</v>
      </c>
      <c r="BG5244" s="3" t="s">
        <v>51119</v>
      </c>
      <c r="BH5244">
        <f t="shared" si="163"/>
        <v>0</v>
      </c>
    </row>
    <row r="5245" spans="1:60" ht="58" x14ac:dyDescent="0.35">
      <c r="A5245" s="2" t="s">
        <v>59</v>
      </c>
      <c r="B5245" s="2" t="s">
        <v>60</v>
      </c>
      <c r="C5245" s="2" t="s">
        <v>51120</v>
      </c>
      <c r="D5245" s="2" t="s">
        <v>51121</v>
      </c>
      <c r="E5245" s="2" t="s">
        <v>51122</v>
      </c>
      <c r="G5245" s="3" t="s">
        <v>64</v>
      </c>
      <c r="I5245" s="3" t="s">
        <v>64</v>
      </c>
      <c r="J5245" s="3" t="s">
        <v>64</v>
      </c>
      <c r="K5245" s="3" t="s">
        <v>65</v>
      </c>
      <c r="M5245" s="2" t="s">
        <v>15732</v>
      </c>
      <c r="N5245" s="3" t="s">
        <v>537</v>
      </c>
      <c r="P5245" s="3" t="s">
        <v>102</v>
      </c>
      <c r="R5245" s="3" t="s">
        <v>49178</v>
      </c>
      <c r="S5245" s="4">
        <v>3</v>
      </c>
      <c r="T5245" s="4">
        <v>3</v>
      </c>
      <c r="U5245" s="5" t="s">
        <v>51123</v>
      </c>
      <c r="V5245" s="5" t="s">
        <v>51123</v>
      </c>
      <c r="W5245" s="5" t="s">
        <v>72</v>
      </c>
      <c r="X5245" s="5" t="s">
        <v>72</v>
      </c>
      <c r="Y5245" s="4">
        <v>115</v>
      </c>
      <c r="Z5245" s="4">
        <v>5</v>
      </c>
      <c r="AA5245" s="4">
        <v>78</v>
      </c>
      <c r="AB5245" s="4">
        <v>1</v>
      </c>
      <c r="AC5245" s="4">
        <v>15</v>
      </c>
      <c r="AD5245" s="4">
        <v>38</v>
      </c>
      <c r="AE5245" s="4">
        <v>104</v>
      </c>
      <c r="AF5245" s="4">
        <v>0</v>
      </c>
      <c r="AG5245" s="4">
        <v>8</v>
      </c>
      <c r="AH5245" s="4">
        <v>37</v>
      </c>
      <c r="AI5245" s="4">
        <v>69</v>
      </c>
      <c r="AJ5245" s="4">
        <v>4</v>
      </c>
      <c r="AK5245" s="4">
        <v>20</v>
      </c>
      <c r="AL5245" s="4">
        <v>22</v>
      </c>
      <c r="AM5245" s="4">
        <v>39</v>
      </c>
      <c r="AN5245" s="4">
        <v>0</v>
      </c>
      <c r="AO5245" s="4">
        <v>0</v>
      </c>
      <c r="AP5245" s="4">
        <v>4</v>
      </c>
      <c r="AQ5245" s="4">
        <v>40</v>
      </c>
      <c r="AR5245" s="3" t="s">
        <v>64</v>
      </c>
      <c r="AS5245" s="3" t="s">
        <v>64</v>
      </c>
      <c r="AT5245" s="3" t="s">
        <v>64</v>
      </c>
      <c r="AV5245" s="6" t="str">
        <f>HYPERLINK("http://mcgill.on.worldcat.org/oclc/908700870","Catalog Record")</f>
        <v>Catalog Record</v>
      </c>
      <c r="AW5245" s="6" t="str">
        <f>HYPERLINK("http://www.worldcat.org/oclc/908700870","WorldCat Record")</f>
        <v>WorldCat Record</v>
      </c>
      <c r="AX5245" s="3" t="s">
        <v>51124</v>
      </c>
      <c r="AY5245" s="3" t="s">
        <v>51125</v>
      </c>
      <c r="AZ5245" s="3" t="s">
        <v>51126</v>
      </c>
      <c r="BA5245" s="3" t="s">
        <v>51126</v>
      </c>
      <c r="BB5245" s="3" t="s">
        <v>51127</v>
      </c>
      <c r="BC5245" s="3" t="s">
        <v>77</v>
      </c>
      <c r="BD5245" s="3" t="s">
        <v>78</v>
      </c>
      <c r="BE5245" s="3" t="s">
        <v>51128</v>
      </c>
      <c r="BF5245" s="3" t="s">
        <v>51127</v>
      </c>
      <c r="BG5245" s="3" t="s">
        <v>51129</v>
      </c>
      <c r="BH5245">
        <f t="shared" si="163"/>
        <v>0</v>
      </c>
    </row>
    <row r="5246" spans="1:60" ht="58" x14ac:dyDescent="0.35">
      <c r="A5246" s="2" t="s">
        <v>59</v>
      </c>
      <c r="B5246" s="2" t="s">
        <v>60</v>
      </c>
      <c r="C5246" s="2" t="s">
        <v>51130</v>
      </c>
      <c r="D5246" s="2" t="s">
        <v>51131</v>
      </c>
      <c r="E5246" s="2" t="s">
        <v>51132</v>
      </c>
      <c r="G5246" s="3" t="s">
        <v>64</v>
      </c>
      <c r="I5246" s="3" t="s">
        <v>64</v>
      </c>
      <c r="J5246" s="3" t="s">
        <v>64</v>
      </c>
      <c r="K5246" s="3" t="s">
        <v>65</v>
      </c>
      <c r="L5246" s="2" t="s">
        <v>51133</v>
      </c>
      <c r="M5246" s="2" t="s">
        <v>51134</v>
      </c>
      <c r="N5246" s="3" t="s">
        <v>86</v>
      </c>
      <c r="O5246" s="2" t="s">
        <v>31543</v>
      </c>
      <c r="P5246" s="3" t="s">
        <v>102</v>
      </c>
      <c r="R5246" s="3" t="s">
        <v>49178</v>
      </c>
      <c r="S5246" s="4">
        <v>1</v>
      </c>
      <c r="T5246" s="4">
        <v>1</v>
      </c>
      <c r="U5246" s="5" t="s">
        <v>51135</v>
      </c>
      <c r="V5246" s="5" t="s">
        <v>51135</v>
      </c>
      <c r="W5246" s="5" t="s">
        <v>72</v>
      </c>
      <c r="X5246" s="5" t="s">
        <v>72</v>
      </c>
      <c r="Y5246" s="4">
        <v>106</v>
      </c>
      <c r="Z5246" s="4">
        <v>11</v>
      </c>
      <c r="AA5246" s="4">
        <v>14</v>
      </c>
      <c r="AB5246" s="4">
        <v>2</v>
      </c>
      <c r="AC5246" s="4">
        <v>4</v>
      </c>
      <c r="AD5246" s="4">
        <v>35</v>
      </c>
      <c r="AE5246" s="4">
        <v>37</v>
      </c>
      <c r="AF5246" s="4">
        <v>0</v>
      </c>
      <c r="AG5246" s="4">
        <v>1</v>
      </c>
      <c r="AH5246" s="4">
        <v>33</v>
      </c>
      <c r="AI5246" s="4">
        <v>33</v>
      </c>
      <c r="AJ5246" s="4">
        <v>7</v>
      </c>
      <c r="AK5246" s="4">
        <v>9</v>
      </c>
      <c r="AL5246" s="4">
        <v>18</v>
      </c>
      <c r="AM5246" s="4">
        <v>18</v>
      </c>
      <c r="AN5246" s="4">
        <v>0</v>
      </c>
      <c r="AO5246" s="4">
        <v>0</v>
      </c>
      <c r="AP5246" s="4">
        <v>8</v>
      </c>
      <c r="AQ5246" s="4">
        <v>9</v>
      </c>
      <c r="AR5246" s="3" t="s">
        <v>64</v>
      </c>
      <c r="AS5246" s="3" t="s">
        <v>64</v>
      </c>
      <c r="AT5246" s="3" t="s">
        <v>64</v>
      </c>
      <c r="AV5246" s="6" t="str">
        <f>HYPERLINK("http://mcgill.on.worldcat.org/oclc/783142282","Catalog Record")</f>
        <v>Catalog Record</v>
      </c>
      <c r="AW5246" s="6" t="str">
        <f>HYPERLINK("http://www.worldcat.org/oclc/783142282","WorldCat Record")</f>
        <v>WorldCat Record</v>
      </c>
      <c r="AX5246" s="3" t="s">
        <v>51136</v>
      </c>
      <c r="AY5246" s="3" t="s">
        <v>51137</v>
      </c>
      <c r="AZ5246" s="3" t="s">
        <v>51138</v>
      </c>
      <c r="BA5246" s="3" t="s">
        <v>51138</v>
      </c>
      <c r="BB5246" s="3" t="s">
        <v>51139</v>
      </c>
      <c r="BC5246" s="3" t="s">
        <v>77</v>
      </c>
      <c r="BD5246" s="3" t="s">
        <v>78</v>
      </c>
      <c r="BE5246" s="3" t="s">
        <v>51140</v>
      </c>
      <c r="BF5246" s="3" t="s">
        <v>51139</v>
      </c>
      <c r="BG5246" s="3" t="s">
        <v>51141</v>
      </c>
      <c r="BH5246">
        <f t="shared" si="163"/>
        <v>0</v>
      </c>
    </row>
    <row r="5247" spans="1:60" ht="58" x14ac:dyDescent="0.35">
      <c r="A5247" s="2" t="s">
        <v>59</v>
      </c>
      <c r="B5247" s="2" t="s">
        <v>60</v>
      </c>
      <c r="C5247" s="2" t="s">
        <v>51142</v>
      </c>
      <c r="D5247" s="2" t="s">
        <v>51143</v>
      </c>
      <c r="E5247" s="2" t="s">
        <v>51144</v>
      </c>
      <c r="G5247" s="3" t="s">
        <v>64</v>
      </c>
      <c r="I5247" s="3" t="s">
        <v>64</v>
      </c>
      <c r="J5247" s="3" t="s">
        <v>128</v>
      </c>
      <c r="K5247" s="3" t="s">
        <v>65</v>
      </c>
      <c r="M5247" s="2" t="s">
        <v>51145</v>
      </c>
      <c r="N5247" s="3" t="s">
        <v>1075</v>
      </c>
      <c r="O5247" s="2" t="s">
        <v>29740</v>
      </c>
      <c r="P5247" s="3" t="s">
        <v>102</v>
      </c>
      <c r="R5247" s="3" t="s">
        <v>49178</v>
      </c>
      <c r="S5247" s="4">
        <v>2</v>
      </c>
      <c r="T5247" s="4">
        <v>2</v>
      </c>
      <c r="U5247" s="5" t="s">
        <v>51146</v>
      </c>
      <c r="V5247" s="5" t="s">
        <v>51146</v>
      </c>
      <c r="W5247" s="5" t="s">
        <v>72</v>
      </c>
      <c r="X5247" s="5" t="s">
        <v>72</v>
      </c>
      <c r="Y5247" s="4">
        <v>10</v>
      </c>
      <c r="Z5247" s="4">
        <v>2</v>
      </c>
      <c r="AA5247" s="4">
        <v>12</v>
      </c>
      <c r="AB5247" s="4">
        <v>1</v>
      </c>
      <c r="AC5247" s="4">
        <v>2</v>
      </c>
      <c r="AD5247" s="4">
        <v>3</v>
      </c>
      <c r="AE5247" s="4">
        <v>61</v>
      </c>
      <c r="AF5247" s="4">
        <v>0</v>
      </c>
      <c r="AG5247" s="4">
        <v>0</v>
      </c>
      <c r="AH5247" s="4">
        <v>3</v>
      </c>
      <c r="AI5247" s="4">
        <v>57</v>
      </c>
      <c r="AJ5247" s="4">
        <v>1</v>
      </c>
      <c r="AK5247" s="4">
        <v>6</v>
      </c>
      <c r="AL5247" s="4">
        <v>1</v>
      </c>
      <c r="AM5247" s="4">
        <v>34</v>
      </c>
      <c r="AN5247" s="4">
        <v>0</v>
      </c>
      <c r="AO5247" s="4">
        <v>0</v>
      </c>
      <c r="AP5247" s="4">
        <v>1</v>
      </c>
      <c r="AQ5247" s="4">
        <v>7</v>
      </c>
      <c r="AR5247" s="3" t="s">
        <v>64</v>
      </c>
      <c r="AS5247" s="3" t="s">
        <v>64</v>
      </c>
      <c r="AT5247" s="3" t="s">
        <v>64</v>
      </c>
      <c r="AV5247" s="6" t="str">
        <f>HYPERLINK("http://mcgill.on.worldcat.org/oclc/869388617","Catalog Record")</f>
        <v>Catalog Record</v>
      </c>
      <c r="AW5247" s="6" t="str">
        <f>HYPERLINK("http://www.worldcat.org/oclc/869388617","WorldCat Record")</f>
        <v>WorldCat Record</v>
      </c>
      <c r="AX5247" s="3" t="s">
        <v>51147</v>
      </c>
      <c r="AY5247" s="3" t="s">
        <v>51148</v>
      </c>
      <c r="AZ5247" s="3" t="s">
        <v>51149</v>
      </c>
      <c r="BA5247" s="3" t="s">
        <v>51149</v>
      </c>
      <c r="BB5247" s="3" t="s">
        <v>51150</v>
      </c>
      <c r="BC5247" s="3" t="s">
        <v>77</v>
      </c>
      <c r="BD5247" s="3" t="s">
        <v>78</v>
      </c>
      <c r="BE5247" s="3" t="s">
        <v>51151</v>
      </c>
      <c r="BF5247" s="3" t="s">
        <v>51150</v>
      </c>
      <c r="BG5247" s="3" t="s">
        <v>51152</v>
      </c>
      <c r="BH5247">
        <f t="shared" si="163"/>
        <v>0</v>
      </c>
    </row>
    <row r="5248" spans="1:60" ht="58" x14ac:dyDescent="0.35">
      <c r="A5248" s="2" t="s">
        <v>59</v>
      </c>
      <c r="B5248" s="2" t="s">
        <v>60</v>
      </c>
      <c r="C5248" s="2" t="s">
        <v>51153</v>
      </c>
      <c r="D5248" s="2" t="s">
        <v>51154</v>
      </c>
      <c r="E5248" s="2" t="s">
        <v>51155</v>
      </c>
      <c r="G5248" s="3" t="s">
        <v>64</v>
      </c>
      <c r="I5248" s="3" t="s">
        <v>64</v>
      </c>
      <c r="J5248" s="3" t="s">
        <v>64</v>
      </c>
      <c r="K5248" s="3" t="s">
        <v>65</v>
      </c>
      <c r="L5248" s="2" t="s">
        <v>51156</v>
      </c>
      <c r="M5248" s="2" t="s">
        <v>51157</v>
      </c>
      <c r="N5248" s="3" t="s">
        <v>537</v>
      </c>
      <c r="P5248" s="3" t="s">
        <v>102</v>
      </c>
      <c r="Q5248" s="2" t="s">
        <v>51158</v>
      </c>
      <c r="R5248" s="3" t="s">
        <v>49178</v>
      </c>
      <c r="S5248" s="4">
        <v>0</v>
      </c>
      <c r="T5248" s="4">
        <v>0</v>
      </c>
      <c r="W5248" s="5" t="s">
        <v>72</v>
      </c>
      <c r="X5248" s="5" t="s">
        <v>72</v>
      </c>
      <c r="Y5248" s="4">
        <v>36</v>
      </c>
      <c r="Z5248" s="4">
        <v>2</v>
      </c>
      <c r="AA5248" s="4">
        <v>8</v>
      </c>
      <c r="AB5248" s="4">
        <v>1</v>
      </c>
      <c r="AC5248" s="4">
        <v>4</v>
      </c>
      <c r="AD5248" s="4">
        <v>11</v>
      </c>
      <c r="AE5248" s="4">
        <v>31</v>
      </c>
      <c r="AF5248" s="4">
        <v>0</v>
      </c>
      <c r="AG5248" s="4">
        <v>1</v>
      </c>
      <c r="AH5248" s="4">
        <v>11</v>
      </c>
      <c r="AI5248" s="4">
        <v>28</v>
      </c>
      <c r="AJ5248" s="4">
        <v>1</v>
      </c>
      <c r="AK5248" s="4">
        <v>3</v>
      </c>
      <c r="AL5248" s="4">
        <v>7</v>
      </c>
      <c r="AM5248" s="4">
        <v>19</v>
      </c>
      <c r="AN5248" s="4">
        <v>0</v>
      </c>
      <c r="AO5248" s="4">
        <v>0</v>
      </c>
      <c r="AP5248" s="4">
        <v>1</v>
      </c>
      <c r="AQ5248" s="4">
        <v>4</v>
      </c>
      <c r="AR5248" s="3" t="s">
        <v>64</v>
      </c>
      <c r="AS5248" s="3" t="s">
        <v>64</v>
      </c>
      <c r="AT5248" s="3" t="s">
        <v>64</v>
      </c>
      <c r="AV5248" s="6" t="str">
        <f>HYPERLINK("http://mcgill.on.worldcat.org/oclc/939693742","Catalog Record")</f>
        <v>Catalog Record</v>
      </c>
      <c r="AW5248" s="6" t="str">
        <f>HYPERLINK("http://www.worldcat.org/oclc/939693742","WorldCat Record")</f>
        <v>WorldCat Record</v>
      </c>
      <c r="AX5248" s="3" t="s">
        <v>51159</v>
      </c>
      <c r="AY5248" s="3" t="s">
        <v>51160</v>
      </c>
      <c r="AZ5248" s="3" t="s">
        <v>51161</v>
      </c>
      <c r="BA5248" s="3" t="s">
        <v>51161</v>
      </c>
      <c r="BB5248" s="3" t="s">
        <v>51162</v>
      </c>
      <c r="BC5248" s="3" t="s">
        <v>77</v>
      </c>
      <c r="BD5248" s="3" t="s">
        <v>78</v>
      </c>
      <c r="BE5248" s="3" t="s">
        <v>51163</v>
      </c>
      <c r="BF5248" s="3" t="s">
        <v>51162</v>
      </c>
      <c r="BG5248" s="3" t="s">
        <v>51164</v>
      </c>
      <c r="BH5248">
        <f t="shared" si="163"/>
        <v>0</v>
      </c>
    </row>
    <row r="5249" spans="1:60" ht="58" x14ac:dyDescent="0.35">
      <c r="A5249" s="2" t="s">
        <v>59</v>
      </c>
      <c r="B5249" s="2" t="s">
        <v>60</v>
      </c>
      <c r="C5249" s="2" t="s">
        <v>51165</v>
      </c>
      <c r="D5249" s="2" t="s">
        <v>51166</v>
      </c>
      <c r="E5249" s="2" t="s">
        <v>51167</v>
      </c>
      <c r="G5249" s="3" t="s">
        <v>64</v>
      </c>
      <c r="I5249" s="3" t="s">
        <v>64</v>
      </c>
      <c r="J5249" s="3" t="s">
        <v>64</v>
      </c>
      <c r="K5249" s="3" t="s">
        <v>65</v>
      </c>
      <c r="L5249" s="2" t="s">
        <v>51156</v>
      </c>
      <c r="M5249" s="2" t="s">
        <v>51168</v>
      </c>
      <c r="N5249" s="3" t="s">
        <v>578</v>
      </c>
      <c r="P5249" s="3" t="s">
        <v>102</v>
      </c>
      <c r="Q5249" s="2" t="s">
        <v>51158</v>
      </c>
      <c r="R5249" s="3" t="s">
        <v>49178</v>
      </c>
      <c r="S5249" s="4">
        <v>3</v>
      </c>
      <c r="T5249" s="4">
        <v>3</v>
      </c>
      <c r="U5249" s="5" t="s">
        <v>14927</v>
      </c>
      <c r="V5249" s="5" t="s">
        <v>14927</v>
      </c>
      <c r="W5249" s="5" t="s">
        <v>72</v>
      </c>
      <c r="X5249" s="5" t="s">
        <v>72</v>
      </c>
      <c r="Y5249" s="4">
        <v>24</v>
      </c>
      <c r="Z5249" s="4">
        <v>1</v>
      </c>
      <c r="AA5249" s="4">
        <v>10</v>
      </c>
      <c r="AB5249" s="4">
        <v>1</v>
      </c>
      <c r="AC5249" s="4">
        <v>5</v>
      </c>
      <c r="AD5249" s="4">
        <v>4</v>
      </c>
      <c r="AE5249" s="4">
        <v>33</v>
      </c>
      <c r="AF5249" s="4">
        <v>0</v>
      </c>
      <c r="AG5249" s="4">
        <v>2</v>
      </c>
      <c r="AH5249" s="4">
        <v>4</v>
      </c>
      <c r="AI5249" s="4">
        <v>29</v>
      </c>
      <c r="AJ5249" s="4">
        <v>0</v>
      </c>
      <c r="AK5249" s="4">
        <v>4</v>
      </c>
      <c r="AL5249" s="4">
        <v>4</v>
      </c>
      <c r="AM5249" s="4">
        <v>20</v>
      </c>
      <c r="AN5249" s="4">
        <v>0</v>
      </c>
      <c r="AO5249" s="4">
        <v>0</v>
      </c>
      <c r="AP5249" s="4">
        <v>0</v>
      </c>
      <c r="AQ5249" s="4">
        <v>5</v>
      </c>
      <c r="AR5249" s="3" t="s">
        <v>64</v>
      </c>
      <c r="AS5249" s="3" t="s">
        <v>64</v>
      </c>
      <c r="AT5249" s="3" t="s">
        <v>64</v>
      </c>
      <c r="AV5249" s="6" t="str">
        <f>HYPERLINK("http://mcgill.on.worldcat.org/oclc/1032263056","Catalog Record")</f>
        <v>Catalog Record</v>
      </c>
      <c r="AW5249" s="6" t="str">
        <f>HYPERLINK("http://www.worldcat.org/oclc/1032263056","WorldCat Record")</f>
        <v>WorldCat Record</v>
      </c>
      <c r="AX5249" s="3" t="s">
        <v>51169</v>
      </c>
      <c r="AY5249" s="3" t="s">
        <v>51170</v>
      </c>
      <c r="AZ5249" s="3" t="s">
        <v>51171</v>
      </c>
      <c r="BA5249" s="3" t="s">
        <v>51171</v>
      </c>
      <c r="BB5249" s="3" t="s">
        <v>51172</v>
      </c>
      <c r="BC5249" s="3" t="s">
        <v>77</v>
      </c>
      <c r="BD5249" s="3" t="s">
        <v>78</v>
      </c>
      <c r="BE5249" s="3" t="s">
        <v>51173</v>
      </c>
      <c r="BF5249" s="3" t="s">
        <v>51172</v>
      </c>
      <c r="BG5249" s="3" t="s">
        <v>51174</v>
      </c>
      <c r="BH5249">
        <f t="shared" si="163"/>
        <v>0</v>
      </c>
    </row>
    <row r="5250" spans="1:60" ht="58" x14ac:dyDescent="0.35">
      <c r="A5250" s="2" t="s">
        <v>59</v>
      </c>
      <c r="B5250" s="2" t="s">
        <v>60</v>
      </c>
      <c r="C5250" s="2" t="s">
        <v>51175</v>
      </c>
      <c r="D5250" s="2" t="s">
        <v>51176</v>
      </c>
      <c r="E5250" s="2" t="s">
        <v>51177</v>
      </c>
      <c r="G5250" s="3" t="s">
        <v>64</v>
      </c>
      <c r="I5250" s="3" t="s">
        <v>64</v>
      </c>
      <c r="J5250" s="3" t="s">
        <v>64</v>
      </c>
      <c r="K5250" s="3" t="s">
        <v>65</v>
      </c>
      <c r="L5250" s="2" t="s">
        <v>51178</v>
      </c>
      <c r="M5250" s="2" t="s">
        <v>15732</v>
      </c>
      <c r="N5250" s="3" t="s">
        <v>537</v>
      </c>
      <c r="P5250" s="3" t="s">
        <v>102</v>
      </c>
      <c r="R5250" s="3" t="s">
        <v>49178</v>
      </c>
      <c r="S5250" s="4">
        <v>8</v>
      </c>
      <c r="T5250" s="4">
        <v>8</v>
      </c>
      <c r="U5250" s="5" t="s">
        <v>6057</v>
      </c>
      <c r="V5250" s="5" t="s">
        <v>6057</v>
      </c>
      <c r="W5250" s="5" t="s">
        <v>72</v>
      </c>
      <c r="X5250" s="5" t="s">
        <v>72</v>
      </c>
      <c r="Y5250" s="4">
        <v>270</v>
      </c>
      <c r="Z5250" s="4">
        <v>10</v>
      </c>
      <c r="AA5250" s="4">
        <v>73</v>
      </c>
      <c r="AB5250" s="4">
        <v>1</v>
      </c>
      <c r="AC5250" s="4">
        <v>14</v>
      </c>
      <c r="AD5250" s="4">
        <v>54</v>
      </c>
      <c r="AE5250" s="4">
        <v>102</v>
      </c>
      <c r="AF5250" s="4">
        <v>0</v>
      </c>
      <c r="AG5250" s="4">
        <v>8</v>
      </c>
      <c r="AH5250" s="4">
        <v>49</v>
      </c>
      <c r="AI5250" s="4">
        <v>72</v>
      </c>
      <c r="AJ5250" s="4">
        <v>4</v>
      </c>
      <c r="AK5250" s="4">
        <v>16</v>
      </c>
      <c r="AL5250" s="4">
        <v>29</v>
      </c>
      <c r="AM5250" s="4">
        <v>39</v>
      </c>
      <c r="AN5250" s="4">
        <v>0</v>
      </c>
      <c r="AO5250" s="4">
        <v>0</v>
      </c>
      <c r="AP5250" s="4">
        <v>6</v>
      </c>
      <c r="AQ5250" s="4">
        <v>35</v>
      </c>
      <c r="AR5250" s="3" t="s">
        <v>64</v>
      </c>
      <c r="AS5250" s="3" t="s">
        <v>64</v>
      </c>
      <c r="AT5250" s="3" t="s">
        <v>64</v>
      </c>
      <c r="AV5250" s="6" t="str">
        <f>HYPERLINK("http://mcgill.on.worldcat.org/oclc/945483315","Catalog Record")</f>
        <v>Catalog Record</v>
      </c>
      <c r="AW5250" s="6" t="str">
        <f>HYPERLINK("http://www.worldcat.org/oclc/945483315","WorldCat Record")</f>
        <v>WorldCat Record</v>
      </c>
      <c r="AX5250" s="3" t="s">
        <v>51179</v>
      </c>
      <c r="AY5250" s="3" t="s">
        <v>51180</v>
      </c>
      <c r="AZ5250" s="3" t="s">
        <v>51181</v>
      </c>
      <c r="BA5250" s="3" t="s">
        <v>51181</v>
      </c>
      <c r="BB5250" s="3" t="s">
        <v>51182</v>
      </c>
      <c r="BC5250" s="3" t="s">
        <v>77</v>
      </c>
      <c r="BD5250" s="3" t="s">
        <v>78</v>
      </c>
      <c r="BE5250" s="3" t="s">
        <v>51183</v>
      </c>
      <c r="BF5250" s="3" t="s">
        <v>51182</v>
      </c>
      <c r="BG5250" s="3" t="s">
        <v>51184</v>
      </c>
      <c r="BH5250">
        <f t="shared" ref="BH5250:BH5313" si="164">IF(COUNTIF($BF$1:$BF$5431,BF5250)=1,0,1)</f>
        <v>0</v>
      </c>
    </row>
    <row r="5251" spans="1:60" ht="58" x14ac:dyDescent="0.35">
      <c r="A5251" s="2" t="s">
        <v>59</v>
      </c>
      <c r="B5251" s="2" t="s">
        <v>60</v>
      </c>
      <c r="C5251" s="2" t="s">
        <v>51185</v>
      </c>
      <c r="D5251" s="2" t="s">
        <v>51186</v>
      </c>
      <c r="E5251" s="2" t="s">
        <v>51187</v>
      </c>
      <c r="G5251" s="3" t="s">
        <v>64</v>
      </c>
      <c r="I5251" s="3" t="s">
        <v>64</v>
      </c>
      <c r="J5251" s="3" t="s">
        <v>64</v>
      </c>
      <c r="K5251" s="3" t="s">
        <v>65</v>
      </c>
      <c r="L5251" s="2" t="s">
        <v>51188</v>
      </c>
      <c r="M5251" s="2" t="s">
        <v>8991</v>
      </c>
      <c r="N5251" s="3" t="s">
        <v>171</v>
      </c>
      <c r="P5251" s="3" t="s">
        <v>102</v>
      </c>
      <c r="Q5251" s="2" t="s">
        <v>8981</v>
      </c>
      <c r="R5251" s="3" t="s">
        <v>49178</v>
      </c>
      <c r="S5251" s="4">
        <v>3</v>
      </c>
      <c r="T5251" s="4">
        <v>3</v>
      </c>
      <c r="U5251" s="5" t="s">
        <v>5038</v>
      </c>
      <c r="V5251" s="5" t="s">
        <v>5038</v>
      </c>
      <c r="W5251" s="5" t="s">
        <v>72</v>
      </c>
      <c r="X5251" s="5" t="s">
        <v>72</v>
      </c>
      <c r="Y5251" s="4">
        <v>142</v>
      </c>
      <c r="Z5251" s="4">
        <v>13</v>
      </c>
      <c r="AA5251" s="4">
        <v>15</v>
      </c>
      <c r="AB5251" s="4">
        <v>2</v>
      </c>
      <c r="AC5251" s="4">
        <v>3</v>
      </c>
      <c r="AD5251" s="4">
        <v>38</v>
      </c>
      <c r="AE5251" s="4">
        <v>46</v>
      </c>
      <c r="AF5251" s="4">
        <v>0</v>
      </c>
      <c r="AG5251" s="4">
        <v>1</v>
      </c>
      <c r="AH5251" s="4">
        <v>34</v>
      </c>
      <c r="AI5251" s="4">
        <v>41</v>
      </c>
      <c r="AJ5251" s="4">
        <v>9</v>
      </c>
      <c r="AK5251" s="4">
        <v>10</v>
      </c>
      <c r="AL5251" s="4">
        <v>17</v>
      </c>
      <c r="AM5251" s="4">
        <v>21</v>
      </c>
      <c r="AN5251" s="4">
        <v>0</v>
      </c>
      <c r="AO5251" s="4">
        <v>0</v>
      </c>
      <c r="AP5251" s="4">
        <v>10</v>
      </c>
      <c r="AQ5251" s="4">
        <v>10</v>
      </c>
      <c r="AR5251" s="3" t="s">
        <v>64</v>
      </c>
      <c r="AS5251" s="3" t="s">
        <v>64</v>
      </c>
      <c r="AT5251" s="3" t="s">
        <v>128</v>
      </c>
      <c r="AU5251" s="6" t="str">
        <f>HYPERLINK("http://catalog.hathitrust.org/Record/005402821","HathiTrust Record")</f>
        <v>HathiTrust Record</v>
      </c>
      <c r="AV5251" s="6" t="str">
        <f>HYPERLINK("http://mcgill.on.worldcat.org/oclc/70882244","Catalog Record")</f>
        <v>Catalog Record</v>
      </c>
      <c r="AW5251" s="6" t="str">
        <f>HYPERLINK("http://www.worldcat.org/oclc/70882244","WorldCat Record")</f>
        <v>WorldCat Record</v>
      </c>
      <c r="AX5251" s="3" t="s">
        <v>51189</v>
      </c>
      <c r="AY5251" s="3" t="s">
        <v>51190</v>
      </c>
      <c r="AZ5251" s="3" t="s">
        <v>51191</v>
      </c>
      <c r="BA5251" s="3" t="s">
        <v>51191</v>
      </c>
      <c r="BB5251" s="3" t="s">
        <v>51192</v>
      </c>
      <c r="BC5251" s="3" t="s">
        <v>77</v>
      </c>
      <c r="BD5251" s="3" t="s">
        <v>78</v>
      </c>
      <c r="BE5251" s="3" t="s">
        <v>51193</v>
      </c>
      <c r="BF5251" s="3" t="s">
        <v>51192</v>
      </c>
      <c r="BG5251" s="3" t="s">
        <v>51194</v>
      </c>
      <c r="BH5251">
        <f t="shared" si="164"/>
        <v>0</v>
      </c>
    </row>
    <row r="5252" spans="1:60" ht="58" x14ac:dyDescent="0.35">
      <c r="A5252" s="2" t="s">
        <v>59</v>
      </c>
      <c r="B5252" s="2" t="s">
        <v>60</v>
      </c>
      <c r="C5252" s="2" t="s">
        <v>51195</v>
      </c>
      <c r="D5252" s="2" t="s">
        <v>51196</v>
      </c>
      <c r="E5252" s="2" t="s">
        <v>51197</v>
      </c>
      <c r="G5252" s="3" t="s">
        <v>64</v>
      </c>
      <c r="I5252" s="3" t="s">
        <v>64</v>
      </c>
      <c r="J5252" s="3" t="s">
        <v>64</v>
      </c>
      <c r="K5252" s="3" t="s">
        <v>65</v>
      </c>
      <c r="M5252" s="2" t="s">
        <v>51198</v>
      </c>
      <c r="N5252" s="3" t="s">
        <v>171</v>
      </c>
      <c r="P5252" s="3" t="s">
        <v>102</v>
      </c>
      <c r="R5252" s="3" t="s">
        <v>49178</v>
      </c>
      <c r="S5252" s="4">
        <v>5</v>
      </c>
      <c r="T5252" s="4">
        <v>5</v>
      </c>
      <c r="U5252" s="5" t="s">
        <v>9239</v>
      </c>
      <c r="V5252" s="5" t="s">
        <v>9239</v>
      </c>
      <c r="W5252" s="5" t="s">
        <v>72</v>
      </c>
      <c r="X5252" s="5" t="s">
        <v>72</v>
      </c>
      <c r="Y5252" s="4">
        <v>203</v>
      </c>
      <c r="Z5252" s="4">
        <v>18</v>
      </c>
      <c r="AA5252" s="4">
        <v>52</v>
      </c>
      <c r="AB5252" s="4">
        <v>2</v>
      </c>
      <c r="AC5252" s="4">
        <v>14</v>
      </c>
      <c r="AD5252" s="4">
        <v>64</v>
      </c>
      <c r="AE5252" s="4">
        <v>115</v>
      </c>
      <c r="AF5252" s="4">
        <v>0</v>
      </c>
      <c r="AG5252" s="4">
        <v>7</v>
      </c>
      <c r="AH5252" s="4">
        <v>60</v>
      </c>
      <c r="AI5252" s="4">
        <v>89</v>
      </c>
      <c r="AJ5252" s="4">
        <v>8</v>
      </c>
      <c r="AK5252" s="4">
        <v>21</v>
      </c>
      <c r="AL5252" s="4">
        <v>31</v>
      </c>
      <c r="AM5252" s="4">
        <v>43</v>
      </c>
      <c r="AN5252" s="4">
        <v>0</v>
      </c>
      <c r="AO5252" s="4">
        <v>0</v>
      </c>
      <c r="AP5252" s="4">
        <v>10</v>
      </c>
      <c r="AQ5252" s="4">
        <v>36</v>
      </c>
      <c r="AR5252" s="3" t="s">
        <v>64</v>
      </c>
      <c r="AS5252" s="3" t="s">
        <v>64</v>
      </c>
      <c r="AT5252" s="3" t="s">
        <v>64</v>
      </c>
      <c r="AV5252" s="6" t="str">
        <f>HYPERLINK("http://mcgill.on.worldcat.org/oclc/66425108","Catalog Record")</f>
        <v>Catalog Record</v>
      </c>
      <c r="AW5252" s="6" t="str">
        <f>HYPERLINK("http://www.worldcat.org/oclc/66425108","WorldCat Record")</f>
        <v>WorldCat Record</v>
      </c>
      <c r="AX5252" s="3" t="s">
        <v>51199</v>
      </c>
      <c r="AY5252" s="3" t="s">
        <v>51200</v>
      </c>
      <c r="AZ5252" s="3" t="s">
        <v>51201</v>
      </c>
      <c r="BA5252" s="3" t="s">
        <v>51201</v>
      </c>
      <c r="BB5252" s="3" t="s">
        <v>51202</v>
      </c>
      <c r="BC5252" s="3" t="s">
        <v>77</v>
      </c>
      <c r="BD5252" s="3" t="s">
        <v>78</v>
      </c>
      <c r="BE5252" s="3" t="s">
        <v>51203</v>
      </c>
      <c r="BF5252" s="3" t="s">
        <v>51202</v>
      </c>
      <c r="BG5252" s="3" t="s">
        <v>51204</v>
      </c>
      <c r="BH5252">
        <f t="shared" si="164"/>
        <v>0</v>
      </c>
    </row>
    <row r="5253" spans="1:60" ht="58" x14ac:dyDescent="0.35">
      <c r="A5253" s="2" t="s">
        <v>59</v>
      </c>
      <c r="B5253" s="2" t="s">
        <v>60</v>
      </c>
      <c r="C5253" s="2" t="s">
        <v>51205</v>
      </c>
      <c r="D5253" s="2" t="s">
        <v>51206</v>
      </c>
      <c r="E5253" s="2" t="s">
        <v>51207</v>
      </c>
      <c r="G5253" s="3" t="s">
        <v>64</v>
      </c>
      <c r="I5253" s="3" t="s">
        <v>64</v>
      </c>
      <c r="J5253" s="3" t="s">
        <v>64</v>
      </c>
      <c r="K5253" s="3" t="s">
        <v>65</v>
      </c>
      <c r="L5253" s="2" t="s">
        <v>51208</v>
      </c>
      <c r="M5253" s="2" t="s">
        <v>51209</v>
      </c>
      <c r="N5253" s="3" t="s">
        <v>67</v>
      </c>
      <c r="O5253" s="2" t="s">
        <v>117</v>
      </c>
      <c r="P5253" s="3" t="s">
        <v>102</v>
      </c>
      <c r="Q5253" s="2" t="s">
        <v>18967</v>
      </c>
      <c r="R5253" s="3" t="s">
        <v>49178</v>
      </c>
      <c r="S5253" s="4">
        <v>1</v>
      </c>
      <c r="T5253" s="4">
        <v>1</v>
      </c>
      <c r="U5253" s="5" t="s">
        <v>24223</v>
      </c>
      <c r="V5253" s="5" t="s">
        <v>24223</v>
      </c>
      <c r="W5253" s="5" t="s">
        <v>72</v>
      </c>
      <c r="X5253" s="5" t="s">
        <v>72</v>
      </c>
      <c r="Y5253" s="4">
        <v>182</v>
      </c>
      <c r="Z5253" s="4">
        <v>10</v>
      </c>
      <c r="AA5253" s="4">
        <v>79</v>
      </c>
      <c r="AB5253" s="4">
        <v>1</v>
      </c>
      <c r="AC5253" s="4">
        <v>15</v>
      </c>
      <c r="AD5253" s="4">
        <v>53</v>
      </c>
      <c r="AE5253" s="4">
        <v>116</v>
      </c>
      <c r="AF5253" s="4">
        <v>0</v>
      </c>
      <c r="AG5253" s="4">
        <v>8</v>
      </c>
      <c r="AH5253" s="4">
        <v>51</v>
      </c>
      <c r="AI5253" s="4">
        <v>83</v>
      </c>
      <c r="AJ5253" s="4">
        <v>4</v>
      </c>
      <c r="AK5253" s="4">
        <v>20</v>
      </c>
      <c r="AL5253" s="4">
        <v>27</v>
      </c>
      <c r="AM5253" s="4">
        <v>42</v>
      </c>
      <c r="AN5253" s="4">
        <v>0</v>
      </c>
      <c r="AO5253" s="4">
        <v>0</v>
      </c>
      <c r="AP5253" s="4">
        <v>5</v>
      </c>
      <c r="AQ5253" s="4">
        <v>38</v>
      </c>
      <c r="AR5253" s="3" t="s">
        <v>64</v>
      </c>
      <c r="AS5253" s="3" t="s">
        <v>64</v>
      </c>
      <c r="AT5253" s="3" t="s">
        <v>64</v>
      </c>
      <c r="AV5253" s="6" t="str">
        <f>HYPERLINK("http://mcgill.on.worldcat.org/oclc/879538784","Catalog Record")</f>
        <v>Catalog Record</v>
      </c>
      <c r="AW5253" s="6" t="str">
        <f>HYPERLINK("http://www.worldcat.org/oclc/879538784","WorldCat Record")</f>
        <v>WorldCat Record</v>
      </c>
      <c r="AX5253" s="3" t="s">
        <v>51210</v>
      </c>
      <c r="AY5253" s="3" t="s">
        <v>51211</v>
      </c>
      <c r="AZ5253" s="3" t="s">
        <v>51212</v>
      </c>
      <c r="BA5253" s="3" t="s">
        <v>51212</v>
      </c>
      <c r="BB5253" s="3" t="s">
        <v>51213</v>
      </c>
      <c r="BC5253" s="3" t="s">
        <v>77</v>
      </c>
      <c r="BD5253" s="3" t="s">
        <v>78</v>
      </c>
      <c r="BE5253" s="3" t="s">
        <v>51214</v>
      </c>
      <c r="BF5253" s="3" t="s">
        <v>51213</v>
      </c>
      <c r="BG5253" s="3" t="s">
        <v>51215</v>
      </c>
      <c r="BH5253">
        <f t="shared" si="164"/>
        <v>0</v>
      </c>
    </row>
    <row r="5254" spans="1:60" ht="58" x14ac:dyDescent="0.35">
      <c r="A5254" s="2" t="s">
        <v>59</v>
      </c>
      <c r="B5254" s="2" t="s">
        <v>60</v>
      </c>
      <c r="C5254" s="2" t="s">
        <v>51216</v>
      </c>
      <c r="D5254" s="2" t="s">
        <v>51217</v>
      </c>
      <c r="E5254" s="2" t="s">
        <v>51218</v>
      </c>
      <c r="G5254" s="3" t="s">
        <v>64</v>
      </c>
      <c r="I5254" s="3" t="s">
        <v>64</v>
      </c>
      <c r="J5254" s="3" t="s">
        <v>64</v>
      </c>
      <c r="K5254" s="3" t="s">
        <v>65</v>
      </c>
      <c r="M5254" s="2" t="s">
        <v>18859</v>
      </c>
      <c r="N5254" s="3" t="s">
        <v>291</v>
      </c>
      <c r="P5254" s="3" t="s">
        <v>102</v>
      </c>
      <c r="R5254" s="3" t="s">
        <v>49178</v>
      </c>
      <c r="S5254" s="4">
        <v>33</v>
      </c>
      <c r="T5254" s="4">
        <v>33</v>
      </c>
      <c r="U5254" s="5" t="s">
        <v>19011</v>
      </c>
      <c r="V5254" s="5" t="s">
        <v>19011</v>
      </c>
      <c r="W5254" s="5" t="s">
        <v>72</v>
      </c>
      <c r="X5254" s="5" t="s">
        <v>72</v>
      </c>
      <c r="Y5254" s="4">
        <v>757</v>
      </c>
      <c r="Z5254" s="4">
        <v>38</v>
      </c>
      <c r="AA5254" s="4">
        <v>118</v>
      </c>
      <c r="AB5254" s="4">
        <v>3</v>
      </c>
      <c r="AC5254" s="4">
        <v>18</v>
      </c>
      <c r="AD5254" s="4">
        <v>96</v>
      </c>
      <c r="AE5254" s="4">
        <v>135</v>
      </c>
      <c r="AF5254" s="4">
        <v>1</v>
      </c>
      <c r="AG5254" s="4">
        <v>8</v>
      </c>
      <c r="AH5254" s="4">
        <v>82</v>
      </c>
      <c r="AI5254" s="4">
        <v>96</v>
      </c>
      <c r="AJ5254" s="4">
        <v>13</v>
      </c>
      <c r="AK5254" s="4">
        <v>20</v>
      </c>
      <c r="AL5254" s="4">
        <v>42</v>
      </c>
      <c r="AM5254" s="4">
        <v>50</v>
      </c>
      <c r="AN5254" s="4">
        <v>0</v>
      </c>
      <c r="AO5254" s="4">
        <v>0</v>
      </c>
      <c r="AP5254" s="4">
        <v>16</v>
      </c>
      <c r="AQ5254" s="4">
        <v>43</v>
      </c>
      <c r="AR5254" s="3" t="s">
        <v>64</v>
      </c>
      <c r="AS5254" s="3" t="s">
        <v>64</v>
      </c>
      <c r="AT5254" s="3" t="s">
        <v>64</v>
      </c>
      <c r="AV5254" s="6" t="str">
        <f>HYPERLINK("http://mcgill.on.worldcat.org/oclc/71126827","Catalog Record")</f>
        <v>Catalog Record</v>
      </c>
      <c r="AW5254" s="6" t="str">
        <f>HYPERLINK("http://www.worldcat.org/oclc/71126827","WorldCat Record")</f>
        <v>WorldCat Record</v>
      </c>
      <c r="AX5254" s="3" t="s">
        <v>51219</v>
      </c>
      <c r="AY5254" s="3" t="s">
        <v>51220</v>
      </c>
      <c r="AZ5254" s="3" t="s">
        <v>51221</v>
      </c>
      <c r="BA5254" s="3" t="s">
        <v>51221</v>
      </c>
      <c r="BB5254" s="3" t="s">
        <v>51222</v>
      </c>
      <c r="BC5254" s="3" t="s">
        <v>77</v>
      </c>
      <c r="BD5254" s="3" t="s">
        <v>78</v>
      </c>
      <c r="BE5254" s="3" t="s">
        <v>51223</v>
      </c>
      <c r="BF5254" s="3" t="s">
        <v>51222</v>
      </c>
      <c r="BG5254" s="3" t="s">
        <v>51224</v>
      </c>
      <c r="BH5254">
        <f t="shared" si="164"/>
        <v>0</v>
      </c>
    </row>
    <row r="5255" spans="1:60" ht="58" x14ac:dyDescent="0.35">
      <c r="A5255" s="2" t="s">
        <v>59</v>
      </c>
      <c r="B5255" s="2" t="s">
        <v>60</v>
      </c>
      <c r="C5255" s="2" t="s">
        <v>51225</v>
      </c>
      <c r="D5255" s="2" t="s">
        <v>51226</v>
      </c>
      <c r="E5255" s="2" t="s">
        <v>51227</v>
      </c>
      <c r="G5255" s="3" t="s">
        <v>64</v>
      </c>
      <c r="I5255" s="3" t="s">
        <v>64</v>
      </c>
      <c r="J5255" s="3" t="s">
        <v>128</v>
      </c>
      <c r="K5255" s="3" t="s">
        <v>65</v>
      </c>
      <c r="L5255" s="2" t="s">
        <v>51228</v>
      </c>
      <c r="M5255" s="2" t="s">
        <v>51229</v>
      </c>
      <c r="N5255" s="3" t="s">
        <v>511</v>
      </c>
      <c r="O5255" s="2" t="s">
        <v>172</v>
      </c>
      <c r="P5255" s="3" t="s">
        <v>102</v>
      </c>
      <c r="Q5255" s="2" t="s">
        <v>51230</v>
      </c>
      <c r="R5255" s="3" t="s">
        <v>49178</v>
      </c>
      <c r="S5255" s="4">
        <v>24</v>
      </c>
      <c r="T5255" s="4">
        <v>24</v>
      </c>
      <c r="U5255" s="5" t="s">
        <v>19011</v>
      </c>
      <c r="V5255" s="5" t="s">
        <v>19011</v>
      </c>
      <c r="W5255" s="5" t="s">
        <v>72</v>
      </c>
      <c r="X5255" s="5" t="s">
        <v>72</v>
      </c>
      <c r="Y5255" s="4">
        <v>201</v>
      </c>
      <c r="Z5255" s="4">
        <v>8</v>
      </c>
      <c r="AA5255" s="4">
        <v>106</v>
      </c>
      <c r="AB5255" s="4">
        <v>2</v>
      </c>
      <c r="AC5255" s="4">
        <v>20</v>
      </c>
      <c r="AD5255" s="4">
        <v>29</v>
      </c>
      <c r="AE5255" s="4">
        <v>141</v>
      </c>
      <c r="AF5255" s="4">
        <v>0</v>
      </c>
      <c r="AG5255" s="4">
        <v>9</v>
      </c>
      <c r="AH5255" s="4">
        <v>29</v>
      </c>
      <c r="AI5255" s="4">
        <v>105</v>
      </c>
      <c r="AJ5255" s="4">
        <v>5</v>
      </c>
      <c r="AK5255" s="4">
        <v>21</v>
      </c>
      <c r="AL5255" s="4">
        <v>14</v>
      </c>
      <c r="AM5255" s="4">
        <v>52</v>
      </c>
      <c r="AN5255" s="4">
        <v>0</v>
      </c>
      <c r="AO5255" s="4">
        <v>0</v>
      </c>
      <c r="AP5255" s="4">
        <v>5</v>
      </c>
      <c r="AQ5255" s="4">
        <v>44</v>
      </c>
      <c r="AR5255" s="3" t="s">
        <v>64</v>
      </c>
      <c r="AS5255" s="3" t="s">
        <v>64</v>
      </c>
      <c r="AT5255" s="3" t="s">
        <v>64</v>
      </c>
      <c r="AV5255" s="6" t="str">
        <f>HYPERLINK("http://mcgill.on.worldcat.org/oclc/262433476","Catalog Record")</f>
        <v>Catalog Record</v>
      </c>
      <c r="AW5255" s="6" t="str">
        <f>HYPERLINK("http://www.worldcat.org/oclc/262433476","WorldCat Record")</f>
        <v>WorldCat Record</v>
      </c>
      <c r="AX5255" s="3" t="s">
        <v>51231</v>
      </c>
      <c r="AY5255" s="3" t="s">
        <v>51232</v>
      </c>
      <c r="AZ5255" s="3" t="s">
        <v>51233</v>
      </c>
      <c r="BA5255" s="3" t="s">
        <v>51233</v>
      </c>
      <c r="BB5255" s="3" t="s">
        <v>51234</v>
      </c>
      <c r="BC5255" s="3" t="s">
        <v>77</v>
      </c>
      <c r="BD5255" s="3" t="s">
        <v>78</v>
      </c>
      <c r="BE5255" s="3" t="s">
        <v>51235</v>
      </c>
      <c r="BF5255" s="3" t="s">
        <v>51234</v>
      </c>
      <c r="BG5255" s="3" t="s">
        <v>51236</v>
      </c>
      <c r="BH5255">
        <f t="shared" si="164"/>
        <v>0</v>
      </c>
    </row>
    <row r="5256" spans="1:60" ht="58" x14ac:dyDescent="0.35">
      <c r="A5256" s="2" t="s">
        <v>59</v>
      </c>
      <c r="B5256" s="2" t="s">
        <v>60</v>
      </c>
      <c r="C5256" s="2" t="s">
        <v>51237</v>
      </c>
      <c r="D5256" s="2" t="s">
        <v>51238</v>
      </c>
      <c r="E5256" s="2" t="s">
        <v>51239</v>
      </c>
      <c r="G5256" s="3" t="s">
        <v>64</v>
      </c>
      <c r="I5256" s="3" t="s">
        <v>64</v>
      </c>
      <c r="J5256" s="3" t="s">
        <v>64</v>
      </c>
      <c r="K5256" s="3" t="s">
        <v>65</v>
      </c>
      <c r="L5256" s="2" t="s">
        <v>51240</v>
      </c>
      <c r="M5256" s="2" t="s">
        <v>15135</v>
      </c>
      <c r="N5256" s="3" t="s">
        <v>190</v>
      </c>
      <c r="P5256" s="3" t="s">
        <v>102</v>
      </c>
      <c r="R5256" s="3" t="s">
        <v>49178</v>
      </c>
      <c r="S5256" s="4">
        <v>3</v>
      </c>
      <c r="T5256" s="4">
        <v>3</v>
      </c>
      <c r="U5256" s="5" t="s">
        <v>28559</v>
      </c>
      <c r="V5256" s="5" t="s">
        <v>28559</v>
      </c>
      <c r="W5256" s="5" t="s">
        <v>72</v>
      </c>
      <c r="X5256" s="5" t="s">
        <v>72</v>
      </c>
      <c r="Y5256" s="4">
        <v>120</v>
      </c>
      <c r="Z5256" s="4">
        <v>7</v>
      </c>
      <c r="AA5256" s="4">
        <v>8</v>
      </c>
      <c r="AB5256" s="4">
        <v>1</v>
      </c>
      <c r="AC5256" s="4">
        <v>2</v>
      </c>
      <c r="AD5256" s="4">
        <v>21</v>
      </c>
      <c r="AE5256" s="4">
        <v>22</v>
      </c>
      <c r="AF5256" s="4">
        <v>0</v>
      </c>
      <c r="AG5256" s="4">
        <v>1</v>
      </c>
      <c r="AH5256" s="4">
        <v>20</v>
      </c>
      <c r="AI5256" s="4">
        <v>20</v>
      </c>
      <c r="AJ5256" s="4">
        <v>4</v>
      </c>
      <c r="AK5256" s="4">
        <v>5</v>
      </c>
      <c r="AL5256" s="4">
        <v>12</v>
      </c>
      <c r="AM5256" s="4">
        <v>12</v>
      </c>
      <c r="AN5256" s="4">
        <v>0</v>
      </c>
      <c r="AO5256" s="4">
        <v>0</v>
      </c>
      <c r="AP5256" s="4">
        <v>4</v>
      </c>
      <c r="AQ5256" s="4">
        <v>4</v>
      </c>
      <c r="AR5256" s="3" t="s">
        <v>64</v>
      </c>
      <c r="AS5256" s="3" t="s">
        <v>64</v>
      </c>
      <c r="AT5256" s="3" t="s">
        <v>64</v>
      </c>
      <c r="AV5256" s="6" t="str">
        <f>HYPERLINK("http://mcgill.on.worldcat.org/oclc/1030445946","Catalog Record")</f>
        <v>Catalog Record</v>
      </c>
      <c r="AW5256" s="6" t="str">
        <f>HYPERLINK("http://www.worldcat.org/oclc/1030445946","WorldCat Record")</f>
        <v>WorldCat Record</v>
      </c>
      <c r="AX5256" s="3" t="s">
        <v>51241</v>
      </c>
      <c r="AY5256" s="3" t="s">
        <v>51242</v>
      </c>
      <c r="AZ5256" s="3" t="s">
        <v>51243</v>
      </c>
      <c r="BA5256" s="3" t="s">
        <v>51243</v>
      </c>
      <c r="BB5256" s="3" t="s">
        <v>51244</v>
      </c>
      <c r="BC5256" s="3" t="s">
        <v>77</v>
      </c>
      <c r="BD5256" s="3" t="s">
        <v>1956</v>
      </c>
      <c r="BE5256" s="3" t="s">
        <v>51245</v>
      </c>
      <c r="BF5256" s="3" t="s">
        <v>51244</v>
      </c>
      <c r="BG5256" s="3" t="s">
        <v>51246</v>
      </c>
      <c r="BH5256">
        <f t="shared" si="164"/>
        <v>0</v>
      </c>
    </row>
    <row r="5257" spans="1:60" ht="58" x14ac:dyDescent="0.35">
      <c r="A5257" s="2" t="s">
        <v>59</v>
      </c>
      <c r="B5257" s="2" t="s">
        <v>60</v>
      </c>
      <c r="C5257" s="2" t="s">
        <v>51247</v>
      </c>
      <c r="D5257" s="2" t="s">
        <v>51248</v>
      </c>
      <c r="E5257" s="2" t="s">
        <v>51249</v>
      </c>
      <c r="G5257" s="3" t="s">
        <v>64</v>
      </c>
      <c r="I5257" s="3" t="s">
        <v>64</v>
      </c>
      <c r="J5257" s="3" t="s">
        <v>64</v>
      </c>
      <c r="K5257" s="3" t="s">
        <v>65</v>
      </c>
      <c r="M5257" s="2" t="s">
        <v>19139</v>
      </c>
      <c r="N5257" s="3" t="s">
        <v>86</v>
      </c>
      <c r="P5257" s="3" t="s">
        <v>102</v>
      </c>
      <c r="R5257" s="3" t="s">
        <v>49178</v>
      </c>
      <c r="S5257" s="4">
        <v>8</v>
      </c>
      <c r="T5257" s="4">
        <v>8</v>
      </c>
      <c r="U5257" s="5" t="s">
        <v>24223</v>
      </c>
      <c r="V5257" s="5" t="s">
        <v>24223</v>
      </c>
      <c r="W5257" s="5" t="s">
        <v>72</v>
      </c>
      <c r="X5257" s="5" t="s">
        <v>72</v>
      </c>
      <c r="Y5257" s="4">
        <v>132</v>
      </c>
      <c r="Z5257" s="4">
        <v>8</v>
      </c>
      <c r="AA5257" s="4">
        <v>84</v>
      </c>
      <c r="AB5257" s="4">
        <v>2</v>
      </c>
      <c r="AC5257" s="4">
        <v>15</v>
      </c>
      <c r="AD5257" s="4">
        <v>44</v>
      </c>
      <c r="AE5257" s="4">
        <v>113</v>
      </c>
      <c r="AF5257" s="4">
        <v>1</v>
      </c>
      <c r="AG5257" s="4">
        <v>8</v>
      </c>
      <c r="AH5257" s="4">
        <v>40</v>
      </c>
      <c r="AI5257" s="4">
        <v>79</v>
      </c>
      <c r="AJ5257" s="4">
        <v>5</v>
      </c>
      <c r="AK5257" s="4">
        <v>21</v>
      </c>
      <c r="AL5257" s="4">
        <v>22</v>
      </c>
      <c r="AM5257" s="4">
        <v>41</v>
      </c>
      <c r="AN5257" s="4">
        <v>0</v>
      </c>
      <c r="AO5257" s="4">
        <v>0</v>
      </c>
      <c r="AP5257" s="4">
        <v>7</v>
      </c>
      <c r="AQ5257" s="4">
        <v>43</v>
      </c>
      <c r="AR5257" s="3" t="s">
        <v>64</v>
      </c>
      <c r="AS5257" s="3" t="s">
        <v>64</v>
      </c>
      <c r="AT5257" s="3" t="s">
        <v>64</v>
      </c>
      <c r="AV5257" s="6" t="str">
        <f>HYPERLINK("http://mcgill.on.worldcat.org/oclc/770181855","Catalog Record")</f>
        <v>Catalog Record</v>
      </c>
      <c r="AW5257" s="6" t="str">
        <f>HYPERLINK("http://www.worldcat.org/oclc/770181855","WorldCat Record")</f>
        <v>WorldCat Record</v>
      </c>
      <c r="AX5257" s="3" t="s">
        <v>51250</v>
      </c>
      <c r="AY5257" s="3" t="s">
        <v>51251</v>
      </c>
      <c r="AZ5257" s="3" t="s">
        <v>51252</v>
      </c>
      <c r="BA5257" s="3" t="s">
        <v>51252</v>
      </c>
      <c r="BB5257" s="3" t="s">
        <v>51253</v>
      </c>
      <c r="BC5257" s="3" t="s">
        <v>77</v>
      </c>
      <c r="BD5257" s="3" t="s">
        <v>78</v>
      </c>
      <c r="BE5257" s="3" t="s">
        <v>51254</v>
      </c>
      <c r="BF5257" s="3" t="s">
        <v>51253</v>
      </c>
      <c r="BG5257" s="3" t="s">
        <v>51255</v>
      </c>
      <c r="BH5257">
        <f t="shared" si="164"/>
        <v>0</v>
      </c>
    </row>
    <row r="5258" spans="1:60" ht="58" x14ac:dyDescent="0.35">
      <c r="A5258" s="2" t="s">
        <v>59</v>
      </c>
      <c r="B5258" s="2" t="s">
        <v>60</v>
      </c>
      <c r="C5258" s="2" t="s">
        <v>51256</v>
      </c>
      <c r="D5258" s="2" t="s">
        <v>51257</v>
      </c>
      <c r="E5258" s="2" t="s">
        <v>51258</v>
      </c>
      <c r="G5258" s="3" t="s">
        <v>64</v>
      </c>
      <c r="I5258" s="3" t="s">
        <v>64</v>
      </c>
      <c r="J5258" s="3" t="s">
        <v>64</v>
      </c>
      <c r="K5258" s="3" t="s">
        <v>65</v>
      </c>
      <c r="M5258" s="2" t="s">
        <v>51259</v>
      </c>
      <c r="N5258" s="3" t="s">
        <v>86</v>
      </c>
      <c r="P5258" s="3" t="s">
        <v>102</v>
      </c>
      <c r="R5258" s="3" t="s">
        <v>49178</v>
      </c>
      <c r="S5258" s="4">
        <v>7</v>
      </c>
      <c r="T5258" s="4">
        <v>7</v>
      </c>
      <c r="U5258" s="5" t="s">
        <v>5146</v>
      </c>
      <c r="V5258" s="5" t="s">
        <v>5146</v>
      </c>
      <c r="W5258" s="5" t="s">
        <v>72</v>
      </c>
      <c r="X5258" s="5" t="s">
        <v>72</v>
      </c>
      <c r="Y5258" s="4">
        <v>242</v>
      </c>
      <c r="Z5258" s="4">
        <v>20</v>
      </c>
      <c r="AA5258" s="4">
        <v>85</v>
      </c>
      <c r="AB5258" s="4">
        <v>3</v>
      </c>
      <c r="AC5258" s="4">
        <v>16</v>
      </c>
      <c r="AD5258" s="4">
        <v>64</v>
      </c>
      <c r="AE5258" s="4">
        <v>115</v>
      </c>
      <c r="AF5258" s="4">
        <v>1</v>
      </c>
      <c r="AG5258" s="4">
        <v>8</v>
      </c>
      <c r="AH5258" s="4">
        <v>57</v>
      </c>
      <c r="AI5258" s="4">
        <v>82</v>
      </c>
      <c r="AJ5258" s="4">
        <v>11</v>
      </c>
      <c r="AK5258" s="4">
        <v>20</v>
      </c>
      <c r="AL5258" s="4">
        <v>31</v>
      </c>
      <c r="AM5258" s="4">
        <v>41</v>
      </c>
      <c r="AN5258" s="4">
        <v>0</v>
      </c>
      <c r="AO5258" s="4">
        <v>0</v>
      </c>
      <c r="AP5258" s="4">
        <v>12</v>
      </c>
      <c r="AQ5258" s="4">
        <v>41</v>
      </c>
      <c r="AR5258" s="3" t="s">
        <v>64</v>
      </c>
      <c r="AS5258" s="3" t="s">
        <v>64</v>
      </c>
      <c r="AT5258" s="3" t="s">
        <v>64</v>
      </c>
      <c r="AV5258" s="6" t="str">
        <f>HYPERLINK("http://mcgill.on.worldcat.org/oclc/778274956","Catalog Record")</f>
        <v>Catalog Record</v>
      </c>
      <c r="AW5258" s="6" t="str">
        <f>HYPERLINK("http://www.worldcat.org/oclc/778274956","WorldCat Record")</f>
        <v>WorldCat Record</v>
      </c>
      <c r="AX5258" s="3" t="s">
        <v>51260</v>
      </c>
      <c r="AY5258" s="3" t="s">
        <v>51261</v>
      </c>
      <c r="AZ5258" s="3" t="s">
        <v>51262</v>
      </c>
      <c r="BA5258" s="3" t="s">
        <v>51262</v>
      </c>
      <c r="BB5258" s="3" t="s">
        <v>51263</v>
      </c>
      <c r="BC5258" s="3" t="s">
        <v>77</v>
      </c>
      <c r="BD5258" s="3" t="s">
        <v>78</v>
      </c>
      <c r="BE5258" s="3" t="s">
        <v>51264</v>
      </c>
      <c r="BF5258" s="3" t="s">
        <v>51263</v>
      </c>
      <c r="BG5258" s="3" t="s">
        <v>51265</v>
      </c>
      <c r="BH5258">
        <f t="shared" si="164"/>
        <v>0</v>
      </c>
    </row>
    <row r="5259" spans="1:60" ht="58" x14ac:dyDescent="0.35">
      <c r="A5259" s="2" t="s">
        <v>59</v>
      </c>
      <c r="B5259" s="2" t="s">
        <v>60</v>
      </c>
      <c r="C5259" s="2" t="s">
        <v>51266</v>
      </c>
      <c r="D5259" s="2" t="s">
        <v>51267</v>
      </c>
      <c r="E5259" s="2" t="s">
        <v>51268</v>
      </c>
      <c r="G5259" s="3" t="s">
        <v>64</v>
      </c>
      <c r="I5259" s="3" t="s">
        <v>128</v>
      </c>
      <c r="J5259" s="3" t="s">
        <v>64</v>
      </c>
      <c r="K5259" s="3" t="s">
        <v>65</v>
      </c>
      <c r="L5259" s="2" t="s">
        <v>51269</v>
      </c>
      <c r="M5259" s="2" t="s">
        <v>51270</v>
      </c>
      <c r="N5259" s="3" t="s">
        <v>144</v>
      </c>
      <c r="P5259" s="3" t="s">
        <v>102</v>
      </c>
      <c r="Q5259" s="2" t="s">
        <v>8981</v>
      </c>
      <c r="R5259" s="3" t="s">
        <v>49178</v>
      </c>
      <c r="S5259" s="4">
        <v>7</v>
      </c>
      <c r="T5259" s="4">
        <v>12</v>
      </c>
      <c r="U5259" s="5" t="s">
        <v>51271</v>
      </c>
      <c r="V5259" s="5" t="s">
        <v>5146</v>
      </c>
      <c r="W5259" s="5" t="s">
        <v>72</v>
      </c>
      <c r="X5259" s="5" t="s">
        <v>72</v>
      </c>
      <c r="Y5259" s="4">
        <v>206</v>
      </c>
      <c r="Z5259" s="4">
        <v>18</v>
      </c>
      <c r="AA5259" s="4">
        <v>24</v>
      </c>
      <c r="AB5259" s="4">
        <v>1</v>
      </c>
      <c r="AC5259" s="4">
        <v>6</v>
      </c>
      <c r="AD5259" s="4">
        <v>43</v>
      </c>
      <c r="AE5259" s="4">
        <v>52</v>
      </c>
      <c r="AF5259" s="4">
        <v>0</v>
      </c>
      <c r="AG5259" s="4">
        <v>2</v>
      </c>
      <c r="AH5259" s="4">
        <v>37</v>
      </c>
      <c r="AI5259" s="4">
        <v>44</v>
      </c>
      <c r="AJ5259" s="4">
        <v>8</v>
      </c>
      <c r="AK5259" s="4">
        <v>10</v>
      </c>
      <c r="AL5259" s="4">
        <v>23</v>
      </c>
      <c r="AM5259" s="4">
        <v>26</v>
      </c>
      <c r="AN5259" s="4">
        <v>0</v>
      </c>
      <c r="AO5259" s="4">
        <v>0</v>
      </c>
      <c r="AP5259" s="4">
        <v>10</v>
      </c>
      <c r="AQ5259" s="4">
        <v>12</v>
      </c>
      <c r="AR5259" s="3" t="s">
        <v>64</v>
      </c>
      <c r="AS5259" s="3" t="s">
        <v>64</v>
      </c>
      <c r="AT5259" s="3" t="s">
        <v>128</v>
      </c>
      <c r="AU5259" s="6" t="str">
        <f>HYPERLINK("http://catalog.hathitrust.org/Record/005910121","HathiTrust Record")</f>
        <v>HathiTrust Record</v>
      </c>
      <c r="AV5259" s="6" t="str">
        <f>HYPERLINK("http://mcgill.on.worldcat.org/oclc/232713009","Catalog Record")</f>
        <v>Catalog Record</v>
      </c>
      <c r="AW5259" s="6" t="str">
        <f>HYPERLINK("http://www.worldcat.org/oclc/232713009","WorldCat Record")</f>
        <v>WorldCat Record</v>
      </c>
      <c r="AX5259" s="3" t="s">
        <v>51272</v>
      </c>
      <c r="AY5259" s="3" t="s">
        <v>51273</v>
      </c>
      <c r="AZ5259" s="3" t="s">
        <v>51274</v>
      </c>
      <c r="BA5259" s="3" t="s">
        <v>51274</v>
      </c>
      <c r="BB5259" s="3" t="s">
        <v>51275</v>
      </c>
      <c r="BC5259" s="3" t="s">
        <v>77</v>
      </c>
      <c r="BD5259" s="3" t="s">
        <v>78</v>
      </c>
      <c r="BE5259" s="3" t="s">
        <v>51276</v>
      </c>
      <c r="BF5259" s="3" t="s">
        <v>51275</v>
      </c>
      <c r="BG5259" s="3" t="s">
        <v>51277</v>
      </c>
      <c r="BH5259">
        <f t="shared" si="164"/>
        <v>0</v>
      </c>
    </row>
    <row r="5260" spans="1:60" ht="58" x14ac:dyDescent="0.35">
      <c r="A5260" s="2" t="s">
        <v>59</v>
      </c>
      <c r="B5260" s="2" t="s">
        <v>60</v>
      </c>
      <c r="C5260" s="2" t="s">
        <v>51266</v>
      </c>
      <c r="D5260" s="2" t="s">
        <v>51267</v>
      </c>
      <c r="E5260" s="2" t="s">
        <v>51268</v>
      </c>
      <c r="G5260" s="3" t="s">
        <v>64</v>
      </c>
      <c r="I5260" s="3" t="s">
        <v>128</v>
      </c>
      <c r="J5260" s="3" t="s">
        <v>64</v>
      </c>
      <c r="K5260" s="3" t="s">
        <v>65</v>
      </c>
      <c r="L5260" s="2" t="s">
        <v>51269</v>
      </c>
      <c r="M5260" s="2" t="s">
        <v>51270</v>
      </c>
      <c r="N5260" s="3" t="s">
        <v>144</v>
      </c>
      <c r="P5260" s="3" t="s">
        <v>102</v>
      </c>
      <c r="Q5260" s="2" t="s">
        <v>8981</v>
      </c>
      <c r="R5260" s="3" t="s">
        <v>49178</v>
      </c>
      <c r="S5260" s="4">
        <v>5</v>
      </c>
      <c r="T5260" s="4">
        <v>12</v>
      </c>
      <c r="U5260" s="5" t="s">
        <v>5146</v>
      </c>
      <c r="V5260" s="5" t="s">
        <v>5146</v>
      </c>
      <c r="W5260" s="5" t="s">
        <v>72</v>
      </c>
      <c r="X5260" s="5" t="s">
        <v>72</v>
      </c>
      <c r="Y5260" s="4">
        <v>206</v>
      </c>
      <c r="Z5260" s="4">
        <v>18</v>
      </c>
      <c r="AA5260" s="4">
        <v>24</v>
      </c>
      <c r="AB5260" s="4">
        <v>1</v>
      </c>
      <c r="AC5260" s="4">
        <v>6</v>
      </c>
      <c r="AD5260" s="4">
        <v>43</v>
      </c>
      <c r="AE5260" s="4">
        <v>52</v>
      </c>
      <c r="AF5260" s="4">
        <v>0</v>
      </c>
      <c r="AG5260" s="4">
        <v>2</v>
      </c>
      <c r="AH5260" s="4">
        <v>37</v>
      </c>
      <c r="AI5260" s="4">
        <v>44</v>
      </c>
      <c r="AJ5260" s="4">
        <v>8</v>
      </c>
      <c r="AK5260" s="4">
        <v>10</v>
      </c>
      <c r="AL5260" s="4">
        <v>23</v>
      </c>
      <c r="AM5260" s="4">
        <v>26</v>
      </c>
      <c r="AN5260" s="4">
        <v>0</v>
      </c>
      <c r="AO5260" s="4">
        <v>0</v>
      </c>
      <c r="AP5260" s="4">
        <v>10</v>
      </c>
      <c r="AQ5260" s="4">
        <v>12</v>
      </c>
      <c r="AR5260" s="3" t="s">
        <v>64</v>
      </c>
      <c r="AS5260" s="3" t="s">
        <v>64</v>
      </c>
      <c r="AT5260" s="3" t="s">
        <v>128</v>
      </c>
      <c r="AU5260" s="6" t="str">
        <f>HYPERLINK("http://catalog.hathitrust.org/Record/005910121","HathiTrust Record")</f>
        <v>HathiTrust Record</v>
      </c>
      <c r="AV5260" s="6" t="str">
        <f>HYPERLINK("http://mcgill.on.worldcat.org/oclc/232713009","Catalog Record")</f>
        <v>Catalog Record</v>
      </c>
      <c r="AW5260" s="6" t="str">
        <f>HYPERLINK("http://www.worldcat.org/oclc/232713009","WorldCat Record")</f>
        <v>WorldCat Record</v>
      </c>
      <c r="AX5260" s="3" t="s">
        <v>51272</v>
      </c>
      <c r="AY5260" s="3" t="s">
        <v>51273</v>
      </c>
      <c r="AZ5260" s="3" t="s">
        <v>51274</v>
      </c>
      <c r="BA5260" s="3" t="s">
        <v>51274</v>
      </c>
      <c r="BB5260" s="3" t="s">
        <v>51278</v>
      </c>
      <c r="BC5260" s="3" t="s">
        <v>77</v>
      </c>
      <c r="BD5260" s="3" t="s">
        <v>78</v>
      </c>
      <c r="BE5260" s="3" t="s">
        <v>51276</v>
      </c>
      <c r="BF5260" s="3" t="s">
        <v>51278</v>
      </c>
      <c r="BG5260" s="3" t="s">
        <v>51279</v>
      </c>
      <c r="BH5260">
        <f t="shared" si="164"/>
        <v>0</v>
      </c>
    </row>
    <row r="5261" spans="1:60" ht="58" x14ac:dyDescent="0.35">
      <c r="A5261" s="2" t="s">
        <v>59</v>
      </c>
      <c r="B5261" s="2" t="s">
        <v>60</v>
      </c>
      <c r="C5261" s="2" t="s">
        <v>51280</v>
      </c>
      <c r="D5261" s="2" t="s">
        <v>51281</v>
      </c>
      <c r="E5261" s="2" t="s">
        <v>51282</v>
      </c>
      <c r="G5261" s="3" t="s">
        <v>64</v>
      </c>
      <c r="I5261" s="3" t="s">
        <v>64</v>
      </c>
      <c r="J5261" s="3" t="s">
        <v>64</v>
      </c>
      <c r="K5261" s="3" t="s">
        <v>65</v>
      </c>
      <c r="L5261" s="2" t="s">
        <v>51283</v>
      </c>
      <c r="M5261" s="2" t="s">
        <v>51284</v>
      </c>
      <c r="N5261" s="3" t="s">
        <v>190</v>
      </c>
      <c r="P5261" s="3" t="s">
        <v>102</v>
      </c>
      <c r="R5261" s="3" t="s">
        <v>49178</v>
      </c>
      <c r="S5261" s="4">
        <v>1</v>
      </c>
      <c r="T5261" s="4">
        <v>1</v>
      </c>
      <c r="U5261" s="5" t="s">
        <v>18301</v>
      </c>
      <c r="V5261" s="5" t="s">
        <v>18301</v>
      </c>
      <c r="W5261" s="5" t="s">
        <v>72</v>
      </c>
      <c r="X5261" s="5" t="s">
        <v>72</v>
      </c>
      <c r="Y5261" s="4">
        <v>28</v>
      </c>
      <c r="Z5261" s="4">
        <v>2</v>
      </c>
      <c r="AA5261" s="4">
        <v>4</v>
      </c>
      <c r="AB5261" s="4">
        <v>1</v>
      </c>
      <c r="AC5261" s="4">
        <v>3</v>
      </c>
      <c r="AD5261" s="4">
        <v>11</v>
      </c>
      <c r="AE5261" s="4">
        <v>13</v>
      </c>
      <c r="AF5261" s="4">
        <v>0</v>
      </c>
      <c r="AG5261" s="4">
        <v>0</v>
      </c>
      <c r="AH5261" s="4">
        <v>11</v>
      </c>
      <c r="AI5261" s="4">
        <v>12</v>
      </c>
      <c r="AJ5261" s="4">
        <v>1</v>
      </c>
      <c r="AK5261" s="4">
        <v>1</v>
      </c>
      <c r="AL5261" s="4">
        <v>6</v>
      </c>
      <c r="AM5261" s="4">
        <v>7</v>
      </c>
      <c r="AN5261" s="4">
        <v>0</v>
      </c>
      <c r="AO5261" s="4">
        <v>0</v>
      </c>
      <c r="AP5261" s="4">
        <v>1</v>
      </c>
      <c r="AQ5261" s="4">
        <v>1</v>
      </c>
      <c r="AR5261" s="3" t="s">
        <v>64</v>
      </c>
      <c r="AS5261" s="3" t="s">
        <v>64</v>
      </c>
      <c r="AT5261" s="3" t="s">
        <v>64</v>
      </c>
      <c r="AV5261" s="6" t="str">
        <f>HYPERLINK("http://mcgill.on.worldcat.org/oclc/1041879175","Catalog Record")</f>
        <v>Catalog Record</v>
      </c>
      <c r="AW5261" s="6" t="str">
        <f>HYPERLINK("http://www.worldcat.org/oclc/1041879175","WorldCat Record")</f>
        <v>WorldCat Record</v>
      </c>
      <c r="AX5261" s="3" t="s">
        <v>51285</v>
      </c>
      <c r="AY5261" s="3" t="s">
        <v>51286</v>
      </c>
      <c r="AZ5261" s="3" t="s">
        <v>51287</v>
      </c>
      <c r="BA5261" s="3" t="s">
        <v>51287</v>
      </c>
      <c r="BB5261" s="3" t="s">
        <v>51288</v>
      </c>
      <c r="BC5261" s="3" t="s">
        <v>77</v>
      </c>
      <c r="BD5261" s="3" t="s">
        <v>78</v>
      </c>
      <c r="BE5261" s="3" t="s">
        <v>51289</v>
      </c>
      <c r="BF5261" s="3" t="s">
        <v>51288</v>
      </c>
      <c r="BG5261" s="3" t="s">
        <v>51290</v>
      </c>
      <c r="BH5261">
        <f t="shared" si="164"/>
        <v>0</v>
      </c>
    </row>
    <row r="5262" spans="1:60" ht="58" x14ac:dyDescent="0.35">
      <c r="A5262" s="2" t="s">
        <v>59</v>
      </c>
      <c r="B5262" s="2" t="s">
        <v>60</v>
      </c>
      <c r="C5262" s="2" t="s">
        <v>51291</v>
      </c>
      <c r="D5262" s="2" t="s">
        <v>51292</v>
      </c>
      <c r="E5262" s="2" t="s">
        <v>51293</v>
      </c>
      <c r="G5262" s="3" t="s">
        <v>64</v>
      </c>
      <c r="I5262" s="3" t="s">
        <v>64</v>
      </c>
      <c r="J5262" s="3" t="s">
        <v>64</v>
      </c>
      <c r="K5262" s="3" t="s">
        <v>65</v>
      </c>
      <c r="L5262" s="2" t="s">
        <v>51294</v>
      </c>
      <c r="M5262" s="2" t="s">
        <v>16525</v>
      </c>
      <c r="N5262" s="3" t="s">
        <v>190</v>
      </c>
      <c r="P5262" s="3" t="s">
        <v>102</v>
      </c>
      <c r="R5262" s="3" t="s">
        <v>49178</v>
      </c>
      <c r="S5262" s="4">
        <v>2</v>
      </c>
      <c r="T5262" s="4">
        <v>2</v>
      </c>
      <c r="U5262" s="5" t="s">
        <v>11860</v>
      </c>
      <c r="V5262" s="5" t="s">
        <v>11860</v>
      </c>
      <c r="W5262" s="5" t="s">
        <v>72</v>
      </c>
      <c r="X5262" s="5" t="s">
        <v>72</v>
      </c>
      <c r="Y5262" s="4">
        <v>138</v>
      </c>
      <c r="Z5262" s="4">
        <v>1</v>
      </c>
      <c r="AA5262" s="4">
        <v>6</v>
      </c>
      <c r="AB5262" s="4">
        <v>1</v>
      </c>
      <c r="AC5262" s="4">
        <v>4</v>
      </c>
      <c r="AD5262" s="4">
        <v>22</v>
      </c>
      <c r="AE5262" s="4">
        <v>32</v>
      </c>
      <c r="AF5262" s="4">
        <v>0</v>
      </c>
      <c r="AG5262" s="4">
        <v>1</v>
      </c>
      <c r="AH5262" s="4">
        <v>22</v>
      </c>
      <c r="AI5262" s="4">
        <v>29</v>
      </c>
      <c r="AJ5262" s="4">
        <v>0</v>
      </c>
      <c r="AK5262" s="4">
        <v>2</v>
      </c>
      <c r="AL5262" s="4">
        <v>11</v>
      </c>
      <c r="AM5262" s="4">
        <v>15</v>
      </c>
      <c r="AN5262" s="4">
        <v>0</v>
      </c>
      <c r="AO5262" s="4">
        <v>0</v>
      </c>
      <c r="AP5262" s="4">
        <v>0</v>
      </c>
      <c r="AQ5262" s="4">
        <v>3</v>
      </c>
      <c r="AR5262" s="3" t="s">
        <v>64</v>
      </c>
      <c r="AS5262" s="3" t="s">
        <v>64</v>
      </c>
      <c r="AT5262" s="3" t="s">
        <v>64</v>
      </c>
      <c r="AV5262" s="6" t="str">
        <f>HYPERLINK("http://mcgill.on.worldcat.org/oclc/1056250402","Catalog Record")</f>
        <v>Catalog Record</v>
      </c>
      <c r="AW5262" s="6" t="str">
        <f>HYPERLINK("http://www.worldcat.org/oclc/1056250402","WorldCat Record")</f>
        <v>WorldCat Record</v>
      </c>
      <c r="AX5262" s="3" t="s">
        <v>51295</v>
      </c>
      <c r="AY5262" s="3" t="s">
        <v>51296</v>
      </c>
      <c r="AZ5262" s="3" t="s">
        <v>51297</v>
      </c>
      <c r="BA5262" s="3" t="s">
        <v>51297</v>
      </c>
      <c r="BB5262" s="3" t="s">
        <v>51298</v>
      </c>
      <c r="BC5262" s="3" t="s">
        <v>77</v>
      </c>
      <c r="BD5262" s="3" t="s">
        <v>78</v>
      </c>
      <c r="BE5262" s="3" t="s">
        <v>51299</v>
      </c>
      <c r="BF5262" s="3" t="s">
        <v>51298</v>
      </c>
      <c r="BG5262" s="3" t="s">
        <v>51300</v>
      </c>
      <c r="BH5262">
        <f t="shared" si="164"/>
        <v>0</v>
      </c>
    </row>
    <row r="5263" spans="1:60" ht="58" x14ac:dyDescent="0.35">
      <c r="A5263" s="2" t="s">
        <v>59</v>
      </c>
      <c r="B5263" s="2" t="s">
        <v>60</v>
      </c>
      <c r="C5263" s="2" t="s">
        <v>51301</v>
      </c>
      <c r="D5263" s="2" t="s">
        <v>51302</v>
      </c>
      <c r="E5263" s="2" t="s">
        <v>51303</v>
      </c>
      <c r="G5263" s="3" t="s">
        <v>64</v>
      </c>
      <c r="I5263" s="3" t="s">
        <v>64</v>
      </c>
      <c r="J5263" s="3" t="s">
        <v>64</v>
      </c>
      <c r="K5263" s="3" t="s">
        <v>65</v>
      </c>
      <c r="M5263" s="2" t="s">
        <v>51304</v>
      </c>
      <c r="N5263" s="3" t="s">
        <v>1075</v>
      </c>
      <c r="P5263" s="3" t="s">
        <v>102</v>
      </c>
      <c r="Q5263" s="2" t="s">
        <v>51305</v>
      </c>
      <c r="R5263" s="3" t="s">
        <v>49178</v>
      </c>
      <c r="S5263" s="4">
        <v>0</v>
      </c>
      <c r="T5263" s="4">
        <v>0</v>
      </c>
      <c r="W5263" s="5" t="s">
        <v>72</v>
      </c>
      <c r="X5263" s="5" t="s">
        <v>72</v>
      </c>
      <c r="Y5263" s="4">
        <v>111</v>
      </c>
      <c r="Z5263" s="4">
        <v>7</v>
      </c>
      <c r="AA5263" s="4">
        <v>9</v>
      </c>
      <c r="AB5263" s="4">
        <v>1</v>
      </c>
      <c r="AC5263" s="4">
        <v>3</v>
      </c>
      <c r="AD5263" s="4">
        <v>36</v>
      </c>
      <c r="AE5263" s="4">
        <v>38</v>
      </c>
      <c r="AF5263" s="4">
        <v>0</v>
      </c>
      <c r="AG5263" s="4">
        <v>1</v>
      </c>
      <c r="AH5263" s="4">
        <v>32</v>
      </c>
      <c r="AI5263" s="4">
        <v>33</v>
      </c>
      <c r="AJ5263" s="4">
        <v>4</v>
      </c>
      <c r="AK5263" s="4">
        <v>5</v>
      </c>
      <c r="AL5263" s="4">
        <v>19</v>
      </c>
      <c r="AM5263" s="4">
        <v>20</v>
      </c>
      <c r="AN5263" s="4">
        <v>0</v>
      </c>
      <c r="AO5263" s="4">
        <v>0</v>
      </c>
      <c r="AP5263" s="4">
        <v>5</v>
      </c>
      <c r="AQ5263" s="4">
        <v>5</v>
      </c>
      <c r="AR5263" s="3" t="s">
        <v>64</v>
      </c>
      <c r="AS5263" s="3" t="s">
        <v>64</v>
      </c>
      <c r="AT5263" s="3" t="s">
        <v>64</v>
      </c>
      <c r="AV5263" s="6" t="str">
        <f>HYPERLINK("http://mcgill.on.worldcat.org/oclc/845349634","Catalog Record")</f>
        <v>Catalog Record</v>
      </c>
      <c r="AW5263" s="6" t="str">
        <f>HYPERLINK("http://www.worldcat.org/oclc/845349634","WorldCat Record")</f>
        <v>WorldCat Record</v>
      </c>
      <c r="AX5263" s="3" t="s">
        <v>51306</v>
      </c>
      <c r="AY5263" s="3" t="s">
        <v>51307</v>
      </c>
      <c r="AZ5263" s="3" t="s">
        <v>51308</v>
      </c>
      <c r="BA5263" s="3" t="s">
        <v>51308</v>
      </c>
      <c r="BB5263" s="3" t="s">
        <v>51309</v>
      </c>
      <c r="BC5263" s="3" t="s">
        <v>77</v>
      </c>
      <c r="BD5263" s="3" t="s">
        <v>78</v>
      </c>
      <c r="BE5263" s="3" t="s">
        <v>51310</v>
      </c>
      <c r="BF5263" s="3" t="s">
        <v>51309</v>
      </c>
      <c r="BG5263" s="3" t="s">
        <v>51311</v>
      </c>
      <c r="BH5263">
        <f t="shared" si="164"/>
        <v>0</v>
      </c>
    </row>
    <row r="5264" spans="1:60" ht="58" x14ac:dyDescent="0.35">
      <c r="A5264" s="2" t="s">
        <v>59</v>
      </c>
      <c r="B5264" s="2" t="s">
        <v>60</v>
      </c>
      <c r="C5264" s="2" t="s">
        <v>51312</v>
      </c>
      <c r="D5264" s="2" t="s">
        <v>51313</v>
      </c>
      <c r="E5264" s="2" t="s">
        <v>51314</v>
      </c>
      <c r="G5264" s="3" t="s">
        <v>64</v>
      </c>
      <c r="I5264" s="3" t="s">
        <v>64</v>
      </c>
      <c r="J5264" s="3" t="s">
        <v>64</v>
      </c>
      <c r="K5264" s="3" t="s">
        <v>65</v>
      </c>
      <c r="L5264" s="2" t="s">
        <v>51315</v>
      </c>
      <c r="M5264" s="2" t="s">
        <v>14840</v>
      </c>
      <c r="N5264" s="3" t="s">
        <v>511</v>
      </c>
      <c r="P5264" s="3" t="s">
        <v>102</v>
      </c>
      <c r="Q5264" s="2" t="s">
        <v>51316</v>
      </c>
      <c r="R5264" s="3" t="s">
        <v>49178</v>
      </c>
      <c r="S5264" s="4">
        <v>2</v>
      </c>
      <c r="T5264" s="4">
        <v>2</v>
      </c>
      <c r="U5264" s="5" t="s">
        <v>51317</v>
      </c>
      <c r="V5264" s="5" t="s">
        <v>51317</v>
      </c>
      <c r="W5264" s="5" t="s">
        <v>72</v>
      </c>
      <c r="X5264" s="5" t="s">
        <v>72</v>
      </c>
      <c r="Y5264" s="4">
        <v>311</v>
      </c>
      <c r="Z5264" s="4">
        <v>14</v>
      </c>
      <c r="AA5264" s="4">
        <v>16</v>
      </c>
      <c r="AB5264" s="4">
        <v>1</v>
      </c>
      <c r="AC5264" s="4">
        <v>3</v>
      </c>
      <c r="AD5264" s="4">
        <v>59</v>
      </c>
      <c r="AE5264" s="4">
        <v>60</v>
      </c>
      <c r="AF5264" s="4">
        <v>0</v>
      </c>
      <c r="AG5264" s="4">
        <v>1</v>
      </c>
      <c r="AH5264" s="4">
        <v>52</v>
      </c>
      <c r="AI5264" s="4">
        <v>52</v>
      </c>
      <c r="AJ5264" s="4">
        <v>9</v>
      </c>
      <c r="AK5264" s="4">
        <v>10</v>
      </c>
      <c r="AL5264" s="4">
        <v>25</v>
      </c>
      <c r="AM5264" s="4">
        <v>25</v>
      </c>
      <c r="AN5264" s="4">
        <v>0</v>
      </c>
      <c r="AO5264" s="4">
        <v>0</v>
      </c>
      <c r="AP5264" s="4">
        <v>12</v>
      </c>
      <c r="AQ5264" s="4">
        <v>12</v>
      </c>
      <c r="AR5264" s="3" t="s">
        <v>64</v>
      </c>
      <c r="AS5264" s="3" t="s">
        <v>64</v>
      </c>
      <c r="AT5264" s="3" t="s">
        <v>64</v>
      </c>
      <c r="AV5264" s="6" t="str">
        <f>HYPERLINK("http://mcgill.on.worldcat.org/oclc/436310944","Catalog Record")</f>
        <v>Catalog Record</v>
      </c>
      <c r="AW5264" s="6" t="str">
        <f>HYPERLINK("http://www.worldcat.org/oclc/436310944","WorldCat Record")</f>
        <v>WorldCat Record</v>
      </c>
      <c r="AX5264" s="3" t="s">
        <v>51318</v>
      </c>
      <c r="AY5264" s="3" t="s">
        <v>51319</v>
      </c>
      <c r="AZ5264" s="3" t="s">
        <v>51320</v>
      </c>
      <c r="BA5264" s="3" t="s">
        <v>51320</v>
      </c>
      <c r="BB5264" s="3" t="s">
        <v>51321</v>
      </c>
      <c r="BC5264" s="3" t="s">
        <v>77</v>
      </c>
      <c r="BD5264" s="3" t="s">
        <v>78</v>
      </c>
      <c r="BE5264" s="3" t="s">
        <v>51322</v>
      </c>
      <c r="BF5264" s="3" t="s">
        <v>51321</v>
      </c>
      <c r="BG5264" s="3" t="s">
        <v>51323</v>
      </c>
      <c r="BH5264">
        <f t="shared" si="164"/>
        <v>0</v>
      </c>
    </row>
    <row r="5265" spans="1:60" ht="58" x14ac:dyDescent="0.35">
      <c r="A5265" s="2" t="s">
        <v>59</v>
      </c>
      <c r="B5265" s="2" t="s">
        <v>60</v>
      </c>
      <c r="C5265" s="2" t="s">
        <v>51324</v>
      </c>
      <c r="D5265" s="2" t="s">
        <v>51325</v>
      </c>
      <c r="E5265" s="2" t="s">
        <v>51326</v>
      </c>
      <c r="G5265" s="3" t="s">
        <v>64</v>
      </c>
      <c r="I5265" s="3" t="s">
        <v>64</v>
      </c>
      <c r="J5265" s="3" t="s">
        <v>64</v>
      </c>
      <c r="K5265" s="3" t="s">
        <v>65</v>
      </c>
      <c r="M5265" s="2" t="s">
        <v>51327</v>
      </c>
      <c r="N5265" s="3" t="s">
        <v>578</v>
      </c>
      <c r="P5265" s="3" t="s">
        <v>102</v>
      </c>
      <c r="R5265" s="3" t="s">
        <v>49178</v>
      </c>
      <c r="S5265" s="4">
        <v>0</v>
      </c>
      <c r="T5265" s="4">
        <v>0</v>
      </c>
      <c r="W5265" s="5" t="s">
        <v>72</v>
      </c>
      <c r="X5265" s="5" t="s">
        <v>72</v>
      </c>
      <c r="Y5265" s="4">
        <v>22</v>
      </c>
      <c r="Z5265" s="4">
        <v>2</v>
      </c>
      <c r="AA5265" s="4">
        <v>68</v>
      </c>
      <c r="AB5265" s="4">
        <v>1</v>
      </c>
      <c r="AC5265" s="4">
        <v>14</v>
      </c>
      <c r="AD5265" s="4">
        <v>9</v>
      </c>
      <c r="AE5265" s="4">
        <v>71</v>
      </c>
      <c r="AF5265" s="4">
        <v>0</v>
      </c>
      <c r="AG5265" s="4">
        <v>8</v>
      </c>
      <c r="AH5265" s="4">
        <v>8</v>
      </c>
      <c r="AI5265" s="4">
        <v>44</v>
      </c>
      <c r="AJ5265" s="4">
        <v>1</v>
      </c>
      <c r="AK5265" s="4">
        <v>16</v>
      </c>
      <c r="AL5265" s="4">
        <v>7</v>
      </c>
      <c r="AM5265" s="4">
        <v>22</v>
      </c>
      <c r="AN5265" s="4">
        <v>0</v>
      </c>
      <c r="AO5265" s="4">
        <v>0</v>
      </c>
      <c r="AP5265" s="4">
        <v>1</v>
      </c>
      <c r="AQ5265" s="4">
        <v>32</v>
      </c>
      <c r="AR5265" s="3" t="s">
        <v>64</v>
      </c>
      <c r="AS5265" s="3" t="s">
        <v>64</v>
      </c>
      <c r="AT5265" s="3" t="s">
        <v>64</v>
      </c>
      <c r="AV5265" s="6" t="str">
        <f>HYPERLINK("http://mcgill.on.worldcat.org/oclc/995320283","Catalog Record")</f>
        <v>Catalog Record</v>
      </c>
      <c r="AW5265" s="6" t="str">
        <f>HYPERLINK("http://www.worldcat.org/oclc/995320283","WorldCat Record")</f>
        <v>WorldCat Record</v>
      </c>
      <c r="AX5265" s="3" t="s">
        <v>51328</v>
      </c>
      <c r="AY5265" s="3" t="s">
        <v>51329</v>
      </c>
      <c r="AZ5265" s="3" t="s">
        <v>51330</v>
      </c>
      <c r="BA5265" s="3" t="s">
        <v>51330</v>
      </c>
      <c r="BB5265" s="3" t="s">
        <v>51331</v>
      </c>
      <c r="BC5265" s="3" t="s">
        <v>77</v>
      </c>
      <c r="BD5265" s="3" t="s">
        <v>78</v>
      </c>
      <c r="BE5265" s="3" t="s">
        <v>51332</v>
      </c>
      <c r="BF5265" s="3" t="s">
        <v>51331</v>
      </c>
      <c r="BG5265" s="3" t="s">
        <v>51333</v>
      </c>
      <c r="BH5265">
        <f t="shared" si="164"/>
        <v>0</v>
      </c>
    </row>
    <row r="5266" spans="1:60" ht="58" x14ac:dyDescent="0.35">
      <c r="A5266" s="2" t="s">
        <v>59</v>
      </c>
      <c r="B5266" s="2" t="s">
        <v>60</v>
      </c>
      <c r="C5266" s="2" t="s">
        <v>51334</v>
      </c>
      <c r="D5266" s="2" t="s">
        <v>51335</v>
      </c>
      <c r="E5266" s="2" t="s">
        <v>51336</v>
      </c>
      <c r="G5266" s="3" t="s">
        <v>64</v>
      </c>
      <c r="I5266" s="3" t="s">
        <v>64</v>
      </c>
      <c r="J5266" s="3" t="s">
        <v>128</v>
      </c>
      <c r="K5266" s="3" t="s">
        <v>65</v>
      </c>
      <c r="M5266" s="2" t="s">
        <v>51337</v>
      </c>
      <c r="N5266" s="3" t="s">
        <v>326</v>
      </c>
      <c r="O5266" s="2" t="s">
        <v>21773</v>
      </c>
      <c r="P5266" s="3" t="s">
        <v>102</v>
      </c>
      <c r="R5266" s="3" t="s">
        <v>49178</v>
      </c>
      <c r="S5266" s="4">
        <v>0</v>
      </c>
      <c r="T5266" s="4">
        <v>0</v>
      </c>
      <c r="W5266" s="5" t="s">
        <v>72</v>
      </c>
      <c r="X5266" s="5" t="s">
        <v>72</v>
      </c>
      <c r="Y5266" s="4">
        <v>84</v>
      </c>
      <c r="Z5266" s="4">
        <v>9</v>
      </c>
      <c r="AA5266" s="4">
        <v>11</v>
      </c>
      <c r="AB5266" s="4">
        <v>1</v>
      </c>
      <c r="AC5266" s="4">
        <v>1</v>
      </c>
      <c r="AD5266" s="4">
        <v>28</v>
      </c>
      <c r="AE5266" s="4">
        <v>33</v>
      </c>
      <c r="AF5266" s="4">
        <v>0</v>
      </c>
      <c r="AG5266" s="4">
        <v>0</v>
      </c>
      <c r="AH5266" s="4">
        <v>26</v>
      </c>
      <c r="AI5266" s="4">
        <v>31</v>
      </c>
      <c r="AJ5266" s="4">
        <v>6</v>
      </c>
      <c r="AK5266" s="4">
        <v>7</v>
      </c>
      <c r="AL5266" s="4">
        <v>12</v>
      </c>
      <c r="AM5266" s="4">
        <v>15</v>
      </c>
      <c r="AN5266" s="4">
        <v>0</v>
      </c>
      <c r="AO5266" s="4">
        <v>0</v>
      </c>
      <c r="AP5266" s="4">
        <v>6</v>
      </c>
      <c r="AQ5266" s="4">
        <v>7</v>
      </c>
      <c r="AR5266" s="3" t="s">
        <v>64</v>
      </c>
      <c r="AS5266" s="3" t="s">
        <v>64</v>
      </c>
      <c r="AT5266" s="3" t="s">
        <v>64</v>
      </c>
      <c r="AV5266" s="6" t="str">
        <f>HYPERLINK("http://mcgill.on.worldcat.org/oclc/701209006","Catalog Record")</f>
        <v>Catalog Record</v>
      </c>
      <c r="AW5266" s="6" t="str">
        <f>HYPERLINK("http://www.worldcat.org/oclc/701209006","WorldCat Record")</f>
        <v>WorldCat Record</v>
      </c>
      <c r="AX5266" s="3" t="s">
        <v>51338</v>
      </c>
      <c r="AY5266" s="3" t="s">
        <v>51339</v>
      </c>
      <c r="AZ5266" s="3" t="s">
        <v>51340</v>
      </c>
      <c r="BA5266" s="3" t="s">
        <v>51340</v>
      </c>
      <c r="BB5266" s="3" t="s">
        <v>51341</v>
      </c>
      <c r="BC5266" s="3" t="s">
        <v>77</v>
      </c>
      <c r="BD5266" s="3" t="s">
        <v>78</v>
      </c>
      <c r="BE5266" s="3" t="s">
        <v>51342</v>
      </c>
      <c r="BF5266" s="3" t="s">
        <v>51341</v>
      </c>
      <c r="BG5266" s="3" t="s">
        <v>51343</v>
      </c>
      <c r="BH5266">
        <f t="shared" si="164"/>
        <v>0</v>
      </c>
    </row>
    <row r="5267" spans="1:60" ht="58" x14ac:dyDescent="0.35">
      <c r="A5267" s="2" t="s">
        <v>59</v>
      </c>
      <c r="B5267" s="2" t="s">
        <v>60</v>
      </c>
      <c r="C5267" s="2" t="s">
        <v>51344</v>
      </c>
      <c r="D5267" s="2" t="s">
        <v>51345</v>
      </c>
      <c r="E5267" s="2" t="s">
        <v>51346</v>
      </c>
      <c r="G5267" s="3" t="s">
        <v>64</v>
      </c>
      <c r="I5267" s="3" t="s">
        <v>64</v>
      </c>
      <c r="J5267" s="3" t="s">
        <v>128</v>
      </c>
      <c r="K5267" s="3" t="s">
        <v>65</v>
      </c>
      <c r="M5267" s="2" t="s">
        <v>51347</v>
      </c>
      <c r="N5267" s="3" t="s">
        <v>86</v>
      </c>
      <c r="O5267" s="2" t="s">
        <v>51348</v>
      </c>
      <c r="P5267" s="3" t="s">
        <v>102</v>
      </c>
      <c r="R5267" s="3" t="s">
        <v>49178</v>
      </c>
      <c r="S5267" s="4">
        <v>0</v>
      </c>
      <c r="T5267" s="4">
        <v>0</v>
      </c>
      <c r="W5267" s="5" t="s">
        <v>72</v>
      </c>
      <c r="X5267" s="5" t="s">
        <v>72</v>
      </c>
      <c r="Y5267" s="4">
        <v>34</v>
      </c>
      <c r="Z5267" s="4">
        <v>5</v>
      </c>
      <c r="AA5267" s="4">
        <v>11</v>
      </c>
      <c r="AB5267" s="4">
        <v>1</v>
      </c>
      <c r="AC5267" s="4">
        <v>1</v>
      </c>
      <c r="AD5267" s="4">
        <v>10</v>
      </c>
      <c r="AE5267" s="4">
        <v>33</v>
      </c>
      <c r="AF5267" s="4">
        <v>0</v>
      </c>
      <c r="AG5267" s="4">
        <v>0</v>
      </c>
      <c r="AH5267" s="4">
        <v>10</v>
      </c>
      <c r="AI5267" s="4">
        <v>31</v>
      </c>
      <c r="AJ5267" s="4">
        <v>3</v>
      </c>
      <c r="AK5267" s="4">
        <v>7</v>
      </c>
      <c r="AL5267" s="4">
        <v>6</v>
      </c>
      <c r="AM5267" s="4">
        <v>15</v>
      </c>
      <c r="AN5267" s="4">
        <v>0</v>
      </c>
      <c r="AO5267" s="4">
        <v>0</v>
      </c>
      <c r="AP5267" s="4">
        <v>3</v>
      </c>
      <c r="AQ5267" s="4">
        <v>7</v>
      </c>
      <c r="AR5267" s="3" t="s">
        <v>64</v>
      </c>
      <c r="AS5267" s="3" t="s">
        <v>64</v>
      </c>
      <c r="AT5267" s="3" t="s">
        <v>64</v>
      </c>
      <c r="AV5267" s="6" t="str">
        <f>HYPERLINK("http://mcgill.on.worldcat.org/oclc/808416548","Catalog Record")</f>
        <v>Catalog Record</v>
      </c>
      <c r="AW5267" s="6" t="str">
        <f>HYPERLINK("http://www.worldcat.org/oclc/808416548","WorldCat Record")</f>
        <v>WorldCat Record</v>
      </c>
      <c r="AX5267" s="3" t="s">
        <v>51338</v>
      </c>
      <c r="AY5267" s="3" t="s">
        <v>51349</v>
      </c>
      <c r="AZ5267" s="3" t="s">
        <v>51350</v>
      </c>
      <c r="BA5267" s="3" t="s">
        <v>51350</v>
      </c>
      <c r="BB5267" s="3" t="s">
        <v>51351</v>
      </c>
      <c r="BC5267" s="3" t="s">
        <v>77</v>
      </c>
      <c r="BD5267" s="3" t="s">
        <v>78</v>
      </c>
      <c r="BE5267" s="3" t="s">
        <v>51352</v>
      </c>
      <c r="BF5267" s="3" t="s">
        <v>51351</v>
      </c>
      <c r="BG5267" s="3" t="s">
        <v>51353</v>
      </c>
      <c r="BH5267">
        <f t="shared" si="164"/>
        <v>0</v>
      </c>
    </row>
    <row r="5268" spans="1:60" ht="58" x14ac:dyDescent="0.35">
      <c r="A5268" s="2" t="s">
        <v>59</v>
      </c>
      <c r="B5268" s="2" t="s">
        <v>60</v>
      </c>
      <c r="C5268" s="2" t="s">
        <v>51354</v>
      </c>
      <c r="D5268" s="2" t="s">
        <v>51355</v>
      </c>
      <c r="E5268" s="2" t="s">
        <v>51356</v>
      </c>
      <c r="G5268" s="3" t="s">
        <v>64</v>
      </c>
      <c r="I5268" s="3" t="s">
        <v>64</v>
      </c>
      <c r="J5268" s="3" t="s">
        <v>64</v>
      </c>
      <c r="K5268" s="3" t="s">
        <v>65</v>
      </c>
      <c r="M5268" s="2" t="s">
        <v>51357</v>
      </c>
      <c r="N5268" s="3" t="s">
        <v>171</v>
      </c>
      <c r="P5268" s="3" t="s">
        <v>102</v>
      </c>
      <c r="Q5268" s="2" t="s">
        <v>51358</v>
      </c>
      <c r="R5268" s="3" t="s">
        <v>49178</v>
      </c>
      <c r="S5268" s="4">
        <v>2</v>
      </c>
      <c r="T5268" s="4">
        <v>2</v>
      </c>
      <c r="U5268" s="5" t="s">
        <v>9368</v>
      </c>
      <c r="V5268" s="5" t="s">
        <v>9368</v>
      </c>
      <c r="W5268" s="5" t="s">
        <v>72</v>
      </c>
      <c r="X5268" s="5" t="s">
        <v>72</v>
      </c>
      <c r="Y5268" s="4">
        <v>308</v>
      </c>
      <c r="Z5268" s="4">
        <v>27</v>
      </c>
      <c r="AA5268" s="4">
        <v>28</v>
      </c>
      <c r="AB5268" s="4">
        <v>1</v>
      </c>
      <c r="AC5268" s="4">
        <v>1</v>
      </c>
      <c r="AD5268" s="4">
        <v>91</v>
      </c>
      <c r="AE5268" s="4">
        <v>99</v>
      </c>
      <c r="AF5268" s="4">
        <v>0</v>
      </c>
      <c r="AG5268" s="4">
        <v>0</v>
      </c>
      <c r="AH5268" s="4">
        <v>76</v>
      </c>
      <c r="AI5268" s="4">
        <v>83</v>
      </c>
      <c r="AJ5268" s="4">
        <v>16</v>
      </c>
      <c r="AK5268" s="4">
        <v>17</v>
      </c>
      <c r="AL5268" s="4">
        <v>37</v>
      </c>
      <c r="AM5268" s="4">
        <v>42</v>
      </c>
      <c r="AN5268" s="4">
        <v>0</v>
      </c>
      <c r="AO5268" s="4">
        <v>0</v>
      </c>
      <c r="AP5268" s="4">
        <v>23</v>
      </c>
      <c r="AQ5268" s="4">
        <v>24</v>
      </c>
      <c r="AR5268" s="3" t="s">
        <v>64</v>
      </c>
      <c r="AS5268" s="3" t="s">
        <v>64</v>
      </c>
      <c r="AT5268" s="3" t="s">
        <v>64</v>
      </c>
      <c r="AV5268" s="6" t="str">
        <f>HYPERLINK("http://mcgill.on.worldcat.org/oclc/71123217","Catalog Record")</f>
        <v>Catalog Record</v>
      </c>
      <c r="AW5268" s="6" t="str">
        <f>HYPERLINK("http://www.worldcat.org/oclc/71123217","WorldCat Record")</f>
        <v>WorldCat Record</v>
      </c>
      <c r="AX5268" s="3" t="s">
        <v>51359</v>
      </c>
      <c r="AY5268" s="3" t="s">
        <v>51360</v>
      </c>
      <c r="AZ5268" s="3" t="s">
        <v>51361</v>
      </c>
      <c r="BA5268" s="3" t="s">
        <v>51361</v>
      </c>
      <c r="BB5268" s="3" t="s">
        <v>51362</v>
      </c>
      <c r="BC5268" s="3" t="s">
        <v>77</v>
      </c>
      <c r="BD5268" s="3" t="s">
        <v>78</v>
      </c>
      <c r="BE5268" s="3" t="s">
        <v>51363</v>
      </c>
      <c r="BF5268" s="3" t="s">
        <v>51362</v>
      </c>
      <c r="BG5268" s="3" t="s">
        <v>51364</v>
      </c>
      <c r="BH5268">
        <f t="shared" si="164"/>
        <v>0</v>
      </c>
    </row>
    <row r="5269" spans="1:60" ht="58" x14ac:dyDescent="0.35">
      <c r="A5269" s="2" t="s">
        <v>59</v>
      </c>
      <c r="B5269" s="2" t="s">
        <v>60</v>
      </c>
      <c r="C5269" s="2" t="s">
        <v>51365</v>
      </c>
      <c r="D5269" s="2" t="s">
        <v>51366</v>
      </c>
      <c r="E5269" s="2" t="s">
        <v>51367</v>
      </c>
      <c r="G5269" s="3" t="s">
        <v>64</v>
      </c>
      <c r="I5269" s="3" t="s">
        <v>64</v>
      </c>
      <c r="J5269" s="3" t="s">
        <v>64</v>
      </c>
      <c r="K5269" s="3" t="s">
        <v>65</v>
      </c>
      <c r="L5269" s="2" t="s">
        <v>51368</v>
      </c>
      <c r="M5269" s="2" t="s">
        <v>23836</v>
      </c>
      <c r="N5269" s="3" t="s">
        <v>511</v>
      </c>
      <c r="P5269" s="3" t="s">
        <v>68</v>
      </c>
      <c r="Q5269" s="2" t="s">
        <v>18640</v>
      </c>
      <c r="R5269" s="3" t="s">
        <v>49178</v>
      </c>
      <c r="S5269" s="4">
        <v>0</v>
      </c>
      <c r="T5269" s="4">
        <v>0</v>
      </c>
      <c r="W5269" s="5" t="s">
        <v>72</v>
      </c>
      <c r="X5269" s="5" t="s">
        <v>72</v>
      </c>
      <c r="Y5269" s="4">
        <v>28</v>
      </c>
      <c r="Z5269" s="4">
        <v>3</v>
      </c>
      <c r="AA5269" s="4">
        <v>18</v>
      </c>
      <c r="AB5269" s="4">
        <v>2</v>
      </c>
      <c r="AC5269" s="4">
        <v>9</v>
      </c>
      <c r="AD5269" s="4">
        <v>8</v>
      </c>
      <c r="AE5269" s="4">
        <v>19</v>
      </c>
      <c r="AF5269" s="4">
        <v>0</v>
      </c>
      <c r="AG5269" s="4">
        <v>6</v>
      </c>
      <c r="AH5269" s="4">
        <v>6</v>
      </c>
      <c r="AI5269" s="4">
        <v>10</v>
      </c>
      <c r="AJ5269" s="4">
        <v>1</v>
      </c>
      <c r="AK5269" s="4">
        <v>9</v>
      </c>
      <c r="AL5269" s="4">
        <v>6</v>
      </c>
      <c r="AM5269" s="4">
        <v>7</v>
      </c>
      <c r="AN5269" s="4">
        <v>0</v>
      </c>
      <c r="AO5269" s="4">
        <v>0</v>
      </c>
      <c r="AP5269" s="4">
        <v>1</v>
      </c>
      <c r="AQ5269" s="4">
        <v>10</v>
      </c>
      <c r="AR5269" s="3" t="s">
        <v>64</v>
      </c>
      <c r="AS5269" s="3" t="s">
        <v>64</v>
      </c>
      <c r="AT5269" s="3" t="s">
        <v>64</v>
      </c>
      <c r="AV5269" s="6" t="str">
        <f>HYPERLINK("http://mcgill.on.worldcat.org/oclc/641955209","Catalog Record")</f>
        <v>Catalog Record</v>
      </c>
      <c r="AW5269" s="6" t="str">
        <f>HYPERLINK("http://www.worldcat.org/oclc/641955209","WorldCat Record")</f>
        <v>WorldCat Record</v>
      </c>
      <c r="AX5269" s="3" t="s">
        <v>51369</v>
      </c>
      <c r="AY5269" s="3" t="s">
        <v>51370</v>
      </c>
      <c r="AZ5269" s="3" t="s">
        <v>51371</v>
      </c>
      <c r="BA5269" s="3" t="s">
        <v>51371</v>
      </c>
      <c r="BB5269" s="3" t="s">
        <v>51372</v>
      </c>
      <c r="BC5269" s="3" t="s">
        <v>77</v>
      </c>
      <c r="BD5269" s="3" t="s">
        <v>78</v>
      </c>
      <c r="BE5269" s="3" t="s">
        <v>51373</v>
      </c>
      <c r="BF5269" s="3" t="s">
        <v>51372</v>
      </c>
      <c r="BG5269" s="3" t="s">
        <v>51374</v>
      </c>
      <c r="BH5269">
        <f t="shared" si="164"/>
        <v>0</v>
      </c>
    </row>
    <row r="5270" spans="1:60" ht="58" x14ac:dyDescent="0.35">
      <c r="A5270" s="2" t="s">
        <v>59</v>
      </c>
      <c r="B5270" s="2" t="s">
        <v>60</v>
      </c>
      <c r="C5270" s="2" t="s">
        <v>51375</v>
      </c>
      <c r="D5270" s="2" t="s">
        <v>51376</v>
      </c>
      <c r="E5270" s="2" t="s">
        <v>51377</v>
      </c>
      <c r="G5270" s="3" t="s">
        <v>64</v>
      </c>
      <c r="I5270" s="3" t="s">
        <v>64</v>
      </c>
      <c r="J5270" s="3" t="s">
        <v>64</v>
      </c>
      <c r="K5270" s="3" t="s">
        <v>65</v>
      </c>
      <c r="M5270" s="2" t="s">
        <v>51378</v>
      </c>
      <c r="N5270" s="3" t="s">
        <v>979</v>
      </c>
      <c r="P5270" s="3" t="s">
        <v>102</v>
      </c>
      <c r="Q5270" s="2" t="s">
        <v>51379</v>
      </c>
      <c r="R5270" s="3" t="s">
        <v>49178</v>
      </c>
      <c r="S5270" s="4">
        <v>5</v>
      </c>
      <c r="T5270" s="4">
        <v>5</v>
      </c>
      <c r="U5270" s="5" t="s">
        <v>1351</v>
      </c>
      <c r="V5270" s="5" t="s">
        <v>1351</v>
      </c>
      <c r="W5270" s="5" t="s">
        <v>72</v>
      </c>
      <c r="X5270" s="5" t="s">
        <v>72</v>
      </c>
      <c r="Y5270" s="4">
        <v>158</v>
      </c>
      <c r="Z5270" s="4">
        <v>5</v>
      </c>
      <c r="AA5270" s="4">
        <v>6</v>
      </c>
      <c r="AB5270" s="4">
        <v>2</v>
      </c>
      <c r="AC5270" s="4">
        <v>3</v>
      </c>
      <c r="AD5270" s="4">
        <v>46</v>
      </c>
      <c r="AE5270" s="4">
        <v>47</v>
      </c>
      <c r="AF5270" s="4">
        <v>1</v>
      </c>
      <c r="AG5270" s="4">
        <v>2</v>
      </c>
      <c r="AH5270" s="4">
        <v>44</v>
      </c>
      <c r="AI5270" s="4">
        <v>44</v>
      </c>
      <c r="AJ5270" s="4">
        <v>3</v>
      </c>
      <c r="AK5270" s="4">
        <v>4</v>
      </c>
      <c r="AL5270" s="4">
        <v>28</v>
      </c>
      <c r="AM5270" s="4">
        <v>28</v>
      </c>
      <c r="AN5270" s="4">
        <v>0</v>
      </c>
      <c r="AO5270" s="4">
        <v>0</v>
      </c>
      <c r="AP5270" s="4">
        <v>3</v>
      </c>
      <c r="AQ5270" s="4">
        <v>3</v>
      </c>
      <c r="AR5270" s="3" t="s">
        <v>64</v>
      </c>
      <c r="AS5270" s="3" t="s">
        <v>64</v>
      </c>
      <c r="AT5270" s="3" t="s">
        <v>128</v>
      </c>
      <c r="AU5270" s="6" t="str">
        <f>HYPERLINK("http://catalog.hathitrust.org/Record/004212323","HathiTrust Record")</f>
        <v>HathiTrust Record</v>
      </c>
      <c r="AV5270" s="6" t="str">
        <f>HYPERLINK("http://mcgill.on.worldcat.org/oclc/47641761","Catalog Record")</f>
        <v>Catalog Record</v>
      </c>
      <c r="AW5270" s="6" t="str">
        <f>HYPERLINK("http://www.worldcat.org/oclc/47641761","WorldCat Record")</f>
        <v>WorldCat Record</v>
      </c>
      <c r="AX5270" s="3" t="s">
        <v>51380</v>
      </c>
      <c r="AY5270" s="3" t="s">
        <v>51381</v>
      </c>
      <c r="AZ5270" s="3" t="s">
        <v>51382</v>
      </c>
      <c r="BA5270" s="3" t="s">
        <v>51382</v>
      </c>
      <c r="BB5270" s="3" t="s">
        <v>51383</v>
      </c>
      <c r="BC5270" s="3" t="s">
        <v>77</v>
      </c>
      <c r="BD5270" s="3" t="s">
        <v>78</v>
      </c>
      <c r="BE5270" s="3" t="s">
        <v>51384</v>
      </c>
      <c r="BF5270" s="3" t="s">
        <v>51383</v>
      </c>
      <c r="BG5270" s="3" t="s">
        <v>51385</v>
      </c>
      <c r="BH5270">
        <f t="shared" si="164"/>
        <v>0</v>
      </c>
    </row>
    <row r="5271" spans="1:60" ht="72.5" x14ac:dyDescent="0.35">
      <c r="A5271" s="2" t="s">
        <v>59</v>
      </c>
      <c r="B5271" s="2" t="s">
        <v>1025</v>
      </c>
      <c r="C5271" s="2" t="s">
        <v>51386</v>
      </c>
      <c r="D5271" s="2" t="s">
        <v>51387</v>
      </c>
      <c r="E5271" s="2" t="s">
        <v>51388</v>
      </c>
      <c r="G5271" s="3" t="s">
        <v>64</v>
      </c>
      <c r="I5271" s="3" t="s">
        <v>64</v>
      </c>
      <c r="J5271" s="3" t="s">
        <v>64</v>
      </c>
      <c r="K5271" s="3" t="s">
        <v>65</v>
      </c>
      <c r="M5271" s="2" t="s">
        <v>51389</v>
      </c>
      <c r="N5271" s="3" t="s">
        <v>101</v>
      </c>
      <c r="P5271" s="3" t="s">
        <v>102</v>
      </c>
      <c r="R5271" s="3" t="s">
        <v>49178</v>
      </c>
      <c r="S5271" s="4">
        <v>8</v>
      </c>
      <c r="T5271" s="4">
        <v>8</v>
      </c>
      <c r="U5271" s="5" t="s">
        <v>8617</v>
      </c>
      <c r="V5271" s="5" t="s">
        <v>8617</v>
      </c>
      <c r="W5271" s="5" t="s">
        <v>72</v>
      </c>
      <c r="X5271" s="5" t="s">
        <v>72</v>
      </c>
      <c r="Y5271" s="4">
        <v>247</v>
      </c>
      <c r="Z5271" s="4">
        <v>18</v>
      </c>
      <c r="AA5271" s="4">
        <v>27</v>
      </c>
      <c r="AB5271" s="4">
        <v>3</v>
      </c>
      <c r="AC5271" s="4">
        <v>11</v>
      </c>
      <c r="AD5271" s="4">
        <v>57</v>
      </c>
      <c r="AE5271" s="4">
        <v>64</v>
      </c>
      <c r="AF5271" s="4">
        <v>1</v>
      </c>
      <c r="AG5271" s="4">
        <v>6</v>
      </c>
      <c r="AH5271" s="4">
        <v>45</v>
      </c>
      <c r="AI5271" s="4">
        <v>48</v>
      </c>
      <c r="AJ5271" s="4">
        <v>12</v>
      </c>
      <c r="AK5271" s="4">
        <v>16</v>
      </c>
      <c r="AL5271" s="4">
        <v>28</v>
      </c>
      <c r="AM5271" s="4">
        <v>28</v>
      </c>
      <c r="AN5271" s="4">
        <v>0</v>
      </c>
      <c r="AO5271" s="4">
        <v>0</v>
      </c>
      <c r="AP5271" s="4">
        <v>15</v>
      </c>
      <c r="AQ5271" s="4">
        <v>19</v>
      </c>
      <c r="AR5271" s="3" t="s">
        <v>64</v>
      </c>
      <c r="AS5271" s="3" t="s">
        <v>64</v>
      </c>
      <c r="AT5271" s="3" t="s">
        <v>64</v>
      </c>
      <c r="AV5271" s="6" t="str">
        <f>HYPERLINK("http://mcgill.on.worldcat.org/oclc/53954131","Catalog Record")</f>
        <v>Catalog Record</v>
      </c>
      <c r="AW5271" s="6" t="str">
        <f>HYPERLINK("http://www.worldcat.org/oclc/53954131","WorldCat Record")</f>
        <v>WorldCat Record</v>
      </c>
      <c r="AX5271" s="3" t="s">
        <v>51390</v>
      </c>
      <c r="AY5271" s="3" t="s">
        <v>51391</v>
      </c>
      <c r="AZ5271" s="3" t="s">
        <v>51392</v>
      </c>
      <c r="BA5271" s="3" t="s">
        <v>51392</v>
      </c>
      <c r="BB5271" s="3" t="s">
        <v>51393</v>
      </c>
      <c r="BC5271" s="3" t="s">
        <v>77</v>
      </c>
      <c r="BD5271" s="3" t="s">
        <v>78</v>
      </c>
      <c r="BE5271" s="3" t="s">
        <v>51394</v>
      </c>
      <c r="BF5271" s="3" t="s">
        <v>51393</v>
      </c>
      <c r="BG5271" s="3" t="s">
        <v>51395</v>
      </c>
      <c r="BH5271">
        <f t="shared" si="164"/>
        <v>0</v>
      </c>
    </row>
    <row r="5272" spans="1:60" ht="58" x14ac:dyDescent="0.35">
      <c r="A5272" s="2" t="s">
        <v>59</v>
      </c>
      <c r="B5272" s="2" t="s">
        <v>60</v>
      </c>
      <c r="C5272" s="2" t="s">
        <v>51396</v>
      </c>
      <c r="D5272" s="2" t="s">
        <v>51397</v>
      </c>
      <c r="E5272" s="2" t="s">
        <v>51398</v>
      </c>
      <c r="G5272" s="3" t="s">
        <v>64</v>
      </c>
      <c r="I5272" s="3" t="s">
        <v>64</v>
      </c>
      <c r="J5272" s="3" t="s">
        <v>64</v>
      </c>
      <c r="K5272" s="3" t="s">
        <v>65</v>
      </c>
      <c r="M5272" s="2" t="s">
        <v>22534</v>
      </c>
      <c r="N5272" s="3" t="s">
        <v>326</v>
      </c>
      <c r="P5272" s="3" t="s">
        <v>102</v>
      </c>
      <c r="Q5272" s="2" t="s">
        <v>51399</v>
      </c>
      <c r="R5272" s="3" t="s">
        <v>49178</v>
      </c>
      <c r="S5272" s="4">
        <v>2</v>
      </c>
      <c r="T5272" s="4">
        <v>2</v>
      </c>
      <c r="U5272" s="5" t="s">
        <v>14861</v>
      </c>
      <c r="V5272" s="5" t="s">
        <v>14861</v>
      </c>
      <c r="W5272" s="5" t="s">
        <v>72</v>
      </c>
      <c r="X5272" s="5" t="s">
        <v>72</v>
      </c>
      <c r="Y5272" s="4">
        <v>247</v>
      </c>
      <c r="Z5272" s="4">
        <v>20</v>
      </c>
      <c r="AA5272" s="4">
        <v>23</v>
      </c>
      <c r="AB5272" s="4">
        <v>1</v>
      </c>
      <c r="AC5272" s="4">
        <v>3</v>
      </c>
      <c r="AD5272" s="4">
        <v>90</v>
      </c>
      <c r="AE5272" s="4">
        <v>97</v>
      </c>
      <c r="AF5272" s="4">
        <v>0</v>
      </c>
      <c r="AG5272" s="4">
        <v>1</v>
      </c>
      <c r="AH5272" s="4">
        <v>82</v>
      </c>
      <c r="AI5272" s="4">
        <v>87</v>
      </c>
      <c r="AJ5272" s="4">
        <v>12</v>
      </c>
      <c r="AK5272" s="4">
        <v>14</v>
      </c>
      <c r="AL5272" s="4">
        <v>41</v>
      </c>
      <c r="AM5272" s="4">
        <v>45</v>
      </c>
      <c r="AN5272" s="4">
        <v>0</v>
      </c>
      <c r="AO5272" s="4">
        <v>0</v>
      </c>
      <c r="AP5272" s="4">
        <v>17</v>
      </c>
      <c r="AQ5272" s="4">
        <v>18</v>
      </c>
      <c r="AR5272" s="3" t="s">
        <v>64</v>
      </c>
      <c r="AS5272" s="3" t="s">
        <v>64</v>
      </c>
      <c r="AT5272" s="3" t="s">
        <v>64</v>
      </c>
      <c r="AV5272" s="6" t="str">
        <f>HYPERLINK("http://mcgill.on.worldcat.org/oclc/767885887","Catalog Record")</f>
        <v>Catalog Record</v>
      </c>
      <c r="AW5272" s="6" t="str">
        <f>HYPERLINK("http://www.worldcat.org/oclc/767885887","WorldCat Record")</f>
        <v>WorldCat Record</v>
      </c>
      <c r="AX5272" s="3" t="s">
        <v>51400</v>
      </c>
      <c r="AY5272" s="3" t="s">
        <v>51401</v>
      </c>
      <c r="AZ5272" s="3" t="s">
        <v>51402</v>
      </c>
      <c r="BA5272" s="3" t="s">
        <v>51402</v>
      </c>
      <c r="BB5272" s="3" t="s">
        <v>51403</v>
      </c>
      <c r="BC5272" s="3" t="s">
        <v>77</v>
      </c>
      <c r="BD5272" s="3" t="s">
        <v>165</v>
      </c>
      <c r="BE5272" s="3" t="s">
        <v>51404</v>
      </c>
      <c r="BF5272" s="3" t="s">
        <v>51403</v>
      </c>
      <c r="BG5272" s="3" t="s">
        <v>51405</v>
      </c>
      <c r="BH5272">
        <f t="shared" si="164"/>
        <v>0</v>
      </c>
    </row>
    <row r="5273" spans="1:60" ht="58" x14ac:dyDescent="0.35">
      <c r="A5273" s="2" t="s">
        <v>59</v>
      </c>
      <c r="B5273" s="2" t="s">
        <v>60</v>
      </c>
      <c r="C5273" s="2" t="s">
        <v>51406</v>
      </c>
      <c r="D5273" s="2" t="s">
        <v>51407</v>
      </c>
      <c r="E5273" s="2" t="s">
        <v>51408</v>
      </c>
      <c r="G5273" s="3" t="s">
        <v>64</v>
      </c>
      <c r="I5273" s="3" t="s">
        <v>64</v>
      </c>
      <c r="J5273" s="3" t="s">
        <v>64</v>
      </c>
      <c r="K5273" s="3" t="s">
        <v>65</v>
      </c>
      <c r="L5273" s="2" t="s">
        <v>14224</v>
      </c>
      <c r="M5273" s="2" t="s">
        <v>25676</v>
      </c>
      <c r="N5273" s="3" t="s">
        <v>101</v>
      </c>
      <c r="P5273" s="3" t="s">
        <v>102</v>
      </c>
      <c r="R5273" s="3" t="s">
        <v>49178</v>
      </c>
      <c r="S5273" s="4">
        <v>21</v>
      </c>
      <c r="T5273" s="4">
        <v>21</v>
      </c>
      <c r="U5273" s="5" t="s">
        <v>4397</v>
      </c>
      <c r="V5273" s="5" t="s">
        <v>4397</v>
      </c>
      <c r="W5273" s="5" t="s">
        <v>72</v>
      </c>
      <c r="X5273" s="5" t="s">
        <v>72</v>
      </c>
      <c r="Y5273" s="4">
        <v>265</v>
      </c>
      <c r="Z5273" s="4">
        <v>11</v>
      </c>
      <c r="AA5273" s="4">
        <v>12</v>
      </c>
      <c r="AB5273" s="4">
        <v>2</v>
      </c>
      <c r="AC5273" s="4">
        <v>3</v>
      </c>
      <c r="AD5273" s="4">
        <v>54</v>
      </c>
      <c r="AE5273" s="4">
        <v>56</v>
      </c>
      <c r="AF5273" s="4">
        <v>1</v>
      </c>
      <c r="AG5273" s="4">
        <v>2</v>
      </c>
      <c r="AH5273" s="4">
        <v>50</v>
      </c>
      <c r="AI5273" s="4">
        <v>51</v>
      </c>
      <c r="AJ5273" s="4">
        <v>7</v>
      </c>
      <c r="AK5273" s="4">
        <v>8</v>
      </c>
      <c r="AL5273" s="4">
        <v>25</v>
      </c>
      <c r="AM5273" s="4">
        <v>25</v>
      </c>
      <c r="AN5273" s="4">
        <v>0</v>
      </c>
      <c r="AO5273" s="4">
        <v>0</v>
      </c>
      <c r="AP5273" s="4">
        <v>9</v>
      </c>
      <c r="AQ5273" s="4">
        <v>9</v>
      </c>
      <c r="AR5273" s="3" t="s">
        <v>64</v>
      </c>
      <c r="AS5273" s="3" t="s">
        <v>64</v>
      </c>
      <c r="AT5273" s="3" t="s">
        <v>128</v>
      </c>
      <c r="AU5273" s="6" t="str">
        <f>HYPERLINK("http://catalog.hathitrust.org/Record/004297883","HathiTrust Record")</f>
        <v>HathiTrust Record</v>
      </c>
      <c r="AV5273" s="6" t="str">
        <f>HYPERLINK("http://mcgill.on.worldcat.org/oclc/50401967","Catalog Record")</f>
        <v>Catalog Record</v>
      </c>
      <c r="AW5273" s="6" t="str">
        <f>HYPERLINK("http://www.worldcat.org/oclc/50401967","WorldCat Record")</f>
        <v>WorldCat Record</v>
      </c>
      <c r="AX5273" s="3" t="s">
        <v>51409</v>
      </c>
      <c r="AY5273" s="3" t="s">
        <v>51410</v>
      </c>
      <c r="AZ5273" s="3" t="s">
        <v>51411</v>
      </c>
      <c r="BA5273" s="3" t="s">
        <v>51411</v>
      </c>
      <c r="BB5273" s="3" t="s">
        <v>51412</v>
      </c>
      <c r="BC5273" s="3" t="s">
        <v>77</v>
      </c>
      <c r="BD5273" s="3" t="s">
        <v>78</v>
      </c>
      <c r="BE5273" s="3" t="s">
        <v>51413</v>
      </c>
      <c r="BF5273" s="3" t="s">
        <v>51412</v>
      </c>
      <c r="BG5273" s="3" t="s">
        <v>51414</v>
      </c>
      <c r="BH5273">
        <f t="shared" si="164"/>
        <v>0</v>
      </c>
    </row>
    <row r="5274" spans="1:60" ht="58" x14ac:dyDescent="0.35">
      <c r="A5274" s="2" t="s">
        <v>59</v>
      </c>
      <c r="B5274" s="2" t="s">
        <v>60</v>
      </c>
      <c r="C5274" s="2" t="s">
        <v>51415</v>
      </c>
      <c r="D5274" s="2" t="s">
        <v>51416</v>
      </c>
      <c r="E5274" s="2" t="s">
        <v>51417</v>
      </c>
      <c r="G5274" s="3" t="s">
        <v>64</v>
      </c>
      <c r="I5274" s="3" t="s">
        <v>64</v>
      </c>
      <c r="J5274" s="3" t="s">
        <v>128</v>
      </c>
      <c r="K5274" s="3" t="s">
        <v>65</v>
      </c>
      <c r="L5274" s="2" t="s">
        <v>51418</v>
      </c>
      <c r="M5274" s="2" t="s">
        <v>51419</v>
      </c>
      <c r="N5274" s="3" t="s">
        <v>551</v>
      </c>
      <c r="P5274" s="3" t="s">
        <v>102</v>
      </c>
      <c r="Q5274" s="2" t="s">
        <v>51420</v>
      </c>
      <c r="R5274" s="3" t="s">
        <v>49178</v>
      </c>
      <c r="S5274" s="4">
        <v>9</v>
      </c>
      <c r="T5274" s="4">
        <v>9</v>
      </c>
      <c r="U5274" s="5" t="s">
        <v>31055</v>
      </c>
      <c r="V5274" s="5" t="s">
        <v>31055</v>
      </c>
      <c r="W5274" s="5" t="s">
        <v>72</v>
      </c>
      <c r="X5274" s="5" t="s">
        <v>72</v>
      </c>
      <c r="Y5274" s="4">
        <v>191</v>
      </c>
      <c r="Z5274" s="4">
        <v>12</v>
      </c>
      <c r="AA5274" s="4">
        <v>27</v>
      </c>
      <c r="AB5274" s="4">
        <v>3</v>
      </c>
      <c r="AC5274" s="4">
        <v>5</v>
      </c>
      <c r="AD5274" s="4">
        <v>43</v>
      </c>
      <c r="AE5274" s="4">
        <v>75</v>
      </c>
      <c r="AF5274" s="4">
        <v>1</v>
      </c>
      <c r="AG5274" s="4">
        <v>2</v>
      </c>
      <c r="AH5274" s="4">
        <v>39</v>
      </c>
      <c r="AI5274" s="4">
        <v>67</v>
      </c>
      <c r="AJ5274" s="4">
        <v>8</v>
      </c>
      <c r="AK5274" s="4">
        <v>14</v>
      </c>
      <c r="AL5274" s="4">
        <v>26</v>
      </c>
      <c r="AM5274" s="4">
        <v>37</v>
      </c>
      <c r="AN5274" s="4">
        <v>0</v>
      </c>
      <c r="AO5274" s="4">
        <v>0</v>
      </c>
      <c r="AP5274" s="4">
        <v>8</v>
      </c>
      <c r="AQ5274" s="4">
        <v>17</v>
      </c>
      <c r="AR5274" s="3" t="s">
        <v>64</v>
      </c>
      <c r="AS5274" s="3" t="s">
        <v>64</v>
      </c>
      <c r="AT5274" s="3" t="s">
        <v>64</v>
      </c>
      <c r="AV5274" s="6" t="str">
        <f>HYPERLINK("http://mcgill.on.worldcat.org/oclc/316017167","Catalog Record")</f>
        <v>Catalog Record</v>
      </c>
      <c r="AW5274" s="6" t="str">
        <f>HYPERLINK("http://www.worldcat.org/oclc/316017167","WorldCat Record")</f>
        <v>WorldCat Record</v>
      </c>
      <c r="AX5274" s="3" t="s">
        <v>51421</v>
      </c>
      <c r="AY5274" s="3" t="s">
        <v>51422</v>
      </c>
      <c r="AZ5274" s="3" t="s">
        <v>51423</v>
      </c>
      <c r="BA5274" s="3" t="s">
        <v>51423</v>
      </c>
      <c r="BB5274" s="3" t="s">
        <v>51424</v>
      </c>
      <c r="BC5274" s="3" t="s">
        <v>77</v>
      </c>
      <c r="BD5274" s="3" t="s">
        <v>78</v>
      </c>
      <c r="BE5274" s="3" t="s">
        <v>51425</v>
      </c>
      <c r="BF5274" s="3" t="s">
        <v>51424</v>
      </c>
      <c r="BG5274" s="3" t="s">
        <v>51426</v>
      </c>
      <c r="BH5274">
        <f t="shared" si="164"/>
        <v>0</v>
      </c>
    </row>
    <row r="5275" spans="1:60" ht="58" x14ac:dyDescent="0.35">
      <c r="A5275" s="2" t="s">
        <v>59</v>
      </c>
      <c r="B5275" s="2" t="s">
        <v>60</v>
      </c>
      <c r="C5275" s="2" t="s">
        <v>51427</v>
      </c>
      <c r="D5275" s="2" t="s">
        <v>51428</v>
      </c>
      <c r="E5275" s="2" t="s">
        <v>51429</v>
      </c>
      <c r="G5275" s="3" t="s">
        <v>64</v>
      </c>
      <c r="I5275" s="3" t="s">
        <v>64</v>
      </c>
      <c r="J5275" s="3" t="s">
        <v>128</v>
      </c>
      <c r="K5275" s="3" t="s">
        <v>65</v>
      </c>
      <c r="L5275" s="2" t="s">
        <v>51418</v>
      </c>
      <c r="M5275" s="2" t="s">
        <v>51430</v>
      </c>
      <c r="N5275" s="3" t="s">
        <v>1075</v>
      </c>
      <c r="O5275" s="2" t="s">
        <v>3787</v>
      </c>
      <c r="P5275" s="3" t="s">
        <v>102</v>
      </c>
      <c r="Q5275" s="2" t="s">
        <v>51420</v>
      </c>
      <c r="R5275" s="3" t="s">
        <v>49178</v>
      </c>
      <c r="S5275" s="4">
        <v>2</v>
      </c>
      <c r="T5275" s="4">
        <v>2</v>
      </c>
      <c r="U5275" s="5" t="s">
        <v>13344</v>
      </c>
      <c r="V5275" s="5" t="s">
        <v>13344</v>
      </c>
      <c r="W5275" s="5" t="s">
        <v>72</v>
      </c>
      <c r="X5275" s="5" t="s">
        <v>72</v>
      </c>
      <c r="Y5275" s="4">
        <v>173</v>
      </c>
      <c r="Z5275" s="4">
        <v>17</v>
      </c>
      <c r="AA5275" s="4">
        <v>27</v>
      </c>
      <c r="AB5275" s="4">
        <v>2</v>
      </c>
      <c r="AC5275" s="4">
        <v>5</v>
      </c>
      <c r="AD5275" s="4">
        <v>47</v>
      </c>
      <c r="AE5275" s="4">
        <v>75</v>
      </c>
      <c r="AF5275" s="4">
        <v>1</v>
      </c>
      <c r="AG5275" s="4">
        <v>2</v>
      </c>
      <c r="AH5275" s="4">
        <v>41</v>
      </c>
      <c r="AI5275" s="4">
        <v>67</v>
      </c>
      <c r="AJ5275" s="4">
        <v>8</v>
      </c>
      <c r="AK5275" s="4">
        <v>14</v>
      </c>
      <c r="AL5275" s="4">
        <v>22</v>
      </c>
      <c r="AM5275" s="4">
        <v>37</v>
      </c>
      <c r="AN5275" s="4">
        <v>0</v>
      </c>
      <c r="AO5275" s="4">
        <v>0</v>
      </c>
      <c r="AP5275" s="4">
        <v>11</v>
      </c>
      <c r="AQ5275" s="4">
        <v>17</v>
      </c>
      <c r="AR5275" s="3" t="s">
        <v>64</v>
      </c>
      <c r="AS5275" s="3" t="s">
        <v>64</v>
      </c>
      <c r="AT5275" s="3" t="s">
        <v>64</v>
      </c>
      <c r="AV5275" s="6" t="str">
        <f>HYPERLINK("http://mcgill.on.worldcat.org/oclc/787508383","Catalog Record")</f>
        <v>Catalog Record</v>
      </c>
      <c r="AW5275" s="6" t="str">
        <f>HYPERLINK("http://www.worldcat.org/oclc/787508383","WorldCat Record")</f>
        <v>WorldCat Record</v>
      </c>
      <c r="AX5275" s="3" t="s">
        <v>51421</v>
      </c>
      <c r="AY5275" s="3" t="s">
        <v>51431</v>
      </c>
      <c r="AZ5275" s="3" t="s">
        <v>51432</v>
      </c>
      <c r="BA5275" s="3" t="s">
        <v>51432</v>
      </c>
      <c r="BB5275" s="3" t="s">
        <v>51433</v>
      </c>
      <c r="BC5275" s="3" t="s">
        <v>77</v>
      </c>
      <c r="BD5275" s="3" t="s">
        <v>78</v>
      </c>
      <c r="BE5275" s="3" t="s">
        <v>51434</v>
      </c>
      <c r="BF5275" s="3" t="s">
        <v>51433</v>
      </c>
      <c r="BG5275" s="3" t="s">
        <v>51435</v>
      </c>
      <c r="BH5275">
        <f t="shared" si="164"/>
        <v>0</v>
      </c>
    </row>
    <row r="5276" spans="1:60" ht="58" x14ac:dyDescent="0.35">
      <c r="A5276" s="2" t="s">
        <v>59</v>
      </c>
      <c r="B5276" s="2" t="s">
        <v>60</v>
      </c>
      <c r="C5276" s="2" t="s">
        <v>51436</v>
      </c>
      <c r="D5276" s="2" t="s">
        <v>51437</v>
      </c>
      <c r="E5276" s="2" t="s">
        <v>51438</v>
      </c>
      <c r="G5276" s="3" t="s">
        <v>64</v>
      </c>
      <c r="I5276" s="3" t="s">
        <v>64</v>
      </c>
      <c r="J5276" s="3" t="s">
        <v>64</v>
      </c>
      <c r="K5276" s="3" t="s">
        <v>65</v>
      </c>
      <c r="L5276" s="2" t="s">
        <v>51439</v>
      </c>
      <c r="M5276" s="2" t="s">
        <v>51440</v>
      </c>
      <c r="N5276" s="3" t="s">
        <v>1492</v>
      </c>
      <c r="P5276" s="3" t="s">
        <v>102</v>
      </c>
      <c r="R5276" s="3" t="s">
        <v>49178</v>
      </c>
      <c r="S5276" s="4">
        <v>0</v>
      </c>
      <c r="T5276" s="4">
        <v>0</v>
      </c>
      <c r="W5276" s="5" t="s">
        <v>3671</v>
      </c>
      <c r="X5276" s="5" t="s">
        <v>3671</v>
      </c>
      <c r="Y5276" s="4">
        <v>100</v>
      </c>
      <c r="Z5276" s="4">
        <v>22</v>
      </c>
      <c r="AA5276" s="4">
        <v>37</v>
      </c>
      <c r="AB5276" s="4">
        <v>2</v>
      </c>
      <c r="AC5276" s="4">
        <v>7</v>
      </c>
      <c r="AD5276" s="4">
        <v>51</v>
      </c>
      <c r="AE5276" s="4">
        <v>69</v>
      </c>
      <c r="AF5276" s="4">
        <v>1</v>
      </c>
      <c r="AG5276" s="4">
        <v>3</v>
      </c>
      <c r="AH5276" s="4">
        <v>39</v>
      </c>
      <c r="AI5276" s="4">
        <v>49</v>
      </c>
      <c r="AJ5276" s="4">
        <v>12</v>
      </c>
      <c r="AK5276" s="4">
        <v>18</v>
      </c>
      <c r="AL5276" s="4">
        <v>22</v>
      </c>
      <c r="AM5276" s="4">
        <v>28</v>
      </c>
      <c r="AN5276" s="4">
        <v>0</v>
      </c>
      <c r="AO5276" s="4">
        <v>0</v>
      </c>
      <c r="AP5276" s="4">
        <v>14</v>
      </c>
      <c r="AQ5276" s="4">
        <v>23</v>
      </c>
      <c r="AR5276" s="3" t="s">
        <v>128</v>
      </c>
      <c r="AS5276" s="3" t="s">
        <v>64</v>
      </c>
      <c r="AT5276" s="3" t="s">
        <v>64</v>
      </c>
      <c r="AV5276" s="6" t="str">
        <f>HYPERLINK("http://mcgill.on.worldcat.org/oclc/1065735001","Catalog Record")</f>
        <v>Catalog Record</v>
      </c>
      <c r="AW5276" s="6" t="str">
        <f>HYPERLINK("http://www.worldcat.org/oclc/1065735001","WorldCat Record")</f>
        <v>WorldCat Record</v>
      </c>
      <c r="AX5276" s="3" t="s">
        <v>51441</v>
      </c>
      <c r="AY5276" s="3" t="s">
        <v>51442</v>
      </c>
      <c r="AZ5276" s="3" t="s">
        <v>51443</v>
      </c>
      <c r="BA5276" s="3" t="s">
        <v>51443</v>
      </c>
      <c r="BB5276" s="3" t="s">
        <v>51444</v>
      </c>
      <c r="BC5276" s="3" t="s">
        <v>77</v>
      </c>
      <c r="BD5276" s="3" t="s">
        <v>78</v>
      </c>
      <c r="BE5276" s="3" t="s">
        <v>51445</v>
      </c>
      <c r="BF5276" s="3" t="s">
        <v>51444</v>
      </c>
      <c r="BG5276" s="3" t="s">
        <v>51446</v>
      </c>
      <c r="BH5276">
        <f t="shared" si="164"/>
        <v>0</v>
      </c>
    </row>
    <row r="5277" spans="1:60" ht="58" x14ac:dyDescent="0.35">
      <c r="A5277" s="2" t="s">
        <v>59</v>
      </c>
      <c r="B5277" s="2" t="s">
        <v>60</v>
      </c>
      <c r="C5277" s="2" t="s">
        <v>51447</v>
      </c>
      <c r="D5277" s="2" t="s">
        <v>51448</v>
      </c>
      <c r="E5277" s="2" t="s">
        <v>51449</v>
      </c>
      <c r="G5277" s="3" t="s">
        <v>64</v>
      </c>
      <c r="I5277" s="3" t="s">
        <v>64</v>
      </c>
      <c r="J5277" s="3" t="s">
        <v>64</v>
      </c>
      <c r="K5277" s="3" t="s">
        <v>65</v>
      </c>
      <c r="L5277" s="2" t="s">
        <v>16991</v>
      </c>
      <c r="M5277" s="2" t="s">
        <v>19720</v>
      </c>
      <c r="N5277" s="3" t="s">
        <v>1075</v>
      </c>
      <c r="O5277" s="2" t="s">
        <v>14853</v>
      </c>
      <c r="P5277" s="3" t="s">
        <v>102</v>
      </c>
      <c r="R5277" s="3" t="s">
        <v>49178</v>
      </c>
      <c r="S5277" s="4">
        <v>2</v>
      </c>
      <c r="T5277" s="4">
        <v>2</v>
      </c>
      <c r="U5277" s="5" t="s">
        <v>51450</v>
      </c>
      <c r="V5277" s="5" t="s">
        <v>51450</v>
      </c>
      <c r="W5277" s="5" t="s">
        <v>72</v>
      </c>
      <c r="X5277" s="5" t="s">
        <v>72</v>
      </c>
      <c r="Y5277" s="4">
        <v>219</v>
      </c>
      <c r="Z5277" s="4">
        <v>12</v>
      </c>
      <c r="AA5277" s="4">
        <v>92</v>
      </c>
      <c r="AB5277" s="4">
        <v>1</v>
      </c>
      <c r="AC5277" s="4">
        <v>15</v>
      </c>
      <c r="AD5277" s="4">
        <v>21</v>
      </c>
      <c r="AE5277" s="4">
        <v>93</v>
      </c>
      <c r="AF5277" s="4">
        <v>0</v>
      </c>
      <c r="AG5277" s="4">
        <v>8</v>
      </c>
      <c r="AH5277" s="4">
        <v>18</v>
      </c>
      <c r="AI5277" s="4">
        <v>59</v>
      </c>
      <c r="AJ5277" s="4">
        <v>5</v>
      </c>
      <c r="AK5277" s="4">
        <v>20</v>
      </c>
      <c r="AL5277" s="4">
        <v>12</v>
      </c>
      <c r="AM5277" s="4">
        <v>30</v>
      </c>
      <c r="AN5277" s="4">
        <v>0</v>
      </c>
      <c r="AO5277" s="4">
        <v>0</v>
      </c>
      <c r="AP5277" s="4">
        <v>6</v>
      </c>
      <c r="AQ5277" s="4">
        <v>41</v>
      </c>
      <c r="AR5277" s="3" t="s">
        <v>64</v>
      </c>
      <c r="AS5277" s="3" t="s">
        <v>64</v>
      </c>
      <c r="AT5277" s="3" t="s">
        <v>64</v>
      </c>
      <c r="AV5277" s="6" t="str">
        <f>HYPERLINK("http://mcgill.on.worldcat.org/oclc/859577405","Catalog Record")</f>
        <v>Catalog Record</v>
      </c>
      <c r="AW5277" s="6" t="str">
        <f>HYPERLINK("http://www.worldcat.org/oclc/859577405","WorldCat Record")</f>
        <v>WorldCat Record</v>
      </c>
      <c r="AX5277" s="3" t="s">
        <v>51451</v>
      </c>
      <c r="AY5277" s="3" t="s">
        <v>51452</v>
      </c>
      <c r="AZ5277" s="3" t="s">
        <v>51453</v>
      </c>
      <c r="BA5277" s="3" t="s">
        <v>51453</v>
      </c>
      <c r="BB5277" s="3" t="s">
        <v>51454</v>
      </c>
      <c r="BC5277" s="3" t="s">
        <v>77</v>
      </c>
      <c r="BD5277" s="3" t="s">
        <v>78</v>
      </c>
      <c r="BE5277" s="3" t="s">
        <v>51455</v>
      </c>
      <c r="BF5277" s="3" t="s">
        <v>51454</v>
      </c>
      <c r="BG5277" s="3" t="s">
        <v>51456</v>
      </c>
      <c r="BH5277">
        <f t="shared" si="164"/>
        <v>0</v>
      </c>
    </row>
    <row r="5278" spans="1:60" ht="58" x14ac:dyDescent="0.35">
      <c r="A5278" s="2" t="s">
        <v>59</v>
      </c>
      <c r="B5278" s="2" t="s">
        <v>60</v>
      </c>
      <c r="C5278" s="2" t="s">
        <v>51457</v>
      </c>
      <c r="D5278" s="2" t="s">
        <v>51458</v>
      </c>
      <c r="E5278" s="2" t="s">
        <v>51459</v>
      </c>
      <c r="G5278" s="3" t="s">
        <v>64</v>
      </c>
      <c r="I5278" s="3" t="s">
        <v>64</v>
      </c>
      <c r="J5278" s="3" t="s">
        <v>64</v>
      </c>
      <c r="K5278" s="3" t="s">
        <v>65</v>
      </c>
      <c r="L5278" s="2" t="s">
        <v>51460</v>
      </c>
      <c r="M5278" s="2" t="s">
        <v>22037</v>
      </c>
      <c r="N5278" s="3" t="s">
        <v>101</v>
      </c>
      <c r="P5278" s="3" t="s">
        <v>102</v>
      </c>
      <c r="R5278" s="3" t="s">
        <v>49178</v>
      </c>
      <c r="S5278" s="4">
        <v>6</v>
      </c>
      <c r="T5278" s="4">
        <v>6</v>
      </c>
      <c r="U5278" s="5" t="s">
        <v>16608</v>
      </c>
      <c r="V5278" s="5" t="s">
        <v>16608</v>
      </c>
      <c r="W5278" s="5" t="s">
        <v>72</v>
      </c>
      <c r="X5278" s="5" t="s">
        <v>72</v>
      </c>
      <c r="Y5278" s="4">
        <v>519</v>
      </c>
      <c r="Z5278" s="4">
        <v>23</v>
      </c>
      <c r="AA5278" s="4">
        <v>114</v>
      </c>
      <c r="AB5278" s="4">
        <v>2</v>
      </c>
      <c r="AC5278" s="4">
        <v>18</v>
      </c>
      <c r="AD5278" s="4">
        <v>93</v>
      </c>
      <c r="AE5278" s="4">
        <v>142</v>
      </c>
      <c r="AF5278" s="4">
        <v>0</v>
      </c>
      <c r="AG5278" s="4">
        <v>8</v>
      </c>
      <c r="AH5278" s="4">
        <v>85</v>
      </c>
      <c r="AI5278" s="4">
        <v>102</v>
      </c>
      <c r="AJ5278" s="4">
        <v>9</v>
      </c>
      <c r="AK5278" s="4">
        <v>23</v>
      </c>
      <c r="AL5278" s="4">
        <v>43</v>
      </c>
      <c r="AM5278" s="4">
        <v>53</v>
      </c>
      <c r="AN5278" s="4">
        <v>0</v>
      </c>
      <c r="AO5278" s="4">
        <v>0</v>
      </c>
      <c r="AP5278" s="4">
        <v>10</v>
      </c>
      <c r="AQ5278" s="4">
        <v>45</v>
      </c>
      <c r="AR5278" s="3" t="s">
        <v>64</v>
      </c>
      <c r="AS5278" s="3" t="s">
        <v>64</v>
      </c>
      <c r="AT5278" s="3" t="s">
        <v>64</v>
      </c>
      <c r="AV5278" s="6" t="str">
        <f>HYPERLINK("http://mcgill.on.worldcat.org/oclc/52542559","Catalog Record")</f>
        <v>Catalog Record</v>
      </c>
      <c r="AW5278" s="6" t="str">
        <f>HYPERLINK("http://www.worldcat.org/oclc/52542559","WorldCat Record")</f>
        <v>WorldCat Record</v>
      </c>
      <c r="AX5278" s="3" t="s">
        <v>51461</v>
      </c>
      <c r="AY5278" s="3" t="s">
        <v>51462</v>
      </c>
      <c r="AZ5278" s="3" t="s">
        <v>51463</v>
      </c>
      <c r="BA5278" s="3" t="s">
        <v>51463</v>
      </c>
      <c r="BB5278" s="3" t="s">
        <v>51464</v>
      </c>
      <c r="BC5278" s="3" t="s">
        <v>77</v>
      </c>
      <c r="BD5278" s="3" t="s">
        <v>78</v>
      </c>
      <c r="BE5278" s="3" t="s">
        <v>51465</v>
      </c>
      <c r="BF5278" s="3" t="s">
        <v>51464</v>
      </c>
      <c r="BG5278" s="3" t="s">
        <v>51466</v>
      </c>
      <c r="BH5278">
        <f t="shared" si="164"/>
        <v>0</v>
      </c>
    </row>
    <row r="5279" spans="1:60" ht="58" x14ac:dyDescent="0.35">
      <c r="A5279" s="2" t="s">
        <v>59</v>
      </c>
      <c r="B5279" s="2" t="s">
        <v>60</v>
      </c>
      <c r="C5279" s="2" t="s">
        <v>51467</v>
      </c>
      <c r="D5279" s="2" t="s">
        <v>51468</v>
      </c>
      <c r="E5279" s="2" t="s">
        <v>51469</v>
      </c>
      <c r="G5279" s="3" t="s">
        <v>64</v>
      </c>
      <c r="I5279" s="3" t="s">
        <v>64</v>
      </c>
      <c r="J5279" s="3" t="s">
        <v>64</v>
      </c>
      <c r="K5279" s="3" t="s">
        <v>65</v>
      </c>
      <c r="L5279" s="2" t="s">
        <v>23556</v>
      </c>
      <c r="M5279" s="2" t="s">
        <v>51470</v>
      </c>
      <c r="N5279" s="3" t="s">
        <v>291</v>
      </c>
      <c r="P5279" s="3" t="s">
        <v>102</v>
      </c>
      <c r="R5279" s="3" t="s">
        <v>49178</v>
      </c>
      <c r="S5279" s="4">
        <v>4</v>
      </c>
      <c r="T5279" s="4">
        <v>4</v>
      </c>
      <c r="U5279" s="5" t="s">
        <v>24062</v>
      </c>
      <c r="V5279" s="5" t="s">
        <v>24062</v>
      </c>
      <c r="W5279" s="5" t="s">
        <v>72</v>
      </c>
      <c r="X5279" s="5" t="s">
        <v>72</v>
      </c>
      <c r="Y5279" s="4">
        <v>651</v>
      </c>
      <c r="Z5279" s="4">
        <v>39</v>
      </c>
      <c r="AA5279" s="4">
        <v>44</v>
      </c>
      <c r="AB5279" s="4">
        <v>3</v>
      </c>
      <c r="AC5279" s="4">
        <v>7</v>
      </c>
      <c r="AD5279" s="4">
        <v>77</v>
      </c>
      <c r="AE5279" s="4">
        <v>80</v>
      </c>
      <c r="AF5279" s="4">
        <v>1</v>
      </c>
      <c r="AG5279" s="4">
        <v>3</v>
      </c>
      <c r="AH5279" s="4">
        <v>65</v>
      </c>
      <c r="AI5279" s="4">
        <v>66</v>
      </c>
      <c r="AJ5279" s="4">
        <v>12</v>
      </c>
      <c r="AK5279" s="4">
        <v>15</v>
      </c>
      <c r="AL5279" s="4">
        <v>31</v>
      </c>
      <c r="AM5279" s="4">
        <v>31</v>
      </c>
      <c r="AN5279" s="4">
        <v>0</v>
      </c>
      <c r="AO5279" s="4">
        <v>0</v>
      </c>
      <c r="AP5279" s="4">
        <v>18</v>
      </c>
      <c r="AQ5279" s="4">
        <v>20</v>
      </c>
      <c r="AR5279" s="3" t="s">
        <v>64</v>
      </c>
      <c r="AS5279" s="3" t="s">
        <v>64</v>
      </c>
      <c r="AT5279" s="3" t="s">
        <v>128</v>
      </c>
      <c r="AU5279" s="6" t="str">
        <f>HYPERLINK("http://catalog.hathitrust.org/Record/007013003","HathiTrust Record")</f>
        <v>HathiTrust Record</v>
      </c>
      <c r="AV5279" s="6" t="str">
        <f>HYPERLINK("http://mcgill.on.worldcat.org/oclc/123119572","Catalog Record")</f>
        <v>Catalog Record</v>
      </c>
      <c r="AW5279" s="6" t="str">
        <f>HYPERLINK("http://www.worldcat.org/oclc/123119572","WorldCat Record")</f>
        <v>WorldCat Record</v>
      </c>
      <c r="AX5279" s="3" t="s">
        <v>51471</v>
      </c>
      <c r="AY5279" s="3" t="s">
        <v>51472</v>
      </c>
      <c r="AZ5279" s="3" t="s">
        <v>51473</v>
      </c>
      <c r="BA5279" s="3" t="s">
        <v>51473</v>
      </c>
      <c r="BB5279" s="3" t="s">
        <v>51474</v>
      </c>
      <c r="BC5279" s="3" t="s">
        <v>77</v>
      </c>
      <c r="BD5279" s="3" t="s">
        <v>78</v>
      </c>
      <c r="BE5279" s="3" t="s">
        <v>51475</v>
      </c>
      <c r="BF5279" s="3" t="s">
        <v>51474</v>
      </c>
      <c r="BG5279" s="3" t="s">
        <v>51476</v>
      </c>
      <c r="BH5279">
        <f t="shared" si="164"/>
        <v>0</v>
      </c>
    </row>
    <row r="5280" spans="1:60" ht="58" x14ac:dyDescent="0.35">
      <c r="A5280" s="2" t="s">
        <v>59</v>
      </c>
      <c r="B5280" s="2" t="s">
        <v>60</v>
      </c>
      <c r="C5280" s="2" t="s">
        <v>51477</v>
      </c>
      <c r="D5280" s="2" t="s">
        <v>51478</v>
      </c>
      <c r="E5280" s="2" t="s">
        <v>51479</v>
      </c>
      <c r="G5280" s="3" t="s">
        <v>64</v>
      </c>
      <c r="I5280" s="3" t="s">
        <v>64</v>
      </c>
      <c r="J5280" s="3" t="s">
        <v>64</v>
      </c>
      <c r="K5280" s="3" t="s">
        <v>65</v>
      </c>
      <c r="M5280" s="2" t="s">
        <v>51480</v>
      </c>
      <c r="N5280" s="3" t="s">
        <v>421</v>
      </c>
      <c r="P5280" s="3" t="s">
        <v>102</v>
      </c>
      <c r="R5280" s="3" t="s">
        <v>49178</v>
      </c>
      <c r="S5280" s="4">
        <v>53</v>
      </c>
      <c r="T5280" s="4">
        <v>53</v>
      </c>
      <c r="U5280" s="5" t="s">
        <v>51481</v>
      </c>
      <c r="V5280" s="5" t="s">
        <v>51481</v>
      </c>
      <c r="W5280" s="5" t="s">
        <v>72</v>
      </c>
      <c r="X5280" s="5" t="s">
        <v>72</v>
      </c>
      <c r="Y5280" s="4">
        <v>643</v>
      </c>
      <c r="Z5280" s="4">
        <v>47</v>
      </c>
      <c r="AA5280" s="4">
        <v>53</v>
      </c>
      <c r="AB5280" s="4">
        <v>2</v>
      </c>
      <c r="AC5280" s="4">
        <v>8</v>
      </c>
      <c r="AD5280" s="4">
        <v>124</v>
      </c>
      <c r="AE5280" s="4">
        <v>127</v>
      </c>
      <c r="AF5280" s="4">
        <v>1</v>
      </c>
      <c r="AG5280" s="4">
        <v>4</v>
      </c>
      <c r="AH5280" s="4">
        <v>99</v>
      </c>
      <c r="AI5280" s="4">
        <v>100</v>
      </c>
      <c r="AJ5280" s="4">
        <v>21</v>
      </c>
      <c r="AK5280" s="4">
        <v>24</v>
      </c>
      <c r="AL5280" s="4">
        <v>51</v>
      </c>
      <c r="AM5280" s="4">
        <v>51</v>
      </c>
      <c r="AN5280" s="4">
        <v>0</v>
      </c>
      <c r="AO5280" s="4">
        <v>0</v>
      </c>
      <c r="AP5280" s="4">
        <v>35</v>
      </c>
      <c r="AQ5280" s="4">
        <v>37</v>
      </c>
      <c r="AR5280" s="3" t="s">
        <v>64</v>
      </c>
      <c r="AS5280" s="3" t="s">
        <v>64</v>
      </c>
      <c r="AT5280" s="3" t="s">
        <v>64</v>
      </c>
      <c r="AV5280" s="6" t="str">
        <f>HYPERLINK("http://mcgill.on.worldcat.org/oclc/35620235","Catalog Record")</f>
        <v>Catalog Record</v>
      </c>
      <c r="AW5280" s="6" t="str">
        <f>HYPERLINK("http://www.worldcat.org/oclc/35620235","WorldCat Record")</f>
        <v>WorldCat Record</v>
      </c>
      <c r="AX5280" s="3" t="s">
        <v>51482</v>
      </c>
      <c r="AY5280" s="3" t="s">
        <v>51483</v>
      </c>
      <c r="AZ5280" s="3" t="s">
        <v>51484</v>
      </c>
      <c r="BA5280" s="3" t="s">
        <v>51484</v>
      </c>
      <c r="BB5280" s="3" t="s">
        <v>51485</v>
      </c>
      <c r="BC5280" s="3" t="s">
        <v>77</v>
      </c>
      <c r="BD5280" s="3" t="s">
        <v>78</v>
      </c>
      <c r="BE5280" s="3" t="s">
        <v>51486</v>
      </c>
      <c r="BF5280" s="3" t="s">
        <v>51485</v>
      </c>
      <c r="BG5280" s="3" t="s">
        <v>51487</v>
      </c>
      <c r="BH5280">
        <f t="shared" si="164"/>
        <v>0</v>
      </c>
    </row>
    <row r="5281" spans="1:60" ht="58" x14ac:dyDescent="0.35">
      <c r="A5281" s="2" t="s">
        <v>59</v>
      </c>
      <c r="B5281" s="2" t="s">
        <v>60</v>
      </c>
      <c r="C5281" s="2" t="s">
        <v>51488</v>
      </c>
      <c r="D5281" s="2" t="s">
        <v>51489</v>
      </c>
      <c r="E5281" s="2" t="s">
        <v>51490</v>
      </c>
      <c r="G5281" s="3" t="s">
        <v>64</v>
      </c>
      <c r="I5281" s="3" t="s">
        <v>64</v>
      </c>
      <c r="J5281" s="3" t="s">
        <v>64</v>
      </c>
      <c r="K5281" s="3" t="s">
        <v>65</v>
      </c>
      <c r="L5281" s="2" t="s">
        <v>51491</v>
      </c>
      <c r="M5281" s="2" t="s">
        <v>51492</v>
      </c>
      <c r="N5281" s="3" t="s">
        <v>101</v>
      </c>
      <c r="P5281" s="3" t="s">
        <v>102</v>
      </c>
      <c r="R5281" s="3" t="s">
        <v>49178</v>
      </c>
      <c r="S5281" s="4">
        <v>6</v>
      </c>
      <c r="T5281" s="4">
        <v>6</v>
      </c>
      <c r="U5281" s="5" t="s">
        <v>12425</v>
      </c>
      <c r="V5281" s="5" t="s">
        <v>12425</v>
      </c>
      <c r="W5281" s="5" t="s">
        <v>72</v>
      </c>
      <c r="X5281" s="5" t="s">
        <v>72</v>
      </c>
      <c r="Y5281" s="4">
        <v>341</v>
      </c>
      <c r="Z5281" s="4">
        <v>23</v>
      </c>
      <c r="AA5281" s="4">
        <v>25</v>
      </c>
      <c r="AB5281" s="4">
        <v>1</v>
      </c>
      <c r="AC5281" s="4">
        <v>3</v>
      </c>
      <c r="AD5281" s="4">
        <v>76</v>
      </c>
      <c r="AE5281" s="4">
        <v>78</v>
      </c>
      <c r="AF5281" s="4">
        <v>0</v>
      </c>
      <c r="AG5281" s="4">
        <v>2</v>
      </c>
      <c r="AH5281" s="4">
        <v>63</v>
      </c>
      <c r="AI5281" s="4">
        <v>64</v>
      </c>
      <c r="AJ5281" s="4">
        <v>10</v>
      </c>
      <c r="AK5281" s="4">
        <v>12</v>
      </c>
      <c r="AL5281" s="4">
        <v>39</v>
      </c>
      <c r="AM5281" s="4">
        <v>39</v>
      </c>
      <c r="AN5281" s="4">
        <v>0</v>
      </c>
      <c r="AO5281" s="4">
        <v>0</v>
      </c>
      <c r="AP5281" s="4">
        <v>16</v>
      </c>
      <c r="AQ5281" s="4">
        <v>18</v>
      </c>
      <c r="AR5281" s="3" t="s">
        <v>64</v>
      </c>
      <c r="AS5281" s="3" t="s">
        <v>64</v>
      </c>
      <c r="AT5281" s="3" t="s">
        <v>64</v>
      </c>
      <c r="AV5281" s="6" t="str">
        <f>HYPERLINK("http://mcgill.on.worldcat.org/oclc/50761477","Catalog Record")</f>
        <v>Catalog Record</v>
      </c>
      <c r="AW5281" s="6" t="str">
        <f>HYPERLINK("http://www.worldcat.org/oclc/50761477","WorldCat Record")</f>
        <v>WorldCat Record</v>
      </c>
      <c r="AX5281" s="3" t="s">
        <v>51493</v>
      </c>
      <c r="AY5281" s="3" t="s">
        <v>51494</v>
      </c>
      <c r="AZ5281" s="3" t="s">
        <v>51495</v>
      </c>
      <c r="BA5281" s="3" t="s">
        <v>51495</v>
      </c>
      <c r="BB5281" s="3" t="s">
        <v>51496</v>
      </c>
      <c r="BC5281" s="3" t="s">
        <v>77</v>
      </c>
      <c r="BD5281" s="3" t="s">
        <v>78</v>
      </c>
      <c r="BE5281" s="3" t="s">
        <v>51497</v>
      </c>
      <c r="BF5281" s="3" t="s">
        <v>51496</v>
      </c>
      <c r="BG5281" s="3" t="s">
        <v>51498</v>
      </c>
      <c r="BH5281">
        <f t="shared" si="164"/>
        <v>0</v>
      </c>
    </row>
    <row r="5282" spans="1:60" ht="116" x14ac:dyDescent="0.35">
      <c r="A5282" s="2" t="s">
        <v>59</v>
      </c>
      <c r="B5282" s="2" t="s">
        <v>1183</v>
      </c>
      <c r="C5282" s="2" t="s">
        <v>51499</v>
      </c>
      <c r="D5282" s="2" t="s">
        <v>51500</v>
      </c>
      <c r="E5282" s="2" t="s">
        <v>51501</v>
      </c>
      <c r="G5282" s="3" t="s">
        <v>64</v>
      </c>
      <c r="I5282" s="3" t="s">
        <v>64</v>
      </c>
      <c r="J5282" s="3" t="s">
        <v>64</v>
      </c>
      <c r="K5282" s="3" t="s">
        <v>65</v>
      </c>
      <c r="M5282" s="2" t="s">
        <v>8737</v>
      </c>
      <c r="N5282" s="3" t="s">
        <v>253</v>
      </c>
      <c r="O5282" s="2" t="s">
        <v>8738</v>
      </c>
      <c r="P5282" s="3" t="s">
        <v>8739</v>
      </c>
      <c r="Q5282" s="2" t="s">
        <v>51502</v>
      </c>
      <c r="R5282" s="3" t="s">
        <v>49178</v>
      </c>
      <c r="S5282" s="4">
        <v>0</v>
      </c>
      <c r="T5282" s="4">
        <v>0</v>
      </c>
      <c r="W5282" s="5" t="s">
        <v>72</v>
      </c>
      <c r="X5282" s="5" t="s">
        <v>72</v>
      </c>
      <c r="Y5282" s="4">
        <v>9</v>
      </c>
      <c r="Z5282" s="4">
        <v>1</v>
      </c>
      <c r="AA5282" s="4">
        <v>1</v>
      </c>
      <c r="AB5282" s="4">
        <v>1</v>
      </c>
      <c r="AC5282" s="4">
        <v>1</v>
      </c>
      <c r="AD5282" s="4">
        <v>7</v>
      </c>
      <c r="AE5282" s="4">
        <v>7</v>
      </c>
      <c r="AF5282" s="4">
        <v>0</v>
      </c>
      <c r="AG5282" s="4">
        <v>0</v>
      </c>
      <c r="AH5282" s="4">
        <v>7</v>
      </c>
      <c r="AI5282" s="4">
        <v>7</v>
      </c>
      <c r="AJ5282" s="4">
        <v>0</v>
      </c>
      <c r="AK5282" s="4">
        <v>0</v>
      </c>
      <c r="AL5282" s="4">
        <v>6</v>
      </c>
      <c r="AM5282" s="4">
        <v>6</v>
      </c>
      <c r="AN5282" s="4">
        <v>0</v>
      </c>
      <c r="AO5282" s="4">
        <v>0</v>
      </c>
      <c r="AP5282" s="4">
        <v>0</v>
      </c>
      <c r="AQ5282" s="4">
        <v>0</v>
      </c>
      <c r="AR5282" s="3" t="s">
        <v>64</v>
      </c>
      <c r="AS5282" s="3" t="s">
        <v>64</v>
      </c>
      <c r="AT5282" s="3" t="s">
        <v>64</v>
      </c>
      <c r="AV5282" s="6" t="str">
        <f>HYPERLINK("http://mcgill.on.worldcat.org/oclc/908016448","Catalog Record")</f>
        <v>Catalog Record</v>
      </c>
      <c r="AW5282" s="6" t="str">
        <f>HYPERLINK("http://www.worldcat.org/oclc/908016448","WorldCat Record")</f>
        <v>WorldCat Record</v>
      </c>
      <c r="AX5282" s="3" t="s">
        <v>51503</v>
      </c>
      <c r="AY5282" s="3" t="s">
        <v>51504</v>
      </c>
      <c r="AZ5282" s="3" t="s">
        <v>51505</v>
      </c>
      <c r="BA5282" s="3" t="s">
        <v>51505</v>
      </c>
      <c r="BB5282" s="3" t="s">
        <v>51506</v>
      </c>
      <c r="BC5282" s="3" t="s">
        <v>77</v>
      </c>
      <c r="BD5282" s="3" t="s">
        <v>78</v>
      </c>
      <c r="BE5282" s="3" t="s">
        <v>51507</v>
      </c>
      <c r="BF5282" s="3" t="s">
        <v>51506</v>
      </c>
      <c r="BG5282" s="3" t="s">
        <v>51508</v>
      </c>
      <c r="BH5282">
        <f t="shared" si="164"/>
        <v>0</v>
      </c>
    </row>
    <row r="5283" spans="1:60" ht="58" x14ac:dyDescent="0.35">
      <c r="A5283" s="2" t="s">
        <v>59</v>
      </c>
      <c r="B5283" s="2" t="s">
        <v>60</v>
      </c>
      <c r="C5283" s="2" t="s">
        <v>51509</v>
      </c>
      <c r="D5283" s="2" t="s">
        <v>51510</v>
      </c>
      <c r="E5283" s="2" t="s">
        <v>51511</v>
      </c>
      <c r="G5283" s="3" t="s">
        <v>64</v>
      </c>
      <c r="I5283" s="3" t="s">
        <v>64</v>
      </c>
      <c r="J5283" s="3" t="s">
        <v>64</v>
      </c>
      <c r="K5283" s="3" t="s">
        <v>65</v>
      </c>
      <c r="L5283" s="2" t="s">
        <v>51512</v>
      </c>
      <c r="M5283" s="2" t="s">
        <v>51513</v>
      </c>
      <c r="N5283" s="3" t="s">
        <v>67</v>
      </c>
      <c r="P5283" s="3" t="s">
        <v>102</v>
      </c>
      <c r="Q5283" s="2" t="s">
        <v>51514</v>
      </c>
      <c r="R5283" s="3" t="s">
        <v>49178</v>
      </c>
      <c r="S5283" s="4">
        <v>0</v>
      </c>
      <c r="T5283" s="4">
        <v>0</v>
      </c>
      <c r="W5283" s="5" t="s">
        <v>72</v>
      </c>
      <c r="X5283" s="5" t="s">
        <v>72</v>
      </c>
      <c r="Y5283" s="4">
        <v>387</v>
      </c>
      <c r="Z5283" s="4">
        <v>14</v>
      </c>
      <c r="AA5283" s="4">
        <v>25</v>
      </c>
      <c r="AB5283" s="4">
        <v>2</v>
      </c>
      <c r="AC5283" s="4">
        <v>5</v>
      </c>
      <c r="AD5283" s="4">
        <v>34</v>
      </c>
      <c r="AE5283" s="4">
        <v>49</v>
      </c>
      <c r="AF5283" s="4">
        <v>0</v>
      </c>
      <c r="AG5283" s="4">
        <v>1</v>
      </c>
      <c r="AH5283" s="4">
        <v>33</v>
      </c>
      <c r="AI5283" s="4">
        <v>45</v>
      </c>
      <c r="AJ5283" s="4">
        <v>3</v>
      </c>
      <c r="AK5283" s="4">
        <v>7</v>
      </c>
      <c r="AL5283" s="4">
        <v>18</v>
      </c>
      <c r="AM5283" s="4">
        <v>21</v>
      </c>
      <c r="AN5283" s="4">
        <v>0</v>
      </c>
      <c r="AO5283" s="4">
        <v>0</v>
      </c>
      <c r="AP5283" s="4">
        <v>3</v>
      </c>
      <c r="AQ5283" s="4">
        <v>8</v>
      </c>
      <c r="AR5283" s="3" t="s">
        <v>64</v>
      </c>
      <c r="AS5283" s="3" t="s">
        <v>64</v>
      </c>
      <c r="AT5283" s="3" t="s">
        <v>64</v>
      </c>
      <c r="AV5283" s="6" t="str">
        <f>HYPERLINK("http://mcgill.on.worldcat.org/oclc/860943831","Catalog Record")</f>
        <v>Catalog Record</v>
      </c>
      <c r="AW5283" s="6" t="str">
        <f>HYPERLINK("http://www.worldcat.org/oclc/860943831","WorldCat Record")</f>
        <v>WorldCat Record</v>
      </c>
      <c r="AX5283" s="3" t="s">
        <v>51515</v>
      </c>
      <c r="AY5283" s="3" t="s">
        <v>51516</v>
      </c>
      <c r="AZ5283" s="3" t="s">
        <v>51517</v>
      </c>
      <c r="BA5283" s="3" t="s">
        <v>51517</v>
      </c>
      <c r="BB5283" s="3" t="s">
        <v>51518</v>
      </c>
      <c r="BC5283" s="3" t="s">
        <v>77</v>
      </c>
      <c r="BD5283" s="3" t="s">
        <v>78</v>
      </c>
      <c r="BE5283" s="3" t="s">
        <v>51519</v>
      </c>
      <c r="BF5283" s="3" t="s">
        <v>51518</v>
      </c>
      <c r="BG5283" s="3" t="s">
        <v>51520</v>
      </c>
      <c r="BH5283">
        <f t="shared" si="164"/>
        <v>0</v>
      </c>
    </row>
    <row r="5284" spans="1:60" ht="58" x14ac:dyDescent="0.35">
      <c r="A5284" s="2" t="s">
        <v>59</v>
      </c>
      <c r="B5284" s="2" t="s">
        <v>60</v>
      </c>
      <c r="C5284" s="2" t="s">
        <v>51521</v>
      </c>
      <c r="D5284" s="2" t="s">
        <v>51522</v>
      </c>
      <c r="E5284" s="2" t="s">
        <v>51523</v>
      </c>
      <c r="G5284" s="3" t="s">
        <v>64</v>
      </c>
      <c r="I5284" s="3" t="s">
        <v>64</v>
      </c>
      <c r="J5284" s="3" t="s">
        <v>64</v>
      </c>
      <c r="K5284" s="3" t="s">
        <v>65</v>
      </c>
      <c r="L5284" s="2" t="s">
        <v>51524</v>
      </c>
      <c r="M5284" s="2" t="s">
        <v>51525</v>
      </c>
      <c r="N5284" s="3" t="s">
        <v>67</v>
      </c>
      <c r="P5284" s="3" t="s">
        <v>102</v>
      </c>
      <c r="R5284" s="3" t="s">
        <v>49178</v>
      </c>
      <c r="S5284" s="4">
        <v>1</v>
      </c>
      <c r="T5284" s="4">
        <v>1</v>
      </c>
      <c r="U5284" s="5" t="s">
        <v>17050</v>
      </c>
      <c r="V5284" s="5" t="s">
        <v>17050</v>
      </c>
      <c r="W5284" s="5" t="s">
        <v>72</v>
      </c>
      <c r="X5284" s="5" t="s">
        <v>72</v>
      </c>
      <c r="Y5284" s="4">
        <v>1066</v>
      </c>
      <c r="Z5284" s="4">
        <v>46</v>
      </c>
      <c r="AA5284" s="4">
        <v>54</v>
      </c>
      <c r="AB5284" s="4">
        <v>5</v>
      </c>
      <c r="AC5284" s="4">
        <v>9</v>
      </c>
      <c r="AD5284" s="4">
        <v>72</v>
      </c>
      <c r="AE5284" s="4">
        <v>75</v>
      </c>
      <c r="AF5284" s="4">
        <v>1</v>
      </c>
      <c r="AG5284" s="4">
        <v>3</v>
      </c>
      <c r="AH5284" s="4">
        <v>63</v>
      </c>
      <c r="AI5284" s="4">
        <v>64</v>
      </c>
      <c r="AJ5284" s="4">
        <v>7</v>
      </c>
      <c r="AK5284" s="4">
        <v>8</v>
      </c>
      <c r="AL5284" s="4">
        <v>39</v>
      </c>
      <c r="AM5284" s="4">
        <v>39</v>
      </c>
      <c r="AN5284" s="4">
        <v>0</v>
      </c>
      <c r="AO5284" s="4">
        <v>0</v>
      </c>
      <c r="AP5284" s="4">
        <v>13</v>
      </c>
      <c r="AQ5284" s="4">
        <v>16</v>
      </c>
      <c r="AR5284" s="3" t="s">
        <v>64</v>
      </c>
      <c r="AS5284" s="3" t="s">
        <v>64</v>
      </c>
      <c r="AT5284" s="3" t="s">
        <v>64</v>
      </c>
      <c r="AV5284" s="6" t="str">
        <f>HYPERLINK("http://mcgill.on.worldcat.org/oclc/871534390","Catalog Record")</f>
        <v>Catalog Record</v>
      </c>
      <c r="AW5284" s="6" t="str">
        <f>HYPERLINK("http://www.worldcat.org/oclc/871534390","WorldCat Record")</f>
        <v>WorldCat Record</v>
      </c>
      <c r="AX5284" s="3" t="s">
        <v>51526</v>
      </c>
      <c r="AY5284" s="3" t="s">
        <v>51527</v>
      </c>
      <c r="AZ5284" s="3" t="s">
        <v>51528</v>
      </c>
      <c r="BA5284" s="3" t="s">
        <v>51528</v>
      </c>
      <c r="BB5284" s="3" t="s">
        <v>51529</v>
      </c>
      <c r="BC5284" s="3" t="s">
        <v>77</v>
      </c>
      <c r="BD5284" s="3" t="s">
        <v>78</v>
      </c>
      <c r="BE5284" s="3" t="s">
        <v>51530</v>
      </c>
      <c r="BF5284" s="3" t="s">
        <v>51529</v>
      </c>
      <c r="BG5284" s="3" t="s">
        <v>51531</v>
      </c>
      <c r="BH5284">
        <f t="shared" si="164"/>
        <v>0</v>
      </c>
    </row>
    <row r="5285" spans="1:60" ht="58" x14ac:dyDescent="0.35">
      <c r="A5285" s="2" t="s">
        <v>59</v>
      </c>
      <c r="B5285" s="2" t="s">
        <v>60</v>
      </c>
      <c r="C5285" s="2" t="s">
        <v>51532</v>
      </c>
      <c r="D5285" s="2" t="s">
        <v>51533</v>
      </c>
      <c r="E5285" s="2" t="s">
        <v>51534</v>
      </c>
      <c r="G5285" s="3" t="s">
        <v>64</v>
      </c>
      <c r="I5285" s="3" t="s">
        <v>64</v>
      </c>
      <c r="J5285" s="3" t="s">
        <v>64</v>
      </c>
      <c r="K5285" s="3" t="s">
        <v>65</v>
      </c>
      <c r="L5285" s="2" t="s">
        <v>51535</v>
      </c>
      <c r="M5285" s="2" t="s">
        <v>51536</v>
      </c>
      <c r="N5285" s="3" t="s">
        <v>86</v>
      </c>
      <c r="P5285" s="3" t="s">
        <v>102</v>
      </c>
      <c r="R5285" s="3" t="s">
        <v>49178</v>
      </c>
      <c r="S5285" s="4">
        <v>0</v>
      </c>
      <c r="T5285" s="4">
        <v>0</v>
      </c>
      <c r="W5285" s="5" t="s">
        <v>72</v>
      </c>
      <c r="X5285" s="5" t="s">
        <v>72</v>
      </c>
      <c r="Y5285" s="4">
        <v>99</v>
      </c>
      <c r="Z5285" s="4">
        <v>2</v>
      </c>
      <c r="AA5285" s="4">
        <v>100</v>
      </c>
      <c r="AB5285" s="4">
        <v>1</v>
      </c>
      <c r="AC5285" s="4">
        <v>19</v>
      </c>
      <c r="AD5285" s="4">
        <v>3</v>
      </c>
      <c r="AE5285" s="4">
        <v>109</v>
      </c>
      <c r="AF5285" s="4">
        <v>0</v>
      </c>
      <c r="AG5285" s="4">
        <v>9</v>
      </c>
      <c r="AH5285" s="4">
        <v>3</v>
      </c>
      <c r="AI5285" s="4">
        <v>73</v>
      </c>
      <c r="AJ5285" s="4">
        <v>1</v>
      </c>
      <c r="AK5285" s="4">
        <v>19</v>
      </c>
      <c r="AL5285" s="4">
        <v>1</v>
      </c>
      <c r="AM5285" s="4">
        <v>37</v>
      </c>
      <c r="AN5285" s="4">
        <v>0</v>
      </c>
      <c r="AO5285" s="4">
        <v>0</v>
      </c>
      <c r="AP5285" s="4">
        <v>1</v>
      </c>
      <c r="AQ5285" s="4">
        <v>41</v>
      </c>
      <c r="AR5285" s="3" t="s">
        <v>64</v>
      </c>
      <c r="AS5285" s="3" t="s">
        <v>64</v>
      </c>
      <c r="AT5285" s="3" t="s">
        <v>64</v>
      </c>
      <c r="AV5285" s="6" t="str">
        <f>HYPERLINK("http://mcgill.on.worldcat.org/oclc/778275123","Catalog Record")</f>
        <v>Catalog Record</v>
      </c>
      <c r="AW5285" s="6" t="str">
        <f>HYPERLINK("http://www.worldcat.org/oclc/778275123","WorldCat Record")</f>
        <v>WorldCat Record</v>
      </c>
      <c r="AX5285" s="3" t="s">
        <v>51537</v>
      </c>
      <c r="AY5285" s="3" t="s">
        <v>51538</v>
      </c>
      <c r="AZ5285" s="3" t="s">
        <v>51539</v>
      </c>
      <c r="BA5285" s="3" t="s">
        <v>51539</v>
      </c>
      <c r="BB5285" s="3" t="s">
        <v>51540</v>
      </c>
      <c r="BC5285" s="3" t="s">
        <v>77</v>
      </c>
      <c r="BD5285" s="3" t="s">
        <v>78</v>
      </c>
      <c r="BE5285" s="3" t="s">
        <v>51541</v>
      </c>
      <c r="BF5285" s="3" t="s">
        <v>51540</v>
      </c>
      <c r="BG5285" s="3" t="s">
        <v>51542</v>
      </c>
      <c r="BH5285">
        <f t="shared" si="164"/>
        <v>0</v>
      </c>
    </row>
    <row r="5286" spans="1:60" ht="58" x14ac:dyDescent="0.35">
      <c r="A5286" s="2" t="s">
        <v>59</v>
      </c>
      <c r="B5286" s="2" t="s">
        <v>60</v>
      </c>
      <c r="C5286" s="2" t="s">
        <v>51543</v>
      </c>
      <c r="D5286" s="2" t="s">
        <v>51544</v>
      </c>
      <c r="E5286" s="2" t="s">
        <v>51545</v>
      </c>
      <c r="G5286" s="3" t="s">
        <v>64</v>
      </c>
      <c r="I5286" s="3" t="s">
        <v>64</v>
      </c>
      <c r="J5286" s="3" t="s">
        <v>64</v>
      </c>
      <c r="K5286" s="3" t="s">
        <v>65</v>
      </c>
      <c r="M5286" s="2" t="s">
        <v>51546</v>
      </c>
      <c r="N5286" s="3" t="s">
        <v>551</v>
      </c>
      <c r="P5286" s="3" t="s">
        <v>102</v>
      </c>
      <c r="R5286" s="3" t="s">
        <v>49178</v>
      </c>
      <c r="S5286" s="4">
        <v>6</v>
      </c>
      <c r="T5286" s="4">
        <v>6</v>
      </c>
      <c r="U5286" s="5" t="s">
        <v>14833</v>
      </c>
      <c r="V5286" s="5" t="s">
        <v>14833</v>
      </c>
      <c r="W5286" s="5" t="s">
        <v>72</v>
      </c>
      <c r="X5286" s="5" t="s">
        <v>72</v>
      </c>
      <c r="Y5286" s="4">
        <v>355</v>
      </c>
      <c r="Z5286" s="4">
        <v>28</v>
      </c>
      <c r="AA5286" s="4">
        <v>103</v>
      </c>
      <c r="AB5286" s="4">
        <v>2</v>
      </c>
      <c r="AC5286" s="4">
        <v>18</v>
      </c>
      <c r="AD5286" s="4">
        <v>74</v>
      </c>
      <c r="AE5286" s="4">
        <v>127</v>
      </c>
      <c r="AF5286" s="4">
        <v>1</v>
      </c>
      <c r="AG5286" s="4">
        <v>9</v>
      </c>
      <c r="AH5286" s="4">
        <v>60</v>
      </c>
      <c r="AI5286" s="4">
        <v>84</v>
      </c>
      <c r="AJ5286" s="4">
        <v>14</v>
      </c>
      <c r="AK5286" s="4">
        <v>24</v>
      </c>
      <c r="AL5286" s="4">
        <v>33</v>
      </c>
      <c r="AM5286" s="4">
        <v>43</v>
      </c>
      <c r="AN5286" s="4">
        <v>0</v>
      </c>
      <c r="AO5286" s="4">
        <v>0</v>
      </c>
      <c r="AP5286" s="4">
        <v>21</v>
      </c>
      <c r="AQ5286" s="4">
        <v>52</v>
      </c>
      <c r="AR5286" s="3" t="s">
        <v>64</v>
      </c>
      <c r="AS5286" s="3" t="s">
        <v>64</v>
      </c>
      <c r="AT5286" s="3" t="s">
        <v>128</v>
      </c>
      <c r="AU5286" s="6" t="str">
        <f>HYPERLINK("http://catalog.hathitrust.org/Record/005845149","HathiTrust Record")</f>
        <v>HathiTrust Record</v>
      </c>
      <c r="AV5286" s="6" t="str">
        <f>HYPERLINK("http://mcgill.on.worldcat.org/oclc/190860107","Catalog Record")</f>
        <v>Catalog Record</v>
      </c>
      <c r="AW5286" s="6" t="str">
        <f>HYPERLINK("http://www.worldcat.org/oclc/190860107","WorldCat Record")</f>
        <v>WorldCat Record</v>
      </c>
      <c r="AX5286" s="3" t="s">
        <v>51547</v>
      </c>
      <c r="AY5286" s="3" t="s">
        <v>51548</v>
      </c>
      <c r="AZ5286" s="3" t="s">
        <v>51549</v>
      </c>
      <c r="BA5286" s="3" t="s">
        <v>51549</v>
      </c>
      <c r="BB5286" s="3" t="s">
        <v>51550</v>
      </c>
      <c r="BC5286" s="3" t="s">
        <v>77</v>
      </c>
      <c r="BD5286" s="3" t="s">
        <v>78</v>
      </c>
      <c r="BE5286" s="3" t="s">
        <v>51551</v>
      </c>
      <c r="BF5286" s="3" t="s">
        <v>51550</v>
      </c>
      <c r="BG5286" s="3" t="s">
        <v>51552</v>
      </c>
      <c r="BH5286">
        <f t="shared" si="164"/>
        <v>0</v>
      </c>
    </row>
    <row r="5287" spans="1:60" ht="58" x14ac:dyDescent="0.35">
      <c r="A5287" s="2" t="s">
        <v>59</v>
      </c>
      <c r="B5287" s="2" t="s">
        <v>60</v>
      </c>
      <c r="C5287" s="2" t="s">
        <v>51553</v>
      </c>
      <c r="D5287" s="2" t="s">
        <v>51554</v>
      </c>
      <c r="E5287" s="2" t="s">
        <v>51555</v>
      </c>
      <c r="G5287" s="3" t="s">
        <v>64</v>
      </c>
      <c r="I5287" s="3" t="s">
        <v>64</v>
      </c>
      <c r="J5287" s="3" t="s">
        <v>64</v>
      </c>
      <c r="K5287" s="3" t="s">
        <v>65</v>
      </c>
      <c r="M5287" s="2" t="s">
        <v>51556</v>
      </c>
      <c r="N5287" s="3" t="s">
        <v>578</v>
      </c>
      <c r="P5287" s="3" t="s">
        <v>102</v>
      </c>
      <c r="Q5287" s="2" t="s">
        <v>51557</v>
      </c>
      <c r="R5287" s="3" t="s">
        <v>49178</v>
      </c>
      <c r="S5287" s="4">
        <v>1</v>
      </c>
      <c r="T5287" s="4">
        <v>1</v>
      </c>
      <c r="U5287" s="5" t="s">
        <v>3788</v>
      </c>
      <c r="V5287" s="5" t="s">
        <v>3788</v>
      </c>
      <c r="W5287" s="5" t="s">
        <v>72</v>
      </c>
      <c r="X5287" s="5" t="s">
        <v>72</v>
      </c>
      <c r="Y5287" s="4">
        <v>108</v>
      </c>
      <c r="Z5287" s="4">
        <v>12</v>
      </c>
      <c r="AA5287" s="4">
        <v>15</v>
      </c>
      <c r="AB5287" s="4">
        <v>1</v>
      </c>
      <c r="AC5287" s="4">
        <v>2</v>
      </c>
      <c r="AD5287" s="4">
        <v>37</v>
      </c>
      <c r="AE5287" s="4">
        <v>40</v>
      </c>
      <c r="AF5287" s="4">
        <v>0</v>
      </c>
      <c r="AG5287" s="4">
        <v>1</v>
      </c>
      <c r="AH5287" s="4">
        <v>30</v>
      </c>
      <c r="AI5287" s="4">
        <v>31</v>
      </c>
      <c r="AJ5287" s="4">
        <v>6</v>
      </c>
      <c r="AK5287" s="4">
        <v>8</v>
      </c>
      <c r="AL5287" s="4">
        <v>20</v>
      </c>
      <c r="AM5287" s="4">
        <v>21</v>
      </c>
      <c r="AN5287" s="4">
        <v>0</v>
      </c>
      <c r="AO5287" s="4">
        <v>0</v>
      </c>
      <c r="AP5287" s="4">
        <v>10</v>
      </c>
      <c r="AQ5287" s="4">
        <v>12</v>
      </c>
      <c r="AR5287" s="3" t="s">
        <v>64</v>
      </c>
      <c r="AS5287" s="3" t="s">
        <v>64</v>
      </c>
      <c r="AT5287" s="3" t="s">
        <v>64</v>
      </c>
      <c r="AV5287" s="6" t="str">
        <f>HYPERLINK("http://mcgill.on.worldcat.org/oclc/978358853","Catalog Record")</f>
        <v>Catalog Record</v>
      </c>
      <c r="AW5287" s="6" t="str">
        <f>HYPERLINK("http://www.worldcat.org/oclc/978358853","WorldCat Record")</f>
        <v>WorldCat Record</v>
      </c>
      <c r="AX5287" s="3" t="s">
        <v>51558</v>
      </c>
      <c r="AY5287" s="3" t="s">
        <v>51559</v>
      </c>
      <c r="AZ5287" s="3" t="s">
        <v>51560</v>
      </c>
      <c r="BA5287" s="3" t="s">
        <v>51560</v>
      </c>
      <c r="BB5287" s="3" t="s">
        <v>51561</v>
      </c>
      <c r="BC5287" s="3" t="s">
        <v>77</v>
      </c>
      <c r="BD5287" s="3" t="s">
        <v>78</v>
      </c>
      <c r="BE5287" s="3" t="s">
        <v>51562</v>
      </c>
      <c r="BF5287" s="3" t="s">
        <v>51561</v>
      </c>
      <c r="BG5287" s="3" t="s">
        <v>51563</v>
      </c>
      <c r="BH5287">
        <f t="shared" si="164"/>
        <v>0</v>
      </c>
    </row>
    <row r="5288" spans="1:60" ht="58" x14ac:dyDescent="0.35">
      <c r="A5288" s="2" t="s">
        <v>59</v>
      </c>
      <c r="B5288" s="2" t="s">
        <v>60</v>
      </c>
      <c r="C5288" s="2" t="s">
        <v>51564</v>
      </c>
      <c r="D5288" s="2" t="s">
        <v>51565</v>
      </c>
      <c r="E5288" s="2" t="s">
        <v>51566</v>
      </c>
      <c r="G5288" s="3" t="s">
        <v>64</v>
      </c>
      <c r="I5288" s="3" t="s">
        <v>64</v>
      </c>
      <c r="J5288" s="3" t="s">
        <v>64</v>
      </c>
      <c r="K5288" s="3" t="s">
        <v>65</v>
      </c>
      <c r="L5288" s="2" t="s">
        <v>51567</v>
      </c>
      <c r="M5288" s="2" t="s">
        <v>51568</v>
      </c>
      <c r="N5288" s="3" t="s">
        <v>86</v>
      </c>
      <c r="P5288" s="3" t="s">
        <v>102</v>
      </c>
      <c r="R5288" s="3" t="s">
        <v>49178</v>
      </c>
      <c r="S5288" s="4">
        <v>1</v>
      </c>
      <c r="T5288" s="4">
        <v>1</v>
      </c>
      <c r="U5288" s="5" t="s">
        <v>51569</v>
      </c>
      <c r="V5288" s="5" t="s">
        <v>51569</v>
      </c>
      <c r="W5288" s="5" t="s">
        <v>72</v>
      </c>
      <c r="X5288" s="5" t="s">
        <v>72</v>
      </c>
      <c r="Y5288" s="4">
        <v>250</v>
      </c>
      <c r="Z5288" s="4">
        <v>12</v>
      </c>
      <c r="AA5288" s="4">
        <v>26</v>
      </c>
      <c r="AB5288" s="4">
        <v>1</v>
      </c>
      <c r="AC5288" s="4">
        <v>5</v>
      </c>
      <c r="AD5288" s="4">
        <v>32</v>
      </c>
      <c r="AE5288" s="4">
        <v>63</v>
      </c>
      <c r="AF5288" s="4">
        <v>0</v>
      </c>
      <c r="AG5288" s="4">
        <v>2</v>
      </c>
      <c r="AH5288" s="4">
        <v>28</v>
      </c>
      <c r="AI5288" s="4">
        <v>51</v>
      </c>
      <c r="AJ5288" s="4">
        <v>7</v>
      </c>
      <c r="AK5288" s="4">
        <v>15</v>
      </c>
      <c r="AL5288" s="4">
        <v>17</v>
      </c>
      <c r="AM5288" s="4">
        <v>28</v>
      </c>
      <c r="AN5288" s="4">
        <v>0</v>
      </c>
      <c r="AO5288" s="4">
        <v>0</v>
      </c>
      <c r="AP5288" s="4">
        <v>8</v>
      </c>
      <c r="AQ5288" s="4">
        <v>18</v>
      </c>
      <c r="AR5288" s="3" t="s">
        <v>64</v>
      </c>
      <c r="AS5288" s="3" t="s">
        <v>64</v>
      </c>
      <c r="AT5288" s="3" t="s">
        <v>64</v>
      </c>
      <c r="AV5288" s="6" t="str">
        <f>HYPERLINK("http://mcgill.on.worldcat.org/oclc/665137836","Catalog Record")</f>
        <v>Catalog Record</v>
      </c>
      <c r="AW5288" s="6" t="str">
        <f>HYPERLINK("http://www.worldcat.org/oclc/665137836","WorldCat Record")</f>
        <v>WorldCat Record</v>
      </c>
      <c r="AX5288" s="3" t="s">
        <v>51570</v>
      </c>
      <c r="AY5288" s="3" t="s">
        <v>51571</v>
      </c>
      <c r="AZ5288" s="3" t="s">
        <v>51572</v>
      </c>
      <c r="BA5288" s="3" t="s">
        <v>51572</v>
      </c>
      <c r="BB5288" s="3" t="s">
        <v>51573</v>
      </c>
      <c r="BC5288" s="3" t="s">
        <v>77</v>
      </c>
      <c r="BD5288" s="3" t="s">
        <v>78</v>
      </c>
      <c r="BE5288" s="3" t="s">
        <v>51574</v>
      </c>
      <c r="BF5288" s="3" t="s">
        <v>51573</v>
      </c>
      <c r="BG5288" s="3" t="s">
        <v>51575</v>
      </c>
      <c r="BH5288">
        <f t="shared" si="164"/>
        <v>0</v>
      </c>
    </row>
    <row r="5289" spans="1:60" ht="58" x14ac:dyDescent="0.35">
      <c r="A5289" s="2" t="s">
        <v>59</v>
      </c>
      <c r="B5289" s="2" t="s">
        <v>60</v>
      </c>
      <c r="C5289" s="2" t="s">
        <v>51576</v>
      </c>
      <c r="D5289" s="2" t="s">
        <v>51577</v>
      </c>
      <c r="E5289" s="2" t="s">
        <v>51578</v>
      </c>
      <c r="G5289" s="3" t="s">
        <v>64</v>
      </c>
      <c r="I5289" s="3" t="s">
        <v>64</v>
      </c>
      <c r="J5289" s="3" t="s">
        <v>64</v>
      </c>
      <c r="K5289" s="3" t="s">
        <v>65</v>
      </c>
      <c r="L5289" s="2" t="s">
        <v>51579</v>
      </c>
      <c r="M5289" s="2" t="s">
        <v>51580</v>
      </c>
      <c r="N5289" s="3" t="s">
        <v>1075</v>
      </c>
      <c r="P5289" s="3" t="s">
        <v>102</v>
      </c>
      <c r="R5289" s="3" t="s">
        <v>49178</v>
      </c>
      <c r="S5289" s="4">
        <v>7</v>
      </c>
      <c r="T5289" s="4">
        <v>7</v>
      </c>
      <c r="U5289" s="5" t="s">
        <v>2035</v>
      </c>
      <c r="V5289" s="5" t="s">
        <v>2035</v>
      </c>
      <c r="W5289" s="5" t="s">
        <v>72</v>
      </c>
      <c r="X5289" s="5" t="s">
        <v>72</v>
      </c>
      <c r="Y5289" s="4">
        <v>263</v>
      </c>
      <c r="Z5289" s="4">
        <v>18</v>
      </c>
      <c r="AA5289" s="4">
        <v>92</v>
      </c>
      <c r="AB5289" s="4">
        <v>2</v>
      </c>
      <c r="AC5289" s="4">
        <v>19</v>
      </c>
      <c r="AD5289" s="4">
        <v>64</v>
      </c>
      <c r="AE5289" s="4">
        <v>138</v>
      </c>
      <c r="AF5289" s="4">
        <v>0</v>
      </c>
      <c r="AG5289" s="4">
        <v>10</v>
      </c>
      <c r="AH5289" s="4">
        <v>56</v>
      </c>
      <c r="AI5289" s="4">
        <v>95</v>
      </c>
      <c r="AJ5289" s="4">
        <v>11</v>
      </c>
      <c r="AK5289" s="4">
        <v>24</v>
      </c>
      <c r="AL5289" s="4">
        <v>36</v>
      </c>
      <c r="AM5289" s="4">
        <v>55</v>
      </c>
      <c r="AN5289" s="4">
        <v>0</v>
      </c>
      <c r="AO5289" s="4">
        <v>0</v>
      </c>
      <c r="AP5289" s="4">
        <v>12</v>
      </c>
      <c r="AQ5289" s="4">
        <v>49</v>
      </c>
      <c r="AR5289" s="3" t="s">
        <v>64</v>
      </c>
      <c r="AS5289" s="3" t="s">
        <v>64</v>
      </c>
      <c r="AT5289" s="3" t="s">
        <v>64</v>
      </c>
      <c r="AV5289" s="6" t="str">
        <f>HYPERLINK("http://mcgill.on.worldcat.org/oclc/808627924","Catalog Record")</f>
        <v>Catalog Record</v>
      </c>
      <c r="AW5289" s="6" t="str">
        <f>HYPERLINK("http://www.worldcat.org/oclc/808627924","WorldCat Record")</f>
        <v>WorldCat Record</v>
      </c>
      <c r="AX5289" s="3" t="s">
        <v>51581</v>
      </c>
      <c r="AY5289" s="3" t="s">
        <v>51582</v>
      </c>
      <c r="AZ5289" s="3" t="s">
        <v>51583</v>
      </c>
      <c r="BA5289" s="3" t="s">
        <v>51583</v>
      </c>
      <c r="BB5289" s="3" t="s">
        <v>51584</v>
      </c>
      <c r="BC5289" s="3" t="s">
        <v>77</v>
      </c>
      <c r="BD5289" s="3" t="s">
        <v>78</v>
      </c>
      <c r="BE5289" s="3" t="s">
        <v>51585</v>
      </c>
      <c r="BF5289" s="3" t="s">
        <v>51584</v>
      </c>
      <c r="BG5289" s="3" t="s">
        <v>51586</v>
      </c>
      <c r="BH5289">
        <f t="shared" si="164"/>
        <v>0</v>
      </c>
    </row>
    <row r="5290" spans="1:60" ht="58" x14ac:dyDescent="0.35">
      <c r="A5290" s="2" t="s">
        <v>59</v>
      </c>
      <c r="B5290" s="2" t="s">
        <v>60</v>
      </c>
      <c r="C5290" s="2" t="s">
        <v>51587</v>
      </c>
      <c r="D5290" s="2" t="s">
        <v>51588</v>
      </c>
      <c r="E5290" s="2" t="s">
        <v>51589</v>
      </c>
      <c r="G5290" s="3" t="s">
        <v>64</v>
      </c>
      <c r="I5290" s="3" t="s">
        <v>64</v>
      </c>
      <c r="J5290" s="3" t="s">
        <v>64</v>
      </c>
      <c r="K5290" s="3" t="s">
        <v>65</v>
      </c>
      <c r="M5290" s="2" t="s">
        <v>51590</v>
      </c>
      <c r="N5290" s="3" t="s">
        <v>144</v>
      </c>
      <c r="P5290" s="3" t="s">
        <v>102</v>
      </c>
      <c r="R5290" s="3" t="s">
        <v>49178</v>
      </c>
      <c r="S5290" s="4">
        <v>14</v>
      </c>
      <c r="T5290" s="4">
        <v>14</v>
      </c>
      <c r="U5290" s="5" t="s">
        <v>51591</v>
      </c>
      <c r="V5290" s="5" t="s">
        <v>51591</v>
      </c>
      <c r="W5290" s="5" t="s">
        <v>72</v>
      </c>
      <c r="X5290" s="5" t="s">
        <v>72</v>
      </c>
      <c r="Y5290" s="4">
        <v>321</v>
      </c>
      <c r="Z5290" s="4">
        <v>22</v>
      </c>
      <c r="AA5290" s="4">
        <v>52</v>
      </c>
      <c r="AB5290" s="4">
        <v>2</v>
      </c>
      <c r="AC5290" s="4">
        <v>12</v>
      </c>
      <c r="AD5290" s="4">
        <v>69</v>
      </c>
      <c r="AE5290" s="4">
        <v>119</v>
      </c>
      <c r="AF5290" s="4">
        <v>1</v>
      </c>
      <c r="AG5290" s="4">
        <v>7</v>
      </c>
      <c r="AH5290" s="4">
        <v>59</v>
      </c>
      <c r="AI5290" s="4">
        <v>91</v>
      </c>
      <c r="AJ5290" s="4">
        <v>15</v>
      </c>
      <c r="AK5290" s="4">
        <v>22</v>
      </c>
      <c r="AL5290" s="4">
        <v>31</v>
      </c>
      <c r="AM5290" s="4">
        <v>47</v>
      </c>
      <c r="AN5290" s="4">
        <v>0</v>
      </c>
      <c r="AO5290" s="4">
        <v>0</v>
      </c>
      <c r="AP5290" s="4">
        <v>19</v>
      </c>
      <c r="AQ5290" s="4">
        <v>39</v>
      </c>
      <c r="AR5290" s="3" t="s">
        <v>64</v>
      </c>
      <c r="AS5290" s="3" t="s">
        <v>64</v>
      </c>
      <c r="AT5290" s="3" t="s">
        <v>128</v>
      </c>
      <c r="AU5290" s="6" t="str">
        <f>HYPERLINK("http://catalog.hathitrust.org/Record/005882678","HathiTrust Record")</f>
        <v>HathiTrust Record</v>
      </c>
      <c r="AV5290" s="6" t="str">
        <f>HYPERLINK("http://mcgill.on.worldcat.org/oclc/214308663","Catalog Record")</f>
        <v>Catalog Record</v>
      </c>
      <c r="AW5290" s="6" t="str">
        <f>HYPERLINK("http://www.worldcat.org/oclc/214308663","WorldCat Record")</f>
        <v>WorldCat Record</v>
      </c>
      <c r="AX5290" s="3" t="s">
        <v>51592</v>
      </c>
      <c r="AY5290" s="3" t="s">
        <v>51593</v>
      </c>
      <c r="AZ5290" s="3" t="s">
        <v>51594</v>
      </c>
      <c r="BA5290" s="3" t="s">
        <v>51594</v>
      </c>
      <c r="BB5290" s="3" t="s">
        <v>51595</v>
      </c>
      <c r="BC5290" s="3" t="s">
        <v>77</v>
      </c>
      <c r="BD5290" s="3" t="s">
        <v>78</v>
      </c>
      <c r="BE5290" s="3" t="s">
        <v>51596</v>
      </c>
      <c r="BF5290" s="3" t="s">
        <v>51595</v>
      </c>
      <c r="BG5290" s="3" t="s">
        <v>51597</v>
      </c>
      <c r="BH5290">
        <f t="shared" si="164"/>
        <v>0</v>
      </c>
    </row>
    <row r="5291" spans="1:60" ht="58" x14ac:dyDescent="0.35">
      <c r="A5291" s="2" t="s">
        <v>59</v>
      </c>
      <c r="B5291" s="2" t="s">
        <v>60</v>
      </c>
      <c r="C5291" s="2" t="s">
        <v>51598</v>
      </c>
      <c r="D5291" s="2" t="s">
        <v>51599</v>
      </c>
      <c r="E5291" s="2" t="s">
        <v>51600</v>
      </c>
      <c r="G5291" s="3" t="s">
        <v>64</v>
      </c>
      <c r="I5291" s="3" t="s">
        <v>64</v>
      </c>
      <c r="J5291" s="3" t="s">
        <v>64</v>
      </c>
      <c r="K5291" s="3" t="s">
        <v>65</v>
      </c>
      <c r="L5291" s="2" t="s">
        <v>51601</v>
      </c>
      <c r="M5291" s="2" t="s">
        <v>15333</v>
      </c>
      <c r="N5291" s="3" t="s">
        <v>67</v>
      </c>
      <c r="P5291" s="3" t="s">
        <v>102</v>
      </c>
      <c r="R5291" s="3" t="s">
        <v>49178</v>
      </c>
      <c r="S5291" s="4">
        <v>1</v>
      </c>
      <c r="T5291" s="4">
        <v>1</v>
      </c>
      <c r="U5291" s="5" t="s">
        <v>24923</v>
      </c>
      <c r="V5291" s="5" t="s">
        <v>24923</v>
      </c>
      <c r="W5291" s="5" t="s">
        <v>72</v>
      </c>
      <c r="X5291" s="5" t="s">
        <v>72</v>
      </c>
      <c r="Y5291" s="4">
        <v>227</v>
      </c>
      <c r="Z5291" s="4">
        <v>16</v>
      </c>
      <c r="AA5291" s="4">
        <v>84</v>
      </c>
      <c r="AB5291" s="4">
        <v>2</v>
      </c>
      <c r="AC5291" s="4">
        <v>15</v>
      </c>
      <c r="AD5291" s="4">
        <v>38</v>
      </c>
      <c r="AE5291" s="4">
        <v>98</v>
      </c>
      <c r="AF5291" s="4">
        <v>1</v>
      </c>
      <c r="AG5291" s="4">
        <v>8</v>
      </c>
      <c r="AH5291" s="4">
        <v>33</v>
      </c>
      <c r="AI5291" s="4">
        <v>63</v>
      </c>
      <c r="AJ5291" s="4">
        <v>7</v>
      </c>
      <c r="AK5291" s="4">
        <v>20</v>
      </c>
      <c r="AL5291" s="4">
        <v>17</v>
      </c>
      <c r="AM5291" s="4">
        <v>29</v>
      </c>
      <c r="AN5291" s="4">
        <v>0</v>
      </c>
      <c r="AO5291" s="4">
        <v>0</v>
      </c>
      <c r="AP5291" s="4">
        <v>9</v>
      </c>
      <c r="AQ5291" s="4">
        <v>41</v>
      </c>
      <c r="AR5291" s="3" t="s">
        <v>64</v>
      </c>
      <c r="AS5291" s="3" t="s">
        <v>64</v>
      </c>
      <c r="AT5291" s="3" t="s">
        <v>64</v>
      </c>
      <c r="AV5291" s="6" t="str">
        <f>HYPERLINK("http://mcgill.on.worldcat.org/oclc/870211165","Catalog Record")</f>
        <v>Catalog Record</v>
      </c>
      <c r="AW5291" s="6" t="str">
        <f>HYPERLINK("http://www.worldcat.org/oclc/870211165","WorldCat Record")</f>
        <v>WorldCat Record</v>
      </c>
      <c r="AX5291" s="3" t="s">
        <v>51602</v>
      </c>
      <c r="AY5291" s="3" t="s">
        <v>51603</v>
      </c>
      <c r="AZ5291" s="3" t="s">
        <v>51604</v>
      </c>
      <c r="BA5291" s="3" t="s">
        <v>51604</v>
      </c>
      <c r="BB5291" s="3" t="s">
        <v>51605</v>
      </c>
      <c r="BC5291" s="3" t="s">
        <v>77</v>
      </c>
      <c r="BD5291" s="3" t="s">
        <v>78</v>
      </c>
      <c r="BE5291" s="3" t="s">
        <v>51606</v>
      </c>
      <c r="BF5291" s="3" t="s">
        <v>51605</v>
      </c>
      <c r="BG5291" s="3" t="s">
        <v>51607</v>
      </c>
      <c r="BH5291">
        <f t="shared" si="164"/>
        <v>0</v>
      </c>
    </row>
    <row r="5292" spans="1:60" ht="58" x14ac:dyDescent="0.35">
      <c r="A5292" s="2" t="s">
        <v>59</v>
      </c>
      <c r="B5292" s="2" t="s">
        <v>60</v>
      </c>
      <c r="C5292" s="2" t="s">
        <v>51608</v>
      </c>
      <c r="D5292" s="2" t="s">
        <v>51609</v>
      </c>
      <c r="E5292" s="2" t="s">
        <v>51610</v>
      </c>
      <c r="G5292" s="3" t="s">
        <v>64</v>
      </c>
      <c r="I5292" s="3" t="s">
        <v>64</v>
      </c>
      <c r="J5292" s="3" t="s">
        <v>64</v>
      </c>
      <c r="K5292" s="3" t="s">
        <v>65</v>
      </c>
      <c r="L5292" s="2" t="s">
        <v>51611</v>
      </c>
      <c r="M5292" s="2" t="s">
        <v>51612</v>
      </c>
      <c r="N5292" s="3" t="s">
        <v>1275</v>
      </c>
      <c r="O5292" s="2" t="s">
        <v>2149</v>
      </c>
      <c r="P5292" s="3" t="s">
        <v>102</v>
      </c>
      <c r="Q5292" s="2" t="s">
        <v>14685</v>
      </c>
      <c r="R5292" s="3" t="s">
        <v>49178</v>
      </c>
      <c r="S5292" s="4">
        <v>5</v>
      </c>
      <c r="T5292" s="4">
        <v>5</v>
      </c>
      <c r="U5292" s="5" t="s">
        <v>14927</v>
      </c>
      <c r="V5292" s="5" t="s">
        <v>14927</v>
      </c>
      <c r="W5292" s="5" t="s">
        <v>72</v>
      </c>
      <c r="X5292" s="5" t="s">
        <v>72</v>
      </c>
      <c r="Y5292" s="4">
        <v>160</v>
      </c>
      <c r="Z5292" s="4">
        <v>10</v>
      </c>
      <c r="AA5292" s="4">
        <v>16</v>
      </c>
      <c r="AB5292" s="4">
        <v>1</v>
      </c>
      <c r="AC5292" s="4">
        <v>6</v>
      </c>
      <c r="AD5292" s="4">
        <v>58</v>
      </c>
      <c r="AE5292" s="4">
        <v>63</v>
      </c>
      <c r="AF5292" s="4">
        <v>0</v>
      </c>
      <c r="AG5292" s="4">
        <v>4</v>
      </c>
      <c r="AH5292" s="4">
        <v>56</v>
      </c>
      <c r="AI5292" s="4">
        <v>57</v>
      </c>
      <c r="AJ5292" s="4">
        <v>8</v>
      </c>
      <c r="AK5292" s="4">
        <v>12</v>
      </c>
      <c r="AL5292" s="4">
        <v>32</v>
      </c>
      <c r="AM5292" s="4">
        <v>32</v>
      </c>
      <c r="AN5292" s="4">
        <v>0</v>
      </c>
      <c r="AO5292" s="4">
        <v>0</v>
      </c>
      <c r="AP5292" s="4">
        <v>8</v>
      </c>
      <c r="AQ5292" s="4">
        <v>12</v>
      </c>
      <c r="AR5292" s="3" t="s">
        <v>64</v>
      </c>
      <c r="AS5292" s="3" t="s">
        <v>64</v>
      </c>
      <c r="AT5292" s="3" t="s">
        <v>64</v>
      </c>
      <c r="AV5292" s="6" t="str">
        <f>HYPERLINK("http://mcgill.on.worldcat.org/oclc/57658586","Catalog Record")</f>
        <v>Catalog Record</v>
      </c>
      <c r="AW5292" s="6" t="str">
        <f>HYPERLINK("http://www.worldcat.org/oclc/57658586","WorldCat Record")</f>
        <v>WorldCat Record</v>
      </c>
      <c r="AX5292" s="3" t="s">
        <v>51613</v>
      </c>
      <c r="AY5292" s="3" t="s">
        <v>51614</v>
      </c>
      <c r="AZ5292" s="3" t="s">
        <v>51615</v>
      </c>
      <c r="BA5292" s="3" t="s">
        <v>51615</v>
      </c>
      <c r="BB5292" s="3" t="s">
        <v>51616</v>
      </c>
      <c r="BC5292" s="3" t="s">
        <v>77</v>
      </c>
      <c r="BD5292" s="3" t="s">
        <v>78</v>
      </c>
      <c r="BE5292" s="3" t="s">
        <v>51617</v>
      </c>
      <c r="BF5292" s="3" t="s">
        <v>51616</v>
      </c>
      <c r="BG5292" s="3" t="s">
        <v>51618</v>
      </c>
      <c r="BH5292">
        <f t="shared" si="164"/>
        <v>0</v>
      </c>
    </row>
    <row r="5293" spans="1:60" ht="58" x14ac:dyDescent="0.35">
      <c r="A5293" s="2" t="s">
        <v>59</v>
      </c>
      <c r="B5293" s="2" t="s">
        <v>60</v>
      </c>
      <c r="C5293" s="2" t="s">
        <v>51619</v>
      </c>
      <c r="D5293" s="2" t="s">
        <v>51620</v>
      </c>
      <c r="E5293" s="2" t="s">
        <v>51621</v>
      </c>
      <c r="F5293" s="3" t="s">
        <v>26723</v>
      </c>
      <c r="G5293" s="3" t="s">
        <v>64</v>
      </c>
      <c r="I5293" s="3" t="s">
        <v>64</v>
      </c>
      <c r="J5293" s="3" t="s">
        <v>64</v>
      </c>
      <c r="K5293" s="3" t="s">
        <v>65</v>
      </c>
      <c r="L5293" s="2" t="s">
        <v>51622</v>
      </c>
      <c r="M5293" s="2" t="s">
        <v>23545</v>
      </c>
      <c r="N5293" s="3" t="s">
        <v>434</v>
      </c>
      <c r="P5293" s="3" t="s">
        <v>102</v>
      </c>
      <c r="R5293" s="3" t="s">
        <v>49178</v>
      </c>
      <c r="S5293" s="4">
        <v>6</v>
      </c>
      <c r="T5293" s="4">
        <v>6</v>
      </c>
      <c r="U5293" s="5" t="s">
        <v>22116</v>
      </c>
      <c r="V5293" s="5" t="s">
        <v>22116</v>
      </c>
      <c r="W5293" s="5" t="s">
        <v>72</v>
      </c>
      <c r="X5293" s="5" t="s">
        <v>72</v>
      </c>
      <c r="Y5293" s="4">
        <v>242</v>
      </c>
      <c r="Z5293" s="4">
        <v>13</v>
      </c>
      <c r="AA5293" s="4">
        <v>14</v>
      </c>
      <c r="AB5293" s="4">
        <v>1</v>
      </c>
      <c r="AC5293" s="4">
        <v>2</v>
      </c>
      <c r="AD5293" s="4">
        <v>30</v>
      </c>
      <c r="AE5293" s="4">
        <v>32</v>
      </c>
      <c r="AF5293" s="4">
        <v>0</v>
      </c>
      <c r="AG5293" s="4">
        <v>1</v>
      </c>
      <c r="AH5293" s="4">
        <v>30</v>
      </c>
      <c r="AI5293" s="4">
        <v>31</v>
      </c>
      <c r="AJ5293" s="4">
        <v>5</v>
      </c>
      <c r="AK5293" s="4">
        <v>6</v>
      </c>
      <c r="AL5293" s="4">
        <v>11</v>
      </c>
      <c r="AM5293" s="4">
        <v>12</v>
      </c>
      <c r="AN5293" s="4">
        <v>0</v>
      </c>
      <c r="AO5293" s="4">
        <v>0</v>
      </c>
      <c r="AP5293" s="4">
        <v>5</v>
      </c>
      <c r="AQ5293" s="4">
        <v>5</v>
      </c>
      <c r="AR5293" s="3" t="s">
        <v>64</v>
      </c>
      <c r="AS5293" s="3" t="s">
        <v>64</v>
      </c>
      <c r="AT5293" s="3" t="s">
        <v>128</v>
      </c>
      <c r="AU5293" s="6" t="str">
        <f>HYPERLINK("http://catalog.hathitrust.org/Record/007013012","HathiTrust Record")</f>
        <v>HathiTrust Record</v>
      </c>
      <c r="AV5293" s="6" t="str">
        <f>HYPERLINK("http://mcgill.on.worldcat.org/oclc/54865163","Catalog Record")</f>
        <v>Catalog Record</v>
      </c>
      <c r="AW5293" s="6" t="str">
        <f>HYPERLINK("http://www.worldcat.org/oclc/54865163","WorldCat Record")</f>
        <v>WorldCat Record</v>
      </c>
      <c r="AX5293" s="3" t="s">
        <v>51623</v>
      </c>
      <c r="AY5293" s="3" t="s">
        <v>51624</v>
      </c>
      <c r="AZ5293" s="3" t="s">
        <v>51625</v>
      </c>
      <c r="BA5293" s="3" t="s">
        <v>51625</v>
      </c>
      <c r="BB5293" s="3" t="s">
        <v>51626</v>
      </c>
      <c r="BC5293" s="3" t="s">
        <v>77</v>
      </c>
      <c r="BD5293" s="3" t="s">
        <v>78</v>
      </c>
      <c r="BE5293" s="3" t="s">
        <v>51627</v>
      </c>
      <c r="BF5293" s="3" t="s">
        <v>51626</v>
      </c>
      <c r="BG5293" s="3" t="s">
        <v>51628</v>
      </c>
      <c r="BH5293">
        <f t="shared" si="164"/>
        <v>0</v>
      </c>
    </row>
    <row r="5294" spans="1:60" ht="58" x14ac:dyDescent="0.35">
      <c r="A5294" s="2" t="s">
        <v>1040</v>
      </c>
      <c r="B5294" s="2" t="s">
        <v>60</v>
      </c>
      <c r="C5294" s="2" t="s">
        <v>51629</v>
      </c>
      <c r="D5294" s="2" t="s">
        <v>51630</v>
      </c>
      <c r="E5294" s="2" t="s">
        <v>51631</v>
      </c>
      <c r="G5294" s="3" t="s">
        <v>64</v>
      </c>
      <c r="I5294" s="3" t="s">
        <v>64</v>
      </c>
      <c r="J5294" s="3" t="s">
        <v>64</v>
      </c>
      <c r="K5294" s="3" t="s">
        <v>65</v>
      </c>
      <c r="L5294" s="2" t="s">
        <v>51632</v>
      </c>
      <c r="M5294" s="2" t="s">
        <v>51633</v>
      </c>
      <c r="N5294" s="3" t="s">
        <v>511</v>
      </c>
      <c r="P5294" s="3" t="s">
        <v>102</v>
      </c>
      <c r="Q5294" s="2" t="s">
        <v>51634</v>
      </c>
      <c r="R5294" s="3" t="s">
        <v>49178</v>
      </c>
      <c r="S5294" s="4">
        <v>2</v>
      </c>
      <c r="T5294" s="4">
        <v>2</v>
      </c>
      <c r="U5294" s="5" t="s">
        <v>51635</v>
      </c>
      <c r="V5294" s="5" t="s">
        <v>51635</v>
      </c>
      <c r="W5294" s="5" t="s">
        <v>72</v>
      </c>
      <c r="X5294" s="5" t="s">
        <v>72</v>
      </c>
      <c r="Y5294" s="4">
        <v>44</v>
      </c>
      <c r="Z5294" s="4">
        <v>5</v>
      </c>
      <c r="AA5294" s="4">
        <v>29</v>
      </c>
      <c r="AB5294" s="4">
        <v>1</v>
      </c>
      <c r="AC5294" s="4">
        <v>7</v>
      </c>
      <c r="AD5294" s="4">
        <v>16</v>
      </c>
      <c r="AE5294" s="4">
        <v>62</v>
      </c>
      <c r="AF5294" s="4">
        <v>0</v>
      </c>
      <c r="AG5294" s="4">
        <v>3</v>
      </c>
      <c r="AH5294" s="4">
        <v>15</v>
      </c>
      <c r="AI5294" s="4">
        <v>50</v>
      </c>
      <c r="AJ5294" s="4">
        <v>3</v>
      </c>
      <c r="AK5294" s="4">
        <v>16</v>
      </c>
      <c r="AL5294" s="4">
        <v>9</v>
      </c>
      <c r="AM5294" s="4">
        <v>26</v>
      </c>
      <c r="AN5294" s="4">
        <v>0</v>
      </c>
      <c r="AO5294" s="4">
        <v>0</v>
      </c>
      <c r="AP5294" s="4">
        <v>3</v>
      </c>
      <c r="AQ5294" s="4">
        <v>19</v>
      </c>
      <c r="AR5294" s="3" t="s">
        <v>64</v>
      </c>
      <c r="AS5294" s="3" t="s">
        <v>64</v>
      </c>
      <c r="AT5294" s="3" t="s">
        <v>64</v>
      </c>
      <c r="AV5294" s="6" t="str">
        <f>HYPERLINK("http://mcgill.on.worldcat.org/oclc/604920334","Catalog Record")</f>
        <v>Catalog Record</v>
      </c>
      <c r="AW5294" s="6" t="str">
        <f>HYPERLINK("http://www.worldcat.org/oclc/604920334","WorldCat Record")</f>
        <v>WorldCat Record</v>
      </c>
      <c r="AX5294" s="3" t="s">
        <v>51636</v>
      </c>
      <c r="AY5294" s="3" t="s">
        <v>51637</v>
      </c>
      <c r="AZ5294" s="3" t="s">
        <v>51638</v>
      </c>
      <c r="BA5294" s="3" t="s">
        <v>51638</v>
      </c>
      <c r="BB5294" s="3" t="s">
        <v>51639</v>
      </c>
      <c r="BC5294" s="3" t="s">
        <v>77</v>
      </c>
      <c r="BD5294" s="3" t="s">
        <v>78</v>
      </c>
      <c r="BE5294" s="3" t="s">
        <v>51640</v>
      </c>
      <c r="BF5294" s="3" t="s">
        <v>51639</v>
      </c>
      <c r="BG5294" s="3" t="s">
        <v>51641</v>
      </c>
      <c r="BH5294">
        <f t="shared" si="164"/>
        <v>0</v>
      </c>
    </row>
    <row r="5295" spans="1:60" ht="58" x14ac:dyDescent="0.35">
      <c r="A5295" s="2" t="s">
        <v>59</v>
      </c>
      <c r="B5295" s="2" t="s">
        <v>60</v>
      </c>
      <c r="C5295" s="2" t="s">
        <v>51642</v>
      </c>
      <c r="D5295" s="2" t="s">
        <v>51643</v>
      </c>
      <c r="E5295" s="2" t="s">
        <v>51644</v>
      </c>
      <c r="G5295" s="3" t="s">
        <v>64</v>
      </c>
      <c r="I5295" s="3" t="s">
        <v>64</v>
      </c>
      <c r="J5295" s="3" t="s">
        <v>64</v>
      </c>
      <c r="K5295" s="3" t="s">
        <v>65</v>
      </c>
      <c r="L5295" s="2" t="s">
        <v>51645</v>
      </c>
      <c r="M5295" s="2" t="s">
        <v>51646</v>
      </c>
      <c r="N5295" s="3" t="s">
        <v>537</v>
      </c>
      <c r="P5295" s="3" t="s">
        <v>68</v>
      </c>
      <c r="Q5295" s="2" t="s">
        <v>51647</v>
      </c>
      <c r="R5295" s="3" t="s">
        <v>49178</v>
      </c>
      <c r="S5295" s="4">
        <v>0</v>
      </c>
      <c r="T5295" s="4">
        <v>0</v>
      </c>
      <c r="W5295" s="5" t="s">
        <v>72</v>
      </c>
      <c r="X5295" s="5" t="s">
        <v>72</v>
      </c>
      <c r="Y5295" s="4">
        <v>5</v>
      </c>
      <c r="Z5295" s="4">
        <v>4</v>
      </c>
      <c r="AA5295" s="4">
        <v>25</v>
      </c>
      <c r="AB5295" s="4">
        <v>1</v>
      </c>
      <c r="AC5295" s="4">
        <v>17</v>
      </c>
      <c r="AD5295" s="4">
        <v>2</v>
      </c>
      <c r="AE5295" s="4">
        <v>7</v>
      </c>
      <c r="AF5295" s="4">
        <v>0</v>
      </c>
      <c r="AG5295" s="4">
        <v>4</v>
      </c>
      <c r="AH5295" s="4">
        <v>2</v>
      </c>
      <c r="AI5295" s="4">
        <v>3</v>
      </c>
      <c r="AJ5295" s="4">
        <v>2</v>
      </c>
      <c r="AK5295" s="4">
        <v>6</v>
      </c>
      <c r="AL5295" s="4">
        <v>1</v>
      </c>
      <c r="AM5295" s="4">
        <v>1</v>
      </c>
      <c r="AN5295" s="4">
        <v>0</v>
      </c>
      <c r="AO5295" s="4">
        <v>0</v>
      </c>
      <c r="AP5295" s="4">
        <v>2</v>
      </c>
      <c r="AQ5295" s="4">
        <v>5</v>
      </c>
      <c r="AR5295" s="3" t="s">
        <v>128</v>
      </c>
      <c r="AS5295" s="3" t="s">
        <v>64</v>
      </c>
      <c r="AT5295" s="3" t="s">
        <v>64</v>
      </c>
      <c r="AV5295" s="6" t="str">
        <f>HYPERLINK("http://mcgill.on.worldcat.org/oclc/931502601","Catalog Record")</f>
        <v>Catalog Record</v>
      </c>
      <c r="AW5295" s="6" t="str">
        <f>HYPERLINK("http://www.worldcat.org/oclc/931502601","WorldCat Record")</f>
        <v>WorldCat Record</v>
      </c>
      <c r="AX5295" s="3" t="s">
        <v>51648</v>
      </c>
      <c r="AY5295" s="3" t="s">
        <v>51649</v>
      </c>
      <c r="AZ5295" s="3" t="s">
        <v>51650</v>
      </c>
      <c r="BA5295" s="3" t="s">
        <v>51650</v>
      </c>
      <c r="BB5295" s="3" t="s">
        <v>51651</v>
      </c>
      <c r="BC5295" s="3" t="s">
        <v>77</v>
      </c>
      <c r="BD5295" s="3" t="s">
        <v>78</v>
      </c>
      <c r="BE5295" s="3" t="s">
        <v>51652</v>
      </c>
      <c r="BF5295" s="3" t="s">
        <v>51651</v>
      </c>
      <c r="BG5295" s="3" t="s">
        <v>51653</v>
      </c>
      <c r="BH5295">
        <f t="shared" si="164"/>
        <v>0</v>
      </c>
    </row>
    <row r="5296" spans="1:60" ht="58" x14ac:dyDescent="0.35">
      <c r="A5296" s="2" t="s">
        <v>59</v>
      </c>
      <c r="B5296" s="2" t="s">
        <v>60</v>
      </c>
      <c r="C5296" s="2" t="s">
        <v>51654</v>
      </c>
      <c r="D5296" s="2" t="s">
        <v>51655</v>
      </c>
      <c r="E5296" s="2" t="s">
        <v>51656</v>
      </c>
      <c r="G5296" s="3" t="s">
        <v>64</v>
      </c>
      <c r="I5296" s="3" t="s">
        <v>64</v>
      </c>
      <c r="J5296" s="3" t="s">
        <v>64</v>
      </c>
      <c r="K5296" s="3" t="s">
        <v>65</v>
      </c>
      <c r="L5296" s="2" t="s">
        <v>51657</v>
      </c>
      <c r="M5296" s="2" t="s">
        <v>51658</v>
      </c>
      <c r="N5296" s="3" t="s">
        <v>511</v>
      </c>
      <c r="O5296" s="2" t="s">
        <v>2994</v>
      </c>
      <c r="P5296" s="3" t="s">
        <v>102</v>
      </c>
      <c r="R5296" s="3" t="s">
        <v>49178</v>
      </c>
      <c r="S5296" s="4">
        <v>6</v>
      </c>
      <c r="T5296" s="4">
        <v>6</v>
      </c>
      <c r="U5296" s="5" t="s">
        <v>51659</v>
      </c>
      <c r="V5296" s="5" t="s">
        <v>51659</v>
      </c>
      <c r="W5296" s="5" t="s">
        <v>72</v>
      </c>
      <c r="X5296" s="5" t="s">
        <v>72</v>
      </c>
      <c r="Y5296" s="4">
        <v>506</v>
      </c>
      <c r="Z5296" s="4">
        <v>30</v>
      </c>
      <c r="AA5296" s="4">
        <v>179</v>
      </c>
      <c r="AB5296" s="4">
        <v>1</v>
      </c>
      <c r="AC5296" s="4">
        <v>26</v>
      </c>
      <c r="AD5296" s="4">
        <v>32</v>
      </c>
      <c r="AE5296" s="4">
        <v>132</v>
      </c>
      <c r="AF5296" s="4">
        <v>0</v>
      </c>
      <c r="AG5296" s="4">
        <v>9</v>
      </c>
      <c r="AH5296" s="4">
        <v>27</v>
      </c>
      <c r="AI5296" s="4">
        <v>87</v>
      </c>
      <c r="AJ5296" s="4">
        <v>5</v>
      </c>
      <c r="AK5296" s="4">
        <v>23</v>
      </c>
      <c r="AL5296" s="4">
        <v>17</v>
      </c>
      <c r="AM5296" s="4">
        <v>45</v>
      </c>
      <c r="AN5296" s="4">
        <v>0</v>
      </c>
      <c r="AO5296" s="4">
        <v>0</v>
      </c>
      <c r="AP5296" s="4">
        <v>8</v>
      </c>
      <c r="AQ5296" s="4">
        <v>50</v>
      </c>
      <c r="AR5296" s="3" t="s">
        <v>64</v>
      </c>
      <c r="AS5296" s="3" t="s">
        <v>64</v>
      </c>
      <c r="AT5296" s="3" t="s">
        <v>128</v>
      </c>
      <c r="AU5296" s="6" t="str">
        <f>HYPERLINK("http://catalog.hathitrust.org/Record/007485394","HathiTrust Record")</f>
        <v>HathiTrust Record</v>
      </c>
      <c r="AV5296" s="6" t="str">
        <f>HYPERLINK("http://mcgill.on.worldcat.org/oclc/440563027","Catalog Record")</f>
        <v>Catalog Record</v>
      </c>
      <c r="AW5296" s="6" t="str">
        <f>HYPERLINK("http://www.worldcat.org/oclc/440563027","WorldCat Record")</f>
        <v>WorldCat Record</v>
      </c>
      <c r="AX5296" s="3" t="s">
        <v>51660</v>
      </c>
      <c r="AY5296" s="3" t="s">
        <v>51661</v>
      </c>
      <c r="AZ5296" s="3" t="s">
        <v>51662</v>
      </c>
      <c r="BA5296" s="3" t="s">
        <v>51662</v>
      </c>
      <c r="BB5296" s="3" t="s">
        <v>51663</v>
      </c>
      <c r="BC5296" s="3" t="s">
        <v>77</v>
      </c>
      <c r="BD5296" s="3" t="s">
        <v>78</v>
      </c>
      <c r="BE5296" s="3" t="s">
        <v>51664</v>
      </c>
      <c r="BF5296" s="3" t="s">
        <v>51663</v>
      </c>
      <c r="BG5296" s="3" t="s">
        <v>51665</v>
      </c>
      <c r="BH5296">
        <f t="shared" si="164"/>
        <v>0</v>
      </c>
    </row>
    <row r="5297" spans="1:60" ht="58" x14ac:dyDescent="0.35">
      <c r="A5297" s="2" t="s">
        <v>59</v>
      </c>
      <c r="B5297" s="2" t="s">
        <v>60</v>
      </c>
      <c r="C5297" s="2" t="s">
        <v>51666</v>
      </c>
      <c r="D5297" s="2" t="s">
        <v>51667</v>
      </c>
      <c r="E5297" s="2" t="s">
        <v>51668</v>
      </c>
      <c r="G5297" s="3" t="s">
        <v>64</v>
      </c>
      <c r="I5297" s="3" t="s">
        <v>64</v>
      </c>
      <c r="J5297" s="3" t="s">
        <v>64</v>
      </c>
      <c r="K5297" s="3" t="s">
        <v>65</v>
      </c>
      <c r="L5297" s="2" t="s">
        <v>51669</v>
      </c>
      <c r="M5297" s="2" t="s">
        <v>15422</v>
      </c>
      <c r="N5297" s="3" t="s">
        <v>511</v>
      </c>
      <c r="P5297" s="3" t="s">
        <v>102</v>
      </c>
      <c r="Q5297" s="2" t="s">
        <v>51670</v>
      </c>
      <c r="R5297" s="3" t="s">
        <v>49178</v>
      </c>
      <c r="S5297" s="4">
        <v>3</v>
      </c>
      <c r="T5297" s="4">
        <v>3</v>
      </c>
      <c r="U5297" s="5" t="s">
        <v>16608</v>
      </c>
      <c r="V5297" s="5" t="s">
        <v>16608</v>
      </c>
      <c r="W5297" s="5" t="s">
        <v>72</v>
      </c>
      <c r="X5297" s="5" t="s">
        <v>72</v>
      </c>
      <c r="Y5297" s="4">
        <v>47</v>
      </c>
      <c r="Z5297" s="4">
        <v>7</v>
      </c>
      <c r="AA5297" s="4">
        <v>27</v>
      </c>
      <c r="AB5297" s="4">
        <v>1</v>
      </c>
      <c r="AC5297" s="4">
        <v>7</v>
      </c>
      <c r="AD5297" s="4">
        <v>14</v>
      </c>
      <c r="AE5297" s="4">
        <v>60</v>
      </c>
      <c r="AF5297" s="4">
        <v>0</v>
      </c>
      <c r="AG5297" s="4">
        <v>3</v>
      </c>
      <c r="AH5297" s="4">
        <v>12</v>
      </c>
      <c r="AI5297" s="4">
        <v>48</v>
      </c>
      <c r="AJ5297" s="4">
        <v>3</v>
      </c>
      <c r="AK5297" s="4">
        <v>14</v>
      </c>
      <c r="AL5297" s="4">
        <v>6</v>
      </c>
      <c r="AM5297" s="4">
        <v>26</v>
      </c>
      <c r="AN5297" s="4">
        <v>0</v>
      </c>
      <c r="AO5297" s="4">
        <v>0</v>
      </c>
      <c r="AP5297" s="4">
        <v>5</v>
      </c>
      <c r="AQ5297" s="4">
        <v>18</v>
      </c>
      <c r="AR5297" s="3" t="s">
        <v>64</v>
      </c>
      <c r="AS5297" s="3" t="s">
        <v>64</v>
      </c>
      <c r="AT5297" s="3" t="s">
        <v>64</v>
      </c>
      <c r="AV5297" s="6" t="str">
        <f>HYPERLINK("http://mcgill.on.worldcat.org/oclc/401167355","Catalog Record")</f>
        <v>Catalog Record</v>
      </c>
      <c r="AW5297" s="6" t="str">
        <f>HYPERLINK("http://www.worldcat.org/oclc/401167355","WorldCat Record")</f>
        <v>WorldCat Record</v>
      </c>
      <c r="AX5297" s="3" t="s">
        <v>51671</v>
      </c>
      <c r="AY5297" s="3" t="s">
        <v>51672</v>
      </c>
      <c r="AZ5297" s="3" t="s">
        <v>51673</v>
      </c>
      <c r="BA5297" s="3" t="s">
        <v>51673</v>
      </c>
      <c r="BB5297" s="3" t="s">
        <v>51674</v>
      </c>
      <c r="BC5297" s="3" t="s">
        <v>77</v>
      </c>
      <c r="BD5297" s="3" t="s">
        <v>78</v>
      </c>
      <c r="BE5297" s="3" t="s">
        <v>51675</v>
      </c>
      <c r="BF5297" s="3" t="s">
        <v>51674</v>
      </c>
      <c r="BG5297" s="3" t="s">
        <v>51676</v>
      </c>
      <c r="BH5297">
        <f t="shared" si="164"/>
        <v>0</v>
      </c>
    </row>
    <row r="5298" spans="1:60" ht="58" x14ac:dyDescent="0.35">
      <c r="A5298" s="2" t="s">
        <v>59</v>
      </c>
      <c r="B5298" s="2" t="s">
        <v>60</v>
      </c>
      <c r="C5298" s="2" t="s">
        <v>51677</v>
      </c>
      <c r="D5298" s="2" t="s">
        <v>51678</v>
      </c>
      <c r="E5298" s="2" t="s">
        <v>51679</v>
      </c>
      <c r="G5298" s="3" t="s">
        <v>64</v>
      </c>
      <c r="I5298" s="3" t="s">
        <v>64</v>
      </c>
      <c r="J5298" s="3" t="s">
        <v>64</v>
      </c>
      <c r="K5298" s="3" t="s">
        <v>65</v>
      </c>
      <c r="M5298" s="2" t="s">
        <v>51680</v>
      </c>
      <c r="N5298" s="3" t="s">
        <v>511</v>
      </c>
      <c r="P5298" s="3" t="s">
        <v>68</v>
      </c>
      <c r="R5298" s="3" t="s">
        <v>49178</v>
      </c>
      <c r="S5298" s="4">
        <v>1</v>
      </c>
      <c r="T5298" s="4">
        <v>1</v>
      </c>
      <c r="U5298" s="5" t="s">
        <v>18078</v>
      </c>
      <c r="V5298" s="5" t="s">
        <v>18078</v>
      </c>
      <c r="W5298" s="5" t="s">
        <v>72</v>
      </c>
      <c r="X5298" s="5" t="s">
        <v>72</v>
      </c>
      <c r="Y5298" s="4">
        <v>29</v>
      </c>
      <c r="Z5298" s="4">
        <v>17</v>
      </c>
      <c r="AA5298" s="4">
        <v>45</v>
      </c>
      <c r="AB5298" s="4">
        <v>10</v>
      </c>
      <c r="AC5298" s="4">
        <v>13</v>
      </c>
      <c r="AD5298" s="4">
        <v>11</v>
      </c>
      <c r="AE5298" s="4">
        <v>32</v>
      </c>
      <c r="AF5298" s="4">
        <v>5</v>
      </c>
      <c r="AG5298" s="4">
        <v>6</v>
      </c>
      <c r="AH5298" s="4">
        <v>4</v>
      </c>
      <c r="AI5298" s="4">
        <v>14</v>
      </c>
      <c r="AJ5298" s="4">
        <v>10</v>
      </c>
      <c r="AK5298" s="4">
        <v>17</v>
      </c>
      <c r="AL5298" s="4">
        <v>0</v>
      </c>
      <c r="AM5298" s="4">
        <v>3</v>
      </c>
      <c r="AN5298" s="4">
        <v>0</v>
      </c>
      <c r="AO5298" s="4">
        <v>0</v>
      </c>
      <c r="AP5298" s="4">
        <v>9</v>
      </c>
      <c r="AQ5298" s="4">
        <v>24</v>
      </c>
      <c r="AR5298" s="3" t="s">
        <v>128</v>
      </c>
      <c r="AS5298" s="3" t="s">
        <v>64</v>
      </c>
      <c r="AT5298" s="3" t="s">
        <v>64</v>
      </c>
      <c r="AV5298" s="6" t="str">
        <f>HYPERLINK("http://mcgill.on.worldcat.org/oclc/565931085","Catalog Record")</f>
        <v>Catalog Record</v>
      </c>
      <c r="AW5298" s="6" t="str">
        <f>HYPERLINK("http://www.worldcat.org/oclc/565931085","WorldCat Record")</f>
        <v>WorldCat Record</v>
      </c>
      <c r="AX5298" s="3" t="s">
        <v>51681</v>
      </c>
      <c r="AY5298" s="3" t="s">
        <v>51682</v>
      </c>
      <c r="AZ5298" s="3" t="s">
        <v>51683</v>
      </c>
      <c r="BA5298" s="3" t="s">
        <v>51683</v>
      </c>
      <c r="BB5298" s="3" t="s">
        <v>51684</v>
      </c>
      <c r="BC5298" s="3" t="s">
        <v>77</v>
      </c>
      <c r="BD5298" s="3" t="s">
        <v>78</v>
      </c>
      <c r="BE5298" s="3" t="s">
        <v>51685</v>
      </c>
      <c r="BF5298" s="3" t="s">
        <v>51684</v>
      </c>
      <c r="BG5298" s="3" t="s">
        <v>51686</v>
      </c>
      <c r="BH5298">
        <f t="shared" si="164"/>
        <v>0</v>
      </c>
    </row>
    <row r="5299" spans="1:60" ht="58" x14ac:dyDescent="0.35">
      <c r="A5299" s="2" t="s">
        <v>59</v>
      </c>
      <c r="B5299" s="2" t="s">
        <v>60</v>
      </c>
      <c r="C5299" s="2" t="s">
        <v>51687</v>
      </c>
      <c r="D5299" s="2" t="s">
        <v>51688</v>
      </c>
      <c r="E5299" s="2" t="s">
        <v>51689</v>
      </c>
      <c r="G5299" s="3" t="s">
        <v>64</v>
      </c>
      <c r="I5299" s="3" t="s">
        <v>64</v>
      </c>
      <c r="J5299" s="3" t="s">
        <v>64</v>
      </c>
      <c r="K5299" s="3" t="s">
        <v>65</v>
      </c>
      <c r="L5299" s="2" t="s">
        <v>51690</v>
      </c>
      <c r="M5299" s="2" t="s">
        <v>17620</v>
      </c>
      <c r="N5299" s="3" t="s">
        <v>326</v>
      </c>
      <c r="P5299" s="3" t="s">
        <v>102</v>
      </c>
      <c r="R5299" s="3" t="s">
        <v>49178</v>
      </c>
      <c r="S5299" s="4">
        <v>7</v>
      </c>
      <c r="T5299" s="4">
        <v>7</v>
      </c>
      <c r="U5299" s="5" t="s">
        <v>51691</v>
      </c>
      <c r="V5299" s="5" t="s">
        <v>51691</v>
      </c>
      <c r="W5299" s="5" t="s">
        <v>72</v>
      </c>
      <c r="X5299" s="5" t="s">
        <v>72</v>
      </c>
      <c r="Y5299" s="4">
        <v>110</v>
      </c>
      <c r="Z5299" s="4">
        <v>10</v>
      </c>
      <c r="AA5299" s="4">
        <v>43</v>
      </c>
      <c r="AB5299" s="4">
        <v>2</v>
      </c>
      <c r="AC5299" s="4">
        <v>10</v>
      </c>
      <c r="AD5299" s="4">
        <v>35</v>
      </c>
      <c r="AE5299" s="4">
        <v>51</v>
      </c>
      <c r="AF5299" s="4">
        <v>1</v>
      </c>
      <c r="AG5299" s="4">
        <v>3</v>
      </c>
      <c r="AH5299" s="4">
        <v>30</v>
      </c>
      <c r="AI5299" s="4">
        <v>40</v>
      </c>
      <c r="AJ5299" s="4">
        <v>7</v>
      </c>
      <c r="AK5299" s="4">
        <v>12</v>
      </c>
      <c r="AL5299" s="4">
        <v>21</v>
      </c>
      <c r="AM5299" s="4">
        <v>26</v>
      </c>
      <c r="AN5299" s="4">
        <v>0</v>
      </c>
      <c r="AO5299" s="4">
        <v>0</v>
      </c>
      <c r="AP5299" s="4">
        <v>8</v>
      </c>
      <c r="AQ5299" s="4">
        <v>16</v>
      </c>
      <c r="AR5299" s="3" t="s">
        <v>64</v>
      </c>
      <c r="AS5299" s="3" t="s">
        <v>64</v>
      </c>
      <c r="AT5299" s="3" t="s">
        <v>64</v>
      </c>
      <c r="AV5299" s="6" t="str">
        <f>HYPERLINK("http://mcgill.on.worldcat.org/oclc/698450401","Catalog Record")</f>
        <v>Catalog Record</v>
      </c>
      <c r="AW5299" s="6" t="str">
        <f>HYPERLINK("http://www.worldcat.org/oclc/698450401","WorldCat Record")</f>
        <v>WorldCat Record</v>
      </c>
      <c r="AX5299" s="3" t="s">
        <v>51692</v>
      </c>
      <c r="AY5299" s="3" t="s">
        <v>51693</v>
      </c>
      <c r="AZ5299" s="3" t="s">
        <v>51694</v>
      </c>
      <c r="BA5299" s="3" t="s">
        <v>51694</v>
      </c>
      <c r="BB5299" s="3" t="s">
        <v>51695</v>
      </c>
      <c r="BC5299" s="3" t="s">
        <v>77</v>
      </c>
      <c r="BD5299" s="3" t="s">
        <v>78</v>
      </c>
      <c r="BE5299" s="3" t="s">
        <v>51696</v>
      </c>
      <c r="BF5299" s="3" t="s">
        <v>51695</v>
      </c>
      <c r="BG5299" s="3" t="s">
        <v>51697</v>
      </c>
      <c r="BH5299">
        <f t="shared" si="164"/>
        <v>0</v>
      </c>
    </row>
    <row r="5300" spans="1:60" ht="58" x14ac:dyDescent="0.35">
      <c r="A5300" s="2" t="s">
        <v>59</v>
      </c>
      <c r="B5300" s="2" t="s">
        <v>60</v>
      </c>
      <c r="C5300" s="2" t="s">
        <v>51698</v>
      </c>
      <c r="D5300" s="2" t="s">
        <v>51699</v>
      </c>
      <c r="E5300" s="2" t="s">
        <v>51700</v>
      </c>
      <c r="G5300" s="3" t="s">
        <v>64</v>
      </c>
      <c r="I5300" s="3" t="s">
        <v>128</v>
      </c>
      <c r="J5300" s="3" t="s">
        <v>64</v>
      </c>
      <c r="K5300" s="3" t="s">
        <v>65</v>
      </c>
      <c r="L5300" s="2" t="s">
        <v>51701</v>
      </c>
      <c r="M5300" s="2" t="s">
        <v>4095</v>
      </c>
      <c r="N5300" s="3" t="s">
        <v>253</v>
      </c>
      <c r="P5300" s="3" t="s">
        <v>102</v>
      </c>
      <c r="R5300" s="3" t="s">
        <v>49178</v>
      </c>
      <c r="S5300" s="4">
        <v>2</v>
      </c>
      <c r="T5300" s="4">
        <v>3</v>
      </c>
      <c r="U5300" s="5" t="s">
        <v>19593</v>
      </c>
      <c r="V5300" s="5" t="s">
        <v>51702</v>
      </c>
      <c r="W5300" s="5" t="s">
        <v>72</v>
      </c>
      <c r="X5300" s="5" t="s">
        <v>72</v>
      </c>
      <c r="Y5300" s="4">
        <v>580</v>
      </c>
      <c r="Z5300" s="4">
        <v>18</v>
      </c>
      <c r="AA5300" s="4">
        <v>23</v>
      </c>
      <c r="AB5300" s="4">
        <v>2</v>
      </c>
      <c r="AC5300" s="4">
        <v>6</v>
      </c>
      <c r="AD5300" s="4">
        <v>48</v>
      </c>
      <c r="AE5300" s="4">
        <v>53</v>
      </c>
      <c r="AF5300" s="4">
        <v>1</v>
      </c>
      <c r="AG5300" s="4">
        <v>2</v>
      </c>
      <c r="AH5300" s="4">
        <v>44</v>
      </c>
      <c r="AI5300" s="4">
        <v>47</v>
      </c>
      <c r="AJ5300" s="4">
        <v>4</v>
      </c>
      <c r="AK5300" s="4">
        <v>6</v>
      </c>
      <c r="AL5300" s="4">
        <v>22</v>
      </c>
      <c r="AM5300" s="4">
        <v>24</v>
      </c>
      <c r="AN5300" s="4">
        <v>0</v>
      </c>
      <c r="AO5300" s="4">
        <v>0</v>
      </c>
      <c r="AP5300" s="4">
        <v>6</v>
      </c>
      <c r="AQ5300" s="4">
        <v>7</v>
      </c>
      <c r="AR5300" s="3" t="s">
        <v>64</v>
      </c>
      <c r="AS5300" s="3" t="s">
        <v>64</v>
      </c>
      <c r="AT5300" s="3" t="s">
        <v>64</v>
      </c>
      <c r="AV5300" s="6" t="str">
        <f>HYPERLINK("http://mcgill.on.worldcat.org/oclc/908990886","Catalog Record")</f>
        <v>Catalog Record</v>
      </c>
      <c r="AW5300" s="6" t="str">
        <f>HYPERLINK("http://www.worldcat.org/oclc/908990886","WorldCat Record")</f>
        <v>WorldCat Record</v>
      </c>
      <c r="AX5300" s="3" t="s">
        <v>51703</v>
      </c>
      <c r="AY5300" s="3" t="s">
        <v>51704</v>
      </c>
      <c r="AZ5300" s="3" t="s">
        <v>51705</v>
      </c>
      <c r="BA5300" s="3" t="s">
        <v>51705</v>
      </c>
      <c r="BB5300" s="3" t="s">
        <v>51706</v>
      </c>
      <c r="BC5300" s="3" t="s">
        <v>77</v>
      </c>
      <c r="BD5300" s="3" t="s">
        <v>78</v>
      </c>
      <c r="BE5300" s="3" t="s">
        <v>51707</v>
      </c>
      <c r="BF5300" s="3" t="s">
        <v>51706</v>
      </c>
      <c r="BG5300" s="3" t="s">
        <v>51708</v>
      </c>
      <c r="BH5300">
        <f t="shared" si="164"/>
        <v>0</v>
      </c>
    </row>
    <row r="5301" spans="1:60" ht="58" x14ac:dyDescent="0.35">
      <c r="A5301" s="2" t="s">
        <v>59</v>
      </c>
      <c r="B5301" s="2" t="s">
        <v>60</v>
      </c>
      <c r="C5301" s="2" t="s">
        <v>51709</v>
      </c>
      <c r="D5301" s="2" t="s">
        <v>51710</v>
      </c>
      <c r="E5301" s="2" t="s">
        <v>51711</v>
      </c>
      <c r="G5301" s="3" t="s">
        <v>64</v>
      </c>
      <c r="I5301" s="3" t="s">
        <v>64</v>
      </c>
      <c r="J5301" s="3" t="s">
        <v>64</v>
      </c>
      <c r="K5301" s="3" t="s">
        <v>65</v>
      </c>
      <c r="M5301" s="2" t="s">
        <v>49985</v>
      </c>
      <c r="N5301" s="3" t="s">
        <v>86</v>
      </c>
      <c r="O5301" s="2" t="s">
        <v>2149</v>
      </c>
      <c r="P5301" s="3" t="s">
        <v>102</v>
      </c>
      <c r="Q5301" s="2" t="s">
        <v>14685</v>
      </c>
      <c r="R5301" s="3" t="s">
        <v>49178</v>
      </c>
      <c r="S5301" s="4">
        <v>4</v>
      </c>
      <c r="T5301" s="4">
        <v>4</v>
      </c>
      <c r="U5301" s="5" t="s">
        <v>8834</v>
      </c>
      <c r="V5301" s="5" t="s">
        <v>8834</v>
      </c>
      <c r="W5301" s="5" t="s">
        <v>72</v>
      </c>
      <c r="X5301" s="5" t="s">
        <v>72</v>
      </c>
      <c r="Y5301" s="4">
        <v>73</v>
      </c>
      <c r="Z5301" s="4">
        <v>6</v>
      </c>
      <c r="AA5301" s="4">
        <v>81</v>
      </c>
      <c r="AB5301" s="4">
        <v>2</v>
      </c>
      <c r="AC5301" s="4">
        <v>14</v>
      </c>
      <c r="AD5301" s="4">
        <v>23</v>
      </c>
      <c r="AE5301" s="4">
        <v>109</v>
      </c>
      <c r="AF5301" s="4">
        <v>1</v>
      </c>
      <c r="AG5301" s="4">
        <v>8</v>
      </c>
      <c r="AH5301" s="4">
        <v>21</v>
      </c>
      <c r="AI5301" s="4">
        <v>73</v>
      </c>
      <c r="AJ5301" s="4">
        <v>5</v>
      </c>
      <c r="AK5301" s="4">
        <v>19</v>
      </c>
      <c r="AL5301" s="4">
        <v>15</v>
      </c>
      <c r="AM5301" s="4">
        <v>38</v>
      </c>
      <c r="AN5301" s="4">
        <v>0</v>
      </c>
      <c r="AO5301" s="4">
        <v>0</v>
      </c>
      <c r="AP5301" s="4">
        <v>5</v>
      </c>
      <c r="AQ5301" s="4">
        <v>41</v>
      </c>
      <c r="AR5301" s="3" t="s">
        <v>64</v>
      </c>
      <c r="AS5301" s="3" t="s">
        <v>64</v>
      </c>
      <c r="AT5301" s="3" t="s">
        <v>64</v>
      </c>
      <c r="AV5301" s="6" t="str">
        <f>HYPERLINK("http://mcgill.on.worldcat.org/oclc/756592995","Catalog Record")</f>
        <v>Catalog Record</v>
      </c>
      <c r="AW5301" s="6" t="str">
        <f>HYPERLINK("http://www.worldcat.org/oclc/756592995","WorldCat Record")</f>
        <v>WorldCat Record</v>
      </c>
      <c r="AX5301" s="3" t="s">
        <v>51712</v>
      </c>
      <c r="AY5301" s="3" t="s">
        <v>51713</v>
      </c>
      <c r="AZ5301" s="3" t="s">
        <v>51714</v>
      </c>
      <c r="BA5301" s="3" t="s">
        <v>51714</v>
      </c>
      <c r="BB5301" s="3" t="s">
        <v>51715</v>
      </c>
      <c r="BC5301" s="3" t="s">
        <v>77</v>
      </c>
      <c r="BD5301" s="3" t="s">
        <v>78</v>
      </c>
      <c r="BE5301" s="3" t="s">
        <v>51716</v>
      </c>
      <c r="BF5301" s="3" t="s">
        <v>51715</v>
      </c>
      <c r="BG5301" s="3" t="s">
        <v>51717</v>
      </c>
      <c r="BH5301">
        <f t="shared" si="164"/>
        <v>0</v>
      </c>
    </row>
    <row r="5302" spans="1:60" ht="58" x14ac:dyDescent="0.35">
      <c r="A5302" s="2" t="s">
        <v>59</v>
      </c>
      <c r="B5302" s="2" t="s">
        <v>60</v>
      </c>
      <c r="C5302" s="2" t="s">
        <v>51718</v>
      </c>
      <c r="D5302" s="2" t="s">
        <v>51719</v>
      </c>
      <c r="E5302" s="2" t="s">
        <v>51720</v>
      </c>
      <c r="G5302" s="3" t="s">
        <v>64</v>
      </c>
      <c r="I5302" s="3" t="s">
        <v>64</v>
      </c>
      <c r="J5302" s="3" t="s">
        <v>64</v>
      </c>
      <c r="K5302" s="3" t="s">
        <v>65</v>
      </c>
      <c r="L5302" s="2" t="s">
        <v>51721</v>
      </c>
      <c r="M5302" s="2" t="s">
        <v>51722</v>
      </c>
      <c r="N5302" s="3" t="s">
        <v>190</v>
      </c>
      <c r="P5302" s="3" t="s">
        <v>102</v>
      </c>
      <c r="Q5302" s="2" t="s">
        <v>51723</v>
      </c>
      <c r="R5302" s="3" t="s">
        <v>49178</v>
      </c>
      <c r="S5302" s="4">
        <v>0</v>
      </c>
      <c r="T5302" s="4">
        <v>0</v>
      </c>
      <c r="W5302" s="5" t="s">
        <v>72</v>
      </c>
      <c r="X5302" s="5" t="s">
        <v>72</v>
      </c>
      <c r="Y5302" s="4">
        <v>12</v>
      </c>
      <c r="Z5302" s="4">
        <v>1</v>
      </c>
      <c r="AA5302" s="4">
        <v>12</v>
      </c>
      <c r="AB5302" s="4">
        <v>1</v>
      </c>
      <c r="AC5302" s="4">
        <v>5</v>
      </c>
      <c r="AD5302" s="4">
        <v>6</v>
      </c>
      <c r="AE5302" s="4">
        <v>32</v>
      </c>
      <c r="AF5302" s="4">
        <v>0</v>
      </c>
      <c r="AG5302" s="4">
        <v>2</v>
      </c>
      <c r="AH5302" s="4">
        <v>6</v>
      </c>
      <c r="AI5302" s="4">
        <v>27</v>
      </c>
      <c r="AJ5302" s="4">
        <v>0</v>
      </c>
      <c r="AK5302" s="4">
        <v>9</v>
      </c>
      <c r="AL5302" s="4">
        <v>6</v>
      </c>
      <c r="AM5302" s="4">
        <v>19</v>
      </c>
      <c r="AN5302" s="4">
        <v>0</v>
      </c>
      <c r="AO5302" s="4">
        <v>0</v>
      </c>
      <c r="AP5302" s="4">
        <v>0</v>
      </c>
      <c r="AQ5302" s="4">
        <v>8</v>
      </c>
      <c r="AR5302" s="3" t="s">
        <v>64</v>
      </c>
      <c r="AS5302" s="3" t="s">
        <v>64</v>
      </c>
      <c r="AT5302" s="3" t="s">
        <v>64</v>
      </c>
      <c r="AV5302" s="6" t="str">
        <f>HYPERLINK("http://mcgill.on.worldcat.org/oclc/1091029654","Catalog Record")</f>
        <v>Catalog Record</v>
      </c>
      <c r="AW5302" s="6" t="str">
        <f>HYPERLINK("http://www.worldcat.org/oclc/1091029654","WorldCat Record")</f>
        <v>WorldCat Record</v>
      </c>
      <c r="AX5302" s="3" t="s">
        <v>51724</v>
      </c>
      <c r="AY5302" s="3" t="s">
        <v>51725</v>
      </c>
      <c r="AZ5302" s="3" t="s">
        <v>51726</v>
      </c>
      <c r="BA5302" s="3" t="s">
        <v>51726</v>
      </c>
      <c r="BB5302" s="3" t="s">
        <v>51727</v>
      </c>
      <c r="BC5302" s="3" t="s">
        <v>77</v>
      </c>
      <c r="BD5302" s="3" t="s">
        <v>78</v>
      </c>
      <c r="BE5302" s="3" t="s">
        <v>51728</v>
      </c>
      <c r="BF5302" s="3" t="s">
        <v>51727</v>
      </c>
      <c r="BG5302" s="3" t="s">
        <v>51729</v>
      </c>
      <c r="BH5302">
        <f t="shared" si="164"/>
        <v>0</v>
      </c>
    </row>
    <row r="5303" spans="1:60" ht="58" x14ac:dyDescent="0.35">
      <c r="A5303" s="2" t="s">
        <v>59</v>
      </c>
      <c r="B5303" s="2" t="s">
        <v>60</v>
      </c>
      <c r="C5303" s="2" t="s">
        <v>51730</v>
      </c>
      <c r="D5303" s="2" t="s">
        <v>51731</v>
      </c>
      <c r="E5303" s="2" t="s">
        <v>51732</v>
      </c>
      <c r="G5303" s="3" t="s">
        <v>64</v>
      </c>
      <c r="I5303" s="3" t="s">
        <v>64</v>
      </c>
      <c r="J5303" s="3" t="s">
        <v>64</v>
      </c>
      <c r="K5303" s="3" t="s">
        <v>65</v>
      </c>
      <c r="L5303" s="2" t="s">
        <v>14870</v>
      </c>
      <c r="M5303" s="2" t="s">
        <v>51733</v>
      </c>
      <c r="N5303" s="3" t="s">
        <v>116</v>
      </c>
      <c r="P5303" s="3" t="s">
        <v>102</v>
      </c>
      <c r="Q5303" s="2" t="s">
        <v>14110</v>
      </c>
      <c r="R5303" s="3" t="s">
        <v>49178</v>
      </c>
      <c r="S5303" s="4">
        <v>21</v>
      </c>
      <c r="T5303" s="4">
        <v>21</v>
      </c>
      <c r="U5303" s="5" t="s">
        <v>5519</v>
      </c>
      <c r="V5303" s="5" t="s">
        <v>5519</v>
      </c>
      <c r="W5303" s="5" t="s">
        <v>72</v>
      </c>
      <c r="X5303" s="5" t="s">
        <v>72</v>
      </c>
      <c r="Y5303" s="4">
        <v>205</v>
      </c>
      <c r="Z5303" s="4">
        <v>15</v>
      </c>
      <c r="AA5303" s="4">
        <v>18</v>
      </c>
      <c r="AB5303" s="4">
        <v>4</v>
      </c>
      <c r="AC5303" s="4">
        <v>7</v>
      </c>
      <c r="AD5303" s="4">
        <v>57</v>
      </c>
      <c r="AE5303" s="4">
        <v>60</v>
      </c>
      <c r="AF5303" s="4">
        <v>1</v>
      </c>
      <c r="AG5303" s="4">
        <v>4</v>
      </c>
      <c r="AH5303" s="4">
        <v>52</v>
      </c>
      <c r="AI5303" s="4">
        <v>53</v>
      </c>
      <c r="AJ5303" s="4">
        <v>9</v>
      </c>
      <c r="AK5303" s="4">
        <v>11</v>
      </c>
      <c r="AL5303" s="4">
        <v>27</v>
      </c>
      <c r="AM5303" s="4">
        <v>27</v>
      </c>
      <c r="AN5303" s="4">
        <v>0</v>
      </c>
      <c r="AO5303" s="4">
        <v>0</v>
      </c>
      <c r="AP5303" s="4">
        <v>10</v>
      </c>
      <c r="AQ5303" s="4">
        <v>12</v>
      </c>
      <c r="AR5303" s="3" t="s">
        <v>64</v>
      </c>
      <c r="AS5303" s="3" t="s">
        <v>64</v>
      </c>
      <c r="AT5303" s="3" t="s">
        <v>64</v>
      </c>
      <c r="AV5303" s="6" t="str">
        <f>HYPERLINK("http://mcgill.on.worldcat.org/oclc/43499408","Catalog Record")</f>
        <v>Catalog Record</v>
      </c>
      <c r="AW5303" s="6" t="str">
        <f>HYPERLINK("http://www.worldcat.org/oclc/43499408","WorldCat Record")</f>
        <v>WorldCat Record</v>
      </c>
      <c r="AX5303" s="3" t="s">
        <v>51734</v>
      </c>
      <c r="AY5303" s="3" t="s">
        <v>51735</v>
      </c>
      <c r="AZ5303" s="3" t="s">
        <v>51736</v>
      </c>
      <c r="BA5303" s="3" t="s">
        <v>51736</v>
      </c>
      <c r="BB5303" s="3" t="s">
        <v>51737</v>
      </c>
      <c r="BC5303" s="3" t="s">
        <v>77</v>
      </c>
      <c r="BD5303" s="3" t="s">
        <v>78</v>
      </c>
      <c r="BE5303" s="3" t="s">
        <v>51738</v>
      </c>
      <c r="BF5303" s="3" t="s">
        <v>51737</v>
      </c>
      <c r="BG5303" s="3" t="s">
        <v>51739</v>
      </c>
      <c r="BH5303">
        <f t="shared" si="164"/>
        <v>0</v>
      </c>
    </row>
    <row r="5304" spans="1:60" ht="58" x14ac:dyDescent="0.35">
      <c r="A5304" s="2" t="s">
        <v>59</v>
      </c>
      <c r="B5304" s="2" t="s">
        <v>60</v>
      </c>
      <c r="C5304" s="2" t="s">
        <v>51740</v>
      </c>
      <c r="D5304" s="2" t="s">
        <v>51741</v>
      </c>
      <c r="E5304" s="2" t="s">
        <v>51742</v>
      </c>
      <c r="G5304" s="3" t="s">
        <v>64</v>
      </c>
      <c r="I5304" s="3" t="s">
        <v>64</v>
      </c>
      <c r="J5304" s="3" t="s">
        <v>64</v>
      </c>
      <c r="K5304" s="3" t="s">
        <v>65</v>
      </c>
      <c r="L5304" s="2" t="s">
        <v>51743</v>
      </c>
      <c r="M5304" s="2" t="s">
        <v>51744</v>
      </c>
      <c r="N5304" s="3" t="s">
        <v>67</v>
      </c>
      <c r="P5304" s="3" t="s">
        <v>102</v>
      </c>
      <c r="R5304" s="3" t="s">
        <v>49178</v>
      </c>
      <c r="S5304" s="4">
        <v>4</v>
      </c>
      <c r="T5304" s="4">
        <v>4</v>
      </c>
      <c r="U5304" s="5" t="s">
        <v>51745</v>
      </c>
      <c r="V5304" s="5" t="s">
        <v>51745</v>
      </c>
      <c r="W5304" s="5" t="s">
        <v>72</v>
      </c>
      <c r="X5304" s="5" t="s">
        <v>72</v>
      </c>
      <c r="Y5304" s="4">
        <v>502</v>
      </c>
      <c r="Z5304" s="4">
        <v>12</v>
      </c>
      <c r="AA5304" s="4">
        <v>109</v>
      </c>
      <c r="AB5304" s="4">
        <v>1</v>
      </c>
      <c r="AC5304" s="4">
        <v>16</v>
      </c>
      <c r="AD5304" s="4">
        <v>61</v>
      </c>
      <c r="AE5304" s="4">
        <v>126</v>
      </c>
      <c r="AF5304" s="4">
        <v>0</v>
      </c>
      <c r="AG5304" s="4">
        <v>8</v>
      </c>
      <c r="AH5304" s="4">
        <v>57</v>
      </c>
      <c r="AI5304" s="4">
        <v>86</v>
      </c>
      <c r="AJ5304" s="4">
        <v>6</v>
      </c>
      <c r="AK5304" s="4">
        <v>21</v>
      </c>
      <c r="AL5304" s="4">
        <v>30</v>
      </c>
      <c r="AM5304" s="4">
        <v>46</v>
      </c>
      <c r="AN5304" s="4">
        <v>0</v>
      </c>
      <c r="AO5304" s="4">
        <v>0</v>
      </c>
      <c r="AP5304" s="4">
        <v>6</v>
      </c>
      <c r="AQ5304" s="4">
        <v>42</v>
      </c>
      <c r="AR5304" s="3" t="s">
        <v>64</v>
      </c>
      <c r="AS5304" s="3" t="s">
        <v>64</v>
      </c>
      <c r="AT5304" s="3" t="s">
        <v>64</v>
      </c>
      <c r="AV5304" s="6" t="str">
        <f>HYPERLINK("http://mcgill.on.worldcat.org/oclc/841212716","Catalog Record")</f>
        <v>Catalog Record</v>
      </c>
      <c r="AW5304" s="6" t="str">
        <f>HYPERLINK("http://www.worldcat.org/oclc/841212716","WorldCat Record")</f>
        <v>WorldCat Record</v>
      </c>
      <c r="AX5304" s="3" t="s">
        <v>51746</v>
      </c>
      <c r="AY5304" s="3" t="s">
        <v>51747</v>
      </c>
      <c r="AZ5304" s="3" t="s">
        <v>51748</v>
      </c>
      <c r="BA5304" s="3" t="s">
        <v>51748</v>
      </c>
      <c r="BB5304" s="3" t="s">
        <v>51749</v>
      </c>
      <c r="BC5304" s="3" t="s">
        <v>77</v>
      </c>
      <c r="BD5304" s="3" t="s">
        <v>78</v>
      </c>
      <c r="BE5304" s="3" t="s">
        <v>51750</v>
      </c>
      <c r="BF5304" s="3" t="s">
        <v>51749</v>
      </c>
      <c r="BG5304" s="3" t="s">
        <v>51751</v>
      </c>
      <c r="BH5304">
        <f t="shared" si="164"/>
        <v>0</v>
      </c>
    </row>
    <row r="5305" spans="1:60" ht="58" x14ac:dyDescent="0.35">
      <c r="A5305" s="2" t="s">
        <v>59</v>
      </c>
      <c r="B5305" s="2" t="s">
        <v>60</v>
      </c>
      <c r="C5305" s="2" t="s">
        <v>51752</v>
      </c>
      <c r="D5305" s="2" t="s">
        <v>51753</v>
      </c>
      <c r="E5305" s="2" t="s">
        <v>51754</v>
      </c>
      <c r="G5305" s="3" t="s">
        <v>64</v>
      </c>
      <c r="I5305" s="3" t="s">
        <v>64</v>
      </c>
      <c r="J5305" s="3" t="s">
        <v>64</v>
      </c>
      <c r="K5305" s="3" t="s">
        <v>65</v>
      </c>
      <c r="L5305" s="2" t="s">
        <v>51755</v>
      </c>
      <c r="M5305" s="2" t="s">
        <v>51756</v>
      </c>
      <c r="N5305" s="3" t="s">
        <v>1075</v>
      </c>
      <c r="P5305" s="3" t="s">
        <v>102</v>
      </c>
      <c r="R5305" s="3" t="s">
        <v>49178</v>
      </c>
      <c r="S5305" s="4">
        <v>7</v>
      </c>
      <c r="T5305" s="4">
        <v>7</v>
      </c>
      <c r="U5305" s="5" t="s">
        <v>8834</v>
      </c>
      <c r="V5305" s="5" t="s">
        <v>8834</v>
      </c>
      <c r="W5305" s="5" t="s">
        <v>72</v>
      </c>
      <c r="X5305" s="5" t="s">
        <v>72</v>
      </c>
      <c r="Y5305" s="4">
        <v>381</v>
      </c>
      <c r="Z5305" s="4">
        <v>34</v>
      </c>
      <c r="AA5305" s="4">
        <v>96</v>
      </c>
      <c r="AB5305" s="4">
        <v>2</v>
      </c>
      <c r="AC5305" s="4">
        <v>17</v>
      </c>
      <c r="AD5305" s="4">
        <v>75</v>
      </c>
      <c r="AE5305" s="4">
        <v>127</v>
      </c>
      <c r="AF5305" s="4">
        <v>1</v>
      </c>
      <c r="AG5305" s="4">
        <v>8</v>
      </c>
      <c r="AH5305" s="4">
        <v>61</v>
      </c>
      <c r="AI5305" s="4">
        <v>88</v>
      </c>
      <c r="AJ5305" s="4">
        <v>12</v>
      </c>
      <c r="AK5305" s="4">
        <v>23</v>
      </c>
      <c r="AL5305" s="4">
        <v>39</v>
      </c>
      <c r="AM5305" s="4">
        <v>48</v>
      </c>
      <c r="AN5305" s="4">
        <v>0</v>
      </c>
      <c r="AO5305" s="4">
        <v>0</v>
      </c>
      <c r="AP5305" s="4">
        <v>20</v>
      </c>
      <c r="AQ5305" s="4">
        <v>47</v>
      </c>
      <c r="AR5305" s="3" t="s">
        <v>64</v>
      </c>
      <c r="AS5305" s="3" t="s">
        <v>64</v>
      </c>
      <c r="AT5305" s="3" t="s">
        <v>64</v>
      </c>
      <c r="AV5305" s="6" t="str">
        <f>HYPERLINK("http://mcgill.on.worldcat.org/oclc/654318106","Catalog Record")</f>
        <v>Catalog Record</v>
      </c>
      <c r="AW5305" s="6" t="str">
        <f>HYPERLINK("http://www.worldcat.org/oclc/654318106","WorldCat Record")</f>
        <v>WorldCat Record</v>
      </c>
      <c r="AX5305" s="3" t="s">
        <v>51757</v>
      </c>
      <c r="AY5305" s="3" t="s">
        <v>51758</v>
      </c>
      <c r="AZ5305" s="3" t="s">
        <v>51759</v>
      </c>
      <c r="BA5305" s="3" t="s">
        <v>51759</v>
      </c>
      <c r="BB5305" s="3" t="s">
        <v>51760</v>
      </c>
      <c r="BC5305" s="3" t="s">
        <v>77</v>
      </c>
      <c r="BD5305" s="3" t="s">
        <v>78</v>
      </c>
      <c r="BE5305" s="3" t="s">
        <v>51761</v>
      </c>
      <c r="BF5305" s="3" t="s">
        <v>51760</v>
      </c>
      <c r="BG5305" s="3" t="s">
        <v>51762</v>
      </c>
      <c r="BH5305">
        <f t="shared" si="164"/>
        <v>0</v>
      </c>
    </row>
    <row r="5306" spans="1:60" ht="58" x14ac:dyDescent="0.35">
      <c r="A5306" s="2" t="s">
        <v>59</v>
      </c>
      <c r="B5306" s="2" t="s">
        <v>60</v>
      </c>
      <c r="C5306" s="2" t="s">
        <v>51763</v>
      </c>
      <c r="D5306" s="2" t="s">
        <v>51764</v>
      </c>
      <c r="E5306" s="2" t="s">
        <v>51765</v>
      </c>
      <c r="G5306" s="3" t="s">
        <v>64</v>
      </c>
      <c r="I5306" s="3" t="s">
        <v>64</v>
      </c>
      <c r="J5306" s="3" t="s">
        <v>64</v>
      </c>
      <c r="K5306" s="3" t="s">
        <v>65</v>
      </c>
      <c r="L5306" s="2" t="s">
        <v>51766</v>
      </c>
      <c r="M5306" s="2" t="s">
        <v>8980</v>
      </c>
      <c r="N5306" s="3" t="s">
        <v>511</v>
      </c>
      <c r="P5306" s="3" t="s">
        <v>102</v>
      </c>
      <c r="Q5306" s="2" t="s">
        <v>16981</v>
      </c>
      <c r="R5306" s="3" t="s">
        <v>49178</v>
      </c>
      <c r="S5306" s="4">
        <v>5</v>
      </c>
      <c r="T5306" s="4">
        <v>5</v>
      </c>
      <c r="U5306" s="5" t="s">
        <v>29049</v>
      </c>
      <c r="V5306" s="5" t="s">
        <v>29049</v>
      </c>
      <c r="W5306" s="5" t="s">
        <v>72</v>
      </c>
      <c r="X5306" s="5" t="s">
        <v>72</v>
      </c>
      <c r="Y5306" s="4">
        <v>219</v>
      </c>
      <c r="Z5306" s="4">
        <v>19</v>
      </c>
      <c r="AA5306" s="4">
        <v>89</v>
      </c>
      <c r="AB5306" s="4">
        <v>1</v>
      </c>
      <c r="AC5306" s="4">
        <v>14</v>
      </c>
      <c r="AD5306" s="4">
        <v>60</v>
      </c>
      <c r="AE5306" s="4">
        <v>120</v>
      </c>
      <c r="AF5306" s="4">
        <v>0</v>
      </c>
      <c r="AG5306" s="4">
        <v>8</v>
      </c>
      <c r="AH5306" s="4">
        <v>54</v>
      </c>
      <c r="AI5306" s="4">
        <v>84</v>
      </c>
      <c r="AJ5306" s="4">
        <v>10</v>
      </c>
      <c r="AK5306" s="4">
        <v>23</v>
      </c>
      <c r="AL5306" s="4">
        <v>31</v>
      </c>
      <c r="AM5306" s="4">
        <v>43</v>
      </c>
      <c r="AN5306" s="4">
        <v>0</v>
      </c>
      <c r="AO5306" s="4">
        <v>0</v>
      </c>
      <c r="AP5306" s="4">
        <v>13</v>
      </c>
      <c r="AQ5306" s="4">
        <v>45</v>
      </c>
      <c r="AR5306" s="3" t="s">
        <v>64</v>
      </c>
      <c r="AS5306" s="3" t="s">
        <v>64</v>
      </c>
      <c r="AT5306" s="3" t="s">
        <v>64</v>
      </c>
      <c r="AV5306" s="6" t="str">
        <f>HYPERLINK("http://mcgill.on.worldcat.org/oclc/503046716","Catalog Record")</f>
        <v>Catalog Record</v>
      </c>
      <c r="AW5306" s="6" t="str">
        <f>HYPERLINK("http://www.worldcat.org/oclc/503046716","WorldCat Record")</f>
        <v>WorldCat Record</v>
      </c>
      <c r="AX5306" s="3" t="s">
        <v>51767</v>
      </c>
      <c r="AY5306" s="3" t="s">
        <v>51768</v>
      </c>
      <c r="AZ5306" s="3" t="s">
        <v>51769</v>
      </c>
      <c r="BA5306" s="3" t="s">
        <v>51769</v>
      </c>
      <c r="BB5306" s="3" t="s">
        <v>51770</v>
      </c>
      <c r="BC5306" s="3" t="s">
        <v>77</v>
      </c>
      <c r="BD5306" s="3" t="s">
        <v>78</v>
      </c>
      <c r="BE5306" s="3" t="s">
        <v>51771</v>
      </c>
      <c r="BF5306" s="3" t="s">
        <v>51770</v>
      </c>
      <c r="BG5306" s="3" t="s">
        <v>51772</v>
      </c>
      <c r="BH5306">
        <f t="shared" si="164"/>
        <v>0</v>
      </c>
    </row>
    <row r="5307" spans="1:60" ht="58" x14ac:dyDescent="0.35">
      <c r="A5307" s="2" t="s">
        <v>59</v>
      </c>
      <c r="B5307" s="2" t="s">
        <v>60</v>
      </c>
      <c r="C5307" s="2" t="s">
        <v>51773</v>
      </c>
      <c r="D5307" s="2" t="s">
        <v>51774</v>
      </c>
      <c r="E5307" s="2" t="s">
        <v>51775</v>
      </c>
      <c r="G5307" s="3" t="s">
        <v>64</v>
      </c>
      <c r="I5307" s="3" t="s">
        <v>64</v>
      </c>
      <c r="J5307" s="3" t="s">
        <v>64</v>
      </c>
      <c r="K5307" s="3" t="s">
        <v>65</v>
      </c>
      <c r="L5307" s="2" t="s">
        <v>51776</v>
      </c>
      <c r="M5307" s="2" t="s">
        <v>51777</v>
      </c>
      <c r="N5307" s="3" t="s">
        <v>537</v>
      </c>
      <c r="P5307" s="3" t="s">
        <v>102</v>
      </c>
      <c r="R5307" s="3" t="s">
        <v>49178</v>
      </c>
      <c r="S5307" s="4">
        <v>8</v>
      </c>
      <c r="T5307" s="4">
        <v>8</v>
      </c>
      <c r="U5307" s="5" t="s">
        <v>51702</v>
      </c>
      <c r="V5307" s="5" t="s">
        <v>51702</v>
      </c>
      <c r="W5307" s="5" t="s">
        <v>72</v>
      </c>
      <c r="X5307" s="5" t="s">
        <v>72</v>
      </c>
      <c r="Y5307" s="4">
        <v>53</v>
      </c>
      <c r="Z5307" s="4">
        <v>7</v>
      </c>
      <c r="AA5307" s="4">
        <v>20</v>
      </c>
      <c r="AB5307" s="4">
        <v>1</v>
      </c>
      <c r="AC5307" s="4">
        <v>5</v>
      </c>
      <c r="AD5307" s="4">
        <v>21</v>
      </c>
      <c r="AE5307" s="4">
        <v>46</v>
      </c>
      <c r="AF5307" s="4">
        <v>0</v>
      </c>
      <c r="AG5307" s="4">
        <v>3</v>
      </c>
      <c r="AH5307" s="4">
        <v>20</v>
      </c>
      <c r="AI5307" s="4">
        <v>36</v>
      </c>
      <c r="AJ5307" s="4">
        <v>1</v>
      </c>
      <c r="AK5307" s="4">
        <v>10</v>
      </c>
      <c r="AL5307" s="4">
        <v>10</v>
      </c>
      <c r="AM5307" s="4">
        <v>19</v>
      </c>
      <c r="AN5307" s="4">
        <v>0</v>
      </c>
      <c r="AO5307" s="4">
        <v>0</v>
      </c>
      <c r="AP5307" s="4">
        <v>2</v>
      </c>
      <c r="AQ5307" s="4">
        <v>12</v>
      </c>
      <c r="AR5307" s="3" t="s">
        <v>64</v>
      </c>
      <c r="AS5307" s="3" t="s">
        <v>64</v>
      </c>
      <c r="AT5307" s="3" t="s">
        <v>64</v>
      </c>
      <c r="AV5307" s="6" t="str">
        <f>HYPERLINK("http://mcgill.on.worldcat.org/oclc/910088639","Catalog Record")</f>
        <v>Catalog Record</v>
      </c>
      <c r="AW5307" s="6" t="str">
        <f>HYPERLINK("http://www.worldcat.org/oclc/910088639","WorldCat Record")</f>
        <v>WorldCat Record</v>
      </c>
      <c r="AX5307" s="3" t="s">
        <v>51778</v>
      </c>
      <c r="AY5307" s="3" t="s">
        <v>51779</v>
      </c>
      <c r="AZ5307" s="3" t="s">
        <v>51780</v>
      </c>
      <c r="BA5307" s="3" t="s">
        <v>51780</v>
      </c>
      <c r="BB5307" s="3" t="s">
        <v>51781</v>
      </c>
      <c r="BC5307" s="3" t="s">
        <v>77</v>
      </c>
      <c r="BD5307" s="3" t="s">
        <v>165</v>
      </c>
      <c r="BE5307" s="3" t="s">
        <v>51782</v>
      </c>
      <c r="BF5307" s="3" t="s">
        <v>51781</v>
      </c>
      <c r="BG5307" s="3" t="s">
        <v>51783</v>
      </c>
      <c r="BH5307">
        <f t="shared" si="164"/>
        <v>0</v>
      </c>
    </row>
    <row r="5308" spans="1:60" ht="58" x14ac:dyDescent="0.35">
      <c r="A5308" s="2" t="s">
        <v>59</v>
      </c>
      <c r="B5308" s="2" t="s">
        <v>60</v>
      </c>
      <c r="C5308" s="2" t="s">
        <v>51784</v>
      </c>
      <c r="D5308" s="2" t="s">
        <v>51785</v>
      </c>
      <c r="E5308" s="2" t="s">
        <v>51786</v>
      </c>
      <c r="G5308" s="3" t="s">
        <v>64</v>
      </c>
      <c r="I5308" s="3" t="s">
        <v>64</v>
      </c>
      <c r="J5308" s="3" t="s">
        <v>64</v>
      </c>
      <c r="K5308" s="3" t="s">
        <v>65</v>
      </c>
      <c r="L5308" s="2" t="s">
        <v>51787</v>
      </c>
      <c r="M5308" s="2" t="s">
        <v>51788</v>
      </c>
      <c r="N5308" s="3" t="s">
        <v>551</v>
      </c>
      <c r="P5308" s="3" t="s">
        <v>102</v>
      </c>
      <c r="Q5308" s="2" t="s">
        <v>51789</v>
      </c>
      <c r="R5308" s="3" t="s">
        <v>49178</v>
      </c>
      <c r="S5308" s="4">
        <v>4</v>
      </c>
      <c r="T5308" s="4">
        <v>4</v>
      </c>
      <c r="U5308" s="5" t="s">
        <v>19593</v>
      </c>
      <c r="V5308" s="5" t="s">
        <v>19593</v>
      </c>
      <c r="W5308" s="5" t="s">
        <v>72</v>
      </c>
      <c r="X5308" s="5" t="s">
        <v>72</v>
      </c>
      <c r="Y5308" s="4">
        <v>59</v>
      </c>
      <c r="Z5308" s="4">
        <v>7</v>
      </c>
      <c r="AA5308" s="4">
        <v>28</v>
      </c>
      <c r="AB5308" s="4">
        <v>2</v>
      </c>
      <c r="AC5308" s="4">
        <v>8</v>
      </c>
      <c r="AD5308" s="4">
        <v>18</v>
      </c>
      <c r="AE5308" s="4">
        <v>70</v>
      </c>
      <c r="AF5308" s="4">
        <v>0</v>
      </c>
      <c r="AG5308" s="4">
        <v>3</v>
      </c>
      <c r="AH5308" s="4">
        <v>17</v>
      </c>
      <c r="AI5308" s="4">
        <v>59</v>
      </c>
      <c r="AJ5308" s="4">
        <v>3</v>
      </c>
      <c r="AK5308" s="4">
        <v>17</v>
      </c>
      <c r="AL5308" s="4">
        <v>12</v>
      </c>
      <c r="AM5308" s="4">
        <v>34</v>
      </c>
      <c r="AN5308" s="4">
        <v>0</v>
      </c>
      <c r="AO5308" s="4">
        <v>0</v>
      </c>
      <c r="AP5308" s="4">
        <v>3</v>
      </c>
      <c r="AQ5308" s="4">
        <v>19</v>
      </c>
      <c r="AR5308" s="3" t="s">
        <v>64</v>
      </c>
      <c r="AS5308" s="3" t="s">
        <v>64</v>
      </c>
      <c r="AT5308" s="3" t="s">
        <v>64</v>
      </c>
      <c r="AV5308" s="6" t="str">
        <f>HYPERLINK("http://mcgill.on.worldcat.org/oclc/464227874","Catalog Record")</f>
        <v>Catalog Record</v>
      </c>
      <c r="AW5308" s="6" t="str">
        <f>HYPERLINK("http://www.worldcat.org/oclc/464227874","WorldCat Record")</f>
        <v>WorldCat Record</v>
      </c>
      <c r="AX5308" s="3" t="s">
        <v>51790</v>
      </c>
      <c r="AY5308" s="3" t="s">
        <v>51791</v>
      </c>
      <c r="AZ5308" s="3" t="s">
        <v>51792</v>
      </c>
      <c r="BA5308" s="3" t="s">
        <v>51792</v>
      </c>
      <c r="BB5308" s="3" t="s">
        <v>51793</v>
      </c>
      <c r="BC5308" s="3" t="s">
        <v>77</v>
      </c>
      <c r="BD5308" s="3" t="s">
        <v>78</v>
      </c>
      <c r="BE5308" s="3" t="s">
        <v>51794</v>
      </c>
      <c r="BF5308" s="3" t="s">
        <v>51793</v>
      </c>
      <c r="BG5308" s="3" t="s">
        <v>51795</v>
      </c>
      <c r="BH5308">
        <f t="shared" si="164"/>
        <v>0</v>
      </c>
    </row>
    <row r="5309" spans="1:60" ht="58" x14ac:dyDescent="0.35">
      <c r="A5309" s="2" t="s">
        <v>59</v>
      </c>
      <c r="B5309" s="2" t="s">
        <v>60</v>
      </c>
      <c r="C5309" s="2" t="s">
        <v>51796</v>
      </c>
      <c r="D5309" s="2" t="s">
        <v>51797</v>
      </c>
      <c r="E5309" s="2" t="s">
        <v>51798</v>
      </c>
      <c r="F5309" s="3" t="s">
        <v>19804</v>
      </c>
      <c r="G5309" s="3" t="s">
        <v>64</v>
      </c>
      <c r="I5309" s="3" t="s">
        <v>64</v>
      </c>
      <c r="J5309" s="3" t="s">
        <v>64</v>
      </c>
      <c r="K5309" s="3" t="s">
        <v>65</v>
      </c>
      <c r="L5309" s="2" t="s">
        <v>51799</v>
      </c>
      <c r="M5309" s="2" t="s">
        <v>51800</v>
      </c>
      <c r="N5309" s="3" t="s">
        <v>291</v>
      </c>
      <c r="P5309" s="3" t="s">
        <v>102</v>
      </c>
      <c r="Q5309" s="2" t="s">
        <v>51801</v>
      </c>
      <c r="R5309" s="3" t="s">
        <v>49178</v>
      </c>
      <c r="S5309" s="4">
        <v>7</v>
      </c>
      <c r="T5309" s="4">
        <v>7</v>
      </c>
      <c r="U5309" s="5" t="s">
        <v>34403</v>
      </c>
      <c r="V5309" s="5" t="s">
        <v>34403</v>
      </c>
      <c r="W5309" s="5" t="s">
        <v>72</v>
      </c>
      <c r="X5309" s="5" t="s">
        <v>72</v>
      </c>
      <c r="Y5309" s="4">
        <v>311</v>
      </c>
      <c r="Z5309" s="4">
        <v>16</v>
      </c>
      <c r="AA5309" s="4">
        <v>42</v>
      </c>
      <c r="AB5309" s="4">
        <v>4</v>
      </c>
      <c r="AC5309" s="4">
        <v>12</v>
      </c>
      <c r="AD5309" s="4">
        <v>39</v>
      </c>
      <c r="AE5309" s="4">
        <v>67</v>
      </c>
      <c r="AF5309" s="4">
        <v>1</v>
      </c>
      <c r="AG5309" s="4">
        <v>5</v>
      </c>
      <c r="AH5309" s="4">
        <v>37</v>
      </c>
      <c r="AI5309" s="4">
        <v>55</v>
      </c>
      <c r="AJ5309" s="4">
        <v>5</v>
      </c>
      <c r="AK5309" s="4">
        <v>12</v>
      </c>
      <c r="AL5309" s="4">
        <v>23</v>
      </c>
      <c r="AM5309" s="4">
        <v>30</v>
      </c>
      <c r="AN5309" s="4">
        <v>0</v>
      </c>
      <c r="AO5309" s="4">
        <v>0</v>
      </c>
      <c r="AP5309" s="4">
        <v>5</v>
      </c>
      <c r="AQ5309" s="4">
        <v>16</v>
      </c>
      <c r="AR5309" s="3" t="s">
        <v>64</v>
      </c>
      <c r="AS5309" s="3" t="s">
        <v>64</v>
      </c>
      <c r="AT5309" s="3" t="s">
        <v>64</v>
      </c>
      <c r="AV5309" s="6" t="str">
        <f>HYPERLINK("http://mcgill.on.worldcat.org/oclc/144566695","Catalog Record")</f>
        <v>Catalog Record</v>
      </c>
      <c r="AW5309" s="6" t="str">
        <f>HYPERLINK("http://www.worldcat.org/oclc/144566695","WorldCat Record")</f>
        <v>WorldCat Record</v>
      </c>
      <c r="AX5309" s="3" t="s">
        <v>51802</v>
      </c>
      <c r="AY5309" s="3" t="s">
        <v>51803</v>
      </c>
      <c r="AZ5309" s="3" t="s">
        <v>51804</v>
      </c>
      <c r="BA5309" s="3" t="s">
        <v>51804</v>
      </c>
      <c r="BB5309" s="3" t="s">
        <v>51805</v>
      </c>
      <c r="BC5309" s="3" t="s">
        <v>77</v>
      </c>
      <c r="BD5309" s="3" t="s">
        <v>78</v>
      </c>
      <c r="BE5309" s="3" t="s">
        <v>51806</v>
      </c>
      <c r="BF5309" s="3" t="s">
        <v>51805</v>
      </c>
      <c r="BG5309" s="3" t="s">
        <v>51807</v>
      </c>
      <c r="BH5309">
        <f t="shared" si="164"/>
        <v>0</v>
      </c>
    </row>
    <row r="5310" spans="1:60" ht="58" x14ac:dyDescent="0.35">
      <c r="A5310" s="2" t="s">
        <v>59</v>
      </c>
      <c r="B5310" s="2" t="s">
        <v>60</v>
      </c>
      <c r="C5310" s="2" t="s">
        <v>51808</v>
      </c>
      <c r="D5310" s="2" t="s">
        <v>51809</v>
      </c>
      <c r="E5310" s="2" t="s">
        <v>51810</v>
      </c>
      <c r="G5310" s="3" t="s">
        <v>64</v>
      </c>
      <c r="I5310" s="3" t="s">
        <v>64</v>
      </c>
      <c r="J5310" s="3" t="s">
        <v>64</v>
      </c>
      <c r="K5310" s="3" t="s">
        <v>65</v>
      </c>
      <c r="L5310" s="2" t="s">
        <v>51811</v>
      </c>
      <c r="M5310" s="2" t="s">
        <v>51812</v>
      </c>
      <c r="N5310" s="3" t="s">
        <v>144</v>
      </c>
      <c r="P5310" s="3" t="s">
        <v>102</v>
      </c>
      <c r="Q5310" s="2" t="s">
        <v>51813</v>
      </c>
      <c r="R5310" s="3" t="s">
        <v>49178</v>
      </c>
      <c r="S5310" s="4">
        <v>1</v>
      </c>
      <c r="T5310" s="4">
        <v>1</v>
      </c>
      <c r="U5310" s="5" t="s">
        <v>9452</v>
      </c>
      <c r="V5310" s="5" t="s">
        <v>9452</v>
      </c>
      <c r="W5310" s="5" t="s">
        <v>72</v>
      </c>
      <c r="X5310" s="5" t="s">
        <v>72</v>
      </c>
      <c r="Y5310" s="4">
        <v>71</v>
      </c>
      <c r="Z5310" s="4">
        <v>4</v>
      </c>
      <c r="AA5310" s="4">
        <v>43</v>
      </c>
      <c r="AB5310" s="4">
        <v>1</v>
      </c>
      <c r="AC5310" s="4">
        <v>13</v>
      </c>
      <c r="AD5310" s="4">
        <v>21</v>
      </c>
      <c r="AE5310" s="4">
        <v>89</v>
      </c>
      <c r="AF5310" s="4">
        <v>0</v>
      </c>
      <c r="AG5310" s="4">
        <v>7</v>
      </c>
      <c r="AH5310" s="4">
        <v>18</v>
      </c>
      <c r="AI5310" s="4">
        <v>62</v>
      </c>
      <c r="AJ5310" s="4">
        <v>1</v>
      </c>
      <c r="AK5310" s="4">
        <v>21</v>
      </c>
      <c r="AL5310" s="4">
        <v>15</v>
      </c>
      <c r="AM5310" s="4">
        <v>32</v>
      </c>
      <c r="AN5310" s="4">
        <v>0</v>
      </c>
      <c r="AO5310" s="4">
        <v>0</v>
      </c>
      <c r="AP5310" s="4">
        <v>3</v>
      </c>
      <c r="AQ5310" s="4">
        <v>35</v>
      </c>
      <c r="AR5310" s="3" t="s">
        <v>64</v>
      </c>
      <c r="AS5310" s="3" t="s">
        <v>64</v>
      </c>
      <c r="AT5310" s="3" t="s">
        <v>64</v>
      </c>
      <c r="AV5310" s="6" t="str">
        <f>HYPERLINK("http://mcgill.on.worldcat.org/oclc/191923950","Catalog Record")</f>
        <v>Catalog Record</v>
      </c>
      <c r="AW5310" s="6" t="str">
        <f>HYPERLINK("http://www.worldcat.org/oclc/191923950","WorldCat Record")</f>
        <v>WorldCat Record</v>
      </c>
      <c r="AX5310" s="3" t="s">
        <v>51814</v>
      </c>
      <c r="AY5310" s="3" t="s">
        <v>51815</v>
      </c>
      <c r="AZ5310" s="3" t="s">
        <v>51816</v>
      </c>
      <c r="BA5310" s="3" t="s">
        <v>51816</v>
      </c>
      <c r="BB5310" s="3" t="s">
        <v>51817</v>
      </c>
      <c r="BC5310" s="3" t="s">
        <v>77</v>
      </c>
      <c r="BD5310" s="3" t="s">
        <v>78</v>
      </c>
      <c r="BE5310" s="3" t="s">
        <v>51818</v>
      </c>
      <c r="BF5310" s="3" t="s">
        <v>51817</v>
      </c>
      <c r="BG5310" s="3" t="s">
        <v>51819</v>
      </c>
      <c r="BH5310">
        <f t="shared" si="164"/>
        <v>0</v>
      </c>
    </row>
    <row r="5311" spans="1:60" ht="58" x14ac:dyDescent="0.35">
      <c r="A5311" s="2" t="s">
        <v>59</v>
      </c>
      <c r="B5311" s="2" t="s">
        <v>60</v>
      </c>
      <c r="C5311" s="2" t="s">
        <v>51820</v>
      </c>
      <c r="D5311" s="2" t="s">
        <v>51821</v>
      </c>
      <c r="E5311" s="2" t="s">
        <v>51822</v>
      </c>
      <c r="G5311" s="3" t="s">
        <v>64</v>
      </c>
      <c r="I5311" s="3" t="s">
        <v>64</v>
      </c>
      <c r="J5311" s="3" t="s">
        <v>64</v>
      </c>
      <c r="K5311" s="3" t="s">
        <v>65</v>
      </c>
      <c r="L5311" s="2" t="s">
        <v>51823</v>
      </c>
      <c r="M5311" s="2" t="s">
        <v>51824</v>
      </c>
      <c r="N5311" s="3" t="s">
        <v>253</v>
      </c>
      <c r="P5311" s="3" t="s">
        <v>102</v>
      </c>
      <c r="R5311" s="3" t="s">
        <v>49178</v>
      </c>
      <c r="S5311" s="4">
        <v>7</v>
      </c>
      <c r="T5311" s="4">
        <v>7</v>
      </c>
      <c r="U5311" s="5" t="s">
        <v>9452</v>
      </c>
      <c r="V5311" s="5" t="s">
        <v>9452</v>
      </c>
      <c r="W5311" s="5" t="s">
        <v>72</v>
      </c>
      <c r="X5311" s="5" t="s">
        <v>72</v>
      </c>
      <c r="Y5311" s="4">
        <v>42</v>
      </c>
      <c r="Z5311" s="4">
        <v>4</v>
      </c>
      <c r="AA5311" s="4">
        <v>18</v>
      </c>
      <c r="AB5311" s="4">
        <v>1</v>
      </c>
      <c r="AC5311" s="4">
        <v>4</v>
      </c>
      <c r="AD5311" s="4">
        <v>12</v>
      </c>
      <c r="AE5311" s="4">
        <v>37</v>
      </c>
      <c r="AF5311" s="4">
        <v>0</v>
      </c>
      <c r="AG5311" s="4">
        <v>2</v>
      </c>
      <c r="AH5311" s="4">
        <v>12</v>
      </c>
      <c r="AI5311" s="4">
        <v>30</v>
      </c>
      <c r="AJ5311" s="4">
        <v>2</v>
      </c>
      <c r="AK5311" s="4">
        <v>9</v>
      </c>
      <c r="AL5311" s="4">
        <v>8</v>
      </c>
      <c r="AM5311" s="4">
        <v>17</v>
      </c>
      <c r="AN5311" s="4">
        <v>0</v>
      </c>
      <c r="AO5311" s="4">
        <v>0</v>
      </c>
      <c r="AP5311" s="4">
        <v>2</v>
      </c>
      <c r="AQ5311" s="4">
        <v>10</v>
      </c>
      <c r="AR5311" s="3" t="s">
        <v>64</v>
      </c>
      <c r="AS5311" s="3" t="s">
        <v>64</v>
      </c>
      <c r="AT5311" s="3" t="s">
        <v>64</v>
      </c>
      <c r="AV5311" s="6" t="str">
        <f>HYPERLINK("http://mcgill.on.worldcat.org/oclc/872429961","Catalog Record")</f>
        <v>Catalog Record</v>
      </c>
      <c r="AW5311" s="6" t="str">
        <f>HYPERLINK("http://www.worldcat.org/oclc/872429961","WorldCat Record")</f>
        <v>WorldCat Record</v>
      </c>
      <c r="AX5311" s="3" t="s">
        <v>51825</v>
      </c>
      <c r="AY5311" s="3" t="s">
        <v>51826</v>
      </c>
      <c r="AZ5311" s="3" t="s">
        <v>51827</v>
      </c>
      <c r="BA5311" s="3" t="s">
        <v>51827</v>
      </c>
      <c r="BB5311" s="3" t="s">
        <v>51828</v>
      </c>
      <c r="BC5311" s="3" t="s">
        <v>77</v>
      </c>
      <c r="BD5311" s="3" t="s">
        <v>165</v>
      </c>
      <c r="BE5311" s="3" t="s">
        <v>51829</v>
      </c>
      <c r="BF5311" s="3" t="s">
        <v>51828</v>
      </c>
      <c r="BG5311" s="3" t="s">
        <v>51830</v>
      </c>
      <c r="BH5311">
        <f t="shared" si="164"/>
        <v>0</v>
      </c>
    </row>
    <row r="5312" spans="1:60" ht="58" x14ac:dyDescent="0.35">
      <c r="A5312" s="2" t="s">
        <v>1040</v>
      </c>
      <c r="B5312" s="2" t="s">
        <v>60</v>
      </c>
      <c r="C5312" s="2" t="s">
        <v>51831</v>
      </c>
      <c r="D5312" s="2" t="s">
        <v>51832</v>
      </c>
      <c r="E5312" s="2" t="s">
        <v>51833</v>
      </c>
      <c r="G5312" s="3" t="s">
        <v>64</v>
      </c>
      <c r="I5312" s="3" t="s">
        <v>64</v>
      </c>
      <c r="J5312" s="3" t="s">
        <v>64</v>
      </c>
      <c r="K5312" s="3" t="s">
        <v>65</v>
      </c>
      <c r="L5312" s="2" t="s">
        <v>51834</v>
      </c>
      <c r="M5312" s="2" t="s">
        <v>51835</v>
      </c>
      <c r="N5312" s="3" t="s">
        <v>326</v>
      </c>
      <c r="P5312" s="3" t="s">
        <v>102</v>
      </c>
      <c r="R5312" s="3" t="s">
        <v>49178</v>
      </c>
      <c r="S5312" s="4">
        <v>0</v>
      </c>
      <c r="T5312" s="4">
        <v>0</v>
      </c>
      <c r="W5312" s="5" t="s">
        <v>72</v>
      </c>
      <c r="X5312" s="5" t="s">
        <v>72</v>
      </c>
      <c r="Y5312" s="4">
        <v>30</v>
      </c>
      <c r="Z5312" s="4">
        <v>3</v>
      </c>
      <c r="AA5312" s="4">
        <v>24</v>
      </c>
      <c r="AB5312" s="4">
        <v>2</v>
      </c>
      <c r="AC5312" s="4">
        <v>8</v>
      </c>
      <c r="AD5312" s="4">
        <v>9</v>
      </c>
      <c r="AE5312" s="4">
        <v>39</v>
      </c>
      <c r="AF5312" s="4">
        <v>1</v>
      </c>
      <c r="AG5312" s="4">
        <v>5</v>
      </c>
      <c r="AH5312" s="4">
        <v>8</v>
      </c>
      <c r="AI5312" s="4">
        <v>27</v>
      </c>
      <c r="AJ5312" s="4">
        <v>1</v>
      </c>
      <c r="AK5312" s="4">
        <v>11</v>
      </c>
      <c r="AL5312" s="4">
        <v>6</v>
      </c>
      <c r="AM5312" s="4">
        <v>15</v>
      </c>
      <c r="AN5312" s="4">
        <v>0</v>
      </c>
      <c r="AO5312" s="4">
        <v>0</v>
      </c>
      <c r="AP5312" s="4">
        <v>1</v>
      </c>
      <c r="AQ5312" s="4">
        <v>13</v>
      </c>
      <c r="AR5312" s="3" t="s">
        <v>64</v>
      </c>
      <c r="AS5312" s="3" t="s">
        <v>64</v>
      </c>
      <c r="AT5312" s="3" t="s">
        <v>64</v>
      </c>
      <c r="AV5312" s="6" t="str">
        <f>HYPERLINK("http://mcgill.on.worldcat.org/oclc/741509854","Catalog Record")</f>
        <v>Catalog Record</v>
      </c>
      <c r="AW5312" s="6" t="str">
        <f>HYPERLINK("http://www.worldcat.org/oclc/741509854","WorldCat Record")</f>
        <v>WorldCat Record</v>
      </c>
      <c r="AX5312" s="3" t="s">
        <v>51836</v>
      </c>
      <c r="AY5312" s="3" t="s">
        <v>51837</v>
      </c>
      <c r="AZ5312" s="3" t="s">
        <v>51838</v>
      </c>
      <c r="BA5312" s="3" t="s">
        <v>51838</v>
      </c>
      <c r="BB5312" s="3" t="s">
        <v>51839</v>
      </c>
      <c r="BC5312" s="3" t="s">
        <v>77</v>
      </c>
      <c r="BD5312" s="3" t="s">
        <v>78</v>
      </c>
      <c r="BE5312" s="3" t="s">
        <v>51840</v>
      </c>
      <c r="BF5312" s="3" t="s">
        <v>51839</v>
      </c>
      <c r="BG5312" s="3" t="s">
        <v>51841</v>
      </c>
      <c r="BH5312">
        <f t="shared" si="164"/>
        <v>0</v>
      </c>
    </row>
    <row r="5313" spans="1:60" ht="58" x14ac:dyDescent="0.35">
      <c r="A5313" s="2" t="s">
        <v>59</v>
      </c>
      <c r="B5313" s="2" t="s">
        <v>60</v>
      </c>
      <c r="C5313" s="2" t="s">
        <v>51842</v>
      </c>
      <c r="D5313" s="2" t="s">
        <v>51843</v>
      </c>
      <c r="E5313" s="2" t="s">
        <v>51844</v>
      </c>
      <c r="G5313" s="3" t="s">
        <v>64</v>
      </c>
      <c r="I5313" s="3" t="s">
        <v>64</v>
      </c>
      <c r="J5313" s="3" t="s">
        <v>128</v>
      </c>
      <c r="K5313" s="3" t="s">
        <v>65</v>
      </c>
      <c r="L5313" s="2" t="s">
        <v>51845</v>
      </c>
      <c r="M5313" s="2" t="s">
        <v>15333</v>
      </c>
      <c r="N5313" s="3" t="s">
        <v>67</v>
      </c>
      <c r="O5313" s="2" t="s">
        <v>16653</v>
      </c>
      <c r="P5313" s="3" t="s">
        <v>102</v>
      </c>
      <c r="R5313" s="3" t="s">
        <v>49178</v>
      </c>
      <c r="S5313" s="4">
        <v>3</v>
      </c>
      <c r="T5313" s="4">
        <v>3</v>
      </c>
      <c r="U5313" s="5" t="s">
        <v>7591</v>
      </c>
      <c r="V5313" s="5" t="s">
        <v>7591</v>
      </c>
      <c r="W5313" s="5" t="s">
        <v>72</v>
      </c>
      <c r="X5313" s="5" t="s">
        <v>72</v>
      </c>
      <c r="Y5313" s="4">
        <v>45</v>
      </c>
      <c r="Z5313" s="4">
        <v>5</v>
      </c>
      <c r="AA5313" s="4">
        <v>117</v>
      </c>
      <c r="AB5313" s="4">
        <v>1</v>
      </c>
      <c r="AC5313" s="4">
        <v>16</v>
      </c>
      <c r="AD5313" s="4">
        <v>8</v>
      </c>
      <c r="AE5313" s="4">
        <v>127</v>
      </c>
      <c r="AF5313" s="4">
        <v>0</v>
      </c>
      <c r="AG5313" s="4">
        <v>8</v>
      </c>
      <c r="AH5313" s="4">
        <v>7</v>
      </c>
      <c r="AI5313" s="4">
        <v>84</v>
      </c>
      <c r="AJ5313" s="4">
        <v>3</v>
      </c>
      <c r="AK5313" s="4">
        <v>23</v>
      </c>
      <c r="AL5313" s="4">
        <v>3</v>
      </c>
      <c r="AM5313" s="4">
        <v>41</v>
      </c>
      <c r="AN5313" s="4">
        <v>0</v>
      </c>
      <c r="AO5313" s="4">
        <v>0</v>
      </c>
      <c r="AP5313" s="4">
        <v>4</v>
      </c>
      <c r="AQ5313" s="4">
        <v>50</v>
      </c>
      <c r="AR5313" s="3" t="s">
        <v>64</v>
      </c>
      <c r="AS5313" s="3" t="s">
        <v>64</v>
      </c>
      <c r="AT5313" s="3" t="s">
        <v>64</v>
      </c>
      <c r="AV5313" s="6" t="str">
        <f>HYPERLINK("http://mcgill.on.worldcat.org/oclc/862845291","Catalog Record")</f>
        <v>Catalog Record</v>
      </c>
      <c r="AW5313" s="6" t="str">
        <f>HYPERLINK("http://www.worldcat.org/oclc/862845291","WorldCat Record")</f>
        <v>WorldCat Record</v>
      </c>
      <c r="AX5313" s="3" t="s">
        <v>51846</v>
      </c>
      <c r="AY5313" s="3" t="s">
        <v>51847</v>
      </c>
      <c r="AZ5313" s="3" t="s">
        <v>51848</v>
      </c>
      <c r="BA5313" s="3" t="s">
        <v>51848</v>
      </c>
      <c r="BB5313" s="3" t="s">
        <v>51849</v>
      </c>
      <c r="BC5313" s="3" t="s">
        <v>77</v>
      </c>
      <c r="BD5313" s="3" t="s">
        <v>78</v>
      </c>
      <c r="BE5313" s="3" t="s">
        <v>51850</v>
      </c>
      <c r="BF5313" s="3" t="s">
        <v>51849</v>
      </c>
      <c r="BG5313" s="3" t="s">
        <v>51851</v>
      </c>
      <c r="BH5313">
        <f t="shared" si="164"/>
        <v>0</v>
      </c>
    </row>
    <row r="5314" spans="1:60" ht="58" x14ac:dyDescent="0.35">
      <c r="A5314" s="2" t="s">
        <v>59</v>
      </c>
      <c r="B5314" s="2" t="s">
        <v>60</v>
      </c>
      <c r="C5314" s="2" t="s">
        <v>51842</v>
      </c>
      <c r="D5314" s="2" t="s">
        <v>51843</v>
      </c>
      <c r="E5314" s="2" t="s">
        <v>51852</v>
      </c>
      <c r="G5314" s="3" t="s">
        <v>64</v>
      </c>
      <c r="I5314" s="3" t="s">
        <v>64</v>
      </c>
      <c r="J5314" s="3" t="s">
        <v>128</v>
      </c>
      <c r="K5314" s="3" t="s">
        <v>65</v>
      </c>
      <c r="L5314" s="2" t="s">
        <v>51853</v>
      </c>
      <c r="M5314" s="2" t="s">
        <v>22026</v>
      </c>
      <c r="N5314" s="3" t="s">
        <v>67</v>
      </c>
      <c r="P5314" s="3" t="s">
        <v>102</v>
      </c>
      <c r="R5314" s="3" t="s">
        <v>49178</v>
      </c>
      <c r="S5314" s="4">
        <v>8</v>
      </c>
      <c r="T5314" s="4">
        <v>8</v>
      </c>
      <c r="U5314" s="5" t="s">
        <v>14927</v>
      </c>
      <c r="V5314" s="5" t="s">
        <v>14927</v>
      </c>
      <c r="W5314" s="5" t="s">
        <v>72</v>
      </c>
      <c r="X5314" s="5" t="s">
        <v>72</v>
      </c>
      <c r="Y5314" s="4">
        <v>638</v>
      </c>
      <c r="Z5314" s="4">
        <v>34</v>
      </c>
      <c r="AA5314" s="4">
        <v>117</v>
      </c>
      <c r="AB5314" s="4">
        <v>1</v>
      </c>
      <c r="AC5314" s="4">
        <v>16</v>
      </c>
      <c r="AD5314" s="4">
        <v>71</v>
      </c>
      <c r="AE5314" s="4">
        <v>127</v>
      </c>
      <c r="AF5314" s="4">
        <v>0</v>
      </c>
      <c r="AG5314" s="4">
        <v>8</v>
      </c>
      <c r="AH5314" s="4">
        <v>60</v>
      </c>
      <c r="AI5314" s="4">
        <v>84</v>
      </c>
      <c r="AJ5314" s="4">
        <v>12</v>
      </c>
      <c r="AK5314" s="4">
        <v>23</v>
      </c>
      <c r="AL5314" s="4">
        <v>29</v>
      </c>
      <c r="AM5314" s="4">
        <v>41</v>
      </c>
      <c r="AN5314" s="4">
        <v>0</v>
      </c>
      <c r="AO5314" s="4">
        <v>0</v>
      </c>
      <c r="AP5314" s="4">
        <v>17</v>
      </c>
      <c r="AQ5314" s="4">
        <v>50</v>
      </c>
      <c r="AR5314" s="3" t="s">
        <v>64</v>
      </c>
      <c r="AS5314" s="3" t="s">
        <v>64</v>
      </c>
      <c r="AT5314" s="3" t="s">
        <v>64</v>
      </c>
      <c r="AV5314" s="6" t="str">
        <f>HYPERLINK("http://mcgill.on.worldcat.org/oclc/828053784","Catalog Record")</f>
        <v>Catalog Record</v>
      </c>
      <c r="AW5314" s="6" t="str">
        <f>HYPERLINK("http://www.worldcat.org/oclc/828053784","WorldCat Record")</f>
        <v>WorldCat Record</v>
      </c>
      <c r="AX5314" s="3" t="s">
        <v>51846</v>
      </c>
      <c r="AY5314" s="3" t="s">
        <v>51854</v>
      </c>
      <c r="AZ5314" s="3" t="s">
        <v>51855</v>
      </c>
      <c r="BA5314" s="3" t="s">
        <v>51855</v>
      </c>
      <c r="BB5314" s="3" t="s">
        <v>51856</v>
      </c>
      <c r="BC5314" s="3" t="s">
        <v>77</v>
      </c>
      <c r="BD5314" s="3" t="s">
        <v>78</v>
      </c>
      <c r="BE5314" s="3" t="s">
        <v>51857</v>
      </c>
      <c r="BF5314" s="3" t="s">
        <v>51856</v>
      </c>
      <c r="BG5314" s="3" t="s">
        <v>51858</v>
      </c>
      <c r="BH5314">
        <f t="shared" ref="BH5314:BH5377" si="165">IF(COUNTIF($BF$1:$BF$5431,BF5314)=1,0,1)</f>
        <v>0</v>
      </c>
    </row>
    <row r="5315" spans="1:60" ht="58" x14ac:dyDescent="0.35">
      <c r="A5315" s="2" t="s">
        <v>59</v>
      </c>
      <c r="B5315" s="2" t="s">
        <v>60</v>
      </c>
      <c r="C5315" s="2" t="s">
        <v>51859</v>
      </c>
      <c r="D5315" s="2" t="s">
        <v>51860</v>
      </c>
      <c r="E5315" s="2" t="s">
        <v>51861</v>
      </c>
      <c r="G5315" s="3" t="s">
        <v>64</v>
      </c>
      <c r="I5315" s="3" t="s">
        <v>64</v>
      </c>
      <c r="J5315" s="3" t="s">
        <v>64</v>
      </c>
      <c r="K5315" s="3" t="s">
        <v>65</v>
      </c>
      <c r="M5315" s="2" t="s">
        <v>51862</v>
      </c>
      <c r="N5315" s="3" t="s">
        <v>86</v>
      </c>
      <c r="P5315" s="3" t="s">
        <v>102</v>
      </c>
      <c r="Q5315" s="2" t="s">
        <v>51863</v>
      </c>
      <c r="R5315" s="3" t="s">
        <v>49178</v>
      </c>
      <c r="S5315" s="4">
        <v>2</v>
      </c>
      <c r="T5315" s="4">
        <v>2</v>
      </c>
      <c r="U5315" s="5" t="s">
        <v>14927</v>
      </c>
      <c r="V5315" s="5" t="s">
        <v>14927</v>
      </c>
      <c r="W5315" s="5" t="s">
        <v>72</v>
      </c>
      <c r="X5315" s="5" t="s">
        <v>72</v>
      </c>
      <c r="Y5315" s="4">
        <v>43</v>
      </c>
      <c r="Z5315" s="4">
        <v>4</v>
      </c>
      <c r="AA5315" s="4">
        <v>22</v>
      </c>
      <c r="AB5315" s="4">
        <v>1</v>
      </c>
      <c r="AC5315" s="4">
        <v>11</v>
      </c>
      <c r="AD5315" s="4">
        <v>19</v>
      </c>
      <c r="AE5315" s="4">
        <v>58</v>
      </c>
      <c r="AF5315" s="4">
        <v>0</v>
      </c>
      <c r="AG5315" s="4">
        <v>5</v>
      </c>
      <c r="AH5315" s="4">
        <v>16</v>
      </c>
      <c r="AI5315" s="4">
        <v>47</v>
      </c>
      <c r="AJ5315" s="4">
        <v>2</v>
      </c>
      <c r="AK5315" s="4">
        <v>11</v>
      </c>
      <c r="AL5315" s="4">
        <v>12</v>
      </c>
      <c r="AM5315" s="4">
        <v>29</v>
      </c>
      <c r="AN5315" s="4">
        <v>0</v>
      </c>
      <c r="AO5315" s="4">
        <v>0</v>
      </c>
      <c r="AP5315" s="4">
        <v>3</v>
      </c>
      <c r="AQ5315" s="4">
        <v>14</v>
      </c>
      <c r="AR5315" s="3" t="s">
        <v>64</v>
      </c>
      <c r="AS5315" s="3" t="s">
        <v>64</v>
      </c>
      <c r="AT5315" s="3" t="s">
        <v>64</v>
      </c>
      <c r="AV5315" s="6" t="str">
        <f>HYPERLINK("http://mcgill.on.worldcat.org/oclc/801929122","Catalog Record")</f>
        <v>Catalog Record</v>
      </c>
      <c r="AW5315" s="6" t="str">
        <f>HYPERLINK("http://www.worldcat.org/oclc/801929122","WorldCat Record")</f>
        <v>WorldCat Record</v>
      </c>
      <c r="AX5315" s="3" t="s">
        <v>51864</v>
      </c>
      <c r="AY5315" s="3" t="s">
        <v>51865</v>
      </c>
      <c r="AZ5315" s="3" t="s">
        <v>51866</v>
      </c>
      <c r="BA5315" s="3" t="s">
        <v>51866</v>
      </c>
      <c r="BB5315" s="3" t="s">
        <v>51867</v>
      </c>
      <c r="BC5315" s="3" t="s">
        <v>77</v>
      </c>
      <c r="BD5315" s="3" t="s">
        <v>78</v>
      </c>
      <c r="BE5315" s="3" t="s">
        <v>51868</v>
      </c>
      <c r="BF5315" s="3" t="s">
        <v>51867</v>
      </c>
      <c r="BG5315" s="3" t="s">
        <v>51869</v>
      </c>
      <c r="BH5315">
        <f t="shared" si="165"/>
        <v>0</v>
      </c>
    </row>
    <row r="5316" spans="1:60" ht="58" x14ac:dyDescent="0.35">
      <c r="A5316" s="2" t="s">
        <v>59</v>
      </c>
      <c r="B5316" s="2" t="s">
        <v>51870</v>
      </c>
      <c r="C5316" s="2" t="s">
        <v>51871</v>
      </c>
      <c r="D5316" s="2" t="s">
        <v>51872</v>
      </c>
      <c r="E5316" s="2" t="s">
        <v>51873</v>
      </c>
      <c r="G5316" s="3" t="s">
        <v>64</v>
      </c>
      <c r="I5316" s="3" t="s">
        <v>64</v>
      </c>
      <c r="J5316" s="3" t="s">
        <v>64</v>
      </c>
      <c r="K5316" s="3" t="s">
        <v>65</v>
      </c>
      <c r="M5316" s="2" t="s">
        <v>51874</v>
      </c>
      <c r="N5316" s="3" t="s">
        <v>392</v>
      </c>
      <c r="P5316" s="3" t="s">
        <v>102</v>
      </c>
      <c r="Q5316" s="2" t="s">
        <v>51875</v>
      </c>
      <c r="R5316" s="3" t="s">
        <v>49178</v>
      </c>
      <c r="S5316" s="4">
        <v>24</v>
      </c>
      <c r="T5316" s="4">
        <v>24</v>
      </c>
      <c r="U5316" s="5" t="s">
        <v>8209</v>
      </c>
      <c r="V5316" s="5" t="s">
        <v>8209</v>
      </c>
      <c r="W5316" s="5" t="s">
        <v>72</v>
      </c>
      <c r="X5316" s="5" t="s">
        <v>72</v>
      </c>
      <c r="Y5316" s="4">
        <v>303</v>
      </c>
      <c r="Z5316" s="4">
        <v>28</v>
      </c>
      <c r="AA5316" s="4">
        <v>34</v>
      </c>
      <c r="AB5316" s="4">
        <v>2</v>
      </c>
      <c r="AC5316" s="4">
        <v>6</v>
      </c>
      <c r="AD5316" s="4">
        <v>87</v>
      </c>
      <c r="AE5316" s="4">
        <v>90</v>
      </c>
      <c r="AF5316" s="4">
        <v>1</v>
      </c>
      <c r="AG5316" s="4">
        <v>2</v>
      </c>
      <c r="AH5316" s="4">
        <v>72</v>
      </c>
      <c r="AI5316" s="4">
        <v>72</v>
      </c>
      <c r="AJ5316" s="4">
        <v>15</v>
      </c>
      <c r="AK5316" s="4">
        <v>17</v>
      </c>
      <c r="AL5316" s="4">
        <v>43</v>
      </c>
      <c r="AM5316" s="4">
        <v>43</v>
      </c>
      <c r="AN5316" s="4">
        <v>0</v>
      </c>
      <c r="AO5316" s="4">
        <v>0</v>
      </c>
      <c r="AP5316" s="4">
        <v>21</v>
      </c>
      <c r="AQ5316" s="4">
        <v>23</v>
      </c>
      <c r="AR5316" s="3" t="s">
        <v>64</v>
      </c>
      <c r="AS5316" s="3" t="s">
        <v>64</v>
      </c>
      <c r="AT5316" s="3" t="s">
        <v>64</v>
      </c>
      <c r="AV5316" s="6" t="str">
        <f>HYPERLINK("http://mcgill.on.worldcat.org/oclc/39886944","Catalog Record")</f>
        <v>Catalog Record</v>
      </c>
      <c r="AW5316" s="6" t="str">
        <f>HYPERLINK("http://www.worldcat.org/oclc/39886944","WorldCat Record")</f>
        <v>WorldCat Record</v>
      </c>
      <c r="AX5316" s="3" t="s">
        <v>51876</v>
      </c>
      <c r="AY5316" s="3" t="s">
        <v>51877</v>
      </c>
      <c r="AZ5316" s="3" t="s">
        <v>51878</v>
      </c>
      <c r="BA5316" s="3" t="s">
        <v>51878</v>
      </c>
      <c r="BB5316" s="3" t="s">
        <v>51879</v>
      </c>
      <c r="BC5316" s="3" t="s">
        <v>77</v>
      </c>
      <c r="BD5316" s="3" t="s">
        <v>165</v>
      </c>
      <c r="BE5316" s="3" t="s">
        <v>51880</v>
      </c>
      <c r="BF5316" s="3" t="s">
        <v>51879</v>
      </c>
      <c r="BG5316" s="3" t="s">
        <v>51881</v>
      </c>
      <c r="BH5316">
        <f t="shared" si="165"/>
        <v>0</v>
      </c>
    </row>
    <row r="5317" spans="1:60" ht="58" x14ac:dyDescent="0.35">
      <c r="A5317" s="2" t="s">
        <v>59</v>
      </c>
      <c r="B5317" s="2" t="s">
        <v>60</v>
      </c>
      <c r="C5317" s="2" t="s">
        <v>51882</v>
      </c>
      <c r="D5317" s="2" t="s">
        <v>51883</v>
      </c>
      <c r="E5317" s="2" t="s">
        <v>51884</v>
      </c>
      <c r="G5317" s="3" t="s">
        <v>64</v>
      </c>
      <c r="I5317" s="3" t="s">
        <v>64</v>
      </c>
      <c r="J5317" s="3" t="s">
        <v>64</v>
      </c>
      <c r="K5317" s="3" t="s">
        <v>65</v>
      </c>
      <c r="L5317" s="2" t="s">
        <v>51885</v>
      </c>
      <c r="M5317" s="2" t="s">
        <v>18422</v>
      </c>
      <c r="N5317" s="3" t="s">
        <v>116</v>
      </c>
      <c r="P5317" s="3" t="s">
        <v>102</v>
      </c>
      <c r="Q5317" s="2" t="s">
        <v>51886</v>
      </c>
      <c r="R5317" s="3" t="s">
        <v>49178</v>
      </c>
      <c r="S5317" s="4">
        <v>7</v>
      </c>
      <c r="T5317" s="4">
        <v>7</v>
      </c>
      <c r="U5317" s="5" t="s">
        <v>18764</v>
      </c>
      <c r="V5317" s="5" t="s">
        <v>18764</v>
      </c>
      <c r="W5317" s="5" t="s">
        <v>72</v>
      </c>
      <c r="X5317" s="5" t="s">
        <v>72</v>
      </c>
      <c r="Y5317" s="4">
        <v>193</v>
      </c>
      <c r="Z5317" s="4">
        <v>9</v>
      </c>
      <c r="AA5317" s="4">
        <v>36</v>
      </c>
      <c r="AB5317" s="4">
        <v>3</v>
      </c>
      <c r="AC5317" s="4">
        <v>10</v>
      </c>
      <c r="AD5317" s="4">
        <v>55</v>
      </c>
      <c r="AE5317" s="4">
        <v>67</v>
      </c>
      <c r="AF5317" s="4">
        <v>0</v>
      </c>
      <c r="AG5317" s="4">
        <v>2</v>
      </c>
      <c r="AH5317" s="4">
        <v>53</v>
      </c>
      <c r="AI5317" s="4">
        <v>62</v>
      </c>
      <c r="AJ5317" s="4">
        <v>5</v>
      </c>
      <c r="AK5317" s="4">
        <v>8</v>
      </c>
      <c r="AL5317" s="4">
        <v>30</v>
      </c>
      <c r="AM5317" s="4">
        <v>31</v>
      </c>
      <c r="AN5317" s="4">
        <v>0</v>
      </c>
      <c r="AO5317" s="4">
        <v>0</v>
      </c>
      <c r="AP5317" s="4">
        <v>5</v>
      </c>
      <c r="AQ5317" s="4">
        <v>9</v>
      </c>
      <c r="AR5317" s="3" t="s">
        <v>64</v>
      </c>
      <c r="AS5317" s="3" t="s">
        <v>64</v>
      </c>
      <c r="AT5317" s="3" t="s">
        <v>64</v>
      </c>
      <c r="AV5317" s="6" t="str">
        <f>HYPERLINK("http://mcgill.on.worldcat.org/oclc/48053772","Catalog Record")</f>
        <v>Catalog Record</v>
      </c>
      <c r="AW5317" s="6" t="str">
        <f>HYPERLINK("http://www.worldcat.org/oclc/48053772","WorldCat Record")</f>
        <v>WorldCat Record</v>
      </c>
      <c r="AX5317" s="3" t="s">
        <v>51887</v>
      </c>
      <c r="AY5317" s="3" t="s">
        <v>51888</v>
      </c>
      <c r="AZ5317" s="3" t="s">
        <v>51889</v>
      </c>
      <c r="BA5317" s="3" t="s">
        <v>51889</v>
      </c>
      <c r="BB5317" s="3" t="s">
        <v>51890</v>
      </c>
      <c r="BC5317" s="3" t="s">
        <v>77</v>
      </c>
      <c r="BD5317" s="3" t="s">
        <v>78</v>
      </c>
      <c r="BE5317" s="3" t="s">
        <v>51891</v>
      </c>
      <c r="BF5317" s="3" t="s">
        <v>51890</v>
      </c>
      <c r="BG5317" s="3" t="s">
        <v>51892</v>
      </c>
      <c r="BH5317">
        <f t="shared" si="165"/>
        <v>0</v>
      </c>
    </row>
    <row r="5318" spans="1:60" ht="58" x14ac:dyDescent="0.35">
      <c r="A5318" s="2" t="s">
        <v>59</v>
      </c>
      <c r="B5318" s="2" t="s">
        <v>60</v>
      </c>
      <c r="C5318" s="2" t="s">
        <v>51893</v>
      </c>
      <c r="D5318" s="2" t="s">
        <v>51894</v>
      </c>
      <c r="E5318" s="2" t="s">
        <v>51895</v>
      </c>
      <c r="G5318" s="3" t="s">
        <v>64</v>
      </c>
      <c r="I5318" s="3" t="s">
        <v>64</v>
      </c>
      <c r="J5318" s="3" t="s">
        <v>128</v>
      </c>
      <c r="K5318" s="3" t="s">
        <v>65</v>
      </c>
      <c r="L5318" s="2" t="s">
        <v>51896</v>
      </c>
      <c r="M5318" s="2" t="s">
        <v>15259</v>
      </c>
      <c r="N5318" s="3" t="s">
        <v>171</v>
      </c>
      <c r="P5318" s="3" t="s">
        <v>102</v>
      </c>
      <c r="R5318" s="3" t="s">
        <v>49178</v>
      </c>
      <c r="S5318" s="4">
        <v>15</v>
      </c>
      <c r="T5318" s="4">
        <v>15</v>
      </c>
      <c r="U5318" s="5" t="s">
        <v>10149</v>
      </c>
      <c r="V5318" s="5" t="s">
        <v>10149</v>
      </c>
      <c r="W5318" s="5" t="s">
        <v>72</v>
      </c>
      <c r="X5318" s="5" t="s">
        <v>72</v>
      </c>
      <c r="Y5318" s="4">
        <v>404</v>
      </c>
      <c r="Z5318" s="4">
        <v>21</v>
      </c>
      <c r="AA5318" s="4">
        <v>64</v>
      </c>
      <c r="AB5318" s="4">
        <v>2</v>
      </c>
      <c r="AC5318" s="4">
        <v>9</v>
      </c>
      <c r="AD5318" s="4">
        <v>51</v>
      </c>
      <c r="AE5318" s="4">
        <v>98</v>
      </c>
      <c r="AF5318" s="4">
        <v>0</v>
      </c>
      <c r="AG5318" s="4">
        <v>3</v>
      </c>
      <c r="AH5318" s="4">
        <v>47</v>
      </c>
      <c r="AI5318" s="4">
        <v>82</v>
      </c>
      <c r="AJ5318" s="4">
        <v>5</v>
      </c>
      <c r="AK5318" s="4">
        <v>16</v>
      </c>
      <c r="AL5318" s="4">
        <v>26</v>
      </c>
      <c r="AM5318" s="4">
        <v>42</v>
      </c>
      <c r="AN5318" s="4">
        <v>0</v>
      </c>
      <c r="AO5318" s="4">
        <v>0</v>
      </c>
      <c r="AP5318" s="4">
        <v>6</v>
      </c>
      <c r="AQ5318" s="4">
        <v>21</v>
      </c>
      <c r="AR5318" s="3" t="s">
        <v>64</v>
      </c>
      <c r="AS5318" s="3" t="s">
        <v>64</v>
      </c>
      <c r="AT5318" s="3" t="s">
        <v>128</v>
      </c>
      <c r="AU5318" s="6" t="str">
        <f>HYPERLINK("http://catalog.hathitrust.org/Record/005288086","HathiTrust Record")</f>
        <v>HathiTrust Record</v>
      </c>
      <c r="AV5318" s="6" t="str">
        <f>HYPERLINK("http://mcgill.on.worldcat.org/oclc/69734489","Catalog Record")</f>
        <v>Catalog Record</v>
      </c>
      <c r="AW5318" s="6" t="str">
        <f>HYPERLINK("http://www.worldcat.org/oclc/69734489","WorldCat Record")</f>
        <v>WorldCat Record</v>
      </c>
      <c r="AX5318" s="3" t="s">
        <v>51897</v>
      </c>
      <c r="AY5318" s="3" t="s">
        <v>51898</v>
      </c>
      <c r="AZ5318" s="3" t="s">
        <v>51899</v>
      </c>
      <c r="BA5318" s="3" t="s">
        <v>51899</v>
      </c>
      <c r="BB5318" s="3" t="s">
        <v>51900</v>
      </c>
      <c r="BC5318" s="3" t="s">
        <v>77</v>
      </c>
      <c r="BD5318" s="3" t="s">
        <v>78</v>
      </c>
      <c r="BE5318" s="3" t="s">
        <v>51901</v>
      </c>
      <c r="BF5318" s="3" t="s">
        <v>51900</v>
      </c>
      <c r="BG5318" s="3" t="s">
        <v>51902</v>
      </c>
      <c r="BH5318">
        <f t="shared" si="165"/>
        <v>0</v>
      </c>
    </row>
    <row r="5319" spans="1:60" ht="58" x14ac:dyDescent="0.35">
      <c r="A5319" s="2" t="s">
        <v>59</v>
      </c>
      <c r="B5319" s="2" t="s">
        <v>60</v>
      </c>
      <c r="C5319" s="2" t="s">
        <v>51903</v>
      </c>
      <c r="D5319" s="2" t="s">
        <v>51904</v>
      </c>
      <c r="E5319" s="2" t="s">
        <v>51895</v>
      </c>
      <c r="G5319" s="3" t="s">
        <v>64</v>
      </c>
      <c r="I5319" s="3" t="s">
        <v>128</v>
      </c>
      <c r="J5319" s="3" t="s">
        <v>128</v>
      </c>
      <c r="K5319" s="3" t="s">
        <v>65</v>
      </c>
      <c r="L5319" s="2" t="s">
        <v>51896</v>
      </c>
      <c r="M5319" s="2" t="s">
        <v>14376</v>
      </c>
      <c r="N5319" s="3" t="s">
        <v>551</v>
      </c>
      <c r="O5319" s="2" t="s">
        <v>172</v>
      </c>
      <c r="P5319" s="3" t="s">
        <v>102</v>
      </c>
      <c r="R5319" s="3" t="s">
        <v>49178</v>
      </c>
      <c r="S5319" s="4">
        <v>70</v>
      </c>
      <c r="T5319" s="4">
        <v>149</v>
      </c>
      <c r="U5319" s="5" t="s">
        <v>10236</v>
      </c>
      <c r="V5319" s="5" t="s">
        <v>1628</v>
      </c>
      <c r="W5319" s="5" t="s">
        <v>72</v>
      </c>
      <c r="X5319" s="5" t="s">
        <v>72</v>
      </c>
      <c r="Y5319" s="4">
        <v>329</v>
      </c>
      <c r="Z5319" s="4">
        <v>21</v>
      </c>
      <c r="AA5319" s="4">
        <v>64</v>
      </c>
      <c r="AB5319" s="4">
        <v>3</v>
      </c>
      <c r="AC5319" s="4">
        <v>9</v>
      </c>
      <c r="AD5319" s="4">
        <v>48</v>
      </c>
      <c r="AE5319" s="4">
        <v>98</v>
      </c>
      <c r="AF5319" s="4">
        <v>0</v>
      </c>
      <c r="AG5319" s="4">
        <v>3</v>
      </c>
      <c r="AH5319" s="4">
        <v>45</v>
      </c>
      <c r="AI5319" s="4">
        <v>82</v>
      </c>
      <c r="AJ5319" s="4">
        <v>8</v>
      </c>
      <c r="AK5319" s="4">
        <v>16</v>
      </c>
      <c r="AL5319" s="4">
        <v>22</v>
      </c>
      <c r="AM5319" s="4">
        <v>42</v>
      </c>
      <c r="AN5319" s="4">
        <v>0</v>
      </c>
      <c r="AO5319" s="4">
        <v>0</v>
      </c>
      <c r="AP5319" s="4">
        <v>9</v>
      </c>
      <c r="AQ5319" s="4">
        <v>21</v>
      </c>
      <c r="AR5319" s="3" t="s">
        <v>64</v>
      </c>
      <c r="AS5319" s="3" t="s">
        <v>64</v>
      </c>
      <c r="AT5319" s="3" t="s">
        <v>64</v>
      </c>
      <c r="AV5319" s="6" t="str">
        <f>HYPERLINK("http://mcgill.on.worldcat.org/oclc/243845503","Catalog Record")</f>
        <v>Catalog Record</v>
      </c>
      <c r="AW5319" s="6" t="str">
        <f>HYPERLINK("http://www.worldcat.org/oclc/243845503","WorldCat Record")</f>
        <v>WorldCat Record</v>
      </c>
      <c r="AX5319" s="3" t="s">
        <v>51897</v>
      </c>
      <c r="AY5319" s="3" t="s">
        <v>51905</v>
      </c>
      <c r="AZ5319" s="3" t="s">
        <v>51906</v>
      </c>
      <c r="BA5319" s="3" t="s">
        <v>51906</v>
      </c>
      <c r="BB5319" s="3" t="s">
        <v>51907</v>
      </c>
      <c r="BC5319" s="3" t="s">
        <v>77</v>
      </c>
      <c r="BD5319" s="3" t="s">
        <v>78</v>
      </c>
      <c r="BE5319" s="3" t="s">
        <v>51908</v>
      </c>
      <c r="BF5319" s="3" t="s">
        <v>51907</v>
      </c>
      <c r="BG5319" s="3" t="s">
        <v>51909</v>
      </c>
      <c r="BH5319">
        <f t="shared" si="165"/>
        <v>0</v>
      </c>
    </row>
    <row r="5320" spans="1:60" ht="58" x14ac:dyDescent="0.35">
      <c r="A5320" s="2" t="s">
        <v>59</v>
      </c>
      <c r="B5320" s="2" t="s">
        <v>60</v>
      </c>
      <c r="C5320" s="2" t="s">
        <v>51903</v>
      </c>
      <c r="D5320" s="2" t="s">
        <v>51904</v>
      </c>
      <c r="E5320" s="2" t="s">
        <v>51895</v>
      </c>
      <c r="G5320" s="3" t="s">
        <v>64</v>
      </c>
      <c r="I5320" s="3" t="s">
        <v>128</v>
      </c>
      <c r="J5320" s="3" t="s">
        <v>128</v>
      </c>
      <c r="K5320" s="3" t="s">
        <v>65</v>
      </c>
      <c r="L5320" s="2" t="s">
        <v>51896</v>
      </c>
      <c r="M5320" s="2" t="s">
        <v>14376</v>
      </c>
      <c r="N5320" s="3" t="s">
        <v>551</v>
      </c>
      <c r="O5320" s="2" t="s">
        <v>172</v>
      </c>
      <c r="P5320" s="3" t="s">
        <v>102</v>
      </c>
      <c r="R5320" s="3" t="s">
        <v>49178</v>
      </c>
      <c r="S5320" s="4">
        <v>79</v>
      </c>
      <c r="T5320" s="4">
        <v>149</v>
      </c>
      <c r="U5320" s="5" t="s">
        <v>1628</v>
      </c>
      <c r="V5320" s="5" t="s">
        <v>1628</v>
      </c>
      <c r="W5320" s="5" t="s">
        <v>72</v>
      </c>
      <c r="X5320" s="5" t="s">
        <v>72</v>
      </c>
      <c r="Y5320" s="4">
        <v>329</v>
      </c>
      <c r="Z5320" s="4">
        <v>21</v>
      </c>
      <c r="AA5320" s="4">
        <v>64</v>
      </c>
      <c r="AB5320" s="4">
        <v>3</v>
      </c>
      <c r="AC5320" s="4">
        <v>9</v>
      </c>
      <c r="AD5320" s="4">
        <v>48</v>
      </c>
      <c r="AE5320" s="4">
        <v>98</v>
      </c>
      <c r="AF5320" s="4">
        <v>0</v>
      </c>
      <c r="AG5320" s="4">
        <v>3</v>
      </c>
      <c r="AH5320" s="4">
        <v>45</v>
      </c>
      <c r="AI5320" s="4">
        <v>82</v>
      </c>
      <c r="AJ5320" s="4">
        <v>8</v>
      </c>
      <c r="AK5320" s="4">
        <v>16</v>
      </c>
      <c r="AL5320" s="4">
        <v>22</v>
      </c>
      <c r="AM5320" s="4">
        <v>42</v>
      </c>
      <c r="AN5320" s="4">
        <v>0</v>
      </c>
      <c r="AO5320" s="4">
        <v>0</v>
      </c>
      <c r="AP5320" s="4">
        <v>9</v>
      </c>
      <c r="AQ5320" s="4">
        <v>21</v>
      </c>
      <c r="AR5320" s="3" t="s">
        <v>64</v>
      </c>
      <c r="AS5320" s="3" t="s">
        <v>64</v>
      </c>
      <c r="AT5320" s="3" t="s">
        <v>64</v>
      </c>
      <c r="AV5320" s="6" t="str">
        <f>HYPERLINK("http://mcgill.on.worldcat.org/oclc/243845503","Catalog Record")</f>
        <v>Catalog Record</v>
      </c>
      <c r="AW5320" s="6" t="str">
        <f>HYPERLINK("http://www.worldcat.org/oclc/243845503","WorldCat Record")</f>
        <v>WorldCat Record</v>
      </c>
      <c r="AX5320" s="3" t="s">
        <v>51897</v>
      </c>
      <c r="AY5320" s="3" t="s">
        <v>51905</v>
      </c>
      <c r="AZ5320" s="3" t="s">
        <v>51906</v>
      </c>
      <c r="BA5320" s="3" t="s">
        <v>51906</v>
      </c>
      <c r="BB5320" s="3" t="s">
        <v>51910</v>
      </c>
      <c r="BC5320" s="3" t="s">
        <v>77</v>
      </c>
      <c r="BD5320" s="3" t="s">
        <v>78</v>
      </c>
      <c r="BE5320" s="3" t="s">
        <v>51908</v>
      </c>
      <c r="BF5320" s="3" t="s">
        <v>51910</v>
      </c>
      <c r="BG5320" s="3" t="s">
        <v>51911</v>
      </c>
      <c r="BH5320">
        <f t="shared" si="165"/>
        <v>0</v>
      </c>
    </row>
    <row r="5321" spans="1:60" ht="58" x14ac:dyDescent="0.35">
      <c r="A5321" s="2" t="s">
        <v>59</v>
      </c>
      <c r="B5321" s="2" t="s">
        <v>60</v>
      </c>
      <c r="C5321" s="2" t="s">
        <v>51912</v>
      </c>
      <c r="D5321" s="2" t="s">
        <v>51913</v>
      </c>
      <c r="E5321" s="2" t="s">
        <v>51914</v>
      </c>
      <c r="G5321" s="3" t="s">
        <v>64</v>
      </c>
      <c r="I5321" s="3" t="s">
        <v>64</v>
      </c>
      <c r="J5321" s="3" t="s">
        <v>128</v>
      </c>
      <c r="K5321" s="3" t="s">
        <v>65</v>
      </c>
      <c r="L5321" s="2" t="s">
        <v>51915</v>
      </c>
      <c r="M5321" s="2" t="s">
        <v>51916</v>
      </c>
      <c r="N5321" s="3" t="s">
        <v>253</v>
      </c>
      <c r="O5321" s="2" t="s">
        <v>14853</v>
      </c>
      <c r="P5321" s="3" t="s">
        <v>102</v>
      </c>
      <c r="R5321" s="3" t="s">
        <v>49178</v>
      </c>
      <c r="S5321" s="4">
        <v>7</v>
      </c>
      <c r="T5321" s="4">
        <v>7</v>
      </c>
      <c r="U5321" s="5" t="s">
        <v>3680</v>
      </c>
      <c r="V5321" s="5" t="s">
        <v>3680</v>
      </c>
      <c r="W5321" s="5" t="s">
        <v>72</v>
      </c>
      <c r="X5321" s="5" t="s">
        <v>72</v>
      </c>
      <c r="Y5321" s="4">
        <v>338</v>
      </c>
      <c r="Z5321" s="4">
        <v>12</v>
      </c>
      <c r="AA5321" s="4">
        <v>64</v>
      </c>
      <c r="AB5321" s="4">
        <v>1</v>
      </c>
      <c r="AC5321" s="4">
        <v>9</v>
      </c>
      <c r="AD5321" s="4">
        <v>36</v>
      </c>
      <c r="AE5321" s="4">
        <v>98</v>
      </c>
      <c r="AF5321" s="4">
        <v>0</v>
      </c>
      <c r="AG5321" s="4">
        <v>3</v>
      </c>
      <c r="AH5321" s="4">
        <v>34</v>
      </c>
      <c r="AI5321" s="4">
        <v>82</v>
      </c>
      <c r="AJ5321" s="4">
        <v>3</v>
      </c>
      <c r="AK5321" s="4">
        <v>16</v>
      </c>
      <c r="AL5321" s="4">
        <v>23</v>
      </c>
      <c r="AM5321" s="4">
        <v>42</v>
      </c>
      <c r="AN5321" s="4">
        <v>0</v>
      </c>
      <c r="AO5321" s="4">
        <v>0</v>
      </c>
      <c r="AP5321" s="4">
        <v>4</v>
      </c>
      <c r="AQ5321" s="4">
        <v>21</v>
      </c>
      <c r="AR5321" s="3" t="s">
        <v>64</v>
      </c>
      <c r="AS5321" s="3" t="s">
        <v>64</v>
      </c>
      <c r="AT5321" s="3" t="s">
        <v>64</v>
      </c>
      <c r="AV5321" s="6" t="str">
        <f>HYPERLINK("http://mcgill.on.worldcat.org/oclc/893455649","Catalog Record")</f>
        <v>Catalog Record</v>
      </c>
      <c r="AW5321" s="6" t="str">
        <f>HYPERLINK("http://www.worldcat.org/oclc/893455649","WorldCat Record")</f>
        <v>WorldCat Record</v>
      </c>
      <c r="AX5321" s="3" t="s">
        <v>51897</v>
      </c>
      <c r="AY5321" s="3" t="s">
        <v>51917</v>
      </c>
      <c r="AZ5321" s="3" t="s">
        <v>51918</v>
      </c>
      <c r="BA5321" s="3" t="s">
        <v>51918</v>
      </c>
      <c r="BB5321" s="3" t="s">
        <v>51919</v>
      </c>
      <c r="BC5321" s="3" t="s">
        <v>77</v>
      </c>
      <c r="BD5321" s="3" t="s">
        <v>78</v>
      </c>
      <c r="BE5321" s="3" t="s">
        <v>51920</v>
      </c>
      <c r="BF5321" s="3" t="s">
        <v>51919</v>
      </c>
      <c r="BG5321" s="3" t="s">
        <v>51921</v>
      </c>
      <c r="BH5321">
        <f t="shared" si="165"/>
        <v>0</v>
      </c>
    </row>
    <row r="5322" spans="1:60" ht="58" x14ac:dyDescent="0.35">
      <c r="A5322" s="2" t="s">
        <v>59</v>
      </c>
      <c r="B5322" s="2" t="s">
        <v>60</v>
      </c>
      <c r="C5322" s="2" t="s">
        <v>51922</v>
      </c>
      <c r="D5322" s="2" t="s">
        <v>51923</v>
      </c>
      <c r="E5322" s="2" t="s">
        <v>51924</v>
      </c>
      <c r="G5322" s="3" t="s">
        <v>64</v>
      </c>
      <c r="I5322" s="3" t="s">
        <v>64</v>
      </c>
      <c r="J5322" s="3" t="s">
        <v>128</v>
      </c>
      <c r="K5322" s="3" t="s">
        <v>65</v>
      </c>
      <c r="L5322" s="2" t="s">
        <v>51915</v>
      </c>
      <c r="M5322" s="2" t="s">
        <v>15135</v>
      </c>
      <c r="N5322" s="3" t="s">
        <v>190</v>
      </c>
      <c r="O5322" s="2" t="s">
        <v>15875</v>
      </c>
      <c r="P5322" s="3" t="s">
        <v>102</v>
      </c>
      <c r="R5322" s="3" t="s">
        <v>49178</v>
      </c>
      <c r="S5322" s="4">
        <v>4</v>
      </c>
      <c r="T5322" s="4">
        <v>4</v>
      </c>
      <c r="U5322" s="5" t="s">
        <v>4502</v>
      </c>
      <c r="V5322" s="5" t="s">
        <v>4502</v>
      </c>
      <c r="W5322" s="5" t="s">
        <v>72</v>
      </c>
      <c r="X5322" s="5" t="s">
        <v>72</v>
      </c>
      <c r="Y5322" s="4">
        <v>160</v>
      </c>
      <c r="Z5322" s="4">
        <v>6</v>
      </c>
      <c r="AA5322" s="4">
        <v>64</v>
      </c>
      <c r="AB5322" s="4">
        <v>1</v>
      </c>
      <c r="AC5322" s="4">
        <v>9</v>
      </c>
      <c r="AD5322" s="4">
        <v>24</v>
      </c>
      <c r="AE5322" s="4">
        <v>98</v>
      </c>
      <c r="AF5322" s="4">
        <v>0</v>
      </c>
      <c r="AG5322" s="4">
        <v>3</v>
      </c>
      <c r="AH5322" s="4">
        <v>22</v>
      </c>
      <c r="AI5322" s="4">
        <v>82</v>
      </c>
      <c r="AJ5322" s="4">
        <v>2</v>
      </c>
      <c r="AK5322" s="4">
        <v>16</v>
      </c>
      <c r="AL5322" s="4">
        <v>16</v>
      </c>
      <c r="AM5322" s="4">
        <v>42</v>
      </c>
      <c r="AN5322" s="4">
        <v>0</v>
      </c>
      <c r="AO5322" s="4">
        <v>0</v>
      </c>
      <c r="AP5322" s="4">
        <v>2</v>
      </c>
      <c r="AQ5322" s="4">
        <v>21</v>
      </c>
      <c r="AR5322" s="3" t="s">
        <v>64</v>
      </c>
      <c r="AS5322" s="3" t="s">
        <v>64</v>
      </c>
      <c r="AT5322" s="3" t="s">
        <v>64</v>
      </c>
      <c r="AV5322" s="6" t="str">
        <f>HYPERLINK("http://mcgill.on.worldcat.org/oclc/1048033681","Catalog Record")</f>
        <v>Catalog Record</v>
      </c>
      <c r="AW5322" s="6" t="str">
        <f>HYPERLINK("http://www.worldcat.org/oclc/1048033681","WorldCat Record")</f>
        <v>WorldCat Record</v>
      </c>
      <c r="AX5322" s="3" t="s">
        <v>51897</v>
      </c>
      <c r="AY5322" s="3" t="s">
        <v>51925</v>
      </c>
      <c r="AZ5322" s="3" t="s">
        <v>51926</v>
      </c>
      <c r="BA5322" s="3" t="s">
        <v>51926</v>
      </c>
      <c r="BB5322" s="3" t="s">
        <v>51927</v>
      </c>
      <c r="BC5322" s="3" t="s">
        <v>77</v>
      </c>
      <c r="BD5322" s="3" t="s">
        <v>78</v>
      </c>
      <c r="BE5322" s="3" t="s">
        <v>51928</v>
      </c>
      <c r="BF5322" s="3" t="s">
        <v>51927</v>
      </c>
      <c r="BG5322" s="3" t="s">
        <v>51929</v>
      </c>
      <c r="BH5322">
        <f t="shared" si="165"/>
        <v>0</v>
      </c>
    </row>
    <row r="5323" spans="1:60" ht="58" x14ac:dyDescent="0.35">
      <c r="A5323" s="2" t="s">
        <v>59</v>
      </c>
      <c r="B5323" s="2" t="s">
        <v>60</v>
      </c>
      <c r="C5323" s="2" t="s">
        <v>51930</v>
      </c>
      <c r="D5323" s="2" t="s">
        <v>51931</v>
      </c>
      <c r="E5323" s="2" t="s">
        <v>51932</v>
      </c>
      <c r="G5323" s="3" t="s">
        <v>64</v>
      </c>
      <c r="I5323" s="3" t="s">
        <v>64</v>
      </c>
      <c r="J5323" s="3" t="s">
        <v>64</v>
      </c>
      <c r="K5323" s="3" t="s">
        <v>65</v>
      </c>
      <c r="M5323" s="2" t="s">
        <v>51933</v>
      </c>
      <c r="N5323" s="3" t="s">
        <v>144</v>
      </c>
      <c r="P5323" s="3" t="s">
        <v>102</v>
      </c>
      <c r="R5323" s="3" t="s">
        <v>49178</v>
      </c>
      <c r="S5323" s="4">
        <v>4</v>
      </c>
      <c r="T5323" s="4">
        <v>4</v>
      </c>
      <c r="U5323" s="5" t="s">
        <v>12425</v>
      </c>
      <c r="V5323" s="5" t="s">
        <v>12425</v>
      </c>
      <c r="W5323" s="5" t="s">
        <v>72</v>
      </c>
      <c r="X5323" s="5" t="s">
        <v>72</v>
      </c>
      <c r="Y5323" s="4">
        <v>304</v>
      </c>
      <c r="Z5323" s="4">
        <v>13</v>
      </c>
      <c r="AA5323" s="4">
        <v>18</v>
      </c>
      <c r="AB5323" s="4">
        <v>1</v>
      </c>
      <c r="AC5323" s="4">
        <v>5</v>
      </c>
      <c r="AD5323" s="4">
        <v>54</v>
      </c>
      <c r="AE5323" s="4">
        <v>57</v>
      </c>
      <c r="AF5323" s="4">
        <v>0</v>
      </c>
      <c r="AG5323" s="4">
        <v>2</v>
      </c>
      <c r="AH5323" s="4">
        <v>50</v>
      </c>
      <c r="AI5323" s="4">
        <v>50</v>
      </c>
      <c r="AJ5323" s="4">
        <v>7</v>
      </c>
      <c r="AK5323" s="4">
        <v>9</v>
      </c>
      <c r="AL5323" s="4">
        <v>32</v>
      </c>
      <c r="AM5323" s="4">
        <v>32</v>
      </c>
      <c r="AN5323" s="4">
        <v>0</v>
      </c>
      <c r="AO5323" s="4">
        <v>0</v>
      </c>
      <c r="AP5323" s="4">
        <v>10</v>
      </c>
      <c r="AQ5323" s="4">
        <v>12</v>
      </c>
      <c r="AR5323" s="3" t="s">
        <v>64</v>
      </c>
      <c r="AS5323" s="3" t="s">
        <v>64</v>
      </c>
      <c r="AT5323" s="3" t="s">
        <v>128</v>
      </c>
      <c r="AU5323" s="6" t="str">
        <f>HYPERLINK("http://catalog.hathitrust.org/Record/005849857","HathiTrust Record")</f>
        <v>HathiTrust Record</v>
      </c>
      <c r="AV5323" s="6" t="str">
        <f>HYPERLINK("http://mcgill.on.worldcat.org/oclc/220006972","Catalog Record")</f>
        <v>Catalog Record</v>
      </c>
      <c r="AW5323" s="6" t="str">
        <f>HYPERLINK("http://www.worldcat.org/oclc/220006972","WorldCat Record")</f>
        <v>WorldCat Record</v>
      </c>
      <c r="AX5323" s="3" t="s">
        <v>51934</v>
      </c>
      <c r="AY5323" s="3" t="s">
        <v>51935</v>
      </c>
      <c r="AZ5323" s="3" t="s">
        <v>51936</v>
      </c>
      <c r="BA5323" s="3" t="s">
        <v>51936</v>
      </c>
      <c r="BB5323" s="3" t="s">
        <v>51937</v>
      </c>
      <c r="BC5323" s="3" t="s">
        <v>77</v>
      </c>
      <c r="BD5323" s="3" t="s">
        <v>78</v>
      </c>
      <c r="BE5323" s="3" t="s">
        <v>51938</v>
      </c>
      <c r="BF5323" s="3" t="s">
        <v>51937</v>
      </c>
      <c r="BG5323" s="3" t="s">
        <v>51939</v>
      </c>
      <c r="BH5323">
        <f t="shared" si="165"/>
        <v>0</v>
      </c>
    </row>
    <row r="5324" spans="1:60" ht="58" x14ac:dyDescent="0.35">
      <c r="A5324" s="2" t="s">
        <v>59</v>
      </c>
      <c r="B5324" s="2" t="s">
        <v>60</v>
      </c>
      <c r="C5324" s="2" t="s">
        <v>51940</v>
      </c>
      <c r="D5324" s="2" t="s">
        <v>51941</v>
      </c>
      <c r="E5324" s="2" t="s">
        <v>51942</v>
      </c>
      <c r="G5324" s="3" t="s">
        <v>64</v>
      </c>
      <c r="I5324" s="3" t="s">
        <v>64</v>
      </c>
      <c r="J5324" s="3" t="s">
        <v>64</v>
      </c>
      <c r="K5324" s="3" t="s">
        <v>65</v>
      </c>
      <c r="L5324" s="2" t="s">
        <v>51943</v>
      </c>
      <c r="M5324" s="2" t="s">
        <v>15422</v>
      </c>
      <c r="N5324" s="3" t="s">
        <v>511</v>
      </c>
      <c r="P5324" s="3" t="s">
        <v>102</v>
      </c>
      <c r="Q5324" s="2" t="s">
        <v>51944</v>
      </c>
      <c r="R5324" s="3" t="s">
        <v>49178</v>
      </c>
      <c r="S5324" s="4">
        <v>0</v>
      </c>
      <c r="T5324" s="4">
        <v>0</v>
      </c>
      <c r="W5324" s="5" t="s">
        <v>72</v>
      </c>
      <c r="X5324" s="5" t="s">
        <v>72</v>
      </c>
      <c r="Y5324" s="4">
        <v>44</v>
      </c>
      <c r="Z5324" s="4">
        <v>2</v>
      </c>
      <c r="AA5324" s="4">
        <v>25</v>
      </c>
      <c r="AB5324" s="4">
        <v>1</v>
      </c>
      <c r="AC5324" s="4">
        <v>7</v>
      </c>
      <c r="AD5324" s="4">
        <v>12</v>
      </c>
      <c r="AE5324" s="4">
        <v>57</v>
      </c>
      <c r="AF5324" s="4">
        <v>0</v>
      </c>
      <c r="AG5324" s="4">
        <v>3</v>
      </c>
      <c r="AH5324" s="4">
        <v>12</v>
      </c>
      <c r="AI5324" s="4">
        <v>46</v>
      </c>
      <c r="AJ5324" s="4">
        <v>1</v>
      </c>
      <c r="AK5324" s="4">
        <v>13</v>
      </c>
      <c r="AL5324" s="4">
        <v>8</v>
      </c>
      <c r="AM5324" s="4">
        <v>25</v>
      </c>
      <c r="AN5324" s="4">
        <v>0</v>
      </c>
      <c r="AO5324" s="4">
        <v>0</v>
      </c>
      <c r="AP5324" s="4">
        <v>1</v>
      </c>
      <c r="AQ5324" s="4">
        <v>17</v>
      </c>
      <c r="AR5324" s="3" t="s">
        <v>64</v>
      </c>
      <c r="AS5324" s="3" t="s">
        <v>64</v>
      </c>
      <c r="AT5324" s="3" t="s">
        <v>64</v>
      </c>
      <c r="AV5324" s="6" t="str">
        <f>HYPERLINK("http://mcgill.on.worldcat.org/oclc/228425550","Catalog Record")</f>
        <v>Catalog Record</v>
      </c>
      <c r="AW5324" s="6" t="str">
        <f>HYPERLINK("http://www.worldcat.org/oclc/228425550","WorldCat Record")</f>
        <v>WorldCat Record</v>
      </c>
      <c r="AX5324" s="3" t="s">
        <v>51945</v>
      </c>
      <c r="AY5324" s="3" t="s">
        <v>51946</v>
      </c>
      <c r="AZ5324" s="3" t="s">
        <v>51947</v>
      </c>
      <c r="BA5324" s="3" t="s">
        <v>51947</v>
      </c>
      <c r="BB5324" s="3" t="s">
        <v>51948</v>
      </c>
      <c r="BC5324" s="3" t="s">
        <v>77</v>
      </c>
      <c r="BD5324" s="3" t="s">
        <v>78</v>
      </c>
      <c r="BE5324" s="3" t="s">
        <v>51949</v>
      </c>
      <c r="BF5324" s="3" t="s">
        <v>51948</v>
      </c>
      <c r="BG5324" s="3" t="s">
        <v>51950</v>
      </c>
      <c r="BH5324">
        <f t="shared" si="165"/>
        <v>0</v>
      </c>
    </row>
    <row r="5325" spans="1:60" ht="58" x14ac:dyDescent="0.35">
      <c r="A5325" s="2" t="s">
        <v>59</v>
      </c>
      <c r="B5325" s="2" t="s">
        <v>60</v>
      </c>
      <c r="C5325" s="2" t="s">
        <v>51951</v>
      </c>
      <c r="D5325" s="2" t="s">
        <v>51952</v>
      </c>
      <c r="E5325" s="2" t="s">
        <v>51953</v>
      </c>
      <c r="G5325" s="3" t="s">
        <v>64</v>
      </c>
      <c r="I5325" s="3" t="s">
        <v>64</v>
      </c>
      <c r="J5325" s="3" t="s">
        <v>64</v>
      </c>
      <c r="K5325" s="3" t="s">
        <v>65</v>
      </c>
      <c r="L5325" s="2" t="s">
        <v>51954</v>
      </c>
      <c r="M5325" s="2" t="s">
        <v>51955</v>
      </c>
      <c r="N5325" s="3" t="s">
        <v>511</v>
      </c>
      <c r="P5325" s="3" t="s">
        <v>102</v>
      </c>
      <c r="R5325" s="3" t="s">
        <v>49178</v>
      </c>
      <c r="S5325" s="4">
        <v>1</v>
      </c>
      <c r="T5325" s="4">
        <v>1</v>
      </c>
      <c r="U5325" s="5" t="s">
        <v>5335</v>
      </c>
      <c r="V5325" s="5" t="s">
        <v>5335</v>
      </c>
      <c r="W5325" s="5" t="s">
        <v>72</v>
      </c>
      <c r="X5325" s="5" t="s">
        <v>72</v>
      </c>
      <c r="Y5325" s="4">
        <v>83</v>
      </c>
      <c r="Z5325" s="4">
        <v>9</v>
      </c>
      <c r="AA5325" s="4">
        <v>104</v>
      </c>
      <c r="AB5325" s="4">
        <v>2</v>
      </c>
      <c r="AC5325" s="4">
        <v>18</v>
      </c>
      <c r="AD5325" s="4">
        <v>28</v>
      </c>
      <c r="AE5325" s="4">
        <v>118</v>
      </c>
      <c r="AF5325" s="4">
        <v>1</v>
      </c>
      <c r="AG5325" s="4">
        <v>8</v>
      </c>
      <c r="AH5325" s="4">
        <v>23</v>
      </c>
      <c r="AI5325" s="4">
        <v>84</v>
      </c>
      <c r="AJ5325" s="4">
        <v>7</v>
      </c>
      <c r="AK5325" s="4">
        <v>21</v>
      </c>
      <c r="AL5325" s="4">
        <v>14</v>
      </c>
      <c r="AM5325" s="4">
        <v>44</v>
      </c>
      <c r="AN5325" s="4">
        <v>0</v>
      </c>
      <c r="AO5325" s="4">
        <v>0</v>
      </c>
      <c r="AP5325" s="4">
        <v>7</v>
      </c>
      <c r="AQ5325" s="4">
        <v>42</v>
      </c>
      <c r="AR5325" s="3" t="s">
        <v>64</v>
      </c>
      <c r="AS5325" s="3" t="s">
        <v>64</v>
      </c>
      <c r="AT5325" s="3" t="s">
        <v>64</v>
      </c>
      <c r="AV5325" s="6" t="str">
        <f>HYPERLINK("http://mcgill.on.worldcat.org/oclc/587249040","Catalog Record")</f>
        <v>Catalog Record</v>
      </c>
      <c r="AW5325" s="6" t="str">
        <f>HYPERLINK("http://www.worldcat.org/oclc/587249040","WorldCat Record")</f>
        <v>WorldCat Record</v>
      </c>
      <c r="AX5325" s="3" t="s">
        <v>51956</v>
      </c>
      <c r="AY5325" s="3" t="s">
        <v>51957</v>
      </c>
      <c r="AZ5325" s="3" t="s">
        <v>51958</v>
      </c>
      <c r="BA5325" s="3" t="s">
        <v>51958</v>
      </c>
      <c r="BB5325" s="3" t="s">
        <v>51959</v>
      </c>
      <c r="BC5325" s="3" t="s">
        <v>77</v>
      </c>
      <c r="BD5325" s="3" t="s">
        <v>78</v>
      </c>
      <c r="BE5325" s="3" t="s">
        <v>51960</v>
      </c>
      <c r="BF5325" s="3" t="s">
        <v>51959</v>
      </c>
      <c r="BG5325" s="3" t="s">
        <v>51961</v>
      </c>
      <c r="BH5325">
        <f t="shared" si="165"/>
        <v>0</v>
      </c>
    </row>
    <row r="5326" spans="1:60" ht="58" x14ac:dyDescent="0.35">
      <c r="A5326" s="2" t="s">
        <v>59</v>
      </c>
      <c r="B5326" s="2" t="s">
        <v>60</v>
      </c>
      <c r="C5326" s="2" t="s">
        <v>51962</v>
      </c>
      <c r="D5326" s="2" t="s">
        <v>51963</v>
      </c>
      <c r="E5326" s="2" t="s">
        <v>51964</v>
      </c>
      <c r="G5326" s="3" t="s">
        <v>64</v>
      </c>
      <c r="I5326" s="3" t="s">
        <v>128</v>
      </c>
      <c r="J5326" s="3" t="s">
        <v>64</v>
      </c>
      <c r="K5326" s="3" t="s">
        <v>65</v>
      </c>
      <c r="L5326" s="2" t="s">
        <v>51965</v>
      </c>
      <c r="M5326" s="2" t="s">
        <v>51966</v>
      </c>
      <c r="N5326" s="3" t="s">
        <v>392</v>
      </c>
      <c r="P5326" s="3" t="s">
        <v>102</v>
      </c>
      <c r="R5326" s="3" t="s">
        <v>49178</v>
      </c>
      <c r="S5326" s="4">
        <v>301</v>
      </c>
      <c r="T5326" s="4">
        <v>424</v>
      </c>
      <c r="U5326" s="5" t="s">
        <v>2399</v>
      </c>
      <c r="V5326" s="5" t="s">
        <v>2399</v>
      </c>
      <c r="W5326" s="5" t="s">
        <v>72</v>
      </c>
      <c r="X5326" s="5" t="s">
        <v>72</v>
      </c>
      <c r="Y5326" s="4">
        <v>227</v>
      </c>
      <c r="Z5326" s="4">
        <v>13</v>
      </c>
      <c r="AA5326" s="4">
        <v>17</v>
      </c>
      <c r="AB5326" s="4">
        <v>2</v>
      </c>
      <c r="AC5326" s="4">
        <v>5</v>
      </c>
      <c r="AD5326" s="4">
        <v>59</v>
      </c>
      <c r="AE5326" s="4">
        <v>69</v>
      </c>
      <c r="AF5326" s="4">
        <v>1</v>
      </c>
      <c r="AG5326" s="4">
        <v>4</v>
      </c>
      <c r="AH5326" s="4">
        <v>55</v>
      </c>
      <c r="AI5326" s="4">
        <v>62</v>
      </c>
      <c r="AJ5326" s="4">
        <v>10</v>
      </c>
      <c r="AK5326" s="4">
        <v>13</v>
      </c>
      <c r="AL5326" s="4">
        <v>28</v>
      </c>
      <c r="AM5326" s="4">
        <v>30</v>
      </c>
      <c r="AN5326" s="4">
        <v>0</v>
      </c>
      <c r="AO5326" s="4">
        <v>0</v>
      </c>
      <c r="AP5326" s="4">
        <v>11</v>
      </c>
      <c r="AQ5326" s="4">
        <v>14</v>
      </c>
      <c r="AR5326" s="3" t="s">
        <v>64</v>
      </c>
      <c r="AS5326" s="3" t="s">
        <v>64</v>
      </c>
      <c r="AT5326" s="3" t="s">
        <v>128</v>
      </c>
      <c r="AU5326" s="6" t="str">
        <f>HYPERLINK("http://catalog.hathitrust.org/Record/004027935","HathiTrust Record")</f>
        <v>HathiTrust Record</v>
      </c>
      <c r="AV5326" s="6" t="str">
        <f>HYPERLINK("http://mcgill.on.worldcat.org/oclc/39778731","Catalog Record")</f>
        <v>Catalog Record</v>
      </c>
      <c r="AW5326" s="6" t="str">
        <f>HYPERLINK("http://www.worldcat.org/oclc/39778731","WorldCat Record")</f>
        <v>WorldCat Record</v>
      </c>
      <c r="AX5326" s="3" t="s">
        <v>51967</v>
      </c>
      <c r="AY5326" s="3" t="s">
        <v>51968</v>
      </c>
      <c r="AZ5326" s="3" t="s">
        <v>51969</v>
      </c>
      <c r="BA5326" s="3" t="s">
        <v>51969</v>
      </c>
      <c r="BB5326" s="3" t="s">
        <v>51970</v>
      </c>
      <c r="BC5326" s="3" t="s">
        <v>77</v>
      </c>
      <c r="BD5326" s="3" t="s">
        <v>78</v>
      </c>
      <c r="BE5326" s="3" t="s">
        <v>51971</v>
      </c>
      <c r="BF5326" s="3" t="s">
        <v>51970</v>
      </c>
      <c r="BG5326" s="3" t="s">
        <v>51972</v>
      </c>
      <c r="BH5326">
        <f t="shared" si="165"/>
        <v>0</v>
      </c>
    </row>
    <row r="5327" spans="1:60" ht="58" x14ac:dyDescent="0.35">
      <c r="A5327" s="2" t="s">
        <v>59</v>
      </c>
      <c r="B5327" s="2" t="s">
        <v>60</v>
      </c>
      <c r="C5327" s="2" t="s">
        <v>51962</v>
      </c>
      <c r="D5327" s="2" t="s">
        <v>51963</v>
      </c>
      <c r="E5327" s="2" t="s">
        <v>51964</v>
      </c>
      <c r="G5327" s="3" t="s">
        <v>64</v>
      </c>
      <c r="I5327" s="3" t="s">
        <v>128</v>
      </c>
      <c r="J5327" s="3" t="s">
        <v>64</v>
      </c>
      <c r="K5327" s="3" t="s">
        <v>65</v>
      </c>
      <c r="L5327" s="2" t="s">
        <v>51965</v>
      </c>
      <c r="M5327" s="2" t="s">
        <v>51966</v>
      </c>
      <c r="N5327" s="3" t="s">
        <v>392</v>
      </c>
      <c r="P5327" s="3" t="s">
        <v>102</v>
      </c>
      <c r="R5327" s="3" t="s">
        <v>49178</v>
      </c>
      <c r="S5327" s="4">
        <v>123</v>
      </c>
      <c r="T5327" s="4">
        <v>424</v>
      </c>
      <c r="U5327" s="5" t="s">
        <v>51973</v>
      </c>
      <c r="V5327" s="5" t="s">
        <v>2399</v>
      </c>
      <c r="W5327" s="5" t="s">
        <v>72</v>
      </c>
      <c r="X5327" s="5" t="s">
        <v>72</v>
      </c>
      <c r="Y5327" s="4">
        <v>227</v>
      </c>
      <c r="Z5327" s="4">
        <v>13</v>
      </c>
      <c r="AA5327" s="4">
        <v>17</v>
      </c>
      <c r="AB5327" s="4">
        <v>2</v>
      </c>
      <c r="AC5327" s="4">
        <v>5</v>
      </c>
      <c r="AD5327" s="4">
        <v>59</v>
      </c>
      <c r="AE5327" s="4">
        <v>69</v>
      </c>
      <c r="AF5327" s="4">
        <v>1</v>
      </c>
      <c r="AG5327" s="4">
        <v>4</v>
      </c>
      <c r="AH5327" s="4">
        <v>55</v>
      </c>
      <c r="AI5327" s="4">
        <v>62</v>
      </c>
      <c r="AJ5327" s="4">
        <v>10</v>
      </c>
      <c r="AK5327" s="4">
        <v>13</v>
      </c>
      <c r="AL5327" s="4">
        <v>28</v>
      </c>
      <c r="AM5327" s="4">
        <v>30</v>
      </c>
      <c r="AN5327" s="4">
        <v>0</v>
      </c>
      <c r="AO5327" s="4">
        <v>0</v>
      </c>
      <c r="AP5327" s="4">
        <v>11</v>
      </c>
      <c r="AQ5327" s="4">
        <v>14</v>
      </c>
      <c r="AR5327" s="3" t="s">
        <v>64</v>
      </c>
      <c r="AS5327" s="3" t="s">
        <v>64</v>
      </c>
      <c r="AT5327" s="3" t="s">
        <v>128</v>
      </c>
      <c r="AU5327" s="6" t="str">
        <f>HYPERLINK("http://catalog.hathitrust.org/Record/004027935","HathiTrust Record")</f>
        <v>HathiTrust Record</v>
      </c>
      <c r="AV5327" s="6" t="str">
        <f>HYPERLINK("http://mcgill.on.worldcat.org/oclc/39778731","Catalog Record")</f>
        <v>Catalog Record</v>
      </c>
      <c r="AW5327" s="6" t="str">
        <f>HYPERLINK("http://www.worldcat.org/oclc/39778731","WorldCat Record")</f>
        <v>WorldCat Record</v>
      </c>
      <c r="AX5327" s="3" t="s">
        <v>51967</v>
      </c>
      <c r="AY5327" s="3" t="s">
        <v>51968</v>
      </c>
      <c r="AZ5327" s="3" t="s">
        <v>51969</v>
      </c>
      <c r="BA5327" s="3" t="s">
        <v>51969</v>
      </c>
      <c r="BB5327" s="3" t="s">
        <v>51974</v>
      </c>
      <c r="BC5327" s="3" t="s">
        <v>77</v>
      </c>
      <c r="BD5327" s="3" t="s">
        <v>78</v>
      </c>
      <c r="BE5327" s="3" t="s">
        <v>51971</v>
      </c>
      <c r="BF5327" s="3" t="s">
        <v>51974</v>
      </c>
      <c r="BG5327" s="3" t="s">
        <v>51975</v>
      </c>
      <c r="BH5327">
        <f t="shared" si="165"/>
        <v>0</v>
      </c>
    </row>
    <row r="5328" spans="1:60" ht="58" x14ac:dyDescent="0.35">
      <c r="A5328" s="2" t="s">
        <v>59</v>
      </c>
      <c r="B5328" s="2" t="s">
        <v>60</v>
      </c>
      <c r="C5328" s="2" t="s">
        <v>51976</v>
      </c>
      <c r="D5328" s="2" t="s">
        <v>51977</v>
      </c>
      <c r="E5328" s="2" t="s">
        <v>51978</v>
      </c>
      <c r="G5328" s="3" t="s">
        <v>64</v>
      </c>
      <c r="I5328" s="3" t="s">
        <v>64</v>
      </c>
      <c r="J5328" s="3" t="s">
        <v>64</v>
      </c>
      <c r="K5328" s="3" t="s">
        <v>65</v>
      </c>
      <c r="L5328" s="2" t="s">
        <v>51979</v>
      </c>
      <c r="M5328" s="2" t="s">
        <v>51980</v>
      </c>
      <c r="N5328" s="3" t="s">
        <v>144</v>
      </c>
      <c r="P5328" s="3" t="s">
        <v>102</v>
      </c>
      <c r="Q5328" s="2" t="s">
        <v>51981</v>
      </c>
      <c r="R5328" s="3" t="s">
        <v>49178</v>
      </c>
      <c r="S5328" s="4">
        <v>22</v>
      </c>
      <c r="T5328" s="4">
        <v>22</v>
      </c>
      <c r="U5328" s="5" t="s">
        <v>9939</v>
      </c>
      <c r="V5328" s="5" t="s">
        <v>9939</v>
      </c>
      <c r="W5328" s="5" t="s">
        <v>72</v>
      </c>
      <c r="X5328" s="5" t="s">
        <v>72</v>
      </c>
      <c r="Y5328" s="4">
        <v>590</v>
      </c>
      <c r="Z5328" s="4">
        <v>45</v>
      </c>
      <c r="AA5328" s="4">
        <v>50</v>
      </c>
      <c r="AB5328" s="4">
        <v>2</v>
      </c>
      <c r="AC5328" s="4">
        <v>6</v>
      </c>
      <c r="AD5328" s="4">
        <v>96</v>
      </c>
      <c r="AE5328" s="4">
        <v>101</v>
      </c>
      <c r="AF5328" s="4">
        <v>1</v>
      </c>
      <c r="AG5328" s="4">
        <v>5</v>
      </c>
      <c r="AH5328" s="4">
        <v>78</v>
      </c>
      <c r="AI5328" s="4">
        <v>79</v>
      </c>
      <c r="AJ5328" s="4">
        <v>19</v>
      </c>
      <c r="AK5328" s="4">
        <v>23</v>
      </c>
      <c r="AL5328" s="4">
        <v>41</v>
      </c>
      <c r="AM5328" s="4">
        <v>41</v>
      </c>
      <c r="AN5328" s="4">
        <v>0</v>
      </c>
      <c r="AO5328" s="4">
        <v>0</v>
      </c>
      <c r="AP5328" s="4">
        <v>28</v>
      </c>
      <c r="AQ5328" s="4">
        <v>32</v>
      </c>
      <c r="AR5328" s="3" t="s">
        <v>64</v>
      </c>
      <c r="AS5328" s="3" t="s">
        <v>64</v>
      </c>
      <c r="AT5328" s="3" t="s">
        <v>64</v>
      </c>
      <c r="AV5328" s="6" t="str">
        <f>HYPERLINK("http://mcgill.on.worldcat.org/oclc/181910115","Catalog Record")</f>
        <v>Catalog Record</v>
      </c>
      <c r="AW5328" s="6" t="str">
        <f>HYPERLINK("http://www.worldcat.org/oclc/181910115","WorldCat Record")</f>
        <v>WorldCat Record</v>
      </c>
      <c r="AX5328" s="3" t="s">
        <v>51982</v>
      </c>
      <c r="AY5328" s="3" t="s">
        <v>51983</v>
      </c>
      <c r="AZ5328" s="3" t="s">
        <v>51984</v>
      </c>
      <c r="BA5328" s="3" t="s">
        <v>51984</v>
      </c>
      <c r="BB5328" s="3" t="s">
        <v>51985</v>
      </c>
      <c r="BC5328" s="3" t="s">
        <v>77</v>
      </c>
      <c r="BD5328" s="3" t="s">
        <v>78</v>
      </c>
      <c r="BE5328" s="3" t="s">
        <v>51986</v>
      </c>
      <c r="BF5328" s="3" t="s">
        <v>51985</v>
      </c>
      <c r="BG5328" s="3" t="s">
        <v>51987</v>
      </c>
      <c r="BH5328">
        <f t="shared" si="165"/>
        <v>0</v>
      </c>
    </row>
    <row r="5329" spans="1:60" ht="58" x14ac:dyDescent="0.35">
      <c r="A5329" s="2" t="s">
        <v>59</v>
      </c>
      <c r="B5329" s="2" t="s">
        <v>60</v>
      </c>
      <c r="C5329" s="2" t="s">
        <v>51988</v>
      </c>
      <c r="D5329" s="2" t="s">
        <v>51989</v>
      </c>
      <c r="E5329" s="2" t="s">
        <v>51990</v>
      </c>
      <c r="G5329" s="3" t="s">
        <v>64</v>
      </c>
      <c r="I5329" s="3" t="s">
        <v>64</v>
      </c>
      <c r="J5329" s="3" t="s">
        <v>64</v>
      </c>
      <c r="K5329" s="3" t="s">
        <v>65</v>
      </c>
      <c r="L5329" s="2" t="s">
        <v>51991</v>
      </c>
      <c r="M5329" s="2" t="s">
        <v>51992</v>
      </c>
      <c r="N5329" s="3" t="s">
        <v>551</v>
      </c>
      <c r="P5329" s="3" t="s">
        <v>102</v>
      </c>
      <c r="Q5329" s="2" t="s">
        <v>8981</v>
      </c>
      <c r="R5329" s="3" t="s">
        <v>49178</v>
      </c>
      <c r="S5329" s="4">
        <v>7</v>
      </c>
      <c r="T5329" s="4">
        <v>7</v>
      </c>
      <c r="U5329" s="5" t="s">
        <v>6010</v>
      </c>
      <c r="V5329" s="5" t="s">
        <v>6010</v>
      </c>
      <c r="W5329" s="5" t="s">
        <v>72</v>
      </c>
      <c r="X5329" s="5" t="s">
        <v>72</v>
      </c>
      <c r="Y5329" s="4">
        <v>92</v>
      </c>
      <c r="Z5329" s="4">
        <v>12</v>
      </c>
      <c r="AA5329" s="4">
        <v>18</v>
      </c>
      <c r="AB5329" s="4">
        <v>3</v>
      </c>
      <c r="AC5329" s="4">
        <v>6</v>
      </c>
      <c r="AD5329" s="4">
        <v>32</v>
      </c>
      <c r="AE5329" s="4">
        <v>41</v>
      </c>
      <c r="AF5329" s="4">
        <v>0</v>
      </c>
      <c r="AG5329" s="4">
        <v>1</v>
      </c>
      <c r="AH5329" s="4">
        <v>30</v>
      </c>
      <c r="AI5329" s="4">
        <v>38</v>
      </c>
      <c r="AJ5329" s="4">
        <v>5</v>
      </c>
      <c r="AK5329" s="4">
        <v>7</v>
      </c>
      <c r="AL5329" s="4">
        <v>20</v>
      </c>
      <c r="AM5329" s="4">
        <v>25</v>
      </c>
      <c r="AN5329" s="4">
        <v>0</v>
      </c>
      <c r="AO5329" s="4">
        <v>0</v>
      </c>
      <c r="AP5329" s="4">
        <v>6</v>
      </c>
      <c r="AQ5329" s="4">
        <v>7</v>
      </c>
      <c r="AR5329" s="3" t="s">
        <v>64</v>
      </c>
      <c r="AS5329" s="3" t="s">
        <v>64</v>
      </c>
      <c r="AT5329" s="3" t="s">
        <v>64</v>
      </c>
      <c r="AV5329" s="6" t="str">
        <f>HYPERLINK("http://mcgill.on.worldcat.org/oclc/404718204","Catalog Record")</f>
        <v>Catalog Record</v>
      </c>
      <c r="AW5329" s="6" t="str">
        <f>HYPERLINK("http://www.worldcat.org/oclc/404718204","WorldCat Record")</f>
        <v>WorldCat Record</v>
      </c>
      <c r="AX5329" s="3" t="s">
        <v>51993</v>
      </c>
      <c r="AY5329" s="3" t="s">
        <v>51994</v>
      </c>
      <c r="AZ5329" s="3" t="s">
        <v>51995</v>
      </c>
      <c r="BA5329" s="3" t="s">
        <v>51995</v>
      </c>
      <c r="BB5329" s="3" t="s">
        <v>51996</v>
      </c>
      <c r="BC5329" s="3" t="s">
        <v>77</v>
      </c>
      <c r="BD5329" s="3" t="s">
        <v>78</v>
      </c>
      <c r="BE5329" s="3" t="s">
        <v>51997</v>
      </c>
      <c r="BF5329" s="3" t="s">
        <v>51996</v>
      </c>
      <c r="BG5329" s="3" t="s">
        <v>51998</v>
      </c>
      <c r="BH5329">
        <f t="shared" si="165"/>
        <v>0</v>
      </c>
    </row>
    <row r="5330" spans="1:60" ht="58" x14ac:dyDescent="0.35">
      <c r="A5330" s="2" t="s">
        <v>59</v>
      </c>
      <c r="B5330" s="2" t="s">
        <v>60</v>
      </c>
      <c r="C5330" s="2" t="s">
        <v>51999</v>
      </c>
      <c r="D5330" s="2" t="s">
        <v>52000</v>
      </c>
      <c r="E5330" s="2" t="s">
        <v>52001</v>
      </c>
      <c r="G5330" s="3" t="s">
        <v>64</v>
      </c>
      <c r="I5330" s="3" t="s">
        <v>64</v>
      </c>
      <c r="J5330" s="3" t="s">
        <v>64</v>
      </c>
      <c r="K5330" s="3" t="s">
        <v>65</v>
      </c>
      <c r="L5330" s="2" t="s">
        <v>52002</v>
      </c>
      <c r="M5330" s="2" t="s">
        <v>52003</v>
      </c>
      <c r="N5330" s="3" t="s">
        <v>86</v>
      </c>
      <c r="O5330" s="2" t="s">
        <v>172</v>
      </c>
      <c r="P5330" s="3" t="s">
        <v>102</v>
      </c>
      <c r="R5330" s="3" t="s">
        <v>49178</v>
      </c>
      <c r="S5330" s="4">
        <v>2</v>
      </c>
      <c r="T5330" s="4">
        <v>2</v>
      </c>
      <c r="U5330" s="5" t="s">
        <v>16105</v>
      </c>
      <c r="V5330" s="5" t="s">
        <v>16105</v>
      </c>
      <c r="W5330" s="5" t="s">
        <v>72</v>
      </c>
      <c r="X5330" s="5" t="s">
        <v>72</v>
      </c>
      <c r="Y5330" s="4">
        <v>13</v>
      </c>
      <c r="Z5330" s="4">
        <v>1</v>
      </c>
      <c r="AA5330" s="4">
        <v>12</v>
      </c>
      <c r="AB5330" s="4">
        <v>1</v>
      </c>
      <c r="AC5330" s="4">
        <v>4</v>
      </c>
      <c r="AD5330" s="4">
        <v>3</v>
      </c>
      <c r="AE5330" s="4">
        <v>12</v>
      </c>
      <c r="AF5330" s="4">
        <v>0</v>
      </c>
      <c r="AG5330" s="4">
        <v>1</v>
      </c>
      <c r="AH5330" s="4">
        <v>3</v>
      </c>
      <c r="AI5330" s="4">
        <v>9</v>
      </c>
      <c r="AJ5330" s="4">
        <v>0</v>
      </c>
      <c r="AK5330" s="4">
        <v>4</v>
      </c>
      <c r="AL5330" s="4">
        <v>1</v>
      </c>
      <c r="AM5330" s="4">
        <v>4</v>
      </c>
      <c r="AN5330" s="4">
        <v>0</v>
      </c>
      <c r="AO5330" s="4">
        <v>0</v>
      </c>
      <c r="AP5330" s="4">
        <v>0</v>
      </c>
      <c r="AQ5330" s="4">
        <v>4</v>
      </c>
      <c r="AR5330" s="3" t="s">
        <v>64</v>
      </c>
      <c r="AS5330" s="3" t="s">
        <v>64</v>
      </c>
      <c r="AT5330" s="3" t="s">
        <v>64</v>
      </c>
      <c r="AV5330" s="6" t="str">
        <f>HYPERLINK("http://mcgill.on.worldcat.org/oclc/794490599","Catalog Record")</f>
        <v>Catalog Record</v>
      </c>
      <c r="AW5330" s="6" t="str">
        <f>HYPERLINK("http://www.worldcat.org/oclc/794490599","WorldCat Record")</f>
        <v>WorldCat Record</v>
      </c>
      <c r="AX5330" s="3" t="s">
        <v>52004</v>
      </c>
      <c r="AY5330" s="3" t="s">
        <v>52005</v>
      </c>
      <c r="AZ5330" s="3" t="s">
        <v>52006</v>
      </c>
      <c r="BA5330" s="3" t="s">
        <v>52006</v>
      </c>
      <c r="BB5330" s="3" t="s">
        <v>52007</v>
      </c>
      <c r="BC5330" s="3" t="s">
        <v>77</v>
      </c>
      <c r="BD5330" s="3" t="s">
        <v>78</v>
      </c>
      <c r="BE5330" s="3" t="s">
        <v>52008</v>
      </c>
      <c r="BF5330" s="3" t="s">
        <v>52007</v>
      </c>
      <c r="BG5330" s="3" t="s">
        <v>52009</v>
      </c>
      <c r="BH5330">
        <f t="shared" si="165"/>
        <v>0</v>
      </c>
    </row>
    <row r="5331" spans="1:60" ht="58" x14ac:dyDescent="0.35">
      <c r="A5331" s="2" t="s">
        <v>59</v>
      </c>
      <c r="B5331" s="2" t="s">
        <v>60</v>
      </c>
      <c r="C5331" s="2" t="s">
        <v>52010</v>
      </c>
      <c r="D5331" s="2" t="s">
        <v>52011</v>
      </c>
      <c r="E5331" s="2" t="s">
        <v>52012</v>
      </c>
      <c r="G5331" s="3" t="s">
        <v>64</v>
      </c>
      <c r="I5331" s="3" t="s">
        <v>64</v>
      </c>
      <c r="J5331" s="3" t="s">
        <v>64</v>
      </c>
      <c r="K5331" s="3" t="s">
        <v>65</v>
      </c>
      <c r="M5331" s="2" t="s">
        <v>28960</v>
      </c>
      <c r="N5331" s="3" t="s">
        <v>67</v>
      </c>
      <c r="P5331" s="3" t="s">
        <v>102</v>
      </c>
      <c r="R5331" s="3" t="s">
        <v>49178</v>
      </c>
      <c r="S5331" s="4">
        <v>1</v>
      </c>
      <c r="T5331" s="4">
        <v>1</v>
      </c>
      <c r="U5331" s="5" t="s">
        <v>5612</v>
      </c>
      <c r="V5331" s="5" t="s">
        <v>5612</v>
      </c>
      <c r="W5331" s="5" t="s">
        <v>72</v>
      </c>
      <c r="X5331" s="5" t="s">
        <v>72</v>
      </c>
      <c r="Y5331" s="4">
        <v>134</v>
      </c>
      <c r="Z5331" s="4">
        <v>13</v>
      </c>
      <c r="AA5331" s="4">
        <v>16</v>
      </c>
      <c r="AB5331" s="4">
        <v>3</v>
      </c>
      <c r="AC5331" s="4">
        <v>6</v>
      </c>
      <c r="AD5331" s="4">
        <v>46</v>
      </c>
      <c r="AE5331" s="4">
        <v>47</v>
      </c>
      <c r="AF5331" s="4">
        <v>1</v>
      </c>
      <c r="AG5331" s="4">
        <v>2</v>
      </c>
      <c r="AH5331" s="4">
        <v>40</v>
      </c>
      <c r="AI5331" s="4">
        <v>40</v>
      </c>
      <c r="AJ5331" s="4">
        <v>8</v>
      </c>
      <c r="AK5331" s="4">
        <v>9</v>
      </c>
      <c r="AL5331" s="4">
        <v>32</v>
      </c>
      <c r="AM5331" s="4">
        <v>32</v>
      </c>
      <c r="AN5331" s="4">
        <v>0</v>
      </c>
      <c r="AO5331" s="4">
        <v>0</v>
      </c>
      <c r="AP5331" s="4">
        <v>9</v>
      </c>
      <c r="AQ5331" s="4">
        <v>10</v>
      </c>
      <c r="AR5331" s="3" t="s">
        <v>64</v>
      </c>
      <c r="AS5331" s="3" t="s">
        <v>64</v>
      </c>
      <c r="AT5331" s="3" t="s">
        <v>64</v>
      </c>
      <c r="AV5331" s="6" t="str">
        <f>HYPERLINK("http://mcgill.on.worldcat.org/oclc/861955584","Catalog Record")</f>
        <v>Catalog Record</v>
      </c>
      <c r="AW5331" s="6" t="str">
        <f>HYPERLINK("http://www.worldcat.org/oclc/861955584","WorldCat Record")</f>
        <v>WorldCat Record</v>
      </c>
      <c r="AX5331" s="3" t="s">
        <v>52013</v>
      </c>
      <c r="AY5331" s="3" t="s">
        <v>52014</v>
      </c>
      <c r="AZ5331" s="3" t="s">
        <v>52015</v>
      </c>
      <c r="BA5331" s="3" t="s">
        <v>52015</v>
      </c>
      <c r="BB5331" s="3" t="s">
        <v>52016</v>
      </c>
      <c r="BC5331" s="3" t="s">
        <v>77</v>
      </c>
      <c r="BD5331" s="3" t="s">
        <v>78</v>
      </c>
      <c r="BE5331" s="3" t="s">
        <v>52017</v>
      </c>
      <c r="BF5331" s="3" t="s">
        <v>52016</v>
      </c>
      <c r="BG5331" s="3" t="s">
        <v>52018</v>
      </c>
      <c r="BH5331">
        <f t="shared" si="165"/>
        <v>0</v>
      </c>
    </row>
    <row r="5332" spans="1:60" ht="58" x14ac:dyDescent="0.35">
      <c r="A5332" s="2" t="s">
        <v>59</v>
      </c>
      <c r="B5332" s="2" t="s">
        <v>60</v>
      </c>
      <c r="C5332" s="2" t="s">
        <v>52019</v>
      </c>
      <c r="D5332" s="2" t="s">
        <v>52020</v>
      </c>
      <c r="E5332" s="2" t="s">
        <v>52021</v>
      </c>
      <c r="G5332" s="3" t="s">
        <v>64</v>
      </c>
      <c r="I5332" s="3" t="s">
        <v>64</v>
      </c>
      <c r="J5332" s="3" t="s">
        <v>64</v>
      </c>
      <c r="K5332" s="3" t="s">
        <v>65</v>
      </c>
      <c r="M5332" s="2" t="s">
        <v>52022</v>
      </c>
      <c r="N5332" s="3" t="s">
        <v>86</v>
      </c>
      <c r="P5332" s="3" t="s">
        <v>102</v>
      </c>
      <c r="Q5332" s="2" t="s">
        <v>52023</v>
      </c>
      <c r="R5332" s="3" t="s">
        <v>49178</v>
      </c>
      <c r="S5332" s="4">
        <v>1</v>
      </c>
      <c r="T5332" s="4">
        <v>1</v>
      </c>
      <c r="U5332" s="5" t="s">
        <v>52024</v>
      </c>
      <c r="V5332" s="5" t="s">
        <v>52024</v>
      </c>
      <c r="W5332" s="5" t="s">
        <v>72</v>
      </c>
      <c r="X5332" s="5" t="s">
        <v>72</v>
      </c>
      <c r="Y5332" s="4">
        <v>61</v>
      </c>
      <c r="Z5332" s="4">
        <v>7</v>
      </c>
      <c r="AA5332" s="4">
        <v>47</v>
      </c>
      <c r="AB5332" s="4">
        <v>2</v>
      </c>
      <c r="AC5332" s="4">
        <v>6</v>
      </c>
      <c r="AD5332" s="4">
        <v>16</v>
      </c>
      <c r="AE5332" s="4">
        <v>42</v>
      </c>
      <c r="AF5332" s="4">
        <v>1</v>
      </c>
      <c r="AG5332" s="4">
        <v>2</v>
      </c>
      <c r="AH5332" s="4">
        <v>13</v>
      </c>
      <c r="AI5332" s="4">
        <v>28</v>
      </c>
      <c r="AJ5332" s="4">
        <v>6</v>
      </c>
      <c r="AK5332" s="4">
        <v>14</v>
      </c>
      <c r="AL5332" s="4">
        <v>7</v>
      </c>
      <c r="AM5332" s="4">
        <v>13</v>
      </c>
      <c r="AN5332" s="4">
        <v>0</v>
      </c>
      <c r="AO5332" s="4">
        <v>0</v>
      </c>
      <c r="AP5332" s="4">
        <v>6</v>
      </c>
      <c r="AQ5332" s="4">
        <v>20</v>
      </c>
      <c r="AR5332" s="3" t="s">
        <v>64</v>
      </c>
      <c r="AS5332" s="3" t="s">
        <v>64</v>
      </c>
      <c r="AT5332" s="3" t="s">
        <v>64</v>
      </c>
      <c r="AV5332" s="6" t="str">
        <f>HYPERLINK("http://mcgill.on.worldcat.org/oclc/761380934","Catalog Record")</f>
        <v>Catalog Record</v>
      </c>
      <c r="AW5332" s="6" t="str">
        <f>HYPERLINK("http://www.worldcat.org/oclc/761380934","WorldCat Record")</f>
        <v>WorldCat Record</v>
      </c>
      <c r="AX5332" s="3" t="s">
        <v>52025</v>
      </c>
      <c r="AY5332" s="3" t="s">
        <v>52026</v>
      </c>
      <c r="AZ5332" s="3" t="s">
        <v>52027</v>
      </c>
      <c r="BA5332" s="3" t="s">
        <v>52027</v>
      </c>
      <c r="BB5332" s="3" t="s">
        <v>52028</v>
      </c>
      <c r="BC5332" s="3" t="s">
        <v>77</v>
      </c>
      <c r="BD5332" s="3" t="s">
        <v>78</v>
      </c>
      <c r="BE5332" s="3" t="s">
        <v>52029</v>
      </c>
      <c r="BF5332" s="3" t="s">
        <v>52028</v>
      </c>
      <c r="BG5332" s="3" t="s">
        <v>52030</v>
      </c>
      <c r="BH5332">
        <f t="shared" si="165"/>
        <v>0</v>
      </c>
    </row>
    <row r="5333" spans="1:60" ht="58" x14ac:dyDescent="0.35">
      <c r="A5333" s="2" t="s">
        <v>59</v>
      </c>
      <c r="B5333" s="2" t="s">
        <v>60</v>
      </c>
      <c r="C5333" s="2" t="s">
        <v>52031</v>
      </c>
      <c r="D5333" s="2" t="s">
        <v>52032</v>
      </c>
      <c r="E5333" s="2" t="s">
        <v>52033</v>
      </c>
      <c r="G5333" s="3" t="s">
        <v>64</v>
      </c>
      <c r="I5333" s="3" t="s">
        <v>64</v>
      </c>
      <c r="J5333" s="3" t="s">
        <v>128</v>
      </c>
      <c r="K5333" s="3" t="s">
        <v>65</v>
      </c>
      <c r="L5333" s="2" t="s">
        <v>52034</v>
      </c>
      <c r="M5333" s="2" t="s">
        <v>17762</v>
      </c>
      <c r="N5333" s="3" t="s">
        <v>326</v>
      </c>
      <c r="P5333" s="3" t="s">
        <v>102</v>
      </c>
      <c r="R5333" s="3" t="s">
        <v>49178</v>
      </c>
      <c r="S5333" s="4">
        <v>4</v>
      </c>
      <c r="T5333" s="4">
        <v>4</v>
      </c>
      <c r="U5333" s="5" t="s">
        <v>43295</v>
      </c>
      <c r="V5333" s="5" t="s">
        <v>43295</v>
      </c>
      <c r="W5333" s="5" t="s">
        <v>72</v>
      </c>
      <c r="X5333" s="5" t="s">
        <v>72</v>
      </c>
      <c r="Y5333" s="4">
        <v>441</v>
      </c>
      <c r="Z5333" s="4">
        <v>26</v>
      </c>
      <c r="AA5333" s="4">
        <v>87</v>
      </c>
      <c r="AB5333" s="4">
        <v>2</v>
      </c>
      <c r="AC5333" s="4">
        <v>14</v>
      </c>
      <c r="AD5333" s="4">
        <v>97</v>
      </c>
      <c r="AE5333" s="4">
        <v>144</v>
      </c>
      <c r="AF5333" s="4">
        <v>1</v>
      </c>
      <c r="AG5333" s="4">
        <v>8</v>
      </c>
      <c r="AH5333" s="4">
        <v>84</v>
      </c>
      <c r="AI5333" s="4">
        <v>106</v>
      </c>
      <c r="AJ5333" s="4">
        <v>15</v>
      </c>
      <c r="AK5333" s="4">
        <v>24</v>
      </c>
      <c r="AL5333" s="4">
        <v>50</v>
      </c>
      <c r="AM5333" s="4">
        <v>58</v>
      </c>
      <c r="AN5333" s="4">
        <v>0</v>
      </c>
      <c r="AO5333" s="4">
        <v>0</v>
      </c>
      <c r="AP5333" s="4">
        <v>16</v>
      </c>
      <c r="AQ5333" s="4">
        <v>43</v>
      </c>
      <c r="AR5333" s="3" t="s">
        <v>64</v>
      </c>
      <c r="AS5333" s="3" t="s">
        <v>64</v>
      </c>
      <c r="AT5333" s="3" t="s">
        <v>64</v>
      </c>
      <c r="AV5333" s="6" t="str">
        <f>HYPERLINK("http://mcgill.on.worldcat.org/oclc/710044961","Catalog Record")</f>
        <v>Catalog Record</v>
      </c>
      <c r="AW5333" s="6" t="str">
        <f>HYPERLINK("http://www.worldcat.org/oclc/710044961","WorldCat Record")</f>
        <v>WorldCat Record</v>
      </c>
      <c r="AX5333" s="3" t="s">
        <v>52035</v>
      </c>
      <c r="AY5333" s="3" t="s">
        <v>52036</v>
      </c>
      <c r="AZ5333" s="3" t="s">
        <v>52037</v>
      </c>
      <c r="BA5333" s="3" t="s">
        <v>52037</v>
      </c>
      <c r="BB5333" s="3" t="s">
        <v>52038</v>
      </c>
      <c r="BC5333" s="3" t="s">
        <v>77</v>
      </c>
      <c r="BD5333" s="3" t="s">
        <v>78</v>
      </c>
      <c r="BE5333" s="3" t="s">
        <v>52039</v>
      </c>
      <c r="BF5333" s="3" t="s">
        <v>52038</v>
      </c>
      <c r="BG5333" s="3" t="s">
        <v>52040</v>
      </c>
      <c r="BH5333">
        <f t="shared" si="165"/>
        <v>0</v>
      </c>
    </row>
    <row r="5334" spans="1:60" ht="58" x14ac:dyDescent="0.35">
      <c r="A5334" s="2" t="s">
        <v>59</v>
      </c>
      <c r="B5334" s="2" t="s">
        <v>60</v>
      </c>
      <c r="C5334" s="2" t="s">
        <v>52041</v>
      </c>
      <c r="D5334" s="2" t="s">
        <v>52042</v>
      </c>
      <c r="E5334" s="2" t="s">
        <v>52043</v>
      </c>
      <c r="G5334" s="3" t="s">
        <v>64</v>
      </c>
      <c r="I5334" s="3" t="s">
        <v>64</v>
      </c>
      <c r="J5334" s="3" t="s">
        <v>128</v>
      </c>
      <c r="K5334" s="3" t="s">
        <v>65</v>
      </c>
      <c r="L5334" s="2" t="s">
        <v>52044</v>
      </c>
      <c r="M5334" s="2" t="s">
        <v>14852</v>
      </c>
      <c r="N5334" s="3" t="s">
        <v>537</v>
      </c>
      <c r="O5334" s="2" t="s">
        <v>3787</v>
      </c>
      <c r="P5334" s="3" t="s">
        <v>102</v>
      </c>
      <c r="R5334" s="3" t="s">
        <v>49178</v>
      </c>
      <c r="S5334" s="4">
        <v>7</v>
      </c>
      <c r="T5334" s="4">
        <v>7</v>
      </c>
      <c r="U5334" s="5" t="s">
        <v>14464</v>
      </c>
      <c r="V5334" s="5" t="s">
        <v>14464</v>
      </c>
      <c r="W5334" s="5" t="s">
        <v>72</v>
      </c>
      <c r="X5334" s="5" t="s">
        <v>72</v>
      </c>
      <c r="Y5334" s="4">
        <v>489</v>
      </c>
      <c r="Z5334" s="4">
        <v>4</v>
      </c>
      <c r="AA5334" s="4">
        <v>87</v>
      </c>
      <c r="AB5334" s="4">
        <v>1</v>
      </c>
      <c r="AC5334" s="4">
        <v>14</v>
      </c>
      <c r="AD5334" s="4">
        <v>74</v>
      </c>
      <c r="AE5334" s="4">
        <v>144</v>
      </c>
      <c r="AF5334" s="4">
        <v>0</v>
      </c>
      <c r="AG5334" s="4">
        <v>8</v>
      </c>
      <c r="AH5334" s="4">
        <v>70</v>
      </c>
      <c r="AI5334" s="4">
        <v>106</v>
      </c>
      <c r="AJ5334" s="4">
        <v>3</v>
      </c>
      <c r="AK5334" s="4">
        <v>24</v>
      </c>
      <c r="AL5334" s="4">
        <v>41</v>
      </c>
      <c r="AM5334" s="4">
        <v>58</v>
      </c>
      <c r="AN5334" s="4">
        <v>0</v>
      </c>
      <c r="AO5334" s="4">
        <v>0</v>
      </c>
      <c r="AP5334" s="4">
        <v>3</v>
      </c>
      <c r="AQ5334" s="4">
        <v>43</v>
      </c>
      <c r="AR5334" s="3" t="s">
        <v>64</v>
      </c>
      <c r="AS5334" s="3" t="s">
        <v>64</v>
      </c>
      <c r="AT5334" s="3" t="s">
        <v>64</v>
      </c>
      <c r="AV5334" s="6" t="str">
        <f>HYPERLINK("http://mcgill.on.worldcat.org/oclc/935674960","Catalog Record")</f>
        <v>Catalog Record</v>
      </c>
      <c r="AW5334" s="6" t="str">
        <f>HYPERLINK("http://www.worldcat.org/oclc/935674960","WorldCat Record")</f>
        <v>WorldCat Record</v>
      </c>
      <c r="AX5334" s="3" t="s">
        <v>52035</v>
      </c>
      <c r="AY5334" s="3" t="s">
        <v>52045</v>
      </c>
      <c r="AZ5334" s="3" t="s">
        <v>52046</v>
      </c>
      <c r="BA5334" s="3" t="s">
        <v>52046</v>
      </c>
      <c r="BB5334" s="3" t="s">
        <v>52047</v>
      </c>
      <c r="BC5334" s="3" t="s">
        <v>77</v>
      </c>
      <c r="BD5334" s="3" t="s">
        <v>78</v>
      </c>
      <c r="BE5334" s="3" t="s">
        <v>52048</v>
      </c>
      <c r="BF5334" s="3" t="s">
        <v>52047</v>
      </c>
      <c r="BG5334" s="3" t="s">
        <v>52049</v>
      </c>
      <c r="BH5334">
        <f t="shared" si="165"/>
        <v>0</v>
      </c>
    </row>
    <row r="5335" spans="1:60" ht="58" x14ac:dyDescent="0.35">
      <c r="A5335" s="2" t="s">
        <v>59</v>
      </c>
      <c r="B5335" s="2" t="s">
        <v>35724</v>
      </c>
      <c r="C5335" s="2" t="s">
        <v>52050</v>
      </c>
      <c r="D5335" s="2" t="s">
        <v>52051</v>
      </c>
      <c r="E5335" s="2" t="s">
        <v>920</v>
      </c>
      <c r="G5335" s="3" t="s">
        <v>64</v>
      </c>
      <c r="I5335" s="3" t="s">
        <v>128</v>
      </c>
      <c r="J5335" s="3" t="s">
        <v>64</v>
      </c>
      <c r="K5335" s="3" t="s">
        <v>65</v>
      </c>
      <c r="M5335" s="2" t="s">
        <v>921</v>
      </c>
      <c r="N5335" s="3" t="s">
        <v>922</v>
      </c>
      <c r="P5335" s="3" t="s">
        <v>102</v>
      </c>
      <c r="R5335" s="3" t="s">
        <v>70</v>
      </c>
      <c r="S5335" s="4">
        <v>0</v>
      </c>
      <c r="T5335" s="4">
        <v>10</v>
      </c>
      <c r="V5335" s="5" t="s">
        <v>380</v>
      </c>
      <c r="W5335" s="5" t="s">
        <v>72</v>
      </c>
      <c r="X5335" s="5" t="s">
        <v>72</v>
      </c>
      <c r="Y5335" s="4">
        <v>529</v>
      </c>
      <c r="Z5335" s="4">
        <v>29</v>
      </c>
      <c r="AA5335" s="4">
        <v>31</v>
      </c>
      <c r="AB5335" s="4">
        <v>3</v>
      </c>
      <c r="AC5335" s="4">
        <v>5</v>
      </c>
      <c r="AD5335" s="4">
        <v>100</v>
      </c>
      <c r="AE5335" s="4">
        <v>101</v>
      </c>
      <c r="AF5335" s="4">
        <v>1</v>
      </c>
      <c r="AG5335" s="4">
        <v>2</v>
      </c>
      <c r="AH5335" s="4">
        <v>89</v>
      </c>
      <c r="AI5335" s="4">
        <v>89</v>
      </c>
      <c r="AJ5335" s="4">
        <v>16</v>
      </c>
      <c r="AK5335" s="4">
        <v>17</v>
      </c>
      <c r="AL5335" s="4">
        <v>51</v>
      </c>
      <c r="AM5335" s="4">
        <v>51</v>
      </c>
      <c r="AN5335" s="4">
        <v>0</v>
      </c>
      <c r="AO5335" s="4">
        <v>0</v>
      </c>
      <c r="AP5335" s="4">
        <v>18</v>
      </c>
      <c r="AQ5335" s="4">
        <v>19</v>
      </c>
      <c r="AR5335" s="3" t="s">
        <v>64</v>
      </c>
      <c r="AS5335" s="3" t="s">
        <v>64</v>
      </c>
      <c r="AT5335" s="3" t="s">
        <v>64</v>
      </c>
      <c r="AV5335" s="6" t="str">
        <f>HYPERLINK("http://mcgill.on.worldcat.org/oclc/572095","Catalog Record")</f>
        <v>Catalog Record</v>
      </c>
      <c r="AW5335" s="6" t="str">
        <f>HYPERLINK("http://www.worldcat.org/oclc/572095","WorldCat Record")</f>
        <v>WorldCat Record</v>
      </c>
      <c r="AX5335" s="3" t="s">
        <v>923</v>
      </c>
      <c r="AY5335" s="3" t="s">
        <v>924</v>
      </c>
      <c r="AZ5335" s="3" t="s">
        <v>925</v>
      </c>
      <c r="BA5335" s="3" t="s">
        <v>925</v>
      </c>
      <c r="BB5335" s="3" t="s">
        <v>52052</v>
      </c>
      <c r="BC5335" s="3" t="s">
        <v>77</v>
      </c>
      <c r="BD5335" s="3" t="s">
        <v>78</v>
      </c>
      <c r="BE5335" s="3" t="s">
        <v>927</v>
      </c>
      <c r="BF5335" s="3" t="s">
        <v>52052</v>
      </c>
      <c r="BG5335" s="3" t="s">
        <v>52053</v>
      </c>
      <c r="BH5335">
        <f t="shared" si="165"/>
        <v>0</v>
      </c>
    </row>
    <row r="5336" spans="1:60" ht="58" x14ac:dyDescent="0.35">
      <c r="A5336" s="2" t="s">
        <v>59</v>
      </c>
      <c r="B5336" s="2" t="s">
        <v>60</v>
      </c>
      <c r="C5336" s="2" t="s">
        <v>52054</v>
      </c>
      <c r="D5336" s="2" t="s">
        <v>52055</v>
      </c>
      <c r="E5336" s="2" t="s">
        <v>52056</v>
      </c>
      <c r="G5336" s="3" t="s">
        <v>64</v>
      </c>
      <c r="I5336" s="3" t="s">
        <v>64</v>
      </c>
      <c r="J5336" s="3" t="s">
        <v>64</v>
      </c>
      <c r="K5336" s="3" t="s">
        <v>65</v>
      </c>
      <c r="M5336" s="2" t="s">
        <v>52057</v>
      </c>
      <c r="N5336" s="3" t="s">
        <v>3330</v>
      </c>
      <c r="P5336" s="3" t="s">
        <v>68</v>
      </c>
      <c r="R5336" s="3" t="s">
        <v>70</v>
      </c>
      <c r="S5336" s="4">
        <v>7</v>
      </c>
      <c r="T5336" s="4">
        <v>7</v>
      </c>
      <c r="U5336" s="5" t="s">
        <v>160</v>
      </c>
      <c r="V5336" s="5" t="s">
        <v>160</v>
      </c>
      <c r="W5336" s="5" t="s">
        <v>72</v>
      </c>
      <c r="X5336" s="5" t="s">
        <v>72</v>
      </c>
      <c r="Y5336" s="4">
        <v>168</v>
      </c>
      <c r="Z5336" s="4">
        <v>13</v>
      </c>
      <c r="AA5336" s="4">
        <v>27</v>
      </c>
      <c r="AB5336" s="4">
        <v>2</v>
      </c>
      <c r="AC5336" s="4">
        <v>11</v>
      </c>
      <c r="AD5336" s="4">
        <v>61</v>
      </c>
      <c r="AE5336" s="4">
        <v>82</v>
      </c>
      <c r="AF5336" s="4">
        <v>0</v>
      </c>
      <c r="AG5336" s="4">
        <v>4</v>
      </c>
      <c r="AH5336" s="4">
        <v>59</v>
      </c>
      <c r="AI5336" s="4">
        <v>74</v>
      </c>
      <c r="AJ5336" s="4">
        <v>9</v>
      </c>
      <c r="AK5336" s="4">
        <v>17</v>
      </c>
      <c r="AL5336" s="4">
        <v>40</v>
      </c>
      <c r="AM5336" s="4">
        <v>47</v>
      </c>
      <c r="AN5336" s="4">
        <v>1</v>
      </c>
      <c r="AO5336" s="4">
        <v>1</v>
      </c>
      <c r="AP5336" s="4">
        <v>9</v>
      </c>
      <c r="AQ5336" s="4">
        <v>15</v>
      </c>
      <c r="AR5336" s="3" t="s">
        <v>64</v>
      </c>
      <c r="AS5336" s="3" t="s">
        <v>64</v>
      </c>
      <c r="AT5336" s="3" t="s">
        <v>128</v>
      </c>
      <c r="AU5336" s="6" t="str">
        <f>HYPERLINK("http://catalog.hathitrust.org/Record/001082668","HathiTrust Record")</f>
        <v>HathiTrust Record</v>
      </c>
      <c r="AV5336" s="6" t="str">
        <f>HYPERLINK("http://mcgill.on.worldcat.org/oclc/21559868","Catalog Record")</f>
        <v>Catalog Record</v>
      </c>
      <c r="AW5336" s="6" t="str">
        <f>HYPERLINK("http://www.worldcat.org/oclc/21559868","WorldCat Record")</f>
        <v>WorldCat Record</v>
      </c>
      <c r="AX5336" s="3" t="s">
        <v>52058</v>
      </c>
      <c r="AY5336" s="3" t="s">
        <v>52059</v>
      </c>
      <c r="AZ5336" s="3" t="s">
        <v>52060</v>
      </c>
      <c r="BA5336" s="3" t="s">
        <v>52060</v>
      </c>
      <c r="BB5336" s="3" t="s">
        <v>52061</v>
      </c>
      <c r="BC5336" s="3" t="s">
        <v>77</v>
      </c>
      <c r="BD5336" s="3" t="s">
        <v>78</v>
      </c>
      <c r="BE5336" s="3" t="s">
        <v>52062</v>
      </c>
      <c r="BF5336" s="3" t="s">
        <v>52061</v>
      </c>
      <c r="BG5336" s="3" t="s">
        <v>52063</v>
      </c>
      <c r="BH5336">
        <f t="shared" si="165"/>
        <v>0</v>
      </c>
    </row>
    <row r="5337" spans="1:60" ht="58" x14ac:dyDescent="0.35">
      <c r="A5337" s="2" t="s">
        <v>59</v>
      </c>
      <c r="B5337" s="2" t="s">
        <v>60</v>
      </c>
      <c r="C5337" s="2" t="s">
        <v>52064</v>
      </c>
      <c r="D5337" s="2" t="s">
        <v>52065</v>
      </c>
      <c r="E5337" s="2" t="s">
        <v>52066</v>
      </c>
      <c r="G5337" s="3" t="s">
        <v>64</v>
      </c>
      <c r="I5337" s="3" t="s">
        <v>64</v>
      </c>
      <c r="J5337" s="3" t="s">
        <v>64</v>
      </c>
      <c r="K5337" s="3" t="s">
        <v>65</v>
      </c>
      <c r="M5337" s="2" t="s">
        <v>52067</v>
      </c>
      <c r="N5337" s="3" t="s">
        <v>578</v>
      </c>
      <c r="P5337" s="3" t="s">
        <v>944</v>
      </c>
      <c r="Q5337" s="2" t="s">
        <v>52068</v>
      </c>
      <c r="R5337" s="3" t="s">
        <v>70</v>
      </c>
      <c r="S5337" s="4">
        <v>0</v>
      </c>
      <c r="T5337" s="4">
        <v>0</v>
      </c>
      <c r="W5337" s="5" t="s">
        <v>72</v>
      </c>
      <c r="X5337" s="5" t="s">
        <v>72</v>
      </c>
      <c r="Y5337" s="4">
        <v>21</v>
      </c>
      <c r="Z5337" s="4">
        <v>2</v>
      </c>
      <c r="AA5337" s="4">
        <v>2</v>
      </c>
      <c r="AB5337" s="4">
        <v>1</v>
      </c>
      <c r="AC5337" s="4">
        <v>1</v>
      </c>
      <c r="AD5337" s="4">
        <v>16</v>
      </c>
      <c r="AE5337" s="4">
        <v>16</v>
      </c>
      <c r="AF5337" s="4">
        <v>0</v>
      </c>
      <c r="AG5337" s="4">
        <v>0</v>
      </c>
      <c r="AH5337" s="4">
        <v>15</v>
      </c>
      <c r="AI5337" s="4">
        <v>15</v>
      </c>
      <c r="AJ5337" s="4">
        <v>1</v>
      </c>
      <c r="AK5337" s="4">
        <v>1</v>
      </c>
      <c r="AL5337" s="4">
        <v>12</v>
      </c>
      <c r="AM5337" s="4">
        <v>12</v>
      </c>
      <c r="AN5337" s="4">
        <v>0</v>
      </c>
      <c r="AO5337" s="4">
        <v>0</v>
      </c>
      <c r="AP5337" s="4">
        <v>1</v>
      </c>
      <c r="AQ5337" s="4">
        <v>1</v>
      </c>
      <c r="AR5337" s="3" t="s">
        <v>64</v>
      </c>
      <c r="AS5337" s="3" t="s">
        <v>64</v>
      </c>
      <c r="AT5337" s="3" t="s">
        <v>64</v>
      </c>
      <c r="AV5337" s="6" t="str">
        <f>HYPERLINK("http://mcgill.on.worldcat.org/oclc/1017089574","Catalog Record")</f>
        <v>Catalog Record</v>
      </c>
      <c r="AW5337" s="6" t="str">
        <f>HYPERLINK("http://www.worldcat.org/oclc/1017089574","WorldCat Record")</f>
        <v>WorldCat Record</v>
      </c>
      <c r="AX5337" s="3" t="s">
        <v>52069</v>
      </c>
      <c r="AY5337" s="3" t="s">
        <v>52070</v>
      </c>
      <c r="AZ5337" s="3" t="s">
        <v>52071</v>
      </c>
      <c r="BA5337" s="3" t="s">
        <v>52071</v>
      </c>
      <c r="BB5337" s="3" t="s">
        <v>52072</v>
      </c>
      <c r="BC5337" s="3" t="s">
        <v>77</v>
      </c>
      <c r="BD5337" s="3" t="s">
        <v>78</v>
      </c>
      <c r="BE5337" s="3" t="s">
        <v>52073</v>
      </c>
      <c r="BF5337" s="3" t="s">
        <v>52072</v>
      </c>
      <c r="BG5337" s="3" t="s">
        <v>52074</v>
      </c>
      <c r="BH5337">
        <f t="shared" si="165"/>
        <v>0</v>
      </c>
    </row>
    <row r="5338" spans="1:60" ht="72.5" x14ac:dyDescent="0.35">
      <c r="A5338" s="2" t="s">
        <v>59</v>
      </c>
      <c r="B5338" s="2" t="s">
        <v>1025</v>
      </c>
      <c r="C5338" s="2" t="s">
        <v>52075</v>
      </c>
      <c r="D5338" s="2" t="s">
        <v>52076</v>
      </c>
      <c r="E5338" s="2" t="s">
        <v>52077</v>
      </c>
      <c r="G5338" s="3" t="s">
        <v>64</v>
      </c>
      <c r="I5338" s="3" t="s">
        <v>64</v>
      </c>
      <c r="J5338" s="3" t="s">
        <v>64</v>
      </c>
      <c r="K5338" s="3" t="s">
        <v>65</v>
      </c>
      <c r="L5338" s="2" t="s">
        <v>52078</v>
      </c>
      <c r="M5338" s="2" t="s">
        <v>52079</v>
      </c>
      <c r="N5338" s="3" t="s">
        <v>153</v>
      </c>
      <c r="O5338" s="2" t="s">
        <v>34556</v>
      </c>
      <c r="P5338" s="3" t="s">
        <v>102</v>
      </c>
      <c r="R5338" s="3" t="s">
        <v>70</v>
      </c>
      <c r="S5338" s="4">
        <v>1</v>
      </c>
      <c r="T5338" s="4">
        <v>1</v>
      </c>
      <c r="U5338" s="5" t="s">
        <v>43627</v>
      </c>
      <c r="V5338" s="5" t="s">
        <v>43627</v>
      </c>
      <c r="W5338" s="5" t="s">
        <v>72</v>
      </c>
      <c r="X5338" s="5" t="s">
        <v>72</v>
      </c>
      <c r="Y5338" s="4">
        <v>271</v>
      </c>
      <c r="Z5338" s="4">
        <v>8</v>
      </c>
      <c r="AA5338" s="4">
        <v>12</v>
      </c>
      <c r="AB5338" s="4">
        <v>2</v>
      </c>
      <c r="AC5338" s="4">
        <v>3</v>
      </c>
      <c r="AD5338" s="4">
        <v>77</v>
      </c>
      <c r="AE5338" s="4">
        <v>82</v>
      </c>
      <c r="AF5338" s="4">
        <v>0</v>
      </c>
      <c r="AG5338" s="4">
        <v>1</v>
      </c>
      <c r="AH5338" s="4">
        <v>72</v>
      </c>
      <c r="AI5338" s="4">
        <v>76</v>
      </c>
      <c r="AJ5338" s="4">
        <v>3</v>
      </c>
      <c r="AK5338" s="4">
        <v>6</v>
      </c>
      <c r="AL5338" s="4">
        <v>48</v>
      </c>
      <c r="AM5338" s="4">
        <v>50</v>
      </c>
      <c r="AN5338" s="4">
        <v>0</v>
      </c>
      <c r="AO5338" s="4">
        <v>0</v>
      </c>
      <c r="AP5338" s="4">
        <v>4</v>
      </c>
      <c r="AQ5338" s="4">
        <v>7</v>
      </c>
      <c r="AR5338" s="3" t="s">
        <v>64</v>
      </c>
      <c r="AS5338" s="3" t="s">
        <v>64</v>
      </c>
      <c r="AT5338" s="3" t="s">
        <v>128</v>
      </c>
      <c r="AU5338" s="6" t="str">
        <f>HYPERLINK("http://catalog.hathitrust.org/Record/004077307","HathiTrust Record")</f>
        <v>HathiTrust Record</v>
      </c>
      <c r="AV5338" s="6" t="str">
        <f>HYPERLINK("http://mcgill.on.worldcat.org/oclc/38542646","Catalog Record")</f>
        <v>Catalog Record</v>
      </c>
      <c r="AW5338" s="6" t="str">
        <f>HYPERLINK("http://www.worldcat.org/oclc/38542646","WorldCat Record")</f>
        <v>WorldCat Record</v>
      </c>
      <c r="AX5338" s="3" t="s">
        <v>52080</v>
      </c>
      <c r="AY5338" s="3" t="s">
        <v>52081</v>
      </c>
      <c r="AZ5338" s="3" t="s">
        <v>52082</v>
      </c>
      <c r="BA5338" s="3" t="s">
        <v>52082</v>
      </c>
      <c r="BB5338" s="3" t="s">
        <v>52083</v>
      </c>
      <c r="BC5338" s="3" t="s">
        <v>77</v>
      </c>
      <c r="BD5338" s="3" t="s">
        <v>78</v>
      </c>
      <c r="BE5338" s="3" t="s">
        <v>52084</v>
      </c>
      <c r="BF5338" s="3" t="s">
        <v>52083</v>
      </c>
      <c r="BG5338" s="3" t="s">
        <v>52085</v>
      </c>
      <c r="BH5338">
        <f t="shared" si="165"/>
        <v>0</v>
      </c>
    </row>
    <row r="5339" spans="1:60" ht="58" x14ac:dyDescent="0.35">
      <c r="A5339" s="2" t="s">
        <v>59</v>
      </c>
      <c r="B5339" s="2" t="s">
        <v>60</v>
      </c>
      <c r="C5339" s="2" t="s">
        <v>52086</v>
      </c>
      <c r="D5339" s="2" t="s">
        <v>52087</v>
      </c>
      <c r="E5339" s="2" t="s">
        <v>52088</v>
      </c>
      <c r="G5339" s="3" t="s">
        <v>64</v>
      </c>
      <c r="I5339" s="3" t="s">
        <v>64</v>
      </c>
      <c r="J5339" s="3" t="s">
        <v>64</v>
      </c>
      <c r="K5339" s="3" t="s">
        <v>65</v>
      </c>
      <c r="L5339" s="2" t="s">
        <v>52089</v>
      </c>
      <c r="M5339" s="2" t="s">
        <v>52090</v>
      </c>
      <c r="N5339" s="3" t="s">
        <v>291</v>
      </c>
      <c r="P5339" s="3" t="s">
        <v>102</v>
      </c>
      <c r="R5339" s="3" t="s">
        <v>70</v>
      </c>
      <c r="S5339" s="4">
        <v>14</v>
      </c>
      <c r="T5339" s="4">
        <v>14</v>
      </c>
      <c r="U5339" s="5" t="s">
        <v>1642</v>
      </c>
      <c r="V5339" s="5" t="s">
        <v>1642</v>
      </c>
      <c r="W5339" s="5" t="s">
        <v>72</v>
      </c>
      <c r="X5339" s="5" t="s">
        <v>72</v>
      </c>
      <c r="Y5339" s="4">
        <v>629</v>
      </c>
      <c r="Z5339" s="4">
        <v>38</v>
      </c>
      <c r="AA5339" s="4">
        <v>40</v>
      </c>
      <c r="AB5339" s="4">
        <v>3</v>
      </c>
      <c r="AC5339" s="4">
        <v>5</v>
      </c>
      <c r="AD5339" s="4">
        <v>112</v>
      </c>
      <c r="AE5339" s="4">
        <v>114</v>
      </c>
      <c r="AF5339" s="4">
        <v>1</v>
      </c>
      <c r="AG5339" s="4">
        <v>3</v>
      </c>
      <c r="AH5339" s="4">
        <v>91</v>
      </c>
      <c r="AI5339" s="4">
        <v>92</v>
      </c>
      <c r="AJ5339" s="4">
        <v>17</v>
      </c>
      <c r="AK5339" s="4">
        <v>19</v>
      </c>
      <c r="AL5339" s="4">
        <v>53</v>
      </c>
      <c r="AM5339" s="4">
        <v>53</v>
      </c>
      <c r="AN5339" s="4">
        <v>0</v>
      </c>
      <c r="AO5339" s="4">
        <v>0</v>
      </c>
      <c r="AP5339" s="4">
        <v>26</v>
      </c>
      <c r="AQ5339" s="4">
        <v>28</v>
      </c>
      <c r="AR5339" s="3" t="s">
        <v>64</v>
      </c>
      <c r="AS5339" s="3" t="s">
        <v>64</v>
      </c>
      <c r="AT5339" s="3" t="s">
        <v>128</v>
      </c>
      <c r="AU5339" s="6" t="str">
        <f>HYPERLINK("http://catalog.hathitrust.org/Record/005621163","HathiTrust Record")</f>
        <v>HathiTrust Record</v>
      </c>
      <c r="AV5339" s="6" t="str">
        <f>HYPERLINK("http://mcgill.on.worldcat.org/oclc/122423508","Catalog Record")</f>
        <v>Catalog Record</v>
      </c>
      <c r="AW5339" s="6" t="str">
        <f>HYPERLINK("http://www.worldcat.org/oclc/122423508","WorldCat Record")</f>
        <v>WorldCat Record</v>
      </c>
      <c r="AX5339" s="3" t="s">
        <v>52091</v>
      </c>
      <c r="AY5339" s="3" t="s">
        <v>52092</v>
      </c>
      <c r="AZ5339" s="3" t="s">
        <v>52093</v>
      </c>
      <c r="BA5339" s="3" t="s">
        <v>52093</v>
      </c>
      <c r="BB5339" s="3" t="s">
        <v>52094</v>
      </c>
      <c r="BC5339" s="3" t="s">
        <v>77</v>
      </c>
      <c r="BD5339" s="3" t="s">
        <v>78</v>
      </c>
      <c r="BE5339" s="3" t="s">
        <v>52095</v>
      </c>
      <c r="BF5339" s="3" t="s">
        <v>52094</v>
      </c>
      <c r="BG5339" s="3" t="s">
        <v>52096</v>
      </c>
      <c r="BH5339">
        <f t="shared" si="165"/>
        <v>0</v>
      </c>
    </row>
    <row r="5340" spans="1:60" ht="58" x14ac:dyDescent="0.35">
      <c r="A5340" s="2" t="s">
        <v>59</v>
      </c>
      <c r="B5340" s="2" t="s">
        <v>60</v>
      </c>
      <c r="C5340" s="2" t="s">
        <v>52097</v>
      </c>
      <c r="D5340" s="2" t="s">
        <v>52098</v>
      </c>
      <c r="E5340" s="2" t="s">
        <v>52099</v>
      </c>
      <c r="G5340" s="3" t="s">
        <v>64</v>
      </c>
      <c r="I5340" s="3" t="s">
        <v>64</v>
      </c>
      <c r="J5340" s="3" t="s">
        <v>64</v>
      </c>
      <c r="K5340" s="3" t="s">
        <v>65</v>
      </c>
      <c r="M5340" s="2" t="s">
        <v>52100</v>
      </c>
      <c r="N5340" s="3" t="s">
        <v>537</v>
      </c>
      <c r="P5340" s="3" t="s">
        <v>102</v>
      </c>
      <c r="R5340" s="3" t="s">
        <v>70</v>
      </c>
      <c r="S5340" s="4">
        <v>7</v>
      </c>
      <c r="T5340" s="4">
        <v>7</v>
      </c>
      <c r="U5340" s="5" t="s">
        <v>2187</v>
      </c>
      <c r="V5340" s="5" t="s">
        <v>2187</v>
      </c>
      <c r="W5340" s="5" t="s">
        <v>72</v>
      </c>
      <c r="X5340" s="5" t="s">
        <v>72</v>
      </c>
      <c r="Y5340" s="4">
        <v>356</v>
      </c>
      <c r="Z5340" s="4">
        <v>15</v>
      </c>
      <c r="AA5340" s="4">
        <v>23</v>
      </c>
      <c r="AB5340" s="4">
        <v>1</v>
      </c>
      <c r="AC5340" s="4">
        <v>3</v>
      </c>
      <c r="AD5340" s="4">
        <v>67</v>
      </c>
      <c r="AE5340" s="4">
        <v>74</v>
      </c>
      <c r="AF5340" s="4">
        <v>0</v>
      </c>
      <c r="AG5340" s="4">
        <v>2</v>
      </c>
      <c r="AH5340" s="4">
        <v>63</v>
      </c>
      <c r="AI5340" s="4">
        <v>66</v>
      </c>
      <c r="AJ5340" s="4">
        <v>8</v>
      </c>
      <c r="AK5340" s="4">
        <v>11</v>
      </c>
      <c r="AL5340" s="4">
        <v>40</v>
      </c>
      <c r="AM5340" s="4">
        <v>43</v>
      </c>
      <c r="AN5340" s="4">
        <v>0</v>
      </c>
      <c r="AO5340" s="4">
        <v>0</v>
      </c>
      <c r="AP5340" s="4">
        <v>10</v>
      </c>
      <c r="AQ5340" s="4">
        <v>14</v>
      </c>
      <c r="AR5340" s="3" t="s">
        <v>64</v>
      </c>
      <c r="AS5340" s="3" t="s">
        <v>64</v>
      </c>
      <c r="AT5340" s="3" t="s">
        <v>64</v>
      </c>
      <c r="AV5340" s="6" t="str">
        <f>HYPERLINK("http://mcgill.on.worldcat.org/oclc/946159550","Catalog Record")</f>
        <v>Catalog Record</v>
      </c>
      <c r="AW5340" s="6" t="str">
        <f>HYPERLINK("http://www.worldcat.org/oclc/946159550","WorldCat Record")</f>
        <v>WorldCat Record</v>
      </c>
      <c r="AX5340" s="3" t="s">
        <v>52101</v>
      </c>
      <c r="AY5340" s="3" t="s">
        <v>52102</v>
      </c>
      <c r="AZ5340" s="3" t="s">
        <v>52103</v>
      </c>
      <c r="BA5340" s="3" t="s">
        <v>52103</v>
      </c>
      <c r="BB5340" s="3" t="s">
        <v>52104</v>
      </c>
      <c r="BC5340" s="3" t="s">
        <v>77</v>
      </c>
      <c r="BD5340" s="3" t="s">
        <v>165</v>
      </c>
      <c r="BE5340" s="3" t="s">
        <v>52105</v>
      </c>
      <c r="BF5340" s="3" t="s">
        <v>52104</v>
      </c>
      <c r="BG5340" s="3" t="s">
        <v>52106</v>
      </c>
      <c r="BH5340">
        <f t="shared" si="165"/>
        <v>0</v>
      </c>
    </row>
    <row r="5341" spans="1:60" ht="58" x14ac:dyDescent="0.35">
      <c r="A5341" s="2" t="s">
        <v>59</v>
      </c>
      <c r="B5341" s="2" t="s">
        <v>60</v>
      </c>
      <c r="C5341" s="2" t="s">
        <v>52107</v>
      </c>
      <c r="D5341" s="2" t="s">
        <v>52108</v>
      </c>
      <c r="E5341" s="2" t="s">
        <v>52109</v>
      </c>
      <c r="G5341" s="3" t="s">
        <v>64</v>
      </c>
      <c r="I5341" s="3" t="s">
        <v>64</v>
      </c>
      <c r="J5341" s="3" t="s">
        <v>64</v>
      </c>
      <c r="K5341" s="3" t="s">
        <v>65</v>
      </c>
      <c r="L5341" s="2" t="s">
        <v>52110</v>
      </c>
      <c r="M5341" s="2" t="s">
        <v>52111</v>
      </c>
      <c r="N5341" s="3" t="s">
        <v>86</v>
      </c>
      <c r="P5341" s="3" t="s">
        <v>102</v>
      </c>
      <c r="R5341" s="3" t="s">
        <v>70</v>
      </c>
      <c r="S5341" s="4">
        <v>6</v>
      </c>
      <c r="T5341" s="4">
        <v>6</v>
      </c>
      <c r="U5341" s="5" t="s">
        <v>174</v>
      </c>
      <c r="V5341" s="5" t="s">
        <v>174</v>
      </c>
      <c r="W5341" s="5" t="s">
        <v>72</v>
      </c>
      <c r="X5341" s="5" t="s">
        <v>72</v>
      </c>
      <c r="Y5341" s="4">
        <v>334</v>
      </c>
      <c r="Z5341" s="4">
        <v>31</v>
      </c>
      <c r="AA5341" s="4">
        <v>34</v>
      </c>
      <c r="AB5341" s="4">
        <v>3</v>
      </c>
      <c r="AC5341" s="4">
        <v>5</v>
      </c>
      <c r="AD5341" s="4">
        <v>94</v>
      </c>
      <c r="AE5341" s="4">
        <v>96</v>
      </c>
      <c r="AF5341" s="4">
        <v>2</v>
      </c>
      <c r="AG5341" s="4">
        <v>3</v>
      </c>
      <c r="AH5341" s="4">
        <v>80</v>
      </c>
      <c r="AI5341" s="4">
        <v>80</v>
      </c>
      <c r="AJ5341" s="4">
        <v>16</v>
      </c>
      <c r="AK5341" s="4">
        <v>18</v>
      </c>
      <c r="AL5341" s="4">
        <v>46</v>
      </c>
      <c r="AM5341" s="4">
        <v>46</v>
      </c>
      <c r="AN5341" s="4">
        <v>0</v>
      </c>
      <c r="AO5341" s="4">
        <v>0</v>
      </c>
      <c r="AP5341" s="4">
        <v>22</v>
      </c>
      <c r="AQ5341" s="4">
        <v>23</v>
      </c>
      <c r="AR5341" s="3" t="s">
        <v>64</v>
      </c>
      <c r="AS5341" s="3" t="s">
        <v>64</v>
      </c>
      <c r="AT5341" s="3" t="s">
        <v>64</v>
      </c>
      <c r="AV5341" s="6" t="str">
        <f>HYPERLINK("http://mcgill.on.worldcat.org/oclc/778828648","Catalog Record")</f>
        <v>Catalog Record</v>
      </c>
      <c r="AW5341" s="6" t="str">
        <f>HYPERLINK("http://www.worldcat.org/oclc/778828648","WorldCat Record")</f>
        <v>WorldCat Record</v>
      </c>
      <c r="AX5341" s="3" t="s">
        <v>52112</v>
      </c>
      <c r="AY5341" s="3" t="s">
        <v>52113</v>
      </c>
      <c r="AZ5341" s="3" t="s">
        <v>52114</v>
      </c>
      <c r="BA5341" s="3" t="s">
        <v>52114</v>
      </c>
      <c r="BB5341" s="3" t="s">
        <v>52115</v>
      </c>
      <c r="BC5341" s="3" t="s">
        <v>77</v>
      </c>
      <c r="BD5341" s="3" t="s">
        <v>78</v>
      </c>
      <c r="BE5341" s="3" t="s">
        <v>52116</v>
      </c>
      <c r="BF5341" s="3" t="s">
        <v>52115</v>
      </c>
      <c r="BG5341" s="3" t="s">
        <v>52117</v>
      </c>
      <c r="BH5341">
        <f t="shared" si="165"/>
        <v>0</v>
      </c>
    </row>
    <row r="5342" spans="1:60" ht="58" x14ac:dyDescent="0.35">
      <c r="A5342" s="2" t="s">
        <v>59</v>
      </c>
      <c r="B5342" s="2" t="s">
        <v>60</v>
      </c>
      <c r="C5342" s="2" t="s">
        <v>52118</v>
      </c>
      <c r="D5342" s="2" t="s">
        <v>52119</v>
      </c>
      <c r="E5342" s="2" t="s">
        <v>52120</v>
      </c>
      <c r="G5342" s="3" t="s">
        <v>64</v>
      </c>
      <c r="I5342" s="3" t="s">
        <v>64</v>
      </c>
      <c r="J5342" s="3" t="s">
        <v>64</v>
      </c>
      <c r="K5342" s="3" t="s">
        <v>65</v>
      </c>
      <c r="L5342" s="2" t="s">
        <v>52121</v>
      </c>
      <c r="M5342" s="2" t="s">
        <v>52122</v>
      </c>
      <c r="N5342" s="3" t="s">
        <v>1075</v>
      </c>
      <c r="P5342" s="3" t="s">
        <v>102</v>
      </c>
      <c r="Q5342" s="2" t="s">
        <v>52123</v>
      </c>
      <c r="R5342" s="3" t="s">
        <v>70</v>
      </c>
      <c r="S5342" s="4">
        <v>4</v>
      </c>
      <c r="T5342" s="4">
        <v>4</v>
      </c>
      <c r="U5342" s="5" t="s">
        <v>52124</v>
      </c>
      <c r="V5342" s="5" t="s">
        <v>52124</v>
      </c>
      <c r="W5342" s="5" t="s">
        <v>72</v>
      </c>
      <c r="X5342" s="5" t="s">
        <v>72</v>
      </c>
      <c r="Y5342" s="4">
        <v>132</v>
      </c>
      <c r="Z5342" s="4">
        <v>17</v>
      </c>
      <c r="AA5342" s="4">
        <v>17</v>
      </c>
      <c r="AB5342" s="4">
        <v>1</v>
      </c>
      <c r="AC5342" s="4">
        <v>1</v>
      </c>
      <c r="AD5342" s="4">
        <v>57</v>
      </c>
      <c r="AE5342" s="4">
        <v>59</v>
      </c>
      <c r="AF5342" s="4">
        <v>0</v>
      </c>
      <c r="AG5342" s="4">
        <v>0</v>
      </c>
      <c r="AH5342" s="4">
        <v>48</v>
      </c>
      <c r="AI5342" s="4">
        <v>50</v>
      </c>
      <c r="AJ5342" s="4">
        <v>10</v>
      </c>
      <c r="AK5342" s="4">
        <v>10</v>
      </c>
      <c r="AL5342" s="4">
        <v>34</v>
      </c>
      <c r="AM5342" s="4">
        <v>36</v>
      </c>
      <c r="AN5342" s="4">
        <v>0</v>
      </c>
      <c r="AO5342" s="4">
        <v>0</v>
      </c>
      <c r="AP5342" s="4">
        <v>13</v>
      </c>
      <c r="AQ5342" s="4">
        <v>13</v>
      </c>
      <c r="AR5342" s="3" t="s">
        <v>64</v>
      </c>
      <c r="AS5342" s="3" t="s">
        <v>64</v>
      </c>
      <c r="AT5342" s="3" t="s">
        <v>64</v>
      </c>
      <c r="AV5342" s="6" t="str">
        <f>HYPERLINK("http://mcgill.on.worldcat.org/oclc/796759729","Catalog Record")</f>
        <v>Catalog Record</v>
      </c>
      <c r="AW5342" s="6" t="str">
        <f>HYPERLINK("http://www.worldcat.org/oclc/796759729","WorldCat Record")</f>
        <v>WorldCat Record</v>
      </c>
      <c r="AX5342" s="3" t="s">
        <v>52125</v>
      </c>
      <c r="AY5342" s="3" t="s">
        <v>52126</v>
      </c>
      <c r="AZ5342" s="3" t="s">
        <v>52127</v>
      </c>
      <c r="BA5342" s="3" t="s">
        <v>52127</v>
      </c>
      <c r="BB5342" s="3" t="s">
        <v>52128</v>
      </c>
      <c r="BC5342" s="3" t="s">
        <v>77</v>
      </c>
      <c r="BD5342" s="3" t="s">
        <v>78</v>
      </c>
      <c r="BE5342" s="3" t="s">
        <v>52129</v>
      </c>
      <c r="BF5342" s="3" t="s">
        <v>52128</v>
      </c>
      <c r="BG5342" s="3" t="s">
        <v>52130</v>
      </c>
      <c r="BH5342">
        <f t="shared" si="165"/>
        <v>0</v>
      </c>
    </row>
    <row r="5343" spans="1:60" ht="72.5" x14ac:dyDescent="0.35">
      <c r="A5343" s="2" t="s">
        <v>59</v>
      </c>
      <c r="B5343" s="2" t="s">
        <v>1025</v>
      </c>
      <c r="C5343" s="2" t="s">
        <v>52131</v>
      </c>
      <c r="D5343" s="2" t="s">
        <v>52132</v>
      </c>
      <c r="E5343" s="2" t="s">
        <v>52133</v>
      </c>
      <c r="G5343" s="3" t="s">
        <v>64</v>
      </c>
      <c r="I5343" s="3" t="s">
        <v>128</v>
      </c>
      <c r="J5343" s="3" t="s">
        <v>64</v>
      </c>
      <c r="K5343" s="3" t="s">
        <v>65</v>
      </c>
      <c r="M5343" s="2" t="s">
        <v>52134</v>
      </c>
      <c r="N5343" s="3" t="s">
        <v>1938</v>
      </c>
      <c r="P5343" s="3" t="s">
        <v>68</v>
      </c>
      <c r="R5343" s="3" t="s">
        <v>70</v>
      </c>
      <c r="S5343" s="4">
        <v>12</v>
      </c>
      <c r="T5343" s="4">
        <v>14</v>
      </c>
      <c r="U5343" s="5" t="s">
        <v>38235</v>
      </c>
      <c r="V5343" s="5" t="s">
        <v>2055</v>
      </c>
      <c r="W5343" s="5" t="s">
        <v>72</v>
      </c>
      <c r="X5343" s="5" t="s">
        <v>72</v>
      </c>
      <c r="Y5343" s="4">
        <v>152</v>
      </c>
      <c r="Z5343" s="4">
        <v>9</v>
      </c>
      <c r="AA5343" s="4">
        <v>17</v>
      </c>
      <c r="AB5343" s="4">
        <v>1</v>
      </c>
      <c r="AC5343" s="4">
        <v>8</v>
      </c>
      <c r="AD5343" s="4">
        <v>46</v>
      </c>
      <c r="AE5343" s="4">
        <v>54</v>
      </c>
      <c r="AF5343" s="4">
        <v>0</v>
      </c>
      <c r="AG5343" s="4">
        <v>5</v>
      </c>
      <c r="AH5343" s="4">
        <v>41</v>
      </c>
      <c r="AI5343" s="4">
        <v>44</v>
      </c>
      <c r="AJ5343" s="4">
        <v>4</v>
      </c>
      <c r="AK5343" s="4">
        <v>9</v>
      </c>
      <c r="AL5343" s="4">
        <v>31</v>
      </c>
      <c r="AM5343" s="4">
        <v>33</v>
      </c>
      <c r="AN5343" s="4">
        <v>0</v>
      </c>
      <c r="AO5343" s="4">
        <v>0</v>
      </c>
      <c r="AP5343" s="4">
        <v>4</v>
      </c>
      <c r="AQ5343" s="4">
        <v>9</v>
      </c>
      <c r="AR5343" s="3" t="s">
        <v>64</v>
      </c>
      <c r="AS5343" s="3" t="s">
        <v>64</v>
      </c>
      <c r="AT5343" s="3" t="s">
        <v>64</v>
      </c>
      <c r="AV5343" s="6" t="str">
        <f>HYPERLINK("http://mcgill.on.worldcat.org/oclc/29704058","Catalog Record")</f>
        <v>Catalog Record</v>
      </c>
      <c r="AW5343" s="6" t="str">
        <f>HYPERLINK("http://www.worldcat.org/oclc/29704058","WorldCat Record")</f>
        <v>WorldCat Record</v>
      </c>
      <c r="AX5343" s="3" t="s">
        <v>52135</v>
      </c>
      <c r="AY5343" s="3" t="s">
        <v>52136</v>
      </c>
      <c r="AZ5343" s="3" t="s">
        <v>52137</v>
      </c>
      <c r="BA5343" s="3" t="s">
        <v>52137</v>
      </c>
      <c r="BB5343" s="3" t="s">
        <v>52138</v>
      </c>
      <c r="BC5343" s="3" t="s">
        <v>77</v>
      </c>
      <c r="BD5343" s="3" t="s">
        <v>78</v>
      </c>
      <c r="BE5343" s="3" t="s">
        <v>52139</v>
      </c>
      <c r="BF5343" s="3" t="s">
        <v>52138</v>
      </c>
      <c r="BG5343" s="3" t="s">
        <v>52140</v>
      </c>
      <c r="BH5343">
        <f t="shared" si="165"/>
        <v>0</v>
      </c>
    </row>
    <row r="5344" spans="1:60" ht="72.5" x14ac:dyDescent="0.35">
      <c r="A5344" s="2" t="s">
        <v>59</v>
      </c>
      <c r="B5344" s="2" t="s">
        <v>60</v>
      </c>
      <c r="C5344" s="2" t="s">
        <v>52141</v>
      </c>
      <c r="D5344" s="2" t="s">
        <v>52142</v>
      </c>
      <c r="E5344" s="2" t="s">
        <v>52143</v>
      </c>
      <c r="F5344" s="3" t="s">
        <v>52144</v>
      </c>
      <c r="G5344" s="3" t="s">
        <v>64</v>
      </c>
      <c r="I5344" s="3" t="s">
        <v>64</v>
      </c>
      <c r="J5344" s="3" t="s">
        <v>64</v>
      </c>
      <c r="K5344" s="3" t="s">
        <v>65</v>
      </c>
      <c r="L5344" s="2" t="s">
        <v>52145</v>
      </c>
      <c r="M5344" s="2" t="s">
        <v>52146</v>
      </c>
      <c r="N5344" s="3" t="s">
        <v>498</v>
      </c>
      <c r="O5344" s="2" t="s">
        <v>52147</v>
      </c>
      <c r="P5344" s="3" t="s">
        <v>365</v>
      </c>
      <c r="Q5344" s="2" t="s">
        <v>52148</v>
      </c>
      <c r="R5344" s="3" t="s">
        <v>70</v>
      </c>
      <c r="S5344" s="4">
        <v>3</v>
      </c>
      <c r="T5344" s="4">
        <v>3</v>
      </c>
      <c r="U5344" s="5" t="s">
        <v>10437</v>
      </c>
      <c r="V5344" s="5" t="s">
        <v>10437</v>
      </c>
      <c r="W5344" s="5" t="s">
        <v>72</v>
      </c>
      <c r="X5344" s="5" t="s">
        <v>72</v>
      </c>
      <c r="Y5344" s="4">
        <v>16</v>
      </c>
      <c r="Z5344" s="4">
        <v>1</v>
      </c>
      <c r="AA5344" s="4">
        <v>1</v>
      </c>
      <c r="AB5344" s="4">
        <v>1</v>
      </c>
      <c r="AC5344" s="4">
        <v>1</v>
      </c>
      <c r="AD5344" s="4">
        <v>9</v>
      </c>
      <c r="AE5344" s="4">
        <v>20</v>
      </c>
      <c r="AF5344" s="4">
        <v>0</v>
      </c>
      <c r="AG5344" s="4">
        <v>0</v>
      </c>
      <c r="AH5344" s="4">
        <v>9</v>
      </c>
      <c r="AI5344" s="4">
        <v>20</v>
      </c>
      <c r="AJ5344" s="4">
        <v>0</v>
      </c>
      <c r="AK5344" s="4">
        <v>0</v>
      </c>
      <c r="AL5344" s="4">
        <v>9</v>
      </c>
      <c r="AM5344" s="4">
        <v>17</v>
      </c>
      <c r="AN5344" s="4">
        <v>5</v>
      </c>
      <c r="AO5344" s="4">
        <v>5</v>
      </c>
      <c r="AP5344" s="4">
        <v>0</v>
      </c>
      <c r="AQ5344" s="4">
        <v>0</v>
      </c>
      <c r="AR5344" s="3" t="s">
        <v>64</v>
      </c>
      <c r="AS5344" s="3" t="s">
        <v>64</v>
      </c>
      <c r="AT5344" s="3" t="s">
        <v>128</v>
      </c>
      <c r="AU5344" s="6" t="str">
        <f>HYPERLINK("http://catalog.hathitrust.org/Record/011228191","HathiTrust Record")</f>
        <v>HathiTrust Record</v>
      </c>
      <c r="AV5344" s="6" t="str">
        <f>HYPERLINK("http://mcgill.on.worldcat.org/oclc/30871267","Catalog Record")</f>
        <v>Catalog Record</v>
      </c>
      <c r="AW5344" s="6" t="str">
        <f>HYPERLINK("http://www.worldcat.org/oclc/30871267","WorldCat Record")</f>
        <v>WorldCat Record</v>
      </c>
      <c r="AX5344" s="3" t="s">
        <v>52149</v>
      </c>
      <c r="AY5344" s="3" t="s">
        <v>52150</v>
      </c>
      <c r="AZ5344" s="3" t="s">
        <v>52151</v>
      </c>
      <c r="BA5344" s="3" t="s">
        <v>52151</v>
      </c>
      <c r="BB5344" s="3" t="s">
        <v>52152</v>
      </c>
      <c r="BC5344" s="3" t="s">
        <v>77</v>
      </c>
      <c r="BD5344" s="3" t="s">
        <v>78</v>
      </c>
      <c r="BF5344" s="3" t="s">
        <v>52152</v>
      </c>
      <c r="BG5344" s="3" t="s">
        <v>52153</v>
      </c>
      <c r="BH5344">
        <f t="shared" si="165"/>
        <v>0</v>
      </c>
    </row>
    <row r="5345" spans="1:60" ht="72.5" x14ac:dyDescent="0.35">
      <c r="A5345" s="2" t="s">
        <v>59</v>
      </c>
      <c r="B5345" s="2" t="s">
        <v>60</v>
      </c>
      <c r="C5345" s="2" t="s">
        <v>52154</v>
      </c>
      <c r="D5345" s="2" t="s">
        <v>52155</v>
      </c>
      <c r="E5345" s="2" t="s">
        <v>52156</v>
      </c>
      <c r="F5345" s="3" t="s">
        <v>489</v>
      </c>
      <c r="G5345" s="3" t="s">
        <v>128</v>
      </c>
      <c r="I5345" s="3" t="s">
        <v>64</v>
      </c>
      <c r="J5345" s="3" t="s">
        <v>64</v>
      </c>
      <c r="K5345" s="3" t="s">
        <v>65</v>
      </c>
      <c r="L5345" s="2" t="s">
        <v>24821</v>
      </c>
      <c r="M5345" s="2" t="s">
        <v>52157</v>
      </c>
      <c r="N5345" s="3" t="s">
        <v>3126</v>
      </c>
      <c r="P5345" s="3" t="s">
        <v>102</v>
      </c>
      <c r="R5345" s="3" t="s">
        <v>70</v>
      </c>
      <c r="S5345" s="4">
        <v>0</v>
      </c>
      <c r="T5345" s="4">
        <v>1</v>
      </c>
      <c r="V5345" s="5" t="s">
        <v>435</v>
      </c>
      <c r="W5345" s="5" t="s">
        <v>72</v>
      </c>
      <c r="X5345" s="5" t="s">
        <v>72</v>
      </c>
      <c r="Y5345" s="4">
        <v>5</v>
      </c>
      <c r="Z5345" s="4">
        <v>2</v>
      </c>
      <c r="AA5345" s="4">
        <v>7</v>
      </c>
      <c r="AB5345" s="4">
        <v>1</v>
      </c>
      <c r="AC5345" s="4">
        <v>1</v>
      </c>
      <c r="AD5345" s="4">
        <v>3</v>
      </c>
      <c r="AE5345" s="4">
        <v>10</v>
      </c>
      <c r="AF5345" s="4">
        <v>0</v>
      </c>
      <c r="AG5345" s="4">
        <v>0</v>
      </c>
      <c r="AH5345" s="4">
        <v>2</v>
      </c>
      <c r="AI5345" s="4">
        <v>9</v>
      </c>
      <c r="AJ5345" s="4">
        <v>1</v>
      </c>
      <c r="AK5345" s="4">
        <v>3</v>
      </c>
      <c r="AL5345" s="4">
        <v>1</v>
      </c>
      <c r="AM5345" s="4">
        <v>5</v>
      </c>
      <c r="AN5345" s="4">
        <v>0</v>
      </c>
      <c r="AO5345" s="4">
        <v>0</v>
      </c>
      <c r="AP5345" s="4">
        <v>1</v>
      </c>
      <c r="AQ5345" s="4">
        <v>3</v>
      </c>
      <c r="AR5345" s="3" t="s">
        <v>64</v>
      </c>
      <c r="AS5345" s="3" t="s">
        <v>64</v>
      </c>
      <c r="AT5345" s="3" t="s">
        <v>64</v>
      </c>
      <c r="AV5345" s="6" t="str">
        <f>HYPERLINK("http://mcgill.on.worldcat.org/oclc/270109375","Catalog Record")</f>
        <v>Catalog Record</v>
      </c>
      <c r="AW5345" s="6" t="str">
        <f>HYPERLINK("http://www.worldcat.org/oclc/270109375","WorldCat Record")</f>
        <v>WorldCat Record</v>
      </c>
      <c r="AX5345" s="3" t="s">
        <v>52158</v>
      </c>
      <c r="AY5345" s="3" t="s">
        <v>52159</v>
      </c>
      <c r="AZ5345" s="3" t="s">
        <v>52160</v>
      </c>
      <c r="BA5345" s="3" t="s">
        <v>52160</v>
      </c>
      <c r="BB5345" s="3" t="s">
        <v>52161</v>
      </c>
      <c r="BC5345" s="3" t="s">
        <v>77</v>
      </c>
      <c r="BD5345" s="3" t="s">
        <v>78</v>
      </c>
      <c r="BF5345" s="3" t="s">
        <v>52161</v>
      </c>
      <c r="BG5345" s="3" t="s">
        <v>52162</v>
      </c>
      <c r="BH5345">
        <f t="shared" si="165"/>
        <v>0</v>
      </c>
    </row>
    <row r="5346" spans="1:60" ht="72.5" x14ac:dyDescent="0.35">
      <c r="A5346" s="2" t="s">
        <v>59</v>
      </c>
      <c r="B5346" s="2" t="s">
        <v>60</v>
      </c>
      <c r="C5346" s="2" t="s">
        <v>52154</v>
      </c>
      <c r="D5346" s="2" t="s">
        <v>52155</v>
      </c>
      <c r="E5346" s="2" t="s">
        <v>52156</v>
      </c>
      <c r="F5346" s="3" t="s">
        <v>478</v>
      </c>
      <c r="G5346" s="3" t="s">
        <v>128</v>
      </c>
      <c r="I5346" s="3" t="s">
        <v>64</v>
      </c>
      <c r="J5346" s="3" t="s">
        <v>64</v>
      </c>
      <c r="K5346" s="3" t="s">
        <v>65</v>
      </c>
      <c r="L5346" s="2" t="s">
        <v>24821</v>
      </c>
      <c r="M5346" s="2" t="s">
        <v>52157</v>
      </c>
      <c r="N5346" s="3" t="s">
        <v>3126</v>
      </c>
      <c r="P5346" s="3" t="s">
        <v>102</v>
      </c>
      <c r="R5346" s="3" t="s">
        <v>70</v>
      </c>
      <c r="S5346" s="4">
        <v>1</v>
      </c>
      <c r="T5346" s="4">
        <v>1</v>
      </c>
      <c r="U5346" s="5" t="s">
        <v>435</v>
      </c>
      <c r="V5346" s="5" t="s">
        <v>435</v>
      </c>
      <c r="W5346" s="5" t="s">
        <v>72</v>
      </c>
      <c r="X5346" s="5" t="s">
        <v>72</v>
      </c>
      <c r="Y5346" s="4">
        <v>5</v>
      </c>
      <c r="Z5346" s="4">
        <v>2</v>
      </c>
      <c r="AA5346" s="4">
        <v>7</v>
      </c>
      <c r="AB5346" s="4">
        <v>1</v>
      </c>
      <c r="AC5346" s="4">
        <v>1</v>
      </c>
      <c r="AD5346" s="4">
        <v>3</v>
      </c>
      <c r="AE5346" s="4">
        <v>10</v>
      </c>
      <c r="AF5346" s="4">
        <v>0</v>
      </c>
      <c r="AG5346" s="4">
        <v>0</v>
      </c>
      <c r="AH5346" s="4">
        <v>2</v>
      </c>
      <c r="AI5346" s="4">
        <v>9</v>
      </c>
      <c r="AJ5346" s="4">
        <v>1</v>
      </c>
      <c r="AK5346" s="4">
        <v>3</v>
      </c>
      <c r="AL5346" s="4">
        <v>1</v>
      </c>
      <c r="AM5346" s="4">
        <v>5</v>
      </c>
      <c r="AN5346" s="4">
        <v>0</v>
      </c>
      <c r="AO5346" s="4">
        <v>0</v>
      </c>
      <c r="AP5346" s="4">
        <v>1</v>
      </c>
      <c r="AQ5346" s="4">
        <v>3</v>
      </c>
      <c r="AR5346" s="3" t="s">
        <v>64</v>
      </c>
      <c r="AS5346" s="3" t="s">
        <v>64</v>
      </c>
      <c r="AT5346" s="3" t="s">
        <v>64</v>
      </c>
      <c r="AV5346" s="6" t="str">
        <f>HYPERLINK("http://mcgill.on.worldcat.org/oclc/270109375","Catalog Record")</f>
        <v>Catalog Record</v>
      </c>
      <c r="AW5346" s="6" t="str">
        <f>HYPERLINK("http://www.worldcat.org/oclc/270109375","WorldCat Record")</f>
        <v>WorldCat Record</v>
      </c>
      <c r="AX5346" s="3" t="s">
        <v>52158</v>
      </c>
      <c r="AY5346" s="3" t="s">
        <v>52159</v>
      </c>
      <c r="AZ5346" s="3" t="s">
        <v>52160</v>
      </c>
      <c r="BA5346" s="3" t="s">
        <v>52160</v>
      </c>
      <c r="BB5346" s="3" t="s">
        <v>52163</v>
      </c>
      <c r="BC5346" s="3" t="s">
        <v>77</v>
      </c>
      <c r="BD5346" s="3" t="s">
        <v>78</v>
      </c>
      <c r="BF5346" s="3" t="s">
        <v>52163</v>
      </c>
      <c r="BG5346" s="3" t="s">
        <v>52164</v>
      </c>
      <c r="BH5346">
        <f t="shared" si="165"/>
        <v>0</v>
      </c>
    </row>
    <row r="5347" spans="1:60" ht="58" x14ac:dyDescent="0.35">
      <c r="A5347" s="2" t="s">
        <v>59</v>
      </c>
      <c r="B5347" s="2" t="s">
        <v>60</v>
      </c>
      <c r="C5347" s="2" t="s">
        <v>52165</v>
      </c>
      <c r="D5347" s="2" t="s">
        <v>52166</v>
      </c>
      <c r="E5347" s="2" t="s">
        <v>52167</v>
      </c>
      <c r="G5347" s="3" t="s">
        <v>64</v>
      </c>
      <c r="I5347" s="3" t="s">
        <v>128</v>
      </c>
      <c r="J5347" s="3" t="s">
        <v>64</v>
      </c>
      <c r="K5347" s="3" t="s">
        <v>65</v>
      </c>
      <c r="L5347" s="2" t="s">
        <v>52168</v>
      </c>
      <c r="M5347" s="2" t="s">
        <v>52169</v>
      </c>
      <c r="N5347" s="3" t="s">
        <v>3761</v>
      </c>
      <c r="P5347" s="3" t="s">
        <v>102</v>
      </c>
      <c r="Q5347" s="2" t="s">
        <v>3243</v>
      </c>
      <c r="R5347" s="3" t="s">
        <v>70</v>
      </c>
      <c r="S5347" s="4">
        <v>3</v>
      </c>
      <c r="T5347" s="4">
        <v>3</v>
      </c>
      <c r="U5347" s="5" t="s">
        <v>3222</v>
      </c>
      <c r="V5347" s="5" t="s">
        <v>3222</v>
      </c>
      <c r="W5347" s="5" t="s">
        <v>72</v>
      </c>
      <c r="X5347" s="5" t="s">
        <v>72</v>
      </c>
      <c r="Y5347" s="4">
        <v>386</v>
      </c>
      <c r="Z5347" s="4">
        <v>33</v>
      </c>
      <c r="AA5347" s="4">
        <v>37</v>
      </c>
      <c r="AB5347" s="4">
        <v>1</v>
      </c>
      <c r="AC5347" s="4">
        <v>3</v>
      </c>
      <c r="AD5347" s="4">
        <v>112</v>
      </c>
      <c r="AE5347" s="4">
        <v>116</v>
      </c>
      <c r="AF5347" s="4">
        <v>0</v>
      </c>
      <c r="AG5347" s="4">
        <v>2</v>
      </c>
      <c r="AH5347" s="4">
        <v>95</v>
      </c>
      <c r="AI5347" s="4">
        <v>97</v>
      </c>
      <c r="AJ5347" s="4">
        <v>21</v>
      </c>
      <c r="AK5347" s="4">
        <v>24</v>
      </c>
      <c r="AL5347" s="4">
        <v>52</v>
      </c>
      <c r="AM5347" s="4">
        <v>53</v>
      </c>
      <c r="AN5347" s="4">
        <v>0</v>
      </c>
      <c r="AO5347" s="4">
        <v>0</v>
      </c>
      <c r="AP5347" s="4">
        <v>26</v>
      </c>
      <c r="AQ5347" s="4">
        <v>28</v>
      </c>
      <c r="AR5347" s="3" t="s">
        <v>64</v>
      </c>
      <c r="AS5347" s="3" t="s">
        <v>64</v>
      </c>
      <c r="AT5347" s="3" t="s">
        <v>128</v>
      </c>
      <c r="AU5347" s="6" t="str">
        <f>HYPERLINK("http://catalog.hathitrust.org/Record/001159498","HathiTrust Record")</f>
        <v>HathiTrust Record</v>
      </c>
      <c r="AV5347" s="6" t="str">
        <f>HYPERLINK("http://mcgill.on.worldcat.org/oclc/175181","Catalog Record")</f>
        <v>Catalog Record</v>
      </c>
      <c r="AW5347" s="6" t="str">
        <f>HYPERLINK("http://www.worldcat.org/oclc/175181","WorldCat Record")</f>
        <v>WorldCat Record</v>
      </c>
      <c r="AX5347" s="3" t="s">
        <v>52170</v>
      </c>
      <c r="AY5347" s="3" t="s">
        <v>52171</v>
      </c>
      <c r="AZ5347" s="3" t="s">
        <v>52172</v>
      </c>
      <c r="BA5347" s="3" t="s">
        <v>52172</v>
      </c>
      <c r="BB5347" s="3" t="s">
        <v>52173</v>
      </c>
      <c r="BC5347" s="3" t="s">
        <v>77</v>
      </c>
      <c r="BD5347" s="3" t="s">
        <v>78</v>
      </c>
      <c r="BF5347" s="3" t="s">
        <v>52173</v>
      </c>
      <c r="BG5347" s="3" t="s">
        <v>52174</v>
      </c>
      <c r="BH5347">
        <f t="shared" si="165"/>
        <v>0</v>
      </c>
    </row>
    <row r="5348" spans="1:60" ht="58" x14ac:dyDescent="0.35">
      <c r="A5348" s="2" t="s">
        <v>59</v>
      </c>
      <c r="B5348" s="2" t="s">
        <v>60</v>
      </c>
      <c r="C5348" s="2" t="s">
        <v>52165</v>
      </c>
      <c r="D5348" s="2" t="s">
        <v>52166</v>
      </c>
      <c r="E5348" s="2" t="s">
        <v>52167</v>
      </c>
      <c r="G5348" s="3" t="s">
        <v>64</v>
      </c>
      <c r="I5348" s="3" t="s">
        <v>128</v>
      </c>
      <c r="J5348" s="3" t="s">
        <v>64</v>
      </c>
      <c r="K5348" s="3" t="s">
        <v>65</v>
      </c>
      <c r="L5348" s="2" t="s">
        <v>52168</v>
      </c>
      <c r="M5348" s="2" t="s">
        <v>52169</v>
      </c>
      <c r="N5348" s="3" t="s">
        <v>3761</v>
      </c>
      <c r="P5348" s="3" t="s">
        <v>102</v>
      </c>
      <c r="Q5348" s="2" t="s">
        <v>3243</v>
      </c>
      <c r="R5348" s="3" t="s">
        <v>70</v>
      </c>
      <c r="S5348" s="4">
        <v>0</v>
      </c>
      <c r="T5348" s="4">
        <v>3</v>
      </c>
      <c r="V5348" s="5" t="s">
        <v>3222</v>
      </c>
      <c r="W5348" s="5" t="s">
        <v>72</v>
      </c>
      <c r="X5348" s="5" t="s">
        <v>72</v>
      </c>
      <c r="Y5348" s="4">
        <v>386</v>
      </c>
      <c r="Z5348" s="4">
        <v>33</v>
      </c>
      <c r="AA5348" s="4">
        <v>37</v>
      </c>
      <c r="AB5348" s="4">
        <v>1</v>
      </c>
      <c r="AC5348" s="4">
        <v>3</v>
      </c>
      <c r="AD5348" s="4">
        <v>112</v>
      </c>
      <c r="AE5348" s="4">
        <v>116</v>
      </c>
      <c r="AF5348" s="4">
        <v>0</v>
      </c>
      <c r="AG5348" s="4">
        <v>2</v>
      </c>
      <c r="AH5348" s="4">
        <v>95</v>
      </c>
      <c r="AI5348" s="4">
        <v>97</v>
      </c>
      <c r="AJ5348" s="4">
        <v>21</v>
      </c>
      <c r="AK5348" s="4">
        <v>24</v>
      </c>
      <c r="AL5348" s="4">
        <v>52</v>
      </c>
      <c r="AM5348" s="4">
        <v>53</v>
      </c>
      <c r="AN5348" s="4">
        <v>0</v>
      </c>
      <c r="AO5348" s="4">
        <v>0</v>
      </c>
      <c r="AP5348" s="4">
        <v>26</v>
      </c>
      <c r="AQ5348" s="4">
        <v>28</v>
      </c>
      <c r="AR5348" s="3" t="s">
        <v>64</v>
      </c>
      <c r="AS5348" s="3" t="s">
        <v>64</v>
      </c>
      <c r="AT5348" s="3" t="s">
        <v>128</v>
      </c>
      <c r="AU5348" s="6" t="str">
        <f>HYPERLINK("http://catalog.hathitrust.org/Record/001159498","HathiTrust Record")</f>
        <v>HathiTrust Record</v>
      </c>
      <c r="AV5348" s="6" t="str">
        <f>HYPERLINK("http://mcgill.on.worldcat.org/oclc/175181","Catalog Record")</f>
        <v>Catalog Record</v>
      </c>
      <c r="AW5348" s="6" t="str">
        <f>HYPERLINK("http://www.worldcat.org/oclc/175181","WorldCat Record")</f>
        <v>WorldCat Record</v>
      </c>
      <c r="AX5348" s="3" t="s">
        <v>52170</v>
      </c>
      <c r="AY5348" s="3" t="s">
        <v>52171</v>
      </c>
      <c r="AZ5348" s="3" t="s">
        <v>52172</v>
      </c>
      <c r="BA5348" s="3" t="s">
        <v>52172</v>
      </c>
      <c r="BB5348" s="3" t="s">
        <v>52175</v>
      </c>
      <c r="BC5348" s="3" t="s">
        <v>77</v>
      </c>
      <c r="BD5348" s="3" t="s">
        <v>78</v>
      </c>
      <c r="BF5348" s="3" t="s">
        <v>52175</v>
      </c>
      <c r="BG5348" s="3" t="s">
        <v>52176</v>
      </c>
      <c r="BH5348">
        <f t="shared" si="165"/>
        <v>0</v>
      </c>
    </row>
    <row r="5349" spans="1:60" ht="58" x14ac:dyDescent="0.35">
      <c r="A5349" s="2" t="s">
        <v>59</v>
      </c>
      <c r="B5349" s="2" t="s">
        <v>60</v>
      </c>
      <c r="C5349" s="2" t="s">
        <v>52177</v>
      </c>
      <c r="D5349" s="2" t="s">
        <v>52178</v>
      </c>
      <c r="E5349" s="2" t="s">
        <v>52179</v>
      </c>
      <c r="G5349" s="3" t="s">
        <v>64</v>
      </c>
      <c r="I5349" s="3" t="s">
        <v>64</v>
      </c>
      <c r="J5349" s="3" t="s">
        <v>64</v>
      </c>
      <c r="K5349" s="3" t="s">
        <v>65</v>
      </c>
      <c r="L5349" s="2" t="s">
        <v>52180</v>
      </c>
      <c r="M5349" s="2" t="s">
        <v>5985</v>
      </c>
      <c r="N5349" s="3" t="s">
        <v>5986</v>
      </c>
      <c r="P5349" s="3" t="s">
        <v>68</v>
      </c>
      <c r="R5349" s="3" t="s">
        <v>70</v>
      </c>
      <c r="S5349" s="4">
        <v>3</v>
      </c>
      <c r="T5349" s="4">
        <v>3</v>
      </c>
      <c r="U5349" s="5" t="s">
        <v>11640</v>
      </c>
      <c r="V5349" s="5" t="s">
        <v>11640</v>
      </c>
      <c r="W5349" s="5" t="s">
        <v>72</v>
      </c>
      <c r="X5349" s="5" t="s">
        <v>72</v>
      </c>
      <c r="Y5349" s="4">
        <v>143</v>
      </c>
      <c r="Z5349" s="4">
        <v>14</v>
      </c>
      <c r="AA5349" s="4">
        <v>18</v>
      </c>
      <c r="AB5349" s="4">
        <v>1</v>
      </c>
      <c r="AC5349" s="4">
        <v>3</v>
      </c>
      <c r="AD5349" s="4">
        <v>70</v>
      </c>
      <c r="AE5349" s="4">
        <v>73</v>
      </c>
      <c r="AF5349" s="4">
        <v>0</v>
      </c>
      <c r="AG5349" s="4">
        <v>2</v>
      </c>
      <c r="AH5349" s="4">
        <v>60</v>
      </c>
      <c r="AI5349" s="4">
        <v>62</v>
      </c>
      <c r="AJ5349" s="4">
        <v>9</v>
      </c>
      <c r="AK5349" s="4">
        <v>12</v>
      </c>
      <c r="AL5349" s="4">
        <v>43</v>
      </c>
      <c r="AM5349" s="4">
        <v>43</v>
      </c>
      <c r="AN5349" s="4">
        <v>0</v>
      </c>
      <c r="AO5349" s="4">
        <v>0</v>
      </c>
      <c r="AP5349" s="4">
        <v>10</v>
      </c>
      <c r="AQ5349" s="4">
        <v>13</v>
      </c>
      <c r="AR5349" s="3" t="s">
        <v>64</v>
      </c>
      <c r="AS5349" s="3" t="s">
        <v>64</v>
      </c>
      <c r="AT5349" s="3" t="s">
        <v>64</v>
      </c>
      <c r="AV5349" s="6" t="str">
        <f>HYPERLINK("http://mcgill.on.worldcat.org/oclc/2540910","Catalog Record")</f>
        <v>Catalog Record</v>
      </c>
      <c r="AW5349" s="6" t="str">
        <f>HYPERLINK("http://www.worldcat.org/oclc/2540910","WorldCat Record")</f>
        <v>WorldCat Record</v>
      </c>
      <c r="AX5349" s="3" t="s">
        <v>52181</v>
      </c>
      <c r="AY5349" s="3" t="s">
        <v>52182</v>
      </c>
      <c r="AZ5349" s="3" t="s">
        <v>52183</v>
      </c>
      <c r="BA5349" s="3" t="s">
        <v>52183</v>
      </c>
      <c r="BB5349" s="3" t="s">
        <v>52184</v>
      </c>
      <c r="BC5349" s="3" t="s">
        <v>77</v>
      </c>
      <c r="BD5349" s="3" t="s">
        <v>78</v>
      </c>
      <c r="BF5349" s="3" t="s">
        <v>52184</v>
      </c>
      <c r="BG5349" s="3" t="s">
        <v>52185</v>
      </c>
      <c r="BH5349">
        <f t="shared" si="165"/>
        <v>0</v>
      </c>
    </row>
    <row r="5350" spans="1:60" ht="58" x14ac:dyDescent="0.35">
      <c r="A5350" s="2" t="s">
        <v>59</v>
      </c>
      <c r="B5350" s="2" t="s">
        <v>60</v>
      </c>
      <c r="C5350" s="2" t="s">
        <v>52186</v>
      </c>
      <c r="D5350" s="2" t="s">
        <v>52187</v>
      </c>
      <c r="E5350" s="2" t="s">
        <v>52188</v>
      </c>
      <c r="G5350" s="3" t="s">
        <v>64</v>
      </c>
      <c r="I5350" s="3" t="s">
        <v>64</v>
      </c>
      <c r="J5350" s="3" t="s">
        <v>64</v>
      </c>
      <c r="K5350" s="3" t="s">
        <v>65</v>
      </c>
      <c r="M5350" s="2" t="s">
        <v>52189</v>
      </c>
      <c r="N5350" s="3" t="s">
        <v>86</v>
      </c>
      <c r="P5350" s="3" t="s">
        <v>102</v>
      </c>
      <c r="R5350" s="3" t="s">
        <v>70</v>
      </c>
      <c r="S5350" s="4">
        <v>1</v>
      </c>
      <c r="T5350" s="4">
        <v>1</v>
      </c>
      <c r="U5350" s="5" t="s">
        <v>43627</v>
      </c>
      <c r="V5350" s="5" t="s">
        <v>43627</v>
      </c>
      <c r="W5350" s="5" t="s">
        <v>72</v>
      </c>
      <c r="X5350" s="5" t="s">
        <v>72</v>
      </c>
      <c r="Y5350" s="4">
        <v>543</v>
      </c>
      <c r="Z5350" s="4">
        <v>28</v>
      </c>
      <c r="AA5350" s="4">
        <v>36</v>
      </c>
      <c r="AB5350" s="4">
        <v>2</v>
      </c>
      <c r="AC5350" s="4">
        <v>7</v>
      </c>
      <c r="AD5350" s="4">
        <v>83</v>
      </c>
      <c r="AE5350" s="4">
        <v>86</v>
      </c>
      <c r="AF5350" s="4">
        <v>1</v>
      </c>
      <c r="AG5350" s="4">
        <v>4</v>
      </c>
      <c r="AH5350" s="4">
        <v>72</v>
      </c>
      <c r="AI5350" s="4">
        <v>73</v>
      </c>
      <c r="AJ5350" s="4">
        <v>9</v>
      </c>
      <c r="AK5350" s="4">
        <v>12</v>
      </c>
      <c r="AL5350" s="4">
        <v>42</v>
      </c>
      <c r="AM5350" s="4">
        <v>42</v>
      </c>
      <c r="AN5350" s="4">
        <v>0</v>
      </c>
      <c r="AO5350" s="4">
        <v>0</v>
      </c>
      <c r="AP5350" s="4">
        <v>15</v>
      </c>
      <c r="AQ5350" s="4">
        <v>17</v>
      </c>
      <c r="AR5350" s="3" t="s">
        <v>64</v>
      </c>
      <c r="AS5350" s="3" t="s">
        <v>64</v>
      </c>
      <c r="AT5350" s="3" t="s">
        <v>64</v>
      </c>
      <c r="AV5350" s="6" t="str">
        <f>HYPERLINK("http://mcgill.on.worldcat.org/oclc/793099364","Catalog Record")</f>
        <v>Catalog Record</v>
      </c>
      <c r="AW5350" s="6" t="str">
        <f>HYPERLINK("http://www.worldcat.org/oclc/793099364","WorldCat Record")</f>
        <v>WorldCat Record</v>
      </c>
      <c r="AX5350" s="3" t="s">
        <v>52190</v>
      </c>
      <c r="AY5350" s="3" t="s">
        <v>52191</v>
      </c>
      <c r="AZ5350" s="3" t="s">
        <v>52192</v>
      </c>
      <c r="BA5350" s="3" t="s">
        <v>52192</v>
      </c>
      <c r="BB5350" s="3" t="s">
        <v>52193</v>
      </c>
      <c r="BC5350" s="3" t="s">
        <v>77</v>
      </c>
      <c r="BD5350" s="3" t="s">
        <v>78</v>
      </c>
      <c r="BE5350" s="3" t="s">
        <v>52194</v>
      </c>
      <c r="BF5350" s="3" t="s">
        <v>52193</v>
      </c>
      <c r="BG5350" s="3" t="s">
        <v>52195</v>
      </c>
      <c r="BH5350">
        <f t="shared" si="165"/>
        <v>0</v>
      </c>
    </row>
    <row r="5351" spans="1:60" ht="58" x14ac:dyDescent="0.35">
      <c r="A5351" s="2" t="s">
        <v>59</v>
      </c>
      <c r="B5351" s="2" t="s">
        <v>60</v>
      </c>
      <c r="C5351" s="2" t="s">
        <v>52196</v>
      </c>
      <c r="D5351" s="2" t="s">
        <v>52197</v>
      </c>
      <c r="E5351" s="2" t="s">
        <v>52198</v>
      </c>
      <c r="F5351" s="3" t="s">
        <v>525</v>
      </c>
      <c r="G5351" s="3" t="s">
        <v>128</v>
      </c>
      <c r="I5351" s="3" t="s">
        <v>64</v>
      </c>
      <c r="J5351" s="3" t="s">
        <v>64</v>
      </c>
      <c r="K5351" s="3" t="s">
        <v>65</v>
      </c>
      <c r="L5351" s="2" t="s">
        <v>52199</v>
      </c>
      <c r="M5351" s="2" t="s">
        <v>52200</v>
      </c>
      <c r="N5351" s="3" t="s">
        <v>171</v>
      </c>
      <c r="P5351" s="3" t="s">
        <v>102</v>
      </c>
      <c r="R5351" s="3" t="s">
        <v>70</v>
      </c>
      <c r="S5351" s="4">
        <v>1</v>
      </c>
      <c r="T5351" s="4">
        <v>2</v>
      </c>
      <c r="U5351" s="5" t="s">
        <v>25160</v>
      </c>
      <c r="V5351" s="5" t="s">
        <v>25160</v>
      </c>
      <c r="W5351" s="5" t="s">
        <v>72</v>
      </c>
      <c r="X5351" s="5" t="s">
        <v>72</v>
      </c>
      <c r="Y5351" s="4">
        <v>59</v>
      </c>
      <c r="Z5351" s="4">
        <v>1</v>
      </c>
      <c r="AA5351" s="4">
        <v>4</v>
      </c>
      <c r="AB5351" s="4">
        <v>1</v>
      </c>
      <c r="AC5351" s="4">
        <v>1</v>
      </c>
      <c r="AD5351" s="4">
        <v>30</v>
      </c>
      <c r="AE5351" s="4">
        <v>35</v>
      </c>
      <c r="AF5351" s="4">
        <v>0</v>
      </c>
      <c r="AG5351" s="4">
        <v>0</v>
      </c>
      <c r="AH5351" s="4">
        <v>28</v>
      </c>
      <c r="AI5351" s="4">
        <v>32</v>
      </c>
      <c r="AJ5351" s="4">
        <v>0</v>
      </c>
      <c r="AK5351" s="4">
        <v>2</v>
      </c>
      <c r="AL5351" s="4">
        <v>20</v>
      </c>
      <c r="AM5351" s="4">
        <v>24</v>
      </c>
      <c r="AN5351" s="4">
        <v>0</v>
      </c>
      <c r="AO5351" s="4">
        <v>0</v>
      </c>
      <c r="AP5351" s="4">
        <v>0</v>
      </c>
      <c r="AQ5351" s="4">
        <v>1</v>
      </c>
      <c r="AR5351" s="3" t="s">
        <v>64</v>
      </c>
      <c r="AS5351" s="3" t="s">
        <v>64</v>
      </c>
      <c r="AT5351" s="3" t="s">
        <v>64</v>
      </c>
      <c r="AV5351" s="6" t="str">
        <f>HYPERLINK("http://mcgill.on.worldcat.org/oclc/85169183","Catalog Record")</f>
        <v>Catalog Record</v>
      </c>
      <c r="AW5351" s="6" t="str">
        <f>HYPERLINK("http://www.worldcat.org/oclc/85169183","WorldCat Record")</f>
        <v>WorldCat Record</v>
      </c>
      <c r="AX5351" s="3" t="s">
        <v>52201</v>
      </c>
      <c r="AY5351" s="3" t="s">
        <v>52202</v>
      </c>
      <c r="AZ5351" s="3" t="s">
        <v>52203</v>
      </c>
      <c r="BA5351" s="3" t="s">
        <v>52203</v>
      </c>
      <c r="BB5351" s="3" t="s">
        <v>52204</v>
      </c>
      <c r="BC5351" s="3" t="s">
        <v>77</v>
      </c>
      <c r="BD5351" s="3" t="s">
        <v>78</v>
      </c>
      <c r="BE5351" s="3" t="s">
        <v>52205</v>
      </c>
      <c r="BF5351" s="3" t="s">
        <v>52204</v>
      </c>
      <c r="BG5351" s="3" t="s">
        <v>52206</v>
      </c>
      <c r="BH5351">
        <f t="shared" si="165"/>
        <v>0</v>
      </c>
    </row>
    <row r="5352" spans="1:60" ht="58" x14ac:dyDescent="0.35">
      <c r="A5352" s="2" t="s">
        <v>59</v>
      </c>
      <c r="B5352" s="2" t="s">
        <v>60</v>
      </c>
      <c r="C5352" s="2" t="s">
        <v>52196</v>
      </c>
      <c r="D5352" s="2" t="s">
        <v>52197</v>
      </c>
      <c r="E5352" s="2" t="s">
        <v>52198</v>
      </c>
      <c r="F5352" s="3" t="s">
        <v>529</v>
      </c>
      <c r="G5352" s="3" t="s">
        <v>128</v>
      </c>
      <c r="I5352" s="3" t="s">
        <v>64</v>
      </c>
      <c r="J5352" s="3" t="s">
        <v>64</v>
      </c>
      <c r="K5352" s="3" t="s">
        <v>65</v>
      </c>
      <c r="L5352" s="2" t="s">
        <v>52199</v>
      </c>
      <c r="M5352" s="2" t="s">
        <v>52200</v>
      </c>
      <c r="N5352" s="3" t="s">
        <v>171</v>
      </c>
      <c r="P5352" s="3" t="s">
        <v>102</v>
      </c>
      <c r="R5352" s="3" t="s">
        <v>70</v>
      </c>
      <c r="S5352" s="4">
        <v>1</v>
      </c>
      <c r="T5352" s="4">
        <v>2</v>
      </c>
      <c r="U5352" s="5" t="s">
        <v>25160</v>
      </c>
      <c r="V5352" s="5" t="s">
        <v>25160</v>
      </c>
      <c r="W5352" s="5" t="s">
        <v>72</v>
      </c>
      <c r="X5352" s="5" t="s">
        <v>72</v>
      </c>
      <c r="Y5352" s="4">
        <v>59</v>
      </c>
      <c r="Z5352" s="4">
        <v>1</v>
      </c>
      <c r="AA5352" s="4">
        <v>4</v>
      </c>
      <c r="AB5352" s="4">
        <v>1</v>
      </c>
      <c r="AC5352" s="4">
        <v>1</v>
      </c>
      <c r="AD5352" s="4">
        <v>30</v>
      </c>
      <c r="AE5352" s="4">
        <v>35</v>
      </c>
      <c r="AF5352" s="4">
        <v>0</v>
      </c>
      <c r="AG5352" s="4">
        <v>0</v>
      </c>
      <c r="AH5352" s="4">
        <v>28</v>
      </c>
      <c r="AI5352" s="4">
        <v>32</v>
      </c>
      <c r="AJ5352" s="4">
        <v>0</v>
      </c>
      <c r="AK5352" s="4">
        <v>2</v>
      </c>
      <c r="AL5352" s="4">
        <v>20</v>
      </c>
      <c r="AM5352" s="4">
        <v>24</v>
      </c>
      <c r="AN5352" s="4">
        <v>0</v>
      </c>
      <c r="AO5352" s="4">
        <v>0</v>
      </c>
      <c r="AP5352" s="4">
        <v>0</v>
      </c>
      <c r="AQ5352" s="4">
        <v>1</v>
      </c>
      <c r="AR5352" s="3" t="s">
        <v>64</v>
      </c>
      <c r="AS5352" s="3" t="s">
        <v>64</v>
      </c>
      <c r="AT5352" s="3" t="s">
        <v>64</v>
      </c>
      <c r="AV5352" s="6" t="str">
        <f>HYPERLINK("http://mcgill.on.worldcat.org/oclc/85169183","Catalog Record")</f>
        <v>Catalog Record</v>
      </c>
      <c r="AW5352" s="6" t="str">
        <f>HYPERLINK("http://www.worldcat.org/oclc/85169183","WorldCat Record")</f>
        <v>WorldCat Record</v>
      </c>
      <c r="AX5352" s="3" t="s">
        <v>52201</v>
      </c>
      <c r="AY5352" s="3" t="s">
        <v>52202</v>
      </c>
      <c r="AZ5352" s="3" t="s">
        <v>52203</v>
      </c>
      <c r="BA5352" s="3" t="s">
        <v>52203</v>
      </c>
      <c r="BB5352" s="3" t="s">
        <v>52207</v>
      </c>
      <c r="BC5352" s="3" t="s">
        <v>77</v>
      </c>
      <c r="BD5352" s="3" t="s">
        <v>78</v>
      </c>
      <c r="BE5352" s="3" t="s">
        <v>52205</v>
      </c>
      <c r="BF5352" s="3" t="s">
        <v>52207</v>
      </c>
      <c r="BG5352" s="3" t="s">
        <v>52208</v>
      </c>
      <c r="BH5352">
        <f t="shared" si="165"/>
        <v>0</v>
      </c>
    </row>
    <row r="5353" spans="1:60" ht="58" x14ac:dyDescent="0.35">
      <c r="A5353" s="2" t="s">
        <v>59</v>
      </c>
      <c r="B5353" s="2" t="s">
        <v>60</v>
      </c>
      <c r="C5353" s="2" t="s">
        <v>52209</v>
      </c>
      <c r="D5353" s="2" t="s">
        <v>52210</v>
      </c>
      <c r="E5353" s="2" t="s">
        <v>52211</v>
      </c>
      <c r="F5353" s="3" t="s">
        <v>26383</v>
      </c>
      <c r="G5353" s="3" t="s">
        <v>128</v>
      </c>
      <c r="H5353" s="3" t="s">
        <v>183</v>
      </c>
      <c r="I5353" s="3" t="s">
        <v>64</v>
      </c>
      <c r="J5353" s="3" t="s">
        <v>64</v>
      </c>
      <c r="K5353" s="3" t="s">
        <v>65</v>
      </c>
      <c r="L5353" s="2" t="s">
        <v>52212</v>
      </c>
      <c r="M5353" s="2" t="s">
        <v>52213</v>
      </c>
      <c r="N5353" s="3" t="s">
        <v>190</v>
      </c>
      <c r="O5353" s="2" t="s">
        <v>52214</v>
      </c>
      <c r="P5353" s="3" t="s">
        <v>102</v>
      </c>
      <c r="R5353" s="3" t="s">
        <v>70</v>
      </c>
      <c r="S5353" s="4">
        <v>0</v>
      </c>
      <c r="T5353" s="4">
        <v>0</v>
      </c>
      <c r="W5353" s="5" t="s">
        <v>423</v>
      </c>
      <c r="X5353" s="5" t="s">
        <v>423</v>
      </c>
      <c r="Y5353" s="4">
        <v>34</v>
      </c>
      <c r="Z5353" s="4">
        <v>1</v>
      </c>
      <c r="AA5353" s="4">
        <v>1</v>
      </c>
      <c r="AB5353" s="4">
        <v>1</v>
      </c>
      <c r="AC5353" s="4">
        <v>1</v>
      </c>
      <c r="AD5353" s="4">
        <v>13</v>
      </c>
      <c r="AE5353" s="4">
        <v>14</v>
      </c>
      <c r="AF5353" s="4">
        <v>0</v>
      </c>
      <c r="AG5353" s="4">
        <v>0</v>
      </c>
      <c r="AH5353" s="4">
        <v>13</v>
      </c>
      <c r="AI5353" s="4">
        <v>14</v>
      </c>
      <c r="AJ5353" s="4">
        <v>0</v>
      </c>
      <c r="AK5353" s="4">
        <v>0</v>
      </c>
      <c r="AL5353" s="4">
        <v>7</v>
      </c>
      <c r="AM5353" s="4">
        <v>8</v>
      </c>
      <c r="AN5353" s="4">
        <v>0</v>
      </c>
      <c r="AO5353" s="4">
        <v>0</v>
      </c>
      <c r="AP5353" s="4">
        <v>0</v>
      </c>
      <c r="AQ5353" s="4">
        <v>0</v>
      </c>
      <c r="AR5353" s="3" t="s">
        <v>64</v>
      </c>
      <c r="AS5353" s="3" t="s">
        <v>64</v>
      </c>
      <c r="AT5353" s="3" t="s">
        <v>64</v>
      </c>
      <c r="AV5353" s="6" t="str">
        <f>HYPERLINK("http://mcgill.on.worldcat.org/oclc/1044981431","Catalog Record")</f>
        <v>Catalog Record</v>
      </c>
      <c r="AW5353" s="6" t="str">
        <f>HYPERLINK("http://www.worldcat.org/oclc/1044981431","WorldCat Record")</f>
        <v>WorldCat Record</v>
      </c>
      <c r="AX5353" s="3" t="s">
        <v>52215</v>
      </c>
      <c r="AY5353" s="3" t="s">
        <v>52216</v>
      </c>
      <c r="AZ5353" s="3" t="s">
        <v>52217</v>
      </c>
      <c r="BA5353" s="3" t="s">
        <v>52217</v>
      </c>
      <c r="BB5353" s="3" t="s">
        <v>52218</v>
      </c>
      <c r="BC5353" s="3" t="s">
        <v>77</v>
      </c>
      <c r="BD5353" s="3" t="s">
        <v>78</v>
      </c>
      <c r="BE5353" s="3" t="s">
        <v>52219</v>
      </c>
      <c r="BF5353" s="3" t="s">
        <v>52218</v>
      </c>
      <c r="BG5353" s="3" t="s">
        <v>52220</v>
      </c>
      <c r="BH5353">
        <f t="shared" si="165"/>
        <v>0</v>
      </c>
    </row>
    <row r="5354" spans="1:60" ht="58" x14ac:dyDescent="0.35">
      <c r="A5354" s="2" t="s">
        <v>59</v>
      </c>
      <c r="B5354" s="2" t="s">
        <v>60</v>
      </c>
      <c r="C5354" s="2" t="s">
        <v>52209</v>
      </c>
      <c r="D5354" s="2" t="s">
        <v>52210</v>
      </c>
      <c r="E5354" s="2" t="s">
        <v>52211</v>
      </c>
      <c r="F5354" s="3" t="s">
        <v>26388</v>
      </c>
      <c r="G5354" s="3" t="s">
        <v>128</v>
      </c>
      <c r="H5354" s="3" t="s">
        <v>183</v>
      </c>
      <c r="I5354" s="3" t="s">
        <v>64</v>
      </c>
      <c r="J5354" s="3" t="s">
        <v>64</v>
      </c>
      <c r="K5354" s="3" t="s">
        <v>65</v>
      </c>
      <c r="L5354" s="2" t="s">
        <v>52212</v>
      </c>
      <c r="M5354" s="2" t="s">
        <v>52213</v>
      </c>
      <c r="N5354" s="3" t="s">
        <v>190</v>
      </c>
      <c r="O5354" s="2" t="s">
        <v>52214</v>
      </c>
      <c r="P5354" s="3" t="s">
        <v>102</v>
      </c>
      <c r="R5354" s="3" t="s">
        <v>70</v>
      </c>
      <c r="S5354" s="4">
        <v>0</v>
      </c>
      <c r="T5354" s="4">
        <v>0</v>
      </c>
      <c r="W5354" s="5" t="s">
        <v>423</v>
      </c>
      <c r="X5354" s="5" t="s">
        <v>423</v>
      </c>
      <c r="Y5354" s="4">
        <v>34</v>
      </c>
      <c r="Z5354" s="4">
        <v>1</v>
      </c>
      <c r="AA5354" s="4">
        <v>1</v>
      </c>
      <c r="AB5354" s="4">
        <v>1</v>
      </c>
      <c r="AC5354" s="4">
        <v>1</v>
      </c>
      <c r="AD5354" s="4">
        <v>13</v>
      </c>
      <c r="AE5354" s="4">
        <v>14</v>
      </c>
      <c r="AF5354" s="4">
        <v>0</v>
      </c>
      <c r="AG5354" s="4">
        <v>0</v>
      </c>
      <c r="AH5354" s="4">
        <v>13</v>
      </c>
      <c r="AI5354" s="4">
        <v>14</v>
      </c>
      <c r="AJ5354" s="4">
        <v>0</v>
      </c>
      <c r="AK5354" s="4">
        <v>0</v>
      </c>
      <c r="AL5354" s="4">
        <v>7</v>
      </c>
      <c r="AM5354" s="4">
        <v>8</v>
      </c>
      <c r="AN5354" s="4">
        <v>0</v>
      </c>
      <c r="AO5354" s="4">
        <v>0</v>
      </c>
      <c r="AP5354" s="4">
        <v>0</v>
      </c>
      <c r="AQ5354" s="4">
        <v>0</v>
      </c>
      <c r="AR5354" s="3" t="s">
        <v>64</v>
      </c>
      <c r="AS5354" s="3" t="s">
        <v>64</v>
      </c>
      <c r="AT5354" s="3" t="s">
        <v>64</v>
      </c>
      <c r="AV5354" s="6" t="str">
        <f>HYPERLINK("http://mcgill.on.worldcat.org/oclc/1044981431","Catalog Record")</f>
        <v>Catalog Record</v>
      </c>
      <c r="AW5354" s="6" t="str">
        <f>HYPERLINK("http://www.worldcat.org/oclc/1044981431","WorldCat Record")</f>
        <v>WorldCat Record</v>
      </c>
      <c r="AX5354" s="3" t="s">
        <v>52215</v>
      </c>
      <c r="AY5354" s="3" t="s">
        <v>52216</v>
      </c>
      <c r="AZ5354" s="3" t="s">
        <v>52217</v>
      </c>
      <c r="BA5354" s="3" t="s">
        <v>52217</v>
      </c>
      <c r="BB5354" s="3" t="s">
        <v>52221</v>
      </c>
      <c r="BC5354" s="3" t="s">
        <v>77</v>
      </c>
      <c r="BD5354" s="3" t="s">
        <v>78</v>
      </c>
      <c r="BE5354" s="3" t="s">
        <v>52219</v>
      </c>
      <c r="BF5354" s="3" t="s">
        <v>52221</v>
      </c>
      <c r="BG5354" s="3" t="s">
        <v>52222</v>
      </c>
      <c r="BH5354">
        <f t="shared" si="165"/>
        <v>0</v>
      </c>
    </row>
    <row r="5355" spans="1:60" ht="58" x14ac:dyDescent="0.35">
      <c r="A5355" s="2" t="s">
        <v>59</v>
      </c>
      <c r="B5355" s="2" t="s">
        <v>60</v>
      </c>
      <c r="C5355" s="2" t="s">
        <v>52209</v>
      </c>
      <c r="D5355" s="2" t="s">
        <v>52210</v>
      </c>
      <c r="E5355" s="2" t="s">
        <v>52211</v>
      </c>
      <c r="F5355" s="3" t="s">
        <v>1323</v>
      </c>
      <c r="G5355" s="3" t="s">
        <v>128</v>
      </c>
      <c r="H5355" s="3" t="s">
        <v>183</v>
      </c>
      <c r="I5355" s="3" t="s">
        <v>64</v>
      </c>
      <c r="J5355" s="3" t="s">
        <v>64</v>
      </c>
      <c r="K5355" s="3" t="s">
        <v>65</v>
      </c>
      <c r="L5355" s="2" t="s">
        <v>52212</v>
      </c>
      <c r="M5355" s="2" t="s">
        <v>52213</v>
      </c>
      <c r="N5355" s="3" t="s">
        <v>190</v>
      </c>
      <c r="O5355" s="2" t="s">
        <v>52214</v>
      </c>
      <c r="P5355" s="3" t="s">
        <v>102</v>
      </c>
      <c r="R5355" s="3" t="s">
        <v>70</v>
      </c>
      <c r="S5355" s="4">
        <v>0</v>
      </c>
      <c r="T5355" s="4">
        <v>0</v>
      </c>
      <c r="W5355" s="5" t="s">
        <v>423</v>
      </c>
      <c r="X5355" s="5" t="s">
        <v>423</v>
      </c>
      <c r="Y5355" s="4">
        <v>34</v>
      </c>
      <c r="Z5355" s="4">
        <v>1</v>
      </c>
      <c r="AA5355" s="4">
        <v>1</v>
      </c>
      <c r="AB5355" s="4">
        <v>1</v>
      </c>
      <c r="AC5355" s="4">
        <v>1</v>
      </c>
      <c r="AD5355" s="4">
        <v>13</v>
      </c>
      <c r="AE5355" s="4">
        <v>14</v>
      </c>
      <c r="AF5355" s="4">
        <v>0</v>
      </c>
      <c r="AG5355" s="4">
        <v>0</v>
      </c>
      <c r="AH5355" s="4">
        <v>13</v>
      </c>
      <c r="AI5355" s="4">
        <v>14</v>
      </c>
      <c r="AJ5355" s="4">
        <v>0</v>
      </c>
      <c r="AK5355" s="4">
        <v>0</v>
      </c>
      <c r="AL5355" s="4">
        <v>7</v>
      </c>
      <c r="AM5355" s="4">
        <v>8</v>
      </c>
      <c r="AN5355" s="4">
        <v>0</v>
      </c>
      <c r="AO5355" s="4">
        <v>0</v>
      </c>
      <c r="AP5355" s="4">
        <v>0</v>
      </c>
      <c r="AQ5355" s="4">
        <v>0</v>
      </c>
      <c r="AR5355" s="3" t="s">
        <v>64</v>
      </c>
      <c r="AS5355" s="3" t="s">
        <v>64</v>
      </c>
      <c r="AT5355" s="3" t="s">
        <v>64</v>
      </c>
      <c r="AV5355" s="6" t="str">
        <f>HYPERLINK("http://mcgill.on.worldcat.org/oclc/1044981431","Catalog Record")</f>
        <v>Catalog Record</v>
      </c>
      <c r="AW5355" s="6" t="str">
        <f>HYPERLINK("http://www.worldcat.org/oclc/1044981431","WorldCat Record")</f>
        <v>WorldCat Record</v>
      </c>
      <c r="AX5355" s="3" t="s">
        <v>52215</v>
      </c>
      <c r="AY5355" s="3" t="s">
        <v>52216</v>
      </c>
      <c r="AZ5355" s="3" t="s">
        <v>52217</v>
      </c>
      <c r="BA5355" s="3" t="s">
        <v>52217</v>
      </c>
      <c r="BB5355" s="3" t="s">
        <v>52223</v>
      </c>
      <c r="BC5355" s="3" t="s">
        <v>77</v>
      </c>
      <c r="BD5355" s="3" t="s">
        <v>78</v>
      </c>
      <c r="BE5355" s="3" t="s">
        <v>52219</v>
      </c>
      <c r="BF5355" s="3" t="s">
        <v>52223</v>
      </c>
      <c r="BG5355" s="3" t="s">
        <v>52224</v>
      </c>
      <c r="BH5355">
        <f t="shared" si="165"/>
        <v>0</v>
      </c>
    </row>
    <row r="5356" spans="1:60" ht="72.5" x14ac:dyDescent="0.35">
      <c r="A5356" s="2" t="s">
        <v>59</v>
      </c>
      <c r="B5356" s="2" t="s">
        <v>60</v>
      </c>
      <c r="C5356" s="2" t="s">
        <v>52225</v>
      </c>
      <c r="D5356" s="2" t="s">
        <v>52226</v>
      </c>
      <c r="E5356" s="2" t="s">
        <v>52227</v>
      </c>
      <c r="G5356" s="3" t="s">
        <v>64</v>
      </c>
      <c r="I5356" s="3" t="s">
        <v>64</v>
      </c>
      <c r="J5356" s="3" t="s">
        <v>64</v>
      </c>
      <c r="K5356" s="3" t="s">
        <v>65</v>
      </c>
      <c r="L5356" s="2" t="s">
        <v>52228</v>
      </c>
      <c r="M5356" s="2" t="s">
        <v>52229</v>
      </c>
      <c r="N5356" s="3" t="s">
        <v>578</v>
      </c>
      <c r="P5356" s="3" t="s">
        <v>102</v>
      </c>
      <c r="Q5356" s="2" t="s">
        <v>52230</v>
      </c>
      <c r="R5356" s="3" t="s">
        <v>70</v>
      </c>
      <c r="S5356" s="4">
        <v>0</v>
      </c>
      <c r="T5356" s="4">
        <v>0</v>
      </c>
      <c r="W5356" s="5" t="s">
        <v>72</v>
      </c>
      <c r="X5356" s="5" t="s">
        <v>72</v>
      </c>
      <c r="Y5356" s="4">
        <v>176</v>
      </c>
      <c r="Z5356" s="4">
        <v>7</v>
      </c>
      <c r="AA5356" s="4">
        <v>9</v>
      </c>
      <c r="AB5356" s="4">
        <v>1</v>
      </c>
      <c r="AC5356" s="4">
        <v>2</v>
      </c>
      <c r="AD5356" s="4">
        <v>56</v>
      </c>
      <c r="AE5356" s="4">
        <v>61</v>
      </c>
      <c r="AF5356" s="4">
        <v>0</v>
      </c>
      <c r="AG5356" s="4">
        <v>1</v>
      </c>
      <c r="AH5356" s="4">
        <v>51</v>
      </c>
      <c r="AI5356" s="4">
        <v>54</v>
      </c>
      <c r="AJ5356" s="4">
        <v>5</v>
      </c>
      <c r="AK5356" s="4">
        <v>7</v>
      </c>
      <c r="AL5356" s="4">
        <v>35</v>
      </c>
      <c r="AM5356" s="4">
        <v>37</v>
      </c>
      <c r="AN5356" s="4">
        <v>0</v>
      </c>
      <c r="AO5356" s="4">
        <v>0</v>
      </c>
      <c r="AP5356" s="4">
        <v>5</v>
      </c>
      <c r="AQ5356" s="4">
        <v>6</v>
      </c>
      <c r="AR5356" s="3" t="s">
        <v>64</v>
      </c>
      <c r="AS5356" s="3" t="s">
        <v>64</v>
      </c>
      <c r="AT5356" s="3" t="s">
        <v>64</v>
      </c>
      <c r="AV5356" s="6" t="str">
        <f>HYPERLINK("http://mcgill.on.worldcat.org/oclc/968775560","Catalog Record")</f>
        <v>Catalog Record</v>
      </c>
      <c r="AW5356" s="6" t="str">
        <f>HYPERLINK("http://www.worldcat.org/oclc/968775560","WorldCat Record")</f>
        <v>WorldCat Record</v>
      </c>
      <c r="AX5356" s="3" t="s">
        <v>52231</v>
      </c>
      <c r="AY5356" s="3" t="s">
        <v>52232</v>
      </c>
      <c r="AZ5356" s="3" t="s">
        <v>52233</v>
      </c>
      <c r="BA5356" s="3" t="s">
        <v>52233</v>
      </c>
      <c r="BB5356" s="3" t="s">
        <v>52234</v>
      </c>
      <c r="BC5356" s="3" t="s">
        <v>77</v>
      </c>
      <c r="BD5356" s="3" t="s">
        <v>78</v>
      </c>
      <c r="BE5356" s="3" t="s">
        <v>52235</v>
      </c>
      <c r="BF5356" s="3" t="s">
        <v>52234</v>
      </c>
      <c r="BG5356" s="3" t="s">
        <v>52236</v>
      </c>
      <c r="BH5356">
        <f t="shared" si="165"/>
        <v>0</v>
      </c>
    </row>
    <row r="5357" spans="1:60" ht="58" x14ac:dyDescent="0.35">
      <c r="A5357" s="2" t="s">
        <v>59</v>
      </c>
      <c r="B5357" s="2" t="s">
        <v>60</v>
      </c>
      <c r="C5357" s="2" t="s">
        <v>52237</v>
      </c>
      <c r="D5357" s="2" t="s">
        <v>52238</v>
      </c>
      <c r="E5357" s="2" t="s">
        <v>52239</v>
      </c>
      <c r="G5357" s="3" t="s">
        <v>64</v>
      </c>
      <c r="I5357" s="3" t="s">
        <v>64</v>
      </c>
      <c r="J5357" s="3" t="s">
        <v>64</v>
      </c>
      <c r="K5357" s="3" t="s">
        <v>65</v>
      </c>
      <c r="L5357" s="2" t="s">
        <v>52240</v>
      </c>
      <c r="M5357" s="2" t="s">
        <v>52241</v>
      </c>
      <c r="N5357" s="3" t="s">
        <v>190</v>
      </c>
      <c r="P5357" s="3" t="s">
        <v>102</v>
      </c>
      <c r="R5357" s="3" t="s">
        <v>70</v>
      </c>
      <c r="S5357" s="4">
        <v>0</v>
      </c>
      <c r="T5357" s="4">
        <v>0</v>
      </c>
      <c r="W5357" s="5" t="s">
        <v>72</v>
      </c>
      <c r="X5357" s="5" t="s">
        <v>72</v>
      </c>
      <c r="Y5357" s="4">
        <v>52</v>
      </c>
      <c r="Z5357" s="4">
        <v>2</v>
      </c>
      <c r="AA5357" s="4">
        <v>2</v>
      </c>
      <c r="AB5357" s="4">
        <v>1</v>
      </c>
      <c r="AC5357" s="4">
        <v>1</v>
      </c>
      <c r="AD5357" s="4">
        <v>7</v>
      </c>
      <c r="AE5357" s="4">
        <v>7</v>
      </c>
      <c r="AF5357" s="4">
        <v>0</v>
      </c>
      <c r="AG5357" s="4">
        <v>0</v>
      </c>
      <c r="AH5357" s="4">
        <v>6</v>
      </c>
      <c r="AI5357" s="4">
        <v>6</v>
      </c>
      <c r="AJ5357" s="4">
        <v>1</v>
      </c>
      <c r="AK5357" s="4">
        <v>1</v>
      </c>
      <c r="AL5357" s="4">
        <v>2</v>
      </c>
      <c r="AM5357" s="4">
        <v>2</v>
      </c>
      <c r="AN5357" s="4">
        <v>0</v>
      </c>
      <c r="AO5357" s="4">
        <v>0</v>
      </c>
      <c r="AP5357" s="4">
        <v>1</v>
      </c>
      <c r="AQ5357" s="4">
        <v>1</v>
      </c>
      <c r="AR5357" s="3" t="s">
        <v>64</v>
      </c>
      <c r="AS5357" s="3" t="s">
        <v>64</v>
      </c>
      <c r="AT5357" s="3" t="s">
        <v>64</v>
      </c>
      <c r="AV5357" s="6" t="str">
        <f>HYPERLINK("http://mcgill.on.worldcat.org/oclc/999601452","Catalog Record")</f>
        <v>Catalog Record</v>
      </c>
      <c r="AW5357" s="6" t="str">
        <f>HYPERLINK("http://www.worldcat.org/oclc/999601452","WorldCat Record")</f>
        <v>WorldCat Record</v>
      </c>
      <c r="AX5357" s="3" t="s">
        <v>52242</v>
      </c>
      <c r="AY5357" s="3" t="s">
        <v>52243</v>
      </c>
      <c r="AZ5357" s="3" t="s">
        <v>52244</v>
      </c>
      <c r="BA5357" s="3" t="s">
        <v>52244</v>
      </c>
      <c r="BB5357" s="3" t="s">
        <v>52245</v>
      </c>
      <c r="BC5357" s="3" t="s">
        <v>77</v>
      </c>
      <c r="BD5357" s="3" t="s">
        <v>78</v>
      </c>
      <c r="BE5357" s="3" t="s">
        <v>52246</v>
      </c>
      <c r="BF5357" s="3" t="s">
        <v>52245</v>
      </c>
      <c r="BG5357" s="3" t="s">
        <v>52247</v>
      </c>
      <c r="BH5357">
        <f t="shared" si="165"/>
        <v>0</v>
      </c>
    </row>
    <row r="5358" spans="1:60" ht="58" x14ac:dyDescent="0.35">
      <c r="A5358" s="2" t="s">
        <v>59</v>
      </c>
      <c r="B5358" s="2" t="s">
        <v>60</v>
      </c>
      <c r="C5358" s="2" t="s">
        <v>52248</v>
      </c>
      <c r="D5358" s="2" t="s">
        <v>52249</v>
      </c>
      <c r="E5358" s="2" t="s">
        <v>52250</v>
      </c>
      <c r="G5358" s="3" t="s">
        <v>64</v>
      </c>
      <c r="I5358" s="3" t="s">
        <v>64</v>
      </c>
      <c r="J5358" s="3" t="s">
        <v>64</v>
      </c>
      <c r="K5358" s="3" t="s">
        <v>65</v>
      </c>
      <c r="L5358" s="2" t="s">
        <v>52251</v>
      </c>
      <c r="M5358" s="2" t="s">
        <v>52252</v>
      </c>
      <c r="N5358" s="3" t="s">
        <v>86</v>
      </c>
      <c r="P5358" s="3" t="s">
        <v>102</v>
      </c>
      <c r="R5358" s="3" t="s">
        <v>70</v>
      </c>
      <c r="S5358" s="4">
        <v>4</v>
      </c>
      <c r="T5358" s="4">
        <v>4</v>
      </c>
      <c r="U5358" s="5" t="s">
        <v>52253</v>
      </c>
      <c r="V5358" s="5" t="s">
        <v>52253</v>
      </c>
      <c r="W5358" s="5" t="s">
        <v>72</v>
      </c>
      <c r="X5358" s="5" t="s">
        <v>72</v>
      </c>
      <c r="Y5358" s="4">
        <v>768</v>
      </c>
      <c r="Z5358" s="4">
        <v>24</v>
      </c>
      <c r="AA5358" s="4">
        <v>30</v>
      </c>
      <c r="AB5358" s="4">
        <v>3</v>
      </c>
      <c r="AC5358" s="4">
        <v>8</v>
      </c>
      <c r="AD5358" s="4">
        <v>79</v>
      </c>
      <c r="AE5358" s="4">
        <v>85</v>
      </c>
      <c r="AF5358" s="4">
        <v>1</v>
      </c>
      <c r="AG5358" s="4">
        <v>4</v>
      </c>
      <c r="AH5358" s="4">
        <v>72</v>
      </c>
      <c r="AI5358" s="4">
        <v>75</v>
      </c>
      <c r="AJ5358" s="4">
        <v>8</v>
      </c>
      <c r="AK5358" s="4">
        <v>12</v>
      </c>
      <c r="AL5358" s="4">
        <v>42</v>
      </c>
      <c r="AM5358" s="4">
        <v>43</v>
      </c>
      <c r="AN5358" s="4">
        <v>0</v>
      </c>
      <c r="AO5358" s="4">
        <v>0</v>
      </c>
      <c r="AP5358" s="4">
        <v>10</v>
      </c>
      <c r="AQ5358" s="4">
        <v>13</v>
      </c>
      <c r="AR5358" s="3" t="s">
        <v>64</v>
      </c>
      <c r="AS5358" s="3" t="s">
        <v>64</v>
      </c>
      <c r="AT5358" s="3" t="s">
        <v>64</v>
      </c>
      <c r="AV5358" s="6" t="str">
        <f>HYPERLINK("http://mcgill.on.worldcat.org/oclc/783161354","Catalog Record")</f>
        <v>Catalog Record</v>
      </c>
      <c r="AW5358" s="6" t="str">
        <f>HYPERLINK("http://www.worldcat.org/oclc/783161354","WorldCat Record")</f>
        <v>WorldCat Record</v>
      </c>
      <c r="AX5358" s="3" t="s">
        <v>52254</v>
      </c>
      <c r="AY5358" s="3" t="s">
        <v>52255</v>
      </c>
      <c r="AZ5358" s="3" t="s">
        <v>52256</v>
      </c>
      <c r="BA5358" s="3" t="s">
        <v>52256</v>
      </c>
      <c r="BB5358" s="3" t="s">
        <v>52257</v>
      </c>
      <c r="BC5358" s="3" t="s">
        <v>77</v>
      </c>
      <c r="BD5358" s="3" t="s">
        <v>78</v>
      </c>
      <c r="BE5358" s="3" t="s">
        <v>52258</v>
      </c>
      <c r="BF5358" s="3" t="s">
        <v>52257</v>
      </c>
      <c r="BG5358" s="3" t="s">
        <v>52259</v>
      </c>
      <c r="BH5358">
        <f t="shared" si="165"/>
        <v>0</v>
      </c>
    </row>
    <row r="5359" spans="1:60" ht="58" x14ac:dyDescent="0.35">
      <c r="A5359" s="2" t="s">
        <v>59</v>
      </c>
      <c r="B5359" s="2" t="s">
        <v>60</v>
      </c>
      <c r="C5359" s="2" t="s">
        <v>52260</v>
      </c>
      <c r="D5359" s="2" t="s">
        <v>52261</v>
      </c>
      <c r="E5359" s="2" t="s">
        <v>52262</v>
      </c>
      <c r="F5359" s="3" t="s">
        <v>52263</v>
      </c>
      <c r="G5359" s="3" t="s">
        <v>64</v>
      </c>
      <c r="I5359" s="3" t="s">
        <v>64</v>
      </c>
      <c r="J5359" s="3" t="s">
        <v>64</v>
      </c>
      <c r="K5359" s="3" t="s">
        <v>65</v>
      </c>
      <c r="L5359" s="2" t="s">
        <v>52264</v>
      </c>
      <c r="M5359" s="2" t="s">
        <v>52265</v>
      </c>
      <c r="N5359" s="3" t="s">
        <v>326</v>
      </c>
      <c r="P5359" s="3" t="s">
        <v>102</v>
      </c>
      <c r="R5359" s="3" t="s">
        <v>70</v>
      </c>
      <c r="S5359" s="4">
        <v>1</v>
      </c>
      <c r="T5359" s="4">
        <v>1</v>
      </c>
      <c r="U5359" s="5" t="s">
        <v>52266</v>
      </c>
      <c r="V5359" s="5" t="s">
        <v>52266</v>
      </c>
      <c r="W5359" s="5" t="s">
        <v>72</v>
      </c>
      <c r="X5359" s="5" t="s">
        <v>72</v>
      </c>
      <c r="Y5359" s="4">
        <v>78</v>
      </c>
      <c r="Z5359" s="4">
        <v>5</v>
      </c>
      <c r="AA5359" s="4">
        <v>6</v>
      </c>
      <c r="AB5359" s="4">
        <v>2</v>
      </c>
      <c r="AC5359" s="4">
        <v>3</v>
      </c>
      <c r="AD5359" s="4">
        <v>14</v>
      </c>
      <c r="AE5359" s="4">
        <v>17</v>
      </c>
      <c r="AF5359" s="4">
        <v>1</v>
      </c>
      <c r="AG5359" s="4">
        <v>2</v>
      </c>
      <c r="AH5359" s="4">
        <v>12</v>
      </c>
      <c r="AI5359" s="4">
        <v>13</v>
      </c>
      <c r="AJ5359" s="4">
        <v>3</v>
      </c>
      <c r="AK5359" s="4">
        <v>4</v>
      </c>
      <c r="AL5359" s="4">
        <v>6</v>
      </c>
      <c r="AM5359" s="4">
        <v>7</v>
      </c>
      <c r="AN5359" s="4">
        <v>0</v>
      </c>
      <c r="AO5359" s="4">
        <v>0</v>
      </c>
      <c r="AP5359" s="4">
        <v>3</v>
      </c>
      <c r="AQ5359" s="4">
        <v>4</v>
      </c>
      <c r="AR5359" s="3" t="s">
        <v>64</v>
      </c>
      <c r="AS5359" s="3" t="s">
        <v>64</v>
      </c>
      <c r="AT5359" s="3" t="s">
        <v>64</v>
      </c>
      <c r="AV5359" s="6" t="str">
        <f>HYPERLINK("http://mcgill.on.worldcat.org/oclc/774911051","Catalog Record")</f>
        <v>Catalog Record</v>
      </c>
      <c r="AW5359" s="6" t="str">
        <f>HYPERLINK("http://www.worldcat.org/oclc/774911051","WorldCat Record")</f>
        <v>WorldCat Record</v>
      </c>
      <c r="AX5359" s="3" t="s">
        <v>52267</v>
      </c>
      <c r="AY5359" s="3" t="s">
        <v>52268</v>
      </c>
      <c r="AZ5359" s="3" t="s">
        <v>52269</v>
      </c>
      <c r="BA5359" s="3" t="s">
        <v>52269</v>
      </c>
      <c r="BB5359" s="3" t="s">
        <v>52270</v>
      </c>
      <c r="BC5359" s="3" t="s">
        <v>77</v>
      </c>
      <c r="BD5359" s="3" t="s">
        <v>78</v>
      </c>
      <c r="BE5359" s="3" t="s">
        <v>52271</v>
      </c>
      <c r="BF5359" s="3" t="s">
        <v>52270</v>
      </c>
      <c r="BG5359" s="3" t="s">
        <v>52272</v>
      </c>
      <c r="BH5359">
        <f t="shared" si="165"/>
        <v>0</v>
      </c>
    </row>
    <row r="5360" spans="1:60" ht="72.5" x14ac:dyDescent="0.35">
      <c r="A5360" s="2" t="s">
        <v>59</v>
      </c>
      <c r="B5360" s="2" t="s">
        <v>60</v>
      </c>
      <c r="C5360" s="2" t="s">
        <v>52273</v>
      </c>
      <c r="D5360" s="2" t="s">
        <v>52274</v>
      </c>
      <c r="E5360" s="2" t="s">
        <v>52275</v>
      </c>
      <c r="G5360" s="3" t="s">
        <v>64</v>
      </c>
      <c r="I5360" s="3" t="s">
        <v>64</v>
      </c>
      <c r="J5360" s="3" t="s">
        <v>64</v>
      </c>
      <c r="K5360" s="3" t="s">
        <v>65</v>
      </c>
      <c r="M5360" s="2" t="s">
        <v>52276</v>
      </c>
      <c r="N5360" s="3" t="s">
        <v>511</v>
      </c>
      <c r="P5360" s="3" t="s">
        <v>102</v>
      </c>
      <c r="R5360" s="3" t="s">
        <v>70</v>
      </c>
      <c r="S5360" s="4">
        <v>3</v>
      </c>
      <c r="T5360" s="4">
        <v>3</v>
      </c>
      <c r="U5360" s="5" t="s">
        <v>3332</v>
      </c>
      <c r="V5360" s="5" t="s">
        <v>3332</v>
      </c>
      <c r="W5360" s="5" t="s">
        <v>72</v>
      </c>
      <c r="X5360" s="5" t="s">
        <v>72</v>
      </c>
      <c r="Y5360" s="4">
        <v>128</v>
      </c>
      <c r="Z5360" s="4">
        <v>7</v>
      </c>
      <c r="AA5360" s="4">
        <v>9</v>
      </c>
      <c r="AB5360" s="4">
        <v>3</v>
      </c>
      <c r="AC5360" s="4">
        <v>4</v>
      </c>
      <c r="AD5360" s="4">
        <v>18</v>
      </c>
      <c r="AE5360" s="4">
        <v>20</v>
      </c>
      <c r="AF5360" s="4">
        <v>1</v>
      </c>
      <c r="AG5360" s="4">
        <v>2</v>
      </c>
      <c r="AH5360" s="4">
        <v>14</v>
      </c>
      <c r="AI5360" s="4">
        <v>14</v>
      </c>
      <c r="AJ5360" s="4">
        <v>4</v>
      </c>
      <c r="AK5360" s="4">
        <v>5</v>
      </c>
      <c r="AL5360" s="4">
        <v>8</v>
      </c>
      <c r="AM5360" s="4">
        <v>8</v>
      </c>
      <c r="AN5360" s="4">
        <v>0</v>
      </c>
      <c r="AO5360" s="4">
        <v>0</v>
      </c>
      <c r="AP5360" s="4">
        <v>5</v>
      </c>
      <c r="AQ5360" s="4">
        <v>7</v>
      </c>
      <c r="AR5360" s="3" t="s">
        <v>64</v>
      </c>
      <c r="AS5360" s="3" t="s">
        <v>64</v>
      </c>
      <c r="AT5360" s="3" t="s">
        <v>64</v>
      </c>
      <c r="AV5360" s="6" t="str">
        <f>HYPERLINK("http://mcgill.on.worldcat.org/oclc/630456835","Catalog Record")</f>
        <v>Catalog Record</v>
      </c>
      <c r="AW5360" s="6" t="str">
        <f>HYPERLINK("http://www.worldcat.org/oclc/630456835","WorldCat Record")</f>
        <v>WorldCat Record</v>
      </c>
      <c r="AX5360" s="3" t="s">
        <v>52277</v>
      </c>
      <c r="AY5360" s="3" t="s">
        <v>52278</v>
      </c>
      <c r="AZ5360" s="3" t="s">
        <v>52279</v>
      </c>
      <c r="BA5360" s="3" t="s">
        <v>52279</v>
      </c>
      <c r="BB5360" s="3" t="s">
        <v>52280</v>
      </c>
      <c r="BC5360" s="3" t="s">
        <v>77</v>
      </c>
      <c r="BD5360" s="3" t="s">
        <v>78</v>
      </c>
      <c r="BE5360" s="3" t="s">
        <v>52281</v>
      </c>
      <c r="BF5360" s="3" t="s">
        <v>52280</v>
      </c>
      <c r="BG5360" s="3" t="s">
        <v>52282</v>
      </c>
      <c r="BH5360">
        <f t="shared" si="165"/>
        <v>0</v>
      </c>
    </row>
    <row r="5361" spans="1:60" ht="58" x14ac:dyDescent="0.35">
      <c r="A5361" s="2" t="s">
        <v>59</v>
      </c>
      <c r="B5361" s="2" t="s">
        <v>60</v>
      </c>
      <c r="C5361" s="2" t="s">
        <v>52283</v>
      </c>
      <c r="D5361" s="2" t="s">
        <v>52284</v>
      </c>
      <c r="E5361" s="2" t="s">
        <v>52285</v>
      </c>
      <c r="F5361" s="3" t="s">
        <v>529</v>
      </c>
      <c r="G5361" s="3" t="s">
        <v>128</v>
      </c>
      <c r="I5361" s="3" t="s">
        <v>64</v>
      </c>
      <c r="J5361" s="3" t="s">
        <v>64</v>
      </c>
      <c r="K5361" s="3" t="s">
        <v>65</v>
      </c>
      <c r="M5361" s="2" t="s">
        <v>52286</v>
      </c>
      <c r="N5361" s="3" t="s">
        <v>551</v>
      </c>
      <c r="P5361" s="3" t="s">
        <v>102</v>
      </c>
      <c r="R5361" s="3" t="s">
        <v>70</v>
      </c>
      <c r="S5361" s="4">
        <v>1</v>
      </c>
      <c r="T5361" s="4">
        <v>3</v>
      </c>
      <c r="U5361" s="5" t="s">
        <v>52287</v>
      </c>
      <c r="V5361" s="5" t="s">
        <v>35685</v>
      </c>
      <c r="W5361" s="5" t="s">
        <v>72</v>
      </c>
      <c r="X5361" s="5" t="s">
        <v>72</v>
      </c>
      <c r="Y5361" s="4">
        <v>337</v>
      </c>
      <c r="Z5361" s="4">
        <v>15</v>
      </c>
      <c r="AA5361" s="4">
        <v>26</v>
      </c>
      <c r="AB5361" s="4">
        <v>1</v>
      </c>
      <c r="AC5361" s="4">
        <v>6</v>
      </c>
      <c r="AD5361" s="4">
        <v>51</v>
      </c>
      <c r="AE5361" s="4">
        <v>64</v>
      </c>
      <c r="AF5361" s="4">
        <v>0</v>
      </c>
      <c r="AG5361" s="4">
        <v>3</v>
      </c>
      <c r="AH5361" s="4">
        <v>46</v>
      </c>
      <c r="AI5361" s="4">
        <v>52</v>
      </c>
      <c r="AJ5361" s="4">
        <v>5</v>
      </c>
      <c r="AK5361" s="4">
        <v>9</v>
      </c>
      <c r="AL5361" s="4">
        <v>25</v>
      </c>
      <c r="AM5361" s="4">
        <v>30</v>
      </c>
      <c r="AN5361" s="4">
        <v>0</v>
      </c>
      <c r="AO5361" s="4">
        <v>0</v>
      </c>
      <c r="AP5361" s="4">
        <v>7</v>
      </c>
      <c r="AQ5361" s="4">
        <v>14</v>
      </c>
      <c r="AR5361" s="3" t="s">
        <v>64</v>
      </c>
      <c r="AS5361" s="3" t="s">
        <v>64</v>
      </c>
      <c r="AT5361" s="3" t="s">
        <v>64</v>
      </c>
      <c r="AV5361" s="6" t="str">
        <f>HYPERLINK("http://mcgill.on.worldcat.org/oclc/295001098","Catalog Record")</f>
        <v>Catalog Record</v>
      </c>
      <c r="AW5361" s="6" t="str">
        <f>HYPERLINK("http://www.worldcat.org/oclc/295001098","WorldCat Record")</f>
        <v>WorldCat Record</v>
      </c>
      <c r="AX5361" s="3" t="s">
        <v>52288</v>
      </c>
      <c r="AY5361" s="3" t="s">
        <v>52289</v>
      </c>
      <c r="AZ5361" s="3" t="s">
        <v>52290</v>
      </c>
      <c r="BA5361" s="3" t="s">
        <v>52290</v>
      </c>
      <c r="BB5361" s="3" t="s">
        <v>52291</v>
      </c>
      <c r="BC5361" s="3" t="s">
        <v>77</v>
      </c>
      <c r="BD5361" s="3" t="s">
        <v>78</v>
      </c>
      <c r="BE5361" s="3" t="s">
        <v>52292</v>
      </c>
      <c r="BF5361" s="3" t="s">
        <v>52291</v>
      </c>
      <c r="BG5361" s="3" t="s">
        <v>52293</v>
      </c>
      <c r="BH5361">
        <f t="shared" si="165"/>
        <v>0</v>
      </c>
    </row>
    <row r="5362" spans="1:60" ht="58" x14ac:dyDescent="0.35">
      <c r="A5362" s="2" t="s">
        <v>59</v>
      </c>
      <c r="B5362" s="2" t="s">
        <v>60</v>
      </c>
      <c r="C5362" s="2" t="s">
        <v>52283</v>
      </c>
      <c r="D5362" s="2" t="s">
        <v>52284</v>
      </c>
      <c r="E5362" s="2" t="s">
        <v>52285</v>
      </c>
      <c r="F5362" s="3" t="s">
        <v>525</v>
      </c>
      <c r="G5362" s="3" t="s">
        <v>128</v>
      </c>
      <c r="I5362" s="3" t="s">
        <v>64</v>
      </c>
      <c r="J5362" s="3" t="s">
        <v>64</v>
      </c>
      <c r="K5362" s="3" t="s">
        <v>65</v>
      </c>
      <c r="M5362" s="2" t="s">
        <v>52286</v>
      </c>
      <c r="N5362" s="3" t="s">
        <v>551</v>
      </c>
      <c r="P5362" s="3" t="s">
        <v>102</v>
      </c>
      <c r="R5362" s="3" t="s">
        <v>70</v>
      </c>
      <c r="S5362" s="4">
        <v>2</v>
      </c>
      <c r="T5362" s="4">
        <v>3</v>
      </c>
      <c r="U5362" s="5" t="s">
        <v>35685</v>
      </c>
      <c r="V5362" s="5" t="s">
        <v>35685</v>
      </c>
      <c r="W5362" s="5" t="s">
        <v>72</v>
      </c>
      <c r="X5362" s="5" t="s">
        <v>72</v>
      </c>
      <c r="Y5362" s="4">
        <v>337</v>
      </c>
      <c r="Z5362" s="4">
        <v>15</v>
      </c>
      <c r="AA5362" s="4">
        <v>26</v>
      </c>
      <c r="AB5362" s="4">
        <v>1</v>
      </c>
      <c r="AC5362" s="4">
        <v>6</v>
      </c>
      <c r="AD5362" s="4">
        <v>51</v>
      </c>
      <c r="AE5362" s="4">
        <v>64</v>
      </c>
      <c r="AF5362" s="4">
        <v>0</v>
      </c>
      <c r="AG5362" s="4">
        <v>3</v>
      </c>
      <c r="AH5362" s="4">
        <v>46</v>
      </c>
      <c r="AI5362" s="4">
        <v>52</v>
      </c>
      <c r="AJ5362" s="4">
        <v>5</v>
      </c>
      <c r="AK5362" s="4">
        <v>9</v>
      </c>
      <c r="AL5362" s="4">
        <v>25</v>
      </c>
      <c r="AM5362" s="4">
        <v>30</v>
      </c>
      <c r="AN5362" s="4">
        <v>0</v>
      </c>
      <c r="AO5362" s="4">
        <v>0</v>
      </c>
      <c r="AP5362" s="4">
        <v>7</v>
      </c>
      <c r="AQ5362" s="4">
        <v>14</v>
      </c>
      <c r="AR5362" s="3" t="s">
        <v>64</v>
      </c>
      <c r="AS5362" s="3" t="s">
        <v>64</v>
      </c>
      <c r="AT5362" s="3" t="s">
        <v>64</v>
      </c>
      <c r="AV5362" s="6" t="str">
        <f>HYPERLINK("http://mcgill.on.worldcat.org/oclc/295001098","Catalog Record")</f>
        <v>Catalog Record</v>
      </c>
      <c r="AW5362" s="6" t="str">
        <f>HYPERLINK("http://www.worldcat.org/oclc/295001098","WorldCat Record")</f>
        <v>WorldCat Record</v>
      </c>
      <c r="AX5362" s="3" t="s">
        <v>52288</v>
      </c>
      <c r="AY5362" s="3" t="s">
        <v>52289</v>
      </c>
      <c r="AZ5362" s="3" t="s">
        <v>52290</v>
      </c>
      <c r="BA5362" s="3" t="s">
        <v>52290</v>
      </c>
      <c r="BB5362" s="3" t="s">
        <v>52294</v>
      </c>
      <c r="BC5362" s="3" t="s">
        <v>77</v>
      </c>
      <c r="BD5362" s="3" t="s">
        <v>78</v>
      </c>
      <c r="BE5362" s="3" t="s">
        <v>52292</v>
      </c>
      <c r="BF5362" s="3" t="s">
        <v>52294</v>
      </c>
      <c r="BG5362" s="3" t="s">
        <v>52295</v>
      </c>
      <c r="BH5362">
        <f t="shared" si="165"/>
        <v>0</v>
      </c>
    </row>
    <row r="5363" spans="1:60" ht="58" x14ac:dyDescent="0.35">
      <c r="A5363" s="2" t="s">
        <v>59</v>
      </c>
      <c r="B5363" s="2" t="s">
        <v>60</v>
      </c>
      <c r="C5363" s="2" t="s">
        <v>52296</v>
      </c>
      <c r="D5363" s="2" t="s">
        <v>52297</v>
      </c>
      <c r="E5363" s="2" t="s">
        <v>52298</v>
      </c>
      <c r="F5363" s="3" t="s">
        <v>525</v>
      </c>
      <c r="G5363" s="3" t="s">
        <v>128</v>
      </c>
      <c r="I5363" s="3" t="s">
        <v>128</v>
      </c>
      <c r="J5363" s="3" t="s">
        <v>64</v>
      </c>
      <c r="K5363" s="3" t="s">
        <v>65</v>
      </c>
      <c r="L5363" s="2" t="s">
        <v>52299</v>
      </c>
      <c r="M5363" s="2" t="s">
        <v>33323</v>
      </c>
      <c r="N5363" s="3" t="s">
        <v>144</v>
      </c>
      <c r="P5363" s="3" t="s">
        <v>102</v>
      </c>
      <c r="Q5363" s="2" t="s">
        <v>52300</v>
      </c>
      <c r="R5363" s="3" t="s">
        <v>70</v>
      </c>
      <c r="S5363" s="4">
        <v>15</v>
      </c>
      <c r="T5363" s="4">
        <v>31</v>
      </c>
      <c r="U5363" s="5" t="s">
        <v>17084</v>
      </c>
      <c r="V5363" s="5" t="s">
        <v>17084</v>
      </c>
      <c r="W5363" s="5" t="s">
        <v>72</v>
      </c>
      <c r="X5363" s="5" t="s">
        <v>72</v>
      </c>
      <c r="Y5363" s="4">
        <v>85</v>
      </c>
      <c r="Z5363" s="4">
        <v>10</v>
      </c>
      <c r="AA5363" s="4">
        <v>91</v>
      </c>
      <c r="AB5363" s="4">
        <v>1</v>
      </c>
      <c r="AC5363" s="4">
        <v>17</v>
      </c>
      <c r="AD5363" s="4">
        <v>37</v>
      </c>
      <c r="AE5363" s="4">
        <v>99</v>
      </c>
      <c r="AF5363" s="4">
        <v>0</v>
      </c>
      <c r="AG5363" s="4">
        <v>8</v>
      </c>
      <c r="AH5363" s="4">
        <v>32</v>
      </c>
      <c r="AI5363" s="4">
        <v>65</v>
      </c>
      <c r="AJ5363" s="4">
        <v>6</v>
      </c>
      <c r="AK5363" s="4">
        <v>19</v>
      </c>
      <c r="AL5363" s="4">
        <v>19</v>
      </c>
      <c r="AM5363" s="4">
        <v>33</v>
      </c>
      <c r="AN5363" s="4">
        <v>0</v>
      </c>
      <c r="AO5363" s="4">
        <v>0</v>
      </c>
      <c r="AP5363" s="4">
        <v>7</v>
      </c>
      <c r="AQ5363" s="4">
        <v>40</v>
      </c>
      <c r="AR5363" s="3" t="s">
        <v>64</v>
      </c>
      <c r="AS5363" s="3" t="s">
        <v>64</v>
      </c>
      <c r="AT5363" s="3" t="s">
        <v>64</v>
      </c>
      <c r="AV5363" s="6" t="str">
        <f>HYPERLINK("http://mcgill.on.worldcat.org/oclc/267248500","Catalog Record")</f>
        <v>Catalog Record</v>
      </c>
      <c r="AW5363" s="6" t="str">
        <f>HYPERLINK("http://www.worldcat.org/oclc/267248500","WorldCat Record")</f>
        <v>WorldCat Record</v>
      </c>
      <c r="AX5363" s="3" t="s">
        <v>52301</v>
      </c>
      <c r="AY5363" s="3" t="s">
        <v>52302</v>
      </c>
      <c r="AZ5363" s="3" t="s">
        <v>52303</v>
      </c>
      <c r="BA5363" s="3" t="s">
        <v>52303</v>
      </c>
      <c r="BB5363" s="3" t="s">
        <v>52304</v>
      </c>
      <c r="BC5363" s="3" t="s">
        <v>77</v>
      </c>
      <c r="BD5363" s="3" t="s">
        <v>78</v>
      </c>
      <c r="BE5363" s="3" t="s">
        <v>52305</v>
      </c>
      <c r="BF5363" s="3" t="s">
        <v>52304</v>
      </c>
      <c r="BG5363" s="3" t="s">
        <v>52306</v>
      </c>
      <c r="BH5363">
        <f t="shared" si="165"/>
        <v>0</v>
      </c>
    </row>
    <row r="5364" spans="1:60" ht="58" x14ac:dyDescent="0.35">
      <c r="A5364" s="2" t="s">
        <v>59</v>
      </c>
      <c r="B5364" s="2" t="s">
        <v>60</v>
      </c>
      <c r="C5364" s="2" t="s">
        <v>52296</v>
      </c>
      <c r="D5364" s="2" t="s">
        <v>52297</v>
      </c>
      <c r="E5364" s="2" t="s">
        <v>52298</v>
      </c>
      <c r="F5364" s="3" t="s">
        <v>529</v>
      </c>
      <c r="G5364" s="3" t="s">
        <v>128</v>
      </c>
      <c r="I5364" s="3" t="s">
        <v>128</v>
      </c>
      <c r="J5364" s="3" t="s">
        <v>64</v>
      </c>
      <c r="K5364" s="3" t="s">
        <v>65</v>
      </c>
      <c r="L5364" s="2" t="s">
        <v>52299</v>
      </c>
      <c r="M5364" s="2" t="s">
        <v>33323</v>
      </c>
      <c r="N5364" s="3" t="s">
        <v>144</v>
      </c>
      <c r="P5364" s="3" t="s">
        <v>102</v>
      </c>
      <c r="Q5364" s="2" t="s">
        <v>52300</v>
      </c>
      <c r="R5364" s="3" t="s">
        <v>70</v>
      </c>
      <c r="S5364" s="4">
        <v>14</v>
      </c>
      <c r="T5364" s="4">
        <v>31</v>
      </c>
      <c r="U5364" s="5" t="s">
        <v>17084</v>
      </c>
      <c r="V5364" s="5" t="s">
        <v>17084</v>
      </c>
      <c r="W5364" s="5" t="s">
        <v>72</v>
      </c>
      <c r="X5364" s="5" t="s">
        <v>72</v>
      </c>
      <c r="Y5364" s="4">
        <v>85</v>
      </c>
      <c r="Z5364" s="4">
        <v>10</v>
      </c>
      <c r="AA5364" s="4">
        <v>91</v>
      </c>
      <c r="AB5364" s="4">
        <v>1</v>
      </c>
      <c r="AC5364" s="4">
        <v>17</v>
      </c>
      <c r="AD5364" s="4">
        <v>37</v>
      </c>
      <c r="AE5364" s="4">
        <v>99</v>
      </c>
      <c r="AF5364" s="4">
        <v>0</v>
      </c>
      <c r="AG5364" s="4">
        <v>8</v>
      </c>
      <c r="AH5364" s="4">
        <v>32</v>
      </c>
      <c r="AI5364" s="4">
        <v>65</v>
      </c>
      <c r="AJ5364" s="4">
        <v>6</v>
      </c>
      <c r="AK5364" s="4">
        <v>19</v>
      </c>
      <c r="AL5364" s="4">
        <v>19</v>
      </c>
      <c r="AM5364" s="4">
        <v>33</v>
      </c>
      <c r="AN5364" s="4">
        <v>0</v>
      </c>
      <c r="AO5364" s="4">
        <v>0</v>
      </c>
      <c r="AP5364" s="4">
        <v>7</v>
      </c>
      <c r="AQ5364" s="4">
        <v>40</v>
      </c>
      <c r="AR5364" s="3" t="s">
        <v>64</v>
      </c>
      <c r="AS5364" s="3" t="s">
        <v>64</v>
      </c>
      <c r="AT5364" s="3" t="s">
        <v>64</v>
      </c>
      <c r="AV5364" s="6" t="str">
        <f>HYPERLINK("http://mcgill.on.worldcat.org/oclc/267248500","Catalog Record")</f>
        <v>Catalog Record</v>
      </c>
      <c r="AW5364" s="6" t="str">
        <f>HYPERLINK("http://www.worldcat.org/oclc/267248500","WorldCat Record")</f>
        <v>WorldCat Record</v>
      </c>
      <c r="AX5364" s="3" t="s">
        <v>52301</v>
      </c>
      <c r="AY5364" s="3" t="s">
        <v>52302</v>
      </c>
      <c r="AZ5364" s="3" t="s">
        <v>52303</v>
      </c>
      <c r="BA5364" s="3" t="s">
        <v>52303</v>
      </c>
      <c r="BB5364" s="3" t="s">
        <v>52307</v>
      </c>
      <c r="BC5364" s="3" t="s">
        <v>77</v>
      </c>
      <c r="BD5364" s="3" t="s">
        <v>78</v>
      </c>
      <c r="BE5364" s="3" t="s">
        <v>52305</v>
      </c>
      <c r="BF5364" s="3" t="s">
        <v>52307</v>
      </c>
      <c r="BG5364" s="3" t="s">
        <v>52308</v>
      </c>
      <c r="BH5364">
        <f t="shared" si="165"/>
        <v>0</v>
      </c>
    </row>
    <row r="5365" spans="1:60" ht="72.5" x14ac:dyDescent="0.35">
      <c r="A5365" s="2" t="s">
        <v>59</v>
      </c>
      <c r="B5365" s="2" t="s">
        <v>60</v>
      </c>
      <c r="C5365" s="2" t="s">
        <v>52309</v>
      </c>
      <c r="D5365" s="2" t="s">
        <v>52310</v>
      </c>
      <c r="E5365" s="2" t="s">
        <v>52311</v>
      </c>
      <c r="G5365" s="3" t="s">
        <v>64</v>
      </c>
      <c r="I5365" s="3" t="s">
        <v>64</v>
      </c>
      <c r="J5365" s="3" t="s">
        <v>64</v>
      </c>
      <c r="K5365" s="3" t="s">
        <v>65</v>
      </c>
      <c r="L5365" s="2" t="s">
        <v>52312</v>
      </c>
      <c r="M5365" s="2" t="s">
        <v>52313</v>
      </c>
      <c r="N5365" s="3" t="s">
        <v>578</v>
      </c>
      <c r="P5365" s="3" t="s">
        <v>102</v>
      </c>
      <c r="R5365" s="3" t="s">
        <v>70</v>
      </c>
      <c r="S5365" s="4">
        <v>0</v>
      </c>
      <c r="T5365" s="4">
        <v>0</v>
      </c>
      <c r="W5365" s="5" t="s">
        <v>72</v>
      </c>
      <c r="X5365" s="5" t="s">
        <v>72</v>
      </c>
      <c r="Y5365" s="4">
        <v>75</v>
      </c>
      <c r="Z5365" s="4">
        <v>4</v>
      </c>
      <c r="AA5365" s="4">
        <v>4</v>
      </c>
      <c r="AB5365" s="4">
        <v>1</v>
      </c>
      <c r="AC5365" s="4">
        <v>1</v>
      </c>
      <c r="AD5365" s="4">
        <v>23</v>
      </c>
      <c r="AE5365" s="4">
        <v>23</v>
      </c>
      <c r="AF5365" s="4">
        <v>0</v>
      </c>
      <c r="AG5365" s="4">
        <v>0</v>
      </c>
      <c r="AH5365" s="4">
        <v>22</v>
      </c>
      <c r="AI5365" s="4">
        <v>22</v>
      </c>
      <c r="AJ5365" s="4">
        <v>2</v>
      </c>
      <c r="AK5365" s="4">
        <v>2</v>
      </c>
      <c r="AL5365" s="4">
        <v>12</v>
      </c>
      <c r="AM5365" s="4">
        <v>12</v>
      </c>
      <c r="AN5365" s="4">
        <v>0</v>
      </c>
      <c r="AO5365" s="4">
        <v>0</v>
      </c>
      <c r="AP5365" s="4">
        <v>2</v>
      </c>
      <c r="AQ5365" s="4">
        <v>2</v>
      </c>
      <c r="AR5365" s="3" t="s">
        <v>64</v>
      </c>
      <c r="AS5365" s="3" t="s">
        <v>64</v>
      </c>
      <c r="AT5365" s="3" t="s">
        <v>64</v>
      </c>
      <c r="AV5365" s="6" t="str">
        <f>HYPERLINK("http://mcgill.on.worldcat.org/oclc/993042722","Catalog Record")</f>
        <v>Catalog Record</v>
      </c>
      <c r="AW5365" s="6" t="str">
        <f>HYPERLINK("http://www.worldcat.org/oclc/993042722","WorldCat Record")</f>
        <v>WorldCat Record</v>
      </c>
      <c r="AX5365" s="3" t="s">
        <v>52314</v>
      </c>
      <c r="AY5365" s="3" t="s">
        <v>52315</v>
      </c>
      <c r="AZ5365" s="3" t="s">
        <v>52316</v>
      </c>
      <c r="BA5365" s="3" t="s">
        <v>52316</v>
      </c>
      <c r="BB5365" s="3" t="s">
        <v>52317</v>
      </c>
      <c r="BC5365" s="3" t="s">
        <v>77</v>
      </c>
      <c r="BD5365" s="3" t="s">
        <v>78</v>
      </c>
      <c r="BE5365" s="3" t="s">
        <v>52318</v>
      </c>
      <c r="BF5365" s="3" t="s">
        <v>52317</v>
      </c>
      <c r="BG5365" s="3" t="s">
        <v>52319</v>
      </c>
      <c r="BH5365">
        <f t="shared" si="165"/>
        <v>0</v>
      </c>
    </row>
    <row r="5366" spans="1:60" ht="58" x14ac:dyDescent="0.35">
      <c r="A5366" s="2" t="s">
        <v>59</v>
      </c>
      <c r="B5366" s="2" t="s">
        <v>60</v>
      </c>
      <c r="C5366" s="2" t="s">
        <v>52320</v>
      </c>
      <c r="D5366" s="2" t="s">
        <v>52321</v>
      </c>
      <c r="E5366" s="2" t="s">
        <v>52322</v>
      </c>
      <c r="G5366" s="3" t="s">
        <v>64</v>
      </c>
      <c r="I5366" s="3" t="s">
        <v>64</v>
      </c>
      <c r="J5366" s="3" t="s">
        <v>64</v>
      </c>
      <c r="K5366" s="3" t="s">
        <v>65</v>
      </c>
      <c r="L5366" s="2" t="s">
        <v>3525</v>
      </c>
      <c r="M5366" s="2" t="s">
        <v>52323</v>
      </c>
      <c r="N5366" s="3" t="s">
        <v>364</v>
      </c>
      <c r="P5366" s="3" t="s">
        <v>102</v>
      </c>
      <c r="R5366" s="3" t="s">
        <v>70</v>
      </c>
      <c r="S5366" s="4">
        <v>6</v>
      </c>
      <c r="T5366" s="4">
        <v>6</v>
      </c>
      <c r="U5366" s="5" t="s">
        <v>6126</v>
      </c>
      <c r="V5366" s="5" t="s">
        <v>6126</v>
      </c>
      <c r="W5366" s="5" t="s">
        <v>72</v>
      </c>
      <c r="X5366" s="5" t="s">
        <v>72</v>
      </c>
      <c r="Y5366" s="4">
        <v>2</v>
      </c>
      <c r="Z5366" s="4">
        <v>1</v>
      </c>
      <c r="AA5366" s="4">
        <v>33</v>
      </c>
      <c r="AB5366" s="4">
        <v>1</v>
      </c>
      <c r="AC5366" s="4">
        <v>2</v>
      </c>
      <c r="AD5366" s="4">
        <v>0</v>
      </c>
      <c r="AE5366" s="4">
        <v>116</v>
      </c>
      <c r="AF5366" s="4">
        <v>0</v>
      </c>
      <c r="AG5366" s="4">
        <v>0</v>
      </c>
      <c r="AH5366" s="4">
        <v>0</v>
      </c>
      <c r="AI5366" s="4">
        <v>101</v>
      </c>
      <c r="AJ5366" s="4">
        <v>0</v>
      </c>
      <c r="AK5366" s="4">
        <v>19</v>
      </c>
      <c r="AL5366" s="4">
        <v>0</v>
      </c>
      <c r="AM5366" s="4">
        <v>53</v>
      </c>
      <c r="AN5366" s="4">
        <v>0</v>
      </c>
      <c r="AO5366" s="4">
        <v>0</v>
      </c>
      <c r="AP5366" s="4">
        <v>0</v>
      </c>
      <c r="AQ5366" s="4">
        <v>23</v>
      </c>
      <c r="AR5366" s="3" t="s">
        <v>64</v>
      </c>
      <c r="AS5366" s="3" t="s">
        <v>64</v>
      </c>
      <c r="AT5366" s="3" t="s">
        <v>128</v>
      </c>
      <c r="AU5366" s="6" t="str">
        <f>HYPERLINK("http://catalog.hathitrust.org/Record/001161420","HathiTrust Record")</f>
        <v>HathiTrust Record</v>
      </c>
      <c r="AV5366" s="6" t="str">
        <f>HYPERLINK("http://mcgill.on.worldcat.org/oclc/427326372","Catalog Record")</f>
        <v>Catalog Record</v>
      </c>
      <c r="AW5366" s="6" t="str">
        <f>HYPERLINK("http://www.worldcat.org/oclc/427326372","WorldCat Record")</f>
        <v>WorldCat Record</v>
      </c>
      <c r="AX5366" s="3" t="s">
        <v>52324</v>
      </c>
      <c r="AY5366" s="3" t="s">
        <v>52325</v>
      </c>
      <c r="AZ5366" s="3" t="s">
        <v>52326</v>
      </c>
      <c r="BA5366" s="3" t="s">
        <v>52326</v>
      </c>
      <c r="BB5366" s="3" t="s">
        <v>52327</v>
      </c>
      <c r="BC5366" s="3" t="s">
        <v>77</v>
      </c>
      <c r="BD5366" s="3" t="s">
        <v>165</v>
      </c>
      <c r="BE5366" s="3" t="s">
        <v>52328</v>
      </c>
      <c r="BF5366" s="3" t="s">
        <v>52327</v>
      </c>
      <c r="BG5366" s="3" t="s">
        <v>52329</v>
      </c>
      <c r="BH5366">
        <f t="shared" si="165"/>
        <v>0</v>
      </c>
    </row>
    <row r="5367" spans="1:60" ht="72.5" x14ac:dyDescent="0.35">
      <c r="A5367" s="2" t="s">
        <v>59</v>
      </c>
      <c r="B5367" s="2" t="s">
        <v>1025</v>
      </c>
      <c r="C5367" s="2" t="s">
        <v>52330</v>
      </c>
      <c r="D5367" s="2" t="s">
        <v>52331</v>
      </c>
      <c r="E5367" s="2" t="s">
        <v>52332</v>
      </c>
      <c r="G5367" s="3" t="s">
        <v>64</v>
      </c>
      <c r="I5367" s="3" t="s">
        <v>128</v>
      </c>
      <c r="J5367" s="3" t="s">
        <v>64</v>
      </c>
      <c r="K5367" s="3" t="s">
        <v>65</v>
      </c>
      <c r="L5367" s="2" t="s">
        <v>5814</v>
      </c>
      <c r="M5367" s="2" t="s">
        <v>52333</v>
      </c>
      <c r="N5367" s="3" t="s">
        <v>3721</v>
      </c>
      <c r="P5367" s="3" t="s">
        <v>102</v>
      </c>
      <c r="R5367" s="3" t="s">
        <v>70</v>
      </c>
      <c r="S5367" s="4">
        <v>6</v>
      </c>
      <c r="T5367" s="4">
        <v>7</v>
      </c>
      <c r="U5367" s="5" t="s">
        <v>7827</v>
      </c>
      <c r="V5367" s="5" t="s">
        <v>7827</v>
      </c>
      <c r="W5367" s="5" t="s">
        <v>72</v>
      </c>
      <c r="X5367" s="5" t="s">
        <v>72</v>
      </c>
      <c r="Y5367" s="4">
        <v>473</v>
      </c>
      <c r="Z5367" s="4">
        <v>28</v>
      </c>
      <c r="AA5367" s="4">
        <v>30</v>
      </c>
      <c r="AB5367" s="4">
        <v>3</v>
      </c>
      <c r="AC5367" s="4">
        <v>5</v>
      </c>
      <c r="AD5367" s="4">
        <v>107</v>
      </c>
      <c r="AE5367" s="4">
        <v>108</v>
      </c>
      <c r="AF5367" s="4">
        <v>1</v>
      </c>
      <c r="AG5367" s="4">
        <v>2</v>
      </c>
      <c r="AH5367" s="4">
        <v>96</v>
      </c>
      <c r="AI5367" s="4">
        <v>96</v>
      </c>
      <c r="AJ5367" s="4">
        <v>13</v>
      </c>
      <c r="AK5367" s="4">
        <v>14</v>
      </c>
      <c r="AL5367" s="4">
        <v>53</v>
      </c>
      <c r="AM5367" s="4">
        <v>53</v>
      </c>
      <c r="AN5367" s="4">
        <v>0</v>
      </c>
      <c r="AO5367" s="4">
        <v>0</v>
      </c>
      <c r="AP5367" s="4">
        <v>15</v>
      </c>
      <c r="AQ5367" s="4">
        <v>15</v>
      </c>
      <c r="AR5367" s="3" t="s">
        <v>64</v>
      </c>
      <c r="AS5367" s="3" t="s">
        <v>64</v>
      </c>
      <c r="AT5367" s="3" t="s">
        <v>128</v>
      </c>
      <c r="AU5367" s="6" t="str">
        <f>HYPERLINK("http://catalog.hathitrust.org/Record/000209617","HathiTrust Record")</f>
        <v>HathiTrust Record</v>
      </c>
      <c r="AV5367" s="6" t="str">
        <f>HYPERLINK("http://mcgill.on.worldcat.org/oclc/5721881","Catalog Record")</f>
        <v>Catalog Record</v>
      </c>
      <c r="AW5367" s="6" t="str">
        <f>HYPERLINK("http://www.worldcat.org/oclc/5721881","WorldCat Record")</f>
        <v>WorldCat Record</v>
      </c>
      <c r="AX5367" s="3" t="s">
        <v>52334</v>
      </c>
      <c r="AY5367" s="3" t="s">
        <v>52335</v>
      </c>
      <c r="AZ5367" s="3" t="s">
        <v>52336</v>
      </c>
      <c r="BA5367" s="3" t="s">
        <v>52336</v>
      </c>
      <c r="BB5367" s="3" t="s">
        <v>52337</v>
      </c>
      <c r="BC5367" s="3" t="s">
        <v>77</v>
      </c>
      <c r="BD5367" s="3" t="s">
        <v>78</v>
      </c>
      <c r="BE5367" s="3" t="s">
        <v>52338</v>
      </c>
      <c r="BF5367" s="3" t="s">
        <v>52337</v>
      </c>
      <c r="BG5367" s="3" t="s">
        <v>52339</v>
      </c>
      <c r="BH5367">
        <f t="shared" si="165"/>
        <v>0</v>
      </c>
    </row>
    <row r="5368" spans="1:60" ht="58" x14ac:dyDescent="0.35">
      <c r="A5368" s="2" t="s">
        <v>59</v>
      </c>
      <c r="B5368" s="2" t="s">
        <v>60</v>
      </c>
      <c r="C5368" s="2" t="s">
        <v>52340</v>
      </c>
      <c r="D5368" s="2" t="s">
        <v>52341</v>
      </c>
      <c r="E5368" s="2" t="s">
        <v>52342</v>
      </c>
      <c r="G5368" s="3" t="s">
        <v>64</v>
      </c>
      <c r="I5368" s="3" t="s">
        <v>128</v>
      </c>
      <c r="J5368" s="3" t="s">
        <v>64</v>
      </c>
      <c r="K5368" s="3" t="s">
        <v>65</v>
      </c>
      <c r="M5368" s="2" t="s">
        <v>52343</v>
      </c>
      <c r="N5368" s="3" t="s">
        <v>116</v>
      </c>
      <c r="P5368" s="3" t="s">
        <v>102</v>
      </c>
      <c r="R5368" s="3" t="s">
        <v>70</v>
      </c>
      <c r="S5368" s="4">
        <v>1</v>
      </c>
      <c r="T5368" s="4">
        <v>1</v>
      </c>
      <c r="U5368" s="5" t="s">
        <v>4502</v>
      </c>
      <c r="V5368" s="5" t="s">
        <v>4502</v>
      </c>
      <c r="W5368" s="5" t="s">
        <v>72</v>
      </c>
      <c r="X5368" s="5" t="s">
        <v>72</v>
      </c>
      <c r="Y5368" s="4">
        <v>105</v>
      </c>
      <c r="Z5368" s="4">
        <v>12</v>
      </c>
      <c r="AA5368" s="4">
        <v>13</v>
      </c>
      <c r="AB5368" s="4">
        <v>3</v>
      </c>
      <c r="AC5368" s="4">
        <v>3</v>
      </c>
      <c r="AD5368" s="4">
        <v>42</v>
      </c>
      <c r="AE5368" s="4">
        <v>44</v>
      </c>
      <c r="AF5368" s="4">
        <v>0</v>
      </c>
      <c r="AG5368" s="4">
        <v>0</v>
      </c>
      <c r="AH5368" s="4">
        <v>40</v>
      </c>
      <c r="AI5368" s="4">
        <v>41</v>
      </c>
      <c r="AJ5368" s="4">
        <v>6</v>
      </c>
      <c r="AK5368" s="4">
        <v>7</v>
      </c>
      <c r="AL5368" s="4">
        <v>30</v>
      </c>
      <c r="AM5368" s="4">
        <v>30</v>
      </c>
      <c r="AN5368" s="4">
        <v>0</v>
      </c>
      <c r="AO5368" s="4">
        <v>0</v>
      </c>
      <c r="AP5368" s="4">
        <v>5</v>
      </c>
      <c r="AQ5368" s="4">
        <v>6</v>
      </c>
      <c r="AR5368" s="3" t="s">
        <v>64</v>
      </c>
      <c r="AS5368" s="3" t="s">
        <v>64</v>
      </c>
      <c r="AT5368" s="3" t="s">
        <v>128</v>
      </c>
      <c r="AU5368" s="6" t="str">
        <f>HYPERLINK("http://catalog.hathitrust.org/Record/004209198","HathiTrust Record")</f>
        <v>HathiTrust Record</v>
      </c>
      <c r="AV5368" s="6" t="str">
        <f>HYPERLINK("http://mcgill.on.worldcat.org/oclc/47144680","Catalog Record")</f>
        <v>Catalog Record</v>
      </c>
      <c r="AW5368" s="6" t="str">
        <f>HYPERLINK("http://www.worldcat.org/oclc/47144680","WorldCat Record")</f>
        <v>WorldCat Record</v>
      </c>
      <c r="AX5368" s="3" t="s">
        <v>52344</v>
      </c>
      <c r="AY5368" s="3" t="s">
        <v>52345</v>
      </c>
      <c r="AZ5368" s="3" t="s">
        <v>52346</v>
      </c>
      <c r="BA5368" s="3" t="s">
        <v>52346</v>
      </c>
      <c r="BB5368" s="3" t="s">
        <v>52347</v>
      </c>
      <c r="BC5368" s="3" t="s">
        <v>77</v>
      </c>
      <c r="BD5368" s="3" t="s">
        <v>78</v>
      </c>
      <c r="BE5368" s="3" t="s">
        <v>52348</v>
      </c>
      <c r="BF5368" s="3" t="s">
        <v>52347</v>
      </c>
      <c r="BG5368" s="3" t="s">
        <v>52349</v>
      </c>
      <c r="BH5368">
        <f t="shared" si="165"/>
        <v>0</v>
      </c>
    </row>
    <row r="5369" spans="1:60" ht="72.5" x14ac:dyDescent="0.35">
      <c r="A5369" s="2" t="s">
        <v>59</v>
      </c>
      <c r="B5369" s="2" t="s">
        <v>1025</v>
      </c>
      <c r="C5369" s="2" t="s">
        <v>52350</v>
      </c>
      <c r="D5369" s="2" t="s">
        <v>52351</v>
      </c>
      <c r="E5369" s="2" t="s">
        <v>52352</v>
      </c>
      <c r="G5369" s="3" t="s">
        <v>64</v>
      </c>
      <c r="I5369" s="3" t="s">
        <v>64</v>
      </c>
      <c r="J5369" s="3" t="s">
        <v>64</v>
      </c>
      <c r="K5369" s="3" t="s">
        <v>65</v>
      </c>
      <c r="M5369" s="2" t="s">
        <v>52353</v>
      </c>
      <c r="N5369" s="3" t="s">
        <v>421</v>
      </c>
      <c r="P5369" s="3" t="s">
        <v>102</v>
      </c>
      <c r="R5369" s="3" t="s">
        <v>70</v>
      </c>
      <c r="S5369" s="4">
        <v>39</v>
      </c>
      <c r="T5369" s="4">
        <v>39</v>
      </c>
      <c r="U5369" s="5" t="s">
        <v>18333</v>
      </c>
      <c r="V5369" s="5" t="s">
        <v>18333</v>
      </c>
      <c r="W5369" s="5" t="s">
        <v>72</v>
      </c>
      <c r="X5369" s="5" t="s">
        <v>72</v>
      </c>
      <c r="Y5369" s="4">
        <v>318</v>
      </c>
      <c r="Z5369" s="4">
        <v>14</v>
      </c>
      <c r="AA5369" s="4">
        <v>19</v>
      </c>
      <c r="AB5369" s="4">
        <v>2</v>
      </c>
      <c r="AC5369" s="4">
        <v>6</v>
      </c>
      <c r="AD5369" s="4">
        <v>63</v>
      </c>
      <c r="AE5369" s="4">
        <v>66</v>
      </c>
      <c r="AF5369" s="4">
        <v>0</v>
      </c>
      <c r="AG5369" s="4">
        <v>3</v>
      </c>
      <c r="AH5369" s="4">
        <v>59</v>
      </c>
      <c r="AI5369" s="4">
        <v>60</v>
      </c>
      <c r="AJ5369" s="4">
        <v>5</v>
      </c>
      <c r="AK5369" s="4">
        <v>8</v>
      </c>
      <c r="AL5369" s="4">
        <v>34</v>
      </c>
      <c r="AM5369" s="4">
        <v>34</v>
      </c>
      <c r="AN5369" s="4">
        <v>0</v>
      </c>
      <c r="AO5369" s="4">
        <v>0</v>
      </c>
      <c r="AP5369" s="4">
        <v>5</v>
      </c>
      <c r="AQ5369" s="4">
        <v>7</v>
      </c>
      <c r="AR5369" s="3" t="s">
        <v>64</v>
      </c>
      <c r="AS5369" s="3" t="s">
        <v>64</v>
      </c>
      <c r="AT5369" s="3" t="s">
        <v>128</v>
      </c>
      <c r="AU5369" s="6" t="str">
        <f>HYPERLINK("http://catalog.hathitrust.org/Record/003168930","HathiTrust Record")</f>
        <v>HathiTrust Record</v>
      </c>
      <c r="AV5369" s="6" t="str">
        <f>HYPERLINK("http://mcgill.on.worldcat.org/oclc/36966421","Catalog Record")</f>
        <v>Catalog Record</v>
      </c>
      <c r="AW5369" s="6" t="str">
        <f>HYPERLINK("http://www.worldcat.org/oclc/36966421","WorldCat Record")</f>
        <v>WorldCat Record</v>
      </c>
      <c r="AX5369" s="3" t="s">
        <v>52354</v>
      </c>
      <c r="AY5369" s="3" t="s">
        <v>52355</v>
      </c>
      <c r="AZ5369" s="3" t="s">
        <v>52356</v>
      </c>
      <c r="BA5369" s="3" t="s">
        <v>52356</v>
      </c>
      <c r="BB5369" s="3" t="s">
        <v>52357</v>
      </c>
      <c r="BC5369" s="3" t="s">
        <v>77</v>
      </c>
      <c r="BD5369" s="3" t="s">
        <v>78</v>
      </c>
      <c r="BE5369" s="3" t="s">
        <v>52358</v>
      </c>
      <c r="BF5369" s="3" t="s">
        <v>52357</v>
      </c>
      <c r="BG5369" s="3" t="s">
        <v>52359</v>
      </c>
      <c r="BH5369">
        <f t="shared" si="165"/>
        <v>0</v>
      </c>
    </row>
    <row r="5370" spans="1:60" ht="72.5" x14ac:dyDescent="0.35">
      <c r="A5370" s="2" t="s">
        <v>59</v>
      </c>
      <c r="B5370" s="2" t="s">
        <v>1025</v>
      </c>
      <c r="C5370" s="2" t="s">
        <v>52360</v>
      </c>
      <c r="D5370" s="2" t="s">
        <v>52361</v>
      </c>
      <c r="E5370" s="2" t="s">
        <v>52362</v>
      </c>
      <c r="G5370" s="3" t="s">
        <v>64</v>
      </c>
      <c r="I5370" s="3" t="s">
        <v>128</v>
      </c>
      <c r="J5370" s="3" t="s">
        <v>128</v>
      </c>
      <c r="K5370" s="3" t="s">
        <v>65</v>
      </c>
      <c r="L5370" s="2" t="s">
        <v>52363</v>
      </c>
      <c r="M5370" s="2" t="s">
        <v>52364</v>
      </c>
      <c r="N5370" s="3" t="s">
        <v>364</v>
      </c>
      <c r="P5370" s="3" t="s">
        <v>102</v>
      </c>
      <c r="R5370" s="3" t="s">
        <v>70</v>
      </c>
      <c r="S5370" s="4">
        <v>16</v>
      </c>
      <c r="T5370" s="4">
        <v>18</v>
      </c>
      <c r="U5370" s="5" t="s">
        <v>18333</v>
      </c>
      <c r="V5370" s="5" t="s">
        <v>18333</v>
      </c>
      <c r="W5370" s="5" t="s">
        <v>72</v>
      </c>
      <c r="X5370" s="5" t="s">
        <v>72</v>
      </c>
      <c r="Y5370" s="4">
        <v>253</v>
      </c>
      <c r="Z5370" s="4">
        <v>10</v>
      </c>
      <c r="AA5370" s="4">
        <v>54</v>
      </c>
      <c r="AB5370" s="4">
        <v>2</v>
      </c>
      <c r="AC5370" s="4">
        <v>9</v>
      </c>
      <c r="AD5370" s="4">
        <v>47</v>
      </c>
      <c r="AE5370" s="4">
        <v>134</v>
      </c>
      <c r="AF5370" s="4">
        <v>0</v>
      </c>
      <c r="AG5370" s="4">
        <v>4</v>
      </c>
      <c r="AH5370" s="4">
        <v>42</v>
      </c>
      <c r="AI5370" s="4">
        <v>110</v>
      </c>
      <c r="AJ5370" s="4">
        <v>5</v>
      </c>
      <c r="AK5370" s="4">
        <v>23</v>
      </c>
      <c r="AL5370" s="4">
        <v>25</v>
      </c>
      <c r="AM5370" s="4">
        <v>56</v>
      </c>
      <c r="AN5370" s="4">
        <v>0</v>
      </c>
      <c r="AO5370" s="4">
        <v>0</v>
      </c>
      <c r="AP5370" s="4">
        <v>5</v>
      </c>
      <c r="AQ5370" s="4">
        <v>29</v>
      </c>
      <c r="AR5370" s="3" t="s">
        <v>64</v>
      </c>
      <c r="AS5370" s="3" t="s">
        <v>64</v>
      </c>
      <c r="AT5370" s="3" t="s">
        <v>128</v>
      </c>
      <c r="AU5370" s="6" t="str">
        <f>HYPERLINK("http://catalog.hathitrust.org/Record/007476738","HathiTrust Record")</f>
        <v>HathiTrust Record</v>
      </c>
      <c r="AV5370" s="6" t="str">
        <f>HYPERLINK("http://mcgill.on.worldcat.org/oclc/827538","Catalog Record")</f>
        <v>Catalog Record</v>
      </c>
      <c r="AW5370" s="6" t="str">
        <f>HYPERLINK("http://www.worldcat.org/oclc/827538","WorldCat Record")</f>
        <v>WorldCat Record</v>
      </c>
      <c r="AX5370" s="3" t="s">
        <v>52365</v>
      </c>
      <c r="AY5370" s="3" t="s">
        <v>52366</v>
      </c>
      <c r="AZ5370" s="3" t="s">
        <v>52367</v>
      </c>
      <c r="BA5370" s="3" t="s">
        <v>52367</v>
      </c>
      <c r="BB5370" s="3" t="s">
        <v>52368</v>
      </c>
      <c r="BC5370" s="3" t="s">
        <v>77</v>
      </c>
      <c r="BD5370" s="3" t="s">
        <v>78</v>
      </c>
      <c r="BE5370" s="3" t="s">
        <v>52369</v>
      </c>
      <c r="BF5370" s="3" t="s">
        <v>52368</v>
      </c>
      <c r="BG5370" s="3" t="s">
        <v>52370</v>
      </c>
      <c r="BH5370">
        <f t="shared" si="165"/>
        <v>0</v>
      </c>
    </row>
    <row r="5371" spans="1:60" ht="58" x14ac:dyDescent="0.35">
      <c r="A5371" s="2" t="s">
        <v>59</v>
      </c>
      <c r="B5371" s="2" t="s">
        <v>60</v>
      </c>
      <c r="C5371" s="2" t="s">
        <v>52360</v>
      </c>
      <c r="D5371" s="2" t="s">
        <v>52361</v>
      </c>
      <c r="E5371" s="2" t="s">
        <v>52362</v>
      </c>
      <c r="G5371" s="3" t="s">
        <v>64</v>
      </c>
      <c r="I5371" s="3" t="s">
        <v>128</v>
      </c>
      <c r="J5371" s="3" t="s">
        <v>128</v>
      </c>
      <c r="K5371" s="3" t="s">
        <v>65</v>
      </c>
      <c r="L5371" s="2" t="s">
        <v>52363</v>
      </c>
      <c r="M5371" s="2" t="s">
        <v>52364</v>
      </c>
      <c r="N5371" s="3" t="s">
        <v>364</v>
      </c>
      <c r="P5371" s="3" t="s">
        <v>102</v>
      </c>
      <c r="R5371" s="3" t="s">
        <v>70</v>
      </c>
      <c r="S5371" s="4">
        <v>2</v>
      </c>
      <c r="T5371" s="4">
        <v>18</v>
      </c>
      <c r="U5371" s="5" t="s">
        <v>52371</v>
      </c>
      <c r="V5371" s="5" t="s">
        <v>18333</v>
      </c>
      <c r="W5371" s="5" t="s">
        <v>72</v>
      </c>
      <c r="X5371" s="5" t="s">
        <v>72</v>
      </c>
      <c r="Y5371" s="4">
        <v>253</v>
      </c>
      <c r="Z5371" s="4">
        <v>10</v>
      </c>
      <c r="AA5371" s="4">
        <v>54</v>
      </c>
      <c r="AB5371" s="4">
        <v>2</v>
      </c>
      <c r="AC5371" s="4">
        <v>9</v>
      </c>
      <c r="AD5371" s="4">
        <v>47</v>
      </c>
      <c r="AE5371" s="4">
        <v>134</v>
      </c>
      <c r="AF5371" s="4">
        <v>0</v>
      </c>
      <c r="AG5371" s="4">
        <v>4</v>
      </c>
      <c r="AH5371" s="4">
        <v>42</v>
      </c>
      <c r="AI5371" s="4">
        <v>110</v>
      </c>
      <c r="AJ5371" s="4">
        <v>5</v>
      </c>
      <c r="AK5371" s="4">
        <v>23</v>
      </c>
      <c r="AL5371" s="4">
        <v>25</v>
      </c>
      <c r="AM5371" s="4">
        <v>56</v>
      </c>
      <c r="AN5371" s="4">
        <v>0</v>
      </c>
      <c r="AO5371" s="4">
        <v>0</v>
      </c>
      <c r="AP5371" s="4">
        <v>5</v>
      </c>
      <c r="AQ5371" s="4">
        <v>29</v>
      </c>
      <c r="AR5371" s="3" t="s">
        <v>64</v>
      </c>
      <c r="AS5371" s="3" t="s">
        <v>64</v>
      </c>
      <c r="AT5371" s="3" t="s">
        <v>128</v>
      </c>
      <c r="AU5371" s="6" t="str">
        <f>HYPERLINK("http://catalog.hathitrust.org/Record/007476738","HathiTrust Record")</f>
        <v>HathiTrust Record</v>
      </c>
      <c r="AV5371" s="6" t="str">
        <f>HYPERLINK("http://mcgill.on.worldcat.org/oclc/827538","Catalog Record")</f>
        <v>Catalog Record</v>
      </c>
      <c r="AW5371" s="6" t="str">
        <f>HYPERLINK("http://www.worldcat.org/oclc/827538","WorldCat Record")</f>
        <v>WorldCat Record</v>
      </c>
      <c r="AX5371" s="3" t="s">
        <v>52365</v>
      </c>
      <c r="AY5371" s="3" t="s">
        <v>52366</v>
      </c>
      <c r="AZ5371" s="3" t="s">
        <v>52367</v>
      </c>
      <c r="BA5371" s="3" t="s">
        <v>52367</v>
      </c>
      <c r="BB5371" s="3" t="s">
        <v>52372</v>
      </c>
      <c r="BC5371" s="3" t="s">
        <v>77</v>
      </c>
      <c r="BD5371" s="3" t="s">
        <v>78</v>
      </c>
      <c r="BE5371" s="3" t="s">
        <v>52369</v>
      </c>
      <c r="BF5371" s="3" t="s">
        <v>52372</v>
      </c>
      <c r="BG5371" s="3" t="s">
        <v>52373</v>
      </c>
      <c r="BH5371">
        <f t="shared" si="165"/>
        <v>0</v>
      </c>
    </row>
    <row r="5372" spans="1:60" ht="101.5" x14ac:dyDescent="0.35">
      <c r="A5372" s="2" t="s">
        <v>59</v>
      </c>
      <c r="B5372" s="2" t="s">
        <v>60</v>
      </c>
      <c r="C5372" s="2" t="s">
        <v>52374</v>
      </c>
      <c r="D5372" s="2" t="s">
        <v>52375</v>
      </c>
      <c r="E5372" s="2" t="s">
        <v>52376</v>
      </c>
      <c r="G5372" s="3" t="s">
        <v>64</v>
      </c>
      <c r="I5372" s="3" t="s">
        <v>64</v>
      </c>
      <c r="J5372" s="3" t="s">
        <v>64</v>
      </c>
      <c r="K5372" s="3" t="s">
        <v>65</v>
      </c>
      <c r="M5372" s="2" t="s">
        <v>52377</v>
      </c>
      <c r="N5372" s="3" t="s">
        <v>101</v>
      </c>
      <c r="P5372" s="3" t="s">
        <v>102</v>
      </c>
      <c r="R5372" s="3" t="s">
        <v>70</v>
      </c>
      <c r="S5372" s="4">
        <v>6</v>
      </c>
      <c r="T5372" s="4">
        <v>6</v>
      </c>
      <c r="U5372" s="5" t="s">
        <v>380</v>
      </c>
      <c r="V5372" s="5" t="s">
        <v>380</v>
      </c>
      <c r="W5372" s="5" t="s">
        <v>72</v>
      </c>
      <c r="X5372" s="5" t="s">
        <v>72</v>
      </c>
      <c r="Y5372" s="4">
        <v>183</v>
      </c>
      <c r="Z5372" s="4">
        <v>9</v>
      </c>
      <c r="AA5372" s="4">
        <v>9</v>
      </c>
      <c r="AB5372" s="4">
        <v>2</v>
      </c>
      <c r="AC5372" s="4">
        <v>2</v>
      </c>
      <c r="AD5372" s="4">
        <v>69</v>
      </c>
      <c r="AE5372" s="4">
        <v>69</v>
      </c>
      <c r="AF5372" s="4">
        <v>0</v>
      </c>
      <c r="AG5372" s="4">
        <v>0</v>
      </c>
      <c r="AH5372" s="4">
        <v>65</v>
      </c>
      <c r="AI5372" s="4">
        <v>65</v>
      </c>
      <c r="AJ5372" s="4">
        <v>5</v>
      </c>
      <c r="AK5372" s="4">
        <v>5</v>
      </c>
      <c r="AL5372" s="4">
        <v>34</v>
      </c>
      <c r="AM5372" s="4">
        <v>34</v>
      </c>
      <c r="AN5372" s="4">
        <v>0</v>
      </c>
      <c r="AO5372" s="4">
        <v>0</v>
      </c>
      <c r="AP5372" s="4">
        <v>5</v>
      </c>
      <c r="AQ5372" s="4">
        <v>5</v>
      </c>
      <c r="AR5372" s="3" t="s">
        <v>64</v>
      </c>
      <c r="AS5372" s="3" t="s">
        <v>64</v>
      </c>
      <c r="AT5372" s="3" t="s">
        <v>64</v>
      </c>
      <c r="AV5372" s="6" t="str">
        <f>HYPERLINK("http://mcgill.on.worldcat.org/oclc/52858317","Catalog Record")</f>
        <v>Catalog Record</v>
      </c>
      <c r="AW5372" s="6" t="str">
        <f>HYPERLINK("http://www.worldcat.org/oclc/52858317","WorldCat Record")</f>
        <v>WorldCat Record</v>
      </c>
      <c r="AX5372" s="3" t="s">
        <v>52378</v>
      </c>
      <c r="AY5372" s="3" t="s">
        <v>52379</v>
      </c>
      <c r="AZ5372" s="3" t="s">
        <v>52380</v>
      </c>
      <c r="BA5372" s="3" t="s">
        <v>52380</v>
      </c>
      <c r="BB5372" s="3" t="s">
        <v>52381</v>
      </c>
      <c r="BC5372" s="3" t="s">
        <v>77</v>
      </c>
      <c r="BD5372" s="3" t="s">
        <v>78</v>
      </c>
      <c r="BE5372" s="3" t="s">
        <v>52382</v>
      </c>
      <c r="BF5372" s="3" t="s">
        <v>52381</v>
      </c>
      <c r="BG5372" s="3" t="s">
        <v>52383</v>
      </c>
      <c r="BH5372">
        <f t="shared" si="165"/>
        <v>0</v>
      </c>
    </row>
    <row r="5373" spans="1:60" ht="58" x14ac:dyDescent="0.35">
      <c r="A5373" s="2" t="s">
        <v>59</v>
      </c>
      <c r="B5373" s="2" t="s">
        <v>60</v>
      </c>
      <c r="C5373" s="2" t="s">
        <v>52384</v>
      </c>
      <c r="D5373" s="2" t="s">
        <v>52385</v>
      </c>
      <c r="E5373" s="2" t="s">
        <v>52386</v>
      </c>
      <c r="G5373" s="3" t="s">
        <v>64</v>
      </c>
      <c r="I5373" s="3" t="s">
        <v>64</v>
      </c>
      <c r="J5373" s="3" t="s">
        <v>64</v>
      </c>
      <c r="K5373" s="3" t="s">
        <v>65</v>
      </c>
      <c r="L5373" s="2" t="s">
        <v>52387</v>
      </c>
      <c r="M5373" s="2" t="s">
        <v>52388</v>
      </c>
      <c r="N5373" s="3" t="s">
        <v>326</v>
      </c>
      <c r="P5373" s="3" t="s">
        <v>102</v>
      </c>
      <c r="R5373" s="3" t="s">
        <v>70</v>
      </c>
      <c r="S5373" s="4">
        <v>0</v>
      </c>
      <c r="T5373" s="4">
        <v>0</v>
      </c>
      <c r="W5373" s="5" t="s">
        <v>72</v>
      </c>
      <c r="X5373" s="5" t="s">
        <v>72</v>
      </c>
      <c r="Y5373" s="4">
        <v>38</v>
      </c>
      <c r="Z5373" s="4">
        <v>30</v>
      </c>
      <c r="AA5373" s="4">
        <v>30</v>
      </c>
      <c r="AB5373" s="4">
        <v>2</v>
      </c>
      <c r="AC5373" s="4">
        <v>2</v>
      </c>
      <c r="AD5373" s="4">
        <v>19</v>
      </c>
      <c r="AE5373" s="4">
        <v>19</v>
      </c>
      <c r="AF5373" s="4">
        <v>0</v>
      </c>
      <c r="AG5373" s="4">
        <v>0</v>
      </c>
      <c r="AH5373" s="4">
        <v>12</v>
      </c>
      <c r="AI5373" s="4">
        <v>12</v>
      </c>
      <c r="AJ5373" s="4">
        <v>11</v>
      </c>
      <c r="AK5373" s="4">
        <v>11</v>
      </c>
      <c r="AL5373" s="4">
        <v>4</v>
      </c>
      <c r="AM5373" s="4">
        <v>4</v>
      </c>
      <c r="AN5373" s="4">
        <v>0</v>
      </c>
      <c r="AO5373" s="4">
        <v>0</v>
      </c>
      <c r="AP5373" s="4">
        <v>13</v>
      </c>
      <c r="AQ5373" s="4">
        <v>13</v>
      </c>
      <c r="AR5373" s="3" t="s">
        <v>128</v>
      </c>
      <c r="AS5373" s="3" t="s">
        <v>64</v>
      </c>
      <c r="AT5373" s="3" t="s">
        <v>64</v>
      </c>
      <c r="AV5373" s="6" t="str">
        <f>HYPERLINK("http://mcgill.on.worldcat.org/oclc/705507862","Catalog Record")</f>
        <v>Catalog Record</v>
      </c>
      <c r="AW5373" s="6" t="str">
        <f>HYPERLINK("http://www.worldcat.org/oclc/705507862","WorldCat Record")</f>
        <v>WorldCat Record</v>
      </c>
      <c r="AX5373" s="3" t="s">
        <v>52389</v>
      </c>
      <c r="AY5373" s="3" t="s">
        <v>52390</v>
      </c>
      <c r="AZ5373" s="3" t="s">
        <v>52391</v>
      </c>
      <c r="BA5373" s="3" t="s">
        <v>52391</v>
      </c>
      <c r="BB5373" s="3" t="s">
        <v>52392</v>
      </c>
      <c r="BC5373" s="3" t="s">
        <v>77</v>
      </c>
      <c r="BD5373" s="3" t="s">
        <v>78</v>
      </c>
      <c r="BE5373" s="3" t="s">
        <v>52393</v>
      </c>
      <c r="BF5373" s="3" t="s">
        <v>52392</v>
      </c>
      <c r="BG5373" s="3" t="s">
        <v>52394</v>
      </c>
      <c r="BH5373">
        <f t="shared" si="165"/>
        <v>0</v>
      </c>
    </row>
    <row r="5374" spans="1:60" ht="72.5" x14ac:dyDescent="0.35">
      <c r="A5374" s="2" t="s">
        <v>59</v>
      </c>
      <c r="B5374" s="2" t="s">
        <v>1025</v>
      </c>
      <c r="C5374" s="2" t="s">
        <v>52395</v>
      </c>
      <c r="D5374" s="2" t="s">
        <v>52396</v>
      </c>
      <c r="E5374" s="2" t="s">
        <v>52397</v>
      </c>
      <c r="G5374" s="3" t="s">
        <v>64</v>
      </c>
      <c r="I5374" s="3" t="s">
        <v>64</v>
      </c>
      <c r="J5374" s="3" t="s">
        <v>64</v>
      </c>
      <c r="K5374" s="3" t="s">
        <v>65</v>
      </c>
      <c r="L5374" s="2" t="s">
        <v>52398</v>
      </c>
      <c r="M5374" s="2" t="s">
        <v>52399</v>
      </c>
      <c r="N5374" s="3" t="s">
        <v>1275</v>
      </c>
      <c r="P5374" s="3" t="s">
        <v>102</v>
      </c>
      <c r="R5374" s="3" t="s">
        <v>70</v>
      </c>
      <c r="S5374" s="4">
        <v>6</v>
      </c>
      <c r="T5374" s="4">
        <v>6</v>
      </c>
      <c r="U5374" s="5" t="s">
        <v>14431</v>
      </c>
      <c r="V5374" s="5" t="s">
        <v>14431</v>
      </c>
      <c r="W5374" s="5" t="s">
        <v>72</v>
      </c>
      <c r="X5374" s="5" t="s">
        <v>72</v>
      </c>
      <c r="Y5374" s="4">
        <v>168</v>
      </c>
      <c r="Z5374" s="4">
        <v>10</v>
      </c>
      <c r="AA5374" s="4">
        <v>21</v>
      </c>
      <c r="AB5374" s="4">
        <v>2</v>
      </c>
      <c r="AC5374" s="4">
        <v>7</v>
      </c>
      <c r="AD5374" s="4">
        <v>51</v>
      </c>
      <c r="AE5374" s="4">
        <v>57</v>
      </c>
      <c r="AF5374" s="4">
        <v>0</v>
      </c>
      <c r="AG5374" s="4">
        <v>2</v>
      </c>
      <c r="AH5374" s="4">
        <v>49</v>
      </c>
      <c r="AI5374" s="4">
        <v>53</v>
      </c>
      <c r="AJ5374" s="4">
        <v>4</v>
      </c>
      <c r="AK5374" s="4">
        <v>7</v>
      </c>
      <c r="AL5374" s="4">
        <v>33</v>
      </c>
      <c r="AM5374" s="4">
        <v>35</v>
      </c>
      <c r="AN5374" s="4">
        <v>0</v>
      </c>
      <c r="AO5374" s="4">
        <v>0</v>
      </c>
      <c r="AP5374" s="4">
        <v>4</v>
      </c>
      <c r="AQ5374" s="4">
        <v>7</v>
      </c>
      <c r="AR5374" s="3" t="s">
        <v>64</v>
      </c>
      <c r="AS5374" s="3" t="s">
        <v>64</v>
      </c>
      <c r="AT5374" s="3" t="s">
        <v>64</v>
      </c>
      <c r="AV5374" s="6" t="str">
        <f>HYPERLINK("http://mcgill.on.worldcat.org/oclc/51280996","Catalog Record")</f>
        <v>Catalog Record</v>
      </c>
      <c r="AW5374" s="6" t="str">
        <f>HYPERLINK("http://www.worldcat.org/oclc/51280996","WorldCat Record")</f>
        <v>WorldCat Record</v>
      </c>
      <c r="AX5374" s="3" t="s">
        <v>52400</v>
      </c>
      <c r="AY5374" s="3" t="s">
        <v>52401</v>
      </c>
      <c r="AZ5374" s="3" t="s">
        <v>52402</v>
      </c>
      <c r="BA5374" s="3" t="s">
        <v>52402</v>
      </c>
      <c r="BB5374" s="3" t="s">
        <v>52403</v>
      </c>
      <c r="BC5374" s="3" t="s">
        <v>77</v>
      </c>
      <c r="BD5374" s="3" t="s">
        <v>78</v>
      </c>
      <c r="BE5374" s="3" t="s">
        <v>52404</v>
      </c>
      <c r="BF5374" s="3" t="s">
        <v>52403</v>
      </c>
      <c r="BG5374" s="3" t="s">
        <v>52405</v>
      </c>
      <c r="BH5374">
        <f t="shared" si="165"/>
        <v>0</v>
      </c>
    </row>
    <row r="5375" spans="1:60" ht="58" x14ac:dyDescent="0.35">
      <c r="A5375" s="2" t="s">
        <v>59</v>
      </c>
      <c r="B5375" s="2" t="s">
        <v>60</v>
      </c>
      <c r="C5375" s="2" t="s">
        <v>52406</v>
      </c>
      <c r="D5375" s="2" t="s">
        <v>52407</v>
      </c>
      <c r="E5375" s="2" t="s">
        <v>52408</v>
      </c>
      <c r="G5375" s="3" t="s">
        <v>64</v>
      </c>
      <c r="I5375" s="3" t="s">
        <v>64</v>
      </c>
      <c r="J5375" s="3" t="s">
        <v>64</v>
      </c>
      <c r="K5375" s="3" t="s">
        <v>65</v>
      </c>
      <c r="M5375" s="2" t="s">
        <v>52409</v>
      </c>
      <c r="N5375" s="3" t="s">
        <v>326</v>
      </c>
      <c r="P5375" s="3" t="s">
        <v>102</v>
      </c>
      <c r="R5375" s="3" t="s">
        <v>70</v>
      </c>
      <c r="S5375" s="4">
        <v>0</v>
      </c>
      <c r="T5375" s="4">
        <v>0</v>
      </c>
      <c r="W5375" s="5" t="s">
        <v>72</v>
      </c>
      <c r="X5375" s="5" t="s">
        <v>72</v>
      </c>
      <c r="Y5375" s="4">
        <v>62</v>
      </c>
      <c r="Z5375" s="4">
        <v>9</v>
      </c>
      <c r="AA5375" s="4">
        <v>9</v>
      </c>
      <c r="AB5375" s="4">
        <v>1</v>
      </c>
      <c r="AC5375" s="4">
        <v>1</v>
      </c>
      <c r="AD5375" s="4">
        <v>26</v>
      </c>
      <c r="AE5375" s="4">
        <v>26</v>
      </c>
      <c r="AF5375" s="4">
        <v>0</v>
      </c>
      <c r="AG5375" s="4">
        <v>0</v>
      </c>
      <c r="AH5375" s="4">
        <v>25</v>
      </c>
      <c r="AI5375" s="4">
        <v>25</v>
      </c>
      <c r="AJ5375" s="4">
        <v>6</v>
      </c>
      <c r="AK5375" s="4">
        <v>6</v>
      </c>
      <c r="AL5375" s="4">
        <v>14</v>
      </c>
      <c r="AM5375" s="4">
        <v>14</v>
      </c>
      <c r="AN5375" s="4">
        <v>0</v>
      </c>
      <c r="AO5375" s="4">
        <v>0</v>
      </c>
      <c r="AP5375" s="4">
        <v>6</v>
      </c>
      <c r="AQ5375" s="4">
        <v>6</v>
      </c>
      <c r="AR5375" s="3" t="s">
        <v>64</v>
      </c>
      <c r="AS5375" s="3" t="s">
        <v>64</v>
      </c>
      <c r="AT5375" s="3" t="s">
        <v>64</v>
      </c>
      <c r="AV5375" s="6" t="str">
        <f>HYPERLINK("http://mcgill.on.worldcat.org/oclc/770943597","Catalog Record")</f>
        <v>Catalog Record</v>
      </c>
      <c r="AW5375" s="6" t="str">
        <f>HYPERLINK("http://www.worldcat.org/oclc/770943597","WorldCat Record")</f>
        <v>WorldCat Record</v>
      </c>
      <c r="AX5375" s="3" t="s">
        <v>52410</v>
      </c>
      <c r="AY5375" s="3" t="s">
        <v>52411</v>
      </c>
      <c r="AZ5375" s="3" t="s">
        <v>52412</v>
      </c>
      <c r="BA5375" s="3" t="s">
        <v>52412</v>
      </c>
      <c r="BB5375" s="3" t="s">
        <v>52413</v>
      </c>
      <c r="BC5375" s="3" t="s">
        <v>77</v>
      </c>
      <c r="BD5375" s="3" t="s">
        <v>78</v>
      </c>
      <c r="BE5375" s="3" t="s">
        <v>52414</v>
      </c>
      <c r="BF5375" s="3" t="s">
        <v>52413</v>
      </c>
      <c r="BG5375" s="3" t="s">
        <v>52415</v>
      </c>
      <c r="BH5375">
        <f t="shared" si="165"/>
        <v>0</v>
      </c>
    </row>
    <row r="5376" spans="1:60" ht="116" x14ac:dyDescent="0.35">
      <c r="A5376" s="2" t="s">
        <v>59</v>
      </c>
      <c r="B5376" s="2" t="s">
        <v>1183</v>
      </c>
      <c r="C5376" s="2" t="s">
        <v>52416</v>
      </c>
      <c r="D5376" s="2" t="s">
        <v>52417</v>
      </c>
      <c r="E5376" s="2" t="s">
        <v>52418</v>
      </c>
      <c r="G5376" s="3" t="s">
        <v>64</v>
      </c>
      <c r="I5376" s="3" t="s">
        <v>64</v>
      </c>
      <c r="J5376" s="3" t="s">
        <v>64</v>
      </c>
      <c r="K5376" s="3" t="s">
        <v>65</v>
      </c>
      <c r="M5376" s="2" t="s">
        <v>52419</v>
      </c>
      <c r="N5376" s="3" t="s">
        <v>511</v>
      </c>
      <c r="O5376" s="2" t="s">
        <v>1189</v>
      </c>
      <c r="P5376" s="3" t="s">
        <v>1190</v>
      </c>
      <c r="R5376" s="3" t="s">
        <v>70</v>
      </c>
      <c r="S5376" s="4">
        <v>0</v>
      </c>
      <c r="T5376" s="4">
        <v>0</v>
      </c>
      <c r="W5376" s="5" t="s">
        <v>72</v>
      </c>
      <c r="X5376" s="5" t="s">
        <v>72</v>
      </c>
      <c r="Y5376" s="4">
        <v>35</v>
      </c>
      <c r="Z5376" s="4">
        <v>4</v>
      </c>
      <c r="AA5376" s="4">
        <v>4</v>
      </c>
      <c r="AB5376" s="4">
        <v>1</v>
      </c>
      <c r="AC5376" s="4">
        <v>1</v>
      </c>
      <c r="AD5376" s="4">
        <v>21</v>
      </c>
      <c r="AE5376" s="4">
        <v>21</v>
      </c>
      <c r="AF5376" s="4">
        <v>0</v>
      </c>
      <c r="AG5376" s="4">
        <v>0</v>
      </c>
      <c r="AH5376" s="4">
        <v>19</v>
      </c>
      <c r="AI5376" s="4">
        <v>19</v>
      </c>
      <c r="AJ5376" s="4">
        <v>2</v>
      </c>
      <c r="AK5376" s="4">
        <v>2</v>
      </c>
      <c r="AL5376" s="4">
        <v>17</v>
      </c>
      <c r="AM5376" s="4">
        <v>17</v>
      </c>
      <c r="AN5376" s="4">
        <v>0</v>
      </c>
      <c r="AO5376" s="4">
        <v>0</v>
      </c>
      <c r="AP5376" s="4">
        <v>2</v>
      </c>
      <c r="AQ5376" s="4">
        <v>2</v>
      </c>
      <c r="AR5376" s="3" t="s">
        <v>64</v>
      </c>
      <c r="AS5376" s="3" t="s">
        <v>64</v>
      </c>
      <c r="AT5376" s="3" t="s">
        <v>64</v>
      </c>
      <c r="AV5376" s="6" t="str">
        <f>HYPERLINK("http://mcgill.on.worldcat.org/oclc/696035624","Catalog Record")</f>
        <v>Catalog Record</v>
      </c>
      <c r="AW5376" s="6" t="str">
        <f>HYPERLINK("http://www.worldcat.org/oclc/696035624","WorldCat Record")</f>
        <v>WorldCat Record</v>
      </c>
      <c r="AX5376" s="3" t="s">
        <v>52420</v>
      </c>
      <c r="AY5376" s="3" t="s">
        <v>52421</v>
      </c>
      <c r="AZ5376" s="3" t="s">
        <v>52422</v>
      </c>
      <c r="BA5376" s="3" t="s">
        <v>52422</v>
      </c>
      <c r="BB5376" s="3" t="s">
        <v>52423</v>
      </c>
      <c r="BC5376" s="3" t="s">
        <v>77</v>
      </c>
      <c r="BD5376" s="3" t="s">
        <v>78</v>
      </c>
      <c r="BE5376" s="3" t="s">
        <v>52424</v>
      </c>
      <c r="BF5376" s="3" t="s">
        <v>52423</v>
      </c>
      <c r="BG5376" s="3" t="s">
        <v>52425</v>
      </c>
      <c r="BH5376">
        <f t="shared" si="165"/>
        <v>0</v>
      </c>
    </row>
    <row r="5377" spans="1:60" ht="72.5" x14ac:dyDescent="0.35">
      <c r="A5377" s="2" t="s">
        <v>59</v>
      </c>
      <c r="B5377" s="2" t="s">
        <v>7607</v>
      </c>
      <c r="C5377" s="2" t="s">
        <v>52426</v>
      </c>
      <c r="D5377" s="2" t="s">
        <v>52427</v>
      </c>
      <c r="E5377" s="2" t="s">
        <v>52428</v>
      </c>
      <c r="G5377" s="3" t="s">
        <v>64</v>
      </c>
      <c r="I5377" s="3" t="s">
        <v>128</v>
      </c>
      <c r="J5377" s="3" t="s">
        <v>64</v>
      </c>
      <c r="K5377" s="3" t="s">
        <v>65</v>
      </c>
      <c r="L5377" s="2" t="s">
        <v>41196</v>
      </c>
      <c r="M5377" s="2" t="s">
        <v>52429</v>
      </c>
      <c r="N5377" s="3" t="s">
        <v>4548</v>
      </c>
      <c r="P5377" s="3" t="s">
        <v>102</v>
      </c>
      <c r="Q5377" s="2" t="s">
        <v>52430</v>
      </c>
      <c r="R5377" s="3" t="s">
        <v>70</v>
      </c>
      <c r="S5377" s="4">
        <v>0</v>
      </c>
      <c r="T5377" s="4">
        <v>2</v>
      </c>
      <c r="V5377" s="5" t="s">
        <v>32728</v>
      </c>
      <c r="W5377" s="5" t="s">
        <v>72</v>
      </c>
      <c r="X5377" s="5" t="s">
        <v>72</v>
      </c>
      <c r="Y5377" s="4">
        <v>168</v>
      </c>
      <c r="Z5377" s="4">
        <v>34</v>
      </c>
      <c r="AA5377" s="4">
        <v>53</v>
      </c>
      <c r="AB5377" s="4">
        <v>4</v>
      </c>
      <c r="AC5377" s="4">
        <v>8</v>
      </c>
      <c r="AD5377" s="4">
        <v>72</v>
      </c>
      <c r="AE5377" s="4">
        <v>82</v>
      </c>
      <c r="AF5377" s="4">
        <v>0</v>
      </c>
      <c r="AG5377" s="4">
        <v>2</v>
      </c>
      <c r="AH5377" s="4">
        <v>58</v>
      </c>
      <c r="AI5377" s="4">
        <v>63</v>
      </c>
      <c r="AJ5377" s="4">
        <v>10</v>
      </c>
      <c r="AK5377" s="4">
        <v>16</v>
      </c>
      <c r="AL5377" s="4">
        <v>36</v>
      </c>
      <c r="AM5377" s="4">
        <v>37</v>
      </c>
      <c r="AN5377" s="4">
        <v>0</v>
      </c>
      <c r="AO5377" s="4">
        <v>0</v>
      </c>
      <c r="AP5377" s="4">
        <v>17</v>
      </c>
      <c r="AQ5377" s="4">
        <v>26</v>
      </c>
      <c r="AR5377" s="3" t="s">
        <v>128</v>
      </c>
      <c r="AS5377" s="3" t="s">
        <v>64</v>
      </c>
      <c r="AT5377" s="3" t="s">
        <v>64</v>
      </c>
      <c r="AV5377" s="6" t="str">
        <f>HYPERLINK("http://mcgill.on.worldcat.org/oclc/577159","Catalog Record")</f>
        <v>Catalog Record</v>
      </c>
      <c r="AW5377" s="6" t="str">
        <f>HYPERLINK("http://www.worldcat.org/oclc/577159","WorldCat Record")</f>
        <v>WorldCat Record</v>
      </c>
      <c r="AX5377" s="3" t="s">
        <v>52431</v>
      </c>
      <c r="AY5377" s="3" t="s">
        <v>52432</v>
      </c>
      <c r="AZ5377" s="3" t="s">
        <v>52433</v>
      </c>
      <c r="BA5377" s="3" t="s">
        <v>52433</v>
      </c>
      <c r="BB5377" s="3" t="s">
        <v>52434</v>
      </c>
      <c r="BC5377" s="3" t="s">
        <v>77</v>
      </c>
      <c r="BD5377" s="3" t="s">
        <v>78</v>
      </c>
      <c r="BF5377" s="3" t="s">
        <v>52434</v>
      </c>
      <c r="BG5377" s="3" t="s">
        <v>52435</v>
      </c>
      <c r="BH5377">
        <f t="shared" si="165"/>
        <v>0</v>
      </c>
    </row>
    <row r="5378" spans="1:60" ht="101.5" x14ac:dyDescent="0.35">
      <c r="A5378" s="2" t="s">
        <v>59</v>
      </c>
      <c r="B5378" s="2" t="s">
        <v>7447</v>
      </c>
      <c r="C5378" s="2" t="s">
        <v>52436</v>
      </c>
      <c r="D5378" s="2" t="s">
        <v>52437</v>
      </c>
      <c r="E5378" s="2" t="s">
        <v>52438</v>
      </c>
      <c r="G5378" s="3" t="s">
        <v>64</v>
      </c>
      <c r="I5378" s="3" t="s">
        <v>64</v>
      </c>
      <c r="J5378" s="3" t="s">
        <v>64</v>
      </c>
      <c r="K5378" s="3" t="s">
        <v>65</v>
      </c>
      <c r="L5378" s="2" t="s">
        <v>52439</v>
      </c>
      <c r="M5378" s="2" t="s">
        <v>52440</v>
      </c>
      <c r="N5378" s="3" t="s">
        <v>1047</v>
      </c>
      <c r="P5378" s="3" t="s">
        <v>102</v>
      </c>
      <c r="R5378" s="3" t="s">
        <v>70</v>
      </c>
      <c r="S5378" s="4">
        <v>1</v>
      </c>
      <c r="T5378" s="4">
        <v>1</v>
      </c>
      <c r="U5378" s="5" t="s">
        <v>52441</v>
      </c>
      <c r="V5378" s="5" t="s">
        <v>52441</v>
      </c>
      <c r="W5378" s="5" t="s">
        <v>72</v>
      </c>
      <c r="X5378" s="5" t="s">
        <v>72</v>
      </c>
      <c r="Y5378" s="4">
        <v>195</v>
      </c>
      <c r="Z5378" s="4">
        <v>14</v>
      </c>
      <c r="AA5378" s="4">
        <v>15</v>
      </c>
      <c r="AB5378" s="4">
        <v>3</v>
      </c>
      <c r="AC5378" s="4">
        <v>4</v>
      </c>
      <c r="AD5378" s="4">
        <v>68</v>
      </c>
      <c r="AE5378" s="4">
        <v>69</v>
      </c>
      <c r="AF5378" s="4">
        <v>1</v>
      </c>
      <c r="AG5378" s="4">
        <v>2</v>
      </c>
      <c r="AH5378" s="4">
        <v>61</v>
      </c>
      <c r="AI5378" s="4">
        <v>61</v>
      </c>
      <c r="AJ5378" s="4">
        <v>9</v>
      </c>
      <c r="AK5378" s="4">
        <v>10</v>
      </c>
      <c r="AL5378" s="4">
        <v>37</v>
      </c>
      <c r="AM5378" s="4">
        <v>37</v>
      </c>
      <c r="AN5378" s="4">
        <v>0</v>
      </c>
      <c r="AO5378" s="4">
        <v>0</v>
      </c>
      <c r="AP5378" s="4">
        <v>10</v>
      </c>
      <c r="AQ5378" s="4">
        <v>10</v>
      </c>
      <c r="AR5378" s="3" t="s">
        <v>64</v>
      </c>
      <c r="AS5378" s="3" t="s">
        <v>64</v>
      </c>
      <c r="AT5378" s="3" t="s">
        <v>64</v>
      </c>
      <c r="AV5378" s="6" t="str">
        <f>HYPERLINK("http://mcgill.on.worldcat.org/oclc/9184859","Catalog Record")</f>
        <v>Catalog Record</v>
      </c>
      <c r="AW5378" s="6" t="str">
        <f>HYPERLINK("http://www.worldcat.org/oclc/9184859","WorldCat Record")</f>
        <v>WorldCat Record</v>
      </c>
      <c r="AX5378" s="3" t="s">
        <v>52442</v>
      </c>
      <c r="AY5378" s="3" t="s">
        <v>52443</v>
      </c>
      <c r="AZ5378" s="3" t="s">
        <v>52444</v>
      </c>
      <c r="BA5378" s="3" t="s">
        <v>52444</v>
      </c>
      <c r="BB5378" s="3" t="s">
        <v>52445</v>
      </c>
      <c r="BC5378" s="3" t="s">
        <v>77</v>
      </c>
      <c r="BD5378" s="3" t="s">
        <v>78</v>
      </c>
      <c r="BE5378" s="3" t="s">
        <v>52446</v>
      </c>
      <c r="BF5378" s="3" t="s">
        <v>52445</v>
      </c>
      <c r="BG5378" s="3" t="s">
        <v>52447</v>
      </c>
      <c r="BH5378">
        <f t="shared" ref="BH5378:BH5431" si="166">IF(COUNTIF($BF$1:$BF$5431,BF5378)=1,0,1)</f>
        <v>0</v>
      </c>
    </row>
    <row r="5379" spans="1:60" ht="72.5" x14ac:dyDescent="0.35">
      <c r="A5379" s="2" t="s">
        <v>1040</v>
      </c>
      <c r="B5379" s="2" t="s">
        <v>35724</v>
      </c>
      <c r="C5379" s="2" t="s">
        <v>52448</v>
      </c>
      <c r="D5379" s="2" t="s">
        <v>52449</v>
      </c>
      <c r="E5379" s="2" t="s">
        <v>52450</v>
      </c>
      <c r="G5379" s="3" t="s">
        <v>64</v>
      </c>
      <c r="I5379" s="3" t="s">
        <v>128</v>
      </c>
      <c r="J5379" s="3" t="s">
        <v>64</v>
      </c>
      <c r="K5379" s="3" t="s">
        <v>65</v>
      </c>
      <c r="L5379" s="2" t="s">
        <v>52451</v>
      </c>
      <c r="M5379" s="2" t="s">
        <v>52452</v>
      </c>
      <c r="N5379" s="3" t="s">
        <v>1763</v>
      </c>
      <c r="P5379" s="3" t="s">
        <v>102</v>
      </c>
      <c r="R5379" s="3" t="s">
        <v>70</v>
      </c>
      <c r="S5379" s="4">
        <v>0</v>
      </c>
      <c r="T5379" s="4">
        <v>2</v>
      </c>
      <c r="V5379" s="5" t="s">
        <v>52453</v>
      </c>
      <c r="W5379" s="5" t="s">
        <v>72</v>
      </c>
      <c r="X5379" s="5" t="s">
        <v>72</v>
      </c>
      <c r="Y5379" s="4">
        <v>703</v>
      </c>
      <c r="Z5379" s="4">
        <v>40</v>
      </c>
      <c r="AA5379" s="4">
        <v>42</v>
      </c>
      <c r="AB5379" s="4">
        <v>3</v>
      </c>
      <c r="AC5379" s="4">
        <v>5</v>
      </c>
      <c r="AD5379" s="4">
        <v>128</v>
      </c>
      <c r="AE5379" s="4">
        <v>131</v>
      </c>
      <c r="AF5379" s="4">
        <v>0</v>
      </c>
      <c r="AG5379" s="4">
        <v>1</v>
      </c>
      <c r="AH5379" s="4">
        <v>109</v>
      </c>
      <c r="AI5379" s="4">
        <v>111</v>
      </c>
      <c r="AJ5379" s="4">
        <v>19</v>
      </c>
      <c r="AK5379" s="4">
        <v>20</v>
      </c>
      <c r="AL5379" s="4">
        <v>58</v>
      </c>
      <c r="AM5379" s="4">
        <v>59</v>
      </c>
      <c r="AN5379" s="4">
        <v>0</v>
      </c>
      <c r="AO5379" s="4">
        <v>0</v>
      </c>
      <c r="AP5379" s="4">
        <v>25</v>
      </c>
      <c r="AQ5379" s="4">
        <v>25</v>
      </c>
      <c r="AR5379" s="3" t="s">
        <v>64</v>
      </c>
      <c r="AS5379" s="3" t="s">
        <v>64</v>
      </c>
      <c r="AT5379" s="3" t="s">
        <v>64</v>
      </c>
      <c r="AV5379" s="6" t="str">
        <f>HYPERLINK("http://mcgill.on.worldcat.org/oclc/9465818","Catalog Record")</f>
        <v>Catalog Record</v>
      </c>
      <c r="AW5379" s="6" t="str">
        <f>HYPERLINK("http://www.worldcat.org/oclc/9465818","WorldCat Record")</f>
        <v>WorldCat Record</v>
      </c>
      <c r="AX5379" s="3" t="s">
        <v>52454</v>
      </c>
      <c r="AY5379" s="3" t="s">
        <v>52455</v>
      </c>
      <c r="AZ5379" s="3" t="s">
        <v>52456</v>
      </c>
      <c r="BA5379" s="3" t="s">
        <v>52456</v>
      </c>
      <c r="BB5379" s="3" t="s">
        <v>52457</v>
      </c>
      <c r="BC5379" s="3" t="s">
        <v>77</v>
      </c>
      <c r="BD5379" s="3" t="s">
        <v>78</v>
      </c>
      <c r="BE5379" s="3" t="s">
        <v>52458</v>
      </c>
      <c r="BF5379" s="3" t="s">
        <v>52457</v>
      </c>
      <c r="BG5379" s="3" t="s">
        <v>52459</v>
      </c>
      <c r="BH5379">
        <f t="shared" si="166"/>
        <v>0</v>
      </c>
    </row>
    <row r="5380" spans="1:60" ht="58" x14ac:dyDescent="0.35">
      <c r="A5380" s="2" t="s">
        <v>59</v>
      </c>
      <c r="B5380" s="2" t="s">
        <v>60</v>
      </c>
      <c r="C5380" s="2" t="s">
        <v>52460</v>
      </c>
      <c r="D5380" s="2" t="s">
        <v>52461</v>
      </c>
      <c r="E5380" s="2" t="s">
        <v>52462</v>
      </c>
      <c r="F5380" s="3" t="s">
        <v>52463</v>
      </c>
      <c r="G5380" s="3" t="s">
        <v>128</v>
      </c>
      <c r="I5380" s="3" t="s">
        <v>64</v>
      </c>
      <c r="J5380" s="3" t="s">
        <v>64</v>
      </c>
      <c r="K5380" s="3" t="s">
        <v>65</v>
      </c>
      <c r="L5380" s="2" t="s">
        <v>52464</v>
      </c>
      <c r="M5380" s="2" t="s">
        <v>52465</v>
      </c>
      <c r="N5380" s="3" t="s">
        <v>326</v>
      </c>
      <c r="P5380" s="3" t="s">
        <v>44438</v>
      </c>
      <c r="R5380" s="3" t="s">
        <v>70</v>
      </c>
      <c r="S5380" s="4">
        <v>0</v>
      </c>
      <c r="T5380" s="4">
        <v>0</v>
      </c>
      <c r="W5380" s="5" t="s">
        <v>72</v>
      </c>
      <c r="X5380" s="5" t="s">
        <v>72</v>
      </c>
      <c r="Y5380" s="4">
        <v>30</v>
      </c>
      <c r="Z5380" s="4">
        <v>1</v>
      </c>
      <c r="AA5380" s="4">
        <v>1</v>
      </c>
      <c r="AB5380" s="4">
        <v>1</v>
      </c>
      <c r="AC5380" s="4">
        <v>1</v>
      </c>
      <c r="AD5380" s="4">
        <v>22</v>
      </c>
      <c r="AE5380" s="4">
        <v>22</v>
      </c>
      <c r="AF5380" s="4">
        <v>0</v>
      </c>
      <c r="AG5380" s="4">
        <v>0</v>
      </c>
      <c r="AH5380" s="4">
        <v>20</v>
      </c>
      <c r="AI5380" s="4">
        <v>20</v>
      </c>
      <c r="AJ5380" s="4">
        <v>0</v>
      </c>
      <c r="AK5380" s="4">
        <v>0</v>
      </c>
      <c r="AL5380" s="4">
        <v>17</v>
      </c>
      <c r="AM5380" s="4">
        <v>17</v>
      </c>
      <c r="AN5380" s="4">
        <v>0</v>
      </c>
      <c r="AO5380" s="4">
        <v>0</v>
      </c>
      <c r="AP5380" s="4">
        <v>0</v>
      </c>
      <c r="AQ5380" s="4">
        <v>0</v>
      </c>
      <c r="AR5380" s="3" t="s">
        <v>64</v>
      </c>
      <c r="AS5380" s="3" t="s">
        <v>64</v>
      </c>
      <c r="AT5380" s="3" t="s">
        <v>64</v>
      </c>
      <c r="AV5380" s="6" t="str">
        <f>HYPERLINK("http://mcgill.on.worldcat.org/oclc/793546259","Catalog Record")</f>
        <v>Catalog Record</v>
      </c>
      <c r="AW5380" s="6" t="str">
        <f>HYPERLINK("http://www.worldcat.org/oclc/793546259","WorldCat Record")</f>
        <v>WorldCat Record</v>
      </c>
      <c r="AX5380" s="3" t="s">
        <v>52466</v>
      </c>
      <c r="AY5380" s="3" t="s">
        <v>52467</v>
      </c>
      <c r="AZ5380" s="3" t="s">
        <v>52468</v>
      </c>
      <c r="BA5380" s="3" t="s">
        <v>52468</v>
      </c>
      <c r="BB5380" s="3" t="s">
        <v>52469</v>
      </c>
      <c r="BC5380" s="3" t="s">
        <v>77</v>
      </c>
      <c r="BD5380" s="3" t="s">
        <v>78</v>
      </c>
      <c r="BE5380" s="3" t="s">
        <v>52470</v>
      </c>
      <c r="BF5380" s="3" t="s">
        <v>52469</v>
      </c>
      <c r="BG5380" s="3" t="s">
        <v>52471</v>
      </c>
      <c r="BH5380">
        <f t="shared" si="166"/>
        <v>0</v>
      </c>
    </row>
    <row r="5381" spans="1:60" ht="58" x14ac:dyDescent="0.35">
      <c r="A5381" s="2" t="s">
        <v>59</v>
      </c>
      <c r="B5381" s="2" t="s">
        <v>60</v>
      </c>
      <c r="C5381" s="2" t="s">
        <v>52460</v>
      </c>
      <c r="D5381" s="2" t="s">
        <v>52461</v>
      </c>
      <c r="E5381" s="2" t="s">
        <v>52462</v>
      </c>
      <c r="F5381" s="3" t="s">
        <v>52472</v>
      </c>
      <c r="G5381" s="3" t="s">
        <v>128</v>
      </c>
      <c r="I5381" s="3" t="s">
        <v>64</v>
      </c>
      <c r="J5381" s="3" t="s">
        <v>64</v>
      </c>
      <c r="K5381" s="3" t="s">
        <v>65</v>
      </c>
      <c r="L5381" s="2" t="s">
        <v>52464</v>
      </c>
      <c r="M5381" s="2" t="s">
        <v>52465</v>
      </c>
      <c r="N5381" s="3" t="s">
        <v>326</v>
      </c>
      <c r="P5381" s="3" t="s">
        <v>44438</v>
      </c>
      <c r="R5381" s="3" t="s">
        <v>70</v>
      </c>
      <c r="S5381" s="4">
        <v>0</v>
      </c>
      <c r="T5381" s="4">
        <v>0</v>
      </c>
      <c r="W5381" s="5" t="s">
        <v>72</v>
      </c>
      <c r="X5381" s="5" t="s">
        <v>72</v>
      </c>
      <c r="Y5381" s="4">
        <v>30</v>
      </c>
      <c r="Z5381" s="4">
        <v>1</v>
      </c>
      <c r="AA5381" s="4">
        <v>1</v>
      </c>
      <c r="AB5381" s="4">
        <v>1</v>
      </c>
      <c r="AC5381" s="4">
        <v>1</v>
      </c>
      <c r="AD5381" s="4">
        <v>22</v>
      </c>
      <c r="AE5381" s="4">
        <v>22</v>
      </c>
      <c r="AF5381" s="4">
        <v>0</v>
      </c>
      <c r="AG5381" s="4">
        <v>0</v>
      </c>
      <c r="AH5381" s="4">
        <v>20</v>
      </c>
      <c r="AI5381" s="4">
        <v>20</v>
      </c>
      <c r="AJ5381" s="4">
        <v>0</v>
      </c>
      <c r="AK5381" s="4">
        <v>0</v>
      </c>
      <c r="AL5381" s="4">
        <v>17</v>
      </c>
      <c r="AM5381" s="4">
        <v>17</v>
      </c>
      <c r="AN5381" s="4">
        <v>0</v>
      </c>
      <c r="AO5381" s="4">
        <v>0</v>
      </c>
      <c r="AP5381" s="4">
        <v>0</v>
      </c>
      <c r="AQ5381" s="4">
        <v>0</v>
      </c>
      <c r="AR5381" s="3" t="s">
        <v>64</v>
      </c>
      <c r="AS5381" s="3" t="s">
        <v>64</v>
      </c>
      <c r="AT5381" s="3" t="s">
        <v>64</v>
      </c>
      <c r="AV5381" s="6" t="str">
        <f>HYPERLINK("http://mcgill.on.worldcat.org/oclc/793546259","Catalog Record")</f>
        <v>Catalog Record</v>
      </c>
      <c r="AW5381" s="6" t="str">
        <f>HYPERLINK("http://www.worldcat.org/oclc/793546259","WorldCat Record")</f>
        <v>WorldCat Record</v>
      </c>
      <c r="AX5381" s="3" t="s">
        <v>52466</v>
      </c>
      <c r="AY5381" s="3" t="s">
        <v>52467</v>
      </c>
      <c r="AZ5381" s="3" t="s">
        <v>52468</v>
      </c>
      <c r="BA5381" s="3" t="s">
        <v>52468</v>
      </c>
      <c r="BB5381" s="3" t="s">
        <v>52473</v>
      </c>
      <c r="BC5381" s="3" t="s">
        <v>77</v>
      </c>
      <c r="BD5381" s="3" t="s">
        <v>78</v>
      </c>
      <c r="BE5381" s="3" t="s">
        <v>52470</v>
      </c>
      <c r="BF5381" s="3" t="s">
        <v>52473</v>
      </c>
      <c r="BG5381" s="3" t="s">
        <v>52474</v>
      </c>
      <c r="BH5381">
        <f t="shared" si="166"/>
        <v>0</v>
      </c>
    </row>
    <row r="5382" spans="1:60" ht="58" x14ac:dyDescent="0.35">
      <c r="A5382" s="2" t="s">
        <v>59</v>
      </c>
      <c r="B5382" s="2" t="s">
        <v>60</v>
      </c>
      <c r="C5382" s="2" t="s">
        <v>52460</v>
      </c>
      <c r="D5382" s="2" t="s">
        <v>52461</v>
      </c>
      <c r="E5382" s="2" t="s">
        <v>52462</v>
      </c>
      <c r="F5382" s="3" t="s">
        <v>52475</v>
      </c>
      <c r="G5382" s="3" t="s">
        <v>128</v>
      </c>
      <c r="I5382" s="3" t="s">
        <v>64</v>
      </c>
      <c r="J5382" s="3" t="s">
        <v>64</v>
      </c>
      <c r="K5382" s="3" t="s">
        <v>65</v>
      </c>
      <c r="L5382" s="2" t="s">
        <v>52464</v>
      </c>
      <c r="M5382" s="2" t="s">
        <v>52465</v>
      </c>
      <c r="N5382" s="3" t="s">
        <v>326</v>
      </c>
      <c r="P5382" s="3" t="s">
        <v>44438</v>
      </c>
      <c r="R5382" s="3" t="s">
        <v>70</v>
      </c>
      <c r="S5382" s="4">
        <v>0</v>
      </c>
      <c r="T5382" s="4">
        <v>0</v>
      </c>
      <c r="W5382" s="5" t="s">
        <v>72</v>
      </c>
      <c r="X5382" s="5" t="s">
        <v>72</v>
      </c>
      <c r="Y5382" s="4">
        <v>30</v>
      </c>
      <c r="Z5382" s="4">
        <v>1</v>
      </c>
      <c r="AA5382" s="4">
        <v>1</v>
      </c>
      <c r="AB5382" s="4">
        <v>1</v>
      </c>
      <c r="AC5382" s="4">
        <v>1</v>
      </c>
      <c r="AD5382" s="4">
        <v>22</v>
      </c>
      <c r="AE5382" s="4">
        <v>22</v>
      </c>
      <c r="AF5382" s="4">
        <v>0</v>
      </c>
      <c r="AG5382" s="4">
        <v>0</v>
      </c>
      <c r="AH5382" s="4">
        <v>20</v>
      </c>
      <c r="AI5382" s="4">
        <v>20</v>
      </c>
      <c r="AJ5382" s="4">
        <v>0</v>
      </c>
      <c r="AK5382" s="4">
        <v>0</v>
      </c>
      <c r="AL5382" s="4">
        <v>17</v>
      </c>
      <c r="AM5382" s="4">
        <v>17</v>
      </c>
      <c r="AN5382" s="4">
        <v>0</v>
      </c>
      <c r="AO5382" s="4">
        <v>0</v>
      </c>
      <c r="AP5382" s="4">
        <v>0</v>
      </c>
      <c r="AQ5382" s="4">
        <v>0</v>
      </c>
      <c r="AR5382" s="3" t="s">
        <v>64</v>
      </c>
      <c r="AS5382" s="3" t="s">
        <v>64</v>
      </c>
      <c r="AT5382" s="3" t="s">
        <v>64</v>
      </c>
      <c r="AV5382" s="6" t="str">
        <f>HYPERLINK("http://mcgill.on.worldcat.org/oclc/793546259","Catalog Record")</f>
        <v>Catalog Record</v>
      </c>
      <c r="AW5382" s="6" t="str">
        <f>HYPERLINK("http://www.worldcat.org/oclc/793546259","WorldCat Record")</f>
        <v>WorldCat Record</v>
      </c>
      <c r="AX5382" s="3" t="s">
        <v>52466</v>
      </c>
      <c r="AY5382" s="3" t="s">
        <v>52467</v>
      </c>
      <c r="AZ5382" s="3" t="s">
        <v>52468</v>
      </c>
      <c r="BA5382" s="3" t="s">
        <v>52468</v>
      </c>
      <c r="BB5382" s="3" t="s">
        <v>52476</v>
      </c>
      <c r="BC5382" s="3" t="s">
        <v>77</v>
      </c>
      <c r="BD5382" s="3" t="s">
        <v>78</v>
      </c>
      <c r="BE5382" s="3" t="s">
        <v>52470</v>
      </c>
      <c r="BF5382" s="3" t="s">
        <v>52476</v>
      </c>
      <c r="BG5382" s="3" t="s">
        <v>52477</v>
      </c>
      <c r="BH5382">
        <f t="shared" si="166"/>
        <v>0</v>
      </c>
    </row>
    <row r="5383" spans="1:60" ht="116" x14ac:dyDescent="0.35">
      <c r="A5383" s="2" t="s">
        <v>59</v>
      </c>
      <c r="B5383" s="2" t="s">
        <v>1183</v>
      </c>
      <c r="C5383" s="2" t="s">
        <v>52478</v>
      </c>
      <c r="D5383" s="2" t="s">
        <v>52479</v>
      </c>
      <c r="E5383" s="2" t="s">
        <v>52480</v>
      </c>
      <c r="G5383" s="3" t="s">
        <v>64</v>
      </c>
      <c r="I5383" s="3" t="s">
        <v>64</v>
      </c>
      <c r="J5383" s="3" t="s">
        <v>64</v>
      </c>
      <c r="K5383" s="3" t="s">
        <v>65</v>
      </c>
      <c r="L5383" s="2" t="s">
        <v>52481</v>
      </c>
      <c r="M5383" s="2" t="s">
        <v>52482</v>
      </c>
      <c r="N5383" s="3" t="s">
        <v>1075</v>
      </c>
      <c r="O5383" s="2" t="s">
        <v>1189</v>
      </c>
      <c r="P5383" s="3" t="s">
        <v>1190</v>
      </c>
      <c r="R5383" s="3" t="s">
        <v>70</v>
      </c>
      <c r="S5383" s="4">
        <v>0</v>
      </c>
      <c r="T5383" s="4">
        <v>0</v>
      </c>
      <c r="W5383" s="5" t="s">
        <v>72</v>
      </c>
      <c r="X5383" s="5" t="s">
        <v>72</v>
      </c>
      <c r="Y5383" s="4">
        <v>25</v>
      </c>
      <c r="Z5383" s="4">
        <v>3</v>
      </c>
      <c r="AA5383" s="4">
        <v>3</v>
      </c>
      <c r="AB5383" s="4">
        <v>1</v>
      </c>
      <c r="AC5383" s="4">
        <v>1</v>
      </c>
      <c r="AD5383" s="4">
        <v>16</v>
      </c>
      <c r="AE5383" s="4">
        <v>16</v>
      </c>
      <c r="AF5383" s="4">
        <v>0</v>
      </c>
      <c r="AG5383" s="4">
        <v>0</v>
      </c>
      <c r="AH5383" s="4">
        <v>15</v>
      </c>
      <c r="AI5383" s="4">
        <v>15</v>
      </c>
      <c r="AJ5383" s="4">
        <v>1</v>
      </c>
      <c r="AK5383" s="4">
        <v>1</v>
      </c>
      <c r="AL5383" s="4">
        <v>14</v>
      </c>
      <c r="AM5383" s="4">
        <v>14</v>
      </c>
      <c r="AN5383" s="4">
        <v>0</v>
      </c>
      <c r="AO5383" s="4">
        <v>0</v>
      </c>
      <c r="AP5383" s="4">
        <v>1</v>
      </c>
      <c r="AQ5383" s="4">
        <v>1</v>
      </c>
      <c r="AR5383" s="3" t="s">
        <v>64</v>
      </c>
      <c r="AS5383" s="3" t="s">
        <v>64</v>
      </c>
      <c r="AT5383" s="3" t="s">
        <v>64</v>
      </c>
      <c r="AV5383" s="6" t="str">
        <f>HYPERLINK("http://mcgill.on.worldcat.org/oclc/868007516","Catalog Record")</f>
        <v>Catalog Record</v>
      </c>
      <c r="AW5383" s="6" t="str">
        <f>HYPERLINK("http://www.worldcat.org/oclc/868007516","WorldCat Record")</f>
        <v>WorldCat Record</v>
      </c>
      <c r="AX5383" s="3" t="s">
        <v>52483</v>
      </c>
      <c r="AY5383" s="3" t="s">
        <v>52484</v>
      </c>
      <c r="AZ5383" s="3" t="s">
        <v>52485</v>
      </c>
      <c r="BA5383" s="3" t="s">
        <v>52485</v>
      </c>
      <c r="BB5383" s="3" t="s">
        <v>52486</v>
      </c>
      <c r="BC5383" s="3" t="s">
        <v>77</v>
      </c>
      <c r="BD5383" s="3" t="s">
        <v>78</v>
      </c>
      <c r="BE5383" s="3" t="s">
        <v>52487</v>
      </c>
      <c r="BF5383" s="3" t="s">
        <v>52486</v>
      </c>
      <c r="BG5383" s="3" t="s">
        <v>52488</v>
      </c>
      <c r="BH5383">
        <f t="shared" si="166"/>
        <v>0</v>
      </c>
    </row>
    <row r="5384" spans="1:60" ht="58" x14ac:dyDescent="0.35">
      <c r="A5384" s="2" t="s">
        <v>59</v>
      </c>
      <c r="B5384" s="2" t="s">
        <v>60</v>
      </c>
      <c r="C5384" s="2" t="s">
        <v>52489</v>
      </c>
      <c r="D5384" s="2" t="s">
        <v>52490</v>
      </c>
      <c r="E5384" s="2" t="s">
        <v>52491</v>
      </c>
      <c r="G5384" s="3" t="s">
        <v>64</v>
      </c>
      <c r="I5384" s="3" t="s">
        <v>64</v>
      </c>
      <c r="J5384" s="3" t="s">
        <v>64</v>
      </c>
      <c r="K5384" s="3" t="s">
        <v>65</v>
      </c>
      <c r="L5384" s="2" t="s">
        <v>52492</v>
      </c>
      <c r="M5384" s="2" t="s">
        <v>52493</v>
      </c>
      <c r="N5384" s="3" t="s">
        <v>7992</v>
      </c>
      <c r="P5384" s="3" t="s">
        <v>102</v>
      </c>
      <c r="R5384" s="3" t="s">
        <v>70</v>
      </c>
      <c r="S5384" s="4">
        <v>3</v>
      </c>
      <c r="T5384" s="4">
        <v>3</v>
      </c>
      <c r="U5384" s="5" t="s">
        <v>5273</v>
      </c>
      <c r="V5384" s="5" t="s">
        <v>5273</v>
      </c>
      <c r="W5384" s="5" t="s">
        <v>72</v>
      </c>
      <c r="X5384" s="5" t="s">
        <v>72</v>
      </c>
      <c r="Y5384" s="4">
        <v>15</v>
      </c>
      <c r="Z5384" s="4">
        <v>1</v>
      </c>
      <c r="AA5384" s="4">
        <v>1</v>
      </c>
      <c r="AB5384" s="4">
        <v>1</v>
      </c>
      <c r="AC5384" s="4">
        <v>1</v>
      </c>
      <c r="AD5384" s="4">
        <v>9</v>
      </c>
      <c r="AE5384" s="4">
        <v>9</v>
      </c>
      <c r="AF5384" s="4">
        <v>0</v>
      </c>
      <c r="AG5384" s="4">
        <v>0</v>
      </c>
      <c r="AH5384" s="4">
        <v>9</v>
      </c>
      <c r="AI5384" s="4">
        <v>9</v>
      </c>
      <c r="AJ5384" s="4">
        <v>0</v>
      </c>
      <c r="AK5384" s="4">
        <v>0</v>
      </c>
      <c r="AL5384" s="4">
        <v>6</v>
      </c>
      <c r="AM5384" s="4">
        <v>6</v>
      </c>
      <c r="AN5384" s="4">
        <v>0</v>
      </c>
      <c r="AO5384" s="4">
        <v>0</v>
      </c>
      <c r="AP5384" s="4">
        <v>0</v>
      </c>
      <c r="AQ5384" s="4">
        <v>0</v>
      </c>
      <c r="AR5384" s="3" t="s">
        <v>64</v>
      </c>
      <c r="AS5384" s="3" t="s">
        <v>64</v>
      </c>
      <c r="AT5384" s="3" t="s">
        <v>64</v>
      </c>
      <c r="AV5384" s="6" t="str">
        <f>HYPERLINK("http://mcgill.on.worldcat.org/oclc/19569277","Catalog Record")</f>
        <v>Catalog Record</v>
      </c>
      <c r="AW5384" s="6" t="str">
        <f>HYPERLINK("http://www.worldcat.org/oclc/19569277","WorldCat Record")</f>
        <v>WorldCat Record</v>
      </c>
      <c r="AX5384" s="3" t="s">
        <v>52494</v>
      </c>
      <c r="AY5384" s="3" t="s">
        <v>52495</v>
      </c>
      <c r="AZ5384" s="3" t="s">
        <v>52496</v>
      </c>
      <c r="BA5384" s="3" t="s">
        <v>52496</v>
      </c>
      <c r="BB5384" s="3" t="s">
        <v>52497</v>
      </c>
      <c r="BC5384" s="3" t="s">
        <v>77</v>
      </c>
      <c r="BD5384" s="3" t="s">
        <v>78</v>
      </c>
      <c r="BF5384" s="3" t="s">
        <v>52497</v>
      </c>
      <c r="BG5384" s="3" t="s">
        <v>52498</v>
      </c>
      <c r="BH5384">
        <f t="shared" si="166"/>
        <v>0</v>
      </c>
    </row>
    <row r="5385" spans="1:60" ht="130.5" x14ac:dyDescent="0.35">
      <c r="A5385" s="2" t="s">
        <v>59</v>
      </c>
      <c r="B5385" s="2" t="s">
        <v>1183</v>
      </c>
      <c r="C5385" s="2" t="s">
        <v>52499</v>
      </c>
      <c r="D5385" s="2" t="s">
        <v>52500</v>
      </c>
      <c r="E5385" s="2" t="s">
        <v>52501</v>
      </c>
      <c r="F5385" s="3" t="s">
        <v>34505</v>
      </c>
      <c r="G5385" s="3" t="s">
        <v>128</v>
      </c>
      <c r="I5385" s="3" t="s">
        <v>128</v>
      </c>
      <c r="J5385" s="3" t="s">
        <v>64</v>
      </c>
      <c r="K5385" s="3" t="s">
        <v>65</v>
      </c>
      <c r="L5385" s="2" t="s">
        <v>52502</v>
      </c>
      <c r="M5385" s="2" t="s">
        <v>52503</v>
      </c>
      <c r="N5385" s="3" t="s">
        <v>511</v>
      </c>
      <c r="O5385" s="2" t="s">
        <v>1189</v>
      </c>
      <c r="P5385" s="3" t="s">
        <v>52504</v>
      </c>
      <c r="R5385" s="3" t="s">
        <v>70</v>
      </c>
      <c r="S5385" s="4">
        <v>0</v>
      </c>
      <c r="T5385" s="4">
        <v>0</v>
      </c>
      <c r="W5385" s="5" t="s">
        <v>72</v>
      </c>
      <c r="X5385" s="5" t="s">
        <v>52505</v>
      </c>
      <c r="Y5385" s="4">
        <v>13</v>
      </c>
      <c r="Z5385" s="4">
        <v>2</v>
      </c>
      <c r="AA5385" s="4">
        <v>2</v>
      </c>
      <c r="AB5385" s="4">
        <v>1</v>
      </c>
      <c r="AC5385" s="4">
        <v>1</v>
      </c>
      <c r="AD5385" s="4">
        <v>10</v>
      </c>
      <c r="AE5385" s="4">
        <v>10</v>
      </c>
      <c r="AF5385" s="4">
        <v>0</v>
      </c>
      <c r="AG5385" s="4">
        <v>0</v>
      </c>
      <c r="AH5385" s="4">
        <v>9</v>
      </c>
      <c r="AI5385" s="4">
        <v>9</v>
      </c>
      <c r="AJ5385" s="4">
        <v>1</v>
      </c>
      <c r="AK5385" s="4">
        <v>1</v>
      </c>
      <c r="AL5385" s="4">
        <v>8</v>
      </c>
      <c r="AM5385" s="4">
        <v>8</v>
      </c>
      <c r="AN5385" s="4">
        <v>0</v>
      </c>
      <c r="AO5385" s="4">
        <v>0</v>
      </c>
      <c r="AP5385" s="4">
        <v>1</v>
      </c>
      <c r="AQ5385" s="4">
        <v>1</v>
      </c>
      <c r="AR5385" s="3" t="s">
        <v>64</v>
      </c>
      <c r="AS5385" s="3" t="s">
        <v>64</v>
      </c>
      <c r="AT5385" s="3" t="s">
        <v>64</v>
      </c>
      <c r="AV5385" s="6" t="str">
        <f>HYPERLINK("http://mcgill.on.worldcat.org/oclc/795911800","Catalog Record")</f>
        <v>Catalog Record</v>
      </c>
      <c r="AW5385" s="6" t="str">
        <f>HYPERLINK("http://www.worldcat.org/oclc/795911800","WorldCat Record")</f>
        <v>WorldCat Record</v>
      </c>
      <c r="AX5385" s="3" t="s">
        <v>52506</v>
      </c>
      <c r="AY5385" s="3" t="s">
        <v>52507</v>
      </c>
      <c r="AZ5385" s="3" t="s">
        <v>52508</v>
      </c>
      <c r="BA5385" s="3" t="s">
        <v>52508</v>
      </c>
      <c r="BB5385" s="3" t="s">
        <v>52509</v>
      </c>
      <c r="BC5385" s="3" t="s">
        <v>77</v>
      </c>
      <c r="BD5385" s="3" t="s">
        <v>78</v>
      </c>
      <c r="BE5385" s="3" t="s">
        <v>52510</v>
      </c>
      <c r="BF5385" s="3" t="s">
        <v>52509</v>
      </c>
      <c r="BG5385" s="3" t="s">
        <v>52511</v>
      </c>
      <c r="BH5385">
        <f t="shared" si="166"/>
        <v>0</v>
      </c>
    </row>
    <row r="5386" spans="1:60" ht="130.5" x14ac:dyDescent="0.35">
      <c r="A5386" s="2" t="s">
        <v>59</v>
      </c>
      <c r="B5386" s="2" t="s">
        <v>1183</v>
      </c>
      <c r="C5386" s="2" t="s">
        <v>52499</v>
      </c>
      <c r="D5386" s="2" t="s">
        <v>52500</v>
      </c>
      <c r="E5386" s="2" t="s">
        <v>52501</v>
      </c>
      <c r="F5386" s="3" t="s">
        <v>34505</v>
      </c>
      <c r="G5386" s="3" t="s">
        <v>128</v>
      </c>
      <c r="I5386" s="3" t="s">
        <v>128</v>
      </c>
      <c r="J5386" s="3" t="s">
        <v>64</v>
      </c>
      <c r="K5386" s="3" t="s">
        <v>65</v>
      </c>
      <c r="L5386" s="2" t="s">
        <v>52502</v>
      </c>
      <c r="M5386" s="2" t="s">
        <v>52503</v>
      </c>
      <c r="N5386" s="3" t="s">
        <v>511</v>
      </c>
      <c r="O5386" s="2" t="s">
        <v>1189</v>
      </c>
      <c r="P5386" s="3" t="s">
        <v>52504</v>
      </c>
      <c r="R5386" s="3" t="s">
        <v>70</v>
      </c>
      <c r="S5386" s="4">
        <v>0</v>
      </c>
      <c r="T5386" s="4">
        <v>0</v>
      </c>
      <c r="W5386" s="5" t="s">
        <v>72</v>
      </c>
      <c r="X5386" s="5" t="s">
        <v>52505</v>
      </c>
      <c r="Y5386" s="4">
        <v>13</v>
      </c>
      <c r="Z5386" s="4">
        <v>2</v>
      </c>
      <c r="AA5386" s="4">
        <v>2</v>
      </c>
      <c r="AB5386" s="4">
        <v>1</v>
      </c>
      <c r="AC5386" s="4">
        <v>1</v>
      </c>
      <c r="AD5386" s="4">
        <v>10</v>
      </c>
      <c r="AE5386" s="4">
        <v>10</v>
      </c>
      <c r="AF5386" s="4">
        <v>0</v>
      </c>
      <c r="AG5386" s="4">
        <v>0</v>
      </c>
      <c r="AH5386" s="4">
        <v>9</v>
      </c>
      <c r="AI5386" s="4">
        <v>9</v>
      </c>
      <c r="AJ5386" s="4">
        <v>1</v>
      </c>
      <c r="AK5386" s="4">
        <v>1</v>
      </c>
      <c r="AL5386" s="4">
        <v>8</v>
      </c>
      <c r="AM5386" s="4">
        <v>8</v>
      </c>
      <c r="AN5386" s="4">
        <v>0</v>
      </c>
      <c r="AO5386" s="4">
        <v>0</v>
      </c>
      <c r="AP5386" s="4">
        <v>1</v>
      </c>
      <c r="AQ5386" s="4">
        <v>1</v>
      </c>
      <c r="AR5386" s="3" t="s">
        <v>64</v>
      </c>
      <c r="AS5386" s="3" t="s">
        <v>64</v>
      </c>
      <c r="AT5386" s="3" t="s">
        <v>64</v>
      </c>
      <c r="AV5386" s="6" t="str">
        <f>HYPERLINK("http://mcgill.on.worldcat.org/oclc/795911800","Catalog Record")</f>
        <v>Catalog Record</v>
      </c>
      <c r="AW5386" s="6" t="str">
        <f>HYPERLINK("http://www.worldcat.org/oclc/795911800","WorldCat Record")</f>
        <v>WorldCat Record</v>
      </c>
      <c r="AX5386" s="3" t="s">
        <v>52506</v>
      </c>
      <c r="AY5386" s="3" t="s">
        <v>52507</v>
      </c>
      <c r="AZ5386" s="3" t="s">
        <v>52508</v>
      </c>
      <c r="BA5386" s="3" t="s">
        <v>52508</v>
      </c>
      <c r="BB5386" s="3" t="s">
        <v>52512</v>
      </c>
      <c r="BC5386" s="3" t="s">
        <v>77</v>
      </c>
      <c r="BD5386" s="3" t="s">
        <v>78</v>
      </c>
      <c r="BE5386" s="3" t="s">
        <v>52510</v>
      </c>
      <c r="BF5386" s="3" t="s">
        <v>52512</v>
      </c>
      <c r="BG5386" s="3" t="s">
        <v>52513</v>
      </c>
      <c r="BH5386">
        <f t="shared" si="166"/>
        <v>0</v>
      </c>
    </row>
    <row r="5387" spans="1:60" ht="72.5" x14ac:dyDescent="0.35">
      <c r="A5387" s="2" t="s">
        <v>59</v>
      </c>
      <c r="B5387" s="2" t="s">
        <v>60</v>
      </c>
      <c r="C5387" s="2" t="s">
        <v>52514</v>
      </c>
      <c r="D5387" s="2" t="s">
        <v>52515</v>
      </c>
      <c r="E5387" s="2" t="s">
        <v>52516</v>
      </c>
      <c r="G5387" s="3" t="s">
        <v>64</v>
      </c>
      <c r="I5387" s="3" t="s">
        <v>64</v>
      </c>
      <c r="J5387" s="3" t="s">
        <v>64</v>
      </c>
      <c r="K5387" s="3" t="s">
        <v>65</v>
      </c>
      <c r="L5387" s="2" t="s">
        <v>52517</v>
      </c>
      <c r="M5387" s="2" t="s">
        <v>52518</v>
      </c>
      <c r="N5387" s="3" t="s">
        <v>326</v>
      </c>
      <c r="P5387" s="3" t="s">
        <v>102</v>
      </c>
      <c r="R5387" s="3" t="s">
        <v>70</v>
      </c>
      <c r="S5387" s="4">
        <v>1</v>
      </c>
      <c r="T5387" s="4">
        <v>1</v>
      </c>
      <c r="U5387" s="5" t="s">
        <v>14509</v>
      </c>
      <c r="V5387" s="5" t="s">
        <v>14509</v>
      </c>
      <c r="W5387" s="5" t="s">
        <v>72</v>
      </c>
      <c r="X5387" s="5" t="s">
        <v>72</v>
      </c>
      <c r="Y5387" s="4">
        <v>51</v>
      </c>
      <c r="Z5387" s="4">
        <v>5</v>
      </c>
      <c r="AA5387" s="4">
        <v>5</v>
      </c>
      <c r="AB5387" s="4">
        <v>1</v>
      </c>
      <c r="AC5387" s="4">
        <v>1</v>
      </c>
      <c r="AD5387" s="4">
        <v>24</v>
      </c>
      <c r="AE5387" s="4">
        <v>25</v>
      </c>
      <c r="AF5387" s="4">
        <v>0</v>
      </c>
      <c r="AG5387" s="4">
        <v>0</v>
      </c>
      <c r="AH5387" s="4">
        <v>23</v>
      </c>
      <c r="AI5387" s="4">
        <v>24</v>
      </c>
      <c r="AJ5387" s="4">
        <v>3</v>
      </c>
      <c r="AK5387" s="4">
        <v>3</v>
      </c>
      <c r="AL5387" s="4">
        <v>17</v>
      </c>
      <c r="AM5387" s="4">
        <v>17</v>
      </c>
      <c r="AN5387" s="4">
        <v>0</v>
      </c>
      <c r="AO5387" s="4">
        <v>0</v>
      </c>
      <c r="AP5387" s="4">
        <v>3</v>
      </c>
      <c r="AQ5387" s="4">
        <v>3</v>
      </c>
      <c r="AR5387" s="3" t="s">
        <v>64</v>
      </c>
      <c r="AS5387" s="3" t="s">
        <v>64</v>
      </c>
      <c r="AT5387" s="3" t="s">
        <v>64</v>
      </c>
      <c r="AV5387" s="6" t="str">
        <f>HYPERLINK("http://mcgill.on.worldcat.org/oclc/731910992","Catalog Record")</f>
        <v>Catalog Record</v>
      </c>
      <c r="AW5387" s="6" t="str">
        <f>HYPERLINK("http://www.worldcat.org/oclc/731910992","WorldCat Record")</f>
        <v>WorldCat Record</v>
      </c>
      <c r="AX5387" s="3" t="s">
        <v>52519</v>
      </c>
      <c r="AY5387" s="3" t="s">
        <v>52520</v>
      </c>
      <c r="AZ5387" s="3" t="s">
        <v>52521</v>
      </c>
      <c r="BA5387" s="3" t="s">
        <v>52521</v>
      </c>
      <c r="BB5387" s="3" t="s">
        <v>52522</v>
      </c>
      <c r="BC5387" s="3" t="s">
        <v>77</v>
      </c>
      <c r="BD5387" s="3" t="s">
        <v>78</v>
      </c>
      <c r="BE5387" s="3" t="s">
        <v>52523</v>
      </c>
      <c r="BF5387" s="3" t="s">
        <v>52522</v>
      </c>
      <c r="BG5387" s="3" t="s">
        <v>52524</v>
      </c>
      <c r="BH5387">
        <f t="shared" si="166"/>
        <v>0</v>
      </c>
    </row>
    <row r="5388" spans="1:60" ht="72.5" x14ac:dyDescent="0.35">
      <c r="A5388" s="2" t="s">
        <v>59</v>
      </c>
      <c r="B5388" s="2" t="s">
        <v>60</v>
      </c>
      <c r="C5388" s="2" t="s">
        <v>52525</v>
      </c>
      <c r="D5388" s="2" t="s">
        <v>52526</v>
      </c>
      <c r="E5388" s="2" t="s">
        <v>52527</v>
      </c>
      <c r="F5388" s="3" t="s">
        <v>529</v>
      </c>
      <c r="G5388" s="3" t="s">
        <v>128</v>
      </c>
      <c r="I5388" s="3" t="s">
        <v>64</v>
      </c>
      <c r="J5388" s="3" t="s">
        <v>64</v>
      </c>
      <c r="K5388" s="3" t="s">
        <v>65</v>
      </c>
      <c r="L5388" s="2" t="s">
        <v>52528</v>
      </c>
      <c r="M5388" s="2" t="s">
        <v>52529</v>
      </c>
      <c r="N5388" s="3" t="s">
        <v>1075</v>
      </c>
      <c r="P5388" s="3" t="s">
        <v>102</v>
      </c>
      <c r="R5388" s="3" t="s">
        <v>70</v>
      </c>
      <c r="S5388" s="4">
        <v>1</v>
      </c>
      <c r="T5388" s="4">
        <v>9</v>
      </c>
      <c r="V5388" s="5" t="s">
        <v>14949</v>
      </c>
      <c r="W5388" s="5" t="s">
        <v>72</v>
      </c>
      <c r="X5388" s="5" t="s">
        <v>72</v>
      </c>
      <c r="Y5388" s="4">
        <v>114</v>
      </c>
      <c r="Z5388" s="4">
        <v>10</v>
      </c>
      <c r="AA5388" s="4">
        <v>11</v>
      </c>
      <c r="AB5388" s="4">
        <v>1</v>
      </c>
      <c r="AC5388" s="4">
        <v>2</v>
      </c>
      <c r="AD5388" s="4">
        <v>44</v>
      </c>
      <c r="AE5388" s="4">
        <v>45</v>
      </c>
      <c r="AF5388" s="4">
        <v>0</v>
      </c>
      <c r="AG5388" s="4">
        <v>1</v>
      </c>
      <c r="AH5388" s="4">
        <v>41</v>
      </c>
      <c r="AI5388" s="4">
        <v>42</v>
      </c>
      <c r="AJ5388" s="4">
        <v>7</v>
      </c>
      <c r="AK5388" s="4">
        <v>8</v>
      </c>
      <c r="AL5388" s="4">
        <v>29</v>
      </c>
      <c r="AM5388" s="4">
        <v>29</v>
      </c>
      <c r="AN5388" s="4">
        <v>0</v>
      </c>
      <c r="AO5388" s="4">
        <v>0</v>
      </c>
      <c r="AP5388" s="4">
        <v>7</v>
      </c>
      <c r="AQ5388" s="4">
        <v>8</v>
      </c>
      <c r="AR5388" s="3" t="s">
        <v>64</v>
      </c>
      <c r="AS5388" s="3" t="s">
        <v>64</v>
      </c>
      <c r="AT5388" s="3" t="s">
        <v>64</v>
      </c>
      <c r="AV5388" s="6" t="str">
        <f>HYPERLINK("http://mcgill.on.worldcat.org/oclc/820123498","Catalog Record")</f>
        <v>Catalog Record</v>
      </c>
      <c r="AW5388" s="6" t="str">
        <f>HYPERLINK("http://www.worldcat.org/oclc/820123498","WorldCat Record")</f>
        <v>WorldCat Record</v>
      </c>
      <c r="AX5388" s="3" t="s">
        <v>52530</v>
      </c>
      <c r="AY5388" s="3" t="s">
        <v>52531</v>
      </c>
      <c r="AZ5388" s="3" t="s">
        <v>52532</v>
      </c>
      <c r="BA5388" s="3" t="s">
        <v>52532</v>
      </c>
      <c r="BB5388" s="3" t="s">
        <v>52533</v>
      </c>
      <c r="BC5388" s="3" t="s">
        <v>77</v>
      </c>
      <c r="BD5388" s="3" t="s">
        <v>165</v>
      </c>
      <c r="BE5388" s="3" t="s">
        <v>52534</v>
      </c>
      <c r="BF5388" s="3" t="s">
        <v>52533</v>
      </c>
      <c r="BG5388" s="3" t="s">
        <v>52535</v>
      </c>
      <c r="BH5388">
        <f t="shared" si="166"/>
        <v>0</v>
      </c>
    </row>
    <row r="5389" spans="1:60" ht="72.5" x14ac:dyDescent="0.35">
      <c r="A5389" s="2" t="s">
        <v>59</v>
      </c>
      <c r="B5389" s="2" t="s">
        <v>60</v>
      </c>
      <c r="C5389" s="2" t="s">
        <v>52525</v>
      </c>
      <c r="D5389" s="2" t="s">
        <v>52526</v>
      </c>
      <c r="E5389" s="2" t="s">
        <v>52527</v>
      </c>
      <c r="F5389" s="3" t="s">
        <v>525</v>
      </c>
      <c r="G5389" s="3" t="s">
        <v>128</v>
      </c>
      <c r="I5389" s="3" t="s">
        <v>64</v>
      </c>
      <c r="J5389" s="3" t="s">
        <v>64</v>
      </c>
      <c r="K5389" s="3" t="s">
        <v>65</v>
      </c>
      <c r="L5389" s="2" t="s">
        <v>52528</v>
      </c>
      <c r="M5389" s="2" t="s">
        <v>52529</v>
      </c>
      <c r="N5389" s="3" t="s">
        <v>1075</v>
      </c>
      <c r="P5389" s="3" t="s">
        <v>102</v>
      </c>
      <c r="R5389" s="3" t="s">
        <v>70</v>
      </c>
      <c r="S5389" s="4">
        <v>8</v>
      </c>
      <c r="T5389" s="4">
        <v>9</v>
      </c>
      <c r="U5389" s="5" t="s">
        <v>14949</v>
      </c>
      <c r="V5389" s="5" t="s">
        <v>14949</v>
      </c>
      <c r="W5389" s="5" t="s">
        <v>72</v>
      </c>
      <c r="X5389" s="5" t="s">
        <v>72</v>
      </c>
      <c r="Y5389" s="4">
        <v>114</v>
      </c>
      <c r="Z5389" s="4">
        <v>10</v>
      </c>
      <c r="AA5389" s="4">
        <v>11</v>
      </c>
      <c r="AB5389" s="4">
        <v>1</v>
      </c>
      <c r="AC5389" s="4">
        <v>2</v>
      </c>
      <c r="AD5389" s="4">
        <v>44</v>
      </c>
      <c r="AE5389" s="4">
        <v>45</v>
      </c>
      <c r="AF5389" s="4">
        <v>0</v>
      </c>
      <c r="AG5389" s="4">
        <v>1</v>
      </c>
      <c r="AH5389" s="4">
        <v>41</v>
      </c>
      <c r="AI5389" s="4">
        <v>42</v>
      </c>
      <c r="AJ5389" s="4">
        <v>7</v>
      </c>
      <c r="AK5389" s="4">
        <v>8</v>
      </c>
      <c r="AL5389" s="4">
        <v>29</v>
      </c>
      <c r="AM5389" s="4">
        <v>29</v>
      </c>
      <c r="AN5389" s="4">
        <v>0</v>
      </c>
      <c r="AO5389" s="4">
        <v>0</v>
      </c>
      <c r="AP5389" s="4">
        <v>7</v>
      </c>
      <c r="AQ5389" s="4">
        <v>8</v>
      </c>
      <c r="AR5389" s="3" t="s">
        <v>64</v>
      </c>
      <c r="AS5389" s="3" t="s">
        <v>64</v>
      </c>
      <c r="AT5389" s="3" t="s">
        <v>64</v>
      </c>
      <c r="AV5389" s="6" t="str">
        <f>HYPERLINK("http://mcgill.on.worldcat.org/oclc/820123498","Catalog Record")</f>
        <v>Catalog Record</v>
      </c>
      <c r="AW5389" s="6" t="str">
        <f>HYPERLINK("http://www.worldcat.org/oclc/820123498","WorldCat Record")</f>
        <v>WorldCat Record</v>
      </c>
      <c r="AX5389" s="3" t="s">
        <v>52530</v>
      </c>
      <c r="AY5389" s="3" t="s">
        <v>52531</v>
      </c>
      <c r="AZ5389" s="3" t="s">
        <v>52532</v>
      </c>
      <c r="BA5389" s="3" t="s">
        <v>52532</v>
      </c>
      <c r="BB5389" s="3" t="s">
        <v>52536</v>
      </c>
      <c r="BC5389" s="3" t="s">
        <v>77</v>
      </c>
      <c r="BD5389" s="3" t="s">
        <v>78</v>
      </c>
      <c r="BE5389" s="3" t="s">
        <v>52534</v>
      </c>
      <c r="BF5389" s="3" t="s">
        <v>52536</v>
      </c>
      <c r="BG5389" s="3" t="s">
        <v>52537</v>
      </c>
      <c r="BH5389">
        <f t="shared" si="166"/>
        <v>0</v>
      </c>
    </row>
    <row r="5390" spans="1:60" ht="87" x14ac:dyDescent="0.35">
      <c r="A5390" s="2" t="s">
        <v>6202</v>
      </c>
      <c r="B5390" s="2" t="s">
        <v>38148</v>
      </c>
      <c r="C5390" s="2" t="s">
        <v>52538</v>
      </c>
      <c r="D5390" s="2" t="s">
        <v>52539</v>
      </c>
      <c r="E5390" s="2" t="s">
        <v>52540</v>
      </c>
      <c r="G5390" s="3" t="s">
        <v>64</v>
      </c>
      <c r="I5390" s="3" t="s">
        <v>128</v>
      </c>
      <c r="J5390" s="3" t="s">
        <v>64</v>
      </c>
      <c r="K5390" s="3" t="s">
        <v>65</v>
      </c>
      <c r="L5390" s="2" t="s">
        <v>52541</v>
      </c>
      <c r="M5390" s="2" t="s">
        <v>52542</v>
      </c>
      <c r="N5390" s="3" t="s">
        <v>116</v>
      </c>
      <c r="P5390" s="3" t="s">
        <v>102</v>
      </c>
      <c r="R5390" s="3" t="s">
        <v>70</v>
      </c>
      <c r="S5390" s="4">
        <v>1</v>
      </c>
      <c r="T5390" s="4">
        <v>2</v>
      </c>
      <c r="U5390" s="5" t="s">
        <v>52543</v>
      </c>
      <c r="V5390" s="5" t="s">
        <v>36098</v>
      </c>
      <c r="W5390" s="5" t="s">
        <v>72</v>
      </c>
      <c r="X5390" s="5" t="s">
        <v>72</v>
      </c>
      <c r="Y5390" s="4">
        <v>7</v>
      </c>
      <c r="Z5390" s="4">
        <v>1</v>
      </c>
      <c r="AA5390" s="4">
        <v>7</v>
      </c>
      <c r="AB5390" s="4">
        <v>1</v>
      </c>
      <c r="AC5390" s="4">
        <v>1</v>
      </c>
      <c r="AD5390" s="4">
        <v>1</v>
      </c>
      <c r="AE5390" s="4">
        <v>45</v>
      </c>
      <c r="AF5390" s="4">
        <v>0</v>
      </c>
      <c r="AG5390" s="4">
        <v>0</v>
      </c>
      <c r="AH5390" s="4">
        <v>1</v>
      </c>
      <c r="AI5390" s="4">
        <v>43</v>
      </c>
      <c r="AJ5390" s="4">
        <v>0</v>
      </c>
      <c r="AK5390" s="4">
        <v>4</v>
      </c>
      <c r="AL5390" s="4">
        <v>0</v>
      </c>
      <c r="AM5390" s="4">
        <v>32</v>
      </c>
      <c r="AN5390" s="4">
        <v>0</v>
      </c>
      <c r="AO5390" s="4">
        <v>0</v>
      </c>
      <c r="AP5390" s="4">
        <v>0</v>
      </c>
      <c r="AQ5390" s="4">
        <v>4</v>
      </c>
      <c r="AR5390" s="3" t="s">
        <v>64</v>
      </c>
      <c r="AS5390" s="3" t="s">
        <v>64</v>
      </c>
      <c r="AT5390" s="3" t="s">
        <v>64</v>
      </c>
      <c r="AV5390" s="6" t="str">
        <f>HYPERLINK("http://mcgill.on.worldcat.org/oclc/228662173","Catalog Record")</f>
        <v>Catalog Record</v>
      </c>
      <c r="AW5390" s="6" t="str">
        <f>HYPERLINK("http://www.worldcat.org/oclc/228662173","WorldCat Record")</f>
        <v>WorldCat Record</v>
      </c>
      <c r="AX5390" s="3" t="s">
        <v>52544</v>
      </c>
      <c r="AY5390" s="3" t="s">
        <v>52545</v>
      </c>
      <c r="AZ5390" s="3" t="s">
        <v>52546</v>
      </c>
      <c r="BA5390" s="3" t="s">
        <v>52546</v>
      </c>
      <c r="BB5390" s="3" t="s">
        <v>52547</v>
      </c>
      <c r="BC5390" s="3" t="s">
        <v>77</v>
      </c>
      <c r="BD5390" s="3" t="s">
        <v>78</v>
      </c>
      <c r="BE5390" s="3" t="s">
        <v>52548</v>
      </c>
      <c r="BF5390" s="3" t="s">
        <v>52547</v>
      </c>
      <c r="BG5390" s="3" t="s">
        <v>52549</v>
      </c>
      <c r="BH5390">
        <f t="shared" si="166"/>
        <v>0</v>
      </c>
    </row>
    <row r="5391" spans="1:60" ht="58" x14ac:dyDescent="0.35">
      <c r="A5391" s="2" t="s">
        <v>59</v>
      </c>
      <c r="B5391" s="2" t="s">
        <v>60</v>
      </c>
      <c r="C5391" s="2" t="s">
        <v>52538</v>
      </c>
      <c r="D5391" s="2" t="s">
        <v>52539</v>
      </c>
      <c r="E5391" s="2" t="s">
        <v>52540</v>
      </c>
      <c r="G5391" s="3" t="s">
        <v>64</v>
      </c>
      <c r="I5391" s="3" t="s">
        <v>128</v>
      </c>
      <c r="J5391" s="3" t="s">
        <v>64</v>
      </c>
      <c r="K5391" s="3" t="s">
        <v>65</v>
      </c>
      <c r="L5391" s="2" t="s">
        <v>52541</v>
      </c>
      <c r="M5391" s="2" t="s">
        <v>52542</v>
      </c>
      <c r="N5391" s="3" t="s">
        <v>116</v>
      </c>
      <c r="P5391" s="3" t="s">
        <v>102</v>
      </c>
      <c r="R5391" s="3" t="s">
        <v>70</v>
      </c>
      <c r="S5391" s="4">
        <v>1</v>
      </c>
      <c r="T5391" s="4">
        <v>2</v>
      </c>
      <c r="U5391" s="5" t="s">
        <v>36098</v>
      </c>
      <c r="V5391" s="5" t="s">
        <v>36098</v>
      </c>
      <c r="W5391" s="5" t="s">
        <v>72</v>
      </c>
      <c r="X5391" s="5" t="s">
        <v>72</v>
      </c>
      <c r="Y5391" s="4">
        <v>7</v>
      </c>
      <c r="Z5391" s="4">
        <v>1</v>
      </c>
      <c r="AA5391" s="4">
        <v>7</v>
      </c>
      <c r="AB5391" s="4">
        <v>1</v>
      </c>
      <c r="AC5391" s="4">
        <v>1</v>
      </c>
      <c r="AD5391" s="4">
        <v>1</v>
      </c>
      <c r="AE5391" s="4">
        <v>45</v>
      </c>
      <c r="AF5391" s="4">
        <v>0</v>
      </c>
      <c r="AG5391" s="4">
        <v>0</v>
      </c>
      <c r="AH5391" s="4">
        <v>1</v>
      </c>
      <c r="AI5391" s="4">
        <v>43</v>
      </c>
      <c r="AJ5391" s="4">
        <v>0</v>
      </c>
      <c r="AK5391" s="4">
        <v>4</v>
      </c>
      <c r="AL5391" s="4">
        <v>0</v>
      </c>
      <c r="AM5391" s="4">
        <v>32</v>
      </c>
      <c r="AN5391" s="4">
        <v>0</v>
      </c>
      <c r="AO5391" s="4">
        <v>0</v>
      </c>
      <c r="AP5391" s="4">
        <v>0</v>
      </c>
      <c r="AQ5391" s="4">
        <v>4</v>
      </c>
      <c r="AR5391" s="3" t="s">
        <v>64</v>
      </c>
      <c r="AS5391" s="3" t="s">
        <v>64</v>
      </c>
      <c r="AT5391" s="3" t="s">
        <v>64</v>
      </c>
      <c r="AV5391" s="6" t="str">
        <f>HYPERLINK("http://mcgill.on.worldcat.org/oclc/228662173","Catalog Record")</f>
        <v>Catalog Record</v>
      </c>
      <c r="AW5391" s="6" t="str">
        <f>HYPERLINK("http://www.worldcat.org/oclc/228662173","WorldCat Record")</f>
        <v>WorldCat Record</v>
      </c>
      <c r="AX5391" s="3" t="s">
        <v>52544</v>
      </c>
      <c r="AY5391" s="3" t="s">
        <v>52545</v>
      </c>
      <c r="AZ5391" s="3" t="s">
        <v>52546</v>
      </c>
      <c r="BA5391" s="3" t="s">
        <v>52546</v>
      </c>
      <c r="BB5391" s="3" t="s">
        <v>52550</v>
      </c>
      <c r="BC5391" s="3" t="s">
        <v>77</v>
      </c>
      <c r="BD5391" s="3" t="s">
        <v>78</v>
      </c>
      <c r="BE5391" s="3" t="s">
        <v>52548</v>
      </c>
      <c r="BF5391" s="3" t="s">
        <v>52550</v>
      </c>
      <c r="BG5391" s="3" t="s">
        <v>52551</v>
      </c>
      <c r="BH5391">
        <f t="shared" si="166"/>
        <v>0</v>
      </c>
    </row>
    <row r="5392" spans="1:60" ht="87" x14ac:dyDescent="0.35">
      <c r="A5392" s="2" t="s">
        <v>59</v>
      </c>
      <c r="B5392" s="2" t="s">
        <v>60</v>
      </c>
      <c r="C5392" s="2" t="s">
        <v>52552</v>
      </c>
      <c r="D5392" s="2" t="s">
        <v>52553</v>
      </c>
      <c r="E5392" s="2" t="s">
        <v>52554</v>
      </c>
      <c r="G5392" s="3" t="s">
        <v>64</v>
      </c>
      <c r="I5392" s="3" t="s">
        <v>64</v>
      </c>
      <c r="J5392" s="3" t="s">
        <v>64</v>
      </c>
      <c r="K5392" s="3" t="s">
        <v>65</v>
      </c>
      <c r="M5392" s="2" t="s">
        <v>52555</v>
      </c>
      <c r="N5392" s="3" t="s">
        <v>511</v>
      </c>
      <c r="P5392" s="3" t="s">
        <v>102</v>
      </c>
      <c r="Q5392" s="2" t="s">
        <v>52556</v>
      </c>
      <c r="R5392" s="3" t="s">
        <v>70</v>
      </c>
      <c r="S5392" s="4">
        <v>1</v>
      </c>
      <c r="T5392" s="4">
        <v>1</v>
      </c>
      <c r="U5392" s="5" t="s">
        <v>1227</v>
      </c>
      <c r="V5392" s="5" t="s">
        <v>1227</v>
      </c>
      <c r="W5392" s="5" t="s">
        <v>72</v>
      </c>
      <c r="X5392" s="5" t="s">
        <v>72</v>
      </c>
      <c r="Y5392" s="4">
        <v>102</v>
      </c>
      <c r="Z5392" s="4">
        <v>7</v>
      </c>
      <c r="AA5392" s="4">
        <v>7</v>
      </c>
      <c r="AB5392" s="4">
        <v>1</v>
      </c>
      <c r="AC5392" s="4">
        <v>1</v>
      </c>
      <c r="AD5392" s="4">
        <v>39</v>
      </c>
      <c r="AE5392" s="4">
        <v>39</v>
      </c>
      <c r="AF5392" s="4">
        <v>0</v>
      </c>
      <c r="AG5392" s="4">
        <v>0</v>
      </c>
      <c r="AH5392" s="4">
        <v>37</v>
      </c>
      <c r="AI5392" s="4">
        <v>37</v>
      </c>
      <c r="AJ5392" s="4">
        <v>3</v>
      </c>
      <c r="AK5392" s="4">
        <v>3</v>
      </c>
      <c r="AL5392" s="4">
        <v>26</v>
      </c>
      <c r="AM5392" s="4">
        <v>26</v>
      </c>
      <c r="AN5392" s="4">
        <v>0</v>
      </c>
      <c r="AO5392" s="4">
        <v>0</v>
      </c>
      <c r="AP5392" s="4">
        <v>3</v>
      </c>
      <c r="AQ5392" s="4">
        <v>3</v>
      </c>
      <c r="AR5392" s="3" t="s">
        <v>64</v>
      </c>
      <c r="AS5392" s="3" t="s">
        <v>64</v>
      </c>
      <c r="AT5392" s="3" t="s">
        <v>64</v>
      </c>
      <c r="AV5392" s="6" t="str">
        <f>HYPERLINK("http://mcgill.on.worldcat.org/oclc/607973763","Catalog Record")</f>
        <v>Catalog Record</v>
      </c>
      <c r="AW5392" s="6" t="str">
        <f>HYPERLINK("http://www.worldcat.org/oclc/607973763","WorldCat Record")</f>
        <v>WorldCat Record</v>
      </c>
      <c r="AX5392" s="3" t="s">
        <v>52557</v>
      </c>
      <c r="AY5392" s="3" t="s">
        <v>52558</v>
      </c>
      <c r="AZ5392" s="3" t="s">
        <v>52559</v>
      </c>
      <c r="BA5392" s="3" t="s">
        <v>52559</v>
      </c>
      <c r="BB5392" s="3" t="s">
        <v>52560</v>
      </c>
      <c r="BC5392" s="3" t="s">
        <v>77</v>
      </c>
      <c r="BD5392" s="3" t="s">
        <v>78</v>
      </c>
      <c r="BE5392" s="3" t="s">
        <v>52561</v>
      </c>
      <c r="BF5392" s="3" t="s">
        <v>52560</v>
      </c>
      <c r="BG5392" s="3" t="s">
        <v>52562</v>
      </c>
      <c r="BH5392">
        <f t="shared" si="166"/>
        <v>0</v>
      </c>
    </row>
    <row r="5393" spans="1:60" ht="72.5" x14ac:dyDescent="0.35">
      <c r="A5393" s="2" t="s">
        <v>59</v>
      </c>
      <c r="B5393" s="2" t="s">
        <v>60</v>
      </c>
      <c r="C5393" s="2" t="s">
        <v>52563</v>
      </c>
      <c r="D5393" s="2" t="s">
        <v>52564</v>
      </c>
      <c r="E5393" s="2" t="s">
        <v>52565</v>
      </c>
      <c r="F5393" s="3" t="s">
        <v>52566</v>
      </c>
      <c r="G5393" s="3" t="s">
        <v>128</v>
      </c>
      <c r="I5393" s="3" t="s">
        <v>64</v>
      </c>
      <c r="J5393" s="3" t="s">
        <v>64</v>
      </c>
      <c r="K5393" s="3" t="s">
        <v>65</v>
      </c>
      <c r="M5393" s="2" t="s">
        <v>52567</v>
      </c>
      <c r="N5393" s="3" t="s">
        <v>979</v>
      </c>
      <c r="P5393" s="3" t="s">
        <v>365</v>
      </c>
      <c r="Q5393" s="2" t="s">
        <v>52568</v>
      </c>
      <c r="R5393" s="3" t="s">
        <v>70</v>
      </c>
      <c r="S5393" s="4">
        <v>0</v>
      </c>
      <c r="T5393" s="4">
        <v>1</v>
      </c>
      <c r="V5393" s="5" t="s">
        <v>6785</v>
      </c>
      <c r="W5393" s="5" t="s">
        <v>72</v>
      </c>
      <c r="X5393" s="5" t="s">
        <v>72</v>
      </c>
      <c r="Y5393" s="4">
        <v>42</v>
      </c>
      <c r="Z5393" s="4">
        <v>4</v>
      </c>
      <c r="AA5393" s="4">
        <v>4</v>
      </c>
      <c r="AB5393" s="4">
        <v>2</v>
      </c>
      <c r="AC5393" s="4">
        <v>2</v>
      </c>
      <c r="AD5393" s="4">
        <v>28</v>
      </c>
      <c r="AE5393" s="4">
        <v>28</v>
      </c>
      <c r="AF5393" s="4">
        <v>0</v>
      </c>
      <c r="AG5393" s="4">
        <v>0</v>
      </c>
      <c r="AH5393" s="4">
        <v>27</v>
      </c>
      <c r="AI5393" s="4">
        <v>27</v>
      </c>
      <c r="AJ5393" s="4">
        <v>2</v>
      </c>
      <c r="AK5393" s="4">
        <v>2</v>
      </c>
      <c r="AL5393" s="4">
        <v>20</v>
      </c>
      <c r="AM5393" s="4">
        <v>20</v>
      </c>
      <c r="AN5393" s="4">
        <v>0</v>
      </c>
      <c r="AO5393" s="4">
        <v>0</v>
      </c>
      <c r="AP5393" s="4">
        <v>2</v>
      </c>
      <c r="AQ5393" s="4">
        <v>2</v>
      </c>
      <c r="AR5393" s="3" t="s">
        <v>64</v>
      </c>
      <c r="AS5393" s="3" t="s">
        <v>64</v>
      </c>
      <c r="AT5393" s="3" t="s">
        <v>128</v>
      </c>
      <c r="AU5393" s="6" t="str">
        <f t="shared" ref="AU5393:AU5422" si="167">HYPERLINK("http://catalog.hathitrust.org/Record/004155186","HathiTrust Record")</f>
        <v>HathiTrust Record</v>
      </c>
      <c r="AV5393" s="6" t="str">
        <f t="shared" ref="AV5393:AV5422" si="168">HYPERLINK("http://mcgill.on.worldcat.org/oclc/57170194","Catalog Record")</f>
        <v>Catalog Record</v>
      </c>
      <c r="AW5393" s="6" t="str">
        <f t="shared" ref="AW5393:AW5422" si="169">HYPERLINK("http://www.worldcat.org/oclc/57170194","WorldCat Record")</f>
        <v>WorldCat Record</v>
      </c>
      <c r="AX5393" s="3" t="s">
        <v>52569</v>
      </c>
      <c r="AY5393" s="3" t="s">
        <v>52570</v>
      </c>
      <c r="AZ5393" s="3" t="s">
        <v>52571</v>
      </c>
      <c r="BA5393" s="3" t="s">
        <v>52571</v>
      </c>
      <c r="BB5393" s="3" t="s">
        <v>52572</v>
      </c>
      <c r="BC5393" s="3" t="s">
        <v>77</v>
      </c>
      <c r="BD5393" s="3" t="s">
        <v>78</v>
      </c>
      <c r="BE5393" s="3" t="s">
        <v>52573</v>
      </c>
      <c r="BF5393" s="3" t="s">
        <v>52572</v>
      </c>
      <c r="BG5393" s="3" t="s">
        <v>52574</v>
      </c>
      <c r="BH5393">
        <f t="shared" si="166"/>
        <v>0</v>
      </c>
    </row>
    <row r="5394" spans="1:60" ht="72.5" x14ac:dyDescent="0.35">
      <c r="A5394" s="2" t="s">
        <v>59</v>
      </c>
      <c r="B5394" s="2" t="s">
        <v>60</v>
      </c>
      <c r="C5394" s="2" t="s">
        <v>52563</v>
      </c>
      <c r="D5394" s="2" t="s">
        <v>52564</v>
      </c>
      <c r="E5394" s="2" t="s">
        <v>52565</v>
      </c>
      <c r="F5394" s="3" t="s">
        <v>52575</v>
      </c>
      <c r="G5394" s="3" t="s">
        <v>128</v>
      </c>
      <c r="I5394" s="3" t="s">
        <v>64</v>
      </c>
      <c r="J5394" s="3" t="s">
        <v>64</v>
      </c>
      <c r="K5394" s="3" t="s">
        <v>65</v>
      </c>
      <c r="M5394" s="2" t="s">
        <v>52567</v>
      </c>
      <c r="N5394" s="3" t="s">
        <v>979</v>
      </c>
      <c r="P5394" s="3" t="s">
        <v>365</v>
      </c>
      <c r="Q5394" s="2" t="s">
        <v>52568</v>
      </c>
      <c r="R5394" s="3" t="s">
        <v>70</v>
      </c>
      <c r="S5394" s="4">
        <v>0</v>
      </c>
      <c r="T5394" s="4">
        <v>1</v>
      </c>
      <c r="V5394" s="5" t="s">
        <v>6785</v>
      </c>
      <c r="W5394" s="5" t="s">
        <v>72</v>
      </c>
      <c r="X5394" s="5" t="s">
        <v>72</v>
      </c>
      <c r="Y5394" s="4">
        <v>42</v>
      </c>
      <c r="Z5394" s="4">
        <v>4</v>
      </c>
      <c r="AA5394" s="4">
        <v>4</v>
      </c>
      <c r="AB5394" s="4">
        <v>2</v>
      </c>
      <c r="AC5394" s="4">
        <v>2</v>
      </c>
      <c r="AD5394" s="4">
        <v>28</v>
      </c>
      <c r="AE5394" s="4">
        <v>28</v>
      </c>
      <c r="AF5394" s="4">
        <v>0</v>
      </c>
      <c r="AG5394" s="4">
        <v>0</v>
      </c>
      <c r="AH5394" s="4">
        <v>27</v>
      </c>
      <c r="AI5394" s="4">
        <v>27</v>
      </c>
      <c r="AJ5394" s="4">
        <v>2</v>
      </c>
      <c r="AK5394" s="4">
        <v>2</v>
      </c>
      <c r="AL5394" s="4">
        <v>20</v>
      </c>
      <c r="AM5394" s="4">
        <v>20</v>
      </c>
      <c r="AN5394" s="4">
        <v>0</v>
      </c>
      <c r="AO5394" s="4">
        <v>0</v>
      </c>
      <c r="AP5394" s="4">
        <v>2</v>
      </c>
      <c r="AQ5394" s="4">
        <v>2</v>
      </c>
      <c r="AR5394" s="3" t="s">
        <v>64</v>
      </c>
      <c r="AS5394" s="3" t="s">
        <v>64</v>
      </c>
      <c r="AT5394" s="3" t="s">
        <v>128</v>
      </c>
      <c r="AU5394" s="6" t="str">
        <f t="shared" si="167"/>
        <v>HathiTrust Record</v>
      </c>
      <c r="AV5394" s="6" t="str">
        <f t="shared" si="168"/>
        <v>Catalog Record</v>
      </c>
      <c r="AW5394" s="6" t="str">
        <f t="shared" si="169"/>
        <v>WorldCat Record</v>
      </c>
      <c r="AX5394" s="3" t="s">
        <v>52569</v>
      </c>
      <c r="AY5394" s="3" t="s">
        <v>52570</v>
      </c>
      <c r="AZ5394" s="3" t="s">
        <v>52571</v>
      </c>
      <c r="BA5394" s="3" t="s">
        <v>52571</v>
      </c>
      <c r="BB5394" s="3" t="s">
        <v>52576</v>
      </c>
      <c r="BC5394" s="3" t="s">
        <v>77</v>
      </c>
      <c r="BD5394" s="3" t="s">
        <v>78</v>
      </c>
      <c r="BE5394" s="3" t="s">
        <v>52573</v>
      </c>
      <c r="BF5394" s="3" t="s">
        <v>52576</v>
      </c>
      <c r="BG5394" s="3" t="s">
        <v>52577</v>
      </c>
      <c r="BH5394">
        <f t="shared" si="166"/>
        <v>0</v>
      </c>
    </row>
    <row r="5395" spans="1:60" ht="72.5" x14ac:dyDescent="0.35">
      <c r="A5395" s="2" t="s">
        <v>59</v>
      </c>
      <c r="B5395" s="2" t="s">
        <v>60</v>
      </c>
      <c r="C5395" s="2" t="s">
        <v>52563</v>
      </c>
      <c r="D5395" s="2" t="s">
        <v>52564</v>
      </c>
      <c r="E5395" s="2" t="s">
        <v>52565</v>
      </c>
      <c r="F5395" s="3" t="s">
        <v>52578</v>
      </c>
      <c r="G5395" s="3" t="s">
        <v>128</v>
      </c>
      <c r="I5395" s="3" t="s">
        <v>64</v>
      </c>
      <c r="J5395" s="3" t="s">
        <v>64</v>
      </c>
      <c r="K5395" s="3" t="s">
        <v>65</v>
      </c>
      <c r="M5395" s="2" t="s">
        <v>52567</v>
      </c>
      <c r="N5395" s="3" t="s">
        <v>979</v>
      </c>
      <c r="P5395" s="3" t="s">
        <v>365</v>
      </c>
      <c r="Q5395" s="2" t="s">
        <v>52568</v>
      </c>
      <c r="R5395" s="3" t="s">
        <v>70</v>
      </c>
      <c r="S5395" s="4">
        <v>0</v>
      </c>
      <c r="T5395" s="4">
        <v>1</v>
      </c>
      <c r="V5395" s="5" t="s">
        <v>6785</v>
      </c>
      <c r="W5395" s="5" t="s">
        <v>72</v>
      </c>
      <c r="X5395" s="5" t="s">
        <v>72</v>
      </c>
      <c r="Y5395" s="4">
        <v>42</v>
      </c>
      <c r="Z5395" s="4">
        <v>4</v>
      </c>
      <c r="AA5395" s="4">
        <v>4</v>
      </c>
      <c r="AB5395" s="4">
        <v>2</v>
      </c>
      <c r="AC5395" s="4">
        <v>2</v>
      </c>
      <c r="AD5395" s="4">
        <v>28</v>
      </c>
      <c r="AE5395" s="4">
        <v>28</v>
      </c>
      <c r="AF5395" s="4">
        <v>0</v>
      </c>
      <c r="AG5395" s="4">
        <v>0</v>
      </c>
      <c r="AH5395" s="4">
        <v>27</v>
      </c>
      <c r="AI5395" s="4">
        <v>27</v>
      </c>
      <c r="AJ5395" s="4">
        <v>2</v>
      </c>
      <c r="AK5395" s="4">
        <v>2</v>
      </c>
      <c r="AL5395" s="4">
        <v>20</v>
      </c>
      <c r="AM5395" s="4">
        <v>20</v>
      </c>
      <c r="AN5395" s="4">
        <v>0</v>
      </c>
      <c r="AO5395" s="4">
        <v>0</v>
      </c>
      <c r="AP5395" s="4">
        <v>2</v>
      </c>
      <c r="AQ5395" s="4">
        <v>2</v>
      </c>
      <c r="AR5395" s="3" t="s">
        <v>64</v>
      </c>
      <c r="AS5395" s="3" t="s">
        <v>64</v>
      </c>
      <c r="AT5395" s="3" t="s">
        <v>128</v>
      </c>
      <c r="AU5395" s="6" t="str">
        <f t="shared" si="167"/>
        <v>HathiTrust Record</v>
      </c>
      <c r="AV5395" s="6" t="str">
        <f t="shared" si="168"/>
        <v>Catalog Record</v>
      </c>
      <c r="AW5395" s="6" t="str">
        <f t="shared" si="169"/>
        <v>WorldCat Record</v>
      </c>
      <c r="AX5395" s="3" t="s">
        <v>52569</v>
      </c>
      <c r="AY5395" s="3" t="s">
        <v>52570</v>
      </c>
      <c r="AZ5395" s="3" t="s">
        <v>52571</v>
      </c>
      <c r="BA5395" s="3" t="s">
        <v>52571</v>
      </c>
      <c r="BB5395" s="3" t="s">
        <v>52579</v>
      </c>
      <c r="BC5395" s="3" t="s">
        <v>77</v>
      </c>
      <c r="BD5395" s="3" t="s">
        <v>78</v>
      </c>
      <c r="BE5395" s="3" t="s">
        <v>52573</v>
      </c>
      <c r="BF5395" s="3" t="s">
        <v>52579</v>
      </c>
      <c r="BG5395" s="3" t="s">
        <v>52580</v>
      </c>
      <c r="BH5395">
        <f t="shared" si="166"/>
        <v>0</v>
      </c>
    </row>
    <row r="5396" spans="1:60" ht="72.5" x14ac:dyDescent="0.35">
      <c r="A5396" s="2" t="s">
        <v>59</v>
      </c>
      <c r="B5396" s="2" t="s">
        <v>60</v>
      </c>
      <c r="C5396" s="2" t="s">
        <v>52563</v>
      </c>
      <c r="D5396" s="2" t="s">
        <v>52564</v>
      </c>
      <c r="E5396" s="2" t="s">
        <v>52565</v>
      </c>
      <c r="F5396" s="3" t="s">
        <v>52581</v>
      </c>
      <c r="G5396" s="3" t="s">
        <v>128</v>
      </c>
      <c r="I5396" s="3" t="s">
        <v>64</v>
      </c>
      <c r="J5396" s="3" t="s">
        <v>64</v>
      </c>
      <c r="K5396" s="3" t="s">
        <v>65</v>
      </c>
      <c r="M5396" s="2" t="s">
        <v>52567</v>
      </c>
      <c r="N5396" s="3" t="s">
        <v>979</v>
      </c>
      <c r="P5396" s="3" t="s">
        <v>365</v>
      </c>
      <c r="Q5396" s="2" t="s">
        <v>52568</v>
      </c>
      <c r="R5396" s="3" t="s">
        <v>70</v>
      </c>
      <c r="S5396" s="4">
        <v>0</v>
      </c>
      <c r="T5396" s="4">
        <v>1</v>
      </c>
      <c r="V5396" s="5" t="s">
        <v>6785</v>
      </c>
      <c r="W5396" s="5" t="s">
        <v>72</v>
      </c>
      <c r="X5396" s="5" t="s">
        <v>72</v>
      </c>
      <c r="Y5396" s="4">
        <v>42</v>
      </c>
      <c r="Z5396" s="4">
        <v>4</v>
      </c>
      <c r="AA5396" s="4">
        <v>4</v>
      </c>
      <c r="AB5396" s="4">
        <v>2</v>
      </c>
      <c r="AC5396" s="4">
        <v>2</v>
      </c>
      <c r="AD5396" s="4">
        <v>28</v>
      </c>
      <c r="AE5396" s="4">
        <v>28</v>
      </c>
      <c r="AF5396" s="4">
        <v>0</v>
      </c>
      <c r="AG5396" s="4">
        <v>0</v>
      </c>
      <c r="AH5396" s="4">
        <v>27</v>
      </c>
      <c r="AI5396" s="4">
        <v>27</v>
      </c>
      <c r="AJ5396" s="4">
        <v>2</v>
      </c>
      <c r="AK5396" s="4">
        <v>2</v>
      </c>
      <c r="AL5396" s="4">
        <v>20</v>
      </c>
      <c r="AM5396" s="4">
        <v>20</v>
      </c>
      <c r="AN5396" s="4">
        <v>0</v>
      </c>
      <c r="AO5396" s="4">
        <v>0</v>
      </c>
      <c r="AP5396" s="4">
        <v>2</v>
      </c>
      <c r="AQ5396" s="4">
        <v>2</v>
      </c>
      <c r="AR5396" s="3" t="s">
        <v>64</v>
      </c>
      <c r="AS5396" s="3" t="s">
        <v>64</v>
      </c>
      <c r="AT5396" s="3" t="s">
        <v>128</v>
      </c>
      <c r="AU5396" s="6" t="str">
        <f t="shared" si="167"/>
        <v>HathiTrust Record</v>
      </c>
      <c r="AV5396" s="6" t="str">
        <f t="shared" si="168"/>
        <v>Catalog Record</v>
      </c>
      <c r="AW5396" s="6" t="str">
        <f t="shared" si="169"/>
        <v>WorldCat Record</v>
      </c>
      <c r="AX5396" s="3" t="s">
        <v>52569</v>
      </c>
      <c r="AY5396" s="3" t="s">
        <v>52570</v>
      </c>
      <c r="AZ5396" s="3" t="s">
        <v>52571</v>
      </c>
      <c r="BA5396" s="3" t="s">
        <v>52571</v>
      </c>
      <c r="BB5396" s="3" t="s">
        <v>52582</v>
      </c>
      <c r="BC5396" s="3" t="s">
        <v>77</v>
      </c>
      <c r="BD5396" s="3" t="s">
        <v>78</v>
      </c>
      <c r="BE5396" s="3" t="s">
        <v>52573</v>
      </c>
      <c r="BF5396" s="3" t="s">
        <v>52582</v>
      </c>
      <c r="BG5396" s="3" t="s">
        <v>52583</v>
      </c>
      <c r="BH5396">
        <f t="shared" si="166"/>
        <v>0</v>
      </c>
    </row>
    <row r="5397" spans="1:60" ht="72.5" x14ac:dyDescent="0.35">
      <c r="A5397" s="2" t="s">
        <v>59</v>
      </c>
      <c r="B5397" s="2" t="s">
        <v>60</v>
      </c>
      <c r="C5397" s="2" t="s">
        <v>52563</v>
      </c>
      <c r="D5397" s="2" t="s">
        <v>52564</v>
      </c>
      <c r="E5397" s="2" t="s">
        <v>52565</v>
      </c>
      <c r="F5397" s="3" t="s">
        <v>52584</v>
      </c>
      <c r="G5397" s="3" t="s">
        <v>128</v>
      </c>
      <c r="I5397" s="3" t="s">
        <v>64</v>
      </c>
      <c r="J5397" s="3" t="s">
        <v>64</v>
      </c>
      <c r="K5397" s="3" t="s">
        <v>65</v>
      </c>
      <c r="M5397" s="2" t="s">
        <v>52567</v>
      </c>
      <c r="N5397" s="3" t="s">
        <v>979</v>
      </c>
      <c r="P5397" s="3" t="s">
        <v>365</v>
      </c>
      <c r="Q5397" s="2" t="s">
        <v>52568</v>
      </c>
      <c r="R5397" s="3" t="s">
        <v>70</v>
      </c>
      <c r="S5397" s="4">
        <v>0</v>
      </c>
      <c r="T5397" s="4">
        <v>1</v>
      </c>
      <c r="V5397" s="5" t="s">
        <v>6785</v>
      </c>
      <c r="W5397" s="5" t="s">
        <v>72</v>
      </c>
      <c r="X5397" s="5" t="s">
        <v>72</v>
      </c>
      <c r="Y5397" s="4">
        <v>42</v>
      </c>
      <c r="Z5397" s="4">
        <v>4</v>
      </c>
      <c r="AA5397" s="4">
        <v>4</v>
      </c>
      <c r="AB5397" s="4">
        <v>2</v>
      </c>
      <c r="AC5397" s="4">
        <v>2</v>
      </c>
      <c r="AD5397" s="4">
        <v>28</v>
      </c>
      <c r="AE5397" s="4">
        <v>28</v>
      </c>
      <c r="AF5397" s="4">
        <v>0</v>
      </c>
      <c r="AG5397" s="4">
        <v>0</v>
      </c>
      <c r="AH5397" s="4">
        <v>27</v>
      </c>
      <c r="AI5397" s="4">
        <v>27</v>
      </c>
      <c r="AJ5397" s="4">
        <v>2</v>
      </c>
      <c r="AK5397" s="4">
        <v>2</v>
      </c>
      <c r="AL5397" s="4">
        <v>20</v>
      </c>
      <c r="AM5397" s="4">
        <v>20</v>
      </c>
      <c r="AN5397" s="4">
        <v>0</v>
      </c>
      <c r="AO5397" s="4">
        <v>0</v>
      </c>
      <c r="AP5397" s="4">
        <v>2</v>
      </c>
      <c r="AQ5397" s="4">
        <v>2</v>
      </c>
      <c r="AR5397" s="3" t="s">
        <v>64</v>
      </c>
      <c r="AS5397" s="3" t="s">
        <v>64</v>
      </c>
      <c r="AT5397" s="3" t="s">
        <v>128</v>
      </c>
      <c r="AU5397" s="6" t="str">
        <f t="shared" si="167"/>
        <v>HathiTrust Record</v>
      </c>
      <c r="AV5397" s="6" t="str">
        <f t="shared" si="168"/>
        <v>Catalog Record</v>
      </c>
      <c r="AW5397" s="6" t="str">
        <f t="shared" si="169"/>
        <v>WorldCat Record</v>
      </c>
      <c r="AX5397" s="3" t="s">
        <v>52569</v>
      </c>
      <c r="AY5397" s="3" t="s">
        <v>52570</v>
      </c>
      <c r="AZ5397" s="3" t="s">
        <v>52571</v>
      </c>
      <c r="BA5397" s="3" t="s">
        <v>52571</v>
      </c>
      <c r="BB5397" s="3" t="s">
        <v>52585</v>
      </c>
      <c r="BC5397" s="3" t="s">
        <v>77</v>
      </c>
      <c r="BD5397" s="3" t="s">
        <v>78</v>
      </c>
      <c r="BE5397" s="3" t="s">
        <v>52573</v>
      </c>
      <c r="BF5397" s="3" t="s">
        <v>52585</v>
      </c>
      <c r="BG5397" s="3" t="s">
        <v>52586</v>
      </c>
      <c r="BH5397">
        <f t="shared" si="166"/>
        <v>0</v>
      </c>
    </row>
    <row r="5398" spans="1:60" ht="72.5" x14ac:dyDescent="0.35">
      <c r="A5398" s="2" t="s">
        <v>59</v>
      </c>
      <c r="B5398" s="2" t="s">
        <v>60</v>
      </c>
      <c r="C5398" s="2" t="s">
        <v>52563</v>
      </c>
      <c r="D5398" s="2" t="s">
        <v>52564</v>
      </c>
      <c r="E5398" s="2" t="s">
        <v>52565</v>
      </c>
      <c r="F5398" s="3" t="s">
        <v>52587</v>
      </c>
      <c r="G5398" s="3" t="s">
        <v>128</v>
      </c>
      <c r="I5398" s="3" t="s">
        <v>64</v>
      </c>
      <c r="J5398" s="3" t="s">
        <v>64</v>
      </c>
      <c r="K5398" s="3" t="s">
        <v>65</v>
      </c>
      <c r="M5398" s="2" t="s">
        <v>52567</v>
      </c>
      <c r="N5398" s="3" t="s">
        <v>979</v>
      </c>
      <c r="P5398" s="3" t="s">
        <v>365</v>
      </c>
      <c r="Q5398" s="2" t="s">
        <v>52568</v>
      </c>
      <c r="R5398" s="3" t="s">
        <v>70</v>
      </c>
      <c r="S5398" s="4">
        <v>0</v>
      </c>
      <c r="T5398" s="4">
        <v>1</v>
      </c>
      <c r="V5398" s="5" t="s">
        <v>6785</v>
      </c>
      <c r="W5398" s="5" t="s">
        <v>72</v>
      </c>
      <c r="X5398" s="5" t="s">
        <v>72</v>
      </c>
      <c r="Y5398" s="4">
        <v>42</v>
      </c>
      <c r="Z5398" s="4">
        <v>4</v>
      </c>
      <c r="AA5398" s="4">
        <v>4</v>
      </c>
      <c r="AB5398" s="4">
        <v>2</v>
      </c>
      <c r="AC5398" s="4">
        <v>2</v>
      </c>
      <c r="AD5398" s="4">
        <v>28</v>
      </c>
      <c r="AE5398" s="4">
        <v>28</v>
      </c>
      <c r="AF5398" s="4">
        <v>0</v>
      </c>
      <c r="AG5398" s="4">
        <v>0</v>
      </c>
      <c r="AH5398" s="4">
        <v>27</v>
      </c>
      <c r="AI5398" s="4">
        <v>27</v>
      </c>
      <c r="AJ5398" s="4">
        <v>2</v>
      </c>
      <c r="AK5398" s="4">
        <v>2</v>
      </c>
      <c r="AL5398" s="4">
        <v>20</v>
      </c>
      <c r="AM5398" s="4">
        <v>20</v>
      </c>
      <c r="AN5398" s="4">
        <v>0</v>
      </c>
      <c r="AO5398" s="4">
        <v>0</v>
      </c>
      <c r="AP5398" s="4">
        <v>2</v>
      </c>
      <c r="AQ5398" s="4">
        <v>2</v>
      </c>
      <c r="AR5398" s="3" t="s">
        <v>64</v>
      </c>
      <c r="AS5398" s="3" t="s">
        <v>64</v>
      </c>
      <c r="AT5398" s="3" t="s">
        <v>128</v>
      </c>
      <c r="AU5398" s="6" t="str">
        <f t="shared" si="167"/>
        <v>HathiTrust Record</v>
      </c>
      <c r="AV5398" s="6" t="str">
        <f t="shared" si="168"/>
        <v>Catalog Record</v>
      </c>
      <c r="AW5398" s="6" t="str">
        <f t="shared" si="169"/>
        <v>WorldCat Record</v>
      </c>
      <c r="AX5398" s="3" t="s">
        <v>52569</v>
      </c>
      <c r="AY5398" s="3" t="s">
        <v>52570</v>
      </c>
      <c r="AZ5398" s="3" t="s">
        <v>52571</v>
      </c>
      <c r="BA5398" s="3" t="s">
        <v>52571</v>
      </c>
      <c r="BB5398" s="3" t="s">
        <v>52588</v>
      </c>
      <c r="BC5398" s="3" t="s">
        <v>77</v>
      </c>
      <c r="BD5398" s="3" t="s">
        <v>78</v>
      </c>
      <c r="BE5398" s="3" t="s">
        <v>52573</v>
      </c>
      <c r="BF5398" s="3" t="s">
        <v>52588</v>
      </c>
      <c r="BG5398" s="3" t="s">
        <v>52589</v>
      </c>
      <c r="BH5398">
        <f t="shared" si="166"/>
        <v>0</v>
      </c>
    </row>
    <row r="5399" spans="1:60" ht="72.5" x14ac:dyDescent="0.35">
      <c r="A5399" s="2" t="s">
        <v>59</v>
      </c>
      <c r="B5399" s="2" t="s">
        <v>60</v>
      </c>
      <c r="C5399" s="2" t="s">
        <v>52563</v>
      </c>
      <c r="D5399" s="2" t="s">
        <v>52564</v>
      </c>
      <c r="E5399" s="2" t="s">
        <v>52565</v>
      </c>
      <c r="F5399" s="3" t="s">
        <v>52590</v>
      </c>
      <c r="G5399" s="3" t="s">
        <v>128</v>
      </c>
      <c r="I5399" s="3" t="s">
        <v>64</v>
      </c>
      <c r="J5399" s="3" t="s">
        <v>64</v>
      </c>
      <c r="K5399" s="3" t="s">
        <v>65</v>
      </c>
      <c r="M5399" s="2" t="s">
        <v>52567</v>
      </c>
      <c r="N5399" s="3" t="s">
        <v>979</v>
      </c>
      <c r="P5399" s="3" t="s">
        <v>365</v>
      </c>
      <c r="Q5399" s="2" t="s">
        <v>52568</v>
      </c>
      <c r="R5399" s="3" t="s">
        <v>70</v>
      </c>
      <c r="S5399" s="4">
        <v>0</v>
      </c>
      <c r="T5399" s="4">
        <v>1</v>
      </c>
      <c r="V5399" s="5" t="s">
        <v>6785</v>
      </c>
      <c r="W5399" s="5" t="s">
        <v>72</v>
      </c>
      <c r="X5399" s="5" t="s">
        <v>72</v>
      </c>
      <c r="Y5399" s="4">
        <v>42</v>
      </c>
      <c r="Z5399" s="4">
        <v>4</v>
      </c>
      <c r="AA5399" s="4">
        <v>4</v>
      </c>
      <c r="AB5399" s="4">
        <v>2</v>
      </c>
      <c r="AC5399" s="4">
        <v>2</v>
      </c>
      <c r="AD5399" s="4">
        <v>28</v>
      </c>
      <c r="AE5399" s="4">
        <v>28</v>
      </c>
      <c r="AF5399" s="4">
        <v>0</v>
      </c>
      <c r="AG5399" s="4">
        <v>0</v>
      </c>
      <c r="AH5399" s="4">
        <v>27</v>
      </c>
      <c r="AI5399" s="4">
        <v>27</v>
      </c>
      <c r="AJ5399" s="4">
        <v>2</v>
      </c>
      <c r="AK5399" s="4">
        <v>2</v>
      </c>
      <c r="AL5399" s="4">
        <v>20</v>
      </c>
      <c r="AM5399" s="4">
        <v>20</v>
      </c>
      <c r="AN5399" s="4">
        <v>0</v>
      </c>
      <c r="AO5399" s="4">
        <v>0</v>
      </c>
      <c r="AP5399" s="4">
        <v>2</v>
      </c>
      <c r="AQ5399" s="4">
        <v>2</v>
      </c>
      <c r="AR5399" s="3" t="s">
        <v>64</v>
      </c>
      <c r="AS5399" s="3" t="s">
        <v>64</v>
      </c>
      <c r="AT5399" s="3" t="s">
        <v>128</v>
      </c>
      <c r="AU5399" s="6" t="str">
        <f t="shared" si="167"/>
        <v>HathiTrust Record</v>
      </c>
      <c r="AV5399" s="6" t="str">
        <f t="shared" si="168"/>
        <v>Catalog Record</v>
      </c>
      <c r="AW5399" s="6" t="str">
        <f t="shared" si="169"/>
        <v>WorldCat Record</v>
      </c>
      <c r="AX5399" s="3" t="s">
        <v>52569</v>
      </c>
      <c r="AY5399" s="3" t="s">
        <v>52570</v>
      </c>
      <c r="AZ5399" s="3" t="s">
        <v>52571</v>
      </c>
      <c r="BA5399" s="3" t="s">
        <v>52571</v>
      </c>
      <c r="BB5399" s="3" t="s">
        <v>52591</v>
      </c>
      <c r="BC5399" s="3" t="s">
        <v>77</v>
      </c>
      <c r="BD5399" s="3" t="s">
        <v>78</v>
      </c>
      <c r="BE5399" s="3" t="s">
        <v>52573</v>
      </c>
      <c r="BF5399" s="3" t="s">
        <v>52591</v>
      </c>
      <c r="BG5399" s="3" t="s">
        <v>52592</v>
      </c>
      <c r="BH5399">
        <f t="shared" si="166"/>
        <v>0</v>
      </c>
    </row>
    <row r="5400" spans="1:60" ht="72.5" x14ac:dyDescent="0.35">
      <c r="A5400" s="2" t="s">
        <v>59</v>
      </c>
      <c r="B5400" s="2" t="s">
        <v>60</v>
      </c>
      <c r="C5400" s="2" t="s">
        <v>52563</v>
      </c>
      <c r="D5400" s="2" t="s">
        <v>52564</v>
      </c>
      <c r="E5400" s="2" t="s">
        <v>52565</v>
      </c>
      <c r="F5400" s="3" t="s">
        <v>52593</v>
      </c>
      <c r="G5400" s="3" t="s">
        <v>128</v>
      </c>
      <c r="I5400" s="3" t="s">
        <v>64</v>
      </c>
      <c r="J5400" s="3" t="s">
        <v>64</v>
      </c>
      <c r="K5400" s="3" t="s">
        <v>65</v>
      </c>
      <c r="M5400" s="2" t="s">
        <v>52567</v>
      </c>
      <c r="N5400" s="3" t="s">
        <v>979</v>
      </c>
      <c r="P5400" s="3" t="s">
        <v>365</v>
      </c>
      <c r="Q5400" s="2" t="s">
        <v>52568</v>
      </c>
      <c r="R5400" s="3" t="s">
        <v>70</v>
      </c>
      <c r="S5400" s="4">
        <v>0</v>
      </c>
      <c r="T5400" s="4">
        <v>1</v>
      </c>
      <c r="V5400" s="5" t="s">
        <v>6785</v>
      </c>
      <c r="W5400" s="5" t="s">
        <v>72</v>
      </c>
      <c r="X5400" s="5" t="s">
        <v>72</v>
      </c>
      <c r="Y5400" s="4">
        <v>42</v>
      </c>
      <c r="Z5400" s="4">
        <v>4</v>
      </c>
      <c r="AA5400" s="4">
        <v>4</v>
      </c>
      <c r="AB5400" s="4">
        <v>2</v>
      </c>
      <c r="AC5400" s="4">
        <v>2</v>
      </c>
      <c r="AD5400" s="4">
        <v>28</v>
      </c>
      <c r="AE5400" s="4">
        <v>28</v>
      </c>
      <c r="AF5400" s="4">
        <v>0</v>
      </c>
      <c r="AG5400" s="4">
        <v>0</v>
      </c>
      <c r="AH5400" s="4">
        <v>27</v>
      </c>
      <c r="AI5400" s="4">
        <v>27</v>
      </c>
      <c r="AJ5400" s="4">
        <v>2</v>
      </c>
      <c r="AK5400" s="4">
        <v>2</v>
      </c>
      <c r="AL5400" s="4">
        <v>20</v>
      </c>
      <c r="AM5400" s="4">
        <v>20</v>
      </c>
      <c r="AN5400" s="4">
        <v>0</v>
      </c>
      <c r="AO5400" s="4">
        <v>0</v>
      </c>
      <c r="AP5400" s="4">
        <v>2</v>
      </c>
      <c r="AQ5400" s="4">
        <v>2</v>
      </c>
      <c r="AR5400" s="3" t="s">
        <v>64</v>
      </c>
      <c r="AS5400" s="3" t="s">
        <v>64</v>
      </c>
      <c r="AT5400" s="3" t="s">
        <v>128</v>
      </c>
      <c r="AU5400" s="6" t="str">
        <f t="shared" si="167"/>
        <v>HathiTrust Record</v>
      </c>
      <c r="AV5400" s="6" t="str">
        <f t="shared" si="168"/>
        <v>Catalog Record</v>
      </c>
      <c r="AW5400" s="6" t="str">
        <f t="shared" si="169"/>
        <v>WorldCat Record</v>
      </c>
      <c r="AX5400" s="3" t="s">
        <v>52569</v>
      </c>
      <c r="AY5400" s="3" t="s">
        <v>52570</v>
      </c>
      <c r="AZ5400" s="3" t="s">
        <v>52571</v>
      </c>
      <c r="BA5400" s="3" t="s">
        <v>52571</v>
      </c>
      <c r="BB5400" s="3" t="s">
        <v>52594</v>
      </c>
      <c r="BC5400" s="3" t="s">
        <v>77</v>
      </c>
      <c r="BD5400" s="3" t="s">
        <v>78</v>
      </c>
      <c r="BE5400" s="3" t="s">
        <v>52573</v>
      </c>
      <c r="BF5400" s="3" t="s">
        <v>52594</v>
      </c>
      <c r="BG5400" s="3" t="s">
        <v>52595</v>
      </c>
      <c r="BH5400">
        <f t="shared" si="166"/>
        <v>0</v>
      </c>
    </row>
    <row r="5401" spans="1:60" ht="72.5" x14ac:dyDescent="0.35">
      <c r="A5401" s="2" t="s">
        <v>59</v>
      </c>
      <c r="B5401" s="2" t="s">
        <v>60</v>
      </c>
      <c r="C5401" s="2" t="s">
        <v>52563</v>
      </c>
      <c r="D5401" s="2" t="s">
        <v>52564</v>
      </c>
      <c r="E5401" s="2" t="s">
        <v>52565</v>
      </c>
      <c r="F5401" s="3" t="s">
        <v>52596</v>
      </c>
      <c r="G5401" s="3" t="s">
        <v>128</v>
      </c>
      <c r="I5401" s="3" t="s">
        <v>64</v>
      </c>
      <c r="J5401" s="3" t="s">
        <v>64</v>
      </c>
      <c r="K5401" s="3" t="s">
        <v>65</v>
      </c>
      <c r="M5401" s="2" t="s">
        <v>52567</v>
      </c>
      <c r="N5401" s="3" t="s">
        <v>979</v>
      </c>
      <c r="P5401" s="3" t="s">
        <v>365</v>
      </c>
      <c r="Q5401" s="2" t="s">
        <v>52568</v>
      </c>
      <c r="R5401" s="3" t="s">
        <v>70</v>
      </c>
      <c r="S5401" s="4">
        <v>0</v>
      </c>
      <c r="T5401" s="4">
        <v>1</v>
      </c>
      <c r="V5401" s="5" t="s">
        <v>6785</v>
      </c>
      <c r="W5401" s="5" t="s">
        <v>72</v>
      </c>
      <c r="X5401" s="5" t="s">
        <v>72</v>
      </c>
      <c r="Y5401" s="4">
        <v>42</v>
      </c>
      <c r="Z5401" s="4">
        <v>4</v>
      </c>
      <c r="AA5401" s="4">
        <v>4</v>
      </c>
      <c r="AB5401" s="4">
        <v>2</v>
      </c>
      <c r="AC5401" s="4">
        <v>2</v>
      </c>
      <c r="AD5401" s="4">
        <v>28</v>
      </c>
      <c r="AE5401" s="4">
        <v>28</v>
      </c>
      <c r="AF5401" s="4">
        <v>0</v>
      </c>
      <c r="AG5401" s="4">
        <v>0</v>
      </c>
      <c r="AH5401" s="4">
        <v>27</v>
      </c>
      <c r="AI5401" s="4">
        <v>27</v>
      </c>
      <c r="AJ5401" s="4">
        <v>2</v>
      </c>
      <c r="AK5401" s="4">
        <v>2</v>
      </c>
      <c r="AL5401" s="4">
        <v>20</v>
      </c>
      <c r="AM5401" s="4">
        <v>20</v>
      </c>
      <c r="AN5401" s="4">
        <v>0</v>
      </c>
      <c r="AO5401" s="4">
        <v>0</v>
      </c>
      <c r="AP5401" s="4">
        <v>2</v>
      </c>
      <c r="AQ5401" s="4">
        <v>2</v>
      </c>
      <c r="AR5401" s="3" t="s">
        <v>64</v>
      </c>
      <c r="AS5401" s="3" t="s">
        <v>64</v>
      </c>
      <c r="AT5401" s="3" t="s">
        <v>128</v>
      </c>
      <c r="AU5401" s="6" t="str">
        <f t="shared" si="167"/>
        <v>HathiTrust Record</v>
      </c>
      <c r="AV5401" s="6" t="str">
        <f t="shared" si="168"/>
        <v>Catalog Record</v>
      </c>
      <c r="AW5401" s="6" t="str">
        <f t="shared" si="169"/>
        <v>WorldCat Record</v>
      </c>
      <c r="AX5401" s="3" t="s">
        <v>52569</v>
      </c>
      <c r="AY5401" s="3" t="s">
        <v>52570</v>
      </c>
      <c r="AZ5401" s="3" t="s">
        <v>52571</v>
      </c>
      <c r="BA5401" s="3" t="s">
        <v>52571</v>
      </c>
      <c r="BB5401" s="3" t="s">
        <v>52597</v>
      </c>
      <c r="BC5401" s="3" t="s">
        <v>77</v>
      </c>
      <c r="BD5401" s="3" t="s">
        <v>78</v>
      </c>
      <c r="BE5401" s="3" t="s">
        <v>52573</v>
      </c>
      <c r="BF5401" s="3" t="s">
        <v>52597</v>
      </c>
      <c r="BG5401" s="3" t="s">
        <v>52598</v>
      </c>
      <c r="BH5401">
        <f t="shared" si="166"/>
        <v>0</v>
      </c>
    </row>
    <row r="5402" spans="1:60" ht="72.5" x14ac:dyDescent="0.35">
      <c r="A5402" s="2" t="s">
        <v>59</v>
      </c>
      <c r="B5402" s="2" t="s">
        <v>60</v>
      </c>
      <c r="C5402" s="2" t="s">
        <v>52563</v>
      </c>
      <c r="D5402" s="2" t="s">
        <v>52564</v>
      </c>
      <c r="E5402" s="2" t="s">
        <v>52565</v>
      </c>
      <c r="F5402" s="3" t="s">
        <v>52599</v>
      </c>
      <c r="G5402" s="3" t="s">
        <v>128</v>
      </c>
      <c r="I5402" s="3" t="s">
        <v>64</v>
      </c>
      <c r="J5402" s="3" t="s">
        <v>64</v>
      </c>
      <c r="K5402" s="3" t="s">
        <v>65</v>
      </c>
      <c r="M5402" s="2" t="s">
        <v>52567</v>
      </c>
      <c r="N5402" s="3" t="s">
        <v>979</v>
      </c>
      <c r="P5402" s="3" t="s">
        <v>365</v>
      </c>
      <c r="Q5402" s="2" t="s">
        <v>52568</v>
      </c>
      <c r="R5402" s="3" t="s">
        <v>70</v>
      </c>
      <c r="S5402" s="4">
        <v>0</v>
      </c>
      <c r="T5402" s="4">
        <v>1</v>
      </c>
      <c r="V5402" s="5" t="s">
        <v>6785</v>
      </c>
      <c r="W5402" s="5" t="s">
        <v>72</v>
      </c>
      <c r="X5402" s="5" t="s">
        <v>72</v>
      </c>
      <c r="Y5402" s="4">
        <v>42</v>
      </c>
      <c r="Z5402" s="4">
        <v>4</v>
      </c>
      <c r="AA5402" s="4">
        <v>4</v>
      </c>
      <c r="AB5402" s="4">
        <v>2</v>
      </c>
      <c r="AC5402" s="4">
        <v>2</v>
      </c>
      <c r="AD5402" s="4">
        <v>28</v>
      </c>
      <c r="AE5402" s="4">
        <v>28</v>
      </c>
      <c r="AF5402" s="4">
        <v>0</v>
      </c>
      <c r="AG5402" s="4">
        <v>0</v>
      </c>
      <c r="AH5402" s="4">
        <v>27</v>
      </c>
      <c r="AI5402" s="4">
        <v>27</v>
      </c>
      <c r="AJ5402" s="4">
        <v>2</v>
      </c>
      <c r="AK5402" s="4">
        <v>2</v>
      </c>
      <c r="AL5402" s="4">
        <v>20</v>
      </c>
      <c r="AM5402" s="4">
        <v>20</v>
      </c>
      <c r="AN5402" s="4">
        <v>0</v>
      </c>
      <c r="AO5402" s="4">
        <v>0</v>
      </c>
      <c r="AP5402" s="4">
        <v>2</v>
      </c>
      <c r="AQ5402" s="4">
        <v>2</v>
      </c>
      <c r="AR5402" s="3" t="s">
        <v>64</v>
      </c>
      <c r="AS5402" s="3" t="s">
        <v>64</v>
      </c>
      <c r="AT5402" s="3" t="s">
        <v>128</v>
      </c>
      <c r="AU5402" s="6" t="str">
        <f t="shared" si="167"/>
        <v>HathiTrust Record</v>
      </c>
      <c r="AV5402" s="6" t="str">
        <f t="shared" si="168"/>
        <v>Catalog Record</v>
      </c>
      <c r="AW5402" s="6" t="str">
        <f t="shared" si="169"/>
        <v>WorldCat Record</v>
      </c>
      <c r="AX5402" s="3" t="s">
        <v>52569</v>
      </c>
      <c r="AY5402" s="3" t="s">
        <v>52570</v>
      </c>
      <c r="AZ5402" s="3" t="s">
        <v>52571</v>
      </c>
      <c r="BA5402" s="3" t="s">
        <v>52571</v>
      </c>
      <c r="BB5402" s="3" t="s">
        <v>52600</v>
      </c>
      <c r="BC5402" s="3" t="s">
        <v>77</v>
      </c>
      <c r="BD5402" s="3" t="s">
        <v>78</v>
      </c>
      <c r="BE5402" s="3" t="s">
        <v>52573</v>
      </c>
      <c r="BF5402" s="3" t="s">
        <v>52600</v>
      </c>
      <c r="BG5402" s="3" t="s">
        <v>52601</v>
      </c>
      <c r="BH5402">
        <f t="shared" si="166"/>
        <v>0</v>
      </c>
    </row>
    <row r="5403" spans="1:60" ht="72.5" x14ac:dyDescent="0.35">
      <c r="A5403" s="2" t="s">
        <v>59</v>
      </c>
      <c r="B5403" s="2" t="s">
        <v>60</v>
      </c>
      <c r="C5403" s="2" t="s">
        <v>52563</v>
      </c>
      <c r="D5403" s="2" t="s">
        <v>52564</v>
      </c>
      <c r="E5403" s="2" t="s">
        <v>52565</v>
      </c>
      <c r="F5403" s="3" t="s">
        <v>52602</v>
      </c>
      <c r="G5403" s="3" t="s">
        <v>128</v>
      </c>
      <c r="I5403" s="3" t="s">
        <v>64</v>
      </c>
      <c r="J5403" s="3" t="s">
        <v>64</v>
      </c>
      <c r="K5403" s="3" t="s">
        <v>65</v>
      </c>
      <c r="M5403" s="2" t="s">
        <v>52567</v>
      </c>
      <c r="N5403" s="3" t="s">
        <v>979</v>
      </c>
      <c r="P5403" s="3" t="s">
        <v>365</v>
      </c>
      <c r="Q5403" s="2" t="s">
        <v>52568</v>
      </c>
      <c r="R5403" s="3" t="s">
        <v>70</v>
      </c>
      <c r="S5403" s="4">
        <v>1</v>
      </c>
      <c r="T5403" s="4">
        <v>1</v>
      </c>
      <c r="U5403" s="5" t="s">
        <v>6785</v>
      </c>
      <c r="V5403" s="5" t="s">
        <v>6785</v>
      </c>
      <c r="W5403" s="5" t="s">
        <v>72</v>
      </c>
      <c r="X5403" s="5" t="s">
        <v>72</v>
      </c>
      <c r="Y5403" s="4">
        <v>42</v>
      </c>
      <c r="Z5403" s="4">
        <v>4</v>
      </c>
      <c r="AA5403" s="4">
        <v>4</v>
      </c>
      <c r="AB5403" s="4">
        <v>2</v>
      </c>
      <c r="AC5403" s="4">
        <v>2</v>
      </c>
      <c r="AD5403" s="4">
        <v>28</v>
      </c>
      <c r="AE5403" s="4">
        <v>28</v>
      </c>
      <c r="AF5403" s="4">
        <v>0</v>
      </c>
      <c r="AG5403" s="4">
        <v>0</v>
      </c>
      <c r="AH5403" s="4">
        <v>27</v>
      </c>
      <c r="AI5403" s="4">
        <v>27</v>
      </c>
      <c r="AJ5403" s="4">
        <v>2</v>
      </c>
      <c r="AK5403" s="4">
        <v>2</v>
      </c>
      <c r="AL5403" s="4">
        <v>20</v>
      </c>
      <c r="AM5403" s="4">
        <v>20</v>
      </c>
      <c r="AN5403" s="4">
        <v>0</v>
      </c>
      <c r="AO5403" s="4">
        <v>0</v>
      </c>
      <c r="AP5403" s="4">
        <v>2</v>
      </c>
      <c r="AQ5403" s="4">
        <v>2</v>
      </c>
      <c r="AR5403" s="3" t="s">
        <v>64</v>
      </c>
      <c r="AS5403" s="3" t="s">
        <v>64</v>
      </c>
      <c r="AT5403" s="3" t="s">
        <v>128</v>
      </c>
      <c r="AU5403" s="6" t="str">
        <f t="shared" si="167"/>
        <v>HathiTrust Record</v>
      </c>
      <c r="AV5403" s="6" t="str">
        <f t="shared" si="168"/>
        <v>Catalog Record</v>
      </c>
      <c r="AW5403" s="6" t="str">
        <f t="shared" si="169"/>
        <v>WorldCat Record</v>
      </c>
      <c r="AX5403" s="3" t="s">
        <v>52569</v>
      </c>
      <c r="AY5403" s="3" t="s">
        <v>52570</v>
      </c>
      <c r="AZ5403" s="3" t="s">
        <v>52571</v>
      </c>
      <c r="BA5403" s="3" t="s">
        <v>52571</v>
      </c>
      <c r="BB5403" s="3" t="s">
        <v>52603</v>
      </c>
      <c r="BC5403" s="3" t="s">
        <v>77</v>
      </c>
      <c r="BD5403" s="3" t="s">
        <v>78</v>
      </c>
      <c r="BE5403" s="3" t="s">
        <v>52573</v>
      </c>
      <c r="BF5403" s="3" t="s">
        <v>52603</v>
      </c>
      <c r="BG5403" s="3" t="s">
        <v>52604</v>
      </c>
      <c r="BH5403">
        <f t="shared" si="166"/>
        <v>0</v>
      </c>
    </row>
    <row r="5404" spans="1:60" ht="72.5" x14ac:dyDescent="0.35">
      <c r="A5404" s="2" t="s">
        <v>59</v>
      </c>
      <c r="B5404" s="2" t="s">
        <v>60</v>
      </c>
      <c r="C5404" s="2" t="s">
        <v>52563</v>
      </c>
      <c r="D5404" s="2" t="s">
        <v>52564</v>
      </c>
      <c r="E5404" s="2" t="s">
        <v>52565</v>
      </c>
      <c r="F5404" s="3" t="s">
        <v>52605</v>
      </c>
      <c r="G5404" s="3" t="s">
        <v>128</v>
      </c>
      <c r="I5404" s="3" t="s">
        <v>64</v>
      </c>
      <c r="J5404" s="3" t="s">
        <v>64</v>
      </c>
      <c r="K5404" s="3" t="s">
        <v>65</v>
      </c>
      <c r="M5404" s="2" t="s">
        <v>52567</v>
      </c>
      <c r="N5404" s="3" t="s">
        <v>979</v>
      </c>
      <c r="P5404" s="3" t="s">
        <v>365</v>
      </c>
      <c r="Q5404" s="2" t="s">
        <v>52568</v>
      </c>
      <c r="R5404" s="3" t="s">
        <v>70</v>
      </c>
      <c r="S5404" s="4">
        <v>0</v>
      </c>
      <c r="T5404" s="4">
        <v>1</v>
      </c>
      <c r="V5404" s="5" t="s">
        <v>6785</v>
      </c>
      <c r="W5404" s="5" t="s">
        <v>72</v>
      </c>
      <c r="X5404" s="5" t="s">
        <v>72</v>
      </c>
      <c r="Y5404" s="4">
        <v>42</v>
      </c>
      <c r="Z5404" s="4">
        <v>4</v>
      </c>
      <c r="AA5404" s="4">
        <v>4</v>
      </c>
      <c r="AB5404" s="4">
        <v>2</v>
      </c>
      <c r="AC5404" s="4">
        <v>2</v>
      </c>
      <c r="AD5404" s="4">
        <v>28</v>
      </c>
      <c r="AE5404" s="4">
        <v>28</v>
      </c>
      <c r="AF5404" s="4">
        <v>0</v>
      </c>
      <c r="AG5404" s="4">
        <v>0</v>
      </c>
      <c r="AH5404" s="4">
        <v>27</v>
      </c>
      <c r="AI5404" s="4">
        <v>27</v>
      </c>
      <c r="AJ5404" s="4">
        <v>2</v>
      </c>
      <c r="AK5404" s="4">
        <v>2</v>
      </c>
      <c r="AL5404" s="4">
        <v>20</v>
      </c>
      <c r="AM5404" s="4">
        <v>20</v>
      </c>
      <c r="AN5404" s="4">
        <v>0</v>
      </c>
      <c r="AO5404" s="4">
        <v>0</v>
      </c>
      <c r="AP5404" s="4">
        <v>2</v>
      </c>
      <c r="AQ5404" s="4">
        <v>2</v>
      </c>
      <c r="AR5404" s="3" t="s">
        <v>64</v>
      </c>
      <c r="AS5404" s="3" t="s">
        <v>64</v>
      </c>
      <c r="AT5404" s="3" t="s">
        <v>128</v>
      </c>
      <c r="AU5404" s="6" t="str">
        <f t="shared" si="167"/>
        <v>HathiTrust Record</v>
      </c>
      <c r="AV5404" s="6" t="str">
        <f t="shared" si="168"/>
        <v>Catalog Record</v>
      </c>
      <c r="AW5404" s="6" t="str">
        <f t="shared" si="169"/>
        <v>WorldCat Record</v>
      </c>
      <c r="AX5404" s="3" t="s">
        <v>52569</v>
      </c>
      <c r="AY5404" s="3" t="s">
        <v>52570</v>
      </c>
      <c r="AZ5404" s="3" t="s">
        <v>52571</v>
      </c>
      <c r="BA5404" s="3" t="s">
        <v>52571</v>
      </c>
      <c r="BB5404" s="3" t="s">
        <v>52606</v>
      </c>
      <c r="BC5404" s="3" t="s">
        <v>77</v>
      </c>
      <c r="BD5404" s="3" t="s">
        <v>78</v>
      </c>
      <c r="BE5404" s="3" t="s">
        <v>52573</v>
      </c>
      <c r="BF5404" s="3" t="s">
        <v>52606</v>
      </c>
      <c r="BG5404" s="3" t="s">
        <v>52607</v>
      </c>
      <c r="BH5404">
        <f t="shared" si="166"/>
        <v>0</v>
      </c>
    </row>
    <row r="5405" spans="1:60" ht="72.5" x14ac:dyDescent="0.35">
      <c r="A5405" s="2" t="s">
        <v>59</v>
      </c>
      <c r="B5405" s="2" t="s">
        <v>60</v>
      </c>
      <c r="C5405" s="2" t="s">
        <v>52563</v>
      </c>
      <c r="D5405" s="2" t="s">
        <v>52564</v>
      </c>
      <c r="E5405" s="2" t="s">
        <v>52565</v>
      </c>
      <c r="F5405" s="3" t="s">
        <v>52608</v>
      </c>
      <c r="G5405" s="3" t="s">
        <v>128</v>
      </c>
      <c r="I5405" s="3" t="s">
        <v>64</v>
      </c>
      <c r="J5405" s="3" t="s">
        <v>64</v>
      </c>
      <c r="K5405" s="3" t="s">
        <v>65</v>
      </c>
      <c r="M5405" s="2" t="s">
        <v>52567</v>
      </c>
      <c r="N5405" s="3" t="s">
        <v>979</v>
      </c>
      <c r="P5405" s="3" t="s">
        <v>365</v>
      </c>
      <c r="Q5405" s="2" t="s">
        <v>52568</v>
      </c>
      <c r="R5405" s="3" t="s">
        <v>70</v>
      </c>
      <c r="S5405" s="4">
        <v>0</v>
      </c>
      <c r="T5405" s="4">
        <v>1</v>
      </c>
      <c r="V5405" s="5" t="s">
        <v>6785</v>
      </c>
      <c r="W5405" s="5" t="s">
        <v>72</v>
      </c>
      <c r="X5405" s="5" t="s">
        <v>72</v>
      </c>
      <c r="Y5405" s="4">
        <v>42</v>
      </c>
      <c r="Z5405" s="4">
        <v>4</v>
      </c>
      <c r="AA5405" s="4">
        <v>4</v>
      </c>
      <c r="AB5405" s="4">
        <v>2</v>
      </c>
      <c r="AC5405" s="4">
        <v>2</v>
      </c>
      <c r="AD5405" s="4">
        <v>28</v>
      </c>
      <c r="AE5405" s="4">
        <v>28</v>
      </c>
      <c r="AF5405" s="4">
        <v>0</v>
      </c>
      <c r="AG5405" s="4">
        <v>0</v>
      </c>
      <c r="AH5405" s="4">
        <v>27</v>
      </c>
      <c r="AI5405" s="4">
        <v>27</v>
      </c>
      <c r="AJ5405" s="4">
        <v>2</v>
      </c>
      <c r="AK5405" s="4">
        <v>2</v>
      </c>
      <c r="AL5405" s="4">
        <v>20</v>
      </c>
      <c r="AM5405" s="4">
        <v>20</v>
      </c>
      <c r="AN5405" s="4">
        <v>0</v>
      </c>
      <c r="AO5405" s="4">
        <v>0</v>
      </c>
      <c r="AP5405" s="4">
        <v>2</v>
      </c>
      <c r="AQ5405" s="4">
        <v>2</v>
      </c>
      <c r="AR5405" s="3" t="s">
        <v>64</v>
      </c>
      <c r="AS5405" s="3" t="s">
        <v>64</v>
      </c>
      <c r="AT5405" s="3" t="s">
        <v>128</v>
      </c>
      <c r="AU5405" s="6" t="str">
        <f t="shared" si="167"/>
        <v>HathiTrust Record</v>
      </c>
      <c r="AV5405" s="6" t="str">
        <f t="shared" si="168"/>
        <v>Catalog Record</v>
      </c>
      <c r="AW5405" s="6" t="str">
        <f t="shared" si="169"/>
        <v>WorldCat Record</v>
      </c>
      <c r="AX5405" s="3" t="s">
        <v>52569</v>
      </c>
      <c r="AY5405" s="3" t="s">
        <v>52570</v>
      </c>
      <c r="AZ5405" s="3" t="s">
        <v>52571</v>
      </c>
      <c r="BA5405" s="3" t="s">
        <v>52571</v>
      </c>
      <c r="BB5405" s="3" t="s">
        <v>52609</v>
      </c>
      <c r="BC5405" s="3" t="s">
        <v>77</v>
      </c>
      <c r="BD5405" s="3" t="s">
        <v>78</v>
      </c>
      <c r="BE5405" s="3" t="s">
        <v>52573</v>
      </c>
      <c r="BF5405" s="3" t="s">
        <v>52609</v>
      </c>
      <c r="BG5405" s="3" t="s">
        <v>52610</v>
      </c>
      <c r="BH5405">
        <f t="shared" si="166"/>
        <v>0</v>
      </c>
    </row>
    <row r="5406" spans="1:60" ht="72.5" x14ac:dyDescent="0.35">
      <c r="A5406" s="2" t="s">
        <v>59</v>
      </c>
      <c r="B5406" s="2" t="s">
        <v>60</v>
      </c>
      <c r="C5406" s="2" t="s">
        <v>52563</v>
      </c>
      <c r="D5406" s="2" t="s">
        <v>52564</v>
      </c>
      <c r="E5406" s="2" t="s">
        <v>52565</v>
      </c>
      <c r="F5406" s="3" t="s">
        <v>52611</v>
      </c>
      <c r="G5406" s="3" t="s">
        <v>128</v>
      </c>
      <c r="I5406" s="3" t="s">
        <v>64</v>
      </c>
      <c r="J5406" s="3" t="s">
        <v>64</v>
      </c>
      <c r="K5406" s="3" t="s">
        <v>65</v>
      </c>
      <c r="M5406" s="2" t="s">
        <v>52567</v>
      </c>
      <c r="N5406" s="3" t="s">
        <v>979</v>
      </c>
      <c r="P5406" s="3" t="s">
        <v>365</v>
      </c>
      <c r="Q5406" s="2" t="s">
        <v>52568</v>
      </c>
      <c r="R5406" s="3" t="s">
        <v>70</v>
      </c>
      <c r="S5406" s="4">
        <v>0</v>
      </c>
      <c r="T5406" s="4">
        <v>1</v>
      </c>
      <c r="V5406" s="5" t="s">
        <v>6785</v>
      </c>
      <c r="W5406" s="5" t="s">
        <v>72</v>
      </c>
      <c r="X5406" s="5" t="s">
        <v>72</v>
      </c>
      <c r="Y5406" s="4">
        <v>42</v>
      </c>
      <c r="Z5406" s="4">
        <v>4</v>
      </c>
      <c r="AA5406" s="4">
        <v>4</v>
      </c>
      <c r="AB5406" s="4">
        <v>2</v>
      </c>
      <c r="AC5406" s="4">
        <v>2</v>
      </c>
      <c r="AD5406" s="4">
        <v>28</v>
      </c>
      <c r="AE5406" s="4">
        <v>28</v>
      </c>
      <c r="AF5406" s="4">
        <v>0</v>
      </c>
      <c r="AG5406" s="4">
        <v>0</v>
      </c>
      <c r="AH5406" s="4">
        <v>27</v>
      </c>
      <c r="AI5406" s="4">
        <v>27</v>
      </c>
      <c r="AJ5406" s="4">
        <v>2</v>
      </c>
      <c r="AK5406" s="4">
        <v>2</v>
      </c>
      <c r="AL5406" s="4">
        <v>20</v>
      </c>
      <c r="AM5406" s="4">
        <v>20</v>
      </c>
      <c r="AN5406" s="4">
        <v>0</v>
      </c>
      <c r="AO5406" s="4">
        <v>0</v>
      </c>
      <c r="AP5406" s="4">
        <v>2</v>
      </c>
      <c r="AQ5406" s="4">
        <v>2</v>
      </c>
      <c r="AR5406" s="3" t="s">
        <v>64</v>
      </c>
      <c r="AS5406" s="3" t="s">
        <v>64</v>
      </c>
      <c r="AT5406" s="3" t="s">
        <v>128</v>
      </c>
      <c r="AU5406" s="6" t="str">
        <f t="shared" si="167"/>
        <v>HathiTrust Record</v>
      </c>
      <c r="AV5406" s="6" t="str">
        <f t="shared" si="168"/>
        <v>Catalog Record</v>
      </c>
      <c r="AW5406" s="6" t="str">
        <f t="shared" si="169"/>
        <v>WorldCat Record</v>
      </c>
      <c r="AX5406" s="3" t="s">
        <v>52569</v>
      </c>
      <c r="AY5406" s="3" t="s">
        <v>52570</v>
      </c>
      <c r="AZ5406" s="3" t="s">
        <v>52571</v>
      </c>
      <c r="BA5406" s="3" t="s">
        <v>52571</v>
      </c>
      <c r="BB5406" s="3" t="s">
        <v>52612</v>
      </c>
      <c r="BC5406" s="3" t="s">
        <v>77</v>
      </c>
      <c r="BD5406" s="3" t="s">
        <v>78</v>
      </c>
      <c r="BE5406" s="3" t="s">
        <v>52573</v>
      </c>
      <c r="BF5406" s="3" t="s">
        <v>52612</v>
      </c>
      <c r="BG5406" s="3" t="s">
        <v>52613</v>
      </c>
      <c r="BH5406">
        <f t="shared" si="166"/>
        <v>0</v>
      </c>
    </row>
    <row r="5407" spans="1:60" ht="72.5" x14ac:dyDescent="0.35">
      <c r="A5407" s="2" t="s">
        <v>59</v>
      </c>
      <c r="B5407" s="2" t="s">
        <v>60</v>
      </c>
      <c r="C5407" s="2" t="s">
        <v>52563</v>
      </c>
      <c r="D5407" s="2" t="s">
        <v>52564</v>
      </c>
      <c r="E5407" s="2" t="s">
        <v>52565</v>
      </c>
      <c r="F5407" s="3" t="s">
        <v>52614</v>
      </c>
      <c r="G5407" s="3" t="s">
        <v>128</v>
      </c>
      <c r="I5407" s="3" t="s">
        <v>64</v>
      </c>
      <c r="J5407" s="3" t="s">
        <v>64</v>
      </c>
      <c r="K5407" s="3" t="s">
        <v>65</v>
      </c>
      <c r="M5407" s="2" t="s">
        <v>52567</v>
      </c>
      <c r="N5407" s="3" t="s">
        <v>979</v>
      </c>
      <c r="P5407" s="3" t="s">
        <v>365</v>
      </c>
      <c r="Q5407" s="2" t="s">
        <v>52568</v>
      </c>
      <c r="R5407" s="3" t="s">
        <v>70</v>
      </c>
      <c r="S5407" s="4">
        <v>0</v>
      </c>
      <c r="T5407" s="4">
        <v>1</v>
      </c>
      <c r="V5407" s="5" t="s">
        <v>6785</v>
      </c>
      <c r="W5407" s="5" t="s">
        <v>72</v>
      </c>
      <c r="X5407" s="5" t="s">
        <v>72</v>
      </c>
      <c r="Y5407" s="4">
        <v>42</v>
      </c>
      <c r="Z5407" s="4">
        <v>4</v>
      </c>
      <c r="AA5407" s="4">
        <v>4</v>
      </c>
      <c r="AB5407" s="4">
        <v>2</v>
      </c>
      <c r="AC5407" s="4">
        <v>2</v>
      </c>
      <c r="AD5407" s="4">
        <v>28</v>
      </c>
      <c r="AE5407" s="4">
        <v>28</v>
      </c>
      <c r="AF5407" s="4">
        <v>0</v>
      </c>
      <c r="AG5407" s="4">
        <v>0</v>
      </c>
      <c r="AH5407" s="4">
        <v>27</v>
      </c>
      <c r="AI5407" s="4">
        <v>27</v>
      </c>
      <c r="AJ5407" s="4">
        <v>2</v>
      </c>
      <c r="AK5407" s="4">
        <v>2</v>
      </c>
      <c r="AL5407" s="4">
        <v>20</v>
      </c>
      <c r="AM5407" s="4">
        <v>20</v>
      </c>
      <c r="AN5407" s="4">
        <v>0</v>
      </c>
      <c r="AO5407" s="4">
        <v>0</v>
      </c>
      <c r="AP5407" s="4">
        <v>2</v>
      </c>
      <c r="AQ5407" s="4">
        <v>2</v>
      </c>
      <c r="AR5407" s="3" t="s">
        <v>64</v>
      </c>
      <c r="AS5407" s="3" t="s">
        <v>64</v>
      </c>
      <c r="AT5407" s="3" t="s">
        <v>128</v>
      </c>
      <c r="AU5407" s="6" t="str">
        <f t="shared" si="167"/>
        <v>HathiTrust Record</v>
      </c>
      <c r="AV5407" s="6" t="str">
        <f t="shared" si="168"/>
        <v>Catalog Record</v>
      </c>
      <c r="AW5407" s="6" t="str">
        <f t="shared" si="169"/>
        <v>WorldCat Record</v>
      </c>
      <c r="AX5407" s="3" t="s">
        <v>52569</v>
      </c>
      <c r="AY5407" s="3" t="s">
        <v>52570</v>
      </c>
      <c r="AZ5407" s="3" t="s">
        <v>52571</v>
      </c>
      <c r="BA5407" s="3" t="s">
        <v>52571</v>
      </c>
      <c r="BB5407" s="3" t="s">
        <v>52615</v>
      </c>
      <c r="BC5407" s="3" t="s">
        <v>77</v>
      </c>
      <c r="BD5407" s="3" t="s">
        <v>78</v>
      </c>
      <c r="BE5407" s="3" t="s">
        <v>52573</v>
      </c>
      <c r="BF5407" s="3" t="s">
        <v>52615</v>
      </c>
      <c r="BG5407" s="3" t="s">
        <v>52616</v>
      </c>
      <c r="BH5407">
        <f t="shared" si="166"/>
        <v>0</v>
      </c>
    </row>
    <row r="5408" spans="1:60" ht="72.5" x14ac:dyDescent="0.35">
      <c r="A5408" s="2" t="s">
        <v>59</v>
      </c>
      <c r="B5408" s="2" t="s">
        <v>60</v>
      </c>
      <c r="C5408" s="2" t="s">
        <v>52563</v>
      </c>
      <c r="D5408" s="2" t="s">
        <v>52564</v>
      </c>
      <c r="E5408" s="2" t="s">
        <v>52565</v>
      </c>
      <c r="F5408" s="3" t="s">
        <v>52617</v>
      </c>
      <c r="G5408" s="3" t="s">
        <v>128</v>
      </c>
      <c r="I5408" s="3" t="s">
        <v>64</v>
      </c>
      <c r="J5408" s="3" t="s">
        <v>64</v>
      </c>
      <c r="K5408" s="3" t="s">
        <v>65</v>
      </c>
      <c r="M5408" s="2" t="s">
        <v>52567</v>
      </c>
      <c r="N5408" s="3" t="s">
        <v>979</v>
      </c>
      <c r="P5408" s="3" t="s">
        <v>365</v>
      </c>
      <c r="Q5408" s="2" t="s">
        <v>52568</v>
      </c>
      <c r="R5408" s="3" t="s">
        <v>70</v>
      </c>
      <c r="S5408" s="4">
        <v>0</v>
      </c>
      <c r="T5408" s="4">
        <v>1</v>
      </c>
      <c r="V5408" s="5" t="s">
        <v>6785</v>
      </c>
      <c r="W5408" s="5" t="s">
        <v>72</v>
      </c>
      <c r="X5408" s="5" t="s">
        <v>72</v>
      </c>
      <c r="Y5408" s="4">
        <v>42</v>
      </c>
      <c r="Z5408" s="4">
        <v>4</v>
      </c>
      <c r="AA5408" s="4">
        <v>4</v>
      </c>
      <c r="AB5408" s="4">
        <v>2</v>
      </c>
      <c r="AC5408" s="4">
        <v>2</v>
      </c>
      <c r="AD5408" s="4">
        <v>28</v>
      </c>
      <c r="AE5408" s="4">
        <v>28</v>
      </c>
      <c r="AF5408" s="4">
        <v>0</v>
      </c>
      <c r="AG5408" s="4">
        <v>0</v>
      </c>
      <c r="AH5408" s="4">
        <v>27</v>
      </c>
      <c r="AI5408" s="4">
        <v>27</v>
      </c>
      <c r="AJ5408" s="4">
        <v>2</v>
      </c>
      <c r="AK5408" s="4">
        <v>2</v>
      </c>
      <c r="AL5408" s="4">
        <v>20</v>
      </c>
      <c r="AM5408" s="4">
        <v>20</v>
      </c>
      <c r="AN5408" s="4">
        <v>0</v>
      </c>
      <c r="AO5408" s="4">
        <v>0</v>
      </c>
      <c r="AP5408" s="4">
        <v>2</v>
      </c>
      <c r="AQ5408" s="4">
        <v>2</v>
      </c>
      <c r="AR5408" s="3" t="s">
        <v>64</v>
      </c>
      <c r="AS5408" s="3" t="s">
        <v>64</v>
      </c>
      <c r="AT5408" s="3" t="s">
        <v>128</v>
      </c>
      <c r="AU5408" s="6" t="str">
        <f t="shared" si="167"/>
        <v>HathiTrust Record</v>
      </c>
      <c r="AV5408" s="6" t="str">
        <f t="shared" si="168"/>
        <v>Catalog Record</v>
      </c>
      <c r="AW5408" s="6" t="str">
        <f t="shared" si="169"/>
        <v>WorldCat Record</v>
      </c>
      <c r="AX5408" s="3" t="s">
        <v>52569</v>
      </c>
      <c r="AY5408" s="3" t="s">
        <v>52570</v>
      </c>
      <c r="AZ5408" s="3" t="s">
        <v>52571</v>
      </c>
      <c r="BA5408" s="3" t="s">
        <v>52571</v>
      </c>
      <c r="BB5408" s="3" t="s">
        <v>52618</v>
      </c>
      <c r="BC5408" s="3" t="s">
        <v>77</v>
      </c>
      <c r="BD5408" s="3" t="s">
        <v>78</v>
      </c>
      <c r="BE5408" s="3" t="s">
        <v>52573</v>
      </c>
      <c r="BF5408" s="3" t="s">
        <v>52618</v>
      </c>
      <c r="BG5408" s="3" t="s">
        <v>52619</v>
      </c>
      <c r="BH5408">
        <f t="shared" si="166"/>
        <v>0</v>
      </c>
    </row>
    <row r="5409" spans="1:60" ht="72.5" x14ac:dyDescent="0.35">
      <c r="A5409" s="2" t="s">
        <v>59</v>
      </c>
      <c r="B5409" s="2" t="s">
        <v>60</v>
      </c>
      <c r="C5409" s="2" t="s">
        <v>52563</v>
      </c>
      <c r="D5409" s="2" t="s">
        <v>52564</v>
      </c>
      <c r="E5409" s="2" t="s">
        <v>52565</v>
      </c>
      <c r="F5409" s="3" t="s">
        <v>52620</v>
      </c>
      <c r="G5409" s="3" t="s">
        <v>128</v>
      </c>
      <c r="I5409" s="3" t="s">
        <v>64</v>
      </c>
      <c r="J5409" s="3" t="s">
        <v>64</v>
      </c>
      <c r="K5409" s="3" t="s">
        <v>65</v>
      </c>
      <c r="M5409" s="2" t="s">
        <v>52567</v>
      </c>
      <c r="N5409" s="3" t="s">
        <v>979</v>
      </c>
      <c r="P5409" s="3" t="s">
        <v>365</v>
      </c>
      <c r="Q5409" s="2" t="s">
        <v>52568</v>
      </c>
      <c r="R5409" s="3" t="s">
        <v>70</v>
      </c>
      <c r="S5409" s="4">
        <v>0</v>
      </c>
      <c r="T5409" s="4">
        <v>1</v>
      </c>
      <c r="V5409" s="5" t="s">
        <v>6785</v>
      </c>
      <c r="W5409" s="5" t="s">
        <v>72</v>
      </c>
      <c r="X5409" s="5" t="s">
        <v>72</v>
      </c>
      <c r="Y5409" s="4">
        <v>42</v>
      </c>
      <c r="Z5409" s="4">
        <v>4</v>
      </c>
      <c r="AA5409" s="4">
        <v>4</v>
      </c>
      <c r="AB5409" s="4">
        <v>2</v>
      </c>
      <c r="AC5409" s="4">
        <v>2</v>
      </c>
      <c r="AD5409" s="4">
        <v>28</v>
      </c>
      <c r="AE5409" s="4">
        <v>28</v>
      </c>
      <c r="AF5409" s="4">
        <v>0</v>
      </c>
      <c r="AG5409" s="4">
        <v>0</v>
      </c>
      <c r="AH5409" s="4">
        <v>27</v>
      </c>
      <c r="AI5409" s="4">
        <v>27</v>
      </c>
      <c r="AJ5409" s="4">
        <v>2</v>
      </c>
      <c r="AK5409" s="4">
        <v>2</v>
      </c>
      <c r="AL5409" s="4">
        <v>20</v>
      </c>
      <c r="AM5409" s="4">
        <v>20</v>
      </c>
      <c r="AN5409" s="4">
        <v>0</v>
      </c>
      <c r="AO5409" s="4">
        <v>0</v>
      </c>
      <c r="AP5409" s="4">
        <v>2</v>
      </c>
      <c r="AQ5409" s="4">
        <v>2</v>
      </c>
      <c r="AR5409" s="3" t="s">
        <v>64</v>
      </c>
      <c r="AS5409" s="3" t="s">
        <v>64</v>
      </c>
      <c r="AT5409" s="3" t="s">
        <v>128</v>
      </c>
      <c r="AU5409" s="6" t="str">
        <f t="shared" si="167"/>
        <v>HathiTrust Record</v>
      </c>
      <c r="AV5409" s="6" t="str">
        <f t="shared" si="168"/>
        <v>Catalog Record</v>
      </c>
      <c r="AW5409" s="6" t="str">
        <f t="shared" si="169"/>
        <v>WorldCat Record</v>
      </c>
      <c r="AX5409" s="3" t="s">
        <v>52569</v>
      </c>
      <c r="AY5409" s="3" t="s">
        <v>52570</v>
      </c>
      <c r="AZ5409" s="3" t="s">
        <v>52571</v>
      </c>
      <c r="BA5409" s="3" t="s">
        <v>52571</v>
      </c>
      <c r="BB5409" s="3" t="s">
        <v>52621</v>
      </c>
      <c r="BC5409" s="3" t="s">
        <v>77</v>
      </c>
      <c r="BD5409" s="3" t="s">
        <v>78</v>
      </c>
      <c r="BE5409" s="3" t="s">
        <v>52573</v>
      </c>
      <c r="BF5409" s="3" t="s">
        <v>52621</v>
      </c>
      <c r="BG5409" s="3" t="s">
        <v>52622</v>
      </c>
      <c r="BH5409">
        <f t="shared" si="166"/>
        <v>0</v>
      </c>
    </row>
    <row r="5410" spans="1:60" ht="72.5" x14ac:dyDescent="0.35">
      <c r="A5410" s="2" t="s">
        <v>59</v>
      </c>
      <c r="B5410" s="2" t="s">
        <v>60</v>
      </c>
      <c r="C5410" s="2" t="s">
        <v>52563</v>
      </c>
      <c r="D5410" s="2" t="s">
        <v>52564</v>
      </c>
      <c r="E5410" s="2" t="s">
        <v>52565</v>
      </c>
      <c r="F5410" s="3" t="s">
        <v>52623</v>
      </c>
      <c r="G5410" s="3" t="s">
        <v>128</v>
      </c>
      <c r="I5410" s="3" t="s">
        <v>64</v>
      </c>
      <c r="J5410" s="3" t="s">
        <v>64</v>
      </c>
      <c r="K5410" s="3" t="s">
        <v>65</v>
      </c>
      <c r="M5410" s="2" t="s">
        <v>52567</v>
      </c>
      <c r="N5410" s="3" t="s">
        <v>979</v>
      </c>
      <c r="P5410" s="3" t="s">
        <v>365</v>
      </c>
      <c r="Q5410" s="2" t="s">
        <v>52568</v>
      </c>
      <c r="R5410" s="3" t="s">
        <v>70</v>
      </c>
      <c r="S5410" s="4">
        <v>0</v>
      </c>
      <c r="T5410" s="4">
        <v>1</v>
      </c>
      <c r="V5410" s="5" t="s">
        <v>6785</v>
      </c>
      <c r="W5410" s="5" t="s">
        <v>72</v>
      </c>
      <c r="X5410" s="5" t="s">
        <v>72</v>
      </c>
      <c r="Y5410" s="4">
        <v>42</v>
      </c>
      <c r="Z5410" s="4">
        <v>4</v>
      </c>
      <c r="AA5410" s="4">
        <v>4</v>
      </c>
      <c r="AB5410" s="4">
        <v>2</v>
      </c>
      <c r="AC5410" s="4">
        <v>2</v>
      </c>
      <c r="AD5410" s="4">
        <v>28</v>
      </c>
      <c r="AE5410" s="4">
        <v>28</v>
      </c>
      <c r="AF5410" s="4">
        <v>0</v>
      </c>
      <c r="AG5410" s="4">
        <v>0</v>
      </c>
      <c r="AH5410" s="4">
        <v>27</v>
      </c>
      <c r="AI5410" s="4">
        <v>27</v>
      </c>
      <c r="AJ5410" s="4">
        <v>2</v>
      </c>
      <c r="AK5410" s="4">
        <v>2</v>
      </c>
      <c r="AL5410" s="4">
        <v>20</v>
      </c>
      <c r="AM5410" s="4">
        <v>20</v>
      </c>
      <c r="AN5410" s="4">
        <v>0</v>
      </c>
      <c r="AO5410" s="4">
        <v>0</v>
      </c>
      <c r="AP5410" s="4">
        <v>2</v>
      </c>
      <c r="AQ5410" s="4">
        <v>2</v>
      </c>
      <c r="AR5410" s="3" t="s">
        <v>64</v>
      </c>
      <c r="AS5410" s="3" t="s">
        <v>64</v>
      </c>
      <c r="AT5410" s="3" t="s">
        <v>128</v>
      </c>
      <c r="AU5410" s="6" t="str">
        <f t="shared" si="167"/>
        <v>HathiTrust Record</v>
      </c>
      <c r="AV5410" s="6" t="str">
        <f t="shared" si="168"/>
        <v>Catalog Record</v>
      </c>
      <c r="AW5410" s="6" t="str">
        <f t="shared" si="169"/>
        <v>WorldCat Record</v>
      </c>
      <c r="AX5410" s="3" t="s">
        <v>52569</v>
      </c>
      <c r="AY5410" s="3" t="s">
        <v>52570</v>
      </c>
      <c r="AZ5410" s="3" t="s">
        <v>52571</v>
      </c>
      <c r="BA5410" s="3" t="s">
        <v>52571</v>
      </c>
      <c r="BB5410" s="3" t="s">
        <v>52624</v>
      </c>
      <c r="BC5410" s="3" t="s">
        <v>77</v>
      </c>
      <c r="BD5410" s="3" t="s">
        <v>78</v>
      </c>
      <c r="BE5410" s="3" t="s">
        <v>52573</v>
      </c>
      <c r="BF5410" s="3" t="s">
        <v>52624</v>
      </c>
      <c r="BG5410" s="3" t="s">
        <v>52625</v>
      </c>
      <c r="BH5410">
        <f t="shared" si="166"/>
        <v>0</v>
      </c>
    </row>
    <row r="5411" spans="1:60" ht="72.5" x14ac:dyDescent="0.35">
      <c r="A5411" s="2" t="s">
        <v>59</v>
      </c>
      <c r="B5411" s="2" t="s">
        <v>60</v>
      </c>
      <c r="C5411" s="2" t="s">
        <v>52563</v>
      </c>
      <c r="D5411" s="2" t="s">
        <v>52564</v>
      </c>
      <c r="E5411" s="2" t="s">
        <v>52565</v>
      </c>
      <c r="F5411" s="3" t="s">
        <v>52626</v>
      </c>
      <c r="G5411" s="3" t="s">
        <v>128</v>
      </c>
      <c r="I5411" s="3" t="s">
        <v>64</v>
      </c>
      <c r="J5411" s="3" t="s">
        <v>64</v>
      </c>
      <c r="K5411" s="3" t="s">
        <v>65</v>
      </c>
      <c r="M5411" s="2" t="s">
        <v>52567</v>
      </c>
      <c r="N5411" s="3" t="s">
        <v>979</v>
      </c>
      <c r="P5411" s="3" t="s">
        <v>365</v>
      </c>
      <c r="Q5411" s="2" t="s">
        <v>52568</v>
      </c>
      <c r="R5411" s="3" t="s">
        <v>70</v>
      </c>
      <c r="S5411" s="4">
        <v>0</v>
      </c>
      <c r="T5411" s="4">
        <v>1</v>
      </c>
      <c r="V5411" s="5" t="s">
        <v>6785</v>
      </c>
      <c r="W5411" s="5" t="s">
        <v>72</v>
      </c>
      <c r="X5411" s="5" t="s">
        <v>72</v>
      </c>
      <c r="Y5411" s="4">
        <v>42</v>
      </c>
      <c r="Z5411" s="4">
        <v>4</v>
      </c>
      <c r="AA5411" s="4">
        <v>4</v>
      </c>
      <c r="AB5411" s="4">
        <v>2</v>
      </c>
      <c r="AC5411" s="4">
        <v>2</v>
      </c>
      <c r="AD5411" s="4">
        <v>28</v>
      </c>
      <c r="AE5411" s="4">
        <v>28</v>
      </c>
      <c r="AF5411" s="4">
        <v>0</v>
      </c>
      <c r="AG5411" s="4">
        <v>0</v>
      </c>
      <c r="AH5411" s="4">
        <v>27</v>
      </c>
      <c r="AI5411" s="4">
        <v>27</v>
      </c>
      <c r="AJ5411" s="4">
        <v>2</v>
      </c>
      <c r="AK5411" s="4">
        <v>2</v>
      </c>
      <c r="AL5411" s="4">
        <v>20</v>
      </c>
      <c r="AM5411" s="4">
        <v>20</v>
      </c>
      <c r="AN5411" s="4">
        <v>0</v>
      </c>
      <c r="AO5411" s="4">
        <v>0</v>
      </c>
      <c r="AP5411" s="4">
        <v>2</v>
      </c>
      <c r="AQ5411" s="4">
        <v>2</v>
      </c>
      <c r="AR5411" s="3" t="s">
        <v>64</v>
      </c>
      <c r="AS5411" s="3" t="s">
        <v>64</v>
      </c>
      <c r="AT5411" s="3" t="s">
        <v>128</v>
      </c>
      <c r="AU5411" s="6" t="str">
        <f t="shared" si="167"/>
        <v>HathiTrust Record</v>
      </c>
      <c r="AV5411" s="6" t="str">
        <f t="shared" si="168"/>
        <v>Catalog Record</v>
      </c>
      <c r="AW5411" s="6" t="str">
        <f t="shared" si="169"/>
        <v>WorldCat Record</v>
      </c>
      <c r="AX5411" s="3" t="s">
        <v>52569</v>
      </c>
      <c r="AY5411" s="3" t="s">
        <v>52570</v>
      </c>
      <c r="AZ5411" s="3" t="s">
        <v>52571</v>
      </c>
      <c r="BA5411" s="3" t="s">
        <v>52571</v>
      </c>
      <c r="BB5411" s="3" t="s">
        <v>52627</v>
      </c>
      <c r="BC5411" s="3" t="s">
        <v>77</v>
      </c>
      <c r="BD5411" s="3" t="s">
        <v>78</v>
      </c>
      <c r="BE5411" s="3" t="s">
        <v>52573</v>
      </c>
      <c r="BF5411" s="3" t="s">
        <v>52627</v>
      </c>
      <c r="BG5411" s="3" t="s">
        <v>52628</v>
      </c>
      <c r="BH5411">
        <f t="shared" si="166"/>
        <v>0</v>
      </c>
    </row>
    <row r="5412" spans="1:60" ht="72.5" x14ac:dyDescent="0.35">
      <c r="A5412" s="2" t="s">
        <v>59</v>
      </c>
      <c r="B5412" s="2" t="s">
        <v>60</v>
      </c>
      <c r="C5412" s="2" t="s">
        <v>52563</v>
      </c>
      <c r="D5412" s="2" t="s">
        <v>52564</v>
      </c>
      <c r="E5412" s="2" t="s">
        <v>52565</v>
      </c>
      <c r="F5412" s="3" t="s">
        <v>52629</v>
      </c>
      <c r="G5412" s="3" t="s">
        <v>128</v>
      </c>
      <c r="I5412" s="3" t="s">
        <v>64</v>
      </c>
      <c r="J5412" s="3" t="s">
        <v>64</v>
      </c>
      <c r="K5412" s="3" t="s">
        <v>65</v>
      </c>
      <c r="M5412" s="2" t="s">
        <v>52567</v>
      </c>
      <c r="N5412" s="3" t="s">
        <v>979</v>
      </c>
      <c r="P5412" s="3" t="s">
        <v>365</v>
      </c>
      <c r="Q5412" s="2" t="s">
        <v>52568</v>
      </c>
      <c r="R5412" s="3" t="s">
        <v>70</v>
      </c>
      <c r="S5412" s="4">
        <v>0</v>
      </c>
      <c r="T5412" s="4">
        <v>1</v>
      </c>
      <c r="V5412" s="5" t="s">
        <v>6785</v>
      </c>
      <c r="W5412" s="5" t="s">
        <v>72</v>
      </c>
      <c r="X5412" s="5" t="s">
        <v>72</v>
      </c>
      <c r="Y5412" s="4">
        <v>42</v>
      </c>
      <c r="Z5412" s="4">
        <v>4</v>
      </c>
      <c r="AA5412" s="4">
        <v>4</v>
      </c>
      <c r="AB5412" s="4">
        <v>2</v>
      </c>
      <c r="AC5412" s="4">
        <v>2</v>
      </c>
      <c r="AD5412" s="4">
        <v>28</v>
      </c>
      <c r="AE5412" s="4">
        <v>28</v>
      </c>
      <c r="AF5412" s="4">
        <v>0</v>
      </c>
      <c r="AG5412" s="4">
        <v>0</v>
      </c>
      <c r="AH5412" s="4">
        <v>27</v>
      </c>
      <c r="AI5412" s="4">
        <v>27</v>
      </c>
      <c r="AJ5412" s="4">
        <v>2</v>
      </c>
      <c r="AK5412" s="4">
        <v>2</v>
      </c>
      <c r="AL5412" s="4">
        <v>20</v>
      </c>
      <c r="AM5412" s="4">
        <v>20</v>
      </c>
      <c r="AN5412" s="4">
        <v>0</v>
      </c>
      <c r="AO5412" s="4">
        <v>0</v>
      </c>
      <c r="AP5412" s="4">
        <v>2</v>
      </c>
      <c r="AQ5412" s="4">
        <v>2</v>
      </c>
      <c r="AR5412" s="3" t="s">
        <v>64</v>
      </c>
      <c r="AS5412" s="3" t="s">
        <v>64</v>
      </c>
      <c r="AT5412" s="3" t="s">
        <v>128</v>
      </c>
      <c r="AU5412" s="6" t="str">
        <f t="shared" si="167"/>
        <v>HathiTrust Record</v>
      </c>
      <c r="AV5412" s="6" t="str">
        <f t="shared" si="168"/>
        <v>Catalog Record</v>
      </c>
      <c r="AW5412" s="6" t="str">
        <f t="shared" si="169"/>
        <v>WorldCat Record</v>
      </c>
      <c r="AX5412" s="3" t="s">
        <v>52569</v>
      </c>
      <c r="AY5412" s="3" t="s">
        <v>52570</v>
      </c>
      <c r="AZ5412" s="3" t="s">
        <v>52571</v>
      </c>
      <c r="BA5412" s="3" t="s">
        <v>52571</v>
      </c>
      <c r="BB5412" s="3" t="s">
        <v>52630</v>
      </c>
      <c r="BC5412" s="3" t="s">
        <v>77</v>
      </c>
      <c r="BD5412" s="3" t="s">
        <v>78</v>
      </c>
      <c r="BE5412" s="3" t="s">
        <v>52573</v>
      </c>
      <c r="BF5412" s="3" t="s">
        <v>52630</v>
      </c>
      <c r="BG5412" s="3" t="s">
        <v>52631</v>
      </c>
      <c r="BH5412">
        <f t="shared" si="166"/>
        <v>0</v>
      </c>
    </row>
    <row r="5413" spans="1:60" ht="72.5" x14ac:dyDescent="0.35">
      <c r="A5413" s="2" t="s">
        <v>59</v>
      </c>
      <c r="B5413" s="2" t="s">
        <v>60</v>
      </c>
      <c r="C5413" s="2" t="s">
        <v>52563</v>
      </c>
      <c r="D5413" s="2" t="s">
        <v>52564</v>
      </c>
      <c r="E5413" s="2" t="s">
        <v>52565</v>
      </c>
      <c r="F5413" s="3" t="s">
        <v>52632</v>
      </c>
      <c r="G5413" s="3" t="s">
        <v>128</v>
      </c>
      <c r="I5413" s="3" t="s">
        <v>64</v>
      </c>
      <c r="J5413" s="3" t="s">
        <v>64</v>
      </c>
      <c r="K5413" s="3" t="s">
        <v>65</v>
      </c>
      <c r="M5413" s="2" t="s">
        <v>52567</v>
      </c>
      <c r="N5413" s="3" t="s">
        <v>979</v>
      </c>
      <c r="P5413" s="3" t="s">
        <v>365</v>
      </c>
      <c r="Q5413" s="2" t="s">
        <v>52568</v>
      </c>
      <c r="R5413" s="3" t="s">
        <v>70</v>
      </c>
      <c r="S5413" s="4">
        <v>0</v>
      </c>
      <c r="T5413" s="4">
        <v>1</v>
      </c>
      <c r="V5413" s="5" t="s">
        <v>6785</v>
      </c>
      <c r="W5413" s="5" t="s">
        <v>72</v>
      </c>
      <c r="X5413" s="5" t="s">
        <v>72</v>
      </c>
      <c r="Y5413" s="4">
        <v>42</v>
      </c>
      <c r="Z5413" s="4">
        <v>4</v>
      </c>
      <c r="AA5413" s="4">
        <v>4</v>
      </c>
      <c r="AB5413" s="4">
        <v>2</v>
      </c>
      <c r="AC5413" s="4">
        <v>2</v>
      </c>
      <c r="AD5413" s="4">
        <v>28</v>
      </c>
      <c r="AE5413" s="4">
        <v>28</v>
      </c>
      <c r="AF5413" s="4">
        <v>0</v>
      </c>
      <c r="AG5413" s="4">
        <v>0</v>
      </c>
      <c r="AH5413" s="4">
        <v>27</v>
      </c>
      <c r="AI5413" s="4">
        <v>27</v>
      </c>
      <c r="AJ5413" s="4">
        <v>2</v>
      </c>
      <c r="AK5413" s="4">
        <v>2</v>
      </c>
      <c r="AL5413" s="4">
        <v>20</v>
      </c>
      <c r="AM5413" s="4">
        <v>20</v>
      </c>
      <c r="AN5413" s="4">
        <v>0</v>
      </c>
      <c r="AO5413" s="4">
        <v>0</v>
      </c>
      <c r="AP5413" s="4">
        <v>2</v>
      </c>
      <c r="AQ5413" s="4">
        <v>2</v>
      </c>
      <c r="AR5413" s="3" t="s">
        <v>64</v>
      </c>
      <c r="AS5413" s="3" t="s">
        <v>64</v>
      </c>
      <c r="AT5413" s="3" t="s">
        <v>128</v>
      </c>
      <c r="AU5413" s="6" t="str">
        <f t="shared" si="167"/>
        <v>HathiTrust Record</v>
      </c>
      <c r="AV5413" s="6" t="str">
        <f t="shared" si="168"/>
        <v>Catalog Record</v>
      </c>
      <c r="AW5413" s="6" t="str">
        <f t="shared" si="169"/>
        <v>WorldCat Record</v>
      </c>
      <c r="AX5413" s="3" t="s">
        <v>52569</v>
      </c>
      <c r="AY5413" s="3" t="s">
        <v>52570</v>
      </c>
      <c r="AZ5413" s="3" t="s">
        <v>52571</v>
      </c>
      <c r="BA5413" s="3" t="s">
        <v>52571</v>
      </c>
      <c r="BB5413" s="3" t="s">
        <v>52633</v>
      </c>
      <c r="BC5413" s="3" t="s">
        <v>77</v>
      </c>
      <c r="BD5413" s="3" t="s">
        <v>78</v>
      </c>
      <c r="BE5413" s="3" t="s">
        <v>52573</v>
      </c>
      <c r="BF5413" s="3" t="s">
        <v>52633</v>
      </c>
      <c r="BG5413" s="3" t="s">
        <v>52634</v>
      </c>
      <c r="BH5413">
        <f t="shared" si="166"/>
        <v>0</v>
      </c>
    </row>
    <row r="5414" spans="1:60" ht="72.5" x14ac:dyDescent="0.35">
      <c r="A5414" s="2" t="s">
        <v>59</v>
      </c>
      <c r="B5414" s="2" t="s">
        <v>60</v>
      </c>
      <c r="C5414" s="2" t="s">
        <v>52563</v>
      </c>
      <c r="D5414" s="2" t="s">
        <v>52564</v>
      </c>
      <c r="E5414" s="2" t="s">
        <v>52565</v>
      </c>
      <c r="F5414" s="3" t="s">
        <v>52635</v>
      </c>
      <c r="G5414" s="3" t="s">
        <v>128</v>
      </c>
      <c r="I5414" s="3" t="s">
        <v>64</v>
      </c>
      <c r="J5414" s="3" t="s">
        <v>64</v>
      </c>
      <c r="K5414" s="3" t="s">
        <v>65</v>
      </c>
      <c r="M5414" s="2" t="s">
        <v>52567</v>
      </c>
      <c r="N5414" s="3" t="s">
        <v>979</v>
      </c>
      <c r="P5414" s="3" t="s">
        <v>365</v>
      </c>
      <c r="Q5414" s="2" t="s">
        <v>52568</v>
      </c>
      <c r="R5414" s="3" t="s">
        <v>70</v>
      </c>
      <c r="S5414" s="4">
        <v>0</v>
      </c>
      <c r="T5414" s="4">
        <v>1</v>
      </c>
      <c r="V5414" s="5" t="s">
        <v>6785</v>
      </c>
      <c r="W5414" s="5" t="s">
        <v>72</v>
      </c>
      <c r="X5414" s="5" t="s">
        <v>72</v>
      </c>
      <c r="Y5414" s="4">
        <v>42</v>
      </c>
      <c r="Z5414" s="4">
        <v>4</v>
      </c>
      <c r="AA5414" s="4">
        <v>4</v>
      </c>
      <c r="AB5414" s="4">
        <v>2</v>
      </c>
      <c r="AC5414" s="4">
        <v>2</v>
      </c>
      <c r="AD5414" s="4">
        <v>28</v>
      </c>
      <c r="AE5414" s="4">
        <v>28</v>
      </c>
      <c r="AF5414" s="4">
        <v>0</v>
      </c>
      <c r="AG5414" s="4">
        <v>0</v>
      </c>
      <c r="AH5414" s="4">
        <v>27</v>
      </c>
      <c r="AI5414" s="4">
        <v>27</v>
      </c>
      <c r="AJ5414" s="4">
        <v>2</v>
      </c>
      <c r="AK5414" s="4">
        <v>2</v>
      </c>
      <c r="AL5414" s="4">
        <v>20</v>
      </c>
      <c r="AM5414" s="4">
        <v>20</v>
      </c>
      <c r="AN5414" s="4">
        <v>0</v>
      </c>
      <c r="AO5414" s="4">
        <v>0</v>
      </c>
      <c r="AP5414" s="4">
        <v>2</v>
      </c>
      <c r="AQ5414" s="4">
        <v>2</v>
      </c>
      <c r="AR5414" s="3" t="s">
        <v>64</v>
      </c>
      <c r="AS5414" s="3" t="s">
        <v>64</v>
      </c>
      <c r="AT5414" s="3" t="s">
        <v>128</v>
      </c>
      <c r="AU5414" s="6" t="str">
        <f t="shared" si="167"/>
        <v>HathiTrust Record</v>
      </c>
      <c r="AV5414" s="6" t="str">
        <f t="shared" si="168"/>
        <v>Catalog Record</v>
      </c>
      <c r="AW5414" s="6" t="str">
        <f t="shared" si="169"/>
        <v>WorldCat Record</v>
      </c>
      <c r="AX5414" s="3" t="s">
        <v>52569</v>
      </c>
      <c r="AY5414" s="3" t="s">
        <v>52570</v>
      </c>
      <c r="AZ5414" s="3" t="s">
        <v>52571</v>
      </c>
      <c r="BA5414" s="3" t="s">
        <v>52571</v>
      </c>
      <c r="BB5414" s="3" t="s">
        <v>52636</v>
      </c>
      <c r="BC5414" s="3" t="s">
        <v>77</v>
      </c>
      <c r="BD5414" s="3" t="s">
        <v>78</v>
      </c>
      <c r="BE5414" s="3" t="s">
        <v>52573</v>
      </c>
      <c r="BF5414" s="3" t="s">
        <v>52636</v>
      </c>
      <c r="BG5414" s="3" t="s">
        <v>52637</v>
      </c>
      <c r="BH5414">
        <f t="shared" si="166"/>
        <v>0</v>
      </c>
    </row>
    <row r="5415" spans="1:60" ht="72.5" x14ac:dyDescent="0.35">
      <c r="A5415" s="2" t="s">
        <v>59</v>
      </c>
      <c r="B5415" s="2" t="s">
        <v>60</v>
      </c>
      <c r="C5415" s="2" t="s">
        <v>52563</v>
      </c>
      <c r="D5415" s="2" t="s">
        <v>52564</v>
      </c>
      <c r="E5415" s="2" t="s">
        <v>52565</v>
      </c>
      <c r="F5415" s="3" t="s">
        <v>52638</v>
      </c>
      <c r="G5415" s="3" t="s">
        <v>128</v>
      </c>
      <c r="I5415" s="3" t="s">
        <v>64</v>
      </c>
      <c r="J5415" s="3" t="s">
        <v>64</v>
      </c>
      <c r="K5415" s="3" t="s">
        <v>65</v>
      </c>
      <c r="M5415" s="2" t="s">
        <v>52567</v>
      </c>
      <c r="N5415" s="3" t="s">
        <v>979</v>
      </c>
      <c r="P5415" s="3" t="s">
        <v>365</v>
      </c>
      <c r="Q5415" s="2" t="s">
        <v>52568</v>
      </c>
      <c r="R5415" s="3" t="s">
        <v>70</v>
      </c>
      <c r="S5415" s="4">
        <v>0</v>
      </c>
      <c r="T5415" s="4">
        <v>1</v>
      </c>
      <c r="V5415" s="5" t="s">
        <v>6785</v>
      </c>
      <c r="W5415" s="5" t="s">
        <v>72</v>
      </c>
      <c r="X5415" s="5" t="s">
        <v>72</v>
      </c>
      <c r="Y5415" s="4">
        <v>42</v>
      </c>
      <c r="Z5415" s="4">
        <v>4</v>
      </c>
      <c r="AA5415" s="4">
        <v>4</v>
      </c>
      <c r="AB5415" s="4">
        <v>2</v>
      </c>
      <c r="AC5415" s="4">
        <v>2</v>
      </c>
      <c r="AD5415" s="4">
        <v>28</v>
      </c>
      <c r="AE5415" s="4">
        <v>28</v>
      </c>
      <c r="AF5415" s="4">
        <v>0</v>
      </c>
      <c r="AG5415" s="4">
        <v>0</v>
      </c>
      <c r="AH5415" s="4">
        <v>27</v>
      </c>
      <c r="AI5415" s="4">
        <v>27</v>
      </c>
      <c r="AJ5415" s="4">
        <v>2</v>
      </c>
      <c r="AK5415" s="4">
        <v>2</v>
      </c>
      <c r="AL5415" s="4">
        <v>20</v>
      </c>
      <c r="AM5415" s="4">
        <v>20</v>
      </c>
      <c r="AN5415" s="4">
        <v>0</v>
      </c>
      <c r="AO5415" s="4">
        <v>0</v>
      </c>
      <c r="AP5415" s="4">
        <v>2</v>
      </c>
      <c r="AQ5415" s="4">
        <v>2</v>
      </c>
      <c r="AR5415" s="3" t="s">
        <v>64</v>
      </c>
      <c r="AS5415" s="3" t="s">
        <v>64</v>
      </c>
      <c r="AT5415" s="3" t="s">
        <v>128</v>
      </c>
      <c r="AU5415" s="6" t="str">
        <f t="shared" si="167"/>
        <v>HathiTrust Record</v>
      </c>
      <c r="AV5415" s="6" t="str">
        <f t="shared" si="168"/>
        <v>Catalog Record</v>
      </c>
      <c r="AW5415" s="6" t="str">
        <f t="shared" si="169"/>
        <v>WorldCat Record</v>
      </c>
      <c r="AX5415" s="3" t="s">
        <v>52569</v>
      </c>
      <c r="AY5415" s="3" t="s">
        <v>52570</v>
      </c>
      <c r="AZ5415" s="3" t="s">
        <v>52571</v>
      </c>
      <c r="BA5415" s="3" t="s">
        <v>52571</v>
      </c>
      <c r="BB5415" s="3" t="s">
        <v>52639</v>
      </c>
      <c r="BC5415" s="3" t="s">
        <v>77</v>
      </c>
      <c r="BD5415" s="3" t="s">
        <v>78</v>
      </c>
      <c r="BE5415" s="3" t="s">
        <v>52573</v>
      </c>
      <c r="BF5415" s="3" t="s">
        <v>52639</v>
      </c>
      <c r="BG5415" s="3" t="s">
        <v>52640</v>
      </c>
      <c r="BH5415">
        <f t="shared" si="166"/>
        <v>0</v>
      </c>
    </row>
    <row r="5416" spans="1:60" ht="72.5" x14ac:dyDescent="0.35">
      <c r="A5416" s="2" t="s">
        <v>59</v>
      </c>
      <c r="B5416" s="2" t="s">
        <v>60</v>
      </c>
      <c r="C5416" s="2" t="s">
        <v>52563</v>
      </c>
      <c r="D5416" s="2" t="s">
        <v>52564</v>
      </c>
      <c r="E5416" s="2" t="s">
        <v>52565</v>
      </c>
      <c r="F5416" s="3" t="s">
        <v>52641</v>
      </c>
      <c r="G5416" s="3" t="s">
        <v>128</v>
      </c>
      <c r="I5416" s="3" t="s">
        <v>64</v>
      </c>
      <c r="J5416" s="3" t="s">
        <v>64</v>
      </c>
      <c r="K5416" s="3" t="s">
        <v>65</v>
      </c>
      <c r="M5416" s="2" t="s">
        <v>52567</v>
      </c>
      <c r="N5416" s="3" t="s">
        <v>979</v>
      </c>
      <c r="P5416" s="3" t="s">
        <v>365</v>
      </c>
      <c r="Q5416" s="2" t="s">
        <v>52568</v>
      </c>
      <c r="R5416" s="3" t="s">
        <v>70</v>
      </c>
      <c r="S5416" s="4">
        <v>0</v>
      </c>
      <c r="T5416" s="4">
        <v>1</v>
      </c>
      <c r="V5416" s="5" t="s">
        <v>6785</v>
      </c>
      <c r="W5416" s="5" t="s">
        <v>72</v>
      </c>
      <c r="X5416" s="5" t="s">
        <v>72</v>
      </c>
      <c r="Y5416" s="4">
        <v>42</v>
      </c>
      <c r="Z5416" s="4">
        <v>4</v>
      </c>
      <c r="AA5416" s="4">
        <v>4</v>
      </c>
      <c r="AB5416" s="4">
        <v>2</v>
      </c>
      <c r="AC5416" s="4">
        <v>2</v>
      </c>
      <c r="AD5416" s="4">
        <v>28</v>
      </c>
      <c r="AE5416" s="4">
        <v>28</v>
      </c>
      <c r="AF5416" s="4">
        <v>0</v>
      </c>
      <c r="AG5416" s="4">
        <v>0</v>
      </c>
      <c r="AH5416" s="4">
        <v>27</v>
      </c>
      <c r="AI5416" s="4">
        <v>27</v>
      </c>
      <c r="AJ5416" s="4">
        <v>2</v>
      </c>
      <c r="AK5416" s="4">
        <v>2</v>
      </c>
      <c r="AL5416" s="4">
        <v>20</v>
      </c>
      <c r="AM5416" s="4">
        <v>20</v>
      </c>
      <c r="AN5416" s="4">
        <v>0</v>
      </c>
      <c r="AO5416" s="4">
        <v>0</v>
      </c>
      <c r="AP5416" s="4">
        <v>2</v>
      </c>
      <c r="AQ5416" s="4">
        <v>2</v>
      </c>
      <c r="AR5416" s="3" t="s">
        <v>64</v>
      </c>
      <c r="AS5416" s="3" t="s">
        <v>64</v>
      </c>
      <c r="AT5416" s="3" t="s">
        <v>128</v>
      </c>
      <c r="AU5416" s="6" t="str">
        <f t="shared" si="167"/>
        <v>HathiTrust Record</v>
      </c>
      <c r="AV5416" s="6" t="str">
        <f t="shared" si="168"/>
        <v>Catalog Record</v>
      </c>
      <c r="AW5416" s="6" t="str">
        <f t="shared" si="169"/>
        <v>WorldCat Record</v>
      </c>
      <c r="AX5416" s="3" t="s">
        <v>52569</v>
      </c>
      <c r="AY5416" s="3" t="s">
        <v>52570</v>
      </c>
      <c r="AZ5416" s="3" t="s">
        <v>52571</v>
      </c>
      <c r="BA5416" s="3" t="s">
        <v>52571</v>
      </c>
      <c r="BB5416" s="3" t="s">
        <v>52642</v>
      </c>
      <c r="BC5416" s="3" t="s">
        <v>77</v>
      </c>
      <c r="BD5416" s="3" t="s">
        <v>78</v>
      </c>
      <c r="BE5416" s="3" t="s">
        <v>52573</v>
      </c>
      <c r="BF5416" s="3" t="s">
        <v>52642</v>
      </c>
      <c r="BG5416" s="3" t="s">
        <v>52643</v>
      </c>
      <c r="BH5416">
        <f t="shared" si="166"/>
        <v>0</v>
      </c>
    </row>
    <row r="5417" spans="1:60" ht="72.5" x14ac:dyDescent="0.35">
      <c r="A5417" s="2" t="s">
        <v>59</v>
      </c>
      <c r="B5417" s="2" t="s">
        <v>60</v>
      </c>
      <c r="C5417" s="2" t="s">
        <v>52563</v>
      </c>
      <c r="D5417" s="2" t="s">
        <v>52564</v>
      </c>
      <c r="E5417" s="2" t="s">
        <v>52565</v>
      </c>
      <c r="F5417" s="3" t="s">
        <v>52644</v>
      </c>
      <c r="G5417" s="3" t="s">
        <v>128</v>
      </c>
      <c r="I5417" s="3" t="s">
        <v>64</v>
      </c>
      <c r="J5417" s="3" t="s">
        <v>64</v>
      </c>
      <c r="K5417" s="3" t="s">
        <v>65</v>
      </c>
      <c r="M5417" s="2" t="s">
        <v>52567</v>
      </c>
      <c r="N5417" s="3" t="s">
        <v>979</v>
      </c>
      <c r="P5417" s="3" t="s">
        <v>365</v>
      </c>
      <c r="Q5417" s="2" t="s">
        <v>52568</v>
      </c>
      <c r="R5417" s="3" t="s">
        <v>70</v>
      </c>
      <c r="S5417" s="4">
        <v>0</v>
      </c>
      <c r="T5417" s="4">
        <v>1</v>
      </c>
      <c r="V5417" s="5" t="s">
        <v>6785</v>
      </c>
      <c r="W5417" s="5" t="s">
        <v>72</v>
      </c>
      <c r="X5417" s="5" t="s">
        <v>72</v>
      </c>
      <c r="Y5417" s="4">
        <v>42</v>
      </c>
      <c r="Z5417" s="4">
        <v>4</v>
      </c>
      <c r="AA5417" s="4">
        <v>4</v>
      </c>
      <c r="AB5417" s="4">
        <v>2</v>
      </c>
      <c r="AC5417" s="4">
        <v>2</v>
      </c>
      <c r="AD5417" s="4">
        <v>28</v>
      </c>
      <c r="AE5417" s="4">
        <v>28</v>
      </c>
      <c r="AF5417" s="4">
        <v>0</v>
      </c>
      <c r="AG5417" s="4">
        <v>0</v>
      </c>
      <c r="AH5417" s="4">
        <v>27</v>
      </c>
      <c r="AI5417" s="4">
        <v>27</v>
      </c>
      <c r="AJ5417" s="4">
        <v>2</v>
      </c>
      <c r="AK5417" s="4">
        <v>2</v>
      </c>
      <c r="AL5417" s="4">
        <v>20</v>
      </c>
      <c r="AM5417" s="4">
        <v>20</v>
      </c>
      <c r="AN5417" s="4">
        <v>0</v>
      </c>
      <c r="AO5417" s="4">
        <v>0</v>
      </c>
      <c r="AP5417" s="4">
        <v>2</v>
      </c>
      <c r="AQ5417" s="4">
        <v>2</v>
      </c>
      <c r="AR5417" s="3" t="s">
        <v>64</v>
      </c>
      <c r="AS5417" s="3" t="s">
        <v>64</v>
      </c>
      <c r="AT5417" s="3" t="s">
        <v>128</v>
      </c>
      <c r="AU5417" s="6" t="str">
        <f t="shared" si="167"/>
        <v>HathiTrust Record</v>
      </c>
      <c r="AV5417" s="6" t="str">
        <f t="shared" si="168"/>
        <v>Catalog Record</v>
      </c>
      <c r="AW5417" s="6" t="str">
        <f t="shared" si="169"/>
        <v>WorldCat Record</v>
      </c>
      <c r="AX5417" s="3" t="s">
        <v>52569</v>
      </c>
      <c r="AY5417" s="3" t="s">
        <v>52570</v>
      </c>
      <c r="AZ5417" s="3" t="s">
        <v>52571</v>
      </c>
      <c r="BA5417" s="3" t="s">
        <v>52571</v>
      </c>
      <c r="BB5417" s="3" t="s">
        <v>52645</v>
      </c>
      <c r="BC5417" s="3" t="s">
        <v>77</v>
      </c>
      <c r="BD5417" s="3" t="s">
        <v>78</v>
      </c>
      <c r="BE5417" s="3" t="s">
        <v>52573</v>
      </c>
      <c r="BF5417" s="3" t="s">
        <v>52645</v>
      </c>
      <c r="BG5417" s="3" t="s">
        <v>52646</v>
      </c>
      <c r="BH5417">
        <f t="shared" si="166"/>
        <v>0</v>
      </c>
    </row>
    <row r="5418" spans="1:60" ht="72.5" x14ac:dyDescent="0.35">
      <c r="A5418" s="2" t="s">
        <v>59</v>
      </c>
      <c r="B5418" s="2" t="s">
        <v>60</v>
      </c>
      <c r="C5418" s="2" t="s">
        <v>52563</v>
      </c>
      <c r="D5418" s="2" t="s">
        <v>52564</v>
      </c>
      <c r="E5418" s="2" t="s">
        <v>52565</v>
      </c>
      <c r="F5418" s="3" t="s">
        <v>52647</v>
      </c>
      <c r="G5418" s="3" t="s">
        <v>128</v>
      </c>
      <c r="I5418" s="3" t="s">
        <v>64</v>
      </c>
      <c r="J5418" s="3" t="s">
        <v>64</v>
      </c>
      <c r="K5418" s="3" t="s">
        <v>65</v>
      </c>
      <c r="M5418" s="2" t="s">
        <v>52567</v>
      </c>
      <c r="N5418" s="3" t="s">
        <v>979</v>
      </c>
      <c r="P5418" s="3" t="s">
        <v>365</v>
      </c>
      <c r="Q5418" s="2" t="s">
        <v>52568</v>
      </c>
      <c r="R5418" s="3" t="s">
        <v>70</v>
      </c>
      <c r="S5418" s="4">
        <v>0</v>
      </c>
      <c r="T5418" s="4">
        <v>1</v>
      </c>
      <c r="V5418" s="5" t="s">
        <v>6785</v>
      </c>
      <c r="W5418" s="5" t="s">
        <v>72</v>
      </c>
      <c r="X5418" s="5" t="s">
        <v>72</v>
      </c>
      <c r="Y5418" s="4">
        <v>42</v>
      </c>
      <c r="Z5418" s="4">
        <v>4</v>
      </c>
      <c r="AA5418" s="4">
        <v>4</v>
      </c>
      <c r="AB5418" s="4">
        <v>2</v>
      </c>
      <c r="AC5418" s="4">
        <v>2</v>
      </c>
      <c r="AD5418" s="4">
        <v>28</v>
      </c>
      <c r="AE5418" s="4">
        <v>28</v>
      </c>
      <c r="AF5418" s="4">
        <v>0</v>
      </c>
      <c r="AG5418" s="4">
        <v>0</v>
      </c>
      <c r="AH5418" s="4">
        <v>27</v>
      </c>
      <c r="AI5418" s="4">
        <v>27</v>
      </c>
      <c r="AJ5418" s="4">
        <v>2</v>
      </c>
      <c r="AK5418" s="4">
        <v>2</v>
      </c>
      <c r="AL5418" s="4">
        <v>20</v>
      </c>
      <c r="AM5418" s="4">
        <v>20</v>
      </c>
      <c r="AN5418" s="4">
        <v>0</v>
      </c>
      <c r="AO5418" s="4">
        <v>0</v>
      </c>
      <c r="AP5418" s="4">
        <v>2</v>
      </c>
      <c r="AQ5418" s="4">
        <v>2</v>
      </c>
      <c r="AR5418" s="3" t="s">
        <v>64</v>
      </c>
      <c r="AS5418" s="3" t="s">
        <v>64</v>
      </c>
      <c r="AT5418" s="3" t="s">
        <v>128</v>
      </c>
      <c r="AU5418" s="6" t="str">
        <f t="shared" si="167"/>
        <v>HathiTrust Record</v>
      </c>
      <c r="AV5418" s="6" t="str">
        <f t="shared" si="168"/>
        <v>Catalog Record</v>
      </c>
      <c r="AW5418" s="6" t="str">
        <f t="shared" si="169"/>
        <v>WorldCat Record</v>
      </c>
      <c r="AX5418" s="3" t="s">
        <v>52569</v>
      </c>
      <c r="AY5418" s="3" t="s">
        <v>52570</v>
      </c>
      <c r="AZ5418" s="3" t="s">
        <v>52571</v>
      </c>
      <c r="BA5418" s="3" t="s">
        <v>52571</v>
      </c>
      <c r="BB5418" s="3" t="s">
        <v>52648</v>
      </c>
      <c r="BC5418" s="3" t="s">
        <v>77</v>
      </c>
      <c r="BD5418" s="3" t="s">
        <v>78</v>
      </c>
      <c r="BE5418" s="3" t="s">
        <v>52573</v>
      </c>
      <c r="BF5418" s="3" t="s">
        <v>52648</v>
      </c>
      <c r="BG5418" s="3" t="s">
        <v>52649</v>
      </c>
      <c r="BH5418">
        <f t="shared" si="166"/>
        <v>0</v>
      </c>
    </row>
    <row r="5419" spans="1:60" ht="72.5" x14ac:dyDescent="0.35">
      <c r="A5419" s="2" t="s">
        <v>59</v>
      </c>
      <c r="B5419" s="2" t="s">
        <v>60</v>
      </c>
      <c r="C5419" s="2" t="s">
        <v>52563</v>
      </c>
      <c r="D5419" s="2" t="s">
        <v>52564</v>
      </c>
      <c r="E5419" s="2" t="s">
        <v>52565</v>
      </c>
      <c r="F5419" s="3" t="s">
        <v>52650</v>
      </c>
      <c r="G5419" s="3" t="s">
        <v>128</v>
      </c>
      <c r="I5419" s="3" t="s">
        <v>64</v>
      </c>
      <c r="J5419" s="3" t="s">
        <v>64</v>
      </c>
      <c r="K5419" s="3" t="s">
        <v>65</v>
      </c>
      <c r="M5419" s="2" t="s">
        <v>52567</v>
      </c>
      <c r="N5419" s="3" t="s">
        <v>979</v>
      </c>
      <c r="P5419" s="3" t="s">
        <v>365</v>
      </c>
      <c r="Q5419" s="2" t="s">
        <v>52568</v>
      </c>
      <c r="R5419" s="3" t="s">
        <v>70</v>
      </c>
      <c r="S5419" s="4">
        <v>0</v>
      </c>
      <c r="T5419" s="4">
        <v>1</v>
      </c>
      <c r="V5419" s="5" t="s">
        <v>6785</v>
      </c>
      <c r="W5419" s="5" t="s">
        <v>72</v>
      </c>
      <c r="X5419" s="5" t="s">
        <v>72</v>
      </c>
      <c r="Y5419" s="4">
        <v>42</v>
      </c>
      <c r="Z5419" s="4">
        <v>4</v>
      </c>
      <c r="AA5419" s="4">
        <v>4</v>
      </c>
      <c r="AB5419" s="4">
        <v>2</v>
      </c>
      <c r="AC5419" s="4">
        <v>2</v>
      </c>
      <c r="AD5419" s="4">
        <v>28</v>
      </c>
      <c r="AE5419" s="4">
        <v>28</v>
      </c>
      <c r="AF5419" s="4">
        <v>0</v>
      </c>
      <c r="AG5419" s="4">
        <v>0</v>
      </c>
      <c r="AH5419" s="4">
        <v>27</v>
      </c>
      <c r="AI5419" s="4">
        <v>27</v>
      </c>
      <c r="AJ5419" s="4">
        <v>2</v>
      </c>
      <c r="AK5419" s="4">
        <v>2</v>
      </c>
      <c r="AL5419" s="4">
        <v>20</v>
      </c>
      <c r="AM5419" s="4">
        <v>20</v>
      </c>
      <c r="AN5419" s="4">
        <v>0</v>
      </c>
      <c r="AO5419" s="4">
        <v>0</v>
      </c>
      <c r="AP5419" s="4">
        <v>2</v>
      </c>
      <c r="AQ5419" s="4">
        <v>2</v>
      </c>
      <c r="AR5419" s="3" t="s">
        <v>64</v>
      </c>
      <c r="AS5419" s="3" t="s">
        <v>64</v>
      </c>
      <c r="AT5419" s="3" t="s">
        <v>128</v>
      </c>
      <c r="AU5419" s="6" t="str">
        <f t="shared" si="167"/>
        <v>HathiTrust Record</v>
      </c>
      <c r="AV5419" s="6" t="str">
        <f t="shared" si="168"/>
        <v>Catalog Record</v>
      </c>
      <c r="AW5419" s="6" t="str">
        <f t="shared" si="169"/>
        <v>WorldCat Record</v>
      </c>
      <c r="AX5419" s="3" t="s">
        <v>52569</v>
      </c>
      <c r="AY5419" s="3" t="s">
        <v>52570</v>
      </c>
      <c r="AZ5419" s="3" t="s">
        <v>52571</v>
      </c>
      <c r="BA5419" s="3" t="s">
        <v>52571</v>
      </c>
      <c r="BB5419" s="3" t="s">
        <v>52651</v>
      </c>
      <c r="BC5419" s="3" t="s">
        <v>77</v>
      </c>
      <c r="BD5419" s="3" t="s">
        <v>78</v>
      </c>
      <c r="BE5419" s="3" t="s">
        <v>52573</v>
      </c>
      <c r="BF5419" s="3" t="s">
        <v>52651</v>
      </c>
      <c r="BG5419" s="3" t="s">
        <v>52652</v>
      </c>
      <c r="BH5419">
        <f t="shared" si="166"/>
        <v>0</v>
      </c>
    </row>
    <row r="5420" spans="1:60" ht="72.5" x14ac:dyDescent="0.35">
      <c r="A5420" s="2" t="s">
        <v>59</v>
      </c>
      <c r="B5420" s="2" t="s">
        <v>60</v>
      </c>
      <c r="C5420" s="2" t="s">
        <v>52563</v>
      </c>
      <c r="D5420" s="2" t="s">
        <v>52564</v>
      </c>
      <c r="E5420" s="2" t="s">
        <v>52565</v>
      </c>
      <c r="F5420" s="3" t="s">
        <v>52653</v>
      </c>
      <c r="G5420" s="3" t="s">
        <v>128</v>
      </c>
      <c r="I5420" s="3" t="s">
        <v>64</v>
      </c>
      <c r="J5420" s="3" t="s">
        <v>64</v>
      </c>
      <c r="K5420" s="3" t="s">
        <v>65</v>
      </c>
      <c r="M5420" s="2" t="s">
        <v>52567</v>
      </c>
      <c r="N5420" s="3" t="s">
        <v>979</v>
      </c>
      <c r="P5420" s="3" t="s">
        <v>365</v>
      </c>
      <c r="Q5420" s="2" t="s">
        <v>52568</v>
      </c>
      <c r="R5420" s="3" t="s">
        <v>70</v>
      </c>
      <c r="S5420" s="4">
        <v>0</v>
      </c>
      <c r="T5420" s="4">
        <v>1</v>
      </c>
      <c r="V5420" s="5" t="s">
        <v>6785</v>
      </c>
      <c r="W5420" s="5" t="s">
        <v>72</v>
      </c>
      <c r="X5420" s="5" t="s">
        <v>72</v>
      </c>
      <c r="Y5420" s="4">
        <v>42</v>
      </c>
      <c r="Z5420" s="4">
        <v>4</v>
      </c>
      <c r="AA5420" s="4">
        <v>4</v>
      </c>
      <c r="AB5420" s="4">
        <v>2</v>
      </c>
      <c r="AC5420" s="4">
        <v>2</v>
      </c>
      <c r="AD5420" s="4">
        <v>28</v>
      </c>
      <c r="AE5420" s="4">
        <v>28</v>
      </c>
      <c r="AF5420" s="4">
        <v>0</v>
      </c>
      <c r="AG5420" s="4">
        <v>0</v>
      </c>
      <c r="AH5420" s="4">
        <v>27</v>
      </c>
      <c r="AI5420" s="4">
        <v>27</v>
      </c>
      <c r="AJ5420" s="4">
        <v>2</v>
      </c>
      <c r="AK5420" s="4">
        <v>2</v>
      </c>
      <c r="AL5420" s="4">
        <v>20</v>
      </c>
      <c r="AM5420" s="4">
        <v>20</v>
      </c>
      <c r="AN5420" s="4">
        <v>0</v>
      </c>
      <c r="AO5420" s="4">
        <v>0</v>
      </c>
      <c r="AP5420" s="4">
        <v>2</v>
      </c>
      <c r="AQ5420" s="4">
        <v>2</v>
      </c>
      <c r="AR5420" s="3" t="s">
        <v>64</v>
      </c>
      <c r="AS5420" s="3" t="s">
        <v>64</v>
      </c>
      <c r="AT5420" s="3" t="s">
        <v>128</v>
      </c>
      <c r="AU5420" s="6" t="str">
        <f t="shared" si="167"/>
        <v>HathiTrust Record</v>
      </c>
      <c r="AV5420" s="6" t="str">
        <f t="shared" si="168"/>
        <v>Catalog Record</v>
      </c>
      <c r="AW5420" s="6" t="str">
        <f t="shared" si="169"/>
        <v>WorldCat Record</v>
      </c>
      <c r="AX5420" s="3" t="s">
        <v>52569</v>
      </c>
      <c r="AY5420" s="3" t="s">
        <v>52570</v>
      </c>
      <c r="AZ5420" s="3" t="s">
        <v>52571</v>
      </c>
      <c r="BA5420" s="3" t="s">
        <v>52571</v>
      </c>
      <c r="BB5420" s="3" t="s">
        <v>52654</v>
      </c>
      <c r="BC5420" s="3" t="s">
        <v>77</v>
      </c>
      <c r="BD5420" s="3" t="s">
        <v>78</v>
      </c>
      <c r="BE5420" s="3" t="s">
        <v>52573</v>
      </c>
      <c r="BF5420" s="3" t="s">
        <v>52654</v>
      </c>
      <c r="BG5420" s="3" t="s">
        <v>52655</v>
      </c>
      <c r="BH5420">
        <f t="shared" si="166"/>
        <v>0</v>
      </c>
    </row>
    <row r="5421" spans="1:60" ht="72.5" x14ac:dyDescent="0.35">
      <c r="A5421" s="2" t="s">
        <v>59</v>
      </c>
      <c r="B5421" s="2" t="s">
        <v>60</v>
      </c>
      <c r="C5421" s="2" t="s">
        <v>52563</v>
      </c>
      <c r="D5421" s="2" t="s">
        <v>52564</v>
      </c>
      <c r="E5421" s="2" t="s">
        <v>52565</v>
      </c>
      <c r="F5421" s="3" t="s">
        <v>52656</v>
      </c>
      <c r="G5421" s="3" t="s">
        <v>128</v>
      </c>
      <c r="I5421" s="3" t="s">
        <v>64</v>
      </c>
      <c r="J5421" s="3" t="s">
        <v>64</v>
      </c>
      <c r="K5421" s="3" t="s">
        <v>65</v>
      </c>
      <c r="M5421" s="2" t="s">
        <v>52567</v>
      </c>
      <c r="N5421" s="3" t="s">
        <v>979</v>
      </c>
      <c r="P5421" s="3" t="s">
        <v>365</v>
      </c>
      <c r="Q5421" s="2" t="s">
        <v>52568</v>
      </c>
      <c r="R5421" s="3" t="s">
        <v>70</v>
      </c>
      <c r="S5421" s="4">
        <v>0</v>
      </c>
      <c r="T5421" s="4">
        <v>1</v>
      </c>
      <c r="V5421" s="5" t="s">
        <v>6785</v>
      </c>
      <c r="W5421" s="5" t="s">
        <v>72</v>
      </c>
      <c r="X5421" s="5" t="s">
        <v>72</v>
      </c>
      <c r="Y5421" s="4">
        <v>42</v>
      </c>
      <c r="Z5421" s="4">
        <v>4</v>
      </c>
      <c r="AA5421" s="4">
        <v>4</v>
      </c>
      <c r="AB5421" s="4">
        <v>2</v>
      </c>
      <c r="AC5421" s="4">
        <v>2</v>
      </c>
      <c r="AD5421" s="4">
        <v>28</v>
      </c>
      <c r="AE5421" s="4">
        <v>28</v>
      </c>
      <c r="AF5421" s="4">
        <v>0</v>
      </c>
      <c r="AG5421" s="4">
        <v>0</v>
      </c>
      <c r="AH5421" s="4">
        <v>27</v>
      </c>
      <c r="AI5421" s="4">
        <v>27</v>
      </c>
      <c r="AJ5421" s="4">
        <v>2</v>
      </c>
      <c r="AK5421" s="4">
        <v>2</v>
      </c>
      <c r="AL5421" s="4">
        <v>20</v>
      </c>
      <c r="AM5421" s="4">
        <v>20</v>
      </c>
      <c r="AN5421" s="4">
        <v>0</v>
      </c>
      <c r="AO5421" s="4">
        <v>0</v>
      </c>
      <c r="AP5421" s="4">
        <v>2</v>
      </c>
      <c r="AQ5421" s="4">
        <v>2</v>
      </c>
      <c r="AR5421" s="3" t="s">
        <v>64</v>
      </c>
      <c r="AS5421" s="3" t="s">
        <v>64</v>
      </c>
      <c r="AT5421" s="3" t="s">
        <v>128</v>
      </c>
      <c r="AU5421" s="6" t="str">
        <f t="shared" si="167"/>
        <v>HathiTrust Record</v>
      </c>
      <c r="AV5421" s="6" t="str">
        <f t="shared" si="168"/>
        <v>Catalog Record</v>
      </c>
      <c r="AW5421" s="6" t="str">
        <f t="shared" si="169"/>
        <v>WorldCat Record</v>
      </c>
      <c r="AX5421" s="3" t="s">
        <v>52569</v>
      </c>
      <c r="AY5421" s="3" t="s">
        <v>52570</v>
      </c>
      <c r="AZ5421" s="3" t="s">
        <v>52571</v>
      </c>
      <c r="BA5421" s="3" t="s">
        <v>52571</v>
      </c>
      <c r="BB5421" s="3" t="s">
        <v>52657</v>
      </c>
      <c r="BC5421" s="3" t="s">
        <v>77</v>
      </c>
      <c r="BD5421" s="3" t="s">
        <v>78</v>
      </c>
      <c r="BE5421" s="3" t="s">
        <v>52573</v>
      </c>
      <c r="BF5421" s="3" t="s">
        <v>52657</v>
      </c>
      <c r="BG5421" s="3" t="s">
        <v>52658</v>
      </c>
      <c r="BH5421">
        <f t="shared" si="166"/>
        <v>0</v>
      </c>
    </row>
    <row r="5422" spans="1:60" ht="72.5" x14ac:dyDescent="0.35">
      <c r="A5422" s="2" t="s">
        <v>59</v>
      </c>
      <c r="B5422" s="2" t="s">
        <v>60</v>
      </c>
      <c r="C5422" s="2" t="s">
        <v>52563</v>
      </c>
      <c r="D5422" s="2" t="s">
        <v>52564</v>
      </c>
      <c r="E5422" s="2" t="s">
        <v>52565</v>
      </c>
      <c r="F5422" s="3" t="s">
        <v>52659</v>
      </c>
      <c r="G5422" s="3" t="s">
        <v>128</v>
      </c>
      <c r="I5422" s="3" t="s">
        <v>64</v>
      </c>
      <c r="J5422" s="3" t="s">
        <v>64</v>
      </c>
      <c r="K5422" s="3" t="s">
        <v>65</v>
      </c>
      <c r="M5422" s="2" t="s">
        <v>52567</v>
      </c>
      <c r="N5422" s="3" t="s">
        <v>979</v>
      </c>
      <c r="P5422" s="3" t="s">
        <v>365</v>
      </c>
      <c r="Q5422" s="2" t="s">
        <v>52568</v>
      </c>
      <c r="R5422" s="3" t="s">
        <v>70</v>
      </c>
      <c r="S5422" s="4">
        <v>0</v>
      </c>
      <c r="T5422" s="4">
        <v>1</v>
      </c>
      <c r="V5422" s="5" t="s">
        <v>6785</v>
      </c>
      <c r="W5422" s="5" t="s">
        <v>72</v>
      </c>
      <c r="X5422" s="5" t="s">
        <v>72</v>
      </c>
      <c r="Y5422" s="4">
        <v>42</v>
      </c>
      <c r="Z5422" s="4">
        <v>4</v>
      </c>
      <c r="AA5422" s="4">
        <v>4</v>
      </c>
      <c r="AB5422" s="4">
        <v>2</v>
      </c>
      <c r="AC5422" s="4">
        <v>2</v>
      </c>
      <c r="AD5422" s="4">
        <v>28</v>
      </c>
      <c r="AE5422" s="4">
        <v>28</v>
      </c>
      <c r="AF5422" s="4">
        <v>0</v>
      </c>
      <c r="AG5422" s="4">
        <v>0</v>
      </c>
      <c r="AH5422" s="4">
        <v>27</v>
      </c>
      <c r="AI5422" s="4">
        <v>27</v>
      </c>
      <c r="AJ5422" s="4">
        <v>2</v>
      </c>
      <c r="AK5422" s="4">
        <v>2</v>
      </c>
      <c r="AL5422" s="4">
        <v>20</v>
      </c>
      <c r="AM5422" s="4">
        <v>20</v>
      </c>
      <c r="AN5422" s="4">
        <v>0</v>
      </c>
      <c r="AO5422" s="4">
        <v>0</v>
      </c>
      <c r="AP5422" s="4">
        <v>2</v>
      </c>
      <c r="AQ5422" s="4">
        <v>2</v>
      </c>
      <c r="AR5422" s="3" t="s">
        <v>64</v>
      </c>
      <c r="AS5422" s="3" t="s">
        <v>64</v>
      </c>
      <c r="AT5422" s="3" t="s">
        <v>128</v>
      </c>
      <c r="AU5422" s="6" t="str">
        <f t="shared" si="167"/>
        <v>HathiTrust Record</v>
      </c>
      <c r="AV5422" s="6" t="str">
        <f t="shared" si="168"/>
        <v>Catalog Record</v>
      </c>
      <c r="AW5422" s="6" t="str">
        <f t="shared" si="169"/>
        <v>WorldCat Record</v>
      </c>
      <c r="AX5422" s="3" t="s">
        <v>52569</v>
      </c>
      <c r="AY5422" s="3" t="s">
        <v>52570</v>
      </c>
      <c r="AZ5422" s="3" t="s">
        <v>52571</v>
      </c>
      <c r="BA5422" s="3" t="s">
        <v>52571</v>
      </c>
      <c r="BB5422" s="3" t="s">
        <v>52660</v>
      </c>
      <c r="BC5422" s="3" t="s">
        <v>77</v>
      </c>
      <c r="BD5422" s="3" t="s">
        <v>78</v>
      </c>
      <c r="BE5422" s="3" t="s">
        <v>52573</v>
      </c>
      <c r="BF5422" s="3" t="s">
        <v>52660</v>
      </c>
      <c r="BG5422" s="3" t="s">
        <v>52661</v>
      </c>
      <c r="BH5422">
        <f t="shared" si="166"/>
        <v>0</v>
      </c>
    </row>
    <row r="5423" spans="1:60" ht="58" x14ac:dyDescent="0.35">
      <c r="A5423" s="2" t="s">
        <v>1932</v>
      </c>
      <c r="B5423" s="2" t="s">
        <v>1933</v>
      </c>
      <c r="C5423" s="2" t="s">
        <v>52662</v>
      </c>
      <c r="D5423" s="2" t="s">
        <v>52663</v>
      </c>
      <c r="E5423" s="2" t="s">
        <v>52664</v>
      </c>
      <c r="F5423" s="3" t="s">
        <v>52665</v>
      </c>
      <c r="G5423" s="3" t="s">
        <v>128</v>
      </c>
      <c r="I5423" s="3" t="s">
        <v>64</v>
      </c>
      <c r="J5423" s="3" t="s">
        <v>64</v>
      </c>
      <c r="K5423" s="3" t="s">
        <v>65</v>
      </c>
      <c r="L5423" s="2" t="s">
        <v>52666</v>
      </c>
      <c r="M5423" s="2" t="s">
        <v>52667</v>
      </c>
      <c r="N5423" s="3" t="s">
        <v>5050</v>
      </c>
      <c r="P5423" s="3" t="s">
        <v>102</v>
      </c>
      <c r="Q5423" s="2" t="s">
        <v>52668</v>
      </c>
      <c r="R5423" s="3" t="s">
        <v>70</v>
      </c>
      <c r="S5423" s="4">
        <v>3</v>
      </c>
      <c r="T5423" s="4">
        <v>6</v>
      </c>
      <c r="U5423" s="5" t="s">
        <v>5335</v>
      </c>
      <c r="V5423" s="5" t="s">
        <v>5335</v>
      </c>
      <c r="W5423" s="5" t="s">
        <v>72</v>
      </c>
      <c r="X5423" s="5" t="s">
        <v>72</v>
      </c>
      <c r="Y5423" s="4">
        <v>1</v>
      </c>
      <c r="Z5423" s="4">
        <v>1</v>
      </c>
      <c r="AA5423" s="4">
        <v>1</v>
      </c>
      <c r="AB5423" s="4">
        <v>1</v>
      </c>
      <c r="AC5423" s="4">
        <v>1</v>
      </c>
      <c r="AD5423" s="4">
        <v>0</v>
      </c>
      <c r="AE5423" s="4">
        <v>0</v>
      </c>
      <c r="AF5423" s="4">
        <v>0</v>
      </c>
      <c r="AG5423" s="4">
        <v>0</v>
      </c>
      <c r="AH5423" s="4">
        <v>0</v>
      </c>
      <c r="AI5423" s="4">
        <v>0</v>
      </c>
      <c r="AJ5423" s="4">
        <v>0</v>
      </c>
      <c r="AK5423" s="4">
        <v>0</v>
      </c>
      <c r="AL5423" s="4">
        <v>0</v>
      </c>
      <c r="AM5423" s="4">
        <v>0</v>
      </c>
      <c r="AN5423" s="4">
        <v>0</v>
      </c>
      <c r="AO5423" s="4">
        <v>0</v>
      </c>
      <c r="AP5423" s="4">
        <v>0</v>
      </c>
      <c r="AQ5423" s="4">
        <v>0</v>
      </c>
      <c r="AR5423" s="3" t="s">
        <v>128</v>
      </c>
      <c r="AS5423" s="3" t="s">
        <v>64</v>
      </c>
      <c r="AT5423" s="3" t="s">
        <v>64</v>
      </c>
      <c r="AV5423" s="6" t="str">
        <f>HYPERLINK("http://mcgill.on.worldcat.org/oclc/61575129","Catalog Record")</f>
        <v>Catalog Record</v>
      </c>
      <c r="AW5423" s="6" t="str">
        <f>HYPERLINK("http://www.worldcat.org/oclc/61575129","WorldCat Record")</f>
        <v>WorldCat Record</v>
      </c>
      <c r="AX5423" s="3" t="s">
        <v>52669</v>
      </c>
      <c r="AY5423" s="3" t="s">
        <v>52670</v>
      </c>
      <c r="AZ5423" s="3" t="s">
        <v>52671</v>
      </c>
      <c r="BA5423" s="3" t="s">
        <v>52671</v>
      </c>
      <c r="BB5423" s="3" t="s">
        <v>52672</v>
      </c>
      <c r="BC5423" s="3" t="s">
        <v>77</v>
      </c>
      <c r="BD5423" s="3" t="s">
        <v>78</v>
      </c>
      <c r="BF5423" s="3" t="s">
        <v>52672</v>
      </c>
      <c r="BG5423" s="3" t="s">
        <v>52673</v>
      </c>
      <c r="BH5423">
        <f t="shared" si="166"/>
        <v>0</v>
      </c>
    </row>
    <row r="5424" spans="1:60" ht="58" x14ac:dyDescent="0.35">
      <c r="A5424" s="2" t="s">
        <v>1932</v>
      </c>
      <c r="B5424" s="2" t="s">
        <v>1933</v>
      </c>
      <c r="C5424" s="2" t="s">
        <v>52662</v>
      </c>
      <c r="D5424" s="2" t="s">
        <v>52663</v>
      </c>
      <c r="E5424" s="2" t="s">
        <v>52664</v>
      </c>
      <c r="F5424" s="3" t="s">
        <v>43846</v>
      </c>
      <c r="G5424" s="3" t="s">
        <v>128</v>
      </c>
      <c r="I5424" s="3" t="s">
        <v>64</v>
      </c>
      <c r="J5424" s="3" t="s">
        <v>64</v>
      </c>
      <c r="K5424" s="3" t="s">
        <v>65</v>
      </c>
      <c r="L5424" s="2" t="s">
        <v>52666</v>
      </c>
      <c r="M5424" s="2" t="s">
        <v>52667</v>
      </c>
      <c r="N5424" s="3" t="s">
        <v>5050</v>
      </c>
      <c r="P5424" s="3" t="s">
        <v>102</v>
      </c>
      <c r="Q5424" s="2" t="s">
        <v>52668</v>
      </c>
      <c r="R5424" s="3" t="s">
        <v>70</v>
      </c>
      <c r="S5424" s="4">
        <v>3</v>
      </c>
      <c r="T5424" s="4">
        <v>6</v>
      </c>
      <c r="U5424" s="5" t="s">
        <v>5335</v>
      </c>
      <c r="V5424" s="5" t="s">
        <v>5335</v>
      </c>
      <c r="W5424" s="5" t="s">
        <v>72</v>
      </c>
      <c r="X5424" s="5" t="s">
        <v>72</v>
      </c>
      <c r="Y5424" s="4">
        <v>1</v>
      </c>
      <c r="Z5424" s="4">
        <v>1</v>
      </c>
      <c r="AA5424" s="4">
        <v>1</v>
      </c>
      <c r="AB5424" s="4">
        <v>1</v>
      </c>
      <c r="AC5424" s="4">
        <v>1</v>
      </c>
      <c r="AD5424" s="4">
        <v>0</v>
      </c>
      <c r="AE5424" s="4">
        <v>0</v>
      </c>
      <c r="AF5424" s="4">
        <v>0</v>
      </c>
      <c r="AG5424" s="4">
        <v>0</v>
      </c>
      <c r="AH5424" s="4">
        <v>0</v>
      </c>
      <c r="AI5424" s="4">
        <v>0</v>
      </c>
      <c r="AJ5424" s="4">
        <v>0</v>
      </c>
      <c r="AK5424" s="4">
        <v>0</v>
      </c>
      <c r="AL5424" s="4">
        <v>0</v>
      </c>
      <c r="AM5424" s="4">
        <v>0</v>
      </c>
      <c r="AN5424" s="4">
        <v>0</v>
      </c>
      <c r="AO5424" s="4">
        <v>0</v>
      </c>
      <c r="AP5424" s="4">
        <v>0</v>
      </c>
      <c r="AQ5424" s="4">
        <v>0</v>
      </c>
      <c r="AR5424" s="3" t="s">
        <v>128</v>
      </c>
      <c r="AS5424" s="3" t="s">
        <v>64</v>
      </c>
      <c r="AT5424" s="3" t="s">
        <v>64</v>
      </c>
      <c r="AV5424" s="6" t="str">
        <f>HYPERLINK("http://mcgill.on.worldcat.org/oclc/61575129","Catalog Record")</f>
        <v>Catalog Record</v>
      </c>
      <c r="AW5424" s="6" t="str">
        <f>HYPERLINK("http://www.worldcat.org/oclc/61575129","WorldCat Record")</f>
        <v>WorldCat Record</v>
      </c>
      <c r="AX5424" s="3" t="s">
        <v>52669</v>
      </c>
      <c r="AY5424" s="3" t="s">
        <v>52670</v>
      </c>
      <c r="AZ5424" s="3" t="s">
        <v>52671</v>
      </c>
      <c r="BA5424" s="3" t="s">
        <v>52671</v>
      </c>
      <c r="BB5424" s="3" t="s">
        <v>52674</v>
      </c>
      <c r="BC5424" s="3" t="s">
        <v>77</v>
      </c>
      <c r="BD5424" s="3" t="s">
        <v>78</v>
      </c>
      <c r="BF5424" s="3" t="s">
        <v>52674</v>
      </c>
      <c r="BG5424" s="3" t="s">
        <v>52675</v>
      </c>
      <c r="BH5424">
        <f t="shared" si="166"/>
        <v>0</v>
      </c>
    </row>
    <row r="5425" spans="1:60" ht="72.5" x14ac:dyDescent="0.35">
      <c r="A5425" s="2" t="s">
        <v>59</v>
      </c>
      <c r="B5425" s="2" t="s">
        <v>60</v>
      </c>
      <c r="C5425" s="2" t="s">
        <v>52676</v>
      </c>
      <c r="D5425" s="2" t="s">
        <v>52677</v>
      </c>
      <c r="E5425" s="2" t="s">
        <v>52678</v>
      </c>
      <c r="G5425" s="3" t="s">
        <v>64</v>
      </c>
      <c r="I5425" s="3" t="s">
        <v>128</v>
      </c>
      <c r="J5425" s="3" t="s">
        <v>64</v>
      </c>
      <c r="K5425" s="3" t="s">
        <v>65</v>
      </c>
      <c r="L5425" s="2" t="s">
        <v>52679</v>
      </c>
      <c r="M5425" s="2" t="s">
        <v>52680</v>
      </c>
      <c r="N5425" s="3" t="s">
        <v>3804</v>
      </c>
      <c r="P5425" s="3" t="s">
        <v>102</v>
      </c>
      <c r="R5425" s="3" t="s">
        <v>70</v>
      </c>
      <c r="S5425" s="4">
        <v>0</v>
      </c>
      <c r="T5425" s="4">
        <v>1</v>
      </c>
      <c r="V5425" s="5" t="s">
        <v>1655</v>
      </c>
      <c r="W5425" s="5" t="s">
        <v>72</v>
      </c>
      <c r="X5425" s="5" t="s">
        <v>72</v>
      </c>
      <c r="Y5425" s="4">
        <v>44</v>
      </c>
      <c r="Z5425" s="4">
        <v>4</v>
      </c>
      <c r="AA5425" s="4">
        <v>4</v>
      </c>
      <c r="AB5425" s="4">
        <v>1</v>
      </c>
      <c r="AC5425" s="4">
        <v>1</v>
      </c>
      <c r="AD5425" s="4">
        <v>23</v>
      </c>
      <c r="AE5425" s="4">
        <v>33</v>
      </c>
      <c r="AF5425" s="4">
        <v>0</v>
      </c>
      <c r="AG5425" s="4">
        <v>0</v>
      </c>
      <c r="AH5425" s="4">
        <v>21</v>
      </c>
      <c r="AI5425" s="4">
        <v>31</v>
      </c>
      <c r="AJ5425" s="4">
        <v>2</v>
      </c>
      <c r="AK5425" s="4">
        <v>2</v>
      </c>
      <c r="AL5425" s="4">
        <v>19</v>
      </c>
      <c r="AM5425" s="4">
        <v>25</v>
      </c>
      <c r="AN5425" s="4">
        <v>0</v>
      </c>
      <c r="AO5425" s="4">
        <v>0</v>
      </c>
      <c r="AP5425" s="4">
        <v>2</v>
      </c>
      <c r="AQ5425" s="4">
        <v>2</v>
      </c>
      <c r="AR5425" s="3" t="s">
        <v>64</v>
      </c>
      <c r="AS5425" s="3" t="s">
        <v>64</v>
      </c>
      <c r="AT5425" s="3" t="s">
        <v>64</v>
      </c>
      <c r="AV5425" s="6" t="str">
        <f>HYPERLINK("http://mcgill.on.worldcat.org/oclc/9258086","Catalog Record")</f>
        <v>Catalog Record</v>
      </c>
      <c r="AW5425" s="6" t="str">
        <f>HYPERLINK("http://www.worldcat.org/oclc/9258086","WorldCat Record")</f>
        <v>WorldCat Record</v>
      </c>
      <c r="AX5425" s="3" t="s">
        <v>52681</v>
      </c>
      <c r="AY5425" s="3" t="s">
        <v>52682</v>
      </c>
      <c r="AZ5425" s="3" t="s">
        <v>52683</v>
      </c>
      <c r="BA5425" s="3" t="s">
        <v>52683</v>
      </c>
      <c r="BB5425" s="3" t="s">
        <v>52684</v>
      </c>
      <c r="BC5425" s="3" t="s">
        <v>77</v>
      </c>
      <c r="BD5425" s="3" t="s">
        <v>78</v>
      </c>
      <c r="BF5425" s="3" t="s">
        <v>52684</v>
      </c>
      <c r="BG5425" s="3" t="s">
        <v>52685</v>
      </c>
      <c r="BH5425">
        <f t="shared" si="166"/>
        <v>0</v>
      </c>
    </row>
    <row r="5426" spans="1:60" ht="58" x14ac:dyDescent="0.35">
      <c r="A5426" s="2" t="s">
        <v>59</v>
      </c>
      <c r="B5426" s="2" t="s">
        <v>35724</v>
      </c>
      <c r="C5426" s="2" t="s">
        <v>52686</v>
      </c>
      <c r="D5426" s="2" t="s">
        <v>52687</v>
      </c>
      <c r="E5426" s="2" t="s">
        <v>52688</v>
      </c>
      <c r="G5426" s="3" t="s">
        <v>64</v>
      </c>
      <c r="I5426" s="3" t="s">
        <v>64</v>
      </c>
      <c r="J5426" s="3" t="s">
        <v>64</v>
      </c>
      <c r="K5426" s="3" t="s">
        <v>65</v>
      </c>
      <c r="L5426" s="2" t="s">
        <v>52689</v>
      </c>
      <c r="M5426" s="2" t="s">
        <v>52690</v>
      </c>
      <c r="N5426" s="3" t="s">
        <v>86</v>
      </c>
      <c r="P5426" s="3" t="s">
        <v>102</v>
      </c>
      <c r="R5426" s="3" t="s">
        <v>70</v>
      </c>
      <c r="S5426" s="4">
        <v>0</v>
      </c>
      <c r="T5426" s="4">
        <v>0</v>
      </c>
      <c r="W5426" s="5" t="s">
        <v>72</v>
      </c>
      <c r="X5426" s="5" t="s">
        <v>72</v>
      </c>
      <c r="Y5426" s="4">
        <v>33</v>
      </c>
      <c r="Z5426" s="4">
        <v>5</v>
      </c>
      <c r="AA5426" s="4">
        <v>6</v>
      </c>
      <c r="AB5426" s="4">
        <v>1</v>
      </c>
      <c r="AC5426" s="4">
        <v>1</v>
      </c>
      <c r="AD5426" s="4">
        <v>19</v>
      </c>
      <c r="AE5426" s="4">
        <v>21</v>
      </c>
      <c r="AF5426" s="4">
        <v>0</v>
      </c>
      <c r="AG5426" s="4">
        <v>0</v>
      </c>
      <c r="AH5426" s="4">
        <v>17</v>
      </c>
      <c r="AI5426" s="4">
        <v>19</v>
      </c>
      <c r="AJ5426" s="4">
        <v>3</v>
      </c>
      <c r="AK5426" s="4">
        <v>4</v>
      </c>
      <c r="AL5426" s="4">
        <v>13</v>
      </c>
      <c r="AM5426" s="4">
        <v>14</v>
      </c>
      <c r="AN5426" s="4">
        <v>0</v>
      </c>
      <c r="AO5426" s="4">
        <v>0</v>
      </c>
      <c r="AP5426" s="4">
        <v>3</v>
      </c>
      <c r="AQ5426" s="4">
        <v>4</v>
      </c>
      <c r="AR5426" s="3" t="s">
        <v>64</v>
      </c>
      <c r="AS5426" s="3" t="s">
        <v>64</v>
      </c>
      <c r="AT5426" s="3" t="s">
        <v>64</v>
      </c>
      <c r="AV5426" s="6" t="str">
        <f>HYPERLINK("http://mcgill.on.worldcat.org/oclc/822229535","Catalog Record")</f>
        <v>Catalog Record</v>
      </c>
      <c r="AW5426" s="6" t="str">
        <f>HYPERLINK("http://www.worldcat.org/oclc/822229535","WorldCat Record")</f>
        <v>WorldCat Record</v>
      </c>
      <c r="AX5426" s="3" t="s">
        <v>52691</v>
      </c>
      <c r="AY5426" s="3" t="s">
        <v>52692</v>
      </c>
      <c r="AZ5426" s="3" t="s">
        <v>52693</v>
      </c>
      <c r="BA5426" s="3" t="s">
        <v>52693</v>
      </c>
      <c r="BB5426" s="3" t="s">
        <v>52694</v>
      </c>
      <c r="BC5426" s="3" t="s">
        <v>77</v>
      </c>
      <c r="BD5426" s="3" t="s">
        <v>78</v>
      </c>
      <c r="BE5426" s="3" t="s">
        <v>52695</v>
      </c>
      <c r="BF5426" s="3" t="s">
        <v>52694</v>
      </c>
      <c r="BG5426" s="3" t="s">
        <v>52696</v>
      </c>
      <c r="BH5426">
        <f t="shared" si="166"/>
        <v>0</v>
      </c>
    </row>
    <row r="5427" spans="1:60" ht="58" x14ac:dyDescent="0.35">
      <c r="A5427" s="2" t="s">
        <v>59</v>
      </c>
      <c r="B5427" s="2" t="s">
        <v>60</v>
      </c>
      <c r="C5427" s="2" t="s">
        <v>52697</v>
      </c>
      <c r="D5427" s="2" t="s">
        <v>52698</v>
      </c>
      <c r="E5427" s="2" t="s">
        <v>52699</v>
      </c>
      <c r="G5427" s="3" t="s">
        <v>64</v>
      </c>
      <c r="I5427" s="3" t="s">
        <v>64</v>
      </c>
      <c r="J5427" s="3" t="s">
        <v>64</v>
      </c>
      <c r="K5427" s="3" t="s">
        <v>65</v>
      </c>
      <c r="L5427" s="2" t="s">
        <v>52700</v>
      </c>
      <c r="M5427" s="2" t="s">
        <v>52701</v>
      </c>
      <c r="N5427" s="3" t="s">
        <v>5986</v>
      </c>
      <c r="P5427" s="3" t="s">
        <v>102</v>
      </c>
      <c r="Q5427" s="2" t="s">
        <v>52702</v>
      </c>
      <c r="R5427" s="3" t="s">
        <v>70</v>
      </c>
      <c r="S5427" s="4">
        <v>1</v>
      </c>
      <c r="T5427" s="4">
        <v>1</v>
      </c>
      <c r="U5427" s="5" t="s">
        <v>15147</v>
      </c>
      <c r="V5427" s="5" t="s">
        <v>15147</v>
      </c>
      <c r="W5427" s="5" t="s">
        <v>72</v>
      </c>
      <c r="X5427" s="5" t="s">
        <v>72</v>
      </c>
      <c r="Y5427" s="4">
        <v>5</v>
      </c>
      <c r="Z5427" s="4">
        <v>5</v>
      </c>
      <c r="AA5427" s="4">
        <v>5</v>
      </c>
      <c r="AB5427" s="4">
        <v>2</v>
      </c>
      <c r="AC5427" s="4">
        <v>2</v>
      </c>
      <c r="AD5427" s="4">
        <v>3</v>
      </c>
      <c r="AE5427" s="4">
        <v>3</v>
      </c>
      <c r="AF5427" s="4">
        <v>0</v>
      </c>
      <c r="AG5427" s="4">
        <v>0</v>
      </c>
      <c r="AH5427" s="4">
        <v>3</v>
      </c>
      <c r="AI5427" s="4">
        <v>3</v>
      </c>
      <c r="AJ5427" s="4">
        <v>3</v>
      </c>
      <c r="AK5427" s="4">
        <v>3</v>
      </c>
      <c r="AL5427" s="4">
        <v>0</v>
      </c>
      <c r="AM5427" s="4">
        <v>0</v>
      </c>
      <c r="AN5427" s="4">
        <v>0</v>
      </c>
      <c r="AO5427" s="4">
        <v>0</v>
      </c>
      <c r="AP5427" s="4">
        <v>3</v>
      </c>
      <c r="AQ5427" s="4">
        <v>3</v>
      </c>
      <c r="AR5427" s="3" t="s">
        <v>64</v>
      </c>
      <c r="AS5427" s="3" t="s">
        <v>64</v>
      </c>
      <c r="AT5427" s="3" t="s">
        <v>64</v>
      </c>
      <c r="AV5427" s="6" t="str">
        <f>HYPERLINK("http://mcgill.on.worldcat.org/oclc/268787918","Catalog Record")</f>
        <v>Catalog Record</v>
      </c>
      <c r="AW5427" s="6" t="str">
        <f>HYPERLINK("http://www.worldcat.org/oclc/268787918","WorldCat Record")</f>
        <v>WorldCat Record</v>
      </c>
      <c r="AX5427" s="3" t="s">
        <v>52703</v>
      </c>
      <c r="AY5427" s="3" t="s">
        <v>52704</v>
      </c>
      <c r="AZ5427" s="3" t="s">
        <v>52705</v>
      </c>
      <c r="BA5427" s="3" t="s">
        <v>52705</v>
      </c>
      <c r="BB5427" s="3" t="s">
        <v>52706</v>
      </c>
      <c r="BC5427" s="3" t="s">
        <v>77</v>
      </c>
      <c r="BD5427" s="3" t="s">
        <v>78</v>
      </c>
      <c r="BF5427" s="3" t="s">
        <v>52706</v>
      </c>
      <c r="BG5427" s="3" t="s">
        <v>52707</v>
      </c>
      <c r="BH5427">
        <f t="shared" si="166"/>
        <v>0</v>
      </c>
    </row>
    <row r="5428" spans="1:60" ht="116" x14ac:dyDescent="0.35">
      <c r="A5428" s="2" t="s">
        <v>59</v>
      </c>
      <c r="B5428" s="2" t="s">
        <v>1183</v>
      </c>
      <c r="C5428" s="2" t="s">
        <v>52708</v>
      </c>
      <c r="D5428" s="2" t="s">
        <v>52709</v>
      </c>
      <c r="E5428" s="2" t="s">
        <v>52710</v>
      </c>
      <c r="G5428" s="3" t="s">
        <v>64</v>
      </c>
      <c r="I5428" s="3" t="s">
        <v>64</v>
      </c>
      <c r="J5428" s="3" t="s">
        <v>64</v>
      </c>
      <c r="K5428" s="3" t="s">
        <v>65</v>
      </c>
      <c r="L5428" s="2" t="s">
        <v>52711</v>
      </c>
      <c r="M5428" s="2" t="s">
        <v>52712</v>
      </c>
      <c r="N5428" s="3" t="s">
        <v>537</v>
      </c>
      <c r="P5428" s="3" t="s">
        <v>8739</v>
      </c>
      <c r="R5428" s="3" t="s">
        <v>70</v>
      </c>
      <c r="S5428" s="4">
        <v>0</v>
      </c>
      <c r="T5428" s="4">
        <v>0</v>
      </c>
      <c r="W5428" s="5" t="s">
        <v>72</v>
      </c>
      <c r="X5428" s="5" t="s">
        <v>72</v>
      </c>
      <c r="Y5428" s="4">
        <v>2</v>
      </c>
      <c r="Z5428" s="4">
        <v>1</v>
      </c>
      <c r="AA5428" s="4">
        <v>1</v>
      </c>
      <c r="AB5428" s="4">
        <v>1</v>
      </c>
      <c r="AC5428" s="4">
        <v>1</v>
      </c>
      <c r="AD5428" s="4">
        <v>0</v>
      </c>
      <c r="AE5428" s="4">
        <v>0</v>
      </c>
      <c r="AF5428" s="4">
        <v>0</v>
      </c>
      <c r="AG5428" s="4">
        <v>0</v>
      </c>
      <c r="AH5428" s="4">
        <v>0</v>
      </c>
      <c r="AI5428" s="4">
        <v>0</v>
      </c>
      <c r="AJ5428" s="4">
        <v>0</v>
      </c>
      <c r="AK5428" s="4">
        <v>0</v>
      </c>
      <c r="AL5428" s="4">
        <v>0</v>
      </c>
      <c r="AM5428" s="4">
        <v>0</v>
      </c>
      <c r="AN5428" s="4">
        <v>0</v>
      </c>
      <c r="AO5428" s="4">
        <v>0</v>
      </c>
      <c r="AP5428" s="4">
        <v>0</v>
      </c>
      <c r="AQ5428" s="4">
        <v>0</v>
      </c>
      <c r="AR5428" s="3" t="s">
        <v>64</v>
      </c>
      <c r="AS5428" s="3" t="s">
        <v>64</v>
      </c>
      <c r="AT5428" s="3" t="s">
        <v>64</v>
      </c>
      <c r="AV5428" s="6" t="str">
        <f>HYPERLINK("http://mcgill.on.worldcat.org/oclc/958844528","Catalog Record")</f>
        <v>Catalog Record</v>
      </c>
      <c r="AW5428" s="6" t="str">
        <f>HYPERLINK("http://www.worldcat.org/oclc/958844528","WorldCat Record")</f>
        <v>WorldCat Record</v>
      </c>
      <c r="AX5428" s="3" t="s">
        <v>52713</v>
      </c>
      <c r="AY5428" s="3" t="s">
        <v>52714</v>
      </c>
      <c r="AZ5428" s="3" t="s">
        <v>52715</v>
      </c>
      <c r="BA5428" s="3" t="s">
        <v>52715</v>
      </c>
      <c r="BB5428" s="3" t="s">
        <v>52716</v>
      </c>
      <c r="BC5428" s="3" t="s">
        <v>77</v>
      </c>
      <c r="BD5428" s="3" t="s">
        <v>78</v>
      </c>
      <c r="BF5428" s="3" t="s">
        <v>52716</v>
      </c>
      <c r="BG5428" s="3" t="s">
        <v>52717</v>
      </c>
      <c r="BH5428">
        <f t="shared" si="166"/>
        <v>0</v>
      </c>
    </row>
    <row r="5429" spans="1:60" ht="101.5" x14ac:dyDescent="0.35">
      <c r="A5429" s="2" t="s">
        <v>59</v>
      </c>
      <c r="B5429" s="2" t="s">
        <v>52884</v>
      </c>
      <c r="C5429" s="2" t="s">
        <v>52885</v>
      </c>
      <c r="D5429" s="2" t="s">
        <v>52886</v>
      </c>
      <c r="E5429" s="2" t="s">
        <v>43879</v>
      </c>
      <c r="G5429" s="3" t="s">
        <v>64</v>
      </c>
      <c r="I5429" s="3" t="s">
        <v>128</v>
      </c>
      <c r="J5429" s="3" t="s">
        <v>64</v>
      </c>
      <c r="K5429" s="3" t="s">
        <v>65</v>
      </c>
      <c r="L5429" s="2" t="s">
        <v>43880</v>
      </c>
      <c r="M5429" s="2" t="s">
        <v>43881</v>
      </c>
      <c r="N5429" s="3" t="s">
        <v>3047</v>
      </c>
      <c r="O5429" s="2" t="s">
        <v>43882</v>
      </c>
      <c r="P5429" s="3" t="s">
        <v>102</v>
      </c>
      <c r="Q5429" s="2" t="s">
        <v>43883</v>
      </c>
      <c r="R5429" s="3" t="s">
        <v>70</v>
      </c>
      <c r="S5429" s="4">
        <v>0</v>
      </c>
      <c r="T5429" s="4">
        <v>2</v>
      </c>
      <c r="V5429" s="5" t="s">
        <v>24265</v>
      </c>
      <c r="W5429" s="5" t="s">
        <v>72</v>
      </c>
      <c r="X5429" s="5" t="s">
        <v>72</v>
      </c>
      <c r="Y5429" s="4">
        <v>5</v>
      </c>
      <c r="Z5429" s="4">
        <v>4</v>
      </c>
      <c r="AA5429" s="4">
        <v>67</v>
      </c>
      <c r="AB5429" s="4">
        <v>2</v>
      </c>
      <c r="AC5429" s="4">
        <v>6</v>
      </c>
      <c r="AD5429" s="4">
        <v>2</v>
      </c>
      <c r="AE5429" s="4">
        <v>66</v>
      </c>
      <c r="AF5429" s="4">
        <v>0</v>
      </c>
      <c r="AG5429" s="4">
        <v>2</v>
      </c>
      <c r="AH5429" s="4">
        <v>2</v>
      </c>
      <c r="AI5429" s="4">
        <v>42</v>
      </c>
      <c r="AJ5429" s="4">
        <v>2</v>
      </c>
      <c r="AK5429" s="4">
        <v>22</v>
      </c>
      <c r="AL5429" s="4">
        <v>0</v>
      </c>
      <c r="AM5429" s="4">
        <v>22</v>
      </c>
      <c r="AN5429" s="4">
        <v>0</v>
      </c>
      <c r="AO5429" s="4">
        <v>0</v>
      </c>
      <c r="AP5429" s="4">
        <v>2</v>
      </c>
      <c r="AQ5429" s="4">
        <v>33</v>
      </c>
      <c r="AR5429" s="3" t="s">
        <v>128</v>
      </c>
      <c r="AS5429" s="3" t="s">
        <v>64</v>
      </c>
      <c r="AT5429" s="3" t="s">
        <v>128</v>
      </c>
      <c r="AU5429" s="6" t="str">
        <f>HYPERLINK("http://catalog.hathitrust.org/Record/000910093","HathiTrust Record")</f>
        <v>HathiTrust Record</v>
      </c>
      <c r="AV5429" s="6" t="str">
        <f>HYPERLINK("http://mcgill.on.worldcat.org/oclc/427268228","Catalog Record")</f>
        <v>Catalog Record</v>
      </c>
      <c r="AW5429" s="6" t="str">
        <f>HYPERLINK("http://www.worldcat.org/oclc/427268228","WorldCat Record")</f>
        <v>WorldCat Record</v>
      </c>
      <c r="AX5429" s="3" t="s">
        <v>43884</v>
      </c>
      <c r="AY5429" s="3" t="s">
        <v>43885</v>
      </c>
      <c r="AZ5429" s="3" t="s">
        <v>43886</v>
      </c>
      <c r="BA5429" s="3" t="s">
        <v>43886</v>
      </c>
      <c r="BB5429" s="3" t="s">
        <v>52887</v>
      </c>
      <c r="BC5429" s="3" t="s">
        <v>77</v>
      </c>
      <c r="BD5429" s="3" t="s">
        <v>78</v>
      </c>
      <c r="BE5429" s="3" t="s">
        <v>43888</v>
      </c>
      <c r="BF5429" s="3" t="s">
        <v>52887</v>
      </c>
      <c r="BG5429" s="3" t="s">
        <v>52888</v>
      </c>
      <c r="BH5429">
        <f t="shared" si="166"/>
        <v>0</v>
      </c>
    </row>
    <row r="5430" spans="1:60" ht="101.5" x14ac:dyDescent="0.35">
      <c r="A5430" s="2" t="s">
        <v>59</v>
      </c>
      <c r="B5430" s="2" t="s">
        <v>52884</v>
      </c>
      <c r="C5430" s="2" t="s">
        <v>52889</v>
      </c>
      <c r="D5430" s="2" t="s">
        <v>52890</v>
      </c>
      <c r="E5430" s="2" t="s">
        <v>8929</v>
      </c>
      <c r="G5430" s="3" t="s">
        <v>64</v>
      </c>
      <c r="I5430" s="3" t="s">
        <v>128</v>
      </c>
      <c r="J5430" s="3" t="s">
        <v>64</v>
      </c>
      <c r="K5430" s="3" t="s">
        <v>65</v>
      </c>
      <c r="L5430" s="2" t="s">
        <v>8930</v>
      </c>
      <c r="M5430" s="2" t="s">
        <v>8931</v>
      </c>
      <c r="N5430" s="3" t="s">
        <v>874</v>
      </c>
      <c r="P5430" s="3" t="s">
        <v>102</v>
      </c>
      <c r="R5430" s="3" t="s">
        <v>70</v>
      </c>
      <c r="S5430" s="4">
        <v>0</v>
      </c>
      <c r="T5430" s="4">
        <v>25</v>
      </c>
      <c r="V5430" s="5" t="s">
        <v>8932</v>
      </c>
      <c r="W5430" s="5" t="s">
        <v>72</v>
      </c>
      <c r="X5430" s="5" t="s">
        <v>72</v>
      </c>
      <c r="Y5430" s="4">
        <v>33</v>
      </c>
      <c r="Z5430" s="4">
        <v>33</v>
      </c>
      <c r="AA5430" s="4">
        <v>33</v>
      </c>
      <c r="AB5430" s="4">
        <v>3</v>
      </c>
      <c r="AC5430" s="4">
        <v>3</v>
      </c>
      <c r="AD5430" s="4">
        <v>17</v>
      </c>
      <c r="AE5430" s="4">
        <v>17</v>
      </c>
      <c r="AF5430" s="4">
        <v>1</v>
      </c>
      <c r="AG5430" s="4">
        <v>1</v>
      </c>
      <c r="AH5430" s="4">
        <v>4</v>
      </c>
      <c r="AI5430" s="4">
        <v>4</v>
      </c>
      <c r="AJ5430" s="4">
        <v>11</v>
      </c>
      <c r="AK5430" s="4">
        <v>11</v>
      </c>
      <c r="AL5430" s="4">
        <v>0</v>
      </c>
      <c r="AM5430" s="4">
        <v>0</v>
      </c>
      <c r="AN5430" s="4">
        <v>0</v>
      </c>
      <c r="AO5430" s="4">
        <v>0</v>
      </c>
      <c r="AP5430" s="4">
        <v>15</v>
      </c>
      <c r="AQ5430" s="4">
        <v>15</v>
      </c>
      <c r="AR5430" s="3" t="s">
        <v>128</v>
      </c>
      <c r="AS5430" s="3" t="s">
        <v>64</v>
      </c>
      <c r="AT5430" s="3" t="s">
        <v>128</v>
      </c>
      <c r="AU5430" s="6" t="str">
        <f>HYPERLINK("http://catalog.hathitrust.org/Record/002195212","HathiTrust Record")</f>
        <v>HathiTrust Record</v>
      </c>
      <c r="AV5430" s="6" t="str">
        <f>HYPERLINK("http://mcgill.on.worldcat.org/oclc/317293712","Catalog Record")</f>
        <v>Catalog Record</v>
      </c>
      <c r="AW5430" s="6" t="str">
        <f>HYPERLINK("http://www.worldcat.org/oclc/317293712","WorldCat Record")</f>
        <v>WorldCat Record</v>
      </c>
      <c r="AX5430" s="3" t="s">
        <v>8933</v>
      </c>
      <c r="AY5430" s="3" t="s">
        <v>8934</v>
      </c>
      <c r="AZ5430" s="3" t="s">
        <v>8935</v>
      </c>
      <c r="BA5430" s="3" t="s">
        <v>8935</v>
      </c>
      <c r="BB5430" s="3" t="s">
        <v>52891</v>
      </c>
      <c r="BC5430" s="3" t="s">
        <v>77</v>
      </c>
      <c r="BD5430" s="3" t="s">
        <v>78</v>
      </c>
      <c r="BE5430" s="3" t="s">
        <v>8937</v>
      </c>
      <c r="BF5430" s="3" t="s">
        <v>52891</v>
      </c>
      <c r="BG5430" s="3" t="s">
        <v>52892</v>
      </c>
      <c r="BH5430">
        <f t="shared" si="166"/>
        <v>0</v>
      </c>
    </row>
    <row r="5431" spans="1:60" ht="101.5" x14ac:dyDescent="0.35">
      <c r="A5431" s="2" t="s">
        <v>59</v>
      </c>
      <c r="B5431" s="2" t="s">
        <v>52884</v>
      </c>
      <c r="C5431" s="2" t="s">
        <v>52893</v>
      </c>
      <c r="D5431" s="2" t="s">
        <v>52894</v>
      </c>
      <c r="E5431" s="2" t="s">
        <v>12816</v>
      </c>
      <c r="G5431" s="3" t="s">
        <v>64</v>
      </c>
      <c r="I5431" s="3" t="s">
        <v>128</v>
      </c>
      <c r="J5431" s="3" t="s">
        <v>64</v>
      </c>
      <c r="K5431" s="3" t="s">
        <v>65</v>
      </c>
      <c r="L5431" s="2" t="s">
        <v>12817</v>
      </c>
      <c r="M5431" s="2" t="s">
        <v>12818</v>
      </c>
      <c r="N5431" s="3" t="s">
        <v>116</v>
      </c>
      <c r="P5431" s="3" t="s">
        <v>68</v>
      </c>
      <c r="Q5431" s="2" t="s">
        <v>12819</v>
      </c>
      <c r="R5431" s="3" t="s">
        <v>70</v>
      </c>
      <c r="S5431" s="4">
        <v>0</v>
      </c>
      <c r="T5431" s="4">
        <v>5</v>
      </c>
      <c r="V5431" s="5" t="s">
        <v>4697</v>
      </c>
      <c r="W5431" s="5" t="s">
        <v>72</v>
      </c>
      <c r="X5431" s="5" t="s">
        <v>72</v>
      </c>
      <c r="Y5431" s="4">
        <v>33</v>
      </c>
      <c r="Z5431" s="4">
        <v>33</v>
      </c>
      <c r="AA5431" s="4">
        <v>38</v>
      </c>
      <c r="AB5431" s="4">
        <v>23</v>
      </c>
      <c r="AC5431" s="4">
        <v>26</v>
      </c>
      <c r="AD5431" s="4">
        <v>16</v>
      </c>
      <c r="AE5431" s="4">
        <v>21</v>
      </c>
      <c r="AF5431" s="4">
        <v>8</v>
      </c>
      <c r="AG5431" s="4">
        <v>10</v>
      </c>
      <c r="AH5431" s="4">
        <v>5</v>
      </c>
      <c r="AI5431" s="4">
        <v>7</v>
      </c>
      <c r="AJ5431" s="4">
        <v>12</v>
      </c>
      <c r="AK5431" s="4">
        <v>14</v>
      </c>
      <c r="AL5431" s="4">
        <v>1</v>
      </c>
      <c r="AM5431" s="4">
        <v>1</v>
      </c>
      <c r="AN5431" s="4">
        <v>0</v>
      </c>
      <c r="AO5431" s="4">
        <v>0</v>
      </c>
      <c r="AP5431" s="4">
        <v>13</v>
      </c>
      <c r="AQ5431" s="4">
        <v>17</v>
      </c>
      <c r="AR5431" s="3" t="s">
        <v>128</v>
      </c>
      <c r="AS5431" s="3" t="s">
        <v>64</v>
      </c>
      <c r="AT5431" s="3" t="s">
        <v>64</v>
      </c>
      <c r="AV5431" s="6" t="str">
        <f>HYPERLINK("http://mcgill.on.worldcat.org/oclc/49007184","Catalog Record")</f>
        <v>Catalog Record</v>
      </c>
      <c r="AW5431" s="6" t="str">
        <f>HYPERLINK("http://www.worldcat.org/oclc/49007184","WorldCat Record")</f>
        <v>WorldCat Record</v>
      </c>
      <c r="AX5431" s="3" t="s">
        <v>12820</v>
      </c>
      <c r="AY5431" s="3" t="s">
        <v>12821</v>
      </c>
      <c r="AZ5431" s="3" t="s">
        <v>12822</v>
      </c>
      <c r="BA5431" s="3" t="s">
        <v>12822</v>
      </c>
      <c r="BB5431" s="3" t="s">
        <v>52895</v>
      </c>
      <c r="BC5431" s="3" t="s">
        <v>77</v>
      </c>
      <c r="BD5431" s="3" t="s">
        <v>78</v>
      </c>
      <c r="BE5431" s="3" t="s">
        <v>12824</v>
      </c>
      <c r="BF5431" s="3" t="s">
        <v>52895</v>
      </c>
      <c r="BG5431" s="3" t="s">
        <v>52896</v>
      </c>
      <c r="BH5431">
        <f t="shared" si="166"/>
        <v>0</v>
      </c>
    </row>
  </sheetData>
  <autoFilter ref="A1:BF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7223C378089942809A7943C4880DE6" ma:contentTypeVersion="12" ma:contentTypeDescription="Create a new document." ma:contentTypeScope="" ma:versionID="36d975042bf97339687dfe0e10a71455">
  <xsd:schema xmlns:xsd="http://www.w3.org/2001/XMLSchema" xmlns:xs="http://www.w3.org/2001/XMLSchema" xmlns:p="http://schemas.microsoft.com/office/2006/metadata/properties" xmlns:ns3="8fa821e5-be0b-4978-8cb3-cce5e1f24c34" xmlns:ns4="8b7c810d-c9c3-4987-b0d7-7c20b69da642" targetNamespace="http://schemas.microsoft.com/office/2006/metadata/properties" ma:root="true" ma:fieldsID="358779577b353762824036ff6a96c571" ns3:_="" ns4:_="">
    <xsd:import namespace="8fa821e5-be0b-4978-8cb3-cce5e1f24c34"/>
    <xsd:import namespace="8b7c810d-c9c3-4987-b0d7-7c20b69da64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a821e5-be0b-4978-8cb3-cce5e1f24c3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7c810d-c9c3-4987-b0d7-7c20b69da642"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F62F48-EFE2-493B-9A55-ED2BFA28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a821e5-be0b-4978-8cb3-cce5e1f24c34"/>
    <ds:schemaRef ds:uri="8b7c810d-c9c3-4987-b0d7-7c20b69da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8D414-A35D-45F5-94EF-E8DC2460AC4F}">
  <ds:schemaRefs>
    <ds:schemaRef ds:uri="http://schemas.microsoft.com/sharepoint/v3/contenttype/forms"/>
  </ds:schemaRefs>
</ds:datastoreItem>
</file>

<file path=customXml/itemProps3.xml><?xml version="1.0" encoding="utf-8"?>
<ds:datastoreItem xmlns:ds="http://schemas.openxmlformats.org/officeDocument/2006/customXml" ds:itemID="{2C4E3FC0-1456-4071-ADBF-E3B5FBEB16C9}">
  <ds:schemaRefs>
    <ds:schemaRef ds:uri="http://purl.org/dc/elements/1.1/"/>
    <ds:schemaRef ds:uri="http://schemas.microsoft.com/office/2006/metadata/properties"/>
    <ds:schemaRef ds:uri="8fa821e5-be0b-4978-8cb3-cce5e1f24c34"/>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8b7c810d-c9c3-4987-b0d7-7c20b69da64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Print Books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Houle</dc:creator>
  <cp:lastModifiedBy>Eamon Duffy, Mr.</cp:lastModifiedBy>
  <dcterms:created xsi:type="dcterms:W3CDTF">2020-07-22T03:57:48Z</dcterms:created>
  <dcterms:modified xsi:type="dcterms:W3CDTF">2020-12-13T20:37:10Z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0x010100627223C378089942809A7943C4880DE6</vt:lpwstr>
  </property>
</Properties>
</file>